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Ex1.xml" ContentType="application/vnd.ms-office.chartex+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4.xml" ContentType="application/vnd.openxmlformats-officedocument.spreadsheetml.table+xml"/>
  <Override PartName="/xl/tables/table5.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usgbc.sharepoint.com/sites/USGBCCommunications/Public Documents  Marketing/Product Marketing/TRUE/TRUE v2 Launch/Technical Documentation/"/>
    </mc:Choice>
  </mc:AlternateContent>
  <xr:revisionPtr revIDLastSave="29" documentId="8_{C0B16A66-FA5F-49B4-A47B-17776609CACA}" xr6:coauthVersionLast="47" xr6:coauthVersionMax="47" xr10:uidLastSave="{4B5956EE-2EE7-4D73-9BB6-FC0930BC99F8}"/>
  <workbookProtection workbookAlgorithmName="SHA-512" workbookHashValue="VPcgZt41nZ6Yf18sr2piQ2SaECDYMb7M2NuCXqXgO71hLTxriYXNVszax9Yyn+XC+Yb8R1zOjCrAy0c4Dd/NIA==" workbookSaltValue="sUj9rRe/SN/OpDTCG6EZFQ==" workbookSpinCount="100000" lockStructure="1"/>
  <bookViews>
    <workbookView xWindow="28680" yWindow="-120" windowWidth="29040" windowHeight="15720" tabRatio="847" activeTab="1" xr2:uid="{9A7D6A00-D507-411D-AD98-865F6A481A60}"/>
  </bookViews>
  <sheets>
    <sheet name="User Guide" sheetId="46" r:id="rId1"/>
    <sheet name="Project Inputs" sheetId="51" r:id="rId2"/>
    <sheet name="Results" sheetId="58" r:id="rId3"/>
    <sheet name="Materials" sheetId="37" r:id="rId4"/>
    <sheet name="Diversion and Disposal" sheetId="28" r:id="rId5"/>
    <sheet name="Baseline" sheetId="62" r:id="rId6"/>
    <sheet name="Haz" sheetId="63" r:id="rId7"/>
    <sheet name="Financial" sheetId="34" r:id="rId8"/>
    <sheet name="Transport" sheetId="38" r:id="rId9"/>
    <sheet name="Purchased Materials" sheetId="39" r:id="rId10"/>
    <sheet name="Audit Scenarios" sheetId="54" r:id="rId11"/>
    <sheet name="Errors" sheetId="65" r:id="rId12"/>
    <sheet name="Data Tables" sheetId="59" r:id="rId13"/>
    <sheet name="Data output" sheetId="22" state="hidden" r:id="rId14"/>
    <sheet name="Factors" sheetId="5" state="hidden" r:id="rId15"/>
    <sheet name="Static Inv. data" sheetId="44" state="hidden" r:id="rId16"/>
    <sheet name="Lookups" sheetId="7" state="hidden" r:id="rId17"/>
    <sheet name="mapping" sheetId="57" state="hidden" r:id="rId18"/>
    <sheet name="swolf_openlca_lcia_results" sheetId="56" state="hidden" r:id="rId19"/>
  </sheets>
  <definedNames>
    <definedName name="_xlnm._FilterDatabase" localSheetId="14" hidden="1">Factors!$G$952:$H$1023</definedName>
    <definedName name="_xlnm._FilterDatabase" localSheetId="18" hidden="1">swolf_openlca_lcia_results!$A$1:$K$15921</definedName>
    <definedName name="_xlchart.v2.0" hidden="1">Results!$AW$25:$AW$29</definedName>
    <definedName name="_xlchart.v2.1" hidden="1">Results!$AX$25:$AX$29</definedName>
    <definedName name="ls_country">Lookups!$I$171:$I$365</definedName>
    <definedName name="ls_country_data">Lookups!$G$130:$H$138</definedName>
    <definedName name="ls_freq">Lookups!$H$28:$H$31</definedName>
    <definedName name="ls_GWP">Factors!$H$16:$O$63</definedName>
    <definedName name="ls_int_metric">Lookups!$H$143:$H$148</definedName>
    <definedName name="ls_Mat">Factors!$H$952:$H$1023</definedName>
    <definedName name="ls_Mat_Cat">Lookups!$H$153:$H$163</definedName>
    <definedName name="ls_Mat_def">tbl_Mat_def[Material Subcategory]</definedName>
    <definedName name="ls_Month">Lookups!$I$12:$I$23</definedName>
    <definedName name="ls_Month_2">Lookups!$H$12:$H$23</definedName>
    <definedName name="ls_PIc1">Lookups!$H$67:$H$71</definedName>
    <definedName name="ls_PIc2">Lookups!$H$76:$H$80</definedName>
    <definedName name="ls_purchased_mat">Factors!$V$952:$V$1018</definedName>
    <definedName name="ls_scope3">Factors!$G$1075:$G$1087</definedName>
    <definedName name="ls_Subcat_options">Lookups!$N$85:$N$95</definedName>
    <definedName name="ls_Transport">Lookups!$H$36:$H$44</definedName>
    <definedName name="ls_Transport_GWP">Lookups!$J$36:$J$44</definedName>
    <definedName name="ls_UOM_vol">Lookups!$I$58:$I$62</definedName>
    <definedName name="ls_UOM_weight">Lookups!$I$49:$I$53</definedName>
    <definedName name="ls_vehicle_GWP">Factors!$G$1092:$G$1097</definedName>
    <definedName name="ls_weight_units">Lookups!$H$49:$I$53</definedName>
    <definedName name="ls_WHM">Lookups!$H$109:$H$116</definedName>
    <definedName name="ls_WHM_options">Lookups!$N$11:$N$81</definedName>
    <definedName name="ls_WHMB_options">Lookups!$N$98:$N$168</definedName>
    <definedName name="ls_YN">Lookups!$H$6:$H$7</definedName>
    <definedName name="_xlnm.Print_Area" localSheetId="2">Results!$A$2:$X$51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B7" i="34" l="1"/>
  <c r="H16" i="54"/>
  <c r="H17" i="54"/>
  <c r="H18" i="54"/>
  <c r="F15" i="54"/>
  <c r="F16" i="54"/>
  <c r="F17" i="54"/>
  <c r="F18" i="54"/>
  <c r="F14" i="54"/>
  <c r="C25" i="38"/>
  <c r="D25" i="38"/>
  <c r="G158" i="51"/>
  <c r="C33" i="63"/>
  <c r="CO17" i="28"/>
  <c r="CO18" i="28"/>
  <c r="CO19" i="28"/>
  <c r="CO20" i="28"/>
  <c r="CO21" i="28"/>
  <c r="CO22" i="28"/>
  <c r="CO23" i="28"/>
  <c r="CO24" i="28"/>
  <c r="CO25" i="28"/>
  <c r="CO26" i="28"/>
  <c r="CO27" i="28"/>
  <c r="CO28" i="28"/>
  <c r="CO29" i="28"/>
  <c r="CO30" i="28"/>
  <c r="CO31" i="28"/>
  <c r="CO32" i="28"/>
  <c r="CO33" i="28"/>
  <c r="CO34" i="28"/>
  <c r="CO35" i="28"/>
  <c r="CO36" i="28"/>
  <c r="CO37" i="28"/>
  <c r="CO38" i="28"/>
  <c r="CO39" i="28"/>
  <c r="CO40" i="28"/>
  <c r="CO41" i="28"/>
  <c r="CO42" i="28"/>
  <c r="CO43" i="28"/>
  <c r="CO44" i="28"/>
  <c r="CO45" i="28"/>
  <c r="CO46" i="28"/>
  <c r="CO47" i="28"/>
  <c r="CO48" i="28"/>
  <c r="CO49" i="28"/>
  <c r="CO50" i="28"/>
  <c r="CO51" i="28"/>
  <c r="CO52" i="28"/>
  <c r="CO53" i="28"/>
  <c r="CO54" i="28"/>
  <c r="CO55" i="28"/>
  <c r="CO56" i="28"/>
  <c r="CO57" i="28"/>
  <c r="CO58" i="28"/>
  <c r="CO59" i="28"/>
  <c r="CO60" i="28"/>
  <c r="CO61" i="28"/>
  <c r="CO62" i="28"/>
  <c r="CO63" i="28"/>
  <c r="CO64" i="28"/>
  <c r="CO65" i="28"/>
  <c r="CO66" i="28"/>
  <c r="CO67" i="28"/>
  <c r="CO68" i="28"/>
  <c r="CO69" i="28"/>
  <c r="CO70" i="28"/>
  <c r="CO71" i="28"/>
  <c r="CO72" i="28"/>
  <c r="CO73" i="28"/>
  <c r="CO74" i="28"/>
  <c r="CO75" i="28"/>
  <c r="CO76" i="28"/>
  <c r="CO77" i="28"/>
  <c r="CO78" i="28"/>
  <c r="CO79" i="28"/>
  <c r="CO80" i="28"/>
  <c r="CO81" i="28"/>
  <c r="CO82" i="28"/>
  <c r="CO83" i="28"/>
  <c r="CO84" i="28"/>
  <c r="CO85" i="28"/>
  <c r="CO86" i="28"/>
  <c r="CO87" i="28"/>
  <c r="CO88" i="28"/>
  <c r="CO89" i="28"/>
  <c r="CO90" i="28"/>
  <c r="CO91" i="28"/>
  <c r="CO92" i="28"/>
  <c r="CO93" i="28"/>
  <c r="CO94" i="28"/>
  <c r="CO95" i="28"/>
  <c r="CO96" i="28"/>
  <c r="CO97" i="28"/>
  <c r="CO98" i="28"/>
  <c r="CO99" i="28"/>
  <c r="CO100" i="28"/>
  <c r="CO101" i="28"/>
  <c r="CO102" i="28"/>
  <c r="CO103" i="28"/>
  <c r="CO104" i="28"/>
  <c r="CO105" i="28"/>
  <c r="CO106" i="28"/>
  <c r="CO107" i="28"/>
  <c r="CO108" i="28"/>
  <c r="CO109" i="28"/>
  <c r="CO110" i="28"/>
  <c r="CO111" i="28"/>
  <c r="CO112" i="28"/>
  <c r="CO113" i="28"/>
  <c r="G272" i="22"/>
  <c r="A1" i="39"/>
  <c r="S20" i="62"/>
  <c r="R20" i="62"/>
  <c r="Q20" i="62"/>
  <c r="P20" i="62"/>
  <c r="O20" i="62"/>
  <c r="N20" i="62"/>
  <c r="M20" i="62"/>
  <c r="L20" i="62"/>
  <c r="K20" i="62"/>
  <c r="J20" i="62"/>
  <c r="I20" i="62"/>
  <c r="H20" i="62"/>
  <c r="S12" i="28"/>
  <c r="R12" i="28"/>
  <c r="Q12" i="28"/>
  <c r="P12" i="28"/>
  <c r="O12" i="28"/>
  <c r="N12" i="28"/>
  <c r="M12" i="28"/>
  <c r="L12" i="28"/>
  <c r="K12" i="28"/>
  <c r="J12" i="28"/>
  <c r="I12" i="28"/>
  <c r="H12" i="28"/>
  <c r="C7" i="54"/>
  <c r="B7" i="54"/>
  <c r="C7" i="39"/>
  <c r="B7" i="39"/>
  <c r="C7" i="38"/>
  <c r="B7" i="38"/>
  <c r="C7" i="34"/>
  <c r="C7" i="63"/>
  <c r="B7" i="63"/>
  <c r="A1" i="58"/>
  <c r="A1" i="59"/>
  <c r="A1" i="65"/>
  <c r="A1" i="54"/>
  <c r="A1" i="38"/>
  <c r="A1" i="34"/>
  <c r="A1" i="63"/>
  <c r="A1" i="62"/>
  <c r="A1" i="28"/>
  <c r="A1" i="37"/>
  <c r="A1" i="51"/>
  <c r="C35" i="38"/>
  <c r="S16" i="38"/>
  <c r="R16" i="38"/>
  <c r="Q16" i="38"/>
  <c r="P16" i="38"/>
  <c r="O16" i="38"/>
  <c r="N16" i="38"/>
  <c r="M16" i="38"/>
  <c r="L16" i="38"/>
  <c r="K16" i="38"/>
  <c r="J16" i="38"/>
  <c r="H16" i="38"/>
  <c r="I16" i="38"/>
  <c r="C17" i="62"/>
  <c r="C7" i="62"/>
  <c r="B7" i="62"/>
  <c r="F289" i="22" a="1"/>
  <c r="F165" i="22" a="1"/>
  <c r="DE15" i="34"/>
  <c r="DE16" i="34"/>
  <c r="DE17" i="34"/>
  <c r="DE18" i="34"/>
  <c r="DE19" i="34"/>
  <c r="DE20" i="34"/>
  <c r="DE21" i="34"/>
  <c r="C16" i="62"/>
  <c r="C15" i="62"/>
  <c r="DA2" i="39"/>
  <c r="DG114" i="39"/>
  <c r="DE114" i="39"/>
  <c r="DG113" i="39"/>
  <c r="DE113" i="39"/>
  <c r="DG112" i="39"/>
  <c r="DE112" i="39"/>
  <c r="DG111" i="39"/>
  <c r="DE111" i="39"/>
  <c r="DF111" i="39" s="1"/>
  <c r="DD111" i="39"/>
  <c r="DG110" i="39"/>
  <c r="DE110" i="39"/>
  <c r="DG109" i="39"/>
  <c r="DE109" i="39"/>
  <c r="DG108" i="39"/>
  <c r="DE108" i="39"/>
  <c r="DG107" i="39"/>
  <c r="DE107" i="39"/>
  <c r="DG106" i="39"/>
  <c r="DE106" i="39"/>
  <c r="DF106" i="39" s="1"/>
  <c r="DD106" i="39"/>
  <c r="DG105" i="39"/>
  <c r="DE105" i="39"/>
  <c r="DF105" i="39" s="1"/>
  <c r="DD105" i="39"/>
  <c r="DG104" i="39"/>
  <c r="DE104" i="39"/>
  <c r="DG103" i="39"/>
  <c r="DE103" i="39"/>
  <c r="DG102" i="39"/>
  <c r="DE102" i="39"/>
  <c r="DG101" i="39"/>
  <c r="DE101" i="39"/>
  <c r="DG100" i="39"/>
  <c r="DE100" i="39"/>
  <c r="DF100" i="39" s="1"/>
  <c r="DD100" i="39"/>
  <c r="DG99" i="39"/>
  <c r="DE99" i="39"/>
  <c r="DG98" i="39"/>
  <c r="DE98" i="39"/>
  <c r="DG97" i="39"/>
  <c r="DE97" i="39"/>
  <c r="DG96" i="39"/>
  <c r="DE96" i="39"/>
  <c r="DG95" i="39"/>
  <c r="DE95" i="39"/>
  <c r="DG94" i="39"/>
  <c r="DE94" i="39"/>
  <c r="DG93" i="39"/>
  <c r="DE93" i="39"/>
  <c r="DG92" i="39"/>
  <c r="DE92" i="39"/>
  <c r="DG91" i="39"/>
  <c r="DE91" i="39"/>
  <c r="DG90" i="39"/>
  <c r="DE90" i="39"/>
  <c r="DF90" i="39" s="1"/>
  <c r="DD90" i="39"/>
  <c r="DG89" i="39"/>
  <c r="DE89" i="39"/>
  <c r="DG88" i="39"/>
  <c r="DE88" i="39"/>
  <c r="DG87" i="39"/>
  <c r="DE87" i="39"/>
  <c r="DG86" i="39"/>
  <c r="DE86" i="39"/>
  <c r="DG85" i="39"/>
  <c r="DE85" i="39"/>
  <c r="DG84" i="39"/>
  <c r="DE84" i="39"/>
  <c r="DG83" i="39"/>
  <c r="DE83" i="39"/>
  <c r="DG82" i="39"/>
  <c r="DE82" i="39"/>
  <c r="DG81" i="39"/>
  <c r="DE81" i="39"/>
  <c r="DG80" i="39"/>
  <c r="DE80" i="39"/>
  <c r="DG79" i="39"/>
  <c r="DE79" i="39"/>
  <c r="DG78" i="39"/>
  <c r="DE78" i="39"/>
  <c r="DG77" i="39"/>
  <c r="DE77" i="39"/>
  <c r="DG76" i="39"/>
  <c r="DE76" i="39"/>
  <c r="DG75" i="39"/>
  <c r="DE75" i="39"/>
  <c r="DG74" i="39"/>
  <c r="DE74" i="39"/>
  <c r="DG73" i="39"/>
  <c r="DE73" i="39"/>
  <c r="DF73" i="39" s="1"/>
  <c r="DD73" i="39"/>
  <c r="DG72" i="39"/>
  <c r="DE72" i="39"/>
  <c r="DF72" i="39" s="1"/>
  <c r="DD72" i="39"/>
  <c r="DG71" i="39"/>
  <c r="DE71" i="39"/>
  <c r="DF71" i="39" s="1"/>
  <c r="DD71" i="39"/>
  <c r="DG70" i="39"/>
  <c r="DE70" i="39"/>
  <c r="DG69" i="39"/>
  <c r="DE69" i="39"/>
  <c r="DF69" i="39" s="1"/>
  <c r="DD69" i="39"/>
  <c r="DG68" i="39"/>
  <c r="DE68" i="39"/>
  <c r="DG67" i="39"/>
  <c r="DE67" i="39"/>
  <c r="DG66" i="39"/>
  <c r="DE66" i="39"/>
  <c r="DF66" i="39" s="1"/>
  <c r="DD66" i="39"/>
  <c r="DG65" i="39"/>
  <c r="DE65" i="39"/>
  <c r="DG64" i="39"/>
  <c r="DE64" i="39"/>
  <c r="DF64" i="39" s="1"/>
  <c r="DD64" i="39"/>
  <c r="DG63" i="39"/>
  <c r="DE63" i="39"/>
  <c r="DG62" i="39"/>
  <c r="DE62" i="39"/>
  <c r="DG61" i="39"/>
  <c r="DE61" i="39"/>
  <c r="DG60" i="39"/>
  <c r="DE60" i="39"/>
  <c r="DF60" i="39" s="1"/>
  <c r="DD60" i="39"/>
  <c r="DG59" i="39"/>
  <c r="DE59" i="39"/>
  <c r="DG58" i="39"/>
  <c r="DE58" i="39"/>
  <c r="DF58" i="39" s="1"/>
  <c r="DD58" i="39"/>
  <c r="DG57" i="39"/>
  <c r="DE57" i="39"/>
  <c r="DG56" i="39"/>
  <c r="DE56" i="39"/>
  <c r="DF56" i="39" s="1"/>
  <c r="DD56" i="39"/>
  <c r="DG55" i="39"/>
  <c r="DE55" i="39"/>
  <c r="DG54" i="39"/>
  <c r="DE54" i="39"/>
  <c r="DG53" i="39"/>
  <c r="DE53" i="39"/>
  <c r="DF53" i="39" s="1"/>
  <c r="DD53" i="39"/>
  <c r="DG52" i="39"/>
  <c r="DE52" i="39"/>
  <c r="DG51" i="39"/>
  <c r="DE51" i="39"/>
  <c r="DG50" i="39"/>
  <c r="DE50" i="39"/>
  <c r="DG49" i="39"/>
  <c r="DE49" i="39"/>
  <c r="DG48" i="39"/>
  <c r="DE48" i="39"/>
  <c r="DG47" i="39"/>
  <c r="DE47" i="39"/>
  <c r="DG46" i="39"/>
  <c r="DE46" i="39"/>
  <c r="DG45" i="39"/>
  <c r="DE45" i="39"/>
  <c r="DG44" i="39"/>
  <c r="DE44" i="39"/>
  <c r="DF44" i="39" s="1"/>
  <c r="DD44" i="39"/>
  <c r="DG43" i="39"/>
  <c r="DE43" i="39"/>
  <c r="DF43" i="39" s="1"/>
  <c r="DD43" i="39"/>
  <c r="DG42" i="39"/>
  <c r="DE42" i="39"/>
  <c r="DG41" i="39"/>
  <c r="DE41" i="39"/>
  <c r="DG40" i="39"/>
  <c r="DE40" i="39"/>
  <c r="DF40" i="39" s="1"/>
  <c r="DD40" i="39"/>
  <c r="DG39" i="39"/>
  <c r="DE39" i="39"/>
  <c r="DG38" i="39"/>
  <c r="DE38" i="39"/>
  <c r="DF38" i="39" s="1"/>
  <c r="DD38" i="39"/>
  <c r="DG37" i="39"/>
  <c r="DE37" i="39"/>
  <c r="DF37" i="39" s="1"/>
  <c r="DD37" i="39"/>
  <c r="DG36" i="39"/>
  <c r="DE36" i="39"/>
  <c r="DF36" i="39" s="1"/>
  <c r="DG35" i="39"/>
  <c r="DE35" i="39"/>
  <c r="DF35" i="39" s="1"/>
  <c r="DD35" i="39" s="1"/>
  <c r="DG34" i="39"/>
  <c r="DE34" i="39"/>
  <c r="DF34" i="39" s="1"/>
  <c r="DD34" i="39" s="1"/>
  <c r="DG33" i="39"/>
  <c r="DE33" i="39"/>
  <c r="DF33" i="39" s="1"/>
  <c r="DD33" i="39" s="1"/>
  <c r="DG32" i="39"/>
  <c r="DE32" i="39"/>
  <c r="DF32" i="39" s="1"/>
  <c r="DD32" i="39" s="1"/>
  <c r="DG31" i="39"/>
  <c r="DE31" i="39"/>
  <c r="DF31" i="39" s="1"/>
  <c r="DD31" i="39" s="1"/>
  <c r="DG30" i="39"/>
  <c r="DE30" i="39"/>
  <c r="DG29" i="39"/>
  <c r="DE29" i="39"/>
  <c r="DG28" i="39"/>
  <c r="DE28" i="39"/>
  <c r="DF28" i="39" s="1"/>
  <c r="DD28" i="39" s="1"/>
  <c r="DG27" i="39"/>
  <c r="DE27" i="39"/>
  <c r="DF27" i="39" s="1"/>
  <c r="DD27" i="39" s="1"/>
  <c r="DG26" i="39"/>
  <c r="DE26" i="39"/>
  <c r="DF26" i="39" s="1"/>
  <c r="DD26" i="39" s="1"/>
  <c r="DG25" i="39"/>
  <c r="DE25" i="39"/>
  <c r="DF25" i="39" s="1"/>
  <c r="DD25" i="39" s="1"/>
  <c r="DG24" i="39"/>
  <c r="DE24" i="39"/>
  <c r="DF24" i="39" s="1"/>
  <c r="DD24" i="39" s="1"/>
  <c r="DG23" i="39"/>
  <c r="DE23" i="39"/>
  <c r="DF23" i="39" s="1"/>
  <c r="DD23" i="39" s="1"/>
  <c r="DG22" i="39"/>
  <c r="DE22" i="39"/>
  <c r="DF22" i="39" s="1"/>
  <c r="DD22" i="39" s="1"/>
  <c r="DG21" i="39"/>
  <c r="DE21" i="39"/>
  <c r="DF21" i="39" s="1"/>
  <c r="DD21" i="39" s="1"/>
  <c r="DG20" i="39"/>
  <c r="DE20" i="39"/>
  <c r="DF20" i="39" s="1"/>
  <c r="DD20" i="39" s="1"/>
  <c r="DG19" i="39"/>
  <c r="DE19" i="39"/>
  <c r="DF19" i="39" s="1"/>
  <c r="DD19" i="39" s="1"/>
  <c r="DG18" i="39"/>
  <c r="DE18" i="39"/>
  <c r="DF18" i="39" s="1"/>
  <c r="DD18" i="39" s="1"/>
  <c r="DG17" i="39"/>
  <c r="DE17" i="39"/>
  <c r="DF17" i="39" s="1"/>
  <c r="DD17" i="39" s="1"/>
  <c r="DG16" i="39"/>
  <c r="DE16" i="39"/>
  <c r="DG15" i="39"/>
  <c r="DE15" i="39"/>
  <c r="DG117" i="38"/>
  <c r="DG116" i="38"/>
  <c r="DG115" i="38"/>
  <c r="DG114" i="38"/>
  <c r="DG113" i="38"/>
  <c r="DG112" i="38"/>
  <c r="DG111" i="38"/>
  <c r="DG110" i="38"/>
  <c r="DG109" i="38"/>
  <c r="DG108" i="38"/>
  <c r="DG107" i="38"/>
  <c r="DG106" i="38"/>
  <c r="DG105" i="38"/>
  <c r="DG104" i="38"/>
  <c r="DG103" i="38"/>
  <c r="DG102" i="38"/>
  <c r="DG101" i="38"/>
  <c r="DG100" i="38"/>
  <c r="DG99" i="38"/>
  <c r="DG98" i="38"/>
  <c r="DG97" i="38"/>
  <c r="DG96" i="38"/>
  <c r="DG95" i="38"/>
  <c r="DG94" i="38"/>
  <c r="DG93" i="38"/>
  <c r="DG92" i="38"/>
  <c r="DG91" i="38"/>
  <c r="DG90" i="38"/>
  <c r="DG89" i="38"/>
  <c r="DG88" i="38"/>
  <c r="DG87" i="38"/>
  <c r="DG86" i="38"/>
  <c r="DG85" i="38"/>
  <c r="DG84" i="38"/>
  <c r="DG83" i="38"/>
  <c r="DG82" i="38"/>
  <c r="DG81" i="38"/>
  <c r="DG80" i="38"/>
  <c r="DG79" i="38"/>
  <c r="DG78" i="38"/>
  <c r="DG77" i="38"/>
  <c r="DG76" i="38"/>
  <c r="DG75" i="38"/>
  <c r="DG74" i="38"/>
  <c r="DG73" i="38"/>
  <c r="DG72" i="38"/>
  <c r="DG71" i="38"/>
  <c r="DG70" i="38"/>
  <c r="DG69" i="38"/>
  <c r="DG68" i="38"/>
  <c r="DG67" i="38"/>
  <c r="DG66" i="38"/>
  <c r="DG65" i="38"/>
  <c r="DG64" i="38"/>
  <c r="DG63" i="38"/>
  <c r="DG62" i="38"/>
  <c r="DG61" i="38"/>
  <c r="DG60" i="38"/>
  <c r="DG59" i="38"/>
  <c r="DG58" i="38"/>
  <c r="DG57" i="38"/>
  <c r="DG56" i="38"/>
  <c r="DG55" i="38"/>
  <c r="DG54" i="38"/>
  <c r="DG53" i="38"/>
  <c r="DG52" i="38"/>
  <c r="DG51" i="38"/>
  <c r="DG50" i="38"/>
  <c r="DG49" i="38"/>
  <c r="DG48" i="38"/>
  <c r="DG47" i="38"/>
  <c r="DG46" i="38"/>
  <c r="DG45" i="38"/>
  <c r="DG44" i="38"/>
  <c r="DG43" i="38"/>
  <c r="DG42" i="38"/>
  <c r="DG41" i="38"/>
  <c r="DG40" i="38"/>
  <c r="DG39" i="38"/>
  <c r="DG38" i="38"/>
  <c r="DG37" i="38"/>
  <c r="DG36" i="38"/>
  <c r="DG35" i="38"/>
  <c r="DG34" i="38"/>
  <c r="DG33" i="38"/>
  <c r="DG32" i="38"/>
  <c r="DG31" i="38"/>
  <c r="DG30" i="38"/>
  <c r="DG29" i="38"/>
  <c r="DG28" i="38"/>
  <c r="DG27" i="38"/>
  <c r="DG26" i="38"/>
  <c r="DG25" i="38"/>
  <c r="DG24" i="38"/>
  <c r="DG23" i="38"/>
  <c r="DG22" i="38"/>
  <c r="DG21" i="38"/>
  <c r="DG20" i="38"/>
  <c r="DG19" i="38"/>
  <c r="DG18" i="38"/>
  <c r="DF71" i="34"/>
  <c r="DE71" i="34"/>
  <c r="DF70" i="34"/>
  <c r="DE70" i="34"/>
  <c r="DF69" i="34"/>
  <c r="DE69" i="34"/>
  <c r="DF68" i="34"/>
  <c r="DE68" i="34"/>
  <c r="DF67" i="34"/>
  <c r="DE67" i="34"/>
  <c r="DG67" i="34" s="1"/>
  <c r="DF66" i="34"/>
  <c r="DE66" i="34"/>
  <c r="DG66" i="34" s="1"/>
  <c r="DD66" i="34"/>
  <c r="A66" i="34" s="1"/>
  <c r="DF65" i="34"/>
  <c r="DE65" i="34"/>
  <c r="DF64" i="34"/>
  <c r="DE64" i="34"/>
  <c r="DF63" i="34"/>
  <c r="DE63" i="34"/>
  <c r="DF62" i="34"/>
  <c r="DE62" i="34"/>
  <c r="DF61" i="34"/>
  <c r="DE61" i="34"/>
  <c r="DF60" i="34"/>
  <c r="DE60" i="34"/>
  <c r="DG60" i="34" s="1"/>
  <c r="DD60" i="34"/>
  <c r="A60" i="34" s="1"/>
  <c r="DF59" i="34"/>
  <c r="DE59" i="34"/>
  <c r="DG59" i="34" s="1"/>
  <c r="DF58" i="34"/>
  <c r="DE58" i="34"/>
  <c r="DF57" i="34"/>
  <c r="DE57" i="34"/>
  <c r="DF56" i="34"/>
  <c r="DE56" i="34"/>
  <c r="DF55" i="34"/>
  <c r="DE55" i="34"/>
  <c r="DF54" i="34"/>
  <c r="DE54" i="34"/>
  <c r="DF53" i="34"/>
  <c r="DE53" i="34"/>
  <c r="DF52" i="34"/>
  <c r="DE52" i="34"/>
  <c r="DG52" i="34" s="1"/>
  <c r="DF51" i="34"/>
  <c r="DE51" i="34"/>
  <c r="DG51" i="34" s="1"/>
  <c r="DF50" i="34"/>
  <c r="DE50" i="34"/>
  <c r="DG50" i="34" s="1"/>
  <c r="DF49" i="34"/>
  <c r="DD49" i="34" s="1"/>
  <c r="A49" i="34" s="1"/>
  <c r="DE49" i="34"/>
  <c r="DG49" i="34" s="1"/>
  <c r="DF48" i="34"/>
  <c r="DD48" i="34" s="1"/>
  <c r="A48" i="34" s="1"/>
  <c r="DE48" i="34"/>
  <c r="DG48" i="34" s="1"/>
  <c r="DF47" i="34"/>
  <c r="DE47" i="34"/>
  <c r="DG47" i="34" s="1"/>
  <c r="DF46" i="34"/>
  <c r="DE46" i="34"/>
  <c r="DF45" i="34"/>
  <c r="DE45" i="34"/>
  <c r="DF44" i="34"/>
  <c r="DD44" i="34" s="1"/>
  <c r="A44" i="34" s="1"/>
  <c r="DE44" i="34"/>
  <c r="DG44" i="34" s="1"/>
  <c r="DF43" i="34"/>
  <c r="DE43" i="34"/>
  <c r="DG43" i="34" s="1"/>
  <c r="DF42" i="34"/>
  <c r="DD42" i="34" s="1"/>
  <c r="A42" i="34" s="1"/>
  <c r="DE42" i="34"/>
  <c r="DG42" i="34" s="1"/>
  <c r="DF41" i="34"/>
  <c r="DE41" i="34"/>
  <c r="DF40" i="34"/>
  <c r="DE40" i="34"/>
  <c r="DF39" i="34"/>
  <c r="DE39" i="34"/>
  <c r="DF38" i="34"/>
  <c r="DE38" i="34"/>
  <c r="DF37" i="34"/>
  <c r="DE37" i="34"/>
  <c r="DF26" i="34"/>
  <c r="DF25" i="34"/>
  <c r="DF24" i="34"/>
  <c r="DF23" i="34"/>
  <c r="DF22" i="34"/>
  <c r="DF21" i="34"/>
  <c r="DF20" i="34"/>
  <c r="DF19" i="34"/>
  <c r="DF18" i="34"/>
  <c r="DF17" i="34"/>
  <c r="DF16" i="34"/>
  <c r="DF15" i="34"/>
  <c r="DF14" i="34"/>
  <c r="DE26" i="34"/>
  <c r="DE25" i="34"/>
  <c r="DE24" i="34"/>
  <c r="DE23" i="34"/>
  <c r="DE22" i="34"/>
  <c r="DE14" i="34"/>
  <c r="DG32" i="63"/>
  <c r="DG31" i="63"/>
  <c r="DG30" i="63"/>
  <c r="DG29" i="63"/>
  <c r="DG28" i="63"/>
  <c r="DG27" i="63"/>
  <c r="DG26" i="63"/>
  <c r="DG25" i="63"/>
  <c r="DG24" i="63"/>
  <c r="DG23" i="63"/>
  <c r="DG22" i="63"/>
  <c r="DG21" i="63"/>
  <c r="DG20" i="63"/>
  <c r="DG19" i="63"/>
  <c r="DG18" i="63"/>
  <c r="DG17" i="63"/>
  <c r="DG16" i="63"/>
  <c r="DG15" i="63"/>
  <c r="DG14" i="63"/>
  <c r="DG13" i="63"/>
  <c r="DF32" i="63"/>
  <c r="DE32" i="63"/>
  <c r="DF31" i="63"/>
  <c r="DE31" i="63"/>
  <c r="DF30" i="63"/>
  <c r="DE30" i="63"/>
  <c r="DF29" i="63"/>
  <c r="DE29" i="63"/>
  <c r="DF28" i="63"/>
  <c r="DE28" i="63"/>
  <c r="DF27" i="63"/>
  <c r="DE27" i="63"/>
  <c r="DF26" i="63"/>
  <c r="DE26" i="63"/>
  <c r="DF25" i="63"/>
  <c r="DE25" i="63"/>
  <c r="DF24" i="63"/>
  <c r="DE24" i="63"/>
  <c r="DF23" i="63"/>
  <c r="DE23" i="63"/>
  <c r="DF22" i="63"/>
  <c r="DE22" i="63"/>
  <c r="DF21" i="63"/>
  <c r="DE21" i="63"/>
  <c r="DF20" i="63"/>
  <c r="DE20" i="63"/>
  <c r="DF19" i="63"/>
  <c r="DE19" i="63"/>
  <c r="DF18" i="63"/>
  <c r="DE18" i="63"/>
  <c r="DF17" i="63"/>
  <c r="DE17" i="63"/>
  <c r="DF16" i="63"/>
  <c r="DE16" i="63"/>
  <c r="DF15" i="63"/>
  <c r="DE15" i="63"/>
  <c r="DF14" i="63"/>
  <c r="DE14" i="63"/>
  <c r="DF13" i="63"/>
  <c r="DE13" i="63"/>
  <c r="DF121" i="62"/>
  <c r="DF120" i="62"/>
  <c r="DF119" i="62"/>
  <c r="DF118" i="62"/>
  <c r="DF117" i="62"/>
  <c r="DF116" i="62"/>
  <c r="DF115" i="62"/>
  <c r="DF114" i="62"/>
  <c r="DF113" i="62"/>
  <c r="DF112" i="62"/>
  <c r="DF111" i="62"/>
  <c r="DF110" i="62"/>
  <c r="DF109" i="62"/>
  <c r="DF108" i="62"/>
  <c r="DF107" i="62"/>
  <c r="DF106" i="62"/>
  <c r="DF105" i="62"/>
  <c r="DF104" i="62"/>
  <c r="DF103" i="62"/>
  <c r="DF102" i="62"/>
  <c r="DF101" i="62"/>
  <c r="DF100" i="62"/>
  <c r="DF99" i="62"/>
  <c r="DF98" i="62"/>
  <c r="DF97" i="62"/>
  <c r="DF96" i="62"/>
  <c r="DF95" i="62"/>
  <c r="DF94" i="62"/>
  <c r="DF93" i="62"/>
  <c r="DF92" i="62"/>
  <c r="DF91" i="62"/>
  <c r="DF90" i="62"/>
  <c r="DF89" i="62"/>
  <c r="DF88" i="62"/>
  <c r="DF87" i="62"/>
  <c r="DF86" i="62"/>
  <c r="DF85" i="62"/>
  <c r="DF84" i="62"/>
  <c r="DF83" i="62"/>
  <c r="DF82" i="62"/>
  <c r="DF81" i="62"/>
  <c r="DF80" i="62"/>
  <c r="DF79" i="62"/>
  <c r="DF78" i="62"/>
  <c r="DF77" i="62"/>
  <c r="DF76" i="62"/>
  <c r="DF75" i="62"/>
  <c r="DF74" i="62"/>
  <c r="DF73" i="62"/>
  <c r="DF72" i="62"/>
  <c r="DF71" i="62"/>
  <c r="DF70" i="62"/>
  <c r="DF69" i="62"/>
  <c r="DF68" i="62"/>
  <c r="DF67" i="62"/>
  <c r="DF66" i="62"/>
  <c r="DF65" i="62"/>
  <c r="DF64" i="62"/>
  <c r="DF63" i="62"/>
  <c r="DF62" i="62"/>
  <c r="DF61" i="62"/>
  <c r="DF60" i="62"/>
  <c r="DF59" i="62"/>
  <c r="DF58" i="62"/>
  <c r="DF57" i="62"/>
  <c r="DF56" i="62"/>
  <c r="DF55" i="62"/>
  <c r="DF54" i="62"/>
  <c r="DF53" i="62"/>
  <c r="DF52" i="62"/>
  <c r="DF51" i="62"/>
  <c r="DF50" i="62"/>
  <c r="DF49" i="62"/>
  <c r="DF48" i="62"/>
  <c r="DF47" i="62"/>
  <c r="DF46" i="62"/>
  <c r="DF45" i="62"/>
  <c r="DF44" i="62"/>
  <c r="DF43" i="62"/>
  <c r="DF42" i="62"/>
  <c r="DF41" i="62"/>
  <c r="DF40" i="62"/>
  <c r="DF39" i="62"/>
  <c r="DF38" i="62"/>
  <c r="DF37" i="62"/>
  <c r="DF36" i="62"/>
  <c r="DF35" i="62"/>
  <c r="DF34" i="62"/>
  <c r="DF33" i="62"/>
  <c r="DF32" i="62"/>
  <c r="DF31" i="62"/>
  <c r="DF30" i="62"/>
  <c r="DF29" i="62"/>
  <c r="DF28" i="62"/>
  <c r="DF27" i="62"/>
  <c r="DF26" i="62"/>
  <c r="DF25" i="62"/>
  <c r="DF24" i="62"/>
  <c r="DF23" i="62"/>
  <c r="DF22" i="62"/>
  <c r="DF113" i="28"/>
  <c r="DF112" i="28"/>
  <c r="DF111" i="28"/>
  <c r="DF110" i="28"/>
  <c r="DF109" i="28"/>
  <c r="DF108" i="28"/>
  <c r="DF107" i="28"/>
  <c r="DF106" i="28"/>
  <c r="DF105" i="28"/>
  <c r="DF104" i="28"/>
  <c r="DF103" i="28"/>
  <c r="DF102" i="28"/>
  <c r="DF101" i="28"/>
  <c r="DF100" i="28"/>
  <c r="DF99" i="28"/>
  <c r="DF98" i="28"/>
  <c r="DF97" i="28"/>
  <c r="DF96" i="28"/>
  <c r="DF95" i="28"/>
  <c r="DF94" i="28"/>
  <c r="DF93" i="28"/>
  <c r="DF92" i="28"/>
  <c r="DF91" i="28"/>
  <c r="DF90" i="28"/>
  <c r="DF89" i="28"/>
  <c r="DF88" i="28"/>
  <c r="DF87" i="28"/>
  <c r="DF86" i="28"/>
  <c r="DF85" i="28"/>
  <c r="DF84" i="28"/>
  <c r="DF83" i="28"/>
  <c r="DF82" i="28"/>
  <c r="DF81" i="28"/>
  <c r="DF80" i="28"/>
  <c r="DF79" i="28"/>
  <c r="DF78" i="28"/>
  <c r="DF77" i="28"/>
  <c r="DF76" i="28"/>
  <c r="DF75" i="28"/>
  <c r="DF74" i="28"/>
  <c r="DF73" i="28"/>
  <c r="DF72" i="28"/>
  <c r="DF71" i="28"/>
  <c r="DF70" i="28"/>
  <c r="DF69" i="28"/>
  <c r="DF68" i="28"/>
  <c r="DF67" i="28"/>
  <c r="DF66" i="28"/>
  <c r="DF65" i="28"/>
  <c r="DF64" i="28"/>
  <c r="DF63" i="28"/>
  <c r="DF62" i="28"/>
  <c r="DF61" i="28"/>
  <c r="DF60" i="28"/>
  <c r="DF59" i="28"/>
  <c r="DF58" i="28"/>
  <c r="DF57" i="28"/>
  <c r="DF56" i="28"/>
  <c r="DF55" i="28"/>
  <c r="DF54" i="28"/>
  <c r="DF53" i="28"/>
  <c r="DF52" i="28"/>
  <c r="DF51" i="28"/>
  <c r="DF50" i="28"/>
  <c r="DF49" i="28"/>
  <c r="DF48" i="28"/>
  <c r="DF47" i="28"/>
  <c r="DF46" i="28"/>
  <c r="DF45" i="28"/>
  <c r="DF44" i="28"/>
  <c r="DF43" i="28"/>
  <c r="DF42" i="28"/>
  <c r="DF41" i="28"/>
  <c r="DF40" i="28"/>
  <c r="DF39" i="28"/>
  <c r="DF38" i="28"/>
  <c r="DF37" i="28"/>
  <c r="DF36" i="28"/>
  <c r="DF35" i="28"/>
  <c r="DF34" i="28"/>
  <c r="DF33" i="28"/>
  <c r="DF32" i="28"/>
  <c r="DF31" i="28"/>
  <c r="DF30" i="28"/>
  <c r="DF29" i="28"/>
  <c r="DF28" i="28"/>
  <c r="DF27" i="28"/>
  <c r="DF26" i="28"/>
  <c r="DF25" i="28"/>
  <c r="DF24" i="28"/>
  <c r="DF23" i="28"/>
  <c r="DF22" i="28"/>
  <c r="DF21" i="28"/>
  <c r="DF20" i="28"/>
  <c r="DF19" i="28"/>
  <c r="DF18" i="28"/>
  <c r="DF17" i="28"/>
  <c r="DF16" i="28"/>
  <c r="DF15" i="28"/>
  <c r="DF14" i="28"/>
  <c r="DF62" i="37"/>
  <c r="DE62" i="37"/>
  <c r="DD62" i="37" s="1"/>
  <c r="A62" i="37" s="1"/>
  <c r="DF61" i="37"/>
  <c r="DE61" i="37"/>
  <c r="DF60" i="37"/>
  <c r="DE60" i="37"/>
  <c r="DF59" i="37"/>
  <c r="DE59" i="37"/>
  <c r="DF58" i="37"/>
  <c r="DE58" i="37"/>
  <c r="DD58" i="37" s="1"/>
  <c r="A58" i="37" s="1"/>
  <c r="DF57" i="37"/>
  <c r="DE57" i="37"/>
  <c r="DD57" i="37" s="1"/>
  <c r="A57" i="37" s="1"/>
  <c r="DF56" i="37"/>
  <c r="DE56" i="37"/>
  <c r="DD56" i="37" s="1"/>
  <c r="A56" i="37" s="1"/>
  <c r="DF55" i="37"/>
  <c r="DE55" i="37"/>
  <c r="DD55" i="37" s="1"/>
  <c r="A55" i="37" s="1"/>
  <c r="DF54" i="37"/>
  <c r="DE54" i="37"/>
  <c r="DD54" i="37" s="1"/>
  <c r="A54" i="37" s="1"/>
  <c r="DF53" i="37"/>
  <c r="DE53" i="37"/>
  <c r="DD53" i="37" s="1"/>
  <c r="A53" i="37" s="1"/>
  <c r="DF52" i="37"/>
  <c r="DE52" i="37"/>
  <c r="DD52" i="37" s="1"/>
  <c r="A52" i="37" s="1"/>
  <c r="DF51" i="37"/>
  <c r="DE51" i="37"/>
  <c r="DD51" i="37" s="1"/>
  <c r="A51" i="37" s="1"/>
  <c r="DF50" i="37"/>
  <c r="DE50" i="37"/>
  <c r="DF49" i="37"/>
  <c r="DE49" i="37"/>
  <c r="DF48" i="37"/>
  <c r="DE48" i="37"/>
  <c r="D33" i="63"/>
  <c r="BG121" i="62"/>
  <c r="BF121" i="62"/>
  <c r="BE121" i="62"/>
  <c r="BD121" i="62"/>
  <c r="BC121" i="62"/>
  <c r="BG120" i="62"/>
  <c r="BF120" i="62"/>
  <c r="BE120" i="62"/>
  <c r="BD120" i="62"/>
  <c r="BC120" i="62"/>
  <c r="BG119" i="62"/>
  <c r="BF119" i="62"/>
  <c r="BE119" i="62"/>
  <c r="BD119" i="62"/>
  <c r="BC119" i="62"/>
  <c r="BG118" i="62"/>
  <c r="BF118" i="62"/>
  <c r="BE118" i="62"/>
  <c r="BD118" i="62"/>
  <c r="BC118" i="62"/>
  <c r="BG117" i="62"/>
  <c r="BF117" i="62"/>
  <c r="BE117" i="62"/>
  <c r="BD117" i="62"/>
  <c r="BC117" i="62"/>
  <c r="BG116" i="62"/>
  <c r="BF116" i="62"/>
  <c r="BE116" i="62"/>
  <c r="BD116" i="62"/>
  <c r="BC116" i="62"/>
  <c r="BG115" i="62"/>
  <c r="BF115" i="62"/>
  <c r="BE115" i="62"/>
  <c r="BD115" i="62"/>
  <c r="BC115" i="62"/>
  <c r="BG114" i="62"/>
  <c r="BF114" i="62"/>
  <c r="BE114" i="62"/>
  <c r="BD114" i="62"/>
  <c r="BC114" i="62"/>
  <c r="BG113" i="62"/>
  <c r="BF113" i="62"/>
  <c r="BE113" i="62"/>
  <c r="BD113" i="62"/>
  <c r="BC113" i="62"/>
  <c r="BG112" i="62"/>
  <c r="BF112" i="62"/>
  <c r="BE112" i="62"/>
  <c r="BD112" i="62"/>
  <c r="BC112" i="62"/>
  <c r="BG111" i="62"/>
  <c r="BF111" i="62"/>
  <c r="BE111" i="62"/>
  <c r="BD111" i="62"/>
  <c r="BC111" i="62"/>
  <c r="BG110" i="62"/>
  <c r="BF110" i="62"/>
  <c r="BE110" i="62"/>
  <c r="BD110" i="62"/>
  <c r="BC110" i="62"/>
  <c r="BG109" i="62"/>
  <c r="BF109" i="62"/>
  <c r="BE109" i="62"/>
  <c r="BD109" i="62"/>
  <c r="BC109" i="62"/>
  <c r="BG108" i="62"/>
  <c r="BF108" i="62"/>
  <c r="BE108" i="62"/>
  <c r="BD108" i="62"/>
  <c r="BC108" i="62"/>
  <c r="BG107" i="62"/>
  <c r="BF107" i="62"/>
  <c r="BE107" i="62"/>
  <c r="BD107" i="62"/>
  <c r="BC107" i="62"/>
  <c r="BG106" i="62"/>
  <c r="BF106" i="62"/>
  <c r="BE106" i="62"/>
  <c r="BD106" i="62"/>
  <c r="BC106" i="62"/>
  <c r="BG105" i="62"/>
  <c r="BF105" i="62"/>
  <c r="BE105" i="62"/>
  <c r="BD105" i="62"/>
  <c r="BC105" i="62"/>
  <c r="BG104" i="62"/>
  <c r="BF104" i="62"/>
  <c r="BE104" i="62"/>
  <c r="BD104" i="62"/>
  <c r="BC104" i="62"/>
  <c r="BG103" i="62"/>
  <c r="BF103" i="62"/>
  <c r="BE103" i="62"/>
  <c r="BD103" i="62"/>
  <c r="BC103" i="62"/>
  <c r="BG102" i="62"/>
  <c r="BF102" i="62"/>
  <c r="BE102" i="62"/>
  <c r="BD102" i="62"/>
  <c r="BC102" i="62"/>
  <c r="BG101" i="62"/>
  <c r="BF101" i="62"/>
  <c r="BE101" i="62"/>
  <c r="BD101" i="62"/>
  <c r="BC101" i="62"/>
  <c r="BG100" i="62"/>
  <c r="BF100" i="62"/>
  <c r="BE100" i="62"/>
  <c r="BD100" i="62"/>
  <c r="BC100" i="62"/>
  <c r="BG99" i="62"/>
  <c r="BF99" i="62"/>
  <c r="BE99" i="62"/>
  <c r="BD99" i="62"/>
  <c r="BC99" i="62"/>
  <c r="BG98" i="62"/>
  <c r="BF98" i="62"/>
  <c r="BE98" i="62"/>
  <c r="BD98" i="62"/>
  <c r="BC98" i="62"/>
  <c r="BG97" i="62"/>
  <c r="BF97" i="62"/>
  <c r="BE97" i="62"/>
  <c r="BD97" i="62"/>
  <c r="BC97" i="62"/>
  <c r="BG96" i="62"/>
  <c r="BF96" i="62"/>
  <c r="BE96" i="62"/>
  <c r="BD96" i="62"/>
  <c r="BC96" i="62"/>
  <c r="BG95" i="62"/>
  <c r="BF95" i="62"/>
  <c r="BE95" i="62"/>
  <c r="BD95" i="62"/>
  <c r="BC95" i="62"/>
  <c r="BG94" i="62"/>
  <c r="BF94" i="62"/>
  <c r="BE94" i="62"/>
  <c r="BD94" i="62"/>
  <c r="BC94" i="62"/>
  <c r="BG93" i="62"/>
  <c r="BF93" i="62"/>
  <c r="BE93" i="62"/>
  <c r="BD93" i="62"/>
  <c r="BC93" i="62"/>
  <c r="BG92" i="62"/>
  <c r="BF92" i="62"/>
  <c r="BE92" i="62"/>
  <c r="BD92" i="62"/>
  <c r="BC92" i="62"/>
  <c r="BG91" i="62"/>
  <c r="BF91" i="62"/>
  <c r="BE91" i="62"/>
  <c r="BD91" i="62"/>
  <c r="BC91" i="62"/>
  <c r="BG90" i="62"/>
  <c r="BF90" i="62"/>
  <c r="BE90" i="62"/>
  <c r="BD90" i="62"/>
  <c r="BC90" i="62"/>
  <c r="BG89" i="62"/>
  <c r="BF89" i="62"/>
  <c r="BE89" i="62"/>
  <c r="BD89" i="62"/>
  <c r="BC89" i="62"/>
  <c r="BG88" i="62"/>
  <c r="BF88" i="62"/>
  <c r="BE88" i="62"/>
  <c r="BD88" i="62"/>
  <c r="BC88" i="62"/>
  <c r="BG87" i="62"/>
  <c r="BF87" i="62"/>
  <c r="BE87" i="62"/>
  <c r="BD87" i="62"/>
  <c r="BC87" i="62"/>
  <c r="BG86" i="62"/>
  <c r="BF86" i="62"/>
  <c r="BE86" i="62"/>
  <c r="BD86" i="62"/>
  <c r="BC86" i="62"/>
  <c r="BG85" i="62"/>
  <c r="BF85" i="62"/>
  <c r="BE85" i="62"/>
  <c r="BD85" i="62"/>
  <c r="BC85" i="62"/>
  <c r="BG84" i="62"/>
  <c r="BF84" i="62"/>
  <c r="BE84" i="62"/>
  <c r="BD84" i="62"/>
  <c r="BC84" i="62"/>
  <c r="BG83" i="62"/>
  <c r="BF83" i="62"/>
  <c r="BE83" i="62"/>
  <c r="BD83" i="62"/>
  <c r="BC83" i="62"/>
  <c r="BG82" i="62"/>
  <c r="BF82" i="62"/>
  <c r="BE82" i="62"/>
  <c r="BD82" i="62"/>
  <c r="BC82" i="62"/>
  <c r="BG81" i="62"/>
  <c r="BF81" i="62"/>
  <c r="BE81" i="62"/>
  <c r="BD81" i="62"/>
  <c r="BC81" i="62"/>
  <c r="BG80" i="62"/>
  <c r="BF80" i="62"/>
  <c r="BE80" i="62"/>
  <c r="BD80" i="62"/>
  <c r="BC80" i="62"/>
  <c r="BG79" i="62"/>
  <c r="BF79" i="62"/>
  <c r="BE79" i="62"/>
  <c r="BD79" i="62"/>
  <c r="BC79" i="62"/>
  <c r="BG78" i="62"/>
  <c r="BF78" i="62"/>
  <c r="BE78" i="62"/>
  <c r="BD78" i="62"/>
  <c r="BC78" i="62"/>
  <c r="BG77" i="62"/>
  <c r="BF77" i="62"/>
  <c r="BE77" i="62"/>
  <c r="BD77" i="62"/>
  <c r="BC77" i="62"/>
  <c r="BG76" i="62"/>
  <c r="BF76" i="62"/>
  <c r="BE76" i="62"/>
  <c r="BD76" i="62"/>
  <c r="BC76" i="62"/>
  <c r="BG75" i="62"/>
  <c r="BF75" i="62"/>
  <c r="BE75" i="62"/>
  <c r="BD75" i="62"/>
  <c r="BC75" i="62"/>
  <c r="BG74" i="62"/>
  <c r="BF74" i="62"/>
  <c r="BE74" i="62"/>
  <c r="BD74" i="62"/>
  <c r="BC74" i="62"/>
  <c r="BG73" i="62"/>
  <c r="BF73" i="62"/>
  <c r="BE73" i="62"/>
  <c r="BD73" i="62"/>
  <c r="BC73" i="62"/>
  <c r="BG72" i="62"/>
  <c r="BF72" i="62"/>
  <c r="BE72" i="62"/>
  <c r="BD72" i="62"/>
  <c r="BC72" i="62"/>
  <c r="BG71" i="62"/>
  <c r="BF71" i="62"/>
  <c r="BE71" i="62"/>
  <c r="BD71" i="62"/>
  <c r="BC71" i="62"/>
  <c r="BG70" i="62"/>
  <c r="BF70" i="62"/>
  <c r="BE70" i="62"/>
  <c r="BD70" i="62"/>
  <c r="BC70" i="62"/>
  <c r="BG69" i="62"/>
  <c r="BF69" i="62"/>
  <c r="BE69" i="62"/>
  <c r="BD69" i="62"/>
  <c r="BC69" i="62"/>
  <c r="BG68" i="62"/>
  <c r="BF68" i="62"/>
  <c r="BE68" i="62"/>
  <c r="BD68" i="62"/>
  <c r="BC68" i="62"/>
  <c r="BG67" i="62"/>
  <c r="BF67" i="62"/>
  <c r="BE67" i="62"/>
  <c r="BD67" i="62"/>
  <c r="BC67" i="62"/>
  <c r="BG66" i="62"/>
  <c r="BF66" i="62"/>
  <c r="BE66" i="62"/>
  <c r="BD66" i="62"/>
  <c r="BC66" i="62"/>
  <c r="BG65" i="62"/>
  <c r="BF65" i="62"/>
  <c r="BE65" i="62"/>
  <c r="BD65" i="62"/>
  <c r="BC65" i="62"/>
  <c r="BG64" i="62"/>
  <c r="BF64" i="62"/>
  <c r="BE64" i="62"/>
  <c r="BD64" i="62"/>
  <c r="BC64" i="62"/>
  <c r="BG63" i="62"/>
  <c r="BF63" i="62"/>
  <c r="BE63" i="62"/>
  <c r="BD63" i="62"/>
  <c r="BC63" i="62"/>
  <c r="BG62" i="62"/>
  <c r="BF62" i="62"/>
  <c r="BE62" i="62"/>
  <c r="BD62" i="62"/>
  <c r="BC62" i="62"/>
  <c r="BG61" i="62"/>
  <c r="BF61" i="62"/>
  <c r="BE61" i="62"/>
  <c r="BD61" i="62"/>
  <c r="BC61" i="62"/>
  <c r="BG60" i="62"/>
  <c r="BF60" i="62"/>
  <c r="BE60" i="62"/>
  <c r="BD60" i="62"/>
  <c r="BC60" i="62"/>
  <c r="BG59" i="62"/>
  <c r="BF59" i="62"/>
  <c r="BE59" i="62"/>
  <c r="BD59" i="62"/>
  <c r="BC59" i="62"/>
  <c r="BG58" i="62"/>
  <c r="BF58" i="62"/>
  <c r="BE58" i="62"/>
  <c r="BD58" i="62"/>
  <c r="BC58" i="62"/>
  <c r="BG57" i="62"/>
  <c r="BF57" i="62"/>
  <c r="BE57" i="62"/>
  <c r="BD57" i="62"/>
  <c r="BC57" i="62"/>
  <c r="BG56" i="62"/>
  <c r="BF56" i="62"/>
  <c r="BE56" i="62"/>
  <c r="BD56" i="62"/>
  <c r="BC56" i="62"/>
  <c r="BG55" i="62"/>
  <c r="BF55" i="62"/>
  <c r="BE55" i="62"/>
  <c r="BD55" i="62"/>
  <c r="BC55" i="62"/>
  <c r="BG54" i="62"/>
  <c r="BF54" i="62"/>
  <c r="BE54" i="62"/>
  <c r="BD54" i="62"/>
  <c r="BC54" i="62"/>
  <c r="BG53" i="62"/>
  <c r="BF53" i="62"/>
  <c r="BE53" i="62"/>
  <c r="BD53" i="62"/>
  <c r="BC53" i="62"/>
  <c r="BG52" i="62"/>
  <c r="BF52" i="62"/>
  <c r="BE52" i="62"/>
  <c r="BD52" i="62"/>
  <c r="BC52" i="62"/>
  <c r="BG51" i="62"/>
  <c r="BF51" i="62"/>
  <c r="BE51" i="62"/>
  <c r="BD51" i="62"/>
  <c r="BC51" i="62"/>
  <c r="BG50" i="62"/>
  <c r="BF50" i="62"/>
  <c r="BE50" i="62"/>
  <c r="BD50" i="62"/>
  <c r="BC50" i="62"/>
  <c r="BG49" i="62"/>
  <c r="BF49" i="62"/>
  <c r="BE49" i="62"/>
  <c r="BD49" i="62"/>
  <c r="BC49" i="62"/>
  <c r="BG48" i="62"/>
  <c r="BF48" i="62"/>
  <c r="BE48" i="62"/>
  <c r="BD48" i="62"/>
  <c r="BC48" i="62"/>
  <c r="BG47" i="62"/>
  <c r="BF47" i="62"/>
  <c r="BE47" i="62"/>
  <c r="BD47" i="62"/>
  <c r="BC47" i="62"/>
  <c r="BG46" i="62"/>
  <c r="BF46" i="62"/>
  <c r="BE46" i="62"/>
  <c r="BD46" i="62"/>
  <c r="BC46" i="62"/>
  <c r="BG45" i="62"/>
  <c r="BF45" i="62"/>
  <c r="BE45" i="62"/>
  <c r="BD45" i="62"/>
  <c r="BC45" i="62"/>
  <c r="BG44" i="62"/>
  <c r="BF44" i="62"/>
  <c r="BE44" i="62"/>
  <c r="BD44" i="62"/>
  <c r="BC44" i="62"/>
  <c r="BG43" i="62"/>
  <c r="BF43" i="62"/>
  <c r="BE43" i="62"/>
  <c r="BD43" i="62"/>
  <c r="BC43" i="62"/>
  <c r="BG42" i="62"/>
  <c r="BF42" i="62"/>
  <c r="BE42" i="62"/>
  <c r="BD42" i="62"/>
  <c r="BC42" i="62"/>
  <c r="BG41" i="62"/>
  <c r="BF41" i="62"/>
  <c r="BE41" i="62"/>
  <c r="BD41" i="62"/>
  <c r="BC41" i="62"/>
  <c r="BG40" i="62"/>
  <c r="BF40" i="62"/>
  <c r="BE40" i="62"/>
  <c r="BD40" i="62"/>
  <c r="BC40" i="62"/>
  <c r="BG39" i="62"/>
  <c r="BF39" i="62"/>
  <c r="BE39" i="62"/>
  <c r="BD39" i="62"/>
  <c r="BC39" i="62"/>
  <c r="BG38" i="62"/>
  <c r="BF38" i="62"/>
  <c r="BE38" i="62"/>
  <c r="BD38" i="62"/>
  <c r="BC38" i="62"/>
  <c r="BG37" i="62"/>
  <c r="BF37" i="62"/>
  <c r="BE37" i="62"/>
  <c r="BD37" i="62"/>
  <c r="BC37" i="62"/>
  <c r="BG36" i="62"/>
  <c r="BF36" i="62"/>
  <c r="BE36" i="62"/>
  <c r="BD36" i="62"/>
  <c r="BC36" i="62"/>
  <c r="BG35" i="62"/>
  <c r="BF35" i="62"/>
  <c r="BE35" i="62"/>
  <c r="BD35" i="62"/>
  <c r="BC35" i="62"/>
  <c r="BG34" i="62"/>
  <c r="BF34" i="62"/>
  <c r="BE34" i="62"/>
  <c r="BD34" i="62"/>
  <c r="BC34" i="62"/>
  <c r="BG33" i="62"/>
  <c r="BF33" i="62"/>
  <c r="BE33" i="62"/>
  <c r="BD33" i="62"/>
  <c r="BC33" i="62"/>
  <c r="BG32" i="62"/>
  <c r="BF32" i="62"/>
  <c r="BE32" i="62"/>
  <c r="BD32" i="62"/>
  <c r="BC32" i="62"/>
  <c r="BG31" i="62"/>
  <c r="BF31" i="62"/>
  <c r="BE31" i="62"/>
  <c r="BD31" i="62"/>
  <c r="BC31" i="62"/>
  <c r="BG30" i="62"/>
  <c r="BF30" i="62"/>
  <c r="BE30" i="62"/>
  <c r="BD30" i="62"/>
  <c r="BC30" i="62"/>
  <c r="BG29" i="62"/>
  <c r="BF29" i="62"/>
  <c r="BE29" i="62"/>
  <c r="BD29" i="62"/>
  <c r="BC29" i="62"/>
  <c r="BG28" i="62"/>
  <c r="BF28" i="62"/>
  <c r="BE28" i="62"/>
  <c r="BD28" i="62"/>
  <c r="BC28" i="62"/>
  <c r="BG27" i="62"/>
  <c r="BF27" i="62"/>
  <c r="BE27" i="62"/>
  <c r="BD27" i="62"/>
  <c r="BC27" i="62"/>
  <c r="BG26" i="62"/>
  <c r="BF26" i="62"/>
  <c r="BE26" i="62"/>
  <c r="BD26" i="62"/>
  <c r="BC26" i="62"/>
  <c r="BG25" i="62"/>
  <c r="BF25" i="62"/>
  <c r="BE25" i="62"/>
  <c r="BD25" i="62"/>
  <c r="BC25" i="62"/>
  <c r="BG24" i="62"/>
  <c r="BF24" i="62"/>
  <c r="BE24" i="62"/>
  <c r="BD24" i="62"/>
  <c r="BC24" i="62"/>
  <c r="BG23" i="62"/>
  <c r="BF23" i="62"/>
  <c r="BE23" i="62"/>
  <c r="BD23" i="62"/>
  <c r="BC23" i="62"/>
  <c r="BG22" i="62"/>
  <c r="BF22" i="62"/>
  <c r="BE22" i="62"/>
  <c r="B122" i="62"/>
  <c r="BS121" i="62"/>
  <c r="BR121" i="62"/>
  <c r="BQ121" i="62"/>
  <c r="BP121" i="62"/>
  <c r="BO121" i="62"/>
  <c r="BN121" i="62"/>
  <c r="BM121" i="62"/>
  <c r="BL121" i="62"/>
  <c r="BK121" i="62"/>
  <c r="BJ121" i="62"/>
  <c r="BI121" i="62"/>
  <c r="BH121" i="62"/>
  <c r="T121" i="62"/>
  <c r="DE121" i="62" s="1"/>
  <c r="BS120" i="62"/>
  <c r="BR120" i="62"/>
  <c r="BQ120" i="62"/>
  <c r="BP120" i="62"/>
  <c r="BO120" i="62"/>
  <c r="BN120" i="62"/>
  <c r="BM120" i="62"/>
  <c r="BL120" i="62"/>
  <c r="BK120" i="62"/>
  <c r="BJ120" i="62"/>
  <c r="BI120" i="62"/>
  <c r="BH120" i="62"/>
  <c r="T120" i="62"/>
  <c r="DE120" i="62" s="1"/>
  <c r="BS119" i="62"/>
  <c r="BR119" i="62"/>
  <c r="BQ119" i="62"/>
  <c r="BP119" i="62"/>
  <c r="BO119" i="62"/>
  <c r="BN119" i="62"/>
  <c r="BM119" i="62"/>
  <c r="BL119" i="62"/>
  <c r="BK119" i="62"/>
  <c r="BJ119" i="62"/>
  <c r="BI119" i="62"/>
  <c r="BH119" i="62"/>
  <c r="T119" i="62"/>
  <c r="DE119" i="62" s="1"/>
  <c r="BS118" i="62"/>
  <c r="BR118" i="62"/>
  <c r="BQ118" i="62"/>
  <c r="BP118" i="62"/>
  <c r="BO118" i="62"/>
  <c r="BN118" i="62"/>
  <c r="BM118" i="62"/>
  <c r="BL118" i="62"/>
  <c r="BK118" i="62"/>
  <c r="BJ118" i="62"/>
  <c r="BI118" i="62"/>
  <c r="BH118" i="62"/>
  <c r="T118" i="62"/>
  <c r="DE118" i="62" s="1"/>
  <c r="BS117" i="62"/>
  <c r="BR117" i="62"/>
  <c r="BQ117" i="62"/>
  <c r="BP117" i="62"/>
  <c r="BO117" i="62"/>
  <c r="BN117" i="62"/>
  <c r="BM117" i="62"/>
  <c r="BL117" i="62"/>
  <c r="BK117" i="62"/>
  <c r="BJ117" i="62"/>
  <c r="BI117" i="62"/>
  <c r="BH117" i="62"/>
  <c r="T117" i="62"/>
  <c r="DE117" i="62" s="1"/>
  <c r="BS116" i="62"/>
  <c r="BR116" i="62"/>
  <c r="BQ116" i="62"/>
  <c r="BP116" i="62"/>
  <c r="BO116" i="62"/>
  <c r="BN116" i="62"/>
  <c r="BM116" i="62"/>
  <c r="BL116" i="62"/>
  <c r="BK116" i="62"/>
  <c r="BJ116" i="62"/>
  <c r="BI116" i="62"/>
  <c r="BH116" i="62"/>
  <c r="T116" i="62"/>
  <c r="DE116" i="62" s="1"/>
  <c r="BS115" i="62"/>
  <c r="BR115" i="62"/>
  <c r="BQ115" i="62"/>
  <c r="BP115" i="62"/>
  <c r="BO115" i="62"/>
  <c r="BN115" i="62"/>
  <c r="BM115" i="62"/>
  <c r="BL115" i="62"/>
  <c r="BK115" i="62"/>
  <c r="BJ115" i="62"/>
  <c r="BI115" i="62"/>
  <c r="BH115" i="62"/>
  <c r="T115" i="62"/>
  <c r="DE115" i="62" s="1"/>
  <c r="BS114" i="62"/>
  <c r="BR114" i="62"/>
  <c r="BQ114" i="62"/>
  <c r="BP114" i="62"/>
  <c r="BO114" i="62"/>
  <c r="BN114" i="62"/>
  <c r="BM114" i="62"/>
  <c r="BL114" i="62"/>
  <c r="BK114" i="62"/>
  <c r="BJ114" i="62"/>
  <c r="BI114" i="62"/>
  <c r="BH114" i="62"/>
  <c r="T114" i="62"/>
  <c r="DE114" i="62" s="1"/>
  <c r="BS113" i="62"/>
  <c r="BR113" i="62"/>
  <c r="BQ113" i="62"/>
  <c r="BP113" i="62"/>
  <c r="BO113" i="62"/>
  <c r="BN113" i="62"/>
  <c r="BM113" i="62"/>
  <c r="BL113" i="62"/>
  <c r="BK113" i="62"/>
  <c r="BJ113" i="62"/>
  <c r="BI113" i="62"/>
  <c r="BH113" i="62"/>
  <c r="T113" i="62"/>
  <c r="DE113" i="62" s="1"/>
  <c r="BS112" i="62"/>
  <c r="BR112" i="62"/>
  <c r="BQ112" i="62"/>
  <c r="BP112" i="62"/>
  <c r="BO112" i="62"/>
  <c r="BN112" i="62"/>
  <c r="BM112" i="62"/>
  <c r="BL112" i="62"/>
  <c r="BK112" i="62"/>
  <c r="BJ112" i="62"/>
  <c r="BI112" i="62"/>
  <c r="BH112" i="62"/>
  <c r="T112" i="62"/>
  <c r="DE112" i="62" s="1"/>
  <c r="BS111" i="62"/>
  <c r="BR111" i="62"/>
  <c r="BQ111" i="62"/>
  <c r="BP111" i="62"/>
  <c r="BO111" i="62"/>
  <c r="BN111" i="62"/>
  <c r="BM111" i="62"/>
  <c r="BL111" i="62"/>
  <c r="BK111" i="62"/>
  <c r="BJ111" i="62"/>
  <c r="BI111" i="62"/>
  <c r="BH111" i="62"/>
  <c r="T111" i="62"/>
  <c r="DE111" i="62" s="1"/>
  <c r="BS110" i="62"/>
  <c r="BR110" i="62"/>
  <c r="BQ110" i="62"/>
  <c r="BP110" i="62"/>
  <c r="BO110" i="62"/>
  <c r="BN110" i="62"/>
  <c r="BM110" i="62"/>
  <c r="BL110" i="62"/>
  <c r="BK110" i="62"/>
  <c r="BJ110" i="62"/>
  <c r="BI110" i="62"/>
  <c r="BH110" i="62"/>
  <c r="T110" i="62"/>
  <c r="DE110" i="62" s="1"/>
  <c r="BS109" i="62"/>
  <c r="BR109" i="62"/>
  <c r="BQ109" i="62"/>
  <c r="BP109" i="62"/>
  <c r="BO109" i="62"/>
  <c r="BN109" i="62"/>
  <c r="BM109" i="62"/>
  <c r="BL109" i="62"/>
  <c r="BK109" i="62"/>
  <c r="BJ109" i="62"/>
  <c r="BI109" i="62"/>
  <c r="BH109" i="62"/>
  <c r="T109" i="62"/>
  <c r="DE109" i="62" s="1"/>
  <c r="BS108" i="62"/>
  <c r="BR108" i="62"/>
  <c r="BQ108" i="62"/>
  <c r="BP108" i="62"/>
  <c r="BO108" i="62"/>
  <c r="BN108" i="62"/>
  <c r="BM108" i="62"/>
  <c r="BL108" i="62"/>
  <c r="BK108" i="62"/>
  <c r="BJ108" i="62"/>
  <c r="BI108" i="62"/>
  <c r="BH108" i="62"/>
  <c r="T108" i="62"/>
  <c r="DE108" i="62" s="1"/>
  <c r="BS107" i="62"/>
  <c r="BR107" i="62"/>
  <c r="BQ107" i="62"/>
  <c r="BP107" i="62"/>
  <c r="BO107" i="62"/>
  <c r="BN107" i="62"/>
  <c r="BM107" i="62"/>
  <c r="BL107" i="62"/>
  <c r="BK107" i="62"/>
  <c r="BJ107" i="62"/>
  <c r="BI107" i="62"/>
  <c r="BH107" i="62"/>
  <c r="T107" i="62"/>
  <c r="DE107" i="62" s="1"/>
  <c r="BS106" i="62"/>
  <c r="BR106" i="62"/>
  <c r="BQ106" i="62"/>
  <c r="BP106" i="62"/>
  <c r="BO106" i="62"/>
  <c r="BN106" i="62"/>
  <c r="BM106" i="62"/>
  <c r="BL106" i="62"/>
  <c r="BK106" i="62"/>
  <c r="BJ106" i="62"/>
  <c r="BI106" i="62"/>
  <c r="BH106" i="62"/>
  <c r="T106" i="62"/>
  <c r="DE106" i="62" s="1"/>
  <c r="BS105" i="62"/>
  <c r="BR105" i="62"/>
  <c r="BQ105" i="62"/>
  <c r="BP105" i="62"/>
  <c r="BO105" i="62"/>
  <c r="BN105" i="62"/>
  <c r="BM105" i="62"/>
  <c r="BL105" i="62"/>
  <c r="BK105" i="62"/>
  <c r="BJ105" i="62"/>
  <c r="BI105" i="62"/>
  <c r="BH105" i="62"/>
  <c r="T105" i="62"/>
  <c r="DE105" i="62" s="1"/>
  <c r="BS104" i="62"/>
  <c r="BR104" i="62"/>
  <c r="BQ104" i="62"/>
  <c r="BP104" i="62"/>
  <c r="BO104" i="62"/>
  <c r="BN104" i="62"/>
  <c r="BM104" i="62"/>
  <c r="BL104" i="62"/>
  <c r="BK104" i="62"/>
  <c r="BJ104" i="62"/>
  <c r="BI104" i="62"/>
  <c r="BH104" i="62"/>
  <c r="T104" i="62"/>
  <c r="DE104" i="62" s="1"/>
  <c r="BS103" i="62"/>
  <c r="BR103" i="62"/>
  <c r="BQ103" i="62"/>
  <c r="BP103" i="62"/>
  <c r="BO103" i="62"/>
  <c r="BN103" i="62"/>
  <c r="BM103" i="62"/>
  <c r="BL103" i="62"/>
  <c r="BK103" i="62"/>
  <c r="BJ103" i="62"/>
  <c r="BI103" i="62"/>
  <c r="BH103" i="62"/>
  <c r="T103" i="62"/>
  <c r="DE103" i="62" s="1"/>
  <c r="BS102" i="62"/>
  <c r="BR102" i="62"/>
  <c r="BQ102" i="62"/>
  <c r="BP102" i="62"/>
  <c r="BO102" i="62"/>
  <c r="BN102" i="62"/>
  <c r="BM102" i="62"/>
  <c r="BL102" i="62"/>
  <c r="BK102" i="62"/>
  <c r="BJ102" i="62"/>
  <c r="BI102" i="62"/>
  <c r="BH102" i="62"/>
  <c r="T102" i="62"/>
  <c r="DE102" i="62" s="1"/>
  <c r="BS101" i="62"/>
  <c r="BR101" i="62"/>
  <c r="BQ101" i="62"/>
  <c r="BP101" i="62"/>
  <c r="BO101" i="62"/>
  <c r="BN101" i="62"/>
  <c r="BM101" i="62"/>
  <c r="BL101" i="62"/>
  <c r="BK101" i="62"/>
  <c r="BJ101" i="62"/>
  <c r="BI101" i="62"/>
  <c r="BH101" i="62"/>
  <c r="T101" i="62"/>
  <c r="DE101" i="62" s="1"/>
  <c r="BS100" i="62"/>
  <c r="BR100" i="62"/>
  <c r="BQ100" i="62"/>
  <c r="BP100" i="62"/>
  <c r="BO100" i="62"/>
  <c r="BN100" i="62"/>
  <c r="BM100" i="62"/>
  <c r="BL100" i="62"/>
  <c r="BK100" i="62"/>
  <c r="BJ100" i="62"/>
  <c r="BI100" i="62"/>
  <c r="BH100" i="62"/>
  <c r="T100" i="62"/>
  <c r="DE100" i="62" s="1"/>
  <c r="BS99" i="62"/>
  <c r="BR99" i="62"/>
  <c r="BQ99" i="62"/>
  <c r="BP99" i="62"/>
  <c r="BO99" i="62"/>
  <c r="BN99" i="62"/>
  <c r="BM99" i="62"/>
  <c r="BL99" i="62"/>
  <c r="BK99" i="62"/>
  <c r="BJ99" i="62"/>
  <c r="BI99" i="62"/>
  <c r="BH99" i="62"/>
  <c r="T99" i="62"/>
  <c r="DE99" i="62" s="1"/>
  <c r="BS98" i="62"/>
  <c r="BR98" i="62"/>
  <c r="BQ98" i="62"/>
  <c r="BP98" i="62"/>
  <c r="BO98" i="62"/>
  <c r="BN98" i="62"/>
  <c r="BM98" i="62"/>
  <c r="BL98" i="62"/>
  <c r="BK98" i="62"/>
  <c r="BJ98" i="62"/>
  <c r="BI98" i="62"/>
  <c r="BH98" i="62"/>
  <c r="T98" i="62"/>
  <c r="DE98" i="62" s="1"/>
  <c r="BS97" i="62"/>
  <c r="BR97" i="62"/>
  <c r="BQ97" i="62"/>
  <c r="BP97" i="62"/>
  <c r="BO97" i="62"/>
  <c r="BN97" i="62"/>
  <c r="BM97" i="62"/>
  <c r="BL97" i="62"/>
  <c r="BK97" i="62"/>
  <c r="BJ97" i="62"/>
  <c r="BI97" i="62"/>
  <c r="BH97" i="62"/>
  <c r="T97" i="62"/>
  <c r="DE97" i="62" s="1"/>
  <c r="BS96" i="62"/>
  <c r="BR96" i="62"/>
  <c r="BQ96" i="62"/>
  <c r="BP96" i="62"/>
  <c r="BO96" i="62"/>
  <c r="BN96" i="62"/>
  <c r="BM96" i="62"/>
  <c r="BL96" i="62"/>
  <c r="BK96" i="62"/>
  <c r="BJ96" i="62"/>
  <c r="BI96" i="62"/>
  <c r="BH96" i="62"/>
  <c r="T96" i="62"/>
  <c r="DE96" i="62" s="1"/>
  <c r="BS95" i="62"/>
  <c r="BR95" i="62"/>
  <c r="BQ95" i="62"/>
  <c r="BP95" i="62"/>
  <c r="BO95" i="62"/>
  <c r="BN95" i="62"/>
  <c r="BM95" i="62"/>
  <c r="BL95" i="62"/>
  <c r="BK95" i="62"/>
  <c r="BJ95" i="62"/>
  <c r="BI95" i="62"/>
  <c r="BH95" i="62"/>
  <c r="T95" i="62"/>
  <c r="DE95" i="62" s="1"/>
  <c r="BS94" i="62"/>
  <c r="BR94" i="62"/>
  <c r="BQ94" i="62"/>
  <c r="BP94" i="62"/>
  <c r="BO94" i="62"/>
  <c r="BN94" i="62"/>
  <c r="BM94" i="62"/>
  <c r="BL94" i="62"/>
  <c r="BK94" i="62"/>
  <c r="BJ94" i="62"/>
  <c r="BI94" i="62"/>
  <c r="BH94" i="62"/>
  <c r="T94" i="62"/>
  <c r="DE94" i="62" s="1"/>
  <c r="BS93" i="62"/>
  <c r="BR93" i="62"/>
  <c r="BQ93" i="62"/>
  <c r="BP93" i="62"/>
  <c r="BO93" i="62"/>
  <c r="BN93" i="62"/>
  <c r="BM93" i="62"/>
  <c r="BL93" i="62"/>
  <c r="BK93" i="62"/>
  <c r="BJ93" i="62"/>
  <c r="BI93" i="62"/>
  <c r="BH93" i="62"/>
  <c r="T93" i="62"/>
  <c r="DE93" i="62" s="1"/>
  <c r="BS92" i="62"/>
  <c r="BR92" i="62"/>
  <c r="BQ92" i="62"/>
  <c r="BP92" i="62"/>
  <c r="BO92" i="62"/>
  <c r="BN92" i="62"/>
  <c r="BM92" i="62"/>
  <c r="BL92" i="62"/>
  <c r="BK92" i="62"/>
  <c r="BJ92" i="62"/>
  <c r="BI92" i="62"/>
  <c r="BH92" i="62"/>
  <c r="T92" i="62"/>
  <c r="DE92" i="62" s="1"/>
  <c r="BS91" i="62"/>
  <c r="BR91" i="62"/>
  <c r="BQ91" i="62"/>
  <c r="BP91" i="62"/>
  <c r="BO91" i="62"/>
  <c r="BN91" i="62"/>
  <c r="BM91" i="62"/>
  <c r="BL91" i="62"/>
  <c r="BK91" i="62"/>
  <c r="BJ91" i="62"/>
  <c r="BI91" i="62"/>
  <c r="BH91" i="62"/>
  <c r="T91" i="62"/>
  <c r="DE91" i="62" s="1"/>
  <c r="BS90" i="62"/>
  <c r="BR90" i="62"/>
  <c r="BQ90" i="62"/>
  <c r="BP90" i="62"/>
  <c r="BO90" i="62"/>
  <c r="BN90" i="62"/>
  <c r="BM90" i="62"/>
  <c r="BL90" i="62"/>
  <c r="BK90" i="62"/>
  <c r="BJ90" i="62"/>
  <c r="BI90" i="62"/>
  <c r="BH90" i="62"/>
  <c r="T90" i="62"/>
  <c r="DE90" i="62" s="1"/>
  <c r="BS89" i="62"/>
  <c r="BR89" i="62"/>
  <c r="BQ89" i="62"/>
  <c r="BP89" i="62"/>
  <c r="BO89" i="62"/>
  <c r="BN89" i="62"/>
  <c r="BM89" i="62"/>
  <c r="BL89" i="62"/>
  <c r="BK89" i="62"/>
  <c r="BJ89" i="62"/>
  <c r="BI89" i="62"/>
  <c r="BH89" i="62"/>
  <c r="T89" i="62"/>
  <c r="DE89" i="62" s="1"/>
  <c r="BS88" i="62"/>
  <c r="BR88" i="62"/>
  <c r="BQ88" i="62"/>
  <c r="BP88" i="62"/>
  <c r="BO88" i="62"/>
  <c r="BN88" i="62"/>
  <c r="BM88" i="62"/>
  <c r="BL88" i="62"/>
  <c r="BK88" i="62"/>
  <c r="BJ88" i="62"/>
  <c r="BI88" i="62"/>
  <c r="BH88" i="62"/>
  <c r="T88" i="62"/>
  <c r="DE88" i="62" s="1"/>
  <c r="BS87" i="62"/>
  <c r="BR87" i="62"/>
  <c r="BQ87" i="62"/>
  <c r="BP87" i="62"/>
  <c r="BO87" i="62"/>
  <c r="BN87" i="62"/>
  <c r="BM87" i="62"/>
  <c r="BL87" i="62"/>
  <c r="BK87" i="62"/>
  <c r="BJ87" i="62"/>
  <c r="BI87" i="62"/>
  <c r="BH87" i="62"/>
  <c r="T87" i="62"/>
  <c r="DE87" i="62" s="1"/>
  <c r="BS86" i="62"/>
  <c r="BR86" i="62"/>
  <c r="BQ86" i="62"/>
  <c r="BP86" i="62"/>
  <c r="BO86" i="62"/>
  <c r="BN86" i="62"/>
  <c r="BM86" i="62"/>
  <c r="BL86" i="62"/>
  <c r="BK86" i="62"/>
  <c r="BJ86" i="62"/>
  <c r="BI86" i="62"/>
  <c r="BH86" i="62"/>
  <c r="T86" i="62"/>
  <c r="DE86" i="62" s="1"/>
  <c r="BS85" i="62"/>
  <c r="BR85" i="62"/>
  <c r="BQ85" i="62"/>
  <c r="BP85" i="62"/>
  <c r="BO85" i="62"/>
  <c r="BN85" i="62"/>
  <c r="BM85" i="62"/>
  <c r="BL85" i="62"/>
  <c r="BK85" i="62"/>
  <c r="BJ85" i="62"/>
  <c r="BI85" i="62"/>
  <c r="BH85" i="62"/>
  <c r="T85" i="62"/>
  <c r="DE85" i="62" s="1"/>
  <c r="BS84" i="62"/>
  <c r="BR84" i="62"/>
  <c r="BQ84" i="62"/>
  <c r="BP84" i="62"/>
  <c r="BO84" i="62"/>
  <c r="BN84" i="62"/>
  <c r="BM84" i="62"/>
  <c r="BL84" i="62"/>
  <c r="BK84" i="62"/>
  <c r="BJ84" i="62"/>
  <c r="BI84" i="62"/>
  <c r="BH84" i="62"/>
  <c r="T84" i="62"/>
  <c r="DE84" i="62" s="1"/>
  <c r="BS83" i="62"/>
  <c r="BR83" i="62"/>
  <c r="BQ83" i="62"/>
  <c r="BP83" i="62"/>
  <c r="BO83" i="62"/>
  <c r="BN83" i="62"/>
  <c r="BM83" i="62"/>
  <c r="BL83" i="62"/>
  <c r="BK83" i="62"/>
  <c r="BJ83" i="62"/>
  <c r="BI83" i="62"/>
  <c r="BH83" i="62"/>
  <c r="T83" i="62"/>
  <c r="DE83" i="62" s="1"/>
  <c r="BS82" i="62"/>
  <c r="BR82" i="62"/>
  <c r="BQ82" i="62"/>
  <c r="BP82" i="62"/>
  <c r="BO82" i="62"/>
  <c r="BN82" i="62"/>
  <c r="BM82" i="62"/>
  <c r="BL82" i="62"/>
  <c r="BK82" i="62"/>
  <c r="BJ82" i="62"/>
  <c r="BI82" i="62"/>
  <c r="BH82" i="62"/>
  <c r="T82" i="62"/>
  <c r="DE82" i="62" s="1"/>
  <c r="BS81" i="62"/>
  <c r="BR81" i="62"/>
  <c r="BQ81" i="62"/>
  <c r="BP81" i="62"/>
  <c r="BO81" i="62"/>
  <c r="BN81" i="62"/>
  <c r="BM81" i="62"/>
  <c r="BL81" i="62"/>
  <c r="BK81" i="62"/>
  <c r="BJ81" i="62"/>
  <c r="BI81" i="62"/>
  <c r="BH81" i="62"/>
  <c r="T81" i="62"/>
  <c r="DE81" i="62" s="1"/>
  <c r="BS80" i="62"/>
  <c r="BR80" i="62"/>
  <c r="BQ80" i="62"/>
  <c r="BP80" i="62"/>
  <c r="BO80" i="62"/>
  <c r="BN80" i="62"/>
  <c r="BM80" i="62"/>
  <c r="BL80" i="62"/>
  <c r="BK80" i="62"/>
  <c r="BJ80" i="62"/>
  <c r="BI80" i="62"/>
  <c r="BH80" i="62"/>
  <c r="T80" i="62"/>
  <c r="DE80" i="62" s="1"/>
  <c r="BS79" i="62"/>
  <c r="BR79" i="62"/>
  <c r="BQ79" i="62"/>
  <c r="BP79" i="62"/>
  <c r="BO79" i="62"/>
  <c r="BN79" i="62"/>
  <c r="BM79" i="62"/>
  <c r="BL79" i="62"/>
  <c r="BK79" i="62"/>
  <c r="BJ79" i="62"/>
  <c r="BI79" i="62"/>
  <c r="BH79" i="62"/>
  <c r="T79" i="62"/>
  <c r="DE79" i="62" s="1"/>
  <c r="BS78" i="62"/>
  <c r="BR78" i="62"/>
  <c r="BQ78" i="62"/>
  <c r="BP78" i="62"/>
  <c r="BO78" i="62"/>
  <c r="BN78" i="62"/>
  <c r="BM78" i="62"/>
  <c r="BL78" i="62"/>
  <c r="BK78" i="62"/>
  <c r="BJ78" i="62"/>
  <c r="BI78" i="62"/>
  <c r="BH78" i="62"/>
  <c r="T78" i="62"/>
  <c r="DE78" i="62" s="1"/>
  <c r="BS77" i="62"/>
  <c r="BR77" i="62"/>
  <c r="BQ77" i="62"/>
  <c r="BP77" i="62"/>
  <c r="BO77" i="62"/>
  <c r="BN77" i="62"/>
  <c r="BM77" i="62"/>
  <c r="BL77" i="62"/>
  <c r="BK77" i="62"/>
  <c r="BJ77" i="62"/>
  <c r="BI77" i="62"/>
  <c r="BH77" i="62"/>
  <c r="T77" i="62"/>
  <c r="DE77" i="62" s="1"/>
  <c r="BS76" i="62"/>
  <c r="BR76" i="62"/>
  <c r="BQ76" i="62"/>
  <c r="BP76" i="62"/>
  <c r="BO76" i="62"/>
  <c r="BN76" i="62"/>
  <c r="BM76" i="62"/>
  <c r="BL76" i="62"/>
  <c r="BK76" i="62"/>
  <c r="BJ76" i="62"/>
  <c r="BI76" i="62"/>
  <c r="BH76" i="62"/>
  <c r="T76" i="62"/>
  <c r="DE76" i="62" s="1"/>
  <c r="BS75" i="62"/>
  <c r="BR75" i="62"/>
  <c r="BQ75" i="62"/>
  <c r="BP75" i="62"/>
  <c r="BO75" i="62"/>
  <c r="BN75" i="62"/>
  <c r="BM75" i="62"/>
  <c r="BL75" i="62"/>
  <c r="BK75" i="62"/>
  <c r="BJ75" i="62"/>
  <c r="BI75" i="62"/>
  <c r="BH75" i="62"/>
  <c r="T75" i="62"/>
  <c r="DE75" i="62" s="1"/>
  <c r="BS74" i="62"/>
  <c r="BR74" i="62"/>
  <c r="BQ74" i="62"/>
  <c r="BP74" i="62"/>
  <c r="BO74" i="62"/>
  <c r="BN74" i="62"/>
  <c r="BM74" i="62"/>
  <c r="BL74" i="62"/>
  <c r="BK74" i="62"/>
  <c r="BJ74" i="62"/>
  <c r="BI74" i="62"/>
  <c r="BH74" i="62"/>
  <c r="T74" i="62"/>
  <c r="DE74" i="62" s="1"/>
  <c r="BS73" i="62"/>
  <c r="BR73" i="62"/>
  <c r="BQ73" i="62"/>
  <c r="BP73" i="62"/>
  <c r="BO73" i="62"/>
  <c r="BN73" i="62"/>
  <c r="BM73" i="62"/>
  <c r="BL73" i="62"/>
  <c r="BK73" i="62"/>
  <c r="BJ73" i="62"/>
  <c r="BI73" i="62"/>
  <c r="BH73" i="62"/>
  <c r="T73" i="62"/>
  <c r="DE73" i="62" s="1"/>
  <c r="BS72" i="62"/>
  <c r="BR72" i="62"/>
  <c r="BQ72" i="62"/>
  <c r="BP72" i="62"/>
  <c r="BO72" i="62"/>
  <c r="BN72" i="62"/>
  <c r="BM72" i="62"/>
  <c r="BL72" i="62"/>
  <c r="BK72" i="62"/>
  <c r="BJ72" i="62"/>
  <c r="BI72" i="62"/>
  <c r="BH72" i="62"/>
  <c r="T72" i="62"/>
  <c r="DE72" i="62" s="1"/>
  <c r="BS71" i="62"/>
  <c r="BR71" i="62"/>
  <c r="BQ71" i="62"/>
  <c r="BP71" i="62"/>
  <c r="BO71" i="62"/>
  <c r="BN71" i="62"/>
  <c r="BM71" i="62"/>
  <c r="BL71" i="62"/>
  <c r="BK71" i="62"/>
  <c r="BJ71" i="62"/>
  <c r="BI71" i="62"/>
  <c r="BH71" i="62"/>
  <c r="T71" i="62"/>
  <c r="DE71" i="62" s="1"/>
  <c r="BS70" i="62"/>
  <c r="BR70" i="62"/>
  <c r="BQ70" i="62"/>
  <c r="BP70" i="62"/>
  <c r="BO70" i="62"/>
  <c r="BN70" i="62"/>
  <c r="BM70" i="62"/>
  <c r="BL70" i="62"/>
  <c r="BK70" i="62"/>
  <c r="BJ70" i="62"/>
  <c r="BI70" i="62"/>
  <c r="BH70" i="62"/>
  <c r="T70" i="62"/>
  <c r="DE70" i="62" s="1"/>
  <c r="BS69" i="62"/>
  <c r="BR69" i="62"/>
  <c r="BQ69" i="62"/>
  <c r="BP69" i="62"/>
  <c r="BO69" i="62"/>
  <c r="BN69" i="62"/>
  <c r="BM69" i="62"/>
  <c r="BL69" i="62"/>
  <c r="BK69" i="62"/>
  <c r="BJ69" i="62"/>
  <c r="BI69" i="62"/>
  <c r="BH69" i="62"/>
  <c r="T69" i="62"/>
  <c r="DE69" i="62" s="1"/>
  <c r="BS68" i="62"/>
  <c r="BR68" i="62"/>
  <c r="BQ68" i="62"/>
  <c r="BP68" i="62"/>
  <c r="BO68" i="62"/>
  <c r="BN68" i="62"/>
  <c r="BM68" i="62"/>
  <c r="BL68" i="62"/>
  <c r="BK68" i="62"/>
  <c r="BJ68" i="62"/>
  <c r="BI68" i="62"/>
  <c r="BH68" i="62"/>
  <c r="T68" i="62"/>
  <c r="DE68" i="62" s="1"/>
  <c r="BS67" i="62"/>
  <c r="BR67" i="62"/>
  <c r="BQ67" i="62"/>
  <c r="BP67" i="62"/>
  <c r="BO67" i="62"/>
  <c r="BN67" i="62"/>
  <c r="BM67" i="62"/>
  <c r="BL67" i="62"/>
  <c r="BK67" i="62"/>
  <c r="BJ67" i="62"/>
  <c r="BI67" i="62"/>
  <c r="BH67" i="62"/>
  <c r="T67" i="62"/>
  <c r="DE67" i="62" s="1"/>
  <c r="BS66" i="62"/>
  <c r="BR66" i="62"/>
  <c r="BQ66" i="62"/>
  <c r="BP66" i="62"/>
  <c r="BO66" i="62"/>
  <c r="BN66" i="62"/>
  <c r="BM66" i="62"/>
  <c r="BL66" i="62"/>
  <c r="BK66" i="62"/>
  <c r="BJ66" i="62"/>
  <c r="BI66" i="62"/>
  <c r="BH66" i="62"/>
  <c r="T66" i="62"/>
  <c r="DE66" i="62" s="1"/>
  <c r="BS65" i="62"/>
  <c r="BR65" i="62"/>
  <c r="BQ65" i="62"/>
  <c r="BP65" i="62"/>
  <c r="BO65" i="62"/>
  <c r="BN65" i="62"/>
  <c r="BM65" i="62"/>
  <c r="BL65" i="62"/>
  <c r="BK65" i="62"/>
  <c r="BJ65" i="62"/>
  <c r="BI65" i="62"/>
  <c r="BH65" i="62"/>
  <c r="T65" i="62"/>
  <c r="DE65" i="62" s="1"/>
  <c r="BS64" i="62"/>
  <c r="BR64" i="62"/>
  <c r="BQ64" i="62"/>
  <c r="BP64" i="62"/>
  <c r="BO64" i="62"/>
  <c r="BN64" i="62"/>
  <c r="BM64" i="62"/>
  <c r="BL64" i="62"/>
  <c r="BK64" i="62"/>
  <c r="BJ64" i="62"/>
  <c r="BI64" i="62"/>
  <c r="BH64" i="62"/>
  <c r="T64" i="62"/>
  <c r="DE64" i="62" s="1"/>
  <c r="BS63" i="62"/>
  <c r="BR63" i="62"/>
  <c r="BQ63" i="62"/>
  <c r="BP63" i="62"/>
  <c r="BO63" i="62"/>
  <c r="BN63" i="62"/>
  <c r="BM63" i="62"/>
  <c r="BL63" i="62"/>
  <c r="BK63" i="62"/>
  <c r="BJ63" i="62"/>
  <c r="BI63" i="62"/>
  <c r="BH63" i="62"/>
  <c r="T63" i="62"/>
  <c r="DE63" i="62" s="1"/>
  <c r="BS62" i="62"/>
  <c r="BR62" i="62"/>
  <c r="BQ62" i="62"/>
  <c r="BP62" i="62"/>
  <c r="BO62" i="62"/>
  <c r="BN62" i="62"/>
  <c r="BM62" i="62"/>
  <c r="BL62" i="62"/>
  <c r="BK62" i="62"/>
  <c r="BJ62" i="62"/>
  <c r="BI62" i="62"/>
  <c r="BH62" i="62"/>
  <c r="T62" i="62"/>
  <c r="DE62" i="62" s="1"/>
  <c r="BS61" i="62"/>
  <c r="BR61" i="62"/>
  <c r="BQ61" i="62"/>
  <c r="BP61" i="62"/>
  <c r="BO61" i="62"/>
  <c r="BN61" i="62"/>
  <c r="BM61" i="62"/>
  <c r="BL61" i="62"/>
  <c r="BK61" i="62"/>
  <c r="BJ61" i="62"/>
  <c r="BI61" i="62"/>
  <c r="BH61" i="62"/>
  <c r="T61" i="62"/>
  <c r="DE61" i="62" s="1"/>
  <c r="BS60" i="62"/>
  <c r="BR60" i="62"/>
  <c r="BQ60" i="62"/>
  <c r="BP60" i="62"/>
  <c r="BO60" i="62"/>
  <c r="BN60" i="62"/>
  <c r="BM60" i="62"/>
  <c r="BL60" i="62"/>
  <c r="BK60" i="62"/>
  <c r="BJ60" i="62"/>
  <c r="BI60" i="62"/>
  <c r="BH60" i="62"/>
  <c r="T60" i="62"/>
  <c r="DE60" i="62" s="1"/>
  <c r="BS59" i="62"/>
  <c r="BR59" i="62"/>
  <c r="BQ59" i="62"/>
  <c r="BP59" i="62"/>
  <c r="BO59" i="62"/>
  <c r="BN59" i="62"/>
  <c r="BM59" i="62"/>
  <c r="BL59" i="62"/>
  <c r="BK59" i="62"/>
  <c r="BJ59" i="62"/>
  <c r="BI59" i="62"/>
  <c r="BH59" i="62"/>
  <c r="T59" i="62"/>
  <c r="DE59" i="62" s="1"/>
  <c r="BS58" i="62"/>
  <c r="BR58" i="62"/>
  <c r="BQ58" i="62"/>
  <c r="BP58" i="62"/>
  <c r="BO58" i="62"/>
  <c r="BN58" i="62"/>
  <c r="BM58" i="62"/>
  <c r="BL58" i="62"/>
  <c r="BK58" i="62"/>
  <c r="BJ58" i="62"/>
  <c r="BI58" i="62"/>
  <c r="BH58" i="62"/>
  <c r="T58" i="62"/>
  <c r="DE58" i="62" s="1"/>
  <c r="BS57" i="62"/>
  <c r="BR57" i="62"/>
  <c r="BQ57" i="62"/>
  <c r="BP57" i="62"/>
  <c r="BO57" i="62"/>
  <c r="BN57" i="62"/>
  <c r="BM57" i="62"/>
  <c r="BL57" i="62"/>
  <c r="BK57" i="62"/>
  <c r="BJ57" i="62"/>
  <c r="BI57" i="62"/>
  <c r="BH57" i="62"/>
  <c r="T57" i="62"/>
  <c r="DE57" i="62" s="1"/>
  <c r="BS56" i="62"/>
  <c r="BR56" i="62"/>
  <c r="BQ56" i="62"/>
  <c r="BP56" i="62"/>
  <c r="BO56" i="62"/>
  <c r="BN56" i="62"/>
  <c r="BM56" i="62"/>
  <c r="BL56" i="62"/>
  <c r="BK56" i="62"/>
  <c r="BJ56" i="62"/>
  <c r="BI56" i="62"/>
  <c r="BH56" i="62"/>
  <c r="T56" i="62"/>
  <c r="DE56" i="62" s="1"/>
  <c r="BS55" i="62"/>
  <c r="BR55" i="62"/>
  <c r="BQ55" i="62"/>
  <c r="BP55" i="62"/>
  <c r="BO55" i="62"/>
  <c r="BN55" i="62"/>
  <c r="BM55" i="62"/>
  <c r="BL55" i="62"/>
  <c r="BK55" i="62"/>
  <c r="BJ55" i="62"/>
  <c r="BI55" i="62"/>
  <c r="BH55" i="62"/>
  <c r="T55" i="62"/>
  <c r="DE55" i="62" s="1"/>
  <c r="BS54" i="62"/>
  <c r="BR54" i="62"/>
  <c r="BQ54" i="62"/>
  <c r="BP54" i="62"/>
  <c r="BO54" i="62"/>
  <c r="BN54" i="62"/>
  <c r="BM54" i="62"/>
  <c r="BL54" i="62"/>
  <c r="BK54" i="62"/>
  <c r="BJ54" i="62"/>
  <c r="BI54" i="62"/>
  <c r="BH54" i="62"/>
  <c r="T54" i="62"/>
  <c r="DE54" i="62" s="1"/>
  <c r="BS53" i="62"/>
  <c r="BR53" i="62"/>
  <c r="BQ53" i="62"/>
  <c r="BP53" i="62"/>
  <c r="BO53" i="62"/>
  <c r="BN53" i="62"/>
  <c r="BM53" i="62"/>
  <c r="BL53" i="62"/>
  <c r="BK53" i="62"/>
  <c r="BJ53" i="62"/>
  <c r="BI53" i="62"/>
  <c r="BH53" i="62"/>
  <c r="T53" i="62"/>
  <c r="DE53" i="62" s="1"/>
  <c r="BS52" i="62"/>
  <c r="BR52" i="62"/>
  <c r="BQ52" i="62"/>
  <c r="BP52" i="62"/>
  <c r="BO52" i="62"/>
  <c r="BN52" i="62"/>
  <c r="BM52" i="62"/>
  <c r="BL52" i="62"/>
  <c r="BK52" i="62"/>
  <c r="BJ52" i="62"/>
  <c r="BI52" i="62"/>
  <c r="BH52" i="62"/>
  <c r="T52" i="62"/>
  <c r="DE52" i="62" s="1"/>
  <c r="BS51" i="62"/>
  <c r="BR51" i="62"/>
  <c r="BQ51" i="62"/>
  <c r="BP51" i="62"/>
  <c r="BO51" i="62"/>
  <c r="BN51" i="62"/>
  <c r="BM51" i="62"/>
  <c r="BL51" i="62"/>
  <c r="BK51" i="62"/>
  <c r="BJ51" i="62"/>
  <c r="BI51" i="62"/>
  <c r="BH51" i="62"/>
  <c r="T51" i="62"/>
  <c r="DE51" i="62" s="1"/>
  <c r="BS50" i="62"/>
  <c r="BR50" i="62"/>
  <c r="BQ50" i="62"/>
  <c r="BP50" i="62"/>
  <c r="BO50" i="62"/>
  <c r="BN50" i="62"/>
  <c r="BM50" i="62"/>
  <c r="BL50" i="62"/>
  <c r="BK50" i="62"/>
  <c r="BJ50" i="62"/>
  <c r="BI50" i="62"/>
  <c r="BH50" i="62"/>
  <c r="T50" i="62"/>
  <c r="DE50" i="62" s="1"/>
  <c r="BS49" i="62"/>
  <c r="BR49" i="62"/>
  <c r="BQ49" i="62"/>
  <c r="BP49" i="62"/>
  <c r="BO49" i="62"/>
  <c r="BN49" i="62"/>
  <c r="BM49" i="62"/>
  <c r="BL49" i="62"/>
  <c r="BK49" i="62"/>
  <c r="BJ49" i="62"/>
  <c r="BI49" i="62"/>
  <c r="BH49" i="62"/>
  <c r="T49" i="62"/>
  <c r="DE49" i="62" s="1"/>
  <c r="BS48" i="62"/>
  <c r="BR48" i="62"/>
  <c r="BQ48" i="62"/>
  <c r="BP48" i="62"/>
  <c r="BO48" i="62"/>
  <c r="BN48" i="62"/>
  <c r="BM48" i="62"/>
  <c r="BL48" i="62"/>
  <c r="BK48" i="62"/>
  <c r="BJ48" i="62"/>
  <c r="BI48" i="62"/>
  <c r="BH48" i="62"/>
  <c r="T48" i="62"/>
  <c r="DE48" i="62" s="1"/>
  <c r="BS47" i="62"/>
  <c r="BR47" i="62"/>
  <c r="BQ47" i="62"/>
  <c r="BP47" i="62"/>
  <c r="BO47" i="62"/>
  <c r="BN47" i="62"/>
  <c r="BM47" i="62"/>
  <c r="BL47" i="62"/>
  <c r="BK47" i="62"/>
  <c r="BJ47" i="62"/>
  <c r="BI47" i="62"/>
  <c r="BH47" i="62"/>
  <c r="T47" i="62"/>
  <c r="DE47" i="62" s="1"/>
  <c r="BS46" i="62"/>
  <c r="BR46" i="62"/>
  <c r="BQ46" i="62"/>
  <c r="BP46" i="62"/>
  <c r="BO46" i="62"/>
  <c r="BN46" i="62"/>
  <c r="BM46" i="62"/>
  <c r="BL46" i="62"/>
  <c r="BK46" i="62"/>
  <c r="BJ46" i="62"/>
  <c r="BI46" i="62"/>
  <c r="BH46" i="62"/>
  <c r="T46" i="62"/>
  <c r="DE46" i="62" s="1"/>
  <c r="BS45" i="62"/>
  <c r="BR45" i="62"/>
  <c r="BQ45" i="62"/>
  <c r="BP45" i="62"/>
  <c r="BO45" i="62"/>
  <c r="BN45" i="62"/>
  <c r="BM45" i="62"/>
  <c r="BL45" i="62"/>
  <c r="BK45" i="62"/>
  <c r="BJ45" i="62"/>
  <c r="BI45" i="62"/>
  <c r="BH45" i="62"/>
  <c r="T45" i="62"/>
  <c r="DE45" i="62" s="1"/>
  <c r="BS44" i="62"/>
  <c r="BR44" i="62"/>
  <c r="BQ44" i="62"/>
  <c r="BP44" i="62"/>
  <c r="BO44" i="62"/>
  <c r="BN44" i="62"/>
  <c r="BM44" i="62"/>
  <c r="BL44" i="62"/>
  <c r="BK44" i="62"/>
  <c r="BJ44" i="62"/>
  <c r="BI44" i="62"/>
  <c r="BH44" i="62"/>
  <c r="T44" i="62"/>
  <c r="DE44" i="62" s="1"/>
  <c r="BS43" i="62"/>
  <c r="BR43" i="62"/>
  <c r="BQ43" i="62"/>
  <c r="BP43" i="62"/>
  <c r="BO43" i="62"/>
  <c r="BN43" i="62"/>
  <c r="BM43" i="62"/>
  <c r="BL43" i="62"/>
  <c r="BK43" i="62"/>
  <c r="BJ43" i="62"/>
  <c r="BI43" i="62"/>
  <c r="BH43" i="62"/>
  <c r="T43" i="62"/>
  <c r="DE43" i="62" s="1"/>
  <c r="BS42" i="62"/>
  <c r="BR42" i="62"/>
  <c r="BQ42" i="62"/>
  <c r="BP42" i="62"/>
  <c r="BO42" i="62"/>
  <c r="BN42" i="62"/>
  <c r="BM42" i="62"/>
  <c r="BL42" i="62"/>
  <c r="BK42" i="62"/>
  <c r="BJ42" i="62"/>
  <c r="BI42" i="62"/>
  <c r="BH42" i="62"/>
  <c r="T42" i="62"/>
  <c r="DE42" i="62" s="1"/>
  <c r="T41" i="62"/>
  <c r="DE41" i="62" s="1"/>
  <c r="T40" i="62"/>
  <c r="DE40" i="62" s="1"/>
  <c r="T39" i="62"/>
  <c r="DE39" i="62" s="1"/>
  <c r="T38" i="62"/>
  <c r="DE38" i="62" s="1"/>
  <c r="T37" i="62"/>
  <c r="DE37" i="62" s="1"/>
  <c r="T36" i="62"/>
  <c r="DE36" i="62" s="1"/>
  <c r="T35" i="62"/>
  <c r="DE35" i="62" s="1"/>
  <c r="T34" i="62"/>
  <c r="DE34" i="62" s="1"/>
  <c r="T33" i="62"/>
  <c r="DE33" i="62" s="1"/>
  <c r="T32" i="62"/>
  <c r="DE32" i="62" s="1"/>
  <c r="T31" i="62"/>
  <c r="DE31" i="62" s="1"/>
  <c r="T30" i="62"/>
  <c r="DE30" i="62" s="1"/>
  <c r="T29" i="62"/>
  <c r="DE29" i="62" s="1"/>
  <c r="T28" i="62"/>
  <c r="DE28" i="62" s="1"/>
  <c r="T27" i="62"/>
  <c r="DE27" i="62" s="1"/>
  <c r="T26" i="62"/>
  <c r="DE26" i="62" s="1"/>
  <c r="T25" i="62"/>
  <c r="DE25" i="62" s="1"/>
  <c r="T24" i="62"/>
  <c r="DE24" i="62" s="1"/>
  <c r="BS23" i="62"/>
  <c r="BR23" i="62"/>
  <c r="BQ23" i="62"/>
  <c r="BP23" i="62"/>
  <c r="BO23" i="62"/>
  <c r="BN23" i="62"/>
  <c r="BM23" i="62"/>
  <c r="BL23" i="62"/>
  <c r="BK23" i="62"/>
  <c r="BJ23" i="62"/>
  <c r="BI23" i="62"/>
  <c r="T23" i="62"/>
  <c r="DE23" i="62" s="1"/>
  <c r="BD22" i="62"/>
  <c r="BC22" i="62"/>
  <c r="T22" i="62"/>
  <c r="DE22" i="62" s="1"/>
  <c r="DG22" i="62" s="1"/>
  <c r="H21" i="62"/>
  <c r="S117" i="38"/>
  <c r="R117" i="38"/>
  <c r="Q117" i="38"/>
  <c r="P117" i="38"/>
  <c r="O117" i="38"/>
  <c r="N117" i="38"/>
  <c r="M117" i="38"/>
  <c r="L117" i="38"/>
  <c r="K117" i="38"/>
  <c r="J117" i="38"/>
  <c r="I117" i="38"/>
  <c r="H117" i="38"/>
  <c r="S116" i="38"/>
  <c r="R116" i="38"/>
  <c r="Q116" i="38"/>
  <c r="P116" i="38"/>
  <c r="O116" i="38"/>
  <c r="N116" i="38"/>
  <c r="M116" i="38"/>
  <c r="L116" i="38"/>
  <c r="K116" i="38"/>
  <c r="J116" i="38"/>
  <c r="I116" i="38"/>
  <c r="H116" i="38"/>
  <c r="S115" i="38"/>
  <c r="R115" i="38"/>
  <c r="Q115" i="38"/>
  <c r="P115" i="38"/>
  <c r="O115" i="38"/>
  <c r="N115" i="38"/>
  <c r="M115" i="38"/>
  <c r="L115" i="38"/>
  <c r="K115" i="38"/>
  <c r="J115" i="38"/>
  <c r="I115" i="38"/>
  <c r="H115" i="38"/>
  <c r="S114" i="38"/>
  <c r="R114" i="38"/>
  <c r="Q114" i="38"/>
  <c r="P114" i="38"/>
  <c r="O114" i="38"/>
  <c r="N114" i="38"/>
  <c r="M114" i="38"/>
  <c r="L114" i="38"/>
  <c r="K114" i="38"/>
  <c r="J114" i="38"/>
  <c r="I114" i="38"/>
  <c r="H114" i="38"/>
  <c r="S113" i="38"/>
  <c r="R113" i="38"/>
  <c r="Q113" i="38"/>
  <c r="P113" i="38"/>
  <c r="O113" i="38"/>
  <c r="N113" i="38"/>
  <c r="M113" i="38"/>
  <c r="L113" i="38"/>
  <c r="K113" i="38"/>
  <c r="J113" i="38"/>
  <c r="I113" i="38"/>
  <c r="H113" i="38"/>
  <c r="S112" i="38"/>
  <c r="R112" i="38"/>
  <c r="Q112" i="38"/>
  <c r="P112" i="38"/>
  <c r="O112" i="38"/>
  <c r="N112" i="38"/>
  <c r="M112" i="38"/>
  <c r="L112" i="38"/>
  <c r="K112" i="38"/>
  <c r="J112" i="38"/>
  <c r="I112" i="38"/>
  <c r="H112" i="38"/>
  <c r="S111" i="38"/>
  <c r="R111" i="38"/>
  <c r="Q111" i="38"/>
  <c r="P111" i="38"/>
  <c r="O111" i="38"/>
  <c r="N111" i="38"/>
  <c r="M111" i="38"/>
  <c r="L111" i="38"/>
  <c r="K111" i="38"/>
  <c r="J111" i="38"/>
  <c r="I111" i="38"/>
  <c r="H111" i="38"/>
  <c r="S110" i="38"/>
  <c r="R110" i="38"/>
  <c r="Q110" i="38"/>
  <c r="P110" i="38"/>
  <c r="O110" i="38"/>
  <c r="N110" i="38"/>
  <c r="M110" i="38"/>
  <c r="L110" i="38"/>
  <c r="K110" i="38"/>
  <c r="J110" i="38"/>
  <c r="I110" i="38"/>
  <c r="H110" i="38"/>
  <c r="S109" i="38"/>
  <c r="R109" i="38"/>
  <c r="Q109" i="38"/>
  <c r="P109" i="38"/>
  <c r="O109" i="38"/>
  <c r="N109" i="38"/>
  <c r="M109" i="38"/>
  <c r="L109" i="38"/>
  <c r="K109" i="38"/>
  <c r="J109" i="38"/>
  <c r="I109" i="38"/>
  <c r="H109" i="38"/>
  <c r="S108" i="38"/>
  <c r="R108" i="38"/>
  <c r="Q108" i="38"/>
  <c r="P108" i="38"/>
  <c r="O108" i="38"/>
  <c r="N108" i="38"/>
  <c r="M108" i="38"/>
  <c r="L108" i="38"/>
  <c r="K108" i="38"/>
  <c r="J108" i="38"/>
  <c r="I108" i="38"/>
  <c r="H108" i="38"/>
  <c r="S107" i="38"/>
  <c r="R107" i="38"/>
  <c r="Q107" i="38"/>
  <c r="P107" i="38"/>
  <c r="O107" i="38"/>
  <c r="N107" i="38"/>
  <c r="M107" i="38"/>
  <c r="L107" i="38"/>
  <c r="K107" i="38"/>
  <c r="J107" i="38"/>
  <c r="I107" i="38"/>
  <c r="H107" i="38"/>
  <c r="S106" i="38"/>
  <c r="R106" i="38"/>
  <c r="Q106" i="38"/>
  <c r="P106" i="38"/>
  <c r="O106" i="38"/>
  <c r="N106" i="38"/>
  <c r="M106" i="38"/>
  <c r="L106" i="38"/>
  <c r="K106" i="38"/>
  <c r="J106" i="38"/>
  <c r="I106" i="38"/>
  <c r="H106" i="38"/>
  <c r="S105" i="38"/>
  <c r="R105" i="38"/>
  <c r="Q105" i="38"/>
  <c r="P105" i="38"/>
  <c r="O105" i="38"/>
  <c r="N105" i="38"/>
  <c r="M105" i="38"/>
  <c r="L105" i="38"/>
  <c r="K105" i="38"/>
  <c r="J105" i="38"/>
  <c r="I105" i="38"/>
  <c r="H105" i="38"/>
  <c r="S104" i="38"/>
  <c r="R104" i="38"/>
  <c r="Q104" i="38"/>
  <c r="P104" i="38"/>
  <c r="O104" i="38"/>
  <c r="N104" i="38"/>
  <c r="M104" i="38"/>
  <c r="L104" i="38"/>
  <c r="K104" i="38"/>
  <c r="J104" i="38"/>
  <c r="I104" i="38"/>
  <c r="H104" i="38"/>
  <c r="S103" i="38"/>
  <c r="R103" i="38"/>
  <c r="Q103" i="38"/>
  <c r="P103" i="38"/>
  <c r="O103" i="38"/>
  <c r="N103" i="38"/>
  <c r="M103" i="38"/>
  <c r="L103" i="38"/>
  <c r="K103" i="38"/>
  <c r="J103" i="38"/>
  <c r="I103" i="38"/>
  <c r="H103" i="38"/>
  <c r="S102" i="38"/>
  <c r="R102" i="38"/>
  <c r="Q102" i="38"/>
  <c r="P102" i="38"/>
  <c r="O102" i="38"/>
  <c r="N102" i="38"/>
  <c r="M102" i="38"/>
  <c r="L102" i="38"/>
  <c r="K102" i="38"/>
  <c r="J102" i="38"/>
  <c r="I102" i="38"/>
  <c r="H102" i="38"/>
  <c r="S101" i="38"/>
  <c r="R101" i="38"/>
  <c r="Q101" i="38"/>
  <c r="P101" i="38"/>
  <c r="O101" i="38"/>
  <c r="N101" i="38"/>
  <c r="M101" i="38"/>
  <c r="L101" i="38"/>
  <c r="K101" i="38"/>
  <c r="J101" i="38"/>
  <c r="I101" i="38"/>
  <c r="H101" i="38"/>
  <c r="S100" i="38"/>
  <c r="R100" i="38"/>
  <c r="Q100" i="38"/>
  <c r="P100" i="38"/>
  <c r="O100" i="38"/>
  <c r="N100" i="38"/>
  <c r="M100" i="38"/>
  <c r="L100" i="38"/>
  <c r="K100" i="38"/>
  <c r="J100" i="38"/>
  <c r="I100" i="38"/>
  <c r="H100" i="38"/>
  <c r="S99" i="38"/>
  <c r="R99" i="38"/>
  <c r="Q99" i="38"/>
  <c r="P99" i="38"/>
  <c r="O99" i="38"/>
  <c r="N99" i="38"/>
  <c r="M99" i="38"/>
  <c r="L99" i="38"/>
  <c r="K99" i="38"/>
  <c r="J99" i="38"/>
  <c r="I99" i="38"/>
  <c r="H99" i="38"/>
  <c r="S98" i="38"/>
  <c r="R98" i="38"/>
  <c r="Q98" i="38"/>
  <c r="P98" i="38"/>
  <c r="O98" i="38"/>
  <c r="N98" i="38"/>
  <c r="M98" i="38"/>
  <c r="L98" i="38"/>
  <c r="K98" i="38"/>
  <c r="J98" i="38"/>
  <c r="I98" i="38"/>
  <c r="H98" i="38"/>
  <c r="S97" i="38"/>
  <c r="R97" i="38"/>
  <c r="Q97" i="38"/>
  <c r="P97" i="38"/>
  <c r="O97" i="38"/>
  <c r="N97" i="38"/>
  <c r="M97" i="38"/>
  <c r="L97" i="38"/>
  <c r="K97" i="38"/>
  <c r="J97" i="38"/>
  <c r="I97" i="38"/>
  <c r="H97" i="38"/>
  <c r="S96" i="38"/>
  <c r="R96" i="38"/>
  <c r="Q96" i="38"/>
  <c r="P96" i="38"/>
  <c r="O96" i="38"/>
  <c r="N96" i="38"/>
  <c r="M96" i="38"/>
  <c r="L96" i="38"/>
  <c r="K96" i="38"/>
  <c r="J96" i="38"/>
  <c r="I96" i="38"/>
  <c r="H96" i="38"/>
  <c r="S95" i="38"/>
  <c r="R95" i="38"/>
  <c r="Q95" i="38"/>
  <c r="P95" i="38"/>
  <c r="O95" i="38"/>
  <c r="N95" i="38"/>
  <c r="M95" i="38"/>
  <c r="L95" i="38"/>
  <c r="K95" i="38"/>
  <c r="J95" i="38"/>
  <c r="I95" i="38"/>
  <c r="H95" i="38"/>
  <c r="S94" i="38"/>
  <c r="R94" i="38"/>
  <c r="Q94" i="38"/>
  <c r="P94" i="38"/>
  <c r="O94" i="38"/>
  <c r="N94" i="38"/>
  <c r="M94" i="38"/>
  <c r="L94" i="38"/>
  <c r="K94" i="38"/>
  <c r="J94" i="38"/>
  <c r="I94" i="38"/>
  <c r="H94" i="38"/>
  <c r="S93" i="38"/>
  <c r="R93" i="38"/>
  <c r="Q93" i="38"/>
  <c r="P93" i="38"/>
  <c r="O93" i="38"/>
  <c r="N93" i="38"/>
  <c r="M93" i="38"/>
  <c r="L93" i="38"/>
  <c r="K93" i="38"/>
  <c r="J93" i="38"/>
  <c r="I93" i="38"/>
  <c r="H93" i="38"/>
  <c r="S92" i="38"/>
  <c r="R92" i="38"/>
  <c r="Q92" i="38"/>
  <c r="P92" i="38"/>
  <c r="O92" i="38"/>
  <c r="N92" i="38"/>
  <c r="M92" i="38"/>
  <c r="L92" i="38"/>
  <c r="K92" i="38"/>
  <c r="J92" i="38"/>
  <c r="I92" i="38"/>
  <c r="H92" i="38"/>
  <c r="S91" i="38"/>
  <c r="R91" i="38"/>
  <c r="Q91" i="38"/>
  <c r="P91" i="38"/>
  <c r="O91" i="38"/>
  <c r="N91" i="38"/>
  <c r="M91" i="38"/>
  <c r="L91" i="38"/>
  <c r="K91" i="38"/>
  <c r="J91" i="38"/>
  <c r="I91" i="38"/>
  <c r="H91" i="38"/>
  <c r="S90" i="38"/>
  <c r="R90" i="38"/>
  <c r="Q90" i="38"/>
  <c r="P90" i="38"/>
  <c r="O90" i="38"/>
  <c r="N90" i="38"/>
  <c r="M90" i="38"/>
  <c r="L90" i="38"/>
  <c r="K90" i="38"/>
  <c r="J90" i="38"/>
  <c r="I90" i="38"/>
  <c r="H90" i="38"/>
  <c r="S89" i="38"/>
  <c r="R89" i="38"/>
  <c r="Q89" i="38"/>
  <c r="P89" i="38"/>
  <c r="O89" i="38"/>
  <c r="N89" i="38"/>
  <c r="M89" i="38"/>
  <c r="L89" i="38"/>
  <c r="K89" i="38"/>
  <c r="J89" i="38"/>
  <c r="I89" i="38"/>
  <c r="H89" i="38"/>
  <c r="S88" i="38"/>
  <c r="R88" i="38"/>
  <c r="Q88" i="38"/>
  <c r="P88" i="38"/>
  <c r="O88" i="38"/>
  <c r="N88" i="38"/>
  <c r="M88" i="38"/>
  <c r="L88" i="38"/>
  <c r="K88" i="38"/>
  <c r="J88" i="38"/>
  <c r="I88" i="38"/>
  <c r="H88" i="38"/>
  <c r="S87" i="38"/>
  <c r="R87" i="38"/>
  <c r="Q87" i="38"/>
  <c r="P87" i="38"/>
  <c r="O87" i="38"/>
  <c r="N87" i="38"/>
  <c r="M87" i="38"/>
  <c r="L87" i="38"/>
  <c r="K87" i="38"/>
  <c r="J87" i="38"/>
  <c r="I87" i="38"/>
  <c r="H87" i="38"/>
  <c r="S86" i="38"/>
  <c r="R86" i="38"/>
  <c r="Q86" i="38"/>
  <c r="P86" i="38"/>
  <c r="O86" i="38"/>
  <c r="N86" i="38"/>
  <c r="M86" i="38"/>
  <c r="L86" i="38"/>
  <c r="K86" i="38"/>
  <c r="J86" i="38"/>
  <c r="I86" i="38"/>
  <c r="H86" i="38"/>
  <c r="S85" i="38"/>
  <c r="R85" i="38"/>
  <c r="Q85" i="38"/>
  <c r="P85" i="38"/>
  <c r="O85" i="38"/>
  <c r="N85" i="38"/>
  <c r="M85" i="38"/>
  <c r="L85" i="38"/>
  <c r="K85" i="38"/>
  <c r="J85" i="38"/>
  <c r="I85" i="38"/>
  <c r="H85" i="38"/>
  <c r="S84" i="38"/>
  <c r="R84" i="38"/>
  <c r="Q84" i="38"/>
  <c r="P84" i="38"/>
  <c r="O84" i="38"/>
  <c r="N84" i="38"/>
  <c r="M84" i="38"/>
  <c r="L84" i="38"/>
  <c r="K84" i="38"/>
  <c r="J84" i="38"/>
  <c r="I84" i="38"/>
  <c r="H84" i="38"/>
  <c r="S83" i="38"/>
  <c r="R83" i="38"/>
  <c r="Q83" i="38"/>
  <c r="P83" i="38"/>
  <c r="O83" i="38"/>
  <c r="N83" i="38"/>
  <c r="M83" i="38"/>
  <c r="L83" i="38"/>
  <c r="K83" i="38"/>
  <c r="J83" i="38"/>
  <c r="I83" i="38"/>
  <c r="H83" i="38"/>
  <c r="S82" i="38"/>
  <c r="R82" i="38"/>
  <c r="Q82" i="38"/>
  <c r="P82" i="38"/>
  <c r="O82" i="38"/>
  <c r="N82" i="38"/>
  <c r="M82" i="38"/>
  <c r="L82" i="38"/>
  <c r="K82" i="38"/>
  <c r="J82" i="38"/>
  <c r="I82" i="38"/>
  <c r="H82" i="38"/>
  <c r="S81" i="38"/>
  <c r="R81" i="38"/>
  <c r="Q81" i="38"/>
  <c r="P81" i="38"/>
  <c r="O81" i="38"/>
  <c r="N81" i="38"/>
  <c r="M81" i="38"/>
  <c r="L81" i="38"/>
  <c r="K81" i="38"/>
  <c r="J81" i="38"/>
  <c r="I81" i="38"/>
  <c r="H81" i="38"/>
  <c r="S80" i="38"/>
  <c r="R80" i="38"/>
  <c r="Q80" i="38"/>
  <c r="P80" i="38"/>
  <c r="O80" i="38"/>
  <c r="N80" i="38"/>
  <c r="M80" i="38"/>
  <c r="L80" i="38"/>
  <c r="K80" i="38"/>
  <c r="J80" i="38"/>
  <c r="I80" i="38"/>
  <c r="H80" i="38"/>
  <c r="S79" i="38"/>
  <c r="R79" i="38"/>
  <c r="Q79" i="38"/>
  <c r="P79" i="38"/>
  <c r="O79" i="38"/>
  <c r="N79" i="38"/>
  <c r="M79" i="38"/>
  <c r="L79" i="38"/>
  <c r="K79" i="38"/>
  <c r="J79" i="38"/>
  <c r="I79" i="38"/>
  <c r="H79" i="38"/>
  <c r="S78" i="38"/>
  <c r="R78" i="38"/>
  <c r="Q78" i="38"/>
  <c r="P78" i="38"/>
  <c r="O78" i="38"/>
  <c r="N78" i="38"/>
  <c r="M78" i="38"/>
  <c r="L78" i="38"/>
  <c r="K78" i="38"/>
  <c r="J78" i="38"/>
  <c r="I78" i="38"/>
  <c r="H78" i="38"/>
  <c r="S77" i="38"/>
  <c r="R77" i="38"/>
  <c r="Q77" i="38"/>
  <c r="P77" i="38"/>
  <c r="O77" i="38"/>
  <c r="N77" i="38"/>
  <c r="M77" i="38"/>
  <c r="L77" i="38"/>
  <c r="K77" i="38"/>
  <c r="J77" i="38"/>
  <c r="I77" i="38"/>
  <c r="H77" i="38"/>
  <c r="S76" i="38"/>
  <c r="R76" i="38"/>
  <c r="Q76" i="38"/>
  <c r="P76" i="38"/>
  <c r="O76" i="38"/>
  <c r="N76" i="38"/>
  <c r="M76" i="38"/>
  <c r="L76" i="38"/>
  <c r="K76" i="38"/>
  <c r="J76" i="38"/>
  <c r="I76" i="38"/>
  <c r="H76" i="38"/>
  <c r="S75" i="38"/>
  <c r="R75" i="38"/>
  <c r="Q75" i="38"/>
  <c r="P75" i="38"/>
  <c r="O75" i="38"/>
  <c r="N75" i="38"/>
  <c r="M75" i="38"/>
  <c r="L75" i="38"/>
  <c r="K75" i="38"/>
  <c r="J75" i="38"/>
  <c r="I75" i="38"/>
  <c r="H75" i="38"/>
  <c r="S74" i="38"/>
  <c r="R74" i="38"/>
  <c r="Q74" i="38"/>
  <c r="P74" i="38"/>
  <c r="O74" i="38"/>
  <c r="N74" i="38"/>
  <c r="M74" i="38"/>
  <c r="L74" i="38"/>
  <c r="K74" i="38"/>
  <c r="J74" i="38"/>
  <c r="I74" i="38"/>
  <c r="H74" i="38"/>
  <c r="S73" i="38"/>
  <c r="R73" i="38"/>
  <c r="Q73" i="38"/>
  <c r="P73" i="38"/>
  <c r="O73" i="38"/>
  <c r="N73" i="38"/>
  <c r="M73" i="38"/>
  <c r="L73" i="38"/>
  <c r="K73" i="38"/>
  <c r="J73" i="38"/>
  <c r="I73" i="38"/>
  <c r="H73" i="38"/>
  <c r="S72" i="38"/>
  <c r="R72" i="38"/>
  <c r="Q72" i="38"/>
  <c r="P72" i="38"/>
  <c r="O72" i="38"/>
  <c r="N72" i="38"/>
  <c r="M72" i="38"/>
  <c r="L72" i="38"/>
  <c r="K72" i="38"/>
  <c r="J72" i="38"/>
  <c r="I72" i="38"/>
  <c r="H72" i="38"/>
  <c r="S71" i="38"/>
  <c r="R71" i="38"/>
  <c r="Q71" i="38"/>
  <c r="P71" i="38"/>
  <c r="O71" i="38"/>
  <c r="N71" i="38"/>
  <c r="M71" i="38"/>
  <c r="L71" i="38"/>
  <c r="K71" i="38"/>
  <c r="J71" i="38"/>
  <c r="I71" i="38"/>
  <c r="H71" i="38"/>
  <c r="S70" i="38"/>
  <c r="R70" i="38"/>
  <c r="Q70" i="38"/>
  <c r="P70" i="38"/>
  <c r="O70" i="38"/>
  <c r="N70" i="38"/>
  <c r="M70" i="38"/>
  <c r="L70" i="38"/>
  <c r="K70" i="38"/>
  <c r="J70" i="38"/>
  <c r="I70" i="38"/>
  <c r="H70" i="38"/>
  <c r="S69" i="38"/>
  <c r="R69" i="38"/>
  <c r="Q69" i="38"/>
  <c r="P69" i="38"/>
  <c r="O69" i="38"/>
  <c r="N69" i="38"/>
  <c r="M69" i="38"/>
  <c r="L69" i="38"/>
  <c r="K69" i="38"/>
  <c r="J69" i="38"/>
  <c r="I69" i="38"/>
  <c r="H69" i="38"/>
  <c r="S68" i="38"/>
  <c r="R68" i="38"/>
  <c r="Q68" i="38"/>
  <c r="P68" i="38"/>
  <c r="O68" i="38"/>
  <c r="N68" i="38"/>
  <c r="M68" i="38"/>
  <c r="L68" i="38"/>
  <c r="K68" i="38"/>
  <c r="J68" i="38"/>
  <c r="I68" i="38"/>
  <c r="H68" i="38"/>
  <c r="S67" i="38"/>
  <c r="R67" i="38"/>
  <c r="Q67" i="38"/>
  <c r="P67" i="38"/>
  <c r="O67" i="38"/>
  <c r="N67" i="38"/>
  <c r="M67" i="38"/>
  <c r="L67" i="38"/>
  <c r="K67" i="38"/>
  <c r="J67" i="38"/>
  <c r="I67" i="38"/>
  <c r="H67" i="38"/>
  <c r="S66" i="38"/>
  <c r="R66" i="38"/>
  <c r="Q66" i="38"/>
  <c r="P66" i="38"/>
  <c r="O66" i="38"/>
  <c r="N66" i="38"/>
  <c r="M66" i="38"/>
  <c r="L66" i="38"/>
  <c r="K66" i="38"/>
  <c r="J66" i="38"/>
  <c r="I66" i="38"/>
  <c r="H66" i="38"/>
  <c r="S65" i="38"/>
  <c r="R65" i="38"/>
  <c r="Q65" i="38"/>
  <c r="P65" i="38"/>
  <c r="O65" i="38"/>
  <c r="N65" i="38"/>
  <c r="M65" i="38"/>
  <c r="L65" i="38"/>
  <c r="K65" i="38"/>
  <c r="J65" i="38"/>
  <c r="I65" i="38"/>
  <c r="H65" i="38"/>
  <c r="S64" i="38"/>
  <c r="R64" i="38"/>
  <c r="Q64" i="38"/>
  <c r="P64" i="38"/>
  <c r="O64" i="38"/>
  <c r="N64" i="38"/>
  <c r="M64" i="38"/>
  <c r="L64" i="38"/>
  <c r="K64" i="38"/>
  <c r="J64" i="38"/>
  <c r="I64" i="38"/>
  <c r="H64" i="38"/>
  <c r="S63" i="38"/>
  <c r="R63" i="38"/>
  <c r="Q63" i="38"/>
  <c r="P63" i="38"/>
  <c r="O63" i="38"/>
  <c r="N63" i="38"/>
  <c r="M63" i="38"/>
  <c r="L63" i="38"/>
  <c r="K63" i="38"/>
  <c r="J63" i="38"/>
  <c r="I63" i="38"/>
  <c r="H63" i="38"/>
  <c r="S62" i="38"/>
  <c r="R62" i="38"/>
  <c r="Q62" i="38"/>
  <c r="P62" i="38"/>
  <c r="O62" i="38"/>
  <c r="N62" i="38"/>
  <c r="M62" i="38"/>
  <c r="L62" i="38"/>
  <c r="K62" i="38"/>
  <c r="J62" i="38"/>
  <c r="I62" i="38"/>
  <c r="H62" i="38"/>
  <c r="S61" i="38"/>
  <c r="R61" i="38"/>
  <c r="Q61" i="38"/>
  <c r="P61" i="38"/>
  <c r="O61" i="38"/>
  <c r="N61" i="38"/>
  <c r="M61" i="38"/>
  <c r="L61" i="38"/>
  <c r="K61" i="38"/>
  <c r="J61" i="38"/>
  <c r="I61" i="38"/>
  <c r="H61" i="38"/>
  <c r="S60" i="38"/>
  <c r="R60" i="38"/>
  <c r="Q60" i="38"/>
  <c r="P60" i="38"/>
  <c r="O60" i="38"/>
  <c r="N60" i="38"/>
  <c r="M60" i="38"/>
  <c r="L60" i="38"/>
  <c r="K60" i="38"/>
  <c r="J60" i="38"/>
  <c r="I60" i="38"/>
  <c r="H60" i="38"/>
  <c r="S59" i="38"/>
  <c r="R59" i="38"/>
  <c r="Q59" i="38"/>
  <c r="P59" i="38"/>
  <c r="O59" i="38"/>
  <c r="N59" i="38"/>
  <c r="M59" i="38"/>
  <c r="L59" i="38"/>
  <c r="K59" i="38"/>
  <c r="J59" i="38"/>
  <c r="I59" i="38"/>
  <c r="H59" i="38"/>
  <c r="S58" i="38"/>
  <c r="R58" i="38"/>
  <c r="Q58" i="38"/>
  <c r="P58" i="38"/>
  <c r="O58" i="38"/>
  <c r="N58" i="38"/>
  <c r="M58" i="38"/>
  <c r="L58" i="38"/>
  <c r="K58" i="38"/>
  <c r="J58" i="38"/>
  <c r="I58" i="38"/>
  <c r="H58" i="38"/>
  <c r="S57" i="38"/>
  <c r="R57" i="38"/>
  <c r="Q57" i="38"/>
  <c r="P57" i="38"/>
  <c r="O57" i="38"/>
  <c r="N57" i="38"/>
  <c r="M57" i="38"/>
  <c r="L57" i="38"/>
  <c r="K57" i="38"/>
  <c r="J57" i="38"/>
  <c r="I57" i="38"/>
  <c r="H57" i="38"/>
  <c r="S56" i="38"/>
  <c r="R56" i="38"/>
  <c r="Q56" i="38"/>
  <c r="P56" i="38"/>
  <c r="O56" i="38"/>
  <c r="N56" i="38"/>
  <c r="M56" i="38"/>
  <c r="L56" i="38"/>
  <c r="K56" i="38"/>
  <c r="J56" i="38"/>
  <c r="I56" i="38"/>
  <c r="H56" i="38"/>
  <c r="S55" i="38"/>
  <c r="R55" i="38"/>
  <c r="Q55" i="38"/>
  <c r="P55" i="38"/>
  <c r="O55" i="38"/>
  <c r="N55" i="38"/>
  <c r="M55" i="38"/>
  <c r="L55" i="38"/>
  <c r="K55" i="38"/>
  <c r="J55" i="38"/>
  <c r="I55" i="38"/>
  <c r="H55" i="38"/>
  <c r="S54" i="38"/>
  <c r="R54" i="38"/>
  <c r="Q54" i="38"/>
  <c r="P54" i="38"/>
  <c r="O54" i="38"/>
  <c r="N54" i="38"/>
  <c r="M54" i="38"/>
  <c r="L54" i="38"/>
  <c r="K54" i="38"/>
  <c r="J54" i="38"/>
  <c r="I54" i="38"/>
  <c r="H54" i="38"/>
  <c r="S53" i="38"/>
  <c r="R53" i="38"/>
  <c r="Q53" i="38"/>
  <c r="P53" i="38"/>
  <c r="O53" i="38"/>
  <c r="N53" i="38"/>
  <c r="M53" i="38"/>
  <c r="L53" i="38"/>
  <c r="K53" i="38"/>
  <c r="J53" i="38"/>
  <c r="I53" i="38"/>
  <c r="H53" i="38"/>
  <c r="S52" i="38"/>
  <c r="R52" i="38"/>
  <c r="Q52" i="38"/>
  <c r="P52" i="38"/>
  <c r="O52" i="38"/>
  <c r="N52" i="38"/>
  <c r="M52" i="38"/>
  <c r="L52" i="38"/>
  <c r="K52" i="38"/>
  <c r="J52" i="38"/>
  <c r="I52" i="38"/>
  <c r="H52" i="38"/>
  <c r="S51" i="38"/>
  <c r="R51" i="38"/>
  <c r="Q51" i="38"/>
  <c r="P51" i="38"/>
  <c r="O51" i="38"/>
  <c r="N51" i="38"/>
  <c r="M51" i="38"/>
  <c r="L51" i="38"/>
  <c r="K51" i="38"/>
  <c r="J51" i="38"/>
  <c r="I51" i="38"/>
  <c r="H51" i="38"/>
  <c r="S50" i="38"/>
  <c r="R50" i="38"/>
  <c r="Q50" i="38"/>
  <c r="P50" i="38"/>
  <c r="O50" i="38"/>
  <c r="N50" i="38"/>
  <c r="M50" i="38"/>
  <c r="L50" i="38"/>
  <c r="K50" i="38"/>
  <c r="J50" i="38"/>
  <c r="I50" i="38"/>
  <c r="H50" i="38"/>
  <c r="S49" i="38"/>
  <c r="R49" i="38"/>
  <c r="Q49" i="38"/>
  <c r="P49" i="38"/>
  <c r="O49" i="38"/>
  <c r="N49" i="38"/>
  <c r="M49" i="38"/>
  <c r="L49" i="38"/>
  <c r="K49" i="38"/>
  <c r="J49" i="38"/>
  <c r="I49" i="38"/>
  <c r="H49" i="38"/>
  <c r="S48" i="38"/>
  <c r="R48" i="38"/>
  <c r="Q48" i="38"/>
  <c r="P48" i="38"/>
  <c r="O48" i="38"/>
  <c r="N48" i="38"/>
  <c r="M48" i="38"/>
  <c r="L48" i="38"/>
  <c r="K48" i="38"/>
  <c r="J48" i="38"/>
  <c r="I48" i="38"/>
  <c r="H48" i="38"/>
  <c r="S47" i="38"/>
  <c r="R47" i="38"/>
  <c r="Q47" i="38"/>
  <c r="P47" i="38"/>
  <c r="O47" i="38"/>
  <c r="N47" i="38"/>
  <c r="M47" i="38"/>
  <c r="L47" i="38"/>
  <c r="K47" i="38"/>
  <c r="J47" i="38"/>
  <c r="I47" i="38"/>
  <c r="H47" i="38"/>
  <c r="S46" i="38"/>
  <c r="R46" i="38"/>
  <c r="Q46" i="38"/>
  <c r="P46" i="38"/>
  <c r="O46" i="38"/>
  <c r="N46" i="38"/>
  <c r="M46" i="38"/>
  <c r="L46" i="38"/>
  <c r="K46" i="38"/>
  <c r="J46" i="38"/>
  <c r="I46" i="38"/>
  <c r="H46" i="38"/>
  <c r="S45" i="38"/>
  <c r="R45" i="38"/>
  <c r="Q45" i="38"/>
  <c r="P45" i="38"/>
  <c r="O45" i="38"/>
  <c r="N45" i="38"/>
  <c r="M45" i="38"/>
  <c r="L45" i="38"/>
  <c r="K45" i="38"/>
  <c r="J45" i="38"/>
  <c r="I45" i="38"/>
  <c r="H45" i="38"/>
  <c r="S44" i="38"/>
  <c r="R44" i="38"/>
  <c r="Q44" i="38"/>
  <c r="P44" i="38"/>
  <c r="O44" i="38"/>
  <c r="N44" i="38"/>
  <c r="M44" i="38"/>
  <c r="L44" i="38"/>
  <c r="K44" i="38"/>
  <c r="J44" i="38"/>
  <c r="I44" i="38"/>
  <c r="H44" i="38"/>
  <c r="S43" i="38"/>
  <c r="R43" i="38"/>
  <c r="Q43" i="38"/>
  <c r="P43" i="38"/>
  <c r="O43" i="38"/>
  <c r="N43" i="38"/>
  <c r="M43" i="38"/>
  <c r="L43" i="38"/>
  <c r="K43" i="38"/>
  <c r="J43" i="38"/>
  <c r="I43" i="38"/>
  <c r="H43" i="38"/>
  <c r="S42" i="38"/>
  <c r="R42" i="38"/>
  <c r="Q42" i="38"/>
  <c r="P42" i="38"/>
  <c r="O42" i="38"/>
  <c r="N42" i="38"/>
  <c r="M42" i="38"/>
  <c r="L42" i="38"/>
  <c r="K42" i="38"/>
  <c r="J42" i="38"/>
  <c r="I42" i="38"/>
  <c r="H42" i="38"/>
  <c r="S41" i="38"/>
  <c r="R41" i="38"/>
  <c r="Q41" i="38"/>
  <c r="P41" i="38"/>
  <c r="O41" i="38"/>
  <c r="N41" i="38"/>
  <c r="M41" i="38"/>
  <c r="L41" i="38"/>
  <c r="K41" i="38"/>
  <c r="J41" i="38"/>
  <c r="I41" i="38"/>
  <c r="H41" i="38"/>
  <c r="S40" i="38"/>
  <c r="R40" i="38"/>
  <c r="Q40" i="38"/>
  <c r="P40" i="38"/>
  <c r="O40" i="38"/>
  <c r="N40" i="38"/>
  <c r="M40" i="38"/>
  <c r="L40" i="38"/>
  <c r="K40" i="38"/>
  <c r="J40" i="38"/>
  <c r="I40" i="38"/>
  <c r="H40" i="38"/>
  <c r="S39" i="38"/>
  <c r="R39" i="38"/>
  <c r="Q39" i="38"/>
  <c r="P39" i="38"/>
  <c r="O39" i="38"/>
  <c r="N39" i="38"/>
  <c r="M39" i="38"/>
  <c r="L39" i="38"/>
  <c r="K39" i="38"/>
  <c r="J39" i="38"/>
  <c r="I39" i="38"/>
  <c r="H39" i="38"/>
  <c r="S38" i="38"/>
  <c r="R38" i="38"/>
  <c r="Q38" i="38"/>
  <c r="P38" i="38"/>
  <c r="O38" i="38"/>
  <c r="N38" i="38"/>
  <c r="M38" i="38"/>
  <c r="L38" i="38"/>
  <c r="K38" i="38"/>
  <c r="J38" i="38"/>
  <c r="I38" i="38"/>
  <c r="H38" i="38"/>
  <c r="S37" i="38"/>
  <c r="R37" i="38"/>
  <c r="Q37" i="38"/>
  <c r="P37" i="38"/>
  <c r="O37" i="38"/>
  <c r="N37" i="38"/>
  <c r="M37" i="38"/>
  <c r="L37" i="38"/>
  <c r="K37" i="38"/>
  <c r="J37" i="38"/>
  <c r="I37" i="38"/>
  <c r="H37" i="38"/>
  <c r="S36" i="38"/>
  <c r="R36" i="38"/>
  <c r="Q36" i="38"/>
  <c r="P36" i="38"/>
  <c r="O36" i="38"/>
  <c r="N36" i="38"/>
  <c r="M36" i="38"/>
  <c r="L36" i="38"/>
  <c r="K36" i="38"/>
  <c r="J36" i="38"/>
  <c r="I36" i="38"/>
  <c r="H36" i="38"/>
  <c r="S35" i="38"/>
  <c r="R35" i="38"/>
  <c r="Q35" i="38"/>
  <c r="P35" i="38"/>
  <c r="O35" i="38"/>
  <c r="N35" i="38"/>
  <c r="M35" i="38"/>
  <c r="L35" i="38"/>
  <c r="K35" i="38"/>
  <c r="J35" i="38"/>
  <c r="I35" i="38"/>
  <c r="H35" i="38"/>
  <c r="S34" i="38"/>
  <c r="R34" i="38"/>
  <c r="Q34" i="38"/>
  <c r="P34" i="38"/>
  <c r="O34" i="38"/>
  <c r="N34" i="38"/>
  <c r="M34" i="38"/>
  <c r="L34" i="38"/>
  <c r="K34" i="38"/>
  <c r="J34" i="38"/>
  <c r="I34" i="38"/>
  <c r="H34" i="38"/>
  <c r="S33" i="38"/>
  <c r="R33" i="38"/>
  <c r="Q33" i="38"/>
  <c r="P33" i="38"/>
  <c r="O33" i="38"/>
  <c r="N33" i="38"/>
  <c r="M33" i="38"/>
  <c r="L33" i="38"/>
  <c r="K33" i="38"/>
  <c r="J33" i="38"/>
  <c r="I33" i="38"/>
  <c r="H33" i="38"/>
  <c r="S32" i="38"/>
  <c r="R32" i="38"/>
  <c r="Q32" i="38"/>
  <c r="P32" i="38"/>
  <c r="O32" i="38"/>
  <c r="N32" i="38"/>
  <c r="M32" i="38"/>
  <c r="L32" i="38"/>
  <c r="K32" i="38"/>
  <c r="J32" i="38"/>
  <c r="I32" i="38"/>
  <c r="H32" i="38"/>
  <c r="S31" i="38"/>
  <c r="R31" i="38"/>
  <c r="Q31" i="38"/>
  <c r="P31" i="38"/>
  <c r="O31" i="38"/>
  <c r="N31" i="38"/>
  <c r="M31" i="38"/>
  <c r="L31" i="38"/>
  <c r="K31" i="38"/>
  <c r="J31" i="38"/>
  <c r="I31" i="38"/>
  <c r="H31" i="38"/>
  <c r="S30" i="38"/>
  <c r="R30" i="38"/>
  <c r="Q30" i="38"/>
  <c r="P30" i="38"/>
  <c r="O30" i="38"/>
  <c r="N30" i="38"/>
  <c r="M30" i="38"/>
  <c r="L30" i="38"/>
  <c r="K30" i="38"/>
  <c r="J30" i="38"/>
  <c r="I30" i="38"/>
  <c r="H30" i="38"/>
  <c r="S29" i="38"/>
  <c r="R29" i="38"/>
  <c r="Q29" i="38"/>
  <c r="P29" i="38"/>
  <c r="O29" i="38"/>
  <c r="N29" i="38"/>
  <c r="M29" i="38"/>
  <c r="L29" i="38"/>
  <c r="K29" i="38"/>
  <c r="J29" i="38"/>
  <c r="I29" i="38"/>
  <c r="H29" i="38"/>
  <c r="S28" i="38"/>
  <c r="R28" i="38"/>
  <c r="Q28" i="38"/>
  <c r="P28" i="38"/>
  <c r="O28" i="38"/>
  <c r="N28" i="38"/>
  <c r="M28" i="38"/>
  <c r="L28" i="38"/>
  <c r="K28" i="38"/>
  <c r="J28" i="38"/>
  <c r="I28" i="38"/>
  <c r="H28" i="38"/>
  <c r="S27" i="38"/>
  <c r="R27" i="38"/>
  <c r="Q27" i="38"/>
  <c r="P27" i="38"/>
  <c r="O27" i="38"/>
  <c r="N27" i="38"/>
  <c r="M27" i="38"/>
  <c r="L27" i="38"/>
  <c r="K27" i="38"/>
  <c r="J27" i="38"/>
  <c r="I27" i="38"/>
  <c r="H27" i="38"/>
  <c r="S26" i="38"/>
  <c r="R26" i="38"/>
  <c r="Q26" i="38"/>
  <c r="P26" i="38"/>
  <c r="O26" i="38"/>
  <c r="N26" i="38"/>
  <c r="M26" i="38"/>
  <c r="L26" i="38"/>
  <c r="K26" i="38"/>
  <c r="J26" i="38"/>
  <c r="I26" i="38"/>
  <c r="H26" i="38"/>
  <c r="S25" i="38"/>
  <c r="R25" i="38"/>
  <c r="Q25" i="38"/>
  <c r="P25" i="38"/>
  <c r="O25" i="38"/>
  <c r="N25" i="38"/>
  <c r="M25" i="38"/>
  <c r="L25" i="38"/>
  <c r="K25" i="38"/>
  <c r="I25" i="38"/>
  <c r="H25" i="38"/>
  <c r="S24" i="38"/>
  <c r="R24" i="38"/>
  <c r="Q24" i="38"/>
  <c r="P24" i="38"/>
  <c r="O24" i="38"/>
  <c r="N24" i="38"/>
  <c r="M24" i="38"/>
  <c r="L24" i="38"/>
  <c r="K24" i="38"/>
  <c r="J24" i="38"/>
  <c r="I24" i="38"/>
  <c r="H24" i="38"/>
  <c r="S23" i="38"/>
  <c r="R23" i="38"/>
  <c r="Q23" i="38"/>
  <c r="P23" i="38"/>
  <c r="O23" i="38"/>
  <c r="N23" i="38"/>
  <c r="M23" i="38"/>
  <c r="L23" i="38"/>
  <c r="K23" i="38"/>
  <c r="J23" i="38"/>
  <c r="I23" i="38"/>
  <c r="H23" i="38"/>
  <c r="S22" i="38"/>
  <c r="R22" i="38"/>
  <c r="Q22" i="38"/>
  <c r="P22" i="38"/>
  <c r="O22" i="38"/>
  <c r="N22" i="38"/>
  <c r="M22" i="38"/>
  <c r="L22" i="38"/>
  <c r="K22" i="38"/>
  <c r="J22" i="38"/>
  <c r="I22" i="38"/>
  <c r="H22" i="38"/>
  <c r="S21" i="38"/>
  <c r="R21" i="38"/>
  <c r="Q21" i="38"/>
  <c r="P21" i="38"/>
  <c r="O21" i="38"/>
  <c r="N21" i="38"/>
  <c r="M21" i="38"/>
  <c r="L21" i="38"/>
  <c r="K21" i="38"/>
  <c r="J21" i="38"/>
  <c r="I21" i="38"/>
  <c r="H21" i="38"/>
  <c r="S20" i="38"/>
  <c r="R20" i="38"/>
  <c r="Q20" i="38"/>
  <c r="P20" i="38"/>
  <c r="O20" i="38"/>
  <c r="N20" i="38"/>
  <c r="M20" i="38"/>
  <c r="L20" i="38"/>
  <c r="K20" i="38"/>
  <c r="J20" i="38"/>
  <c r="I20" i="38"/>
  <c r="H20" i="38"/>
  <c r="S19" i="38"/>
  <c r="R19" i="38"/>
  <c r="Q19" i="38"/>
  <c r="P19" i="38"/>
  <c r="O19" i="38"/>
  <c r="N19" i="38"/>
  <c r="M19" i="38"/>
  <c r="L19" i="38"/>
  <c r="K19" i="38"/>
  <c r="J19" i="38"/>
  <c r="I19" i="38"/>
  <c r="H19" i="38"/>
  <c r="S18" i="38"/>
  <c r="R18" i="38"/>
  <c r="Q18" i="38"/>
  <c r="P18" i="38"/>
  <c r="O18" i="38"/>
  <c r="N18" i="38"/>
  <c r="M18" i="38"/>
  <c r="L18" i="38"/>
  <c r="K18" i="38"/>
  <c r="J18" i="38"/>
  <c r="I18" i="38"/>
  <c r="H18" i="38"/>
  <c r="E117" i="38"/>
  <c r="D117" i="38"/>
  <c r="C117" i="38"/>
  <c r="B117" i="38"/>
  <c r="DE117" i="38" s="1"/>
  <c r="E116" i="38"/>
  <c r="D116" i="38"/>
  <c r="C116" i="38"/>
  <c r="B116" i="38"/>
  <c r="E115" i="38"/>
  <c r="D115" i="38"/>
  <c r="C115" i="38"/>
  <c r="B115" i="38"/>
  <c r="E114" i="38"/>
  <c r="D114" i="38"/>
  <c r="C114" i="38"/>
  <c r="B114" i="38"/>
  <c r="E113" i="38"/>
  <c r="D113" i="38"/>
  <c r="C113" i="38"/>
  <c r="B113" i="38"/>
  <c r="E112" i="38"/>
  <c r="D112" i="38"/>
  <c r="C112" i="38"/>
  <c r="B112" i="38"/>
  <c r="E111" i="38"/>
  <c r="D111" i="38"/>
  <c r="C111" i="38"/>
  <c r="B111" i="38"/>
  <c r="E110" i="38"/>
  <c r="D110" i="38"/>
  <c r="C110" i="38"/>
  <c r="B110" i="38"/>
  <c r="E109" i="38"/>
  <c r="D109" i="38"/>
  <c r="C109" i="38"/>
  <c r="B109" i="38"/>
  <c r="E108" i="38"/>
  <c r="D108" i="38"/>
  <c r="C108" i="38"/>
  <c r="B108" i="38"/>
  <c r="E107" i="38"/>
  <c r="D107" i="38"/>
  <c r="C107" i="38"/>
  <c r="B107" i="38"/>
  <c r="E106" i="38"/>
  <c r="D106" i="38"/>
  <c r="C106" i="38"/>
  <c r="B106" i="38"/>
  <c r="E105" i="38"/>
  <c r="D105" i="38"/>
  <c r="C105" i="38"/>
  <c r="B105" i="38"/>
  <c r="E104" i="38"/>
  <c r="D104" i="38"/>
  <c r="C104" i="38"/>
  <c r="B104" i="38"/>
  <c r="E103" i="38"/>
  <c r="D103" i="38"/>
  <c r="C103" i="38"/>
  <c r="B103" i="38"/>
  <c r="E102" i="38"/>
  <c r="D102" i="38"/>
  <c r="C102" i="38"/>
  <c r="B102" i="38"/>
  <c r="E101" i="38"/>
  <c r="D101" i="38"/>
  <c r="C101" i="38"/>
  <c r="B101" i="38"/>
  <c r="E100" i="38"/>
  <c r="D100" i="38"/>
  <c r="C100" i="38"/>
  <c r="B100" i="38"/>
  <c r="E99" i="38"/>
  <c r="D99" i="38"/>
  <c r="C99" i="38"/>
  <c r="B99" i="38"/>
  <c r="E98" i="38"/>
  <c r="D98" i="38"/>
  <c r="C98" i="38"/>
  <c r="B98" i="38"/>
  <c r="E97" i="38"/>
  <c r="D97" i="38"/>
  <c r="C97" i="38"/>
  <c r="B97" i="38"/>
  <c r="E96" i="38"/>
  <c r="D96" i="38"/>
  <c r="C96" i="38"/>
  <c r="B96" i="38"/>
  <c r="E95" i="38"/>
  <c r="D95" i="38"/>
  <c r="C95" i="38"/>
  <c r="B95" i="38"/>
  <c r="E94" i="38"/>
  <c r="D94" i="38"/>
  <c r="C94" i="38"/>
  <c r="B94" i="38"/>
  <c r="E93" i="38"/>
  <c r="D93" i="38"/>
  <c r="C93" i="38"/>
  <c r="B93" i="38"/>
  <c r="E92" i="38"/>
  <c r="D92" i="38"/>
  <c r="C92" i="38"/>
  <c r="B92" i="38"/>
  <c r="E91" i="38"/>
  <c r="D91" i="38"/>
  <c r="C91" i="38"/>
  <c r="B91" i="38"/>
  <c r="E90" i="38"/>
  <c r="D90" i="38"/>
  <c r="C90" i="38"/>
  <c r="B90" i="38"/>
  <c r="E89" i="38"/>
  <c r="D89" i="38"/>
  <c r="C89" i="38"/>
  <c r="B89" i="38"/>
  <c r="E88" i="38"/>
  <c r="D88" i="38"/>
  <c r="C88" i="38"/>
  <c r="B88" i="38"/>
  <c r="E87" i="38"/>
  <c r="D87" i="38"/>
  <c r="C87" i="38"/>
  <c r="B87" i="38"/>
  <c r="E86" i="38"/>
  <c r="D86" i="38"/>
  <c r="C86" i="38"/>
  <c r="B86" i="38"/>
  <c r="E85" i="38"/>
  <c r="D85" i="38"/>
  <c r="C85" i="38"/>
  <c r="B85" i="38"/>
  <c r="E84" i="38"/>
  <c r="D84" i="38"/>
  <c r="C84" i="38"/>
  <c r="B84" i="38"/>
  <c r="E83" i="38"/>
  <c r="D83" i="38"/>
  <c r="C83" i="38"/>
  <c r="B83" i="38"/>
  <c r="E82" i="38"/>
  <c r="D82" i="38"/>
  <c r="C82" i="38"/>
  <c r="B82" i="38"/>
  <c r="E81" i="38"/>
  <c r="D81" i="38"/>
  <c r="C81" i="38"/>
  <c r="B81" i="38"/>
  <c r="E80" i="38"/>
  <c r="D80" i="38"/>
  <c r="C80" i="38"/>
  <c r="B80" i="38"/>
  <c r="E79" i="38"/>
  <c r="D79" i="38"/>
  <c r="C79" i="38"/>
  <c r="B79" i="38"/>
  <c r="E78" i="38"/>
  <c r="D78" i="38"/>
  <c r="C78" i="38"/>
  <c r="B78" i="38"/>
  <c r="E77" i="38"/>
  <c r="D77" i="38"/>
  <c r="C77" i="38"/>
  <c r="B77" i="38"/>
  <c r="E76" i="38"/>
  <c r="D76" i="38"/>
  <c r="C76" i="38"/>
  <c r="B76" i="38"/>
  <c r="E75" i="38"/>
  <c r="D75" i="38"/>
  <c r="C75" i="38"/>
  <c r="B75" i="38"/>
  <c r="E74" i="38"/>
  <c r="D74" i="38"/>
  <c r="C74" i="38"/>
  <c r="B74" i="38"/>
  <c r="E73" i="38"/>
  <c r="D73" i="38"/>
  <c r="C73" i="38"/>
  <c r="B73" i="38"/>
  <c r="E72" i="38"/>
  <c r="D72" i="38"/>
  <c r="C72" i="38"/>
  <c r="B72" i="38"/>
  <c r="E71" i="38"/>
  <c r="D71" i="38"/>
  <c r="C71" i="38"/>
  <c r="B71" i="38"/>
  <c r="E70" i="38"/>
  <c r="D70" i="38"/>
  <c r="C70" i="38"/>
  <c r="B70" i="38"/>
  <c r="E69" i="38"/>
  <c r="D69" i="38"/>
  <c r="C69" i="38"/>
  <c r="B69" i="38"/>
  <c r="E68" i="38"/>
  <c r="D68" i="38"/>
  <c r="C68" i="38"/>
  <c r="B68" i="38"/>
  <c r="E67" i="38"/>
  <c r="D67" i="38"/>
  <c r="C67" i="38"/>
  <c r="B67" i="38"/>
  <c r="E66" i="38"/>
  <c r="D66" i="38"/>
  <c r="C66" i="38"/>
  <c r="B66" i="38"/>
  <c r="E65" i="38"/>
  <c r="D65" i="38"/>
  <c r="C65" i="38"/>
  <c r="B65" i="38"/>
  <c r="E64" i="38"/>
  <c r="D64" i="38"/>
  <c r="C64" i="38"/>
  <c r="B64" i="38"/>
  <c r="E63" i="38"/>
  <c r="D63" i="38"/>
  <c r="C63" i="38"/>
  <c r="B63" i="38"/>
  <c r="E62" i="38"/>
  <c r="D62" i="38"/>
  <c r="C62" i="38"/>
  <c r="B62" i="38"/>
  <c r="E61" i="38"/>
  <c r="D61" i="38"/>
  <c r="C61" i="38"/>
  <c r="B61" i="38"/>
  <c r="E60" i="38"/>
  <c r="D60" i="38"/>
  <c r="C60" i="38"/>
  <c r="B60" i="38"/>
  <c r="E59" i="38"/>
  <c r="D59" i="38"/>
  <c r="C59" i="38"/>
  <c r="B59" i="38"/>
  <c r="E58" i="38"/>
  <c r="D58" i="38"/>
  <c r="C58" i="38"/>
  <c r="B58" i="38"/>
  <c r="E57" i="38"/>
  <c r="D57" i="38"/>
  <c r="C57" i="38"/>
  <c r="B57" i="38"/>
  <c r="E56" i="38"/>
  <c r="D56" i="38"/>
  <c r="C56" i="38"/>
  <c r="B56" i="38"/>
  <c r="E55" i="38"/>
  <c r="D55" i="38"/>
  <c r="C55" i="38"/>
  <c r="B55" i="38"/>
  <c r="E54" i="38"/>
  <c r="D54" i="38"/>
  <c r="C54" i="38"/>
  <c r="B54" i="38"/>
  <c r="E53" i="38"/>
  <c r="D53" i="38"/>
  <c r="C53" i="38"/>
  <c r="B53" i="38"/>
  <c r="E52" i="38"/>
  <c r="D52" i="38"/>
  <c r="C52" i="38"/>
  <c r="B52" i="38"/>
  <c r="E51" i="38"/>
  <c r="D51" i="38"/>
  <c r="C51" i="38"/>
  <c r="B51" i="38"/>
  <c r="E50" i="38"/>
  <c r="D50" i="38"/>
  <c r="C50" i="38"/>
  <c r="B50" i="38"/>
  <c r="E49" i="38"/>
  <c r="D49" i="38"/>
  <c r="C49" i="38"/>
  <c r="B49" i="38"/>
  <c r="E48" i="38"/>
  <c r="D48" i="38"/>
  <c r="C48" i="38"/>
  <c r="B48" i="38"/>
  <c r="E47" i="38"/>
  <c r="D47" i="38"/>
  <c r="C47" i="38"/>
  <c r="B47" i="38"/>
  <c r="E46" i="38"/>
  <c r="D46" i="38"/>
  <c r="C46" i="38"/>
  <c r="B46" i="38"/>
  <c r="E45" i="38"/>
  <c r="D45" i="38"/>
  <c r="C45" i="38"/>
  <c r="B45" i="38"/>
  <c r="E44" i="38"/>
  <c r="D44" i="38"/>
  <c r="C44" i="38"/>
  <c r="B44" i="38"/>
  <c r="E43" i="38"/>
  <c r="D43" i="38"/>
  <c r="C43" i="38"/>
  <c r="B43" i="38"/>
  <c r="E42" i="38"/>
  <c r="D42" i="38"/>
  <c r="C42" i="38"/>
  <c r="B42" i="38"/>
  <c r="E41" i="38"/>
  <c r="D41" i="38"/>
  <c r="C41" i="38"/>
  <c r="B41" i="38"/>
  <c r="E40" i="38"/>
  <c r="D40" i="38"/>
  <c r="C40" i="38"/>
  <c r="B40" i="38"/>
  <c r="E39" i="38"/>
  <c r="D39" i="38"/>
  <c r="C39" i="38"/>
  <c r="B39" i="38"/>
  <c r="E38" i="38"/>
  <c r="D38" i="38"/>
  <c r="C38" i="38"/>
  <c r="B38" i="38"/>
  <c r="E37" i="38"/>
  <c r="D37" i="38"/>
  <c r="C37" i="38"/>
  <c r="B37" i="38"/>
  <c r="E36" i="38"/>
  <c r="D36" i="38"/>
  <c r="C36" i="38"/>
  <c r="B36" i="38"/>
  <c r="E35" i="38"/>
  <c r="D35" i="38"/>
  <c r="B35" i="38"/>
  <c r="E34" i="38"/>
  <c r="D34" i="38"/>
  <c r="C34" i="38"/>
  <c r="B34" i="38"/>
  <c r="E33" i="38"/>
  <c r="D33" i="38"/>
  <c r="C33" i="38"/>
  <c r="B33" i="38"/>
  <c r="E32" i="38"/>
  <c r="D32" i="38"/>
  <c r="C32" i="38"/>
  <c r="B32" i="38"/>
  <c r="E31" i="38"/>
  <c r="D31" i="38"/>
  <c r="C31" i="38"/>
  <c r="B31" i="38"/>
  <c r="E30" i="38"/>
  <c r="D30" i="38"/>
  <c r="C30" i="38"/>
  <c r="B30" i="38"/>
  <c r="E29" i="38"/>
  <c r="D29" i="38"/>
  <c r="C29" i="38"/>
  <c r="B29" i="38"/>
  <c r="E28" i="38"/>
  <c r="D28" i="38"/>
  <c r="C28" i="38"/>
  <c r="B28" i="38"/>
  <c r="E27" i="38"/>
  <c r="D27" i="38"/>
  <c r="C27" i="38"/>
  <c r="B27" i="38"/>
  <c r="E26" i="38"/>
  <c r="D26" i="38"/>
  <c r="C26" i="38"/>
  <c r="B26" i="38"/>
  <c r="E25" i="38"/>
  <c r="B25" i="38"/>
  <c r="E24" i="38"/>
  <c r="D24" i="38"/>
  <c r="C24" i="38"/>
  <c r="B24" i="38"/>
  <c r="E23" i="38"/>
  <c r="D23" i="38"/>
  <c r="C23" i="38"/>
  <c r="B23" i="38"/>
  <c r="E22" i="38"/>
  <c r="D22" i="38"/>
  <c r="C22" i="38"/>
  <c r="B22" i="38"/>
  <c r="E21" i="38"/>
  <c r="D21" i="38"/>
  <c r="C21" i="38"/>
  <c r="B21" i="38"/>
  <c r="E20" i="38"/>
  <c r="D20" i="38"/>
  <c r="C20" i="38"/>
  <c r="B20" i="38"/>
  <c r="E19" i="38"/>
  <c r="D19" i="38"/>
  <c r="C19" i="38"/>
  <c r="B19" i="38"/>
  <c r="O26" i="34"/>
  <c r="O25" i="34"/>
  <c r="O24" i="34"/>
  <c r="O23" i="34"/>
  <c r="O22" i="34"/>
  <c r="N169" i="7"/>
  <c r="N95" i="7"/>
  <c r="N94" i="7"/>
  <c r="N1023" i="44"/>
  <c r="M1023" i="44"/>
  <c r="L1023" i="44"/>
  <c r="K1023" i="44"/>
  <c r="J1023" i="44"/>
  <c r="I1023" i="44"/>
  <c r="H1023" i="44"/>
  <c r="G1023" i="44"/>
  <c r="N1022" i="44"/>
  <c r="M1022" i="44"/>
  <c r="L1022" i="44"/>
  <c r="K1022" i="44"/>
  <c r="J1022" i="44"/>
  <c r="I1022" i="44"/>
  <c r="H1022" i="44"/>
  <c r="G1022" i="44"/>
  <c r="N1021" i="44"/>
  <c r="M1021" i="44"/>
  <c r="L1021" i="44"/>
  <c r="K1021" i="44"/>
  <c r="J1021" i="44"/>
  <c r="I1021" i="44"/>
  <c r="H1021" i="44"/>
  <c r="G1021" i="44"/>
  <c r="N1020" i="44"/>
  <c r="M1020" i="44"/>
  <c r="L1020" i="44"/>
  <c r="K1020" i="44"/>
  <c r="J1020" i="44"/>
  <c r="I1020" i="44"/>
  <c r="H1020" i="44"/>
  <c r="G1020" i="44"/>
  <c r="N1019" i="44"/>
  <c r="M1019" i="44"/>
  <c r="L1019" i="44"/>
  <c r="K1019" i="44"/>
  <c r="J1019" i="44"/>
  <c r="I1019" i="44"/>
  <c r="H1019" i="44"/>
  <c r="G1019" i="44"/>
  <c r="N1018" i="44"/>
  <c r="M1018" i="44"/>
  <c r="L1018" i="44"/>
  <c r="K1018" i="44"/>
  <c r="J1018" i="44"/>
  <c r="I1018" i="44"/>
  <c r="H1018" i="44"/>
  <c r="G1018" i="44"/>
  <c r="N1017" i="44"/>
  <c r="M1017" i="44"/>
  <c r="L1017" i="44"/>
  <c r="K1017" i="44"/>
  <c r="J1017" i="44"/>
  <c r="I1017" i="44"/>
  <c r="H1017" i="44"/>
  <c r="G1017" i="44"/>
  <c r="N1016" i="44"/>
  <c r="M1016" i="44"/>
  <c r="L1016" i="44"/>
  <c r="K1016" i="44"/>
  <c r="J1016" i="44"/>
  <c r="I1016" i="44"/>
  <c r="H1016" i="44"/>
  <c r="G1016" i="44"/>
  <c r="N1015" i="44"/>
  <c r="M1015" i="44"/>
  <c r="L1015" i="44"/>
  <c r="K1015" i="44"/>
  <c r="J1015" i="44"/>
  <c r="I1015" i="44"/>
  <c r="H1015" i="44"/>
  <c r="G1015" i="44"/>
  <c r="N1014" i="44"/>
  <c r="M1014" i="44"/>
  <c r="L1014" i="44"/>
  <c r="K1014" i="44"/>
  <c r="J1014" i="44"/>
  <c r="I1014" i="44"/>
  <c r="H1014" i="44"/>
  <c r="G1014" i="44"/>
  <c r="N1013" i="44"/>
  <c r="M1013" i="44"/>
  <c r="L1013" i="44"/>
  <c r="K1013" i="44"/>
  <c r="J1013" i="44"/>
  <c r="I1013" i="44"/>
  <c r="H1013" i="44"/>
  <c r="G1013" i="44"/>
  <c r="N1012" i="44"/>
  <c r="M1012" i="44"/>
  <c r="L1012" i="44"/>
  <c r="K1012" i="44"/>
  <c r="J1012" i="44"/>
  <c r="I1012" i="44"/>
  <c r="H1012" i="44"/>
  <c r="G1012" i="44"/>
  <c r="N1011" i="44"/>
  <c r="M1011" i="44"/>
  <c r="L1011" i="44"/>
  <c r="K1011" i="44"/>
  <c r="J1011" i="44"/>
  <c r="I1011" i="44"/>
  <c r="H1011" i="44"/>
  <c r="G1011" i="44"/>
  <c r="N1010" i="44"/>
  <c r="M1010" i="44"/>
  <c r="L1010" i="44"/>
  <c r="K1010" i="44"/>
  <c r="J1010" i="44"/>
  <c r="I1010" i="44"/>
  <c r="H1010" i="44"/>
  <c r="G1010" i="44"/>
  <c r="N1009" i="44"/>
  <c r="M1009" i="44"/>
  <c r="L1009" i="44"/>
  <c r="K1009" i="44"/>
  <c r="J1009" i="44"/>
  <c r="I1009" i="44"/>
  <c r="H1009" i="44"/>
  <c r="G1009" i="44"/>
  <c r="Q1023" i="5"/>
  <c r="P1023" i="5"/>
  <c r="O1023" i="5"/>
  <c r="N1023" i="5"/>
  <c r="M1023" i="5"/>
  <c r="L1023" i="5"/>
  <c r="K1023" i="5"/>
  <c r="J1023" i="5"/>
  <c r="H1023" i="5"/>
  <c r="G1023" i="5"/>
  <c r="Q1022" i="5"/>
  <c r="P1022" i="5"/>
  <c r="O1022" i="5"/>
  <c r="N1022" i="5"/>
  <c r="M1022" i="5"/>
  <c r="L1022" i="5"/>
  <c r="K1022" i="5"/>
  <c r="J1022" i="5"/>
  <c r="H1022" i="5"/>
  <c r="G1022" i="5"/>
  <c r="Q1021" i="5"/>
  <c r="P1021" i="5"/>
  <c r="O1021" i="5"/>
  <c r="N1021" i="5"/>
  <c r="M1021" i="5"/>
  <c r="L1021" i="5"/>
  <c r="K1021" i="5"/>
  <c r="J1021" i="5"/>
  <c r="H1021" i="5"/>
  <c r="G1021" i="5"/>
  <c r="Q1020" i="5"/>
  <c r="P1020" i="5"/>
  <c r="O1020" i="5"/>
  <c r="N1020" i="5"/>
  <c r="M1020" i="5"/>
  <c r="L1020" i="5"/>
  <c r="K1020" i="5"/>
  <c r="J1020" i="5"/>
  <c r="H1020" i="5"/>
  <c r="G1020" i="5"/>
  <c r="Q1019" i="5"/>
  <c r="P1019" i="5"/>
  <c r="O1019" i="5"/>
  <c r="N1019" i="5"/>
  <c r="M1019" i="5"/>
  <c r="L1019" i="5"/>
  <c r="K1019" i="5"/>
  <c r="J1019" i="5"/>
  <c r="H1019" i="5"/>
  <c r="G1019" i="5"/>
  <c r="Q1018" i="5"/>
  <c r="P1018" i="5"/>
  <c r="O1018" i="5"/>
  <c r="N1018" i="5"/>
  <c r="M1018" i="5"/>
  <c r="L1018" i="5"/>
  <c r="K1018" i="5"/>
  <c r="J1018" i="5"/>
  <c r="H1018" i="5"/>
  <c r="G1018" i="5"/>
  <c r="Q1017" i="5"/>
  <c r="P1017" i="5"/>
  <c r="O1017" i="5"/>
  <c r="N1017" i="5"/>
  <c r="M1017" i="5"/>
  <c r="L1017" i="5"/>
  <c r="K1017" i="5"/>
  <c r="J1017" i="5"/>
  <c r="H1017" i="5"/>
  <c r="G1017" i="5"/>
  <c r="Q1016" i="5"/>
  <c r="P1016" i="5"/>
  <c r="O1016" i="5"/>
  <c r="N1016" i="5"/>
  <c r="M1016" i="5"/>
  <c r="L1016" i="5"/>
  <c r="K1016" i="5"/>
  <c r="J1016" i="5"/>
  <c r="H1016" i="5"/>
  <c r="G1016" i="5"/>
  <c r="Q1015" i="5"/>
  <c r="P1015" i="5"/>
  <c r="O1015" i="5"/>
  <c r="N1015" i="5"/>
  <c r="M1015" i="5"/>
  <c r="L1015" i="5"/>
  <c r="K1015" i="5"/>
  <c r="J1015" i="5"/>
  <c r="H1015" i="5"/>
  <c r="G1015" i="5"/>
  <c r="Q1014" i="5"/>
  <c r="P1014" i="5"/>
  <c r="O1014" i="5"/>
  <c r="N1014" i="5"/>
  <c r="M1014" i="5"/>
  <c r="L1014" i="5"/>
  <c r="K1014" i="5"/>
  <c r="J1014" i="5"/>
  <c r="H1014" i="5"/>
  <c r="G1014" i="5"/>
  <c r="Q1013" i="5"/>
  <c r="P1013" i="5"/>
  <c r="O1013" i="5"/>
  <c r="N1013" i="5"/>
  <c r="M1013" i="5"/>
  <c r="L1013" i="5"/>
  <c r="K1013" i="5"/>
  <c r="J1013" i="5"/>
  <c r="H1013" i="5"/>
  <c r="G1013" i="5"/>
  <c r="Q1012" i="5"/>
  <c r="P1012" i="5"/>
  <c r="O1012" i="5"/>
  <c r="N1012" i="5"/>
  <c r="M1012" i="5"/>
  <c r="L1012" i="5"/>
  <c r="K1012" i="5"/>
  <c r="J1012" i="5"/>
  <c r="H1012" i="5"/>
  <c r="G1012" i="5"/>
  <c r="Q1011" i="5"/>
  <c r="P1011" i="5"/>
  <c r="O1011" i="5"/>
  <c r="N1011" i="5"/>
  <c r="M1011" i="5"/>
  <c r="L1011" i="5"/>
  <c r="K1011" i="5"/>
  <c r="J1011" i="5"/>
  <c r="H1011" i="5"/>
  <c r="G1011" i="5"/>
  <c r="Q1010" i="5"/>
  <c r="P1010" i="5"/>
  <c r="O1010" i="5"/>
  <c r="N1010" i="5"/>
  <c r="M1010" i="5"/>
  <c r="L1010" i="5"/>
  <c r="K1010" i="5"/>
  <c r="J1010" i="5"/>
  <c r="H1010" i="5"/>
  <c r="G1010" i="5"/>
  <c r="Q1009" i="5"/>
  <c r="P1009" i="5"/>
  <c r="O1009" i="5"/>
  <c r="N1009" i="5"/>
  <c r="M1009" i="5"/>
  <c r="L1009" i="5"/>
  <c r="K1009" i="5"/>
  <c r="J1009" i="5"/>
  <c r="H1009" i="5"/>
  <c r="G1009" i="5"/>
  <c r="R943" i="5"/>
  <c r="Q943" i="5"/>
  <c r="P943" i="5"/>
  <c r="O943" i="5"/>
  <c r="N943" i="5"/>
  <c r="M943" i="5"/>
  <c r="L943" i="5"/>
  <c r="K943" i="5"/>
  <c r="J943" i="5"/>
  <c r="I943" i="5"/>
  <c r="H943" i="5"/>
  <c r="G943" i="5"/>
  <c r="R942" i="5"/>
  <c r="Q942" i="5"/>
  <c r="P942" i="5"/>
  <c r="O942" i="5"/>
  <c r="N942" i="5"/>
  <c r="M942" i="5"/>
  <c r="L942" i="5"/>
  <c r="K942" i="5"/>
  <c r="J942" i="5"/>
  <c r="I942" i="5"/>
  <c r="H942" i="5"/>
  <c r="G942" i="5"/>
  <c r="R941" i="5"/>
  <c r="Q941" i="5"/>
  <c r="P941" i="5"/>
  <c r="O941" i="5"/>
  <c r="N941" i="5"/>
  <c r="M941" i="5"/>
  <c r="L941" i="5"/>
  <c r="K941" i="5"/>
  <c r="J941" i="5"/>
  <c r="I941" i="5"/>
  <c r="H941" i="5"/>
  <c r="G941" i="5"/>
  <c r="R940" i="5"/>
  <c r="Q940" i="5"/>
  <c r="P940" i="5"/>
  <c r="O940" i="5"/>
  <c r="N940" i="5"/>
  <c r="M940" i="5"/>
  <c r="L940" i="5"/>
  <c r="K940" i="5"/>
  <c r="J940" i="5"/>
  <c r="I940" i="5"/>
  <c r="H940" i="5"/>
  <c r="G940" i="5"/>
  <c r="R939" i="5"/>
  <c r="Q939" i="5"/>
  <c r="P939" i="5"/>
  <c r="O939" i="5"/>
  <c r="N939" i="5"/>
  <c r="M939" i="5"/>
  <c r="L939" i="5"/>
  <c r="K939" i="5"/>
  <c r="J939" i="5"/>
  <c r="I939" i="5"/>
  <c r="H939" i="5"/>
  <c r="G939" i="5"/>
  <c r="R938" i="5"/>
  <c r="Q938" i="5"/>
  <c r="P938" i="5"/>
  <c r="O938" i="5"/>
  <c r="N938" i="5"/>
  <c r="M938" i="5"/>
  <c r="L938" i="5"/>
  <c r="K938" i="5"/>
  <c r="J938" i="5"/>
  <c r="I938" i="5"/>
  <c r="H938" i="5"/>
  <c r="G938" i="5"/>
  <c r="R937" i="5"/>
  <c r="Q937" i="5"/>
  <c r="P937" i="5"/>
  <c r="O937" i="5"/>
  <c r="N937" i="5"/>
  <c r="M937" i="5"/>
  <c r="L937" i="5"/>
  <c r="K937" i="5"/>
  <c r="J937" i="5"/>
  <c r="I937" i="5"/>
  <c r="H937" i="5"/>
  <c r="G937" i="5"/>
  <c r="R936" i="5"/>
  <c r="Q936" i="5"/>
  <c r="P936" i="5"/>
  <c r="O936" i="5"/>
  <c r="N936" i="5"/>
  <c r="M936" i="5"/>
  <c r="L936" i="5"/>
  <c r="K936" i="5"/>
  <c r="J936" i="5"/>
  <c r="I936" i="5"/>
  <c r="H936" i="5"/>
  <c r="G936" i="5"/>
  <c r="R935" i="5"/>
  <c r="Q935" i="5"/>
  <c r="P935" i="5"/>
  <c r="O935" i="5"/>
  <c r="N935" i="5"/>
  <c r="M935" i="5"/>
  <c r="L935" i="5"/>
  <c r="K935" i="5"/>
  <c r="J935" i="5"/>
  <c r="I935" i="5"/>
  <c r="H935" i="5"/>
  <c r="G935" i="5"/>
  <c r="R934" i="5"/>
  <c r="Q934" i="5"/>
  <c r="P934" i="5"/>
  <c r="O934" i="5"/>
  <c r="N934" i="5"/>
  <c r="M934" i="5"/>
  <c r="L934" i="5"/>
  <c r="K934" i="5"/>
  <c r="J934" i="5"/>
  <c r="I934" i="5"/>
  <c r="H934" i="5"/>
  <c r="G934" i="5"/>
  <c r="R933" i="5"/>
  <c r="Q933" i="5"/>
  <c r="P933" i="5"/>
  <c r="O933" i="5"/>
  <c r="N933" i="5"/>
  <c r="M933" i="5"/>
  <c r="L933" i="5"/>
  <c r="K933" i="5"/>
  <c r="J933" i="5"/>
  <c r="I933" i="5"/>
  <c r="H933" i="5"/>
  <c r="G933" i="5"/>
  <c r="R932" i="5"/>
  <c r="Q932" i="5"/>
  <c r="P932" i="5"/>
  <c r="O932" i="5"/>
  <c r="N932" i="5"/>
  <c r="M932" i="5"/>
  <c r="L932" i="5"/>
  <c r="K932" i="5"/>
  <c r="J932" i="5"/>
  <c r="I932" i="5"/>
  <c r="H932" i="5"/>
  <c r="G932" i="5"/>
  <c r="R931" i="5"/>
  <c r="Q931" i="5"/>
  <c r="P931" i="5"/>
  <c r="O931" i="5"/>
  <c r="N931" i="5"/>
  <c r="M931" i="5"/>
  <c r="L931" i="5"/>
  <c r="K931" i="5"/>
  <c r="J931" i="5"/>
  <c r="I931" i="5"/>
  <c r="H931" i="5"/>
  <c r="G931" i="5"/>
  <c r="R930" i="5"/>
  <c r="Q930" i="5"/>
  <c r="P930" i="5"/>
  <c r="O930" i="5"/>
  <c r="N930" i="5"/>
  <c r="M930" i="5"/>
  <c r="L930" i="5"/>
  <c r="K930" i="5"/>
  <c r="J930" i="5"/>
  <c r="I930" i="5"/>
  <c r="H930" i="5"/>
  <c r="G930" i="5"/>
  <c r="R929" i="5"/>
  <c r="Q929" i="5"/>
  <c r="P929" i="5"/>
  <c r="O929" i="5"/>
  <c r="N929" i="5"/>
  <c r="M929" i="5"/>
  <c r="L929" i="5"/>
  <c r="K929" i="5"/>
  <c r="J929" i="5"/>
  <c r="I929" i="5"/>
  <c r="H929" i="5"/>
  <c r="G929" i="5"/>
  <c r="BF13" i="51"/>
  <c r="AA907" i="44"/>
  <c r="AA851" i="44"/>
  <c r="AA795" i="44"/>
  <c r="AA739" i="44"/>
  <c r="AA683" i="44"/>
  <c r="AA627" i="44"/>
  <c r="AA571" i="44"/>
  <c r="AA515" i="44"/>
  <c r="AA459" i="44"/>
  <c r="AA875" i="44"/>
  <c r="AA819" i="44"/>
  <c r="AA763" i="44"/>
  <c r="AA707" i="44"/>
  <c r="AA651" i="44"/>
  <c r="AA595" i="44"/>
  <c r="AA539" i="44"/>
  <c r="AA483" i="44"/>
  <c r="AA427" i="44"/>
  <c r="AA371" i="44"/>
  <c r="AA315" i="44"/>
  <c r="AA259" i="44"/>
  <c r="AA203" i="44"/>
  <c r="AA147" i="44"/>
  <c r="AA91" i="44"/>
  <c r="AA35" i="44"/>
  <c r="Z12" i="44"/>
  <c r="BA930" i="44" a="1"/>
  <c r="BA929" i="44" a="1"/>
  <c r="BA928" i="44" a="1"/>
  <c r="BA927" i="44" a="1"/>
  <c r="BA926" i="44" a="1"/>
  <c r="BA925" i="44" a="1"/>
  <c r="BA924" i="44" a="1"/>
  <c r="BA923" i="44" a="1"/>
  <c r="BA922" i="44" a="1"/>
  <c r="BA921" i="44" a="1"/>
  <c r="BA920" i="44" a="1"/>
  <c r="BA919" i="44" a="1"/>
  <c r="BA918" i="44" a="1"/>
  <c r="BA917" i="44" a="1"/>
  <c r="BA916" i="44" a="1"/>
  <c r="BA915" i="44" a="1"/>
  <c r="BA914" i="44" a="1"/>
  <c r="BA913" i="44" a="1"/>
  <c r="BA16" i="44" a="1"/>
  <c r="AA893" i="44"/>
  <c r="AA891" i="44"/>
  <c r="AA837" i="44"/>
  <c r="AA835" i="44"/>
  <c r="AA781" i="44"/>
  <c r="AA779" i="44"/>
  <c r="AA725" i="44"/>
  <c r="AA723" i="44"/>
  <c r="AA669" i="44"/>
  <c r="AA667" i="44"/>
  <c r="AA613" i="44"/>
  <c r="AA611" i="44"/>
  <c r="AA557" i="44"/>
  <c r="AA555" i="44"/>
  <c r="AA501" i="44"/>
  <c r="AA499" i="44"/>
  <c r="AA445" i="44"/>
  <c r="AA443" i="44"/>
  <c r="AA107" i="44"/>
  <c r="AA17" i="44"/>
  <c r="Y18" i="44"/>
  <c r="Y19" i="44"/>
  <c r="Y20" i="44"/>
  <c r="Y21" i="44"/>
  <c r="Y22" i="44"/>
  <c r="Y23" i="44"/>
  <c r="Y24" i="44"/>
  <c r="Y25" i="44"/>
  <c r="Y26" i="44"/>
  <c r="Y27" i="44"/>
  <c r="Y28" i="44"/>
  <c r="Y29" i="44"/>
  <c r="Y30" i="44"/>
  <c r="Y31" i="44"/>
  <c r="Y32" i="44"/>
  <c r="Y33" i="44"/>
  <c r="Y34" i="44"/>
  <c r="Y35" i="44"/>
  <c r="Y36" i="44"/>
  <c r="Y37" i="44"/>
  <c r="Y38" i="44"/>
  <c r="Y39" i="44"/>
  <c r="Y40" i="44"/>
  <c r="Y41" i="44"/>
  <c r="Y42" i="44"/>
  <c r="Y43" i="44"/>
  <c r="Y44" i="44"/>
  <c r="Y45" i="44"/>
  <c r="Y46" i="44"/>
  <c r="Y47" i="44"/>
  <c r="Y48" i="44"/>
  <c r="Y49" i="44"/>
  <c r="Y50" i="44"/>
  <c r="Y51" i="44"/>
  <c r="Y52" i="44"/>
  <c r="Y53" i="44"/>
  <c r="Y54" i="44"/>
  <c r="Y55" i="44"/>
  <c r="Y56" i="44"/>
  <c r="Y57" i="44"/>
  <c r="Y58" i="44"/>
  <c r="Y59" i="44"/>
  <c r="Y60" i="44"/>
  <c r="Y61" i="44"/>
  <c r="Y62" i="44"/>
  <c r="Y63" i="44"/>
  <c r="Y64" i="44"/>
  <c r="Y65" i="44"/>
  <c r="Y66" i="44"/>
  <c r="Y67" i="44"/>
  <c r="Y68" i="44"/>
  <c r="Y69" i="44"/>
  <c r="Y70" i="44"/>
  <c r="Y71" i="44"/>
  <c r="Y72" i="44"/>
  <c r="Y73" i="44"/>
  <c r="Y74" i="44"/>
  <c r="Y75" i="44"/>
  <c r="Y76" i="44"/>
  <c r="Y77" i="44"/>
  <c r="Y78" i="44"/>
  <c r="Y79" i="44"/>
  <c r="Y80" i="44"/>
  <c r="Y81" i="44"/>
  <c r="Y82" i="44"/>
  <c r="Y83" i="44"/>
  <c r="Y84" i="44"/>
  <c r="Y85" i="44"/>
  <c r="Y86" i="44"/>
  <c r="Y87" i="44"/>
  <c r="Y88" i="44"/>
  <c r="Y89" i="44"/>
  <c r="Y90" i="44"/>
  <c r="Y91" i="44"/>
  <c r="Y92" i="44"/>
  <c r="Y93" i="44"/>
  <c r="Y94" i="44"/>
  <c r="Y95" i="44"/>
  <c r="Y96" i="44"/>
  <c r="Y97" i="44"/>
  <c r="Y98" i="44"/>
  <c r="Y99" i="44"/>
  <c r="Y100" i="44"/>
  <c r="Y101" i="44"/>
  <c r="Y102" i="44"/>
  <c r="Y103" i="44"/>
  <c r="Y104" i="44"/>
  <c r="Y105" i="44"/>
  <c r="Y106" i="44"/>
  <c r="Y107" i="44"/>
  <c r="Y108" i="44"/>
  <c r="Y109" i="44"/>
  <c r="Y110" i="44"/>
  <c r="Y111" i="44"/>
  <c r="Y112" i="44"/>
  <c r="Y113" i="44"/>
  <c r="Y114" i="44"/>
  <c r="Y115" i="44"/>
  <c r="Y116" i="44"/>
  <c r="Y117" i="44"/>
  <c r="Y118" i="44"/>
  <c r="Y119" i="44"/>
  <c r="Y120" i="44"/>
  <c r="Y121" i="44"/>
  <c r="Y122" i="44"/>
  <c r="Y123" i="44"/>
  <c r="Y124" i="44"/>
  <c r="Y125" i="44"/>
  <c r="Y126" i="44"/>
  <c r="Y127" i="44"/>
  <c r="Y128" i="44"/>
  <c r="Y129" i="44"/>
  <c r="Y130" i="44"/>
  <c r="Y131" i="44"/>
  <c r="Y132" i="44"/>
  <c r="Y133" i="44"/>
  <c r="Y134" i="44"/>
  <c r="Y135" i="44"/>
  <c r="Y136" i="44"/>
  <c r="Y137" i="44"/>
  <c r="Y138" i="44"/>
  <c r="Y139" i="44"/>
  <c r="Y140" i="44"/>
  <c r="Y141" i="44"/>
  <c r="Y142" i="44"/>
  <c r="Y143" i="44"/>
  <c r="Y144" i="44"/>
  <c r="Y145" i="44"/>
  <c r="Y146" i="44"/>
  <c r="Y147" i="44"/>
  <c r="Y148" i="44"/>
  <c r="Y149" i="44"/>
  <c r="Y150" i="44"/>
  <c r="Y151" i="44"/>
  <c r="Y152" i="44"/>
  <c r="Y153" i="44"/>
  <c r="Y154" i="44"/>
  <c r="Y155" i="44"/>
  <c r="Y156" i="44"/>
  <c r="Y157" i="44"/>
  <c r="Y158" i="44"/>
  <c r="Y159" i="44"/>
  <c r="Y160" i="44"/>
  <c r="Y161" i="44"/>
  <c r="Y162" i="44"/>
  <c r="Y163" i="44"/>
  <c r="Y164" i="44"/>
  <c r="Y165" i="44"/>
  <c r="Y166" i="44"/>
  <c r="Y167" i="44"/>
  <c r="Y168" i="44"/>
  <c r="Y169" i="44"/>
  <c r="Y170" i="44"/>
  <c r="Y171" i="44"/>
  <c r="Y172" i="44"/>
  <c r="Y173" i="44"/>
  <c r="Y174" i="44"/>
  <c r="Y175" i="44"/>
  <c r="Y176" i="44"/>
  <c r="Y177" i="44"/>
  <c r="Y178" i="44"/>
  <c r="Y179" i="44"/>
  <c r="Y180" i="44"/>
  <c r="Y181" i="44"/>
  <c r="Y182" i="44"/>
  <c r="Y183" i="44"/>
  <c r="Y184" i="44"/>
  <c r="Y185" i="44"/>
  <c r="Y186" i="44"/>
  <c r="Y187" i="44"/>
  <c r="Y188" i="44"/>
  <c r="Y189" i="44"/>
  <c r="Y190" i="44"/>
  <c r="Y191" i="44"/>
  <c r="Y192" i="44"/>
  <c r="Y193" i="44"/>
  <c r="Y194" i="44"/>
  <c r="Y195" i="44"/>
  <c r="Y196" i="44"/>
  <c r="Y197" i="44"/>
  <c r="Y198" i="44"/>
  <c r="Y199" i="44"/>
  <c r="Y200" i="44"/>
  <c r="Y201" i="44"/>
  <c r="Y202" i="44"/>
  <c r="Y203" i="44"/>
  <c r="Y204" i="44"/>
  <c r="Y205" i="44"/>
  <c r="Y206" i="44"/>
  <c r="Y207" i="44"/>
  <c r="Y208" i="44"/>
  <c r="Y209" i="44"/>
  <c r="Y210" i="44"/>
  <c r="Y211" i="44"/>
  <c r="Y212" i="44"/>
  <c r="Y213" i="44"/>
  <c r="Y214" i="44"/>
  <c r="Y215" i="44"/>
  <c r="Y216" i="44"/>
  <c r="Y217" i="44"/>
  <c r="Y218" i="44"/>
  <c r="Y219" i="44"/>
  <c r="Y220" i="44"/>
  <c r="Y221" i="44"/>
  <c r="Y222" i="44"/>
  <c r="Y223" i="44"/>
  <c r="Y224" i="44"/>
  <c r="Y225" i="44"/>
  <c r="Y226" i="44"/>
  <c r="Y227" i="44"/>
  <c r="Y228" i="44"/>
  <c r="Y229" i="44"/>
  <c r="Y230" i="44"/>
  <c r="Y231" i="44"/>
  <c r="Y232" i="44"/>
  <c r="Y233" i="44"/>
  <c r="Y234" i="44"/>
  <c r="Y235" i="44"/>
  <c r="Y236" i="44"/>
  <c r="Y237" i="44"/>
  <c r="Y238" i="44"/>
  <c r="Y239" i="44"/>
  <c r="Y240" i="44"/>
  <c r="Y241" i="44"/>
  <c r="Y242" i="44"/>
  <c r="Y243" i="44"/>
  <c r="Y244" i="44"/>
  <c r="Y245" i="44"/>
  <c r="Y246" i="44"/>
  <c r="Y247" i="44"/>
  <c r="Y248" i="44"/>
  <c r="Y249" i="44"/>
  <c r="Y250" i="44"/>
  <c r="Y251" i="44"/>
  <c r="Y252" i="44"/>
  <c r="Y253" i="44"/>
  <c r="Y254" i="44"/>
  <c r="Y255" i="44"/>
  <c r="Y256" i="44"/>
  <c r="Y257" i="44"/>
  <c r="Y258" i="44"/>
  <c r="Y259" i="44"/>
  <c r="Y260" i="44"/>
  <c r="Y261" i="44"/>
  <c r="Y262" i="44"/>
  <c r="Y263" i="44"/>
  <c r="Y264" i="44"/>
  <c r="Y265" i="44"/>
  <c r="Y266" i="44"/>
  <c r="Y267" i="44"/>
  <c r="Y268" i="44"/>
  <c r="Y269" i="44"/>
  <c r="Y270" i="44"/>
  <c r="Y271" i="44"/>
  <c r="Y272" i="44"/>
  <c r="Y273" i="44"/>
  <c r="Y274" i="44"/>
  <c r="Y275" i="44"/>
  <c r="Y276" i="44"/>
  <c r="Y277" i="44"/>
  <c r="Y278" i="44"/>
  <c r="Y279" i="44"/>
  <c r="Y280" i="44"/>
  <c r="Y281" i="44"/>
  <c r="Y282" i="44"/>
  <c r="Y283" i="44"/>
  <c r="Y284" i="44"/>
  <c r="Y285" i="44"/>
  <c r="Y286" i="44"/>
  <c r="Y287" i="44"/>
  <c r="Y288" i="44"/>
  <c r="Y289" i="44"/>
  <c r="Y290" i="44"/>
  <c r="Y291" i="44"/>
  <c r="Y292" i="44"/>
  <c r="Y293" i="44"/>
  <c r="Y294" i="44"/>
  <c r="Y295" i="44"/>
  <c r="Y296" i="44"/>
  <c r="Y297" i="44"/>
  <c r="Y298" i="44"/>
  <c r="Y299" i="44"/>
  <c r="Y300" i="44"/>
  <c r="Y301" i="44"/>
  <c r="Y302" i="44"/>
  <c r="Y303" i="44"/>
  <c r="Y304" i="44"/>
  <c r="Y305" i="44"/>
  <c r="Y306" i="44"/>
  <c r="Y307" i="44"/>
  <c r="Y308" i="44"/>
  <c r="Y309" i="44"/>
  <c r="Y310" i="44"/>
  <c r="Y311" i="44"/>
  <c r="Y312" i="44"/>
  <c r="Y313" i="44"/>
  <c r="Y314" i="44"/>
  <c r="Y315" i="44"/>
  <c r="Y316" i="44"/>
  <c r="Y317" i="44"/>
  <c r="Y318" i="44"/>
  <c r="Y319" i="44"/>
  <c r="Y320" i="44"/>
  <c r="Y321" i="44"/>
  <c r="Y322" i="44"/>
  <c r="Y323" i="44"/>
  <c r="Y324" i="44"/>
  <c r="Y325" i="44"/>
  <c r="Y326" i="44"/>
  <c r="Y327" i="44"/>
  <c r="Y328" i="44"/>
  <c r="Y329" i="44"/>
  <c r="Y330" i="44"/>
  <c r="Y331" i="44"/>
  <c r="Y332" i="44"/>
  <c r="Y333" i="44"/>
  <c r="Y334" i="44"/>
  <c r="Y335" i="44"/>
  <c r="Y336" i="44"/>
  <c r="Y337" i="44"/>
  <c r="Y338" i="44"/>
  <c r="Y339" i="44"/>
  <c r="Y340" i="44"/>
  <c r="Y341" i="44"/>
  <c r="Y342" i="44"/>
  <c r="Y343" i="44"/>
  <c r="Y344" i="44"/>
  <c r="Y345" i="44"/>
  <c r="Y346" i="44"/>
  <c r="Y347" i="44"/>
  <c r="Y348" i="44"/>
  <c r="Y349" i="44"/>
  <c r="Y350" i="44"/>
  <c r="Y351" i="44"/>
  <c r="Y352" i="44"/>
  <c r="Y353" i="44"/>
  <c r="Y354" i="44"/>
  <c r="Y355" i="44"/>
  <c r="Y356" i="44"/>
  <c r="Y357" i="44"/>
  <c r="Y358" i="44"/>
  <c r="Y359" i="44"/>
  <c r="Y360" i="44"/>
  <c r="Y361" i="44"/>
  <c r="Y362" i="44"/>
  <c r="Y363" i="44"/>
  <c r="Y364" i="44"/>
  <c r="Y365" i="44"/>
  <c r="Y366" i="44"/>
  <c r="Y367" i="44"/>
  <c r="Y368" i="44"/>
  <c r="Y369" i="44"/>
  <c r="Y370" i="44"/>
  <c r="Y371" i="44"/>
  <c r="Y372" i="44"/>
  <c r="Y373" i="44"/>
  <c r="Y374" i="44"/>
  <c r="Y375" i="44"/>
  <c r="Y376" i="44"/>
  <c r="Y377" i="44"/>
  <c r="Y378" i="44"/>
  <c r="Y379" i="44"/>
  <c r="Y380" i="44"/>
  <c r="Y381" i="44"/>
  <c r="Y382" i="44"/>
  <c r="Y383" i="44"/>
  <c r="Y384" i="44"/>
  <c r="Y385" i="44"/>
  <c r="Y386" i="44"/>
  <c r="Y387" i="44"/>
  <c r="Y388" i="44"/>
  <c r="Y389" i="44"/>
  <c r="Y390" i="44"/>
  <c r="Y391" i="44"/>
  <c r="Y392" i="44"/>
  <c r="Y393" i="44"/>
  <c r="Y394" i="44"/>
  <c r="Y395" i="44"/>
  <c r="Y396" i="44"/>
  <c r="Y397" i="44"/>
  <c r="Y398" i="44"/>
  <c r="Y399" i="44"/>
  <c r="Y400" i="44"/>
  <c r="Y401" i="44"/>
  <c r="Y402" i="44"/>
  <c r="Y403" i="44"/>
  <c r="Y404" i="44"/>
  <c r="Y405" i="44"/>
  <c r="Y406" i="44"/>
  <c r="Y407" i="44"/>
  <c r="Y408" i="44"/>
  <c r="Y409" i="44"/>
  <c r="Y410" i="44"/>
  <c r="Y411" i="44"/>
  <c r="Y412" i="44"/>
  <c r="Y413" i="44"/>
  <c r="Y414" i="44"/>
  <c r="Y415" i="44"/>
  <c r="Y416" i="44"/>
  <c r="Y417" i="44"/>
  <c r="Y418" i="44"/>
  <c r="Y419" i="44"/>
  <c r="Y420" i="44"/>
  <c r="Y421" i="44"/>
  <c r="Y422" i="44"/>
  <c r="Y423" i="44"/>
  <c r="Y424" i="44"/>
  <c r="Y425" i="44"/>
  <c r="Y426" i="44"/>
  <c r="Y427" i="44"/>
  <c r="Y428" i="44"/>
  <c r="Y429" i="44"/>
  <c r="Y430" i="44"/>
  <c r="Y431" i="44"/>
  <c r="Y432" i="44"/>
  <c r="Y433" i="44"/>
  <c r="Y434" i="44"/>
  <c r="Y435" i="44"/>
  <c r="Y436" i="44"/>
  <c r="Y437" i="44"/>
  <c r="Y438" i="44"/>
  <c r="Y439" i="44"/>
  <c r="Y440" i="44"/>
  <c r="Y441" i="44"/>
  <c r="Y442" i="44"/>
  <c r="Y443" i="44"/>
  <c r="Y444" i="44"/>
  <c r="Y445" i="44"/>
  <c r="Y446" i="44"/>
  <c r="Y447" i="44"/>
  <c r="Y448" i="44"/>
  <c r="Y449" i="44"/>
  <c r="Y450" i="44"/>
  <c r="Y451" i="44"/>
  <c r="Y452" i="44"/>
  <c r="Y453" i="44"/>
  <c r="Y454" i="44"/>
  <c r="Y455" i="44"/>
  <c r="Y456" i="44"/>
  <c r="Y457" i="44"/>
  <c r="Y458" i="44"/>
  <c r="Y459" i="44"/>
  <c r="Y460" i="44"/>
  <c r="Y461" i="44"/>
  <c r="Y462" i="44"/>
  <c r="Y463" i="44"/>
  <c r="Y464" i="44"/>
  <c r="Y465" i="44"/>
  <c r="Y466" i="44"/>
  <c r="Y467" i="44"/>
  <c r="Y468" i="44"/>
  <c r="Y469" i="44"/>
  <c r="Y470" i="44"/>
  <c r="Y471" i="44"/>
  <c r="Y472" i="44"/>
  <c r="Y473" i="44"/>
  <c r="Y474" i="44"/>
  <c r="Y475" i="44"/>
  <c r="Y476" i="44"/>
  <c r="Y477" i="44"/>
  <c r="Y478" i="44"/>
  <c r="Y479" i="44"/>
  <c r="Y480" i="44"/>
  <c r="Y481" i="44"/>
  <c r="Y482" i="44"/>
  <c r="Y483" i="44"/>
  <c r="Y484" i="44"/>
  <c r="Y485" i="44"/>
  <c r="Y486" i="44"/>
  <c r="Y487" i="44"/>
  <c r="Y488" i="44"/>
  <c r="Y489" i="44"/>
  <c r="Y490" i="44"/>
  <c r="Y491" i="44"/>
  <c r="Y492" i="44"/>
  <c r="Y493" i="44"/>
  <c r="Y494" i="44"/>
  <c r="Y495" i="44"/>
  <c r="Y496" i="44"/>
  <c r="Y497" i="44"/>
  <c r="Y498" i="44"/>
  <c r="Y499" i="44"/>
  <c r="Y500" i="44"/>
  <c r="Y501" i="44"/>
  <c r="Y502" i="44"/>
  <c r="Y503" i="44"/>
  <c r="Y504" i="44"/>
  <c r="Y505" i="44"/>
  <c r="Y506" i="44"/>
  <c r="Y507" i="44"/>
  <c r="Y508" i="44"/>
  <c r="Y509" i="44"/>
  <c r="Y510" i="44"/>
  <c r="Y511" i="44"/>
  <c r="Y512" i="44"/>
  <c r="Y513" i="44"/>
  <c r="Y514" i="44"/>
  <c r="Y515" i="44"/>
  <c r="Y516" i="44"/>
  <c r="Y517" i="44"/>
  <c r="Y518" i="44"/>
  <c r="Y519" i="44"/>
  <c r="Y520" i="44"/>
  <c r="Y521" i="44"/>
  <c r="Y522" i="44"/>
  <c r="Y523" i="44"/>
  <c r="Y524" i="44"/>
  <c r="Y525" i="44"/>
  <c r="Y526" i="44"/>
  <c r="Y527" i="44"/>
  <c r="Y528" i="44"/>
  <c r="Y529" i="44"/>
  <c r="Y530" i="44"/>
  <c r="Y531" i="44"/>
  <c r="Y532" i="44"/>
  <c r="Y533" i="44"/>
  <c r="Y534" i="44"/>
  <c r="Y535" i="44"/>
  <c r="Y536" i="44"/>
  <c r="Y537" i="44"/>
  <c r="Y538" i="44"/>
  <c r="Y539" i="44"/>
  <c r="Y540" i="44"/>
  <c r="Y541" i="44"/>
  <c r="Y542" i="44"/>
  <c r="Y543" i="44"/>
  <c r="Y544" i="44"/>
  <c r="Y545" i="44"/>
  <c r="Y546" i="44"/>
  <c r="Y547" i="44"/>
  <c r="Y548" i="44"/>
  <c r="Y549" i="44"/>
  <c r="Y550" i="44"/>
  <c r="Y551" i="44"/>
  <c r="Y552" i="44"/>
  <c r="Y553" i="44"/>
  <c r="Y554" i="44"/>
  <c r="Y555" i="44"/>
  <c r="Y556" i="44"/>
  <c r="Y557" i="44"/>
  <c r="Y558" i="44"/>
  <c r="Y559" i="44"/>
  <c r="Y560" i="44"/>
  <c r="Y561" i="44"/>
  <c r="Y562" i="44"/>
  <c r="Y563" i="44"/>
  <c r="Y564" i="44"/>
  <c r="Y565" i="44"/>
  <c r="Y566" i="44"/>
  <c r="Y567" i="44"/>
  <c r="Y568" i="44"/>
  <c r="Y569" i="44"/>
  <c r="Y570" i="44"/>
  <c r="Y571" i="44"/>
  <c r="Y572" i="44"/>
  <c r="Y573" i="44"/>
  <c r="Y574" i="44"/>
  <c r="Y575" i="44"/>
  <c r="Y576" i="44"/>
  <c r="Y577" i="44"/>
  <c r="Y578" i="44"/>
  <c r="Y579" i="44"/>
  <c r="Y580" i="44"/>
  <c r="Y581" i="44"/>
  <c r="Y582" i="44"/>
  <c r="Y583" i="44"/>
  <c r="Y584" i="44"/>
  <c r="Y585" i="44"/>
  <c r="Y586" i="44"/>
  <c r="Y587" i="44"/>
  <c r="Y588" i="44"/>
  <c r="Y589" i="44"/>
  <c r="Y590" i="44"/>
  <c r="Y591" i="44"/>
  <c r="Y592" i="44"/>
  <c r="Y593" i="44"/>
  <c r="Y594" i="44"/>
  <c r="Y595" i="44"/>
  <c r="Y596" i="44"/>
  <c r="Y597" i="44"/>
  <c r="Y598" i="44"/>
  <c r="Y599" i="44"/>
  <c r="Y600" i="44"/>
  <c r="Y601" i="44"/>
  <c r="Y602" i="44"/>
  <c r="Y603" i="44"/>
  <c r="Y604" i="44"/>
  <c r="Y605" i="44"/>
  <c r="Y606" i="44"/>
  <c r="Y607" i="44"/>
  <c r="Y608" i="44"/>
  <c r="Y609" i="44"/>
  <c r="Y610" i="44"/>
  <c r="Y611" i="44"/>
  <c r="Y612" i="44"/>
  <c r="Y613" i="44"/>
  <c r="Y614" i="44"/>
  <c r="Y615" i="44"/>
  <c r="Y616" i="44"/>
  <c r="Y617" i="44"/>
  <c r="Y618" i="44"/>
  <c r="Y619" i="44"/>
  <c r="Y620" i="44"/>
  <c r="Y621" i="44"/>
  <c r="Y622" i="44"/>
  <c r="Y623" i="44"/>
  <c r="Y624" i="44"/>
  <c r="Y625" i="44"/>
  <c r="Y626" i="44"/>
  <c r="Y627" i="44"/>
  <c r="Y628" i="44"/>
  <c r="Y629" i="44"/>
  <c r="Y630" i="44"/>
  <c r="Y631" i="44"/>
  <c r="Y632" i="44"/>
  <c r="Y633" i="44"/>
  <c r="Y634" i="44"/>
  <c r="Y635" i="44"/>
  <c r="Y636" i="44"/>
  <c r="Y637" i="44"/>
  <c r="Y638" i="44"/>
  <c r="Y639" i="44"/>
  <c r="Y640" i="44"/>
  <c r="Y641" i="44"/>
  <c r="Y642" i="44"/>
  <c r="Y643" i="44"/>
  <c r="Y644" i="44"/>
  <c r="Y645" i="44"/>
  <c r="Y646" i="44"/>
  <c r="Y647" i="44"/>
  <c r="Y648" i="44"/>
  <c r="Y649" i="44"/>
  <c r="Y650" i="44"/>
  <c r="Y651" i="44"/>
  <c r="Y652" i="44"/>
  <c r="Y653" i="44"/>
  <c r="Y654" i="44"/>
  <c r="Y655" i="44"/>
  <c r="Y656" i="44"/>
  <c r="Y657" i="44"/>
  <c r="Y658" i="44"/>
  <c r="Y659" i="44"/>
  <c r="Y660" i="44"/>
  <c r="Y661" i="44"/>
  <c r="Y662" i="44"/>
  <c r="Y663" i="44"/>
  <c r="Y664" i="44"/>
  <c r="Y665" i="44"/>
  <c r="Y666" i="44"/>
  <c r="Y667" i="44"/>
  <c r="Y668" i="44"/>
  <c r="Y669" i="44"/>
  <c r="Y670" i="44"/>
  <c r="Y671" i="44"/>
  <c r="Y672" i="44"/>
  <c r="Y673" i="44"/>
  <c r="Y674" i="44"/>
  <c r="Y675" i="44"/>
  <c r="Y676" i="44"/>
  <c r="Y677" i="44"/>
  <c r="Y678" i="44"/>
  <c r="Y679" i="44"/>
  <c r="Y680" i="44"/>
  <c r="Y681" i="44"/>
  <c r="Y682" i="44"/>
  <c r="Y683" i="44"/>
  <c r="Y684" i="44"/>
  <c r="Y685" i="44"/>
  <c r="Y686" i="44"/>
  <c r="Y687" i="44"/>
  <c r="Y688" i="44"/>
  <c r="Y689" i="44"/>
  <c r="Y690" i="44"/>
  <c r="Y691" i="44"/>
  <c r="Y692" i="44"/>
  <c r="Y693" i="44"/>
  <c r="Y694" i="44"/>
  <c r="Y695" i="44"/>
  <c r="Y696" i="44"/>
  <c r="Y697" i="44"/>
  <c r="Y698" i="44"/>
  <c r="Y699" i="44"/>
  <c r="Y700" i="44"/>
  <c r="Y701" i="44"/>
  <c r="Y702" i="44"/>
  <c r="Y703" i="44"/>
  <c r="Y704" i="44"/>
  <c r="Y705" i="44"/>
  <c r="Y706" i="44"/>
  <c r="Y707" i="44"/>
  <c r="Y708" i="44"/>
  <c r="Y709" i="44"/>
  <c r="Y710" i="44"/>
  <c r="Y711" i="44"/>
  <c r="Y712" i="44"/>
  <c r="Y713" i="44"/>
  <c r="Y714" i="44"/>
  <c r="Y715" i="44"/>
  <c r="Y716" i="44"/>
  <c r="Y717" i="44"/>
  <c r="Y718" i="44"/>
  <c r="Y719" i="44"/>
  <c r="Y720" i="44"/>
  <c r="Y721" i="44"/>
  <c r="Y722" i="44"/>
  <c r="Y723" i="44"/>
  <c r="Y724" i="44"/>
  <c r="Y725" i="44"/>
  <c r="Y726" i="44"/>
  <c r="Y727" i="44"/>
  <c r="Y728" i="44"/>
  <c r="Y729" i="44"/>
  <c r="Y730" i="44"/>
  <c r="Y731" i="44"/>
  <c r="Y732" i="44"/>
  <c r="Y733" i="44"/>
  <c r="Y734" i="44"/>
  <c r="Y735" i="44"/>
  <c r="Y736" i="44"/>
  <c r="Y737" i="44"/>
  <c r="Y738" i="44"/>
  <c r="Y739" i="44"/>
  <c r="Y740" i="44"/>
  <c r="Y741" i="44"/>
  <c r="Y742" i="44"/>
  <c r="Y743" i="44"/>
  <c r="Y744" i="44"/>
  <c r="Y745" i="44"/>
  <c r="Y746" i="44"/>
  <c r="Y747" i="44"/>
  <c r="Y748" i="44"/>
  <c r="Y749" i="44"/>
  <c r="Y750" i="44"/>
  <c r="Y751" i="44"/>
  <c r="Y752" i="44"/>
  <c r="Y753" i="44"/>
  <c r="Y754" i="44"/>
  <c r="Y755" i="44"/>
  <c r="Y756" i="44"/>
  <c r="Y757" i="44"/>
  <c r="Y758" i="44"/>
  <c r="Y759" i="44"/>
  <c r="Y760" i="44"/>
  <c r="Y761" i="44"/>
  <c r="Y762" i="44"/>
  <c r="Y763" i="44"/>
  <c r="Y764" i="44"/>
  <c r="Y765" i="44"/>
  <c r="Y766" i="44"/>
  <c r="Y767" i="44"/>
  <c r="Y768" i="44"/>
  <c r="Y769" i="44"/>
  <c r="Y770" i="44"/>
  <c r="Y771" i="44"/>
  <c r="Y772" i="44"/>
  <c r="Y773" i="44"/>
  <c r="Y774" i="44"/>
  <c r="Y775" i="44"/>
  <c r="Y776" i="44"/>
  <c r="Y777" i="44"/>
  <c r="Y778" i="44"/>
  <c r="Y779" i="44"/>
  <c r="Y780" i="44"/>
  <c r="Y781" i="44"/>
  <c r="Y782" i="44"/>
  <c r="Y783" i="44"/>
  <c r="Y784" i="44"/>
  <c r="Y785" i="44"/>
  <c r="Y786" i="44"/>
  <c r="Y787" i="44"/>
  <c r="Y788" i="44"/>
  <c r="Y789" i="44"/>
  <c r="Y790" i="44"/>
  <c r="Y791" i="44"/>
  <c r="Y792" i="44"/>
  <c r="Y793" i="44"/>
  <c r="Y794" i="44"/>
  <c r="Y795" i="44"/>
  <c r="Y796" i="44"/>
  <c r="Y797" i="44"/>
  <c r="Y798" i="44"/>
  <c r="Y799" i="44"/>
  <c r="Y800" i="44"/>
  <c r="Y801" i="44"/>
  <c r="Y802" i="44"/>
  <c r="Y803" i="44"/>
  <c r="Y804" i="44"/>
  <c r="Y805" i="44"/>
  <c r="Y806" i="44"/>
  <c r="Y807" i="44"/>
  <c r="Y808" i="44"/>
  <c r="Y809" i="44"/>
  <c r="Y810" i="44"/>
  <c r="Y811" i="44"/>
  <c r="Y812" i="44"/>
  <c r="Y813" i="44"/>
  <c r="Y814" i="44"/>
  <c r="Y815" i="44"/>
  <c r="Y816" i="44"/>
  <c r="Y817" i="44"/>
  <c r="Y818" i="44"/>
  <c r="Y819" i="44"/>
  <c r="Y820" i="44"/>
  <c r="Y821" i="44"/>
  <c r="Y822" i="44"/>
  <c r="Y823" i="44"/>
  <c r="Y824" i="44"/>
  <c r="Y825" i="44"/>
  <c r="Y826" i="44"/>
  <c r="Y827" i="44"/>
  <c r="Y828" i="44"/>
  <c r="Y829" i="44"/>
  <c r="Y830" i="44"/>
  <c r="Y831" i="44"/>
  <c r="Y832" i="44"/>
  <c r="Y833" i="44"/>
  <c r="Y834" i="44"/>
  <c r="Y835" i="44"/>
  <c r="Y836" i="44"/>
  <c r="Y837" i="44"/>
  <c r="Y838" i="44"/>
  <c r="Y839" i="44"/>
  <c r="Y840" i="44"/>
  <c r="Y841" i="44"/>
  <c r="Y842" i="44"/>
  <c r="Y843" i="44"/>
  <c r="Y844" i="44"/>
  <c r="Y845" i="44"/>
  <c r="Y846" i="44"/>
  <c r="Y847" i="44"/>
  <c r="Y848" i="44"/>
  <c r="Y849" i="44"/>
  <c r="Y850" i="44"/>
  <c r="Y851" i="44"/>
  <c r="Y852" i="44"/>
  <c r="Y853" i="44"/>
  <c r="Y854" i="44"/>
  <c r="Y855" i="44"/>
  <c r="Y856" i="44"/>
  <c r="Y857" i="44"/>
  <c r="Y858" i="44"/>
  <c r="Y859" i="44"/>
  <c r="Y860" i="44"/>
  <c r="Y861" i="44"/>
  <c r="Y862" i="44"/>
  <c r="Y863" i="44"/>
  <c r="Y864" i="44"/>
  <c r="Y865" i="44"/>
  <c r="Y866" i="44"/>
  <c r="Y867" i="44"/>
  <c r="Y868" i="44"/>
  <c r="Y869" i="44"/>
  <c r="Y870" i="44"/>
  <c r="Y871" i="44"/>
  <c r="Y872" i="44"/>
  <c r="Y873" i="44"/>
  <c r="Y874" i="44"/>
  <c r="Y875" i="44"/>
  <c r="Y876" i="44"/>
  <c r="Y877" i="44"/>
  <c r="Y878" i="44"/>
  <c r="Y879" i="44"/>
  <c r="Y880" i="44"/>
  <c r="Y881" i="44"/>
  <c r="Y882" i="44"/>
  <c r="Y883" i="44"/>
  <c r="Y884" i="44"/>
  <c r="Y885" i="44"/>
  <c r="Y886" i="44"/>
  <c r="Y887" i="44"/>
  <c r="Y888" i="44"/>
  <c r="Y889" i="44"/>
  <c r="Y890" i="44"/>
  <c r="Y891" i="44"/>
  <c r="Y892" i="44"/>
  <c r="Y893" i="44"/>
  <c r="Y894" i="44"/>
  <c r="Y895" i="44"/>
  <c r="Y896" i="44"/>
  <c r="Y897" i="44"/>
  <c r="Y898" i="44"/>
  <c r="Y899" i="44"/>
  <c r="Y900" i="44"/>
  <c r="Y901" i="44"/>
  <c r="Y902" i="44"/>
  <c r="Y903" i="44"/>
  <c r="Y904" i="44"/>
  <c r="Y905" i="44"/>
  <c r="Y906" i="44"/>
  <c r="Y907" i="44"/>
  <c r="Y908" i="44"/>
  <c r="Y909" i="44"/>
  <c r="Y910" i="44"/>
  <c r="Y911" i="44"/>
  <c r="Y912" i="44"/>
  <c r="Y17" i="44"/>
  <c r="AQ74" i="44"/>
  <c r="Z74" i="44" s="1"/>
  <c r="AQ75" i="44"/>
  <c r="Z75" i="44" s="1"/>
  <c r="AQ76" i="44"/>
  <c r="Z76" i="44" s="1"/>
  <c r="AQ27" i="44"/>
  <c r="Z27" i="44" s="1"/>
  <c r="AQ36" i="44"/>
  <c r="Z36" i="44" s="1"/>
  <c r="AQ37" i="44"/>
  <c r="Z37" i="44" s="1"/>
  <c r="AQ39" i="44"/>
  <c r="Z39" i="44" s="1"/>
  <c r="AQ40" i="44"/>
  <c r="Z40" i="44" s="1"/>
  <c r="AQ41" i="44"/>
  <c r="Z41" i="44" s="1"/>
  <c r="AQ42" i="44"/>
  <c r="Z42" i="44" s="1"/>
  <c r="AQ43" i="44"/>
  <c r="Z43" i="44" s="1"/>
  <c r="AQ44" i="44"/>
  <c r="Z44" i="44" s="1"/>
  <c r="AQ45" i="44"/>
  <c r="Z45" i="44" s="1"/>
  <c r="AQ46" i="44"/>
  <c r="Z46" i="44" s="1"/>
  <c r="AQ47" i="44"/>
  <c r="Z47" i="44" s="1"/>
  <c r="AQ49" i="44"/>
  <c r="Z49" i="44" s="1"/>
  <c r="AQ50" i="44"/>
  <c r="Z50" i="44" s="1"/>
  <c r="AQ51" i="44"/>
  <c r="Z51" i="44" s="1"/>
  <c r="AQ52" i="44"/>
  <c r="Z52" i="44" s="1"/>
  <c r="AQ53" i="44"/>
  <c r="Z53" i="44" s="1"/>
  <c r="AQ54" i="44"/>
  <c r="Z54" i="44" s="1"/>
  <c r="AQ55" i="44"/>
  <c r="Z55" i="44" s="1"/>
  <c r="AQ56" i="44"/>
  <c r="Z56" i="44" s="1"/>
  <c r="AQ57" i="44"/>
  <c r="Z57" i="44" s="1"/>
  <c r="AQ58" i="44"/>
  <c r="Z58" i="44" s="1"/>
  <c r="AQ59" i="44"/>
  <c r="Z59" i="44" s="1"/>
  <c r="AQ60" i="44"/>
  <c r="Z60" i="44" s="1"/>
  <c r="AQ62" i="44"/>
  <c r="Z62" i="44" s="1"/>
  <c r="AQ64" i="44"/>
  <c r="Z64" i="44" s="1"/>
  <c r="AQ65" i="44"/>
  <c r="Z65" i="44" s="1"/>
  <c r="AQ66" i="44"/>
  <c r="Z66" i="44" s="1"/>
  <c r="AQ67" i="44"/>
  <c r="Z67" i="44" s="1"/>
  <c r="AQ68" i="44"/>
  <c r="Z68" i="44" s="1"/>
  <c r="AQ69" i="44"/>
  <c r="Z69" i="44" s="1"/>
  <c r="AQ70" i="44"/>
  <c r="Z70" i="44" s="1"/>
  <c r="AQ71" i="44"/>
  <c r="Z71" i="44" s="1"/>
  <c r="AQ72" i="44"/>
  <c r="Z72" i="44" s="1"/>
  <c r="AQ77" i="44"/>
  <c r="Z77" i="44" s="1"/>
  <c r="AQ78" i="44"/>
  <c r="Z78" i="44" s="1"/>
  <c r="AQ79" i="44"/>
  <c r="Z79" i="44" s="1"/>
  <c r="AQ80" i="44"/>
  <c r="Z80" i="44" s="1"/>
  <c r="AQ81" i="44"/>
  <c r="Z81" i="44" s="1"/>
  <c r="AQ82" i="44"/>
  <c r="Z82" i="44" s="1"/>
  <c r="AQ83" i="44"/>
  <c r="Z83" i="44" s="1"/>
  <c r="AQ84" i="44"/>
  <c r="Z84" i="44" s="1"/>
  <c r="AQ91" i="44"/>
  <c r="Z91" i="44" s="1"/>
  <c r="AQ92" i="44"/>
  <c r="Z92" i="44" s="1"/>
  <c r="AQ93" i="44"/>
  <c r="Z93" i="44" s="1"/>
  <c r="AQ94" i="44"/>
  <c r="Z94" i="44" s="1"/>
  <c r="AQ95" i="44"/>
  <c r="Z95" i="44" s="1"/>
  <c r="AQ96" i="44"/>
  <c r="Z96" i="44" s="1"/>
  <c r="AQ97" i="44"/>
  <c r="Z97" i="44" s="1"/>
  <c r="AQ98" i="44"/>
  <c r="Z98" i="44" s="1"/>
  <c r="AQ99" i="44"/>
  <c r="Z99" i="44" s="1"/>
  <c r="AQ100" i="44"/>
  <c r="Z100" i="44" s="1"/>
  <c r="AQ101" i="44"/>
  <c r="Z101" i="44" s="1"/>
  <c r="AQ102" i="44"/>
  <c r="Z102" i="44" s="1"/>
  <c r="AQ103" i="44"/>
  <c r="Z103" i="44" s="1"/>
  <c r="AQ104" i="44"/>
  <c r="Z104" i="44" s="1"/>
  <c r="AQ105" i="44"/>
  <c r="Z105" i="44" s="1"/>
  <c r="AQ106" i="44"/>
  <c r="Z106" i="44" s="1"/>
  <c r="AQ107" i="44"/>
  <c r="Z107" i="44" s="1"/>
  <c r="AQ108" i="44"/>
  <c r="Z108" i="44" s="1"/>
  <c r="AQ109" i="44"/>
  <c r="Z109" i="44" s="1"/>
  <c r="AQ110" i="44"/>
  <c r="Z110" i="44" s="1"/>
  <c r="AQ111" i="44"/>
  <c r="Z111" i="44" s="1"/>
  <c r="AQ112" i="44"/>
  <c r="Z112" i="44" s="1"/>
  <c r="AQ113" i="44"/>
  <c r="Z113" i="44" s="1"/>
  <c r="AQ114" i="44"/>
  <c r="Z114" i="44" s="1"/>
  <c r="AQ115" i="44"/>
  <c r="Z115" i="44" s="1"/>
  <c r="AQ116" i="44"/>
  <c r="Z116" i="44" s="1"/>
  <c r="AQ117" i="44"/>
  <c r="Z117" i="44" s="1"/>
  <c r="AQ118" i="44"/>
  <c r="Z118" i="44" s="1"/>
  <c r="AQ120" i="44"/>
  <c r="Z120" i="44" s="1"/>
  <c r="AQ121" i="44"/>
  <c r="Z121" i="44" s="1"/>
  <c r="AQ122" i="44"/>
  <c r="Z122" i="44" s="1"/>
  <c r="AQ123" i="44"/>
  <c r="Z123" i="44" s="1"/>
  <c r="AQ124" i="44"/>
  <c r="Z124" i="44" s="1"/>
  <c r="AQ125" i="44"/>
  <c r="Z125" i="44" s="1"/>
  <c r="AQ126" i="44"/>
  <c r="Z126" i="44" s="1"/>
  <c r="AQ127" i="44"/>
  <c r="Z127" i="44" s="1"/>
  <c r="AQ128" i="44"/>
  <c r="Z128" i="44" s="1"/>
  <c r="AQ130" i="44"/>
  <c r="Z130" i="44" s="1"/>
  <c r="AQ131" i="44"/>
  <c r="Z131" i="44" s="1"/>
  <c r="AQ132" i="44"/>
  <c r="Z132" i="44" s="1"/>
  <c r="AQ133" i="44"/>
  <c r="Z133" i="44" s="1"/>
  <c r="AQ134" i="44"/>
  <c r="Z134" i="44" s="1"/>
  <c r="AQ135" i="44"/>
  <c r="Z135" i="44" s="1"/>
  <c r="AQ137" i="44"/>
  <c r="Z137" i="44" s="1"/>
  <c r="AQ138" i="44"/>
  <c r="Z138" i="44" s="1"/>
  <c r="AQ139" i="44"/>
  <c r="Z139" i="44" s="1"/>
  <c r="AQ140" i="44"/>
  <c r="Z140" i="44" s="1"/>
  <c r="AQ147" i="44"/>
  <c r="Z147" i="44" s="1"/>
  <c r="AQ148" i="44"/>
  <c r="Z148" i="44" s="1"/>
  <c r="AQ149" i="44"/>
  <c r="Z149" i="44" s="1"/>
  <c r="AQ150" i="44"/>
  <c r="Z150" i="44" s="1"/>
  <c r="AQ151" i="44"/>
  <c r="Z151" i="44" s="1"/>
  <c r="AQ152" i="44"/>
  <c r="Z152" i="44" s="1"/>
  <c r="AQ153" i="44"/>
  <c r="Z153" i="44" s="1"/>
  <c r="AQ154" i="44"/>
  <c r="Z154" i="44" s="1"/>
  <c r="AQ155" i="44"/>
  <c r="Z155" i="44" s="1"/>
  <c r="AQ156" i="44"/>
  <c r="Z156" i="44" s="1"/>
  <c r="AQ157" i="44"/>
  <c r="Z157" i="44" s="1"/>
  <c r="AQ158" i="44"/>
  <c r="Z158" i="44" s="1"/>
  <c r="AQ159" i="44"/>
  <c r="Z159" i="44" s="1"/>
  <c r="AQ160" i="44"/>
  <c r="Z160" i="44" s="1"/>
  <c r="AQ161" i="44"/>
  <c r="Z161" i="44" s="1"/>
  <c r="AQ162" i="44"/>
  <c r="Z162" i="44" s="1"/>
  <c r="AQ163" i="44"/>
  <c r="Z163" i="44" s="1"/>
  <c r="AQ164" i="44"/>
  <c r="Z164" i="44" s="1"/>
  <c r="AQ165" i="44"/>
  <c r="Z165" i="44" s="1"/>
  <c r="AQ166" i="44"/>
  <c r="Z166" i="44" s="1"/>
  <c r="AQ167" i="44"/>
  <c r="Z167" i="44" s="1"/>
  <c r="AQ168" i="44"/>
  <c r="Z168" i="44" s="1"/>
  <c r="AQ169" i="44"/>
  <c r="Z169" i="44" s="1"/>
  <c r="AQ170" i="44"/>
  <c r="Z170" i="44" s="1"/>
  <c r="AQ171" i="44"/>
  <c r="Z171" i="44" s="1"/>
  <c r="AQ172" i="44"/>
  <c r="Z172" i="44" s="1"/>
  <c r="AQ173" i="44"/>
  <c r="Z173" i="44" s="1"/>
  <c r="AQ174" i="44"/>
  <c r="Z174" i="44" s="1"/>
  <c r="AQ176" i="44"/>
  <c r="Z176" i="44" s="1"/>
  <c r="AQ177" i="44"/>
  <c r="Z177" i="44" s="1"/>
  <c r="AQ178" i="44"/>
  <c r="Z178" i="44" s="1"/>
  <c r="AQ179" i="44"/>
  <c r="Z179" i="44" s="1"/>
  <c r="AQ180" i="44"/>
  <c r="Z180" i="44" s="1"/>
  <c r="AQ181" i="44"/>
  <c r="Z181" i="44" s="1"/>
  <c r="AQ182" i="44"/>
  <c r="Z182" i="44" s="1"/>
  <c r="AQ183" i="44"/>
  <c r="Z183" i="44" s="1"/>
  <c r="AQ184" i="44"/>
  <c r="Z184" i="44" s="1"/>
  <c r="AQ185" i="44"/>
  <c r="AQ186" i="44"/>
  <c r="Z186" i="44" s="1"/>
  <c r="AQ187" i="44"/>
  <c r="Z187" i="44" s="1"/>
  <c r="AQ188" i="44"/>
  <c r="Z188" i="44" s="1"/>
  <c r="AQ189" i="44"/>
  <c r="Z189" i="44" s="1"/>
  <c r="AQ190" i="44"/>
  <c r="Z190" i="44" s="1"/>
  <c r="AQ191" i="44"/>
  <c r="Z191" i="44" s="1"/>
  <c r="AQ192" i="44"/>
  <c r="Z192" i="44" s="1"/>
  <c r="AQ193" i="44"/>
  <c r="Z193" i="44" s="1"/>
  <c r="AQ194" i="44"/>
  <c r="Z194" i="44" s="1"/>
  <c r="AQ195" i="44"/>
  <c r="Z195" i="44" s="1"/>
  <c r="AQ196" i="44"/>
  <c r="Z196" i="44" s="1"/>
  <c r="AQ203" i="44"/>
  <c r="Z203" i="44" s="1"/>
  <c r="AQ204" i="44"/>
  <c r="Z204" i="44" s="1"/>
  <c r="AQ205" i="44"/>
  <c r="Z205" i="44" s="1"/>
  <c r="AQ206" i="44"/>
  <c r="Z206" i="44" s="1"/>
  <c r="AQ207" i="44"/>
  <c r="Z207" i="44" s="1"/>
  <c r="AQ208" i="44"/>
  <c r="Z208" i="44" s="1"/>
  <c r="AQ209" i="44"/>
  <c r="Z209" i="44" s="1"/>
  <c r="AQ210" i="44"/>
  <c r="Z210" i="44" s="1"/>
  <c r="AQ211" i="44"/>
  <c r="Z211" i="44" s="1"/>
  <c r="AQ212" i="44"/>
  <c r="Z212" i="44" s="1"/>
  <c r="AQ213" i="44"/>
  <c r="Z213" i="44" s="1"/>
  <c r="AQ214" i="44"/>
  <c r="Z214" i="44" s="1"/>
  <c r="AQ215" i="44"/>
  <c r="Z215" i="44" s="1"/>
  <c r="AQ216" i="44"/>
  <c r="Z216" i="44" s="1"/>
  <c r="AQ217" i="44"/>
  <c r="Z217" i="44" s="1"/>
  <c r="AQ218" i="44"/>
  <c r="Z218" i="44" s="1"/>
  <c r="AQ219" i="44"/>
  <c r="Z219" i="44" s="1"/>
  <c r="AQ220" i="44"/>
  <c r="Z220" i="44" s="1"/>
  <c r="AQ221" i="44"/>
  <c r="Z221" i="44" s="1"/>
  <c r="AQ222" i="44"/>
  <c r="Z222" i="44" s="1"/>
  <c r="AQ223" i="44"/>
  <c r="Z223" i="44" s="1"/>
  <c r="AQ224" i="44"/>
  <c r="Z224" i="44" s="1"/>
  <c r="AQ225" i="44"/>
  <c r="Z225" i="44" s="1"/>
  <c r="AQ226" i="44"/>
  <c r="Z226" i="44" s="1"/>
  <c r="AQ227" i="44"/>
  <c r="Z227" i="44" s="1"/>
  <c r="AQ228" i="44"/>
  <c r="Z228" i="44" s="1"/>
  <c r="AQ229" i="44"/>
  <c r="Z229" i="44" s="1"/>
  <c r="AQ230" i="44"/>
  <c r="Z230" i="44" s="1"/>
  <c r="AQ232" i="44"/>
  <c r="Z232" i="44" s="1"/>
  <c r="AQ233" i="44"/>
  <c r="Z233" i="44" s="1"/>
  <c r="AQ234" i="44"/>
  <c r="Z234" i="44" s="1"/>
  <c r="AQ235" i="44"/>
  <c r="Z235" i="44" s="1"/>
  <c r="AQ236" i="44"/>
  <c r="Z236" i="44" s="1"/>
  <c r="AQ237" i="44"/>
  <c r="Z237" i="44" s="1"/>
  <c r="AQ238" i="44"/>
  <c r="Z238" i="44" s="1"/>
  <c r="AQ239" i="44"/>
  <c r="Z239" i="44" s="1"/>
  <c r="AQ240" i="44"/>
  <c r="Z240" i="44" s="1"/>
  <c r="AQ241" i="44"/>
  <c r="AQ242" i="44"/>
  <c r="Z242" i="44" s="1"/>
  <c r="AQ243" i="44"/>
  <c r="Z243" i="44" s="1"/>
  <c r="AQ244" i="44"/>
  <c r="Z244" i="44" s="1"/>
  <c r="AQ245" i="44"/>
  <c r="Z245" i="44" s="1"/>
  <c r="AQ246" i="44"/>
  <c r="Z246" i="44" s="1"/>
  <c r="AQ247" i="44"/>
  <c r="Z247" i="44" s="1"/>
  <c r="AQ248" i="44"/>
  <c r="Z248" i="44" s="1"/>
  <c r="AQ249" i="44"/>
  <c r="Z249" i="44" s="1"/>
  <c r="AQ250" i="44"/>
  <c r="Z250" i="44" s="1"/>
  <c r="AQ251" i="44"/>
  <c r="Z251" i="44" s="1"/>
  <c r="AQ252" i="44"/>
  <c r="Z252" i="44" s="1"/>
  <c r="AQ259" i="44"/>
  <c r="Z259" i="44" s="1"/>
  <c r="AQ260" i="44"/>
  <c r="Z260" i="44" s="1"/>
  <c r="AQ261" i="44"/>
  <c r="Z261" i="44" s="1"/>
  <c r="AQ262" i="44"/>
  <c r="Z262" i="44" s="1"/>
  <c r="AQ263" i="44"/>
  <c r="Z263" i="44" s="1"/>
  <c r="AQ264" i="44"/>
  <c r="Z264" i="44" s="1"/>
  <c r="AQ265" i="44"/>
  <c r="Z265" i="44" s="1"/>
  <c r="AQ266" i="44"/>
  <c r="Z266" i="44" s="1"/>
  <c r="AQ267" i="44"/>
  <c r="Z267" i="44" s="1"/>
  <c r="AQ268" i="44"/>
  <c r="Z268" i="44" s="1"/>
  <c r="AQ269" i="44"/>
  <c r="Z269" i="44" s="1"/>
  <c r="AQ270" i="44"/>
  <c r="Z270" i="44" s="1"/>
  <c r="AQ271" i="44"/>
  <c r="Z271" i="44" s="1"/>
  <c r="AQ272" i="44"/>
  <c r="Z272" i="44" s="1"/>
  <c r="AQ273" i="44"/>
  <c r="Z273" i="44" s="1"/>
  <c r="AQ274" i="44"/>
  <c r="Z274" i="44" s="1"/>
  <c r="AQ275" i="44"/>
  <c r="Z275" i="44" s="1"/>
  <c r="AQ276" i="44"/>
  <c r="Z276" i="44" s="1"/>
  <c r="AQ277" i="44"/>
  <c r="Z277" i="44" s="1"/>
  <c r="AQ278" i="44"/>
  <c r="Z278" i="44" s="1"/>
  <c r="AQ279" i="44"/>
  <c r="Z279" i="44" s="1"/>
  <c r="AQ280" i="44"/>
  <c r="Z280" i="44" s="1"/>
  <c r="AQ281" i="44"/>
  <c r="Z281" i="44" s="1"/>
  <c r="AQ282" i="44"/>
  <c r="Z282" i="44" s="1"/>
  <c r="AQ283" i="44"/>
  <c r="Z283" i="44" s="1"/>
  <c r="AQ284" i="44"/>
  <c r="Z284" i="44" s="1"/>
  <c r="AQ285" i="44"/>
  <c r="Z285" i="44" s="1"/>
  <c r="AQ286" i="44"/>
  <c r="Z286" i="44" s="1"/>
  <c r="AQ288" i="44"/>
  <c r="Z288" i="44" s="1"/>
  <c r="AQ289" i="44"/>
  <c r="Z289" i="44" s="1"/>
  <c r="AQ290" i="44"/>
  <c r="Z290" i="44" s="1"/>
  <c r="AQ291" i="44"/>
  <c r="Z291" i="44" s="1"/>
  <c r="AQ292" i="44"/>
  <c r="Z292" i="44" s="1"/>
  <c r="AQ293" i="44"/>
  <c r="Z293" i="44" s="1"/>
  <c r="AQ294" i="44"/>
  <c r="Z294" i="44" s="1"/>
  <c r="AQ295" i="44"/>
  <c r="Z295" i="44" s="1"/>
  <c r="AQ296" i="44"/>
  <c r="Z296" i="44" s="1"/>
  <c r="AQ297" i="44"/>
  <c r="AQ298" i="44"/>
  <c r="Z298" i="44" s="1"/>
  <c r="AQ299" i="44"/>
  <c r="Z299" i="44" s="1"/>
  <c r="AQ300" i="44"/>
  <c r="Z300" i="44" s="1"/>
  <c r="AQ301" i="44"/>
  <c r="Z301" i="44" s="1"/>
  <c r="AQ302" i="44"/>
  <c r="Z302" i="44" s="1"/>
  <c r="AQ303" i="44"/>
  <c r="Z303" i="44" s="1"/>
  <c r="AQ304" i="44"/>
  <c r="Z304" i="44" s="1"/>
  <c r="AQ305" i="44"/>
  <c r="Z305" i="44" s="1"/>
  <c r="AQ306" i="44"/>
  <c r="Z306" i="44" s="1"/>
  <c r="AQ307" i="44"/>
  <c r="Z307" i="44" s="1"/>
  <c r="AQ308" i="44"/>
  <c r="Z308" i="44" s="1"/>
  <c r="AQ315" i="44"/>
  <c r="Z315" i="44" s="1"/>
  <c r="AQ316" i="44"/>
  <c r="Z316" i="44" s="1"/>
  <c r="AQ317" i="44"/>
  <c r="Z317" i="44" s="1"/>
  <c r="AQ318" i="44"/>
  <c r="Z318" i="44" s="1"/>
  <c r="AQ319" i="44"/>
  <c r="Z319" i="44" s="1"/>
  <c r="AQ320" i="44"/>
  <c r="Z320" i="44" s="1"/>
  <c r="AQ321" i="44"/>
  <c r="Z321" i="44" s="1"/>
  <c r="AQ322" i="44"/>
  <c r="Z322" i="44" s="1"/>
  <c r="AQ323" i="44"/>
  <c r="Z323" i="44" s="1"/>
  <c r="AQ324" i="44"/>
  <c r="Z324" i="44" s="1"/>
  <c r="AQ325" i="44"/>
  <c r="Z325" i="44" s="1"/>
  <c r="AQ326" i="44"/>
  <c r="Z326" i="44" s="1"/>
  <c r="AQ327" i="44"/>
  <c r="Z327" i="44" s="1"/>
  <c r="AQ328" i="44"/>
  <c r="Z328" i="44" s="1"/>
  <c r="AQ329" i="44"/>
  <c r="Z329" i="44" s="1"/>
  <c r="AQ330" i="44"/>
  <c r="Z330" i="44" s="1"/>
  <c r="AQ331" i="44"/>
  <c r="Z331" i="44" s="1"/>
  <c r="AQ332" i="44"/>
  <c r="Z332" i="44" s="1"/>
  <c r="AQ333" i="44"/>
  <c r="Z333" i="44" s="1"/>
  <c r="AQ334" i="44"/>
  <c r="Z334" i="44" s="1"/>
  <c r="AQ335" i="44"/>
  <c r="Z335" i="44" s="1"/>
  <c r="AQ336" i="44"/>
  <c r="Z336" i="44" s="1"/>
  <c r="AQ337" i="44"/>
  <c r="Z337" i="44" s="1"/>
  <c r="AQ338" i="44"/>
  <c r="Z338" i="44" s="1"/>
  <c r="AQ339" i="44"/>
  <c r="Z339" i="44" s="1"/>
  <c r="AQ340" i="44"/>
  <c r="Z340" i="44" s="1"/>
  <c r="AQ341" i="44"/>
  <c r="Z341" i="44" s="1"/>
  <c r="AQ342" i="44"/>
  <c r="Z342" i="44" s="1"/>
  <c r="AQ343" i="44"/>
  <c r="Z343" i="44" s="1"/>
  <c r="AQ344" i="44"/>
  <c r="Z344" i="44" s="1"/>
  <c r="AQ345" i="44"/>
  <c r="Z345" i="44" s="1"/>
  <c r="AQ346" i="44"/>
  <c r="Z346" i="44" s="1"/>
  <c r="AQ347" i="44"/>
  <c r="Z347" i="44" s="1"/>
  <c r="AQ348" i="44"/>
  <c r="Z348" i="44" s="1"/>
  <c r="AQ349" i="44"/>
  <c r="Z349" i="44" s="1"/>
  <c r="AQ350" i="44"/>
  <c r="Z350" i="44" s="1"/>
  <c r="AQ351" i="44"/>
  <c r="Z351" i="44" s="1"/>
  <c r="AQ352" i="44"/>
  <c r="Z352" i="44" s="1"/>
  <c r="AQ353" i="44"/>
  <c r="AQ354" i="44"/>
  <c r="Z354" i="44" s="1"/>
  <c r="AQ355" i="44"/>
  <c r="Z355" i="44" s="1"/>
  <c r="AQ356" i="44"/>
  <c r="Z356" i="44" s="1"/>
  <c r="AQ357" i="44"/>
  <c r="Z357" i="44" s="1"/>
  <c r="AQ358" i="44"/>
  <c r="Z358" i="44" s="1"/>
  <c r="AQ359" i="44"/>
  <c r="Z359" i="44" s="1"/>
  <c r="AQ360" i="44"/>
  <c r="Z360" i="44" s="1"/>
  <c r="AQ361" i="44"/>
  <c r="Z361" i="44" s="1"/>
  <c r="AQ362" i="44"/>
  <c r="Z362" i="44" s="1"/>
  <c r="AQ363" i="44"/>
  <c r="Z363" i="44" s="1"/>
  <c r="AQ364" i="44"/>
  <c r="Z364" i="44" s="1"/>
  <c r="AQ365" i="44"/>
  <c r="Z365" i="44" s="1"/>
  <c r="AQ366" i="44"/>
  <c r="Z366" i="44" s="1"/>
  <c r="AQ367" i="44"/>
  <c r="Z367" i="44" s="1"/>
  <c r="AQ368" i="44"/>
  <c r="Z368" i="44" s="1"/>
  <c r="AQ369" i="44"/>
  <c r="Z369" i="44" s="1"/>
  <c r="AQ370" i="44"/>
  <c r="Z370" i="44" s="1"/>
  <c r="AQ371" i="44"/>
  <c r="Z371" i="44" s="1"/>
  <c r="AQ372" i="44"/>
  <c r="Z372" i="44" s="1"/>
  <c r="AQ373" i="44"/>
  <c r="Z373" i="44" s="1"/>
  <c r="AQ374" i="44"/>
  <c r="Z374" i="44" s="1"/>
  <c r="AQ375" i="44"/>
  <c r="Z375" i="44" s="1"/>
  <c r="AQ376" i="44"/>
  <c r="Z376" i="44" s="1"/>
  <c r="AQ377" i="44"/>
  <c r="Z377" i="44" s="1"/>
  <c r="AQ378" i="44"/>
  <c r="Z378" i="44" s="1"/>
  <c r="AQ379" i="44"/>
  <c r="Z379" i="44" s="1"/>
  <c r="AQ380" i="44"/>
  <c r="Z380" i="44" s="1"/>
  <c r="AQ381" i="44"/>
  <c r="Z381" i="44" s="1"/>
  <c r="AQ382" i="44"/>
  <c r="Z382" i="44" s="1"/>
  <c r="AQ383" i="44"/>
  <c r="Z383" i="44" s="1"/>
  <c r="AQ384" i="44"/>
  <c r="Z384" i="44" s="1"/>
  <c r="AQ385" i="44"/>
  <c r="Z385" i="44" s="1"/>
  <c r="AQ386" i="44"/>
  <c r="Z386" i="44" s="1"/>
  <c r="AQ387" i="44"/>
  <c r="Z387" i="44" s="1"/>
  <c r="AQ388" i="44"/>
  <c r="Z388" i="44" s="1"/>
  <c r="AQ389" i="44"/>
  <c r="Z389" i="44" s="1"/>
  <c r="AQ390" i="44"/>
  <c r="Z390" i="44" s="1"/>
  <c r="AQ391" i="44"/>
  <c r="Z391" i="44" s="1"/>
  <c r="AQ392" i="44"/>
  <c r="Z392" i="44" s="1"/>
  <c r="AQ393" i="44"/>
  <c r="Z393" i="44" s="1"/>
  <c r="AQ394" i="44"/>
  <c r="Z394" i="44" s="1"/>
  <c r="AQ395" i="44"/>
  <c r="Z395" i="44" s="1"/>
  <c r="AQ396" i="44"/>
  <c r="Z396" i="44" s="1"/>
  <c r="AQ397" i="44"/>
  <c r="Z397" i="44" s="1"/>
  <c r="AQ398" i="44"/>
  <c r="Z398" i="44" s="1"/>
  <c r="AQ399" i="44"/>
  <c r="Z399" i="44" s="1"/>
  <c r="AQ400" i="44"/>
  <c r="Z400" i="44" s="1"/>
  <c r="AQ401" i="44"/>
  <c r="Z401" i="44" s="1"/>
  <c r="AQ402" i="44"/>
  <c r="Z402" i="44" s="1"/>
  <c r="AQ403" i="44"/>
  <c r="Z403" i="44" s="1"/>
  <c r="AQ404" i="44"/>
  <c r="Z404" i="44" s="1"/>
  <c r="AQ405" i="44"/>
  <c r="Z405" i="44" s="1"/>
  <c r="AQ406" i="44"/>
  <c r="Z406" i="44" s="1"/>
  <c r="AQ407" i="44"/>
  <c r="Z407" i="44" s="1"/>
  <c r="AQ408" i="44"/>
  <c r="Z408" i="44" s="1"/>
  <c r="AQ409" i="44"/>
  <c r="AQ410" i="44"/>
  <c r="Z410" i="44" s="1"/>
  <c r="BA410" i="44" s="1" a="1"/>
  <c r="AQ411" i="44"/>
  <c r="Z411" i="44" s="1"/>
  <c r="AQ412" i="44"/>
  <c r="Z412" i="44" s="1"/>
  <c r="AQ413" i="44"/>
  <c r="Z413" i="44" s="1"/>
  <c r="BA413" i="44" s="1" a="1"/>
  <c r="AQ414" i="44"/>
  <c r="Z414" i="44" s="1"/>
  <c r="BA414" i="44" s="1" a="1"/>
  <c r="AQ415" i="44"/>
  <c r="Z415" i="44" s="1"/>
  <c r="BA415" i="44" s="1" a="1"/>
  <c r="AQ416" i="44"/>
  <c r="Z416" i="44" s="1"/>
  <c r="AQ417" i="44"/>
  <c r="Z417" i="44" s="1"/>
  <c r="AQ418" i="44"/>
  <c r="Z418" i="44" s="1"/>
  <c r="BA418" i="44" s="1" a="1"/>
  <c r="AQ419" i="44"/>
  <c r="Z419" i="44" s="1"/>
  <c r="AQ420" i="44"/>
  <c r="Z420" i="44" s="1"/>
  <c r="AQ421" i="44"/>
  <c r="Z421" i="44" s="1"/>
  <c r="BA421" i="44" s="1" a="1"/>
  <c r="AQ422" i="44"/>
  <c r="Z422" i="44" s="1"/>
  <c r="BA422" i="44" s="1" a="1"/>
  <c r="AQ423" i="44"/>
  <c r="Z423" i="44" s="1"/>
  <c r="BA423" i="44" s="1" a="1"/>
  <c r="AQ424" i="44"/>
  <c r="Z424" i="44" s="1"/>
  <c r="AQ425" i="44"/>
  <c r="Z425" i="44" s="1"/>
  <c r="AQ426" i="44"/>
  <c r="Z426" i="44" s="1"/>
  <c r="AQ427" i="44"/>
  <c r="Z427" i="44" s="1"/>
  <c r="AQ428" i="44"/>
  <c r="Z428" i="44" s="1"/>
  <c r="AQ429" i="44"/>
  <c r="Z429" i="44" s="1"/>
  <c r="AQ430" i="44"/>
  <c r="Z430" i="44" s="1"/>
  <c r="BA430" i="44" s="1" a="1"/>
  <c r="AQ431" i="44"/>
  <c r="Z431" i="44" s="1"/>
  <c r="BA431" i="44" s="1" a="1"/>
  <c r="AQ432" i="44"/>
  <c r="Z432" i="44" s="1"/>
  <c r="AQ433" i="44"/>
  <c r="Z433" i="44" s="1"/>
  <c r="AQ434" i="44"/>
  <c r="Z434" i="44" s="1"/>
  <c r="AQ435" i="44"/>
  <c r="Z435" i="44" s="1"/>
  <c r="AQ436" i="44"/>
  <c r="Z436" i="44" s="1"/>
  <c r="AQ437" i="44"/>
  <c r="Z437" i="44" s="1"/>
  <c r="BA437" i="44" s="1" a="1"/>
  <c r="AQ438" i="44"/>
  <c r="Z438" i="44" s="1"/>
  <c r="BA438" i="44" s="1" a="1"/>
  <c r="AQ439" i="44"/>
  <c r="Z439" i="44" s="1"/>
  <c r="AQ440" i="44"/>
  <c r="Z440" i="44" s="1"/>
  <c r="AQ441" i="44"/>
  <c r="Z441" i="44" s="1"/>
  <c r="BA441" i="44" s="1" a="1"/>
  <c r="AQ442" i="44"/>
  <c r="Z442" i="44" s="1"/>
  <c r="AQ443" i="44"/>
  <c r="Z443" i="44" s="1"/>
  <c r="AQ444" i="44"/>
  <c r="Z444" i="44" s="1"/>
  <c r="AQ445" i="44"/>
  <c r="Z445" i="44" s="1"/>
  <c r="AQ446" i="44"/>
  <c r="Z446" i="44" s="1"/>
  <c r="BA446" i="44" s="1" a="1"/>
  <c r="AQ447" i="44"/>
  <c r="Z447" i="44" s="1"/>
  <c r="AQ448" i="44"/>
  <c r="Z448" i="44" s="1"/>
  <c r="AQ449" i="44"/>
  <c r="Z449" i="44" s="1"/>
  <c r="BA449" i="44" s="1" a="1"/>
  <c r="AQ450" i="44"/>
  <c r="Z450" i="44" s="1"/>
  <c r="AQ451" i="44"/>
  <c r="Z451" i="44" s="1"/>
  <c r="AQ452" i="44"/>
  <c r="Z452" i="44" s="1"/>
  <c r="AQ453" i="44"/>
  <c r="Z453" i="44" s="1"/>
  <c r="BA453" i="44" s="1" a="1"/>
  <c r="AQ454" i="44"/>
  <c r="Z454" i="44" s="1"/>
  <c r="AQ455" i="44"/>
  <c r="Z455" i="44" s="1"/>
  <c r="AQ456" i="44"/>
  <c r="Z456" i="44" s="1"/>
  <c r="AQ457" i="44"/>
  <c r="Z457" i="44" s="1"/>
  <c r="AQ458" i="44"/>
  <c r="Z458" i="44" s="1"/>
  <c r="BA458" i="44" s="1" a="1"/>
  <c r="AQ459" i="44"/>
  <c r="Z459" i="44" s="1"/>
  <c r="AQ460" i="44"/>
  <c r="Z460" i="44" s="1"/>
  <c r="AQ461" i="44"/>
  <c r="Z461" i="44" s="1"/>
  <c r="AQ462" i="44"/>
  <c r="Z462" i="44" s="1"/>
  <c r="AQ463" i="44"/>
  <c r="Z463" i="44" s="1"/>
  <c r="AQ464" i="44"/>
  <c r="Z464" i="44" s="1"/>
  <c r="AQ465" i="44"/>
  <c r="AQ466" i="44"/>
  <c r="Z466" i="44" s="1"/>
  <c r="AQ467" i="44"/>
  <c r="Z467" i="44" s="1"/>
  <c r="AQ468" i="44"/>
  <c r="Z468" i="44" s="1"/>
  <c r="AQ469" i="44"/>
  <c r="Z469" i="44" s="1"/>
  <c r="AQ470" i="44"/>
  <c r="Z470" i="44" s="1"/>
  <c r="AQ471" i="44"/>
  <c r="Z471" i="44" s="1"/>
  <c r="AQ472" i="44"/>
  <c r="Z472" i="44" s="1"/>
  <c r="AQ473" i="44"/>
  <c r="Z473" i="44" s="1"/>
  <c r="AQ474" i="44"/>
  <c r="Z474" i="44" s="1"/>
  <c r="AQ475" i="44"/>
  <c r="Z475" i="44" s="1"/>
  <c r="AQ476" i="44"/>
  <c r="Z476" i="44" s="1"/>
  <c r="AQ477" i="44"/>
  <c r="Z477" i="44" s="1"/>
  <c r="AQ478" i="44"/>
  <c r="Z478" i="44" s="1"/>
  <c r="BA478" i="44" s="1" a="1"/>
  <c r="AQ479" i="44"/>
  <c r="Z479" i="44" s="1"/>
  <c r="AQ480" i="44"/>
  <c r="Z480" i="44" s="1"/>
  <c r="AQ481" i="44"/>
  <c r="Z481" i="44" s="1"/>
  <c r="BA481" i="44" s="1" a="1"/>
  <c r="AQ482" i="44"/>
  <c r="Z482" i="44" s="1"/>
  <c r="AQ483" i="44"/>
  <c r="Z483" i="44" s="1"/>
  <c r="AQ484" i="44"/>
  <c r="Z484" i="44" s="1"/>
  <c r="AQ485" i="44"/>
  <c r="Z485" i="44" s="1"/>
  <c r="AQ486" i="44"/>
  <c r="Z486" i="44" s="1"/>
  <c r="BA486" i="44" s="1" a="1"/>
  <c r="AQ487" i="44"/>
  <c r="Z487" i="44" s="1"/>
  <c r="AQ488" i="44"/>
  <c r="Z488" i="44" s="1"/>
  <c r="AQ489" i="44"/>
  <c r="Z489" i="44" s="1"/>
  <c r="BA489" i="44" s="1" a="1"/>
  <c r="AQ490" i="44"/>
  <c r="Z490" i="44" s="1"/>
  <c r="BA490" i="44" s="1" a="1"/>
  <c r="AQ491" i="44"/>
  <c r="Z491" i="44" s="1"/>
  <c r="AQ492" i="44"/>
  <c r="Z492" i="44" s="1"/>
  <c r="AQ493" i="44"/>
  <c r="Z493" i="44" s="1"/>
  <c r="BA493" i="44" s="1" a="1"/>
  <c r="AQ494" i="44"/>
  <c r="Z494" i="44" s="1"/>
  <c r="AQ495" i="44"/>
  <c r="Z495" i="44" s="1"/>
  <c r="BA495" i="44" s="1" a="1"/>
  <c r="AQ496" i="44"/>
  <c r="Z496" i="44" s="1"/>
  <c r="BA496" i="44" s="1" a="1"/>
  <c r="AQ497" i="44"/>
  <c r="Z497" i="44" s="1"/>
  <c r="AQ498" i="44"/>
  <c r="Z498" i="44" s="1"/>
  <c r="AQ499" i="44"/>
  <c r="Z499" i="44" s="1"/>
  <c r="AQ500" i="44"/>
  <c r="Z500" i="44" s="1"/>
  <c r="AQ501" i="44"/>
  <c r="Z501" i="44" s="1"/>
  <c r="BA501" i="44" s="1" a="1"/>
  <c r="AQ502" i="44"/>
  <c r="Z502" i="44" s="1"/>
  <c r="AQ503" i="44"/>
  <c r="Z503" i="44" s="1"/>
  <c r="AQ504" i="44"/>
  <c r="Z504" i="44" s="1"/>
  <c r="AQ505" i="44"/>
  <c r="Z505" i="44" s="1"/>
  <c r="AQ506" i="44"/>
  <c r="Z506" i="44" s="1"/>
  <c r="AQ507" i="44"/>
  <c r="Z507" i="44" s="1"/>
  <c r="AQ508" i="44"/>
  <c r="Z508" i="44" s="1"/>
  <c r="BA508" i="44" s="1" a="1"/>
  <c r="AQ509" i="44"/>
  <c r="Z509" i="44" s="1"/>
  <c r="BA509" i="44" s="1" a="1"/>
  <c r="AQ510" i="44"/>
  <c r="Z510" i="44" s="1"/>
  <c r="BA510" i="44" s="1" a="1"/>
  <c r="AQ511" i="44"/>
  <c r="Z511" i="44" s="1"/>
  <c r="AQ512" i="44"/>
  <c r="Z512" i="44" s="1"/>
  <c r="AQ513" i="44"/>
  <c r="Z513" i="44" s="1"/>
  <c r="AQ514" i="44"/>
  <c r="Z514" i="44" s="1"/>
  <c r="BA514" i="44" s="1" a="1"/>
  <c r="AQ515" i="44"/>
  <c r="Z515" i="44" s="1"/>
  <c r="AQ516" i="44"/>
  <c r="Z516" i="44" s="1"/>
  <c r="AQ517" i="44"/>
  <c r="Z517" i="44" s="1"/>
  <c r="AQ518" i="44"/>
  <c r="Z518" i="44" s="1"/>
  <c r="BA518" i="44" s="1" a="1"/>
  <c r="AQ519" i="44"/>
  <c r="Z519" i="44" s="1"/>
  <c r="AQ520" i="44"/>
  <c r="Z520" i="44" s="1"/>
  <c r="AQ521" i="44"/>
  <c r="AQ522" i="44"/>
  <c r="Z522" i="44" s="1"/>
  <c r="BA522" i="44" s="1" a="1"/>
  <c r="AQ523" i="44"/>
  <c r="Z523" i="44" s="1"/>
  <c r="BA523" i="44" s="1" a="1"/>
  <c r="AQ524" i="44"/>
  <c r="Z524" i="44" s="1"/>
  <c r="AQ525" i="44"/>
  <c r="Z525" i="44" s="1"/>
  <c r="AQ526" i="44"/>
  <c r="Z526" i="44" s="1"/>
  <c r="AQ527" i="44"/>
  <c r="Z527" i="44" s="1"/>
  <c r="AQ528" i="44"/>
  <c r="Z528" i="44" s="1"/>
  <c r="AQ529" i="44"/>
  <c r="Z529" i="44" s="1"/>
  <c r="AQ530" i="44"/>
  <c r="Z530" i="44" s="1"/>
  <c r="BA530" i="44" s="1" a="1"/>
  <c r="AQ531" i="44"/>
  <c r="Z531" i="44" s="1"/>
  <c r="AQ532" i="44"/>
  <c r="Z532" i="44" s="1"/>
  <c r="BA532" i="44" s="1" a="1"/>
  <c r="AQ533" i="44"/>
  <c r="Z533" i="44" s="1"/>
  <c r="AQ534" i="44"/>
  <c r="Z534" i="44" s="1"/>
  <c r="AQ535" i="44"/>
  <c r="Z535" i="44" s="1"/>
  <c r="AQ536" i="44"/>
  <c r="Z536" i="44" s="1"/>
  <c r="BA536" i="44" s="1" a="1"/>
  <c r="AQ537" i="44"/>
  <c r="Z537" i="44" s="1"/>
  <c r="BA537" i="44" s="1" a="1"/>
  <c r="AQ538" i="44"/>
  <c r="Z538" i="44" s="1"/>
  <c r="BA538" i="44" s="1" a="1"/>
  <c r="AQ539" i="44"/>
  <c r="Z539" i="44" s="1"/>
  <c r="AQ540" i="44"/>
  <c r="Z540" i="44" s="1"/>
  <c r="AQ541" i="44"/>
  <c r="Z541" i="44" s="1"/>
  <c r="AQ542" i="44"/>
  <c r="Z542" i="44" s="1"/>
  <c r="BA542" i="44" s="1" a="1"/>
  <c r="AQ543" i="44"/>
  <c r="Z543" i="44" s="1"/>
  <c r="AQ544" i="44"/>
  <c r="Z544" i="44" s="1"/>
  <c r="AQ545" i="44"/>
  <c r="Z545" i="44" s="1"/>
  <c r="AQ546" i="44"/>
  <c r="Z546" i="44" s="1"/>
  <c r="BA546" i="44" s="1" a="1"/>
  <c r="AQ547" i="44"/>
  <c r="Z547" i="44" s="1"/>
  <c r="BA547" i="44" s="1" a="1"/>
  <c r="AQ548" i="44"/>
  <c r="Z548" i="44" s="1"/>
  <c r="AQ549" i="44"/>
  <c r="Z549" i="44" s="1"/>
  <c r="AQ550" i="44"/>
  <c r="Z550" i="44" s="1"/>
  <c r="BA550" i="44" s="1" a="1"/>
  <c r="AQ551" i="44"/>
  <c r="Z551" i="44" s="1"/>
  <c r="AQ552" i="44"/>
  <c r="Z552" i="44" s="1"/>
  <c r="AQ553" i="44"/>
  <c r="Z553" i="44" s="1"/>
  <c r="AQ554" i="44"/>
  <c r="Z554" i="44" s="1"/>
  <c r="BA554" i="44" s="1" a="1"/>
  <c r="AQ555" i="44"/>
  <c r="Z555" i="44" s="1"/>
  <c r="AQ556" i="44"/>
  <c r="Z556" i="44" s="1"/>
  <c r="AQ557" i="44"/>
  <c r="Z557" i="44" s="1"/>
  <c r="AQ558" i="44"/>
  <c r="Z558" i="44" s="1"/>
  <c r="AQ559" i="44"/>
  <c r="Z559" i="44" s="1"/>
  <c r="AQ560" i="44"/>
  <c r="Z560" i="44" s="1"/>
  <c r="AQ561" i="44"/>
  <c r="Z561" i="44" s="1"/>
  <c r="AQ562" i="44"/>
  <c r="Z562" i="44" s="1"/>
  <c r="AQ563" i="44"/>
  <c r="Z563" i="44" s="1"/>
  <c r="AQ564" i="44"/>
  <c r="Z564" i="44" s="1"/>
  <c r="BA564" i="44" s="1" a="1"/>
  <c r="AQ565" i="44"/>
  <c r="Z565" i="44" s="1"/>
  <c r="BA565" i="44" s="1" a="1"/>
  <c r="AQ566" i="44"/>
  <c r="Z566" i="44" s="1"/>
  <c r="BA566" i="44" s="1" a="1"/>
  <c r="AQ567" i="44"/>
  <c r="Z567" i="44" s="1"/>
  <c r="AQ568" i="44"/>
  <c r="Z568" i="44" s="1"/>
  <c r="BA568" i="44" s="1" a="1"/>
  <c r="AQ569" i="44"/>
  <c r="Z569" i="44" s="1"/>
  <c r="AQ570" i="44"/>
  <c r="Z570" i="44" s="1"/>
  <c r="BA570" i="44" s="1" a="1"/>
  <c r="AQ571" i="44"/>
  <c r="Z571" i="44" s="1"/>
  <c r="AQ572" i="44"/>
  <c r="Z572" i="44" s="1"/>
  <c r="AQ573" i="44"/>
  <c r="Z573" i="44" s="1"/>
  <c r="AQ574" i="44"/>
  <c r="Z574" i="44" s="1"/>
  <c r="AQ575" i="44"/>
  <c r="Z575" i="44" s="1"/>
  <c r="AQ576" i="44"/>
  <c r="Z576" i="44" s="1"/>
  <c r="AQ577" i="44"/>
  <c r="AQ578" i="44"/>
  <c r="Z578" i="44" s="1"/>
  <c r="BA578" i="44" s="1" a="1"/>
  <c r="AQ579" i="44"/>
  <c r="Z579" i="44" s="1"/>
  <c r="AQ580" i="44"/>
  <c r="Z580" i="44" s="1"/>
  <c r="AQ581" i="44"/>
  <c r="Z581" i="44" s="1"/>
  <c r="AQ582" i="44"/>
  <c r="Z582" i="44" s="1"/>
  <c r="AQ583" i="44"/>
  <c r="Z583" i="44" s="1"/>
  <c r="AQ584" i="44"/>
  <c r="Z584" i="44" s="1"/>
  <c r="AQ585" i="44"/>
  <c r="Z585" i="44" s="1"/>
  <c r="AQ586" i="44"/>
  <c r="Z586" i="44" s="1"/>
  <c r="AQ587" i="44"/>
  <c r="Z587" i="44" s="1"/>
  <c r="AQ588" i="44"/>
  <c r="Z588" i="44" s="1"/>
  <c r="AQ589" i="44"/>
  <c r="Z589" i="44" s="1"/>
  <c r="AQ590" i="44"/>
  <c r="Z590" i="44" s="1"/>
  <c r="AQ591" i="44"/>
  <c r="Z591" i="44" s="1"/>
  <c r="AQ592" i="44"/>
  <c r="Z592" i="44" s="1"/>
  <c r="AQ593" i="44"/>
  <c r="Z593" i="44" s="1"/>
  <c r="AQ594" i="44"/>
  <c r="Z594" i="44" s="1"/>
  <c r="AQ595" i="44"/>
  <c r="Z595" i="44" s="1"/>
  <c r="AQ596" i="44"/>
  <c r="Z596" i="44" s="1"/>
  <c r="AQ597" i="44"/>
  <c r="Z597" i="44" s="1"/>
  <c r="AQ598" i="44"/>
  <c r="Z598" i="44" s="1"/>
  <c r="AQ599" i="44"/>
  <c r="Z599" i="44" s="1"/>
  <c r="AQ600" i="44"/>
  <c r="Z600" i="44" s="1"/>
  <c r="AQ601" i="44"/>
  <c r="Z601" i="44" s="1"/>
  <c r="AQ602" i="44"/>
  <c r="Z602" i="44" s="1"/>
  <c r="AQ603" i="44"/>
  <c r="Z603" i="44" s="1"/>
  <c r="AQ604" i="44"/>
  <c r="Z604" i="44" s="1"/>
  <c r="AQ605" i="44"/>
  <c r="Z605" i="44" s="1"/>
  <c r="AQ606" i="44"/>
  <c r="Z606" i="44" s="1"/>
  <c r="AQ607" i="44"/>
  <c r="Z607" i="44" s="1"/>
  <c r="AQ608" i="44"/>
  <c r="Z608" i="44" s="1"/>
  <c r="AQ609" i="44"/>
  <c r="Z609" i="44" s="1"/>
  <c r="AQ610" i="44"/>
  <c r="Z610" i="44" s="1"/>
  <c r="AQ611" i="44"/>
  <c r="Z611" i="44" s="1"/>
  <c r="AQ612" i="44"/>
  <c r="Z612" i="44" s="1"/>
  <c r="AQ613" i="44"/>
  <c r="Z613" i="44" s="1"/>
  <c r="AQ614" i="44"/>
  <c r="Z614" i="44" s="1"/>
  <c r="AQ615" i="44"/>
  <c r="Z615" i="44" s="1"/>
  <c r="BA615" i="44" s="1" a="1"/>
  <c r="AQ616" i="44"/>
  <c r="Z616" i="44" s="1"/>
  <c r="AQ617" i="44"/>
  <c r="Z617" i="44" s="1"/>
  <c r="AQ618" i="44"/>
  <c r="Z618" i="44" s="1"/>
  <c r="AQ619" i="44"/>
  <c r="Z619" i="44" s="1"/>
  <c r="AQ620" i="44"/>
  <c r="Z620" i="44" s="1"/>
  <c r="AQ621" i="44"/>
  <c r="Z621" i="44" s="1"/>
  <c r="BA621" i="44" s="1" a="1"/>
  <c r="AQ622" i="44"/>
  <c r="Z622" i="44" s="1"/>
  <c r="BA622" i="44" s="1" a="1"/>
  <c r="AQ623" i="44"/>
  <c r="Z623" i="44" s="1"/>
  <c r="AQ624" i="44"/>
  <c r="Z624" i="44" s="1"/>
  <c r="AQ625" i="44"/>
  <c r="Z625" i="44" s="1"/>
  <c r="AQ626" i="44"/>
  <c r="Z626" i="44" s="1"/>
  <c r="AQ627" i="44"/>
  <c r="Z627" i="44" s="1"/>
  <c r="AQ628" i="44"/>
  <c r="Z628" i="44" s="1"/>
  <c r="BA628" i="44" s="1" a="1"/>
  <c r="AQ629" i="44"/>
  <c r="Z629" i="44" s="1"/>
  <c r="AQ630" i="44"/>
  <c r="Z630" i="44" s="1"/>
  <c r="BA630" i="44" s="1" a="1"/>
  <c r="AQ631" i="44"/>
  <c r="Z631" i="44" s="1"/>
  <c r="AQ632" i="44"/>
  <c r="Z632" i="44" s="1"/>
  <c r="AQ633" i="44"/>
  <c r="AQ634" i="44"/>
  <c r="Z634" i="44" s="1"/>
  <c r="BA634" i="44" s="1" a="1"/>
  <c r="AQ635" i="44"/>
  <c r="Z635" i="44" s="1"/>
  <c r="AQ636" i="44"/>
  <c r="Z636" i="44" s="1"/>
  <c r="AQ637" i="44"/>
  <c r="Z637" i="44" s="1"/>
  <c r="AQ638" i="44"/>
  <c r="Z638" i="44" s="1"/>
  <c r="AQ639" i="44"/>
  <c r="Z639" i="44" s="1"/>
  <c r="AQ640" i="44"/>
  <c r="Z640" i="44" s="1"/>
  <c r="AQ641" i="44"/>
  <c r="Z641" i="44" s="1"/>
  <c r="AQ642" i="44"/>
  <c r="Z642" i="44" s="1"/>
  <c r="AQ643" i="44"/>
  <c r="Z643" i="44" s="1"/>
  <c r="BA643" i="44" s="1" a="1"/>
  <c r="AQ644" i="44"/>
  <c r="Z644" i="44" s="1"/>
  <c r="AQ645" i="44"/>
  <c r="Z645" i="44" s="1"/>
  <c r="BA645" i="44" s="1" a="1"/>
  <c r="AQ646" i="44"/>
  <c r="Z646" i="44" s="1"/>
  <c r="BA646" i="44" s="1" a="1"/>
  <c r="AQ647" i="44"/>
  <c r="Z647" i="44" s="1"/>
  <c r="BA647" i="44" s="1" a="1"/>
  <c r="AQ648" i="44"/>
  <c r="Z648" i="44" s="1"/>
  <c r="AQ649" i="44"/>
  <c r="Z649" i="44" s="1"/>
  <c r="AQ650" i="44"/>
  <c r="Z650" i="44" s="1"/>
  <c r="BA650" i="44" s="1" a="1"/>
  <c r="AQ651" i="44"/>
  <c r="Z651" i="44" s="1"/>
  <c r="AQ652" i="44"/>
  <c r="Z652" i="44" s="1"/>
  <c r="AQ653" i="44"/>
  <c r="Z653" i="44" s="1"/>
  <c r="BA653" i="44" s="1" a="1"/>
  <c r="AQ654" i="44"/>
  <c r="Z654" i="44" s="1"/>
  <c r="AQ655" i="44"/>
  <c r="Z655" i="44" s="1"/>
  <c r="BA655" i="44" s="1" a="1"/>
  <c r="AQ656" i="44"/>
  <c r="Z656" i="44" s="1"/>
  <c r="AQ657" i="44"/>
  <c r="Z657" i="44" s="1"/>
  <c r="BA657" i="44" s="1" a="1"/>
  <c r="AQ658" i="44"/>
  <c r="Z658" i="44" s="1"/>
  <c r="AQ659" i="44"/>
  <c r="Z659" i="44" s="1"/>
  <c r="AQ660" i="44"/>
  <c r="Z660" i="44" s="1"/>
  <c r="AQ661" i="44"/>
  <c r="Z661" i="44" s="1"/>
  <c r="BA661" i="44" s="1" a="1"/>
  <c r="AQ662" i="44"/>
  <c r="Z662" i="44" s="1"/>
  <c r="AQ663" i="44"/>
  <c r="Z663" i="44" s="1"/>
  <c r="AQ664" i="44"/>
  <c r="Z664" i="44" s="1"/>
  <c r="AQ665" i="44"/>
  <c r="Z665" i="44" s="1"/>
  <c r="AQ666" i="44"/>
  <c r="Z666" i="44" s="1"/>
  <c r="AQ667" i="44"/>
  <c r="Z667" i="44" s="1"/>
  <c r="BA667" i="44" s="1" a="1"/>
  <c r="AQ668" i="44"/>
  <c r="Z668" i="44" s="1"/>
  <c r="BA668" i="44" s="1" a="1"/>
  <c r="AQ669" i="44"/>
  <c r="Z669" i="44" s="1"/>
  <c r="AQ670" i="44"/>
  <c r="Z670" i="44" s="1"/>
  <c r="BA670" i="44" s="1" a="1"/>
  <c r="AQ671" i="44"/>
  <c r="Z671" i="44" s="1"/>
  <c r="AQ672" i="44"/>
  <c r="Z672" i="44" s="1"/>
  <c r="AQ673" i="44"/>
  <c r="Z673" i="44" s="1"/>
  <c r="AQ674" i="44"/>
  <c r="Z674" i="44" s="1"/>
  <c r="AQ675" i="44"/>
  <c r="Z675" i="44" s="1"/>
  <c r="AQ676" i="44"/>
  <c r="Z676" i="44" s="1"/>
  <c r="AQ677" i="44"/>
  <c r="Z677" i="44" s="1"/>
  <c r="AQ678" i="44"/>
  <c r="Z678" i="44" s="1"/>
  <c r="BA678" i="44" s="1" a="1"/>
  <c r="AQ679" i="44"/>
  <c r="Z679" i="44" s="1"/>
  <c r="AQ680" i="44"/>
  <c r="Z680" i="44" s="1"/>
  <c r="BA680" i="44" s="1" a="1"/>
  <c r="AQ681" i="44"/>
  <c r="Z681" i="44" s="1"/>
  <c r="AQ682" i="44"/>
  <c r="Z682" i="44" s="1"/>
  <c r="BA682" i="44" s="1" a="1"/>
  <c r="AQ683" i="44"/>
  <c r="Z683" i="44" s="1"/>
  <c r="AQ684" i="44"/>
  <c r="Z684" i="44" s="1"/>
  <c r="AQ685" i="44"/>
  <c r="Z685" i="44" s="1"/>
  <c r="AQ686" i="44"/>
  <c r="Z686" i="44" s="1"/>
  <c r="AQ687" i="44"/>
  <c r="Z687" i="44" s="1"/>
  <c r="BA687" i="44" s="1" a="1"/>
  <c r="AQ688" i="44"/>
  <c r="Z688" i="44" s="1"/>
  <c r="AQ689" i="44"/>
  <c r="AQ690" i="44"/>
  <c r="Z690" i="44" s="1"/>
  <c r="AQ691" i="44"/>
  <c r="Z691" i="44" s="1"/>
  <c r="AQ692" i="44"/>
  <c r="Z692" i="44" s="1"/>
  <c r="AQ693" i="44"/>
  <c r="Z693" i="44" s="1"/>
  <c r="AQ694" i="44"/>
  <c r="Z694" i="44" s="1"/>
  <c r="AQ695" i="44"/>
  <c r="Z695" i="44" s="1"/>
  <c r="AQ696" i="44"/>
  <c r="Z696" i="44" s="1"/>
  <c r="AQ697" i="44"/>
  <c r="Z697" i="44" s="1"/>
  <c r="AQ698" i="44"/>
  <c r="Z698" i="44" s="1"/>
  <c r="AQ699" i="44"/>
  <c r="Z699" i="44" s="1"/>
  <c r="AQ700" i="44"/>
  <c r="Z700" i="44" s="1"/>
  <c r="AQ701" i="44"/>
  <c r="Z701" i="44" s="1"/>
  <c r="AQ702" i="44"/>
  <c r="Z702" i="44" s="1"/>
  <c r="AQ703" i="44"/>
  <c r="Z703" i="44" s="1"/>
  <c r="AQ704" i="44"/>
  <c r="Z704" i="44" s="1"/>
  <c r="AQ705" i="44"/>
  <c r="Z705" i="44" s="1"/>
  <c r="AQ706" i="44"/>
  <c r="Z706" i="44" s="1"/>
  <c r="AQ707" i="44"/>
  <c r="Z707" i="44" s="1"/>
  <c r="AQ708" i="44"/>
  <c r="Z708" i="44" s="1"/>
  <c r="AQ709" i="44"/>
  <c r="Z709" i="44" s="1"/>
  <c r="AQ710" i="44"/>
  <c r="Z710" i="44" s="1"/>
  <c r="AQ711" i="44"/>
  <c r="Z711" i="44" s="1"/>
  <c r="AQ712" i="44"/>
  <c r="Z712" i="44" s="1"/>
  <c r="AQ713" i="44"/>
  <c r="Z713" i="44" s="1"/>
  <c r="AQ714" i="44"/>
  <c r="Z714" i="44" s="1"/>
  <c r="AQ715" i="44"/>
  <c r="Z715" i="44" s="1"/>
  <c r="AQ716" i="44"/>
  <c r="Z716" i="44" s="1"/>
  <c r="AQ717" i="44"/>
  <c r="Z717" i="44" s="1"/>
  <c r="AQ718" i="44"/>
  <c r="Z718" i="44" s="1"/>
  <c r="AQ719" i="44"/>
  <c r="Z719" i="44" s="1"/>
  <c r="AQ720" i="44"/>
  <c r="Z720" i="44" s="1"/>
  <c r="AQ721" i="44"/>
  <c r="Z721" i="44" s="1"/>
  <c r="AQ722" i="44"/>
  <c r="Z722" i="44" s="1"/>
  <c r="AQ723" i="44"/>
  <c r="Z723" i="44" s="1"/>
  <c r="AQ724" i="44"/>
  <c r="Z724" i="44" s="1"/>
  <c r="AQ725" i="44"/>
  <c r="Z725" i="44" s="1"/>
  <c r="AQ726" i="44"/>
  <c r="Z726" i="44" s="1"/>
  <c r="AQ727" i="44"/>
  <c r="Z727" i="44" s="1"/>
  <c r="AQ728" i="44"/>
  <c r="Z728" i="44" s="1"/>
  <c r="AQ729" i="44"/>
  <c r="Z729" i="44" s="1"/>
  <c r="AQ730" i="44"/>
  <c r="Z730" i="44" s="1"/>
  <c r="AQ731" i="44"/>
  <c r="Z731" i="44" s="1"/>
  <c r="AQ732" i="44"/>
  <c r="Z732" i="44" s="1"/>
  <c r="AQ733" i="44"/>
  <c r="Z733" i="44" s="1"/>
  <c r="AQ734" i="44"/>
  <c r="Z734" i="44" s="1"/>
  <c r="AQ735" i="44"/>
  <c r="Z735" i="44" s="1"/>
  <c r="AQ736" i="44"/>
  <c r="Z736" i="44" s="1"/>
  <c r="AQ737" i="44"/>
  <c r="Z737" i="44" s="1"/>
  <c r="AQ738" i="44"/>
  <c r="Z738" i="44" s="1"/>
  <c r="AQ739" i="44"/>
  <c r="Z739" i="44" s="1"/>
  <c r="AQ740" i="44"/>
  <c r="Z740" i="44" s="1"/>
  <c r="AQ741" i="44"/>
  <c r="Z741" i="44" s="1"/>
  <c r="AQ742" i="44"/>
  <c r="Z742" i="44" s="1"/>
  <c r="AQ743" i="44"/>
  <c r="Z743" i="44" s="1"/>
  <c r="AQ744" i="44"/>
  <c r="Z744" i="44" s="1"/>
  <c r="AQ745" i="44"/>
  <c r="AQ746" i="44"/>
  <c r="Z746" i="44" s="1"/>
  <c r="AQ747" i="44"/>
  <c r="Z747" i="44" s="1"/>
  <c r="BA747" i="44" s="1" a="1"/>
  <c r="AQ748" i="44"/>
  <c r="Z748" i="44" s="1"/>
  <c r="AQ749" i="44"/>
  <c r="Z749" i="44" s="1"/>
  <c r="AQ750" i="44"/>
  <c r="Z750" i="44" s="1"/>
  <c r="AQ751" i="44"/>
  <c r="Z751" i="44" s="1"/>
  <c r="AQ752" i="44"/>
  <c r="Z752" i="44" s="1"/>
  <c r="AQ753" i="44"/>
  <c r="Z753" i="44" s="1"/>
  <c r="AQ754" i="44"/>
  <c r="Z754" i="44" s="1"/>
  <c r="BA754" i="44" s="1" a="1"/>
  <c r="AQ755" i="44"/>
  <c r="Z755" i="44" s="1"/>
  <c r="AQ756" i="44"/>
  <c r="Z756" i="44" s="1"/>
  <c r="AQ757" i="44"/>
  <c r="Z757" i="44" s="1"/>
  <c r="BA757" i="44" s="1" a="1"/>
  <c r="AQ758" i="44"/>
  <c r="Z758" i="44" s="1"/>
  <c r="BA758" i="44" s="1" a="1"/>
  <c r="AQ759" i="44"/>
  <c r="Z759" i="44" s="1"/>
  <c r="AQ760" i="44"/>
  <c r="Z760" i="44" s="1"/>
  <c r="AQ761" i="44"/>
  <c r="Z761" i="44" s="1"/>
  <c r="BA761" i="44" s="1" a="1"/>
  <c r="AQ762" i="44"/>
  <c r="Z762" i="44" s="1"/>
  <c r="BA762" i="44" s="1" a="1"/>
  <c r="AQ763" i="44"/>
  <c r="Z763" i="44" s="1"/>
  <c r="AQ764" i="44"/>
  <c r="Z764" i="44" s="1"/>
  <c r="AQ765" i="44"/>
  <c r="Z765" i="44" s="1"/>
  <c r="AQ766" i="44"/>
  <c r="Z766" i="44" s="1"/>
  <c r="BA766" i="44" s="1" a="1"/>
  <c r="AQ767" i="44"/>
  <c r="Z767" i="44" s="1"/>
  <c r="AQ768" i="44"/>
  <c r="Z768" i="44" s="1"/>
  <c r="AQ769" i="44"/>
  <c r="Z769" i="44" s="1"/>
  <c r="AQ770" i="44"/>
  <c r="Z770" i="44" s="1"/>
  <c r="BA770" i="44" s="1" a="1"/>
  <c r="AQ771" i="44"/>
  <c r="Z771" i="44" s="1"/>
  <c r="AQ772" i="44"/>
  <c r="Z772" i="44" s="1"/>
  <c r="BA772" i="44" s="1" a="1"/>
  <c r="AQ773" i="44"/>
  <c r="Z773" i="44" s="1"/>
  <c r="BA773" i="44" s="1" a="1"/>
  <c r="AQ774" i="44"/>
  <c r="Z774" i="44" s="1"/>
  <c r="AQ775" i="44"/>
  <c r="Z775" i="44" s="1"/>
  <c r="AQ776" i="44"/>
  <c r="Z776" i="44" s="1"/>
  <c r="AQ777" i="44"/>
  <c r="Z777" i="44" s="1"/>
  <c r="BA777" i="44" s="1" a="1"/>
  <c r="AQ778" i="44"/>
  <c r="Z778" i="44" s="1"/>
  <c r="AQ779" i="44"/>
  <c r="Z779" i="44" s="1"/>
  <c r="AQ780" i="44"/>
  <c r="Z780" i="44" s="1"/>
  <c r="AQ781" i="44"/>
  <c r="Z781" i="44" s="1"/>
  <c r="AQ782" i="44"/>
  <c r="Z782" i="44" s="1"/>
  <c r="AQ783" i="44"/>
  <c r="Z783" i="44" s="1"/>
  <c r="BA783" i="44" s="1" a="1"/>
  <c r="AQ784" i="44"/>
  <c r="Z784" i="44" s="1"/>
  <c r="AQ785" i="44"/>
  <c r="Z785" i="44" s="1"/>
  <c r="BA785" i="44" s="1" a="1"/>
  <c r="AQ786" i="44"/>
  <c r="Z786" i="44" s="1"/>
  <c r="AQ787" i="44"/>
  <c r="Z787" i="44" s="1"/>
  <c r="AQ788" i="44"/>
  <c r="Z788" i="44" s="1"/>
  <c r="AQ789" i="44"/>
  <c r="Z789" i="44" s="1"/>
  <c r="BA789" i="44" s="1" a="1"/>
  <c r="AQ790" i="44"/>
  <c r="Z790" i="44" s="1"/>
  <c r="AQ791" i="44"/>
  <c r="Z791" i="44" s="1"/>
  <c r="AQ792" i="44"/>
  <c r="Z792" i="44" s="1"/>
  <c r="AQ793" i="44"/>
  <c r="Z793" i="44" s="1"/>
  <c r="AQ794" i="44"/>
  <c r="Z794" i="44" s="1"/>
  <c r="AQ795" i="44"/>
  <c r="Z795" i="44" s="1"/>
  <c r="AQ796" i="44"/>
  <c r="Z796" i="44" s="1"/>
  <c r="AQ797" i="44"/>
  <c r="Z797" i="44" s="1"/>
  <c r="AQ798" i="44"/>
  <c r="Z798" i="44" s="1"/>
  <c r="AQ799" i="44"/>
  <c r="Z799" i="44" s="1"/>
  <c r="AQ800" i="44"/>
  <c r="Z800" i="44" s="1"/>
  <c r="AQ801" i="44"/>
  <c r="AQ802" i="44"/>
  <c r="Z802" i="44" s="1"/>
  <c r="BA802" i="44" s="1" a="1"/>
  <c r="AQ803" i="44"/>
  <c r="Z803" i="44" s="1"/>
  <c r="AQ804" i="44"/>
  <c r="Z804" i="44" s="1"/>
  <c r="AQ805" i="44"/>
  <c r="Z805" i="44" s="1"/>
  <c r="AQ806" i="44"/>
  <c r="Z806" i="44" s="1"/>
  <c r="AQ807" i="44"/>
  <c r="Z807" i="44" s="1"/>
  <c r="BA807" i="44" s="1" a="1"/>
  <c r="AQ808" i="44"/>
  <c r="Z808" i="44" s="1"/>
  <c r="AQ809" i="44"/>
  <c r="Z809" i="44" s="1"/>
  <c r="AQ810" i="44"/>
  <c r="Z810" i="44" s="1"/>
  <c r="BA810" i="44" s="1" a="1"/>
  <c r="AQ811" i="44"/>
  <c r="Z811" i="44" s="1"/>
  <c r="AQ812" i="44"/>
  <c r="Z812" i="44" s="1"/>
  <c r="AQ813" i="44"/>
  <c r="Z813" i="44" s="1"/>
  <c r="AQ814" i="44"/>
  <c r="Z814" i="44" s="1"/>
  <c r="AQ815" i="44"/>
  <c r="Z815" i="44" s="1"/>
  <c r="AQ816" i="44"/>
  <c r="Z816" i="44" s="1"/>
  <c r="AQ817" i="44"/>
  <c r="Z817" i="44" s="1"/>
  <c r="AQ818" i="44"/>
  <c r="Z818" i="44" s="1"/>
  <c r="AQ819" i="44"/>
  <c r="Z819" i="44" s="1"/>
  <c r="AQ820" i="44"/>
  <c r="Z820" i="44" s="1"/>
  <c r="AQ821" i="44"/>
  <c r="Z821" i="44" s="1"/>
  <c r="AQ822" i="44"/>
  <c r="Z822" i="44" s="1"/>
  <c r="AQ823" i="44"/>
  <c r="Z823" i="44" s="1"/>
  <c r="AQ824" i="44"/>
  <c r="Z824" i="44" s="1"/>
  <c r="AQ825" i="44"/>
  <c r="Z825" i="44" s="1"/>
  <c r="AQ826" i="44"/>
  <c r="Z826" i="44" s="1"/>
  <c r="AQ827" i="44"/>
  <c r="Z827" i="44" s="1"/>
  <c r="AQ828" i="44"/>
  <c r="Z828" i="44" s="1"/>
  <c r="AQ829" i="44"/>
  <c r="Z829" i="44" s="1"/>
  <c r="AQ830" i="44"/>
  <c r="Z830" i="44" s="1"/>
  <c r="AQ831" i="44"/>
  <c r="Z831" i="44" s="1"/>
  <c r="AQ832" i="44"/>
  <c r="Z832" i="44" s="1"/>
  <c r="AQ833" i="44"/>
  <c r="Z833" i="44" s="1"/>
  <c r="AQ834" i="44"/>
  <c r="Z834" i="44" s="1"/>
  <c r="AQ835" i="44"/>
  <c r="Z835" i="44" s="1"/>
  <c r="AQ836" i="44"/>
  <c r="Z836" i="44" s="1"/>
  <c r="AQ837" i="44"/>
  <c r="Z837" i="44" s="1"/>
  <c r="AQ838" i="44"/>
  <c r="Z838" i="44" s="1"/>
  <c r="AQ839" i="44"/>
  <c r="Z839" i="44" s="1"/>
  <c r="AQ840" i="44"/>
  <c r="Z840" i="44" s="1"/>
  <c r="AQ841" i="44"/>
  <c r="Z841" i="44" s="1"/>
  <c r="AQ842" i="44"/>
  <c r="Z842" i="44" s="1"/>
  <c r="AQ843" i="44"/>
  <c r="Z843" i="44" s="1"/>
  <c r="AQ844" i="44"/>
  <c r="Z844" i="44" s="1"/>
  <c r="AQ845" i="44"/>
  <c r="Z845" i="44" s="1"/>
  <c r="AQ846" i="44"/>
  <c r="Z846" i="44" s="1"/>
  <c r="AQ847" i="44"/>
  <c r="Z847" i="44" s="1"/>
  <c r="AQ848" i="44"/>
  <c r="Z848" i="44" s="1"/>
  <c r="AQ849" i="44"/>
  <c r="Z849" i="44" s="1"/>
  <c r="AQ850" i="44"/>
  <c r="Z850" i="44" s="1"/>
  <c r="AQ851" i="44"/>
  <c r="Z851" i="44" s="1"/>
  <c r="AQ852" i="44"/>
  <c r="Z852" i="44" s="1"/>
  <c r="AQ853" i="44"/>
  <c r="Z853" i="44" s="1"/>
  <c r="AQ854" i="44"/>
  <c r="Z854" i="44" s="1"/>
  <c r="AQ855" i="44"/>
  <c r="Z855" i="44" s="1"/>
  <c r="AQ856" i="44"/>
  <c r="Z856" i="44" s="1"/>
  <c r="AQ857" i="44"/>
  <c r="AQ858" i="44"/>
  <c r="Z858" i="44" s="1"/>
  <c r="AQ859" i="44"/>
  <c r="Z859" i="44" s="1"/>
  <c r="AQ860" i="44"/>
  <c r="Z860" i="44" s="1"/>
  <c r="AQ861" i="44"/>
  <c r="Z861" i="44" s="1"/>
  <c r="AQ862" i="44"/>
  <c r="Z862" i="44" s="1"/>
  <c r="AQ863" i="44"/>
  <c r="Z863" i="44" s="1"/>
  <c r="AQ864" i="44"/>
  <c r="Z864" i="44" s="1"/>
  <c r="AQ865" i="44"/>
  <c r="Z865" i="44" s="1"/>
  <c r="AQ866" i="44"/>
  <c r="Z866" i="44" s="1"/>
  <c r="AQ867" i="44"/>
  <c r="Z867" i="44" s="1"/>
  <c r="AQ868" i="44"/>
  <c r="Z868" i="44" s="1"/>
  <c r="AQ869" i="44"/>
  <c r="Z869" i="44" s="1"/>
  <c r="AQ870" i="44"/>
  <c r="Z870" i="44" s="1"/>
  <c r="AQ871" i="44"/>
  <c r="Z871" i="44" s="1"/>
  <c r="AQ872" i="44"/>
  <c r="Z872" i="44" s="1"/>
  <c r="AQ873" i="44"/>
  <c r="Z873" i="44" s="1"/>
  <c r="AQ874" i="44"/>
  <c r="Z874" i="44" s="1"/>
  <c r="AQ875" i="44"/>
  <c r="Z875" i="44" s="1"/>
  <c r="AQ876" i="44"/>
  <c r="Z876" i="44" s="1"/>
  <c r="AQ877" i="44"/>
  <c r="Z877" i="44" s="1"/>
  <c r="AQ878" i="44"/>
  <c r="Z878" i="44" s="1"/>
  <c r="AQ879" i="44"/>
  <c r="Z879" i="44" s="1"/>
  <c r="BA879" i="44" s="1" a="1"/>
  <c r="AQ880" i="44"/>
  <c r="Z880" i="44" s="1"/>
  <c r="AQ881" i="44"/>
  <c r="Z881" i="44" s="1"/>
  <c r="AQ882" i="44"/>
  <c r="Z882" i="44" s="1"/>
  <c r="BA882" i="44" s="1" a="1"/>
  <c r="AQ883" i="44"/>
  <c r="Z883" i="44" s="1"/>
  <c r="AQ884" i="44"/>
  <c r="Z884" i="44" s="1"/>
  <c r="AQ885" i="44"/>
  <c r="Z885" i="44" s="1"/>
  <c r="AQ886" i="44"/>
  <c r="Z886" i="44" s="1"/>
  <c r="BA886" i="44" s="1" a="1"/>
  <c r="AQ887" i="44"/>
  <c r="Z887" i="44" s="1"/>
  <c r="AQ888" i="44"/>
  <c r="Z888" i="44" s="1"/>
  <c r="AQ889" i="44"/>
  <c r="Z889" i="44" s="1"/>
  <c r="AQ890" i="44"/>
  <c r="Z890" i="44" s="1"/>
  <c r="AQ891" i="44"/>
  <c r="Z891" i="44" s="1"/>
  <c r="AQ892" i="44"/>
  <c r="Z892" i="44" s="1"/>
  <c r="BA892" i="44" s="1" a="1"/>
  <c r="AQ893" i="44"/>
  <c r="Z893" i="44" s="1"/>
  <c r="AQ894" i="44"/>
  <c r="Z894" i="44" s="1"/>
  <c r="AQ895" i="44"/>
  <c r="Z895" i="44" s="1"/>
  <c r="BA895" i="44" s="1" a="1"/>
  <c r="AQ896" i="44"/>
  <c r="Z896" i="44" s="1"/>
  <c r="AQ897" i="44"/>
  <c r="Z897" i="44" s="1"/>
  <c r="BA897" i="44" s="1" a="1"/>
  <c r="AQ898" i="44"/>
  <c r="Z898" i="44" s="1"/>
  <c r="BA898" i="44" s="1" a="1"/>
  <c r="AQ899" i="44"/>
  <c r="Z899" i="44" s="1"/>
  <c r="BA899" i="44" s="1" a="1"/>
  <c r="AQ900" i="44"/>
  <c r="Z900" i="44" s="1"/>
  <c r="BA900" i="44" s="1" a="1"/>
  <c r="AQ901" i="44"/>
  <c r="Z901" i="44" s="1"/>
  <c r="BA901" i="44" s="1" a="1"/>
  <c r="AQ902" i="44"/>
  <c r="Z902" i="44" s="1"/>
  <c r="BA902" i="44" s="1" a="1"/>
  <c r="AQ903" i="44"/>
  <c r="Z903" i="44" s="1"/>
  <c r="AQ904" i="44"/>
  <c r="Z904" i="44" s="1"/>
  <c r="AQ905" i="44"/>
  <c r="Z905" i="44" s="1"/>
  <c r="BA905" i="44" s="1" a="1"/>
  <c r="AQ906" i="44"/>
  <c r="Z906" i="44" s="1"/>
  <c r="BA906" i="44" s="1" a="1"/>
  <c r="AQ907" i="44"/>
  <c r="Z907" i="44" s="1"/>
  <c r="AQ908" i="44"/>
  <c r="Z908" i="44" s="1"/>
  <c r="BA908" i="44" s="1" a="1"/>
  <c r="AQ909" i="44"/>
  <c r="Z909" i="44" s="1"/>
  <c r="AQ910" i="44"/>
  <c r="Z910" i="44" s="1"/>
  <c r="AQ911" i="44"/>
  <c r="Z911" i="44" s="1"/>
  <c r="AQ912" i="44"/>
  <c r="Z912" i="44" s="1"/>
  <c r="AQ18" i="44"/>
  <c r="Z18" i="44" s="1"/>
  <c r="AQ19" i="44"/>
  <c r="Z19" i="44" s="1"/>
  <c r="AQ20" i="44"/>
  <c r="Z20" i="44" s="1"/>
  <c r="AQ21" i="44"/>
  <c r="Z21" i="44" s="1"/>
  <c r="AQ22" i="44"/>
  <c r="Z22" i="44" s="1"/>
  <c r="AQ23" i="44"/>
  <c r="Z23" i="44" s="1"/>
  <c r="AQ24" i="44"/>
  <c r="Z24" i="44" s="1"/>
  <c r="AQ25" i="44"/>
  <c r="Z25" i="44" s="1"/>
  <c r="AQ26" i="44"/>
  <c r="Z26" i="44" s="1"/>
  <c r="AQ17" i="44"/>
  <c r="AO71" i="58"/>
  <c r="AO62" i="58"/>
  <c r="AO52" i="58"/>
  <c r="AO53" i="58" s="1"/>
  <c r="AO55" i="58" s="1"/>
  <c r="AO57" i="58" s="1"/>
  <c r="AO51" i="58"/>
  <c r="D14" i="65" a="1"/>
  <c r="DD52" i="34" l="1"/>
  <c r="A52" i="34" s="1"/>
  <c r="DD51" i="34"/>
  <c r="A51" i="34" s="1"/>
  <c r="DD43" i="34"/>
  <c r="A43" i="34" s="1"/>
  <c r="DD67" i="34"/>
  <c r="A67" i="34" s="1"/>
  <c r="DD59" i="34"/>
  <c r="A59" i="34" s="1"/>
  <c r="D34" i="63"/>
  <c r="F97" i="51" s="1"/>
  <c r="G97" i="51" s="1" a="1"/>
  <c r="CM102" i="62"/>
  <c r="CK102" i="62"/>
  <c r="BU102" i="62"/>
  <c r="DF113" i="39"/>
  <c r="DD113" i="39"/>
  <c r="DF110" i="39"/>
  <c r="DD110" i="39"/>
  <c r="DF108" i="39"/>
  <c r="DD108" i="39"/>
  <c r="DF99" i="39"/>
  <c r="DD99" i="39"/>
  <c r="DF98" i="39"/>
  <c r="DD98" i="39"/>
  <c r="DF97" i="39"/>
  <c r="DD97" i="39"/>
  <c r="DF95" i="39"/>
  <c r="DD95" i="39"/>
  <c r="DF91" i="39"/>
  <c r="DD91" i="39"/>
  <c r="DF76" i="39"/>
  <c r="DD76" i="39"/>
  <c r="DF59" i="39"/>
  <c r="DD59" i="39"/>
  <c r="DF52" i="39"/>
  <c r="DD52" i="39"/>
  <c r="DD50" i="34"/>
  <c r="A50" i="34" s="1"/>
  <c r="DD47" i="34"/>
  <c r="A47" i="34" s="1"/>
  <c r="DF94" i="39"/>
  <c r="DD94" i="39"/>
  <c r="DF81" i="39"/>
  <c r="DD81" i="39"/>
  <c r="DF80" i="39"/>
  <c r="DD80" i="39"/>
  <c r="DF63" i="39"/>
  <c r="DD63" i="39"/>
  <c r="DF61" i="39"/>
  <c r="DD61" i="39"/>
  <c r="DF47" i="39"/>
  <c r="DD47" i="39"/>
  <c r="DF46" i="39"/>
  <c r="DD46" i="39"/>
  <c r="DF102" i="39"/>
  <c r="DD102" i="39"/>
  <c r="DF96" i="39"/>
  <c r="DD96" i="39"/>
  <c r="DF79" i="39"/>
  <c r="DD79" i="39"/>
  <c r="DF78" i="39"/>
  <c r="DD78" i="39"/>
  <c r="DF65" i="39"/>
  <c r="DD65" i="39"/>
  <c r="DF54" i="39"/>
  <c r="DD54" i="39"/>
  <c r="DF51" i="39"/>
  <c r="DD51" i="39"/>
  <c r="DF50" i="39"/>
  <c r="DD50" i="39"/>
  <c r="DF45" i="39"/>
  <c r="DD45" i="39"/>
  <c r="DF42" i="39"/>
  <c r="DD42" i="39"/>
  <c r="DF41" i="39"/>
  <c r="DD41" i="39"/>
  <c r="DF107" i="39"/>
  <c r="DD107" i="39"/>
  <c r="DF104" i="39"/>
  <c r="DD104" i="39"/>
  <c r="DF103" i="39"/>
  <c r="DD103" i="39"/>
  <c r="DF92" i="39"/>
  <c r="DD92" i="39"/>
  <c r="DF87" i="39"/>
  <c r="DD87" i="39"/>
  <c r="DF86" i="39"/>
  <c r="DD86" i="39"/>
  <c r="DF85" i="39"/>
  <c r="DD85" i="39"/>
  <c r="DF84" i="39"/>
  <c r="DD84" i="39"/>
  <c r="DF83" i="39"/>
  <c r="DD83" i="39"/>
  <c r="DF82" i="39"/>
  <c r="DD82" i="39"/>
  <c r="DF75" i="39"/>
  <c r="DD75" i="39"/>
  <c r="DF74" i="39"/>
  <c r="DD74" i="39"/>
  <c r="DF68" i="39"/>
  <c r="DD68" i="39"/>
  <c r="DF67" i="39"/>
  <c r="DD67" i="39"/>
  <c r="DF62" i="39"/>
  <c r="DD62" i="39"/>
  <c r="DG63" i="34"/>
  <c r="DD63" i="34"/>
  <c r="A63" i="34" s="1"/>
  <c r="DG41" i="34"/>
  <c r="DD41" i="34"/>
  <c r="A41" i="34" s="1"/>
  <c r="DG37" i="34"/>
  <c r="DD37" i="34"/>
  <c r="A37" i="34" s="1"/>
  <c r="DG55" i="34"/>
  <c r="DD55" i="34"/>
  <c r="A55" i="34" s="1"/>
  <c r="DG40" i="34"/>
  <c r="DD40" i="34"/>
  <c r="A40" i="34" s="1"/>
  <c r="DG39" i="34"/>
  <c r="DD39" i="34"/>
  <c r="A39" i="34" s="1"/>
  <c r="DG58" i="34"/>
  <c r="DD58" i="34"/>
  <c r="A58" i="34" s="1"/>
  <c r="DG57" i="34"/>
  <c r="DD57" i="34"/>
  <c r="A57" i="34" s="1"/>
  <c r="DG54" i="34"/>
  <c r="DD54" i="34"/>
  <c r="A54" i="34" s="1"/>
  <c r="DG53" i="34"/>
  <c r="DD53" i="34"/>
  <c r="A53" i="34" s="1"/>
  <c r="DG45" i="34"/>
  <c r="DD45" i="34"/>
  <c r="A45" i="34" s="1"/>
  <c r="DG38" i="34"/>
  <c r="DD38" i="34"/>
  <c r="A38" i="34" s="1"/>
  <c r="DD32" i="63"/>
  <c r="A32" i="63" s="1"/>
  <c r="DH32" i="63"/>
  <c r="DD31" i="63"/>
  <c r="A31" i="63" s="1"/>
  <c r="DH31" i="63"/>
  <c r="DD30" i="63"/>
  <c r="A30" i="63" s="1"/>
  <c r="DH30" i="63"/>
  <c r="DD29" i="63"/>
  <c r="A29" i="63" s="1"/>
  <c r="DH29" i="63"/>
  <c r="DD28" i="63"/>
  <c r="A28" i="63" s="1"/>
  <c r="DH28" i="63"/>
  <c r="DD27" i="63"/>
  <c r="A27" i="63" s="1"/>
  <c r="DH27" i="63"/>
  <c r="DD26" i="63"/>
  <c r="A26" i="63" s="1"/>
  <c r="DH26" i="63"/>
  <c r="DD25" i="63"/>
  <c r="A25" i="63" s="1"/>
  <c r="DH25" i="63"/>
  <c r="DD24" i="63"/>
  <c r="A24" i="63" s="1"/>
  <c r="DH24" i="63"/>
  <c r="DD23" i="63"/>
  <c r="A23" i="63" s="1"/>
  <c r="DH23" i="63"/>
  <c r="DD22" i="63"/>
  <c r="A22" i="63" s="1"/>
  <c r="DH22" i="63"/>
  <c r="DD21" i="63"/>
  <c r="A21" i="63" s="1"/>
  <c r="DH21" i="63"/>
  <c r="DD20" i="63"/>
  <c r="A20" i="63" s="1"/>
  <c r="DH20" i="63"/>
  <c r="DD19" i="63"/>
  <c r="A19" i="63" s="1"/>
  <c r="DH19" i="63"/>
  <c r="DD18" i="63"/>
  <c r="A18" i="63" s="1"/>
  <c r="DH18" i="63"/>
  <c r="DD17" i="63"/>
  <c r="A17" i="63" s="1"/>
  <c r="DH17" i="63"/>
  <c r="DH14" i="63"/>
  <c r="DD14" i="63" s="1"/>
  <c r="A14" i="63" s="1"/>
  <c r="DD61" i="37"/>
  <c r="A61" i="37" s="1"/>
  <c r="DD60" i="37"/>
  <c r="A60" i="37" s="1"/>
  <c r="E1021" i="44" s="1"/>
  <c r="DD59" i="37"/>
  <c r="A59" i="37" s="1"/>
  <c r="AQ48" i="44"/>
  <c r="Z48" i="44" s="1"/>
  <c r="AQ61" i="44"/>
  <c r="Z61" i="44" s="1"/>
  <c r="DH121" i="62"/>
  <c r="DI121" i="62"/>
  <c r="DD121" i="62"/>
  <c r="DD120" i="62"/>
  <c r="DH120" i="62"/>
  <c r="DI120" i="62"/>
  <c r="DI119" i="62"/>
  <c r="DD119" i="62"/>
  <c r="DH119" i="62"/>
  <c r="DD118" i="62"/>
  <c r="DH118" i="62"/>
  <c r="DI118" i="62"/>
  <c r="DH117" i="62"/>
  <c r="DI117" i="62"/>
  <c r="DD117" i="62"/>
  <c r="DI116" i="62"/>
  <c r="DD116" i="62"/>
  <c r="DH116" i="62"/>
  <c r="DI115" i="62"/>
  <c r="DD115" i="62"/>
  <c r="DH115" i="62"/>
  <c r="DD114" i="62"/>
  <c r="DI114" i="62"/>
  <c r="DH114" i="62"/>
  <c r="DD113" i="62"/>
  <c r="DI113" i="62"/>
  <c r="DH113" i="62"/>
  <c r="DI112" i="62"/>
  <c r="DH112" i="62"/>
  <c r="DD112" i="62"/>
  <c r="DD111" i="62"/>
  <c r="DI111" i="62"/>
  <c r="DH111" i="62"/>
  <c r="DD110" i="62"/>
  <c r="DI110" i="62"/>
  <c r="DH110" i="62"/>
  <c r="DD109" i="62"/>
  <c r="DI109" i="62"/>
  <c r="DH109" i="62"/>
  <c r="DD108" i="62"/>
  <c r="DI108" i="62"/>
  <c r="DH108" i="62"/>
  <c r="DD107" i="62"/>
  <c r="DI107" i="62"/>
  <c r="DH107" i="62"/>
  <c r="DH106" i="62"/>
  <c r="DD106" i="62"/>
  <c r="DI106" i="62"/>
  <c r="DH105" i="62"/>
  <c r="DD105" i="62"/>
  <c r="DI105" i="62"/>
  <c r="DI104" i="62"/>
  <c r="DH104" i="62"/>
  <c r="DD104" i="62"/>
  <c r="DH103" i="62"/>
  <c r="DI103" i="62"/>
  <c r="DD103" i="62"/>
  <c r="DH102" i="62"/>
  <c r="DI102" i="62"/>
  <c r="DD102" i="62"/>
  <c r="DH101" i="62"/>
  <c r="DD101" i="62"/>
  <c r="DI101" i="62"/>
  <c r="DD100" i="62"/>
  <c r="DH100" i="62"/>
  <c r="DI100" i="62"/>
  <c r="DD99" i="62"/>
  <c r="DH99" i="62"/>
  <c r="DI99" i="62"/>
  <c r="DI98" i="62"/>
  <c r="DH98" i="62"/>
  <c r="DD98" i="62"/>
  <c r="DI97" i="62"/>
  <c r="DH97" i="62"/>
  <c r="DD97" i="62"/>
  <c r="DD96" i="62"/>
  <c r="DI96" i="62"/>
  <c r="DH96" i="62"/>
  <c r="DD95" i="62"/>
  <c r="DH95" i="62"/>
  <c r="DI95" i="62"/>
  <c r="DD94" i="62"/>
  <c r="DI94" i="62"/>
  <c r="DH94" i="62"/>
  <c r="DH93" i="62"/>
  <c r="DI93" i="62"/>
  <c r="DD93" i="62"/>
  <c r="DH92" i="62"/>
  <c r="DD92" i="62"/>
  <c r="DI92" i="62"/>
  <c r="DI91" i="62"/>
  <c r="DD91" i="62"/>
  <c r="DH91" i="62"/>
  <c r="DD90" i="62"/>
  <c r="DI90" i="62"/>
  <c r="DH90" i="62"/>
  <c r="DD89" i="62"/>
  <c r="DI89" i="62"/>
  <c r="DH89" i="62"/>
  <c r="DI88" i="62"/>
  <c r="DH88" i="62"/>
  <c r="DD88" i="62"/>
  <c r="DD87" i="62"/>
  <c r="DH87" i="62"/>
  <c r="DI87" i="62"/>
  <c r="DD86" i="62"/>
  <c r="DH86" i="62"/>
  <c r="DI86" i="62"/>
  <c r="DI85" i="62"/>
  <c r="DD85" i="62"/>
  <c r="DH85" i="62"/>
  <c r="DD84" i="62"/>
  <c r="DH84" i="62"/>
  <c r="DI84" i="62"/>
  <c r="DH83" i="62"/>
  <c r="DD83" i="62"/>
  <c r="DI83" i="62"/>
  <c r="DI82" i="62"/>
  <c r="DD82" i="62"/>
  <c r="DH82" i="62"/>
  <c r="DI81" i="62"/>
  <c r="DH81" i="62"/>
  <c r="DD81" i="62"/>
  <c r="DI80" i="62"/>
  <c r="DH80" i="62"/>
  <c r="DD80" i="62"/>
  <c r="DD79" i="62"/>
  <c r="DI79" i="62"/>
  <c r="DH79" i="62"/>
  <c r="DH78" i="62"/>
  <c r="DD78" i="62"/>
  <c r="DI78" i="62"/>
  <c r="DH77" i="62"/>
  <c r="DI77" i="62"/>
  <c r="DD77" i="62"/>
  <c r="DD76" i="62"/>
  <c r="DI76" i="62"/>
  <c r="DH76" i="62"/>
  <c r="DD75" i="62"/>
  <c r="DH75" i="62"/>
  <c r="DI75" i="62"/>
  <c r="DH74" i="62"/>
  <c r="DI74" i="62"/>
  <c r="DD74" i="62"/>
  <c r="DH73" i="62"/>
  <c r="DD73" i="62"/>
  <c r="DI73" i="62"/>
  <c r="DH72" i="62"/>
  <c r="DD72" i="62"/>
  <c r="DI72" i="62"/>
  <c r="DH71" i="62"/>
  <c r="DI71" i="62"/>
  <c r="DD71" i="62"/>
  <c r="DH70" i="62"/>
  <c r="DD70" i="62"/>
  <c r="DI70" i="62"/>
  <c r="DI69" i="62"/>
  <c r="DD69" i="62"/>
  <c r="DH69" i="62"/>
  <c r="DD68" i="62"/>
  <c r="DH68" i="62"/>
  <c r="DI68" i="62"/>
  <c r="DH67" i="62"/>
  <c r="DI67" i="62"/>
  <c r="DD67" i="62"/>
  <c r="DI66" i="62"/>
  <c r="DD66" i="62"/>
  <c r="DH66" i="62"/>
  <c r="DD65" i="62"/>
  <c r="DH65" i="62"/>
  <c r="DI65" i="62"/>
  <c r="DI64" i="62"/>
  <c r="DH64" i="62"/>
  <c r="DD64" i="62"/>
  <c r="DD63" i="62"/>
  <c r="DH63" i="62"/>
  <c r="DI63" i="62"/>
  <c r="DD62" i="62"/>
  <c r="DH62" i="62"/>
  <c r="DI62" i="62"/>
  <c r="DI61" i="62"/>
  <c r="DD61" i="62"/>
  <c r="DH61" i="62"/>
  <c r="DI60" i="62"/>
  <c r="DD60" i="62"/>
  <c r="DH60" i="62"/>
  <c r="DH59" i="62"/>
  <c r="DI59" i="62"/>
  <c r="DD59" i="62"/>
  <c r="DI58" i="62"/>
  <c r="DH58" i="62"/>
  <c r="DD58" i="62"/>
  <c r="DI57" i="62"/>
  <c r="DD57" i="62"/>
  <c r="DH57" i="62"/>
  <c r="DH56" i="62"/>
  <c r="DD56" i="62"/>
  <c r="DI56" i="62"/>
  <c r="DH55" i="62"/>
  <c r="DD55" i="62"/>
  <c r="DI55" i="62"/>
  <c r="DD54" i="62"/>
  <c r="DI54" i="62"/>
  <c r="DH54" i="62"/>
  <c r="DD53" i="62"/>
  <c r="DI53" i="62"/>
  <c r="DH53" i="62"/>
  <c r="DD52" i="62"/>
  <c r="DI52" i="62"/>
  <c r="DH52" i="62"/>
  <c r="DD51" i="62"/>
  <c r="DI51" i="62"/>
  <c r="DH51" i="62"/>
  <c r="DD50" i="62"/>
  <c r="DH50" i="62"/>
  <c r="DI50" i="62"/>
  <c r="DH49" i="62"/>
  <c r="DI49" i="62"/>
  <c r="DD49" i="62"/>
  <c r="DH48" i="62"/>
  <c r="DI48" i="62"/>
  <c r="DD48" i="62"/>
  <c r="DD47" i="62"/>
  <c r="DI47" i="62"/>
  <c r="DH47" i="62"/>
  <c r="DD46" i="62"/>
  <c r="DI46" i="62"/>
  <c r="DH46" i="62"/>
  <c r="DD45" i="62"/>
  <c r="DH45" i="62"/>
  <c r="DI45" i="62"/>
  <c r="DD44" i="62"/>
  <c r="DI44" i="62"/>
  <c r="DH44" i="62"/>
  <c r="DD43" i="62"/>
  <c r="DI43" i="62"/>
  <c r="DH43" i="62"/>
  <c r="DD42" i="62"/>
  <c r="DH42" i="62"/>
  <c r="DI42" i="62"/>
  <c r="DD41" i="62"/>
  <c r="DI41" i="62"/>
  <c r="DH41" i="62"/>
  <c r="DD40" i="62"/>
  <c r="DI40" i="62"/>
  <c r="DH40" i="62"/>
  <c r="DH39" i="62"/>
  <c r="DD39" i="62"/>
  <c r="DI39" i="62"/>
  <c r="DD38" i="62"/>
  <c r="DH38" i="62"/>
  <c r="DI38" i="62"/>
  <c r="DH37" i="62"/>
  <c r="DD37" i="62"/>
  <c r="DI37" i="62"/>
  <c r="DI36" i="62"/>
  <c r="DD36" i="62"/>
  <c r="DH36" i="62"/>
  <c r="DI35" i="62"/>
  <c r="DD35" i="62"/>
  <c r="DH35" i="62"/>
  <c r="DD34" i="62"/>
  <c r="DI34" i="62"/>
  <c r="DH34" i="62"/>
  <c r="DI33" i="62"/>
  <c r="DD33" i="62"/>
  <c r="DH33" i="62"/>
  <c r="DI32" i="62"/>
  <c r="DD32" i="62"/>
  <c r="DH32" i="62"/>
  <c r="DH31" i="62"/>
  <c r="DD31" i="62"/>
  <c r="DI31" i="62"/>
  <c r="DD30" i="62"/>
  <c r="DI30" i="62"/>
  <c r="DH30" i="62"/>
  <c r="DI29" i="62"/>
  <c r="DD29" i="62"/>
  <c r="DH29" i="62"/>
  <c r="DD28" i="62"/>
  <c r="DI28" i="62"/>
  <c r="DH28" i="62"/>
  <c r="DD27" i="62"/>
  <c r="DH27" i="62"/>
  <c r="DI27" i="62"/>
  <c r="DD26" i="62"/>
  <c r="DH26" i="62"/>
  <c r="DI26" i="62"/>
  <c r="DH25" i="62"/>
  <c r="DD25" i="62"/>
  <c r="DI25" i="62"/>
  <c r="DD24" i="62"/>
  <c r="DI24" i="62"/>
  <c r="DH24" i="62"/>
  <c r="DH23" i="62"/>
  <c r="DI23" i="62"/>
  <c r="DD23" i="62"/>
  <c r="DH22" i="62"/>
  <c r="DE26" i="38"/>
  <c r="DF26" i="38" s="1"/>
  <c r="DD26" i="38" s="1" a="1"/>
  <c r="DE24" i="38"/>
  <c r="DF24" i="38" s="1"/>
  <c r="DD24" i="38" s="1" a="1"/>
  <c r="DE23" i="38"/>
  <c r="DF23" i="38" s="1"/>
  <c r="DD23" i="38" s="1" a="1"/>
  <c r="DE22" i="38"/>
  <c r="DF22" i="38" s="1"/>
  <c r="DD22" i="38" s="1" a="1"/>
  <c r="DE21" i="38"/>
  <c r="DF21" i="38" s="1"/>
  <c r="DD21" i="38" s="1" a="1"/>
  <c r="DE20" i="38"/>
  <c r="DE19" i="38"/>
  <c r="DF19" i="38" s="1"/>
  <c r="DE116" i="38"/>
  <c r="DE115" i="38"/>
  <c r="DE114" i="38"/>
  <c r="DE112" i="38"/>
  <c r="DE111" i="38"/>
  <c r="DE110" i="38"/>
  <c r="DE109" i="38"/>
  <c r="DE108" i="38"/>
  <c r="DE107" i="38"/>
  <c r="DE106" i="38"/>
  <c r="DE102" i="38"/>
  <c r="DE101" i="38"/>
  <c r="DE100" i="38"/>
  <c r="DE99" i="38"/>
  <c r="DE98" i="38"/>
  <c r="DE97" i="38"/>
  <c r="DE95" i="38"/>
  <c r="DE92" i="38"/>
  <c r="DE91" i="38"/>
  <c r="DE90" i="38"/>
  <c r="DE87" i="38"/>
  <c r="DE84" i="38"/>
  <c r="DE83" i="38"/>
  <c r="DE81" i="38"/>
  <c r="DE79" i="38"/>
  <c r="DE113" i="38"/>
  <c r="DE105" i="38"/>
  <c r="DE103" i="38"/>
  <c r="DE96" i="38"/>
  <c r="DE94" i="38"/>
  <c r="DE93" i="38"/>
  <c r="DE88" i="38"/>
  <c r="DE86" i="38"/>
  <c r="DE85" i="38"/>
  <c r="DE82" i="38"/>
  <c r="DE25" i="38"/>
  <c r="DE104" i="38"/>
  <c r="DE89" i="38"/>
  <c r="DE80" i="38"/>
  <c r="CM83" i="62"/>
  <c r="CK83" i="62"/>
  <c r="BU83" i="62"/>
  <c r="BV83" i="62" s="1" a="1"/>
  <c r="DE78" i="38"/>
  <c r="DE77" i="38"/>
  <c r="DE76" i="38"/>
  <c r="DE75" i="38"/>
  <c r="DE74" i="38"/>
  <c r="DE73" i="38"/>
  <c r="DE72" i="38"/>
  <c r="DE71" i="38"/>
  <c r="DE70" i="38"/>
  <c r="DE69" i="38"/>
  <c r="DE68" i="38"/>
  <c r="DE67" i="38"/>
  <c r="DE66" i="38"/>
  <c r="DE65" i="38"/>
  <c r="DE64" i="38"/>
  <c r="DE63" i="38"/>
  <c r="DE62" i="38"/>
  <c r="DE61" i="38"/>
  <c r="DE60" i="38"/>
  <c r="DE59" i="38"/>
  <c r="DE58" i="38"/>
  <c r="DE57" i="38"/>
  <c r="DE56" i="38"/>
  <c r="DE55" i="38"/>
  <c r="DE54" i="38"/>
  <c r="DE53" i="38"/>
  <c r="DE52" i="38"/>
  <c r="DE51" i="38"/>
  <c r="DE50" i="38"/>
  <c r="DE49" i="38"/>
  <c r="DE48" i="38"/>
  <c r="DE47" i="38"/>
  <c r="DE46" i="38"/>
  <c r="DE45" i="38"/>
  <c r="DE44" i="38"/>
  <c r="DE43" i="38"/>
  <c r="DE42" i="38"/>
  <c r="DE41" i="38"/>
  <c r="DE40" i="38"/>
  <c r="DE39" i="38"/>
  <c r="DE38" i="38"/>
  <c r="DE37" i="38"/>
  <c r="DE36" i="38"/>
  <c r="DE35" i="38"/>
  <c r="DE34" i="38"/>
  <c r="DE33" i="38"/>
  <c r="DE32" i="38"/>
  <c r="DE31" i="38"/>
  <c r="DE30" i="38"/>
  <c r="DE29" i="38"/>
  <c r="DE28" i="38"/>
  <c r="DE27" i="38"/>
  <c r="DF88" i="39"/>
  <c r="DD88" i="39"/>
  <c r="DD71" i="34"/>
  <c r="A71" i="34" s="1"/>
  <c r="DG71" i="34"/>
  <c r="DD70" i="34"/>
  <c r="A70" i="34" s="1"/>
  <c r="DG70" i="34"/>
  <c r="DG69" i="34"/>
  <c r="DD69" i="34"/>
  <c r="A69" i="34" s="1"/>
  <c r="DD68" i="34"/>
  <c r="A68" i="34" s="1"/>
  <c r="DG68" i="34"/>
  <c r="DD65" i="34"/>
  <c r="A65" i="34" s="1"/>
  <c r="DG65" i="34"/>
  <c r="DG64" i="34"/>
  <c r="DD64" i="34"/>
  <c r="A64" i="34" s="1"/>
  <c r="DD62" i="34"/>
  <c r="A62" i="34" s="1"/>
  <c r="DG62" i="34"/>
  <c r="DG61" i="34"/>
  <c r="DD61" i="34"/>
  <c r="A61" i="34" s="1"/>
  <c r="DG56" i="34"/>
  <c r="DD56" i="34"/>
  <c r="A56" i="34" s="1"/>
  <c r="DD46" i="34"/>
  <c r="A46" i="34" s="1"/>
  <c r="DG46" i="34"/>
  <c r="DG26" i="34"/>
  <c r="DD26" i="34"/>
  <c r="A26" i="34" s="1"/>
  <c r="DG25" i="34"/>
  <c r="DD25" i="34"/>
  <c r="A25" i="34" s="1"/>
  <c r="DG24" i="34"/>
  <c r="DD24" i="34"/>
  <c r="A24" i="34" s="1"/>
  <c r="DG23" i="34"/>
  <c r="DD23" i="34"/>
  <c r="A23" i="34" s="1"/>
  <c r="DG22" i="34"/>
  <c r="DD22" i="34"/>
  <c r="A22" i="34" s="1"/>
  <c r="DG21" i="34"/>
  <c r="DD21" i="34"/>
  <c r="A21" i="34" s="1"/>
  <c r="DG20" i="34"/>
  <c r="DD20" i="34"/>
  <c r="A20" i="34" s="1"/>
  <c r="DG19" i="34"/>
  <c r="DD19" i="34"/>
  <c r="A19" i="34" s="1"/>
  <c r="DG18" i="34"/>
  <c r="DD18" i="34"/>
  <c r="A18" i="34" s="1"/>
  <c r="DG17" i="34"/>
  <c r="DD17" i="34"/>
  <c r="A17" i="34" s="1"/>
  <c r="DG16" i="34"/>
  <c r="DD16" i="34"/>
  <c r="A16" i="34" s="1"/>
  <c r="DG15" i="34"/>
  <c r="DD15" i="34" s="1"/>
  <c r="A15" i="34" s="1"/>
  <c r="DG14" i="34"/>
  <c r="DD14" i="34" s="1"/>
  <c r="A14" i="34" s="1"/>
  <c r="DH13" i="63"/>
  <c r="DD13" i="63" s="1"/>
  <c r="A13" i="63" s="1"/>
  <c r="A121" i="62"/>
  <c r="DG121" i="62"/>
  <c r="A120" i="62"/>
  <c r="DG120" i="62"/>
  <c r="A119" i="62"/>
  <c r="DG119" i="62"/>
  <c r="A118" i="62"/>
  <c r="DG118" i="62"/>
  <c r="A117" i="62"/>
  <c r="DG117" i="62"/>
  <c r="A116" i="62"/>
  <c r="DG116" i="62"/>
  <c r="A115" i="62"/>
  <c r="DG115" i="62"/>
  <c r="A114" i="62"/>
  <c r="DG114" i="62"/>
  <c r="A113" i="62"/>
  <c r="DG113" i="62"/>
  <c r="A112" i="62"/>
  <c r="DG112" i="62"/>
  <c r="A111" i="62"/>
  <c r="DG111" i="62"/>
  <c r="A110" i="62"/>
  <c r="DG110" i="62"/>
  <c r="A109" i="62"/>
  <c r="DG109" i="62"/>
  <c r="A108" i="62"/>
  <c r="DG108" i="62"/>
  <c r="A107" i="62"/>
  <c r="DG107" i="62"/>
  <c r="A106" i="62"/>
  <c r="DG106" i="62"/>
  <c r="A105" i="62"/>
  <c r="DG105" i="62"/>
  <c r="A104" i="62"/>
  <c r="DG104" i="62"/>
  <c r="A103" i="62"/>
  <c r="DG103" i="62"/>
  <c r="A102" i="62"/>
  <c r="DG102" i="62"/>
  <c r="A101" i="62"/>
  <c r="DG101" i="62"/>
  <c r="A100" i="62"/>
  <c r="DG100" i="62"/>
  <c r="A99" i="62"/>
  <c r="DG99" i="62"/>
  <c r="A98" i="62"/>
  <c r="DG98" i="62"/>
  <c r="A97" i="62"/>
  <c r="DG97" i="62"/>
  <c r="A96" i="62"/>
  <c r="DG96" i="62"/>
  <c r="A95" i="62"/>
  <c r="DG95" i="62"/>
  <c r="A94" i="62"/>
  <c r="DG94" i="62"/>
  <c r="A93" i="62"/>
  <c r="DG93" i="62"/>
  <c r="A92" i="62"/>
  <c r="DG92" i="62"/>
  <c r="A91" i="62"/>
  <c r="DG91" i="62"/>
  <c r="A90" i="62"/>
  <c r="DG90" i="62"/>
  <c r="A89" i="62"/>
  <c r="DG89" i="62"/>
  <c r="A88" i="62"/>
  <c r="DG88" i="62"/>
  <c r="A87" i="62"/>
  <c r="DG87" i="62"/>
  <c r="A86" i="62"/>
  <c r="DG86" i="62"/>
  <c r="A85" i="62"/>
  <c r="DG85" i="62"/>
  <c r="A84" i="62"/>
  <c r="DG84" i="62"/>
  <c r="A83" i="62"/>
  <c r="DG83" i="62"/>
  <c r="A82" i="62"/>
  <c r="DG82" i="62"/>
  <c r="A81" i="62"/>
  <c r="DG81" i="62"/>
  <c r="A80" i="62"/>
  <c r="DG80" i="62"/>
  <c r="A79" i="62"/>
  <c r="DG79" i="62"/>
  <c r="A78" i="62"/>
  <c r="DG78" i="62"/>
  <c r="A77" i="62"/>
  <c r="DG77" i="62"/>
  <c r="A76" i="62"/>
  <c r="DG76" i="62"/>
  <c r="A75" i="62"/>
  <c r="DG75" i="62"/>
  <c r="A74" i="62"/>
  <c r="DG74" i="62"/>
  <c r="A73" i="62"/>
  <c r="DG73" i="62"/>
  <c r="A72" i="62"/>
  <c r="DG72" i="62"/>
  <c r="A71" i="62"/>
  <c r="DG71" i="62"/>
  <c r="A70" i="62"/>
  <c r="DG70" i="62"/>
  <c r="A69" i="62"/>
  <c r="DG69" i="62"/>
  <c r="A68" i="62"/>
  <c r="DG68" i="62"/>
  <c r="A67" i="62"/>
  <c r="DG67" i="62"/>
  <c r="A66" i="62"/>
  <c r="DG66" i="62"/>
  <c r="A65" i="62"/>
  <c r="DG65" i="62"/>
  <c r="A64" i="62"/>
  <c r="DG64" i="62"/>
  <c r="A63" i="62"/>
  <c r="DG63" i="62"/>
  <c r="A62" i="62"/>
  <c r="DG62" i="62"/>
  <c r="A61" i="62"/>
  <c r="DG61" i="62"/>
  <c r="A60" i="62"/>
  <c r="DG60" i="62"/>
  <c r="A59" i="62"/>
  <c r="DG59" i="62"/>
  <c r="A58" i="62"/>
  <c r="DG58" i="62"/>
  <c r="A57" i="62"/>
  <c r="DG57" i="62"/>
  <c r="A56" i="62"/>
  <c r="DG56" i="62"/>
  <c r="A55" i="62"/>
  <c r="DG55" i="62"/>
  <c r="A54" i="62"/>
  <c r="DG54" i="62"/>
  <c r="A53" i="62"/>
  <c r="DG53" i="62"/>
  <c r="A52" i="62"/>
  <c r="DG52" i="62"/>
  <c r="A51" i="62"/>
  <c r="DG51" i="62"/>
  <c r="A50" i="62"/>
  <c r="DG50" i="62"/>
  <c r="A49" i="62"/>
  <c r="DG49" i="62"/>
  <c r="A48" i="62"/>
  <c r="DG48" i="62"/>
  <c r="A47" i="62"/>
  <c r="DG47" i="62"/>
  <c r="A46" i="62"/>
  <c r="DG46" i="62"/>
  <c r="A45" i="62"/>
  <c r="DG45" i="62"/>
  <c r="A44" i="62"/>
  <c r="DG44" i="62"/>
  <c r="A43" i="62"/>
  <c r="DG43" i="62"/>
  <c r="A42" i="62"/>
  <c r="DG42" i="62"/>
  <c r="A41" i="62"/>
  <c r="DG41" i="62"/>
  <c r="A40" i="62"/>
  <c r="DG40" i="62"/>
  <c r="A39" i="62"/>
  <c r="DG39" i="62"/>
  <c r="A38" i="62"/>
  <c r="DG38" i="62"/>
  <c r="A37" i="62"/>
  <c r="DG37" i="62"/>
  <c r="A36" i="62"/>
  <c r="DG36" i="62"/>
  <c r="A35" i="62"/>
  <c r="DG35" i="62"/>
  <c r="A34" i="62"/>
  <c r="DG34" i="62"/>
  <c r="A33" i="62"/>
  <c r="DG33" i="62"/>
  <c r="DG32" i="62"/>
  <c r="A32" i="62" s="1"/>
  <c r="DG31" i="62"/>
  <c r="A31" i="62" s="1"/>
  <c r="DG30" i="62"/>
  <c r="A30" i="62" s="1"/>
  <c r="DG29" i="62"/>
  <c r="A29" i="62" s="1"/>
  <c r="DG28" i="62"/>
  <c r="A28" i="62" s="1"/>
  <c r="DG27" i="62"/>
  <c r="A27" i="62" s="1"/>
  <c r="DG26" i="62"/>
  <c r="A26" i="62" s="1"/>
  <c r="DG25" i="62"/>
  <c r="A25" i="62" s="1"/>
  <c r="DG24" i="62"/>
  <c r="A24" i="62" s="1"/>
  <c r="DG23" i="62"/>
  <c r="A23" i="62" s="1"/>
  <c r="DF117" i="38"/>
  <c r="DD117" i="38" s="1" a="1"/>
  <c r="DD49" i="37"/>
  <c r="A49" i="37" s="1"/>
  <c r="DD48" i="37"/>
  <c r="A48" i="37" s="1"/>
  <c r="DD36" i="39"/>
  <c r="DF114" i="39"/>
  <c r="DD114" i="39"/>
  <c r="DF112" i="39"/>
  <c r="DD112" i="39"/>
  <c r="DD109" i="39"/>
  <c r="DF109" i="39"/>
  <c r="DD101" i="39"/>
  <c r="DF101" i="39"/>
  <c r="DF93" i="39"/>
  <c r="DD93" i="39"/>
  <c r="DD89" i="39"/>
  <c r="DF89" i="39"/>
  <c r="DD77" i="39"/>
  <c r="DF77" i="39"/>
  <c r="DF70" i="39"/>
  <c r="DD70" i="39"/>
  <c r="DF57" i="39"/>
  <c r="DD57" i="39"/>
  <c r="DF55" i="39"/>
  <c r="DD55" i="39"/>
  <c r="DD49" i="39"/>
  <c r="DF49" i="39"/>
  <c r="DF48" i="39"/>
  <c r="DD48" i="39"/>
  <c r="DD39" i="39"/>
  <c r="DF39" i="39"/>
  <c r="DF30" i="39"/>
  <c r="DD30" i="39" s="1"/>
  <c r="DF29" i="39"/>
  <c r="DD29" i="39" s="1"/>
  <c r="DF16" i="39"/>
  <c r="DD16" i="39" s="1"/>
  <c r="DF15" i="39"/>
  <c r="DD15" i="39" s="1"/>
  <c r="DH16" i="63"/>
  <c r="DD16" i="63" s="1"/>
  <c r="A16" i="63" s="1"/>
  <c r="DH15" i="63"/>
  <c r="DD15" i="63"/>
  <c r="A15" i="63" s="1"/>
  <c r="E1023" i="44"/>
  <c r="D1023" i="44"/>
  <c r="E1022" i="44"/>
  <c r="D1022" i="44"/>
  <c r="D1021" i="44"/>
  <c r="E1020" i="44"/>
  <c r="D1020" i="44"/>
  <c r="E1019" i="44"/>
  <c r="D1019" i="44"/>
  <c r="E1018" i="44"/>
  <c r="D1018" i="44"/>
  <c r="E1017" i="44"/>
  <c r="D1017" i="44"/>
  <c r="E1016" i="44"/>
  <c r="D1016" i="44"/>
  <c r="E1015" i="44"/>
  <c r="D1015" i="44"/>
  <c r="E1014" i="44"/>
  <c r="D1014" i="44"/>
  <c r="E1013" i="44"/>
  <c r="D1013" i="44"/>
  <c r="E1012" i="44"/>
  <c r="D1012" i="44"/>
  <c r="DD50" i="37"/>
  <c r="A50" i="37" s="1"/>
  <c r="H7" i="5"/>
  <c r="AQ73" i="44"/>
  <c r="AQ28" i="44"/>
  <c r="Z28" i="44" s="1"/>
  <c r="AQ35" i="44"/>
  <c r="Z35" i="44" s="1"/>
  <c r="AQ38" i="44"/>
  <c r="Z38" i="44" s="1"/>
  <c r="AQ129" i="44"/>
  <c r="AQ136" i="44"/>
  <c r="Z136" i="44" s="1"/>
  <c r="P94" i="7" a="1"/>
  <c r="P95" i="7" a="1"/>
  <c r="BT121" i="62"/>
  <c r="CK121" i="62"/>
  <c r="CM121" i="62"/>
  <c r="BU121" i="62"/>
  <c r="BT120" i="62"/>
  <c r="CK120" i="62"/>
  <c r="CM120" i="62"/>
  <c r="BU120" i="62"/>
  <c r="BT119" i="62"/>
  <c r="CM119" i="62"/>
  <c r="CK119" i="62"/>
  <c r="BU119" i="62"/>
  <c r="BT118" i="62"/>
  <c r="CM118" i="62"/>
  <c r="CK118" i="62"/>
  <c r="BU118" i="62"/>
  <c r="BT117" i="62"/>
  <c r="CM117" i="62"/>
  <c r="CK117" i="62"/>
  <c r="BU117" i="62"/>
  <c r="BT116" i="62"/>
  <c r="CM116" i="62"/>
  <c r="CK116" i="62"/>
  <c r="BU116" i="62"/>
  <c r="BT115" i="62"/>
  <c r="CK115" i="62"/>
  <c r="CM115" i="62"/>
  <c r="BU115" i="62"/>
  <c r="BT114" i="62"/>
  <c r="CM114" i="62"/>
  <c r="CK114" i="62"/>
  <c r="BU114" i="62"/>
  <c r="BT113" i="62"/>
  <c r="CK113" i="62"/>
  <c r="BU113" i="62"/>
  <c r="CM113" i="62"/>
  <c r="BT112" i="62"/>
  <c r="CM112" i="62"/>
  <c r="CK112" i="62"/>
  <c r="BU112" i="62"/>
  <c r="BT111" i="62"/>
  <c r="CM111" i="62"/>
  <c r="CK111" i="62"/>
  <c r="BU111" i="62"/>
  <c r="BT110" i="62"/>
  <c r="CK110" i="62"/>
  <c r="BU110" i="62"/>
  <c r="CM110" i="62"/>
  <c r="BT109" i="62"/>
  <c r="CM109" i="62"/>
  <c r="CK109" i="62"/>
  <c r="BU109" i="62"/>
  <c r="BT108" i="62"/>
  <c r="CK108" i="62"/>
  <c r="CM108" i="62"/>
  <c r="BU108" i="62"/>
  <c r="BT107" i="62"/>
  <c r="CK107" i="62"/>
  <c r="CM107" i="62"/>
  <c r="BU107" i="62"/>
  <c r="BT106" i="62"/>
  <c r="CK106" i="62"/>
  <c r="BU106" i="62"/>
  <c r="CM106" i="62"/>
  <c r="BT105" i="62"/>
  <c r="CM105" i="62"/>
  <c r="CK105" i="62"/>
  <c r="BU105" i="62"/>
  <c r="BT104" i="62"/>
  <c r="CK104" i="62"/>
  <c r="CM104" i="62"/>
  <c r="BU104" i="62"/>
  <c r="BT103" i="62"/>
  <c r="CM103" i="62"/>
  <c r="CK103" i="62"/>
  <c r="BU103" i="62"/>
  <c r="BT102" i="62"/>
  <c r="BV102" i="62" a="1"/>
  <c r="CO102" i="62" a="1"/>
  <c r="BT101" i="62"/>
  <c r="CK101" i="62"/>
  <c r="BU101" i="62"/>
  <c r="CM101" i="62"/>
  <c r="BT100" i="62"/>
  <c r="CK100" i="62"/>
  <c r="CM100" i="62"/>
  <c r="BU100" i="62"/>
  <c r="BT99" i="62"/>
  <c r="BU99" i="62"/>
  <c r="CM99" i="62"/>
  <c r="CK99" i="62"/>
  <c r="BT98" i="62"/>
  <c r="CK98" i="62"/>
  <c r="BU98" i="62"/>
  <c r="CM98" i="62"/>
  <c r="BT97" i="62"/>
  <c r="CK97" i="62"/>
  <c r="CM97" i="62"/>
  <c r="BU97" i="62"/>
  <c r="BT96" i="62"/>
  <c r="CM96" i="62"/>
  <c r="BU96" i="62"/>
  <c r="CK96" i="62"/>
  <c r="BT95" i="62"/>
  <c r="CK95" i="62"/>
  <c r="CM95" i="62"/>
  <c r="BU95" i="62"/>
  <c r="BT94" i="62"/>
  <c r="CK94" i="62"/>
  <c r="CM94" i="62"/>
  <c r="BU94" i="62"/>
  <c r="BT93" i="62"/>
  <c r="BU93" i="62"/>
  <c r="CM93" i="62"/>
  <c r="CK93" i="62"/>
  <c r="BT92" i="62"/>
  <c r="CM92" i="62"/>
  <c r="CK92" i="62"/>
  <c r="BU92" i="62"/>
  <c r="BT91" i="62"/>
  <c r="BU91" i="62"/>
  <c r="CM91" i="62"/>
  <c r="CK91" i="62"/>
  <c r="BT90" i="62"/>
  <c r="CM90" i="62"/>
  <c r="BU90" i="62"/>
  <c r="CK90" i="62"/>
  <c r="BT89" i="62"/>
  <c r="CM89" i="62"/>
  <c r="CK89" i="62"/>
  <c r="BU89" i="62"/>
  <c r="BT88" i="62"/>
  <c r="CM88" i="62"/>
  <c r="BU88" i="62"/>
  <c r="CK88" i="62"/>
  <c r="BT87" i="62"/>
  <c r="CK87" i="62"/>
  <c r="CM87" i="62"/>
  <c r="BU87" i="62"/>
  <c r="BT86" i="62"/>
  <c r="BU86" i="62"/>
  <c r="CM86" i="62"/>
  <c r="CK86" i="62"/>
  <c r="BT85" i="62"/>
  <c r="BU85" i="62"/>
  <c r="CK85" i="62"/>
  <c r="CM85" i="62"/>
  <c r="BT84" i="62"/>
  <c r="CM84" i="62"/>
  <c r="CK84" i="62"/>
  <c r="BU84" i="62"/>
  <c r="BT83" i="62"/>
  <c r="BT82" i="62"/>
  <c r="BU82" i="62"/>
  <c r="CM82" i="62"/>
  <c r="CK82" i="62"/>
  <c r="BT81" i="62"/>
  <c r="CM81" i="62"/>
  <c r="CK81" i="62"/>
  <c r="BU81" i="62"/>
  <c r="BT80" i="62"/>
  <c r="CK80" i="62"/>
  <c r="CM80" i="62"/>
  <c r="BU80" i="62"/>
  <c r="BT79" i="62"/>
  <c r="CK79" i="62"/>
  <c r="CM79" i="62"/>
  <c r="BU79" i="62"/>
  <c r="BT78" i="62"/>
  <c r="CM78" i="62"/>
  <c r="CK78" i="62"/>
  <c r="BU78" i="62"/>
  <c r="BT77" i="62"/>
  <c r="BU77" i="62"/>
  <c r="CM77" i="62"/>
  <c r="CK77" i="62"/>
  <c r="BT76" i="62"/>
  <c r="CK76" i="62"/>
  <c r="CM76" i="62"/>
  <c r="BU76" i="62"/>
  <c r="BT75" i="62"/>
  <c r="BU75" i="62"/>
  <c r="CK75" i="62"/>
  <c r="CM75" i="62"/>
  <c r="BT74" i="62"/>
  <c r="CK74" i="62"/>
  <c r="BU74" i="62"/>
  <c r="CM74" i="62"/>
  <c r="BT73" i="62"/>
  <c r="CK73" i="62"/>
  <c r="BU73" i="62"/>
  <c r="CM73" i="62"/>
  <c r="BT72" i="62"/>
  <c r="BU72" i="62"/>
  <c r="CM72" i="62"/>
  <c r="CK72" i="62"/>
  <c r="BT71" i="62"/>
  <c r="CM71" i="62"/>
  <c r="CK71" i="62"/>
  <c r="BU71" i="62"/>
  <c r="BT70" i="62"/>
  <c r="CM70" i="62"/>
  <c r="CK70" i="62"/>
  <c r="BU70" i="62"/>
  <c r="BT69" i="62"/>
  <c r="CK69" i="62"/>
  <c r="BU69" i="62"/>
  <c r="CM69" i="62"/>
  <c r="BT68" i="62"/>
  <c r="CK68" i="62"/>
  <c r="CM68" i="62"/>
  <c r="BU68" i="62"/>
  <c r="BT67" i="62"/>
  <c r="BU67" i="62"/>
  <c r="CK67" i="62"/>
  <c r="CM67" i="62"/>
  <c r="BT66" i="62"/>
  <c r="CM66" i="62"/>
  <c r="CK66" i="62"/>
  <c r="BU66" i="62"/>
  <c r="BT65" i="62"/>
  <c r="BU65" i="62"/>
  <c r="CM65" i="62"/>
  <c r="CK65" i="62"/>
  <c r="BT64" i="62"/>
  <c r="CM64" i="62"/>
  <c r="BU64" i="62"/>
  <c r="CK64" i="62"/>
  <c r="BT63" i="62"/>
  <c r="CM63" i="62"/>
  <c r="BU63" i="62"/>
  <c r="CK63" i="62"/>
  <c r="BT62" i="62"/>
  <c r="CM62" i="62"/>
  <c r="CK62" i="62"/>
  <c r="BU62" i="62"/>
  <c r="BT61" i="62"/>
  <c r="BU61" i="62"/>
  <c r="CK61" i="62"/>
  <c r="CM61" i="62"/>
  <c r="BT60" i="62"/>
  <c r="CK60" i="62"/>
  <c r="CM60" i="62"/>
  <c r="BU60" i="62"/>
  <c r="BT59" i="62"/>
  <c r="CK59" i="62"/>
  <c r="BU59" i="62"/>
  <c r="CM59" i="62"/>
  <c r="BT58" i="62"/>
  <c r="CM58" i="62"/>
  <c r="CK58" i="62"/>
  <c r="BU58" i="62"/>
  <c r="BT57" i="62"/>
  <c r="CK57" i="62"/>
  <c r="BU57" i="62"/>
  <c r="CM57" i="62"/>
  <c r="BT56" i="62"/>
  <c r="CM56" i="62"/>
  <c r="CK56" i="62"/>
  <c r="BU56" i="62"/>
  <c r="BT55" i="62"/>
  <c r="BU55" i="62"/>
  <c r="CM55" i="62"/>
  <c r="CK55" i="62"/>
  <c r="BT54" i="62"/>
  <c r="BU54" i="62"/>
  <c r="CK54" i="62"/>
  <c r="CM54" i="62"/>
  <c r="BT53" i="62"/>
  <c r="BU53" i="62"/>
  <c r="CK53" i="62"/>
  <c r="CM53" i="62"/>
  <c r="BT52" i="62"/>
  <c r="CM52" i="62"/>
  <c r="CK52" i="62"/>
  <c r="BU52" i="62"/>
  <c r="BT51" i="62"/>
  <c r="CM51" i="62"/>
  <c r="CK51" i="62"/>
  <c r="BU51" i="62"/>
  <c r="BT50" i="62"/>
  <c r="CK50" i="62"/>
  <c r="CM50" i="62"/>
  <c r="BU50" i="62"/>
  <c r="BT49" i="62"/>
  <c r="BU49" i="62"/>
  <c r="CM49" i="62"/>
  <c r="CK49" i="62"/>
  <c r="BT48" i="62"/>
  <c r="CM48" i="62"/>
  <c r="BU48" i="62"/>
  <c r="CK48" i="62"/>
  <c r="BT47" i="62"/>
  <c r="CK47" i="62"/>
  <c r="BU47" i="62"/>
  <c r="CM47" i="62"/>
  <c r="BT46" i="62"/>
  <c r="BU46" i="62"/>
  <c r="CM46" i="62"/>
  <c r="CK46" i="62"/>
  <c r="BT45" i="62"/>
  <c r="CK45" i="62"/>
  <c r="CM45" i="62"/>
  <c r="BU45" i="62"/>
  <c r="BT44" i="62"/>
  <c r="CM44" i="62"/>
  <c r="BU44" i="62"/>
  <c r="CK44" i="62"/>
  <c r="BT43" i="62"/>
  <c r="BU43" i="62"/>
  <c r="CM43" i="62"/>
  <c r="CK43" i="62"/>
  <c r="BT42" i="62"/>
  <c r="CM42" i="62"/>
  <c r="CK42" i="62"/>
  <c r="CM41" i="62"/>
  <c r="CK41" i="62"/>
  <c r="BU41" i="62"/>
  <c r="CM40" i="62"/>
  <c r="CK40" i="62"/>
  <c r="CK39" i="62"/>
  <c r="CM39" i="62"/>
  <c r="CM38" i="62"/>
  <c r="CK38" i="62"/>
  <c r="CM37" i="62"/>
  <c r="CK37" i="62"/>
  <c r="CM36" i="62"/>
  <c r="CK36" i="62"/>
  <c r="BU35" i="62"/>
  <c r="CM35" i="62"/>
  <c r="CK35" i="62"/>
  <c r="CM34" i="62"/>
  <c r="CK34" i="62"/>
  <c r="BU34" i="62"/>
  <c r="CK33" i="62"/>
  <c r="CM33" i="62"/>
  <c r="CM32" i="62"/>
  <c r="CK32" i="62"/>
  <c r="CM31" i="62"/>
  <c r="CK31" i="62"/>
  <c r="CK30" i="62"/>
  <c r="CM30" i="62"/>
  <c r="CM29" i="62"/>
  <c r="CK29" i="62"/>
  <c r="CM28" i="62"/>
  <c r="BU28" i="62"/>
  <c r="CK28" i="62"/>
  <c r="CM27" i="62"/>
  <c r="CK27" i="62"/>
  <c r="CK26" i="62"/>
  <c r="CM26" i="62"/>
  <c r="CK25" i="62"/>
  <c r="CM25" i="62"/>
  <c r="CK24" i="62"/>
  <c r="CM24" i="62"/>
  <c r="CK23" i="62"/>
  <c r="CM23" i="62"/>
  <c r="BU23" i="62"/>
  <c r="BU22" i="62"/>
  <c r="CK22" i="62"/>
  <c r="CM22" i="62"/>
  <c r="CH20" i="62"/>
  <c r="BS20" i="62"/>
  <c r="CG20" i="62"/>
  <c r="BR20" i="62"/>
  <c r="CF20" i="62"/>
  <c r="BQ20" i="62"/>
  <c r="CE20" i="62"/>
  <c r="BP20" i="62"/>
  <c r="BO20" i="62"/>
  <c r="CD20" i="62"/>
  <c r="CC20" i="62"/>
  <c r="BN20" i="62"/>
  <c r="CB20" i="62"/>
  <c r="BM20" i="62"/>
  <c r="CA20" i="62"/>
  <c r="BL20" i="62"/>
  <c r="BZ20" i="62"/>
  <c r="BK20" i="62"/>
  <c r="BY20" i="62"/>
  <c r="BJ20" i="62"/>
  <c r="BX20" i="62"/>
  <c r="BI20" i="62"/>
  <c r="BW20" i="62"/>
  <c r="BH20" i="62"/>
  <c r="Z129" i="44"/>
  <c r="AA53" i="44"/>
  <c r="BA466" i="44" a="1"/>
  <c r="BA470" i="44" a="1"/>
  <c r="BA477" i="44" a="1"/>
  <c r="BA581" i="44" a="1"/>
  <c r="BA584" i="44" a="1"/>
  <c r="BA585" i="44" a="1"/>
  <c r="BA593" i="44" a="1"/>
  <c r="BA597" i="44" a="1"/>
  <c r="BA598" i="44" a="1"/>
  <c r="BA601" i="44" a="1"/>
  <c r="BA606" i="44" a="1"/>
  <c r="BA608" i="44" a="1"/>
  <c r="BA609" i="44" a="1"/>
  <c r="BA610" i="44" a="1"/>
  <c r="BA613" i="44" a="1"/>
  <c r="BA614" i="44" a="1"/>
  <c r="BA699" i="44" a="1"/>
  <c r="BA700" i="44" a="1"/>
  <c r="BA706" i="44" a="1"/>
  <c r="BA709" i="44" a="1"/>
  <c r="BA710" i="44" a="1"/>
  <c r="BA711" i="44" a="1"/>
  <c r="BA712" i="44" a="1"/>
  <c r="BA715" i="44" a="1"/>
  <c r="BA718" i="44" a="1"/>
  <c r="BA721" i="44" a="1"/>
  <c r="BA722" i="44" a="1"/>
  <c r="BA724" i="44" a="1"/>
  <c r="BA725" i="44" a="1"/>
  <c r="BA727" i="44" a="1"/>
  <c r="BA728" i="44" a="1"/>
  <c r="BA729" i="44" a="1"/>
  <c r="BA730" i="44" a="1"/>
  <c r="BA734" i="44" a="1"/>
  <c r="BA737" i="44" a="1"/>
  <c r="BA739" i="44" a="1"/>
  <c r="BA744" i="44" a="1"/>
  <c r="BA746" i="44" a="1"/>
  <c r="BA813" i="44" a="1"/>
  <c r="BA814" i="44" a="1"/>
  <c r="BA817" i="44" a="1"/>
  <c r="BA818" i="44" a="1"/>
  <c r="BA823" i="44" a="1"/>
  <c r="BA825" i="44" a="1"/>
  <c r="BA826" i="44" a="1"/>
  <c r="BA830" i="44" a="1"/>
  <c r="BA832" i="44" a="1"/>
  <c r="BA834" i="44" a="1"/>
  <c r="BA835" i="44" a="1"/>
  <c r="BA836" i="44" a="1"/>
  <c r="BA841" i="44" a="1"/>
  <c r="BA842" i="44" a="1"/>
  <c r="BA846" i="44" a="1"/>
  <c r="BA849" i="44" a="1"/>
  <c r="BA850" i="44" a="1"/>
  <c r="BA855" i="44" a="1"/>
  <c r="BA859" i="44" a="1"/>
  <c r="BA866" i="44" a="1"/>
  <c r="BA873" i="44" a="1"/>
  <c r="BA874" i="44" a="1"/>
  <c r="BA878" i="44" a="1"/>
  <c r="AQ256" i="44"/>
  <c r="Z256" i="44" s="1"/>
  <c r="AQ309" i="44"/>
  <c r="Z309" i="44" s="1"/>
  <c r="AQ255" i="44"/>
  <c r="Z255" i="44" s="1"/>
  <c r="AQ310" i="44"/>
  <c r="Z310" i="44" s="1"/>
  <c r="AQ231" i="44"/>
  <c r="Z231" i="44" s="1"/>
  <c r="AQ253" i="44"/>
  <c r="Z253" i="44" s="1"/>
  <c r="AQ254" i="44"/>
  <c r="Z254" i="44" s="1"/>
  <c r="AQ257" i="44"/>
  <c r="Z257" i="44" s="1"/>
  <c r="AQ258" i="44"/>
  <c r="Z258" i="44" s="1"/>
  <c r="AQ287" i="44"/>
  <c r="Z287" i="44" s="1"/>
  <c r="AQ311" i="44"/>
  <c r="Z311" i="44" s="1"/>
  <c r="AQ312" i="44"/>
  <c r="Z312" i="44" s="1"/>
  <c r="AQ313" i="44"/>
  <c r="Z313" i="44" s="1"/>
  <c r="AQ314" i="44"/>
  <c r="Z314" i="44" s="1"/>
  <c r="AQ30" i="44"/>
  <c r="Z30" i="44" s="1"/>
  <c r="AQ87" i="44"/>
  <c r="Z87" i="44" s="1"/>
  <c r="AQ144" i="44"/>
  <c r="Z144" i="44" s="1"/>
  <c r="AQ201" i="44"/>
  <c r="Z201" i="44" s="1"/>
  <c r="AQ29" i="44"/>
  <c r="Z29" i="44" s="1"/>
  <c r="AQ31" i="44"/>
  <c r="Z31" i="44" s="1"/>
  <c r="AQ32" i="44"/>
  <c r="Z32" i="44" s="1"/>
  <c r="AQ33" i="44"/>
  <c r="Z33" i="44" s="1"/>
  <c r="AQ34" i="44"/>
  <c r="Z34" i="44" s="1"/>
  <c r="AQ63" i="44"/>
  <c r="Z63" i="44" s="1"/>
  <c r="AQ85" i="44"/>
  <c r="Z85" i="44" s="1"/>
  <c r="AQ86" i="44"/>
  <c r="Z86" i="44" s="1"/>
  <c r="AQ88" i="44"/>
  <c r="Z88" i="44" s="1"/>
  <c r="AQ89" i="44"/>
  <c r="Z89" i="44" s="1"/>
  <c r="AQ90" i="44"/>
  <c r="Z90" i="44" s="1"/>
  <c r="AQ119" i="44"/>
  <c r="Z119" i="44" s="1"/>
  <c r="AQ141" i="44"/>
  <c r="Z141" i="44" s="1"/>
  <c r="AQ143" i="44"/>
  <c r="Z143" i="44" s="1"/>
  <c r="AQ145" i="44"/>
  <c r="Z145" i="44" s="1"/>
  <c r="AQ146" i="44"/>
  <c r="Z146" i="44" s="1"/>
  <c r="AQ197" i="44"/>
  <c r="Z197" i="44" s="1"/>
  <c r="AQ199" i="44"/>
  <c r="Z199" i="44" s="1"/>
  <c r="AQ200" i="44"/>
  <c r="Z200" i="44" s="1"/>
  <c r="AQ142" i="44"/>
  <c r="Z142" i="44" s="1"/>
  <c r="AQ175" i="44"/>
  <c r="Z175" i="44" s="1"/>
  <c r="AQ198" i="44"/>
  <c r="Z198" i="44" s="1"/>
  <c r="AQ202" i="44"/>
  <c r="Z202" i="44" s="1"/>
  <c r="Z185" i="44"/>
  <c r="Z17" i="44"/>
  <c r="Z465" i="44"/>
  <c r="BA465" i="44" s="1" a="1"/>
  <c r="Z297" i="44"/>
  <c r="BA459" i="44" a="1"/>
  <c r="BA891" i="44" a="1"/>
  <c r="BA411" i="44" a="1"/>
  <c r="BA416" i="44" a="1"/>
  <c r="BA419" i="44" a="1"/>
  <c r="BA425" i="44" a="1"/>
  <c r="BA426" i="44" a="1"/>
  <c r="BA428" i="44" a="1"/>
  <c r="BA435" i="44" a="1"/>
  <c r="BA436" i="44" a="1"/>
  <c r="BA440" i="44" a="1"/>
  <c r="BA444" i="44" a="1"/>
  <c r="BA452" i="44" a="1"/>
  <c r="BA462" i="44" a="1"/>
  <c r="BA467" i="44" a="1"/>
  <c r="BA471" i="44" a="1"/>
  <c r="BA480" i="44" a="1"/>
  <c r="BA491" i="44" a="1"/>
  <c r="BA498" i="44" a="1"/>
  <c r="BA515" i="44" a="1"/>
  <c r="BA524" i="44" a="1"/>
  <c r="BA526" i="44" a="1"/>
  <c r="BA531" i="44" a="1"/>
  <c r="BA539" i="44" a="1"/>
  <c r="BA543" i="44" a="1"/>
  <c r="BA642" i="44" a="1"/>
  <c r="BA648" i="44" a="1"/>
  <c r="BA665" i="44" a="1"/>
  <c r="BA672" i="44" a="1"/>
  <c r="BA692" i="44" a="1"/>
  <c r="BA702" i="44" a="1"/>
  <c r="BA731" i="44" a="1"/>
  <c r="BA420" i="44" a="1"/>
  <c r="BA432" i="44" a="1"/>
  <c r="BA443" i="44" a="1"/>
  <c r="BA450" i="44" a="1"/>
  <c r="BA455" i="44" a="1"/>
  <c r="BA464" i="44" a="1"/>
  <c r="BA468" i="44" a="1"/>
  <c r="BA476" i="44" a="1"/>
  <c r="BA479" i="44" a="1"/>
  <c r="BA485" i="44" a="1"/>
  <c r="BA492" i="44" a="1"/>
  <c r="BA500" i="44" a="1"/>
  <c r="BA513" i="44" a="1"/>
  <c r="BA516" i="44" a="1"/>
  <c r="BA527" i="44" a="1"/>
  <c r="BA534" i="44" a="1"/>
  <c r="BA540" i="44" a="1"/>
  <c r="BA544" i="44" a="1"/>
  <c r="BA635" i="44" a="1"/>
  <c r="BA641" i="44" a="1"/>
  <c r="BA656" i="44" a="1"/>
  <c r="BA660" i="44" a="1"/>
  <c r="BA671" i="44" a="1"/>
  <c r="BA677" i="44" a="1"/>
  <c r="BA684" i="44" a="1"/>
  <c r="BA707" i="44" a="1"/>
  <c r="BA713" i="44" a="1"/>
  <c r="BA716" i="44" a="1"/>
  <c r="BA551" i="44" a="1"/>
  <c r="BA552" i="44" a="1"/>
  <c r="BA556" i="44" a="1"/>
  <c r="BA558" i="44" a="1"/>
  <c r="BA560" i="44" a="1"/>
  <c r="BA562" i="44" a="1"/>
  <c r="BA567" i="44" a="1"/>
  <c r="BA572" i="44" a="1"/>
  <c r="BA574" i="44" a="1"/>
  <c r="BA575" i="44" a="1"/>
  <c r="BA576" i="44" a="1"/>
  <c r="BA580" i="44" a="1"/>
  <c r="BA582" i="44" a="1"/>
  <c r="BA587" i="44" a="1"/>
  <c r="BA588" i="44" a="1"/>
  <c r="BA592" i="44" a="1"/>
  <c r="BA594" i="44" a="1"/>
  <c r="BA596" i="44" a="1"/>
  <c r="BA599" i="44" a="1"/>
  <c r="BA600" i="44" a="1"/>
  <c r="BA602" i="44" a="1"/>
  <c r="BA604" i="44" a="1"/>
  <c r="BA611" i="44" a="1"/>
  <c r="BA612" i="44" a="1"/>
  <c r="BA616" i="44" a="1"/>
  <c r="BA617" i="44" a="1"/>
  <c r="BA618" i="44" a="1"/>
  <c r="BA623" i="44" a="1"/>
  <c r="BA624" i="44" a="1"/>
  <c r="BA632" i="44" a="1"/>
  <c r="BA636" i="44" a="1"/>
  <c r="BA640" i="44" a="1"/>
  <c r="BA654" i="44" a="1"/>
  <c r="BA659" i="44" a="1"/>
  <c r="BA675" i="44" a="1"/>
  <c r="BA683" i="44" a="1"/>
  <c r="BA690" i="44" a="1"/>
  <c r="BA695" i="44" a="1"/>
  <c r="BA708" i="44" a="1"/>
  <c r="BA714" i="44" a="1"/>
  <c r="BA719" i="44" a="1"/>
  <c r="BA726" i="44" a="1"/>
  <c r="BA910" i="44" a="1"/>
  <c r="BA912" i="44" a="1"/>
  <c r="BA732" i="44" a="1"/>
  <c r="BA738" i="44" a="1"/>
  <c r="BA742" i="44" a="1"/>
  <c r="BA743" i="44" a="1"/>
  <c r="BA749" i="44" a="1"/>
  <c r="BA750" i="44" a="1"/>
  <c r="BA752" i="44" a="1"/>
  <c r="BA753" i="44" a="1"/>
  <c r="BA755" i="44" a="1"/>
  <c r="BA756" i="44" a="1"/>
  <c r="BA759" i="44" a="1"/>
  <c r="BA764" i="44" a="1"/>
  <c r="BA767" i="44" a="1"/>
  <c r="BA768" i="44" a="1"/>
  <c r="BA771" i="44" a="1"/>
  <c r="BA779" i="44" a="1"/>
  <c r="BA780" i="44" a="1"/>
  <c r="BA784" i="44" a="1"/>
  <c r="BA786" i="44" a="1"/>
  <c r="BA788" i="44" a="1"/>
  <c r="BA791" i="44" a="1"/>
  <c r="BA792" i="44" a="1"/>
  <c r="BA797" i="44" a="1"/>
  <c r="BA798" i="44" a="1"/>
  <c r="BA803" i="44" a="1"/>
  <c r="BA804" i="44" a="1"/>
  <c r="BA812" i="44" a="1"/>
  <c r="BA815" i="44" a="1"/>
  <c r="BA816" i="44" a="1"/>
  <c r="BA822" i="44" a="1"/>
  <c r="BA824" i="44" a="1"/>
  <c r="BA827" i="44" a="1"/>
  <c r="BA828" i="44" a="1"/>
  <c r="BA839" i="44" a="1"/>
  <c r="BA840" i="44" a="1"/>
  <c r="BA843" i="44" a="1"/>
  <c r="BA848" i="44" a="1"/>
  <c r="BA851" i="44" a="1"/>
  <c r="BA852" i="44" a="1"/>
  <c r="BA856" i="44" a="1"/>
  <c r="BA858" i="44" a="1"/>
  <c r="BA860" i="44" a="1"/>
  <c r="BA861" i="44" a="1"/>
  <c r="BA863" i="44" a="1"/>
  <c r="BA864" i="44" a="1"/>
  <c r="BA870" i="44" a="1"/>
  <c r="BA872" i="44" a="1"/>
  <c r="BA875" i="44" a="1"/>
  <c r="BA876" i="44" a="1"/>
  <c r="BA887" i="44" a="1"/>
  <c r="BA888" i="44" a="1"/>
  <c r="BA894" i="44" a="1"/>
  <c r="BA896" i="44" a="1"/>
  <c r="BA904" i="44" a="1"/>
  <c r="BA911" i="44" a="1"/>
  <c r="BA638" i="44" a="1"/>
  <c r="Z633" i="44"/>
  <c r="BA633" i="44" s="1" a="1"/>
  <c r="BA720" i="44" a="1"/>
  <c r="Z409" i="44"/>
  <c r="BA409" i="44" s="1" a="1"/>
  <c r="BA889" i="44" a="1"/>
  <c r="BA649" i="44" a="1"/>
  <c r="BA589" i="44" a="1"/>
  <c r="Z801" i="44"/>
  <c r="BA801" i="44" s="1" a="1"/>
  <c r="BA805" i="44" a="1"/>
  <c r="BA696" i="44" a="1"/>
  <c r="BA528" i="44" a="1"/>
  <c r="BA504" i="44" a="1"/>
  <c r="BA456" i="44" a="1"/>
  <c r="BA563" i="44" a="1"/>
  <c r="BA503" i="44" a="1"/>
  <c r="Z857" i="44"/>
  <c r="BA857" i="44" s="1" a="1"/>
  <c r="Z73" i="44"/>
  <c r="BA765" i="44" a="1"/>
  <c r="BA417" i="44" a="1"/>
  <c r="Z521" i="44"/>
  <c r="BA521" i="44" s="1" a="1"/>
  <c r="BA693" i="44" a="1"/>
  <c r="Z689" i="44"/>
  <c r="BA689" i="44" s="1" a="1"/>
  <c r="Z353" i="44"/>
  <c r="BA884" i="44" a="1"/>
  <c r="BA800" i="44" a="1"/>
  <c r="BA776" i="44" a="1"/>
  <c r="BA740" i="44" a="1"/>
  <c r="BA704" i="44" a="1"/>
  <c r="BA644" i="44" a="1"/>
  <c r="BA620" i="44" a="1"/>
  <c r="BA548" i="44" a="1"/>
  <c r="BA512" i="44" a="1"/>
  <c r="BA488" i="44" a="1"/>
  <c r="BA907" i="44" a="1"/>
  <c r="BA883" i="44" a="1"/>
  <c r="BA871" i="44" a="1"/>
  <c r="BA847" i="44" a="1"/>
  <c r="BA811" i="44" a="1"/>
  <c r="BA799" i="44" a="1"/>
  <c r="BA787" i="44" a="1"/>
  <c r="BA775" i="44" a="1"/>
  <c r="BA763" i="44" a="1"/>
  <c r="BA751" i="44" a="1"/>
  <c r="BA703" i="44" a="1"/>
  <c r="BA691" i="44" a="1"/>
  <c r="BA679" i="44" a="1"/>
  <c r="BA631" i="44" a="1"/>
  <c r="BA619" i="44" a="1"/>
  <c r="BA607" i="44" a="1"/>
  <c r="BA595" i="44" a="1"/>
  <c r="BA583" i="44" a="1"/>
  <c r="BA571" i="44" a="1"/>
  <c r="BA559" i="44" a="1"/>
  <c r="BA535" i="44" a="1"/>
  <c r="BA511" i="44" a="1"/>
  <c r="BA499" i="44" a="1"/>
  <c r="BA487" i="44" a="1"/>
  <c r="BA475" i="44" a="1"/>
  <c r="BA463" i="44" a="1"/>
  <c r="BA451" i="44" a="1"/>
  <c r="BA439" i="44" a="1"/>
  <c r="BA427" i="44" a="1"/>
  <c r="Z577" i="44"/>
  <c r="BA577" i="44" s="1" a="1"/>
  <c r="BA774" i="44" a="1"/>
  <c r="BA666" i="44" a="1"/>
  <c r="BA474" i="44" a="1"/>
  <c r="BA845" i="44" a="1"/>
  <c r="BA557" i="44" a="1"/>
  <c r="BA844" i="44" a="1"/>
  <c r="BA796" i="44" a="1"/>
  <c r="BA893" i="44" a="1"/>
  <c r="BA881" i="44" a="1"/>
  <c r="BA869" i="44" a="1"/>
  <c r="BA833" i="44" a="1"/>
  <c r="BA821" i="44" a="1"/>
  <c r="BA809" i="44" a="1"/>
  <c r="BA701" i="44" a="1"/>
  <c r="BA629" i="44" a="1"/>
  <c r="BA605" i="44" a="1"/>
  <c r="BA569" i="44" a="1"/>
  <c r="BA545" i="44" a="1"/>
  <c r="BA533" i="44" a="1"/>
  <c r="BA497" i="44" a="1"/>
  <c r="BA473" i="44" a="1"/>
  <c r="BA461" i="44" a="1"/>
  <c r="Z745" i="44"/>
  <c r="BA745" i="44" s="1" a="1"/>
  <c r="Z241" i="44"/>
  <c r="BA880" i="44" a="1"/>
  <c r="BA868" i="44" a="1"/>
  <c r="BA820" i="44" a="1"/>
  <c r="BA808" i="44" a="1"/>
  <c r="BA760" i="44" a="1"/>
  <c r="BA748" i="44" a="1"/>
  <c r="BA736" i="44" a="1"/>
  <c r="BA688" i="44" a="1"/>
  <c r="BA676" i="44" a="1"/>
  <c r="BA664" i="44" a="1"/>
  <c r="BA652" i="44" a="1"/>
  <c r="BA520" i="44" a="1"/>
  <c r="BA484" i="44" a="1"/>
  <c r="BA472" i="44" a="1"/>
  <c r="BA460" i="44" a="1"/>
  <c r="BA448" i="44" a="1"/>
  <c r="BA424" i="44" a="1"/>
  <c r="BA412" i="44" a="1"/>
  <c r="BA903" i="44" a="1"/>
  <c r="BA867" i="44" a="1"/>
  <c r="BA831" i="44" a="1"/>
  <c r="BA819" i="44" a="1"/>
  <c r="BA795" i="44" a="1"/>
  <c r="BA735" i="44" a="1"/>
  <c r="BA723" i="44" a="1"/>
  <c r="BA663" i="44" a="1"/>
  <c r="BA651" i="44" a="1"/>
  <c r="BA639" i="44" a="1"/>
  <c r="BA627" i="44" a="1"/>
  <c r="BA603" i="44" a="1"/>
  <c r="BA591" i="44" a="1"/>
  <c r="BA579" i="44" a="1"/>
  <c r="BA555" i="44" a="1"/>
  <c r="BA519" i="44" a="1"/>
  <c r="BA507" i="44" a="1"/>
  <c r="BA483" i="44" a="1"/>
  <c r="BA447" i="44" a="1"/>
  <c r="BA854" i="44" a="1"/>
  <c r="BA686" i="44" a="1"/>
  <c r="BA674" i="44" a="1"/>
  <c r="BA434" i="44" a="1"/>
  <c r="BA877" i="44" a="1"/>
  <c r="BA865" i="44" a="1"/>
  <c r="BA853" i="44" a="1"/>
  <c r="BA829" i="44" a="1"/>
  <c r="BA793" i="44" a="1"/>
  <c r="BA781" i="44" a="1"/>
  <c r="BA769" i="44" a="1"/>
  <c r="BA733" i="44" a="1"/>
  <c r="BA697" i="44" a="1"/>
  <c r="BA685" i="44" a="1"/>
  <c r="BA673" i="44" a="1"/>
  <c r="BA637" i="44" a="1"/>
  <c r="BA625" i="44" a="1"/>
  <c r="BA553" i="44" a="1"/>
  <c r="BA541" i="44" a="1"/>
  <c r="BA529" i="44" a="1"/>
  <c r="BA517" i="44" a="1"/>
  <c r="BA505" i="44" a="1"/>
  <c r="BA469" i="44" a="1"/>
  <c r="BA457" i="44" a="1"/>
  <c r="BA445" i="44" a="1"/>
  <c r="BA433" i="44" a="1"/>
  <c r="BA890" i="44" a="1"/>
  <c r="BA806" i="44" a="1"/>
  <c r="BA794" i="44" a="1"/>
  <c r="BA782" i="44" a="1"/>
  <c r="BA698" i="44" a="1"/>
  <c r="BA662" i="44" a="1"/>
  <c r="BA626" i="44" a="1"/>
  <c r="BA590" i="44" a="1"/>
  <c r="BA506" i="44" a="1"/>
  <c r="BA494" i="44" a="1"/>
  <c r="BA482" i="44" a="1"/>
  <c r="BA862" i="44" a="1"/>
  <c r="BA838" i="44" a="1"/>
  <c r="BA790" i="44" a="1"/>
  <c r="BA778" i="44" a="1"/>
  <c r="BA694" i="44" a="1"/>
  <c r="BA658" i="44" a="1"/>
  <c r="BA586" i="44" a="1"/>
  <c r="BA502" i="44" a="1"/>
  <c r="BA454" i="44" a="1"/>
  <c r="BA442" i="44" a="1"/>
  <c r="BA909" i="44" a="1"/>
  <c r="BA885" i="44" a="1"/>
  <c r="BA837" i="44" a="1"/>
  <c r="BA741" i="44" a="1"/>
  <c r="BA717" i="44" a="1"/>
  <c r="BA705" i="44" a="1"/>
  <c r="BA681" i="44" a="1"/>
  <c r="BA669" i="44" a="1"/>
  <c r="BA573" i="44" a="1"/>
  <c r="BA561" i="44" a="1"/>
  <c r="BA549" i="44" a="1"/>
  <c r="BA525" i="44" a="1"/>
  <c r="BA429" i="44" a="1"/>
  <c r="G7" i="58"/>
  <c r="G137" i="51"/>
  <c r="G131" i="51"/>
  <c r="G136" i="51"/>
  <c r="G138" i="51" s="1"/>
  <c r="G96" i="51"/>
  <c r="G106" i="51"/>
  <c r="G53" i="51"/>
  <c r="G47" i="51"/>
  <c r="G46" i="51"/>
  <c r="G44" i="51"/>
  <c r="G45" i="51"/>
  <c r="AO67" i="58"/>
  <c r="T34" i="28"/>
  <c r="DE34" i="28" s="1"/>
  <c r="T33" i="28"/>
  <c r="DE33" i="28" s="1"/>
  <c r="DG33" i="28" s="1"/>
  <c r="T32" i="28"/>
  <c r="DE32" i="28" s="1"/>
  <c r="DG32" i="28" s="1"/>
  <c r="T31" i="28"/>
  <c r="DE31" i="28" s="1"/>
  <c r="DG31" i="28" s="1"/>
  <c r="T30" i="28"/>
  <c r="DE30" i="28" s="1"/>
  <c r="DG30" i="28" s="1"/>
  <c r="T29" i="28"/>
  <c r="DE29" i="28" s="1"/>
  <c r="DG29" i="28" s="1"/>
  <c r="T28" i="28"/>
  <c r="DE28" i="28" s="1"/>
  <c r="DG28" i="28" s="1"/>
  <c r="T27" i="28"/>
  <c r="DE27" i="28" s="1"/>
  <c r="DG27" i="28" s="1"/>
  <c r="T26" i="28"/>
  <c r="DE26" i="28" s="1"/>
  <c r="DG26" i="28" s="1"/>
  <c r="T25" i="28"/>
  <c r="DE25" i="28" s="1"/>
  <c r="DG25" i="28" s="1"/>
  <c r="T24" i="28"/>
  <c r="DE24" i="28" s="1"/>
  <c r="DG24" i="28" s="1"/>
  <c r="T23" i="28"/>
  <c r="DE23" i="28" s="1"/>
  <c r="DG23" i="28" s="1"/>
  <c r="T22" i="28"/>
  <c r="DE22" i="28" s="1"/>
  <c r="DG22" i="28" s="1"/>
  <c r="T21" i="28"/>
  <c r="DE21" i="28" s="1"/>
  <c r="DG21" i="28" s="1"/>
  <c r="T20" i="28"/>
  <c r="DE20" i="28" s="1"/>
  <c r="DG20" i="28" s="1"/>
  <c r="T19" i="28"/>
  <c r="DE19" i="28" s="1"/>
  <c r="DG19" i="28" s="1"/>
  <c r="T18" i="28"/>
  <c r="DE18" i="28" s="1"/>
  <c r="DG18" i="28" s="1"/>
  <c r="T17" i="28"/>
  <c r="DE17" i="28" s="1"/>
  <c r="DG17" i="28" s="1"/>
  <c r="T16" i="28"/>
  <c r="DE16" i="28" s="1"/>
  <c r="DG16" i="28" s="1"/>
  <c r="T14" i="28"/>
  <c r="D115" i="39"/>
  <c r="E115" i="39"/>
  <c r="F115" i="39"/>
  <c r="G115" i="39"/>
  <c r="H115" i="39"/>
  <c r="I115" i="39"/>
  <c r="J115" i="39"/>
  <c r="K115" i="39"/>
  <c r="L115" i="39"/>
  <c r="M115" i="39"/>
  <c r="N115" i="39"/>
  <c r="O115" i="39"/>
  <c r="G56" i="51"/>
  <c r="P41" i="39"/>
  <c r="Q41" i="39" s="1"/>
  <c r="H70" i="22"/>
  <c r="BF24" i="39"/>
  <c r="BK22" i="39"/>
  <c r="BG24" i="39"/>
  <c r="BL22" i="39"/>
  <c r="H14" i="54" l="1"/>
  <c r="H15" i="54"/>
  <c r="CO83" i="62" a="1"/>
  <c r="DA2" i="34"/>
  <c r="DA2" i="63"/>
  <c r="DF25" i="38"/>
  <c r="DD25" i="38" s="1" a="1"/>
  <c r="DF37" i="38"/>
  <c r="DD37" i="38" a="1"/>
  <c r="DF36" i="38"/>
  <c r="DD36" i="38" a="1"/>
  <c r="DF35" i="38"/>
  <c r="DD35" i="38" s="1" a="1"/>
  <c r="DF34" i="38"/>
  <c r="DD34" i="38" s="1" a="1"/>
  <c r="DF33" i="38"/>
  <c r="DD33" i="38" s="1" a="1"/>
  <c r="DF32" i="38"/>
  <c r="DD32" i="38" a="1"/>
  <c r="DF31" i="38"/>
  <c r="DD31" i="38" s="1" a="1"/>
  <c r="DF30" i="38"/>
  <c r="DD30" i="38" s="1" a="1"/>
  <c r="DF29" i="38"/>
  <c r="DD29" i="38" a="1"/>
  <c r="DF28" i="38"/>
  <c r="DD28" i="38" a="1"/>
  <c r="DF27" i="38"/>
  <c r="DD27" i="38" s="1" a="1"/>
  <c r="DF20" i="38"/>
  <c r="DD20" i="38" s="1" a="1"/>
  <c r="DF39" i="38"/>
  <c r="DD39" i="38" a="1"/>
  <c r="DF38" i="38"/>
  <c r="DD38" i="38" a="1"/>
  <c r="DD19" i="38" a="1"/>
  <c r="DF116" i="38"/>
  <c r="DD116" i="38" s="1" a="1"/>
  <c r="DF115" i="38"/>
  <c r="DD115" i="38" s="1" a="1"/>
  <c r="DF114" i="38"/>
  <c r="DD114" i="38" s="1" a="1"/>
  <c r="DF112" i="38"/>
  <c r="DD112" i="38" s="1" a="1"/>
  <c r="DF111" i="38"/>
  <c r="DD111" i="38" s="1" a="1"/>
  <c r="DF110" i="38"/>
  <c r="DD110" i="38" s="1" a="1"/>
  <c r="DF109" i="38"/>
  <c r="DD109" i="38" s="1" a="1"/>
  <c r="DF108" i="38"/>
  <c r="DD108" i="38" s="1" a="1"/>
  <c r="DF107" i="38"/>
  <c r="DD107" i="38" s="1" a="1"/>
  <c r="DF106" i="38"/>
  <c r="DD106" i="38" s="1" a="1"/>
  <c r="DF102" i="38"/>
  <c r="DD102" i="38" s="1" a="1"/>
  <c r="DF101" i="38"/>
  <c r="DD101" i="38" s="1" a="1"/>
  <c r="DF100" i="38"/>
  <c r="DD100" i="38" s="1" a="1"/>
  <c r="DF99" i="38"/>
  <c r="DD99" i="38" s="1" a="1"/>
  <c r="DF98" i="38"/>
  <c r="DD98" i="38" s="1" a="1"/>
  <c r="DF97" i="38"/>
  <c r="DD97" i="38" s="1" a="1"/>
  <c r="DF95" i="38"/>
  <c r="DD95" i="38" s="1" a="1"/>
  <c r="DF92" i="38"/>
  <c r="DD92" i="38" s="1" a="1"/>
  <c r="DF91" i="38"/>
  <c r="DD91" i="38" s="1" a="1"/>
  <c r="DF90" i="38"/>
  <c r="DD90" i="38" s="1" a="1"/>
  <c r="DF87" i="38"/>
  <c r="DD87" i="38" s="1" a="1"/>
  <c r="DF84" i="38"/>
  <c r="DD84" i="38" s="1" a="1"/>
  <c r="DF83" i="38"/>
  <c r="DD83" i="38" s="1" a="1"/>
  <c r="DF81" i="38"/>
  <c r="DD81" i="38" s="1" a="1"/>
  <c r="DF79" i="38"/>
  <c r="DD79" i="38" s="1" a="1"/>
  <c r="DF105" i="38"/>
  <c r="DD105" i="38" s="1" a="1"/>
  <c r="DF103" i="38"/>
  <c r="DD103" i="38" s="1" a="1"/>
  <c r="DF96" i="38"/>
  <c r="DD96" i="38" s="1" a="1"/>
  <c r="DF94" i="38"/>
  <c r="DD94" i="38" s="1" a="1"/>
  <c r="DF93" i="38"/>
  <c r="DD93" i="38" s="1" a="1"/>
  <c r="DF88" i="38"/>
  <c r="DD88" i="38" s="1" a="1"/>
  <c r="DF86" i="38"/>
  <c r="DD86" i="38" s="1" a="1"/>
  <c r="DF85" i="38"/>
  <c r="DD85" i="38" s="1" a="1"/>
  <c r="DF82" i="38"/>
  <c r="DD82" i="38" s="1" a="1"/>
  <c r="DF104" i="38"/>
  <c r="DD104" i="38" s="1" a="1"/>
  <c r="DF89" i="38"/>
  <c r="DD89" i="38" s="1" a="1"/>
  <c r="DF78" i="38"/>
  <c r="DD78" i="38" s="1" a="1"/>
  <c r="DF113" i="38"/>
  <c r="DD113" i="38" s="1" a="1"/>
  <c r="DF77" i="38"/>
  <c r="DD77" i="38" s="1" a="1"/>
  <c r="DF76" i="38"/>
  <c r="DD76" i="38" s="1" a="1"/>
  <c r="DF75" i="38"/>
  <c r="DD75" i="38" s="1" a="1"/>
  <c r="DF74" i="38"/>
  <c r="DD74" i="38" s="1" a="1"/>
  <c r="DF73" i="38"/>
  <c r="DD73" i="38" s="1" a="1"/>
  <c r="DF72" i="38"/>
  <c r="DD72" i="38" s="1" a="1"/>
  <c r="DF71" i="38"/>
  <c r="DD71" i="38" s="1" a="1"/>
  <c r="DF70" i="38"/>
  <c r="DD70" i="38" s="1" a="1"/>
  <c r="DF69" i="38"/>
  <c r="DD69" i="38" s="1" a="1"/>
  <c r="DF68" i="38"/>
  <c r="DD68" i="38" s="1" a="1"/>
  <c r="DF67" i="38"/>
  <c r="DD67" i="38" s="1" a="1"/>
  <c r="DF66" i="38"/>
  <c r="DD66" i="38" s="1" a="1"/>
  <c r="DF65" i="38"/>
  <c r="DD65" i="38" s="1" a="1"/>
  <c r="DF64" i="38"/>
  <c r="DD64" i="38" s="1" a="1"/>
  <c r="DF63" i="38"/>
  <c r="DD63" i="38" s="1" a="1"/>
  <c r="DF62" i="38"/>
  <c r="DD62" i="38" s="1" a="1"/>
  <c r="DF61" i="38"/>
  <c r="DD61" i="38" s="1" a="1"/>
  <c r="DF60" i="38"/>
  <c r="DD60" i="38" s="1" a="1"/>
  <c r="DF59" i="38"/>
  <c r="DD59" i="38" s="1" a="1"/>
  <c r="DF58" i="38"/>
  <c r="DD58" i="38" s="1" a="1"/>
  <c r="DF57" i="38"/>
  <c r="DD57" i="38" s="1" a="1"/>
  <c r="DF56" i="38"/>
  <c r="DD56" i="38" s="1" a="1"/>
  <c r="DF55" i="38"/>
  <c r="DD55" i="38" s="1" a="1"/>
  <c r="DF54" i="38"/>
  <c r="DD54" i="38" s="1" a="1"/>
  <c r="DF53" i="38"/>
  <c r="DD53" i="38" s="1" a="1"/>
  <c r="DF52" i="38"/>
  <c r="DD52" i="38" s="1" a="1"/>
  <c r="DF51" i="38"/>
  <c r="DD51" i="38" s="1" a="1"/>
  <c r="DF50" i="38"/>
  <c r="DD50" i="38" s="1" a="1"/>
  <c r="DF49" i="38"/>
  <c r="DD49" i="38" s="1" a="1"/>
  <c r="DF48" i="38"/>
  <c r="DD48" i="38" s="1" a="1"/>
  <c r="DF47" i="38"/>
  <c r="DD47" i="38" s="1" a="1"/>
  <c r="DF46" i="38"/>
  <c r="DD46" i="38" s="1" a="1"/>
  <c r="DF45" i="38"/>
  <c r="DD45" i="38" s="1" a="1"/>
  <c r="DF44" i="38"/>
  <c r="DD44" i="38" s="1" a="1"/>
  <c r="DF43" i="38"/>
  <c r="DD43" i="38" s="1" a="1"/>
  <c r="DF42" i="38"/>
  <c r="DD42" i="38" s="1" a="1"/>
  <c r="DF41" i="38"/>
  <c r="DD41" i="38" s="1" a="1"/>
  <c r="DF40" i="38"/>
  <c r="DD40" i="38" s="1" a="1"/>
  <c r="DF80" i="38"/>
  <c r="DD80" i="38" s="1" a="1"/>
  <c r="DG34" i="28"/>
  <c r="DI34" i="28"/>
  <c r="DH34" i="28"/>
  <c r="DD34" i="28" s="1"/>
  <c r="A34" i="28" s="1"/>
  <c r="DI33" i="28"/>
  <c r="DH33" i="28"/>
  <c r="DI32" i="28"/>
  <c r="DH32" i="28"/>
  <c r="DD32" i="28" s="1"/>
  <c r="A32" i="28" s="1"/>
  <c r="DI31" i="28"/>
  <c r="DH31" i="28"/>
  <c r="DD31" i="28" s="1"/>
  <c r="A31" i="28" s="1"/>
  <c r="DI30" i="28"/>
  <c r="DH30" i="28"/>
  <c r="DD30" i="28" s="1"/>
  <c r="A30" i="28" s="1"/>
  <c r="DH29" i="28"/>
  <c r="DD29" i="28" s="1"/>
  <c r="A29" i="28" s="1"/>
  <c r="DI29" i="28"/>
  <c r="DI28" i="28"/>
  <c r="DH28" i="28"/>
  <c r="DD28" i="28" s="1"/>
  <c r="A28" i="28" s="1"/>
  <c r="DH27" i="28"/>
  <c r="DD27" i="28" s="1"/>
  <c r="A27" i="28" s="1"/>
  <c r="DI27" i="28"/>
  <c r="DH26" i="28"/>
  <c r="DD26" i="28" s="1"/>
  <c r="A26" i="28" s="1"/>
  <c r="DI26" i="28"/>
  <c r="DI25" i="28"/>
  <c r="DH25" i="28"/>
  <c r="DI24" i="28"/>
  <c r="DH24" i="28"/>
  <c r="DH23" i="28"/>
  <c r="DD23" i="28" s="1"/>
  <c r="A23" i="28" s="1"/>
  <c r="DI23" i="28"/>
  <c r="DH22" i="28"/>
  <c r="DD22" i="28" s="1"/>
  <c r="A22" i="28" s="1"/>
  <c r="DI22" i="28"/>
  <c r="DE14" i="28"/>
  <c r="DG14" i="28" s="1"/>
  <c r="E1010" i="44"/>
  <c r="D1010" i="44"/>
  <c r="DA2" i="37"/>
  <c r="E1009" i="44"/>
  <c r="D1009" i="44"/>
  <c r="D1011" i="44"/>
  <c r="E1011" i="44"/>
  <c r="BV121" i="62" a="1"/>
  <c r="CO121" i="62" a="1"/>
  <c r="BV120" i="62" a="1"/>
  <c r="CO120" i="62" a="1"/>
  <c r="BV119" i="62" a="1"/>
  <c r="CO119" i="62" a="1"/>
  <c r="BV118" i="62" a="1"/>
  <c r="CO118" i="62" a="1"/>
  <c r="BV117" i="62" a="1"/>
  <c r="CO117" i="62" a="1"/>
  <c r="BV116" i="62" a="1"/>
  <c r="CO116" i="62" a="1"/>
  <c r="BV115" i="62" a="1"/>
  <c r="CO115" i="62" a="1"/>
  <c r="BV114" i="62" a="1"/>
  <c r="CO114" i="62" a="1"/>
  <c r="BV113" i="62" a="1"/>
  <c r="CO113" i="62" a="1"/>
  <c r="BV112" i="62" a="1"/>
  <c r="CO112" i="62" a="1"/>
  <c r="BV111" i="62" a="1"/>
  <c r="CO111" i="62" a="1"/>
  <c r="BV110" i="62" a="1"/>
  <c r="CO110" i="62" a="1"/>
  <c r="BV109" i="62" a="1"/>
  <c r="CO109" i="62" a="1"/>
  <c r="BV108" i="62" a="1"/>
  <c r="CO108" i="62" a="1"/>
  <c r="BV107" i="62" a="1"/>
  <c r="CO107" i="62" a="1"/>
  <c r="BV106" i="62" a="1"/>
  <c r="CO106" i="62" a="1"/>
  <c r="BV105" i="62" a="1"/>
  <c r="CO105" i="62" a="1"/>
  <c r="BV104" i="62" a="1"/>
  <c r="CO104" i="62" a="1"/>
  <c r="BV103" i="62" a="1"/>
  <c r="CO103" i="62" a="1"/>
  <c r="BV101" i="62" a="1"/>
  <c r="CO101" i="62" a="1"/>
  <c r="BV100" i="62" a="1"/>
  <c r="CO100" i="62" a="1"/>
  <c r="BV99" i="62" a="1"/>
  <c r="CO99" i="62" a="1"/>
  <c r="BV98" i="62" a="1"/>
  <c r="CO98" i="62" a="1"/>
  <c r="BV97" i="62" a="1"/>
  <c r="CO97" i="62" a="1"/>
  <c r="BV96" i="62" a="1"/>
  <c r="CO96" i="62" a="1"/>
  <c r="BV95" i="62" a="1"/>
  <c r="CO95" i="62" a="1"/>
  <c r="BV94" i="62" a="1"/>
  <c r="CO94" i="62" a="1"/>
  <c r="BV93" i="62" a="1"/>
  <c r="CO93" i="62" a="1"/>
  <c r="BV92" i="62" a="1"/>
  <c r="CO92" i="62" a="1"/>
  <c r="BV91" i="62" a="1"/>
  <c r="CO91" i="62" a="1"/>
  <c r="BV90" i="62" a="1"/>
  <c r="CO90" i="62" a="1"/>
  <c r="BV89" i="62" a="1"/>
  <c r="CO89" i="62" a="1"/>
  <c r="BV88" i="62" a="1"/>
  <c r="CO88" i="62" a="1"/>
  <c r="BV87" i="62" a="1"/>
  <c r="CO87" i="62" a="1"/>
  <c r="BV86" i="62" a="1"/>
  <c r="CO86" i="62" a="1"/>
  <c r="BV85" i="62" a="1"/>
  <c r="CO85" i="62" a="1"/>
  <c r="BV84" i="62" a="1"/>
  <c r="CO84" i="62" a="1"/>
  <c r="BV82" i="62" a="1"/>
  <c r="CO82" i="62" a="1"/>
  <c r="BV81" i="62" a="1"/>
  <c r="CO81" i="62" a="1"/>
  <c r="BV80" i="62" a="1"/>
  <c r="CO80" i="62" a="1"/>
  <c r="BV79" i="62" a="1"/>
  <c r="CO79" i="62" a="1"/>
  <c r="BV78" i="62" a="1"/>
  <c r="CO78" i="62" a="1"/>
  <c r="BV77" i="62" a="1"/>
  <c r="CO77" i="62" a="1"/>
  <c r="CO76" i="62" a="1"/>
  <c r="BV76" i="62" a="1"/>
  <c r="CO75" i="62" a="1"/>
  <c r="BV75" i="62" a="1"/>
  <c r="CO74" i="62" a="1"/>
  <c r="BV74" i="62" a="1"/>
  <c r="CO73" i="62" a="1"/>
  <c r="BV73" i="62" a="1"/>
  <c r="CO72" i="62" a="1"/>
  <c r="BV72" i="62" a="1"/>
  <c r="CO71" i="62" a="1"/>
  <c r="BV71" i="62" a="1"/>
  <c r="CO70" i="62" a="1"/>
  <c r="BV70" i="62" a="1"/>
  <c r="CO69" i="62" a="1"/>
  <c r="BV69" i="62" a="1"/>
  <c r="CO68" i="62" a="1"/>
  <c r="BV68" i="62" a="1"/>
  <c r="CO67" i="62" a="1"/>
  <c r="BV67" i="62" a="1"/>
  <c r="CO66" i="62" a="1"/>
  <c r="BV66" i="62" a="1"/>
  <c r="CO65" i="62" a="1"/>
  <c r="BV65" i="62" a="1"/>
  <c r="CO64" i="62" a="1"/>
  <c r="BV64" i="62" a="1"/>
  <c r="CO63" i="62" a="1"/>
  <c r="BV63" i="62" a="1"/>
  <c r="CO62" i="62" a="1"/>
  <c r="BV62" i="62" a="1"/>
  <c r="CO61" i="62" a="1"/>
  <c r="BV61" i="62" a="1"/>
  <c r="CO60" i="62" a="1"/>
  <c r="BV60" i="62" a="1"/>
  <c r="CO59" i="62" a="1"/>
  <c r="BV59" i="62" a="1"/>
  <c r="CO58" i="62" a="1"/>
  <c r="BV58" i="62" a="1"/>
  <c r="CO57" i="62" a="1"/>
  <c r="BV57" i="62" a="1"/>
  <c r="BV56" i="62" a="1"/>
  <c r="CO56" i="62" a="1"/>
  <c r="CO55" i="62" a="1"/>
  <c r="BV55" i="62" a="1"/>
  <c r="CO54" i="62" a="1"/>
  <c r="BV54" i="62" a="1"/>
  <c r="CO53" i="62" a="1"/>
  <c r="BV53" i="62" a="1"/>
  <c r="CO52" i="62" a="1"/>
  <c r="BV52" i="62" a="1"/>
  <c r="BV51" i="62" a="1"/>
  <c r="CO51" i="62" a="1"/>
  <c r="CO50" i="62" a="1"/>
  <c r="BV50" i="62" a="1"/>
  <c r="CO49" i="62" a="1"/>
  <c r="BV49" i="62" a="1"/>
  <c r="CO48" i="62" a="1"/>
  <c r="BV48" i="62" a="1"/>
  <c r="CO47" i="62" a="1"/>
  <c r="BV47" i="62" a="1"/>
  <c r="CO46" i="62" a="1"/>
  <c r="BV46" i="62" a="1"/>
  <c r="CO45" i="62" a="1"/>
  <c r="BV45" i="62" a="1"/>
  <c r="BV44" i="62" a="1"/>
  <c r="CO44" i="62" a="1"/>
  <c r="CO43" i="62" a="1"/>
  <c r="BV43" i="62" a="1"/>
  <c r="CO41" i="62" a="1"/>
  <c r="BV41" i="62" a="1"/>
  <c r="CO35" i="62" a="1"/>
  <c r="BV35" i="62" a="1"/>
  <c r="CO34" i="62" a="1"/>
  <c r="BV34" i="62" a="1"/>
  <c r="CO28" i="62" a="1"/>
  <c r="BV28" i="62" a="1"/>
  <c r="CO23" i="62" a="1"/>
  <c r="BV23" i="62" a="1"/>
  <c r="CO22" i="62" a="1"/>
  <c r="BV22" i="62" a="1"/>
  <c r="CJ15" i="39" a="1"/>
  <c r="AA18" i="44"/>
  <c r="AB18" i="44"/>
  <c r="AC18" i="44"/>
  <c r="AD18" i="44"/>
  <c r="AE18" i="44"/>
  <c r="AF18" i="44"/>
  <c r="AA19" i="44"/>
  <c r="AB19" i="44"/>
  <c r="AC19" i="44"/>
  <c r="AD19" i="44"/>
  <c r="AE19" i="44"/>
  <c r="AF19" i="44"/>
  <c r="AA20" i="44"/>
  <c r="AB20" i="44"/>
  <c r="AC20" i="44"/>
  <c r="AD20" i="44"/>
  <c r="AE20" i="44"/>
  <c r="AF20" i="44"/>
  <c r="AA21" i="44"/>
  <c r="AB21" i="44"/>
  <c r="AC21" i="44"/>
  <c r="AD21" i="44"/>
  <c r="AE21" i="44"/>
  <c r="AF21" i="44"/>
  <c r="AA22" i="44"/>
  <c r="AB22" i="44"/>
  <c r="AC22" i="44"/>
  <c r="AD22" i="44"/>
  <c r="AE22" i="44"/>
  <c r="AF22" i="44"/>
  <c r="AA23" i="44"/>
  <c r="AB23" i="44"/>
  <c r="AC23" i="44"/>
  <c r="AD23" i="44"/>
  <c r="AE23" i="44"/>
  <c r="AF23" i="44"/>
  <c r="AA24" i="44"/>
  <c r="AB24" i="44"/>
  <c r="AC24" i="44"/>
  <c r="AD24" i="44"/>
  <c r="AE24" i="44"/>
  <c r="AF24" i="44"/>
  <c r="AA25" i="44"/>
  <c r="AB25" i="44"/>
  <c r="AC25" i="44"/>
  <c r="AD25" i="44"/>
  <c r="AE25" i="44"/>
  <c r="AF25" i="44"/>
  <c r="AA26" i="44"/>
  <c r="AB26" i="44"/>
  <c r="AC26" i="44"/>
  <c r="AD26" i="44"/>
  <c r="AE26" i="44"/>
  <c r="AF26" i="44"/>
  <c r="AA27" i="44"/>
  <c r="AB27" i="44"/>
  <c r="AC27" i="44"/>
  <c r="AD27" i="44"/>
  <c r="AE27" i="44"/>
  <c r="AF27" i="44"/>
  <c r="AA28" i="44"/>
  <c r="AB28" i="44"/>
  <c r="AC28" i="44"/>
  <c r="AD28" i="44"/>
  <c r="AE28" i="44"/>
  <c r="AF28" i="44"/>
  <c r="AA29" i="44"/>
  <c r="AB29" i="44"/>
  <c r="AC29" i="44"/>
  <c r="AD29" i="44"/>
  <c r="AE29" i="44"/>
  <c r="AF29" i="44"/>
  <c r="AA30" i="44"/>
  <c r="AB30" i="44"/>
  <c r="AC30" i="44"/>
  <c r="AD30" i="44"/>
  <c r="AE30" i="44"/>
  <c r="AF30" i="44"/>
  <c r="AA31" i="44"/>
  <c r="AB31" i="44"/>
  <c r="AC31" i="44"/>
  <c r="AD31" i="44"/>
  <c r="AE31" i="44"/>
  <c r="AF31" i="44"/>
  <c r="AA32" i="44"/>
  <c r="AB32" i="44"/>
  <c r="AC32" i="44"/>
  <c r="AD32" i="44"/>
  <c r="AE32" i="44"/>
  <c r="AF32" i="44"/>
  <c r="AA33" i="44"/>
  <c r="AB33" i="44"/>
  <c r="AC33" i="44"/>
  <c r="AD33" i="44"/>
  <c r="AE33" i="44"/>
  <c r="AF33" i="44"/>
  <c r="AA34" i="44"/>
  <c r="AB34" i="44"/>
  <c r="AC34" i="44"/>
  <c r="AD34" i="44"/>
  <c r="AE34" i="44"/>
  <c r="AF34" i="44"/>
  <c r="AB35" i="44"/>
  <c r="AC35" i="44"/>
  <c r="AD35" i="44"/>
  <c r="AE35" i="44"/>
  <c r="AF35" i="44"/>
  <c r="AB36" i="44"/>
  <c r="AC36" i="44"/>
  <c r="AD36" i="44"/>
  <c r="AE36" i="44"/>
  <c r="AF36" i="44"/>
  <c r="AB37" i="44"/>
  <c r="AC37" i="44"/>
  <c r="AD37" i="44"/>
  <c r="AE37" i="44"/>
  <c r="AF37" i="44"/>
  <c r="AA38" i="44"/>
  <c r="AB38" i="44"/>
  <c r="AC38" i="44"/>
  <c r="AD38" i="44"/>
  <c r="AE38" i="44"/>
  <c r="AF38" i="44"/>
  <c r="AA39" i="44"/>
  <c r="AB39" i="44"/>
  <c r="AC39" i="44"/>
  <c r="AD39" i="44"/>
  <c r="AE39" i="44"/>
  <c r="AF39" i="44"/>
  <c r="AA40" i="44"/>
  <c r="AB40" i="44"/>
  <c r="AC40" i="44"/>
  <c r="AD40" i="44"/>
  <c r="AE40" i="44"/>
  <c r="AF40" i="44"/>
  <c r="AA41" i="44"/>
  <c r="AB41" i="44"/>
  <c r="AC41" i="44"/>
  <c r="AD41" i="44"/>
  <c r="AE41" i="44"/>
  <c r="AF41" i="44"/>
  <c r="AA42" i="44"/>
  <c r="AB42" i="44"/>
  <c r="AC42" i="44"/>
  <c r="AD42" i="44"/>
  <c r="AE42" i="44"/>
  <c r="AF42" i="44"/>
  <c r="AA43" i="44"/>
  <c r="AB43" i="44"/>
  <c r="AC43" i="44"/>
  <c r="AD43" i="44"/>
  <c r="AE43" i="44"/>
  <c r="AF43" i="44"/>
  <c r="AA44" i="44"/>
  <c r="AB44" i="44"/>
  <c r="AC44" i="44"/>
  <c r="AD44" i="44"/>
  <c r="AE44" i="44"/>
  <c r="AF44" i="44"/>
  <c r="AA45" i="44"/>
  <c r="AB45" i="44"/>
  <c r="AC45" i="44"/>
  <c r="AD45" i="44"/>
  <c r="AE45" i="44"/>
  <c r="AF45" i="44"/>
  <c r="AA46" i="44"/>
  <c r="AB46" i="44"/>
  <c r="AC46" i="44"/>
  <c r="AD46" i="44"/>
  <c r="AE46" i="44"/>
  <c r="AF46" i="44"/>
  <c r="AA47" i="44"/>
  <c r="AB47" i="44"/>
  <c r="AC47" i="44"/>
  <c r="AD47" i="44"/>
  <c r="AE47" i="44"/>
  <c r="AF47" i="44"/>
  <c r="AA48" i="44"/>
  <c r="AB48" i="44"/>
  <c r="AC48" i="44"/>
  <c r="AD48" i="44"/>
  <c r="AE48" i="44"/>
  <c r="AF48" i="44"/>
  <c r="AA49" i="44"/>
  <c r="AB49" i="44"/>
  <c r="AC49" i="44"/>
  <c r="AD49" i="44"/>
  <c r="AE49" i="44"/>
  <c r="AF49" i="44"/>
  <c r="AA50" i="44"/>
  <c r="AB50" i="44"/>
  <c r="AC50" i="44"/>
  <c r="AD50" i="44"/>
  <c r="AE50" i="44"/>
  <c r="AF50" i="44"/>
  <c r="AA51" i="44"/>
  <c r="AB51" i="44"/>
  <c r="AC51" i="44"/>
  <c r="AD51" i="44"/>
  <c r="AE51" i="44"/>
  <c r="AF51" i="44"/>
  <c r="AA52" i="44"/>
  <c r="AB52" i="44"/>
  <c r="AC52" i="44"/>
  <c r="AD52" i="44"/>
  <c r="AE52" i="44"/>
  <c r="AF52" i="44"/>
  <c r="AB53" i="44"/>
  <c r="AC53" i="44"/>
  <c r="AD53" i="44"/>
  <c r="AE53" i="44"/>
  <c r="AF53" i="44"/>
  <c r="AA54" i="44"/>
  <c r="AB54" i="44"/>
  <c r="AC54" i="44"/>
  <c r="AD54" i="44"/>
  <c r="AE54" i="44"/>
  <c r="AF54" i="44"/>
  <c r="AA55" i="44"/>
  <c r="AB55" i="44"/>
  <c r="AC55" i="44"/>
  <c r="AD55" i="44"/>
  <c r="AE55" i="44"/>
  <c r="AF55" i="44"/>
  <c r="AA56" i="44"/>
  <c r="AB56" i="44"/>
  <c r="AC56" i="44"/>
  <c r="AD56" i="44"/>
  <c r="AE56" i="44"/>
  <c r="AF56" i="44"/>
  <c r="AA57" i="44"/>
  <c r="AB57" i="44"/>
  <c r="AC57" i="44"/>
  <c r="AD57" i="44"/>
  <c r="AE57" i="44"/>
  <c r="AF57" i="44"/>
  <c r="AA58" i="44"/>
  <c r="AB58" i="44"/>
  <c r="AC58" i="44"/>
  <c r="AD58" i="44"/>
  <c r="AE58" i="44"/>
  <c r="AF58" i="44"/>
  <c r="AA59" i="44"/>
  <c r="AB59" i="44"/>
  <c r="AC59" i="44"/>
  <c r="AD59" i="44"/>
  <c r="AE59" i="44"/>
  <c r="AF59" i="44"/>
  <c r="AA60" i="44"/>
  <c r="AB60" i="44"/>
  <c r="AC60" i="44"/>
  <c r="AD60" i="44"/>
  <c r="AE60" i="44"/>
  <c r="AF60" i="44"/>
  <c r="AB61" i="44"/>
  <c r="AC61" i="44"/>
  <c r="AD61" i="44"/>
  <c r="AE61" i="44"/>
  <c r="AF61" i="44"/>
  <c r="AA62" i="44"/>
  <c r="AB62" i="44"/>
  <c r="AC62" i="44"/>
  <c r="AD62" i="44"/>
  <c r="AE62" i="44"/>
  <c r="AF62" i="44"/>
  <c r="AA63" i="44"/>
  <c r="AB63" i="44"/>
  <c r="AC63" i="44"/>
  <c r="AD63" i="44"/>
  <c r="AE63" i="44"/>
  <c r="AF63" i="44"/>
  <c r="AA64" i="44"/>
  <c r="AB64" i="44"/>
  <c r="AC64" i="44"/>
  <c r="AD64" i="44"/>
  <c r="AE64" i="44"/>
  <c r="AF64" i="44"/>
  <c r="AA65" i="44"/>
  <c r="AB65" i="44"/>
  <c r="AC65" i="44"/>
  <c r="AD65" i="44"/>
  <c r="AE65" i="44"/>
  <c r="AF65" i="44"/>
  <c r="AA66" i="44"/>
  <c r="AB66" i="44"/>
  <c r="AC66" i="44"/>
  <c r="AD66" i="44"/>
  <c r="AE66" i="44"/>
  <c r="AF66" i="44"/>
  <c r="AB67" i="44"/>
  <c r="AC67" i="44"/>
  <c r="AD67" i="44"/>
  <c r="AE67" i="44"/>
  <c r="AF67" i="44"/>
  <c r="AA68" i="44"/>
  <c r="AB68" i="44"/>
  <c r="AC68" i="44"/>
  <c r="AD68" i="44"/>
  <c r="AE68" i="44"/>
  <c r="AF68" i="44"/>
  <c r="AB69" i="44"/>
  <c r="AC69" i="44"/>
  <c r="AD69" i="44"/>
  <c r="AE69" i="44"/>
  <c r="AF69" i="44"/>
  <c r="AB70" i="44"/>
  <c r="AC70" i="44"/>
  <c r="AD70" i="44"/>
  <c r="AE70" i="44"/>
  <c r="AF70" i="44"/>
  <c r="AA71" i="44"/>
  <c r="AB71" i="44"/>
  <c r="AC71" i="44"/>
  <c r="AD71" i="44"/>
  <c r="AE71" i="44"/>
  <c r="AF71" i="44"/>
  <c r="AA72" i="44"/>
  <c r="AB72" i="44"/>
  <c r="AC72" i="44"/>
  <c r="AD72" i="44"/>
  <c r="AE72" i="44"/>
  <c r="AF72" i="44"/>
  <c r="AB17" i="44"/>
  <c r="AC17" i="44"/>
  <c r="AD17" i="44"/>
  <c r="AE17" i="44"/>
  <c r="AF17" i="44"/>
  <c r="B114" i="28"/>
  <c r="V952" i="5" a="1"/>
  <c r="H87" i="22"/>
  <c r="F39" i="59"/>
  <c r="F38" i="59"/>
  <c r="F37" i="59"/>
  <c r="F36" i="59"/>
  <c r="B40" i="59"/>
  <c r="B39" i="59"/>
  <c r="B38" i="59"/>
  <c r="B37" i="59"/>
  <c r="B36" i="59"/>
  <c r="B21" i="59"/>
  <c r="B20" i="59"/>
  <c r="B19" i="59"/>
  <c r="B18" i="59"/>
  <c r="B17" i="59"/>
  <c r="I96" i="22"/>
  <c r="S15" i="58"/>
  <c r="S13" i="58"/>
  <c r="P97" i="7" a="1"/>
  <c r="N98" i="7"/>
  <c r="N99" i="7"/>
  <c r="N100" i="7"/>
  <c r="N101" i="7"/>
  <c r="N102" i="7"/>
  <c r="N103" i="7"/>
  <c r="N104" i="7"/>
  <c r="N105" i="7"/>
  <c r="N106" i="7"/>
  <c r="N107" i="7"/>
  <c r="N108" i="7"/>
  <c r="N109" i="7"/>
  <c r="N110" i="7"/>
  <c r="N111" i="7"/>
  <c r="N112" i="7"/>
  <c r="N113" i="7"/>
  <c r="N114" i="7"/>
  <c r="N115" i="7"/>
  <c r="N116" i="7"/>
  <c r="N117" i="7"/>
  <c r="N118" i="7"/>
  <c r="N119" i="7"/>
  <c r="N120" i="7"/>
  <c r="N121" i="7"/>
  <c r="N122" i="7"/>
  <c r="N123" i="7"/>
  <c r="N124" i="7"/>
  <c r="N125" i="7"/>
  <c r="N126" i="7"/>
  <c r="N127" i="7"/>
  <c r="N128" i="7"/>
  <c r="N129" i="7"/>
  <c r="N130" i="7"/>
  <c r="N131" i="7"/>
  <c r="N132" i="7"/>
  <c r="N133" i="7"/>
  <c r="N134" i="7"/>
  <c r="N135" i="7"/>
  <c r="N136" i="7"/>
  <c r="N137" i="7"/>
  <c r="N138" i="7"/>
  <c r="N139" i="7"/>
  <c r="N140" i="7"/>
  <c r="N141" i="7"/>
  <c r="N142" i="7"/>
  <c r="N143" i="7"/>
  <c r="N144" i="7"/>
  <c r="N145" i="7"/>
  <c r="N146" i="7"/>
  <c r="N147" i="7"/>
  <c r="N148" i="7"/>
  <c r="N149" i="7"/>
  <c r="N150" i="7"/>
  <c r="N151" i="7"/>
  <c r="N152" i="7"/>
  <c r="N153" i="7"/>
  <c r="N154" i="7"/>
  <c r="N155" i="7"/>
  <c r="N156" i="7"/>
  <c r="N157" i="7"/>
  <c r="N158" i="7"/>
  <c r="N159" i="7"/>
  <c r="N160" i="7"/>
  <c r="N161" i="7"/>
  <c r="N162" i="7"/>
  <c r="N163" i="7"/>
  <c r="N164" i="7"/>
  <c r="N165" i="7"/>
  <c r="N166" i="7"/>
  <c r="N167" i="7"/>
  <c r="N168" i="7"/>
  <c r="P10" i="7" a="1"/>
  <c r="N11" i="7"/>
  <c r="N12" i="7"/>
  <c r="N13" i="7"/>
  <c r="N14" i="7"/>
  <c r="N15" i="7"/>
  <c r="N16" i="7"/>
  <c r="N17" i="7"/>
  <c r="N18" i="7"/>
  <c r="N19" i="7"/>
  <c r="N20" i="7"/>
  <c r="N21" i="7"/>
  <c r="N22" i="7"/>
  <c r="N23" i="7"/>
  <c r="N24" i="7"/>
  <c r="N25" i="7"/>
  <c r="N26" i="7"/>
  <c r="N27" i="7"/>
  <c r="N28" i="7"/>
  <c r="N29" i="7"/>
  <c r="N30" i="7"/>
  <c r="N31" i="7"/>
  <c r="N32" i="7"/>
  <c r="N33" i="7"/>
  <c r="N34" i="7"/>
  <c r="N35" i="7"/>
  <c r="N36" i="7"/>
  <c r="N37" i="7"/>
  <c r="N38" i="7"/>
  <c r="N39" i="7"/>
  <c r="N40" i="7"/>
  <c r="N41" i="7"/>
  <c r="N42" i="7"/>
  <c r="N43" i="7"/>
  <c r="N44" i="7"/>
  <c r="N45" i="7"/>
  <c r="N46" i="7"/>
  <c r="N47" i="7"/>
  <c r="N48" i="7"/>
  <c r="N49" i="7"/>
  <c r="N50" i="7"/>
  <c r="N51" i="7"/>
  <c r="N52" i="7"/>
  <c r="N53" i="7"/>
  <c r="N54" i="7"/>
  <c r="N55" i="7"/>
  <c r="N56" i="7"/>
  <c r="N57" i="7"/>
  <c r="N58" i="7"/>
  <c r="N59" i="7"/>
  <c r="N60" i="7"/>
  <c r="N61" i="7"/>
  <c r="N62" i="7"/>
  <c r="N63" i="7"/>
  <c r="N64" i="7"/>
  <c r="N65" i="7"/>
  <c r="N66" i="7"/>
  <c r="N67" i="7"/>
  <c r="N68" i="7"/>
  <c r="N69" i="7"/>
  <c r="N70" i="7"/>
  <c r="N71" i="7"/>
  <c r="N72" i="7"/>
  <c r="N73" i="7"/>
  <c r="N74" i="7"/>
  <c r="N75" i="7"/>
  <c r="N76" i="7"/>
  <c r="N77" i="7"/>
  <c r="N78" i="7"/>
  <c r="N79" i="7"/>
  <c r="N80" i="7"/>
  <c r="N81" i="7"/>
  <c r="AA396" i="44"/>
  <c r="AA395" i="44"/>
  <c r="AA394" i="44"/>
  <c r="AA393" i="44"/>
  <c r="AA392" i="44"/>
  <c r="AA391" i="44"/>
  <c r="AA390" i="44"/>
  <c r="AA389" i="44"/>
  <c r="AA388" i="44"/>
  <c r="AA387" i="44"/>
  <c r="AA386" i="44"/>
  <c r="AA385" i="44"/>
  <c r="AA383" i="44"/>
  <c r="AA382" i="44"/>
  <c r="AA381" i="44"/>
  <c r="AA380" i="44"/>
  <c r="AA379" i="44"/>
  <c r="AA378" i="44"/>
  <c r="AA377" i="44"/>
  <c r="AA376" i="44"/>
  <c r="AA375" i="44"/>
  <c r="AA374" i="44"/>
  <c r="AA370" i="44"/>
  <c r="AA369" i="44"/>
  <c r="AA368" i="44"/>
  <c r="AA367" i="44"/>
  <c r="AA353" i="44"/>
  <c r="AA352" i="44"/>
  <c r="AA351" i="44"/>
  <c r="AA348" i="44"/>
  <c r="AA346" i="44"/>
  <c r="AA345" i="44"/>
  <c r="AA343" i="44"/>
  <c r="AA342" i="44"/>
  <c r="AA340" i="44"/>
  <c r="AA339" i="44"/>
  <c r="AA338" i="44"/>
  <c r="AA337" i="44"/>
  <c r="AA336" i="44"/>
  <c r="AA335" i="44"/>
  <c r="AA334" i="44"/>
  <c r="AA333" i="44"/>
  <c r="AA332" i="44"/>
  <c r="AA331" i="44"/>
  <c r="AA330" i="44"/>
  <c r="AA329" i="44"/>
  <c r="AA327" i="44"/>
  <c r="AA326" i="44"/>
  <c r="AA325" i="44"/>
  <c r="AA324" i="44"/>
  <c r="AA323" i="44"/>
  <c r="AA322" i="44"/>
  <c r="AA321" i="44"/>
  <c r="AA320" i="44"/>
  <c r="AA319" i="44"/>
  <c r="AA318" i="44"/>
  <c r="AA314" i="44"/>
  <c r="AA313" i="44"/>
  <c r="AA312" i="44"/>
  <c r="AA311" i="44"/>
  <c r="AA310" i="44"/>
  <c r="AA309" i="44"/>
  <c r="AA307" i="44"/>
  <c r="AA306" i="44"/>
  <c r="AA305" i="44"/>
  <c r="AA304" i="44"/>
  <c r="AA303" i="44"/>
  <c r="AA302" i="44"/>
  <c r="AA301" i="44"/>
  <c r="AA300" i="44"/>
  <c r="AA299" i="44"/>
  <c r="AA298" i="44"/>
  <c r="AA297" i="44"/>
  <c r="AA296" i="44"/>
  <c r="AA295" i="44"/>
  <c r="AA292" i="44"/>
  <c r="AA290" i="44"/>
  <c r="AA289" i="44"/>
  <c r="AA287" i="44"/>
  <c r="AA286" i="44"/>
  <c r="AA284" i="44"/>
  <c r="AA283" i="44"/>
  <c r="AA282" i="44"/>
  <c r="AA281" i="44"/>
  <c r="AA280" i="44"/>
  <c r="AA279" i="44"/>
  <c r="AA278" i="44"/>
  <c r="AA277" i="44"/>
  <c r="AA276" i="44"/>
  <c r="AA275" i="44"/>
  <c r="AA274" i="44"/>
  <c r="AA273" i="44"/>
  <c r="AA241" i="44"/>
  <c r="AA240" i="44"/>
  <c r="AA239" i="44"/>
  <c r="AA236" i="44"/>
  <c r="AA234" i="44"/>
  <c r="AA233" i="44"/>
  <c r="AA231" i="44"/>
  <c r="AA230" i="44"/>
  <c r="AA228" i="44"/>
  <c r="AA227" i="44"/>
  <c r="AA226" i="44"/>
  <c r="AA225" i="44"/>
  <c r="AA224" i="44"/>
  <c r="AA223" i="44"/>
  <c r="AA222" i="44"/>
  <c r="AA221" i="44"/>
  <c r="AA220" i="44"/>
  <c r="AA219" i="44"/>
  <c r="AA218" i="44"/>
  <c r="AA217" i="44"/>
  <c r="AA215" i="44"/>
  <c r="AA214" i="44"/>
  <c r="AA213" i="44"/>
  <c r="AA212" i="44"/>
  <c r="AA211" i="44"/>
  <c r="AA210" i="44"/>
  <c r="AA209" i="44"/>
  <c r="AA208" i="44"/>
  <c r="AA207" i="44"/>
  <c r="AA206" i="44"/>
  <c r="AA202" i="44"/>
  <c r="AA201" i="44"/>
  <c r="AA200" i="44"/>
  <c r="AA199" i="44"/>
  <c r="AA198" i="44"/>
  <c r="AA197" i="44"/>
  <c r="AA195" i="44"/>
  <c r="AA194" i="44"/>
  <c r="AA193" i="44"/>
  <c r="AA192" i="44"/>
  <c r="AA191" i="44"/>
  <c r="AA190" i="44"/>
  <c r="AA189" i="44"/>
  <c r="AA188" i="44"/>
  <c r="AA187" i="44"/>
  <c r="AA186" i="44"/>
  <c r="AA185" i="44"/>
  <c r="AA102" i="44"/>
  <c r="AA101" i="44"/>
  <c r="AA100" i="44"/>
  <c r="AA99" i="44"/>
  <c r="AA98" i="44"/>
  <c r="AA97" i="44"/>
  <c r="AA96" i="44"/>
  <c r="AA95" i="44"/>
  <c r="AA94" i="44"/>
  <c r="AA90" i="44"/>
  <c r="AA89" i="44"/>
  <c r="AA88" i="44"/>
  <c r="AA87" i="44"/>
  <c r="AA86" i="44"/>
  <c r="AA85" i="44"/>
  <c r="AA83" i="44"/>
  <c r="AA82" i="44"/>
  <c r="AA81" i="44"/>
  <c r="AA80" i="44"/>
  <c r="AA79" i="44"/>
  <c r="AA78" i="44"/>
  <c r="AA77" i="44"/>
  <c r="AA76" i="44"/>
  <c r="AA75" i="44"/>
  <c r="AA74" i="44"/>
  <c r="AA73" i="44"/>
  <c r="AA308" i="44"/>
  <c r="AA328" i="44"/>
  <c r="AA344" i="44"/>
  <c r="AA384" i="44"/>
  <c r="AA400" i="44"/>
  <c r="AA216" i="44"/>
  <c r="AA104" i="44"/>
  <c r="AA354" i="44"/>
  <c r="AB354" i="44"/>
  <c r="AC354" i="44"/>
  <c r="AD354" i="44"/>
  <c r="AE354" i="44"/>
  <c r="AF354" i="44"/>
  <c r="AA355" i="44"/>
  <c r="AB355" i="44"/>
  <c r="AC355" i="44"/>
  <c r="AD355" i="44"/>
  <c r="AE355" i="44"/>
  <c r="AF355" i="44"/>
  <c r="AA356" i="44"/>
  <c r="AB356" i="44"/>
  <c r="AC356" i="44"/>
  <c r="AD356" i="44"/>
  <c r="AE356" i="44"/>
  <c r="AF356" i="44"/>
  <c r="AA357" i="44"/>
  <c r="AB357" i="44"/>
  <c r="AC357" i="44"/>
  <c r="AD357" i="44"/>
  <c r="AE357" i="44"/>
  <c r="AF357" i="44"/>
  <c r="AA358" i="44"/>
  <c r="AB358" i="44"/>
  <c r="AC358" i="44"/>
  <c r="AD358" i="44"/>
  <c r="AE358" i="44"/>
  <c r="AF358" i="44"/>
  <c r="AA359" i="44"/>
  <c r="AB359" i="44"/>
  <c r="AC359" i="44"/>
  <c r="AD359" i="44"/>
  <c r="AE359" i="44"/>
  <c r="AF359" i="44"/>
  <c r="AA360" i="44"/>
  <c r="AB360" i="44"/>
  <c r="AC360" i="44"/>
  <c r="AD360" i="44"/>
  <c r="AE360" i="44"/>
  <c r="AF360" i="44"/>
  <c r="AA361" i="44"/>
  <c r="AB361" i="44"/>
  <c r="AC361" i="44"/>
  <c r="AD361" i="44"/>
  <c r="AE361" i="44"/>
  <c r="AF361" i="44"/>
  <c r="AA362" i="44"/>
  <c r="AB362" i="44"/>
  <c r="AC362" i="44"/>
  <c r="AD362" i="44"/>
  <c r="AE362" i="44"/>
  <c r="AF362" i="44"/>
  <c r="AA363" i="44"/>
  <c r="AB363" i="44"/>
  <c r="AC363" i="44"/>
  <c r="AD363" i="44"/>
  <c r="AE363" i="44"/>
  <c r="AF363" i="44"/>
  <c r="AA364" i="44"/>
  <c r="AB364" i="44"/>
  <c r="AC364" i="44"/>
  <c r="AD364" i="44"/>
  <c r="AE364" i="44"/>
  <c r="AF364" i="44"/>
  <c r="AA365" i="44"/>
  <c r="AB365" i="44"/>
  <c r="AC365" i="44"/>
  <c r="AD365" i="44"/>
  <c r="AE365" i="44"/>
  <c r="AF365" i="44"/>
  <c r="AA366" i="44"/>
  <c r="AB366" i="44"/>
  <c r="AC366" i="44"/>
  <c r="AD366" i="44"/>
  <c r="AE366" i="44"/>
  <c r="AF366" i="44"/>
  <c r="AB367" i="44"/>
  <c r="AC367" i="44"/>
  <c r="AD367" i="44"/>
  <c r="AE367" i="44"/>
  <c r="AF367" i="44"/>
  <c r="AB368" i="44"/>
  <c r="AC368" i="44"/>
  <c r="AD368" i="44"/>
  <c r="AE368" i="44"/>
  <c r="AF368" i="44"/>
  <c r="AB369" i="44"/>
  <c r="AC369" i="44"/>
  <c r="AD369" i="44"/>
  <c r="AE369" i="44"/>
  <c r="AF369" i="44"/>
  <c r="AB370" i="44"/>
  <c r="AC370" i="44"/>
  <c r="AD370" i="44"/>
  <c r="AE370" i="44"/>
  <c r="AF370" i="44"/>
  <c r="AB371" i="44"/>
  <c r="AC371" i="44"/>
  <c r="AD371" i="44"/>
  <c r="AE371" i="44"/>
  <c r="AF371" i="44"/>
  <c r="AB372" i="44"/>
  <c r="AC372" i="44"/>
  <c r="AD372" i="44"/>
  <c r="AE372" i="44"/>
  <c r="AF372" i="44"/>
  <c r="AB373" i="44"/>
  <c r="AC373" i="44"/>
  <c r="AD373" i="44"/>
  <c r="AE373" i="44"/>
  <c r="AF373" i="44"/>
  <c r="AB374" i="44"/>
  <c r="AC374" i="44"/>
  <c r="AD374" i="44"/>
  <c r="AE374" i="44"/>
  <c r="AF374" i="44"/>
  <c r="AB375" i="44"/>
  <c r="AC375" i="44"/>
  <c r="AD375" i="44"/>
  <c r="AE375" i="44"/>
  <c r="AF375" i="44"/>
  <c r="AB376" i="44"/>
  <c r="AC376" i="44"/>
  <c r="AD376" i="44"/>
  <c r="AE376" i="44"/>
  <c r="AF376" i="44"/>
  <c r="AB377" i="44"/>
  <c r="AC377" i="44"/>
  <c r="AD377" i="44"/>
  <c r="AE377" i="44"/>
  <c r="AF377" i="44"/>
  <c r="AB378" i="44"/>
  <c r="AC378" i="44"/>
  <c r="AD378" i="44"/>
  <c r="AE378" i="44"/>
  <c r="AF378" i="44"/>
  <c r="AB379" i="44"/>
  <c r="AC379" i="44"/>
  <c r="AD379" i="44"/>
  <c r="AE379" i="44"/>
  <c r="AF379" i="44"/>
  <c r="AB380" i="44"/>
  <c r="AC380" i="44"/>
  <c r="AD380" i="44"/>
  <c r="AE380" i="44"/>
  <c r="AF380" i="44"/>
  <c r="AB381" i="44"/>
  <c r="AC381" i="44"/>
  <c r="AD381" i="44"/>
  <c r="AE381" i="44"/>
  <c r="AF381" i="44"/>
  <c r="AB382" i="44"/>
  <c r="AC382" i="44"/>
  <c r="AD382" i="44"/>
  <c r="AE382" i="44"/>
  <c r="AF382" i="44"/>
  <c r="AB383" i="44"/>
  <c r="AC383" i="44"/>
  <c r="AD383" i="44"/>
  <c r="AE383" i="44"/>
  <c r="AF383" i="44"/>
  <c r="AB384" i="44"/>
  <c r="AC384" i="44"/>
  <c r="AD384" i="44"/>
  <c r="AE384" i="44"/>
  <c r="AF384" i="44"/>
  <c r="AB385" i="44"/>
  <c r="AC385" i="44"/>
  <c r="AD385" i="44"/>
  <c r="AE385" i="44"/>
  <c r="AF385" i="44"/>
  <c r="AB386" i="44"/>
  <c r="AC386" i="44"/>
  <c r="AD386" i="44"/>
  <c r="AE386" i="44"/>
  <c r="AF386" i="44"/>
  <c r="AB387" i="44"/>
  <c r="AC387" i="44"/>
  <c r="AD387" i="44"/>
  <c r="AE387" i="44"/>
  <c r="AF387" i="44"/>
  <c r="AB388" i="44"/>
  <c r="AC388" i="44"/>
  <c r="AD388" i="44"/>
  <c r="AE388" i="44"/>
  <c r="AF388" i="44"/>
  <c r="AB389" i="44"/>
  <c r="AC389" i="44"/>
  <c r="AD389" i="44"/>
  <c r="AE389" i="44"/>
  <c r="AF389" i="44"/>
  <c r="AB390" i="44"/>
  <c r="AC390" i="44"/>
  <c r="AD390" i="44"/>
  <c r="AE390" i="44"/>
  <c r="AF390" i="44"/>
  <c r="AB391" i="44"/>
  <c r="AC391" i="44"/>
  <c r="AD391" i="44"/>
  <c r="AE391" i="44"/>
  <c r="AF391" i="44"/>
  <c r="AB392" i="44"/>
  <c r="AC392" i="44"/>
  <c r="AD392" i="44"/>
  <c r="AE392" i="44"/>
  <c r="AF392" i="44"/>
  <c r="AB393" i="44"/>
  <c r="AC393" i="44"/>
  <c r="AD393" i="44"/>
  <c r="AE393" i="44"/>
  <c r="AF393" i="44"/>
  <c r="AB394" i="44"/>
  <c r="AC394" i="44"/>
  <c r="AD394" i="44"/>
  <c r="AE394" i="44"/>
  <c r="AF394" i="44"/>
  <c r="AB395" i="44"/>
  <c r="AC395" i="44"/>
  <c r="AD395" i="44"/>
  <c r="AE395" i="44"/>
  <c r="AF395" i="44"/>
  <c r="AB396" i="44"/>
  <c r="AC396" i="44"/>
  <c r="AD396" i="44"/>
  <c r="AE396" i="44"/>
  <c r="AF396" i="44"/>
  <c r="AB397" i="44"/>
  <c r="AC397" i="44"/>
  <c r="AD397" i="44"/>
  <c r="AE397" i="44"/>
  <c r="AF397" i="44"/>
  <c r="AA398" i="44"/>
  <c r="AB398" i="44"/>
  <c r="AC398" i="44"/>
  <c r="AD398" i="44"/>
  <c r="AE398" i="44"/>
  <c r="AF398" i="44"/>
  <c r="AA399" i="44"/>
  <c r="AB399" i="44"/>
  <c r="AC399" i="44"/>
  <c r="AD399" i="44"/>
  <c r="AE399" i="44"/>
  <c r="AF399" i="44"/>
  <c r="AB400" i="44"/>
  <c r="AC400" i="44"/>
  <c r="AD400" i="44"/>
  <c r="AE400" i="44"/>
  <c r="AF400" i="44"/>
  <c r="AA401" i="44"/>
  <c r="AB401" i="44"/>
  <c r="AC401" i="44"/>
  <c r="AD401" i="44"/>
  <c r="AE401" i="44"/>
  <c r="AF401" i="44"/>
  <c r="AA402" i="44"/>
  <c r="AB402" i="44"/>
  <c r="AC402" i="44"/>
  <c r="AD402" i="44"/>
  <c r="AE402" i="44"/>
  <c r="AF402" i="44"/>
  <c r="AB403" i="44"/>
  <c r="AC403" i="44"/>
  <c r="AD403" i="44"/>
  <c r="AE403" i="44"/>
  <c r="AF403" i="44"/>
  <c r="AA404" i="44"/>
  <c r="AB404" i="44"/>
  <c r="AC404" i="44"/>
  <c r="AD404" i="44"/>
  <c r="AE404" i="44"/>
  <c r="AF404" i="44"/>
  <c r="AB405" i="44"/>
  <c r="AC405" i="44"/>
  <c r="AD405" i="44"/>
  <c r="AE405" i="44"/>
  <c r="AF405" i="44"/>
  <c r="AB406" i="44"/>
  <c r="AC406" i="44"/>
  <c r="AD406" i="44"/>
  <c r="AE406" i="44"/>
  <c r="AF406" i="44"/>
  <c r="AA407" i="44"/>
  <c r="AB407" i="44"/>
  <c r="AC407" i="44"/>
  <c r="AD407" i="44"/>
  <c r="AE407" i="44"/>
  <c r="AF407" i="44"/>
  <c r="AA408" i="44"/>
  <c r="AB408" i="44"/>
  <c r="AC408" i="44"/>
  <c r="AD408" i="44"/>
  <c r="AE408" i="44"/>
  <c r="AF408" i="44"/>
  <c r="AB353" i="44"/>
  <c r="AC353" i="44"/>
  <c r="AD353" i="44"/>
  <c r="AE353" i="44"/>
  <c r="AF353" i="44"/>
  <c r="AB298" i="44"/>
  <c r="AC298" i="44"/>
  <c r="AD298" i="44"/>
  <c r="AE298" i="44"/>
  <c r="AF298" i="44"/>
  <c r="AB299" i="44"/>
  <c r="AC299" i="44"/>
  <c r="AD299" i="44"/>
  <c r="AE299" i="44"/>
  <c r="AF299" i="44"/>
  <c r="AB300" i="44"/>
  <c r="AC300" i="44"/>
  <c r="AD300" i="44"/>
  <c r="AE300" i="44"/>
  <c r="AF300" i="44"/>
  <c r="AB301" i="44"/>
  <c r="AC301" i="44"/>
  <c r="AD301" i="44"/>
  <c r="AE301" i="44"/>
  <c r="AF301" i="44"/>
  <c r="AB302" i="44"/>
  <c r="AC302" i="44"/>
  <c r="AD302" i="44"/>
  <c r="AE302" i="44"/>
  <c r="AF302" i="44"/>
  <c r="AB303" i="44"/>
  <c r="AC303" i="44"/>
  <c r="AD303" i="44"/>
  <c r="AE303" i="44"/>
  <c r="AF303" i="44"/>
  <c r="AB304" i="44"/>
  <c r="AC304" i="44"/>
  <c r="AD304" i="44"/>
  <c r="AE304" i="44"/>
  <c r="AF304" i="44"/>
  <c r="AB305" i="44"/>
  <c r="AC305" i="44"/>
  <c r="AD305" i="44"/>
  <c r="AE305" i="44"/>
  <c r="AF305" i="44"/>
  <c r="AB306" i="44"/>
  <c r="AC306" i="44"/>
  <c r="AD306" i="44"/>
  <c r="AE306" i="44"/>
  <c r="AF306" i="44"/>
  <c r="AB307" i="44"/>
  <c r="AC307" i="44"/>
  <c r="AD307" i="44"/>
  <c r="AE307" i="44"/>
  <c r="AF307" i="44"/>
  <c r="AB308" i="44"/>
  <c r="AC308" i="44"/>
  <c r="AD308" i="44"/>
  <c r="AE308" i="44"/>
  <c r="AF308" i="44"/>
  <c r="AB309" i="44"/>
  <c r="AC309" i="44"/>
  <c r="AD309" i="44"/>
  <c r="AE309" i="44"/>
  <c r="AF309" i="44"/>
  <c r="AB310" i="44"/>
  <c r="AC310" i="44"/>
  <c r="AD310" i="44"/>
  <c r="AE310" i="44"/>
  <c r="AF310" i="44"/>
  <c r="AB311" i="44"/>
  <c r="AC311" i="44"/>
  <c r="AD311" i="44"/>
  <c r="AE311" i="44"/>
  <c r="AF311" i="44"/>
  <c r="AB312" i="44"/>
  <c r="AC312" i="44"/>
  <c r="AD312" i="44"/>
  <c r="AE312" i="44"/>
  <c r="AF312" i="44"/>
  <c r="AB313" i="44"/>
  <c r="AC313" i="44"/>
  <c r="AD313" i="44"/>
  <c r="AE313" i="44"/>
  <c r="AF313" i="44"/>
  <c r="AB314" i="44"/>
  <c r="AC314" i="44"/>
  <c r="AD314" i="44"/>
  <c r="AE314" i="44"/>
  <c r="AF314" i="44"/>
  <c r="AB315" i="44"/>
  <c r="AC315" i="44"/>
  <c r="AD315" i="44"/>
  <c r="AE315" i="44"/>
  <c r="AF315" i="44"/>
  <c r="AB316" i="44"/>
  <c r="AC316" i="44"/>
  <c r="AD316" i="44"/>
  <c r="AE316" i="44"/>
  <c r="AF316" i="44"/>
  <c r="AB317" i="44"/>
  <c r="AC317" i="44"/>
  <c r="AD317" i="44"/>
  <c r="AE317" i="44"/>
  <c r="AF317" i="44"/>
  <c r="AB318" i="44"/>
  <c r="AC318" i="44"/>
  <c r="AD318" i="44"/>
  <c r="AE318" i="44"/>
  <c r="AF318" i="44"/>
  <c r="AB319" i="44"/>
  <c r="AC319" i="44"/>
  <c r="AD319" i="44"/>
  <c r="AE319" i="44"/>
  <c r="AF319" i="44"/>
  <c r="AB320" i="44"/>
  <c r="AC320" i="44"/>
  <c r="AD320" i="44"/>
  <c r="AE320" i="44"/>
  <c r="AF320" i="44"/>
  <c r="AB321" i="44"/>
  <c r="AC321" i="44"/>
  <c r="AD321" i="44"/>
  <c r="AE321" i="44"/>
  <c r="AF321" i="44"/>
  <c r="AB322" i="44"/>
  <c r="AC322" i="44"/>
  <c r="AD322" i="44"/>
  <c r="AE322" i="44"/>
  <c r="AF322" i="44"/>
  <c r="AB323" i="44"/>
  <c r="AC323" i="44"/>
  <c r="AD323" i="44"/>
  <c r="AE323" i="44"/>
  <c r="AF323" i="44"/>
  <c r="AB324" i="44"/>
  <c r="AC324" i="44"/>
  <c r="AD324" i="44"/>
  <c r="AE324" i="44"/>
  <c r="AF324" i="44"/>
  <c r="AB325" i="44"/>
  <c r="AC325" i="44"/>
  <c r="AD325" i="44"/>
  <c r="AE325" i="44"/>
  <c r="AF325" i="44"/>
  <c r="AB326" i="44"/>
  <c r="AC326" i="44"/>
  <c r="AD326" i="44"/>
  <c r="AE326" i="44"/>
  <c r="AF326" i="44"/>
  <c r="AB327" i="44"/>
  <c r="AC327" i="44"/>
  <c r="AD327" i="44"/>
  <c r="AE327" i="44"/>
  <c r="AF327" i="44"/>
  <c r="AB328" i="44"/>
  <c r="AC328" i="44"/>
  <c r="AD328" i="44"/>
  <c r="AE328" i="44"/>
  <c r="AF328" i="44"/>
  <c r="AB329" i="44"/>
  <c r="AC329" i="44"/>
  <c r="AD329" i="44"/>
  <c r="AE329" i="44"/>
  <c r="AF329" i="44"/>
  <c r="AB330" i="44"/>
  <c r="AC330" i="44"/>
  <c r="AD330" i="44"/>
  <c r="AE330" i="44"/>
  <c r="AF330" i="44"/>
  <c r="AB331" i="44"/>
  <c r="AC331" i="44"/>
  <c r="AD331" i="44"/>
  <c r="AE331" i="44"/>
  <c r="AF331" i="44"/>
  <c r="AB332" i="44"/>
  <c r="AC332" i="44"/>
  <c r="AD332" i="44"/>
  <c r="AE332" i="44"/>
  <c r="AF332" i="44"/>
  <c r="AB333" i="44"/>
  <c r="AC333" i="44"/>
  <c r="AD333" i="44"/>
  <c r="AE333" i="44"/>
  <c r="AF333" i="44"/>
  <c r="AB334" i="44"/>
  <c r="AC334" i="44"/>
  <c r="AD334" i="44"/>
  <c r="AE334" i="44"/>
  <c r="AF334" i="44"/>
  <c r="AB335" i="44"/>
  <c r="AC335" i="44"/>
  <c r="AD335" i="44"/>
  <c r="AE335" i="44"/>
  <c r="AF335" i="44"/>
  <c r="AB336" i="44"/>
  <c r="AC336" i="44"/>
  <c r="AD336" i="44"/>
  <c r="AE336" i="44"/>
  <c r="AF336" i="44"/>
  <c r="AB337" i="44"/>
  <c r="AC337" i="44"/>
  <c r="AD337" i="44"/>
  <c r="AE337" i="44"/>
  <c r="AF337" i="44"/>
  <c r="AB338" i="44"/>
  <c r="AC338" i="44"/>
  <c r="AD338" i="44"/>
  <c r="AE338" i="44"/>
  <c r="AF338" i="44"/>
  <c r="AB339" i="44"/>
  <c r="AC339" i="44"/>
  <c r="AD339" i="44"/>
  <c r="AE339" i="44"/>
  <c r="AF339" i="44"/>
  <c r="AB340" i="44"/>
  <c r="AC340" i="44"/>
  <c r="AD340" i="44"/>
  <c r="AE340" i="44"/>
  <c r="AF340" i="44"/>
  <c r="AB341" i="44"/>
  <c r="AC341" i="44"/>
  <c r="AD341" i="44"/>
  <c r="AE341" i="44"/>
  <c r="AF341" i="44"/>
  <c r="AB342" i="44"/>
  <c r="AC342" i="44"/>
  <c r="AD342" i="44"/>
  <c r="AE342" i="44"/>
  <c r="AF342" i="44"/>
  <c r="AB343" i="44"/>
  <c r="AC343" i="44"/>
  <c r="AD343" i="44"/>
  <c r="AE343" i="44"/>
  <c r="AF343" i="44"/>
  <c r="AB344" i="44"/>
  <c r="AC344" i="44"/>
  <c r="AD344" i="44"/>
  <c r="AE344" i="44"/>
  <c r="AF344" i="44"/>
  <c r="AB345" i="44"/>
  <c r="AC345" i="44"/>
  <c r="AD345" i="44"/>
  <c r="AE345" i="44"/>
  <c r="AF345" i="44"/>
  <c r="AB346" i="44"/>
  <c r="AC346" i="44"/>
  <c r="AD346" i="44"/>
  <c r="AE346" i="44"/>
  <c r="AF346" i="44"/>
  <c r="AB347" i="44"/>
  <c r="AC347" i="44"/>
  <c r="AD347" i="44"/>
  <c r="AE347" i="44"/>
  <c r="AF347" i="44"/>
  <c r="AB348" i="44"/>
  <c r="AC348" i="44"/>
  <c r="AD348" i="44"/>
  <c r="AE348" i="44"/>
  <c r="AF348" i="44"/>
  <c r="AB349" i="44"/>
  <c r="AC349" i="44"/>
  <c r="AD349" i="44"/>
  <c r="AE349" i="44"/>
  <c r="AF349" i="44"/>
  <c r="AB350" i="44"/>
  <c r="AC350" i="44"/>
  <c r="AD350" i="44"/>
  <c r="AE350" i="44"/>
  <c r="AF350" i="44"/>
  <c r="AB351" i="44"/>
  <c r="AC351" i="44"/>
  <c r="AD351" i="44"/>
  <c r="AE351" i="44"/>
  <c r="AF351" i="44"/>
  <c r="AB352" i="44"/>
  <c r="AC352" i="44"/>
  <c r="AD352" i="44"/>
  <c r="AE352" i="44"/>
  <c r="AF352" i="44"/>
  <c r="AB297" i="44"/>
  <c r="AC297" i="44"/>
  <c r="AD297" i="44"/>
  <c r="AE297" i="44"/>
  <c r="AF297" i="44"/>
  <c r="AB242" i="44"/>
  <c r="AC242" i="44"/>
  <c r="AD242" i="44"/>
  <c r="AE242" i="44"/>
  <c r="AF242" i="44"/>
  <c r="AB243" i="44"/>
  <c r="AC243" i="44"/>
  <c r="AD243" i="44"/>
  <c r="AE243" i="44"/>
  <c r="AF243" i="44"/>
  <c r="AB244" i="44"/>
  <c r="AC244" i="44"/>
  <c r="AD244" i="44"/>
  <c r="AE244" i="44"/>
  <c r="AF244" i="44"/>
  <c r="AB245" i="44"/>
  <c r="AC245" i="44"/>
  <c r="AD245" i="44"/>
  <c r="AE245" i="44"/>
  <c r="AF245" i="44"/>
  <c r="AB246" i="44"/>
  <c r="AC246" i="44"/>
  <c r="AD246" i="44"/>
  <c r="AE246" i="44"/>
  <c r="AF246" i="44"/>
  <c r="AB247" i="44"/>
  <c r="AC247" i="44"/>
  <c r="AD247" i="44"/>
  <c r="AE247" i="44"/>
  <c r="AF247" i="44"/>
  <c r="AB248" i="44"/>
  <c r="AC248" i="44"/>
  <c r="AD248" i="44"/>
  <c r="AE248" i="44"/>
  <c r="AF248" i="44"/>
  <c r="AB249" i="44"/>
  <c r="AC249" i="44"/>
  <c r="AD249" i="44"/>
  <c r="AE249" i="44"/>
  <c r="AF249" i="44"/>
  <c r="AB250" i="44"/>
  <c r="AC250" i="44"/>
  <c r="AD250" i="44"/>
  <c r="AE250" i="44"/>
  <c r="AF250" i="44"/>
  <c r="AB251" i="44"/>
  <c r="AC251" i="44"/>
  <c r="AD251" i="44"/>
  <c r="AE251" i="44"/>
  <c r="AF251" i="44"/>
  <c r="AB252" i="44"/>
  <c r="AC252" i="44"/>
  <c r="AD252" i="44"/>
  <c r="AE252" i="44"/>
  <c r="AF252" i="44"/>
  <c r="AB253" i="44"/>
  <c r="AC253" i="44"/>
  <c r="AD253" i="44"/>
  <c r="AE253" i="44"/>
  <c r="AF253" i="44"/>
  <c r="AB254" i="44"/>
  <c r="AC254" i="44"/>
  <c r="AD254" i="44"/>
  <c r="AE254" i="44"/>
  <c r="AF254" i="44"/>
  <c r="AB255" i="44"/>
  <c r="AC255" i="44"/>
  <c r="AD255" i="44"/>
  <c r="AE255" i="44"/>
  <c r="AF255" i="44"/>
  <c r="AB256" i="44"/>
  <c r="AC256" i="44"/>
  <c r="AD256" i="44"/>
  <c r="AE256" i="44"/>
  <c r="AF256" i="44"/>
  <c r="AB257" i="44"/>
  <c r="AC257" i="44"/>
  <c r="AD257" i="44"/>
  <c r="AE257" i="44"/>
  <c r="AF257" i="44"/>
  <c r="AB258" i="44"/>
  <c r="AC258" i="44"/>
  <c r="AD258" i="44"/>
  <c r="AE258" i="44"/>
  <c r="AF258" i="44"/>
  <c r="AB259" i="44"/>
  <c r="AC259" i="44"/>
  <c r="AD259" i="44"/>
  <c r="AE259" i="44"/>
  <c r="AF259" i="44"/>
  <c r="AB260" i="44"/>
  <c r="AC260" i="44"/>
  <c r="AD260" i="44"/>
  <c r="AE260" i="44"/>
  <c r="AF260" i="44"/>
  <c r="AB261" i="44"/>
  <c r="AC261" i="44"/>
  <c r="AD261" i="44"/>
  <c r="AE261" i="44"/>
  <c r="AF261" i="44"/>
  <c r="AB262" i="44"/>
  <c r="AC262" i="44"/>
  <c r="AD262" i="44"/>
  <c r="AE262" i="44"/>
  <c r="AF262" i="44"/>
  <c r="AB263" i="44"/>
  <c r="AC263" i="44"/>
  <c r="AD263" i="44"/>
  <c r="AE263" i="44"/>
  <c r="AF263" i="44"/>
  <c r="AB264" i="44"/>
  <c r="AC264" i="44"/>
  <c r="AD264" i="44"/>
  <c r="AE264" i="44"/>
  <c r="AF264" i="44"/>
  <c r="AB265" i="44"/>
  <c r="AC265" i="44"/>
  <c r="AD265" i="44"/>
  <c r="AE265" i="44"/>
  <c r="AF265" i="44"/>
  <c r="AB266" i="44"/>
  <c r="AC266" i="44"/>
  <c r="AD266" i="44"/>
  <c r="AE266" i="44"/>
  <c r="AF266" i="44"/>
  <c r="AB267" i="44"/>
  <c r="AC267" i="44"/>
  <c r="AD267" i="44"/>
  <c r="AE267" i="44"/>
  <c r="AF267" i="44"/>
  <c r="AB268" i="44"/>
  <c r="AC268" i="44"/>
  <c r="AD268" i="44"/>
  <c r="AE268" i="44"/>
  <c r="AF268" i="44"/>
  <c r="AB269" i="44"/>
  <c r="AC269" i="44"/>
  <c r="AD269" i="44"/>
  <c r="AE269" i="44"/>
  <c r="AF269" i="44"/>
  <c r="AB270" i="44"/>
  <c r="AC270" i="44"/>
  <c r="AD270" i="44"/>
  <c r="AE270" i="44"/>
  <c r="AF270" i="44"/>
  <c r="AB271" i="44"/>
  <c r="AC271" i="44"/>
  <c r="AD271" i="44"/>
  <c r="AE271" i="44"/>
  <c r="AF271" i="44"/>
  <c r="AB272" i="44"/>
  <c r="AC272" i="44"/>
  <c r="AD272" i="44"/>
  <c r="AE272" i="44"/>
  <c r="AF272" i="44"/>
  <c r="AB273" i="44"/>
  <c r="AC273" i="44"/>
  <c r="AD273" i="44"/>
  <c r="AE273" i="44"/>
  <c r="AF273" i="44"/>
  <c r="AB274" i="44"/>
  <c r="AC274" i="44"/>
  <c r="AD274" i="44"/>
  <c r="AE274" i="44"/>
  <c r="AF274" i="44"/>
  <c r="AB275" i="44"/>
  <c r="AC275" i="44"/>
  <c r="AD275" i="44"/>
  <c r="AE275" i="44"/>
  <c r="AF275" i="44"/>
  <c r="AB276" i="44"/>
  <c r="AC276" i="44"/>
  <c r="AD276" i="44"/>
  <c r="AE276" i="44"/>
  <c r="AF276" i="44"/>
  <c r="AB277" i="44"/>
  <c r="AC277" i="44"/>
  <c r="AD277" i="44"/>
  <c r="AE277" i="44"/>
  <c r="AF277" i="44"/>
  <c r="AB278" i="44"/>
  <c r="AC278" i="44"/>
  <c r="AD278" i="44"/>
  <c r="AE278" i="44"/>
  <c r="AF278" i="44"/>
  <c r="AB279" i="44"/>
  <c r="AC279" i="44"/>
  <c r="AD279" i="44"/>
  <c r="AE279" i="44"/>
  <c r="AF279" i="44"/>
  <c r="AB280" i="44"/>
  <c r="AC280" i="44"/>
  <c r="AD280" i="44"/>
  <c r="AE280" i="44"/>
  <c r="AF280" i="44"/>
  <c r="AB281" i="44"/>
  <c r="AC281" i="44"/>
  <c r="AD281" i="44"/>
  <c r="AE281" i="44"/>
  <c r="AF281" i="44"/>
  <c r="AB282" i="44"/>
  <c r="AC282" i="44"/>
  <c r="AD282" i="44"/>
  <c r="AE282" i="44"/>
  <c r="AF282" i="44"/>
  <c r="AB283" i="44"/>
  <c r="AC283" i="44"/>
  <c r="AD283" i="44"/>
  <c r="AE283" i="44"/>
  <c r="AF283" i="44"/>
  <c r="AB284" i="44"/>
  <c r="AC284" i="44"/>
  <c r="AD284" i="44"/>
  <c r="AE284" i="44"/>
  <c r="AF284" i="44"/>
  <c r="AB285" i="44"/>
  <c r="AC285" i="44"/>
  <c r="AD285" i="44"/>
  <c r="AE285" i="44"/>
  <c r="AF285" i="44"/>
  <c r="AB286" i="44"/>
  <c r="AC286" i="44"/>
  <c r="AD286" i="44"/>
  <c r="AE286" i="44"/>
  <c r="AF286" i="44"/>
  <c r="AB287" i="44"/>
  <c r="AC287" i="44"/>
  <c r="AD287" i="44"/>
  <c r="AE287" i="44"/>
  <c r="AF287" i="44"/>
  <c r="AB288" i="44"/>
  <c r="AC288" i="44"/>
  <c r="AD288" i="44"/>
  <c r="AE288" i="44"/>
  <c r="AF288" i="44"/>
  <c r="AB289" i="44"/>
  <c r="AC289" i="44"/>
  <c r="AD289" i="44"/>
  <c r="AE289" i="44"/>
  <c r="AF289" i="44"/>
  <c r="AB290" i="44"/>
  <c r="AC290" i="44"/>
  <c r="AD290" i="44"/>
  <c r="AE290" i="44"/>
  <c r="AF290" i="44"/>
  <c r="AB291" i="44"/>
  <c r="AC291" i="44"/>
  <c r="AD291" i="44"/>
  <c r="AE291" i="44"/>
  <c r="AF291" i="44"/>
  <c r="AB292" i="44"/>
  <c r="AC292" i="44"/>
  <c r="AD292" i="44"/>
  <c r="AE292" i="44"/>
  <c r="AF292" i="44"/>
  <c r="AB293" i="44"/>
  <c r="AC293" i="44"/>
  <c r="AD293" i="44"/>
  <c r="AE293" i="44"/>
  <c r="AF293" i="44"/>
  <c r="AB294" i="44"/>
  <c r="AC294" i="44"/>
  <c r="AD294" i="44"/>
  <c r="AE294" i="44"/>
  <c r="AF294" i="44"/>
  <c r="AB295" i="44"/>
  <c r="AC295" i="44"/>
  <c r="AD295" i="44"/>
  <c r="AE295" i="44"/>
  <c r="AF295" i="44"/>
  <c r="AB296" i="44"/>
  <c r="AC296" i="44"/>
  <c r="AD296" i="44"/>
  <c r="AE296" i="44"/>
  <c r="AF296" i="44"/>
  <c r="AB241" i="44"/>
  <c r="AC241" i="44"/>
  <c r="AD241" i="44"/>
  <c r="AE241" i="44"/>
  <c r="AF241" i="44"/>
  <c r="AB186" i="44"/>
  <c r="AC186" i="44"/>
  <c r="AD186" i="44"/>
  <c r="AE186" i="44"/>
  <c r="AF186" i="44"/>
  <c r="AB187" i="44"/>
  <c r="AC187" i="44"/>
  <c r="AD187" i="44"/>
  <c r="AE187" i="44"/>
  <c r="AF187" i="44"/>
  <c r="AB188" i="44"/>
  <c r="AC188" i="44"/>
  <c r="AD188" i="44"/>
  <c r="AE188" i="44"/>
  <c r="AF188" i="44"/>
  <c r="AB189" i="44"/>
  <c r="AC189" i="44"/>
  <c r="AD189" i="44"/>
  <c r="AE189" i="44"/>
  <c r="AF189" i="44"/>
  <c r="AB190" i="44"/>
  <c r="AC190" i="44"/>
  <c r="AD190" i="44"/>
  <c r="AE190" i="44"/>
  <c r="AF190" i="44"/>
  <c r="AB191" i="44"/>
  <c r="AC191" i="44"/>
  <c r="AD191" i="44"/>
  <c r="AE191" i="44"/>
  <c r="AF191" i="44"/>
  <c r="AB192" i="44"/>
  <c r="AC192" i="44"/>
  <c r="AD192" i="44"/>
  <c r="AE192" i="44"/>
  <c r="AF192" i="44"/>
  <c r="AB193" i="44"/>
  <c r="AC193" i="44"/>
  <c r="AD193" i="44"/>
  <c r="AE193" i="44"/>
  <c r="AF193" i="44"/>
  <c r="AB194" i="44"/>
  <c r="AC194" i="44"/>
  <c r="AD194" i="44"/>
  <c r="AE194" i="44"/>
  <c r="AF194" i="44"/>
  <c r="AB195" i="44"/>
  <c r="AC195" i="44"/>
  <c r="AD195" i="44"/>
  <c r="AE195" i="44"/>
  <c r="AF195" i="44"/>
  <c r="AB196" i="44"/>
  <c r="AC196" i="44"/>
  <c r="AD196" i="44"/>
  <c r="AE196" i="44"/>
  <c r="AF196" i="44"/>
  <c r="AB197" i="44"/>
  <c r="AC197" i="44"/>
  <c r="AD197" i="44"/>
  <c r="AE197" i="44"/>
  <c r="AF197" i="44"/>
  <c r="AB198" i="44"/>
  <c r="AC198" i="44"/>
  <c r="AD198" i="44"/>
  <c r="AE198" i="44"/>
  <c r="AF198" i="44"/>
  <c r="AB199" i="44"/>
  <c r="AC199" i="44"/>
  <c r="AD199" i="44"/>
  <c r="AE199" i="44"/>
  <c r="AF199" i="44"/>
  <c r="AB200" i="44"/>
  <c r="AC200" i="44"/>
  <c r="AD200" i="44"/>
  <c r="AE200" i="44"/>
  <c r="AF200" i="44"/>
  <c r="AB201" i="44"/>
  <c r="AC201" i="44"/>
  <c r="AD201" i="44"/>
  <c r="AE201" i="44"/>
  <c r="AF201" i="44"/>
  <c r="AB202" i="44"/>
  <c r="AC202" i="44"/>
  <c r="AD202" i="44"/>
  <c r="AE202" i="44"/>
  <c r="AF202" i="44"/>
  <c r="AB203" i="44"/>
  <c r="AC203" i="44"/>
  <c r="AD203" i="44"/>
  <c r="AE203" i="44"/>
  <c r="AF203" i="44"/>
  <c r="AB204" i="44"/>
  <c r="AC204" i="44"/>
  <c r="AD204" i="44"/>
  <c r="AE204" i="44"/>
  <c r="AF204" i="44"/>
  <c r="AB205" i="44"/>
  <c r="AC205" i="44"/>
  <c r="AD205" i="44"/>
  <c r="AE205" i="44"/>
  <c r="AF205" i="44"/>
  <c r="AB206" i="44"/>
  <c r="AC206" i="44"/>
  <c r="AD206" i="44"/>
  <c r="AE206" i="44"/>
  <c r="AF206" i="44"/>
  <c r="AB207" i="44"/>
  <c r="AC207" i="44"/>
  <c r="AD207" i="44"/>
  <c r="AE207" i="44"/>
  <c r="AF207" i="44"/>
  <c r="AB208" i="44"/>
  <c r="AC208" i="44"/>
  <c r="AD208" i="44"/>
  <c r="AE208" i="44"/>
  <c r="AF208" i="44"/>
  <c r="AB209" i="44"/>
  <c r="AC209" i="44"/>
  <c r="AD209" i="44"/>
  <c r="AE209" i="44"/>
  <c r="AF209" i="44"/>
  <c r="AB210" i="44"/>
  <c r="AC210" i="44"/>
  <c r="AD210" i="44"/>
  <c r="AE210" i="44"/>
  <c r="AF210" i="44"/>
  <c r="AB211" i="44"/>
  <c r="AC211" i="44"/>
  <c r="AD211" i="44"/>
  <c r="AE211" i="44"/>
  <c r="AF211" i="44"/>
  <c r="AB212" i="44"/>
  <c r="AC212" i="44"/>
  <c r="AD212" i="44"/>
  <c r="AE212" i="44"/>
  <c r="AF212" i="44"/>
  <c r="AB213" i="44"/>
  <c r="AC213" i="44"/>
  <c r="AD213" i="44"/>
  <c r="AE213" i="44"/>
  <c r="AF213" i="44"/>
  <c r="AB214" i="44"/>
  <c r="AC214" i="44"/>
  <c r="AD214" i="44"/>
  <c r="AE214" i="44"/>
  <c r="AF214" i="44"/>
  <c r="AB215" i="44"/>
  <c r="AC215" i="44"/>
  <c r="AD215" i="44"/>
  <c r="AE215" i="44"/>
  <c r="AF215" i="44"/>
  <c r="AB216" i="44"/>
  <c r="AC216" i="44"/>
  <c r="AD216" i="44"/>
  <c r="AE216" i="44"/>
  <c r="AF216" i="44"/>
  <c r="AB217" i="44"/>
  <c r="AC217" i="44"/>
  <c r="AD217" i="44"/>
  <c r="AE217" i="44"/>
  <c r="AF217" i="44"/>
  <c r="AB218" i="44"/>
  <c r="AC218" i="44"/>
  <c r="AD218" i="44"/>
  <c r="AE218" i="44"/>
  <c r="AF218" i="44"/>
  <c r="AB219" i="44"/>
  <c r="AC219" i="44"/>
  <c r="AD219" i="44"/>
  <c r="AE219" i="44"/>
  <c r="AF219" i="44"/>
  <c r="AB220" i="44"/>
  <c r="AC220" i="44"/>
  <c r="AD220" i="44"/>
  <c r="AE220" i="44"/>
  <c r="AF220" i="44"/>
  <c r="AB221" i="44"/>
  <c r="AC221" i="44"/>
  <c r="AD221" i="44"/>
  <c r="AE221" i="44"/>
  <c r="AF221" i="44"/>
  <c r="AB222" i="44"/>
  <c r="AC222" i="44"/>
  <c r="AD222" i="44"/>
  <c r="AE222" i="44"/>
  <c r="AF222" i="44"/>
  <c r="AB223" i="44"/>
  <c r="AC223" i="44"/>
  <c r="AD223" i="44"/>
  <c r="AE223" i="44"/>
  <c r="AF223" i="44"/>
  <c r="AB224" i="44"/>
  <c r="AC224" i="44"/>
  <c r="AD224" i="44"/>
  <c r="AE224" i="44"/>
  <c r="AF224" i="44"/>
  <c r="AB225" i="44"/>
  <c r="AC225" i="44"/>
  <c r="AD225" i="44"/>
  <c r="AE225" i="44"/>
  <c r="AF225" i="44"/>
  <c r="AB226" i="44"/>
  <c r="AC226" i="44"/>
  <c r="AD226" i="44"/>
  <c r="AE226" i="44"/>
  <c r="AF226" i="44"/>
  <c r="AB227" i="44"/>
  <c r="AC227" i="44"/>
  <c r="AD227" i="44"/>
  <c r="AE227" i="44"/>
  <c r="AF227" i="44"/>
  <c r="AB228" i="44"/>
  <c r="AC228" i="44"/>
  <c r="AD228" i="44"/>
  <c r="AE228" i="44"/>
  <c r="AF228" i="44"/>
  <c r="AB229" i="44"/>
  <c r="AC229" i="44"/>
  <c r="AD229" i="44"/>
  <c r="AE229" i="44"/>
  <c r="AF229" i="44"/>
  <c r="AB230" i="44"/>
  <c r="AC230" i="44"/>
  <c r="AD230" i="44"/>
  <c r="AE230" i="44"/>
  <c r="AF230" i="44"/>
  <c r="AB231" i="44"/>
  <c r="AC231" i="44"/>
  <c r="AD231" i="44"/>
  <c r="AE231" i="44"/>
  <c r="AF231" i="44"/>
  <c r="AB232" i="44"/>
  <c r="AC232" i="44"/>
  <c r="AD232" i="44"/>
  <c r="AE232" i="44"/>
  <c r="AF232" i="44"/>
  <c r="AB233" i="44"/>
  <c r="AC233" i="44"/>
  <c r="AD233" i="44"/>
  <c r="AE233" i="44"/>
  <c r="AF233" i="44"/>
  <c r="AB234" i="44"/>
  <c r="AC234" i="44"/>
  <c r="AD234" i="44"/>
  <c r="AE234" i="44"/>
  <c r="AF234" i="44"/>
  <c r="AB235" i="44"/>
  <c r="AC235" i="44"/>
  <c r="AD235" i="44"/>
  <c r="AE235" i="44"/>
  <c r="AF235" i="44"/>
  <c r="AB236" i="44"/>
  <c r="AC236" i="44"/>
  <c r="AD236" i="44"/>
  <c r="AE236" i="44"/>
  <c r="AF236" i="44"/>
  <c r="AB237" i="44"/>
  <c r="AC237" i="44"/>
  <c r="AD237" i="44"/>
  <c r="AE237" i="44"/>
  <c r="AF237" i="44"/>
  <c r="AB238" i="44"/>
  <c r="AC238" i="44"/>
  <c r="AD238" i="44"/>
  <c r="AE238" i="44"/>
  <c r="AF238" i="44"/>
  <c r="AB239" i="44"/>
  <c r="AC239" i="44"/>
  <c r="AD239" i="44"/>
  <c r="AE239" i="44"/>
  <c r="AF239" i="44"/>
  <c r="AB240" i="44"/>
  <c r="AC240" i="44"/>
  <c r="AD240" i="44"/>
  <c r="AE240" i="44"/>
  <c r="AF240" i="44"/>
  <c r="AB185" i="44"/>
  <c r="AC185" i="44"/>
  <c r="AD185" i="44"/>
  <c r="AE185" i="44"/>
  <c r="AF185" i="44"/>
  <c r="AB138" i="44"/>
  <c r="AC138" i="44"/>
  <c r="AD138" i="44"/>
  <c r="AE138" i="44"/>
  <c r="AF138" i="44"/>
  <c r="AB139" i="44"/>
  <c r="AC139" i="44"/>
  <c r="AD139" i="44"/>
  <c r="AE139" i="44"/>
  <c r="AF139" i="44"/>
  <c r="AB140" i="44"/>
  <c r="AC140" i="44"/>
  <c r="AD140" i="44"/>
  <c r="AE140" i="44"/>
  <c r="AF140" i="44"/>
  <c r="AB141" i="44"/>
  <c r="AC141" i="44"/>
  <c r="AD141" i="44"/>
  <c r="AE141" i="44"/>
  <c r="AF141" i="44"/>
  <c r="AB142" i="44"/>
  <c r="AC142" i="44"/>
  <c r="AD142" i="44"/>
  <c r="AE142" i="44"/>
  <c r="AF142" i="44"/>
  <c r="AB143" i="44"/>
  <c r="AC143" i="44"/>
  <c r="AD143" i="44"/>
  <c r="AE143" i="44"/>
  <c r="AF143" i="44"/>
  <c r="AB144" i="44"/>
  <c r="AC144" i="44"/>
  <c r="AD144" i="44"/>
  <c r="AE144" i="44"/>
  <c r="AF144" i="44"/>
  <c r="AB145" i="44"/>
  <c r="AC145" i="44"/>
  <c r="AD145" i="44"/>
  <c r="AE145" i="44"/>
  <c r="AF145" i="44"/>
  <c r="AB146" i="44"/>
  <c r="AC146" i="44"/>
  <c r="AD146" i="44"/>
  <c r="AE146" i="44"/>
  <c r="AF146" i="44"/>
  <c r="AB147" i="44"/>
  <c r="AC147" i="44"/>
  <c r="AD147" i="44"/>
  <c r="AE147" i="44"/>
  <c r="AF147" i="44"/>
  <c r="AB148" i="44"/>
  <c r="AC148" i="44"/>
  <c r="AD148" i="44"/>
  <c r="AE148" i="44"/>
  <c r="AF148" i="44"/>
  <c r="AB149" i="44"/>
  <c r="AC149" i="44"/>
  <c r="AD149" i="44"/>
  <c r="AE149" i="44"/>
  <c r="AF149" i="44"/>
  <c r="AB150" i="44"/>
  <c r="AC150" i="44"/>
  <c r="AD150" i="44"/>
  <c r="AE150" i="44"/>
  <c r="AF150" i="44"/>
  <c r="AB151" i="44"/>
  <c r="AC151" i="44"/>
  <c r="AD151" i="44"/>
  <c r="AE151" i="44"/>
  <c r="AF151" i="44"/>
  <c r="AB152" i="44"/>
  <c r="AC152" i="44"/>
  <c r="AD152" i="44"/>
  <c r="AE152" i="44"/>
  <c r="AF152" i="44"/>
  <c r="AB153" i="44"/>
  <c r="AC153" i="44"/>
  <c r="AD153" i="44"/>
  <c r="AE153" i="44"/>
  <c r="AF153" i="44"/>
  <c r="AB154" i="44"/>
  <c r="AC154" i="44"/>
  <c r="AD154" i="44"/>
  <c r="AE154" i="44"/>
  <c r="AF154" i="44"/>
  <c r="AB155" i="44"/>
  <c r="AC155" i="44"/>
  <c r="AD155" i="44"/>
  <c r="AE155" i="44"/>
  <c r="AF155" i="44"/>
  <c r="AB156" i="44"/>
  <c r="AC156" i="44"/>
  <c r="AD156" i="44"/>
  <c r="AE156" i="44"/>
  <c r="AF156" i="44"/>
  <c r="AB157" i="44"/>
  <c r="AC157" i="44"/>
  <c r="AD157" i="44"/>
  <c r="AE157" i="44"/>
  <c r="AF157" i="44"/>
  <c r="AB158" i="44"/>
  <c r="AC158" i="44"/>
  <c r="AD158" i="44"/>
  <c r="AE158" i="44"/>
  <c r="AF158" i="44"/>
  <c r="AB159" i="44"/>
  <c r="AC159" i="44"/>
  <c r="AD159" i="44"/>
  <c r="AE159" i="44"/>
  <c r="AF159" i="44"/>
  <c r="AB160" i="44"/>
  <c r="AC160" i="44"/>
  <c r="AD160" i="44"/>
  <c r="AE160" i="44"/>
  <c r="AF160" i="44"/>
  <c r="AB161" i="44"/>
  <c r="AC161" i="44"/>
  <c r="AD161" i="44"/>
  <c r="AE161" i="44"/>
  <c r="AF161" i="44"/>
  <c r="AB162" i="44"/>
  <c r="AC162" i="44"/>
  <c r="AD162" i="44"/>
  <c r="AE162" i="44"/>
  <c r="AF162" i="44"/>
  <c r="AB163" i="44"/>
  <c r="AC163" i="44"/>
  <c r="AD163" i="44"/>
  <c r="AE163" i="44"/>
  <c r="AF163" i="44"/>
  <c r="AB164" i="44"/>
  <c r="AC164" i="44"/>
  <c r="AD164" i="44"/>
  <c r="AE164" i="44"/>
  <c r="AF164" i="44"/>
  <c r="AB165" i="44"/>
  <c r="AC165" i="44"/>
  <c r="AD165" i="44"/>
  <c r="AE165" i="44"/>
  <c r="AF165" i="44"/>
  <c r="AB166" i="44"/>
  <c r="AC166" i="44"/>
  <c r="AD166" i="44"/>
  <c r="AE166" i="44"/>
  <c r="AF166" i="44"/>
  <c r="AB167" i="44"/>
  <c r="AC167" i="44"/>
  <c r="AD167" i="44"/>
  <c r="AE167" i="44"/>
  <c r="AF167" i="44"/>
  <c r="AB168" i="44"/>
  <c r="AC168" i="44"/>
  <c r="AD168" i="44"/>
  <c r="AE168" i="44"/>
  <c r="AF168" i="44"/>
  <c r="AB169" i="44"/>
  <c r="AC169" i="44"/>
  <c r="AD169" i="44"/>
  <c r="AE169" i="44"/>
  <c r="AF169" i="44"/>
  <c r="AB170" i="44"/>
  <c r="AC170" i="44"/>
  <c r="AD170" i="44"/>
  <c r="AE170" i="44"/>
  <c r="AF170" i="44"/>
  <c r="AB171" i="44"/>
  <c r="AC171" i="44"/>
  <c r="AD171" i="44"/>
  <c r="AE171" i="44"/>
  <c r="AF171" i="44"/>
  <c r="AB172" i="44"/>
  <c r="AC172" i="44"/>
  <c r="AD172" i="44"/>
  <c r="AE172" i="44"/>
  <c r="AF172" i="44"/>
  <c r="AB173" i="44"/>
  <c r="AC173" i="44"/>
  <c r="AD173" i="44"/>
  <c r="AE173" i="44"/>
  <c r="AF173" i="44"/>
  <c r="AB174" i="44"/>
  <c r="AC174" i="44"/>
  <c r="AD174" i="44"/>
  <c r="AE174" i="44"/>
  <c r="AF174" i="44"/>
  <c r="AB175" i="44"/>
  <c r="AC175" i="44"/>
  <c r="AD175" i="44"/>
  <c r="AE175" i="44"/>
  <c r="AF175" i="44"/>
  <c r="AB176" i="44"/>
  <c r="AC176" i="44"/>
  <c r="AD176" i="44"/>
  <c r="AE176" i="44"/>
  <c r="AF176" i="44"/>
  <c r="AB177" i="44"/>
  <c r="AC177" i="44"/>
  <c r="AD177" i="44"/>
  <c r="AE177" i="44"/>
  <c r="AF177" i="44"/>
  <c r="AB178" i="44"/>
  <c r="AC178" i="44"/>
  <c r="AD178" i="44"/>
  <c r="AE178" i="44"/>
  <c r="AF178" i="44"/>
  <c r="AB179" i="44"/>
  <c r="AC179" i="44"/>
  <c r="AD179" i="44"/>
  <c r="AE179" i="44"/>
  <c r="AF179" i="44"/>
  <c r="AB180" i="44"/>
  <c r="AC180" i="44"/>
  <c r="AD180" i="44"/>
  <c r="AE180" i="44"/>
  <c r="AF180" i="44"/>
  <c r="AB181" i="44"/>
  <c r="AC181" i="44"/>
  <c r="AD181" i="44"/>
  <c r="AE181" i="44"/>
  <c r="AF181" i="44"/>
  <c r="AB182" i="44"/>
  <c r="AC182" i="44"/>
  <c r="AD182" i="44"/>
  <c r="AE182" i="44"/>
  <c r="AF182" i="44"/>
  <c r="AB183" i="44"/>
  <c r="AC183" i="44"/>
  <c r="AD183" i="44"/>
  <c r="AE183" i="44"/>
  <c r="AF183" i="44"/>
  <c r="AB184" i="44"/>
  <c r="AC184" i="44"/>
  <c r="AD184" i="44"/>
  <c r="AE184" i="44"/>
  <c r="AF184" i="44"/>
  <c r="AB130" i="44"/>
  <c r="AC130" i="44"/>
  <c r="AD130" i="44"/>
  <c r="AE130" i="44"/>
  <c r="AF130" i="44"/>
  <c r="AB131" i="44"/>
  <c r="AC131" i="44"/>
  <c r="AD131" i="44"/>
  <c r="AE131" i="44"/>
  <c r="AF131" i="44"/>
  <c r="AB132" i="44"/>
  <c r="AC132" i="44"/>
  <c r="AD132" i="44"/>
  <c r="AE132" i="44"/>
  <c r="AF132" i="44"/>
  <c r="AB133" i="44"/>
  <c r="AC133" i="44"/>
  <c r="AD133" i="44"/>
  <c r="AE133" i="44"/>
  <c r="AF133" i="44"/>
  <c r="AB134" i="44"/>
  <c r="AC134" i="44"/>
  <c r="AD134" i="44"/>
  <c r="AE134" i="44"/>
  <c r="AF134" i="44"/>
  <c r="AB135" i="44"/>
  <c r="AC135" i="44"/>
  <c r="AD135" i="44"/>
  <c r="AE135" i="44"/>
  <c r="AF135" i="44"/>
  <c r="AB136" i="44"/>
  <c r="AC136" i="44"/>
  <c r="AD136" i="44"/>
  <c r="AE136" i="44"/>
  <c r="AF136" i="44"/>
  <c r="AB137" i="44"/>
  <c r="AC137" i="44"/>
  <c r="AD137" i="44"/>
  <c r="AE137" i="44"/>
  <c r="AF137" i="44"/>
  <c r="AB129" i="44"/>
  <c r="AC129" i="44"/>
  <c r="AD129" i="44"/>
  <c r="AE129" i="44"/>
  <c r="AF129" i="44"/>
  <c r="AB74" i="44"/>
  <c r="AC74" i="44"/>
  <c r="AD74" i="44"/>
  <c r="AE74" i="44"/>
  <c r="AF74" i="44"/>
  <c r="AB75" i="44"/>
  <c r="AC75" i="44"/>
  <c r="AD75" i="44"/>
  <c r="AE75" i="44"/>
  <c r="AF75" i="44"/>
  <c r="AB76" i="44"/>
  <c r="AC76" i="44"/>
  <c r="AD76" i="44"/>
  <c r="AE76" i="44"/>
  <c r="AF76" i="44"/>
  <c r="AB77" i="44"/>
  <c r="AC77" i="44"/>
  <c r="AD77" i="44"/>
  <c r="AE77" i="44"/>
  <c r="AF77" i="44"/>
  <c r="AB78" i="44"/>
  <c r="AC78" i="44"/>
  <c r="AD78" i="44"/>
  <c r="AE78" i="44"/>
  <c r="AF78" i="44"/>
  <c r="AB79" i="44"/>
  <c r="AC79" i="44"/>
  <c r="AD79" i="44"/>
  <c r="AE79" i="44"/>
  <c r="AF79" i="44"/>
  <c r="AB80" i="44"/>
  <c r="AC80" i="44"/>
  <c r="AD80" i="44"/>
  <c r="AE80" i="44"/>
  <c r="AF80" i="44"/>
  <c r="AB81" i="44"/>
  <c r="AC81" i="44"/>
  <c r="AD81" i="44"/>
  <c r="AE81" i="44"/>
  <c r="AF81" i="44"/>
  <c r="AB82" i="44"/>
  <c r="AC82" i="44"/>
  <c r="AD82" i="44"/>
  <c r="AE82" i="44"/>
  <c r="AF82" i="44"/>
  <c r="AB83" i="44"/>
  <c r="AC83" i="44"/>
  <c r="AD83" i="44"/>
  <c r="AE83" i="44"/>
  <c r="AF83" i="44"/>
  <c r="AB84" i="44"/>
  <c r="AC84" i="44"/>
  <c r="AD84" i="44"/>
  <c r="AE84" i="44"/>
  <c r="AF84" i="44"/>
  <c r="AB85" i="44"/>
  <c r="AC85" i="44"/>
  <c r="AD85" i="44"/>
  <c r="AE85" i="44"/>
  <c r="AF85" i="44"/>
  <c r="AB86" i="44"/>
  <c r="AC86" i="44"/>
  <c r="AD86" i="44"/>
  <c r="AE86" i="44"/>
  <c r="AF86" i="44"/>
  <c r="AB87" i="44"/>
  <c r="AC87" i="44"/>
  <c r="AD87" i="44"/>
  <c r="AE87" i="44"/>
  <c r="AF87" i="44"/>
  <c r="AB88" i="44"/>
  <c r="AC88" i="44"/>
  <c r="AD88" i="44"/>
  <c r="AE88" i="44"/>
  <c r="AF88" i="44"/>
  <c r="AB89" i="44"/>
  <c r="AC89" i="44"/>
  <c r="AD89" i="44"/>
  <c r="AE89" i="44"/>
  <c r="AF89" i="44"/>
  <c r="AB90" i="44"/>
  <c r="AC90" i="44"/>
  <c r="AD90" i="44"/>
  <c r="AE90" i="44"/>
  <c r="AF90" i="44"/>
  <c r="AB91" i="44"/>
  <c r="AC91" i="44"/>
  <c r="AD91" i="44"/>
  <c r="AE91" i="44"/>
  <c r="AF91" i="44"/>
  <c r="AB92" i="44"/>
  <c r="AC92" i="44"/>
  <c r="AD92" i="44"/>
  <c r="AE92" i="44"/>
  <c r="AF92" i="44"/>
  <c r="AB93" i="44"/>
  <c r="AC93" i="44"/>
  <c r="AD93" i="44"/>
  <c r="AE93" i="44"/>
  <c r="AF93" i="44"/>
  <c r="AB94" i="44"/>
  <c r="AC94" i="44"/>
  <c r="AD94" i="44"/>
  <c r="AE94" i="44"/>
  <c r="AF94" i="44"/>
  <c r="AB95" i="44"/>
  <c r="AC95" i="44"/>
  <c r="AD95" i="44"/>
  <c r="AE95" i="44"/>
  <c r="AF95" i="44"/>
  <c r="AB96" i="44"/>
  <c r="AC96" i="44"/>
  <c r="AD96" i="44"/>
  <c r="AE96" i="44"/>
  <c r="AF96" i="44"/>
  <c r="AB97" i="44"/>
  <c r="AC97" i="44"/>
  <c r="AD97" i="44"/>
  <c r="AE97" i="44"/>
  <c r="AF97" i="44"/>
  <c r="AB98" i="44"/>
  <c r="AC98" i="44"/>
  <c r="AD98" i="44"/>
  <c r="AE98" i="44"/>
  <c r="AF98" i="44"/>
  <c r="AB99" i="44"/>
  <c r="AC99" i="44"/>
  <c r="AD99" i="44"/>
  <c r="AE99" i="44"/>
  <c r="AF99" i="44"/>
  <c r="AB100" i="44"/>
  <c r="AC100" i="44"/>
  <c r="AD100" i="44"/>
  <c r="AE100" i="44"/>
  <c r="AF100" i="44"/>
  <c r="AB101" i="44"/>
  <c r="AC101" i="44"/>
  <c r="AD101" i="44"/>
  <c r="AE101" i="44"/>
  <c r="AF101" i="44"/>
  <c r="AB102" i="44"/>
  <c r="AC102" i="44"/>
  <c r="AD102" i="44"/>
  <c r="AE102" i="44"/>
  <c r="AF102" i="44"/>
  <c r="AA103" i="44"/>
  <c r="AB103" i="44"/>
  <c r="AC103" i="44"/>
  <c r="AD103" i="44"/>
  <c r="AE103" i="44"/>
  <c r="AF103" i="44"/>
  <c r="AB104" i="44"/>
  <c r="AC104" i="44"/>
  <c r="AD104" i="44"/>
  <c r="AE104" i="44"/>
  <c r="AF104" i="44"/>
  <c r="AA105" i="44"/>
  <c r="AB105" i="44"/>
  <c r="AC105" i="44"/>
  <c r="AD105" i="44"/>
  <c r="AE105" i="44"/>
  <c r="AF105" i="44"/>
  <c r="AA106" i="44"/>
  <c r="AB106" i="44"/>
  <c r="AC106" i="44"/>
  <c r="AD106" i="44"/>
  <c r="AE106" i="44"/>
  <c r="AF106" i="44"/>
  <c r="AB107" i="44"/>
  <c r="AC107" i="44"/>
  <c r="AD107" i="44"/>
  <c r="AE107" i="44"/>
  <c r="AF107" i="44"/>
  <c r="AA108" i="44"/>
  <c r="AB108" i="44"/>
  <c r="AC108" i="44"/>
  <c r="AD108" i="44"/>
  <c r="AE108" i="44"/>
  <c r="AF108" i="44"/>
  <c r="AA109" i="44"/>
  <c r="AB109" i="44"/>
  <c r="AC109" i="44"/>
  <c r="AD109" i="44"/>
  <c r="AE109" i="44"/>
  <c r="AF109" i="44"/>
  <c r="AA110" i="44"/>
  <c r="AB110" i="44"/>
  <c r="AC110" i="44"/>
  <c r="AD110" i="44"/>
  <c r="AE110" i="44"/>
  <c r="AF110" i="44"/>
  <c r="AA111" i="44"/>
  <c r="AB111" i="44"/>
  <c r="AC111" i="44"/>
  <c r="AD111" i="44"/>
  <c r="AE111" i="44"/>
  <c r="AF111" i="44"/>
  <c r="AA112" i="44"/>
  <c r="AB112" i="44"/>
  <c r="AC112" i="44"/>
  <c r="AD112" i="44"/>
  <c r="AE112" i="44"/>
  <c r="AF112" i="44"/>
  <c r="AA113" i="44"/>
  <c r="AB113" i="44"/>
  <c r="AC113" i="44"/>
  <c r="AD113" i="44"/>
  <c r="AE113" i="44"/>
  <c r="AF113" i="44"/>
  <c r="AA114" i="44"/>
  <c r="AB114" i="44"/>
  <c r="AC114" i="44"/>
  <c r="AD114" i="44"/>
  <c r="AE114" i="44"/>
  <c r="AF114" i="44"/>
  <c r="AA115" i="44"/>
  <c r="AB115" i="44"/>
  <c r="AC115" i="44"/>
  <c r="AD115" i="44"/>
  <c r="AE115" i="44"/>
  <c r="AF115" i="44"/>
  <c r="AA116" i="44"/>
  <c r="AB116" i="44"/>
  <c r="AC116" i="44"/>
  <c r="AD116" i="44"/>
  <c r="AE116" i="44"/>
  <c r="AF116" i="44"/>
  <c r="AB117" i="44"/>
  <c r="AC117" i="44"/>
  <c r="AD117" i="44"/>
  <c r="AE117" i="44"/>
  <c r="AF117" i="44"/>
  <c r="AA118" i="44"/>
  <c r="AB118" i="44"/>
  <c r="AC118" i="44"/>
  <c r="AD118" i="44"/>
  <c r="AE118" i="44"/>
  <c r="AF118" i="44"/>
  <c r="AA119" i="44"/>
  <c r="AB119" i="44"/>
  <c r="AC119" i="44"/>
  <c r="AD119" i="44"/>
  <c r="AE119" i="44"/>
  <c r="AF119" i="44"/>
  <c r="AB120" i="44"/>
  <c r="AC120" i="44"/>
  <c r="AD120" i="44"/>
  <c r="AE120" i="44"/>
  <c r="AF120" i="44"/>
  <c r="AA121" i="44"/>
  <c r="AB121" i="44"/>
  <c r="AC121" i="44"/>
  <c r="AD121" i="44"/>
  <c r="AE121" i="44"/>
  <c r="AF121" i="44"/>
  <c r="AA122" i="44"/>
  <c r="AB122" i="44"/>
  <c r="AC122" i="44"/>
  <c r="AD122" i="44"/>
  <c r="AE122" i="44"/>
  <c r="AF122" i="44"/>
  <c r="AB123" i="44"/>
  <c r="AC123" i="44"/>
  <c r="AD123" i="44"/>
  <c r="AE123" i="44"/>
  <c r="AF123" i="44"/>
  <c r="AA124" i="44"/>
  <c r="AB124" i="44"/>
  <c r="AC124" i="44"/>
  <c r="AD124" i="44"/>
  <c r="AE124" i="44"/>
  <c r="AF124" i="44"/>
  <c r="AB125" i="44"/>
  <c r="AC125" i="44"/>
  <c r="AD125" i="44"/>
  <c r="AE125" i="44"/>
  <c r="AF125" i="44"/>
  <c r="AB126" i="44"/>
  <c r="AC126" i="44"/>
  <c r="AD126" i="44"/>
  <c r="AE126" i="44"/>
  <c r="AF126" i="44"/>
  <c r="AA127" i="44"/>
  <c r="AB127" i="44"/>
  <c r="AC127" i="44"/>
  <c r="AD127" i="44"/>
  <c r="AE127" i="44"/>
  <c r="AF127" i="44"/>
  <c r="AA128" i="44"/>
  <c r="AB128" i="44"/>
  <c r="AC128" i="44"/>
  <c r="AD128" i="44"/>
  <c r="AE128" i="44"/>
  <c r="AF128" i="44"/>
  <c r="AB73" i="44"/>
  <c r="AC73" i="44"/>
  <c r="AD73" i="44"/>
  <c r="AE73" i="44"/>
  <c r="AF73" i="44"/>
  <c r="BC113" i="28"/>
  <c r="BC112" i="28"/>
  <c r="BC111" i="28"/>
  <c r="BC110" i="28"/>
  <c r="BC109" i="28"/>
  <c r="BC108" i="28"/>
  <c r="BC107" i="28"/>
  <c r="BC106" i="28"/>
  <c r="BC105" i="28"/>
  <c r="BC104" i="28"/>
  <c r="BC103" i="28"/>
  <c r="BC102" i="28"/>
  <c r="BC101" i="28"/>
  <c r="BC100" i="28"/>
  <c r="BC99" i="28"/>
  <c r="BC98" i="28"/>
  <c r="BC97" i="28"/>
  <c r="BC96" i="28"/>
  <c r="BC95" i="28"/>
  <c r="BC94" i="28"/>
  <c r="BC93" i="28"/>
  <c r="BC92" i="28"/>
  <c r="BC91" i="28"/>
  <c r="BC90" i="28"/>
  <c r="BC89" i="28"/>
  <c r="BC88" i="28"/>
  <c r="BC87" i="28"/>
  <c r="BC86" i="28"/>
  <c r="BC85" i="28"/>
  <c r="BC84" i="28"/>
  <c r="BC83" i="28"/>
  <c r="BC82" i="28"/>
  <c r="BC81" i="28"/>
  <c r="BC80" i="28"/>
  <c r="BC79" i="28"/>
  <c r="BC78" i="28"/>
  <c r="BC77" i="28"/>
  <c r="BC76" i="28"/>
  <c r="BC75" i="28"/>
  <c r="BC74" i="28"/>
  <c r="BC73" i="28"/>
  <c r="BC72" i="28"/>
  <c r="BC71" i="28"/>
  <c r="BC70" i="28"/>
  <c r="BC69" i="28"/>
  <c r="BC68" i="28"/>
  <c r="BC67" i="28"/>
  <c r="BC66" i="28"/>
  <c r="BC65" i="28"/>
  <c r="BC64" i="28"/>
  <c r="BC63" i="28"/>
  <c r="BC62" i="28"/>
  <c r="BC61" i="28"/>
  <c r="BC60" i="28"/>
  <c r="BC59" i="28"/>
  <c r="BC58" i="28"/>
  <c r="BC57" i="28"/>
  <c r="BC56" i="28"/>
  <c r="BC55" i="28"/>
  <c r="BC54" i="28"/>
  <c r="BC53" i="28"/>
  <c r="BC52" i="28"/>
  <c r="BC51" i="28"/>
  <c r="BC50" i="28"/>
  <c r="BC49" i="28"/>
  <c r="BC48" i="28"/>
  <c r="BC47" i="28"/>
  <c r="BC46" i="28"/>
  <c r="BC45" i="28"/>
  <c r="BC44" i="28"/>
  <c r="BC43" i="28"/>
  <c r="BC42" i="28"/>
  <c r="BC41" i="28"/>
  <c r="BC40" i="28"/>
  <c r="BC39" i="28"/>
  <c r="BC38" i="28"/>
  <c r="BC37" i="28"/>
  <c r="BC36" i="28"/>
  <c r="BC35" i="28"/>
  <c r="BC34" i="28"/>
  <c r="BC33" i="28"/>
  <c r="BC32" i="28"/>
  <c r="BC31" i="28"/>
  <c r="BC30" i="28"/>
  <c r="BC29" i="28"/>
  <c r="BC28" i="28"/>
  <c r="BC27" i="28"/>
  <c r="BC26" i="28"/>
  <c r="BC25" i="28"/>
  <c r="BC24" i="28"/>
  <c r="BC23" i="28"/>
  <c r="BC22" i="28"/>
  <c r="BC21" i="28"/>
  <c r="BC20" i="28"/>
  <c r="BC19" i="28"/>
  <c r="BC18" i="28"/>
  <c r="BC17" i="28"/>
  <c r="BC16" i="28"/>
  <c r="BC15" i="28"/>
  <c r="BC14" i="28"/>
  <c r="BD113" i="28"/>
  <c r="BD112" i="28"/>
  <c r="BD111" i="28"/>
  <c r="BD110" i="28"/>
  <c r="BD109" i="28"/>
  <c r="BD108" i="28"/>
  <c r="BD107" i="28"/>
  <c r="BD106" i="28"/>
  <c r="BD105" i="28"/>
  <c r="BD104" i="28"/>
  <c r="BD103" i="28"/>
  <c r="BD102" i="28"/>
  <c r="BD101" i="28"/>
  <c r="BD100" i="28"/>
  <c r="BD99" i="28"/>
  <c r="BD98" i="28"/>
  <c r="BD97" i="28"/>
  <c r="BD96" i="28"/>
  <c r="BD95" i="28"/>
  <c r="BD94" i="28"/>
  <c r="BD93" i="28"/>
  <c r="BD92" i="28"/>
  <c r="BD91" i="28"/>
  <c r="BD90" i="28"/>
  <c r="BD89" i="28"/>
  <c r="BD88" i="28"/>
  <c r="BD87" i="28"/>
  <c r="BD86" i="28"/>
  <c r="BD85" i="28"/>
  <c r="BD84" i="28"/>
  <c r="BD83" i="28"/>
  <c r="BD82" i="28"/>
  <c r="BD81" i="28"/>
  <c r="BD80" i="28"/>
  <c r="BD79" i="28"/>
  <c r="BD78" i="28"/>
  <c r="BD77" i="28"/>
  <c r="BD76" i="28"/>
  <c r="BD75" i="28"/>
  <c r="BD74" i="28"/>
  <c r="BD73" i="28"/>
  <c r="BD72" i="28"/>
  <c r="BD71" i="28"/>
  <c r="BD70" i="28"/>
  <c r="BD69" i="28"/>
  <c r="BD68" i="28"/>
  <c r="BD67" i="28"/>
  <c r="BD66" i="28"/>
  <c r="BD65" i="28"/>
  <c r="BD64" i="28"/>
  <c r="BD63" i="28"/>
  <c r="BD62" i="28"/>
  <c r="BD61" i="28"/>
  <c r="BD60" i="28"/>
  <c r="BD59" i="28"/>
  <c r="BD58" i="28"/>
  <c r="BD57" i="28"/>
  <c r="BD56" i="28"/>
  <c r="BD55" i="28"/>
  <c r="BD54" i="28"/>
  <c r="BD53" i="28"/>
  <c r="BD52" i="28"/>
  <c r="BD51" i="28"/>
  <c r="BD50" i="28"/>
  <c r="BD49" i="28"/>
  <c r="BD48" i="28"/>
  <c r="BD47" i="28"/>
  <c r="BD46" i="28"/>
  <c r="BD45" i="28"/>
  <c r="BD44" i="28"/>
  <c r="BD43" i="28"/>
  <c r="BD42" i="28"/>
  <c r="BD41" i="28"/>
  <c r="BD40" i="28"/>
  <c r="BD39" i="28"/>
  <c r="BD38" i="28"/>
  <c r="BD37" i="28"/>
  <c r="BD36" i="28"/>
  <c r="BD35" i="28"/>
  <c r="BD34" i="28"/>
  <c r="BD33" i="28"/>
  <c r="BD32" i="28"/>
  <c r="BD31" i="28"/>
  <c r="BD30" i="28"/>
  <c r="BD29" i="28"/>
  <c r="BD28" i="28"/>
  <c r="BD27" i="28"/>
  <c r="BD26" i="28"/>
  <c r="BD25" i="28"/>
  <c r="BD24" i="28"/>
  <c r="BD23" i="28"/>
  <c r="BD22" i="28"/>
  <c r="BD21" i="28"/>
  <c r="BD20" i="28"/>
  <c r="BD19" i="28"/>
  <c r="BD18" i="28"/>
  <c r="BD17" i="28"/>
  <c r="BD16" i="28"/>
  <c r="BD15" i="28"/>
  <c r="BD14" i="28"/>
  <c r="G43" i="51"/>
  <c r="A43" i="51" s="1"/>
  <c r="T100" i="28"/>
  <c r="DE100" i="28" s="1"/>
  <c r="BE100" i="28"/>
  <c r="BF100" i="28"/>
  <c r="BU100" i="28" s="1"/>
  <c r="BG100" i="28"/>
  <c r="BH100" i="28"/>
  <c r="BI100" i="28"/>
  <c r="BJ100" i="28"/>
  <c r="BK100" i="28"/>
  <c r="BL100" i="28"/>
  <c r="BM100" i="28"/>
  <c r="BN100" i="28"/>
  <c r="BO100" i="28"/>
  <c r="BP100" i="28"/>
  <c r="BQ100" i="28"/>
  <c r="BR100" i="28"/>
  <c r="BS100" i="28"/>
  <c r="O20" i="34"/>
  <c r="T21" i="38"/>
  <c r="BF21" i="38"/>
  <c r="BU21" i="38" s="1"/>
  <c r="BD104" i="38"/>
  <c r="P15" i="39"/>
  <c r="BA15" i="39"/>
  <c r="BB15" i="39"/>
  <c r="BE15" i="39"/>
  <c r="BF15" i="39"/>
  <c r="BG15" i="39"/>
  <c r="BH15" i="39"/>
  <c r="BI15" i="39"/>
  <c r="BJ15" i="39"/>
  <c r="BK15" i="39"/>
  <c r="BL15" i="39"/>
  <c r="BM15" i="39"/>
  <c r="BN15" i="39"/>
  <c r="BO15" i="39"/>
  <c r="BP15" i="39"/>
  <c r="P50" i="39"/>
  <c r="BA50" i="39"/>
  <c r="BB50" i="39"/>
  <c r="BD50" i="39" s="1"/>
  <c r="BS50" i="39" s="1" a="1"/>
  <c r="BE50" i="39"/>
  <c r="BF50" i="39"/>
  <c r="BG50" i="39"/>
  <c r="BH50" i="39"/>
  <c r="BI50" i="39"/>
  <c r="BJ50" i="39"/>
  <c r="BK50" i="39"/>
  <c r="BL50" i="39"/>
  <c r="BM50" i="39"/>
  <c r="BN50" i="39"/>
  <c r="BO50" i="39"/>
  <c r="BP50" i="39"/>
  <c r="P51" i="39"/>
  <c r="BA51" i="39"/>
  <c r="BB51" i="39"/>
  <c r="BD51" i="39" s="1"/>
  <c r="BS51" i="39" s="1" a="1"/>
  <c r="BE51" i="39"/>
  <c r="BF51" i="39"/>
  <c r="BG51" i="39"/>
  <c r="BH51" i="39"/>
  <c r="BI51" i="39"/>
  <c r="BJ51" i="39"/>
  <c r="BK51" i="39"/>
  <c r="BL51" i="39"/>
  <c r="BM51" i="39"/>
  <c r="BN51" i="39"/>
  <c r="BO51" i="39"/>
  <c r="BP51" i="39"/>
  <c r="P52" i="39"/>
  <c r="BA52" i="39"/>
  <c r="BB52" i="39"/>
  <c r="BD52" i="39" s="1"/>
  <c r="BS52" i="39" s="1" a="1"/>
  <c r="BE52" i="39"/>
  <c r="BF52" i="39"/>
  <c r="BG52" i="39"/>
  <c r="BH52" i="39"/>
  <c r="BI52" i="39"/>
  <c r="BJ52" i="39"/>
  <c r="BK52" i="39"/>
  <c r="BL52" i="39"/>
  <c r="BM52" i="39"/>
  <c r="BN52" i="39"/>
  <c r="BO52" i="39"/>
  <c r="BP52" i="39"/>
  <c r="P53" i="39"/>
  <c r="BA53" i="39"/>
  <c r="BB53" i="39"/>
  <c r="BD53" i="39" s="1"/>
  <c r="BS53" i="39" s="1" a="1"/>
  <c r="BE53" i="39"/>
  <c r="BF53" i="39"/>
  <c r="BG53" i="39"/>
  <c r="BH53" i="39"/>
  <c r="BI53" i="39"/>
  <c r="BJ53" i="39"/>
  <c r="BK53" i="39"/>
  <c r="BL53" i="39"/>
  <c r="BM53" i="39"/>
  <c r="BN53" i="39"/>
  <c r="BO53" i="39"/>
  <c r="BP53" i="39"/>
  <c r="P54" i="39"/>
  <c r="BA54" i="39"/>
  <c r="BB54" i="39"/>
  <c r="BD54" i="39" s="1"/>
  <c r="BS54" i="39" s="1" a="1"/>
  <c r="BE54" i="39"/>
  <c r="BF54" i="39"/>
  <c r="BG54" i="39"/>
  <c r="BH54" i="39"/>
  <c r="BI54" i="39"/>
  <c r="BJ54" i="39"/>
  <c r="BK54" i="39"/>
  <c r="BL54" i="39"/>
  <c r="BM54" i="39"/>
  <c r="BN54" i="39"/>
  <c r="BO54" i="39"/>
  <c r="BP54" i="39"/>
  <c r="P55" i="39"/>
  <c r="BA55" i="39"/>
  <c r="BB55" i="39"/>
  <c r="BD55" i="39" s="1"/>
  <c r="BS55" i="39" s="1" a="1"/>
  <c r="BE55" i="39"/>
  <c r="BF55" i="39"/>
  <c r="BG55" i="39"/>
  <c r="BH55" i="39"/>
  <c r="BI55" i="39"/>
  <c r="BJ55" i="39"/>
  <c r="BK55" i="39"/>
  <c r="BL55" i="39"/>
  <c r="BM55" i="39"/>
  <c r="BN55" i="39"/>
  <c r="BO55" i="39"/>
  <c r="BP55" i="39"/>
  <c r="P56" i="39"/>
  <c r="BA56" i="39"/>
  <c r="BB56" i="39"/>
  <c r="BD56" i="39" s="1"/>
  <c r="BS56" i="39" s="1" a="1"/>
  <c r="BE56" i="39"/>
  <c r="BF56" i="39"/>
  <c r="BG56" i="39"/>
  <c r="BH56" i="39"/>
  <c r="BI56" i="39"/>
  <c r="BJ56" i="39"/>
  <c r="BK56" i="39"/>
  <c r="BL56" i="39"/>
  <c r="BM56" i="39"/>
  <c r="BN56" i="39"/>
  <c r="BO56" i="39"/>
  <c r="BP56" i="39"/>
  <c r="P57" i="39"/>
  <c r="BA57" i="39"/>
  <c r="BB57" i="39"/>
  <c r="BD57" i="39" s="1"/>
  <c r="BS57" i="39" s="1" a="1"/>
  <c r="BE57" i="39"/>
  <c r="BF57" i="39"/>
  <c r="BG57" i="39"/>
  <c r="BH57" i="39"/>
  <c r="BI57" i="39"/>
  <c r="BJ57" i="39"/>
  <c r="BK57" i="39"/>
  <c r="BL57" i="39"/>
  <c r="BM57" i="39"/>
  <c r="BN57" i="39"/>
  <c r="BO57" i="39"/>
  <c r="BP57" i="39"/>
  <c r="P58" i="39"/>
  <c r="BA58" i="39"/>
  <c r="BB58" i="39"/>
  <c r="BD58" i="39" s="1"/>
  <c r="BS58" i="39" s="1" a="1"/>
  <c r="BE58" i="39"/>
  <c r="BF58" i="39"/>
  <c r="BG58" i="39"/>
  <c r="BH58" i="39"/>
  <c r="BI58" i="39"/>
  <c r="BJ58" i="39"/>
  <c r="BK58" i="39"/>
  <c r="BL58" i="39"/>
  <c r="BM58" i="39"/>
  <c r="BN58" i="39"/>
  <c r="BO58" i="39"/>
  <c r="BP58" i="39"/>
  <c r="P59" i="39"/>
  <c r="BA59" i="39"/>
  <c r="BB59" i="39"/>
  <c r="BD59" i="39" s="1"/>
  <c r="BS59" i="39" s="1" a="1"/>
  <c r="BE59" i="39"/>
  <c r="BF59" i="39"/>
  <c r="BG59" i="39"/>
  <c r="BH59" i="39"/>
  <c r="BI59" i="39"/>
  <c r="BJ59" i="39"/>
  <c r="BK59" i="39"/>
  <c r="BL59" i="39"/>
  <c r="BM59" i="39"/>
  <c r="BN59" i="39"/>
  <c r="BO59" i="39"/>
  <c r="BP59" i="39"/>
  <c r="I95" i="22"/>
  <c r="F446" i="22"/>
  <c r="F447" i="22"/>
  <c r="F448" i="22"/>
  <c r="F449" i="22"/>
  <c r="F450" i="22"/>
  <c r="F451" i="22"/>
  <c r="F452" i="22"/>
  <c r="F453" i="22"/>
  <c r="F454" i="22"/>
  <c r="F455" i="22"/>
  <c r="M7156" i="56"/>
  <c r="G57" i="51"/>
  <c r="G58" i="51" s="1"/>
  <c r="G62" i="51"/>
  <c r="G61" i="51"/>
  <c r="G63" i="51" s="1"/>
  <c r="G41" i="51"/>
  <c r="G40" i="51"/>
  <c r="A47" i="51"/>
  <c r="G68" i="51"/>
  <c r="G69" i="51"/>
  <c r="G83" i="51"/>
  <c r="G82" i="51"/>
  <c r="F395" i="22" a="1"/>
  <c r="D18" i="38"/>
  <c r="BD18" i="38" s="1"/>
  <c r="BD19" i="38"/>
  <c r="BD20" i="38"/>
  <c r="BD21" i="38"/>
  <c r="BD22" i="38"/>
  <c r="BD23" i="38"/>
  <c r="BD24" i="38"/>
  <c r="BD25" i="38"/>
  <c r="BD26" i="38"/>
  <c r="BD27" i="38"/>
  <c r="BD28" i="38"/>
  <c r="BD29" i="38"/>
  <c r="BD30" i="38"/>
  <c r="BD31" i="38"/>
  <c r="BD32" i="38"/>
  <c r="BD33" i="38"/>
  <c r="BD34" i="38"/>
  <c r="BD35" i="38"/>
  <c r="BD36" i="38"/>
  <c r="BD37" i="38"/>
  <c r="BD38" i="38"/>
  <c r="BD39" i="38"/>
  <c r="BD40" i="38"/>
  <c r="BD41" i="38"/>
  <c r="BD42" i="38"/>
  <c r="BD43" i="38"/>
  <c r="BD44" i="38"/>
  <c r="BD45" i="38"/>
  <c r="BD46" i="38"/>
  <c r="BD47" i="38"/>
  <c r="BD48" i="38"/>
  <c r="BD49" i="38"/>
  <c r="BD50" i="38"/>
  <c r="BD51" i="38"/>
  <c r="BD52" i="38"/>
  <c r="BD53" i="38"/>
  <c r="BD54" i="38"/>
  <c r="BD55" i="38"/>
  <c r="BD56" i="38"/>
  <c r="BD57" i="38"/>
  <c r="BD58" i="38"/>
  <c r="BD59" i="38"/>
  <c r="BD60" i="38"/>
  <c r="BD61" i="38"/>
  <c r="BD62" i="38"/>
  <c r="BD63" i="38"/>
  <c r="BD64" i="38"/>
  <c r="BD65" i="38"/>
  <c r="BD66" i="38"/>
  <c r="BD67" i="38"/>
  <c r="BD68" i="38"/>
  <c r="BD69" i="38"/>
  <c r="BD70" i="38"/>
  <c r="BD71" i="38"/>
  <c r="BD72" i="38"/>
  <c r="BD73" i="38"/>
  <c r="BD74" i="38"/>
  <c r="BD75" i="38"/>
  <c r="BD76" i="38"/>
  <c r="BD77" i="38"/>
  <c r="BD78" i="38"/>
  <c r="BD79" i="38"/>
  <c r="BD80" i="38"/>
  <c r="BD81" i="38"/>
  <c r="BD82" i="38"/>
  <c r="BD83" i="38"/>
  <c r="BD84" i="38"/>
  <c r="BD85" i="38"/>
  <c r="BD86" i="38"/>
  <c r="BD87" i="38"/>
  <c r="BD88" i="38"/>
  <c r="BD89" i="38"/>
  <c r="BD90" i="38"/>
  <c r="BD91" i="38"/>
  <c r="BD92" i="38"/>
  <c r="BD93" i="38"/>
  <c r="BD94" i="38"/>
  <c r="BD95" i="38"/>
  <c r="BD96" i="38"/>
  <c r="BD97" i="38"/>
  <c r="BD98" i="38"/>
  <c r="BD99" i="38"/>
  <c r="BD100" i="38"/>
  <c r="BD101" i="38"/>
  <c r="BD102" i="38"/>
  <c r="BD103" i="38"/>
  <c r="BD105" i="38"/>
  <c r="BD106" i="38"/>
  <c r="BD107" i="38"/>
  <c r="BD108" i="38"/>
  <c r="BD109" i="38"/>
  <c r="BD110" i="38"/>
  <c r="BD111" i="38"/>
  <c r="BD112" i="38"/>
  <c r="BD113" i="38"/>
  <c r="BD114" i="38"/>
  <c r="BD115" i="38"/>
  <c r="BD116" i="38"/>
  <c r="BG40" i="38"/>
  <c r="BG41" i="38"/>
  <c r="BG42" i="38"/>
  <c r="BG43" i="38"/>
  <c r="BG44" i="38"/>
  <c r="BG45" i="38"/>
  <c r="BG46" i="38"/>
  <c r="BG47" i="38"/>
  <c r="BG48" i="38"/>
  <c r="BG49" i="38"/>
  <c r="BG50" i="38"/>
  <c r="BG51" i="38"/>
  <c r="BG52" i="38"/>
  <c r="BG53" i="38"/>
  <c r="BG54" i="38"/>
  <c r="BG55" i="38"/>
  <c r="BG56" i="38"/>
  <c r="BG57" i="38"/>
  <c r="BG58" i="38"/>
  <c r="BG59" i="38"/>
  <c r="BG60" i="38"/>
  <c r="BG61" i="38"/>
  <c r="BG62" i="38"/>
  <c r="BG63" i="38"/>
  <c r="BG64" i="38"/>
  <c r="BG65" i="38"/>
  <c r="BG66" i="38"/>
  <c r="BG67" i="38"/>
  <c r="BG68" i="38"/>
  <c r="BG69" i="38"/>
  <c r="BG70" i="38"/>
  <c r="BG71" i="38"/>
  <c r="BG72" i="38"/>
  <c r="BG73" i="38"/>
  <c r="BG74" i="38"/>
  <c r="BG75" i="38"/>
  <c r="BG76" i="38"/>
  <c r="BG77" i="38"/>
  <c r="BG78" i="38"/>
  <c r="BG79" i="38"/>
  <c r="BG80" i="38"/>
  <c r="BG81" i="38"/>
  <c r="BG82" i="38"/>
  <c r="BG83" i="38"/>
  <c r="BG84" i="38"/>
  <c r="BG85" i="38"/>
  <c r="BG86" i="38"/>
  <c r="BG87" i="38"/>
  <c r="BG88" i="38"/>
  <c r="BG89" i="38"/>
  <c r="BG90" i="38"/>
  <c r="BG91" i="38"/>
  <c r="BG92" i="38"/>
  <c r="BG93" i="38"/>
  <c r="BG94" i="38"/>
  <c r="BG95" i="38"/>
  <c r="BG96" i="38"/>
  <c r="BG97" i="38"/>
  <c r="BG98" i="38"/>
  <c r="BG99" i="38"/>
  <c r="BG100" i="38"/>
  <c r="BG101" i="38"/>
  <c r="BG102" i="38"/>
  <c r="BG103" i="38"/>
  <c r="BG104" i="38"/>
  <c r="BG105" i="38"/>
  <c r="BG106" i="38"/>
  <c r="BG107" i="38"/>
  <c r="BG108" i="38"/>
  <c r="BG109" i="38"/>
  <c r="BG110" i="38"/>
  <c r="BG111" i="38"/>
  <c r="BG112" i="38"/>
  <c r="BG113" i="38"/>
  <c r="BG114" i="38"/>
  <c r="BG115" i="38"/>
  <c r="BG116" i="38"/>
  <c r="BG117" i="38"/>
  <c r="BH12" i="38"/>
  <c r="G17" i="38"/>
  <c r="M7996" i="56"/>
  <c r="M7986" i="56"/>
  <c r="M7976" i="56"/>
  <c r="M7966" i="56"/>
  <c r="M7956" i="56"/>
  <c r="M7946" i="56"/>
  <c r="M7936" i="56"/>
  <c r="M7926" i="56"/>
  <c r="M7916" i="56"/>
  <c r="M7906" i="56"/>
  <c r="M7896" i="56"/>
  <c r="M7886" i="56"/>
  <c r="M7876" i="56"/>
  <c r="M7866" i="56"/>
  <c r="M7856" i="56"/>
  <c r="M7846" i="56"/>
  <c r="M7836" i="56"/>
  <c r="M7826" i="56"/>
  <c r="M7816" i="56"/>
  <c r="M7806" i="56"/>
  <c r="M7796" i="56"/>
  <c r="M7786" i="56"/>
  <c r="M7776" i="56"/>
  <c r="M7766" i="56"/>
  <c r="M7756" i="56"/>
  <c r="M7746" i="56"/>
  <c r="M7736" i="56"/>
  <c r="M7726" i="56"/>
  <c r="M7716" i="56"/>
  <c r="M7706" i="56"/>
  <c r="M7696" i="56"/>
  <c r="M7686" i="56"/>
  <c r="M7676" i="56"/>
  <c r="M7666" i="56"/>
  <c r="M7656" i="56"/>
  <c r="M7646" i="56"/>
  <c r="M7636" i="56"/>
  <c r="M7626" i="56"/>
  <c r="M7616" i="56"/>
  <c r="M7606" i="56"/>
  <c r="M7596" i="56"/>
  <c r="M7586" i="56"/>
  <c r="M7576" i="56"/>
  <c r="M7566" i="56"/>
  <c r="M7556" i="56"/>
  <c r="M7546" i="56"/>
  <c r="M7536" i="56"/>
  <c r="M7526" i="56"/>
  <c r="M7516" i="56"/>
  <c r="M7506" i="56"/>
  <c r="M7496" i="56"/>
  <c r="M7486" i="56"/>
  <c r="M7476" i="56"/>
  <c r="M7466" i="56"/>
  <c r="M7456" i="56"/>
  <c r="M7446" i="56"/>
  <c r="M7436" i="56"/>
  <c r="M7426" i="56"/>
  <c r="M7416" i="56"/>
  <c r="M7406" i="56"/>
  <c r="M7396" i="56"/>
  <c r="M7386" i="56"/>
  <c r="M7376" i="56"/>
  <c r="M7366" i="56"/>
  <c r="M7356" i="56"/>
  <c r="M7346" i="56"/>
  <c r="M7336" i="56"/>
  <c r="M7326" i="56"/>
  <c r="M7316" i="56"/>
  <c r="M7306" i="56"/>
  <c r="M7296" i="56"/>
  <c r="M7286" i="56"/>
  <c r="M7276" i="56"/>
  <c r="M7266" i="56"/>
  <c r="M7256" i="56"/>
  <c r="M7246" i="56"/>
  <c r="M7236" i="56"/>
  <c r="M7226" i="56"/>
  <c r="M7216" i="56"/>
  <c r="M7206" i="56"/>
  <c r="M7196" i="56"/>
  <c r="M7186" i="56"/>
  <c r="M7176" i="56"/>
  <c r="M7166" i="56"/>
  <c r="M7146" i="56"/>
  <c r="M7136" i="56"/>
  <c r="M7126" i="56"/>
  <c r="M7116" i="56"/>
  <c r="M7106" i="56"/>
  <c r="M7096" i="56"/>
  <c r="M7086" i="56"/>
  <c r="M7076" i="56"/>
  <c r="M7066" i="56"/>
  <c r="M7056" i="56"/>
  <c r="M7046" i="56"/>
  <c r="M7036" i="56"/>
  <c r="M7026" i="56"/>
  <c r="M7016" i="56"/>
  <c r="M7006" i="56"/>
  <c r="M6996" i="56"/>
  <c r="M6986" i="56"/>
  <c r="M6976" i="56"/>
  <c r="M6966" i="56"/>
  <c r="M6956" i="56"/>
  <c r="M6946" i="56"/>
  <c r="M6936" i="56"/>
  <c r="M6926" i="56"/>
  <c r="M6916" i="56"/>
  <c r="M6906" i="56"/>
  <c r="M6896" i="56"/>
  <c r="M6886" i="56"/>
  <c r="M6876" i="56"/>
  <c r="M6866" i="56"/>
  <c r="M6856" i="56"/>
  <c r="M6846" i="56"/>
  <c r="M6836" i="56"/>
  <c r="M6826" i="56"/>
  <c r="M6816" i="56"/>
  <c r="M6806" i="56"/>
  <c r="M6796" i="56"/>
  <c r="M6786" i="56"/>
  <c r="M6776" i="56"/>
  <c r="M6766" i="56"/>
  <c r="M6756" i="56"/>
  <c r="M6746" i="56"/>
  <c r="M6736" i="56"/>
  <c r="M6726" i="56"/>
  <c r="M6716" i="56"/>
  <c r="M6706" i="56"/>
  <c r="M6696" i="56"/>
  <c r="M6686" i="56"/>
  <c r="M6676" i="56"/>
  <c r="M6666" i="56"/>
  <c r="M6656" i="56"/>
  <c r="M4" i="57" a="1"/>
  <c r="C27" i="57" s="1"/>
  <c r="G74" i="51"/>
  <c r="G123" i="51"/>
  <c r="G122" i="51"/>
  <c r="G124" i="51" s="1"/>
  <c r="G118" i="51"/>
  <c r="G117" i="51"/>
  <c r="G119" i="51" s="1"/>
  <c r="G154" i="51"/>
  <c r="G153" i="51"/>
  <c r="G156" i="51"/>
  <c r="A156" i="51" s="1"/>
  <c r="G110" i="51"/>
  <c r="G111" i="51"/>
  <c r="G112" i="51"/>
  <c r="G113" i="51"/>
  <c r="G109" i="51"/>
  <c r="G114" i="51" s="1"/>
  <c r="G103" i="51"/>
  <c r="G104" i="51"/>
  <c r="G102" i="51"/>
  <c r="G101" i="51"/>
  <c r="G105" i="51" s="1"/>
  <c r="G78" i="51"/>
  <c r="G79" i="51" s="1"/>
  <c r="G76" i="51" s="1"/>
  <c r="A76" i="51" s="1"/>
  <c r="G90" i="51"/>
  <c r="G89" i="51"/>
  <c r="G91" i="51" s="1"/>
  <c r="G73" i="51"/>
  <c r="G142" i="51"/>
  <c r="G143" i="51" s="1"/>
  <c r="G140" i="51" s="1"/>
  <c r="A140" i="51" s="1"/>
  <c r="BI40" i="38"/>
  <c r="BJ40" i="38"/>
  <c r="BK40" i="38"/>
  <c r="BL40" i="38"/>
  <c r="BN40" i="38"/>
  <c r="BO40" i="38"/>
  <c r="BP40" i="38"/>
  <c r="BQ40" i="38"/>
  <c r="BS40" i="38"/>
  <c r="BH41" i="38"/>
  <c r="BI41" i="38"/>
  <c r="BJ41" i="38"/>
  <c r="BK41" i="38"/>
  <c r="BL41" i="38"/>
  <c r="BM41" i="38"/>
  <c r="BN41" i="38"/>
  <c r="BO41" i="38"/>
  <c r="BP41" i="38"/>
  <c r="BQ41" i="38"/>
  <c r="BR41" i="38"/>
  <c r="BS41" i="38"/>
  <c r="BH42" i="38"/>
  <c r="BI42" i="38"/>
  <c r="BJ42" i="38"/>
  <c r="BK42" i="38"/>
  <c r="BL42" i="38"/>
  <c r="BM42" i="38"/>
  <c r="BN42" i="38"/>
  <c r="BO42" i="38"/>
  <c r="BP42" i="38"/>
  <c r="BQ42" i="38"/>
  <c r="BR42" i="38"/>
  <c r="BS42" i="38"/>
  <c r="BH43" i="38"/>
  <c r="BI43" i="38"/>
  <c r="BJ43" i="38"/>
  <c r="BK43" i="38"/>
  <c r="BL43" i="38"/>
  <c r="BM43" i="38"/>
  <c r="BN43" i="38"/>
  <c r="BO43" i="38"/>
  <c r="BP43" i="38"/>
  <c r="BQ43" i="38"/>
  <c r="BR43" i="38"/>
  <c r="BS43" i="38"/>
  <c r="BH44" i="38"/>
  <c r="BI44" i="38"/>
  <c r="BJ44" i="38"/>
  <c r="BK44" i="38"/>
  <c r="BL44" i="38"/>
  <c r="BM44" i="38"/>
  <c r="BN44" i="38"/>
  <c r="BO44" i="38"/>
  <c r="BP44" i="38"/>
  <c r="BQ44" i="38"/>
  <c r="BR44" i="38"/>
  <c r="BS44" i="38"/>
  <c r="BH45" i="38"/>
  <c r="BI45" i="38"/>
  <c r="BJ45" i="38"/>
  <c r="BK45" i="38"/>
  <c r="BL45" i="38"/>
  <c r="BM45" i="38"/>
  <c r="BN45" i="38"/>
  <c r="BO45" i="38"/>
  <c r="BP45" i="38"/>
  <c r="BQ45" i="38"/>
  <c r="BR45" i="38"/>
  <c r="BS45" i="38"/>
  <c r="BH46" i="38"/>
  <c r="BI46" i="38"/>
  <c r="BJ46" i="38"/>
  <c r="BK46" i="38"/>
  <c r="BL46" i="38"/>
  <c r="BM46" i="38"/>
  <c r="BN46" i="38"/>
  <c r="BO46" i="38"/>
  <c r="BP46" i="38"/>
  <c r="BQ46" i="38"/>
  <c r="BR46" i="38"/>
  <c r="BS46" i="38"/>
  <c r="BH47" i="38"/>
  <c r="BI47" i="38"/>
  <c r="BJ47" i="38"/>
  <c r="BK47" i="38"/>
  <c r="BL47" i="38"/>
  <c r="BM47" i="38"/>
  <c r="BN47" i="38"/>
  <c r="BO47" i="38"/>
  <c r="BP47" i="38"/>
  <c r="BQ47" i="38"/>
  <c r="BR47" i="38"/>
  <c r="BS47" i="38"/>
  <c r="BH48" i="38"/>
  <c r="BI48" i="38"/>
  <c r="BJ48" i="38"/>
  <c r="BK48" i="38"/>
  <c r="BL48" i="38"/>
  <c r="BM48" i="38"/>
  <c r="BN48" i="38"/>
  <c r="BO48" i="38"/>
  <c r="BP48" i="38"/>
  <c r="BQ48" i="38"/>
  <c r="BR48" i="38"/>
  <c r="BS48" i="38"/>
  <c r="BH49" i="38"/>
  <c r="BI49" i="38"/>
  <c r="BJ49" i="38"/>
  <c r="BK49" i="38"/>
  <c r="BL49" i="38"/>
  <c r="BM49" i="38"/>
  <c r="BN49" i="38"/>
  <c r="BO49" i="38"/>
  <c r="BP49" i="38"/>
  <c r="BQ49" i="38"/>
  <c r="BR49" i="38"/>
  <c r="BS49" i="38"/>
  <c r="BH50" i="38"/>
  <c r="BI50" i="38"/>
  <c r="BJ50" i="38"/>
  <c r="BK50" i="38"/>
  <c r="BL50" i="38"/>
  <c r="BM50" i="38"/>
  <c r="BN50" i="38"/>
  <c r="BO50" i="38"/>
  <c r="BP50" i="38"/>
  <c r="BQ50" i="38"/>
  <c r="BR50" i="38"/>
  <c r="BS50" i="38"/>
  <c r="BH51" i="38"/>
  <c r="BI51" i="38"/>
  <c r="BJ51" i="38"/>
  <c r="BK51" i="38"/>
  <c r="BL51" i="38"/>
  <c r="BM51" i="38"/>
  <c r="BN51" i="38"/>
  <c r="BO51" i="38"/>
  <c r="BP51" i="38"/>
  <c r="BQ51" i="38"/>
  <c r="BR51" i="38"/>
  <c r="BS51" i="38"/>
  <c r="BH52" i="38"/>
  <c r="BI52" i="38"/>
  <c r="BJ52" i="38"/>
  <c r="BK52" i="38"/>
  <c r="BL52" i="38"/>
  <c r="BM52" i="38"/>
  <c r="BN52" i="38"/>
  <c r="BO52" i="38"/>
  <c r="BP52" i="38"/>
  <c r="BQ52" i="38"/>
  <c r="BR52" i="38"/>
  <c r="BS52" i="38"/>
  <c r="BH53" i="38"/>
  <c r="BI53" i="38"/>
  <c r="BJ53" i="38"/>
  <c r="BK53" i="38"/>
  <c r="BL53" i="38"/>
  <c r="BM53" i="38"/>
  <c r="BN53" i="38"/>
  <c r="BO53" i="38"/>
  <c r="BP53" i="38"/>
  <c r="BQ53" i="38"/>
  <c r="BR53" i="38"/>
  <c r="BS53" i="38"/>
  <c r="BH54" i="38"/>
  <c r="BI54" i="38"/>
  <c r="BJ54" i="38"/>
  <c r="BK54" i="38"/>
  <c r="BL54" i="38"/>
  <c r="BM54" i="38"/>
  <c r="BN54" i="38"/>
  <c r="BO54" i="38"/>
  <c r="BP54" i="38"/>
  <c r="BQ54" i="38"/>
  <c r="BR54" i="38"/>
  <c r="BS54" i="38"/>
  <c r="BH55" i="38"/>
  <c r="BI55" i="38"/>
  <c r="BJ55" i="38"/>
  <c r="BK55" i="38"/>
  <c r="BL55" i="38"/>
  <c r="BM55" i="38"/>
  <c r="BN55" i="38"/>
  <c r="BO55" i="38"/>
  <c r="BP55" i="38"/>
  <c r="BQ55" i="38"/>
  <c r="BR55" i="38"/>
  <c r="BS55" i="38"/>
  <c r="BH56" i="38"/>
  <c r="BI56" i="38"/>
  <c r="BJ56" i="38"/>
  <c r="BK56" i="38"/>
  <c r="BL56" i="38"/>
  <c r="BM56" i="38"/>
  <c r="BN56" i="38"/>
  <c r="BO56" i="38"/>
  <c r="BP56" i="38"/>
  <c r="BQ56" i="38"/>
  <c r="BR56" i="38"/>
  <c r="BS56" i="38"/>
  <c r="BH57" i="38"/>
  <c r="BI57" i="38"/>
  <c r="BJ57" i="38"/>
  <c r="BK57" i="38"/>
  <c r="BL57" i="38"/>
  <c r="BM57" i="38"/>
  <c r="BN57" i="38"/>
  <c r="BO57" i="38"/>
  <c r="BP57" i="38"/>
  <c r="BQ57" i="38"/>
  <c r="BR57" i="38"/>
  <c r="BS57" i="38"/>
  <c r="BH58" i="38"/>
  <c r="BI58" i="38"/>
  <c r="BJ58" i="38"/>
  <c r="BK58" i="38"/>
  <c r="BL58" i="38"/>
  <c r="BM58" i="38"/>
  <c r="BN58" i="38"/>
  <c r="BO58" i="38"/>
  <c r="BP58" i="38"/>
  <c r="BQ58" i="38"/>
  <c r="BR58" i="38"/>
  <c r="BS58" i="38"/>
  <c r="BH59" i="38"/>
  <c r="BI59" i="38"/>
  <c r="BJ59" i="38"/>
  <c r="BK59" i="38"/>
  <c r="BL59" i="38"/>
  <c r="BM59" i="38"/>
  <c r="BN59" i="38"/>
  <c r="BO59" i="38"/>
  <c r="BP59" i="38"/>
  <c r="BQ59" i="38"/>
  <c r="BR59" i="38"/>
  <c r="BS59" i="38"/>
  <c r="BH60" i="38"/>
  <c r="BI60" i="38"/>
  <c r="BJ60" i="38"/>
  <c r="BK60" i="38"/>
  <c r="BL60" i="38"/>
  <c r="BM60" i="38"/>
  <c r="BN60" i="38"/>
  <c r="BO60" i="38"/>
  <c r="BP60" i="38"/>
  <c r="BQ60" i="38"/>
  <c r="BR60" i="38"/>
  <c r="BS60" i="38"/>
  <c r="BH61" i="38"/>
  <c r="BI61" i="38"/>
  <c r="BJ61" i="38"/>
  <c r="BK61" i="38"/>
  <c r="BL61" i="38"/>
  <c r="BM61" i="38"/>
  <c r="BN61" i="38"/>
  <c r="BO61" i="38"/>
  <c r="BP61" i="38"/>
  <c r="BQ61" i="38"/>
  <c r="BR61" i="38"/>
  <c r="BS61" i="38"/>
  <c r="BH62" i="38"/>
  <c r="BI62" i="38"/>
  <c r="BJ62" i="38"/>
  <c r="BK62" i="38"/>
  <c r="BL62" i="38"/>
  <c r="BM62" i="38"/>
  <c r="BN62" i="38"/>
  <c r="BO62" i="38"/>
  <c r="BP62" i="38"/>
  <c r="BQ62" i="38"/>
  <c r="BR62" i="38"/>
  <c r="BS62" i="38"/>
  <c r="BH63" i="38"/>
  <c r="BI63" i="38"/>
  <c r="BJ63" i="38"/>
  <c r="BK63" i="38"/>
  <c r="BL63" i="38"/>
  <c r="BM63" i="38"/>
  <c r="BN63" i="38"/>
  <c r="BO63" i="38"/>
  <c r="BP63" i="38"/>
  <c r="BQ63" i="38"/>
  <c r="BR63" i="38"/>
  <c r="BS63" i="38"/>
  <c r="BH64" i="38"/>
  <c r="BI64" i="38"/>
  <c r="BJ64" i="38"/>
  <c r="BK64" i="38"/>
  <c r="BL64" i="38"/>
  <c r="BM64" i="38"/>
  <c r="BN64" i="38"/>
  <c r="BO64" i="38"/>
  <c r="BP64" i="38"/>
  <c r="BQ64" i="38"/>
  <c r="BR64" i="38"/>
  <c r="BS64" i="38"/>
  <c r="BH65" i="38"/>
  <c r="BI65" i="38"/>
  <c r="BJ65" i="38"/>
  <c r="BK65" i="38"/>
  <c r="BL65" i="38"/>
  <c r="BM65" i="38"/>
  <c r="BN65" i="38"/>
  <c r="BO65" i="38"/>
  <c r="BP65" i="38"/>
  <c r="BQ65" i="38"/>
  <c r="BR65" i="38"/>
  <c r="BS65" i="38"/>
  <c r="BH66" i="38"/>
  <c r="BI66" i="38"/>
  <c r="BJ66" i="38"/>
  <c r="BK66" i="38"/>
  <c r="BL66" i="38"/>
  <c r="BM66" i="38"/>
  <c r="BN66" i="38"/>
  <c r="BO66" i="38"/>
  <c r="BP66" i="38"/>
  <c r="BQ66" i="38"/>
  <c r="BR66" i="38"/>
  <c r="BS66" i="38"/>
  <c r="BH67" i="38"/>
  <c r="BI67" i="38"/>
  <c r="BJ67" i="38"/>
  <c r="BK67" i="38"/>
  <c r="BL67" i="38"/>
  <c r="BM67" i="38"/>
  <c r="BN67" i="38"/>
  <c r="BO67" i="38"/>
  <c r="BP67" i="38"/>
  <c r="BQ67" i="38"/>
  <c r="BR67" i="38"/>
  <c r="BS67" i="38"/>
  <c r="BH68" i="38"/>
  <c r="BI68" i="38"/>
  <c r="BJ68" i="38"/>
  <c r="BK68" i="38"/>
  <c r="BL68" i="38"/>
  <c r="BM68" i="38"/>
  <c r="BN68" i="38"/>
  <c r="BO68" i="38"/>
  <c r="BP68" i="38"/>
  <c r="BQ68" i="38"/>
  <c r="BR68" i="38"/>
  <c r="BS68" i="38"/>
  <c r="BH69" i="38"/>
  <c r="BI69" i="38"/>
  <c r="BJ69" i="38"/>
  <c r="BK69" i="38"/>
  <c r="BL69" i="38"/>
  <c r="BM69" i="38"/>
  <c r="BN69" i="38"/>
  <c r="BO69" i="38"/>
  <c r="BP69" i="38"/>
  <c r="BQ69" i="38"/>
  <c r="BR69" i="38"/>
  <c r="BS69" i="38"/>
  <c r="BH70" i="38"/>
  <c r="BI70" i="38"/>
  <c r="BJ70" i="38"/>
  <c r="BK70" i="38"/>
  <c r="BL70" i="38"/>
  <c r="BM70" i="38"/>
  <c r="BN70" i="38"/>
  <c r="BO70" i="38"/>
  <c r="BP70" i="38"/>
  <c r="BQ70" i="38"/>
  <c r="BR70" i="38"/>
  <c r="BS70" i="38"/>
  <c r="BH71" i="38"/>
  <c r="BI71" i="38"/>
  <c r="BJ71" i="38"/>
  <c r="BK71" i="38"/>
  <c r="BL71" i="38"/>
  <c r="BM71" i="38"/>
  <c r="BN71" i="38"/>
  <c r="BO71" i="38"/>
  <c r="BP71" i="38"/>
  <c r="BQ71" i="38"/>
  <c r="BR71" i="38"/>
  <c r="BS71" i="38"/>
  <c r="BH72" i="38"/>
  <c r="BI72" i="38"/>
  <c r="BJ72" i="38"/>
  <c r="BK72" i="38"/>
  <c r="BL72" i="38"/>
  <c r="BM72" i="38"/>
  <c r="BN72" i="38"/>
  <c r="BO72" i="38"/>
  <c r="BP72" i="38"/>
  <c r="BQ72" i="38"/>
  <c r="BR72" i="38"/>
  <c r="BS72" i="38"/>
  <c r="BH73" i="38"/>
  <c r="BI73" i="38"/>
  <c r="BJ73" i="38"/>
  <c r="BK73" i="38"/>
  <c r="BL73" i="38"/>
  <c r="BM73" i="38"/>
  <c r="BN73" i="38"/>
  <c r="BO73" i="38"/>
  <c r="BP73" i="38"/>
  <c r="BQ73" i="38"/>
  <c r="BR73" i="38"/>
  <c r="BS73" i="38"/>
  <c r="BH74" i="38"/>
  <c r="BI74" i="38"/>
  <c r="BJ74" i="38"/>
  <c r="BK74" i="38"/>
  <c r="BL74" i="38"/>
  <c r="BM74" i="38"/>
  <c r="BN74" i="38"/>
  <c r="BO74" i="38"/>
  <c r="BP74" i="38"/>
  <c r="BQ74" i="38"/>
  <c r="BR74" i="38"/>
  <c r="BS74" i="38"/>
  <c r="BH75" i="38"/>
  <c r="BI75" i="38"/>
  <c r="BJ75" i="38"/>
  <c r="BK75" i="38"/>
  <c r="BL75" i="38"/>
  <c r="BM75" i="38"/>
  <c r="BN75" i="38"/>
  <c r="BO75" i="38"/>
  <c r="BP75" i="38"/>
  <c r="BQ75" i="38"/>
  <c r="BR75" i="38"/>
  <c r="BS75" i="38"/>
  <c r="BH76" i="38"/>
  <c r="BI76" i="38"/>
  <c r="BJ76" i="38"/>
  <c r="BK76" i="38"/>
  <c r="BL76" i="38"/>
  <c r="BM76" i="38"/>
  <c r="BN76" i="38"/>
  <c r="BO76" i="38"/>
  <c r="BP76" i="38"/>
  <c r="BQ76" i="38"/>
  <c r="BR76" i="38"/>
  <c r="BS76" i="38"/>
  <c r="BH77" i="38"/>
  <c r="BI77" i="38"/>
  <c r="BJ77" i="38"/>
  <c r="BK77" i="38"/>
  <c r="BL77" i="38"/>
  <c r="BM77" i="38"/>
  <c r="BN77" i="38"/>
  <c r="BO77" i="38"/>
  <c r="BP77" i="38"/>
  <c r="BQ77" i="38"/>
  <c r="BR77" i="38"/>
  <c r="BS77" i="38"/>
  <c r="BH78" i="38"/>
  <c r="BI78" i="38"/>
  <c r="BJ78" i="38"/>
  <c r="BK78" i="38"/>
  <c r="BL78" i="38"/>
  <c r="BM78" i="38"/>
  <c r="BN78" i="38"/>
  <c r="BO78" i="38"/>
  <c r="BP78" i="38"/>
  <c r="BQ78" i="38"/>
  <c r="BR78" i="38"/>
  <c r="BS78" i="38"/>
  <c r="BH79" i="38"/>
  <c r="BI79" i="38"/>
  <c r="BJ79" i="38"/>
  <c r="BK79" i="38"/>
  <c r="BL79" i="38"/>
  <c r="BM79" i="38"/>
  <c r="BN79" i="38"/>
  <c r="BO79" i="38"/>
  <c r="BP79" i="38"/>
  <c r="BQ79" i="38"/>
  <c r="BR79" i="38"/>
  <c r="BS79" i="38"/>
  <c r="BH80" i="38"/>
  <c r="BI80" i="38"/>
  <c r="BJ80" i="38"/>
  <c r="BK80" i="38"/>
  <c r="BL80" i="38"/>
  <c r="BM80" i="38"/>
  <c r="BN80" i="38"/>
  <c r="BO80" i="38"/>
  <c r="BP80" i="38"/>
  <c r="BQ80" i="38"/>
  <c r="BR80" i="38"/>
  <c r="BS80" i="38"/>
  <c r="BH81" i="38"/>
  <c r="BI81" i="38"/>
  <c r="BJ81" i="38"/>
  <c r="BK81" i="38"/>
  <c r="BL81" i="38"/>
  <c r="BM81" i="38"/>
  <c r="BN81" i="38"/>
  <c r="BO81" i="38"/>
  <c r="BP81" i="38"/>
  <c r="BQ81" i="38"/>
  <c r="BR81" i="38"/>
  <c r="BS81" i="38"/>
  <c r="BH82" i="38"/>
  <c r="BI82" i="38"/>
  <c r="BJ82" i="38"/>
  <c r="BK82" i="38"/>
  <c r="BL82" i="38"/>
  <c r="BM82" i="38"/>
  <c r="BN82" i="38"/>
  <c r="BO82" i="38"/>
  <c r="BP82" i="38"/>
  <c r="BQ82" i="38"/>
  <c r="BR82" i="38"/>
  <c r="BS82" i="38"/>
  <c r="BH83" i="38"/>
  <c r="BI83" i="38"/>
  <c r="BJ83" i="38"/>
  <c r="BK83" i="38"/>
  <c r="BL83" i="38"/>
  <c r="BM83" i="38"/>
  <c r="BN83" i="38"/>
  <c r="BO83" i="38"/>
  <c r="BP83" i="38"/>
  <c r="BQ83" i="38"/>
  <c r="BR83" i="38"/>
  <c r="BS83" i="38"/>
  <c r="BH84" i="38"/>
  <c r="BI84" i="38"/>
  <c r="BJ84" i="38"/>
  <c r="BK84" i="38"/>
  <c r="BL84" i="38"/>
  <c r="BM84" i="38"/>
  <c r="BN84" i="38"/>
  <c r="BO84" i="38"/>
  <c r="BP84" i="38"/>
  <c r="BQ84" i="38"/>
  <c r="BR84" i="38"/>
  <c r="BS84" i="38"/>
  <c r="BH85" i="38"/>
  <c r="BI85" i="38"/>
  <c r="BJ85" i="38"/>
  <c r="BK85" i="38"/>
  <c r="BL85" i="38"/>
  <c r="BM85" i="38"/>
  <c r="BN85" i="38"/>
  <c r="BO85" i="38"/>
  <c r="BP85" i="38"/>
  <c r="BQ85" i="38"/>
  <c r="BR85" i="38"/>
  <c r="BS85" i="38"/>
  <c r="BH86" i="38"/>
  <c r="BI86" i="38"/>
  <c r="BJ86" i="38"/>
  <c r="BK86" i="38"/>
  <c r="BL86" i="38"/>
  <c r="BM86" i="38"/>
  <c r="BN86" i="38"/>
  <c r="BO86" i="38"/>
  <c r="BP86" i="38"/>
  <c r="BQ86" i="38"/>
  <c r="BR86" i="38"/>
  <c r="BS86" i="38"/>
  <c r="BH87" i="38"/>
  <c r="BI87" i="38"/>
  <c r="BJ87" i="38"/>
  <c r="BK87" i="38"/>
  <c r="BL87" i="38"/>
  <c r="BM87" i="38"/>
  <c r="BN87" i="38"/>
  <c r="BO87" i="38"/>
  <c r="BP87" i="38"/>
  <c r="BQ87" i="38"/>
  <c r="BR87" i="38"/>
  <c r="BS87" i="38"/>
  <c r="BH88" i="38"/>
  <c r="BI88" i="38"/>
  <c r="BJ88" i="38"/>
  <c r="BK88" i="38"/>
  <c r="BL88" i="38"/>
  <c r="BM88" i="38"/>
  <c r="BN88" i="38"/>
  <c r="BO88" i="38"/>
  <c r="BP88" i="38"/>
  <c r="BQ88" i="38"/>
  <c r="BR88" i="38"/>
  <c r="BS88" i="38"/>
  <c r="BH89" i="38"/>
  <c r="BI89" i="38"/>
  <c r="BJ89" i="38"/>
  <c r="BK89" i="38"/>
  <c r="BL89" i="38"/>
  <c r="BM89" i="38"/>
  <c r="BN89" i="38"/>
  <c r="BO89" i="38"/>
  <c r="BP89" i="38"/>
  <c r="BQ89" i="38"/>
  <c r="BR89" i="38"/>
  <c r="BS89" i="38"/>
  <c r="BH90" i="38"/>
  <c r="BI90" i="38"/>
  <c r="BJ90" i="38"/>
  <c r="BK90" i="38"/>
  <c r="BL90" i="38"/>
  <c r="BM90" i="38"/>
  <c r="BN90" i="38"/>
  <c r="BO90" i="38"/>
  <c r="BP90" i="38"/>
  <c r="BQ90" i="38"/>
  <c r="BR90" i="38"/>
  <c r="BS90" i="38"/>
  <c r="BH91" i="38"/>
  <c r="BI91" i="38"/>
  <c r="BJ91" i="38"/>
  <c r="BK91" i="38"/>
  <c r="BL91" i="38"/>
  <c r="BM91" i="38"/>
  <c r="BN91" i="38"/>
  <c r="BO91" i="38"/>
  <c r="BP91" i="38"/>
  <c r="BQ91" i="38"/>
  <c r="BR91" i="38"/>
  <c r="BS91" i="38"/>
  <c r="BH92" i="38"/>
  <c r="BI92" i="38"/>
  <c r="BJ92" i="38"/>
  <c r="BK92" i="38"/>
  <c r="BL92" i="38"/>
  <c r="BM92" i="38"/>
  <c r="BN92" i="38"/>
  <c r="BO92" i="38"/>
  <c r="BP92" i="38"/>
  <c r="BQ92" i="38"/>
  <c r="BR92" i="38"/>
  <c r="BS92" i="38"/>
  <c r="BH93" i="38"/>
  <c r="BI93" i="38"/>
  <c r="BJ93" i="38"/>
  <c r="BK93" i="38"/>
  <c r="BL93" i="38"/>
  <c r="BM93" i="38"/>
  <c r="BN93" i="38"/>
  <c r="BO93" i="38"/>
  <c r="BP93" i="38"/>
  <c r="BQ93" i="38"/>
  <c r="BR93" i="38"/>
  <c r="BS93" i="38"/>
  <c r="BH94" i="38"/>
  <c r="BI94" i="38"/>
  <c r="BJ94" i="38"/>
  <c r="BK94" i="38"/>
  <c r="BL94" i="38"/>
  <c r="BM94" i="38"/>
  <c r="BN94" i="38"/>
  <c r="BO94" i="38"/>
  <c r="BP94" i="38"/>
  <c r="BQ94" i="38"/>
  <c r="BR94" i="38"/>
  <c r="BS94" i="38"/>
  <c r="BH95" i="38"/>
  <c r="BI95" i="38"/>
  <c r="BJ95" i="38"/>
  <c r="BK95" i="38"/>
  <c r="BL95" i="38"/>
  <c r="BM95" i="38"/>
  <c r="BN95" i="38"/>
  <c r="BO95" i="38"/>
  <c r="BP95" i="38"/>
  <c r="BQ95" i="38"/>
  <c r="BR95" i="38"/>
  <c r="BS95" i="38"/>
  <c r="BH96" i="38"/>
  <c r="BI96" i="38"/>
  <c r="BJ96" i="38"/>
  <c r="BK96" i="38"/>
  <c r="BL96" i="38"/>
  <c r="BM96" i="38"/>
  <c r="BN96" i="38"/>
  <c r="BO96" i="38"/>
  <c r="BP96" i="38"/>
  <c r="BQ96" i="38"/>
  <c r="BR96" i="38"/>
  <c r="BS96" i="38"/>
  <c r="BH97" i="38"/>
  <c r="BI97" i="38"/>
  <c r="BJ97" i="38"/>
  <c r="BK97" i="38"/>
  <c r="BL97" i="38"/>
  <c r="BM97" i="38"/>
  <c r="BN97" i="38"/>
  <c r="BO97" i="38"/>
  <c r="BP97" i="38"/>
  <c r="BQ97" i="38"/>
  <c r="BR97" i="38"/>
  <c r="BS97" i="38"/>
  <c r="BH98" i="38"/>
  <c r="BI98" i="38"/>
  <c r="BJ98" i="38"/>
  <c r="BK98" i="38"/>
  <c r="BL98" i="38"/>
  <c r="BM98" i="38"/>
  <c r="BN98" i="38"/>
  <c r="BO98" i="38"/>
  <c r="BP98" i="38"/>
  <c r="BQ98" i="38"/>
  <c r="BR98" i="38"/>
  <c r="BS98" i="38"/>
  <c r="BH99" i="38"/>
  <c r="BI99" i="38"/>
  <c r="BJ99" i="38"/>
  <c r="BK99" i="38"/>
  <c r="BL99" i="38"/>
  <c r="BM99" i="38"/>
  <c r="BN99" i="38"/>
  <c r="BO99" i="38"/>
  <c r="BP99" i="38"/>
  <c r="BQ99" i="38"/>
  <c r="BR99" i="38"/>
  <c r="BS99" i="38"/>
  <c r="BH100" i="38"/>
  <c r="BI100" i="38"/>
  <c r="BJ100" i="38"/>
  <c r="BK100" i="38"/>
  <c r="BL100" i="38"/>
  <c r="BM100" i="38"/>
  <c r="BN100" i="38"/>
  <c r="BO100" i="38"/>
  <c r="BP100" i="38"/>
  <c r="BQ100" i="38"/>
  <c r="BR100" i="38"/>
  <c r="BS100" i="38"/>
  <c r="BH101" i="38"/>
  <c r="BI101" i="38"/>
  <c r="BJ101" i="38"/>
  <c r="BK101" i="38"/>
  <c r="BL101" i="38"/>
  <c r="BM101" i="38"/>
  <c r="BN101" i="38"/>
  <c r="BO101" i="38"/>
  <c r="BP101" i="38"/>
  <c r="BQ101" i="38"/>
  <c r="BR101" i="38"/>
  <c r="BS101" i="38"/>
  <c r="BH102" i="38"/>
  <c r="BI102" i="38"/>
  <c r="BJ102" i="38"/>
  <c r="BK102" i="38"/>
  <c r="BL102" i="38"/>
  <c r="BM102" i="38"/>
  <c r="BN102" i="38"/>
  <c r="BO102" i="38"/>
  <c r="BP102" i="38"/>
  <c r="BQ102" i="38"/>
  <c r="BR102" i="38"/>
  <c r="BS102" i="38"/>
  <c r="BH103" i="38"/>
  <c r="BI103" i="38"/>
  <c r="BJ103" i="38"/>
  <c r="BK103" i="38"/>
  <c r="BL103" i="38"/>
  <c r="BM103" i="38"/>
  <c r="BN103" i="38"/>
  <c r="BO103" i="38"/>
  <c r="BP103" i="38"/>
  <c r="BQ103" i="38"/>
  <c r="BR103" i="38"/>
  <c r="BS103" i="38"/>
  <c r="BH104" i="38"/>
  <c r="BI104" i="38"/>
  <c r="BJ104" i="38"/>
  <c r="BK104" i="38"/>
  <c r="BL104" i="38"/>
  <c r="BM104" i="38"/>
  <c r="BN104" i="38"/>
  <c r="BO104" i="38"/>
  <c r="BP104" i="38"/>
  <c r="BQ104" i="38"/>
  <c r="BR104" i="38"/>
  <c r="BS104" i="38"/>
  <c r="BH105" i="38"/>
  <c r="BI105" i="38"/>
  <c r="BJ105" i="38"/>
  <c r="BK105" i="38"/>
  <c r="BL105" i="38"/>
  <c r="BM105" i="38"/>
  <c r="BN105" i="38"/>
  <c r="BO105" i="38"/>
  <c r="BP105" i="38"/>
  <c r="BQ105" i="38"/>
  <c r="BR105" i="38"/>
  <c r="BS105" i="38"/>
  <c r="BH106" i="38"/>
  <c r="BI106" i="38"/>
  <c r="BJ106" i="38"/>
  <c r="BK106" i="38"/>
  <c r="BL106" i="38"/>
  <c r="BM106" i="38"/>
  <c r="BN106" i="38"/>
  <c r="BO106" i="38"/>
  <c r="BP106" i="38"/>
  <c r="BQ106" i="38"/>
  <c r="BR106" i="38"/>
  <c r="BS106" i="38"/>
  <c r="BH107" i="38"/>
  <c r="BI107" i="38"/>
  <c r="BJ107" i="38"/>
  <c r="BK107" i="38"/>
  <c r="BL107" i="38"/>
  <c r="BM107" i="38"/>
  <c r="BN107" i="38"/>
  <c r="BO107" i="38"/>
  <c r="BP107" i="38"/>
  <c r="BQ107" i="38"/>
  <c r="BR107" i="38"/>
  <c r="BS107" i="38"/>
  <c r="BH108" i="38"/>
  <c r="BI108" i="38"/>
  <c r="BJ108" i="38"/>
  <c r="BK108" i="38"/>
  <c r="BL108" i="38"/>
  <c r="BM108" i="38"/>
  <c r="BN108" i="38"/>
  <c r="BO108" i="38"/>
  <c r="BP108" i="38"/>
  <c r="BQ108" i="38"/>
  <c r="BR108" i="38"/>
  <c r="BS108" i="38"/>
  <c r="BH109" i="38"/>
  <c r="BI109" i="38"/>
  <c r="BJ109" i="38"/>
  <c r="BK109" i="38"/>
  <c r="BL109" i="38"/>
  <c r="BM109" i="38"/>
  <c r="BN109" i="38"/>
  <c r="BO109" i="38"/>
  <c r="BP109" i="38"/>
  <c r="BQ109" i="38"/>
  <c r="BR109" i="38"/>
  <c r="BS109" i="38"/>
  <c r="BH110" i="38"/>
  <c r="BI110" i="38"/>
  <c r="BJ110" i="38"/>
  <c r="BK110" i="38"/>
  <c r="BL110" i="38"/>
  <c r="BM110" i="38"/>
  <c r="BN110" i="38"/>
  <c r="BO110" i="38"/>
  <c r="BP110" i="38"/>
  <c r="BQ110" i="38"/>
  <c r="BR110" i="38"/>
  <c r="BS110" i="38"/>
  <c r="BH111" i="38"/>
  <c r="BI111" i="38"/>
  <c r="BJ111" i="38"/>
  <c r="BK111" i="38"/>
  <c r="BL111" i="38"/>
  <c r="BM111" i="38"/>
  <c r="BN111" i="38"/>
  <c r="BO111" i="38"/>
  <c r="BP111" i="38"/>
  <c r="BQ111" i="38"/>
  <c r="BR111" i="38"/>
  <c r="BS111" i="38"/>
  <c r="BH112" i="38"/>
  <c r="BI112" i="38"/>
  <c r="BJ112" i="38"/>
  <c r="BK112" i="38"/>
  <c r="BL112" i="38"/>
  <c r="BM112" i="38"/>
  <c r="BN112" i="38"/>
  <c r="BO112" i="38"/>
  <c r="BP112" i="38"/>
  <c r="BQ112" i="38"/>
  <c r="BR112" i="38"/>
  <c r="BS112" i="38"/>
  <c r="BH113" i="38"/>
  <c r="BI113" i="38"/>
  <c r="BJ113" i="38"/>
  <c r="BK113" i="38"/>
  <c r="BL113" i="38"/>
  <c r="BM113" i="38"/>
  <c r="BN113" i="38"/>
  <c r="BO113" i="38"/>
  <c r="BP113" i="38"/>
  <c r="BQ113" i="38"/>
  <c r="BR113" i="38"/>
  <c r="BS113" i="38"/>
  <c r="BH114" i="38"/>
  <c r="BI114" i="38"/>
  <c r="BJ114" i="38"/>
  <c r="BK114" i="38"/>
  <c r="BL114" i="38"/>
  <c r="BM114" i="38"/>
  <c r="BN114" i="38"/>
  <c r="BO114" i="38"/>
  <c r="BP114" i="38"/>
  <c r="BQ114" i="38"/>
  <c r="BR114" i="38"/>
  <c r="BS114" i="38"/>
  <c r="BH115" i="38"/>
  <c r="BI115" i="38"/>
  <c r="BJ115" i="38"/>
  <c r="BK115" i="38"/>
  <c r="BL115" i="38"/>
  <c r="BM115" i="38"/>
  <c r="BN115" i="38"/>
  <c r="BO115" i="38"/>
  <c r="BP115" i="38"/>
  <c r="BQ115" i="38"/>
  <c r="BR115" i="38"/>
  <c r="BS115" i="38"/>
  <c r="BH116" i="38"/>
  <c r="BI116" i="38"/>
  <c r="BJ116" i="38"/>
  <c r="BK116" i="38"/>
  <c r="BL116" i="38"/>
  <c r="BM116" i="38"/>
  <c r="BN116" i="38"/>
  <c r="BO116" i="38"/>
  <c r="BP116" i="38"/>
  <c r="BQ116" i="38"/>
  <c r="BR116" i="38"/>
  <c r="BS116" i="38"/>
  <c r="BH10" i="38"/>
  <c r="H17" i="38"/>
  <c r="DH17" i="28"/>
  <c r="D11" i="65" a="1"/>
  <c r="D8" i="65" a="1"/>
  <c r="D12" i="65" a="1"/>
  <c r="G42" i="51" l="1"/>
  <c r="G85" i="51"/>
  <c r="G70" i="51"/>
  <c r="G66" i="51" s="1"/>
  <c r="G75" i="51"/>
  <c r="G155" i="51"/>
  <c r="G151" i="51" s="1"/>
  <c r="A151" i="51" s="1"/>
  <c r="DI100" i="28"/>
  <c r="DD100" i="28"/>
  <c r="DH100" i="28"/>
  <c r="DD33" i="28"/>
  <c r="A33" i="28" s="1"/>
  <c r="DD25" i="28"/>
  <c r="A25" i="28" s="1"/>
  <c r="DD24" i="28"/>
  <c r="A24" i="28" s="1"/>
  <c r="DG100" i="28"/>
  <c r="A100" i="28"/>
  <c r="BA203" i="44" a="1"/>
  <c r="BA81" i="44" a="1"/>
  <c r="BA97" i="44" a="1"/>
  <c r="BA83" i="44" a="1"/>
  <c r="BA85" i="44" a="1"/>
  <c r="BA73" i="44" a="1"/>
  <c r="BA80" i="44" a="1"/>
  <c r="BA233" i="44" a="1"/>
  <c r="BA220" i="44" a="1"/>
  <c r="BA208" i="44" a="1"/>
  <c r="BA206" i="44" a="1"/>
  <c r="BA405" i="44" a="1"/>
  <c r="BA385" i="44" a="1"/>
  <c r="BA337" i="44" a="1"/>
  <c r="BA310" i="44" a="1"/>
  <c r="BA194" i="44" a="1"/>
  <c r="BA327" i="44" a="1"/>
  <c r="BA298" i="44" a="1"/>
  <c r="BA284" i="44" a="1"/>
  <c r="BA192" i="44" a="1"/>
  <c r="BA147" i="44" a="1"/>
  <c r="BA108" i="44" a="1"/>
  <c r="BA110" i="44" a="1"/>
  <c r="BA112" i="44" a="1"/>
  <c r="BA114" i="44" a="1"/>
  <c r="BA116" i="44" a="1"/>
  <c r="BA387" i="44" a="1"/>
  <c r="BA368" i="44" a="1"/>
  <c r="BA329" i="44" a="1"/>
  <c r="BA280" i="44" a="1"/>
  <c r="BA344" i="44" a="1"/>
  <c r="BA375" i="44" a="1"/>
  <c r="BA339" i="44" a="1"/>
  <c r="BA300" i="44" a="1"/>
  <c r="BA241" i="44" a="1"/>
  <c r="BA190" i="44" a="1"/>
  <c r="BA17" i="44" a="1"/>
  <c r="BA383" i="44" a="1"/>
  <c r="BA324" i="44" a="1"/>
  <c r="BA297" i="44" a="1"/>
  <c r="BA395" i="44" a="1"/>
  <c r="BA353" i="44" a="1"/>
  <c r="BA325" i="44" a="1"/>
  <c r="BA312" i="44" a="1"/>
  <c r="BA296" i="44" a="1"/>
  <c r="BA282" i="44" a="1"/>
  <c r="BA400" i="44" a="1"/>
  <c r="BA96" i="44" a="1"/>
  <c r="BA279" i="44" a="1"/>
  <c r="BA382" i="44" a="1"/>
  <c r="BA229" i="44" a="1"/>
  <c r="BA236" i="44" a="1"/>
  <c r="BA281" i="44" a="1"/>
  <c r="BA311" i="44" a="1"/>
  <c r="BA369" i="44" a="1"/>
  <c r="BA48" i="44" a="1"/>
  <c r="BA54" i="44" a="1"/>
  <c r="BA372" i="44" a="1"/>
  <c r="BA58" i="44" a="1"/>
  <c r="BA70" i="44" a="1"/>
  <c r="BA119" i="44" a="1"/>
  <c r="BA148" i="44" a="1"/>
  <c r="BA204" i="44" a="1"/>
  <c r="BA406" i="44" a="1"/>
  <c r="BA371" i="44" a="1"/>
  <c r="BA75" i="44" a="1"/>
  <c r="BA88" i="44" a="1"/>
  <c r="BA185" i="44" a="1"/>
  <c r="BA198" i="44" a="1"/>
  <c r="BA213" i="44" a="1"/>
  <c r="BA226" i="44" a="1"/>
  <c r="BA274" i="44" a="1"/>
  <c r="BA287" i="44" a="1"/>
  <c r="BA303" i="44" a="1"/>
  <c r="BA319" i="44" a="1"/>
  <c r="BA332" i="44" a="1"/>
  <c r="BA346" i="44" a="1"/>
  <c r="BA377" i="44" a="1"/>
  <c r="BA390" i="44" a="1"/>
  <c r="BA72" i="44" a="1"/>
  <c r="BA37" i="44" a="1"/>
  <c r="BA219" i="44" a="1"/>
  <c r="BA309" i="44" a="1"/>
  <c r="BA367" i="44" a="1"/>
  <c r="BA118" i="44" a="1"/>
  <c r="BA350" i="44" a="1"/>
  <c r="BA384" i="44" a="1"/>
  <c r="BA191" i="44" a="1"/>
  <c r="BA207" i="44" a="1"/>
  <c r="BA234" i="44" a="1"/>
  <c r="BA338" i="44" a="1"/>
  <c r="BA396" i="44" a="1"/>
  <c r="AA67" i="44"/>
  <c r="BA67" i="44" s="1" a="1"/>
  <c r="BA71" i="44" a="1"/>
  <c r="BA122" i="44" a="1"/>
  <c r="BA173" i="44" a="1"/>
  <c r="BA149" i="44" a="1"/>
  <c r="BA205" i="44" a="1"/>
  <c r="BA293" i="44" a="1"/>
  <c r="AA403" i="44"/>
  <c r="BA403" i="44" s="1" a="1"/>
  <c r="BA407" i="44" a="1"/>
  <c r="BA82" i="44" a="1"/>
  <c r="BA98" i="44" a="1"/>
  <c r="BA221" i="44" a="1"/>
  <c r="BA326" i="44" a="1"/>
  <c r="BA52" i="44" a="1"/>
  <c r="BA50" i="44" a="1"/>
  <c r="BA46" i="44" a="1"/>
  <c r="BA44" i="44" a="1"/>
  <c r="BA42" i="44" a="1"/>
  <c r="BA40" i="44" a="1"/>
  <c r="BA38" i="44" a="1"/>
  <c r="BA124" i="44" a="1"/>
  <c r="BA316" i="44" a="1"/>
  <c r="BA365" i="44" a="1"/>
  <c r="BA363" i="44" a="1"/>
  <c r="BA361" i="44" a="1"/>
  <c r="BA359" i="44" a="1"/>
  <c r="BA357" i="44" a="1"/>
  <c r="BA355" i="44" a="1"/>
  <c r="BA328" i="44" a="1"/>
  <c r="BA99" i="44" a="1"/>
  <c r="BA193" i="44" a="1"/>
  <c r="BA209" i="44" a="1"/>
  <c r="BA222" i="44" a="1"/>
  <c r="AA235" i="44"/>
  <c r="BA235" i="44" s="1" a="1"/>
  <c r="BA239" i="44" a="1"/>
  <c r="BA299" i="44" a="1"/>
  <c r="BA340" i="44" a="1"/>
  <c r="BA370" i="44" a="1"/>
  <c r="BA386" i="44" a="1"/>
  <c r="BA60" i="44" a="1"/>
  <c r="BA56" i="44" a="1"/>
  <c r="BA126" i="44" a="1"/>
  <c r="BA103" i="44" a="1"/>
  <c r="BA91" i="44" a="1"/>
  <c r="BA259" i="44" a="1"/>
  <c r="BA398" i="44" a="1"/>
  <c r="BA308" i="44" a="1"/>
  <c r="BA100" i="44" a="1"/>
  <c r="BA210" i="44" a="1"/>
  <c r="BA223" i="44" a="1"/>
  <c r="BA240" i="44" a="1"/>
  <c r="BA283" i="44" a="1"/>
  <c r="BA313" i="44" a="1"/>
  <c r="BA342" i="44" a="1"/>
  <c r="BA374" i="44" a="1"/>
  <c r="BA66" i="44" a="1"/>
  <c r="BA64" i="44" a="1"/>
  <c r="BA62" i="44" a="1"/>
  <c r="BA128" i="44" a="1"/>
  <c r="BA107" i="44" a="1"/>
  <c r="BA105" i="44" a="1"/>
  <c r="BA182" i="44" a="1"/>
  <c r="BA238" i="44" a="1"/>
  <c r="BA402" i="44" a="1"/>
  <c r="BA86" i="44" a="1"/>
  <c r="BA101" i="44" a="1"/>
  <c r="BA195" i="44" a="1"/>
  <c r="BA211" i="44" a="1"/>
  <c r="BA224" i="44" a="1"/>
  <c r="BA301" i="44" a="1"/>
  <c r="BA314" i="44" a="1"/>
  <c r="BA330" i="44" a="1"/>
  <c r="BA343" i="44" a="1"/>
  <c r="BA388" i="44" a="1"/>
  <c r="BA68" i="44" a="1"/>
  <c r="BA35" i="44" a="1"/>
  <c r="BA33" i="44" a="1"/>
  <c r="BA31" i="44" a="1"/>
  <c r="BA29" i="44" a="1"/>
  <c r="BA27" i="44" a="1"/>
  <c r="BA25" i="44" a="1"/>
  <c r="BA23" i="44" a="1"/>
  <c r="BA21" i="44" a="1"/>
  <c r="BA19" i="44" a="1"/>
  <c r="BA117" i="44" a="1"/>
  <c r="BA115" i="44" a="1"/>
  <c r="BA113" i="44" a="1"/>
  <c r="BA111" i="44" a="1"/>
  <c r="BA109" i="44" a="1"/>
  <c r="BA93" i="44" a="1"/>
  <c r="BA285" i="44" a="1"/>
  <c r="BA261" i="44" a="1"/>
  <c r="BA349" i="44" a="1"/>
  <c r="BA404" i="44" a="1"/>
  <c r="BA74" i="44" a="1"/>
  <c r="BA87" i="44" a="1"/>
  <c r="BA102" i="44" a="1"/>
  <c r="BA197" i="44" a="1"/>
  <c r="BA212" i="44" a="1"/>
  <c r="BA225" i="44" a="1"/>
  <c r="BA273" i="44" a="1"/>
  <c r="BA286" i="44" a="1"/>
  <c r="BA302" i="44" a="1"/>
  <c r="BA318" i="44" a="1"/>
  <c r="BA331" i="44" a="1"/>
  <c r="BA345" i="44" a="1"/>
  <c r="BA376" i="44" a="1"/>
  <c r="BA389" i="44" a="1"/>
  <c r="BA121" i="44" a="1"/>
  <c r="BA315" i="44" a="1"/>
  <c r="BA408" i="44" a="1"/>
  <c r="BA76" i="44" a="1"/>
  <c r="BA89" i="44" a="1"/>
  <c r="BA186" i="44" a="1"/>
  <c r="BA199" i="44" a="1"/>
  <c r="BA214" i="44" a="1"/>
  <c r="BA227" i="44" a="1"/>
  <c r="BA275" i="44" a="1"/>
  <c r="BA289" i="44" a="1"/>
  <c r="BA304" i="44" a="1"/>
  <c r="BA320" i="44" a="1"/>
  <c r="BA333" i="44" a="1"/>
  <c r="BA348" i="44" a="1"/>
  <c r="BA378" i="44" a="1"/>
  <c r="BA391" i="44" a="1"/>
  <c r="BA53" i="44" a="1"/>
  <c r="BA51" i="44" a="1"/>
  <c r="BA49" i="44" a="1"/>
  <c r="BA47" i="44" a="1"/>
  <c r="BA45" i="44" a="1"/>
  <c r="BA43" i="44" a="1"/>
  <c r="BA41" i="44" a="1"/>
  <c r="BA39" i="44" a="1"/>
  <c r="BA125" i="44" a="1"/>
  <c r="BA294" i="44" a="1"/>
  <c r="BA397" i="44" a="1"/>
  <c r="BA373" i="44" a="1"/>
  <c r="BA366" i="44" a="1"/>
  <c r="BA364" i="44" a="1"/>
  <c r="BA362" i="44" a="1"/>
  <c r="BA360" i="44" a="1"/>
  <c r="BA358" i="44" a="1"/>
  <c r="BA356" i="44" a="1"/>
  <c r="BA354" i="44" a="1"/>
  <c r="BA77" i="44" a="1"/>
  <c r="BA90" i="44" a="1"/>
  <c r="BA187" i="44" a="1"/>
  <c r="BA200" i="44" a="1"/>
  <c r="BA215" i="44" a="1"/>
  <c r="BA228" i="44" a="1"/>
  <c r="BA276" i="44" a="1"/>
  <c r="BA290" i="44" a="1"/>
  <c r="BA305" i="44" a="1"/>
  <c r="BA321" i="44" a="1"/>
  <c r="BA334" i="44" a="1"/>
  <c r="AA347" i="44"/>
  <c r="BA347" i="44" s="1" a="1"/>
  <c r="BA351" i="44" a="1"/>
  <c r="BA379" i="44" a="1"/>
  <c r="BA392" i="44" a="1"/>
  <c r="BA61" i="44" a="1"/>
  <c r="BA59" i="44" a="1"/>
  <c r="BA57" i="44" a="1"/>
  <c r="BA55" i="44" a="1"/>
  <c r="BA181" i="44" a="1"/>
  <c r="BA237" i="44" a="1"/>
  <c r="BA341" i="44" a="1"/>
  <c r="BA317" i="44" a="1"/>
  <c r="BA399" i="44" a="1"/>
  <c r="BA104" i="44" a="1"/>
  <c r="BA78" i="44" a="1"/>
  <c r="BA94" i="44" a="1"/>
  <c r="BA188" i="44" a="1"/>
  <c r="BA201" i="44" a="1"/>
  <c r="BA217" i="44" a="1"/>
  <c r="BA230" i="44" a="1"/>
  <c r="BA277" i="44" a="1"/>
  <c r="BA292" i="44" a="1"/>
  <c r="BA306" i="44" a="1"/>
  <c r="BA322" i="44" a="1"/>
  <c r="BA335" i="44" a="1"/>
  <c r="BA352" i="44" a="1"/>
  <c r="BA380" i="44" a="1"/>
  <c r="BA393" i="44" a="1"/>
  <c r="BA65" i="44" a="1"/>
  <c r="BA63" i="44" a="1"/>
  <c r="AA123" i="44"/>
  <c r="BA123" i="44" s="1" a="1"/>
  <c r="BA127" i="44" a="1"/>
  <c r="BA106" i="44" a="1"/>
  <c r="BA92" i="44" a="1"/>
  <c r="BA260" i="44" a="1"/>
  <c r="BA401" i="44" a="1"/>
  <c r="BA216" i="44" a="1"/>
  <c r="BA79" i="44" a="1"/>
  <c r="BA95" i="44" a="1"/>
  <c r="BA189" i="44" a="1"/>
  <c r="BA202" i="44" a="1"/>
  <c r="BA218" i="44" a="1"/>
  <c r="BA231" i="44" a="1"/>
  <c r="BA278" i="44" a="1"/>
  <c r="AA291" i="44"/>
  <c r="BA291" i="44" s="1" a="1"/>
  <c r="BA295" i="44" a="1"/>
  <c r="BA307" i="44" a="1"/>
  <c r="BA323" i="44" a="1"/>
  <c r="BA336" i="44" a="1"/>
  <c r="BA381" i="44" a="1"/>
  <c r="BA394" i="44" a="1"/>
  <c r="BA69" i="44" a="1"/>
  <c r="BA34" i="44" a="1"/>
  <c r="BA32" i="44" a="1"/>
  <c r="BA30" i="44" a="1"/>
  <c r="BA28" i="44" a="1"/>
  <c r="BA26" i="44" a="1"/>
  <c r="BA24" i="44" a="1"/>
  <c r="BA22" i="44" a="1"/>
  <c r="BA20" i="44" a="1"/>
  <c r="BA18" i="44" a="1"/>
  <c r="BA36" i="44" a="1"/>
  <c r="BQ57" i="39"/>
  <c r="Q57" i="39"/>
  <c r="BQ58" i="39"/>
  <c r="Q58" i="39"/>
  <c r="BQ59" i="39"/>
  <c r="Q59" i="39"/>
  <c r="BQ15" i="39"/>
  <c r="Q15" i="39"/>
  <c r="BQ51" i="39"/>
  <c r="Q51" i="39"/>
  <c r="BQ56" i="39"/>
  <c r="Q56" i="39"/>
  <c r="BQ53" i="39"/>
  <c r="Q53" i="39"/>
  <c r="BQ50" i="39"/>
  <c r="Q50" i="39"/>
  <c r="BQ54" i="39"/>
  <c r="Q54" i="39"/>
  <c r="BQ55" i="39"/>
  <c r="Q55" i="39"/>
  <c r="BQ52" i="39"/>
  <c r="Q52" i="39"/>
  <c r="G59" i="51"/>
  <c r="G120" i="51"/>
  <c r="A120" i="51" s="1"/>
  <c r="B51" i="59"/>
  <c r="B52" i="59"/>
  <c r="B49" i="59"/>
  <c r="B46" i="59"/>
  <c r="B53" i="59"/>
  <c r="B50" i="59"/>
  <c r="B48" i="59"/>
  <c r="B47" i="59"/>
  <c r="BT100" i="28"/>
  <c r="BG18" i="38"/>
  <c r="BG21" i="38"/>
  <c r="CM100" i="28"/>
  <c r="CK100" i="28"/>
  <c r="G71" i="51"/>
  <c r="AA271" i="44"/>
  <c r="BA271" i="44" s="1" a="1"/>
  <c r="AA270" i="44"/>
  <c r="BA270" i="44" s="1" a="1"/>
  <c r="AA269" i="44"/>
  <c r="BA269" i="44" s="1" a="1"/>
  <c r="AA268" i="44"/>
  <c r="BA268" i="44" s="1" a="1"/>
  <c r="AA267" i="44"/>
  <c r="BA267" i="44" s="1" a="1"/>
  <c r="AA266" i="44"/>
  <c r="BA266" i="44" s="1" a="1"/>
  <c r="AA265" i="44"/>
  <c r="BA265" i="44" s="1" a="1"/>
  <c r="AA264" i="44"/>
  <c r="BA264" i="44" s="1" a="1"/>
  <c r="AA263" i="44"/>
  <c r="BA263" i="44" s="1" a="1"/>
  <c r="AA262" i="44"/>
  <c r="BA262" i="44" s="1" a="1"/>
  <c r="AA258" i="44"/>
  <c r="BA258" i="44" s="1" a="1"/>
  <c r="AA257" i="44"/>
  <c r="BA257" i="44" s="1" a="1"/>
  <c r="AA256" i="44"/>
  <c r="BA256" i="44" s="1" a="1"/>
  <c r="AA255" i="44"/>
  <c r="BA255" i="44" s="1" a="1"/>
  <c r="AA254" i="44"/>
  <c r="BA254" i="44" s="1" a="1"/>
  <c r="AA253" i="44"/>
  <c r="BA253" i="44" s="1" a="1"/>
  <c r="AA251" i="44"/>
  <c r="BA251" i="44" s="1" a="1"/>
  <c r="AA250" i="44"/>
  <c r="BA250" i="44" s="1" a="1"/>
  <c r="AA249" i="44"/>
  <c r="BA249" i="44" s="1" a="1"/>
  <c r="AA248" i="44"/>
  <c r="BA248" i="44" s="1" a="1"/>
  <c r="AA247" i="44"/>
  <c r="BA247" i="44" s="1" a="1"/>
  <c r="AA246" i="44"/>
  <c r="BA246" i="44" s="1" a="1"/>
  <c r="AA245" i="44"/>
  <c r="BA245" i="44" s="1" a="1"/>
  <c r="AA244" i="44"/>
  <c r="BA244" i="44" s="1" a="1"/>
  <c r="AA243" i="44"/>
  <c r="BA243" i="44" s="1" a="1"/>
  <c r="AA242" i="44"/>
  <c r="BA242" i="44" s="1" a="1"/>
  <c r="AA184" i="44"/>
  <c r="BA184" i="44" s="1" a="1"/>
  <c r="AA183" i="44"/>
  <c r="AA180" i="44"/>
  <c r="BA180" i="44" s="1" a="1"/>
  <c r="AA178" i="44"/>
  <c r="BA178" i="44" s="1" a="1"/>
  <c r="AA177" i="44"/>
  <c r="BA177" i="44" s="1" a="1"/>
  <c r="AA175" i="44"/>
  <c r="BA175" i="44" s="1" a="1"/>
  <c r="AA174" i="44"/>
  <c r="BA174" i="44" s="1" a="1"/>
  <c r="AA172" i="44"/>
  <c r="BA172" i="44" s="1" a="1"/>
  <c r="AA171" i="44"/>
  <c r="BA171" i="44" s="1" a="1"/>
  <c r="AA170" i="44"/>
  <c r="BA170" i="44" s="1" a="1"/>
  <c r="AA169" i="44"/>
  <c r="BA169" i="44" s="1" a="1"/>
  <c r="AA168" i="44"/>
  <c r="BA168" i="44" s="1" a="1"/>
  <c r="AA167" i="44"/>
  <c r="BA167" i="44" s="1" a="1"/>
  <c r="AA166" i="44"/>
  <c r="BA166" i="44" s="1" a="1"/>
  <c r="AA165" i="44"/>
  <c r="BA165" i="44" s="1" a="1"/>
  <c r="AA164" i="44"/>
  <c r="BA164" i="44" s="1" a="1"/>
  <c r="AA163" i="44"/>
  <c r="BA163" i="44" s="1" a="1"/>
  <c r="AA162" i="44"/>
  <c r="BA162" i="44" s="1" a="1"/>
  <c r="AA161" i="44"/>
  <c r="BA161" i="44" s="1" a="1"/>
  <c r="AA159" i="44"/>
  <c r="BA159" i="44" s="1" a="1"/>
  <c r="AA158" i="44"/>
  <c r="BA158" i="44" s="1" a="1"/>
  <c r="AA157" i="44"/>
  <c r="BA157" i="44" s="1" a="1"/>
  <c r="AA156" i="44"/>
  <c r="BA156" i="44" s="1" a="1"/>
  <c r="AA155" i="44"/>
  <c r="BA155" i="44" s="1" a="1"/>
  <c r="AA154" i="44"/>
  <c r="BA154" i="44" s="1" a="1"/>
  <c r="AA153" i="44"/>
  <c r="BA153" i="44" s="1" a="1"/>
  <c r="AA152" i="44"/>
  <c r="BA152" i="44" s="1" a="1"/>
  <c r="AA151" i="44"/>
  <c r="BA151" i="44" s="1" a="1"/>
  <c r="AA150" i="44"/>
  <c r="BA150" i="44" s="1" a="1"/>
  <c r="AA146" i="44"/>
  <c r="BA146" i="44" s="1" a="1"/>
  <c r="AA145" i="44"/>
  <c r="BA145" i="44" s="1" a="1"/>
  <c r="AA144" i="44"/>
  <c r="BA144" i="44" s="1" a="1"/>
  <c r="AA143" i="44"/>
  <c r="BA143" i="44" s="1" a="1"/>
  <c r="AA142" i="44"/>
  <c r="BA142" i="44" s="1" a="1"/>
  <c r="AA141" i="44"/>
  <c r="BA141" i="44" s="1" a="1"/>
  <c r="AA139" i="44"/>
  <c r="BA139" i="44" s="1" a="1"/>
  <c r="AA138" i="44"/>
  <c r="BA138" i="44" s="1" a="1"/>
  <c r="AA137" i="44"/>
  <c r="BA137" i="44" s="1" a="1"/>
  <c r="AA136" i="44"/>
  <c r="BA136" i="44" s="1" a="1"/>
  <c r="AA135" i="44"/>
  <c r="BA135" i="44" s="1" a="1"/>
  <c r="AA134" i="44"/>
  <c r="BA134" i="44" s="1" a="1"/>
  <c r="AA133" i="44"/>
  <c r="BA133" i="44" s="1" a="1"/>
  <c r="AA132" i="44"/>
  <c r="BA132" i="44" s="1" a="1"/>
  <c r="AA131" i="44"/>
  <c r="BA131" i="44" s="1" a="1"/>
  <c r="AA130" i="44"/>
  <c r="BA130" i="44" s="1" a="1"/>
  <c r="AA129" i="44"/>
  <c r="BA129" i="44" s="1" a="1"/>
  <c r="AA252" i="44"/>
  <c r="BA252" i="44" s="1" a="1"/>
  <c r="AA272" i="44"/>
  <c r="BA272" i="44" s="1" a="1"/>
  <c r="AA196" i="44"/>
  <c r="BA196" i="44" s="1" a="1"/>
  <c r="AA232" i="44"/>
  <c r="BA232" i="44" s="1" a="1"/>
  <c r="AA120" i="44"/>
  <c r="BA120" i="44" s="1" a="1"/>
  <c r="AA84" i="44"/>
  <c r="BA84" i="44" s="1" a="1"/>
  <c r="AA160" i="44"/>
  <c r="BA160" i="44" s="1" a="1"/>
  <c r="AA140" i="44"/>
  <c r="BA140" i="44" s="1" a="1"/>
  <c r="G54" i="51"/>
  <c r="A54" i="51" s="1"/>
  <c r="G38" i="51"/>
  <c r="G36" i="51" s="1"/>
  <c r="G80" i="51"/>
  <c r="A80" i="51" s="1"/>
  <c r="BG39" i="38"/>
  <c r="BG37" i="38"/>
  <c r="BG36" i="38"/>
  <c r="BG25" i="38"/>
  <c r="BG24" i="38"/>
  <c r="BG29" i="38"/>
  <c r="BG28" i="38"/>
  <c r="BG27" i="38"/>
  <c r="BG38" i="38"/>
  <c r="BG26" i="38"/>
  <c r="BG35" i="38"/>
  <c r="BG23" i="38"/>
  <c r="BG34" i="38"/>
  <c r="BG22" i="38"/>
  <c r="BG33" i="38"/>
  <c r="BG32" i="38"/>
  <c r="BG20" i="38"/>
  <c r="BG31" i="38"/>
  <c r="BG19" i="38"/>
  <c r="BG30" i="38"/>
  <c r="C16" i="57"/>
  <c r="C30" i="57"/>
  <c r="C52" i="57"/>
  <c r="C17" i="57"/>
  <c r="C31" i="57"/>
  <c r="C18" i="57"/>
  <c r="C32" i="57"/>
  <c r="C19" i="57"/>
  <c r="C36" i="57"/>
  <c r="C37" i="57"/>
  <c r="C26" i="57"/>
  <c r="C29" i="57"/>
  <c r="C41" i="57"/>
  <c r="C42" i="57"/>
  <c r="C25" i="57"/>
  <c r="C43" i="57"/>
  <c r="C44" i="57"/>
  <c r="C28" i="57"/>
  <c r="C45" i="57"/>
  <c r="G115" i="51"/>
  <c r="A115" i="51" s="1"/>
  <c r="G107" i="51"/>
  <c r="A107" i="51" s="1"/>
  <c r="G99" i="51"/>
  <c r="A99" i="51" s="1"/>
  <c r="G87" i="51"/>
  <c r="A87" i="51" s="1"/>
  <c r="G134" i="51"/>
  <c r="A134" i="51" l="1"/>
  <c r="A71" i="51"/>
  <c r="AA179" i="44"/>
  <c r="BA179" i="44" s="1" a="1"/>
  <c r="BA183" i="44" a="1"/>
  <c r="AA288" i="44"/>
  <c r="BA288" i="44" s="1" a="1"/>
  <c r="AA176" i="44"/>
  <c r="BA176" i="44" s="1" a="1"/>
  <c r="N86" i="7"/>
  <c r="N87" i="7"/>
  <c r="N88" i="7"/>
  <c r="N89" i="7"/>
  <c r="N90" i="7"/>
  <c r="N91" i="7"/>
  <c r="N92" i="7"/>
  <c r="N93" i="7"/>
  <c r="N85" i="7"/>
  <c r="O85" i="7" a="1"/>
  <c r="H8" i="5"/>
  <c r="H9" i="5" s="1"/>
  <c r="G130" i="51"/>
  <c r="G132" i="51" s="1"/>
  <c r="BS113" i="28"/>
  <c r="BR113" i="28"/>
  <c r="BQ113" i="28"/>
  <c r="BP113" i="28"/>
  <c r="BO113" i="28"/>
  <c r="BN113" i="28"/>
  <c r="BM113" i="28"/>
  <c r="BL113" i="28"/>
  <c r="BK113" i="28"/>
  <c r="BJ113" i="28"/>
  <c r="BI113" i="28"/>
  <c r="BH113" i="28"/>
  <c r="BG113" i="28"/>
  <c r="BF113" i="28"/>
  <c r="CK113" i="28" s="1"/>
  <c r="BE113" i="28"/>
  <c r="BS112" i="28"/>
  <c r="BR112" i="28"/>
  <c r="BQ112" i="28"/>
  <c r="BP112" i="28"/>
  <c r="BO112" i="28"/>
  <c r="BN112" i="28"/>
  <c r="BM112" i="28"/>
  <c r="BL112" i="28"/>
  <c r="BK112" i="28"/>
  <c r="BJ112" i="28"/>
  <c r="BI112" i="28"/>
  <c r="BH112" i="28"/>
  <c r="BG112" i="28"/>
  <c r="BF112" i="28"/>
  <c r="BE112" i="28"/>
  <c r="BS111" i="28"/>
  <c r="BR111" i="28"/>
  <c r="BQ111" i="28"/>
  <c r="BP111" i="28"/>
  <c r="BO111" i="28"/>
  <c r="BN111" i="28"/>
  <c r="BM111" i="28"/>
  <c r="BL111" i="28"/>
  <c r="BK111" i="28"/>
  <c r="BJ111" i="28"/>
  <c r="BI111" i="28"/>
  <c r="BH111" i="28"/>
  <c r="BG111" i="28"/>
  <c r="BF111" i="28"/>
  <c r="BE111" i="28"/>
  <c r="BS110" i="28"/>
  <c r="BR110" i="28"/>
  <c r="BQ110" i="28"/>
  <c r="BP110" i="28"/>
  <c r="BO110" i="28"/>
  <c r="BN110" i="28"/>
  <c r="BM110" i="28"/>
  <c r="BL110" i="28"/>
  <c r="BK110" i="28"/>
  <c r="BJ110" i="28"/>
  <c r="BI110" i="28"/>
  <c r="BH110" i="28"/>
  <c r="BG110" i="28"/>
  <c r="BF110" i="28"/>
  <c r="BE110" i="28"/>
  <c r="BS109" i="28"/>
  <c r="BR109" i="28"/>
  <c r="BQ109" i="28"/>
  <c r="BP109" i="28"/>
  <c r="BO109" i="28"/>
  <c r="BN109" i="28"/>
  <c r="BM109" i="28"/>
  <c r="BL109" i="28"/>
  <c r="BK109" i="28"/>
  <c r="BJ109" i="28"/>
  <c r="BI109" i="28"/>
  <c r="BH109" i="28"/>
  <c r="BG109" i="28"/>
  <c r="BF109" i="28"/>
  <c r="BE109" i="28"/>
  <c r="BS108" i="28"/>
  <c r="BR108" i="28"/>
  <c r="BQ108" i="28"/>
  <c r="BP108" i="28"/>
  <c r="BO108" i="28"/>
  <c r="BN108" i="28"/>
  <c r="BM108" i="28"/>
  <c r="BL108" i="28"/>
  <c r="BK108" i="28"/>
  <c r="BJ108" i="28"/>
  <c r="BI108" i="28"/>
  <c r="BH108" i="28"/>
  <c r="BG108" i="28"/>
  <c r="BF108" i="28"/>
  <c r="BE108" i="28"/>
  <c r="BS107" i="28"/>
  <c r="BR107" i="28"/>
  <c r="BQ107" i="28"/>
  <c r="BP107" i="28"/>
  <c r="BO107" i="28"/>
  <c r="BN107" i="28"/>
  <c r="BM107" i="28"/>
  <c r="BL107" i="28"/>
  <c r="BK107" i="28"/>
  <c r="BJ107" i="28"/>
  <c r="BI107" i="28"/>
  <c r="BH107" i="28"/>
  <c r="BG107" i="28"/>
  <c r="BF107" i="28"/>
  <c r="BE107" i="28"/>
  <c r="BS106" i="28"/>
  <c r="BR106" i="28"/>
  <c r="BQ106" i="28"/>
  <c r="BP106" i="28"/>
  <c r="BO106" i="28"/>
  <c r="BN106" i="28"/>
  <c r="BM106" i="28"/>
  <c r="BL106" i="28"/>
  <c r="BK106" i="28"/>
  <c r="BJ106" i="28"/>
  <c r="BI106" i="28"/>
  <c r="BH106" i="28"/>
  <c r="BG106" i="28"/>
  <c r="BF106" i="28"/>
  <c r="BE106" i="28"/>
  <c r="BS105" i="28"/>
  <c r="BR105" i="28"/>
  <c r="BQ105" i="28"/>
  <c r="BP105" i="28"/>
  <c r="BO105" i="28"/>
  <c r="BN105" i="28"/>
  <c r="BM105" i="28"/>
  <c r="BL105" i="28"/>
  <c r="BK105" i="28"/>
  <c r="BJ105" i="28"/>
  <c r="BI105" i="28"/>
  <c r="BH105" i="28"/>
  <c r="BG105" i="28"/>
  <c r="BF105" i="28"/>
  <c r="BE105" i="28"/>
  <c r="BS104" i="28"/>
  <c r="BR104" i="28"/>
  <c r="BQ104" i="28"/>
  <c r="BP104" i="28"/>
  <c r="BO104" i="28"/>
  <c r="BN104" i="28"/>
  <c r="BM104" i="28"/>
  <c r="BL104" i="28"/>
  <c r="BK104" i="28"/>
  <c r="BJ104" i="28"/>
  <c r="BI104" i="28"/>
  <c r="BH104" i="28"/>
  <c r="BG104" i="28"/>
  <c r="BF104" i="28"/>
  <c r="BE104" i="28"/>
  <c r="BS103" i="28"/>
  <c r="BR103" i="28"/>
  <c r="BQ103" i="28"/>
  <c r="BP103" i="28"/>
  <c r="BO103" i="28"/>
  <c r="BN103" i="28"/>
  <c r="BM103" i="28"/>
  <c r="BL103" i="28"/>
  <c r="BK103" i="28"/>
  <c r="BJ103" i="28"/>
  <c r="BI103" i="28"/>
  <c r="BH103" i="28"/>
  <c r="BG103" i="28"/>
  <c r="BF103" i="28"/>
  <c r="BE103" i="28"/>
  <c r="BS102" i="28"/>
  <c r="BR102" i="28"/>
  <c r="BQ102" i="28"/>
  <c r="BP102" i="28"/>
  <c r="BO102" i="28"/>
  <c r="BN102" i="28"/>
  <c r="BM102" i="28"/>
  <c r="BL102" i="28"/>
  <c r="BK102" i="28"/>
  <c r="BJ102" i="28"/>
  <c r="BI102" i="28"/>
  <c r="BH102" i="28"/>
  <c r="BG102" i="28"/>
  <c r="BF102" i="28"/>
  <c r="BE102" i="28"/>
  <c r="BS101" i="28"/>
  <c r="BR101" i="28"/>
  <c r="BQ101" i="28"/>
  <c r="BP101" i="28"/>
  <c r="BO101" i="28"/>
  <c r="BN101" i="28"/>
  <c r="BM101" i="28"/>
  <c r="BL101" i="28"/>
  <c r="BK101" i="28"/>
  <c r="BJ101" i="28"/>
  <c r="BI101" i="28"/>
  <c r="BH101" i="28"/>
  <c r="BG101" i="28"/>
  <c r="BF101" i="28"/>
  <c r="BE101" i="28"/>
  <c r="BS99" i="28"/>
  <c r="BR99" i="28"/>
  <c r="BQ99" i="28"/>
  <c r="BP99" i="28"/>
  <c r="BO99" i="28"/>
  <c r="BN99" i="28"/>
  <c r="BM99" i="28"/>
  <c r="BL99" i="28"/>
  <c r="BK99" i="28"/>
  <c r="BJ99" i="28"/>
  <c r="BI99" i="28"/>
  <c r="BH99" i="28"/>
  <c r="BG99" i="28"/>
  <c r="BF99" i="28"/>
  <c r="BE99" i="28"/>
  <c r="BS98" i="28"/>
  <c r="BR98" i="28"/>
  <c r="BQ98" i="28"/>
  <c r="BP98" i="28"/>
  <c r="BO98" i="28"/>
  <c r="BN98" i="28"/>
  <c r="BM98" i="28"/>
  <c r="BL98" i="28"/>
  <c r="BK98" i="28"/>
  <c r="BJ98" i="28"/>
  <c r="BI98" i="28"/>
  <c r="BH98" i="28"/>
  <c r="BG98" i="28"/>
  <c r="BF98" i="28"/>
  <c r="BE98" i="28"/>
  <c r="BS97" i="28"/>
  <c r="BR97" i="28"/>
  <c r="BQ97" i="28"/>
  <c r="BP97" i="28"/>
  <c r="BO97" i="28"/>
  <c r="BN97" i="28"/>
  <c r="BM97" i="28"/>
  <c r="BL97" i="28"/>
  <c r="BK97" i="28"/>
  <c r="BJ97" i="28"/>
  <c r="BI97" i="28"/>
  <c r="BH97" i="28"/>
  <c r="BG97" i="28"/>
  <c r="BF97" i="28"/>
  <c r="BE97" i="28"/>
  <c r="BS96" i="28"/>
  <c r="BR96" i="28"/>
  <c r="BQ96" i="28"/>
  <c r="BP96" i="28"/>
  <c r="BO96" i="28"/>
  <c r="BN96" i="28"/>
  <c r="BM96" i="28"/>
  <c r="BL96" i="28"/>
  <c r="BK96" i="28"/>
  <c r="BJ96" i="28"/>
  <c r="BI96" i="28"/>
  <c r="BH96" i="28"/>
  <c r="BG96" i="28"/>
  <c r="BF96" i="28"/>
  <c r="BE96" i="28"/>
  <c r="BS95" i="28"/>
  <c r="BR95" i="28"/>
  <c r="BQ95" i="28"/>
  <c r="BP95" i="28"/>
  <c r="BO95" i="28"/>
  <c r="BN95" i="28"/>
  <c r="BM95" i="28"/>
  <c r="BL95" i="28"/>
  <c r="BK95" i="28"/>
  <c r="BJ95" i="28"/>
  <c r="BI95" i="28"/>
  <c r="BH95" i="28"/>
  <c r="BG95" i="28"/>
  <c r="BF95" i="28"/>
  <c r="BE95" i="28"/>
  <c r="BS94" i="28"/>
  <c r="BR94" i="28"/>
  <c r="BQ94" i="28"/>
  <c r="BP94" i="28"/>
  <c r="BO94" i="28"/>
  <c r="BN94" i="28"/>
  <c r="BM94" i="28"/>
  <c r="BL94" i="28"/>
  <c r="BK94" i="28"/>
  <c r="BJ94" i="28"/>
  <c r="BI94" i="28"/>
  <c r="BH94" i="28"/>
  <c r="BG94" i="28"/>
  <c r="BF94" i="28"/>
  <c r="BE94" i="28"/>
  <c r="BS93" i="28"/>
  <c r="BR93" i="28"/>
  <c r="BQ93" i="28"/>
  <c r="BP93" i="28"/>
  <c r="BO93" i="28"/>
  <c r="BN93" i="28"/>
  <c r="BM93" i="28"/>
  <c r="BL93" i="28"/>
  <c r="BK93" i="28"/>
  <c r="BJ93" i="28"/>
  <c r="BI93" i="28"/>
  <c r="BH93" i="28"/>
  <c r="BG93" i="28"/>
  <c r="BF93" i="28"/>
  <c r="BE93" i="28"/>
  <c r="BS92" i="28"/>
  <c r="BR92" i="28"/>
  <c r="BQ92" i="28"/>
  <c r="BP92" i="28"/>
  <c r="BO92" i="28"/>
  <c r="BN92" i="28"/>
  <c r="BM92" i="28"/>
  <c r="BL92" i="28"/>
  <c r="BK92" i="28"/>
  <c r="BJ92" i="28"/>
  <c r="BI92" i="28"/>
  <c r="BH92" i="28"/>
  <c r="BG92" i="28"/>
  <c r="BF92" i="28"/>
  <c r="BE92" i="28"/>
  <c r="BS91" i="28"/>
  <c r="BR91" i="28"/>
  <c r="BQ91" i="28"/>
  <c r="BP91" i="28"/>
  <c r="BO91" i="28"/>
  <c r="BN91" i="28"/>
  <c r="BM91" i="28"/>
  <c r="BL91" i="28"/>
  <c r="BK91" i="28"/>
  <c r="BJ91" i="28"/>
  <c r="BI91" i="28"/>
  <c r="BH91" i="28"/>
  <c r="BG91" i="28"/>
  <c r="BF91" i="28"/>
  <c r="BE91" i="28"/>
  <c r="BS90" i="28"/>
  <c r="BR90" i="28"/>
  <c r="BQ90" i="28"/>
  <c r="BP90" i="28"/>
  <c r="BO90" i="28"/>
  <c r="BN90" i="28"/>
  <c r="BM90" i="28"/>
  <c r="BL90" i="28"/>
  <c r="BK90" i="28"/>
  <c r="BJ90" i="28"/>
  <c r="BI90" i="28"/>
  <c r="BH90" i="28"/>
  <c r="BG90" i="28"/>
  <c r="BF90" i="28"/>
  <c r="BE90" i="28"/>
  <c r="BS89" i="28"/>
  <c r="BR89" i="28"/>
  <c r="BQ89" i="28"/>
  <c r="BP89" i="28"/>
  <c r="BO89" i="28"/>
  <c r="BN89" i="28"/>
  <c r="BM89" i="28"/>
  <c r="BL89" i="28"/>
  <c r="BK89" i="28"/>
  <c r="BJ89" i="28"/>
  <c r="BI89" i="28"/>
  <c r="BH89" i="28"/>
  <c r="BG89" i="28"/>
  <c r="BF89" i="28"/>
  <c r="BE89" i="28"/>
  <c r="BS88" i="28"/>
  <c r="BR88" i="28"/>
  <c r="BQ88" i="28"/>
  <c r="BP88" i="28"/>
  <c r="BO88" i="28"/>
  <c r="BN88" i="28"/>
  <c r="BM88" i="28"/>
  <c r="BL88" i="28"/>
  <c r="BK88" i="28"/>
  <c r="BJ88" i="28"/>
  <c r="BI88" i="28"/>
  <c r="BH88" i="28"/>
  <c r="BG88" i="28"/>
  <c r="BF88" i="28"/>
  <c r="BE88" i="28"/>
  <c r="BS87" i="28"/>
  <c r="BR87" i="28"/>
  <c r="BQ87" i="28"/>
  <c r="BP87" i="28"/>
  <c r="BO87" i="28"/>
  <c r="BN87" i="28"/>
  <c r="BM87" i="28"/>
  <c r="BL87" i="28"/>
  <c r="BK87" i="28"/>
  <c r="BJ87" i="28"/>
  <c r="BI87" i="28"/>
  <c r="BH87" i="28"/>
  <c r="BG87" i="28"/>
  <c r="BF87" i="28"/>
  <c r="BE87" i="28"/>
  <c r="BS86" i="28"/>
  <c r="BR86" i="28"/>
  <c r="BQ86" i="28"/>
  <c r="BP86" i="28"/>
  <c r="BO86" i="28"/>
  <c r="BN86" i="28"/>
  <c r="BM86" i="28"/>
  <c r="BL86" i="28"/>
  <c r="BK86" i="28"/>
  <c r="BJ86" i="28"/>
  <c r="BI86" i="28"/>
  <c r="BH86" i="28"/>
  <c r="BG86" i="28"/>
  <c r="BF86" i="28"/>
  <c r="BE86" i="28"/>
  <c r="BS85" i="28"/>
  <c r="BR85" i="28"/>
  <c r="BQ85" i="28"/>
  <c r="BP85" i="28"/>
  <c r="BO85" i="28"/>
  <c r="BN85" i="28"/>
  <c r="BM85" i="28"/>
  <c r="BL85" i="28"/>
  <c r="BK85" i="28"/>
  <c r="BJ85" i="28"/>
  <c r="BI85" i="28"/>
  <c r="BH85" i="28"/>
  <c r="BG85" i="28"/>
  <c r="BF85" i="28"/>
  <c r="BE85" i="28"/>
  <c r="BS84" i="28"/>
  <c r="BR84" i="28"/>
  <c r="BQ84" i="28"/>
  <c r="BP84" i="28"/>
  <c r="BO84" i="28"/>
  <c r="BN84" i="28"/>
  <c r="BM84" i="28"/>
  <c r="BL84" i="28"/>
  <c r="BK84" i="28"/>
  <c r="BJ84" i="28"/>
  <c r="BI84" i="28"/>
  <c r="BH84" i="28"/>
  <c r="BG84" i="28"/>
  <c r="BF84" i="28"/>
  <c r="BE84" i="28"/>
  <c r="BS83" i="28"/>
  <c r="BR83" i="28"/>
  <c r="BQ83" i="28"/>
  <c r="BP83" i="28"/>
  <c r="BO83" i="28"/>
  <c r="BN83" i="28"/>
  <c r="BM83" i="28"/>
  <c r="BL83" i="28"/>
  <c r="BK83" i="28"/>
  <c r="BJ83" i="28"/>
  <c r="BI83" i="28"/>
  <c r="BH83" i="28"/>
  <c r="BG83" i="28"/>
  <c r="BF83" i="28"/>
  <c r="BE83" i="28"/>
  <c r="BS82" i="28"/>
  <c r="BR82" i="28"/>
  <c r="BQ82" i="28"/>
  <c r="BP82" i="28"/>
  <c r="BO82" i="28"/>
  <c r="BN82" i="28"/>
  <c r="BM82" i="28"/>
  <c r="BL82" i="28"/>
  <c r="BK82" i="28"/>
  <c r="BJ82" i="28"/>
  <c r="BI82" i="28"/>
  <c r="BH82" i="28"/>
  <c r="BG82" i="28"/>
  <c r="BF82" i="28"/>
  <c r="BE82" i="28"/>
  <c r="BS81" i="28"/>
  <c r="BR81" i="28"/>
  <c r="BQ81" i="28"/>
  <c r="BP81" i="28"/>
  <c r="BO81" i="28"/>
  <c r="BN81" i="28"/>
  <c r="BM81" i="28"/>
  <c r="BL81" i="28"/>
  <c r="BK81" i="28"/>
  <c r="BJ81" i="28"/>
  <c r="BI81" i="28"/>
  <c r="BH81" i="28"/>
  <c r="BG81" i="28"/>
  <c r="BF81" i="28"/>
  <c r="BE81" i="28"/>
  <c r="BS80" i="28"/>
  <c r="BR80" i="28"/>
  <c r="BQ80" i="28"/>
  <c r="BP80" i="28"/>
  <c r="BO80" i="28"/>
  <c r="BN80" i="28"/>
  <c r="BM80" i="28"/>
  <c r="BL80" i="28"/>
  <c r="BK80" i="28"/>
  <c r="BJ80" i="28"/>
  <c r="BI80" i="28"/>
  <c r="BH80" i="28"/>
  <c r="BG80" i="28"/>
  <c r="BF80" i="28"/>
  <c r="BE80" i="28"/>
  <c r="BS79" i="28"/>
  <c r="BR79" i="28"/>
  <c r="BQ79" i="28"/>
  <c r="BP79" i="28"/>
  <c r="BO79" i="28"/>
  <c r="BN79" i="28"/>
  <c r="BM79" i="28"/>
  <c r="BL79" i="28"/>
  <c r="BK79" i="28"/>
  <c r="BJ79" i="28"/>
  <c r="BI79" i="28"/>
  <c r="BH79" i="28"/>
  <c r="BG79" i="28"/>
  <c r="BF79" i="28"/>
  <c r="BE79" i="28"/>
  <c r="BS78" i="28"/>
  <c r="BR78" i="28"/>
  <c r="BQ78" i="28"/>
  <c r="BP78" i="28"/>
  <c r="BO78" i="28"/>
  <c r="BN78" i="28"/>
  <c r="BM78" i="28"/>
  <c r="BL78" i="28"/>
  <c r="BK78" i="28"/>
  <c r="BJ78" i="28"/>
  <c r="BI78" i="28"/>
  <c r="BH78" i="28"/>
  <c r="BG78" i="28"/>
  <c r="BF78" i="28"/>
  <c r="BE78" i="28"/>
  <c r="BS77" i="28"/>
  <c r="BR77" i="28"/>
  <c r="BQ77" i="28"/>
  <c r="BP77" i="28"/>
  <c r="BO77" i="28"/>
  <c r="BN77" i="28"/>
  <c r="BM77" i="28"/>
  <c r="BL77" i="28"/>
  <c r="BK77" i="28"/>
  <c r="BJ77" i="28"/>
  <c r="BI77" i="28"/>
  <c r="BH77" i="28"/>
  <c r="BG77" i="28"/>
  <c r="BF77" i="28"/>
  <c r="BE77" i="28"/>
  <c r="BS76" i="28"/>
  <c r="BR76" i="28"/>
  <c r="BQ76" i="28"/>
  <c r="BP76" i="28"/>
  <c r="BO76" i="28"/>
  <c r="BN76" i="28"/>
  <c r="BM76" i="28"/>
  <c r="BL76" i="28"/>
  <c r="BK76" i="28"/>
  <c r="BJ76" i="28"/>
  <c r="BI76" i="28"/>
  <c r="BH76" i="28"/>
  <c r="BG76" i="28"/>
  <c r="BF76" i="28"/>
  <c r="BE76" i="28"/>
  <c r="BS75" i="28"/>
  <c r="BR75" i="28"/>
  <c r="BQ75" i="28"/>
  <c r="BP75" i="28"/>
  <c r="BO75" i="28"/>
  <c r="BN75" i="28"/>
  <c r="BM75" i="28"/>
  <c r="BL75" i="28"/>
  <c r="BK75" i="28"/>
  <c r="BJ75" i="28"/>
  <c r="BI75" i="28"/>
  <c r="BH75" i="28"/>
  <c r="BG75" i="28"/>
  <c r="BF75" i="28"/>
  <c r="BE75" i="28"/>
  <c r="BS74" i="28"/>
  <c r="BR74" i="28"/>
  <c r="BQ74" i="28"/>
  <c r="BP74" i="28"/>
  <c r="BO74" i="28"/>
  <c r="BN74" i="28"/>
  <c r="BM74" i="28"/>
  <c r="BL74" i="28"/>
  <c r="BK74" i="28"/>
  <c r="BJ74" i="28"/>
  <c r="BI74" i="28"/>
  <c r="BH74" i="28"/>
  <c r="BG74" i="28"/>
  <c r="BF74" i="28"/>
  <c r="BE74" i="28"/>
  <c r="BS73" i="28"/>
  <c r="BR73" i="28"/>
  <c r="BQ73" i="28"/>
  <c r="BP73" i="28"/>
  <c r="BO73" i="28"/>
  <c r="BN73" i="28"/>
  <c r="BM73" i="28"/>
  <c r="BL73" i="28"/>
  <c r="BK73" i="28"/>
  <c r="BJ73" i="28"/>
  <c r="BI73" i="28"/>
  <c r="BH73" i="28"/>
  <c r="BG73" i="28"/>
  <c r="BF73" i="28"/>
  <c r="BE73" i="28"/>
  <c r="BS72" i="28"/>
  <c r="BR72" i="28"/>
  <c r="BQ72" i="28"/>
  <c r="BP72" i="28"/>
  <c r="BO72" i="28"/>
  <c r="BN72" i="28"/>
  <c r="BM72" i="28"/>
  <c r="BL72" i="28"/>
  <c r="BK72" i="28"/>
  <c r="BJ72" i="28"/>
  <c r="BI72" i="28"/>
  <c r="BH72" i="28"/>
  <c r="BG72" i="28"/>
  <c r="BF72" i="28"/>
  <c r="BE72" i="28"/>
  <c r="BS71" i="28"/>
  <c r="BR71" i="28"/>
  <c r="BQ71" i="28"/>
  <c r="BP71" i="28"/>
  <c r="BO71" i="28"/>
  <c r="BN71" i="28"/>
  <c r="BM71" i="28"/>
  <c r="BL71" i="28"/>
  <c r="BK71" i="28"/>
  <c r="BJ71" i="28"/>
  <c r="BI71" i="28"/>
  <c r="BH71" i="28"/>
  <c r="BG71" i="28"/>
  <c r="BF71" i="28"/>
  <c r="BE71" i="28"/>
  <c r="BS70" i="28"/>
  <c r="BR70" i="28"/>
  <c r="BQ70" i="28"/>
  <c r="BP70" i="28"/>
  <c r="BO70" i="28"/>
  <c r="BN70" i="28"/>
  <c r="BM70" i="28"/>
  <c r="BL70" i="28"/>
  <c r="BK70" i="28"/>
  <c r="BJ70" i="28"/>
  <c r="BI70" i="28"/>
  <c r="BH70" i="28"/>
  <c r="BG70" i="28"/>
  <c r="BF70" i="28"/>
  <c r="BE70" i="28"/>
  <c r="BS69" i="28"/>
  <c r="BR69" i="28"/>
  <c r="BQ69" i="28"/>
  <c r="BP69" i="28"/>
  <c r="BO69" i="28"/>
  <c r="BN69" i="28"/>
  <c r="BM69" i="28"/>
  <c r="BL69" i="28"/>
  <c r="BK69" i="28"/>
  <c r="BJ69" i="28"/>
  <c r="BI69" i="28"/>
  <c r="BH69" i="28"/>
  <c r="BG69" i="28"/>
  <c r="BF69" i="28"/>
  <c r="BE69" i="28"/>
  <c r="BS68" i="28"/>
  <c r="BR68" i="28"/>
  <c r="BQ68" i="28"/>
  <c r="BP68" i="28"/>
  <c r="BO68" i="28"/>
  <c r="BN68" i="28"/>
  <c r="BM68" i="28"/>
  <c r="BL68" i="28"/>
  <c r="BK68" i="28"/>
  <c r="BJ68" i="28"/>
  <c r="BI68" i="28"/>
  <c r="BH68" i="28"/>
  <c r="BG68" i="28"/>
  <c r="BF68" i="28"/>
  <c r="BE68" i="28"/>
  <c r="BS67" i="28"/>
  <c r="BR67" i="28"/>
  <c r="BQ67" i="28"/>
  <c r="BP67" i="28"/>
  <c r="BO67" i="28"/>
  <c r="BN67" i="28"/>
  <c r="BM67" i="28"/>
  <c r="BL67" i="28"/>
  <c r="BK67" i="28"/>
  <c r="BJ67" i="28"/>
  <c r="BI67" i="28"/>
  <c r="BH67" i="28"/>
  <c r="BG67" i="28"/>
  <c r="BF67" i="28"/>
  <c r="BE67" i="28"/>
  <c r="BS66" i="28"/>
  <c r="BR66" i="28"/>
  <c r="BQ66" i="28"/>
  <c r="BP66" i="28"/>
  <c r="BO66" i="28"/>
  <c r="BN66" i="28"/>
  <c r="BM66" i="28"/>
  <c r="BL66" i="28"/>
  <c r="BK66" i="28"/>
  <c r="BJ66" i="28"/>
  <c r="BI66" i="28"/>
  <c r="BH66" i="28"/>
  <c r="BG66" i="28"/>
  <c r="BF66" i="28"/>
  <c r="BE66" i="28"/>
  <c r="BS65" i="28"/>
  <c r="BR65" i="28"/>
  <c r="BQ65" i="28"/>
  <c r="BP65" i="28"/>
  <c r="BO65" i="28"/>
  <c r="BN65" i="28"/>
  <c r="BM65" i="28"/>
  <c r="BL65" i="28"/>
  <c r="BK65" i="28"/>
  <c r="BJ65" i="28"/>
  <c r="BI65" i="28"/>
  <c r="BH65" i="28"/>
  <c r="BG65" i="28"/>
  <c r="BF65" i="28"/>
  <c r="BE65" i="28"/>
  <c r="BS64" i="28"/>
  <c r="BR64" i="28"/>
  <c r="BQ64" i="28"/>
  <c r="BP64" i="28"/>
  <c r="BO64" i="28"/>
  <c r="BN64" i="28"/>
  <c r="BM64" i="28"/>
  <c r="BL64" i="28"/>
  <c r="BK64" i="28"/>
  <c r="BJ64" i="28"/>
  <c r="BI64" i="28"/>
  <c r="BH64" i="28"/>
  <c r="BG64" i="28"/>
  <c r="BF64" i="28"/>
  <c r="BE64" i="28"/>
  <c r="BS63" i="28"/>
  <c r="BR63" i="28"/>
  <c r="BQ63" i="28"/>
  <c r="BP63" i="28"/>
  <c r="BO63" i="28"/>
  <c r="BN63" i="28"/>
  <c r="BM63" i="28"/>
  <c r="BL63" i="28"/>
  <c r="BK63" i="28"/>
  <c r="BJ63" i="28"/>
  <c r="BI63" i="28"/>
  <c r="BH63" i="28"/>
  <c r="BG63" i="28"/>
  <c r="BF63" i="28"/>
  <c r="BE63" i="28"/>
  <c r="BS62" i="28"/>
  <c r="BR62" i="28"/>
  <c r="BQ62" i="28"/>
  <c r="BP62" i="28"/>
  <c r="BO62" i="28"/>
  <c r="BN62" i="28"/>
  <c r="BM62" i="28"/>
  <c r="BL62" i="28"/>
  <c r="BK62" i="28"/>
  <c r="BJ62" i="28"/>
  <c r="BI62" i="28"/>
  <c r="BH62" i="28"/>
  <c r="BG62" i="28"/>
  <c r="BF62" i="28"/>
  <c r="BE62" i="28"/>
  <c r="BS61" i="28"/>
  <c r="BR61" i="28"/>
  <c r="BQ61" i="28"/>
  <c r="BP61" i="28"/>
  <c r="BO61" i="28"/>
  <c r="BN61" i="28"/>
  <c r="BM61" i="28"/>
  <c r="BL61" i="28"/>
  <c r="BK61" i="28"/>
  <c r="BJ61" i="28"/>
  <c r="BI61" i="28"/>
  <c r="BH61" i="28"/>
  <c r="BG61" i="28"/>
  <c r="BF61" i="28"/>
  <c r="BE61" i="28"/>
  <c r="BS60" i="28"/>
  <c r="BR60" i="28"/>
  <c r="BQ60" i="28"/>
  <c r="BP60" i="28"/>
  <c r="BO60" i="28"/>
  <c r="BN60" i="28"/>
  <c r="BM60" i="28"/>
  <c r="BL60" i="28"/>
  <c r="BK60" i="28"/>
  <c r="BJ60" i="28"/>
  <c r="BI60" i="28"/>
  <c r="BH60" i="28"/>
  <c r="BG60" i="28"/>
  <c r="BF60" i="28"/>
  <c r="BE60" i="28"/>
  <c r="BS59" i="28"/>
  <c r="BR59" i="28"/>
  <c r="BQ59" i="28"/>
  <c r="BP59" i="28"/>
  <c r="BO59" i="28"/>
  <c r="BN59" i="28"/>
  <c r="BM59" i="28"/>
  <c r="BL59" i="28"/>
  <c r="BK59" i="28"/>
  <c r="BJ59" i="28"/>
  <c r="BI59" i="28"/>
  <c r="BH59" i="28"/>
  <c r="BG59" i="28"/>
  <c r="BF59" i="28"/>
  <c r="BE59" i="28"/>
  <c r="BS58" i="28"/>
  <c r="BR58" i="28"/>
  <c r="BQ58" i="28"/>
  <c r="BP58" i="28"/>
  <c r="BO58" i="28"/>
  <c r="BN58" i="28"/>
  <c r="BM58" i="28"/>
  <c r="BL58" i="28"/>
  <c r="BK58" i="28"/>
  <c r="BJ58" i="28"/>
  <c r="BI58" i="28"/>
  <c r="BH58" i="28"/>
  <c r="BG58" i="28"/>
  <c r="BF58" i="28"/>
  <c r="BE58" i="28"/>
  <c r="BS57" i="28"/>
  <c r="BR57" i="28"/>
  <c r="BQ57" i="28"/>
  <c r="BP57" i="28"/>
  <c r="BO57" i="28"/>
  <c r="BN57" i="28"/>
  <c r="BM57" i="28"/>
  <c r="BL57" i="28"/>
  <c r="BK57" i="28"/>
  <c r="BJ57" i="28"/>
  <c r="BI57" i="28"/>
  <c r="BH57" i="28"/>
  <c r="BG57" i="28"/>
  <c r="BF57" i="28"/>
  <c r="BE57" i="28"/>
  <c r="BS56" i="28"/>
  <c r="BR56" i="28"/>
  <c r="BQ56" i="28"/>
  <c r="BP56" i="28"/>
  <c r="BO56" i="28"/>
  <c r="BN56" i="28"/>
  <c r="BM56" i="28"/>
  <c r="BL56" i="28"/>
  <c r="BK56" i="28"/>
  <c r="BJ56" i="28"/>
  <c r="BI56" i="28"/>
  <c r="BH56" i="28"/>
  <c r="BG56" i="28"/>
  <c r="BF56" i="28"/>
  <c r="BE56" i="28"/>
  <c r="BS55" i="28"/>
  <c r="BR55" i="28"/>
  <c r="BQ55" i="28"/>
  <c r="BP55" i="28"/>
  <c r="BO55" i="28"/>
  <c r="BN55" i="28"/>
  <c r="BM55" i="28"/>
  <c r="BL55" i="28"/>
  <c r="BK55" i="28"/>
  <c r="BJ55" i="28"/>
  <c r="BI55" i="28"/>
  <c r="BH55" i="28"/>
  <c r="BG55" i="28"/>
  <c r="BF55" i="28"/>
  <c r="BE55" i="28"/>
  <c r="BS54" i="28"/>
  <c r="BR54" i="28"/>
  <c r="BQ54" i="28"/>
  <c r="BP54" i="28"/>
  <c r="BO54" i="28"/>
  <c r="BN54" i="28"/>
  <c r="BM54" i="28"/>
  <c r="BL54" i="28"/>
  <c r="BK54" i="28"/>
  <c r="BJ54" i="28"/>
  <c r="BI54" i="28"/>
  <c r="BH54" i="28"/>
  <c r="BG54" i="28"/>
  <c r="BF54" i="28"/>
  <c r="BE54" i="28"/>
  <c r="BS53" i="28"/>
  <c r="BR53" i="28"/>
  <c r="BQ53" i="28"/>
  <c r="BP53" i="28"/>
  <c r="BO53" i="28"/>
  <c r="BN53" i="28"/>
  <c r="BM53" i="28"/>
  <c r="BL53" i="28"/>
  <c r="BK53" i="28"/>
  <c r="BJ53" i="28"/>
  <c r="BI53" i="28"/>
  <c r="BH53" i="28"/>
  <c r="BG53" i="28"/>
  <c r="BF53" i="28"/>
  <c r="BE53" i="28"/>
  <c r="BS52" i="28"/>
  <c r="BR52" i="28"/>
  <c r="BQ52" i="28"/>
  <c r="BP52" i="28"/>
  <c r="BO52" i="28"/>
  <c r="BN52" i="28"/>
  <c r="BM52" i="28"/>
  <c r="BL52" i="28"/>
  <c r="BK52" i="28"/>
  <c r="BJ52" i="28"/>
  <c r="BI52" i="28"/>
  <c r="BH52" i="28"/>
  <c r="BG52" i="28"/>
  <c r="BF52" i="28"/>
  <c r="BE52" i="28"/>
  <c r="BS51" i="28"/>
  <c r="BR51" i="28"/>
  <c r="BQ51" i="28"/>
  <c r="BP51" i="28"/>
  <c r="BO51" i="28"/>
  <c r="BN51" i="28"/>
  <c r="BM51" i="28"/>
  <c r="BL51" i="28"/>
  <c r="BK51" i="28"/>
  <c r="BJ51" i="28"/>
  <c r="BI51" i="28"/>
  <c r="BH51" i="28"/>
  <c r="BG51" i="28"/>
  <c r="BF51" i="28"/>
  <c r="BE51" i="28"/>
  <c r="BS50" i="28"/>
  <c r="BR50" i="28"/>
  <c r="BQ50" i="28"/>
  <c r="BP50" i="28"/>
  <c r="BO50" i="28"/>
  <c r="BN50" i="28"/>
  <c r="BM50" i="28"/>
  <c r="BL50" i="28"/>
  <c r="BK50" i="28"/>
  <c r="BJ50" i="28"/>
  <c r="BI50" i="28"/>
  <c r="BH50" i="28"/>
  <c r="BG50" i="28"/>
  <c r="BF50" i="28"/>
  <c r="BE50" i="28"/>
  <c r="BS49" i="28"/>
  <c r="BR49" i="28"/>
  <c r="BQ49" i="28"/>
  <c r="BP49" i="28"/>
  <c r="BO49" i="28"/>
  <c r="BN49" i="28"/>
  <c r="BM49" i="28"/>
  <c r="BL49" i="28"/>
  <c r="BK49" i="28"/>
  <c r="BJ49" i="28"/>
  <c r="BI49" i="28"/>
  <c r="BH49" i="28"/>
  <c r="BG49" i="28"/>
  <c r="BF49" i="28"/>
  <c r="BE49" i="28"/>
  <c r="BS48" i="28"/>
  <c r="BR48" i="28"/>
  <c r="BQ48" i="28"/>
  <c r="BP48" i="28"/>
  <c r="BO48" i="28"/>
  <c r="BN48" i="28"/>
  <c r="BM48" i="28"/>
  <c r="BL48" i="28"/>
  <c r="BK48" i="28"/>
  <c r="BJ48" i="28"/>
  <c r="BI48" i="28"/>
  <c r="BH48" i="28"/>
  <c r="BG48" i="28"/>
  <c r="BF48" i="28"/>
  <c r="BE48" i="28"/>
  <c r="BS47" i="28"/>
  <c r="BR47" i="28"/>
  <c r="BQ47" i="28"/>
  <c r="BP47" i="28"/>
  <c r="BO47" i="28"/>
  <c r="BN47" i="28"/>
  <c r="BM47" i="28"/>
  <c r="BL47" i="28"/>
  <c r="BK47" i="28"/>
  <c r="BJ47" i="28"/>
  <c r="BI47" i="28"/>
  <c r="BH47" i="28"/>
  <c r="BG47" i="28"/>
  <c r="BF47" i="28"/>
  <c r="BE47" i="28"/>
  <c r="BS46" i="28"/>
  <c r="BR46" i="28"/>
  <c r="BQ46" i="28"/>
  <c r="BP46" i="28"/>
  <c r="BO46" i="28"/>
  <c r="BN46" i="28"/>
  <c r="BM46" i="28"/>
  <c r="BL46" i="28"/>
  <c r="BK46" i="28"/>
  <c r="BJ46" i="28"/>
  <c r="BI46" i="28"/>
  <c r="BH46" i="28"/>
  <c r="BG46" i="28"/>
  <c r="BF46" i="28"/>
  <c r="BE46" i="28"/>
  <c r="BS45" i="28"/>
  <c r="BR45" i="28"/>
  <c r="BQ45" i="28"/>
  <c r="BP45" i="28"/>
  <c r="BO45" i="28"/>
  <c r="BL45" i="28"/>
  <c r="BK45" i="28"/>
  <c r="BJ45" i="28"/>
  <c r="BG45" i="28"/>
  <c r="BF45" i="28"/>
  <c r="BE45" i="28"/>
  <c r="BS44" i="28"/>
  <c r="BR44" i="28"/>
  <c r="BQ44" i="28"/>
  <c r="BP44" i="28"/>
  <c r="BO44" i="28"/>
  <c r="BN44" i="28"/>
  <c r="BM44" i="28"/>
  <c r="BL44" i="28"/>
  <c r="BK44" i="28"/>
  <c r="BJ44" i="28"/>
  <c r="BI44" i="28"/>
  <c r="BH44" i="28"/>
  <c r="BG44" i="28"/>
  <c r="BF44" i="28"/>
  <c r="BE44" i="28"/>
  <c r="BS43" i="28"/>
  <c r="BR43" i="28"/>
  <c r="BQ43" i="28"/>
  <c r="BP43" i="28"/>
  <c r="BO43" i="28"/>
  <c r="BN43" i="28"/>
  <c r="BM43" i="28"/>
  <c r="BL43" i="28"/>
  <c r="BK43" i="28"/>
  <c r="BJ43" i="28"/>
  <c r="BI43" i="28"/>
  <c r="BH43" i="28"/>
  <c r="BG43" i="28"/>
  <c r="BF43" i="28"/>
  <c r="BE43" i="28"/>
  <c r="BS42" i="28"/>
  <c r="BR42" i="28"/>
  <c r="BQ42" i="28"/>
  <c r="BP42" i="28"/>
  <c r="BO42" i="28"/>
  <c r="BN42" i="28"/>
  <c r="BM42" i="28"/>
  <c r="BL42" i="28"/>
  <c r="BK42" i="28"/>
  <c r="BJ42" i="28"/>
  <c r="BI42" i="28"/>
  <c r="BH42" i="28"/>
  <c r="BG42" i="28"/>
  <c r="BF42" i="28"/>
  <c r="BE42" i="28"/>
  <c r="BS41" i="28"/>
  <c r="BR41" i="28"/>
  <c r="BQ41" i="28"/>
  <c r="BP41" i="28"/>
  <c r="BO41" i="28"/>
  <c r="BN41" i="28"/>
  <c r="BM41" i="28"/>
  <c r="BL41" i="28"/>
  <c r="BK41" i="28"/>
  <c r="BJ41" i="28"/>
  <c r="BI41" i="28"/>
  <c r="BH41" i="28"/>
  <c r="BG41" i="28"/>
  <c r="BF41" i="28"/>
  <c r="BE41" i="28"/>
  <c r="BS40" i="28"/>
  <c r="BR40" i="28"/>
  <c r="BQ40" i="28"/>
  <c r="BP40" i="28"/>
  <c r="BO40" i="28"/>
  <c r="BN40" i="28"/>
  <c r="BM40" i="28"/>
  <c r="BL40" i="28"/>
  <c r="BK40" i="28"/>
  <c r="BJ40" i="28"/>
  <c r="BI40" i="28"/>
  <c r="BH40" i="28"/>
  <c r="BG40" i="28"/>
  <c r="BF40" i="28"/>
  <c r="BE40" i="28"/>
  <c r="BS39" i="28"/>
  <c r="BR39" i="28"/>
  <c r="BQ39" i="28"/>
  <c r="BP39" i="28"/>
  <c r="BO39" i="28"/>
  <c r="BN39" i="28"/>
  <c r="BM39" i="28"/>
  <c r="BL39" i="28"/>
  <c r="BK39" i="28"/>
  <c r="BJ39" i="28"/>
  <c r="BI39" i="28"/>
  <c r="BH39" i="28"/>
  <c r="BG39" i="28"/>
  <c r="BF39" i="28"/>
  <c r="BE39" i="28"/>
  <c r="BS38" i="28"/>
  <c r="BR38" i="28"/>
  <c r="BQ38" i="28"/>
  <c r="BP38" i="28"/>
  <c r="BO38" i="28"/>
  <c r="BN38" i="28"/>
  <c r="BM38" i="28"/>
  <c r="BL38" i="28"/>
  <c r="BK38" i="28"/>
  <c r="BJ38" i="28"/>
  <c r="BI38" i="28"/>
  <c r="BH38" i="28"/>
  <c r="BG38" i="28"/>
  <c r="BF38" i="28"/>
  <c r="BE38" i="28"/>
  <c r="BS37" i="28"/>
  <c r="BR37" i="28"/>
  <c r="BQ37" i="28"/>
  <c r="BP37" i="28"/>
  <c r="BO37" i="28"/>
  <c r="BN37" i="28"/>
  <c r="BM37" i="28"/>
  <c r="BL37" i="28"/>
  <c r="BK37" i="28"/>
  <c r="BJ37" i="28"/>
  <c r="BI37" i="28"/>
  <c r="BH37" i="28"/>
  <c r="BG37" i="28"/>
  <c r="BF37" i="28"/>
  <c r="BE37" i="28"/>
  <c r="BS36" i="28"/>
  <c r="BQ36" i="28"/>
  <c r="BP36" i="28"/>
  <c r="BO36" i="28"/>
  <c r="BN36" i="28"/>
  <c r="BL36" i="28"/>
  <c r="BK36" i="28"/>
  <c r="BJ36" i="28"/>
  <c r="BI36" i="28"/>
  <c r="BG36" i="28"/>
  <c r="BF36" i="28"/>
  <c r="BE36" i="28"/>
  <c r="BG35" i="28"/>
  <c r="BF35" i="28"/>
  <c r="BE35" i="28"/>
  <c r="BG34" i="28"/>
  <c r="BF34" i="28"/>
  <c r="BE34" i="28"/>
  <c r="BG33" i="28"/>
  <c r="BF33" i="28"/>
  <c r="BE33" i="28"/>
  <c r="BG32" i="28"/>
  <c r="BF32" i="28"/>
  <c r="BE32" i="28"/>
  <c r="BG31" i="28"/>
  <c r="BF31" i="28"/>
  <c r="BE31" i="28"/>
  <c r="BG30" i="28"/>
  <c r="BF30" i="28"/>
  <c r="BE30" i="28"/>
  <c r="BG29" i="28"/>
  <c r="BF29" i="28"/>
  <c r="BE29" i="28"/>
  <c r="BG28" i="28"/>
  <c r="BF28" i="28"/>
  <c r="BE28" i="28"/>
  <c r="BG27" i="28"/>
  <c r="BF27" i="28"/>
  <c r="BE27" i="28"/>
  <c r="BG26" i="28"/>
  <c r="BF26" i="28"/>
  <c r="BE26" i="28"/>
  <c r="BG25" i="28"/>
  <c r="BF25" i="28"/>
  <c r="BE25" i="28"/>
  <c r="BG24" i="28"/>
  <c r="BF24" i="28"/>
  <c r="BE24" i="28"/>
  <c r="BG23" i="28"/>
  <c r="BF23" i="28"/>
  <c r="BE23" i="28"/>
  <c r="BG22" i="28"/>
  <c r="BF22" i="28"/>
  <c r="BE22" i="28"/>
  <c r="BG21" i="28"/>
  <c r="BF21" i="28"/>
  <c r="BE21" i="28"/>
  <c r="BG20" i="28"/>
  <c r="BF20" i="28"/>
  <c r="BE20" i="28"/>
  <c r="BG19" i="28"/>
  <c r="BF19" i="28"/>
  <c r="BE19" i="28"/>
  <c r="BG18" i="28"/>
  <c r="BF18" i="28"/>
  <c r="BE18" i="28"/>
  <c r="BG17" i="28"/>
  <c r="BF17" i="28"/>
  <c r="BE17" i="28"/>
  <c r="BG16" i="28"/>
  <c r="BF16" i="28"/>
  <c r="BE16" i="28"/>
  <c r="BG15" i="28"/>
  <c r="BF15" i="28"/>
  <c r="BE15" i="28"/>
  <c r="BG14" i="28"/>
  <c r="BF14" i="28"/>
  <c r="BE14" i="28"/>
  <c r="BH7" i="28"/>
  <c r="BH23" i="62" s="1"/>
  <c r="F124" i="22" a="1"/>
  <c r="DH20" i="28" l="1"/>
  <c r="DH19" i="28"/>
  <c r="DH18" i="28"/>
  <c r="F519" i="22" a="1"/>
  <c r="BT23" i="62"/>
  <c r="BI20" i="28"/>
  <c r="BS38" i="62"/>
  <c r="BN38" i="62"/>
  <c r="BS37" i="62"/>
  <c r="BR37" i="62"/>
  <c r="BQ37" i="62"/>
  <c r="BN37" i="62"/>
  <c r="BK37" i="62"/>
  <c r="BS35" i="62"/>
  <c r="BP35" i="62"/>
  <c r="BJ35" i="62"/>
  <c r="BS33" i="62"/>
  <c r="BQ33" i="62"/>
  <c r="BN33" i="62"/>
  <c r="BJ33" i="62"/>
  <c r="BS31" i="62"/>
  <c r="BP31" i="62"/>
  <c r="BL31" i="62"/>
  <c r="BS30" i="62"/>
  <c r="BR30" i="62"/>
  <c r="BQ30" i="62"/>
  <c r="BP30" i="62"/>
  <c r="BM30" i="62"/>
  <c r="BJ30" i="62"/>
  <c r="BN29" i="62"/>
  <c r="BS27" i="62"/>
  <c r="BR27" i="62"/>
  <c r="BQ27" i="62"/>
  <c r="BN27" i="62"/>
  <c r="BJ27" i="62"/>
  <c r="BS26" i="62"/>
  <c r="BR26" i="62"/>
  <c r="BQ26" i="62"/>
  <c r="BO26" i="62"/>
  <c r="BL26" i="62"/>
  <c r="BI26" i="62"/>
  <c r="BS25" i="62"/>
  <c r="BR25" i="62"/>
  <c r="BQ25" i="62"/>
  <c r="BP25" i="62"/>
  <c r="BO25" i="62"/>
  <c r="BK25" i="62"/>
  <c r="BR41" i="62"/>
  <c r="BP41" i="62"/>
  <c r="BN41" i="62"/>
  <c r="BL41" i="62"/>
  <c r="BJ41" i="62"/>
  <c r="BH41" i="62"/>
  <c r="BS40" i="62"/>
  <c r="BR40" i="62"/>
  <c r="BQ40" i="62"/>
  <c r="BP40" i="62"/>
  <c r="BO40" i="62"/>
  <c r="BM40" i="62"/>
  <c r="BK40" i="62"/>
  <c r="BI40" i="62"/>
  <c r="BP39" i="62"/>
  <c r="BN39" i="62"/>
  <c r="BL39" i="62"/>
  <c r="BJ39" i="62"/>
  <c r="BH39" i="62"/>
  <c r="BR38" i="62"/>
  <c r="BP38" i="62"/>
  <c r="BL38" i="62"/>
  <c r="BJ38" i="62"/>
  <c r="BH38" i="62"/>
  <c r="BJ37" i="62"/>
  <c r="BM36" i="62"/>
  <c r="BK36" i="62"/>
  <c r="BH36" i="62"/>
  <c r="BN35" i="62"/>
  <c r="BK35" i="62"/>
  <c r="BH35" i="62"/>
  <c r="BM34" i="62"/>
  <c r="BJ34" i="62"/>
  <c r="BH34" i="62"/>
  <c r="BR33" i="62"/>
  <c r="BP33" i="62"/>
  <c r="BO33" i="62"/>
  <c r="BM33" i="62"/>
  <c r="BK33" i="62"/>
  <c r="BH33" i="62"/>
  <c r="BK32" i="62"/>
  <c r="BH32" i="62"/>
  <c r="BR31" i="62"/>
  <c r="BQ31" i="62"/>
  <c r="BO31" i="62"/>
  <c r="BN31" i="62"/>
  <c r="BK31" i="62"/>
  <c r="BI31" i="62"/>
  <c r="BH30" i="62"/>
  <c r="BL29" i="62"/>
  <c r="BJ29" i="62"/>
  <c r="BS28" i="62"/>
  <c r="BR28" i="62"/>
  <c r="BP28" i="62"/>
  <c r="BN28" i="62"/>
  <c r="BL28" i="62"/>
  <c r="BJ28" i="62"/>
  <c r="BH28" i="62"/>
  <c r="BO27" i="62"/>
  <c r="BL27" i="62"/>
  <c r="BI27" i="62"/>
  <c r="BN25" i="62"/>
  <c r="BL25" i="62"/>
  <c r="BI25" i="62"/>
  <c r="BS24" i="62"/>
  <c r="BR24" i="62"/>
  <c r="BQ24" i="62"/>
  <c r="BP24" i="62"/>
  <c r="BO24" i="62"/>
  <c r="BN24" i="62"/>
  <c r="BM24" i="62"/>
  <c r="BL24" i="62"/>
  <c r="BK24" i="62"/>
  <c r="BI24" i="62"/>
  <c r="BS22" i="62"/>
  <c r="BR22" i="62"/>
  <c r="BQ22" i="62"/>
  <c r="BP22" i="62"/>
  <c r="BO22" i="62"/>
  <c r="BN22" i="62"/>
  <c r="BM22" i="62"/>
  <c r="BL22" i="62"/>
  <c r="BJ22" i="62"/>
  <c r="BS41" i="62"/>
  <c r="BQ41" i="62"/>
  <c r="BO41" i="62"/>
  <c r="BM41" i="62"/>
  <c r="BK41" i="62"/>
  <c r="BI41" i="62"/>
  <c r="BN40" i="62"/>
  <c r="BL40" i="62"/>
  <c r="BJ40" i="62"/>
  <c r="BH40" i="62"/>
  <c r="BS39" i="62"/>
  <c r="BR39" i="62"/>
  <c r="BQ39" i="62"/>
  <c r="BO39" i="62"/>
  <c r="BM39" i="62"/>
  <c r="BK39" i="62"/>
  <c r="BI39" i="62"/>
  <c r="BQ38" i="62"/>
  <c r="BO38" i="62"/>
  <c r="BM38" i="62"/>
  <c r="BK38" i="62"/>
  <c r="BI38" i="62"/>
  <c r="BP37" i="62"/>
  <c r="BO37" i="62"/>
  <c r="BM37" i="62"/>
  <c r="BL37" i="62"/>
  <c r="BI37" i="62"/>
  <c r="BH37" i="62"/>
  <c r="BS36" i="62"/>
  <c r="BR36" i="62"/>
  <c r="BQ36" i="62"/>
  <c r="BP36" i="62"/>
  <c r="BO36" i="62"/>
  <c r="BN36" i="62"/>
  <c r="BL36" i="62"/>
  <c r="BJ36" i="62"/>
  <c r="BI36" i="62"/>
  <c r="BR35" i="62"/>
  <c r="BQ35" i="62"/>
  <c r="BO35" i="62"/>
  <c r="BM35" i="62"/>
  <c r="BL35" i="62"/>
  <c r="BI35" i="62"/>
  <c r="BS34" i="62"/>
  <c r="BR34" i="62"/>
  <c r="BQ34" i="62"/>
  <c r="BP34" i="62"/>
  <c r="BO34" i="62"/>
  <c r="BN34" i="62"/>
  <c r="BL34" i="62"/>
  <c r="BK34" i="62"/>
  <c r="BI34" i="62"/>
  <c r="BL33" i="62"/>
  <c r="BI33" i="62"/>
  <c r="BS32" i="62"/>
  <c r="BR32" i="62"/>
  <c r="BQ32" i="62"/>
  <c r="BP32" i="62"/>
  <c r="BO32" i="62"/>
  <c r="BN32" i="62"/>
  <c r="BM32" i="62"/>
  <c r="BL32" i="62"/>
  <c r="BJ32" i="62"/>
  <c r="BI32" i="62"/>
  <c r="BM31" i="62"/>
  <c r="BJ31" i="62"/>
  <c r="BH31" i="62"/>
  <c r="BO30" i="62"/>
  <c r="BN30" i="62"/>
  <c r="BL30" i="62"/>
  <c r="BK30" i="62"/>
  <c r="BI30" i="62"/>
  <c r="BS29" i="62"/>
  <c r="BR29" i="62"/>
  <c r="BQ29" i="62"/>
  <c r="BP29" i="62"/>
  <c r="BO29" i="62"/>
  <c r="BM29" i="62"/>
  <c r="BK29" i="62"/>
  <c r="BI29" i="62"/>
  <c r="BH29" i="62"/>
  <c r="BQ28" i="62"/>
  <c r="BO28" i="62"/>
  <c r="BM28" i="62"/>
  <c r="BK28" i="62"/>
  <c r="BI28" i="62"/>
  <c r="BP27" i="62"/>
  <c r="BM27" i="62"/>
  <c r="BK27" i="62"/>
  <c r="BH27" i="62"/>
  <c r="BP26" i="62"/>
  <c r="BN26" i="62"/>
  <c r="BM26" i="62"/>
  <c r="BK26" i="62"/>
  <c r="BJ26" i="62"/>
  <c r="BH26" i="62"/>
  <c r="BM25" i="62"/>
  <c r="BJ25" i="62"/>
  <c r="BH25" i="62"/>
  <c r="BJ24" i="62"/>
  <c r="BH24" i="62"/>
  <c r="BK22" i="62"/>
  <c r="BI22" i="62"/>
  <c r="BH22" i="62"/>
  <c r="AQ922" i="44"/>
  <c r="AQ915" i="44"/>
  <c r="AQ927" i="44"/>
  <c r="AQ914" i="44"/>
  <c r="AQ929" i="44"/>
  <c r="AQ916" i="44"/>
  <c r="AQ917" i="44"/>
  <c r="AQ918" i="44"/>
  <c r="AQ919" i="44"/>
  <c r="AQ921" i="44"/>
  <c r="AQ923" i="44"/>
  <c r="AQ924" i="44"/>
  <c r="AQ925" i="44"/>
  <c r="AQ926" i="44"/>
  <c r="AQ928" i="44"/>
  <c r="AQ913" i="44"/>
  <c r="AQ920" i="44"/>
  <c r="BR36" i="28"/>
  <c r="BM36" i="28"/>
  <c r="BH36" i="28"/>
  <c r="BT51" i="39" a="1"/>
  <c r="BT54" i="39" a="1"/>
  <c r="BT50" i="39" a="1"/>
  <c r="BT55" i="39" a="1"/>
  <c r="BT56" i="39" a="1"/>
  <c r="BT57" i="39" a="1"/>
  <c r="BT52" i="39" a="1"/>
  <c r="BT58" i="39" a="1"/>
  <c r="BT53" i="39" a="1"/>
  <c r="BT59" i="39" a="1"/>
  <c r="BN45" i="28"/>
  <c r="BM45" i="28"/>
  <c r="BI45" i="28"/>
  <c r="BH45" i="28"/>
  <c r="H214" i="22"/>
  <c r="H614" i="22"/>
  <c r="BV100" i="28" a="1"/>
  <c r="P93" i="7" a="1"/>
  <c r="P91" i="7" a="1"/>
  <c r="P90" i="7" a="1"/>
  <c r="P89" i="7" a="1"/>
  <c r="P88" i="7" a="1"/>
  <c r="P87" i="7" a="1"/>
  <c r="P86" i="7" a="1"/>
  <c r="P92" i="7" a="1"/>
  <c r="DH21" i="28" s="1"/>
  <c r="H5" i="5"/>
  <c r="H6" i="5" s="1"/>
  <c r="H257" i="22"/>
  <c r="G128" i="51"/>
  <c r="A128" i="51" s="1"/>
  <c r="H209" i="22"/>
  <c r="H196" i="22"/>
  <c r="H245" i="22"/>
  <c r="H233" i="22"/>
  <c r="H221" i="22"/>
  <c r="H197" i="22"/>
  <c r="H261" i="22"/>
  <c r="H249" i="22"/>
  <c r="H237" i="22"/>
  <c r="H225" i="22"/>
  <c r="H213" i="22"/>
  <c r="H201" i="22"/>
  <c r="H260" i="22"/>
  <c r="H248" i="22"/>
  <c r="H236" i="22"/>
  <c r="H224" i="22"/>
  <c r="H212" i="22"/>
  <c r="H200" i="22"/>
  <c r="H188" i="22"/>
  <c r="H259" i="22"/>
  <c r="H247" i="22"/>
  <c r="H235" i="22"/>
  <c r="H223" i="22"/>
  <c r="H211" i="22"/>
  <c r="H199" i="22"/>
  <c r="H258" i="22"/>
  <c r="H246" i="22"/>
  <c r="H234" i="22"/>
  <c r="H222" i="22"/>
  <c r="H210" i="22"/>
  <c r="H198" i="22"/>
  <c r="H256" i="22"/>
  <c r="H244" i="22"/>
  <c r="H255" i="22"/>
  <c r="H243" i="22"/>
  <c r="H231" i="22"/>
  <c r="H219" i="22"/>
  <c r="H207" i="22"/>
  <c r="H195" i="22"/>
  <c r="H254" i="22"/>
  <c r="H242" i="22"/>
  <c r="H230" i="22"/>
  <c r="H218" i="22"/>
  <c r="H206" i="22"/>
  <c r="H194" i="22"/>
  <c r="H232" i="22"/>
  <c r="H253" i="22"/>
  <c r="H241" i="22"/>
  <c r="H229" i="22"/>
  <c r="H217" i="22"/>
  <c r="H205" i="22"/>
  <c r="H193" i="22"/>
  <c r="H208" i="22"/>
  <c r="H264" i="22"/>
  <c r="H252" i="22"/>
  <c r="H240" i="22"/>
  <c r="H228" i="22"/>
  <c r="H216" i="22"/>
  <c r="H204" i="22"/>
  <c r="H192" i="22"/>
  <c r="H220" i="22"/>
  <c r="H263" i="22"/>
  <c r="H251" i="22"/>
  <c r="H239" i="22"/>
  <c r="H227" i="22"/>
  <c r="H215" i="22"/>
  <c r="H203" i="22"/>
  <c r="H191" i="22"/>
  <c r="H262" i="22"/>
  <c r="H250" i="22"/>
  <c r="H238" i="22"/>
  <c r="H226" i="22"/>
  <c r="H202" i="22"/>
  <c r="BU113" i="28"/>
  <c r="BV113" i="28" s="1" a="1"/>
  <c r="CM113" i="28"/>
  <c r="CH12" i="28"/>
  <c r="BS12" i="28"/>
  <c r="CG12" i="28"/>
  <c r="BR12" i="28"/>
  <c r="CF12" i="28"/>
  <c r="BQ12" i="28"/>
  <c r="CE12" i="28"/>
  <c r="BP12" i="28"/>
  <c r="CD12" i="28"/>
  <c r="BO12" i="28"/>
  <c r="CC12" i="28"/>
  <c r="BN12" i="28"/>
  <c r="CB12" i="28"/>
  <c r="BM12" i="28"/>
  <c r="CA12" i="28"/>
  <c r="BL12" i="28"/>
  <c r="BZ12" i="28"/>
  <c r="BK12" i="28"/>
  <c r="BY12" i="28"/>
  <c r="BJ12" i="28"/>
  <c r="BX12" i="28"/>
  <c r="BI12" i="28"/>
  <c r="BW12" i="28"/>
  <c r="BH12" i="28"/>
  <c r="CM72" i="28"/>
  <c r="CK72" i="28"/>
  <c r="BU72" i="28"/>
  <c r="BV72" i="28" s="1" a="1"/>
  <c r="BR35" i="28"/>
  <c r="BQ35" i="28"/>
  <c r="BP35" i="28"/>
  <c r="BO35" i="28"/>
  <c r="BN35" i="28"/>
  <c r="BM35" i="28"/>
  <c r="BL35" i="28"/>
  <c r="BK35" i="28"/>
  <c r="BJ35" i="28"/>
  <c r="BI35" i="28"/>
  <c r="BH35" i="28"/>
  <c r="BS34" i="28"/>
  <c r="BR34" i="28"/>
  <c r="BQ34" i="28"/>
  <c r="BP34" i="28"/>
  <c r="BO34" i="28"/>
  <c r="BN34" i="28"/>
  <c r="BM34" i="28"/>
  <c r="BL34" i="28"/>
  <c r="BK34" i="28"/>
  <c r="BJ34" i="28"/>
  <c r="BI34" i="28"/>
  <c r="BH34" i="28"/>
  <c r="BS33" i="28"/>
  <c r="BR33" i="28"/>
  <c r="BQ33" i="28"/>
  <c r="BP33" i="28"/>
  <c r="BO33" i="28"/>
  <c r="BN33" i="28"/>
  <c r="BM33" i="28"/>
  <c r="BL33" i="28"/>
  <c r="BK33" i="28"/>
  <c r="BJ33" i="28"/>
  <c r="BI33" i="28"/>
  <c r="BH33" i="28"/>
  <c r="BS32" i="28"/>
  <c r="BR32" i="28"/>
  <c r="BQ32" i="28"/>
  <c r="BP32" i="28"/>
  <c r="BO32" i="28"/>
  <c r="BN32" i="28"/>
  <c r="BM32" i="28"/>
  <c r="BL32" i="28"/>
  <c r="BK32" i="28"/>
  <c r="BJ32" i="28"/>
  <c r="BI32" i="28"/>
  <c r="BH32" i="28"/>
  <c r="BS31" i="28"/>
  <c r="BR31" i="28"/>
  <c r="BQ31" i="28"/>
  <c r="BP31" i="28"/>
  <c r="BO31" i="28"/>
  <c r="BN31" i="28"/>
  <c r="BM31" i="28"/>
  <c r="BL31" i="28"/>
  <c r="BK31" i="28"/>
  <c r="BJ31" i="28"/>
  <c r="BI31" i="28"/>
  <c r="BH31" i="28"/>
  <c r="BS30" i="28"/>
  <c r="BR30" i="28"/>
  <c r="BQ30" i="28"/>
  <c r="BP30" i="28"/>
  <c r="BO30" i="28"/>
  <c r="BN30" i="28"/>
  <c r="BM30" i="28"/>
  <c r="BL30" i="28"/>
  <c r="BK30" i="28"/>
  <c r="BJ30" i="28"/>
  <c r="BI30" i="28"/>
  <c r="BH30" i="28"/>
  <c r="BS29" i="28"/>
  <c r="BR29" i="28"/>
  <c r="BQ29" i="28"/>
  <c r="BP29" i="28"/>
  <c r="BO29" i="28"/>
  <c r="BN29" i="28"/>
  <c r="BM29" i="28"/>
  <c r="BL29" i="28"/>
  <c r="BK29" i="28"/>
  <c r="BJ29" i="28"/>
  <c r="BI29" i="28"/>
  <c r="BH29" i="28"/>
  <c r="BS28" i="28"/>
  <c r="BR28" i="28"/>
  <c r="BQ28" i="28"/>
  <c r="BP28" i="28"/>
  <c r="BO28" i="28"/>
  <c r="BN28" i="28"/>
  <c r="BM28" i="28"/>
  <c r="BL28" i="28"/>
  <c r="BK28" i="28"/>
  <c r="BJ28" i="28"/>
  <c r="BI28" i="28"/>
  <c r="BH28" i="28"/>
  <c r="BS27" i="28"/>
  <c r="BR27" i="28"/>
  <c r="BQ27" i="28"/>
  <c r="BP27" i="28"/>
  <c r="BO27" i="28"/>
  <c r="BN27" i="28"/>
  <c r="BM27" i="28"/>
  <c r="BL27" i="28"/>
  <c r="BK27" i="28"/>
  <c r="BJ27" i="28"/>
  <c r="BI27" i="28"/>
  <c r="BH27" i="28"/>
  <c r="BS26" i="28"/>
  <c r="BR26" i="28"/>
  <c r="BQ26" i="28"/>
  <c r="BP26" i="28"/>
  <c r="BO26" i="28"/>
  <c r="BN26" i="28"/>
  <c r="BM26" i="28"/>
  <c r="BL26" i="28"/>
  <c r="BK26" i="28"/>
  <c r="BJ26" i="28"/>
  <c r="BI26" i="28"/>
  <c r="BH26" i="28"/>
  <c r="BS25" i="28"/>
  <c r="BR25" i="28"/>
  <c r="BQ25" i="28"/>
  <c r="BP25" i="28"/>
  <c r="BO25" i="28"/>
  <c r="BN25" i="28"/>
  <c r="BM25" i="28"/>
  <c r="BL25" i="28"/>
  <c r="BK25" i="28"/>
  <c r="BJ25" i="28"/>
  <c r="BI25" i="28"/>
  <c r="BH25" i="28"/>
  <c r="BS24" i="28"/>
  <c r="BR24" i="28"/>
  <c r="BQ24" i="28"/>
  <c r="BP24" i="28"/>
  <c r="BO24" i="28"/>
  <c r="BN24" i="28"/>
  <c r="BM24" i="28"/>
  <c r="BL24" i="28"/>
  <c r="BK24" i="28"/>
  <c r="BJ24" i="28"/>
  <c r="BI24" i="28"/>
  <c r="BH24" i="28"/>
  <c r="BS23" i="28"/>
  <c r="BR23" i="28"/>
  <c r="BQ23" i="28"/>
  <c r="BP23" i="28"/>
  <c r="BO23" i="28"/>
  <c r="BN23" i="28"/>
  <c r="BM23" i="28"/>
  <c r="BL23" i="28"/>
  <c r="BK23" i="28"/>
  <c r="BJ23" i="28"/>
  <c r="BI23" i="28"/>
  <c r="BH23" i="28"/>
  <c r="BS22" i="28"/>
  <c r="BR22" i="28"/>
  <c r="BQ22" i="28"/>
  <c r="BP22" i="28"/>
  <c r="BO22" i="28"/>
  <c r="BN22" i="28"/>
  <c r="BM22" i="28"/>
  <c r="BL22" i="28"/>
  <c r="BK22" i="28"/>
  <c r="BJ22" i="28"/>
  <c r="BI22" i="28"/>
  <c r="BH22" i="28"/>
  <c r="BS21" i="28"/>
  <c r="BR21" i="28"/>
  <c r="BQ21" i="28"/>
  <c r="BP21" i="28"/>
  <c r="BO21" i="28"/>
  <c r="BN21" i="28"/>
  <c r="BM21" i="28"/>
  <c r="BL21" i="28"/>
  <c r="BK21" i="28"/>
  <c r="BJ21" i="28"/>
  <c r="BI21" i="28"/>
  <c r="BH21" i="28"/>
  <c r="BS20" i="28"/>
  <c r="BR20" i="28"/>
  <c r="BQ20" i="28"/>
  <c r="BP20" i="28"/>
  <c r="BO20" i="28"/>
  <c r="BN20" i="28"/>
  <c r="BM20" i="28"/>
  <c r="BL20" i="28"/>
  <c r="BK20" i="28"/>
  <c r="BJ20" i="28"/>
  <c r="BH20" i="28"/>
  <c r="BS19" i="28"/>
  <c r="BR19" i="28"/>
  <c r="BQ19" i="28"/>
  <c r="BP19" i="28"/>
  <c r="BN19" i="28"/>
  <c r="BM19" i="28"/>
  <c r="BL19" i="28"/>
  <c r="BK19" i="28"/>
  <c r="BJ19" i="28"/>
  <c r="BI19" i="28"/>
  <c r="BH19" i="28"/>
  <c r="BS18" i="28"/>
  <c r="BR18" i="28"/>
  <c r="BQ18" i="28"/>
  <c r="BP18" i="28"/>
  <c r="BO18" i="28"/>
  <c r="BN18" i="28"/>
  <c r="BM18" i="28"/>
  <c r="BL18" i="28"/>
  <c r="BK18" i="28"/>
  <c r="BJ18" i="28"/>
  <c r="BI18" i="28"/>
  <c r="BH18" i="28"/>
  <c r="BS17" i="28"/>
  <c r="BR17" i="28"/>
  <c r="BQ17" i="28"/>
  <c r="BP17" i="28"/>
  <c r="BO17" i="28"/>
  <c r="BN17" i="28"/>
  <c r="BM17" i="28"/>
  <c r="BL17" i="28"/>
  <c r="BK17" i="28"/>
  <c r="BJ17" i="28"/>
  <c r="BI17" i="28"/>
  <c r="BH17" i="28"/>
  <c r="BS16" i="28"/>
  <c r="BR16" i="28"/>
  <c r="BQ16" i="28"/>
  <c r="BO19" i="28"/>
  <c r="BO16" i="28"/>
  <c r="BN16" i="28"/>
  <c r="BM16" i="28"/>
  <c r="BL16" i="28"/>
  <c r="BK16" i="28"/>
  <c r="BJ16" i="28"/>
  <c r="BI16" i="28"/>
  <c r="BH16" i="28"/>
  <c r="BS15" i="28"/>
  <c r="BR15" i="28"/>
  <c r="BQ15" i="28"/>
  <c r="BP15" i="28"/>
  <c r="BO15" i="28"/>
  <c r="BN15" i="28"/>
  <c r="BM15" i="28"/>
  <c r="BL15" i="28"/>
  <c r="BK15" i="28"/>
  <c r="BJ15" i="28"/>
  <c r="BI15" i="28"/>
  <c r="BH15" i="28"/>
  <c r="BS14" i="28"/>
  <c r="BR14" i="28"/>
  <c r="BQ14" i="28"/>
  <c r="BP14" i="28"/>
  <c r="BO14" i="28"/>
  <c r="BN14" i="28"/>
  <c r="BM14" i="28"/>
  <c r="BL14" i="28"/>
  <c r="BK14" i="28"/>
  <c r="BJ14" i="28"/>
  <c r="BI14" i="28"/>
  <c r="BH14" i="28"/>
  <c r="BS35" i="28"/>
  <c r="BP16" i="28"/>
  <c r="BT113" i="28"/>
  <c r="BT112" i="28"/>
  <c r="CM112" i="28"/>
  <c r="CK112" i="28"/>
  <c r="BU112" i="28"/>
  <c r="BV112" i="28" s="1" a="1"/>
  <c r="BT111" i="28"/>
  <c r="CM111" i="28"/>
  <c r="CK111" i="28"/>
  <c r="BU111" i="28"/>
  <c r="BV111" i="28" s="1" a="1"/>
  <c r="BT110" i="28"/>
  <c r="CM110" i="28"/>
  <c r="CK110" i="28"/>
  <c r="BU110" i="28"/>
  <c r="BV110" i="28" s="1" a="1"/>
  <c r="BT109" i="28"/>
  <c r="CK109" i="28"/>
  <c r="BU109" i="28"/>
  <c r="BV109" i="28" s="1" a="1"/>
  <c r="CM109" i="28"/>
  <c r="BT108" i="28"/>
  <c r="CK108" i="28"/>
  <c r="CM108" i="28"/>
  <c r="BU108" i="28"/>
  <c r="BV108" i="28" s="1" a="1"/>
  <c r="BT107" i="28"/>
  <c r="CK107" i="28"/>
  <c r="BU107" i="28"/>
  <c r="BV107" i="28" s="1" a="1"/>
  <c r="CM107" i="28"/>
  <c r="BT106" i="28"/>
  <c r="CM106" i="28"/>
  <c r="CK106" i="28"/>
  <c r="BU106" i="28"/>
  <c r="BV106" i="28" s="1" a="1"/>
  <c r="BT105" i="28"/>
  <c r="CM105" i="28"/>
  <c r="CK105" i="28"/>
  <c r="BU105" i="28"/>
  <c r="BV105" i="28" s="1" a="1"/>
  <c r="BT104" i="28"/>
  <c r="CM104" i="28"/>
  <c r="CK104" i="28"/>
  <c r="BU104" i="28"/>
  <c r="BV104" i="28" s="1" a="1"/>
  <c r="BT103" i="28"/>
  <c r="CM103" i="28"/>
  <c r="CK103" i="28"/>
  <c r="BU103" i="28"/>
  <c r="BV103" i="28" s="1" a="1"/>
  <c r="BT102" i="28"/>
  <c r="CK102" i="28"/>
  <c r="CM102" i="28"/>
  <c r="BU102" i="28"/>
  <c r="BV102" i="28" s="1" a="1"/>
  <c r="BT101" i="28"/>
  <c r="CM101" i="28"/>
  <c r="CK101" i="28"/>
  <c r="BU101" i="28"/>
  <c r="BV101" i="28" s="1" a="1"/>
  <c r="BT99" i="28"/>
  <c r="CK99" i="28"/>
  <c r="CM99" i="28"/>
  <c r="BU99" i="28"/>
  <c r="BV99" i="28" s="1" a="1"/>
  <c r="BT98" i="28"/>
  <c r="CK98" i="28"/>
  <c r="CM98" i="28"/>
  <c r="BU98" i="28"/>
  <c r="BV98" i="28" s="1" a="1"/>
  <c r="BT97" i="28"/>
  <c r="CM97" i="28"/>
  <c r="BU97" i="28"/>
  <c r="BV97" i="28" s="1" a="1"/>
  <c r="CK97" i="28"/>
  <c r="BT96" i="28"/>
  <c r="CM96" i="28"/>
  <c r="CK96" i="28"/>
  <c r="BU96" i="28"/>
  <c r="BV96" i="28" s="1" a="1"/>
  <c r="BT95" i="28"/>
  <c r="BU95" i="28"/>
  <c r="BV95" i="28" s="1" a="1"/>
  <c r="CK95" i="28"/>
  <c r="CM95" i="28"/>
  <c r="BT94" i="28"/>
  <c r="CK94" i="28"/>
  <c r="CM94" i="28"/>
  <c r="BU94" i="28"/>
  <c r="BV94" i="28" s="1" a="1"/>
  <c r="BT93" i="28"/>
  <c r="CM93" i="28"/>
  <c r="BU93" i="28"/>
  <c r="BV93" i="28" s="1" a="1"/>
  <c r="CK93" i="28"/>
  <c r="BT92" i="28"/>
  <c r="BU92" i="28"/>
  <c r="BV92" i="28" s="1" a="1"/>
  <c r="CM92" i="28"/>
  <c r="CK92" i="28"/>
  <c r="BT91" i="28"/>
  <c r="CM91" i="28"/>
  <c r="CK91" i="28"/>
  <c r="BU91" i="28"/>
  <c r="BV91" i="28" s="1" a="1"/>
  <c r="BT90" i="28"/>
  <c r="CK90" i="28"/>
  <c r="CM90" i="28"/>
  <c r="BU90" i="28"/>
  <c r="BV90" i="28" s="1" a="1"/>
  <c r="BT89" i="28"/>
  <c r="CM89" i="28"/>
  <c r="CK89" i="28"/>
  <c r="BU89" i="28"/>
  <c r="BV89" i="28" s="1" a="1"/>
  <c r="BT88" i="28"/>
  <c r="CK88" i="28"/>
  <c r="BU88" i="28"/>
  <c r="BV88" i="28" s="1" a="1"/>
  <c r="CM88" i="28"/>
  <c r="BT87" i="28"/>
  <c r="CM87" i="28"/>
  <c r="CK87" i="28"/>
  <c r="BU87" i="28"/>
  <c r="BV87" i="28" s="1" a="1"/>
  <c r="BT86" i="28"/>
  <c r="CK86" i="28"/>
  <c r="BU86" i="28"/>
  <c r="BV86" i="28" s="1" a="1"/>
  <c r="CM86" i="28"/>
  <c r="BT85" i="28"/>
  <c r="CM85" i="28"/>
  <c r="BU85" i="28"/>
  <c r="BV85" i="28" s="1" a="1"/>
  <c r="CK85" i="28"/>
  <c r="BT84" i="28"/>
  <c r="BU84" i="28"/>
  <c r="BV84" i="28" s="1" a="1"/>
  <c r="CK84" i="28"/>
  <c r="CM84" i="28"/>
  <c r="BT83" i="28"/>
  <c r="BU83" i="28"/>
  <c r="BV83" i="28" s="1" a="1"/>
  <c r="CM83" i="28"/>
  <c r="CK83" i="28"/>
  <c r="BT82" i="28"/>
  <c r="CM82" i="28"/>
  <c r="BU82" i="28"/>
  <c r="BV82" i="28" s="1" a="1"/>
  <c r="CK82" i="28"/>
  <c r="BT81" i="28"/>
  <c r="CK81" i="28"/>
  <c r="CM81" i="28"/>
  <c r="BU81" i="28"/>
  <c r="BV81" i="28" s="1" a="1"/>
  <c r="BT80" i="28"/>
  <c r="CK80" i="28"/>
  <c r="BU80" i="28"/>
  <c r="BV80" i="28" s="1" a="1"/>
  <c r="CM80" i="28"/>
  <c r="BT79" i="28"/>
  <c r="BU79" i="28"/>
  <c r="BV79" i="28" s="1" a="1"/>
  <c r="CM79" i="28"/>
  <c r="CK79" i="28"/>
  <c r="BT78" i="28"/>
  <c r="CK78" i="28"/>
  <c r="BU78" i="28"/>
  <c r="BV78" i="28" s="1" a="1"/>
  <c r="CM78" i="28"/>
  <c r="BT77" i="28"/>
  <c r="BU77" i="28"/>
  <c r="BV77" i="28" s="1" a="1"/>
  <c r="CK77" i="28"/>
  <c r="CM77" i="28"/>
  <c r="BT76" i="28"/>
  <c r="BU76" i="28"/>
  <c r="BV76" i="28" s="1" a="1"/>
  <c r="CM76" i="28"/>
  <c r="CK76" i="28"/>
  <c r="BT75" i="28"/>
  <c r="BU75" i="28"/>
  <c r="BV75" i="28" s="1" a="1"/>
  <c r="CM75" i="28"/>
  <c r="CK75" i="28"/>
  <c r="BT74" i="28"/>
  <c r="BU74" i="28"/>
  <c r="BV74" i="28" s="1" a="1"/>
  <c r="CM74" i="28"/>
  <c r="CK74" i="28"/>
  <c r="BT73" i="28"/>
  <c r="CM73" i="28"/>
  <c r="CK73" i="28"/>
  <c r="BU73" i="28"/>
  <c r="BV73" i="28" s="1" a="1"/>
  <c r="BT72" i="28"/>
  <c r="BT71" i="28"/>
  <c r="CM71" i="28"/>
  <c r="CK71" i="28"/>
  <c r="BU71" i="28"/>
  <c r="BV71" i="28" s="1" a="1"/>
  <c r="BT70" i="28"/>
  <c r="BU70" i="28"/>
  <c r="BV70" i="28" s="1" a="1"/>
  <c r="CK70" i="28"/>
  <c r="CM70" i="28"/>
  <c r="BT69" i="28"/>
  <c r="CK69" i="28"/>
  <c r="BU69" i="28"/>
  <c r="BV69" i="28" s="1" a="1"/>
  <c r="CM69" i="28"/>
  <c r="BT68" i="28"/>
  <c r="CK68" i="28"/>
  <c r="CM68" i="28"/>
  <c r="BU68" i="28"/>
  <c r="BV68" i="28" s="1" a="1"/>
  <c r="BT67" i="28"/>
  <c r="CK67" i="28"/>
  <c r="CM67" i="28"/>
  <c r="BU67" i="28"/>
  <c r="BV67" i="28" s="1" a="1"/>
  <c r="BT66" i="28"/>
  <c r="CK66" i="28"/>
  <c r="CM66" i="28"/>
  <c r="BU66" i="28"/>
  <c r="BV66" i="28" s="1" a="1"/>
  <c r="BT65" i="28"/>
  <c r="BU65" i="28"/>
  <c r="BV65" i="28" s="1" a="1"/>
  <c r="CM65" i="28"/>
  <c r="CK65" i="28"/>
  <c r="BT64" i="28"/>
  <c r="CM64" i="28"/>
  <c r="CK64" i="28"/>
  <c r="BU64" i="28"/>
  <c r="BV64" i="28" s="1" a="1"/>
  <c r="BT63" i="28"/>
  <c r="BU63" i="28"/>
  <c r="BV63" i="28" s="1" a="1"/>
  <c r="CM63" i="28"/>
  <c r="CK63" i="28"/>
  <c r="BT62" i="28"/>
  <c r="CM62" i="28"/>
  <c r="BU62" i="28"/>
  <c r="BV62" i="28" s="1" a="1"/>
  <c r="CK62" i="28"/>
  <c r="BT61" i="28"/>
  <c r="CK61" i="28"/>
  <c r="BU61" i="28"/>
  <c r="BV61" i="28" s="1" a="1"/>
  <c r="CM61" i="28"/>
  <c r="BT60" i="28"/>
  <c r="BU60" i="28"/>
  <c r="BV60" i="28" s="1" a="1"/>
  <c r="CK60" i="28"/>
  <c r="CM60" i="28"/>
  <c r="BT59" i="28"/>
  <c r="CK59" i="28"/>
  <c r="CM59" i="28"/>
  <c r="BU59" i="28"/>
  <c r="BV59" i="28" s="1" a="1"/>
  <c r="BT58" i="28"/>
  <c r="CM58" i="28"/>
  <c r="BU58" i="28"/>
  <c r="BV58" i="28" s="1" a="1"/>
  <c r="CK58" i="28"/>
  <c r="BT57" i="28"/>
  <c r="BU57" i="28"/>
  <c r="BV57" i="28" s="1" a="1"/>
  <c r="CK57" i="28"/>
  <c r="CM57" i="28"/>
  <c r="BT56" i="28"/>
  <c r="CK56" i="28"/>
  <c r="CM56" i="28"/>
  <c r="BT55" i="28"/>
  <c r="CM55" i="28"/>
  <c r="CK55" i="28"/>
  <c r="BU55" i="28"/>
  <c r="BV55" i="28" s="1" a="1"/>
  <c r="BT54" i="28"/>
  <c r="CK54" i="28"/>
  <c r="CM54" i="28"/>
  <c r="BU54" i="28"/>
  <c r="BV54" i="28" s="1" a="1"/>
  <c r="BT53" i="28"/>
  <c r="CM53" i="28"/>
  <c r="CK53" i="28"/>
  <c r="BU53" i="28"/>
  <c r="BV53" i="28" s="1" a="1"/>
  <c r="BT52" i="28"/>
  <c r="BU52" i="28"/>
  <c r="BV52" i="28" s="1" a="1"/>
  <c r="CK52" i="28"/>
  <c r="CM52" i="28"/>
  <c r="BT51" i="28"/>
  <c r="CK51" i="28"/>
  <c r="CM51" i="28"/>
  <c r="BU51" i="28"/>
  <c r="BV51" i="28" s="1" a="1"/>
  <c r="BT50" i="28"/>
  <c r="BU50" i="28"/>
  <c r="BV50" i="28" s="1" a="1"/>
  <c r="CK50" i="28"/>
  <c r="CM50" i="28"/>
  <c r="BT49" i="28"/>
  <c r="CK49" i="28"/>
  <c r="CM49" i="28"/>
  <c r="BU49" i="28"/>
  <c r="BV49" i="28" s="1" a="1"/>
  <c r="BT48" i="28"/>
  <c r="CK48" i="28"/>
  <c r="BU48" i="28"/>
  <c r="BV48" i="28" s="1" a="1"/>
  <c r="CM48" i="28"/>
  <c r="BT47" i="28"/>
  <c r="CK47" i="28"/>
  <c r="CM47" i="28"/>
  <c r="BU47" i="28"/>
  <c r="BV47" i="28" s="1" a="1"/>
  <c r="BT46" i="28"/>
  <c r="CM46" i="28"/>
  <c r="CK46" i="28"/>
  <c r="BU46" i="28"/>
  <c r="BV46" i="28" s="1" a="1"/>
  <c r="CM45" i="28"/>
  <c r="CK45" i="28"/>
  <c r="BT44" i="28"/>
  <c r="BU44" i="28"/>
  <c r="BV44" i="28" s="1" a="1"/>
  <c r="CM44" i="28"/>
  <c r="CK44" i="28"/>
  <c r="BT43" i="28"/>
  <c r="CK43" i="28"/>
  <c r="CM43" i="28"/>
  <c r="BT42" i="28"/>
  <c r="BU42" i="28"/>
  <c r="BV42" i="28" s="1" a="1"/>
  <c r="CK42" i="28"/>
  <c r="CM42" i="28"/>
  <c r="BT41" i="28"/>
  <c r="CM41" i="28"/>
  <c r="CK41" i="28"/>
  <c r="BU41" i="28"/>
  <c r="BV41" i="28" s="1" a="1"/>
  <c r="BT40" i="28"/>
  <c r="BU40" i="28"/>
  <c r="BV40" i="28" s="1" a="1"/>
  <c r="CM40" i="28"/>
  <c r="CK40" i="28"/>
  <c r="BT39" i="28"/>
  <c r="BU39" i="28"/>
  <c r="BV39" i="28" s="1" a="1"/>
  <c r="CK39" i="28"/>
  <c r="CM39" i="28"/>
  <c r="BT38" i="28"/>
  <c r="CM38" i="28"/>
  <c r="CK38" i="28"/>
  <c r="BT37" i="28"/>
  <c r="CM37" i="28"/>
  <c r="CK37" i="28"/>
  <c r="BU37" i="28"/>
  <c r="BV37" i="28" s="1" a="1"/>
  <c r="CM36" i="28"/>
  <c r="CK36" i="28"/>
  <c r="CK35" i="28"/>
  <c r="CM35" i="28"/>
  <c r="CM34" i="28"/>
  <c r="CK34" i="28"/>
  <c r="CM33" i="28"/>
  <c r="BU33" i="28"/>
  <c r="BV33" i="28" s="1" a="1"/>
  <c r="CK33" i="28"/>
  <c r="CK32" i="28"/>
  <c r="CM32" i="28"/>
  <c r="CK31" i="28"/>
  <c r="CM31" i="28"/>
  <c r="CM30" i="28"/>
  <c r="CK30" i="28"/>
  <c r="CK29" i="28"/>
  <c r="CM29" i="28"/>
  <c r="CM28" i="28"/>
  <c r="CK28" i="28"/>
  <c r="CM27" i="28"/>
  <c r="CK27" i="28"/>
  <c r="CK26" i="28"/>
  <c r="CM26" i="28"/>
  <c r="CK25" i="28"/>
  <c r="CM25" i="28"/>
  <c r="CK24" i="28"/>
  <c r="CM24" i="28"/>
  <c r="CK23" i="28"/>
  <c r="CM23" i="28"/>
  <c r="CM22" i="28"/>
  <c r="CK22" i="28"/>
  <c r="CK21" i="28"/>
  <c r="CM21" i="28"/>
  <c r="CK20" i="28"/>
  <c r="CM20" i="28"/>
  <c r="CK19" i="28"/>
  <c r="CM19" i="28"/>
  <c r="CM18" i="28"/>
  <c r="CK18" i="28"/>
  <c r="CK17" i="28"/>
  <c r="CM17" i="28"/>
  <c r="CM16" i="28"/>
  <c r="CO16" i="28" s="1"/>
  <c r="CK16" i="28"/>
  <c r="CM15" i="28"/>
  <c r="CO15" i="28" s="1"/>
  <c r="CK15" i="28"/>
  <c r="CK14" i="28"/>
  <c r="CM14" i="28"/>
  <c r="CO14" i="28" s="1"/>
  <c r="DH16" i="28"/>
  <c r="DH14" i="28"/>
  <c r="BT36" i="28" l="1"/>
  <c r="H190" i="22"/>
  <c r="H189" i="22"/>
  <c r="BT41" i="62"/>
  <c r="BT39" i="62"/>
  <c r="BT38" i="62"/>
  <c r="BT36" i="62"/>
  <c r="BT35" i="62"/>
  <c r="BT34" i="62"/>
  <c r="BT33" i="62"/>
  <c r="BT32" i="62"/>
  <c r="BT30" i="62"/>
  <c r="BT28" i="62"/>
  <c r="BT40" i="62"/>
  <c r="BT37" i="62"/>
  <c r="BT31" i="62"/>
  <c r="BT29" i="62"/>
  <c r="BT27" i="62"/>
  <c r="BT26" i="62"/>
  <c r="BT25" i="62"/>
  <c r="BT24" i="62"/>
  <c r="BT22" i="62"/>
  <c r="BT45" i="28"/>
  <c r="H187" i="22" s="1"/>
  <c r="O98" i="7" a="1"/>
  <c r="O11" i="7" a="1"/>
  <c r="B4" i="57" a="1"/>
  <c r="H10" i="5"/>
  <c r="H11" i="5"/>
  <c r="BT14" i="28"/>
  <c r="BT20" i="28"/>
  <c r="BT21" i="28"/>
  <c r="BT22" i="28"/>
  <c r="BT23" i="28"/>
  <c r="BT29" i="28"/>
  <c r="BT32" i="28"/>
  <c r="BT33" i="28"/>
  <c r="BT34" i="28"/>
  <c r="BT30" i="28"/>
  <c r="BT18" i="28"/>
  <c r="BT35" i="28"/>
  <c r="BT24" i="28"/>
  <c r="BT25" i="28"/>
  <c r="BT31" i="28"/>
  <c r="BT28" i="28"/>
  <c r="BT27" i="28"/>
  <c r="BT26" i="28"/>
  <c r="BT19" i="28"/>
  <c r="BT17" i="28"/>
  <c r="BT15" i="28"/>
  <c r="BT16" i="28"/>
  <c r="A158" i="51"/>
  <c r="D92" i="51"/>
  <c r="G139" i="51"/>
  <c r="A139" i="51" s="1"/>
  <c r="G133" i="51"/>
  <c r="A133" i="51" s="1"/>
  <c r="G127" i="51"/>
  <c r="C3" i="22" a="1"/>
  <c r="A106" i="51"/>
  <c r="G86" i="51"/>
  <c r="A66" i="51"/>
  <c r="A59" i="51"/>
  <c r="A53" i="51"/>
  <c r="A44" i="51"/>
  <c r="A45" i="51"/>
  <c r="A46" i="51"/>
  <c r="F272" i="22" a="1"/>
  <c r="F145" i="22" a="1"/>
  <c r="H130" i="7" a="1"/>
  <c r="BF14" i="51" s="1"/>
  <c r="G109" i="7" a="1"/>
  <c r="G36" i="7" a="1"/>
  <c r="C3" i="7" a="1"/>
  <c r="D15" i="7" s="1"/>
  <c r="F510" i="22"/>
  <c r="F509" i="22"/>
  <c r="F508" i="22"/>
  <c r="F507" i="22"/>
  <c r="F506" i="22"/>
  <c r="F505" i="22"/>
  <c r="F504" i="22"/>
  <c r="F503" i="22"/>
  <c r="F502" i="22"/>
  <c r="F501" i="22"/>
  <c r="F500" i="22"/>
  <c r="F499" i="22"/>
  <c r="F498" i="22"/>
  <c r="F497" i="22"/>
  <c r="F496" i="22"/>
  <c r="F495" i="22"/>
  <c r="F494" i="22"/>
  <c r="F493" i="22"/>
  <c r="F492" i="22"/>
  <c r="F491" i="22"/>
  <c r="F490" i="22"/>
  <c r="F489" i="22"/>
  <c r="F488" i="22"/>
  <c r="F487" i="22"/>
  <c r="F486" i="22"/>
  <c r="F485" i="22"/>
  <c r="F484" i="22"/>
  <c r="F483" i="22"/>
  <c r="F482" i="22"/>
  <c r="F481" i="22"/>
  <c r="F480" i="22"/>
  <c r="F479" i="22"/>
  <c r="F478" i="22"/>
  <c r="F477" i="22"/>
  <c r="F476" i="22"/>
  <c r="F475" i="22"/>
  <c r="F474" i="22"/>
  <c r="F473" i="22"/>
  <c r="F472" i="22"/>
  <c r="F471" i="22"/>
  <c r="F470" i="22"/>
  <c r="F469" i="22"/>
  <c r="F468" i="22"/>
  <c r="F467" i="22"/>
  <c r="F466" i="22"/>
  <c r="F465" i="22"/>
  <c r="F464" i="22"/>
  <c r="F463" i="22"/>
  <c r="F462" i="22"/>
  <c r="F461" i="22"/>
  <c r="F460" i="22"/>
  <c r="F459" i="22"/>
  <c r="F458" i="22"/>
  <c r="F457" i="22"/>
  <c r="F456" i="22"/>
  <c r="F445" i="22"/>
  <c r="F444" i="22"/>
  <c r="F443" i="22"/>
  <c r="F442" i="22"/>
  <c r="F441" i="22"/>
  <c r="F440" i="22"/>
  <c r="F439" i="22"/>
  <c r="F438" i="22"/>
  <c r="F437" i="22"/>
  <c r="F436" i="22"/>
  <c r="F435" i="22"/>
  <c r="F434" i="22"/>
  <c r="F433" i="22"/>
  <c r="F432" i="22"/>
  <c r="F431" i="22"/>
  <c r="F430" i="22"/>
  <c r="F429" i="22"/>
  <c r="F428" i="22"/>
  <c r="F106" i="22" a="1"/>
  <c r="H94" i="22"/>
  <c r="BP114" i="39"/>
  <c r="BO114" i="39"/>
  <c r="BN114" i="39"/>
  <c r="BM114" i="39"/>
  <c r="BL114" i="39"/>
  <c r="BK114" i="39"/>
  <c r="BJ114" i="39"/>
  <c r="BI114" i="39"/>
  <c r="BH114" i="39"/>
  <c r="BG114" i="39"/>
  <c r="BF114" i="39"/>
  <c r="BE114" i="39"/>
  <c r="BB114" i="39"/>
  <c r="BD114" i="39" s="1"/>
  <c r="BS114" i="39" s="1" a="1"/>
  <c r="BA114" i="39"/>
  <c r="P114" i="39"/>
  <c r="BP113" i="39"/>
  <c r="BO113" i="39"/>
  <c r="BN113" i="39"/>
  <c r="BM113" i="39"/>
  <c r="BL113" i="39"/>
  <c r="BK113" i="39"/>
  <c r="BJ113" i="39"/>
  <c r="BI113" i="39"/>
  <c r="BH113" i="39"/>
  <c r="BG113" i="39"/>
  <c r="BF113" i="39"/>
  <c r="BE113" i="39"/>
  <c r="BB113" i="39"/>
  <c r="BD113" i="39" s="1"/>
  <c r="BS113" i="39" s="1" a="1"/>
  <c r="BA113" i="39"/>
  <c r="P113" i="39"/>
  <c r="BP112" i="39"/>
  <c r="BO112" i="39"/>
  <c r="BN112" i="39"/>
  <c r="BM112" i="39"/>
  <c r="BL112" i="39"/>
  <c r="BK112" i="39"/>
  <c r="BJ112" i="39"/>
  <c r="BI112" i="39"/>
  <c r="BH112" i="39"/>
  <c r="BG112" i="39"/>
  <c r="BF112" i="39"/>
  <c r="BE112" i="39"/>
  <c r="BB112" i="39"/>
  <c r="BD112" i="39" s="1"/>
  <c r="BS112" i="39" s="1" a="1"/>
  <c r="BA112" i="39"/>
  <c r="P112" i="39"/>
  <c r="BP111" i="39"/>
  <c r="BO111" i="39"/>
  <c r="BN111" i="39"/>
  <c r="BM111" i="39"/>
  <c r="BL111" i="39"/>
  <c r="BK111" i="39"/>
  <c r="BJ111" i="39"/>
  <c r="BI111" i="39"/>
  <c r="BH111" i="39"/>
  <c r="BG111" i="39"/>
  <c r="BF111" i="39"/>
  <c r="BE111" i="39"/>
  <c r="BB111" i="39"/>
  <c r="BD111" i="39" s="1"/>
  <c r="BS111" i="39" s="1" a="1"/>
  <c r="BA111" i="39"/>
  <c r="P111" i="39"/>
  <c r="BP110" i="39"/>
  <c r="BO110" i="39"/>
  <c r="BN110" i="39"/>
  <c r="BM110" i="39"/>
  <c r="BL110" i="39"/>
  <c r="BK110" i="39"/>
  <c r="BJ110" i="39"/>
  <c r="BI110" i="39"/>
  <c r="BH110" i="39"/>
  <c r="BG110" i="39"/>
  <c r="BF110" i="39"/>
  <c r="BE110" i="39"/>
  <c r="BB110" i="39"/>
  <c r="BD110" i="39" s="1"/>
  <c r="BS110" i="39" s="1" a="1"/>
  <c r="BA110" i="39"/>
  <c r="P110" i="39"/>
  <c r="BP109" i="39"/>
  <c r="BO109" i="39"/>
  <c r="BN109" i="39"/>
  <c r="BM109" i="39"/>
  <c r="BL109" i="39"/>
  <c r="BK109" i="39"/>
  <c r="BJ109" i="39"/>
  <c r="BI109" i="39"/>
  <c r="BH109" i="39"/>
  <c r="BG109" i="39"/>
  <c r="BF109" i="39"/>
  <c r="BE109" i="39"/>
  <c r="BB109" i="39"/>
  <c r="BD109" i="39" s="1"/>
  <c r="BS109" i="39" s="1" a="1"/>
  <c r="BA109" i="39"/>
  <c r="P109" i="39"/>
  <c r="BP108" i="39"/>
  <c r="BO108" i="39"/>
  <c r="BN108" i="39"/>
  <c r="BM108" i="39"/>
  <c r="BL108" i="39"/>
  <c r="BK108" i="39"/>
  <c r="BJ108" i="39"/>
  <c r="BI108" i="39"/>
  <c r="BH108" i="39"/>
  <c r="BG108" i="39"/>
  <c r="BF108" i="39"/>
  <c r="BE108" i="39"/>
  <c r="BB108" i="39"/>
  <c r="BD108" i="39" s="1"/>
  <c r="BS108" i="39" s="1" a="1"/>
  <c r="BA108" i="39"/>
  <c r="P108" i="39"/>
  <c r="BP107" i="39"/>
  <c r="BO107" i="39"/>
  <c r="BN107" i="39"/>
  <c r="BM107" i="39"/>
  <c r="BL107" i="39"/>
  <c r="BK107" i="39"/>
  <c r="BJ107" i="39"/>
  <c r="BI107" i="39"/>
  <c r="BH107" i="39"/>
  <c r="BG107" i="39"/>
  <c r="BF107" i="39"/>
  <c r="BE107" i="39"/>
  <c r="BB107" i="39"/>
  <c r="BD107" i="39" s="1"/>
  <c r="BS107" i="39" s="1" a="1"/>
  <c r="BA107" i="39"/>
  <c r="P107" i="39"/>
  <c r="BP106" i="39"/>
  <c r="BO106" i="39"/>
  <c r="BN106" i="39"/>
  <c r="BM106" i="39"/>
  <c r="BL106" i="39"/>
  <c r="BK106" i="39"/>
  <c r="BJ106" i="39"/>
  <c r="BI106" i="39"/>
  <c r="BH106" i="39"/>
  <c r="BG106" i="39"/>
  <c r="BF106" i="39"/>
  <c r="BE106" i="39"/>
  <c r="BB106" i="39"/>
  <c r="BD106" i="39" s="1"/>
  <c r="BS106" i="39" s="1" a="1"/>
  <c r="BA106" i="39"/>
  <c r="P106" i="39"/>
  <c r="BP105" i="39"/>
  <c r="BO105" i="39"/>
  <c r="BN105" i="39"/>
  <c r="BM105" i="39"/>
  <c r="BL105" i="39"/>
  <c r="BK105" i="39"/>
  <c r="BJ105" i="39"/>
  <c r="BI105" i="39"/>
  <c r="BH105" i="39"/>
  <c r="BG105" i="39"/>
  <c r="BF105" i="39"/>
  <c r="BE105" i="39"/>
  <c r="BB105" i="39"/>
  <c r="BD105" i="39" s="1"/>
  <c r="BS105" i="39" s="1" a="1"/>
  <c r="BA105" i="39"/>
  <c r="P105" i="39"/>
  <c r="BP104" i="39"/>
  <c r="BO104" i="39"/>
  <c r="BN104" i="39"/>
  <c r="BM104" i="39"/>
  <c r="BL104" i="39"/>
  <c r="BK104" i="39"/>
  <c r="BJ104" i="39"/>
  <c r="BI104" i="39"/>
  <c r="BH104" i="39"/>
  <c r="BG104" i="39"/>
  <c r="BF104" i="39"/>
  <c r="BE104" i="39"/>
  <c r="BB104" i="39"/>
  <c r="BD104" i="39" s="1"/>
  <c r="BS104" i="39" s="1" a="1"/>
  <c r="BA104" i="39"/>
  <c r="P104" i="39"/>
  <c r="BP103" i="39"/>
  <c r="BO103" i="39"/>
  <c r="BN103" i="39"/>
  <c r="BM103" i="39"/>
  <c r="BL103" i="39"/>
  <c r="BK103" i="39"/>
  <c r="BJ103" i="39"/>
  <c r="BI103" i="39"/>
  <c r="BH103" i="39"/>
  <c r="BG103" i="39"/>
  <c r="BF103" i="39"/>
  <c r="BE103" i="39"/>
  <c r="BB103" i="39"/>
  <c r="BD103" i="39" s="1"/>
  <c r="BS103" i="39" s="1" a="1"/>
  <c r="BA103" i="39"/>
  <c r="P103" i="39"/>
  <c r="BP102" i="39"/>
  <c r="BO102" i="39"/>
  <c r="BN102" i="39"/>
  <c r="BM102" i="39"/>
  <c r="BL102" i="39"/>
  <c r="BK102" i="39"/>
  <c r="BJ102" i="39"/>
  <c r="BI102" i="39"/>
  <c r="BH102" i="39"/>
  <c r="BG102" i="39"/>
  <c r="BF102" i="39"/>
  <c r="BE102" i="39"/>
  <c r="BB102" i="39"/>
  <c r="BD102" i="39" s="1"/>
  <c r="BS102" i="39" s="1" a="1"/>
  <c r="BA102" i="39"/>
  <c r="P102" i="39"/>
  <c r="BP101" i="39"/>
  <c r="BO101" i="39"/>
  <c r="BN101" i="39"/>
  <c r="BM101" i="39"/>
  <c r="BL101" i="39"/>
  <c r="BK101" i="39"/>
  <c r="BJ101" i="39"/>
  <c r="BI101" i="39"/>
  <c r="BH101" i="39"/>
  <c r="BG101" i="39"/>
  <c r="BF101" i="39"/>
  <c r="BE101" i="39"/>
  <c r="BB101" i="39"/>
  <c r="BD101" i="39" s="1"/>
  <c r="BS101" i="39" s="1" a="1"/>
  <c r="BA101" i="39"/>
  <c r="P101" i="39"/>
  <c r="BP100" i="39"/>
  <c r="BO100" i="39"/>
  <c r="BN100" i="39"/>
  <c r="BM100" i="39"/>
  <c r="BL100" i="39"/>
  <c r="BK100" i="39"/>
  <c r="BJ100" i="39"/>
  <c r="BI100" i="39"/>
  <c r="BH100" i="39"/>
  <c r="BG100" i="39"/>
  <c r="BF100" i="39"/>
  <c r="BE100" i="39"/>
  <c r="BB100" i="39"/>
  <c r="BD100" i="39" s="1"/>
  <c r="BS100" i="39" s="1" a="1"/>
  <c r="BA100" i="39"/>
  <c r="P100" i="39"/>
  <c r="BP99" i="39"/>
  <c r="BO99" i="39"/>
  <c r="BN99" i="39"/>
  <c r="BM99" i="39"/>
  <c r="BL99" i="39"/>
  <c r="BK99" i="39"/>
  <c r="BJ99" i="39"/>
  <c r="BI99" i="39"/>
  <c r="BH99" i="39"/>
  <c r="BG99" i="39"/>
  <c r="BF99" i="39"/>
  <c r="BE99" i="39"/>
  <c r="BB99" i="39"/>
  <c r="BD99" i="39" s="1"/>
  <c r="BS99" i="39" s="1" a="1"/>
  <c r="BA99" i="39"/>
  <c r="P99" i="39"/>
  <c r="BP98" i="39"/>
  <c r="BO98" i="39"/>
  <c r="BN98" i="39"/>
  <c r="BM98" i="39"/>
  <c r="BL98" i="39"/>
  <c r="BK98" i="39"/>
  <c r="BJ98" i="39"/>
  <c r="BI98" i="39"/>
  <c r="BH98" i="39"/>
  <c r="BG98" i="39"/>
  <c r="BF98" i="39"/>
  <c r="BE98" i="39"/>
  <c r="BB98" i="39"/>
  <c r="BD98" i="39" s="1"/>
  <c r="BS98" i="39" s="1" a="1"/>
  <c r="BA98" i="39"/>
  <c r="P98" i="39"/>
  <c r="BP97" i="39"/>
  <c r="BO97" i="39"/>
  <c r="BN97" i="39"/>
  <c r="BM97" i="39"/>
  <c r="BL97" i="39"/>
  <c r="BK97" i="39"/>
  <c r="BJ97" i="39"/>
  <c r="BI97" i="39"/>
  <c r="BH97" i="39"/>
  <c r="BG97" i="39"/>
  <c r="BF97" i="39"/>
  <c r="BE97" i="39"/>
  <c r="BB97" i="39"/>
  <c r="BD97" i="39" s="1"/>
  <c r="BS97" i="39" s="1" a="1"/>
  <c r="BA97" i="39"/>
  <c r="P97" i="39"/>
  <c r="BP96" i="39"/>
  <c r="BO96" i="39"/>
  <c r="BN96" i="39"/>
  <c r="BM96" i="39"/>
  <c r="BL96" i="39"/>
  <c r="BK96" i="39"/>
  <c r="BJ96" i="39"/>
  <c r="BI96" i="39"/>
  <c r="BH96" i="39"/>
  <c r="BG96" i="39"/>
  <c r="BF96" i="39"/>
  <c r="BE96" i="39"/>
  <c r="BB96" i="39"/>
  <c r="BD96" i="39" s="1"/>
  <c r="BS96" i="39" s="1" a="1"/>
  <c r="BA96" i="39"/>
  <c r="P96" i="39"/>
  <c r="BP95" i="39"/>
  <c r="BO95" i="39"/>
  <c r="BN95" i="39"/>
  <c r="BM95" i="39"/>
  <c r="BL95" i="39"/>
  <c r="BK95" i="39"/>
  <c r="BJ95" i="39"/>
  <c r="BI95" i="39"/>
  <c r="BH95" i="39"/>
  <c r="BG95" i="39"/>
  <c r="BF95" i="39"/>
  <c r="BE95" i="39"/>
  <c r="BB95" i="39"/>
  <c r="BD95" i="39" s="1"/>
  <c r="BS95" i="39" s="1" a="1"/>
  <c r="BA95" i="39"/>
  <c r="P95" i="39"/>
  <c r="BP94" i="39"/>
  <c r="BO94" i="39"/>
  <c r="BN94" i="39"/>
  <c r="BM94" i="39"/>
  <c r="BL94" i="39"/>
  <c r="BK94" i="39"/>
  <c r="BJ94" i="39"/>
  <c r="BI94" i="39"/>
  <c r="BH94" i="39"/>
  <c r="BG94" i="39"/>
  <c r="BF94" i="39"/>
  <c r="BE94" i="39"/>
  <c r="BB94" i="39"/>
  <c r="BD94" i="39" s="1"/>
  <c r="BS94" i="39" s="1" a="1"/>
  <c r="BA94" i="39"/>
  <c r="P94" i="39"/>
  <c r="BP93" i="39"/>
  <c r="BO93" i="39"/>
  <c r="BN93" i="39"/>
  <c r="BM93" i="39"/>
  <c r="BL93" i="39"/>
  <c r="BK93" i="39"/>
  <c r="BJ93" i="39"/>
  <c r="BI93" i="39"/>
  <c r="BH93" i="39"/>
  <c r="BG93" i="39"/>
  <c r="BF93" i="39"/>
  <c r="BE93" i="39"/>
  <c r="BB93" i="39"/>
  <c r="BD93" i="39" s="1"/>
  <c r="BS93" i="39" s="1" a="1"/>
  <c r="BA93" i="39"/>
  <c r="P93" i="39"/>
  <c r="BP92" i="39"/>
  <c r="BO92" i="39"/>
  <c r="BN92" i="39"/>
  <c r="BM92" i="39"/>
  <c r="BL92" i="39"/>
  <c r="BK92" i="39"/>
  <c r="BJ92" i="39"/>
  <c r="BI92" i="39"/>
  <c r="BH92" i="39"/>
  <c r="BG92" i="39"/>
  <c r="BF92" i="39"/>
  <c r="BE92" i="39"/>
  <c r="BB92" i="39"/>
  <c r="BD92" i="39" s="1"/>
  <c r="BS92" i="39" s="1" a="1"/>
  <c r="BA92" i="39"/>
  <c r="P92" i="39"/>
  <c r="BP91" i="39"/>
  <c r="BO91" i="39"/>
  <c r="BN91" i="39"/>
  <c r="BM91" i="39"/>
  <c r="BL91" i="39"/>
  <c r="BK91" i="39"/>
  <c r="BJ91" i="39"/>
  <c r="BI91" i="39"/>
  <c r="BH91" i="39"/>
  <c r="BG91" i="39"/>
  <c r="BF91" i="39"/>
  <c r="BE91" i="39"/>
  <c r="BB91" i="39"/>
  <c r="BD91" i="39" s="1"/>
  <c r="BS91" i="39" s="1" a="1"/>
  <c r="BA91" i="39"/>
  <c r="P91" i="39"/>
  <c r="BP90" i="39"/>
  <c r="BO90" i="39"/>
  <c r="BN90" i="39"/>
  <c r="BM90" i="39"/>
  <c r="BL90" i="39"/>
  <c r="BK90" i="39"/>
  <c r="BJ90" i="39"/>
  <c r="BI90" i="39"/>
  <c r="BH90" i="39"/>
  <c r="BG90" i="39"/>
  <c r="BF90" i="39"/>
  <c r="BE90" i="39"/>
  <c r="BB90" i="39"/>
  <c r="BD90" i="39" s="1"/>
  <c r="BS90" i="39" s="1" a="1"/>
  <c r="BA90" i="39"/>
  <c r="P90" i="39"/>
  <c r="BP89" i="39"/>
  <c r="BO89" i="39"/>
  <c r="BN89" i="39"/>
  <c r="BM89" i="39"/>
  <c r="BL89" i="39"/>
  <c r="BK89" i="39"/>
  <c r="BJ89" i="39"/>
  <c r="BI89" i="39"/>
  <c r="BH89" i="39"/>
  <c r="BG89" i="39"/>
  <c r="BF89" i="39"/>
  <c r="BE89" i="39"/>
  <c r="BB89" i="39"/>
  <c r="BD89" i="39" s="1"/>
  <c r="BS89" i="39" s="1" a="1"/>
  <c r="BA89" i="39"/>
  <c r="P89" i="39"/>
  <c r="BP88" i="39"/>
  <c r="BO88" i="39"/>
  <c r="BN88" i="39"/>
  <c r="BM88" i="39"/>
  <c r="BL88" i="39"/>
  <c r="BK88" i="39"/>
  <c r="BJ88" i="39"/>
  <c r="BI88" i="39"/>
  <c r="BH88" i="39"/>
  <c r="BG88" i="39"/>
  <c r="BF88" i="39"/>
  <c r="BE88" i="39"/>
  <c r="BB88" i="39"/>
  <c r="BD88" i="39" s="1"/>
  <c r="BS88" i="39" s="1" a="1"/>
  <c r="BA88" i="39"/>
  <c r="P88" i="39"/>
  <c r="BP87" i="39"/>
  <c r="BO87" i="39"/>
  <c r="BN87" i="39"/>
  <c r="BM87" i="39"/>
  <c r="BL87" i="39"/>
  <c r="BK87" i="39"/>
  <c r="BJ87" i="39"/>
  <c r="BI87" i="39"/>
  <c r="BH87" i="39"/>
  <c r="BG87" i="39"/>
  <c r="BF87" i="39"/>
  <c r="BE87" i="39"/>
  <c r="BB87" i="39"/>
  <c r="BD87" i="39" s="1"/>
  <c r="BS87" i="39" s="1" a="1"/>
  <c r="BA87" i="39"/>
  <c r="P87" i="39"/>
  <c r="BP86" i="39"/>
  <c r="BO86" i="39"/>
  <c r="BN86" i="39"/>
  <c r="BM86" i="39"/>
  <c r="BL86" i="39"/>
  <c r="BK86" i="39"/>
  <c r="BJ86" i="39"/>
  <c r="BI86" i="39"/>
  <c r="BH86" i="39"/>
  <c r="BG86" i="39"/>
  <c r="BF86" i="39"/>
  <c r="BE86" i="39"/>
  <c r="BB86" i="39"/>
  <c r="BD86" i="39" s="1"/>
  <c r="BS86" i="39" s="1" a="1"/>
  <c r="BA86" i="39"/>
  <c r="P86" i="39"/>
  <c r="BP85" i="39"/>
  <c r="BO85" i="39"/>
  <c r="BN85" i="39"/>
  <c r="BM85" i="39"/>
  <c r="BL85" i="39"/>
  <c r="BK85" i="39"/>
  <c r="BJ85" i="39"/>
  <c r="BI85" i="39"/>
  <c r="BH85" i="39"/>
  <c r="BG85" i="39"/>
  <c r="BF85" i="39"/>
  <c r="BE85" i="39"/>
  <c r="BB85" i="39"/>
  <c r="BD85" i="39" s="1"/>
  <c r="BS85" i="39" s="1" a="1"/>
  <c r="BA85" i="39"/>
  <c r="P85" i="39"/>
  <c r="BP84" i="39"/>
  <c r="BO84" i="39"/>
  <c r="BN84" i="39"/>
  <c r="BM84" i="39"/>
  <c r="BL84" i="39"/>
  <c r="BK84" i="39"/>
  <c r="BJ84" i="39"/>
  <c r="BI84" i="39"/>
  <c r="BH84" i="39"/>
  <c r="BG84" i="39"/>
  <c r="BF84" i="39"/>
  <c r="BE84" i="39"/>
  <c r="BB84" i="39"/>
  <c r="BD84" i="39" s="1"/>
  <c r="BS84" i="39" s="1" a="1"/>
  <c r="BA84" i="39"/>
  <c r="P84" i="39"/>
  <c r="BP83" i="39"/>
  <c r="BO83" i="39"/>
  <c r="BN83" i="39"/>
  <c r="BM83" i="39"/>
  <c r="BL83" i="39"/>
  <c r="BK83" i="39"/>
  <c r="BJ83" i="39"/>
  <c r="BI83" i="39"/>
  <c r="BH83" i="39"/>
  <c r="BG83" i="39"/>
  <c r="BF83" i="39"/>
  <c r="BE83" i="39"/>
  <c r="BB83" i="39"/>
  <c r="BD83" i="39" s="1"/>
  <c r="BS83" i="39" s="1" a="1"/>
  <c r="BA83" i="39"/>
  <c r="P83" i="39"/>
  <c r="BP82" i="39"/>
  <c r="BO82" i="39"/>
  <c r="BN82" i="39"/>
  <c r="BM82" i="39"/>
  <c r="BL82" i="39"/>
  <c r="BK82" i="39"/>
  <c r="BJ82" i="39"/>
  <c r="BI82" i="39"/>
  <c r="BH82" i="39"/>
  <c r="BG82" i="39"/>
  <c r="BF82" i="39"/>
  <c r="BE82" i="39"/>
  <c r="BB82" i="39"/>
  <c r="BD82" i="39" s="1"/>
  <c r="BS82" i="39" s="1" a="1"/>
  <c r="BA82" i="39"/>
  <c r="P82" i="39"/>
  <c r="BP81" i="39"/>
  <c r="BO81" i="39"/>
  <c r="BN81" i="39"/>
  <c r="BM81" i="39"/>
  <c r="BL81" i="39"/>
  <c r="BK81" i="39"/>
  <c r="BJ81" i="39"/>
  <c r="BI81" i="39"/>
  <c r="BH81" i="39"/>
  <c r="BG81" i="39"/>
  <c r="BF81" i="39"/>
  <c r="BE81" i="39"/>
  <c r="BB81" i="39"/>
  <c r="BD81" i="39" s="1"/>
  <c r="BS81" i="39" s="1" a="1"/>
  <c r="BA81" i="39"/>
  <c r="P81" i="39"/>
  <c r="BP80" i="39"/>
  <c r="BO80" i="39"/>
  <c r="BN80" i="39"/>
  <c r="BM80" i="39"/>
  <c r="BL80" i="39"/>
  <c r="BK80" i="39"/>
  <c r="BJ80" i="39"/>
  <c r="BI80" i="39"/>
  <c r="BH80" i="39"/>
  <c r="BG80" i="39"/>
  <c r="BF80" i="39"/>
  <c r="BE80" i="39"/>
  <c r="BB80" i="39"/>
  <c r="BD80" i="39" s="1"/>
  <c r="BS80" i="39" s="1" a="1"/>
  <c r="BA80" i="39"/>
  <c r="P80" i="39"/>
  <c r="BP79" i="39"/>
  <c r="BO79" i="39"/>
  <c r="BN79" i="39"/>
  <c r="BM79" i="39"/>
  <c r="BL79" i="39"/>
  <c r="BK79" i="39"/>
  <c r="BJ79" i="39"/>
  <c r="BI79" i="39"/>
  <c r="BH79" i="39"/>
  <c r="BG79" i="39"/>
  <c r="BF79" i="39"/>
  <c r="BE79" i="39"/>
  <c r="BB79" i="39"/>
  <c r="BD79" i="39" s="1"/>
  <c r="BS79" i="39" s="1" a="1"/>
  <c r="BA79" i="39"/>
  <c r="P79" i="39"/>
  <c r="BP78" i="39"/>
  <c r="BO78" i="39"/>
  <c r="BN78" i="39"/>
  <c r="BM78" i="39"/>
  <c r="BL78" i="39"/>
  <c r="BK78" i="39"/>
  <c r="BJ78" i="39"/>
  <c r="BI78" i="39"/>
  <c r="BH78" i="39"/>
  <c r="BG78" i="39"/>
  <c r="BF78" i="39"/>
  <c r="BE78" i="39"/>
  <c r="BB78" i="39"/>
  <c r="BD78" i="39" s="1"/>
  <c r="BS78" i="39" s="1" a="1"/>
  <c r="BA78" i="39"/>
  <c r="P78" i="39"/>
  <c r="BP77" i="39"/>
  <c r="BO77" i="39"/>
  <c r="BN77" i="39"/>
  <c r="BM77" i="39"/>
  <c r="BL77" i="39"/>
  <c r="BK77" i="39"/>
  <c r="BJ77" i="39"/>
  <c r="BI77" i="39"/>
  <c r="BH77" i="39"/>
  <c r="BG77" i="39"/>
  <c r="BF77" i="39"/>
  <c r="BE77" i="39"/>
  <c r="BB77" i="39"/>
  <c r="BD77" i="39" s="1"/>
  <c r="BS77" i="39" s="1" a="1"/>
  <c r="BA77" i="39"/>
  <c r="P77" i="39"/>
  <c r="BP76" i="39"/>
  <c r="BO76" i="39"/>
  <c r="BN76" i="39"/>
  <c r="BM76" i="39"/>
  <c r="BL76" i="39"/>
  <c r="BK76" i="39"/>
  <c r="BJ76" i="39"/>
  <c r="BI76" i="39"/>
  <c r="BH76" i="39"/>
  <c r="BG76" i="39"/>
  <c r="BF76" i="39"/>
  <c r="BE76" i="39"/>
  <c r="BB76" i="39"/>
  <c r="BD76" i="39" s="1"/>
  <c r="BS76" i="39" s="1" a="1"/>
  <c r="BA76" i="39"/>
  <c r="P76" i="39"/>
  <c r="BP75" i="39"/>
  <c r="BO75" i="39"/>
  <c r="BN75" i="39"/>
  <c r="BM75" i="39"/>
  <c r="BL75" i="39"/>
  <c r="BK75" i="39"/>
  <c r="BJ75" i="39"/>
  <c r="BI75" i="39"/>
  <c r="BH75" i="39"/>
  <c r="BG75" i="39"/>
  <c r="BF75" i="39"/>
  <c r="BE75" i="39"/>
  <c r="BB75" i="39"/>
  <c r="BD75" i="39" s="1"/>
  <c r="BS75" i="39" s="1" a="1"/>
  <c r="BA75" i="39"/>
  <c r="P75" i="39"/>
  <c r="BP74" i="39"/>
  <c r="BO74" i="39"/>
  <c r="BN74" i="39"/>
  <c r="BM74" i="39"/>
  <c r="BL74" i="39"/>
  <c r="BK74" i="39"/>
  <c r="BJ74" i="39"/>
  <c r="BI74" i="39"/>
  <c r="BH74" i="39"/>
  <c r="BG74" i="39"/>
  <c r="BF74" i="39"/>
  <c r="BE74" i="39"/>
  <c r="BB74" i="39"/>
  <c r="BD74" i="39" s="1"/>
  <c r="BS74" i="39" s="1" a="1"/>
  <c r="BA74" i="39"/>
  <c r="P74" i="39"/>
  <c r="BP73" i="39"/>
  <c r="BO73" i="39"/>
  <c r="BN73" i="39"/>
  <c r="BM73" i="39"/>
  <c r="BL73" i="39"/>
  <c r="BK73" i="39"/>
  <c r="BJ73" i="39"/>
  <c r="BI73" i="39"/>
  <c r="BH73" i="39"/>
  <c r="BG73" i="39"/>
  <c r="BF73" i="39"/>
  <c r="BE73" i="39"/>
  <c r="BB73" i="39"/>
  <c r="BD73" i="39" s="1"/>
  <c r="BS73" i="39" s="1" a="1"/>
  <c r="BA73" i="39"/>
  <c r="P73" i="39"/>
  <c r="BP72" i="39"/>
  <c r="BO72" i="39"/>
  <c r="BN72" i="39"/>
  <c r="BM72" i="39"/>
  <c r="BL72" i="39"/>
  <c r="BK72" i="39"/>
  <c r="BJ72" i="39"/>
  <c r="BI72" i="39"/>
  <c r="BH72" i="39"/>
  <c r="BG72" i="39"/>
  <c r="BF72" i="39"/>
  <c r="BE72" i="39"/>
  <c r="BB72" i="39"/>
  <c r="BD72" i="39" s="1"/>
  <c r="BS72" i="39" s="1" a="1"/>
  <c r="BA72" i="39"/>
  <c r="P72" i="39"/>
  <c r="BP71" i="39"/>
  <c r="BO71" i="39"/>
  <c r="BN71" i="39"/>
  <c r="BM71" i="39"/>
  <c r="BL71" i="39"/>
  <c r="BK71" i="39"/>
  <c r="BJ71" i="39"/>
  <c r="BI71" i="39"/>
  <c r="BH71" i="39"/>
  <c r="BG71" i="39"/>
  <c r="BF71" i="39"/>
  <c r="BE71" i="39"/>
  <c r="BB71" i="39"/>
  <c r="BD71" i="39" s="1"/>
  <c r="BS71" i="39" s="1" a="1"/>
  <c r="BA71" i="39"/>
  <c r="P71" i="39"/>
  <c r="BP70" i="39"/>
  <c r="BO70" i="39"/>
  <c r="BN70" i="39"/>
  <c r="BM70" i="39"/>
  <c r="BL70" i="39"/>
  <c r="BK70" i="39"/>
  <c r="BJ70" i="39"/>
  <c r="BI70" i="39"/>
  <c r="BH70" i="39"/>
  <c r="BG70" i="39"/>
  <c r="BF70" i="39"/>
  <c r="BE70" i="39"/>
  <c r="BB70" i="39"/>
  <c r="BD70" i="39" s="1"/>
  <c r="BS70" i="39" s="1" a="1"/>
  <c r="BA70" i="39"/>
  <c r="P70" i="39"/>
  <c r="BP69" i="39"/>
  <c r="BO69" i="39"/>
  <c r="BN69" i="39"/>
  <c r="BM69" i="39"/>
  <c r="BL69" i="39"/>
  <c r="BK69" i="39"/>
  <c r="BJ69" i="39"/>
  <c r="BI69" i="39"/>
  <c r="BH69" i="39"/>
  <c r="BG69" i="39"/>
  <c r="BF69" i="39"/>
  <c r="BE69" i="39"/>
  <c r="BB69" i="39"/>
  <c r="BD69" i="39" s="1"/>
  <c r="BS69" i="39" s="1" a="1"/>
  <c r="BA69" i="39"/>
  <c r="P69" i="39"/>
  <c r="BP68" i="39"/>
  <c r="BO68" i="39"/>
  <c r="BN68" i="39"/>
  <c r="BM68" i="39"/>
  <c r="BL68" i="39"/>
  <c r="BK68" i="39"/>
  <c r="BJ68" i="39"/>
  <c r="BI68" i="39"/>
  <c r="BH68" i="39"/>
  <c r="BG68" i="39"/>
  <c r="BF68" i="39"/>
  <c r="BE68" i="39"/>
  <c r="BB68" i="39"/>
  <c r="BD68" i="39" s="1"/>
  <c r="BS68" i="39" s="1" a="1"/>
  <c r="BA68" i="39"/>
  <c r="P68" i="39"/>
  <c r="BP67" i="39"/>
  <c r="BO67" i="39"/>
  <c r="BN67" i="39"/>
  <c r="BM67" i="39"/>
  <c r="BL67" i="39"/>
  <c r="BK67" i="39"/>
  <c r="BJ67" i="39"/>
  <c r="BI67" i="39"/>
  <c r="BH67" i="39"/>
  <c r="BG67" i="39"/>
  <c r="BF67" i="39"/>
  <c r="BE67" i="39"/>
  <c r="BB67" i="39"/>
  <c r="BD67" i="39" s="1"/>
  <c r="BS67" i="39" s="1" a="1"/>
  <c r="BA67" i="39"/>
  <c r="P67" i="39"/>
  <c r="BP66" i="39"/>
  <c r="BO66" i="39"/>
  <c r="BN66" i="39"/>
  <c r="BM66" i="39"/>
  <c r="BL66" i="39"/>
  <c r="BK66" i="39"/>
  <c r="BJ66" i="39"/>
  <c r="BI66" i="39"/>
  <c r="BH66" i="39"/>
  <c r="BG66" i="39"/>
  <c r="BF66" i="39"/>
  <c r="BE66" i="39"/>
  <c r="BB66" i="39"/>
  <c r="BD66" i="39" s="1"/>
  <c r="BS66" i="39" s="1" a="1"/>
  <c r="BA66" i="39"/>
  <c r="P66" i="39"/>
  <c r="BP65" i="39"/>
  <c r="BO65" i="39"/>
  <c r="BN65" i="39"/>
  <c r="BM65" i="39"/>
  <c r="BL65" i="39"/>
  <c r="BK65" i="39"/>
  <c r="BJ65" i="39"/>
  <c r="BI65" i="39"/>
  <c r="BH65" i="39"/>
  <c r="BG65" i="39"/>
  <c r="BF65" i="39"/>
  <c r="BE65" i="39"/>
  <c r="BB65" i="39"/>
  <c r="BD65" i="39" s="1"/>
  <c r="BS65" i="39" s="1" a="1"/>
  <c r="BA65" i="39"/>
  <c r="P65" i="39"/>
  <c r="BP64" i="39"/>
  <c r="BO64" i="39"/>
  <c r="BN64" i="39"/>
  <c r="BM64" i="39"/>
  <c r="BL64" i="39"/>
  <c r="BK64" i="39"/>
  <c r="BJ64" i="39"/>
  <c r="BI64" i="39"/>
  <c r="BH64" i="39"/>
  <c r="BG64" i="39"/>
  <c r="BF64" i="39"/>
  <c r="BE64" i="39"/>
  <c r="BB64" i="39"/>
  <c r="BD64" i="39" s="1"/>
  <c r="BS64" i="39" s="1" a="1"/>
  <c r="BA64" i="39"/>
  <c r="P64" i="39"/>
  <c r="BP63" i="39"/>
  <c r="BO63" i="39"/>
  <c r="BN63" i="39"/>
  <c r="BM63" i="39"/>
  <c r="BL63" i="39"/>
  <c r="BK63" i="39"/>
  <c r="BJ63" i="39"/>
  <c r="BI63" i="39"/>
  <c r="BH63" i="39"/>
  <c r="BG63" i="39"/>
  <c r="BF63" i="39"/>
  <c r="BE63" i="39"/>
  <c r="BB63" i="39"/>
  <c r="BD63" i="39" s="1"/>
  <c r="BS63" i="39" s="1" a="1"/>
  <c r="BA63" i="39"/>
  <c r="P63" i="39"/>
  <c r="BP62" i="39"/>
  <c r="BO62" i="39"/>
  <c r="BN62" i="39"/>
  <c r="BM62" i="39"/>
  <c r="BL62" i="39"/>
  <c r="BK62" i="39"/>
  <c r="BJ62" i="39"/>
  <c r="BI62" i="39"/>
  <c r="BH62" i="39"/>
  <c r="BG62" i="39"/>
  <c r="BF62" i="39"/>
  <c r="BE62" i="39"/>
  <c r="BB62" i="39"/>
  <c r="BD62" i="39" s="1"/>
  <c r="BS62" i="39" s="1" a="1"/>
  <c r="BA62" i="39"/>
  <c r="P62" i="39"/>
  <c r="BP61" i="39"/>
  <c r="BO61" i="39"/>
  <c r="BN61" i="39"/>
  <c r="BM61" i="39"/>
  <c r="BL61" i="39"/>
  <c r="BK61" i="39"/>
  <c r="BJ61" i="39"/>
  <c r="BI61" i="39"/>
  <c r="BH61" i="39"/>
  <c r="BG61" i="39"/>
  <c r="BF61" i="39"/>
  <c r="BE61" i="39"/>
  <c r="BB61" i="39"/>
  <c r="BD61" i="39" s="1"/>
  <c r="BS61" i="39" s="1" a="1"/>
  <c r="BA61" i="39"/>
  <c r="P61" i="39"/>
  <c r="BP60" i="39"/>
  <c r="BO60" i="39"/>
  <c r="BN60" i="39"/>
  <c r="BM60" i="39"/>
  <c r="BL60" i="39"/>
  <c r="BK60" i="39"/>
  <c r="BJ60" i="39"/>
  <c r="BI60" i="39"/>
  <c r="BH60" i="39"/>
  <c r="BG60" i="39"/>
  <c r="BF60" i="39"/>
  <c r="BE60" i="39"/>
  <c r="BB60" i="39"/>
  <c r="BD60" i="39" s="1"/>
  <c r="BS60" i="39" s="1" a="1"/>
  <c r="BA60" i="39"/>
  <c r="P60" i="39"/>
  <c r="BP49" i="39"/>
  <c r="BO49" i="39"/>
  <c r="BN49" i="39"/>
  <c r="BM49" i="39"/>
  <c r="BL49" i="39"/>
  <c r="BK49" i="39"/>
  <c r="BJ49" i="39"/>
  <c r="BI49" i="39"/>
  <c r="BH49" i="39"/>
  <c r="BG49" i="39"/>
  <c r="BF49" i="39"/>
  <c r="BE49" i="39"/>
  <c r="BB49" i="39"/>
  <c r="BD49" i="39" s="1"/>
  <c r="BS49" i="39" s="1" a="1"/>
  <c r="BA49" i="39"/>
  <c r="P49" i="39"/>
  <c r="BP48" i="39"/>
  <c r="BO48" i="39"/>
  <c r="BN48" i="39"/>
  <c r="BM48" i="39"/>
  <c r="BL48" i="39"/>
  <c r="BK48" i="39"/>
  <c r="BJ48" i="39"/>
  <c r="BI48" i="39"/>
  <c r="BH48" i="39"/>
  <c r="BG48" i="39"/>
  <c r="BF48" i="39"/>
  <c r="BE48" i="39"/>
  <c r="BB48" i="39"/>
  <c r="BD48" i="39" s="1"/>
  <c r="BS48" i="39" s="1" a="1"/>
  <c r="BA48" i="39"/>
  <c r="P48" i="39"/>
  <c r="BP47" i="39"/>
  <c r="BO47" i="39"/>
  <c r="BN47" i="39"/>
  <c r="BM47" i="39"/>
  <c r="BL47" i="39"/>
  <c r="BK47" i="39"/>
  <c r="BJ47" i="39"/>
  <c r="BI47" i="39"/>
  <c r="BH47" i="39"/>
  <c r="BG47" i="39"/>
  <c r="BF47" i="39"/>
  <c r="BE47" i="39"/>
  <c r="BB47" i="39"/>
  <c r="BD47" i="39" s="1"/>
  <c r="BS47" i="39" s="1" a="1"/>
  <c r="BA47" i="39"/>
  <c r="P47" i="39"/>
  <c r="BP46" i="39"/>
  <c r="BO46" i="39"/>
  <c r="BN46" i="39"/>
  <c r="BM46" i="39"/>
  <c r="BL46" i="39"/>
  <c r="BK46" i="39"/>
  <c r="BJ46" i="39"/>
  <c r="BI46" i="39"/>
  <c r="BH46" i="39"/>
  <c r="BG46" i="39"/>
  <c r="BF46" i="39"/>
  <c r="BE46" i="39"/>
  <c r="BB46" i="39"/>
  <c r="BD46" i="39" s="1"/>
  <c r="BS46" i="39" s="1" a="1"/>
  <c r="BA46" i="39"/>
  <c r="P46" i="39"/>
  <c r="BP45" i="39"/>
  <c r="BO45" i="39"/>
  <c r="BN45" i="39"/>
  <c r="BM45" i="39"/>
  <c r="BL45" i="39"/>
  <c r="BK45" i="39"/>
  <c r="BJ45" i="39"/>
  <c r="BI45" i="39"/>
  <c r="BH45" i="39"/>
  <c r="BG45" i="39"/>
  <c r="BF45" i="39"/>
  <c r="BE45" i="39"/>
  <c r="BB45" i="39"/>
  <c r="BD45" i="39" s="1"/>
  <c r="BS45" i="39" s="1" a="1"/>
  <c r="BA45" i="39"/>
  <c r="P45" i="39"/>
  <c r="BP44" i="39"/>
  <c r="BO44" i="39"/>
  <c r="BN44" i="39"/>
  <c r="BM44" i="39"/>
  <c r="BL44" i="39"/>
  <c r="BK44" i="39"/>
  <c r="BJ44" i="39"/>
  <c r="BI44" i="39"/>
  <c r="BH44" i="39"/>
  <c r="BG44" i="39"/>
  <c r="BF44" i="39"/>
  <c r="BE44" i="39"/>
  <c r="BB44" i="39"/>
  <c r="BD44" i="39" s="1"/>
  <c r="BS44" i="39" s="1" a="1"/>
  <c r="BA44" i="39"/>
  <c r="P44" i="39"/>
  <c r="BP43" i="39"/>
  <c r="BO43" i="39"/>
  <c r="BN43" i="39"/>
  <c r="BM43" i="39"/>
  <c r="BL43" i="39"/>
  <c r="BK43" i="39"/>
  <c r="BJ43" i="39"/>
  <c r="BI43" i="39"/>
  <c r="BH43" i="39"/>
  <c r="BG43" i="39"/>
  <c r="BF43" i="39"/>
  <c r="BE43" i="39"/>
  <c r="BB43" i="39"/>
  <c r="BD43" i="39" s="1"/>
  <c r="BS43" i="39" s="1" a="1"/>
  <c r="BA43" i="39"/>
  <c r="P43" i="39"/>
  <c r="BP42" i="39"/>
  <c r="BO42" i="39"/>
  <c r="BN42" i="39"/>
  <c r="BM42" i="39"/>
  <c r="BL42" i="39"/>
  <c r="BK42" i="39"/>
  <c r="BJ42" i="39"/>
  <c r="BI42" i="39"/>
  <c r="BH42" i="39"/>
  <c r="BG42" i="39"/>
  <c r="BF42" i="39"/>
  <c r="BE42" i="39"/>
  <c r="BB42" i="39"/>
  <c r="BD42" i="39" s="1"/>
  <c r="BS42" i="39" s="1" a="1"/>
  <c r="BA42" i="39"/>
  <c r="P42" i="39"/>
  <c r="BP41" i="39"/>
  <c r="BO41" i="39"/>
  <c r="BN41" i="39"/>
  <c r="BM41" i="39"/>
  <c r="BL41" i="39"/>
  <c r="BK41" i="39"/>
  <c r="BJ41" i="39"/>
  <c r="BI41" i="39"/>
  <c r="BH41" i="39"/>
  <c r="BG41" i="39"/>
  <c r="BF41" i="39"/>
  <c r="BE41" i="39"/>
  <c r="BB41" i="39"/>
  <c r="BA41" i="39"/>
  <c r="BQ41" i="39"/>
  <c r="BP40" i="39"/>
  <c r="BO40" i="39"/>
  <c r="BN40" i="39"/>
  <c r="BM40" i="39"/>
  <c r="BL40" i="39"/>
  <c r="BK40" i="39"/>
  <c r="BJ40" i="39"/>
  <c r="BI40" i="39"/>
  <c r="BH40" i="39"/>
  <c r="BG40" i="39"/>
  <c r="BF40" i="39"/>
  <c r="BE40" i="39"/>
  <c r="BB40" i="39"/>
  <c r="BA40" i="39"/>
  <c r="P40" i="39"/>
  <c r="BP39" i="39"/>
  <c r="BO39" i="39"/>
  <c r="BN39" i="39"/>
  <c r="BM39" i="39"/>
  <c r="BL39" i="39"/>
  <c r="BK39" i="39"/>
  <c r="BJ39" i="39"/>
  <c r="BI39" i="39"/>
  <c r="BH39" i="39"/>
  <c r="BG39" i="39"/>
  <c r="BF39" i="39"/>
  <c r="BE39" i="39"/>
  <c r="BB39" i="39"/>
  <c r="BA39" i="39"/>
  <c r="P39" i="39"/>
  <c r="BP38" i="39"/>
  <c r="BO38" i="39"/>
  <c r="BN38" i="39"/>
  <c r="BM38" i="39"/>
  <c r="BL38" i="39"/>
  <c r="BK38" i="39"/>
  <c r="BJ38" i="39"/>
  <c r="BI38" i="39"/>
  <c r="BH38" i="39"/>
  <c r="BG38" i="39"/>
  <c r="BF38" i="39"/>
  <c r="BE38" i="39"/>
  <c r="BB38" i="39"/>
  <c r="BA38" i="39"/>
  <c r="P38" i="39"/>
  <c r="BP37" i="39"/>
  <c r="BO37" i="39"/>
  <c r="BN37" i="39"/>
  <c r="BM37" i="39"/>
  <c r="BL37" i="39"/>
  <c r="BK37" i="39"/>
  <c r="BJ37" i="39"/>
  <c r="BI37" i="39"/>
  <c r="BH37" i="39"/>
  <c r="BG37" i="39"/>
  <c r="BF37" i="39"/>
  <c r="BE37" i="39"/>
  <c r="BB37" i="39"/>
  <c r="BA37" i="39"/>
  <c r="P37" i="39"/>
  <c r="BP36" i="39"/>
  <c r="BO36" i="39"/>
  <c r="BN36" i="39"/>
  <c r="BM36" i="39"/>
  <c r="BL36" i="39"/>
  <c r="BK36" i="39"/>
  <c r="BJ36" i="39"/>
  <c r="BI36" i="39"/>
  <c r="BH36" i="39"/>
  <c r="BG36" i="39"/>
  <c r="BF36" i="39"/>
  <c r="BE36" i="39"/>
  <c r="BB36" i="39"/>
  <c r="BA36" i="39"/>
  <c r="P36" i="39"/>
  <c r="BP35" i="39"/>
  <c r="BO35" i="39"/>
  <c r="BN35" i="39"/>
  <c r="BM35" i="39"/>
  <c r="BL35" i="39"/>
  <c r="BK35" i="39"/>
  <c r="BJ35" i="39"/>
  <c r="BI35" i="39"/>
  <c r="BH35" i="39"/>
  <c r="BG35" i="39"/>
  <c r="BF35" i="39"/>
  <c r="BE35" i="39"/>
  <c r="BB35" i="39"/>
  <c r="BA35" i="39"/>
  <c r="P35" i="39"/>
  <c r="BP34" i="39"/>
  <c r="BO34" i="39"/>
  <c r="BN34" i="39"/>
  <c r="BM34" i="39"/>
  <c r="BL34" i="39"/>
  <c r="BK34" i="39"/>
  <c r="BJ34" i="39"/>
  <c r="BI34" i="39"/>
  <c r="BH34" i="39"/>
  <c r="BG34" i="39"/>
  <c r="BF34" i="39"/>
  <c r="BE34" i="39"/>
  <c r="BB34" i="39"/>
  <c r="BA34" i="39"/>
  <c r="P34" i="39"/>
  <c r="BP33" i="39"/>
  <c r="BO33" i="39"/>
  <c r="BN33" i="39"/>
  <c r="BM33" i="39"/>
  <c r="BL33" i="39"/>
  <c r="BK33" i="39"/>
  <c r="BJ33" i="39"/>
  <c r="BI33" i="39"/>
  <c r="BH33" i="39"/>
  <c r="BG33" i="39"/>
  <c r="BF33" i="39"/>
  <c r="BE33" i="39"/>
  <c r="BB33" i="39"/>
  <c r="BA33" i="39"/>
  <c r="P33" i="39"/>
  <c r="BP32" i="39"/>
  <c r="BO32" i="39"/>
  <c r="BN32" i="39"/>
  <c r="BM32" i="39"/>
  <c r="BL32" i="39"/>
  <c r="BK32" i="39"/>
  <c r="BJ32" i="39"/>
  <c r="BI32" i="39"/>
  <c r="BH32" i="39"/>
  <c r="BG32" i="39"/>
  <c r="BF32" i="39"/>
  <c r="BE32" i="39"/>
  <c r="BB32" i="39"/>
  <c r="BA32" i="39"/>
  <c r="P32" i="39"/>
  <c r="BP31" i="39"/>
  <c r="BO31" i="39"/>
  <c r="BN31" i="39"/>
  <c r="BM31" i="39"/>
  <c r="BL31" i="39"/>
  <c r="BK31" i="39"/>
  <c r="BJ31" i="39"/>
  <c r="BI31" i="39"/>
  <c r="BH31" i="39"/>
  <c r="BG31" i="39"/>
  <c r="BF31" i="39"/>
  <c r="BE31" i="39"/>
  <c r="BB31" i="39"/>
  <c r="BA31" i="39"/>
  <c r="P31" i="39"/>
  <c r="BP30" i="39"/>
  <c r="BO30" i="39"/>
  <c r="BN30" i="39"/>
  <c r="BM30" i="39"/>
  <c r="BL30" i="39"/>
  <c r="BK30" i="39"/>
  <c r="BJ30" i="39"/>
  <c r="BI30" i="39"/>
  <c r="BH30" i="39"/>
  <c r="BG30" i="39"/>
  <c r="BF30" i="39"/>
  <c r="BE30" i="39"/>
  <c r="BB30" i="39"/>
  <c r="BA30" i="39"/>
  <c r="P30" i="39"/>
  <c r="BP29" i="39"/>
  <c r="BO29" i="39"/>
  <c r="BN29" i="39"/>
  <c r="BM29" i="39"/>
  <c r="BL29" i="39"/>
  <c r="BK29" i="39"/>
  <c r="BJ29" i="39"/>
  <c r="BI29" i="39"/>
  <c r="BH29" i="39"/>
  <c r="BG29" i="39"/>
  <c r="BF29" i="39"/>
  <c r="BE29" i="39"/>
  <c r="BB29" i="39"/>
  <c r="BA29" i="39"/>
  <c r="P29" i="39"/>
  <c r="BP28" i="39"/>
  <c r="BO28" i="39"/>
  <c r="BN28" i="39"/>
  <c r="BM28" i="39"/>
  <c r="BL28" i="39"/>
  <c r="BK28" i="39"/>
  <c r="BJ28" i="39"/>
  <c r="BI28" i="39"/>
  <c r="BH28" i="39"/>
  <c r="BG28" i="39"/>
  <c r="BF28" i="39"/>
  <c r="BE28" i="39"/>
  <c r="BB28" i="39"/>
  <c r="BA28" i="39"/>
  <c r="P28" i="39"/>
  <c r="BP27" i="39"/>
  <c r="BO27" i="39"/>
  <c r="BN27" i="39"/>
  <c r="BM27" i="39"/>
  <c r="BL27" i="39"/>
  <c r="BK27" i="39"/>
  <c r="BJ27" i="39"/>
  <c r="BI27" i="39"/>
  <c r="BH27" i="39"/>
  <c r="BG27" i="39"/>
  <c r="BF27" i="39"/>
  <c r="BE27" i="39"/>
  <c r="BB27" i="39"/>
  <c r="BA27" i="39"/>
  <c r="P27" i="39"/>
  <c r="BP26" i="39"/>
  <c r="BO26" i="39"/>
  <c r="BN26" i="39"/>
  <c r="BM26" i="39"/>
  <c r="BL26" i="39"/>
  <c r="BK26" i="39"/>
  <c r="BJ26" i="39"/>
  <c r="BI26" i="39"/>
  <c r="BH26" i="39"/>
  <c r="BG26" i="39"/>
  <c r="BF26" i="39"/>
  <c r="BE26" i="39"/>
  <c r="BB26" i="39"/>
  <c r="BA26" i="39"/>
  <c r="P26" i="39"/>
  <c r="BP25" i="39"/>
  <c r="BO25" i="39"/>
  <c r="BN25" i="39"/>
  <c r="BM25" i="39"/>
  <c r="BL25" i="39"/>
  <c r="BK25" i="39"/>
  <c r="BJ25" i="39"/>
  <c r="BI25" i="39"/>
  <c r="BH25" i="39"/>
  <c r="BG25" i="39"/>
  <c r="BF25" i="39"/>
  <c r="BE25" i="39"/>
  <c r="BB25" i="39"/>
  <c r="BA25" i="39"/>
  <c r="P25" i="39"/>
  <c r="BP24" i="39"/>
  <c r="BO24" i="39"/>
  <c r="BN24" i="39"/>
  <c r="BM24" i="39"/>
  <c r="BL24" i="39"/>
  <c r="BK24" i="39"/>
  <c r="BJ24" i="39"/>
  <c r="BI24" i="39"/>
  <c r="BH24" i="39"/>
  <c r="BE24" i="39"/>
  <c r="BB24" i="39"/>
  <c r="BA24" i="39"/>
  <c r="P24" i="39"/>
  <c r="BP23" i="39"/>
  <c r="BO23" i="39"/>
  <c r="BN23" i="39"/>
  <c r="BM23" i="39"/>
  <c r="BL23" i="39"/>
  <c r="BK23" i="39"/>
  <c r="BJ23" i="39"/>
  <c r="BI23" i="39"/>
  <c r="BH23" i="39"/>
  <c r="BG23" i="39"/>
  <c r="BF23" i="39"/>
  <c r="BE23" i="39"/>
  <c r="BB23" i="39"/>
  <c r="BA23" i="39"/>
  <c r="P23" i="39"/>
  <c r="BP22" i="39"/>
  <c r="BO22" i="39"/>
  <c r="BN22" i="39"/>
  <c r="BM22" i="39"/>
  <c r="BJ22" i="39"/>
  <c r="BI22" i="39"/>
  <c r="BH22" i="39"/>
  <c r="BG22" i="39"/>
  <c r="BF22" i="39"/>
  <c r="BE22" i="39"/>
  <c r="BB22" i="39"/>
  <c r="BA22" i="39"/>
  <c r="P22" i="39"/>
  <c r="BP21" i="39"/>
  <c r="BO21" i="39"/>
  <c r="BN21" i="39"/>
  <c r="BM21" i="39"/>
  <c r="BL21" i="39"/>
  <c r="BK21" i="39"/>
  <c r="BJ21" i="39"/>
  <c r="BI21" i="39"/>
  <c r="BH21" i="39"/>
  <c r="BG21" i="39"/>
  <c r="BF21" i="39"/>
  <c r="BE21" i="39"/>
  <c r="BB21" i="39"/>
  <c r="BA21" i="39"/>
  <c r="P21" i="39"/>
  <c r="BP20" i="39"/>
  <c r="BO20" i="39"/>
  <c r="BN20" i="39"/>
  <c r="BM20" i="39"/>
  <c r="BL20" i="39"/>
  <c r="BK20" i="39"/>
  <c r="BJ20" i="39"/>
  <c r="BI20" i="39"/>
  <c r="BH20" i="39"/>
  <c r="BG20" i="39"/>
  <c r="BF20" i="39"/>
  <c r="BE20" i="39"/>
  <c r="BB20" i="39"/>
  <c r="BA20" i="39"/>
  <c r="P20" i="39"/>
  <c r="BP19" i="39"/>
  <c r="BO19" i="39"/>
  <c r="BN19" i="39"/>
  <c r="BM19" i="39"/>
  <c r="BL19" i="39"/>
  <c r="BK19" i="39"/>
  <c r="BJ19" i="39"/>
  <c r="BI19" i="39"/>
  <c r="BH19" i="39"/>
  <c r="BG19" i="39"/>
  <c r="BF19" i="39"/>
  <c r="BE19" i="39"/>
  <c r="BB19" i="39"/>
  <c r="BA19" i="39"/>
  <c r="P19" i="39"/>
  <c r="BP18" i="39"/>
  <c r="BO18" i="39"/>
  <c r="BN18" i="39"/>
  <c r="BM18" i="39"/>
  <c r="BL18" i="39"/>
  <c r="BK18" i="39"/>
  <c r="BJ18" i="39"/>
  <c r="BI18" i="39"/>
  <c r="BH18" i="39"/>
  <c r="BG18" i="39"/>
  <c r="BF18" i="39"/>
  <c r="BE18" i="39"/>
  <c r="BB18" i="39"/>
  <c r="BA18" i="39"/>
  <c r="P18" i="39"/>
  <c r="BP17" i="39"/>
  <c r="BO17" i="39"/>
  <c r="BN17" i="39"/>
  <c r="BM17" i="39"/>
  <c r="BL17" i="39"/>
  <c r="BK17" i="39"/>
  <c r="BJ17" i="39"/>
  <c r="BI17" i="39"/>
  <c r="BH17" i="39"/>
  <c r="BG17" i="39"/>
  <c r="BF17" i="39"/>
  <c r="BE17" i="39"/>
  <c r="BB17" i="39"/>
  <c r="BA17" i="39"/>
  <c r="P17" i="39"/>
  <c r="BP16" i="39"/>
  <c r="BO16" i="39"/>
  <c r="BN16" i="39"/>
  <c r="BM16" i="39"/>
  <c r="BL16" i="39"/>
  <c r="BK16" i="39"/>
  <c r="BJ16" i="39"/>
  <c r="BI16" i="39"/>
  <c r="BH16" i="39"/>
  <c r="BG16" i="39"/>
  <c r="BF16" i="39"/>
  <c r="BE16" i="39"/>
  <c r="BB16" i="39"/>
  <c r="BA16" i="39"/>
  <c r="P16" i="39"/>
  <c r="BE14" i="39"/>
  <c r="BB14" i="39"/>
  <c r="BA14" i="39"/>
  <c r="BL117" i="38"/>
  <c r="BK117" i="38"/>
  <c r="BJ117" i="38"/>
  <c r="BI117" i="38"/>
  <c r="BH117" i="38"/>
  <c r="BF117" i="38"/>
  <c r="BE117" i="38"/>
  <c r="BC117" i="38"/>
  <c r="BB117" i="38"/>
  <c r="T117" i="38"/>
  <c r="BF116" i="38"/>
  <c r="BU116" i="38" s="1"/>
  <c r="T116" i="38"/>
  <c r="BE116" i="38"/>
  <c r="BC116" i="38"/>
  <c r="BB116" i="38"/>
  <c r="BF115" i="38"/>
  <c r="BU115" i="38" s="1"/>
  <c r="T115" i="38"/>
  <c r="BE115" i="38"/>
  <c r="BC115" i="38"/>
  <c r="BB115" i="38"/>
  <c r="BF114" i="38"/>
  <c r="BU114" i="38" s="1"/>
  <c r="T114" i="38"/>
  <c r="BE114" i="38"/>
  <c r="BC114" i="38"/>
  <c r="BB114" i="38"/>
  <c r="BF113" i="38"/>
  <c r="BU113" i="38" s="1"/>
  <c r="T113" i="38"/>
  <c r="BE113" i="38"/>
  <c r="BC113" i="38"/>
  <c r="BB113" i="38"/>
  <c r="BF112" i="38"/>
  <c r="BU112" i="38" s="1"/>
  <c r="T112" i="38"/>
  <c r="BE112" i="38"/>
  <c r="BC112" i="38"/>
  <c r="BB112" i="38"/>
  <c r="BF111" i="38"/>
  <c r="BU111" i="38" s="1"/>
  <c r="T111" i="38"/>
  <c r="BE111" i="38"/>
  <c r="BC111" i="38"/>
  <c r="BB111" i="38"/>
  <c r="BF110" i="38"/>
  <c r="BU110" i="38" s="1"/>
  <c r="T110" i="38"/>
  <c r="BE110" i="38"/>
  <c r="BC110" i="38"/>
  <c r="BB110" i="38"/>
  <c r="BF109" i="38"/>
  <c r="BU109" i="38" s="1"/>
  <c r="T109" i="38"/>
  <c r="BE109" i="38"/>
  <c r="BC109" i="38"/>
  <c r="BB109" i="38"/>
  <c r="BF108" i="38"/>
  <c r="BU108" i="38" s="1"/>
  <c r="T108" i="38"/>
  <c r="BE108" i="38"/>
  <c r="BC108" i="38"/>
  <c r="BB108" i="38"/>
  <c r="BF107" i="38"/>
  <c r="BU107" i="38" s="1"/>
  <c r="T107" i="38"/>
  <c r="BE107" i="38"/>
  <c r="BC107" i="38"/>
  <c r="BB107" i="38"/>
  <c r="BF106" i="38"/>
  <c r="BU106" i="38" s="1"/>
  <c r="T106" i="38"/>
  <c r="BE106" i="38"/>
  <c r="BC106" i="38"/>
  <c r="BB106" i="38"/>
  <c r="BF105" i="38"/>
  <c r="BU105" i="38" s="1"/>
  <c r="T105" i="38"/>
  <c r="BE105" i="38"/>
  <c r="BC105" i="38"/>
  <c r="BB105" i="38"/>
  <c r="BF104" i="38"/>
  <c r="BU104" i="38" s="1"/>
  <c r="T104" i="38"/>
  <c r="BE104" i="38"/>
  <c r="BC104" i="38"/>
  <c r="BB104" i="38"/>
  <c r="BF103" i="38"/>
  <c r="BU103" i="38" s="1"/>
  <c r="T103" i="38"/>
  <c r="BE103" i="38"/>
  <c r="BC103" i="38"/>
  <c r="BB103" i="38"/>
  <c r="BF102" i="38"/>
  <c r="BU102" i="38" s="1"/>
  <c r="T102" i="38"/>
  <c r="BE102" i="38"/>
  <c r="BC102" i="38"/>
  <c r="BB102" i="38"/>
  <c r="BF101" i="38"/>
  <c r="BU101" i="38" s="1"/>
  <c r="T101" i="38"/>
  <c r="BE101" i="38"/>
  <c r="BC101" i="38"/>
  <c r="BB101" i="38"/>
  <c r="BF100" i="38"/>
  <c r="BU100" i="38" s="1"/>
  <c r="T100" i="38"/>
  <c r="BE100" i="38"/>
  <c r="BC100" i="38"/>
  <c r="BB100" i="38"/>
  <c r="BF99" i="38"/>
  <c r="BU99" i="38" s="1"/>
  <c r="T99" i="38"/>
  <c r="BE99" i="38"/>
  <c r="BC99" i="38"/>
  <c r="BB99" i="38"/>
  <c r="BF98" i="38"/>
  <c r="BU98" i="38" s="1"/>
  <c r="T98" i="38"/>
  <c r="BE98" i="38"/>
  <c r="BC98" i="38"/>
  <c r="BB98" i="38"/>
  <c r="BF97" i="38"/>
  <c r="BU97" i="38" s="1"/>
  <c r="T97" i="38"/>
  <c r="BE97" i="38"/>
  <c r="BC97" i="38"/>
  <c r="BB97" i="38"/>
  <c r="BF96" i="38"/>
  <c r="BU96" i="38" s="1"/>
  <c r="T96" i="38"/>
  <c r="BE96" i="38"/>
  <c r="BC96" i="38"/>
  <c r="BB96" i="38"/>
  <c r="BF95" i="38"/>
  <c r="BU95" i="38" s="1"/>
  <c r="T95" i="38"/>
  <c r="BE95" i="38"/>
  <c r="BC95" i="38"/>
  <c r="BB95" i="38"/>
  <c r="BF94" i="38"/>
  <c r="BU94" i="38" s="1"/>
  <c r="T94" i="38"/>
  <c r="BE94" i="38"/>
  <c r="BC94" i="38"/>
  <c r="BB94" i="38"/>
  <c r="BF93" i="38"/>
  <c r="BU93" i="38" s="1"/>
  <c r="T93" i="38"/>
  <c r="BE93" i="38"/>
  <c r="BC93" i="38"/>
  <c r="BB93" i="38"/>
  <c r="BF92" i="38"/>
  <c r="BU92" i="38" s="1"/>
  <c r="T92" i="38"/>
  <c r="BE92" i="38"/>
  <c r="BC92" i="38"/>
  <c r="BB92" i="38"/>
  <c r="BF91" i="38"/>
  <c r="BU91" i="38" s="1"/>
  <c r="T91" i="38"/>
  <c r="BE91" i="38"/>
  <c r="BC91" i="38"/>
  <c r="BB91" i="38"/>
  <c r="BF90" i="38"/>
  <c r="BU90" i="38" s="1"/>
  <c r="T90" i="38"/>
  <c r="BE90" i="38"/>
  <c r="BC90" i="38"/>
  <c r="BB90" i="38"/>
  <c r="BF89" i="38"/>
  <c r="BU89" i="38" s="1"/>
  <c r="T89" i="38"/>
  <c r="BE89" i="38"/>
  <c r="BC89" i="38"/>
  <c r="BB89" i="38"/>
  <c r="BF88" i="38"/>
  <c r="BU88" i="38" s="1"/>
  <c r="T88" i="38"/>
  <c r="BE88" i="38"/>
  <c r="BC88" i="38"/>
  <c r="BB88" i="38"/>
  <c r="BF87" i="38"/>
  <c r="BU87" i="38" s="1"/>
  <c r="T87" i="38"/>
  <c r="BE87" i="38"/>
  <c r="BC87" i="38"/>
  <c r="BB87" i="38"/>
  <c r="BF86" i="38"/>
  <c r="BU86" i="38" s="1"/>
  <c r="T86" i="38"/>
  <c r="BE86" i="38"/>
  <c r="BC86" i="38"/>
  <c r="BB86" i="38"/>
  <c r="BF85" i="38"/>
  <c r="BU85" i="38" s="1"/>
  <c r="T85" i="38"/>
  <c r="BE85" i="38"/>
  <c r="BC85" i="38"/>
  <c r="BB85" i="38"/>
  <c r="BF84" i="38"/>
  <c r="BU84" i="38" s="1"/>
  <c r="T84" i="38"/>
  <c r="BE84" i="38"/>
  <c r="BC84" i="38"/>
  <c r="BB84" i="38"/>
  <c r="BF83" i="38"/>
  <c r="BU83" i="38" s="1"/>
  <c r="T83" i="38"/>
  <c r="BE83" i="38"/>
  <c r="BC83" i="38"/>
  <c r="BB83" i="38"/>
  <c r="BF82" i="38"/>
  <c r="BU82" i="38" s="1"/>
  <c r="T82" i="38"/>
  <c r="BE82" i="38"/>
  <c r="BC82" i="38"/>
  <c r="BB82" i="38"/>
  <c r="BF81" i="38"/>
  <c r="BU81" i="38" s="1"/>
  <c r="T81" i="38"/>
  <c r="BE81" i="38"/>
  <c r="BC81" i="38"/>
  <c r="BB81" i="38"/>
  <c r="BF80" i="38"/>
  <c r="BU80" i="38" s="1"/>
  <c r="T80" i="38"/>
  <c r="BE80" i="38"/>
  <c r="BC80" i="38"/>
  <c r="BB80" i="38"/>
  <c r="BF79" i="38"/>
  <c r="BU79" i="38" s="1"/>
  <c r="T79" i="38"/>
  <c r="BE79" i="38"/>
  <c r="BC79" i="38"/>
  <c r="BB79" i="38"/>
  <c r="BF78" i="38"/>
  <c r="BU78" i="38" s="1"/>
  <c r="T78" i="38"/>
  <c r="BE78" i="38"/>
  <c r="BC78" i="38"/>
  <c r="BB78" i="38"/>
  <c r="BF77" i="38"/>
  <c r="BU77" i="38" s="1"/>
  <c r="T77" i="38"/>
  <c r="BE77" i="38"/>
  <c r="BC77" i="38"/>
  <c r="BB77" i="38"/>
  <c r="BF76" i="38"/>
  <c r="BU76" i="38" s="1"/>
  <c r="T76" i="38"/>
  <c r="BE76" i="38"/>
  <c r="BC76" i="38"/>
  <c r="BB76" i="38"/>
  <c r="BF75" i="38"/>
  <c r="BU75" i="38" s="1"/>
  <c r="T75" i="38"/>
  <c r="BE75" i="38"/>
  <c r="BC75" i="38"/>
  <c r="BB75" i="38"/>
  <c r="BF74" i="38"/>
  <c r="BU74" i="38" s="1"/>
  <c r="T74" i="38"/>
  <c r="BE74" i="38"/>
  <c r="BC74" i="38"/>
  <c r="BB74" i="38"/>
  <c r="BF73" i="38"/>
  <c r="BU73" i="38" s="1"/>
  <c r="T73" i="38"/>
  <c r="BE73" i="38"/>
  <c r="BC73" i="38"/>
  <c r="BB73" i="38"/>
  <c r="BF72" i="38"/>
  <c r="BU72" i="38" s="1"/>
  <c r="T72" i="38"/>
  <c r="BE72" i="38"/>
  <c r="BC72" i="38"/>
  <c r="BB72" i="38"/>
  <c r="BF71" i="38"/>
  <c r="BU71" i="38" s="1"/>
  <c r="T71" i="38"/>
  <c r="BE71" i="38"/>
  <c r="BC71" i="38"/>
  <c r="BB71" i="38"/>
  <c r="BF70" i="38"/>
  <c r="BU70" i="38" s="1"/>
  <c r="T70" i="38"/>
  <c r="BE70" i="38"/>
  <c r="BC70" i="38"/>
  <c r="BB70" i="38"/>
  <c r="BF69" i="38"/>
  <c r="BU69" i="38" s="1"/>
  <c r="T69" i="38"/>
  <c r="BE69" i="38"/>
  <c r="BC69" i="38"/>
  <c r="BB69" i="38"/>
  <c r="BF68" i="38"/>
  <c r="BU68" i="38" s="1"/>
  <c r="T68" i="38"/>
  <c r="BE68" i="38"/>
  <c r="BC68" i="38"/>
  <c r="BB68" i="38"/>
  <c r="BF67" i="38"/>
  <c r="BU67" i="38" s="1"/>
  <c r="T67" i="38"/>
  <c r="BE67" i="38"/>
  <c r="BC67" i="38"/>
  <c r="BB67" i="38"/>
  <c r="BF66" i="38"/>
  <c r="BU66" i="38" s="1"/>
  <c r="T66" i="38"/>
  <c r="BE66" i="38"/>
  <c r="BC66" i="38"/>
  <c r="BB66" i="38"/>
  <c r="BF65" i="38"/>
  <c r="BU65" i="38" s="1"/>
  <c r="T65" i="38"/>
  <c r="BE65" i="38"/>
  <c r="BC65" i="38"/>
  <c r="BB65" i="38"/>
  <c r="BF64" i="38"/>
  <c r="BU64" i="38" s="1"/>
  <c r="T64" i="38"/>
  <c r="BE64" i="38"/>
  <c r="BC64" i="38"/>
  <c r="BB64" i="38"/>
  <c r="BF63" i="38"/>
  <c r="BU63" i="38" s="1"/>
  <c r="T63" i="38"/>
  <c r="BE63" i="38"/>
  <c r="BC63" i="38"/>
  <c r="BB63" i="38"/>
  <c r="BF62" i="38"/>
  <c r="BU62" i="38" s="1"/>
  <c r="T62" i="38"/>
  <c r="BE62" i="38"/>
  <c r="BC62" i="38"/>
  <c r="BB62" i="38"/>
  <c r="BF61" i="38"/>
  <c r="BU61" i="38" s="1"/>
  <c r="T61" i="38"/>
  <c r="BE61" i="38"/>
  <c r="BC61" i="38"/>
  <c r="BB61" i="38"/>
  <c r="BF60" i="38"/>
  <c r="BU60" i="38" s="1"/>
  <c r="T60" i="38"/>
  <c r="BE60" i="38"/>
  <c r="BC60" i="38"/>
  <c r="BB60" i="38"/>
  <c r="BF59" i="38"/>
  <c r="BU59" i="38" s="1"/>
  <c r="T59" i="38"/>
  <c r="BE59" i="38"/>
  <c r="BC59" i="38"/>
  <c r="BB59" i="38"/>
  <c r="BF58" i="38"/>
  <c r="BU58" i="38" s="1"/>
  <c r="T58" i="38"/>
  <c r="BE58" i="38"/>
  <c r="BC58" i="38"/>
  <c r="BB58" i="38"/>
  <c r="BF57" i="38"/>
  <c r="BU57" i="38" s="1"/>
  <c r="T57" i="38"/>
  <c r="BE57" i="38"/>
  <c r="BC57" i="38"/>
  <c r="BB57" i="38"/>
  <c r="BF56" i="38"/>
  <c r="BU56" i="38" s="1"/>
  <c r="T56" i="38"/>
  <c r="BE56" i="38"/>
  <c r="BC56" i="38"/>
  <c r="BB56" i="38"/>
  <c r="BF55" i="38"/>
  <c r="BU55" i="38" s="1"/>
  <c r="T55" i="38"/>
  <c r="BE55" i="38"/>
  <c r="BC55" i="38"/>
  <c r="BB55" i="38"/>
  <c r="BF54" i="38"/>
  <c r="BU54" i="38" s="1"/>
  <c r="T54" i="38"/>
  <c r="BE54" i="38"/>
  <c r="BC54" i="38"/>
  <c r="BB54" i="38"/>
  <c r="BF53" i="38"/>
  <c r="BU53" i="38" s="1"/>
  <c r="T53" i="38"/>
  <c r="BE53" i="38"/>
  <c r="BC53" i="38"/>
  <c r="BB53" i="38"/>
  <c r="BF52" i="38"/>
  <c r="BU52" i="38" s="1"/>
  <c r="T52" i="38"/>
  <c r="BE52" i="38"/>
  <c r="BC52" i="38"/>
  <c r="BB52" i="38"/>
  <c r="BF51" i="38"/>
  <c r="BU51" i="38" s="1"/>
  <c r="T51" i="38"/>
  <c r="BE51" i="38"/>
  <c r="BC51" i="38"/>
  <c r="BB51" i="38"/>
  <c r="BF50" i="38"/>
  <c r="BU50" i="38" s="1"/>
  <c r="T50" i="38"/>
  <c r="BE50" i="38"/>
  <c r="BC50" i="38"/>
  <c r="BB50" i="38"/>
  <c r="BF49" i="38"/>
  <c r="BU49" i="38" s="1"/>
  <c r="T49" i="38"/>
  <c r="BE49" i="38"/>
  <c r="BC49" i="38"/>
  <c r="BB49" i="38"/>
  <c r="BF48" i="38"/>
  <c r="BU48" i="38" s="1"/>
  <c r="T48" i="38"/>
  <c r="BE48" i="38"/>
  <c r="BC48" i="38"/>
  <c r="BB48" i="38"/>
  <c r="BF47" i="38"/>
  <c r="BU47" i="38" s="1"/>
  <c r="T47" i="38"/>
  <c r="BE47" i="38"/>
  <c r="BC47" i="38"/>
  <c r="BB47" i="38"/>
  <c r="BF46" i="38"/>
  <c r="BU46" i="38" s="1"/>
  <c r="T46" i="38"/>
  <c r="BE46" i="38"/>
  <c r="BC46" i="38"/>
  <c r="BB46" i="38"/>
  <c r="BF45" i="38"/>
  <c r="BU45" i="38" s="1"/>
  <c r="T45" i="38"/>
  <c r="BE45" i="38"/>
  <c r="BC45" i="38"/>
  <c r="BB45" i="38"/>
  <c r="BF44" i="38"/>
  <c r="BU44" i="38" s="1"/>
  <c r="T44" i="38"/>
  <c r="BE44" i="38"/>
  <c r="BC44" i="38"/>
  <c r="BB44" i="38"/>
  <c r="BF43" i="38"/>
  <c r="BU43" i="38" s="1"/>
  <c r="T43" i="38"/>
  <c r="BE43" i="38"/>
  <c r="BC43" i="38"/>
  <c r="BB43" i="38"/>
  <c r="BF42" i="38"/>
  <c r="BU42" i="38" s="1"/>
  <c r="T42" i="38"/>
  <c r="BE42" i="38"/>
  <c r="BC42" i="38"/>
  <c r="BB42" i="38"/>
  <c r="BF41" i="38"/>
  <c r="BU41" i="38" s="1"/>
  <c r="T41" i="38"/>
  <c r="BE41" i="38"/>
  <c r="BC41" i="38"/>
  <c r="BB41" i="38"/>
  <c r="BF40" i="38"/>
  <c r="BU40" i="38" s="1"/>
  <c r="T40" i="38"/>
  <c r="BE40" i="38"/>
  <c r="BC40" i="38"/>
  <c r="BB40" i="38"/>
  <c r="BF39" i="38"/>
  <c r="BU39" i="38" s="1"/>
  <c r="T39" i="38"/>
  <c r="BE39" i="38"/>
  <c r="BC39" i="38"/>
  <c r="BB39" i="38"/>
  <c r="BF38" i="38"/>
  <c r="BU38" i="38" s="1"/>
  <c r="T38" i="38"/>
  <c r="BE38" i="38"/>
  <c r="BC38" i="38"/>
  <c r="BB38" i="38"/>
  <c r="BF37" i="38"/>
  <c r="BU37" i="38" s="1"/>
  <c r="T37" i="38"/>
  <c r="BE37" i="38"/>
  <c r="BC37" i="38"/>
  <c r="BB37" i="38"/>
  <c r="BF36" i="38"/>
  <c r="BU36" i="38" s="1"/>
  <c r="T36" i="38"/>
  <c r="BE36" i="38"/>
  <c r="BC36" i="38"/>
  <c r="BB36" i="38"/>
  <c r="BF35" i="38"/>
  <c r="BU35" i="38" s="1"/>
  <c r="T35" i="38"/>
  <c r="BE35" i="38"/>
  <c r="BC35" i="38"/>
  <c r="BB35" i="38"/>
  <c r="BF34" i="38"/>
  <c r="BU34" i="38" s="1"/>
  <c r="T34" i="38"/>
  <c r="BE34" i="38"/>
  <c r="BC34" i="38"/>
  <c r="BB34" i="38"/>
  <c r="BF33" i="38"/>
  <c r="BU33" i="38" s="1"/>
  <c r="T33" i="38"/>
  <c r="BE33" i="38"/>
  <c r="BC33" i="38"/>
  <c r="BB33" i="38"/>
  <c r="BF32" i="38"/>
  <c r="BU32" i="38" s="1"/>
  <c r="T32" i="38"/>
  <c r="BE32" i="38"/>
  <c r="BC32" i="38"/>
  <c r="BB32" i="38"/>
  <c r="BF31" i="38"/>
  <c r="BU31" i="38" s="1"/>
  <c r="T31" i="38"/>
  <c r="BE31" i="38"/>
  <c r="BC31" i="38"/>
  <c r="BB31" i="38"/>
  <c r="BF30" i="38"/>
  <c r="BU30" i="38" s="1"/>
  <c r="T30" i="38"/>
  <c r="BE30" i="38"/>
  <c r="BC30" i="38"/>
  <c r="BB30" i="38"/>
  <c r="BF29" i="38"/>
  <c r="BU29" i="38" s="1"/>
  <c r="T29" i="38"/>
  <c r="BE29" i="38"/>
  <c r="BC29" i="38"/>
  <c r="BB29" i="38"/>
  <c r="BF28" i="38"/>
  <c r="BU28" i="38" s="1"/>
  <c r="T28" i="38"/>
  <c r="BE28" i="38"/>
  <c r="BC28" i="38"/>
  <c r="BB28" i="38"/>
  <c r="BF27" i="38"/>
  <c r="BU27" i="38" s="1"/>
  <c r="T27" i="38"/>
  <c r="BE27" i="38"/>
  <c r="BC27" i="38"/>
  <c r="BB27" i="38"/>
  <c r="BF26" i="38"/>
  <c r="BU26" i="38" s="1"/>
  <c r="T26" i="38"/>
  <c r="BE26" i="38"/>
  <c r="BC26" i="38"/>
  <c r="BB26" i="38"/>
  <c r="BF25" i="38"/>
  <c r="BU25" i="38" s="1"/>
  <c r="T25" i="38"/>
  <c r="BE25" i="38"/>
  <c r="BC25" i="38"/>
  <c r="BB25" i="38"/>
  <c r="BF24" i="38"/>
  <c r="BU24" i="38" s="1"/>
  <c r="T24" i="38"/>
  <c r="BE24" i="38"/>
  <c r="BC24" i="38"/>
  <c r="BB24" i="38"/>
  <c r="BF23" i="38"/>
  <c r="BU23" i="38" s="1"/>
  <c r="T23" i="38"/>
  <c r="BE23" i="38"/>
  <c r="BC23" i="38"/>
  <c r="BB23" i="38"/>
  <c r="BF22" i="38"/>
  <c r="BU22" i="38" s="1"/>
  <c r="T22" i="38"/>
  <c r="BE22" i="38"/>
  <c r="BC22" i="38"/>
  <c r="BB22" i="38"/>
  <c r="BE21" i="38"/>
  <c r="BC21" i="38"/>
  <c r="BB21" i="38"/>
  <c r="BF20" i="38"/>
  <c r="BU20" i="38" s="1"/>
  <c r="T20" i="38"/>
  <c r="BE20" i="38"/>
  <c r="BC20" i="38"/>
  <c r="BB20" i="38"/>
  <c r="BF19" i="38"/>
  <c r="BU19" i="38" s="1"/>
  <c r="T19" i="38"/>
  <c r="BE19" i="38"/>
  <c r="BC19" i="38"/>
  <c r="BB19" i="38"/>
  <c r="BF18" i="38"/>
  <c r="T18" i="38"/>
  <c r="E18" i="38"/>
  <c r="BE18" i="38" s="1"/>
  <c r="C18" i="38"/>
  <c r="BC18" i="38" s="1"/>
  <c r="B18" i="38"/>
  <c r="BH11" i="38"/>
  <c r="E72" i="34"/>
  <c r="D72" i="34"/>
  <c r="C72" i="34"/>
  <c r="O71" i="34"/>
  <c r="O70" i="34"/>
  <c r="O69" i="34"/>
  <c r="O68" i="34"/>
  <c r="O67" i="34"/>
  <c r="O66" i="34"/>
  <c r="O65" i="34"/>
  <c r="O64" i="34"/>
  <c r="O63" i="34"/>
  <c r="O62" i="34"/>
  <c r="O61" i="34"/>
  <c r="O60" i="34"/>
  <c r="O59" i="34"/>
  <c r="O58" i="34"/>
  <c r="O57" i="34"/>
  <c r="O56" i="34"/>
  <c r="O55" i="34"/>
  <c r="O54" i="34"/>
  <c r="O53" i="34"/>
  <c r="O52" i="34"/>
  <c r="O51" i="34"/>
  <c r="O50" i="34"/>
  <c r="O49" i="34"/>
  <c r="O48" i="34"/>
  <c r="O47" i="34"/>
  <c r="O46" i="34"/>
  <c r="O45" i="34"/>
  <c r="O44" i="34"/>
  <c r="O43" i="34"/>
  <c r="O42" i="34"/>
  <c r="O41" i="34"/>
  <c r="O40" i="34"/>
  <c r="O39" i="34"/>
  <c r="O38" i="34"/>
  <c r="O37" i="34"/>
  <c r="N35" i="34"/>
  <c r="M35" i="34"/>
  <c r="L35" i="34"/>
  <c r="K35" i="34"/>
  <c r="J35" i="34"/>
  <c r="I35" i="34"/>
  <c r="H35" i="34"/>
  <c r="G35" i="34"/>
  <c r="F35" i="34"/>
  <c r="E35" i="34"/>
  <c r="D35" i="34"/>
  <c r="C35" i="34"/>
  <c r="N27" i="34"/>
  <c r="M27" i="34"/>
  <c r="L27" i="34"/>
  <c r="K27" i="34"/>
  <c r="J27" i="34"/>
  <c r="I27" i="34"/>
  <c r="H27" i="34"/>
  <c r="G27" i="34"/>
  <c r="F27" i="34"/>
  <c r="E27" i="34"/>
  <c r="D27" i="34"/>
  <c r="C27" i="34"/>
  <c r="O21" i="34"/>
  <c r="O19" i="34"/>
  <c r="O18" i="34"/>
  <c r="O17" i="34"/>
  <c r="O16" i="34"/>
  <c r="O15" i="34"/>
  <c r="O14" i="34"/>
  <c r="N12" i="34"/>
  <c r="M12" i="34"/>
  <c r="L12" i="34"/>
  <c r="K12" i="34"/>
  <c r="J12" i="34"/>
  <c r="I12" i="34"/>
  <c r="H12" i="34"/>
  <c r="G12" i="34"/>
  <c r="F12" i="34"/>
  <c r="E12" i="34"/>
  <c r="D12" i="34"/>
  <c r="C12" i="34"/>
  <c r="T113" i="28"/>
  <c r="DE113" i="28" s="1"/>
  <c r="T112" i="28"/>
  <c r="DE112" i="28" s="1"/>
  <c r="T111" i="28"/>
  <c r="DE111" i="28" s="1"/>
  <c r="T110" i="28"/>
  <c r="DE110" i="28" s="1"/>
  <c r="T109" i="28"/>
  <c r="DE109" i="28" s="1"/>
  <c r="T108" i="28"/>
  <c r="DE108" i="28" s="1"/>
  <c r="T107" i="28"/>
  <c r="DE107" i="28" s="1"/>
  <c r="T106" i="28"/>
  <c r="DE106" i="28" s="1"/>
  <c r="T105" i="28"/>
  <c r="DE105" i="28" s="1"/>
  <c r="T104" i="28"/>
  <c r="DE104" i="28" s="1"/>
  <c r="T103" i="28"/>
  <c r="DE103" i="28" s="1"/>
  <c r="T102" i="28"/>
  <c r="DE102" i="28" s="1"/>
  <c r="T101" i="28"/>
  <c r="DE101" i="28" s="1"/>
  <c r="T99" i="28"/>
  <c r="DE99" i="28" s="1"/>
  <c r="T98" i="28"/>
  <c r="DE98" i="28" s="1"/>
  <c r="T97" i="28"/>
  <c r="DE97" i="28" s="1"/>
  <c r="T96" i="28"/>
  <c r="DE96" i="28" s="1"/>
  <c r="T95" i="28"/>
  <c r="DE95" i="28" s="1"/>
  <c r="T94" i="28"/>
  <c r="DE94" i="28" s="1"/>
  <c r="T93" i="28"/>
  <c r="DE93" i="28" s="1"/>
  <c r="T92" i="28"/>
  <c r="DE92" i="28" s="1"/>
  <c r="T91" i="28"/>
  <c r="DE91" i="28" s="1"/>
  <c r="T90" i="28"/>
  <c r="DE90" i="28" s="1"/>
  <c r="T89" i="28"/>
  <c r="DE89" i="28" s="1"/>
  <c r="T88" i="28"/>
  <c r="DE88" i="28" s="1"/>
  <c r="T87" i="28"/>
  <c r="DE87" i="28" s="1"/>
  <c r="T86" i="28"/>
  <c r="DE86" i="28" s="1"/>
  <c r="T85" i="28"/>
  <c r="DE85" i="28" s="1"/>
  <c r="T84" i="28"/>
  <c r="DE84" i="28" s="1"/>
  <c r="T83" i="28"/>
  <c r="DE83" i="28" s="1"/>
  <c r="T82" i="28"/>
  <c r="DE82" i="28" s="1"/>
  <c r="T81" i="28"/>
  <c r="DE81" i="28" s="1"/>
  <c r="T80" i="28"/>
  <c r="DE80" i="28" s="1"/>
  <c r="T79" i="28"/>
  <c r="DE79" i="28" s="1"/>
  <c r="T78" i="28"/>
  <c r="DE78" i="28" s="1"/>
  <c r="T77" i="28"/>
  <c r="DE77" i="28" s="1"/>
  <c r="T76" i="28"/>
  <c r="DE76" i="28" s="1"/>
  <c r="T75" i="28"/>
  <c r="DE75" i="28" s="1"/>
  <c r="T74" i="28"/>
  <c r="DE74" i="28" s="1"/>
  <c r="T73" i="28"/>
  <c r="DE73" i="28" s="1"/>
  <c r="T72" i="28"/>
  <c r="DE72" i="28" s="1"/>
  <c r="T71" i="28"/>
  <c r="DE71" i="28" s="1"/>
  <c r="T70" i="28"/>
  <c r="DE70" i="28" s="1"/>
  <c r="T69" i="28"/>
  <c r="DE69" i="28" s="1"/>
  <c r="T68" i="28"/>
  <c r="DE68" i="28" s="1"/>
  <c r="T67" i="28"/>
  <c r="DE67" i="28" s="1"/>
  <c r="T66" i="28"/>
  <c r="DE66" i="28" s="1"/>
  <c r="T65" i="28"/>
  <c r="DE65" i="28" s="1"/>
  <c r="T64" i="28"/>
  <c r="DE64" i="28" s="1"/>
  <c r="T63" i="28"/>
  <c r="DE63" i="28" s="1"/>
  <c r="T62" i="28"/>
  <c r="DE62" i="28" s="1"/>
  <c r="T61" i="28"/>
  <c r="DE61" i="28" s="1"/>
  <c r="T60" i="28"/>
  <c r="DE60" i="28" s="1"/>
  <c r="T59" i="28"/>
  <c r="DE59" i="28" s="1"/>
  <c r="T58" i="28"/>
  <c r="DE58" i="28" s="1"/>
  <c r="T57" i="28"/>
  <c r="DE57" i="28" s="1"/>
  <c r="T56" i="28"/>
  <c r="DE56" i="28" s="1"/>
  <c r="T55" i="28"/>
  <c r="DE55" i="28" s="1"/>
  <c r="T54" i="28"/>
  <c r="DE54" i="28" s="1"/>
  <c r="T53" i="28"/>
  <c r="DE53" i="28" s="1"/>
  <c r="T52" i="28"/>
  <c r="DE52" i="28" s="1"/>
  <c r="T51" i="28"/>
  <c r="DE51" i="28" s="1"/>
  <c r="T50" i="28"/>
  <c r="DE50" i="28" s="1"/>
  <c r="T49" i="28"/>
  <c r="DE49" i="28" s="1"/>
  <c r="T48" i="28"/>
  <c r="DE48" i="28" s="1"/>
  <c r="T47" i="28"/>
  <c r="DE47" i="28" s="1"/>
  <c r="T46" i="28"/>
  <c r="DE46" i="28" s="1"/>
  <c r="T45" i="28"/>
  <c r="DE45" i="28" s="1"/>
  <c r="T44" i="28"/>
  <c r="DE44" i="28" s="1"/>
  <c r="T43" i="28"/>
  <c r="DE43" i="28" s="1"/>
  <c r="T42" i="28"/>
  <c r="DE42" i="28" s="1"/>
  <c r="T41" i="28"/>
  <c r="DE41" i="28" s="1"/>
  <c r="T40" i="28"/>
  <c r="DE40" i="28" s="1"/>
  <c r="T39" i="28"/>
  <c r="DE39" i="28" s="1"/>
  <c r="T38" i="28"/>
  <c r="DE38" i="28" s="1"/>
  <c r="T37" i="28"/>
  <c r="DE37" i="28" s="1"/>
  <c r="T36" i="28"/>
  <c r="DE36" i="28" s="1"/>
  <c r="T35" i="28"/>
  <c r="DE35" i="28" s="1"/>
  <c r="T15" i="28"/>
  <c r="H13" i="28"/>
  <c r="F47" i="37" a="1"/>
  <c r="N72" i="34"/>
  <c r="M72" i="34"/>
  <c r="L72" i="34"/>
  <c r="K72" i="34"/>
  <c r="J72" i="34"/>
  <c r="I72" i="34"/>
  <c r="H72" i="34"/>
  <c r="G72" i="34"/>
  <c r="F72" i="34"/>
  <c r="BS117" i="38"/>
  <c r="BR117" i="38"/>
  <c r="BQ117" i="38"/>
  <c r="BP117" i="38"/>
  <c r="BO117" i="38"/>
  <c r="BN117" i="38"/>
  <c r="BM117" i="38"/>
  <c r="G171" i="7" a="1"/>
  <c r="P169" i="7" a="1"/>
  <c r="DE9" i="28" l="1"/>
  <c r="DD9" i="28" s="1"/>
  <c r="A9" i="28" s="1"/>
  <c r="DE15" i="28"/>
  <c r="DI113" i="28"/>
  <c r="DD113" i="28"/>
  <c r="A113" i="28" s="1"/>
  <c r="DH113" i="28"/>
  <c r="DD112" i="28"/>
  <c r="A112" i="28" s="1"/>
  <c r="DI112" i="28"/>
  <c r="DH112" i="28"/>
  <c r="DD111" i="28"/>
  <c r="A111" i="28" s="1"/>
  <c r="DI111" i="28"/>
  <c r="DH111" i="28"/>
  <c r="DH110" i="28"/>
  <c r="DI110" i="28"/>
  <c r="DD110" i="28"/>
  <c r="A110" i="28" s="1"/>
  <c r="DH109" i="28"/>
  <c r="DI109" i="28"/>
  <c r="DD109" i="28"/>
  <c r="A109" i="28" s="1"/>
  <c r="DH108" i="28"/>
  <c r="DD108" i="28"/>
  <c r="A108" i="28" s="1"/>
  <c r="DI108" i="28"/>
  <c r="DH107" i="28"/>
  <c r="DD107" i="28"/>
  <c r="A107" i="28" s="1"/>
  <c r="DI107" i="28"/>
  <c r="DD106" i="28"/>
  <c r="A106" i="28" s="1"/>
  <c r="DI106" i="28"/>
  <c r="DH106" i="28"/>
  <c r="DD105" i="28"/>
  <c r="A105" i="28" s="1"/>
  <c r="DI105" i="28"/>
  <c r="DH105" i="28"/>
  <c r="DD104" i="28"/>
  <c r="A104" i="28" s="1"/>
  <c r="DI104" i="28"/>
  <c r="DH104" i="28"/>
  <c r="DD103" i="28"/>
  <c r="A103" i="28" s="1"/>
  <c r="DI103" i="28"/>
  <c r="DH103" i="28"/>
  <c r="DH102" i="28"/>
  <c r="DI102" i="28"/>
  <c r="DD102" i="28"/>
  <c r="A102" i="28" s="1"/>
  <c r="DD101" i="28"/>
  <c r="A101" i="28" s="1"/>
  <c r="DI101" i="28"/>
  <c r="DH101" i="28"/>
  <c r="DH99" i="28"/>
  <c r="DI99" i="28"/>
  <c r="DD99" i="28"/>
  <c r="A99" i="28" s="1"/>
  <c r="DH98" i="28"/>
  <c r="DI98" i="28"/>
  <c r="DD98" i="28"/>
  <c r="A98" i="28" s="1"/>
  <c r="DD97" i="28"/>
  <c r="A97" i="28" s="1"/>
  <c r="DI97" i="28"/>
  <c r="DH97" i="28"/>
  <c r="DI96" i="28"/>
  <c r="DD96" i="28"/>
  <c r="A96" i="28" s="1"/>
  <c r="DH96" i="28"/>
  <c r="DH95" i="28"/>
  <c r="DD95" i="28"/>
  <c r="A95" i="28" s="1"/>
  <c r="DI95" i="28"/>
  <c r="DI94" i="28"/>
  <c r="DD94" i="28"/>
  <c r="A94" i="28" s="1"/>
  <c r="DH94" i="28"/>
  <c r="DI93" i="28"/>
  <c r="DD93" i="28"/>
  <c r="A93" i="28" s="1"/>
  <c r="DH93" i="28"/>
  <c r="DI92" i="28"/>
  <c r="DD92" i="28"/>
  <c r="A92" i="28" s="1"/>
  <c r="DH92" i="28"/>
  <c r="DI91" i="28"/>
  <c r="DD91" i="28"/>
  <c r="A91" i="28" s="1"/>
  <c r="DH91" i="28"/>
  <c r="DI90" i="28"/>
  <c r="DH90" i="28"/>
  <c r="DD90" i="28"/>
  <c r="A90" i="28" s="1"/>
  <c r="DI89" i="28"/>
  <c r="DD89" i="28"/>
  <c r="A89" i="28" s="1"/>
  <c r="DH89" i="28"/>
  <c r="DH88" i="28"/>
  <c r="DI88" i="28"/>
  <c r="DD88" i="28"/>
  <c r="A88" i="28" s="1"/>
  <c r="DD87" i="28"/>
  <c r="A87" i="28" s="1"/>
  <c r="DH87" i="28"/>
  <c r="DI87" i="28"/>
  <c r="DD86" i="28"/>
  <c r="A86" i="28" s="1"/>
  <c r="DH86" i="28"/>
  <c r="DI86" i="28"/>
  <c r="DD85" i="28"/>
  <c r="A85" i="28" s="1"/>
  <c r="DH85" i="28"/>
  <c r="DI85" i="28"/>
  <c r="DD84" i="28"/>
  <c r="A84" i="28" s="1"/>
  <c r="DH84" i="28"/>
  <c r="DI84" i="28"/>
  <c r="DD83" i="28"/>
  <c r="A83" i="28" s="1"/>
  <c r="DI83" i="28"/>
  <c r="DH83" i="28"/>
  <c r="DD82" i="28"/>
  <c r="A82" i="28" s="1"/>
  <c r="DH82" i="28"/>
  <c r="DI82" i="28"/>
  <c r="DH81" i="28"/>
  <c r="DI81" i="28"/>
  <c r="DD81" i="28"/>
  <c r="A81" i="28" s="1"/>
  <c r="DH80" i="28"/>
  <c r="DD80" i="28"/>
  <c r="A80" i="28" s="1"/>
  <c r="DI80" i="28"/>
  <c r="DD79" i="28"/>
  <c r="A79" i="28" s="1"/>
  <c r="DH79" i="28"/>
  <c r="DI79" i="28"/>
  <c r="DD78" i="28"/>
  <c r="A78" i="28" s="1"/>
  <c r="DI78" i="28"/>
  <c r="DH78" i="28"/>
  <c r="DI77" i="28"/>
  <c r="DH77" i="28"/>
  <c r="DD77" i="28"/>
  <c r="A77" i="28" s="1"/>
  <c r="DH76" i="28"/>
  <c r="DD76" i="28"/>
  <c r="A76" i="28" s="1"/>
  <c r="DI76" i="28"/>
  <c r="DH75" i="28"/>
  <c r="DD75" i="28"/>
  <c r="A75" i="28" s="1"/>
  <c r="DI75" i="28"/>
  <c r="DI74" i="28"/>
  <c r="DD74" i="28"/>
  <c r="A74" i="28" s="1"/>
  <c r="DH74" i="28"/>
  <c r="DI73" i="28"/>
  <c r="DD73" i="28"/>
  <c r="A73" i="28" s="1"/>
  <c r="DH73" i="28"/>
  <c r="DH72" i="28"/>
  <c r="DD72" i="28"/>
  <c r="A72" i="28" s="1"/>
  <c r="DI72" i="28"/>
  <c r="DH71" i="28"/>
  <c r="DD71" i="28"/>
  <c r="A71" i="28" s="1"/>
  <c r="DI71" i="28"/>
  <c r="DD70" i="28"/>
  <c r="A70" i="28" s="1"/>
  <c r="DH70" i="28"/>
  <c r="DI70" i="28"/>
  <c r="DI69" i="28"/>
  <c r="DD69" i="28"/>
  <c r="A69" i="28" s="1"/>
  <c r="DH69" i="28"/>
  <c r="DD68" i="28"/>
  <c r="A68" i="28" s="1"/>
  <c r="DH68" i="28"/>
  <c r="DI68" i="28"/>
  <c r="DH67" i="28"/>
  <c r="DD67" i="28"/>
  <c r="A67" i="28" s="1"/>
  <c r="DI67" i="28"/>
  <c r="DD66" i="28"/>
  <c r="A66" i="28" s="1"/>
  <c r="DH66" i="28"/>
  <c r="DI66" i="28"/>
  <c r="DH65" i="28"/>
  <c r="DD65" i="28"/>
  <c r="A65" i="28" s="1"/>
  <c r="DI65" i="28"/>
  <c r="DI64" i="28"/>
  <c r="DH64" i="28"/>
  <c r="DD64" i="28"/>
  <c r="A64" i="28" s="1"/>
  <c r="DH63" i="28"/>
  <c r="DI63" i="28"/>
  <c r="DD63" i="28"/>
  <c r="A63" i="28" s="1"/>
  <c r="DH62" i="28"/>
  <c r="DI62" i="28"/>
  <c r="DD62" i="28"/>
  <c r="A62" i="28" s="1"/>
  <c r="DI61" i="28"/>
  <c r="DH61" i="28"/>
  <c r="DD61" i="28"/>
  <c r="A61" i="28" s="1"/>
  <c r="DH60" i="28"/>
  <c r="DI60" i="28"/>
  <c r="DD60" i="28"/>
  <c r="A60" i="28" s="1"/>
  <c r="DI59" i="28"/>
  <c r="DD59" i="28"/>
  <c r="A59" i="28" s="1"/>
  <c r="DH59" i="28"/>
  <c r="DI58" i="28"/>
  <c r="DH58" i="28"/>
  <c r="DD58" i="28"/>
  <c r="A58" i="28" s="1"/>
  <c r="DH57" i="28"/>
  <c r="DI57" i="28"/>
  <c r="DD57" i="28"/>
  <c r="A57" i="28" s="1"/>
  <c r="DH56" i="28"/>
  <c r="DD56" i="28"/>
  <c r="A56" i="28" s="1"/>
  <c r="DI56" i="28"/>
  <c r="DI55" i="28"/>
  <c r="DD55" i="28"/>
  <c r="A55" i="28" s="1"/>
  <c r="DH55" i="28"/>
  <c r="DH54" i="28"/>
  <c r="DI54" i="28"/>
  <c r="DD54" i="28"/>
  <c r="A54" i="28" s="1"/>
  <c r="DH53" i="28"/>
  <c r="DI53" i="28"/>
  <c r="DD53" i="28"/>
  <c r="A53" i="28" s="1"/>
  <c r="DI52" i="28"/>
  <c r="DD52" i="28"/>
  <c r="A52" i="28" s="1"/>
  <c r="DH52" i="28"/>
  <c r="DD51" i="28"/>
  <c r="A51" i="28" s="1"/>
  <c r="DH51" i="28"/>
  <c r="DI51" i="28"/>
  <c r="DD50" i="28"/>
  <c r="A50" i="28" s="1"/>
  <c r="DH50" i="28"/>
  <c r="DI50" i="28"/>
  <c r="DI49" i="28"/>
  <c r="DD49" i="28"/>
  <c r="A49" i="28" s="1"/>
  <c r="DH49" i="28"/>
  <c r="DD48" i="28"/>
  <c r="A48" i="28" s="1"/>
  <c r="DH48" i="28"/>
  <c r="DI48" i="28"/>
  <c r="DD47" i="28"/>
  <c r="A47" i="28" s="1"/>
  <c r="DI47" i="28"/>
  <c r="DH47" i="28"/>
  <c r="DI46" i="28"/>
  <c r="DH46" i="28"/>
  <c r="DD46" i="28"/>
  <c r="A46" i="28" s="1"/>
  <c r="DH45" i="28"/>
  <c r="DD45" i="28"/>
  <c r="A45" i="28" s="1"/>
  <c r="DI45" i="28"/>
  <c r="DD44" i="28"/>
  <c r="A44" i="28" s="1"/>
  <c r="DH44" i="28"/>
  <c r="DI44" i="28"/>
  <c r="DD43" i="28"/>
  <c r="A43" i="28" s="1"/>
  <c r="DH43" i="28"/>
  <c r="DI43" i="28"/>
  <c r="DI42" i="28"/>
  <c r="DH42" i="28"/>
  <c r="DD42" i="28"/>
  <c r="A42" i="28" s="1"/>
  <c r="DH41" i="28"/>
  <c r="DD41" i="28"/>
  <c r="A41" i="28" s="1"/>
  <c r="DI41" i="28"/>
  <c r="DD40" i="28"/>
  <c r="A40" i="28" s="1"/>
  <c r="DI40" i="28"/>
  <c r="DH40" i="28"/>
  <c r="DI39" i="28"/>
  <c r="DD39" i="28"/>
  <c r="A39" i="28" s="1"/>
  <c r="DH39" i="28"/>
  <c r="DD38" i="28"/>
  <c r="A38" i="28" s="1"/>
  <c r="DI38" i="28"/>
  <c r="DH38" i="28"/>
  <c r="DI37" i="28"/>
  <c r="DD37" i="28"/>
  <c r="A37" i="28" s="1"/>
  <c r="DH37" i="28"/>
  <c r="DI36" i="28"/>
  <c r="DD36" i="28"/>
  <c r="DH36" i="28"/>
  <c r="DI35" i="28"/>
  <c r="DD35" i="28"/>
  <c r="A35" i="28" s="1"/>
  <c r="DH35" i="28"/>
  <c r="CK20" i="39"/>
  <c r="CK18" i="39"/>
  <c r="CK17" i="39"/>
  <c r="CK16" i="39"/>
  <c r="CK15" i="39"/>
  <c r="CK30" i="39"/>
  <c r="CK26" i="39"/>
  <c r="CK23" i="39"/>
  <c r="CK102" i="39"/>
  <c r="CK100" i="39"/>
  <c r="CK98" i="39"/>
  <c r="CK95" i="39"/>
  <c r="CK93" i="39"/>
  <c r="CK90" i="39"/>
  <c r="CK87" i="39"/>
  <c r="CK85" i="39"/>
  <c r="CK82" i="39"/>
  <c r="CK79" i="39"/>
  <c r="CK76" i="39"/>
  <c r="CK74" i="39"/>
  <c r="CK72" i="39"/>
  <c r="CK69" i="39"/>
  <c r="CK66" i="39"/>
  <c r="CK64" i="39"/>
  <c r="CK63" i="39"/>
  <c r="CK61" i="39"/>
  <c r="CK59" i="39"/>
  <c r="CK58" i="39"/>
  <c r="CK57" i="39"/>
  <c r="CK52" i="39"/>
  <c r="CK50" i="39"/>
  <c r="CK48" i="39"/>
  <c r="CK45" i="39"/>
  <c r="CK42" i="39"/>
  <c r="CK40" i="39"/>
  <c r="CK37" i="39"/>
  <c r="CK35" i="39"/>
  <c r="CK33" i="39"/>
  <c r="CK111" i="39"/>
  <c r="CK108" i="39"/>
  <c r="CK105" i="39"/>
  <c r="CK34" i="39"/>
  <c r="CK19" i="39"/>
  <c r="CK29" i="39"/>
  <c r="CK21" i="39"/>
  <c r="CK32" i="39"/>
  <c r="CK31" i="39"/>
  <c r="CK28" i="39"/>
  <c r="CK27" i="39"/>
  <c r="CK25" i="39"/>
  <c r="CK24" i="39"/>
  <c r="CK22" i="39"/>
  <c r="CK103" i="39"/>
  <c r="CK101" i="39"/>
  <c r="CK99" i="39"/>
  <c r="CK97" i="39"/>
  <c r="CK96" i="39"/>
  <c r="CK94" i="39"/>
  <c r="CK92" i="39"/>
  <c r="CK91" i="39"/>
  <c r="CK89" i="39"/>
  <c r="CK88" i="39"/>
  <c r="CK86" i="39"/>
  <c r="CK84" i="39"/>
  <c r="CK83" i="39"/>
  <c r="CK81" i="39"/>
  <c r="CK80" i="39"/>
  <c r="CK78" i="39"/>
  <c r="CK77" i="39"/>
  <c r="CK75" i="39"/>
  <c r="CK73" i="39"/>
  <c r="CK71" i="39"/>
  <c r="CK70" i="39"/>
  <c r="CK68" i="39"/>
  <c r="CK67" i="39"/>
  <c r="CK65" i="39"/>
  <c r="CK62" i="39"/>
  <c r="CK60" i="39"/>
  <c r="CK56" i="39"/>
  <c r="CK55" i="39"/>
  <c r="CK54" i="39"/>
  <c r="CK53" i="39"/>
  <c r="CK51" i="39"/>
  <c r="CK49" i="39"/>
  <c r="CK47" i="39"/>
  <c r="CK114" i="39"/>
  <c r="CK44" i="39"/>
  <c r="CK43" i="39"/>
  <c r="CK41" i="39"/>
  <c r="CK39" i="39"/>
  <c r="CK38" i="39"/>
  <c r="CK36" i="39"/>
  <c r="CK46" i="39"/>
  <c r="CK113" i="39"/>
  <c r="CK112" i="39"/>
  <c r="CK110" i="39"/>
  <c r="CK109" i="39"/>
  <c r="CK107" i="39"/>
  <c r="CK106" i="39"/>
  <c r="CK104" i="39"/>
  <c r="BB18" i="38"/>
  <c r="DE18" i="38"/>
  <c r="DG113" i="28"/>
  <c r="DG112" i="28"/>
  <c r="DG111" i="28"/>
  <c r="DG110" i="28"/>
  <c r="DG109" i="28"/>
  <c r="DG108" i="28"/>
  <c r="DG107" i="28"/>
  <c r="DG106" i="28"/>
  <c r="DG105" i="28"/>
  <c r="DG104" i="28"/>
  <c r="DG103" i="28"/>
  <c r="DG102" i="28"/>
  <c r="DG101" i="28"/>
  <c r="DG99" i="28"/>
  <c r="DG98" i="28"/>
  <c r="DG97" i="28"/>
  <c r="DG96" i="28"/>
  <c r="DG95" i="28"/>
  <c r="DG94" i="28"/>
  <c r="DG93" i="28"/>
  <c r="DG92" i="28"/>
  <c r="DG91" i="28"/>
  <c r="DG90" i="28"/>
  <c r="DG89" i="28"/>
  <c r="DG88" i="28"/>
  <c r="DG87" i="28"/>
  <c r="DG86" i="28"/>
  <c r="DG85" i="28"/>
  <c r="DG84" i="28"/>
  <c r="DG83" i="28"/>
  <c r="DG82" i="28"/>
  <c r="DG81" i="28"/>
  <c r="DG80" i="28"/>
  <c r="DG79" i="28"/>
  <c r="DG78" i="28"/>
  <c r="DG77" i="28"/>
  <c r="DG76" i="28"/>
  <c r="DG75" i="28"/>
  <c r="DG74" i="28"/>
  <c r="DG73" i="28"/>
  <c r="DG72" i="28"/>
  <c r="DG71" i="28"/>
  <c r="DG70" i="28"/>
  <c r="DG69" i="28"/>
  <c r="DG68" i="28"/>
  <c r="DG67" i="28"/>
  <c r="DG66" i="28"/>
  <c r="DG65" i="28"/>
  <c r="DG64" i="28"/>
  <c r="DG63" i="28"/>
  <c r="DG62" i="28"/>
  <c r="DG61" i="28"/>
  <c r="DG60" i="28"/>
  <c r="DG59" i="28"/>
  <c r="DG58" i="28"/>
  <c r="DG57" i="28"/>
  <c r="DG56" i="28"/>
  <c r="DG55" i="28"/>
  <c r="DG54" i="28"/>
  <c r="DG53" i="28"/>
  <c r="DG52" i="28"/>
  <c r="DG51" i="28"/>
  <c r="DG50" i="28"/>
  <c r="DG49" i="28"/>
  <c r="DG48" i="28"/>
  <c r="DG47" i="28"/>
  <c r="DG46" i="28"/>
  <c r="DG45" i="28"/>
  <c r="DG44" i="28"/>
  <c r="DG43" i="28"/>
  <c r="DG42" i="28"/>
  <c r="DG41" i="28"/>
  <c r="DG40" i="28"/>
  <c r="DG39" i="28"/>
  <c r="DG38" i="28"/>
  <c r="DG37" i="28"/>
  <c r="DG36" i="28"/>
  <c r="DG35" i="28"/>
  <c r="BU37" i="62"/>
  <c r="BU27" i="62"/>
  <c r="BU38" i="62"/>
  <c r="BU33" i="62"/>
  <c r="BU24" i="62"/>
  <c r="BU36" i="62"/>
  <c r="BU26" i="62"/>
  <c r="BU42" i="62"/>
  <c r="BU31" i="62"/>
  <c r="BU30" i="62"/>
  <c r="BU39" i="62"/>
  <c r="BU32" i="62"/>
  <c r="BU29" i="62"/>
  <c r="BU40" i="62"/>
  <c r="BU25" i="62"/>
  <c r="BH40" i="38"/>
  <c r="BM40" i="38"/>
  <c r="CA40" i="38" s="1"/>
  <c r="BR40" i="38"/>
  <c r="CF40" i="38" s="1"/>
  <c r="BU43" i="28"/>
  <c r="BV43" i="28" s="1" a="1"/>
  <c r="BU38" i="28"/>
  <c r="BV38" i="28" s="1" a="1"/>
  <c r="G125" i="51"/>
  <c r="A125" i="51" s="1"/>
  <c r="A127" i="51"/>
  <c r="A86" i="51"/>
  <c r="G64" i="51"/>
  <c r="AW32" i="58"/>
  <c r="AW33" i="58"/>
  <c r="AW34" i="58"/>
  <c r="AW35" i="58"/>
  <c r="AW36" i="58"/>
  <c r="AW37" i="58"/>
  <c r="AW38" i="58"/>
  <c r="P115" i="39"/>
  <c r="H86" i="22" s="1"/>
  <c r="BQ114" i="39"/>
  <c r="Q114" i="39"/>
  <c r="BQ113" i="39"/>
  <c r="Q113" i="39"/>
  <c r="BQ112" i="39"/>
  <c r="Q112" i="39"/>
  <c r="BQ101" i="39"/>
  <c r="Q101" i="39"/>
  <c r="BQ90" i="39"/>
  <c r="Q90" i="39"/>
  <c r="BQ79" i="39"/>
  <c r="Q79" i="39"/>
  <c r="BQ68" i="39"/>
  <c r="Q68" i="39"/>
  <c r="BQ67" i="39"/>
  <c r="Q67" i="39"/>
  <c r="BQ66" i="39"/>
  <c r="Q66" i="39"/>
  <c r="BQ65" i="39"/>
  <c r="Q65" i="39"/>
  <c r="BQ64" i="39"/>
  <c r="Q64" i="39"/>
  <c r="BQ63" i="39"/>
  <c r="Q63" i="39"/>
  <c r="BQ62" i="39"/>
  <c r="Q62" i="39"/>
  <c r="BQ61" i="39"/>
  <c r="Q61" i="39"/>
  <c r="BQ60" i="39"/>
  <c r="Q60" i="39"/>
  <c r="BQ46" i="39"/>
  <c r="Q46" i="39"/>
  <c r="BQ35" i="39"/>
  <c r="Q35" i="39"/>
  <c r="BQ17" i="39"/>
  <c r="Q17" i="39"/>
  <c r="BQ20" i="39"/>
  <c r="Q20" i="39"/>
  <c r="BQ27" i="39"/>
  <c r="Q27" i="39"/>
  <c r="BQ30" i="39"/>
  <c r="Q30" i="39"/>
  <c r="BQ33" i="39"/>
  <c r="Q33" i="39"/>
  <c r="BQ24" i="39"/>
  <c r="CL35" i="39" s="1"/>
  <c r="G431" i="22" s="1"/>
  <c r="Q24" i="39"/>
  <c r="BQ18" i="39"/>
  <c r="CL31" i="39" s="1"/>
  <c r="G427" i="22" s="1"/>
  <c r="Q18" i="39"/>
  <c r="BQ21" i="39"/>
  <c r="CL29" i="39" s="1"/>
  <c r="G425" i="22" s="1"/>
  <c r="Q21" i="39"/>
  <c r="BQ25" i="39"/>
  <c r="Q25" i="39"/>
  <c r="BQ28" i="39"/>
  <c r="Q28" i="39"/>
  <c r="BQ31" i="39"/>
  <c r="CL25" i="39" s="1"/>
  <c r="G421" i="22" s="1"/>
  <c r="Q31" i="39"/>
  <c r="BQ34" i="39"/>
  <c r="CL22" i="39" s="1"/>
  <c r="G418" i="22" s="1"/>
  <c r="Q34" i="39"/>
  <c r="BQ16" i="39"/>
  <c r="Q16" i="39"/>
  <c r="BQ19" i="39"/>
  <c r="CL21" i="39" s="1"/>
  <c r="G417" i="22" s="1"/>
  <c r="Q19" i="39"/>
  <c r="BQ22" i="39"/>
  <c r="Q22" i="39"/>
  <c r="BQ26" i="39"/>
  <c r="CL16" i="39" s="1"/>
  <c r="G412" i="22" s="1"/>
  <c r="Q26" i="39"/>
  <c r="BQ29" i="39"/>
  <c r="Q29" i="39"/>
  <c r="BQ32" i="39"/>
  <c r="CL34" i="39" s="1"/>
  <c r="G430" i="22" s="1"/>
  <c r="Q32" i="39"/>
  <c r="BQ23" i="39"/>
  <c r="Q23" i="39"/>
  <c r="BQ45" i="39"/>
  <c r="Q45" i="39"/>
  <c r="BQ37" i="39"/>
  <c r="CL33" i="39" s="1"/>
  <c r="G429" i="22" s="1"/>
  <c r="Q37" i="39"/>
  <c r="BQ40" i="39"/>
  <c r="CL19" i="39" s="1"/>
  <c r="G415" i="22" s="1"/>
  <c r="Q40" i="39"/>
  <c r="BQ43" i="39"/>
  <c r="Q43" i="39"/>
  <c r="BQ39" i="39"/>
  <c r="Q39" i="39"/>
  <c r="BQ36" i="39"/>
  <c r="Q36" i="39"/>
  <c r="BQ42" i="39"/>
  <c r="Q42" i="39"/>
  <c r="BQ38" i="39"/>
  <c r="Q38" i="39"/>
  <c r="BQ44" i="39"/>
  <c r="Q44" i="39"/>
  <c r="BQ48" i="39"/>
  <c r="Q48" i="39"/>
  <c r="BQ49" i="39"/>
  <c r="Q49" i="39"/>
  <c r="BQ47" i="39"/>
  <c r="Q47" i="39"/>
  <c r="BQ70" i="39"/>
  <c r="Q70" i="39"/>
  <c r="BQ73" i="39"/>
  <c r="Q73" i="39"/>
  <c r="BQ76" i="39"/>
  <c r="Q76" i="39"/>
  <c r="BQ74" i="39"/>
  <c r="Q74" i="39"/>
  <c r="BQ77" i="39"/>
  <c r="Q77" i="39"/>
  <c r="BQ69" i="39"/>
  <c r="Q69" i="39"/>
  <c r="BQ72" i="39"/>
  <c r="Q72" i="39"/>
  <c r="BQ75" i="39"/>
  <c r="Q75" i="39"/>
  <c r="BQ78" i="39"/>
  <c r="Q78" i="39"/>
  <c r="BQ71" i="39"/>
  <c r="Q71" i="39"/>
  <c r="BQ82" i="39"/>
  <c r="Q82" i="39"/>
  <c r="BQ85" i="39"/>
  <c r="Q85" i="39"/>
  <c r="BQ88" i="39"/>
  <c r="Q88" i="39"/>
  <c r="BQ89" i="39"/>
  <c r="Q89" i="39"/>
  <c r="BQ80" i="39"/>
  <c r="Q80" i="39"/>
  <c r="BQ83" i="39"/>
  <c r="Q83" i="39"/>
  <c r="BQ81" i="39"/>
  <c r="Q81" i="39"/>
  <c r="BQ84" i="39"/>
  <c r="Q84" i="39"/>
  <c r="BQ87" i="39"/>
  <c r="Q87" i="39"/>
  <c r="BQ86" i="39"/>
  <c r="Q86" i="39"/>
  <c r="BQ98" i="39"/>
  <c r="Q98" i="39"/>
  <c r="BQ91" i="39"/>
  <c r="Q91" i="39"/>
  <c r="BQ94" i="39"/>
  <c r="Q94" i="39"/>
  <c r="BQ97" i="39"/>
  <c r="Q97" i="39"/>
  <c r="BQ100" i="39"/>
  <c r="Q100" i="39"/>
  <c r="BQ93" i="39"/>
  <c r="Q93" i="39"/>
  <c r="BQ96" i="39"/>
  <c r="Q96" i="39"/>
  <c r="BQ99" i="39"/>
  <c r="Q99" i="39"/>
  <c r="BQ92" i="39"/>
  <c r="Q92" i="39"/>
  <c r="BQ95" i="39"/>
  <c r="Q95" i="39"/>
  <c r="BQ103" i="39"/>
  <c r="Q103" i="39"/>
  <c r="BQ106" i="39"/>
  <c r="Q106" i="39"/>
  <c r="BQ109" i="39"/>
  <c r="Q109" i="39"/>
  <c r="BQ110" i="39"/>
  <c r="Q110" i="39"/>
  <c r="BQ102" i="39"/>
  <c r="H72" i="22"/>
  <c r="H73" i="22" s="1"/>
  <c r="Q102" i="39"/>
  <c r="BQ105" i="39"/>
  <c r="Q105" i="39"/>
  <c r="BQ108" i="39"/>
  <c r="Q108" i="39"/>
  <c r="BQ111" i="39"/>
  <c r="Q111" i="39"/>
  <c r="BQ104" i="39"/>
  <c r="Q104" i="39"/>
  <c r="BQ107" i="39"/>
  <c r="Q107" i="39"/>
  <c r="BT114" i="39" a="1"/>
  <c r="BT113" i="39" a="1"/>
  <c r="BT112" i="39" a="1"/>
  <c r="BT111" i="39" a="1"/>
  <c r="BT110" i="39" a="1"/>
  <c r="BT109" i="39" a="1"/>
  <c r="BT108" i="39" a="1"/>
  <c r="BT107" i="39" a="1"/>
  <c r="BT106" i="39" a="1"/>
  <c r="BT105" i="39" a="1"/>
  <c r="BT104" i="39" a="1"/>
  <c r="BT103" i="39" a="1"/>
  <c r="BT102" i="39" a="1"/>
  <c r="BT101" i="39" a="1"/>
  <c r="BT100" i="39" a="1"/>
  <c r="BT99" i="39" a="1"/>
  <c r="BT98" i="39" a="1"/>
  <c r="BT97" i="39" a="1"/>
  <c r="BT96" i="39" a="1"/>
  <c r="BT95" i="39" a="1"/>
  <c r="BT94" i="39" a="1"/>
  <c r="BT93" i="39" a="1"/>
  <c r="BT92" i="39" a="1"/>
  <c r="BT91" i="39" a="1"/>
  <c r="BT90" i="39" a="1"/>
  <c r="BT89" i="39" a="1"/>
  <c r="BT88" i="39" a="1"/>
  <c r="BT87" i="39" a="1"/>
  <c r="BT86" i="39" a="1"/>
  <c r="BT85" i="39" a="1"/>
  <c r="BT84" i="39" a="1"/>
  <c r="BT83" i="39" a="1"/>
  <c r="BT82" i="39" a="1"/>
  <c r="BT81" i="39" a="1"/>
  <c r="BT80" i="39" a="1"/>
  <c r="BT79" i="39" a="1"/>
  <c r="BT78" i="39" a="1"/>
  <c r="BT77" i="39" a="1"/>
  <c r="BT76" i="39" a="1"/>
  <c r="BT75" i="39" a="1"/>
  <c r="BT74" i="39" a="1"/>
  <c r="BT73" i="39" a="1"/>
  <c r="BT72" i="39" a="1"/>
  <c r="BT71" i="39" a="1"/>
  <c r="BT70" i="39" a="1"/>
  <c r="BT69" i="39" a="1"/>
  <c r="BT68" i="39" a="1"/>
  <c r="BT67" i="39" a="1"/>
  <c r="BT66" i="39" a="1"/>
  <c r="BT65" i="39" a="1"/>
  <c r="BT64" i="39" a="1"/>
  <c r="BT63" i="39" a="1"/>
  <c r="BT62" i="39" a="1"/>
  <c r="BT61" i="39" a="1"/>
  <c r="BT60" i="39" a="1"/>
  <c r="BT49" i="39" a="1"/>
  <c r="BT48" i="39" a="1"/>
  <c r="BT47" i="39" a="1"/>
  <c r="BT46" i="39" a="1"/>
  <c r="BT45" i="39" a="1"/>
  <c r="BT44" i="39" a="1"/>
  <c r="BT43" i="39" a="1"/>
  <c r="BT42" i="39" a="1"/>
  <c r="A38" i="51"/>
  <c r="F34" i="59"/>
  <c r="F33" i="59"/>
  <c r="F32" i="59"/>
  <c r="F31" i="59"/>
  <c r="F30" i="59"/>
  <c r="F29" i="59"/>
  <c r="F28" i="59"/>
  <c r="B34" i="59"/>
  <c r="B33" i="59"/>
  <c r="B32" i="59"/>
  <c r="B31" i="59"/>
  <c r="B30" i="59"/>
  <c r="B29" i="59"/>
  <c r="B28" i="59"/>
  <c r="J113" i="22"/>
  <c r="F15" i="59" s="1"/>
  <c r="J112" i="22"/>
  <c r="F14" i="59" s="1"/>
  <c r="J111" i="22"/>
  <c r="J110" i="22"/>
  <c r="F12" i="59" s="1"/>
  <c r="J109" i="22"/>
  <c r="F11" i="59" s="1"/>
  <c r="J108" i="22"/>
  <c r="F10" i="59" s="1"/>
  <c r="J107" i="22"/>
  <c r="B15" i="59"/>
  <c r="B14" i="59"/>
  <c r="B13" i="59"/>
  <c r="B12" i="59"/>
  <c r="B11" i="59"/>
  <c r="B10" i="59"/>
  <c r="B9" i="59"/>
  <c r="H171" i="22"/>
  <c r="H172" i="22"/>
  <c r="H173" i="22"/>
  <c r="H174" i="22"/>
  <c r="H180" i="22"/>
  <c r="H183" i="22"/>
  <c r="H184" i="22"/>
  <c r="H185" i="22"/>
  <c r="H181" i="22"/>
  <c r="H169" i="22"/>
  <c r="H186" i="22"/>
  <c r="H175" i="22"/>
  <c r="H176" i="22"/>
  <c r="H182" i="22"/>
  <c r="H179" i="22"/>
  <c r="H178" i="22"/>
  <c r="H177" i="22"/>
  <c r="H170" i="22"/>
  <c r="H168" i="22"/>
  <c r="H166" i="22"/>
  <c r="H167" i="22"/>
  <c r="H152" i="22"/>
  <c r="D34" i="59" s="1"/>
  <c r="G110" i="22"/>
  <c r="AX28" i="58" s="1"/>
  <c r="G147" i="22"/>
  <c r="C29" i="59" s="1"/>
  <c r="G152" i="22"/>
  <c r="C34" i="59" s="1"/>
  <c r="G146" i="22"/>
  <c r="C28" i="59" s="1"/>
  <c r="H151" i="22"/>
  <c r="D33" i="59" s="1"/>
  <c r="G112" i="22"/>
  <c r="AX38" i="58" s="1"/>
  <c r="G108" i="22"/>
  <c r="AX27" i="58" s="1"/>
  <c r="G149" i="22"/>
  <c r="C31" i="59" s="1"/>
  <c r="G151" i="22"/>
  <c r="C33" i="59" s="1"/>
  <c r="G150" i="22"/>
  <c r="C32" i="59" s="1"/>
  <c r="G111" i="22"/>
  <c r="G107" i="22"/>
  <c r="G148" i="22"/>
  <c r="C30" i="59" s="1"/>
  <c r="G113" i="22"/>
  <c r="AX39" i="58" s="1"/>
  <c r="G109" i="22"/>
  <c r="CM50" i="39"/>
  <c r="H446" i="22" s="1"/>
  <c r="CL50" i="39"/>
  <c r="G446" i="22" s="1"/>
  <c r="CM92" i="39"/>
  <c r="H488" i="22" s="1"/>
  <c r="CL60" i="39"/>
  <c r="G456" i="22" s="1"/>
  <c r="CL75" i="39"/>
  <c r="G471" i="22" s="1"/>
  <c r="CL68" i="39"/>
  <c r="G464" i="22" s="1"/>
  <c r="CL72" i="39"/>
  <c r="G468" i="22" s="1"/>
  <c r="CM103" i="39"/>
  <c r="H499" i="22" s="1"/>
  <c r="CM107" i="39"/>
  <c r="H503" i="22" s="1"/>
  <c r="CM111" i="39"/>
  <c r="H507" i="22" s="1"/>
  <c r="CM83" i="39"/>
  <c r="H479" i="22" s="1"/>
  <c r="CL101" i="39"/>
  <c r="G497" i="22" s="1"/>
  <c r="CM52" i="39"/>
  <c r="H448" i="22" s="1"/>
  <c r="CM56" i="39"/>
  <c r="H452" i="22" s="1"/>
  <c r="CM96" i="39"/>
  <c r="H492" i="22" s="1"/>
  <c r="CM42" i="39"/>
  <c r="H438" i="22" s="1"/>
  <c r="CM49" i="39"/>
  <c r="H445" i="22" s="1"/>
  <c r="CM64" i="39"/>
  <c r="H460" i="22" s="1"/>
  <c r="CM72" i="39"/>
  <c r="H468" i="22" s="1"/>
  <c r="CL76" i="39"/>
  <c r="G472" i="22" s="1"/>
  <c r="CL80" i="39"/>
  <c r="G476" i="22" s="1"/>
  <c r="CL89" i="39"/>
  <c r="G485" i="22" s="1"/>
  <c r="CL96" i="39"/>
  <c r="G492" i="22" s="1"/>
  <c r="CL46" i="39"/>
  <c r="G442" i="22" s="1"/>
  <c r="CL17" i="39"/>
  <c r="G413" i="22" s="1"/>
  <c r="CL39" i="39"/>
  <c r="G435" i="22" s="1"/>
  <c r="CL104" i="39"/>
  <c r="G500" i="22" s="1"/>
  <c r="CL108" i="39"/>
  <c r="G504" i="22" s="1"/>
  <c r="CL112" i="39"/>
  <c r="G508" i="22" s="1"/>
  <c r="CM76" i="39"/>
  <c r="H472" i="22" s="1"/>
  <c r="CM80" i="39"/>
  <c r="H476" i="22" s="1"/>
  <c r="CM100" i="39"/>
  <c r="H496" i="22" s="1"/>
  <c r="CL53" i="39"/>
  <c r="G449" i="22" s="1"/>
  <c r="CM48" i="39"/>
  <c r="H444" i="22" s="1"/>
  <c r="CL23" i="39"/>
  <c r="G419" i="22" s="1"/>
  <c r="CM91" i="39"/>
  <c r="H487" i="22" s="1"/>
  <c r="CL61" i="39"/>
  <c r="G457" i="22" s="1"/>
  <c r="CL65" i="39"/>
  <c r="G461" i="22" s="1"/>
  <c r="CL73" i="39"/>
  <c r="G469" i="22" s="1"/>
  <c r="CM104" i="39"/>
  <c r="H500" i="22" s="1"/>
  <c r="CM108" i="39"/>
  <c r="H504" i="22" s="1"/>
  <c r="CM112" i="39"/>
  <c r="H508" i="22" s="1"/>
  <c r="CM84" i="39"/>
  <c r="H480" i="22" s="1"/>
  <c r="CL100" i="39"/>
  <c r="G496" i="22" s="1"/>
  <c r="CM53" i="39"/>
  <c r="H449" i="22" s="1"/>
  <c r="CM89" i="39"/>
  <c r="H485" i="22" s="1"/>
  <c r="CL37" i="39"/>
  <c r="G433" i="22" s="1"/>
  <c r="CL67" i="39"/>
  <c r="G463" i="22" s="1"/>
  <c r="CM106" i="39"/>
  <c r="H502" i="22" s="1"/>
  <c r="CM114" i="39"/>
  <c r="H510" i="22" s="1"/>
  <c r="CL102" i="39"/>
  <c r="G498" i="22" s="1"/>
  <c r="CL92" i="39"/>
  <c r="G488" i="22" s="1"/>
  <c r="CM60" i="39"/>
  <c r="H456" i="22" s="1"/>
  <c r="CM68" i="39"/>
  <c r="H464" i="22" s="1"/>
  <c r="CL57" i="39"/>
  <c r="G453" i="22" s="1"/>
  <c r="CM95" i="39"/>
  <c r="H491" i="22" s="1"/>
  <c r="CL84" i="39"/>
  <c r="G480" i="22" s="1"/>
  <c r="CL28" i="39"/>
  <c r="G424" i="22" s="1"/>
  <c r="CL69" i="39"/>
  <c r="G465" i="22" s="1"/>
  <c r="CM57" i="39"/>
  <c r="H453" i="22" s="1"/>
  <c r="CL63" i="39"/>
  <c r="G459" i="22" s="1"/>
  <c r="CM51" i="39"/>
  <c r="H447" i="22" s="1"/>
  <c r="CL42" i="39"/>
  <c r="G438" i="22" s="1"/>
  <c r="CM59" i="39"/>
  <c r="H455" i="22" s="1"/>
  <c r="CL79" i="39"/>
  <c r="G475" i="22" s="1"/>
  <c r="CL95" i="39"/>
  <c r="G491" i="22" s="1"/>
  <c r="CL91" i="39"/>
  <c r="G487" i="22" s="1"/>
  <c r="CM61" i="39"/>
  <c r="H457" i="22" s="1"/>
  <c r="CM65" i="39"/>
  <c r="H461" i="22" s="1"/>
  <c r="CM69" i="39"/>
  <c r="H465" i="22" s="1"/>
  <c r="CM73" i="39"/>
  <c r="H469" i="22" s="1"/>
  <c r="CL77" i="39"/>
  <c r="G473" i="22" s="1"/>
  <c r="CL81" i="39"/>
  <c r="G477" i="22" s="1"/>
  <c r="CL47" i="39"/>
  <c r="G443" i="22" s="1"/>
  <c r="CM37" i="39"/>
  <c r="H433" i="22" s="1"/>
  <c r="CM94" i="39"/>
  <c r="H490" i="22" s="1"/>
  <c r="CL62" i="39"/>
  <c r="G458" i="22" s="1"/>
  <c r="CL70" i="39"/>
  <c r="G466" i="22" s="1"/>
  <c r="CM105" i="39"/>
  <c r="H501" i="22" s="1"/>
  <c r="CM113" i="39"/>
  <c r="H509" i="22" s="1"/>
  <c r="CM85" i="39"/>
  <c r="H481" i="22" s="1"/>
  <c r="CM54" i="39"/>
  <c r="H450" i="22" s="1"/>
  <c r="CM98" i="39"/>
  <c r="H494" i="22" s="1"/>
  <c r="CL45" i="39"/>
  <c r="G441" i="22" s="1"/>
  <c r="CM40" i="39"/>
  <c r="H436" i="22" s="1"/>
  <c r="CL36" i="39"/>
  <c r="G432" i="22" s="1"/>
  <c r="CL94" i="39"/>
  <c r="G490" i="22" s="1"/>
  <c r="CM58" i="39"/>
  <c r="H454" i="22" s="1"/>
  <c r="CM62" i="39"/>
  <c r="H458" i="22" s="1"/>
  <c r="CM66" i="39"/>
  <c r="H462" i="22" s="1"/>
  <c r="CM70" i="39"/>
  <c r="H466" i="22" s="1"/>
  <c r="CM74" i="39"/>
  <c r="H470" i="22" s="1"/>
  <c r="CL78" i="39"/>
  <c r="G474" i="22" s="1"/>
  <c r="CL82" i="39"/>
  <c r="G478" i="22" s="1"/>
  <c r="CL51" i="39"/>
  <c r="G447" i="22" s="1"/>
  <c r="CL87" i="39"/>
  <c r="G483" i="22" s="1"/>
  <c r="CL98" i="39"/>
  <c r="G494" i="22" s="1"/>
  <c r="CM47" i="39"/>
  <c r="H443" i="22" s="1"/>
  <c r="CM38" i="39"/>
  <c r="H434" i="22" s="1"/>
  <c r="CL43" i="39"/>
  <c r="G439" i="22" s="1"/>
  <c r="CL38" i="39"/>
  <c r="G434" i="22" s="1"/>
  <c r="CL41" i="39"/>
  <c r="G437" i="22" s="1"/>
  <c r="CL59" i="39"/>
  <c r="G455" i="22" s="1"/>
  <c r="CL71" i="39"/>
  <c r="G467" i="22" s="1"/>
  <c r="CM102" i="39"/>
  <c r="H498" i="22" s="1"/>
  <c r="CM110" i="39"/>
  <c r="H506" i="22" s="1"/>
  <c r="CM90" i="39"/>
  <c r="H486" i="22" s="1"/>
  <c r="CM55" i="39"/>
  <c r="H451" i="22" s="1"/>
  <c r="CM97" i="39"/>
  <c r="H493" i="22" s="1"/>
  <c r="CM44" i="39"/>
  <c r="H440" i="22" s="1"/>
  <c r="CL93" i="39"/>
  <c r="G489" i="22" s="1"/>
  <c r="CM67" i="39"/>
  <c r="H463" i="22" s="1"/>
  <c r="CM71" i="39"/>
  <c r="H467" i="22" s="1"/>
  <c r="CL105" i="39"/>
  <c r="G501" i="22" s="1"/>
  <c r="CL109" i="39"/>
  <c r="G505" i="22" s="1"/>
  <c r="CL113" i="39"/>
  <c r="G509" i="22" s="1"/>
  <c r="CM77" i="39"/>
  <c r="H473" i="22" s="1"/>
  <c r="CM81" i="39"/>
  <c r="H477" i="22" s="1"/>
  <c r="CL85" i="39"/>
  <c r="G481" i="22" s="1"/>
  <c r="CM99" i="39"/>
  <c r="H495" i="22" s="1"/>
  <c r="CL54" i="39"/>
  <c r="G450" i="22" s="1"/>
  <c r="CM86" i="39"/>
  <c r="H482" i="22" s="1"/>
  <c r="CL90" i="39"/>
  <c r="G486" i="22" s="1"/>
  <c r="CL58" i="39"/>
  <c r="G454" i="22" s="1"/>
  <c r="CL66" i="39"/>
  <c r="G462" i="22" s="1"/>
  <c r="CL74" i="39"/>
  <c r="G470" i="22" s="1"/>
  <c r="CM109" i="39"/>
  <c r="H505" i="22" s="1"/>
  <c r="CL99" i="39"/>
  <c r="G495" i="22" s="1"/>
  <c r="CL106" i="39"/>
  <c r="G502" i="22" s="1"/>
  <c r="CL110" i="39"/>
  <c r="G506" i="22" s="1"/>
  <c r="CL114" i="39"/>
  <c r="G510" i="22" s="1"/>
  <c r="CM78" i="39"/>
  <c r="H474" i="22" s="1"/>
  <c r="CM82" i="39"/>
  <c r="H478" i="22" s="1"/>
  <c r="CL86" i="39"/>
  <c r="G482" i="22" s="1"/>
  <c r="CL64" i="39"/>
  <c r="G460" i="22" s="1"/>
  <c r="CL55" i="39"/>
  <c r="G451" i="22" s="1"/>
  <c r="CM87" i="39"/>
  <c r="H483" i="22" s="1"/>
  <c r="CM45" i="39"/>
  <c r="H441" i="22" s="1"/>
  <c r="CL40" i="39"/>
  <c r="G436" i="22" s="1"/>
  <c r="CM43" i="39"/>
  <c r="H439" i="22" s="1"/>
  <c r="CM93" i="39"/>
  <c r="H489" i="22" s="1"/>
  <c r="CM63" i="39"/>
  <c r="H459" i="22" s="1"/>
  <c r="CM88" i="39"/>
  <c r="H484" i="22" s="1"/>
  <c r="CL107" i="39"/>
  <c r="G503" i="22" s="1"/>
  <c r="CL97" i="39"/>
  <c r="G493" i="22" s="1"/>
  <c r="CL44" i="39"/>
  <c r="G440" i="22" s="1"/>
  <c r="CL48" i="39"/>
  <c r="G444" i="22" s="1"/>
  <c r="CL103" i="39"/>
  <c r="G499" i="22" s="1"/>
  <c r="CM46" i="39"/>
  <c r="H442" i="22" s="1"/>
  <c r="CL56" i="39"/>
  <c r="G452" i="22" s="1"/>
  <c r="CL111" i="39"/>
  <c r="G507" i="22" s="1"/>
  <c r="CM75" i="39"/>
  <c r="H471" i="22" s="1"/>
  <c r="CM79" i="39"/>
  <c r="H475" i="22" s="1"/>
  <c r="CM41" i="39"/>
  <c r="H437" i="22" s="1"/>
  <c r="CL49" i="39"/>
  <c r="G445" i="22" s="1"/>
  <c r="CL88" i="39"/>
  <c r="G484" i="22" s="1"/>
  <c r="CL20" i="39"/>
  <c r="G416" i="22" s="1"/>
  <c r="CL83" i="39"/>
  <c r="G479" i="22" s="1"/>
  <c r="CM39" i="39"/>
  <c r="H435" i="22" s="1"/>
  <c r="CM101" i="39"/>
  <c r="H497" i="22" s="1"/>
  <c r="CL52" i="39"/>
  <c r="G448" i="22" s="1"/>
  <c r="BL21" i="38"/>
  <c r="BZ21" i="38" s="1"/>
  <c r="BO21" i="38"/>
  <c r="CC21" i="38" s="1"/>
  <c r="BJ21" i="38"/>
  <c r="BX21" i="38" s="1"/>
  <c r="BM21" i="38"/>
  <c r="CA21" i="38" s="1"/>
  <c r="BS21" i="38"/>
  <c r="CG21" i="38" s="1"/>
  <c r="BH21" i="38"/>
  <c r="BV21" i="38" s="1"/>
  <c r="BN21" i="38"/>
  <c r="CB21" i="38" s="1"/>
  <c r="BR21" i="38"/>
  <c r="BK21" i="38"/>
  <c r="BY21" i="38" s="1"/>
  <c r="BQ21" i="38"/>
  <c r="CE21" i="38" s="1"/>
  <c r="BI21" i="38"/>
  <c r="BW21" i="38" s="1"/>
  <c r="BP21" i="38"/>
  <c r="CD21" i="38" s="1"/>
  <c r="BL18" i="38"/>
  <c r="BH19" i="38"/>
  <c r="BP19" i="38"/>
  <c r="BL20" i="38"/>
  <c r="BL22" i="38"/>
  <c r="BH23" i="38"/>
  <c r="BP23" i="38"/>
  <c r="BL24" i="38"/>
  <c r="BH25" i="38"/>
  <c r="BP25" i="38"/>
  <c r="BL26" i="38"/>
  <c r="BH27" i="38"/>
  <c r="BP27" i="38"/>
  <c r="BL28" i="38"/>
  <c r="BH29" i="38"/>
  <c r="BP29" i="38"/>
  <c r="BL30" i="38"/>
  <c r="BH31" i="38"/>
  <c r="BP31" i="38"/>
  <c r="BL32" i="38"/>
  <c r="BH33" i="38"/>
  <c r="BP33" i="38"/>
  <c r="BL34" i="38"/>
  <c r="BH35" i="38"/>
  <c r="BP35" i="38"/>
  <c r="BL36" i="38"/>
  <c r="BH37" i="38"/>
  <c r="BP37" i="38"/>
  <c r="BL38" i="38"/>
  <c r="BH39" i="38"/>
  <c r="BP39" i="38"/>
  <c r="BI19" i="38"/>
  <c r="BQ19" i="38"/>
  <c r="BM20" i="38"/>
  <c r="BM22" i="38"/>
  <c r="BI23" i="38"/>
  <c r="BQ23" i="38"/>
  <c r="BM24" i="38"/>
  <c r="BI25" i="38"/>
  <c r="BQ25" i="38"/>
  <c r="BM26" i="38"/>
  <c r="BI27" i="38"/>
  <c r="BQ27" i="38"/>
  <c r="BM28" i="38"/>
  <c r="BI29" i="38"/>
  <c r="BQ29" i="38"/>
  <c r="BM30" i="38"/>
  <c r="BI31" i="38"/>
  <c r="BQ31" i="38"/>
  <c r="BM32" i="38"/>
  <c r="BI33" i="38"/>
  <c r="BQ33" i="38"/>
  <c r="BM34" i="38"/>
  <c r="BI35" i="38"/>
  <c r="BQ35" i="38"/>
  <c r="BM36" i="38"/>
  <c r="BI37" i="38"/>
  <c r="BQ37" i="38"/>
  <c r="BM38" i="38"/>
  <c r="BI39" i="38"/>
  <c r="BQ39" i="38"/>
  <c r="BM18" i="38"/>
  <c r="BN18" i="38"/>
  <c r="BO18" i="38"/>
  <c r="BK19" i="38"/>
  <c r="BS19" i="38"/>
  <c r="BO20" i="38"/>
  <c r="BO22" i="38"/>
  <c r="BK23" i="38"/>
  <c r="BS23" i="38"/>
  <c r="BO24" i="38"/>
  <c r="BK25" i="38"/>
  <c r="BS25" i="38"/>
  <c r="BO26" i="38"/>
  <c r="BK27" i="38"/>
  <c r="BS27" i="38"/>
  <c r="BO28" i="38"/>
  <c r="BK29" i="38"/>
  <c r="BS29" i="38"/>
  <c r="BO30" i="38"/>
  <c r="BK31" i="38"/>
  <c r="BS31" i="38"/>
  <c r="BO32" i="38"/>
  <c r="BK33" i="38"/>
  <c r="BS33" i="38"/>
  <c r="BO34" i="38"/>
  <c r="BK35" i="38"/>
  <c r="BS35" i="38"/>
  <c r="BO36" i="38"/>
  <c r="BK37" i="38"/>
  <c r="BS37" i="38"/>
  <c r="BO38" i="38"/>
  <c r="BK39" i="38"/>
  <c r="BS39" i="38"/>
  <c r="BP18" i="38"/>
  <c r="BL19" i="38"/>
  <c r="BH20" i="38"/>
  <c r="BP20" i="38"/>
  <c r="BH22" i="38"/>
  <c r="BP22" i="38"/>
  <c r="BL23" i="38"/>
  <c r="BH24" i="38"/>
  <c r="BP24" i="38"/>
  <c r="BL25" i="38"/>
  <c r="BH26" i="38"/>
  <c r="BP26" i="38"/>
  <c r="BL27" i="38"/>
  <c r="BH28" i="38"/>
  <c r="BP28" i="38"/>
  <c r="BL29" i="38"/>
  <c r="BH30" i="38"/>
  <c r="BP30" i="38"/>
  <c r="BL31" i="38"/>
  <c r="BH32" i="38"/>
  <c r="BP32" i="38"/>
  <c r="BL33" i="38"/>
  <c r="BH34" i="38"/>
  <c r="BP34" i="38"/>
  <c r="BL35" i="38"/>
  <c r="BH36" i="38"/>
  <c r="BP36" i="38"/>
  <c r="BL37" i="38"/>
  <c r="BH38" i="38"/>
  <c r="BP38" i="38"/>
  <c r="BL39" i="38"/>
  <c r="BQ18" i="38"/>
  <c r="BM19" i="38"/>
  <c r="BI20" i="38"/>
  <c r="BQ20" i="38"/>
  <c r="BI22" i="38"/>
  <c r="BQ22" i="38"/>
  <c r="BM23" i="38"/>
  <c r="BI24" i="38"/>
  <c r="BQ24" i="38"/>
  <c r="BM25" i="38"/>
  <c r="BI26" i="38"/>
  <c r="BQ26" i="38"/>
  <c r="BM27" i="38"/>
  <c r="BI28" i="38"/>
  <c r="BQ28" i="38"/>
  <c r="BM29" i="38"/>
  <c r="BI30" i="38"/>
  <c r="BQ30" i="38"/>
  <c r="BM31" i="38"/>
  <c r="BH18" i="38"/>
  <c r="BI18" i="38"/>
  <c r="BJ18" i="38"/>
  <c r="BK18" i="38"/>
  <c r="BO19" i="38"/>
  <c r="BJ23" i="38"/>
  <c r="BS24" i="38"/>
  <c r="BR26" i="38"/>
  <c r="BN28" i="38"/>
  <c r="BK30" i="38"/>
  <c r="BI32" i="38"/>
  <c r="BM33" i="38"/>
  <c r="BQ34" i="38"/>
  <c r="BI36" i="38"/>
  <c r="BM37" i="38"/>
  <c r="BQ38" i="38"/>
  <c r="BS20" i="38"/>
  <c r="BS22" i="38"/>
  <c r="BR31" i="38"/>
  <c r="BJ37" i="38"/>
  <c r="BR19" i="38"/>
  <c r="BN23" i="38"/>
  <c r="BJ25" i="38"/>
  <c r="BS26" i="38"/>
  <c r="BR28" i="38"/>
  <c r="BN30" i="38"/>
  <c r="BJ32" i="38"/>
  <c r="BN33" i="38"/>
  <c r="BR34" i="38"/>
  <c r="BJ36" i="38"/>
  <c r="BN37" i="38"/>
  <c r="BR38" i="38"/>
  <c r="BN24" i="38"/>
  <c r="BN19" i="38"/>
  <c r="BR35" i="38"/>
  <c r="BJ20" i="38"/>
  <c r="BO23" i="38"/>
  <c r="BN25" i="38"/>
  <c r="BJ27" i="38"/>
  <c r="BS28" i="38"/>
  <c r="BR30" i="38"/>
  <c r="BK32" i="38"/>
  <c r="BO33" i="38"/>
  <c r="BS34" i="38"/>
  <c r="BK36" i="38"/>
  <c r="BO37" i="38"/>
  <c r="BS38" i="38"/>
  <c r="BR22" i="38"/>
  <c r="BK28" i="38"/>
  <c r="BJ30" i="38"/>
  <c r="BN34" i="38"/>
  <c r="BR39" i="38"/>
  <c r="BK20" i="38"/>
  <c r="BJ22" i="38"/>
  <c r="BR23" i="38"/>
  <c r="BO25" i="38"/>
  <c r="BN27" i="38"/>
  <c r="BJ29" i="38"/>
  <c r="BS30" i="38"/>
  <c r="BN32" i="38"/>
  <c r="BR33" i="38"/>
  <c r="BJ35" i="38"/>
  <c r="BN36" i="38"/>
  <c r="BR37" i="38"/>
  <c r="BJ39" i="38"/>
  <c r="BK38" i="38"/>
  <c r="BR24" i="38"/>
  <c r="BN38" i="38"/>
  <c r="BR18" i="38"/>
  <c r="BN20" i="38"/>
  <c r="BK22" i="38"/>
  <c r="BJ24" i="38"/>
  <c r="BR25" i="38"/>
  <c r="BO27" i="38"/>
  <c r="BN29" i="38"/>
  <c r="BJ31" i="38"/>
  <c r="BQ32" i="38"/>
  <c r="BI34" i="38"/>
  <c r="BM35" i="38"/>
  <c r="BQ36" i="38"/>
  <c r="BI38" i="38"/>
  <c r="BM39" i="38"/>
  <c r="BS18" i="38"/>
  <c r="BR20" i="38"/>
  <c r="BN22" i="38"/>
  <c r="BK24" i="38"/>
  <c r="BJ26" i="38"/>
  <c r="BR27" i="38"/>
  <c r="BO29" i="38"/>
  <c r="BN31" i="38"/>
  <c r="BR32" i="38"/>
  <c r="BJ34" i="38"/>
  <c r="BN35" i="38"/>
  <c r="BR36" i="38"/>
  <c r="BJ38" i="38"/>
  <c r="BN39" i="38"/>
  <c r="BJ19" i="38"/>
  <c r="BK26" i="38"/>
  <c r="BJ28" i="38"/>
  <c r="BR29" i="38"/>
  <c r="BO31" i="38"/>
  <c r="BS32" i="38"/>
  <c r="BK34" i="38"/>
  <c r="BO35" i="38"/>
  <c r="BS36" i="38"/>
  <c r="BO39" i="38"/>
  <c r="BJ33" i="38"/>
  <c r="BN26" i="38"/>
  <c r="D10" i="22"/>
  <c r="BT79" i="38"/>
  <c r="BT103" i="38"/>
  <c r="BT64" i="38"/>
  <c r="BT72" i="38"/>
  <c r="BT116" i="38"/>
  <c r="BT43" i="38"/>
  <c r="BT65" i="38"/>
  <c r="BT85" i="38"/>
  <c r="BT97" i="38"/>
  <c r="BT66" i="38"/>
  <c r="BT82" i="38"/>
  <c r="BT102" i="38"/>
  <c r="BT114" i="38"/>
  <c r="H37" i="22"/>
  <c r="BT84" i="38"/>
  <c r="BT63" i="38"/>
  <c r="BT56" i="38"/>
  <c r="BT55" i="38"/>
  <c r="BT53" i="38"/>
  <c r="BT49" i="38"/>
  <c r="O27" i="34"/>
  <c r="BT99" i="38"/>
  <c r="BT47" i="38"/>
  <c r="BT44" i="38"/>
  <c r="BT75" i="38"/>
  <c r="BT100" i="38"/>
  <c r="BT112" i="38"/>
  <c r="BT96" i="38"/>
  <c r="BT86" i="38"/>
  <c r="BT81" i="38"/>
  <c r="BT80" i="38"/>
  <c r="BT78" i="38"/>
  <c r="BT58" i="38"/>
  <c r="BT48" i="38"/>
  <c r="BT73" i="38"/>
  <c r="D9" i="22"/>
  <c r="D8" i="22"/>
  <c r="D7" i="22"/>
  <c r="D6" i="22"/>
  <c r="D5" i="22"/>
  <c r="D4" i="22"/>
  <c r="D4" i="7"/>
  <c r="D6" i="7"/>
  <c r="D18" i="7"/>
  <c r="D17" i="7"/>
  <c r="D16" i="7"/>
  <c r="D14" i="7"/>
  <c r="D13" i="7"/>
  <c r="D12" i="7"/>
  <c r="D11" i="7"/>
  <c r="D10" i="7"/>
  <c r="D9" i="7"/>
  <c r="D19" i="7"/>
  <c r="D8" i="7"/>
  <c r="D7" i="7"/>
  <c r="D5" i="7"/>
  <c r="BT83" i="38"/>
  <c r="BT77" i="38"/>
  <c r="BT74" i="38"/>
  <c r="BT71" i="38"/>
  <c r="BT70" i="38"/>
  <c r="BT68" i="38"/>
  <c r="BT67" i="38"/>
  <c r="BT62" i="38"/>
  <c r="BT61" i="38"/>
  <c r="BT60" i="38"/>
  <c r="BT59" i="38"/>
  <c r="BT54" i="38"/>
  <c r="BT51" i="38"/>
  <c r="BT46" i="38"/>
  <c r="BT45" i="38"/>
  <c r="BT87" i="38"/>
  <c r="BT76" i="38"/>
  <c r="BT69" i="38"/>
  <c r="BT57" i="38"/>
  <c r="BT52" i="38"/>
  <c r="BT41" i="38"/>
  <c r="BT113" i="38"/>
  <c r="BT50" i="38"/>
  <c r="BT115" i="38"/>
  <c r="BT101" i="38"/>
  <c r="BT98" i="38"/>
  <c r="BT42" i="38"/>
  <c r="O72" i="34"/>
  <c r="G279" i="22"/>
  <c r="G277" i="22"/>
  <c r="G278" i="22"/>
  <c r="G276" i="22"/>
  <c r="G31" i="59" s="1"/>
  <c r="G275" i="22"/>
  <c r="G30" i="59" s="1"/>
  <c r="G274" i="22"/>
  <c r="G29" i="59" s="1"/>
  <c r="G273" i="22"/>
  <c r="G28" i="59" s="1"/>
  <c r="F424" i="22"/>
  <c r="F425" i="22"/>
  <c r="F426" i="22"/>
  <c r="F427" i="22"/>
  <c r="F421" i="22"/>
  <c r="F419" i="22"/>
  <c r="F418" i="22"/>
  <c r="F422" i="22"/>
  <c r="F423" i="22"/>
  <c r="F417" i="22"/>
  <c r="F420" i="22"/>
  <c r="F416" i="22"/>
  <c r="F415" i="22"/>
  <c r="F414" i="22"/>
  <c r="F413" i="22"/>
  <c r="F412" i="22"/>
  <c r="BV116" i="38"/>
  <c r="BW116" i="38"/>
  <c r="BX116" i="38"/>
  <c r="BY116" i="38"/>
  <c r="BZ116" i="38"/>
  <c r="CA116" i="38"/>
  <c r="CB116" i="38"/>
  <c r="CC116" i="38"/>
  <c r="CD116" i="38"/>
  <c r="CE116" i="38"/>
  <c r="CF116" i="38"/>
  <c r="CG116" i="38"/>
  <c r="BV115" i="38"/>
  <c r="BW115" i="38"/>
  <c r="BX115" i="38"/>
  <c r="BY115" i="38"/>
  <c r="BZ115" i="38"/>
  <c r="CA115" i="38"/>
  <c r="CB115" i="38"/>
  <c r="CC115" i="38"/>
  <c r="CD115" i="38"/>
  <c r="CE115" i="38"/>
  <c r="CF115" i="38"/>
  <c r="CG115" i="38"/>
  <c r="BV114" i="38"/>
  <c r="BW114" i="38"/>
  <c r="BX114" i="38"/>
  <c r="BY114" i="38"/>
  <c r="BZ114" i="38"/>
  <c r="CA114" i="38"/>
  <c r="CB114" i="38"/>
  <c r="CC114" i="38"/>
  <c r="CD114" i="38"/>
  <c r="CE114" i="38"/>
  <c r="CF114" i="38"/>
  <c r="CG114" i="38"/>
  <c r="BV113" i="38"/>
  <c r="BW113" i="38"/>
  <c r="BX113" i="38"/>
  <c r="BY113" i="38"/>
  <c r="BZ113" i="38"/>
  <c r="CA113" i="38"/>
  <c r="CB113" i="38"/>
  <c r="CC113" i="38"/>
  <c r="CD113" i="38"/>
  <c r="CE113" i="38"/>
  <c r="CF113" i="38"/>
  <c r="CG113" i="38"/>
  <c r="BV112" i="38"/>
  <c r="BW112" i="38"/>
  <c r="BX112" i="38"/>
  <c r="BY112" i="38"/>
  <c r="BZ112" i="38"/>
  <c r="CA112" i="38"/>
  <c r="CB112" i="38"/>
  <c r="CC112" i="38"/>
  <c r="CD112" i="38"/>
  <c r="CE112" i="38"/>
  <c r="CF112" i="38"/>
  <c r="CG112" i="38"/>
  <c r="BV111" i="38"/>
  <c r="BW111" i="38"/>
  <c r="BX111" i="38"/>
  <c r="BY111" i="38"/>
  <c r="BZ111" i="38"/>
  <c r="CA111" i="38"/>
  <c r="CB111" i="38"/>
  <c r="CC111" i="38"/>
  <c r="CD111" i="38"/>
  <c r="CE111" i="38"/>
  <c r="CF111" i="38"/>
  <c r="CG111" i="38"/>
  <c r="BV110" i="38"/>
  <c r="BW110" i="38"/>
  <c r="BX110" i="38"/>
  <c r="BY110" i="38"/>
  <c r="BZ110" i="38"/>
  <c r="CA110" i="38"/>
  <c r="CB110" i="38"/>
  <c r="CC110" i="38"/>
  <c r="CD110" i="38"/>
  <c r="CE110" i="38"/>
  <c r="CF110" i="38"/>
  <c r="CG110" i="38"/>
  <c r="BV109" i="38"/>
  <c r="BW109" i="38"/>
  <c r="BX109" i="38"/>
  <c r="BY109" i="38"/>
  <c r="BZ109" i="38"/>
  <c r="CA109" i="38"/>
  <c r="CB109" i="38"/>
  <c r="CC109" i="38"/>
  <c r="CD109" i="38"/>
  <c r="CE109" i="38"/>
  <c r="CF109" i="38"/>
  <c r="CG109" i="38"/>
  <c r="BV108" i="38"/>
  <c r="BW108" i="38"/>
  <c r="BX108" i="38"/>
  <c r="BY108" i="38"/>
  <c r="BZ108" i="38"/>
  <c r="CA108" i="38"/>
  <c r="CB108" i="38"/>
  <c r="CC108" i="38"/>
  <c r="CD108" i="38"/>
  <c r="CE108" i="38"/>
  <c r="CF108" i="38"/>
  <c r="CG108" i="38"/>
  <c r="BV107" i="38"/>
  <c r="BW107" i="38"/>
  <c r="BX107" i="38"/>
  <c r="BY107" i="38"/>
  <c r="BZ107" i="38"/>
  <c r="CA107" i="38"/>
  <c r="CB107" i="38"/>
  <c r="CC107" i="38"/>
  <c r="CD107" i="38"/>
  <c r="CE107" i="38"/>
  <c r="CF107" i="38"/>
  <c r="CG107" i="38"/>
  <c r="BV106" i="38"/>
  <c r="BW106" i="38"/>
  <c r="BX106" i="38"/>
  <c r="BY106" i="38"/>
  <c r="BZ106" i="38"/>
  <c r="CA106" i="38"/>
  <c r="CB106" i="38"/>
  <c r="CC106" i="38"/>
  <c r="CD106" i="38"/>
  <c r="CE106" i="38"/>
  <c r="CF106" i="38"/>
  <c r="CG106" i="38"/>
  <c r="BV105" i="38"/>
  <c r="BW105" i="38"/>
  <c r="BX105" i="38"/>
  <c r="BY105" i="38"/>
  <c r="BZ105" i="38"/>
  <c r="CA105" i="38"/>
  <c r="CB105" i="38"/>
  <c r="CC105" i="38"/>
  <c r="CD105" i="38"/>
  <c r="CE105" i="38"/>
  <c r="CF105" i="38"/>
  <c r="CG105" i="38"/>
  <c r="BV104" i="38"/>
  <c r="BW104" i="38"/>
  <c r="BX104" i="38"/>
  <c r="BY104" i="38"/>
  <c r="BZ104" i="38"/>
  <c r="CA104" i="38"/>
  <c r="CB104" i="38"/>
  <c r="CC104" i="38"/>
  <c r="CD104" i="38"/>
  <c r="CE104" i="38"/>
  <c r="CF104" i="38"/>
  <c r="CG104" i="38"/>
  <c r="BV103" i="38"/>
  <c r="BW103" i="38"/>
  <c r="BX103" i="38"/>
  <c r="BY103" i="38"/>
  <c r="BZ103" i="38"/>
  <c r="CA103" i="38"/>
  <c r="CB103" i="38"/>
  <c r="CC103" i="38"/>
  <c r="CD103" i="38"/>
  <c r="CE103" i="38"/>
  <c r="CF103" i="38"/>
  <c r="CG103" i="38"/>
  <c r="BV102" i="38"/>
  <c r="BW102" i="38"/>
  <c r="BX102" i="38"/>
  <c r="BY102" i="38"/>
  <c r="BZ102" i="38"/>
  <c r="CA102" i="38"/>
  <c r="CB102" i="38"/>
  <c r="CC102" i="38"/>
  <c r="CD102" i="38"/>
  <c r="CE102" i="38"/>
  <c r="CF102" i="38"/>
  <c r="CG102" i="38"/>
  <c r="BV101" i="38"/>
  <c r="BW101" i="38"/>
  <c r="BX101" i="38"/>
  <c r="BY101" i="38"/>
  <c r="BZ101" i="38"/>
  <c r="CA101" i="38"/>
  <c r="CB101" i="38"/>
  <c r="CC101" i="38"/>
  <c r="CD101" i="38"/>
  <c r="CE101" i="38"/>
  <c r="CF101" i="38"/>
  <c r="CG101" i="38"/>
  <c r="BV100" i="38"/>
  <c r="BW100" i="38"/>
  <c r="BX100" i="38"/>
  <c r="BY100" i="38"/>
  <c r="BZ100" i="38"/>
  <c r="CA100" i="38"/>
  <c r="CB100" i="38"/>
  <c r="CC100" i="38"/>
  <c r="CD100" i="38"/>
  <c r="CE100" i="38"/>
  <c r="CF100" i="38"/>
  <c r="CG100" i="38"/>
  <c r="BV99" i="38"/>
  <c r="BW99" i="38"/>
  <c r="BX99" i="38"/>
  <c r="BY99" i="38"/>
  <c r="BZ99" i="38"/>
  <c r="CA99" i="38"/>
  <c r="CB99" i="38"/>
  <c r="CC99" i="38"/>
  <c r="CD99" i="38"/>
  <c r="CE99" i="38"/>
  <c r="CF99" i="38"/>
  <c r="CG99" i="38"/>
  <c r="BV98" i="38"/>
  <c r="BW98" i="38"/>
  <c r="BX98" i="38"/>
  <c r="BY98" i="38"/>
  <c r="BZ98" i="38"/>
  <c r="CA98" i="38"/>
  <c r="CB98" i="38"/>
  <c r="CC98" i="38"/>
  <c r="CD98" i="38"/>
  <c r="CE98" i="38"/>
  <c r="CF98" i="38"/>
  <c r="CG98" i="38"/>
  <c r="BV97" i="38"/>
  <c r="BW97" i="38"/>
  <c r="BX97" i="38"/>
  <c r="BY97" i="38"/>
  <c r="BZ97" i="38"/>
  <c r="CA97" i="38"/>
  <c r="CB97" i="38"/>
  <c r="CC97" i="38"/>
  <c r="CD97" i="38"/>
  <c r="CE97" i="38"/>
  <c r="CF97" i="38"/>
  <c r="CG97" i="38"/>
  <c r="BV96" i="38"/>
  <c r="BW96" i="38"/>
  <c r="BX96" i="38"/>
  <c r="BY96" i="38"/>
  <c r="BZ96" i="38"/>
  <c r="CA96" i="38"/>
  <c r="CB96" i="38"/>
  <c r="CC96" i="38"/>
  <c r="CD96" i="38"/>
  <c r="CE96" i="38"/>
  <c r="CF96" i="38"/>
  <c r="CG96" i="38"/>
  <c r="BT111" i="38"/>
  <c r="BT95" i="38"/>
  <c r="BV95" i="38"/>
  <c r="BW95" i="38"/>
  <c r="BX95" i="38"/>
  <c r="BY95" i="38"/>
  <c r="BZ95" i="38"/>
  <c r="CA95" i="38"/>
  <c r="CB95" i="38"/>
  <c r="CC95" i="38"/>
  <c r="CD95" i="38"/>
  <c r="CE95" i="38"/>
  <c r="CF95" i="38"/>
  <c r="CG95" i="38"/>
  <c r="BT94" i="38"/>
  <c r="BT110" i="38"/>
  <c r="BV94" i="38"/>
  <c r="BW94" i="38"/>
  <c r="BX94" i="38"/>
  <c r="BY94" i="38"/>
  <c r="BZ94" i="38"/>
  <c r="CA94" i="38"/>
  <c r="CB94" i="38"/>
  <c r="CC94" i="38"/>
  <c r="CD94" i="38"/>
  <c r="CE94" i="38"/>
  <c r="CF94" i="38"/>
  <c r="CG94" i="38"/>
  <c r="BT109" i="38"/>
  <c r="BT93" i="38"/>
  <c r="BV93" i="38"/>
  <c r="BW93" i="38"/>
  <c r="BX93" i="38"/>
  <c r="BY93" i="38"/>
  <c r="BZ93" i="38"/>
  <c r="CA93" i="38"/>
  <c r="CB93" i="38"/>
  <c r="CC93" i="38"/>
  <c r="CD93" i="38"/>
  <c r="CE93" i="38"/>
  <c r="CF93" i="38"/>
  <c r="CG93" i="38"/>
  <c r="BT108" i="38"/>
  <c r="BT92" i="38"/>
  <c r="BV92" i="38"/>
  <c r="BW92" i="38"/>
  <c r="BX92" i="38"/>
  <c r="BY92" i="38"/>
  <c r="BZ92" i="38"/>
  <c r="CA92" i="38"/>
  <c r="CB92" i="38"/>
  <c r="CC92" i="38"/>
  <c r="CD92" i="38"/>
  <c r="CE92" i="38"/>
  <c r="CF92" i="38"/>
  <c r="CG92" i="38"/>
  <c r="BT107" i="38"/>
  <c r="BT91" i="38"/>
  <c r="BV91" i="38"/>
  <c r="BW91" i="38"/>
  <c r="BX91" i="38"/>
  <c r="BY91" i="38"/>
  <c r="BZ91" i="38"/>
  <c r="CA91" i="38"/>
  <c r="CB91" i="38"/>
  <c r="CC91" i="38"/>
  <c r="CD91" i="38"/>
  <c r="CE91" i="38"/>
  <c r="CF91" i="38"/>
  <c r="CG91" i="38"/>
  <c r="BT106" i="38"/>
  <c r="BT90" i="38"/>
  <c r="BV90" i="38"/>
  <c r="BW90" i="38"/>
  <c r="BX90" i="38"/>
  <c r="BY90" i="38"/>
  <c r="BZ90" i="38"/>
  <c r="CA90" i="38"/>
  <c r="CB90" i="38"/>
  <c r="CC90" i="38"/>
  <c r="CD90" i="38"/>
  <c r="CE90" i="38"/>
  <c r="CF90" i="38"/>
  <c r="CG90" i="38"/>
  <c r="BT105" i="38"/>
  <c r="BT89" i="38"/>
  <c r="BV89" i="38"/>
  <c r="BW89" i="38"/>
  <c r="BX89" i="38"/>
  <c r="BY89" i="38"/>
  <c r="BZ89" i="38"/>
  <c r="CA89" i="38"/>
  <c r="CB89" i="38"/>
  <c r="CC89" i="38"/>
  <c r="CD89" i="38"/>
  <c r="CE89" i="38"/>
  <c r="CF89" i="38"/>
  <c r="CG89" i="38"/>
  <c r="BT88" i="38"/>
  <c r="BT104" i="38"/>
  <c r="BV88" i="38"/>
  <c r="BW88" i="38"/>
  <c r="BX88" i="38"/>
  <c r="BY88" i="38"/>
  <c r="BZ88" i="38"/>
  <c r="CA88" i="38"/>
  <c r="CB88" i="38"/>
  <c r="CC88" i="38"/>
  <c r="CD88" i="38"/>
  <c r="CE88" i="38"/>
  <c r="CF88" i="38"/>
  <c r="CG88" i="38"/>
  <c r="BV87" i="38"/>
  <c r="BW87" i="38"/>
  <c r="BX87" i="38"/>
  <c r="BY87" i="38"/>
  <c r="BZ87" i="38"/>
  <c r="CA87" i="38"/>
  <c r="CB87" i="38"/>
  <c r="CC87" i="38"/>
  <c r="CD87" i="38"/>
  <c r="CE87" i="38"/>
  <c r="CF87" i="38"/>
  <c r="CG87" i="38"/>
  <c r="BV86" i="38"/>
  <c r="BW86" i="38"/>
  <c r="BX86" i="38"/>
  <c r="BY86" i="38"/>
  <c r="BZ86" i="38"/>
  <c r="CA86" i="38"/>
  <c r="CB86" i="38"/>
  <c r="CC86" i="38"/>
  <c r="CD86" i="38"/>
  <c r="CE86" i="38"/>
  <c r="CF86" i="38"/>
  <c r="CG86" i="38"/>
  <c r="BV85" i="38"/>
  <c r="BW85" i="38"/>
  <c r="BX85" i="38"/>
  <c r="BY85" i="38"/>
  <c r="BZ85" i="38"/>
  <c r="CA85" i="38"/>
  <c r="CB85" i="38"/>
  <c r="CC85" i="38"/>
  <c r="CD85" i="38"/>
  <c r="CE85" i="38"/>
  <c r="CF85" i="38"/>
  <c r="CG85" i="38"/>
  <c r="BV84" i="38"/>
  <c r="BW84" i="38"/>
  <c r="BX84" i="38"/>
  <c r="BY84" i="38"/>
  <c r="BZ84" i="38"/>
  <c r="CA84" i="38"/>
  <c r="CB84" i="38"/>
  <c r="CC84" i="38"/>
  <c r="CD84" i="38"/>
  <c r="CE84" i="38"/>
  <c r="CF84" i="38"/>
  <c r="CG84" i="38"/>
  <c r="BV83" i="38"/>
  <c r="BW83" i="38"/>
  <c r="BX83" i="38"/>
  <c r="BY83" i="38"/>
  <c r="BZ83" i="38"/>
  <c r="CA83" i="38"/>
  <c r="CB83" i="38"/>
  <c r="CC83" i="38"/>
  <c r="CD83" i="38"/>
  <c r="CE83" i="38"/>
  <c r="CF83" i="38"/>
  <c r="CG83" i="38"/>
  <c r="BV82" i="38"/>
  <c r="BW82" i="38"/>
  <c r="BX82" i="38"/>
  <c r="BY82" i="38"/>
  <c r="BZ82" i="38"/>
  <c r="CA82" i="38"/>
  <c r="CB82" i="38"/>
  <c r="CC82" i="38"/>
  <c r="CD82" i="38"/>
  <c r="CE82" i="38"/>
  <c r="CF82" i="38"/>
  <c r="CG82" i="38"/>
  <c r="BV81" i="38"/>
  <c r="BW81" i="38"/>
  <c r="BX81" i="38"/>
  <c r="BY81" i="38"/>
  <c r="BZ81" i="38"/>
  <c r="CA81" i="38"/>
  <c r="CB81" i="38"/>
  <c r="CC81" i="38"/>
  <c r="CD81" i="38"/>
  <c r="CE81" i="38"/>
  <c r="CF81" i="38"/>
  <c r="CG81" i="38"/>
  <c r="BV80" i="38"/>
  <c r="BW80" i="38"/>
  <c r="BX80" i="38"/>
  <c r="BY80" i="38"/>
  <c r="BZ80" i="38"/>
  <c r="CA80" i="38"/>
  <c r="CB80" i="38"/>
  <c r="CC80" i="38"/>
  <c r="CD80" i="38"/>
  <c r="CE80" i="38"/>
  <c r="CF80" i="38"/>
  <c r="CG80" i="38"/>
  <c r="BV79" i="38"/>
  <c r="BW79" i="38"/>
  <c r="BX79" i="38"/>
  <c r="BY79" i="38"/>
  <c r="BZ79" i="38"/>
  <c r="CA79" i="38"/>
  <c r="CB79" i="38"/>
  <c r="CC79" i="38"/>
  <c r="CD79" i="38"/>
  <c r="CE79" i="38"/>
  <c r="CF79" i="38"/>
  <c r="CG79" i="38"/>
  <c r="BV78" i="38"/>
  <c r="BW78" i="38"/>
  <c r="BX78" i="38"/>
  <c r="BY78" i="38"/>
  <c r="BZ78" i="38"/>
  <c r="CA78" i="38"/>
  <c r="CB78" i="38"/>
  <c r="CC78" i="38"/>
  <c r="CD78" i="38"/>
  <c r="CE78" i="38"/>
  <c r="CF78" i="38"/>
  <c r="CG78" i="38"/>
  <c r="BV77" i="38"/>
  <c r="BW77" i="38"/>
  <c r="BX77" i="38"/>
  <c r="BY77" i="38"/>
  <c r="BZ77" i="38"/>
  <c r="CA77" i="38"/>
  <c r="CB77" i="38"/>
  <c r="CC77" i="38"/>
  <c r="CD77" i="38"/>
  <c r="CE77" i="38"/>
  <c r="CF77" i="38"/>
  <c r="CG77" i="38"/>
  <c r="BV76" i="38"/>
  <c r="BW76" i="38"/>
  <c r="BX76" i="38"/>
  <c r="BY76" i="38"/>
  <c r="BZ76" i="38"/>
  <c r="CA76" i="38"/>
  <c r="CB76" i="38"/>
  <c r="CC76" i="38"/>
  <c r="CD76" i="38"/>
  <c r="CE76" i="38"/>
  <c r="CF76" i="38"/>
  <c r="CG76" i="38"/>
  <c r="BV75" i="38"/>
  <c r="BW75" i="38"/>
  <c r="BX75" i="38"/>
  <c r="BY75" i="38"/>
  <c r="BZ75" i="38"/>
  <c r="CA75" i="38"/>
  <c r="CB75" i="38"/>
  <c r="CC75" i="38"/>
  <c r="CD75" i="38"/>
  <c r="CE75" i="38"/>
  <c r="CF75" i="38"/>
  <c r="CG75" i="38"/>
  <c r="BV74" i="38"/>
  <c r="BW74" i="38"/>
  <c r="BX74" i="38"/>
  <c r="BY74" i="38"/>
  <c r="BZ74" i="38"/>
  <c r="CA74" i="38"/>
  <c r="CB74" i="38"/>
  <c r="CC74" i="38"/>
  <c r="CD74" i="38"/>
  <c r="CE74" i="38"/>
  <c r="CF74" i="38"/>
  <c r="CG74" i="38"/>
  <c r="BV73" i="38"/>
  <c r="BW73" i="38"/>
  <c r="BX73" i="38"/>
  <c r="BY73" i="38"/>
  <c r="BZ73" i="38"/>
  <c r="CA73" i="38"/>
  <c r="CB73" i="38"/>
  <c r="CC73" i="38"/>
  <c r="CD73" i="38"/>
  <c r="CE73" i="38"/>
  <c r="CF73" i="38"/>
  <c r="CG73" i="38"/>
  <c r="BV72" i="38"/>
  <c r="BW72" i="38"/>
  <c r="BX72" i="38"/>
  <c r="BY72" i="38"/>
  <c r="BZ72" i="38"/>
  <c r="CA72" i="38"/>
  <c r="CB72" i="38"/>
  <c r="CC72" i="38"/>
  <c r="CD72" i="38"/>
  <c r="CE72" i="38"/>
  <c r="CF72" i="38"/>
  <c r="CG72" i="38"/>
  <c r="BV71" i="38"/>
  <c r="BW71" i="38"/>
  <c r="BX71" i="38"/>
  <c r="BY71" i="38"/>
  <c r="BZ71" i="38"/>
  <c r="CA71" i="38"/>
  <c r="CB71" i="38"/>
  <c r="CC71" i="38"/>
  <c r="CD71" i="38"/>
  <c r="CE71" i="38"/>
  <c r="CF71" i="38"/>
  <c r="CG71" i="38"/>
  <c r="BV70" i="38"/>
  <c r="BW70" i="38"/>
  <c r="BX70" i="38"/>
  <c r="BY70" i="38"/>
  <c r="BZ70" i="38"/>
  <c r="CA70" i="38"/>
  <c r="CB70" i="38"/>
  <c r="CC70" i="38"/>
  <c r="CD70" i="38"/>
  <c r="CE70" i="38"/>
  <c r="CF70" i="38"/>
  <c r="CG70" i="38"/>
  <c r="BV69" i="38"/>
  <c r="BW69" i="38"/>
  <c r="BX69" i="38"/>
  <c r="BY69" i="38"/>
  <c r="BZ69" i="38"/>
  <c r="CA69" i="38"/>
  <c r="CB69" i="38"/>
  <c r="CC69" i="38"/>
  <c r="CD69" i="38"/>
  <c r="CE69" i="38"/>
  <c r="CF69" i="38"/>
  <c r="CG69" i="38"/>
  <c r="BV68" i="38"/>
  <c r="BW68" i="38"/>
  <c r="BX68" i="38"/>
  <c r="BY68" i="38"/>
  <c r="BZ68" i="38"/>
  <c r="CA68" i="38"/>
  <c r="CB68" i="38"/>
  <c r="CC68" i="38"/>
  <c r="CD68" i="38"/>
  <c r="CE68" i="38"/>
  <c r="CF68" i="38"/>
  <c r="CG68" i="38"/>
  <c r="BV67" i="38"/>
  <c r="BW67" i="38"/>
  <c r="BX67" i="38"/>
  <c r="BY67" i="38"/>
  <c r="BZ67" i="38"/>
  <c r="CA67" i="38"/>
  <c r="CB67" i="38"/>
  <c r="CC67" i="38"/>
  <c r="CD67" i="38"/>
  <c r="CE67" i="38"/>
  <c r="CF67" i="38"/>
  <c r="CG67" i="38"/>
  <c r="BV66" i="38"/>
  <c r="BW66" i="38"/>
  <c r="BX66" i="38"/>
  <c r="BY66" i="38"/>
  <c r="BZ66" i="38"/>
  <c r="CA66" i="38"/>
  <c r="CB66" i="38"/>
  <c r="CC66" i="38"/>
  <c r="CD66" i="38"/>
  <c r="CE66" i="38"/>
  <c r="CF66" i="38"/>
  <c r="CG66" i="38"/>
  <c r="BV65" i="38"/>
  <c r="BW65" i="38"/>
  <c r="BX65" i="38"/>
  <c r="BY65" i="38"/>
  <c r="BZ65" i="38"/>
  <c r="CA65" i="38"/>
  <c r="CB65" i="38"/>
  <c r="CC65" i="38"/>
  <c r="CD65" i="38"/>
  <c r="CE65" i="38"/>
  <c r="CF65" i="38"/>
  <c r="CG65" i="38"/>
  <c r="BV64" i="38"/>
  <c r="BW64" i="38"/>
  <c r="BX64" i="38"/>
  <c r="BY64" i="38"/>
  <c r="BZ64" i="38"/>
  <c r="CA64" i="38"/>
  <c r="CB64" i="38"/>
  <c r="CC64" i="38"/>
  <c r="CD64" i="38"/>
  <c r="CE64" i="38"/>
  <c r="CF64" i="38"/>
  <c r="CG64" i="38"/>
  <c r="BV63" i="38"/>
  <c r="BW63" i="38"/>
  <c r="BX63" i="38"/>
  <c r="BY63" i="38"/>
  <c r="BZ63" i="38"/>
  <c r="CA63" i="38"/>
  <c r="CB63" i="38"/>
  <c r="CC63" i="38"/>
  <c r="CD63" i="38"/>
  <c r="CE63" i="38"/>
  <c r="CF63" i="38"/>
  <c r="CG63" i="38"/>
  <c r="BV62" i="38"/>
  <c r="BW62" i="38"/>
  <c r="BX62" i="38"/>
  <c r="BY62" i="38"/>
  <c r="BZ62" i="38"/>
  <c r="CA62" i="38"/>
  <c r="CB62" i="38"/>
  <c r="CC62" i="38"/>
  <c r="CD62" i="38"/>
  <c r="CE62" i="38"/>
  <c r="CF62" i="38"/>
  <c r="CG62" i="38"/>
  <c r="BV61" i="38"/>
  <c r="BW61" i="38"/>
  <c r="BX61" i="38"/>
  <c r="BY61" i="38"/>
  <c r="BZ61" i="38"/>
  <c r="CA61" i="38"/>
  <c r="CB61" i="38"/>
  <c r="CC61" i="38"/>
  <c r="CD61" i="38"/>
  <c r="CE61" i="38"/>
  <c r="CF61" i="38"/>
  <c r="CG61" i="38"/>
  <c r="BV60" i="38"/>
  <c r="BW60" i="38"/>
  <c r="BX60" i="38"/>
  <c r="BY60" i="38"/>
  <c r="BZ60" i="38"/>
  <c r="CA60" i="38"/>
  <c r="CB60" i="38"/>
  <c r="CC60" i="38"/>
  <c r="CD60" i="38"/>
  <c r="CE60" i="38"/>
  <c r="CF60" i="38"/>
  <c r="CG60" i="38"/>
  <c r="BV59" i="38"/>
  <c r="BW59" i="38"/>
  <c r="BX59" i="38"/>
  <c r="BY59" i="38"/>
  <c r="BZ59" i="38"/>
  <c r="CA59" i="38"/>
  <c r="CB59" i="38"/>
  <c r="CC59" i="38"/>
  <c r="CD59" i="38"/>
  <c r="CE59" i="38"/>
  <c r="CF59" i="38"/>
  <c r="CG59" i="38"/>
  <c r="BV58" i="38"/>
  <c r="BW58" i="38"/>
  <c r="BX58" i="38"/>
  <c r="BY58" i="38"/>
  <c r="BZ58" i="38"/>
  <c r="CA58" i="38"/>
  <c r="CB58" i="38"/>
  <c r="CC58" i="38"/>
  <c r="CD58" i="38"/>
  <c r="CE58" i="38"/>
  <c r="CF58" i="38"/>
  <c r="CG58" i="38"/>
  <c r="BV57" i="38"/>
  <c r="BW57" i="38"/>
  <c r="BX57" i="38"/>
  <c r="BY57" i="38"/>
  <c r="BZ57" i="38"/>
  <c r="CA57" i="38"/>
  <c r="CB57" i="38"/>
  <c r="CC57" i="38"/>
  <c r="CD57" i="38"/>
  <c r="CE57" i="38"/>
  <c r="CF57" i="38"/>
  <c r="CG57" i="38"/>
  <c r="BV56" i="38"/>
  <c r="BW56" i="38"/>
  <c r="BX56" i="38"/>
  <c r="BY56" i="38"/>
  <c r="BZ56" i="38"/>
  <c r="CA56" i="38"/>
  <c r="CB56" i="38"/>
  <c r="CC56" i="38"/>
  <c r="CD56" i="38"/>
  <c r="CE56" i="38"/>
  <c r="CF56" i="38"/>
  <c r="CG56" i="38"/>
  <c r="BV55" i="38"/>
  <c r="BW55" i="38"/>
  <c r="BX55" i="38"/>
  <c r="BY55" i="38"/>
  <c r="BZ55" i="38"/>
  <c r="CA55" i="38"/>
  <c r="CB55" i="38"/>
  <c r="CC55" i="38"/>
  <c r="CD55" i="38"/>
  <c r="CE55" i="38"/>
  <c r="CF55" i="38"/>
  <c r="CG55" i="38"/>
  <c r="BV54" i="38"/>
  <c r="BW54" i="38"/>
  <c r="BX54" i="38"/>
  <c r="BY54" i="38"/>
  <c r="BZ54" i="38"/>
  <c r="CA54" i="38"/>
  <c r="CB54" i="38"/>
  <c r="CC54" i="38"/>
  <c r="CD54" i="38"/>
  <c r="CE54" i="38"/>
  <c r="CF54" i="38"/>
  <c r="CG54" i="38"/>
  <c r="BV53" i="38"/>
  <c r="BW53" i="38"/>
  <c r="BX53" i="38"/>
  <c r="BY53" i="38"/>
  <c r="BZ53" i="38"/>
  <c r="CA53" i="38"/>
  <c r="CB53" i="38"/>
  <c r="CC53" i="38"/>
  <c r="CD53" i="38"/>
  <c r="CE53" i="38"/>
  <c r="CF53" i="38"/>
  <c r="CG53" i="38"/>
  <c r="BV52" i="38"/>
  <c r="BW52" i="38"/>
  <c r="BX52" i="38"/>
  <c r="BY52" i="38"/>
  <c r="BZ52" i="38"/>
  <c r="CA52" i="38"/>
  <c r="CB52" i="38"/>
  <c r="CC52" i="38"/>
  <c r="CD52" i="38"/>
  <c r="CE52" i="38"/>
  <c r="CF52" i="38"/>
  <c r="CG52" i="38"/>
  <c r="BV51" i="38"/>
  <c r="BW51" i="38"/>
  <c r="BX51" i="38"/>
  <c r="BY51" i="38"/>
  <c r="BZ51" i="38"/>
  <c r="CA51" i="38"/>
  <c r="CB51" i="38"/>
  <c r="CC51" i="38"/>
  <c r="CD51" i="38"/>
  <c r="CE51" i="38"/>
  <c r="CF51" i="38"/>
  <c r="CG51" i="38"/>
  <c r="BV50" i="38"/>
  <c r="BW50" i="38"/>
  <c r="BX50" i="38"/>
  <c r="BY50" i="38"/>
  <c r="BZ50" i="38"/>
  <c r="CA50" i="38"/>
  <c r="CB50" i="38"/>
  <c r="CC50" i="38"/>
  <c r="CD50" i="38"/>
  <c r="CE50" i="38"/>
  <c r="CF50" i="38"/>
  <c r="CG50" i="38"/>
  <c r="BV49" i="38"/>
  <c r="BW49" i="38"/>
  <c r="BX49" i="38"/>
  <c r="BY49" i="38"/>
  <c r="BZ49" i="38"/>
  <c r="CA49" i="38"/>
  <c r="CB49" i="38"/>
  <c r="CC49" i="38"/>
  <c r="CD49" i="38"/>
  <c r="CE49" i="38"/>
  <c r="CF49" i="38"/>
  <c r="CG49" i="38"/>
  <c r="BV48" i="38"/>
  <c r="BW48" i="38"/>
  <c r="BX48" i="38"/>
  <c r="BY48" i="38"/>
  <c r="BZ48" i="38"/>
  <c r="CA48" i="38"/>
  <c r="CB48" i="38"/>
  <c r="CC48" i="38"/>
  <c r="CD48" i="38"/>
  <c r="CE48" i="38"/>
  <c r="CF48" i="38"/>
  <c r="CG48" i="38"/>
  <c r="BV47" i="38"/>
  <c r="BW47" i="38"/>
  <c r="BX47" i="38"/>
  <c r="BY47" i="38"/>
  <c r="BZ47" i="38"/>
  <c r="CA47" i="38"/>
  <c r="CB47" i="38"/>
  <c r="CC47" i="38"/>
  <c r="CD47" i="38"/>
  <c r="CE47" i="38"/>
  <c r="CF47" i="38"/>
  <c r="CG47" i="38"/>
  <c r="BV46" i="38"/>
  <c r="BW46" i="38"/>
  <c r="BX46" i="38"/>
  <c r="BY46" i="38"/>
  <c r="BZ46" i="38"/>
  <c r="CA46" i="38"/>
  <c r="CB46" i="38"/>
  <c r="CC46" i="38"/>
  <c r="CD46" i="38"/>
  <c r="CE46" i="38"/>
  <c r="CF46" i="38"/>
  <c r="CG46" i="38"/>
  <c r="BV45" i="38"/>
  <c r="BW45" i="38"/>
  <c r="BX45" i="38"/>
  <c r="BY45" i="38"/>
  <c r="BZ45" i="38"/>
  <c r="CA45" i="38"/>
  <c r="CB45" i="38"/>
  <c r="CC45" i="38"/>
  <c r="CD45" i="38"/>
  <c r="CE45" i="38"/>
  <c r="CF45" i="38"/>
  <c r="CG45" i="38"/>
  <c r="BV44" i="38"/>
  <c r="BW44" i="38"/>
  <c r="BX44" i="38"/>
  <c r="BY44" i="38"/>
  <c r="BZ44" i="38"/>
  <c r="CA44" i="38"/>
  <c r="CB44" i="38"/>
  <c r="CC44" i="38"/>
  <c r="CD44" i="38"/>
  <c r="CE44" i="38"/>
  <c r="CF44" i="38"/>
  <c r="CG44" i="38"/>
  <c r="BV43" i="38"/>
  <c r="BW43" i="38"/>
  <c r="BX43" i="38"/>
  <c r="BY43" i="38"/>
  <c r="BZ43" i="38"/>
  <c r="CA43" i="38"/>
  <c r="CB43" i="38"/>
  <c r="CC43" i="38"/>
  <c r="CD43" i="38"/>
  <c r="CE43" i="38"/>
  <c r="CF43" i="38"/>
  <c r="CG43" i="38"/>
  <c r="BV42" i="38"/>
  <c r="BW42" i="38"/>
  <c r="BX42" i="38"/>
  <c r="BY42" i="38"/>
  <c r="BZ42" i="38"/>
  <c r="CA42" i="38"/>
  <c r="CB42" i="38"/>
  <c r="CC42" i="38"/>
  <c r="CD42" i="38"/>
  <c r="CE42" i="38"/>
  <c r="CF42" i="38"/>
  <c r="CG42" i="38"/>
  <c r="BV41" i="38"/>
  <c r="BW41" i="38"/>
  <c r="BX41" i="38"/>
  <c r="BY41" i="38"/>
  <c r="BZ41" i="38"/>
  <c r="CA41" i="38"/>
  <c r="CB41" i="38"/>
  <c r="CC41" i="38"/>
  <c r="CD41" i="38"/>
  <c r="CE41" i="38"/>
  <c r="CF41" i="38"/>
  <c r="CG41" i="38"/>
  <c r="BW40" i="38"/>
  <c r="BX40" i="38"/>
  <c r="BY40" i="38"/>
  <c r="BZ40" i="38"/>
  <c r="CB40" i="38"/>
  <c r="CC40" i="38"/>
  <c r="CD40" i="38"/>
  <c r="CE40" i="38"/>
  <c r="CG40" i="38"/>
  <c r="BU18" i="38"/>
  <c r="CG16" i="38"/>
  <c r="BS16" i="38"/>
  <c r="BR16" i="38"/>
  <c r="CF16" i="38"/>
  <c r="BQ16" i="38"/>
  <c r="CE16" i="38"/>
  <c r="BP16" i="38"/>
  <c r="CD16" i="38"/>
  <c r="BO16" i="38"/>
  <c r="CC16" i="38"/>
  <c r="CB16" i="38"/>
  <c r="BN16" i="38"/>
  <c r="BM16" i="38"/>
  <c r="CA16" i="38"/>
  <c r="BZ16" i="38"/>
  <c r="BL16" i="38"/>
  <c r="BY16" i="38"/>
  <c r="BK16" i="38"/>
  <c r="BX16" i="38"/>
  <c r="BJ16" i="38"/>
  <c r="BI16" i="38"/>
  <c r="BW16" i="38"/>
  <c r="BH16" i="38"/>
  <c r="BV16" i="38"/>
  <c r="O13" i="39"/>
  <c r="N13" i="39"/>
  <c r="M13" i="39"/>
  <c r="L13" i="39"/>
  <c r="K13" i="39"/>
  <c r="J13" i="39"/>
  <c r="I13" i="39"/>
  <c r="H13" i="39"/>
  <c r="G13" i="39"/>
  <c r="F13" i="39"/>
  <c r="E13" i="39"/>
  <c r="D13" i="39"/>
  <c r="P121" i="7" a="1"/>
  <c r="P37" i="7" a="1"/>
  <c r="P21" i="7" a="1"/>
  <c r="P28" i="7" a="1"/>
  <c r="P127" i="7" a="1"/>
  <c r="P161" i="7" a="1"/>
  <c r="P154" i="7" a="1"/>
  <c r="P107" i="7" a="1"/>
  <c r="P31" i="7" a="1"/>
  <c r="P147" i="7" a="1"/>
  <c r="P104" i="7" a="1"/>
  <c r="P120" i="7" a="1"/>
  <c r="P64" i="7" a="1"/>
  <c r="P166" i="7" a="1"/>
  <c r="P152" i="7" a="1"/>
  <c r="P123" i="7" a="1"/>
  <c r="P124" i="7" a="1"/>
  <c r="P144" i="7" a="1"/>
  <c r="P139" i="7" a="1"/>
  <c r="P61" i="7" a="1"/>
  <c r="P74" i="7" a="1"/>
  <c r="P101" i="7" a="1"/>
  <c r="P103" i="7" a="1"/>
  <c r="P66" i="7" a="1"/>
  <c r="P17" i="7" a="1"/>
  <c r="P27" i="7" a="1"/>
  <c r="P32" i="7" a="1"/>
  <c r="P50" i="7" a="1"/>
  <c r="P143" i="7" a="1"/>
  <c r="P58" i="7" a="1"/>
  <c r="P19" i="7" a="1"/>
  <c r="P150" i="7" a="1"/>
  <c r="P102" i="7" a="1"/>
  <c r="P134" i="7" a="1"/>
  <c r="P67" i="7" a="1"/>
  <c r="P35" i="7" a="1"/>
  <c r="P135" i="7" a="1"/>
  <c r="P126" i="7" a="1"/>
  <c r="P70" i="7" a="1"/>
  <c r="P116" i="7" a="1"/>
  <c r="P69" i="7" a="1"/>
  <c r="P115" i="7" a="1"/>
  <c r="P151" i="7" a="1"/>
  <c r="P106" i="7" a="1"/>
  <c r="P125" i="7" a="1"/>
  <c r="P112" i="7" a="1"/>
  <c r="P158" i="7" a="1"/>
  <c r="P100" i="7" a="1"/>
  <c r="P62" i="7" a="1"/>
  <c r="P164" i="7" a="1"/>
  <c r="P145" i="7" a="1"/>
  <c r="P30" i="7" a="1"/>
  <c r="P40" i="7" a="1"/>
  <c r="P133" i="7" a="1"/>
  <c r="P14" i="7" a="1"/>
  <c r="P51" i="7" a="1"/>
  <c r="P111" i="7" a="1"/>
  <c r="P122" i="7" a="1"/>
  <c r="P156" i="7" a="1"/>
  <c r="P113" i="7" a="1"/>
  <c r="P130" i="7" a="1"/>
  <c r="P25" i="7" a="1"/>
  <c r="P29" i="7" a="1"/>
  <c r="P60" i="7" a="1"/>
  <c r="P131" i="7" a="1"/>
  <c r="P148" i="7" a="1"/>
  <c r="P163" i="7" a="1"/>
  <c r="P132" i="7" a="1"/>
  <c r="P33" i="7" a="1"/>
  <c r="P45" i="7" a="1"/>
  <c r="P168" i="7" a="1"/>
  <c r="P24" i="7" a="1"/>
  <c r="P53" i="7" a="1"/>
  <c r="P109" i="7" a="1"/>
  <c r="P48" i="7" a="1"/>
  <c r="P59" i="7" a="1"/>
  <c r="P63" i="7" a="1"/>
  <c r="P128" i="7" a="1"/>
  <c r="P76" i="7" a="1"/>
  <c r="P41" i="7" a="1"/>
  <c r="P26" i="7" a="1"/>
  <c r="P16" i="7" a="1"/>
  <c r="P108" i="7" a="1"/>
  <c r="P57" i="7" a="1"/>
  <c r="P140" i="7" a="1"/>
  <c r="P167" i="7" a="1"/>
  <c r="P110" i="7" a="1"/>
  <c r="P129" i="7" a="1"/>
  <c r="P146" i="7" a="1"/>
  <c r="P77" i="7" a="1"/>
  <c r="P75" i="7" a="1"/>
  <c r="P79" i="7" a="1"/>
  <c r="P153" i="7" a="1"/>
  <c r="P20" i="7" a="1"/>
  <c r="P114" i="7" a="1"/>
  <c r="P155" i="7" a="1"/>
  <c r="P149" i="7" a="1"/>
  <c r="P18" i="7" a="1"/>
  <c r="P142" i="7" a="1"/>
  <c r="P137" i="7" a="1"/>
  <c r="P78" i="7" a="1"/>
  <c r="P136" i="7" a="1"/>
  <c r="P23" i="7" a="1"/>
  <c r="P54" i="7" a="1"/>
  <c r="P36" i="7" a="1"/>
  <c r="P22" i="7" a="1"/>
  <c r="P39" i="7" a="1"/>
  <c r="P71" i="7" a="1"/>
  <c r="P52" i="7" a="1"/>
  <c r="P157" i="7" a="1"/>
  <c r="P117" i="7" a="1"/>
  <c r="P162" i="7" a="1"/>
  <c r="P159" i="7" a="1"/>
  <c r="P46" i="7" a="1"/>
  <c r="P42" i="7" a="1"/>
  <c r="P99" i="7" a="1"/>
  <c r="P44" i="7" a="1"/>
  <c r="P34" i="7" a="1"/>
  <c r="P160" i="7" a="1"/>
  <c r="P105" i="7" a="1"/>
  <c r="P138" i="7" a="1"/>
  <c r="P15" i="7" a="1"/>
  <c r="P81" i="7" a="1"/>
  <c r="P55" i="7" a="1"/>
  <c r="P47" i="7" a="1"/>
  <c r="P80" i="7" a="1"/>
  <c r="P73" i="7" a="1"/>
  <c r="P68" i="7" a="1"/>
  <c r="P43" i="7" a="1"/>
  <c r="P72" i="7" a="1"/>
  <c r="P65" i="7" a="1"/>
  <c r="P165" i="7" a="1"/>
  <c r="P118" i="7" a="1"/>
  <c r="P49" i="7" a="1"/>
  <c r="P56" i="7" a="1"/>
  <c r="P119" i="7" a="1"/>
  <c r="P13" i="7" a="1"/>
  <c r="P38" i="7" a="1"/>
  <c r="P141" i="7" a="1"/>
  <c r="P12" i="7" a="1"/>
  <c r="AX29" i="58" l="1"/>
  <c r="DG15" i="28"/>
  <c r="DH15" i="28"/>
  <c r="DI22" i="62"/>
  <c r="DD22" i="62" s="1"/>
  <c r="A22" i="62" s="1"/>
  <c r="DA2" i="62" s="1"/>
  <c r="DI21" i="28"/>
  <c r="DD21" i="28" s="1"/>
  <c r="A21" i="28" s="1"/>
  <c r="H275" i="22"/>
  <c r="I275" i="22" s="1"/>
  <c r="H279" i="22"/>
  <c r="I279" i="22" s="1"/>
  <c r="H272" i="22"/>
  <c r="H276" i="22"/>
  <c r="H277" i="22"/>
  <c r="H273" i="22"/>
  <c r="I273" i="22" s="1"/>
  <c r="H274" i="22"/>
  <c r="I274" i="22" s="1"/>
  <c r="H278" i="22"/>
  <c r="I278" i="22" s="1"/>
  <c r="BV40" i="38"/>
  <c r="CH40" i="38" s="1"/>
  <c r="BT40" i="38"/>
  <c r="DF18" i="38"/>
  <c r="DD18" i="38" s="1" a="1"/>
  <c r="A36" i="28"/>
  <c r="BV37" i="62" a="1"/>
  <c r="CO37" i="62" a="1"/>
  <c r="BV27" i="62" a="1"/>
  <c r="CO27" i="62" a="1"/>
  <c r="CO38" i="62" a="1"/>
  <c r="BV38" i="62" a="1"/>
  <c r="CO33" i="62" a="1"/>
  <c r="BV33" i="62" a="1"/>
  <c r="CO24" i="62" a="1"/>
  <c r="BV24" i="62" a="1"/>
  <c r="BV36" i="62" a="1"/>
  <c r="CO36" i="62" a="1"/>
  <c r="BV26" i="62" a="1"/>
  <c r="CO26" i="62" a="1"/>
  <c r="CO42" i="62" a="1"/>
  <c r="BV42" i="62" a="1"/>
  <c r="CO31" i="62" a="1"/>
  <c r="BV31" i="62" a="1"/>
  <c r="CO30" i="62" a="1"/>
  <c r="BV30" i="62" a="1"/>
  <c r="BV39" i="62" a="1"/>
  <c r="CO39" i="62" a="1"/>
  <c r="BV32" i="62" a="1"/>
  <c r="CO32" i="62" a="1"/>
  <c r="BV29" i="62" a="1"/>
  <c r="CO29" i="62" a="1"/>
  <c r="BV40" i="62" a="1"/>
  <c r="CO40" i="62" a="1"/>
  <c r="CO25" i="62" a="1"/>
  <c r="BV25" i="62" a="1"/>
  <c r="AX33" i="58"/>
  <c r="AX26" i="58"/>
  <c r="AN30" i="58"/>
  <c r="AP31" i="58"/>
  <c r="AX36" i="58"/>
  <c r="AS31" i="58"/>
  <c r="AT32" i="58"/>
  <c r="AX37" i="58"/>
  <c r="C31" i="58"/>
  <c r="AX34" i="58"/>
  <c r="AQ31" i="58"/>
  <c r="AX35" i="58"/>
  <c r="AR31" i="58"/>
  <c r="CL24" i="39"/>
  <c r="G420" i="22" s="1"/>
  <c r="CL32" i="39"/>
  <c r="G428" i="22" s="1"/>
  <c r="CL27" i="39"/>
  <c r="G423" i="22" s="1"/>
  <c r="G32" i="59"/>
  <c r="AW23" i="58"/>
  <c r="Q115" i="39"/>
  <c r="A36" i="51"/>
  <c r="CL30" i="39"/>
  <c r="G426" i="22" s="1"/>
  <c r="CL18" i="39"/>
  <c r="G414" i="22" s="1"/>
  <c r="CL26" i="39"/>
  <c r="G422" i="22" s="1"/>
  <c r="C14" i="59"/>
  <c r="C15" i="59"/>
  <c r="C9" i="59"/>
  <c r="C12" i="59"/>
  <c r="C13" i="59"/>
  <c r="C10" i="59"/>
  <c r="C11" i="59"/>
  <c r="I113" i="22"/>
  <c r="G34" i="59"/>
  <c r="I112" i="22"/>
  <c r="K112" i="22" s="1"/>
  <c r="G14" i="59" s="1"/>
  <c r="G33" i="59"/>
  <c r="J116" i="22"/>
  <c r="F18" i="59" s="1"/>
  <c r="F13" i="59"/>
  <c r="J119" i="22"/>
  <c r="F21" i="59" s="1"/>
  <c r="F9" i="59"/>
  <c r="I110" i="22"/>
  <c r="I109" i="22"/>
  <c r="I108" i="22"/>
  <c r="I107" i="22"/>
  <c r="G158" i="22"/>
  <c r="H96" i="22" s="1"/>
  <c r="G155" i="22"/>
  <c r="C37" i="59" s="1"/>
  <c r="I111" i="22"/>
  <c r="K111" i="22" s="1"/>
  <c r="CF21" i="38"/>
  <c r="CH21" i="38" s="1"/>
  <c r="BT21" i="38"/>
  <c r="H545" i="22"/>
  <c r="H550" i="22"/>
  <c r="H555" i="22"/>
  <c r="H561" i="22"/>
  <c r="H568" i="22"/>
  <c r="H572" i="22"/>
  <c r="H576" i="22"/>
  <c r="H581" i="22"/>
  <c r="H587" i="22"/>
  <c r="H593" i="22"/>
  <c r="H598" i="22"/>
  <c r="H603" i="22"/>
  <c r="H608" i="22"/>
  <c r="H615" i="22"/>
  <c r="H546" i="22"/>
  <c r="H552" i="22"/>
  <c r="H571" i="22"/>
  <c r="H577" i="22"/>
  <c r="H584" i="22"/>
  <c r="H601" i="22"/>
  <c r="H617" i="22"/>
  <c r="H551" i="22"/>
  <c r="H562" i="22"/>
  <c r="H573" i="22"/>
  <c r="H595" i="22"/>
  <c r="H605" i="22"/>
  <c r="H543" i="22"/>
  <c r="H575" i="22"/>
  <c r="H604" i="22"/>
  <c r="H549" i="22"/>
  <c r="H566" i="22"/>
  <c r="H592" i="22"/>
  <c r="H606" i="22"/>
  <c r="H541" i="22"/>
  <c r="H589" i="22"/>
  <c r="H547" i="22"/>
  <c r="H556" i="22"/>
  <c r="H590" i="22"/>
  <c r="H599" i="22"/>
  <c r="H548" i="22"/>
  <c r="H560" i="22"/>
  <c r="H580" i="22"/>
  <c r="H600" i="22"/>
  <c r="H544" i="22"/>
  <c r="H558" i="22"/>
  <c r="H574" i="22"/>
  <c r="H588" i="22"/>
  <c r="H602" i="22"/>
  <c r="H609" i="22"/>
  <c r="H594" i="22"/>
  <c r="H611" i="22"/>
  <c r="H565" i="22"/>
  <c r="H586" i="22"/>
  <c r="H554" i="22"/>
  <c r="H597" i="22"/>
  <c r="H564" i="22"/>
  <c r="H612" i="22"/>
  <c r="H578" i="22"/>
  <c r="H553" i="22"/>
  <c r="H591" i="22"/>
  <c r="H613" i="22"/>
  <c r="H570" i="22"/>
  <c r="H607" i="22"/>
  <c r="H616" i="22"/>
  <c r="H557" i="22"/>
  <c r="H582" i="22"/>
  <c r="H610" i="22"/>
  <c r="H579" i="22"/>
  <c r="H559" i="22"/>
  <c r="H542" i="22"/>
  <c r="H567" i="22"/>
  <c r="H583" i="22"/>
  <c r="H569" i="22"/>
  <c r="H596" i="22"/>
  <c r="H563" i="22"/>
  <c r="H585" i="22"/>
  <c r="H529" i="22"/>
  <c r="H531" i="22"/>
  <c r="H525" i="22"/>
  <c r="H530" i="22"/>
  <c r="H526" i="22"/>
  <c r="H521" i="22"/>
  <c r="H36" i="22"/>
  <c r="A64" i="51"/>
  <c r="H540" i="22"/>
  <c r="H539" i="22"/>
  <c r="G282" i="22"/>
  <c r="G37" i="59" s="1"/>
  <c r="CH90" i="38"/>
  <c r="G283" i="22"/>
  <c r="G38" i="59" s="1"/>
  <c r="BP13" i="39"/>
  <c r="CG13" i="39"/>
  <c r="BO13" i="39"/>
  <c r="CF13" i="39"/>
  <c r="BN13" i="39"/>
  <c r="CE13" i="39"/>
  <c r="BM13" i="39"/>
  <c r="CD13" i="39"/>
  <c r="BL13" i="39"/>
  <c r="CC13" i="39"/>
  <c r="BK13" i="39"/>
  <c r="CB13" i="39"/>
  <c r="BJ13" i="39"/>
  <c r="CA13" i="39"/>
  <c r="BI13" i="39"/>
  <c r="BZ13" i="39"/>
  <c r="BH13" i="39"/>
  <c r="BY13" i="39"/>
  <c r="BG13" i="39"/>
  <c r="BX13" i="39"/>
  <c r="BF13" i="39"/>
  <c r="BW13" i="39"/>
  <c r="BE13" i="39"/>
  <c r="BV13" i="39"/>
  <c r="H535" i="22"/>
  <c r="H528" i="22"/>
  <c r="H538" i="22"/>
  <c r="H537" i="22"/>
  <c r="H520" i="22"/>
  <c r="H536" i="22"/>
  <c r="H534" i="22"/>
  <c r="H527" i="22"/>
  <c r="H523" i="22"/>
  <c r="H524" i="22"/>
  <c r="H532" i="22"/>
  <c r="H533" i="22"/>
  <c r="BW19" i="38"/>
  <c r="BY19" i="38"/>
  <c r="CA19" i="38"/>
  <c r="CC19" i="38"/>
  <c r="CE19" i="38"/>
  <c r="CG19" i="38"/>
  <c r="BW20" i="38"/>
  <c r="BY20" i="38"/>
  <c r="CA20" i="38"/>
  <c r="CC20" i="38"/>
  <c r="CE20" i="38"/>
  <c r="CF20" i="38"/>
  <c r="BW22" i="38"/>
  <c r="BY22" i="38"/>
  <c r="CA22" i="38"/>
  <c r="CC22" i="38"/>
  <c r="CD22" i="38"/>
  <c r="CG22" i="38"/>
  <c r="BW23" i="38"/>
  <c r="BY23" i="38"/>
  <c r="CA23" i="38"/>
  <c r="CC23" i="38"/>
  <c r="CD23" i="38"/>
  <c r="CF23" i="38"/>
  <c r="BX24" i="38"/>
  <c r="BZ24" i="38"/>
  <c r="CB24" i="38"/>
  <c r="CD24" i="38"/>
  <c r="CF24" i="38"/>
  <c r="BW25" i="38"/>
  <c r="BX25" i="38"/>
  <c r="BY25" i="38"/>
  <c r="BZ25" i="38"/>
  <c r="CA25" i="38"/>
  <c r="CB25" i="38"/>
  <c r="CC25" i="38"/>
  <c r="CD25" i="38"/>
  <c r="CE25" i="38"/>
  <c r="CF25" i="38"/>
  <c r="CG25" i="38"/>
  <c r="BW26" i="38"/>
  <c r="BX26" i="38"/>
  <c r="BY26" i="38"/>
  <c r="BZ26" i="38"/>
  <c r="CA26" i="38"/>
  <c r="CB26" i="38"/>
  <c r="CC26" i="38"/>
  <c r="CD26" i="38"/>
  <c r="CE26" i="38"/>
  <c r="CF26" i="38"/>
  <c r="CG26" i="38"/>
  <c r="BW27" i="38"/>
  <c r="BX27" i="38"/>
  <c r="BY27" i="38"/>
  <c r="BZ27" i="38"/>
  <c r="CA27" i="38"/>
  <c r="CB27" i="38"/>
  <c r="CC27" i="38"/>
  <c r="CD27" i="38"/>
  <c r="CF27" i="38"/>
  <c r="CG27" i="38"/>
  <c r="BX28" i="38"/>
  <c r="BZ28" i="38"/>
  <c r="CB28" i="38"/>
  <c r="CE28" i="38"/>
  <c r="CG28" i="38"/>
  <c r="BX29" i="38"/>
  <c r="CA29" i="38"/>
  <c r="CD29" i="38"/>
  <c r="CC30" i="38"/>
  <c r="BV18" i="38"/>
  <c r="BW18" i="38"/>
  <c r="BX18" i="38"/>
  <c r="BY18" i="38"/>
  <c r="BZ18" i="38"/>
  <c r="CA18" i="38"/>
  <c r="CB18" i="38"/>
  <c r="CC18" i="38"/>
  <c r="CD18" i="38"/>
  <c r="CE18" i="38"/>
  <c r="CF18" i="38"/>
  <c r="CG18" i="38"/>
  <c r="BX19" i="38"/>
  <c r="BZ19" i="38"/>
  <c r="CB19" i="38"/>
  <c r="CD19" i="38"/>
  <c r="CF19" i="38"/>
  <c r="BX20" i="38"/>
  <c r="BZ20" i="38"/>
  <c r="CB20" i="38"/>
  <c r="CD20" i="38"/>
  <c r="CG20" i="38"/>
  <c r="BX22" i="38"/>
  <c r="BZ22" i="38"/>
  <c r="CB22" i="38"/>
  <c r="CE22" i="38"/>
  <c r="CF22" i="38"/>
  <c r="BX23" i="38"/>
  <c r="BZ23" i="38"/>
  <c r="CB23" i="38"/>
  <c r="CE23" i="38"/>
  <c r="CG23" i="38"/>
  <c r="BW24" i="38"/>
  <c r="BY24" i="38"/>
  <c r="CA24" i="38"/>
  <c r="CC24" i="38"/>
  <c r="CE24" i="38"/>
  <c r="CG24" i="38"/>
  <c r="CE27" i="38"/>
  <c r="BW28" i="38"/>
  <c r="BY28" i="38"/>
  <c r="CA28" i="38"/>
  <c r="CC28" i="38"/>
  <c r="CD28" i="38"/>
  <c r="CF28" i="38"/>
  <c r="BW29" i="38"/>
  <c r="BY29" i="38"/>
  <c r="BZ29" i="38"/>
  <c r="CB29" i="38"/>
  <c r="CC29" i="38"/>
  <c r="CE29" i="38"/>
  <c r="CF29" i="38"/>
  <c r="CG29" i="38"/>
  <c r="BW30" i="38"/>
  <c r="BX30" i="38"/>
  <c r="BY30" i="38"/>
  <c r="BZ30" i="38"/>
  <c r="CA30" i="38"/>
  <c r="CB30" i="38"/>
  <c r="CD30" i="38"/>
  <c r="CE30" i="38"/>
  <c r="CF30" i="38"/>
  <c r="CG30" i="38"/>
  <c r="BW31" i="38"/>
  <c r="BX31" i="38"/>
  <c r="BY31" i="38"/>
  <c r="BZ31" i="38"/>
  <c r="CA31" i="38"/>
  <c r="CB31" i="38"/>
  <c r="CC31" i="38"/>
  <c r="CD31" i="38"/>
  <c r="CE31" i="38"/>
  <c r="CF31" i="38"/>
  <c r="CG31" i="38"/>
  <c r="BW32" i="38"/>
  <c r="BX32" i="38"/>
  <c r="BY32" i="38"/>
  <c r="BZ32" i="38"/>
  <c r="CA32" i="38"/>
  <c r="CB32" i="38"/>
  <c r="CC32" i="38"/>
  <c r="CD32" i="38"/>
  <c r="CE32" i="38"/>
  <c r="CF32" i="38"/>
  <c r="CG32" i="38"/>
  <c r="BW33" i="38"/>
  <c r="BX33" i="38"/>
  <c r="BY33" i="38"/>
  <c r="BZ33" i="38"/>
  <c r="CA33" i="38"/>
  <c r="CB33" i="38"/>
  <c r="CC33" i="38"/>
  <c r="CD33" i="38"/>
  <c r="CE33" i="38"/>
  <c r="CF33" i="38"/>
  <c r="CG33" i="38"/>
  <c r="BW34" i="38"/>
  <c r="BX34" i="38"/>
  <c r="BY34" i="38"/>
  <c r="BZ34" i="38"/>
  <c r="CA34" i="38"/>
  <c r="CB34" i="38"/>
  <c r="CC34" i="38"/>
  <c r="CD34" i="38"/>
  <c r="CE34" i="38"/>
  <c r="CF34" i="38"/>
  <c r="CG34" i="38"/>
  <c r="BW35" i="38"/>
  <c r="BX35" i="38"/>
  <c r="BY35" i="38"/>
  <c r="BZ35" i="38"/>
  <c r="CA35" i="38"/>
  <c r="CB35" i="38"/>
  <c r="CC35" i="38"/>
  <c r="CD35" i="38"/>
  <c r="CE35" i="38"/>
  <c r="CF35" i="38"/>
  <c r="CG35" i="38"/>
  <c r="BW36" i="38"/>
  <c r="BX36" i="38"/>
  <c r="BY36" i="38"/>
  <c r="BZ36" i="38"/>
  <c r="CA36" i="38"/>
  <c r="CB36" i="38"/>
  <c r="CC36" i="38"/>
  <c r="CD36" i="38"/>
  <c r="CE36" i="38"/>
  <c r="CF36" i="38"/>
  <c r="CG36" i="38"/>
  <c r="BW37" i="38"/>
  <c r="BX37" i="38"/>
  <c r="BY37" i="38"/>
  <c r="BZ37" i="38"/>
  <c r="CA37" i="38"/>
  <c r="CB37" i="38"/>
  <c r="CC37" i="38"/>
  <c r="CD37" i="38"/>
  <c r="CE37" i="38"/>
  <c r="CF37" i="38"/>
  <c r="CG37" i="38"/>
  <c r="BW38" i="38"/>
  <c r="BX38" i="38"/>
  <c r="BY38" i="38"/>
  <c r="BZ38" i="38"/>
  <c r="CA38" i="38"/>
  <c r="CB38" i="38"/>
  <c r="CC38" i="38"/>
  <c r="CD38" i="38"/>
  <c r="CE38" i="38"/>
  <c r="CF38" i="38"/>
  <c r="CG38" i="38"/>
  <c r="BW39" i="38"/>
  <c r="BX39" i="38"/>
  <c r="BY39" i="38"/>
  <c r="BZ39" i="38"/>
  <c r="CA39" i="38"/>
  <c r="CB39" i="38"/>
  <c r="CC39" i="38"/>
  <c r="CD39" i="38"/>
  <c r="CE39" i="38"/>
  <c r="CF39" i="38"/>
  <c r="CG39" i="38"/>
  <c r="CH100" i="38"/>
  <c r="CH92" i="38"/>
  <c r="CH116" i="38"/>
  <c r="CH115" i="38"/>
  <c r="CH114" i="38"/>
  <c r="CH113" i="38"/>
  <c r="CH112" i="38"/>
  <c r="CH111" i="38"/>
  <c r="CH110" i="38"/>
  <c r="CH109" i="38"/>
  <c r="CH108" i="38"/>
  <c r="CH107" i="38"/>
  <c r="CH106" i="38"/>
  <c r="CH105" i="38"/>
  <c r="CH104" i="38"/>
  <c r="CH89" i="38"/>
  <c r="CH88" i="38"/>
  <c r="CH87" i="38"/>
  <c r="CH86" i="38"/>
  <c r="CH85" i="38"/>
  <c r="CH84" i="38"/>
  <c r="CH83" i="38"/>
  <c r="CH82" i="38"/>
  <c r="CH81" i="38"/>
  <c r="CH80" i="38"/>
  <c r="CH79" i="38"/>
  <c r="CH78" i="38"/>
  <c r="CH77" i="38"/>
  <c r="CH76" i="38"/>
  <c r="CH75" i="38"/>
  <c r="CH74" i="38"/>
  <c r="CH73" i="38"/>
  <c r="CH72" i="38"/>
  <c r="CH71" i="38"/>
  <c r="CH70" i="38"/>
  <c r="CH69" i="38"/>
  <c r="CH68" i="38"/>
  <c r="CH67" i="38"/>
  <c r="CH66" i="38"/>
  <c r="CH65" i="38"/>
  <c r="CH64" i="38"/>
  <c r="CH63" i="38"/>
  <c r="CH62" i="38"/>
  <c r="CH61" i="38"/>
  <c r="CH60" i="38"/>
  <c r="CH59" i="38"/>
  <c r="CH58" i="38"/>
  <c r="CH57" i="38"/>
  <c r="CH56" i="38"/>
  <c r="CH55" i="38"/>
  <c r="CH54" i="38"/>
  <c r="CH53" i="38"/>
  <c r="CH52" i="38"/>
  <c r="CH51" i="38"/>
  <c r="CH50" i="38"/>
  <c r="CH49" i="38"/>
  <c r="CH48" i="38"/>
  <c r="CH47" i="38"/>
  <c r="CH46" i="38"/>
  <c r="CH45" i="38"/>
  <c r="CH44" i="38"/>
  <c r="CH43" i="38"/>
  <c r="CH42" i="38"/>
  <c r="CH41" i="38"/>
  <c r="CH91" i="38"/>
  <c r="CH95" i="38"/>
  <c r="CH97" i="38"/>
  <c r="CH98" i="38"/>
  <c r="CH94" i="38"/>
  <c r="H29" i="22"/>
  <c r="H30" i="22" s="1"/>
  <c r="G51" i="51" s="1"/>
  <c r="A51" i="51" s="1"/>
  <c r="CH103" i="38"/>
  <c r="CH102" i="38"/>
  <c r="CH101" i="38"/>
  <c r="CH96" i="38"/>
  <c r="CH99" i="38"/>
  <c r="CH93" i="38"/>
  <c r="D10" i="65" a="1"/>
  <c r="I276" i="22" l="1"/>
  <c r="H283" i="22"/>
  <c r="J118" i="22" s="1"/>
  <c r="F20" i="59" s="1"/>
  <c r="H281" i="22"/>
  <c r="H282" i="22"/>
  <c r="I277" i="22"/>
  <c r="K113" i="22"/>
  <c r="E15" i="59"/>
  <c r="E14" i="59"/>
  <c r="C40" i="59"/>
  <c r="E12" i="59"/>
  <c r="K110" i="22"/>
  <c r="G12" i="59" s="1"/>
  <c r="E11" i="59"/>
  <c r="K109" i="22"/>
  <c r="G11" i="59" s="1"/>
  <c r="E10" i="59"/>
  <c r="K108" i="22"/>
  <c r="G10" i="59" s="1"/>
  <c r="E9" i="59"/>
  <c r="I119" i="22"/>
  <c r="E21" i="59" s="1"/>
  <c r="K107" i="22"/>
  <c r="G13" i="59"/>
  <c r="I116" i="22"/>
  <c r="E18" i="59" s="1"/>
  <c r="E13" i="59"/>
  <c r="H522" i="22"/>
  <c r="CH18" i="38"/>
  <c r="BV24" i="38"/>
  <c r="CH24" i="38" s="1"/>
  <c r="BT24" i="38"/>
  <c r="BV25" i="38"/>
  <c r="CH25" i="38" s="1"/>
  <c r="BT25" i="38"/>
  <c r="BV26" i="38"/>
  <c r="CH26" i="38" s="1"/>
  <c r="BT26" i="38"/>
  <c r="BV27" i="38"/>
  <c r="CH27" i="38" s="1"/>
  <c r="BT27" i="38"/>
  <c r="BV28" i="38"/>
  <c r="CH28" i="38" s="1"/>
  <c r="BT28" i="38"/>
  <c r="BV29" i="38"/>
  <c r="CH29" i="38" s="1"/>
  <c r="BT29" i="38"/>
  <c r="BV19" i="38"/>
  <c r="CH19" i="38" s="1"/>
  <c r="BT19" i="38"/>
  <c r="BV20" i="38"/>
  <c r="CH20" i="38" s="1"/>
  <c r="BT20" i="38"/>
  <c r="BV22" i="38"/>
  <c r="CH22" i="38" s="1"/>
  <c r="BT22" i="38"/>
  <c r="BV23" i="38"/>
  <c r="CH23" i="38" s="1"/>
  <c r="BT23" i="38"/>
  <c r="BV30" i="38"/>
  <c r="CH30" i="38" s="1"/>
  <c r="BT30" i="38"/>
  <c r="BV31" i="38"/>
  <c r="CH31" i="38" s="1"/>
  <c r="BT31" i="38"/>
  <c r="BV32" i="38"/>
  <c r="CH32" i="38" s="1"/>
  <c r="BT32" i="38"/>
  <c r="BV33" i="38"/>
  <c r="CH33" i="38" s="1"/>
  <c r="BT33" i="38"/>
  <c r="BV34" i="38"/>
  <c r="CH34" i="38" s="1"/>
  <c r="BT34" i="38"/>
  <c r="BV35" i="38"/>
  <c r="CH35" i="38" s="1"/>
  <c r="BT35" i="38"/>
  <c r="BV36" i="38"/>
  <c r="CH36" i="38" s="1"/>
  <c r="BT36" i="38"/>
  <c r="BV37" i="38"/>
  <c r="CH37" i="38" s="1"/>
  <c r="BT37" i="38"/>
  <c r="BV38" i="38"/>
  <c r="CH38" i="38" s="1"/>
  <c r="BT38" i="38"/>
  <c r="BV39" i="38"/>
  <c r="CH39" i="38" s="1"/>
  <c r="BT39" i="38"/>
  <c r="BT18" i="38"/>
  <c r="H284" i="22" l="1"/>
  <c r="I283" i="22"/>
  <c r="K118" i="22" s="1"/>
  <c r="G20" i="59" s="1"/>
  <c r="I282" i="22"/>
  <c r="G15" i="59"/>
  <c r="K116" i="22"/>
  <c r="G18" i="59" s="1"/>
  <c r="K119" i="22"/>
  <c r="G21" i="59" s="1"/>
  <c r="G9" i="59"/>
  <c r="H397" i="22"/>
  <c r="D47" i="59" s="1"/>
  <c r="H402" i="22"/>
  <c r="D52" i="59" s="1"/>
  <c r="H399" i="22"/>
  <c r="D49" i="59" s="1"/>
  <c r="G399" i="22"/>
  <c r="C49" i="59" s="1"/>
  <c r="G402" i="22"/>
  <c r="C52" i="59" s="1"/>
  <c r="G400" i="22"/>
  <c r="C50" i="59" s="1"/>
  <c r="H400" i="22"/>
  <c r="D50" i="59" s="1"/>
  <c r="G397" i="22"/>
  <c r="C47" i="59" s="1"/>
  <c r="H398" i="22"/>
  <c r="D48" i="59" s="1"/>
  <c r="G398" i="22"/>
  <c r="C48" i="59" s="1"/>
  <c r="H403" i="22"/>
  <c r="D53" i="59" s="1"/>
  <c r="G403" i="22"/>
  <c r="C53" i="59" s="1"/>
  <c r="H401" i="22"/>
  <c r="D51" i="59" s="1"/>
  <c r="G401" i="22"/>
  <c r="C51" i="59" s="1"/>
  <c r="H396" i="22"/>
  <c r="D46" i="59" s="1"/>
  <c r="G396" i="22"/>
  <c r="C46" i="59" s="1"/>
  <c r="G116" i="22"/>
  <c r="C18" i="59" s="1"/>
  <c r="G119" i="22"/>
  <c r="S17" i="58" s="1"/>
  <c r="I118" i="22"/>
  <c r="E20" i="59" s="1"/>
  <c r="C28" i="58" l="1"/>
  <c r="H95" i="22"/>
  <c r="H97" i="22" s="1"/>
  <c r="C21" i="59"/>
  <c r="G149" i="51"/>
  <c r="A149" i="51" s="1"/>
  <c r="B3" i="5" l="1" a="1"/>
  <c r="C5" i="5" l="1"/>
  <c r="C6" i="5"/>
  <c r="C4" i="5"/>
  <c r="H98" i="22" l="1"/>
  <c r="G157" i="51" s="1"/>
  <c r="A157" i="51" s="1"/>
  <c r="H146" i="22" l="1"/>
  <c r="D28" i="59" s="1"/>
  <c r="BU56" i="28" l="1"/>
  <c r="BV56" i="28" l="1" a="1"/>
  <c r="P85" i="7" a="1"/>
  <c r="D3" i="7" s="1"/>
  <c r="H359" i="22"/>
  <c r="H334" i="22"/>
  <c r="H360" i="22"/>
  <c r="H330" i="22"/>
  <c r="H339" i="22"/>
  <c r="F27" i="59"/>
  <c r="H322" i="22"/>
  <c r="H349" i="22"/>
  <c r="H366" i="22"/>
  <c r="H381" i="22"/>
  <c r="H333" i="22"/>
  <c r="H320" i="22"/>
  <c r="H385" i="22"/>
  <c r="H375" i="22"/>
  <c r="H353" i="22"/>
  <c r="H306" i="22"/>
  <c r="H331" i="22"/>
  <c r="H295" i="22"/>
  <c r="H348" i="22"/>
  <c r="H297" i="22"/>
  <c r="H372" i="22"/>
  <c r="H382" i="22"/>
  <c r="H365" i="22"/>
  <c r="H364" i="22"/>
  <c r="H305" i="22"/>
  <c r="H351" i="22"/>
  <c r="H344" i="22"/>
  <c r="H378" i="22"/>
  <c r="H362" i="22"/>
  <c r="H373" i="22"/>
  <c r="H387" i="22"/>
  <c r="H290" i="22"/>
  <c r="H340" i="22"/>
  <c r="H345" i="22"/>
  <c r="H347" i="22"/>
  <c r="H337" i="22"/>
  <c r="H377" i="22"/>
  <c r="H310" i="22"/>
  <c r="H311" i="22"/>
  <c r="H325" i="22"/>
  <c r="H346" i="22"/>
  <c r="H380" i="22"/>
  <c r="H336" i="22"/>
  <c r="H384" i="22"/>
  <c r="H314" i="22"/>
  <c r="H357" i="22"/>
  <c r="H371" i="22"/>
  <c r="H356" i="22"/>
  <c r="H363" i="22"/>
  <c r="H309" i="22"/>
  <c r="H307" i="22"/>
  <c r="H354" i="22"/>
  <c r="H317" i="22"/>
  <c r="H321" i="22"/>
  <c r="H358" i="22"/>
  <c r="H318" i="22"/>
  <c r="H312" i="22"/>
  <c r="H367" i="22"/>
  <c r="H298" i="22"/>
  <c r="H327" i="22"/>
  <c r="H342" i="22"/>
  <c r="H319" i="22"/>
  <c r="H303" i="22"/>
  <c r="H315" i="22"/>
  <c r="H361" i="22"/>
  <c r="H388" i="22"/>
  <c r="H355" i="22"/>
  <c r="H326" i="22"/>
  <c r="H293" i="22"/>
  <c r="H370" i="22"/>
  <c r="H292" i="22"/>
  <c r="H343" i="22"/>
  <c r="H368" i="22"/>
  <c r="H324" i="22"/>
  <c r="H352" i="22"/>
  <c r="H376" i="22"/>
  <c r="H329" i="22"/>
  <c r="H328" i="22"/>
  <c r="H316" i="22"/>
  <c r="H338" i="22"/>
  <c r="H335" i="22"/>
  <c r="H379" i="22"/>
  <c r="H332" i="22"/>
  <c r="H323" i="22"/>
  <c r="H313" i="22"/>
  <c r="H369" i="22"/>
  <c r="H341" i="22"/>
  <c r="H299" i="22"/>
  <c r="H383" i="22"/>
  <c r="H304" i="22"/>
  <c r="H350" i="22"/>
  <c r="H294" i="22"/>
  <c r="H308" i="22"/>
  <c r="H386" i="22"/>
  <c r="H374" i="22"/>
  <c r="CI12" i="39"/>
  <c r="CL15" i="39"/>
  <c r="G411" i="22" s="1"/>
  <c r="F411" i="22"/>
  <c r="H395" i="22"/>
  <c r="G395" i="22"/>
  <c r="B45" i="59"/>
  <c r="G130" i="7" a="1"/>
  <c r="BD38" i="39"/>
  <c r="BS38" i="39" s="1" a="1"/>
  <c r="C38" i="57"/>
  <c r="C40" i="57"/>
  <c r="D3" i="22"/>
  <c r="G145" i="22"/>
  <c r="G106" i="22"/>
  <c r="J106" i="22"/>
  <c r="B8" i="59"/>
  <c r="H145" i="22"/>
  <c r="AX25" i="58" l="1"/>
  <c r="AO30" i="58"/>
  <c r="AX32" i="58"/>
  <c r="BD41" i="39"/>
  <c r="BS41" i="39" s="1" a="1"/>
  <c r="BU36" i="28"/>
  <c r="H300" i="22"/>
  <c r="H301" i="22"/>
  <c r="H291" i="22"/>
  <c r="H296" i="22"/>
  <c r="H302" i="22"/>
  <c r="BD39" i="39"/>
  <c r="BS39" i="39" s="1" a="1"/>
  <c r="BD37" i="39"/>
  <c r="BS37" i="39" s="1" a="1"/>
  <c r="BD40" i="39"/>
  <c r="BS40" i="39" s="1" a="1"/>
  <c r="BU35" i="28"/>
  <c r="BU14" i="28"/>
  <c r="BU15" i="28"/>
  <c r="BU27" i="28"/>
  <c r="BU28" i="28"/>
  <c r="BU24" i="28"/>
  <c r="BU34" i="28"/>
  <c r="BU30" i="28"/>
  <c r="BU20" i="28"/>
  <c r="BB15" i="54"/>
  <c r="BU16" i="28"/>
  <c r="BU19" i="28"/>
  <c r="BU23" i="28"/>
  <c r="BU31" i="28"/>
  <c r="BB17" i="54"/>
  <c r="BU26" i="28"/>
  <c r="BU21" i="28"/>
  <c r="BU32" i="28"/>
  <c r="BU45" i="28"/>
  <c r="BB18" i="54"/>
  <c r="BU17" i="28"/>
  <c r="BU18" i="28"/>
  <c r="BU25" i="28"/>
  <c r="BB16" i="54"/>
  <c r="BU22" i="28"/>
  <c r="BU29" i="28"/>
  <c r="BB14" i="54"/>
  <c r="C8" i="59"/>
  <c r="G117" i="22"/>
  <c r="G115" i="22"/>
  <c r="G405" i="22"/>
  <c r="H78" i="22" s="1"/>
  <c r="C45" i="59"/>
  <c r="I272" i="22"/>
  <c r="I281" i="22" s="1"/>
  <c r="I284" i="22" s="1"/>
  <c r="D27" i="59"/>
  <c r="D45" i="59"/>
  <c r="H405" i="22"/>
  <c r="AU43" i="58" s="1"/>
  <c r="BT38" i="39" a="1"/>
  <c r="G281" i="22"/>
  <c r="I106" i="22"/>
  <c r="G27" i="59"/>
  <c r="J115" i="22"/>
  <c r="F8" i="59"/>
  <c r="G156" i="22"/>
  <c r="C38" i="59" s="1"/>
  <c r="C27" i="59"/>
  <c r="G154" i="22"/>
  <c r="AY28" i="58" l="1"/>
  <c r="AY29" i="58"/>
  <c r="G157" i="22"/>
  <c r="C39" i="59" s="1"/>
  <c r="G118" i="22"/>
  <c r="H55" i="22" s="1"/>
  <c r="H62" i="22"/>
  <c r="H61" i="22"/>
  <c r="BD15" i="54" a="1"/>
  <c r="BD17" i="54" a="1"/>
  <c r="BD18" i="54" a="1"/>
  <c r="BD16" i="54" a="1"/>
  <c r="BD14" i="54" a="1"/>
  <c r="BT41" i="39" a="1"/>
  <c r="AQ23" i="58"/>
  <c r="AQ22" i="58" s="1"/>
  <c r="AR23" i="58"/>
  <c r="AR22" i="58" s="1"/>
  <c r="AS23" i="58"/>
  <c r="AS22" i="58" s="1"/>
  <c r="BV36" i="28" a="1"/>
  <c r="AY27" i="58"/>
  <c r="AY26" i="58"/>
  <c r="AP23" i="58" s="1"/>
  <c r="AP22" i="58" s="1"/>
  <c r="AY25" i="58"/>
  <c r="AO23" i="58" s="1"/>
  <c r="AO22" i="58" s="1"/>
  <c r="BT39" i="39" a="1"/>
  <c r="BT37" i="39" a="1"/>
  <c r="BT40" i="39" a="1"/>
  <c r="BV23" i="28" a="1"/>
  <c r="BV30" i="28" a="1"/>
  <c r="BV35" i="28" a="1"/>
  <c r="BV25" i="28" a="1"/>
  <c r="BV45" i="28" a="1"/>
  <c r="BV19" i="28" a="1"/>
  <c r="BV34" i="28" a="1"/>
  <c r="K106" i="22"/>
  <c r="E8" i="59"/>
  <c r="I115" i="22"/>
  <c r="BV18" i="28" a="1"/>
  <c r="BV32" i="28" a="1"/>
  <c r="BV24" i="28" a="1"/>
  <c r="C36" i="59"/>
  <c r="J117" i="22"/>
  <c r="F19" i="59" s="1"/>
  <c r="F17" i="59"/>
  <c r="G36" i="59"/>
  <c r="G284" i="22"/>
  <c r="BV16" i="28" a="1"/>
  <c r="CP16" i="28" s="1"/>
  <c r="BV27" i="28" a="1"/>
  <c r="BV29" i="28" a="1"/>
  <c r="BV17" i="28" a="1"/>
  <c r="BV21" i="28" a="1"/>
  <c r="BV15" i="28" a="1"/>
  <c r="C25" i="58"/>
  <c r="C17" i="59"/>
  <c r="BV26" i="28" a="1"/>
  <c r="BV14" i="28" a="1"/>
  <c r="C19" i="59"/>
  <c r="BV20" i="28" a="1"/>
  <c r="H79" i="22"/>
  <c r="H80" i="22" s="1"/>
  <c r="G150" i="51" s="1"/>
  <c r="A150" i="51" s="1"/>
  <c r="BV22" i="28" a="1"/>
  <c r="BV31" i="28" a="1"/>
  <c r="BV28" i="28" a="1"/>
  <c r="AU23" i="58" l="1"/>
  <c r="AQ24" i="58"/>
  <c r="AO24" i="58"/>
  <c r="AP24" i="58"/>
  <c r="AS24" i="58"/>
  <c r="AR24" i="58"/>
  <c r="AN23" i="58"/>
  <c r="C20" i="59"/>
  <c r="I117" i="22"/>
  <c r="E19" i="59" s="1"/>
  <c r="E17" i="59"/>
  <c r="G8" i="59"/>
  <c r="K115" i="22"/>
  <c r="H63" i="22"/>
  <c r="H64" i="22" s="1"/>
  <c r="G12" i="58"/>
  <c r="H56" i="22"/>
  <c r="G147" i="51" s="1"/>
  <c r="H85" i="22"/>
  <c r="H89" i="22" s="1"/>
  <c r="G39" i="59"/>
  <c r="H35" i="22"/>
  <c r="H38" i="22" s="1"/>
  <c r="G52" i="51" s="1"/>
  <c r="G48" i="51" s="1"/>
  <c r="AN24" i="58" l="1"/>
  <c r="AT23" i="58"/>
  <c r="AT22" i="58" s="1"/>
  <c r="N6" i="58"/>
  <c r="A52" i="51"/>
  <c r="G17" i="59"/>
  <c r="K117" i="22"/>
  <c r="G19" i="59" s="1"/>
  <c r="G148" i="51"/>
  <c r="A148" i="51" s="1"/>
  <c r="R6" i="58"/>
  <c r="G144" i="51" l="1"/>
  <c r="A147" i="51"/>
  <c r="A48" i="51"/>
  <c r="CM35" i="39" l="1"/>
  <c r="H431" i="22" s="1"/>
  <c r="CM36" i="39"/>
  <c r="H432" i="22" s="1"/>
  <c r="A144" i="51"/>
  <c r="CM34" i="39" l="1"/>
  <c r="H430" i="22" s="1"/>
  <c r="CM33" i="39" l="1"/>
  <c r="H429" i="22" s="1"/>
  <c r="BD22" i="39"/>
  <c r="BS22" i="39" s="1" a="1"/>
  <c r="BD21" i="39"/>
  <c r="BS21" i="39" s="1" a="1"/>
  <c r="BD29" i="39"/>
  <c r="BS29" i="39" s="1" a="1"/>
  <c r="BD27" i="39"/>
  <c r="BS27" i="39" s="1" a="1"/>
  <c r="BD36" i="39"/>
  <c r="BS36" i="39" s="1" a="1"/>
  <c r="BD17" i="39"/>
  <c r="BS17" i="39" s="1" a="1"/>
  <c r="BD31" i="39"/>
  <c r="BS31" i="39" s="1" a="1"/>
  <c r="BD15" i="39"/>
  <c r="BS15" i="39" s="1" a="1"/>
  <c r="BD18" i="39"/>
  <c r="BS18" i="39" s="1" a="1"/>
  <c r="BD33" i="39"/>
  <c r="BS33" i="39" s="1" a="1"/>
  <c r="BD20" i="39"/>
  <c r="BS20" i="39" s="1" a="1"/>
  <c r="BD32" i="39"/>
  <c r="BS32" i="39" s="1" a="1"/>
  <c r="BD28" i="39"/>
  <c r="BS28" i="39" s="1" a="1"/>
  <c r="BD35" i="39"/>
  <c r="BS35" i="39" s="1" a="1"/>
  <c r="BD19" i="39"/>
  <c r="BS19" i="39" s="1" a="1"/>
  <c r="BD16" i="39"/>
  <c r="BS16" i="39" s="1" a="1"/>
  <c r="BD26" i="39"/>
  <c r="BS26" i="39" s="1" a="1"/>
  <c r="BD34" i="39"/>
  <c r="BS34" i="39" s="1" a="1"/>
  <c r="BD24" i="39"/>
  <c r="BS24" i="39" s="1" a="1"/>
  <c r="BD30" i="39"/>
  <c r="BS30" i="39" s="1" a="1"/>
  <c r="BD25" i="39"/>
  <c r="BS25" i="39" s="1" a="1"/>
  <c r="BD23" i="39"/>
  <c r="BS23" i="39" s="1" a="1"/>
  <c r="P11" i="7" a="1"/>
  <c r="P98" i="7" a="1"/>
  <c r="C3" i="5" l="1"/>
  <c r="B27" i="59" s="1"/>
  <c r="BT20" i="39" a="1"/>
  <c r="BT23" i="39" a="1"/>
  <c r="BT33" i="39" a="1"/>
  <c r="BT25" i="39" a="1"/>
  <c r="BT18" i="39" a="1"/>
  <c r="BT22" i="39" a="1"/>
  <c r="BT32" i="39" a="1"/>
  <c r="BT30" i="39" a="1"/>
  <c r="BT15" i="39" a="1"/>
  <c r="BT21" i="39" a="1"/>
  <c r="BT24" i="39" a="1"/>
  <c r="BT31" i="39" a="1"/>
  <c r="BT34" i="39" a="1"/>
  <c r="BT17" i="39" a="1"/>
  <c r="BT35" i="39" a="1"/>
  <c r="BT26" i="39" a="1"/>
  <c r="BT36" i="39" a="1"/>
  <c r="BT28" i="39" a="1"/>
  <c r="H149" i="22"/>
  <c r="D31" i="59" s="1"/>
  <c r="BT16" i="39" a="1"/>
  <c r="BT27" i="39" a="1"/>
  <c r="BT19" i="39" a="1"/>
  <c r="BT29" i="39" a="1"/>
  <c r="H147" i="22" l="1"/>
  <c r="D29" i="59" s="1"/>
  <c r="H150" i="22"/>
  <c r="D32" i="59" l="1"/>
  <c r="H155" i="22"/>
  <c r="D37" i="59" s="1"/>
  <c r="CM24" i="39" l="1"/>
  <c r="H420" i="22" s="1"/>
  <c r="CM30" i="39"/>
  <c r="H426" i="22" s="1"/>
  <c r="CM17" i="39"/>
  <c r="H413" i="22" s="1"/>
  <c r="CM27" i="39"/>
  <c r="H423" i="22" s="1"/>
  <c r="DI20" i="28" l="1"/>
  <c r="DI19" i="28"/>
  <c r="DI18" i="28"/>
  <c r="DI17" i="28"/>
  <c r="DI16" i="28"/>
  <c r="DI15" i="28"/>
  <c r="CP15" i="28" l="1"/>
  <c r="CP38" i="28"/>
  <c r="CP41" i="28"/>
  <c r="CP37" i="28"/>
  <c r="CP36" i="28" s="1"/>
  <c r="CP35" i="28" s="1"/>
  <c r="CP30" i="28" s="1"/>
  <c r="CP29" i="28" s="1"/>
  <c r="CP28" i="28" s="1"/>
  <c r="CP112" i="28"/>
  <c r="CP111" i="28" s="1"/>
  <c r="CP110" i="28" s="1"/>
  <c r="CP109" i="28" s="1"/>
  <c r="CP108" i="28" s="1"/>
  <c r="CP107" i="28" s="1"/>
  <c r="CP106" i="28" s="1"/>
  <c r="CP105" i="28" s="1"/>
  <c r="CP104" i="28" s="1"/>
  <c r="CP103" i="28" s="1"/>
  <c r="CP102" i="28" s="1"/>
  <c r="CP101" i="28" s="1"/>
  <c r="CP99" i="28" s="1"/>
  <c r="CP98" i="28" s="1"/>
  <c r="CP97" i="28" s="1"/>
  <c r="CP96" i="28" s="1"/>
  <c r="CP95" i="28" s="1"/>
  <c r="CP94" i="28" s="1"/>
  <c r="CP93" i="28" s="1"/>
  <c r="CP92" i="28" s="1"/>
  <c r="CP91" i="28" s="1"/>
  <c r="CP90" i="28" s="1"/>
  <c r="CP89" i="28" s="1"/>
  <c r="CP88" i="28" s="1"/>
  <c r="CP87" i="28" s="1"/>
  <c r="CP86" i="28" s="1"/>
  <c r="CP85" i="28" s="1"/>
  <c r="CP84" i="28" s="1"/>
  <c r="CP83" i="28" s="1"/>
  <c r="CP82" i="28" s="1"/>
  <c r="CP81" i="28" s="1"/>
  <c r="CP80" i="28" s="1"/>
  <c r="CP79" i="28" s="1"/>
  <c r="CP78" i="28" s="1"/>
  <c r="CP77" i="28" s="1"/>
  <c r="CP76" i="28" s="1"/>
  <c r="CP75" i="28" s="1"/>
  <c r="CP74" i="28" s="1"/>
  <c r="CP73" i="28" s="1"/>
  <c r="CP72" i="28" s="1"/>
  <c r="CP71" i="28" s="1"/>
  <c r="CP70" i="28" s="1"/>
  <c r="CP69" i="28" s="1"/>
  <c r="CP68" i="28" s="1"/>
  <c r="CP67" i="28" s="1"/>
  <c r="CP66" i="28" s="1"/>
  <c r="CP65" i="28" s="1"/>
  <c r="CP64" i="28" s="1"/>
  <c r="CP63" i="28" s="1"/>
  <c r="CP62" i="28" s="1"/>
  <c r="CP61" i="28" s="1"/>
  <c r="CP60" i="28" s="1"/>
  <c r="CP59" i="28" s="1"/>
  <c r="CP58" i="28" s="1"/>
  <c r="CP57" i="28" s="1"/>
  <c r="CP56" i="28" s="1"/>
  <c r="CP55" i="28" s="1"/>
  <c r="CP54" i="28" s="1"/>
  <c r="CP53" i="28" s="1"/>
  <c r="CP52" i="28" s="1"/>
  <c r="CP51" i="28" s="1"/>
  <c r="CP50" i="28" s="1"/>
  <c r="CP49" i="28" s="1"/>
  <c r="CP48" i="28" s="1"/>
  <c r="CP47" i="28" s="1"/>
  <c r="CP46" i="28" s="1"/>
  <c r="CP45" i="28" s="1"/>
  <c r="CP43" i="28"/>
  <c r="CP42" i="28" s="1"/>
  <c r="CP39" i="28" s="1"/>
  <c r="CP33" i="28" s="1"/>
  <c r="DD20" i="28"/>
  <c r="A20" i="28" s="1"/>
  <c r="DD19" i="28"/>
  <c r="A19" i="28" s="1"/>
  <c r="DD18" i="28"/>
  <c r="A18" i="28" s="1"/>
  <c r="DD15" i="28"/>
  <c r="A15" i="28" s="1"/>
  <c r="DD16" i="28"/>
  <c r="A16" i="28" s="1"/>
  <c r="DD17" i="28"/>
  <c r="A17" i="28" s="1"/>
  <c r="H112" i="22" l="1"/>
  <c r="D14" i="59" s="1"/>
  <c r="H106" i="22"/>
  <c r="H113" i="22"/>
  <c r="D15" i="59" s="1"/>
  <c r="H109" i="22"/>
  <c r="AO33" i="58" l="1"/>
  <c r="D8" i="59"/>
  <c r="AR34" i="58"/>
  <c r="D11" i="59"/>
  <c r="CP19" i="28"/>
  <c r="CP18" i="28" l="1"/>
  <c r="G125" i="22" l="1"/>
  <c r="G130" i="22"/>
  <c r="H130" i="22" s="1"/>
  <c r="CP17" i="28"/>
  <c r="G131" i="22" l="1"/>
  <c r="H131" i="22" s="1"/>
  <c r="G127" i="22" l="1"/>
  <c r="H127" i="22" s="1"/>
  <c r="CP14" i="28"/>
  <c r="G124" i="22" s="1"/>
  <c r="H124" i="22" s="1"/>
  <c r="G129" i="22" l="1"/>
  <c r="G126" i="22"/>
  <c r="CM25" i="39" l="1"/>
  <c r="H421" i="22" s="1"/>
  <c r="CM15" i="39"/>
  <c r="H411" i="22" s="1"/>
  <c r="M411" i="22" s="1" a="1"/>
  <c r="M4" i="57" l="1"/>
  <c r="B4" i="57"/>
  <c r="G171" i="7"/>
  <c r="P169" i="7"/>
  <c r="P168" i="7"/>
  <c r="P167" i="7"/>
  <c r="P166" i="7"/>
  <c r="P165" i="7"/>
  <c r="P164" i="7"/>
  <c r="P163" i="7"/>
  <c r="P162" i="7"/>
  <c r="P161" i="7"/>
  <c r="P160" i="7"/>
  <c r="P159" i="7"/>
  <c r="P158" i="7"/>
  <c r="P157" i="7"/>
  <c r="P156" i="7"/>
  <c r="P155" i="7"/>
  <c r="P154" i="7"/>
  <c r="P153" i="7"/>
  <c r="P152" i="7"/>
  <c r="P151" i="7"/>
  <c r="P150" i="7"/>
  <c r="P149" i="7"/>
  <c r="P148" i="7"/>
  <c r="P147" i="7"/>
  <c r="P146" i="7"/>
  <c r="P145" i="7"/>
  <c r="P144" i="7"/>
  <c r="P143" i="7"/>
  <c r="P142" i="7"/>
  <c r="P141" i="7"/>
  <c r="P140" i="7"/>
  <c r="P139" i="7"/>
  <c r="P138" i="7"/>
  <c r="P137" i="7"/>
  <c r="P136" i="7"/>
  <c r="P135" i="7"/>
  <c r="P134" i="7"/>
  <c r="P133" i="7"/>
  <c r="P132" i="7"/>
  <c r="P131" i="7"/>
  <c r="P130" i="7"/>
  <c r="H130" i="7"/>
  <c r="G130" i="7"/>
  <c r="P129" i="7"/>
  <c r="P128" i="7"/>
  <c r="P127" i="7"/>
  <c r="P126" i="7"/>
  <c r="P125" i="7"/>
  <c r="P124" i="7"/>
  <c r="P123" i="7"/>
  <c r="P122" i="7"/>
  <c r="P121" i="7"/>
  <c r="P120" i="7"/>
  <c r="P119" i="7"/>
  <c r="P118" i="7"/>
  <c r="P117" i="7"/>
  <c r="P116" i="7"/>
  <c r="P115" i="7"/>
  <c r="P114" i="7"/>
  <c r="P113" i="7"/>
  <c r="P112" i="7"/>
  <c r="P111" i="7"/>
  <c r="P110" i="7"/>
  <c r="P109" i="7"/>
  <c r="G109" i="7"/>
  <c r="P108" i="7"/>
  <c r="P107" i="7"/>
  <c r="P106" i="7"/>
  <c r="P105" i="7"/>
  <c r="P104" i="7"/>
  <c r="P103" i="7"/>
  <c r="P102" i="7"/>
  <c r="P101" i="7"/>
  <c r="P100" i="7"/>
  <c r="P99" i="7"/>
  <c r="P98" i="7"/>
  <c r="O98" i="7"/>
  <c r="P97" i="7"/>
  <c r="P95" i="7"/>
  <c r="P94" i="7"/>
  <c r="P93" i="7"/>
  <c r="P92" i="7"/>
  <c r="P91" i="7"/>
  <c r="P90" i="7"/>
  <c r="P89" i="7"/>
  <c r="P88" i="7"/>
  <c r="P87" i="7"/>
  <c r="P86" i="7"/>
  <c r="P85" i="7"/>
  <c r="O85" i="7"/>
  <c r="P81" i="7"/>
  <c r="P80" i="7"/>
  <c r="P79" i="7"/>
  <c r="P78" i="7"/>
  <c r="P77" i="7"/>
  <c r="P76" i="7"/>
  <c r="P75" i="7"/>
  <c r="P74" i="7"/>
  <c r="P73" i="7"/>
  <c r="P72" i="7"/>
  <c r="P71" i="7"/>
  <c r="P70" i="7"/>
  <c r="P69" i="7"/>
  <c r="P68" i="7"/>
  <c r="P67" i="7"/>
  <c r="P66" i="7"/>
  <c r="P65" i="7"/>
  <c r="P64" i="7"/>
  <c r="P63" i="7"/>
  <c r="P62" i="7"/>
  <c r="P61" i="7"/>
  <c r="P60" i="7"/>
  <c r="P59" i="7"/>
  <c r="P58" i="7"/>
  <c r="P57" i="7"/>
  <c r="P56" i="7"/>
  <c r="P55" i="7"/>
  <c r="P54" i="7"/>
  <c r="P53" i="7"/>
  <c r="P52" i="7"/>
  <c r="P51" i="7"/>
  <c r="P50" i="7"/>
  <c r="P49" i="7"/>
  <c r="P48" i="7"/>
  <c r="P47" i="7"/>
  <c r="P46" i="7"/>
  <c r="P45" i="7"/>
  <c r="P44" i="7"/>
  <c r="P43" i="7"/>
  <c r="P42" i="7"/>
  <c r="P41" i="7"/>
  <c r="P40" i="7"/>
  <c r="P39" i="7"/>
  <c r="P38" i="7"/>
  <c r="P37" i="7"/>
  <c r="P36" i="7"/>
  <c r="G36" i="7"/>
  <c r="P35" i="7"/>
  <c r="P34" i="7"/>
  <c r="P33" i="7"/>
  <c r="P32" i="7"/>
  <c r="P31" i="7"/>
  <c r="P30" i="7"/>
  <c r="P29" i="7"/>
  <c r="P28" i="7"/>
  <c r="P27" i="7"/>
  <c r="P26" i="7"/>
  <c r="P25" i="7"/>
  <c r="P24" i="7"/>
  <c r="P23" i="7"/>
  <c r="P22" i="7"/>
  <c r="P21" i="7"/>
  <c r="P20" i="7"/>
  <c r="P19" i="7"/>
  <c r="P18" i="7"/>
  <c r="P17" i="7"/>
  <c r="P16" i="7"/>
  <c r="P15" i="7"/>
  <c r="P14" i="7"/>
  <c r="P13" i="7"/>
  <c r="P12" i="7"/>
  <c r="P11" i="7"/>
  <c r="O11" i="7"/>
  <c r="P10" i="7"/>
  <c r="C3" i="7"/>
  <c r="BA930" i="44"/>
  <c r="BA929" i="44"/>
  <c r="BA928" i="44"/>
  <c r="BA927" i="44"/>
  <c r="BA926" i="44"/>
  <c r="BA925" i="44"/>
  <c r="BA924" i="44"/>
  <c r="BA923" i="44"/>
  <c r="BA922" i="44"/>
  <c r="BA921" i="44"/>
  <c r="BA920" i="44"/>
  <c r="BA919" i="44"/>
  <c r="BA918" i="44"/>
  <c r="BA917" i="44"/>
  <c r="BA916" i="44"/>
  <c r="BA915" i="44"/>
  <c r="BA914" i="44"/>
  <c r="BA913" i="44"/>
  <c r="BA912" i="44"/>
  <c r="BA911" i="44"/>
  <c r="BA910" i="44"/>
  <c r="BA909" i="44"/>
  <c r="BA908" i="44"/>
  <c r="BA907" i="44"/>
  <c r="BA906" i="44"/>
  <c r="BA905" i="44"/>
  <c r="BA904" i="44"/>
  <c r="BA903" i="44"/>
  <c r="BA902" i="44"/>
  <c r="BA901" i="44"/>
  <c r="BA900" i="44"/>
  <c r="BA899" i="44"/>
  <c r="BA898" i="44"/>
  <c r="BA897" i="44"/>
  <c r="BA896" i="44"/>
  <c r="BA895" i="44"/>
  <c r="BA894" i="44"/>
  <c r="BA893" i="44"/>
  <c r="BA892" i="44"/>
  <c r="BA891" i="44"/>
  <c r="BA890" i="44"/>
  <c r="BA889" i="44"/>
  <c r="BA888" i="44"/>
  <c r="BA887" i="44"/>
  <c r="BA886" i="44"/>
  <c r="BA885" i="44"/>
  <c r="BA884" i="44"/>
  <c r="BA883" i="44"/>
  <c r="BA882" i="44"/>
  <c r="BA881" i="44"/>
  <c r="BA880" i="44"/>
  <c r="BA879" i="44"/>
  <c r="BA878" i="44"/>
  <c r="BA877" i="44"/>
  <c r="BA876" i="44"/>
  <c r="BA875" i="44"/>
  <c r="BA874" i="44"/>
  <c r="BA873" i="44"/>
  <c r="BA872" i="44"/>
  <c r="BA871" i="44"/>
  <c r="BA870" i="44"/>
  <c r="BA869" i="44"/>
  <c r="BA868" i="44"/>
  <c r="BA867" i="44"/>
  <c r="BA866" i="44"/>
  <c r="BA865" i="44"/>
  <c r="BA864" i="44"/>
  <c r="BA863" i="44"/>
  <c r="BA862" i="44"/>
  <c r="BA861" i="44"/>
  <c r="BA860" i="44"/>
  <c r="BA859" i="44"/>
  <c r="BA858" i="44"/>
  <c r="BA857" i="44"/>
  <c r="BA856" i="44"/>
  <c r="BA855" i="44"/>
  <c r="BA854" i="44"/>
  <c r="BA853" i="44"/>
  <c r="BA852" i="44"/>
  <c r="BA851" i="44"/>
  <c r="BA850" i="44"/>
  <c r="BA849" i="44"/>
  <c r="BA848" i="44"/>
  <c r="BA847" i="44"/>
  <c r="BA846" i="44"/>
  <c r="BA845" i="44"/>
  <c r="BA844" i="44"/>
  <c r="BA843" i="44"/>
  <c r="BA842" i="44"/>
  <c r="BA841" i="44"/>
  <c r="BA840" i="44"/>
  <c r="BA839" i="44"/>
  <c r="BA838" i="44"/>
  <c r="BA837" i="44"/>
  <c r="BA836" i="44"/>
  <c r="BA835" i="44"/>
  <c r="BA834" i="44"/>
  <c r="BA833" i="44"/>
  <c r="BA832" i="44"/>
  <c r="BA831" i="44"/>
  <c r="BA830" i="44"/>
  <c r="BA829" i="44"/>
  <c r="BA828" i="44"/>
  <c r="BA827" i="44"/>
  <c r="BA826" i="44"/>
  <c r="BA825" i="44"/>
  <c r="BA824" i="44"/>
  <c r="BA823" i="44"/>
  <c r="BA822" i="44"/>
  <c r="BA821" i="44"/>
  <c r="BA820" i="44"/>
  <c r="BA819" i="44"/>
  <c r="BA818" i="44"/>
  <c r="BA817" i="44"/>
  <c r="BA816" i="44"/>
  <c r="BA815" i="44"/>
  <c r="BA814" i="44"/>
  <c r="BA813" i="44"/>
  <c r="BA812" i="44"/>
  <c r="BA811" i="44"/>
  <c r="BA810" i="44"/>
  <c r="BA809" i="44"/>
  <c r="BA808" i="44"/>
  <c r="BA807" i="44"/>
  <c r="BA806" i="44"/>
  <c r="BA805" i="44"/>
  <c r="BA804" i="44"/>
  <c r="BA803" i="44"/>
  <c r="BA802" i="44"/>
  <c r="BA801" i="44"/>
  <c r="BA800" i="44"/>
  <c r="BA799" i="44"/>
  <c r="BA798" i="44"/>
  <c r="BA797" i="44"/>
  <c r="BA796" i="44"/>
  <c r="BA795" i="44"/>
  <c r="BA794" i="44"/>
  <c r="BA793" i="44"/>
  <c r="BA792" i="44"/>
  <c r="BA791" i="44"/>
  <c r="BA790" i="44"/>
  <c r="BA789" i="44"/>
  <c r="BA788" i="44"/>
  <c r="BA787" i="44"/>
  <c r="BA786" i="44"/>
  <c r="BA785" i="44"/>
  <c r="BA784" i="44"/>
  <c r="BA783" i="44"/>
  <c r="BA782" i="44"/>
  <c r="BA781" i="44"/>
  <c r="BA780" i="44"/>
  <c r="BA779" i="44"/>
  <c r="BA778" i="44"/>
  <c r="BA777" i="44"/>
  <c r="BA776" i="44"/>
  <c r="BA775" i="44"/>
  <c r="BA774" i="44"/>
  <c r="BA773" i="44"/>
  <c r="BA772" i="44"/>
  <c r="BA771" i="44"/>
  <c r="BA770" i="44"/>
  <c r="BA769" i="44"/>
  <c r="BA768" i="44"/>
  <c r="BA767" i="44"/>
  <c r="BA766" i="44"/>
  <c r="BA765" i="44"/>
  <c r="BA764" i="44"/>
  <c r="BA763" i="44"/>
  <c r="BA762" i="44"/>
  <c r="BA761" i="44"/>
  <c r="BA760" i="44"/>
  <c r="BA759" i="44"/>
  <c r="BA758" i="44"/>
  <c r="BA757" i="44"/>
  <c r="BA756" i="44"/>
  <c r="BA755" i="44"/>
  <c r="BA754" i="44"/>
  <c r="BA753" i="44"/>
  <c r="BA752" i="44"/>
  <c r="BA751" i="44"/>
  <c r="BA750" i="44"/>
  <c r="BA749" i="44"/>
  <c r="BA748" i="44"/>
  <c r="BA747" i="44"/>
  <c r="BA746" i="44"/>
  <c r="BA745" i="44"/>
  <c r="BA744" i="44"/>
  <c r="BA743" i="44"/>
  <c r="BA742" i="44"/>
  <c r="BA741" i="44"/>
  <c r="BA740" i="44"/>
  <c r="BA739" i="44"/>
  <c r="BA738" i="44"/>
  <c r="BA737" i="44"/>
  <c r="BA736" i="44"/>
  <c r="BA735" i="44"/>
  <c r="BA734" i="44"/>
  <c r="BA733" i="44"/>
  <c r="BA732" i="44"/>
  <c r="BA731" i="44"/>
  <c r="BA730" i="44"/>
  <c r="BA729" i="44"/>
  <c r="BA728" i="44"/>
  <c r="BA727" i="44"/>
  <c r="BA726" i="44"/>
  <c r="BA725" i="44"/>
  <c r="BA724" i="44"/>
  <c r="BA723" i="44"/>
  <c r="BA722" i="44"/>
  <c r="BA721" i="44"/>
  <c r="BA720" i="44"/>
  <c r="BA719" i="44"/>
  <c r="BA718" i="44"/>
  <c r="BA717" i="44"/>
  <c r="BA716" i="44"/>
  <c r="BA715" i="44"/>
  <c r="BA714" i="44"/>
  <c r="BA713" i="44"/>
  <c r="BA712" i="44"/>
  <c r="BA711" i="44"/>
  <c r="BA710" i="44"/>
  <c r="BA709" i="44"/>
  <c r="BA708" i="44"/>
  <c r="BA707" i="44"/>
  <c r="BA706" i="44"/>
  <c r="BA705" i="44"/>
  <c r="BA704" i="44"/>
  <c r="BA703" i="44"/>
  <c r="BA702" i="44"/>
  <c r="BA701" i="44"/>
  <c r="BA700" i="44"/>
  <c r="BA699" i="44"/>
  <c r="BA698" i="44"/>
  <c r="BA697" i="44"/>
  <c r="BA696" i="44"/>
  <c r="BA695" i="44"/>
  <c r="BA694" i="44"/>
  <c r="BA693" i="44"/>
  <c r="BA692" i="44"/>
  <c r="BA691" i="44"/>
  <c r="BA690" i="44"/>
  <c r="BA689" i="44"/>
  <c r="BA688" i="44"/>
  <c r="BA687" i="44"/>
  <c r="BA686" i="44"/>
  <c r="BA685" i="44"/>
  <c r="BA684" i="44"/>
  <c r="BA683" i="44"/>
  <c r="BA682" i="44"/>
  <c r="BA681" i="44"/>
  <c r="BA680" i="44"/>
  <c r="BA679" i="44"/>
  <c r="BA678" i="44"/>
  <c r="BA677" i="44"/>
  <c r="BA676" i="44"/>
  <c r="BA675" i="44"/>
  <c r="BA674" i="44"/>
  <c r="BA673" i="44"/>
  <c r="BA672" i="44"/>
  <c r="BA671" i="44"/>
  <c r="BA670" i="44"/>
  <c r="BA669" i="44"/>
  <c r="BA668" i="44"/>
  <c r="BA667" i="44"/>
  <c r="BA666" i="44"/>
  <c r="BA665" i="44"/>
  <c r="BA664" i="44"/>
  <c r="BA663" i="44"/>
  <c r="BA662" i="44"/>
  <c r="BA661" i="44"/>
  <c r="BA660" i="44"/>
  <c r="BA659" i="44"/>
  <c r="BA658" i="44"/>
  <c r="BA657" i="44"/>
  <c r="BA656" i="44"/>
  <c r="BA655" i="44"/>
  <c r="BA654" i="44"/>
  <c r="BA653" i="44"/>
  <c r="BA652" i="44"/>
  <c r="BA651" i="44"/>
  <c r="BA650" i="44"/>
  <c r="BA649" i="44"/>
  <c r="BA648" i="44"/>
  <c r="BA647" i="44"/>
  <c r="BA646" i="44"/>
  <c r="BA645" i="44"/>
  <c r="BA644" i="44"/>
  <c r="BA643" i="44"/>
  <c r="BA642" i="44"/>
  <c r="BA641" i="44"/>
  <c r="BA640" i="44"/>
  <c r="BA639" i="44"/>
  <c r="BA638" i="44"/>
  <c r="BA637" i="44"/>
  <c r="BA636" i="44"/>
  <c r="BA635" i="44"/>
  <c r="BA634" i="44"/>
  <c r="BA633" i="44"/>
  <c r="BA632" i="44"/>
  <c r="BA631" i="44"/>
  <c r="BA630" i="44"/>
  <c r="BA629" i="44"/>
  <c r="BA628" i="44"/>
  <c r="BA627" i="44"/>
  <c r="BA626" i="44"/>
  <c r="BA625" i="44"/>
  <c r="BA624" i="44"/>
  <c r="BA623" i="44"/>
  <c r="BA622" i="44"/>
  <c r="BA621" i="44"/>
  <c r="BA620" i="44"/>
  <c r="BA619" i="44"/>
  <c r="BA618" i="44"/>
  <c r="BA617" i="44"/>
  <c r="BA616" i="44"/>
  <c r="BA615" i="44"/>
  <c r="BA614" i="44"/>
  <c r="BA613" i="44"/>
  <c r="BA612" i="44"/>
  <c r="BA611" i="44"/>
  <c r="BA610" i="44"/>
  <c r="BA609" i="44"/>
  <c r="BA608" i="44"/>
  <c r="BA607" i="44"/>
  <c r="BA606" i="44"/>
  <c r="BA605" i="44"/>
  <c r="BA604" i="44"/>
  <c r="BA603" i="44"/>
  <c r="BA602" i="44"/>
  <c r="BA601" i="44"/>
  <c r="BA600" i="44"/>
  <c r="BA599" i="44"/>
  <c r="BA598" i="44"/>
  <c r="BA597" i="44"/>
  <c r="BA596" i="44"/>
  <c r="BA595" i="44"/>
  <c r="BA594" i="44"/>
  <c r="BA593" i="44"/>
  <c r="BA592" i="44"/>
  <c r="BA591" i="44"/>
  <c r="BA590" i="44"/>
  <c r="BA589" i="44"/>
  <c r="BA588" i="44"/>
  <c r="BA587" i="44"/>
  <c r="BA586" i="44"/>
  <c r="BA585" i="44"/>
  <c r="BA584" i="44"/>
  <c r="BA583" i="44"/>
  <c r="BA582" i="44"/>
  <c r="BA581" i="44"/>
  <c r="BA580" i="44"/>
  <c r="BA579" i="44"/>
  <c r="BA578" i="44"/>
  <c r="BA577" i="44"/>
  <c r="BA576" i="44"/>
  <c r="BA575" i="44"/>
  <c r="BA574" i="44"/>
  <c r="BA573" i="44"/>
  <c r="BA572" i="44"/>
  <c r="BA571" i="44"/>
  <c r="BA570" i="44"/>
  <c r="BA569" i="44"/>
  <c r="BA568" i="44"/>
  <c r="BA567" i="44"/>
  <c r="BA566" i="44"/>
  <c r="BA565" i="44"/>
  <c r="BA564" i="44"/>
  <c r="BA563" i="44"/>
  <c r="BA562" i="44"/>
  <c r="BA561" i="44"/>
  <c r="BA560" i="44"/>
  <c r="BA559" i="44"/>
  <c r="BA558" i="44"/>
  <c r="BA557" i="44"/>
  <c r="BA556" i="44"/>
  <c r="BA555" i="44"/>
  <c r="BA554" i="44"/>
  <c r="BA553" i="44"/>
  <c r="BA552" i="44"/>
  <c r="BA551" i="44"/>
  <c r="BA550" i="44"/>
  <c r="BA549" i="44"/>
  <c r="BA548" i="44"/>
  <c r="BA547" i="44"/>
  <c r="BA546" i="44"/>
  <c r="BA545" i="44"/>
  <c r="BA544" i="44"/>
  <c r="BA543" i="44"/>
  <c r="BA542" i="44"/>
  <c r="BA541" i="44"/>
  <c r="BA540" i="44"/>
  <c r="BA539" i="44"/>
  <c r="BA538" i="44"/>
  <c r="BA537" i="44"/>
  <c r="BA536" i="44"/>
  <c r="BA535" i="44"/>
  <c r="BA534" i="44"/>
  <c r="BA533" i="44"/>
  <c r="BA532" i="44"/>
  <c r="BA531" i="44"/>
  <c r="BA530" i="44"/>
  <c r="BA529" i="44"/>
  <c r="BA528" i="44"/>
  <c r="BA527" i="44"/>
  <c r="BA526" i="44"/>
  <c r="BA525" i="44"/>
  <c r="BA524" i="44"/>
  <c r="BA523" i="44"/>
  <c r="BA522" i="44"/>
  <c r="BA521" i="44"/>
  <c r="BA520" i="44"/>
  <c r="BA519" i="44"/>
  <c r="BA518" i="44"/>
  <c r="BA517" i="44"/>
  <c r="BA516" i="44"/>
  <c r="BA515" i="44"/>
  <c r="BA514" i="44"/>
  <c r="BA513" i="44"/>
  <c r="BA512" i="44"/>
  <c r="BA511" i="44"/>
  <c r="BA510" i="44"/>
  <c r="BA509" i="44"/>
  <c r="BA508" i="44"/>
  <c r="BA507" i="44"/>
  <c r="BA506" i="44"/>
  <c r="BA505" i="44"/>
  <c r="BA504" i="44"/>
  <c r="BA503" i="44"/>
  <c r="BA502" i="44"/>
  <c r="BA501" i="44"/>
  <c r="BA500" i="44"/>
  <c r="BA499" i="44"/>
  <c r="BA498" i="44"/>
  <c r="BA497" i="44"/>
  <c r="BA496" i="44"/>
  <c r="BA495" i="44"/>
  <c r="BA494" i="44"/>
  <c r="BA493" i="44"/>
  <c r="BA492" i="44"/>
  <c r="BA491" i="44"/>
  <c r="BA490" i="44"/>
  <c r="BA489" i="44"/>
  <c r="BA488" i="44"/>
  <c r="BA487" i="44"/>
  <c r="BA486" i="44"/>
  <c r="BA485" i="44"/>
  <c r="BA484" i="44"/>
  <c r="BA483" i="44"/>
  <c r="BA482" i="44"/>
  <c r="BA481" i="44"/>
  <c r="BA480" i="44"/>
  <c r="BA479" i="44"/>
  <c r="BA478" i="44"/>
  <c r="BA477" i="44"/>
  <c r="BA476" i="44"/>
  <c r="BA475" i="44"/>
  <c r="BA474" i="44"/>
  <c r="BA473" i="44"/>
  <c r="BA472" i="44"/>
  <c r="BA471" i="44"/>
  <c r="BA470" i="44"/>
  <c r="BA469" i="44"/>
  <c r="BA468" i="44"/>
  <c r="BA467" i="44"/>
  <c r="BA466" i="44"/>
  <c r="BA465" i="44"/>
  <c r="BA464" i="44"/>
  <c r="BA463" i="44"/>
  <c r="BA462" i="44"/>
  <c r="BA461" i="44"/>
  <c r="BA460" i="44"/>
  <c r="BA459" i="44"/>
  <c r="BA458" i="44"/>
  <c r="BA457" i="44"/>
  <c r="BA456" i="44"/>
  <c r="BA455" i="44"/>
  <c r="BA454" i="44"/>
  <c r="BA453" i="44"/>
  <c r="BA452" i="44"/>
  <c r="BA451" i="44"/>
  <c r="BA450" i="44"/>
  <c r="BA449" i="44"/>
  <c r="BA448" i="44"/>
  <c r="BA447" i="44"/>
  <c r="BA446" i="44"/>
  <c r="BA445" i="44"/>
  <c r="BA444" i="44"/>
  <c r="BA443" i="44"/>
  <c r="BA442" i="44"/>
  <c r="BA441" i="44"/>
  <c r="BA440" i="44"/>
  <c r="BA439" i="44"/>
  <c r="BA438" i="44"/>
  <c r="BA437" i="44"/>
  <c r="BA436" i="44"/>
  <c r="BA435" i="44"/>
  <c r="BA434" i="44"/>
  <c r="BA433" i="44"/>
  <c r="BA432" i="44"/>
  <c r="BA431" i="44"/>
  <c r="BA430" i="44"/>
  <c r="BA429" i="44"/>
  <c r="BA428" i="44"/>
  <c r="BA427" i="44"/>
  <c r="BA426" i="44"/>
  <c r="BA425" i="44"/>
  <c r="BA424" i="44"/>
  <c r="BA423" i="44"/>
  <c r="BA422" i="44"/>
  <c r="BA421" i="44"/>
  <c r="BA420" i="44"/>
  <c r="BA419" i="44"/>
  <c r="BA418" i="44"/>
  <c r="BA417" i="44"/>
  <c r="BA416" i="44"/>
  <c r="BA415" i="44"/>
  <c r="BA414" i="44"/>
  <c r="BA413" i="44"/>
  <c r="BA412" i="44"/>
  <c r="BA411" i="44"/>
  <c r="BA410" i="44"/>
  <c r="BA409" i="44"/>
  <c r="BA408" i="44"/>
  <c r="BA407" i="44"/>
  <c r="BA406" i="44"/>
  <c r="BA405" i="44"/>
  <c r="BA404" i="44"/>
  <c r="BA403" i="44"/>
  <c r="BA402" i="44"/>
  <c r="BA401" i="44"/>
  <c r="BA400" i="44"/>
  <c r="BA399" i="44"/>
  <c r="BA398" i="44"/>
  <c r="BA397" i="44"/>
  <c r="BA396" i="44"/>
  <c r="BA395" i="44"/>
  <c r="BA394" i="44"/>
  <c r="BA393" i="44"/>
  <c r="BA392" i="44"/>
  <c r="BA391" i="44"/>
  <c r="BA390" i="44"/>
  <c r="BA389" i="44"/>
  <c r="BA388" i="44"/>
  <c r="BA387" i="44"/>
  <c r="BA386" i="44"/>
  <c r="BA385" i="44"/>
  <c r="BA384" i="44"/>
  <c r="BA383" i="44"/>
  <c r="BA382" i="44"/>
  <c r="BA381" i="44"/>
  <c r="BA380" i="44"/>
  <c r="BA379" i="44"/>
  <c r="BA378" i="44"/>
  <c r="BA377" i="44"/>
  <c r="BA376" i="44"/>
  <c r="BA375" i="44"/>
  <c r="BA374" i="44"/>
  <c r="BA373" i="44"/>
  <c r="BA372" i="44"/>
  <c r="BA371" i="44"/>
  <c r="BA370" i="44"/>
  <c r="BA369" i="44"/>
  <c r="BA368" i="44"/>
  <c r="BA367" i="44"/>
  <c r="BA366" i="44"/>
  <c r="BA365" i="44"/>
  <c r="BA364" i="44"/>
  <c r="BA363" i="44"/>
  <c r="BA362" i="44"/>
  <c r="BA361" i="44"/>
  <c r="BA360" i="44"/>
  <c r="BA359" i="44"/>
  <c r="BA358" i="44"/>
  <c r="BA357" i="44"/>
  <c r="BA356" i="44"/>
  <c r="BA355" i="44"/>
  <c r="BA354" i="44"/>
  <c r="BA353" i="44"/>
  <c r="BA352" i="44"/>
  <c r="BA351" i="44"/>
  <c r="BA350" i="44"/>
  <c r="BA349" i="44"/>
  <c r="BA348" i="44"/>
  <c r="BA347" i="44"/>
  <c r="BA346" i="44"/>
  <c r="BA345" i="44"/>
  <c r="BA344" i="44"/>
  <c r="BA343" i="44"/>
  <c r="BA342" i="44"/>
  <c r="BA341" i="44"/>
  <c r="BA340" i="44"/>
  <c r="BA339" i="44"/>
  <c r="BA338" i="44"/>
  <c r="BA337" i="44"/>
  <c r="BA336" i="44"/>
  <c r="BA335" i="44"/>
  <c r="BA334" i="44"/>
  <c r="BA333" i="44"/>
  <c r="BA332" i="44"/>
  <c r="BA331" i="44"/>
  <c r="BA330" i="44"/>
  <c r="BA329" i="44"/>
  <c r="BA328" i="44"/>
  <c r="BA327" i="44"/>
  <c r="BA326" i="44"/>
  <c r="BA325" i="44"/>
  <c r="BA324" i="44"/>
  <c r="BA323" i="44"/>
  <c r="BA322" i="44"/>
  <c r="BA321" i="44"/>
  <c r="BA320" i="44"/>
  <c r="BA319" i="44"/>
  <c r="BA318" i="44"/>
  <c r="BA317" i="44"/>
  <c r="BA316" i="44"/>
  <c r="BA315" i="44"/>
  <c r="BA314" i="44"/>
  <c r="BA313" i="44"/>
  <c r="BA312" i="44"/>
  <c r="BA311" i="44"/>
  <c r="BA310" i="44"/>
  <c r="BA309" i="44"/>
  <c r="BA308" i="44"/>
  <c r="BA307" i="44"/>
  <c r="BA306" i="44"/>
  <c r="BA305" i="44"/>
  <c r="BA304" i="44"/>
  <c r="BA303" i="44"/>
  <c r="BA302" i="44"/>
  <c r="BA301" i="44"/>
  <c r="BA300" i="44"/>
  <c r="BA299" i="44"/>
  <c r="BA298" i="44"/>
  <c r="BA297" i="44"/>
  <c r="BA296" i="44"/>
  <c r="BA295" i="44"/>
  <c r="BA294" i="44"/>
  <c r="BA293" i="44"/>
  <c r="BA292" i="44"/>
  <c r="BA291" i="44"/>
  <c r="BA290" i="44"/>
  <c r="BA289" i="44"/>
  <c r="BA288" i="44"/>
  <c r="BA287" i="44"/>
  <c r="BA286" i="44"/>
  <c r="BA285" i="44"/>
  <c r="BA284" i="44"/>
  <c r="BA283" i="44"/>
  <c r="BA282" i="44"/>
  <c r="BA281" i="44"/>
  <c r="BA280" i="44"/>
  <c r="BA279" i="44"/>
  <c r="BA278" i="44"/>
  <c r="BA277" i="44"/>
  <c r="BA276" i="44"/>
  <c r="BA275" i="44"/>
  <c r="BA274" i="44"/>
  <c r="BA273" i="44"/>
  <c r="BA272" i="44"/>
  <c r="BA271" i="44"/>
  <c r="BA270" i="44"/>
  <c r="BA269" i="44"/>
  <c r="BA268" i="44"/>
  <c r="BA267" i="44"/>
  <c r="BA266" i="44"/>
  <c r="BA265" i="44"/>
  <c r="BA264" i="44"/>
  <c r="BA263" i="44"/>
  <c r="BA262" i="44"/>
  <c r="BA261" i="44"/>
  <c r="BA260" i="44"/>
  <c r="BA259" i="44"/>
  <c r="BA258" i="44"/>
  <c r="BA257" i="44"/>
  <c r="BA256" i="44"/>
  <c r="BA255" i="44"/>
  <c r="BA254" i="44"/>
  <c r="BA253" i="44"/>
  <c r="BA252" i="44"/>
  <c r="BA251" i="44"/>
  <c r="BA250" i="44"/>
  <c r="BA249" i="44"/>
  <c r="BA248" i="44"/>
  <c r="BA247" i="44"/>
  <c r="BA246" i="44"/>
  <c r="BA245" i="44"/>
  <c r="BA244" i="44"/>
  <c r="BA243" i="44"/>
  <c r="BA242" i="44"/>
  <c r="BA241" i="44"/>
  <c r="BA240" i="44"/>
  <c r="BA239" i="44"/>
  <c r="BA238" i="44"/>
  <c r="BA237" i="44"/>
  <c r="BA236" i="44"/>
  <c r="BA235" i="44"/>
  <c r="BA234" i="44"/>
  <c r="BA233" i="44"/>
  <c r="BA232" i="44"/>
  <c r="BA231" i="44"/>
  <c r="BA230" i="44"/>
  <c r="BA229" i="44"/>
  <c r="BA228" i="44"/>
  <c r="BA227" i="44"/>
  <c r="BA226" i="44"/>
  <c r="BA225" i="44"/>
  <c r="BA224" i="44"/>
  <c r="BA223" i="44"/>
  <c r="BA222" i="44"/>
  <c r="BA221" i="44"/>
  <c r="BA220" i="44"/>
  <c r="BA219" i="44"/>
  <c r="BA218" i="44"/>
  <c r="BA217" i="44"/>
  <c r="BA216" i="44"/>
  <c r="BA215" i="44"/>
  <c r="BA214" i="44"/>
  <c r="BA213" i="44"/>
  <c r="BA212" i="44"/>
  <c r="BA211" i="44"/>
  <c r="BA210" i="44"/>
  <c r="BA209" i="44"/>
  <c r="BA208" i="44"/>
  <c r="BA207" i="44"/>
  <c r="BA206" i="44"/>
  <c r="BA205" i="44"/>
  <c r="BA204" i="44"/>
  <c r="BA203" i="44"/>
  <c r="BA202" i="44"/>
  <c r="BA201" i="44"/>
  <c r="BA200" i="44"/>
  <c r="BA199" i="44"/>
  <c r="BA198" i="44"/>
  <c r="BA197" i="44"/>
  <c r="BA196" i="44"/>
  <c r="BA195" i="44"/>
  <c r="BA194" i="44"/>
  <c r="BA193" i="44"/>
  <c r="BA192" i="44"/>
  <c r="BA191" i="44"/>
  <c r="BA190" i="44"/>
  <c r="BA189" i="44"/>
  <c r="BA188" i="44"/>
  <c r="BA187" i="44"/>
  <c r="BA186" i="44"/>
  <c r="BA185" i="44"/>
  <c r="BA184" i="44"/>
  <c r="BA183" i="44"/>
  <c r="BA182" i="44"/>
  <c r="BA181" i="44"/>
  <c r="BA180" i="44"/>
  <c r="BA179" i="44"/>
  <c r="BA178" i="44"/>
  <c r="BA177" i="44"/>
  <c r="BA176" i="44"/>
  <c r="BA175" i="44"/>
  <c r="BA174" i="44"/>
  <c r="BA173" i="44"/>
  <c r="BA172" i="44"/>
  <c r="BA171" i="44"/>
  <c r="BA170" i="44"/>
  <c r="BA169" i="44"/>
  <c r="BA168" i="44"/>
  <c r="BA167" i="44"/>
  <c r="BA166" i="44"/>
  <c r="BA165" i="44"/>
  <c r="BA164" i="44"/>
  <c r="BA163" i="44"/>
  <c r="BA162" i="44"/>
  <c r="BA161" i="44"/>
  <c r="BA160" i="44"/>
  <c r="BA159" i="44"/>
  <c r="BA158" i="44"/>
  <c r="BA157" i="44"/>
  <c r="BA156" i="44"/>
  <c r="BA155" i="44"/>
  <c r="BA154" i="44"/>
  <c r="BA153" i="44"/>
  <c r="BA152" i="44"/>
  <c r="BA151" i="44"/>
  <c r="BA150" i="44"/>
  <c r="BA149" i="44"/>
  <c r="BA148" i="44"/>
  <c r="BA147" i="44"/>
  <c r="BA146" i="44"/>
  <c r="BA145" i="44"/>
  <c r="BA144" i="44"/>
  <c r="BA143" i="44"/>
  <c r="BA142" i="44"/>
  <c r="BA141" i="44"/>
  <c r="BA140" i="44"/>
  <c r="BA139" i="44"/>
  <c r="BA138" i="44"/>
  <c r="BA137" i="44"/>
  <c r="BA136" i="44"/>
  <c r="BA135" i="44"/>
  <c r="BA134" i="44"/>
  <c r="BA133" i="44"/>
  <c r="BA132" i="44"/>
  <c r="BA131" i="44"/>
  <c r="BA130" i="44"/>
  <c r="BA129" i="44"/>
  <c r="BA128" i="44"/>
  <c r="BA127" i="44"/>
  <c r="BA126" i="44"/>
  <c r="BA125" i="44"/>
  <c r="BA124" i="44"/>
  <c r="BA123" i="44"/>
  <c r="BA122" i="44"/>
  <c r="BA121" i="44"/>
  <c r="BA120" i="44"/>
  <c r="BA119" i="44"/>
  <c r="BA118" i="44"/>
  <c r="BA117" i="44"/>
  <c r="BA116" i="44"/>
  <c r="BA115" i="44"/>
  <c r="BA114" i="44"/>
  <c r="BA113" i="44"/>
  <c r="BA112" i="44"/>
  <c r="BA111" i="44"/>
  <c r="BA110" i="44"/>
  <c r="BA109" i="44"/>
  <c r="BA108" i="44"/>
  <c r="BA107" i="44"/>
  <c r="BA106" i="44"/>
  <c r="BA105" i="44"/>
  <c r="BA104" i="44"/>
  <c r="BA103" i="44"/>
  <c r="BA102" i="44"/>
  <c r="BA101" i="44"/>
  <c r="BA100" i="44"/>
  <c r="BA99" i="44"/>
  <c r="BA98" i="44"/>
  <c r="BA97" i="44"/>
  <c r="BA96" i="44"/>
  <c r="BA95" i="44"/>
  <c r="BA94" i="44"/>
  <c r="BA93" i="44"/>
  <c r="BA92" i="44"/>
  <c r="BA91" i="44"/>
  <c r="BA90" i="44"/>
  <c r="BA89" i="44"/>
  <c r="BA88" i="44"/>
  <c r="BA87" i="44"/>
  <c r="BA86" i="44"/>
  <c r="BA85" i="44"/>
  <c r="BA84" i="44"/>
  <c r="BA83" i="44"/>
  <c r="BA82" i="44"/>
  <c r="BA81" i="44"/>
  <c r="BA80" i="44"/>
  <c r="BA79" i="44"/>
  <c r="BA78" i="44"/>
  <c r="BA77" i="44"/>
  <c r="BA76" i="44"/>
  <c r="BA75" i="44"/>
  <c r="BA74" i="44"/>
  <c r="BA73" i="44"/>
  <c r="BA72" i="44"/>
  <c r="BA71" i="44"/>
  <c r="BA70" i="44"/>
  <c r="BA69" i="44"/>
  <c r="BA68" i="44"/>
  <c r="BA67" i="44"/>
  <c r="BA66" i="44"/>
  <c r="BA65" i="44"/>
  <c r="BA64" i="44"/>
  <c r="BA63" i="44"/>
  <c r="BA62" i="44"/>
  <c r="BA61" i="44"/>
  <c r="BA60" i="44"/>
  <c r="BA59" i="44"/>
  <c r="BA58" i="44"/>
  <c r="BA57" i="44"/>
  <c r="BA56" i="44"/>
  <c r="BA55" i="44"/>
  <c r="BA54" i="44"/>
  <c r="BA53" i="44"/>
  <c r="BA52" i="44"/>
  <c r="BA51" i="44"/>
  <c r="BA50" i="44"/>
  <c r="BA49" i="44"/>
  <c r="BA48" i="44"/>
  <c r="BA47" i="44"/>
  <c r="BA46" i="44"/>
  <c r="BA45" i="44"/>
  <c r="BA44" i="44"/>
  <c r="BA43" i="44"/>
  <c r="BA42" i="44"/>
  <c r="BA41" i="44"/>
  <c r="BA40" i="44"/>
  <c r="BA39" i="44"/>
  <c r="BA38" i="44"/>
  <c r="BA37" i="44"/>
  <c r="BA36" i="44"/>
  <c r="BA35" i="44"/>
  <c r="BA34" i="44"/>
  <c r="BA33" i="44"/>
  <c r="BA32" i="44"/>
  <c r="BA31" i="44"/>
  <c r="BA30" i="44"/>
  <c r="BA29" i="44"/>
  <c r="BA28" i="44"/>
  <c r="BA27" i="44"/>
  <c r="BA26" i="44"/>
  <c r="BA25" i="44"/>
  <c r="BA24" i="44"/>
  <c r="BA23" i="44"/>
  <c r="BA22" i="44"/>
  <c r="BA21" i="44"/>
  <c r="BA20" i="44"/>
  <c r="BA19" i="44"/>
  <c r="BA18" i="44"/>
  <c r="BA17" i="44"/>
  <c r="BA16" i="44"/>
  <c r="V952" i="5"/>
  <c r="B3" i="5"/>
  <c r="F519" i="22"/>
  <c r="H519" i="22" s="1"/>
  <c r="K518" i="22" s="1" a="1"/>
  <c r="K518" i="22" s="1"/>
  <c r="M411" i="22"/>
  <c r="J59" i="59" s="1" a="1"/>
  <c r="J59" i="59" s="1"/>
  <c r="F395" i="22"/>
  <c r="F289" i="22"/>
  <c r="F272" i="22"/>
  <c r="F165" i="22"/>
  <c r="F145" i="22"/>
  <c r="F124" i="22"/>
  <c r="F106" i="22"/>
  <c r="C3" i="22"/>
  <c r="D14" i="65"/>
  <c r="D12" i="65"/>
  <c r="D11" i="65"/>
  <c r="D10" i="65"/>
  <c r="D8" i="65"/>
  <c r="BD18" i="54"/>
  <c r="BD17" i="54"/>
  <c r="BD16" i="54"/>
  <c r="BD15" i="54"/>
  <c r="BD14" i="54"/>
  <c r="BT114" i="39"/>
  <c r="BU114" i="39" s="1"/>
  <c r="BS114" i="39"/>
  <c r="BT113" i="39"/>
  <c r="BU113" i="39" s="1"/>
  <c r="BS113" i="39"/>
  <c r="BT112" i="39"/>
  <c r="BU112" i="39" s="1"/>
  <c r="BS112" i="39"/>
  <c r="BT111" i="39"/>
  <c r="BU111" i="39" s="1"/>
  <c r="BS111" i="39"/>
  <c r="BT110" i="39"/>
  <c r="BU110" i="39" s="1"/>
  <c r="BS110" i="39"/>
  <c r="BT109" i="39"/>
  <c r="BU109" i="39" s="1"/>
  <c r="BS109" i="39"/>
  <c r="BT108" i="39"/>
  <c r="BU108" i="39" s="1"/>
  <c r="BS108" i="39"/>
  <c r="BT107" i="39"/>
  <c r="BU107" i="39" s="1"/>
  <c r="BS107" i="39"/>
  <c r="BT106" i="39"/>
  <c r="BU106" i="39" s="1"/>
  <c r="BS106" i="39"/>
  <c r="BT105" i="39"/>
  <c r="BU105" i="39" s="1"/>
  <c r="BS105" i="39"/>
  <c r="BT104" i="39"/>
  <c r="BU104" i="39" s="1"/>
  <c r="BS104" i="39"/>
  <c r="BT103" i="39"/>
  <c r="BU103" i="39" s="1"/>
  <c r="BS103" i="39"/>
  <c r="BT102" i="39"/>
  <c r="BU102" i="39" s="1"/>
  <c r="BS102" i="39"/>
  <c r="BT101" i="39"/>
  <c r="BU101" i="39" s="1"/>
  <c r="BS101" i="39"/>
  <c r="BT100" i="39"/>
  <c r="BU100" i="39" s="1"/>
  <c r="BS100" i="39"/>
  <c r="BT99" i="39"/>
  <c r="BU99" i="39" s="1"/>
  <c r="BS99" i="39"/>
  <c r="BT98" i="39"/>
  <c r="BU98" i="39" s="1"/>
  <c r="BS98" i="39"/>
  <c r="BT97" i="39"/>
  <c r="BU97" i="39" s="1"/>
  <c r="BS97" i="39"/>
  <c r="BT96" i="39"/>
  <c r="BU96" i="39" s="1"/>
  <c r="BS96" i="39"/>
  <c r="BT95" i="39"/>
  <c r="BU95" i="39" s="1"/>
  <c r="BS95" i="39"/>
  <c r="BT94" i="39"/>
  <c r="BU94" i="39" s="1"/>
  <c r="BS94" i="39"/>
  <c r="BT93" i="39"/>
  <c r="BU93" i="39" s="1"/>
  <c r="BS93" i="39"/>
  <c r="BT92" i="39"/>
  <c r="BU92" i="39" s="1"/>
  <c r="BS92" i="39"/>
  <c r="BT91" i="39"/>
  <c r="BU91" i="39" s="1"/>
  <c r="BS91" i="39"/>
  <c r="BT90" i="39"/>
  <c r="BU90" i="39" s="1"/>
  <c r="BS90" i="39"/>
  <c r="BT89" i="39"/>
  <c r="BU89" i="39" s="1"/>
  <c r="BS89" i="39"/>
  <c r="BT88" i="39"/>
  <c r="BU88" i="39" s="1"/>
  <c r="BS88" i="39"/>
  <c r="BT87" i="39"/>
  <c r="BU87" i="39" s="1"/>
  <c r="BS87" i="39"/>
  <c r="BT86" i="39"/>
  <c r="BU86" i="39" s="1"/>
  <c r="BS86" i="39"/>
  <c r="BT85" i="39"/>
  <c r="BU85" i="39" s="1"/>
  <c r="BS85" i="39"/>
  <c r="BT84" i="39"/>
  <c r="BU84" i="39" s="1"/>
  <c r="BS84" i="39"/>
  <c r="BT83" i="39"/>
  <c r="BU83" i="39" s="1"/>
  <c r="BS83" i="39"/>
  <c r="BT82" i="39"/>
  <c r="BU82" i="39" s="1"/>
  <c r="BS82" i="39"/>
  <c r="BT81" i="39"/>
  <c r="BU81" i="39" s="1"/>
  <c r="BS81" i="39"/>
  <c r="BT80" i="39"/>
  <c r="BU80" i="39" s="1"/>
  <c r="BS80" i="39"/>
  <c r="BT79" i="39"/>
  <c r="BU79" i="39" s="1"/>
  <c r="BS79" i="39"/>
  <c r="BT78" i="39"/>
  <c r="BU78" i="39" s="1"/>
  <c r="BS78" i="39"/>
  <c r="BT77" i="39"/>
  <c r="BU77" i="39" s="1"/>
  <c r="BS77" i="39"/>
  <c r="BT76" i="39"/>
  <c r="BU76" i="39" s="1"/>
  <c r="BS76" i="39"/>
  <c r="BT75" i="39"/>
  <c r="BU75" i="39" s="1"/>
  <c r="BS75" i="39"/>
  <c r="BT74" i="39"/>
  <c r="BU74" i="39" s="1"/>
  <c r="BS74" i="39"/>
  <c r="BT73" i="39"/>
  <c r="BU73" i="39" s="1"/>
  <c r="BS73" i="39"/>
  <c r="BT72" i="39"/>
  <c r="BU72" i="39" s="1"/>
  <c r="BS72" i="39"/>
  <c r="BT71" i="39"/>
  <c r="BU71" i="39" s="1"/>
  <c r="BS71" i="39"/>
  <c r="BT70" i="39"/>
  <c r="BU70" i="39" s="1"/>
  <c r="BS70" i="39"/>
  <c r="BT69" i="39"/>
  <c r="BU69" i="39" s="1"/>
  <c r="BS69" i="39"/>
  <c r="BT68" i="39"/>
  <c r="BU68" i="39" s="1"/>
  <c r="BS68" i="39"/>
  <c r="BT67" i="39"/>
  <c r="BU67" i="39" s="1"/>
  <c r="BS67" i="39"/>
  <c r="BT66" i="39"/>
  <c r="BU66" i="39" s="1"/>
  <c r="BS66" i="39"/>
  <c r="BT65" i="39"/>
  <c r="BU65" i="39" s="1"/>
  <c r="BS65" i="39"/>
  <c r="BT64" i="39"/>
  <c r="BU64" i="39" s="1"/>
  <c r="BS64" i="39"/>
  <c r="BT63" i="39"/>
  <c r="BU63" i="39" s="1"/>
  <c r="BS63" i="39"/>
  <c r="BT62" i="39"/>
  <c r="BU62" i="39" s="1"/>
  <c r="BS62" i="39"/>
  <c r="BT61" i="39"/>
  <c r="BU61" i="39" s="1"/>
  <c r="BS61" i="39"/>
  <c r="BT60" i="39"/>
  <c r="BU60" i="39" s="1"/>
  <c r="BS60" i="39"/>
  <c r="BT59" i="39"/>
  <c r="BU59" i="39" s="1"/>
  <c r="BS59" i="39"/>
  <c r="BT58" i="39"/>
  <c r="BU58" i="39" s="1"/>
  <c r="BS58" i="39"/>
  <c r="BT57" i="39"/>
  <c r="BU57" i="39" s="1"/>
  <c r="BS57" i="39"/>
  <c r="BT56" i="39"/>
  <c r="BU56" i="39" s="1"/>
  <c r="BS56" i="39"/>
  <c r="BT55" i="39"/>
  <c r="BU55" i="39" s="1"/>
  <c r="BS55" i="39"/>
  <c r="BT54" i="39"/>
  <c r="BU54" i="39" s="1"/>
  <c r="BS54" i="39"/>
  <c r="BT53" i="39"/>
  <c r="BU53" i="39" s="1"/>
  <c r="BS53" i="39"/>
  <c r="BT52" i="39"/>
  <c r="BU52" i="39" s="1"/>
  <c r="BS52" i="39"/>
  <c r="BT51" i="39"/>
  <c r="BU51" i="39" s="1"/>
  <c r="BS51" i="39"/>
  <c r="BT50" i="39"/>
  <c r="BU50" i="39" s="1"/>
  <c r="BS50" i="39"/>
  <c r="BT49" i="39"/>
  <c r="BU49" i="39" s="1"/>
  <c r="BS49" i="39"/>
  <c r="BT48" i="39"/>
  <c r="BU48" i="39" s="1"/>
  <c r="BS48" i="39"/>
  <c r="BT47" i="39"/>
  <c r="BU47" i="39" s="1"/>
  <c r="BS47" i="39"/>
  <c r="BT46" i="39"/>
  <c r="BU46" i="39" s="1"/>
  <c r="BS46" i="39"/>
  <c r="BT45" i="39"/>
  <c r="BU45" i="39" s="1"/>
  <c r="BS45" i="39"/>
  <c r="BT44" i="39"/>
  <c r="BU44" i="39" s="1"/>
  <c r="BS44" i="39"/>
  <c r="BT43" i="39"/>
  <c r="BU43" i="39" s="1"/>
  <c r="BS43" i="39"/>
  <c r="BT42" i="39"/>
  <c r="BU42" i="39" s="1"/>
  <c r="BS42" i="39"/>
  <c r="BT41" i="39"/>
  <c r="BU41" i="39" s="1"/>
  <c r="BS41" i="39"/>
  <c r="BT40" i="39"/>
  <c r="BU40" i="39" s="1"/>
  <c r="BS40" i="39"/>
  <c r="BT39" i="39"/>
  <c r="BU39" i="39" s="1"/>
  <c r="BS39" i="39"/>
  <c r="BT38" i="39"/>
  <c r="BU38" i="39" s="1"/>
  <c r="BS38" i="39"/>
  <c r="BT37" i="39"/>
  <c r="BU37" i="39" s="1"/>
  <c r="BS37" i="39"/>
  <c r="BT36" i="39"/>
  <c r="BU36" i="39" s="1"/>
  <c r="BS36" i="39"/>
  <c r="BT35" i="39"/>
  <c r="BU35" i="39" s="1"/>
  <c r="BS35" i="39"/>
  <c r="BT34" i="39"/>
  <c r="BU34" i="39" s="1"/>
  <c r="BS34" i="39"/>
  <c r="BT33" i="39"/>
  <c r="BU33" i="39" s="1"/>
  <c r="BS33" i="39"/>
  <c r="BT32" i="39"/>
  <c r="BU32" i="39" s="1"/>
  <c r="BS32" i="39"/>
  <c r="BT31" i="39"/>
  <c r="BU31" i="39" s="1"/>
  <c r="BS31" i="39"/>
  <c r="BT30" i="39"/>
  <c r="BU30" i="39" s="1"/>
  <c r="BS30" i="39"/>
  <c r="BT29" i="39"/>
  <c r="BU29" i="39" s="1"/>
  <c r="BS29" i="39"/>
  <c r="BT28" i="39"/>
  <c r="BU28" i="39" s="1"/>
  <c r="BS28" i="39"/>
  <c r="BT27" i="39"/>
  <c r="BU27" i="39" s="1"/>
  <c r="BS27" i="39"/>
  <c r="BT26" i="39"/>
  <c r="BU26" i="39" s="1"/>
  <c r="BS26" i="39"/>
  <c r="BT25" i="39"/>
  <c r="BU25" i="39" s="1"/>
  <c r="BS25" i="39"/>
  <c r="BT24" i="39"/>
  <c r="BU24" i="39" s="1"/>
  <c r="BS24" i="39"/>
  <c r="BT23" i="39"/>
  <c r="BU23" i="39" s="1"/>
  <c r="BS23" i="39"/>
  <c r="BT22" i="39"/>
  <c r="BU22" i="39" s="1"/>
  <c r="BS22" i="39"/>
  <c r="BT21" i="39"/>
  <c r="BU21" i="39" s="1"/>
  <c r="BS21" i="39"/>
  <c r="BT20" i="39"/>
  <c r="BU20" i="39" s="1"/>
  <c r="BS20" i="39"/>
  <c r="BT19" i="39"/>
  <c r="BU19" i="39" s="1"/>
  <c r="BS19" i="39"/>
  <c r="BT18" i="39"/>
  <c r="BU18" i="39" s="1"/>
  <c r="BS18" i="39"/>
  <c r="BT17" i="39"/>
  <c r="BU17" i="39" s="1"/>
  <c r="BS17" i="39"/>
  <c r="BT16" i="39"/>
  <c r="BU16" i="39" s="1"/>
  <c r="BS16" i="39"/>
  <c r="CJ15" i="39"/>
  <c r="BT15" i="39"/>
  <c r="BU15" i="39" s="1"/>
  <c r="BS15" i="39"/>
  <c r="DD117" i="38"/>
  <c r="A117" i="38" s="1"/>
  <c r="DD116" i="38"/>
  <c r="DD115" i="38"/>
  <c r="DD114" i="38"/>
  <c r="DD113" i="38"/>
  <c r="DD112" i="38"/>
  <c r="DD111" i="38"/>
  <c r="DD110" i="38"/>
  <c r="DD109" i="38"/>
  <c r="DD108" i="38"/>
  <c r="DD107" i="38"/>
  <c r="DD106" i="38"/>
  <c r="DD105" i="38"/>
  <c r="DD104" i="38"/>
  <c r="DD103" i="38"/>
  <c r="DD102" i="38"/>
  <c r="DD101" i="38"/>
  <c r="DD100" i="38"/>
  <c r="DD99" i="38"/>
  <c r="DD98" i="38"/>
  <c r="DD97" i="38"/>
  <c r="DD96" i="38"/>
  <c r="DD95" i="38"/>
  <c r="DD94" i="38"/>
  <c r="DD93" i="38"/>
  <c r="DD92" i="38"/>
  <c r="DD91" i="38"/>
  <c r="DD90" i="38"/>
  <c r="DD89" i="38"/>
  <c r="DD88" i="38"/>
  <c r="DD87" i="38"/>
  <c r="DD86" i="38"/>
  <c r="DD85" i="38"/>
  <c r="DD84" i="38"/>
  <c r="DD83" i="38"/>
  <c r="DD82" i="38"/>
  <c r="DD81" i="38"/>
  <c r="DD80" i="38"/>
  <c r="DD79" i="38"/>
  <c r="DD78" i="38"/>
  <c r="DD77" i="38"/>
  <c r="DD76" i="38"/>
  <c r="DD75" i="38"/>
  <c r="DD74" i="38"/>
  <c r="DD73" i="38"/>
  <c r="DD72" i="38"/>
  <c r="DD71" i="38"/>
  <c r="DD70" i="38"/>
  <c r="DD69" i="38"/>
  <c r="DD68" i="38"/>
  <c r="DD67" i="38"/>
  <c r="DD66" i="38"/>
  <c r="DD65" i="38"/>
  <c r="DD64" i="38"/>
  <c r="DD63" i="38"/>
  <c r="DD62" i="38"/>
  <c r="DD61" i="38"/>
  <c r="DD60" i="38"/>
  <c r="DD59" i="38"/>
  <c r="DD58" i="38"/>
  <c r="DD57" i="38"/>
  <c r="DD56" i="38"/>
  <c r="DD55" i="38"/>
  <c r="DD54" i="38"/>
  <c r="DD53" i="38"/>
  <c r="DD52" i="38"/>
  <c r="DD51" i="38"/>
  <c r="DD50" i="38"/>
  <c r="DD49" i="38"/>
  <c r="DD48" i="38"/>
  <c r="DD47" i="38"/>
  <c r="DD46" i="38"/>
  <c r="DD45" i="38"/>
  <c r="DD44" i="38"/>
  <c r="DD43" i="38"/>
  <c r="DD42" i="38"/>
  <c r="DD41" i="38"/>
  <c r="DD40" i="38"/>
  <c r="DD39" i="38"/>
  <c r="DD38" i="38"/>
  <c r="DD37" i="38"/>
  <c r="DD36" i="38"/>
  <c r="DD35" i="38"/>
  <c r="DD34" i="38"/>
  <c r="DD33" i="38"/>
  <c r="DD32" i="38"/>
  <c r="DD31" i="38"/>
  <c r="DD30" i="38"/>
  <c r="DD29" i="38"/>
  <c r="DD28" i="38"/>
  <c r="DD27" i="38"/>
  <c r="DD26" i="38"/>
  <c r="DD25" i="38"/>
  <c r="DD24" i="38"/>
  <c r="DD23" i="38"/>
  <c r="DD22" i="38"/>
  <c r="A22" i="38" s="1"/>
  <c r="DD21" i="38"/>
  <c r="DD20" i="38"/>
  <c r="DD19" i="38"/>
  <c r="DD18" i="38"/>
  <c r="A18" i="38" s="1"/>
  <c r="CO121" i="62"/>
  <c r="CP121" i="62" s="1"/>
  <c r="BV121" i="62"/>
  <c r="CO120" i="62"/>
  <c r="BV120" i="62"/>
  <c r="CO119" i="62"/>
  <c r="BV119" i="62"/>
  <c r="CO118" i="62"/>
  <c r="BV118" i="62"/>
  <c r="CO117" i="62"/>
  <c r="BV117" i="62"/>
  <c r="CO116" i="62"/>
  <c r="BV116" i="62"/>
  <c r="CO115" i="62"/>
  <c r="BV115" i="62"/>
  <c r="CO114" i="62"/>
  <c r="BV114" i="62"/>
  <c r="CO113" i="62"/>
  <c r="BV113" i="62"/>
  <c r="CO112" i="62"/>
  <c r="BV112" i="62"/>
  <c r="CO111" i="62"/>
  <c r="BV111" i="62"/>
  <c r="CO110" i="62"/>
  <c r="BV110" i="62"/>
  <c r="CO109" i="62"/>
  <c r="BV109" i="62"/>
  <c r="CO108" i="62"/>
  <c r="BV108" i="62"/>
  <c r="CO107" i="62"/>
  <c r="BV107" i="62"/>
  <c r="CO106" i="62"/>
  <c r="BV106" i="62"/>
  <c r="CO105" i="62"/>
  <c r="BV105" i="62"/>
  <c r="CO104" i="62"/>
  <c r="BV104" i="62"/>
  <c r="CO103" i="62"/>
  <c r="BV103" i="62"/>
  <c r="CO102" i="62"/>
  <c r="BV102" i="62"/>
  <c r="CO101" i="62"/>
  <c r="BV101" i="62"/>
  <c r="CO100" i="62"/>
  <c r="BV100" i="62"/>
  <c r="CO99" i="62"/>
  <c r="BV99" i="62"/>
  <c r="CO98" i="62"/>
  <c r="BV98" i="62"/>
  <c r="CO97" i="62"/>
  <c r="BV97" i="62"/>
  <c r="CO96" i="62"/>
  <c r="BV96" i="62"/>
  <c r="CO95" i="62"/>
  <c r="BV95" i="62"/>
  <c r="CO94" i="62"/>
  <c r="BV94" i="62"/>
  <c r="CO93" i="62"/>
  <c r="BV93" i="62"/>
  <c r="CO92" i="62"/>
  <c r="BV92" i="62"/>
  <c r="CO91" i="62"/>
  <c r="BV91" i="62"/>
  <c r="CO90" i="62"/>
  <c r="BV90" i="62"/>
  <c r="CO89" i="62"/>
  <c r="BV89" i="62"/>
  <c r="CO88" i="62"/>
  <c r="BV88" i="62"/>
  <c r="CO87" i="62"/>
  <c r="BV87" i="62"/>
  <c r="CO86" i="62"/>
  <c r="BV86" i="62"/>
  <c r="CO85" i="62"/>
  <c r="BV85" i="62"/>
  <c r="CO84" i="62"/>
  <c r="BV84" i="62"/>
  <c r="CO83" i="62"/>
  <c r="BV83" i="62"/>
  <c r="CO82" i="62"/>
  <c r="BV82" i="62"/>
  <c r="CO81" i="62"/>
  <c r="BV81" i="62"/>
  <c r="CO80" i="62"/>
  <c r="BV80" i="62"/>
  <c r="CO79" i="62"/>
  <c r="BV79" i="62"/>
  <c r="CO78" i="62"/>
  <c r="BV78" i="62"/>
  <c r="CO77" i="62"/>
  <c r="BV77" i="62"/>
  <c r="CO76" i="62"/>
  <c r="BV76" i="62"/>
  <c r="CO75" i="62"/>
  <c r="BV75" i="62"/>
  <c r="CO74" i="62"/>
  <c r="BV74" i="62"/>
  <c r="CO73" i="62"/>
  <c r="BV73" i="62"/>
  <c r="CO72" i="62"/>
  <c r="BV72" i="62"/>
  <c r="CO71" i="62"/>
  <c r="BV71" i="62"/>
  <c r="CO70" i="62"/>
  <c r="BV70" i="62"/>
  <c r="CO69" i="62"/>
  <c r="BV69" i="62"/>
  <c r="CO68" i="62"/>
  <c r="BV68" i="62"/>
  <c r="CO67" i="62"/>
  <c r="BV67" i="62"/>
  <c r="CO66" i="62"/>
  <c r="BV66" i="62"/>
  <c r="CO65" i="62"/>
  <c r="BV65" i="62"/>
  <c r="CO64" i="62"/>
  <c r="BV64" i="62"/>
  <c r="CO63" i="62"/>
  <c r="BV63" i="62"/>
  <c r="CO62" i="62"/>
  <c r="BV62" i="62"/>
  <c r="CO61" i="62"/>
  <c r="BV61" i="62"/>
  <c r="CO60" i="62"/>
  <c r="BV60" i="62"/>
  <c r="CO59" i="62"/>
  <c r="BV59" i="62"/>
  <c r="CO58" i="62"/>
  <c r="BV58" i="62"/>
  <c r="CO57" i="62"/>
  <c r="BV57" i="62"/>
  <c r="CO56" i="62"/>
  <c r="BV56" i="62"/>
  <c r="CO55" i="62"/>
  <c r="BV55" i="62"/>
  <c r="CO54" i="62"/>
  <c r="BV54" i="62"/>
  <c r="CO53" i="62"/>
  <c r="BV53" i="62"/>
  <c r="CO52" i="62"/>
  <c r="BV52" i="62"/>
  <c r="CO51" i="62"/>
  <c r="BV51" i="62"/>
  <c r="CO50" i="62"/>
  <c r="BV50" i="62"/>
  <c r="CO49" i="62"/>
  <c r="BV49" i="62"/>
  <c r="CO48" i="62"/>
  <c r="BV48" i="62"/>
  <c r="CO47" i="62"/>
  <c r="BV47" i="62"/>
  <c r="CO46" i="62"/>
  <c r="BV46" i="62"/>
  <c r="CO45" i="62"/>
  <c r="BV45" i="62"/>
  <c r="CO44" i="62"/>
  <c r="BV44" i="62"/>
  <c r="CO43" i="62"/>
  <c r="BV43" i="62"/>
  <c r="CO42" i="62"/>
  <c r="BV42" i="62"/>
  <c r="CO41" i="62"/>
  <c r="BV41" i="62"/>
  <c r="CO40" i="62"/>
  <c r="BV40" i="62"/>
  <c r="CO39" i="62"/>
  <c r="BV39" i="62"/>
  <c r="CO38" i="62"/>
  <c r="BV38" i="62"/>
  <c r="CO37" i="62"/>
  <c r="BV37" i="62"/>
  <c r="CO36" i="62"/>
  <c r="BV36" i="62"/>
  <c r="CO35" i="62"/>
  <c r="BV35" i="62"/>
  <c r="CO34" i="62"/>
  <c r="BV34" i="62"/>
  <c r="CO33" i="62"/>
  <c r="BV33" i="62"/>
  <c r="CO32" i="62"/>
  <c r="BV32" i="62"/>
  <c r="CO31" i="62"/>
  <c r="BV31" i="62"/>
  <c r="CO30" i="62"/>
  <c r="BV30" i="62"/>
  <c r="CO29" i="62"/>
  <c r="BV29" i="62"/>
  <c r="CO28" i="62"/>
  <c r="BV28" i="62"/>
  <c r="CO27" i="62"/>
  <c r="BV27" i="62"/>
  <c r="CO26" i="62"/>
  <c r="BV26" i="62"/>
  <c r="CO25" i="62"/>
  <c r="BV25" i="62"/>
  <c r="CO24" i="62"/>
  <c r="BV24" i="62"/>
  <c r="CO23" i="62"/>
  <c r="BV23" i="62"/>
  <c r="CO22" i="62"/>
  <c r="BV22" i="62"/>
  <c r="BV113" i="28"/>
  <c r="BV112" i="28"/>
  <c r="BV111" i="28"/>
  <c r="BV110" i="28"/>
  <c r="BV109" i="28"/>
  <c r="BV108" i="28"/>
  <c r="BV107" i="28"/>
  <c r="BV106" i="28"/>
  <c r="BV105" i="28"/>
  <c r="BV104" i="28"/>
  <c r="BV103" i="28"/>
  <c r="BV102" i="28"/>
  <c r="BV101" i="28"/>
  <c r="BV100" i="28"/>
  <c r="BV99" i="28"/>
  <c r="BV98" i="28"/>
  <c r="BV97" i="28"/>
  <c r="BV96" i="28"/>
  <c r="BV95" i="28"/>
  <c r="BV94" i="28"/>
  <c r="BV93" i="28"/>
  <c r="BV92" i="28"/>
  <c r="BV91" i="28"/>
  <c r="BV90" i="28"/>
  <c r="BV89" i="28"/>
  <c r="BV88" i="28"/>
  <c r="BV87" i="28"/>
  <c r="BV86" i="28"/>
  <c r="BV85" i="28"/>
  <c r="BV84" i="28"/>
  <c r="BV83" i="28"/>
  <c r="BV82" i="28"/>
  <c r="BV81" i="28"/>
  <c r="BV80" i="28"/>
  <c r="BV79" i="28"/>
  <c r="BV78" i="28"/>
  <c r="BV77" i="28"/>
  <c r="BV76" i="28"/>
  <c r="BV75" i="28"/>
  <c r="BV74" i="28"/>
  <c r="BV73" i="28"/>
  <c r="BV72" i="28"/>
  <c r="BV71" i="28"/>
  <c r="BV70" i="28"/>
  <c r="BV69" i="28"/>
  <c r="BV68" i="28"/>
  <c r="BV67" i="28"/>
  <c r="BV66" i="28"/>
  <c r="BV65" i="28"/>
  <c r="BV64" i="28"/>
  <c r="BV63" i="28"/>
  <c r="BV62" i="28"/>
  <c r="BV61" i="28"/>
  <c r="BV60" i="28"/>
  <c r="BV59" i="28"/>
  <c r="BV58" i="28"/>
  <c r="BV57" i="28"/>
  <c r="BV56" i="28"/>
  <c r="BV55" i="28"/>
  <c r="BV54" i="28"/>
  <c r="BV53" i="28"/>
  <c r="BV52" i="28"/>
  <c r="BV51" i="28"/>
  <c r="BV50" i="28"/>
  <c r="BV49" i="28"/>
  <c r="BV48" i="28"/>
  <c r="BV47" i="28"/>
  <c r="BV46" i="28"/>
  <c r="BV45" i="28"/>
  <c r="BV44" i="28"/>
  <c r="BV43" i="28"/>
  <c r="BV42" i="28"/>
  <c r="BV41" i="28"/>
  <c r="BV40" i="28"/>
  <c r="BV39" i="28"/>
  <c r="BV38" i="28"/>
  <c r="BV37" i="28"/>
  <c r="BV36" i="28"/>
  <c r="BV35" i="28"/>
  <c r="BV34" i="28"/>
  <c r="BV33" i="28"/>
  <c r="BV32" i="28"/>
  <c r="BV31" i="28"/>
  <c r="BV30" i="28"/>
  <c r="BV29" i="28"/>
  <c r="BV28" i="28"/>
  <c r="BV27" i="28"/>
  <c r="BV26" i="28"/>
  <c r="BV25" i="28"/>
  <c r="BV24" i="28"/>
  <c r="BV23" i="28"/>
  <c r="BV22" i="28"/>
  <c r="BV21" i="28"/>
  <c r="BV20" i="28"/>
  <c r="BV19" i="28"/>
  <c r="BV18" i="28"/>
  <c r="BV17" i="28"/>
  <c r="BV16" i="28"/>
  <c r="BV15" i="28"/>
  <c r="BV14" i="28"/>
  <c r="F47" i="37"/>
  <c r="G97" i="51"/>
  <c r="G98" i="51" s="1"/>
  <c r="G94" i="51" s="1"/>
  <c r="DI14" i="28"/>
  <c r="DD14" i="28" l="1"/>
  <c r="A14" i="28" s="1"/>
  <c r="DA2" i="28" s="1"/>
  <c r="H165" i="22"/>
  <c r="K165" i="22" s="1"/>
  <c r="H289" i="22"/>
  <c r="K289" i="22" s="1" a="1"/>
  <c r="K289" i="22" s="1"/>
  <c r="A116" i="38"/>
  <c r="A115" i="38" s="1"/>
  <c r="A114" i="38" s="1"/>
  <c r="A113" i="38" s="1"/>
  <c r="A112" i="38" s="1"/>
  <c r="A111" i="38" s="1"/>
  <c r="A110" i="38" s="1"/>
  <c r="A109" i="38" s="1"/>
  <c r="A21" i="38"/>
  <c r="A94" i="51"/>
  <c r="G92" i="51"/>
  <c r="A20" i="38"/>
  <c r="A19" i="38" s="1"/>
  <c r="A108" i="38"/>
  <c r="A107" i="38" s="1"/>
  <c r="A106" i="38" s="1"/>
  <c r="A105" i="38" s="1"/>
  <c r="A104" i="38" s="1"/>
  <c r="A103" i="38" s="1"/>
  <c r="A102" i="38" s="1"/>
  <c r="A101" i="38" s="1"/>
  <c r="A100" i="38" s="1"/>
  <c r="A99" i="38" s="1"/>
  <c r="A98" i="38" s="1"/>
  <c r="A97" i="38" s="1"/>
  <c r="A96" i="38" s="1"/>
  <c r="A95" i="38" s="1"/>
  <c r="A94" i="38" s="1"/>
  <c r="A93" i="38" s="1"/>
  <c r="A92" i="38" s="1"/>
  <c r="A91" i="38" s="1"/>
  <c r="A90" i="38" s="1"/>
  <c r="A89" i="38" s="1"/>
  <c r="A88" i="38" s="1"/>
  <c r="A87" i="38" s="1"/>
  <c r="A86" i="38" s="1"/>
  <c r="A85" i="38" s="1"/>
  <c r="A84" i="38" s="1"/>
  <c r="A83" i="38" s="1"/>
  <c r="A82" i="38" s="1"/>
  <c r="A81" i="38" s="1"/>
  <c r="A80" i="38" s="1"/>
  <c r="A79" i="38" s="1"/>
  <c r="A78" i="38" s="1"/>
  <c r="A77" i="38" s="1"/>
  <c r="A76" i="38" s="1"/>
  <c r="A75" i="38" s="1"/>
  <c r="A74" i="38" s="1"/>
  <c r="A73" i="38" s="1"/>
  <c r="A72" i="38" s="1"/>
  <c r="A71" i="38" s="1"/>
  <c r="A70" i="38" s="1"/>
  <c r="A69" i="38" s="1"/>
  <c r="A68" i="38" s="1"/>
  <c r="A67" i="38" s="1"/>
  <c r="A66" i="38" s="1"/>
  <c r="A65" i="38" s="1"/>
  <c r="A64" i="38" s="1"/>
  <c r="A63" i="38" s="1"/>
  <c r="A62" i="38" s="1"/>
  <c r="A61" i="38" s="1"/>
  <c r="A60" i="38" s="1"/>
  <c r="A59" i="38" s="1"/>
  <c r="A58" i="38" s="1"/>
  <c r="A57" i="38" s="1"/>
  <c r="A56" i="38" s="1"/>
  <c r="A55" i="38" s="1"/>
  <c r="A54" i="38" s="1"/>
  <c r="A53" i="38" s="1"/>
  <c r="A52" i="38" s="1"/>
  <c r="A51" i="38" s="1"/>
  <c r="A50" i="38" s="1"/>
  <c r="A49" i="38" s="1"/>
  <c r="A48" i="38" s="1"/>
  <c r="A47" i="38" s="1"/>
  <c r="A46" i="38" s="1"/>
  <c r="A45" i="38" s="1"/>
  <c r="A44" i="38" s="1"/>
  <c r="A43" i="38" s="1"/>
  <c r="A42" i="38" s="1"/>
  <c r="A41" i="38" s="1"/>
  <c r="A40" i="38" s="1"/>
  <c r="A39" i="38" s="1"/>
  <c r="A38" i="38" s="1"/>
  <c r="A37" i="38" s="1"/>
  <c r="A36" i="38" s="1"/>
  <c r="A35" i="38" s="1"/>
  <c r="A34" i="38" s="1"/>
  <c r="A33" i="38" s="1"/>
  <c r="A32" i="38" s="1"/>
  <c r="A31" i="38" s="1"/>
  <c r="A30" i="38" s="1"/>
  <c r="A29" i="38" s="1"/>
  <c r="A28" i="38" s="1"/>
  <c r="A27" i="38" s="1"/>
  <c r="A26" i="38" s="1"/>
  <c r="A25" i="38" s="1"/>
  <c r="A24" i="38" s="1"/>
  <c r="A23" i="38" s="1"/>
  <c r="CP120" i="62"/>
  <c r="CP119" i="62" s="1"/>
  <c r="CP118" i="62" s="1"/>
  <c r="BZ54" i="28"/>
  <c r="CF54" i="28"/>
  <c r="BW54" i="28"/>
  <c r="CG54" i="28"/>
  <c r="CD54" i="28"/>
  <c r="CA54" i="28"/>
  <c r="CB54" i="28"/>
  <c r="CE54" i="28"/>
  <c r="BX54" i="28"/>
  <c r="CC54" i="28"/>
  <c r="BY54" i="28"/>
  <c r="CH54" i="28"/>
  <c r="CH36" i="62"/>
  <c r="CG36" i="62"/>
  <c r="BX36" i="62"/>
  <c r="CA36" i="62"/>
  <c r="CC36" i="62"/>
  <c r="CE36" i="62"/>
  <c r="BZ36" i="62"/>
  <c r="CB36" i="62"/>
  <c r="BW36" i="62"/>
  <c r="BY36" i="62"/>
  <c r="CD36" i="62"/>
  <c r="CF36" i="62"/>
  <c r="CA58" i="62"/>
  <c r="BY58" i="62"/>
  <c r="BX58" i="62"/>
  <c r="CD58" i="62"/>
  <c r="CE58" i="62"/>
  <c r="BZ58" i="62"/>
  <c r="CH58" i="62"/>
  <c r="CG58" i="62"/>
  <c r="CC58" i="62"/>
  <c r="CB58" i="62"/>
  <c r="CF58" i="62"/>
  <c r="BW58" i="62"/>
  <c r="CF91" i="62"/>
  <c r="CD91" i="62"/>
  <c r="CE91" i="62"/>
  <c r="CA91" i="62"/>
  <c r="BW91" i="62"/>
  <c r="BY91" i="62"/>
  <c r="BZ91" i="62"/>
  <c r="CH91" i="62"/>
  <c r="CC91" i="62"/>
  <c r="BX91" i="62"/>
  <c r="CG91" i="62"/>
  <c r="CB91" i="62"/>
  <c r="CF113" i="62"/>
  <c r="CG113" i="62"/>
  <c r="CH113" i="62"/>
  <c r="CB113" i="62"/>
  <c r="CC113" i="62"/>
  <c r="CD113" i="62"/>
  <c r="CE113" i="62"/>
  <c r="CA113" i="62"/>
  <c r="BX113" i="62"/>
  <c r="BY113" i="62"/>
  <c r="BZ113" i="62"/>
  <c r="BW113" i="62"/>
  <c r="CE21" i="39"/>
  <c r="BZ21" i="39"/>
  <c r="BV21" i="39"/>
  <c r="CD21" i="39"/>
  <c r="BW21" i="39"/>
  <c r="CC21" i="39"/>
  <c r="CA21" i="39"/>
  <c r="CG21" i="39"/>
  <c r="BX21" i="39"/>
  <c r="CB21" i="39"/>
  <c r="CF21" i="39"/>
  <c r="BY21" i="39"/>
  <c r="BV43" i="39"/>
  <c r="BW43" i="39"/>
  <c r="BX43" i="39"/>
  <c r="BY43" i="39"/>
  <c r="BZ43" i="39"/>
  <c r="CF43" i="39"/>
  <c r="CD43" i="39"/>
  <c r="CB43" i="39"/>
  <c r="CC43" i="39"/>
  <c r="CG43" i="39"/>
  <c r="CA43" i="39"/>
  <c r="CE43" i="39"/>
  <c r="CF54" i="39"/>
  <c r="CD54" i="39"/>
  <c r="CA54" i="39"/>
  <c r="CC54" i="39"/>
  <c r="BX54" i="39"/>
  <c r="CE54" i="39"/>
  <c r="BV54" i="39"/>
  <c r="BW54" i="39"/>
  <c r="BY54" i="39"/>
  <c r="CG54" i="39"/>
  <c r="CB54" i="39"/>
  <c r="BZ54" i="39"/>
  <c r="BW65" i="39"/>
  <c r="BX65" i="39"/>
  <c r="BY65" i="39"/>
  <c r="CG65" i="39"/>
  <c r="CE65" i="39"/>
  <c r="CC65" i="39"/>
  <c r="CA65" i="39"/>
  <c r="CB65" i="39"/>
  <c r="BZ65" i="39"/>
  <c r="CF65" i="39"/>
  <c r="CD65" i="39"/>
  <c r="BV65" i="39"/>
  <c r="CC76" i="39"/>
  <c r="CF76" i="39"/>
  <c r="BW76" i="39"/>
  <c r="BY76" i="39"/>
  <c r="BV76" i="39"/>
  <c r="CA76" i="39"/>
  <c r="CE76" i="39"/>
  <c r="BZ76" i="39"/>
  <c r="CD76" i="39"/>
  <c r="CG76" i="39"/>
  <c r="BX76" i="39"/>
  <c r="CB76" i="39"/>
  <c r="BW87" i="39"/>
  <c r="BY87" i="39"/>
  <c r="CB87" i="39"/>
  <c r="CC87" i="39"/>
  <c r="CG87" i="39"/>
  <c r="CD87" i="39"/>
  <c r="CA87" i="39"/>
  <c r="BV87" i="39"/>
  <c r="CE87" i="39"/>
  <c r="BX87" i="39"/>
  <c r="BZ87" i="39"/>
  <c r="CF87" i="39"/>
  <c r="CH33" i="28"/>
  <c r="CE33" i="28"/>
  <c r="BZ33" i="28"/>
  <c r="CC33" i="28"/>
  <c r="CB33" i="28"/>
  <c r="BY33" i="28"/>
  <c r="CD33" i="28"/>
  <c r="CG33" i="28"/>
  <c r="CF33" i="28"/>
  <c r="BX33" i="28"/>
  <c r="CA33" i="28"/>
  <c r="BW33" i="28"/>
  <c r="CG78" i="28"/>
  <c r="CB78" i="28"/>
  <c r="BZ78" i="28"/>
  <c r="CE78" i="28"/>
  <c r="CH78" i="28"/>
  <c r="CC78" i="28"/>
  <c r="BY78" i="28"/>
  <c r="CD78" i="28"/>
  <c r="BX78" i="28"/>
  <c r="BW78" i="28"/>
  <c r="CA78" i="28"/>
  <c r="CF78" i="28"/>
  <c r="BZ37" i="62"/>
  <c r="CH37" i="62"/>
  <c r="CC37" i="62"/>
  <c r="CG37" i="62"/>
  <c r="BX37" i="62"/>
  <c r="BW37" i="62"/>
  <c r="CA37" i="62"/>
  <c r="CD37" i="62"/>
  <c r="CB37" i="62"/>
  <c r="CE37" i="62"/>
  <c r="CF37" i="62"/>
  <c r="BY37" i="62"/>
  <c r="CC59" i="62"/>
  <c r="CE59" i="62"/>
  <c r="CH59" i="62"/>
  <c r="BZ59" i="62"/>
  <c r="CB59" i="62"/>
  <c r="BW59" i="62"/>
  <c r="BX59" i="62"/>
  <c r="CD59" i="62"/>
  <c r="CA59" i="62"/>
  <c r="CF59" i="62"/>
  <c r="CG59" i="62"/>
  <c r="BY59" i="62"/>
  <c r="CC70" i="62"/>
  <c r="CG70" i="62"/>
  <c r="CA70" i="62"/>
  <c r="BY70" i="62"/>
  <c r="CF70" i="62"/>
  <c r="BZ70" i="62"/>
  <c r="BX70" i="62"/>
  <c r="CB70" i="62"/>
  <c r="BW70" i="62"/>
  <c r="CD70" i="62"/>
  <c r="CE70" i="62"/>
  <c r="CH70" i="62"/>
  <c r="BX92" i="62"/>
  <c r="BY92" i="62"/>
  <c r="CB92" i="62"/>
  <c r="CE92" i="62"/>
  <c r="CF92" i="62"/>
  <c r="BW92" i="62"/>
  <c r="CC92" i="62"/>
  <c r="CD92" i="62"/>
  <c r="BZ92" i="62"/>
  <c r="CH92" i="62"/>
  <c r="CA92" i="62"/>
  <c r="CG92" i="62"/>
  <c r="CE103" i="62"/>
  <c r="BY103" i="62"/>
  <c r="CA103" i="62"/>
  <c r="CB103" i="62"/>
  <c r="CF103" i="62"/>
  <c r="CG103" i="62"/>
  <c r="CH103" i="62"/>
  <c r="CD103" i="62"/>
  <c r="CC103" i="62"/>
  <c r="BZ103" i="62"/>
  <c r="BW103" i="62"/>
  <c r="BX103" i="62"/>
  <c r="BV22" i="39"/>
  <c r="CF22" i="39"/>
  <c r="BW22" i="39"/>
  <c r="CB22" i="39"/>
  <c r="CG22" i="39"/>
  <c r="CE22" i="39"/>
  <c r="BX22" i="39"/>
  <c r="CD22" i="39"/>
  <c r="CC22" i="39"/>
  <c r="BZ22" i="39"/>
  <c r="BY22" i="39"/>
  <c r="CA22" i="39"/>
  <c r="CC55" i="39"/>
  <c r="CE55" i="39"/>
  <c r="BX55" i="39"/>
  <c r="CF55" i="39"/>
  <c r="BW55" i="39"/>
  <c r="CB55" i="39"/>
  <c r="BY55" i="39"/>
  <c r="BV55" i="39"/>
  <c r="CD55" i="39"/>
  <c r="CA55" i="39"/>
  <c r="BZ55" i="39"/>
  <c r="CG55" i="39"/>
  <c r="CB66" i="39"/>
  <c r="BV66" i="39"/>
  <c r="BZ66" i="39"/>
  <c r="CD66" i="39"/>
  <c r="CC66" i="39"/>
  <c r="BX66" i="39"/>
  <c r="CF66" i="39"/>
  <c r="CA66" i="39"/>
  <c r="BY66" i="39"/>
  <c r="CG66" i="39"/>
  <c r="CE66" i="39"/>
  <c r="BW66" i="39"/>
  <c r="BX77" i="39"/>
  <c r="BV77" i="39"/>
  <c r="BY77" i="39"/>
  <c r="CB77" i="39"/>
  <c r="BW77" i="39"/>
  <c r="CD77" i="39"/>
  <c r="CA77" i="39"/>
  <c r="CG77" i="39"/>
  <c r="CF77" i="39"/>
  <c r="BZ77" i="39"/>
  <c r="CE77" i="39"/>
  <c r="CC77" i="39"/>
  <c r="CG110" i="39"/>
  <c r="CE110" i="39"/>
  <c r="BW110" i="39"/>
  <c r="CF110" i="39"/>
  <c r="CC110" i="39"/>
  <c r="BV110" i="39"/>
  <c r="BY110" i="39"/>
  <c r="CD110" i="39"/>
  <c r="BX110" i="39"/>
  <c r="CB110" i="39"/>
  <c r="CA110" i="39"/>
  <c r="BZ110" i="39"/>
  <c r="CF101" i="28"/>
  <c r="BZ101" i="28"/>
  <c r="CA101" i="28"/>
  <c r="CD101" i="28"/>
  <c r="BY101" i="28"/>
  <c r="CB101" i="28"/>
  <c r="CC101" i="28"/>
  <c r="BX101" i="28"/>
  <c r="CG101" i="28"/>
  <c r="BW101" i="28"/>
  <c r="CH101" i="28"/>
  <c r="CE101" i="28"/>
  <c r="BX58" i="28"/>
  <c r="BY58" i="28"/>
  <c r="BZ58" i="28"/>
  <c r="CH58" i="28"/>
  <c r="CC58" i="28"/>
  <c r="BW58" i="28"/>
  <c r="CE58" i="28"/>
  <c r="CB58" i="28"/>
  <c r="CD58" i="28"/>
  <c r="CG58" i="28"/>
  <c r="CA58" i="28"/>
  <c r="CF58" i="28"/>
  <c r="BY27" i="62"/>
  <c r="CF27" i="62"/>
  <c r="CA27" i="62"/>
  <c r="CD27" i="62"/>
  <c r="CC27" i="62"/>
  <c r="CG27" i="62"/>
  <c r="CH27" i="62"/>
  <c r="CE27" i="62"/>
  <c r="BW27" i="62"/>
  <c r="BZ27" i="62"/>
  <c r="CB27" i="62"/>
  <c r="BX27" i="62"/>
  <c r="BW104" i="62"/>
  <c r="BY104" i="62"/>
  <c r="CG104" i="62"/>
  <c r="CH104" i="62"/>
  <c r="CB104" i="62"/>
  <c r="CC104" i="62"/>
  <c r="CD104" i="62"/>
  <c r="CE104" i="62"/>
  <c r="CA104" i="62"/>
  <c r="BX104" i="62"/>
  <c r="BZ104" i="62"/>
  <c r="CF104" i="62"/>
  <c r="BX89" i="39"/>
  <c r="CF89" i="39"/>
  <c r="CA89" i="39"/>
  <c r="BY89" i="39"/>
  <c r="CD89" i="39"/>
  <c r="BZ89" i="39"/>
  <c r="CE89" i="39"/>
  <c r="BW89" i="39"/>
  <c r="CG89" i="39"/>
  <c r="BV89" i="39"/>
  <c r="CC89" i="39"/>
  <c r="CB89" i="39"/>
  <c r="CE15" i="28"/>
  <c r="BX15" i="28"/>
  <c r="CH15" i="28"/>
  <c r="BW15" i="28"/>
  <c r="CA15" i="28"/>
  <c r="BY15" i="28"/>
  <c r="CD15" i="28"/>
  <c r="CF15" i="28"/>
  <c r="CB15" i="28"/>
  <c r="CG15" i="28"/>
  <c r="BZ15" i="28"/>
  <c r="CC15" i="28"/>
  <c r="CD37" i="28"/>
  <c r="CE37" i="28"/>
  <c r="BX37" i="28"/>
  <c r="CA37" i="28"/>
  <c r="CC37" i="28"/>
  <c r="CB37" i="28"/>
  <c r="CG37" i="28"/>
  <c r="BZ37" i="28"/>
  <c r="BW37" i="28"/>
  <c r="CH37" i="28"/>
  <c r="BY37" i="28"/>
  <c r="CF37" i="28"/>
  <c r="CC59" i="28"/>
  <c r="CA59" i="28"/>
  <c r="CH59" i="28"/>
  <c r="CB59" i="28"/>
  <c r="BY59" i="28"/>
  <c r="BX59" i="28"/>
  <c r="CD59" i="28"/>
  <c r="CG59" i="28"/>
  <c r="CF59" i="28"/>
  <c r="CE59" i="28"/>
  <c r="BZ59" i="28"/>
  <c r="BW59" i="28"/>
  <c r="CE81" i="28"/>
  <c r="CC81" i="28"/>
  <c r="CF81" i="28"/>
  <c r="CD81" i="28"/>
  <c r="BW81" i="28"/>
  <c r="BX81" i="28"/>
  <c r="CG81" i="28"/>
  <c r="BY81" i="28"/>
  <c r="CH81" i="28"/>
  <c r="CA81" i="28"/>
  <c r="CB81" i="28"/>
  <c r="BZ81" i="28"/>
  <c r="BZ103" i="28"/>
  <c r="CB103" i="28"/>
  <c r="BW103" i="28"/>
  <c r="CC103" i="28"/>
  <c r="CG103" i="28"/>
  <c r="CF103" i="28"/>
  <c r="BX103" i="28"/>
  <c r="CE103" i="28"/>
  <c r="CA103" i="28"/>
  <c r="CH103" i="28"/>
  <c r="CD103" i="28"/>
  <c r="BY103" i="28"/>
  <c r="BW16" i="28"/>
  <c r="CA16" i="28"/>
  <c r="CC16" i="28"/>
  <c r="BX16" i="28"/>
  <c r="CB16" i="28"/>
  <c r="CE16" i="28"/>
  <c r="CD16" i="28"/>
  <c r="CG16" i="28"/>
  <c r="CF16" i="28"/>
  <c r="BY16" i="28"/>
  <c r="BZ16" i="28"/>
  <c r="CH16" i="28"/>
  <c r="CB38" i="28"/>
  <c r="CC38" i="28"/>
  <c r="CF38" i="28"/>
  <c r="BZ38" i="28"/>
  <c r="CH38" i="28"/>
  <c r="CD38" i="28"/>
  <c r="CA38" i="28"/>
  <c r="BW38" i="28"/>
  <c r="CG38" i="28"/>
  <c r="CE38" i="28"/>
  <c r="BX38" i="28"/>
  <c r="BY38" i="28"/>
  <c r="CA60" i="28"/>
  <c r="BZ60" i="28"/>
  <c r="CH60" i="28"/>
  <c r="CC60" i="28"/>
  <c r="BW60" i="28"/>
  <c r="CG60" i="28"/>
  <c r="CE60" i="28"/>
  <c r="CF60" i="28"/>
  <c r="BY60" i="28"/>
  <c r="BX60" i="28"/>
  <c r="CD60" i="28"/>
  <c r="CB60" i="28"/>
  <c r="BW82" i="28"/>
  <c r="CB82" i="28"/>
  <c r="BX82" i="28"/>
  <c r="CH82" i="28"/>
  <c r="BY82" i="28"/>
  <c r="CA82" i="28"/>
  <c r="CF82" i="28"/>
  <c r="CE82" i="28"/>
  <c r="CD82" i="28"/>
  <c r="CG82" i="28"/>
  <c r="CC82" i="28"/>
  <c r="BZ82" i="28"/>
  <c r="BY104" i="28"/>
  <c r="CB104" i="28"/>
  <c r="CC104" i="28"/>
  <c r="CG104" i="28"/>
  <c r="CF104" i="28"/>
  <c r="CE104" i="28"/>
  <c r="CH104" i="28"/>
  <c r="CD104" i="28"/>
  <c r="BW104" i="28"/>
  <c r="BZ104" i="28"/>
  <c r="BX104" i="28"/>
  <c r="CA104" i="28"/>
  <c r="CD28" i="62"/>
  <c r="BZ28" i="62"/>
  <c r="CG28" i="62"/>
  <c r="CH28" i="62"/>
  <c r="CF28" i="62"/>
  <c r="CC28" i="62"/>
  <c r="BY28" i="62"/>
  <c r="CB28" i="62"/>
  <c r="CA28" i="62"/>
  <c r="CE28" i="62"/>
  <c r="BX28" i="62"/>
  <c r="BW28" i="62"/>
  <c r="CC39" i="62"/>
  <c r="BZ39" i="62"/>
  <c r="CG39" i="62"/>
  <c r="BY39" i="62"/>
  <c r="CE39" i="62"/>
  <c r="BW39" i="62"/>
  <c r="CB39" i="62"/>
  <c r="BX39" i="62"/>
  <c r="CD39" i="62"/>
  <c r="CA39" i="62"/>
  <c r="CF39" i="62"/>
  <c r="CH39" i="62"/>
  <c r="BZ50" i="62"/>
  <c r="CF50" i="62"/>
  <c r="CE50" i="62"/>
  <c r="CA50" i="62"/>
  <c r="CB50" i="62"/>
  <c r="CD50" i="62"/>
  <c r="CH50" i="62"/>
  <c r="CC50" i="62"/>
  <c r="BW50" i="62"/>
  <c r="BX50" i="62"/>
  <c r="CG50" i="62"/>
  <c r="BY50" i="62"/>
  <c r="BY61" i="62"/>
  <c r="BX61" i="62"/>
  <c r="BW61" i="62"/>
  <c r="CB61" i="62"/>
  <c r="CA61" i="62"/>
  <c r="CE61" i="62"/>
  <c r="CF61" i="62"/>
  <c r="CC61" i="62"/>
  <c r="CH61" i="62"/>
  <c r="BZ61" i="62"/>
  <c r="CD61" i="62"/>
  <c r="CG61" i="62"/>
  <c r="BY72" i="62"/>
  <c r="CF72" i="62"/>
  <c r="BW72" i="62"/>
  <c r="BZ72" i="62"/>
  <c r="BX72" i="62"/>
  <c r="CE72" i="62"/>
  <c r="CB72" i="62"/>
  <c r="CG72" i="62"/>
  <c r="CH72" i="62"/>
  <c r="CD72" i="62"/>
  <c r="CA72" i="62"/>
  <c r="CC72" i="62"/>
  <c r="CC83" i="62"/>
  <c r="CG83" i="62"/>
  <c r="CD83" i="62"/>
  <c r="CE83" i="62"/>
  <c r="CF83" i="62"/>
  <c r="BW83" i="62"/>
  <c r="BY83" i="62"/>
  <c r="CA83" i="62"/>
  <c r="CH83" i="62"/>
  <c r="BX83" i="62"/>
  <c r="BZ83" i="62"/>
  <c r="CB83" i="62"/>
  <c r="BW94" i="62"/>
  <c r="BZ94" i="62"/>
  <c r="CF94" i="62"/>
  <c r="BX94" i="62"/>
  <c r="BY94" i="62"/>
  <c r="CG94" i="62"/>
  <c r="CH94" i="62"/>
  <c r="CB94" i="62"/>
  <c r="CC94" i="62"/>
  <c r="CD94" i="62"/>
  <c r="CE94" i="62"/>
  <c r="CA94" i="62"/>
  <c r="BW105" i="62"/>
  <c r="BX105" i="62"/>
  <c r="CE105" i="62"/>
  <c r="CF105" i="62"/>
  <c r="CA105" i="62"/>
  <c r="CH105" i="62"/>
  <c r="CG105" i="62"/>
  <c r="CC105" i="62"/>
  <c r="BY105" i="62"/>
  <c r="BZ105" i="62"/>
  <c r="CB105" i="62"/>
  <c r="CD105" i="62"/>
  <c r="BW116" i="62"/>
  <c r="BZ116" i="62"/>
  <c r="CF116" i="62"/>
  <c r="BX116" i="62"/>
  <c r="BY116" i="62"/>
  <c r="CG116" i="62"/>
  <c r="CH116" i="62"/>
  <c r="CE116" i="62"/>
  <c r="CA116" i="62"/>
  <c r="CB116" i="62"/>
  <c r="CC116" i="62"/>
  <c r="CD116" i="62"/>
  <c r="CF24" i="39"/>
  <c r="BX24" i="39"/>
  <c r="CA24" i="39"/>
  <c r="CD24" i="39"/>
  <c r="BZ24" i="39"/>
  <c r="CB24" i="39"/>
  <c r="CE24" i="39"/>
  <c r="BV24" i="39"/>
  <c r="CG24" i="39"/>
  <c r="BY24" i="39"/>
  <c r="CC24" i="39"/>
  <c r="BW24" i="39"/>
  <c r="BZ35" i="39"/>
  <c r="CE35" i="39"/>
  <c r="CA35" i="39"/>
  <c r="CB35" i="39"/>
  <c r="CG35" i="39"/>
  <c r="BX35" i="39"/>
  <c r="BY35" i="39"/>
  <c r="CC35" i="39"/>
  <c r="CD35" i="39"/>
  <c r="CF35" i="39"/>
  <c r="BW35" i="39"/>
  <c r="BV35" i="39"/>
  <c r="CG46" i="39"/>
  <c r="CA46" i="39"/>
  <c r="CD46" i="39"/>
  <c r="CB46" i="39"/>
  <c r="BX46" i="39"/>
  <c r="BY46" i="39"/>
  <c r="BV46" i="39"/>
  <c r="CE46" i="39"/>
  <c r="CC46" i="39"/>
  <c r="CF46" i="39"/>
  <c r="BW46" i="39"/>
  <c r="BZ46" i="39"/>
  <c r="CE57" i="39"/>
  <c r="CG57" i="39"/>
  <c r="CF57" i="39"/>
  <c r="CB57" i="39"/>
  <c r="BZ57" i="39"/>
  <c r="BX57" i="39"/>
  <c r="CA57" i="39"/>
  <c r="CD57" i="39"/>
  <c r="CC57" i="39"/>
  <c r="BW57" i="39"/>
  <c r="BY57" i="39"/>
  <c r="BV57" i="39"/>
  <c r="BY68" i="39"/>
  <c r="CG68" i="39"/>
  <c r="CD68" i="39"/>
  <c r="BV68" i="39"/>
  <c r="BX68" i="39"/>
  <c r="CB68" i="39"/>
  <c r="CC68" i="39"/>
  <c r="BZ68" i="39"/>
  <c r="CE68" i="39"/>
  <c r="CF68" i="39"/>
  <c r="CA68" i="39"/>
  <c r="BW68" i="39"/>
  <c r="CC79" i="39"/>
  <c r="BW79" i="39"/>
  <c r="CD79" i="39"/>
  <c r="CB79" i="39"/>
  <c r="BY79" i="39"/>
  <c r="CE79" i="39"/>
  <c r="CG79" i="39"/>
  <c r="BX79" i="39"/>
  <c r="CF79" i="39"/>
  <c r="CA79" i="39"/>
  <c r="BZ79" i="39"/>
  <c r="BV79" i="39"/>
  <c r="BZ90" i="39"/>
  <c r="BV90" i="39"/>
  <c r="CE90" i="39"/>
  <c r="BX90" i="39"/>
  <c r="CF90" i="39"/>
  <c r="CG90" i="39"/>
  <c r="CC90" i="39"/>
  <c r="CB90" i="39"/>
  <c r="CD90" i="39"/>
  <c r="BY90" i="39"/>
  <c r="BW90" i="39"/>
  <c r="CA90" i="39"/>
  <c r="BY101" i="39"/>
  <c r="BX101" i="39"/>
  <c r="BW101" i="39"/>
  <c r="CB101" i="39"/>
  <c r="CD101" i="39"/>
  <c r="CC101" i="39"/>
  <c r="BZ101" i="39"/>
  <c r="CG101" i="39"/>
  <c r="CE101" i="39"/>
  <c r="BV101" i="39"/>
  <c r="CA101" i="39"/>
  <c r="CF101" i="39"/>
  <c r="CC112" i="39"/>
  <c r="CG112" i="39"/>
  <c r="CB112" i="39"/>
  <c r="CD112" i="39"/>
  <c r="CE112" i="39"/>
  <c r="BW112" i="39"/>
  <c r="BY112" i="39"/>
  <c r="CA112" i="39"/>
  <c r="BX112" i="39"/>
  <c r="BV112" i="39"/>
  <c r="CF112" i="39"/>
  <c r="BZ112" i="39"/>
  <c r="CC17" i="28"/>
  <c r="BX17" i="28"/>
  <c r="BY17" i="28"/>
  <c r="CF17" i="28"/>
  <c r="CH17" i="28"/>
  <c r="BZ17" i="28"/>
  <c r="CG17" i="28"/>
  <c r="CE17" i="28"/>
  <c r="CD17" i="28"/>
  <c r="CA17" i="28"/>
  <c r="BW17" i="28"/>
  <c r="CB17" i="28"/>
  <c r="CA39" i="28"/>
  <c r="CE39" i="28"/>
  <c r="CB39" i="28"/>
  <c r="CG39" i="28"/>
  <c r="CC39" i="28"/>
  <c r="BY39" i="28"/>
  <c r="CD39" i="28"/>
  <c r="BW39" i="28"/>
  <c r="CF39" i="28"/>
  <c r="BX39" i="28"/>
  <c r="CH39" i="28"/>
  <c r="BZ39" i="28"/>
  <c r="BZ61" i="28"/>
  <c r="CG61" i="28"/>
  <c r="BW61" i="28"/>
  <c r="CD61" i="28"/>
  <c r="CC61" i="28"/>
  <c r="CB61" i="28"/>
  <c r="CA61" i="28"/>
  <c r="BY61" i="28"/>
  <c r="CE61" i="28"/>
  <c r="CF61" i="28"/>
  <c r="BX61" i="28"/>
  <c r="CH61" i="28"/>
  <c r="CD83" i="28"/>
  <c r="CE83" i="28"/>
  <c r="CG83" i="28"/>
  <c r="CF83" i="28"/>
  <c r="CA83" i="28"/>
  <c r="CB83" i="28"/>
  <c r="BW83" i="28"/>
  <c r="BZ83" i="28"/>
  <c r="BY83" i="28"/>
  <c r="BX83" i="28"/>
  <c r="CC83" i="28"/>
  <c r="CH83" i="28"/>
  <c r="BY105" i="28"/>
  <c r="CF105" i="28"/>
  <c r="CD105" i="28"/>
  <c r="CG105" i="28"/>
  <c r="BW105" i="28"/>
  <c r="CA105" i="28"/>
  <c r="CE105" i="28"/>
  <c r="CB105" i="28"/>
  <c r="BX105" i="28"/>
  <c r="BZ105" i="28"/>
  <c r="CC105" i="28"/>
  <c r="CH105" i="28"/>
  <c r="CA31" i="28"/>
  <c r="CB31" i="28"/>
  <c r="CF31" i="28"/>
  <c r="CG31" i="28"/>
  <c r="CE31" i="28"/>
  <c r="CD31" i="28"/>
  <c r="BX31" i="28"/>
  <c r="BZ31" i="28"/>
  <c r="BY31" i="28"/>
  <c r="CH31" i="28"/>
  <c r="CP31" i="28" s="1"/>
  <c r="CC31" i="28"/>
  <c r="BW31" i="28"/>
  <c r="BZ47" i="62"/>
  <c r="CA47" i="62"/>
  <c r="CG47" i="62"/>
  <c r="BW47" i="62"/>
  <c r="CH47" i="62"/>
  <c r="BX47" i="62"/>
  <c r="CC47" i="62"/>
  <c r="CF47" i="62"/>
  <c r="CB47" i="62"/>
  <c r="CE47" i="62"/>
  <c r="BY47" i="62"/>
  <c r="CD47" i="62"/>
  <c r="BW34" i="28"/>
  <c r="BX34" i="28"/>
  <c r="CE34" i="28"/>
  <c r="CF34" i="28"/>
  <c r="CD34" i="28"/>
  <c r="BZ34" i="28"/>
  <c r="CC34" i="28"/>
  <c r="CH34" i="28"/>
  <c r="CA34" i="28"/>
  <c r="CG34" i="28"/>
  <c r="CB34" i="28"/>
  <c r="BY34" i="28"/>
  <c r="CC57" i="28"/>
  <c r="BW57" i="28"/>
  <c r="BX57" i="28"/>
  <c r="CA57" i="28"/>
  <c r="CH57" i="28"/>
  <c r="CE57" i="28"/>
  <c r="CG57" i="28"/>
  <c r="CB57" i="28"/>
  <c r="CD57" i="28"/>
  <c r="BY57" i="28"/>
  <c r="CF57" i="28"/>
  <c r="BZ57" i="28"/>
  <c r="BW82" i="62"/>
  <c r="BZ82" i="62"/>
  <c r="CC82" i="62"/>
  <c r="CD82" i="62"/>
  <c r="BX82" i="62"/>
  <c r="CA82" i="62"/>
  <c r="CB82" i="62"/>
  <c r="CE82" i="62"/>
  <c r="BY82" i="62"/>
  <c r="CF82" i="62"/>
  <c r="CG82" i="62"/>
  <c r="CH82" i="62"/>
  <c r="CE106" i="28"/>
  <c r="CB106" i="28"/>
  <c r="BX106" i="28"/>
  <c r="BZ106" i="28"/>
  <c r="CD106" i="28"/>
  <c r="CG106" i="28"/>
  <c r="CF106" i="28"/>
  <c r="CA106" i="28"/>
  <c r="CC106" i="28"/>
  <c r="BW106" i="28"/>
  <c r="BY106" i="28"/>
  <c r="CH106" i="28"/>
  <c r="BW91" i="39"/>
  <c r="BX91" i="39"/>
  <c r="BV91" i="39"/>
  <c r="BY91" i="39"/>
  <c r="CD91" i="39"/>
  <c r="CA91" i="39"/>
  <c r="BZ91" i="39"/>
  <c r="CG91" i="39"/>
  <c r="CE91" i="39"/>
  <c r="CC91" i="39"/>
  <c r="CF91" i="39"/>
  <c r="CB91" i="39"/>
  <c r="CF20" i="28"/>
  <c r="CE20" i="28"/>
  <c r="BW20" i="28"/>
  <c r="CG20" i="28"/>
  <c r="CA20" i="28"/>
  <c r="CD20" i="28"/>
  <c r="CB20" i="28"/>
  <c r="BY20" i="28"/>
  <c r="BZ20" i="28"/>
  <c r="CH20" i="28"/>
  <c r="BX20" i="28"/>
  <c r="CC20" i="28"/>
  <c r="BZ42" i="28"/>
  <c r="CA42" i="28"/>
  <c r="CG42" i="28"/>
  <c r="CD42" i="28"/>
  <c r="CF42" i="28"/>
  <c r="CE42" i="28"/>
  <c r="BY42" i="28"/>
  <c r="BX42" i="28"/>
  <c r="CH42" i="28"/>
  <c r="CB42" i="28"/>
  <c r="CC42" i="28"/>
  <c r="BW42" i="28"/>
  <c r="CH64" i="28"/>
  <c r="CE64" i="28"/>
  <c r="CA64" i="28"/>
  <c r="CF64" i="28"/>
  <c r="BY64" i="28"/>
  <c r="CD64" i="28"/>
  <c r="CG64" i="28"/>
  <c r="CC64" i="28"/>
  <c r="BW64" i="28"/>
  <c r="CB64" i="28"/>
  <c r="BX64" i="28"/>
  <c r="BZ64" i="28"/>
  <c r="CC86" i="28"/>
  <c r="CG86" i="28"/>
  <c r="CD86" i="28"/>
  <c r="BY86" i="28"/>
  <c r="BZ86" i="28"/>
  <c r="BW86" i="28"/>
  <c r="BX86" i="28"/>
  <c r="CA86" i="28"/>
  <c r="CF86" i="28"/>
  <c r="CE86" i="28"/>
  <c r="CH86" i="28"/>
  <c r="CB86" i="28"/>
  <c r="CC108" i="28"/>
  <c r="CA108" i="28"/>
  <c r="CB108" i="28"/>
  <c r="BX108" i="28"/>
  <c r="BW108" i="28"/>
  <c r="CG108" i="28"/>
  <c r="BY108" i="28"/>
  <c r="CD108" i="28"/>
  <c r="CE108" i="28"/>
  <c r="BZ108" i="28"/>
  <c r="CH108" i="28"/>
  <c r="CF108" i="28"/>
  <c r="CH30" i="62"/>
  <c r="CG30" i="62"/>
  <c r="BZ30" i="62"/>
  <c r="CD30" i="62"/>
  <c r="BW30" i="62"/>
  <c r="BY30" i="62"/>
  <c r="BX30" i="62"/>
  <c r="CC30" i="62"/>
  <c r="CA30" i="62"/>
  <c r="CF30" i="62"/>
  <c r="CB30" i="62"/>
  <c r="CE30" i="62"/>
  <c r="BZ41" i="62"/>
  <c r="CF41" i="62"/>
  <c r="BY41" i="62"/>
  <c r="CD41" i="62"/>
  <c r="CE41" i="62"/>
  <c r="BW41" i="62"/>
  <c r="CB41" i="62"/>
  <c r="CG41" i="62"/>
  <c r="CC41" i="62"/>
  <c r="BX41" i="62"/>
  <c r="CA41" i="62"/>
  <c r="CH41" i="62"/>
  <c r="CB52" i="62"/>
  <c r="CC52" i="62"/>
  <c r="CD52" i="62"/>
  <c r="BX52" i="62"/>
  <c r="CH52" i="62"/>
  <c r="BZ52" i="62"/>
  <c r="BY52" i="62"/>
  <c r="BW52" i="62"/>
  <c r="CG52" i="62"/>
  <c r="CA52" i="62"/>
  <c r="CF52" i="62"/>
  <c r="CE52" i="62"/>
  <c r="BX63" i="62"/>
  <c r="CA63" i="62"/>
  <c r="CC63" i="62"/>
  <c r="CD63" i="62"/>
  <c r="BY63" i="62"/>
  <c r="CH63" i="62"/>
  <c r="CE63" i="62"/>
  <c r="BW63" i="62"/>
  <c r="CF63" i="62"/>
  <c r="CG63" i="62"/>
  <c r="CB63" i="62"/>
  <c r="BZ63" i="62"/>
  <c r="BY74" i="62"/>
  <c r="BZ74" i="62"/>
  <c r="CE74" i="62"/>
  <c r="CF74" i="62"/>
  <c r="CG74" i="62"/>
  <c r="CD74" i="62"/>
  <c r="BX74" i="62"/>
  <c r="CA74" i="62"/>
  <c r="BW74" i="62"/>
  <c r="CH74" i="62"/>
  <c r="CB74" i="62"/>
  <c r="CC74" i="62"/>
  <c r="BZ85" i="62"/>
  <c r="CF85" i="62"/>
  <c r="CH85" i="62"/>
  <c r="CD85" i="62"/>
  <c r="CE85" i="62"/>
  <c r="BW85" i="62"/>
  <c r="BY85" i="62"/>
  <c r="BX85" i="62"/>
  <c r="CA85" i="62"/>
  <c r="CG85" i="62"/>
  <c r="CB85" i="62"/>
  <c r="CC85" i="62"/>
  <c r="BW96" i="62"/>
  <c r="BX96" i="62"/>
  <c r="BZ96" i="62"/>
  <c r="BY96" i="62"/>
  <c r="CA96" i="62"/>
  <c r="CE96" i="62"/>
  <c r="CB96" i="62"/>
  <c r="CF96" i="62"/>
  <c r="CG96" i="62"/>
  <c r="CD96" i="62"/>
  <c r="CH96" i="62"/>
  <c r="CC96" i="62"/>
  <c r="BW107" i="62"/>
  <c r="BX107" i="62"/>
  <c r="BZ107" i="62"/>
  <c r="CF107" i="62"/>
  <c r="BY107" i="62"/>
  <c r="CG107" i="62"/>
  <c r="CC107" i="62"/>
  <c r="CH107" i="62"/>
  <c r="CB107" i="62"/>
  <c r="CD107" i="62"/>
  <c r="CE107" i="62"/>
  <c r="CA107" i="62"/>
  <c r="BW118" i="62"/>
  <c r="CG118" i="62"/>
  <c r="CH118" i="62"/>
  <c r="CC118" i="62"/>
  <c r="CD118" i="62"/>
  <c r="CE118" i="62"/>
  <c r="BX118" i="62"/>
  <c r="BZ118" i="62"/>
  <c r="BY118" i="62"/>
  <c r="CA118" i="62"/>
  <c r="CB118" i="62"/>
  <c r="CF118" i="62"/>
  <c r="BW26" i="39"/>
  <c r="CD26" i="39"/>
  <c r="BY26" i="39"/>
  <c r="CC26" i="39"/>
  <c r="CG26" i="39"/>
  <c r="CA26" i="39"/>
  <c r="CE26" i="39"/>
  <c r="BX26" i="39"/>
  <c r="CB26" i="39"/>
  <c r="BV26" i="39"/>
  <c r="BZ26" i="39"/>
  <c r="CF26" i="39"/>
  <c r="CC37" i="39"/>
  <c r="CE37" i="39"/>
  <c r="CA37" i="39"/>
  <c r="BY37" i="39"/>
  <c r="CF37" i="39"/>
  <c r="BW37" i="39"/>
  <c r="BZ37" i="39"/>
  <c r="BV37" i="39"/>
  <c r="CD37" i="39"/>
  <c r="CB37" i="39"/>
  <c r="CG37" i="39"/>
  <c r="BX37" i="39"/>
  <c r="BW48" i="39"/>
  <c r="CB48" i="39"/>
  <c r="CA48" i="39"/>
  <c r="CC48" i="39"/>
  <c r="BV48" i="39"/>
  <c r="CG48" i="39"/>
  <c r="BZ48" i="39"/>
  <c r="CE48" i="39"/>
  <c r="CF48" i="39"/>
  <c r="CD48" i="39"/>
  <c r="BX48" i="39"/>
  <c r="BY48" i="39"/>
  <c r="BV59" i="39"/>
  <c r="CB59" i="39"/>
  <c r="BZ59" i="39"/>
  <c r="CC59" i="39"/>
  <c r="CE59" i="39"/>
  <c r="CF59" i="39"/>
  <c r="CD59" i="39"/>
  <c r="CG59" i="39"/>
  <c r="BY59" i="39"/>
  <c r="CA59" i="39"/>
  <c r="BX59" i="39"/>
  <c r="BW59" i="39"/>
  <c r="CD70" i="39"/>
  <c r="CA70" i="39"/>
  <c r="BW70" i="39"/>
  <c r="CE70" i="39"/>
  <c r="CB70" i="39"/>
  <c r="CG70" i="39"/>
  <c r="BY70" i="39"/>
  <c r="BV70" i="39"/>
  <c r="CC70" i="39"/>
  <c r="BZ70" i="39"/>
  <c r="CF70" i="39"/>
  <c r="BX70" i="39"/>
  <c r="CA81" i="39"/>
  <c r="BX81" i="39"/>
  <c r="CC81" i="39"/>
  <c r="CD81" i="39"/>
  <c r="BW81" i="39"/>
  <c r="BV81" i="39"/>
  <c r="CG81" i="39"/>
  <c r="CF81" i="39"/>
  <c r="CB81" i="39"/>
  <c r="BZ81" i="39"/>
  <c r="BY81" i="39"/>
  <c r="CE81" i="39"/>
  <c r="BX92" i="39"/>
  <c r="CB92" i="39"/>
  <c r="CA92" i="39"/>
  <c r="CF92" i="39"/>
  <c r="CC92" i="39"/>
  <c r="CD92" i="39"/>
  <c r="BZ92" i="39"/>
  <c r="BY92" i="39"/>
  <c r="BV92" i="39"/>
  <c r="BW92" i="39"/>
  <c r="CG92" i="39"/>
  <c r="CE92" i="39"/>
  <c r="BW103" i="39"/>
  <c r="CA103" i="39"/>
  <c r="BZ103" i="39"/>
  <c r="BX103" i="39"/>
  <c r="CE103" i="39"/>
  <c r="CC103" i="39"/>
  <c r="BV103" i="39"/>
  <c r="CF103" i="39"/>
  <c r="BY103" i="39"/>
  <c r="CD103" i="39"/>
  <c r="CB103" i="39"/>
  <c r="CG103" i="39"/>
  <c r="CB114" i="39"/>
  <c r="CE114" i="39"/>
  <c r="CF114" i="39"/>
  <c r="CC114" i="39"/>
  <c r="BV114" i="39"/>
  <c r="CA114" i="39"/>
  <c r="BY114" i="39"/>
  <c r="BW114" i="39"/>
  <c r="BZ114" i="39"/>
  <c r="CD114" i="39"/>
  <c r="BX114" i="39"/>
  <c r="CG114" i="39"/>
  <c r="CD98" i="28"/>
  <c r="BY98" i="28"/>
  <c r="BW98" i="28"/>
  <c r="BX98" i="28"/>
  <c r="CG98" i="28"/>
  <c r="CB98" i="28"/>
  <c r="CA98" i="28"/>
  <c r="CE98" i="28"/>
  <c r="CC98" i="28"/>
  <c r="CF98" i="28"/>
  <c r="CH98" i="28"/>
  <c r="BZ98" i="28"/>
  <c r="BZ14" i="28"/>
  <c r="CE14" i="28"/>
  <c r="BW14" i="28"/>
  <c r="CF14" i="28"/>
  <c r="CC14" i="28"/>
  <c r="CA14" i="28"/>
  <c r="BY14" i="28"/>
  <c r="BX14" i="28"/>
  <c r="CH14" i="28"/>
  <c r="CB14" i="28"/>
  <c r="CD14" i="28"/>
  <c r="CG14" i="28"/>
  <c r="CC78" i="39"/>
  <c r="BX78" i="39"/>
  <c r="CA78" i="39"/>
  <c r="CE78" i="39"/>
  <c r="BV78" i="39"/>
  <c r="BZ78" i="39"/>
  <c r="CB78" i="39"/>
  <c r="BW78" i="39"/>
  <c r="CF78" i="39"/>
  <c r="BY78" i="39"/>
  <c r="CG78" i="39"/>
  <c r="CD78" i="39"/>
  <c r="BW95" i="62"/>
  <c r="BX95" i="62"/>
  <c r="BY95" i="62"/>
  <c r="BZ95" i="62"/>
  <c r="CC95" i="62"/>
  <c r="CD95" i="62"/>
  <c r="CE95" i="62"/>
  <c r="CF95" i="62"/>
  <c r="CA95" i="62"/>
  <c r="CG95" i="62"/>
  <c r="CH95" i="62"/>
  <c r="CB95" i="62"/>
  <c r="CF21" i="28"/>
  <c r="BX21" i="28"/>
  <c r="BW21" i="28"/>
  <c r="CD21" i="28"/>
  <c r="BZ21" i="28"/>
  <c r="CB21" i="28"/>
  <c r="CH21" i="28"/>
  <c r="CC21" i="28"/>
  <c r="BY21" i="28"/>
  <c r="CG21" i="28"/>
  <c r="CE21" i="28"/>
  <c r="CA21" i="28"/>
  <c r="CC43" i="28"/>
  <c r="CA43" i="28"/>
  <c r="CH43" i="28"/>
  <c r="CF43" i="28"/>
  <c r="CE43" i="28"/>
  <c r="CB43" i="28"/>
  <c r="BW43" i="28"/>
  <c r="BX43" i="28"/>
  <c r="BY43" i="28"/>
  <c r="BZ43" i="28"/>
  <c r="CG43" i="28"/>
  <c r="CD43" i="28"/>
  <c r="CG65" i="28"/>
  <c r="CH65" i="28"/>
  <c r="CE65" i="28"/>
  <c r="BX65" i="28"/>
  <c r="BY65" i="28"/>
  <c r="BW65" i="28"/>
  <c r="CD65" i="28"/>
  <c r="CA65" i="28"/>
  <c r="BZ65" i="28"/>
  <c r="CF65" i="28"/>
  <c r="CC65" i="28"/>
  <c r="CB65" i="28"/>
  <c r="CB87" i="28"/>
  <c r="CA87" i="28"/>
  <c r="CE87" i="28"/>
  <c r="CC87" i="28"/>
  <c r="BZ87" i="28"/>
  <c r="CG87" i="28"/>
  <c r="CF87" i="28"/>
  <c r="BW87" i="28"/>
  <c r="BY87" i="28"/>
  <c r="CH87" i="28"/>
  <c r="CD87" i="28"/>
  <c r="BX87" i="28"/>
  <c r="CD109" i="28"/>
  <c r="BW109" i="28"/>
  <c r="BZ109" i="28"/>
  <c r="CA109" i="28"/>
  <c r="CC109" i="28"/>
  <c r="CH109" i="28"/>
  <c r="CB109" i="28"/>
  <c r="CF109" i="28"/>
  <c r="BY109" i="28"/>
  <c r="BX109" i="28"/>
  <c r="CE109" i="28"/>
  <c r="CG109" i="28"/>
  <c r="CE53" i="28"/>
  <c r="CA53" i="28"/>
  <c r="CH53" i="28"/>
  <c r="CC53" i="28"/>
  <c r="CB53" i="28"/>
  <c r="BX53" i="28"/>
  <c r="CG53" i="28"/>
  <c r="CF53" i="28"/>
  <c r="BY53" i="28"/>
  <c r="CD53" i="28"/>
  <c r="BZ53" i="28"/>
  <c r="BW53" i="28"/>
  <c r="CG26" i="62"/>
  <c r="CH26" i="62"/>
  <c r="BW26" i="62"/>
  <c r="CC26" i="62"/>
  <c r="CE26" i="62"/>
  <c r="CD26" i="62"/>
  <c r="CB26" i="62"/>
  <c r="BY26" i="62"/>
  <c r="BZ26" i="62"/>
  <c r="BX26" i="62"/>
  <c r="CF26" i="62"/>
  <c r="CA26" i="62"/>
  <c r="BY60" i="62"/>
  <c r="CH60" i="62"/>
  <c r="CG60" i="62"/>
  <c r="CA60" i="62"/>
  <c r="CF60" i="62"/>
  <c r="CD60" i="62"/>
  <c r="CB60" i="62"/>
  <c r="BX60" i="62"/>
  <c r="BW60" i="62"/>
  <c r="CE60" i="62"/>
  <c r="BZ60" i="62"/>
  <c r="CC60" i="62"/>
  <c r="BW63" i="28"/>
  <c r="CF63" i="28"/>
  <c r="CB63" i="28"/>
  <c r="CA63" i="28"/>
  <c r="CG63" i="28"/>
  <c r="CH63" i="28"/>
  <c r="BY63" i="28"/>
  <c r="BX63" i="28"/>
  <c r="CE63" i="28"/>
  <c r="CD63" i="28"/>
  <c r="CC63" i="28"/>
  <c r="BZ63" i="28"/>
  <c r="BX22" i="28"/>
  <c r="CF22" i="28"/>
  <c r="CD22" i="28"/>
  <c r="CE22" i="28"/>
  <c r="BW22" i="28"/>
  <c r="CC22" i="28"/>
  <c r="CB22" i="28"/>
  <c r="CH22" i="28"/>
  <c r="BY22" i="28"/>
  <c r="BZ22" i="28"/>
  <c r="CA22" i="28"/>
  <c r="CG22" i="28"/>
  <c r="BX44" i="28"/>
  <c r="BZ44" i="28"/>
  <c r="CG44" i="28"/>
  <c r="CC44" i="28"/>
  <c r="CB44" i="28"/>
  <c r="CH44" i="28"/>
  <c r="BW44" i="28"/>
  <c r="CE44" i="28"/>
  <c r="CD44" i="28"/>
  <c r="CF44" i="28"/>
  <c r="BY44" i="28"/>
  <c r="CA44" i="28"/>
  <c r="BW66" i="28"/>
  <c r="CA66" i="28"/>
  <c r="CD66" i="28"/>
  <c r="CB66" i="28"/>
  <c r="CG66" i="28"/>
  <c r="BY66" i="28"/>
  <c r="CF66" i="28"/>
  <c r="CE66" i="28"/>
  <c r="CC66" i="28"/>
  <c r="BZ66" i="28"/>
  <c r="BX66" i="28"/>
  <c r="CH66" i="28"/>
  <c r="CD88" i="28"/>
  <c r="CC88" i="28"/>
  <c r="BZ88" i="28"/>
  <c r="CH88" i="28"/>
  <c r="BX88" i="28"/>
  <c r="CG88" i="28"/>
  <c r="CE88" i="28"/>
  <c r="BY88" i="28"/>
  <c r="CF88" i="28"/>
  <c r="CA88" i="28"/>
  <c r="BW88" i="28"/>
  <c r="CB88" i="28"/>
  <c r="BW110" i="28"/>
  <c r="CA110" i="28"/>
  <c r="CH110" i="28"/>
  <c r="BX110" i="28"/>
  <c r="BY110" i="28"/>
  <c r="CB110" i="28"/>
  <c r="CG110" i="28"/>
  <c r="CC110" i="28"/>
  <c r="CE110" i="28"/>
  <c r="CD110" i="28"/>
  <c r="CF110" i="28"/>
  <c r="BZ110" i="28"/>
  <c r="CE31" i="62"/>
  <c r="CH31" i="62"/>
  <c r="BY31" i="62"/>
  <c r="BX31" i="62"/>
  <c r="BZ31" i="62"/>
  <c r="CC31" i="62"/>
  <c r="CF31" i="62"/>
  <c r="CA31" i="62"/>
  <c r="CD31" i="62"/>
  <c r="BW31" i="62"/>
  <c r="CB31" i="62"/>
  <c r="CG31" i="62"/>
  <c r="CA42" i="62"/>
  <c r="CD42" i="62"/>
  <c r="BY42" i="62"/>
  <c r="CE42" i="62"/>
  <c r="CB42" i="62"/>
  <c r="BX42" i="62"/>
  <c r="CG42" i="62"/>
  <c r="CH42" i="62"/>
  <c r="CF42" i="62"/>
  <c r="CC42" i="62"/>
  <c r="BZ42" i="62"/>
  <c r="BW42" i="62"/>
  <c r="CB53" i="62"/>
  <c r="BY53" i="62"/>
  <c r="CA53" i="62"/>
  <c r="CC53" i="62"/>
  <c r="BX53" i="62"/>
  <c r="CE53" i="62"/>
  <c r="CG53" i="62"/>
  <c r="CH53" i="62"/>
  <c r="CD53" i="62"/>
  <c r="BW53" i="62"/>
  <c r="CF53" i="62"/>
  <c r="BZ53" i="62"/>
  <c r="BX64" i="62"/>
  <c r="BZ64" i="62"/>
  <c r="CB64" i="62"/>
  <c r="BY64" i="62"/>
  <c r="CF64" i="62"/>
  <c r="CH64" i="62"/>
  <c r="BW64" i="62"/>
  <c r="CC64" i="62"/>
  <c r="CE64" i="62"/>
  <c r="CD64" i="62"/>
  <c r="CG64" i="62"/>
  <c r="CA64" i="62"/>
  <c r="CD75" i="62"/>
  <c r="CE75" i="62"/>
  <c r="CG75" i="62"/>
  <c r="BW75" i="62"/>
  <c r="BY75" i="62"/>
  <c r="BZ75" i="62"/>
  <c r="CC75" i="62"/>
  <c r="CF75" i="62"/>
  <c r="BX75" i="62"/>
  <c r="CA75" i="62"/>
  <c r="CB75" i="62"/>
  <c r="CH75" i="62"/>
  <c r="BW86" i="62"/>
  <c r="BY86" i="62"/>
  <c r="BX86" i="62"/>
  <c r="BZ86" i="62"/>
  <c r="CB86" i="62"/>
  <c r="CC86" i="62"/>
  <c r="CD86" i="62"/>
  <c r="CE86" i="62"/>
  <c r="CG86" i="62"/>
  <c r="CF86" i="62"/>
  <c r="CA86" i="62"/>
  <c r="CH86" i="62"/>
  <c r="BX97" i="62"/>
  <c r="BY97" i="62"/>
  <c r="CF97" i="62"/>
  <c r="CB97" i="62"/>
  <c r="CC97" i="62"/>
  <c r="BW97" i="62"/>
  <c r="BZ97" i="62"/>
  <c r="CG97" i="62"/>
  <c r="CH97" i="62"/>
  <c r="CD97" i="62"/>
  <c r="CE97" i="62"/>
  <c r="CA97" i="62"/>
  <c r="CH108" i="62"/>
  <c r="BW108" i="62"/>
  <c r="BY108" i="62"/>
  <c r="CD108" i="62"/>
  <c r="CE108" i="62"/>
  <c r="CF108" i="62"/>
  <c r="CA108" i="62"/>
  <c r="CG108" i="62"/>
  <c r="CB108" i="62"/>
  <c r="BZ108" i="62"/>
  <c r="CC108" i="62"/>
  <c r="BX108" i="62"/>
  <c r="BX119" i="62"/>
  <c r="BW119" i="62"/>
  <c r="BY119" i="62"/>
  <c r="BZ119" i="62"/>
  <c r="CD119" i="62"/>
  <c r="CF119" i="62"/>
  <c r="CG119" i="62"/>
  <c r="CH119" i="62"/>
  <c r="CB119" i="62"/>
  <c r="CC119" i="62"/>
  <c r="CA119" i="62"/>
  <c r="CE119" i="62"/>
  <c r="BW16" i="39"/>
  <c r="BX16" i="39"/>
  <c r="CB16" i="39"/>
  <c r="CF16" i="39"/>
  <c r="CA16" i="39"/>
  <c r="CG16" i="39"/>
  <c r="CE16" i="39"/>
  <c r="BV16" i="39"/>
  <c r="CD16" i="39"/>
  <c r="BZ16" i="39"/>
  <c r="BY16" i="39"/>
  <c r="CC16" i="39"/>
  <c r="CC27" i="39"/>
  <c r="BV27" i="39"/>
  <c r="CD27" i="39"/>
  <c r="CA27" i="39"/>
  <c r="CB27" i="39"/>
  <c r="BY27" i="39"/>
  <c r="CF27" i="39"/>
  <c r="BW27" i="39"/>
  <c r="CE27" i="39"/>
  <c r="BZ27" i="39"/>
  <c r="BX27" i="39"/>
  <c r="CG27" i="39"/>
  <c r="BY38" i="39"/>
  <c r="BV38" i="39"/>
  <c r="CA38" i="39"/>
  <c r="BZ38" i="39"/>
  <c r="CF38" i="39"/>
  <c r="CD38" i="39"/>
  <c r="BX38" i="39"/>
  <c r="CB38" i="39"/>
  <c r="CC38" i="39"/>
  <c r="CE38" i="39"/>
  <c r="BW38" i="39"/>
  <c r="CG38" i="39"/>
  <c r="CC49" i="39"/>
  <c r="BZ49" i="39"/>
  <c r="CE49" i="39"/>
  <c r="CD49" i="39"/>
  <c r="BY49" i="39"/>
  <c r="CA49" i="39"/>
  <c r="CB49" i="39"/>
  <c r="BW49" i="39"/>
  <c r="BX49" i="39"/>
  <c r="CF49" i="39"/>
  <c r="BV49" i="39"/>
  <c r="CG49" i="39"/>
  <c r="CA60" i="39"/>
  <c r="BX60" i="39"/>
  <c r="CF60" i="39"/>
  <c r="CC60" i="39"/>
  <c r="BW60" i="39"/>
  <c r="CB60" i="39"/>
  <c r="BV60" i="39"/>
  <c r="CD60" i="39"/>
  <c r="CE60" i="39"/>
  <c r="CG60" i="39"/>
  <c r="BY60" i="39"/>
  <c r="BZ60" i="39"/>
  <c r="CG71" i="39"/>
  <c r="BX71" i="39"/>
  <c r="BW71" i="39"/>
  <c r="BV71" i="39"/>
  <c r="BZ71" i="39"/>
  <c r="CA71" i="39"/>
  <c r="CF71" i="39"/>
  <c r="CC71" i="39"/>
  <c r="BY71" i="39"/>
  <c r="CD71" i="39"/>
  <c r="CE71" i="39"/>
  <c r="CB71" i="39"/>
  <c r="BY82" i="39"/>
  <c r="BX82" i="39"/>
  <c r="CE82" i="39"/>
  <c r="CD82" i="39"/>
  <c r="BW82" i="39"/>
  <c r="CC82" i="39"/>
  <c r="BV82" i="39"/>
  <c r="CB82" i="39"/>
  <c r="CA82" i="39"/>
  <c r="CG82" i="39"/>
  <c r="CF82" i="39"/>
  <c r="BZ82" i="39"/>
  <c r="CG93" i="39"/>
  <c r="CB93" i="39"/>
  <c r="BV93" i="39"/>
  <c r="CC93" i="39"/>
  <c r="BZ93" i="39"/>
  <c r="CA93" i="39"/>
  <c r="CF93" i="39"/>
  <c r="CD93" i="39"/>
  <c r="BY93" i="39"/>
  <c r="BX93" i="39"/>
  <c r="BW93" i="39"/>
  <c r="CE93" i="39"/>
  <c r="CB104" i="39"/>
  <c r="CA104" i="39"/>
  <c r="BW104" i="39"/>
  <c r="CF104" i="39"/>
  <c r="CG104" i="39"/>
  <c r="BY104" i="39"/>
  <c r="CC104" i="39"/>
  <c r="CE104" i="39"/>
  <c r="BZ104" i="39"/>
  <c r="BV104" i="39"/>
  <c r="BX104" i="39"/>
  <c r="CD104" i="39"/>
  <c r="CE49" i="62"/>
  <c r="CG49" i="62"/>
  <c r="BY49" i="62"/>
  <c r="CH49" i="62"/>
  <c r="CD49" i="62"/>
  <c r="CC49" i="62"/>
  <c r="BX49" i="62"/>
  <c r="BW49" i="62"/>
  <c r="CB49" i="62"/>
  <c r="CA49" i="62"/>
  <c r="BZ49" i="62"/>
  <c r="CF49" i="62"/>
  <c r="CD100" i="39"/>
  <c r="CE100" i="39"/>
  <c r="BZ100" i="39"/>
  <c r="CC100" i="39"/>
  <c r="CF100" i="39"/>
  <c r="BY100" i="39"/>
  <c r="BW100" i="39"/>
  <c r="BX100" i="39"/>
  <c r="CB100" i="39"/>
  <c r="CG100" i="39"/>
  <c r="BV100" i="39"/>
  <c r="CA100" i="39"/>
  <c r="BX106" i="62"/>
  <c r="BY106" i="62"/>
  <c r="CB106" i="62"/>
  <c r="CF106" i="62"/>
  <c r="CG106" i="62"/>
  <c r="CH106" i="62"/>
  <c r="CC106" i="62"/>
  <c r="CD106" i="62"/>
  <c r="CE106" i="62"/>
  <c r="BW106" i="62"/>
  <c r="BZ106" i="62"/>
  <c r="CA106" i="62"/>
  <c r="CF85" i="28"/>
  <c r="BX85" i="28"/>
  <c r="BY85" i="28"/>
  <c r="CB85" i="28"/>
  <c r="BZ85" i="28"/>
  <c r="CE85" i="28"/>
  <c r="BW85" i="28"/>
  <c r="CH85" i="28"/>
  <c r="CD85" i="28"/>
  <c r="CG85" i="28"/>
  <c r="CA85" i="28"/>
  <c r="CC85" i="28"/>
  <c r="CB15" i="39"/>
  <c r="CE15" i="39"/>
  <c r="BX15" i="39"/>
  <c r="BZ15" i="39"/>
  <c r="CC15" i="39"/>
  <c r="BV15" i="39"/>
  <c r="BW15" i="39"/>
  <c r="CG15" i="39"/>
  <c r="CA15" i="39"/>
  <c r="CF15" i="39"/>
  <c r="CD15" i="39"/>
  <c r="BY15" i="39"/>
  <c r="CA23" i="28"/>
  <c r="CE23" i="28"/>
  <c r="CP34" i="28" s="1"/>
  <c r="BX23" i="28"/>
  <c r="CB23" i="28"/>
  <c r="CH23" i="28"/>
  <c r="BW23" i="28"/>
  <c r="BZ23" i="28"/>
  <c r="CD23" i="28"/>
  <c r="CF23" i="28"/>
  <c r="BY23" i="28"/>
  <c r="CC23" i="28"/>
  <c r="CG23" i="28"/>
  <c r="BY45" i="28"/>
  <c r="BZ45" i="28"/>
  <c r="CA45" i="28"/>
  <c r="CB45" i="28"/>
  <c r="CD45" i="28"/>
  <c r="CH45" i="28"/>
  <c r="CG45" i="28"/>
  <c r="CC45" i="28"/>
  <c r="BW45" i="28"/>
  <c r="CF45" i="28"/>
  <c r="CE45" i="28"/>
  <c r="BX45" i="28"/>
  <c r="CG67" i="28"/>
  <c r="CE67" i="28"/>
  <c r="CC67" i="28"/>
  <c r="CB67" i="28"/>
  <c r="CF67" i="28"/>
  <c r="BW67" i="28"/>
  <c r="BX67" i="28"/>
  <c r="CD67" i="28"/>
  <c r="BY67" i="28"/>
  <c r="CA67" i="28"/>
  <c r="CH67" i="28"/>
  <c r="BZ67" i="28"/>
  <c r="BZ89" i="28"/>
  <c r="CD89" i="28"/>
  <c r="BY89" i="28"/>
  <c r="BW89" i="28"/>
  <c r="CF89" i="28"/>
  <c r="CG89" i="28"/>
  <c r="CC89" i="28"/>
  <c r="CE89" i="28"/>
  <c r="BX89" i="28"/>
  <c r="CA89" i="28"/>
  <c r="CB89" i="28"/>
  <c r="CH89" i="28"/>
  <c r="CB111" i="28"/>
  <c r="BW111" i="28"/>
  <c r="CF111" i="28"/>
  <c r="CC111" i="28"/>
  <c r="CE111" i="28"/>
  <c r="BX111" i="28"/>
  <c r="BY111" i="28"/>
  <c r="CH111" i="28"/>
  <c r="CD111" i="28"/>
  <c r="CA111" i="28"/>
  <c r="BZ111" i="28"/>
  <c r="CG111" i="28"/>
  <c r="BZ97" i="28"/>
  <c r="CA97" i="28"/>
  <c r="BW97" i="28"/>
  <c r="CE97" i="28"/>
  <c r="CD97" i="28"/>
  <c r="CC97" i="28"/>
  <c r="CG97" i="28"/>
  <c r="BX97" i="28"/>
  <c r="CH97" i="28"/>
  <c r="CF97" i="28"/>
  <c r="BY97" i="28"/>
  <c r="CB97" i="28"/>
  <c r="BW76" i="28"/>
  <c r="CF76" i="28"/>
  <c r="CD76" i="28"/>
  <c r="CC76" i="28"/>
  <c r="BX76" i="28"/>
  <c r="CB76" i="28"/>
  <c r="BY76" i="28"/>
  <c r="CE76" i="28"/>
  <c r="CH76" i="28"/>
  <c r="CA76" i="28"/>
  <c r="BZ76" i="28"/>
  <c r="CG76" i="28"/>
  <c r="CH102" i="62"/>
  <c r="CA102" i="62"/>
  <c r="CE102" i="62"/>
  <c r="CC102" i="62"/>
  <c r="CD102" i="62"/>
  <c r="BZ102" i="62"/>
  <c r="CF102" i="62"/>
  <c r="BX102" i="62"/>
  <c r="BY102" i="62"/>
  <c r="CG102" i="62"/>
  <c r="CB102" i="62"/>
  <c r="BW102" i="62"/>
  <c r="BZ109" i="39"/>
  <c r="CE109" i="39"/>
  <c r="CF109" i="39"/>
  <c r="CG109" i="39"/>
  <c r="CC109" i="39"/>
  <c r="BX109" i="39"/>
  <c r="BV109" i="39"/>
  <c r="CB109" i="39"/>
  <c r="BW109" i="39"/>
  <c r="BY109" i="39"/>
  <c r="CA109" i="39"/>
  <c r="CD109" i="39"/>
  <c r="CD55" i="28"/>
  <c r="CG55" i="28"/>
  <c r="CF55" i="28"/>
  <c r="CA55" i="28"/>
  <c r="BX55" i="28"/>
  <c r="CB55" i="28"/>
  <c r="BY55" i="28"/>
  <c r="BZ55" i="28"/>
  <c r="CH55" i="28"/>
  <c r="CE55" i="28"/>
  <c r="CC55" i="28"/>
  <c r="BW55" i="28"/>
  <c r="CC56" i="28"/>
  <c r="CA56" i="28"/>
  <c r="CG56" i="28"/>
  <c r="CF56" i="28"/>
  <c r="BY56" i="28"/>
  <c r="CH56" i="28"/>
  <c r="CB56" i="28"/>
  <c r="BZ56" i="28"/>
  <c r="CD56" i="28"/>
  <c r="BW56" i="28"/>
  <c r="CE56" i="28"/>
  <c r="BX56" i="28"/>
  <c r="CC114" i="62"/>
  <c r="BW114" i="62"/>
  <c r="CB114" i="62"/>
  <c r="CD114" i="62"/>
  <c r="CE114" i="62"/>
  <c r="CG114" i="62"/>
  <c r="CH114" i="62"/>
  <c r="CF114" i="62"/>
  <c r="CA114" i="62"/>
  <c r="BX114" i="62"/>
  <c r="BY114" i="62"/>
  <c r="BZ114" i="62"/>
  <c r="CA33" i="39"/>
  <c r="CC33" i="39"/>
  <c r="CE33" i="39"/>
  <c r="CB33" i="39"/>
  <c r="CF33" i="39"/>
  <c r="BX33" i="39"/>
  <c r="BZ33" i="39"/>
  <c r="BY33" i="39"/>
  <c r="CG33" i="39"/>
  <c r="BV33" i="39"/>
  <c r="BW33" i="39"/>
  <c r="CD33" i="39"/>
  <c r="BY99" i="39"/>
  <c r="BZ99" i="39"/>
  <c r="CC99" i="39"/>
  <c r="BX99" i="39"/>
  <c r="CD99" i="39"/>
  <c r="CE99" i="39"/>
  <c r="CB99" i="39"/>
  <c r="CG99" i="39"/>
  <c r="CA99" i="39"/>
  <c r="CF99" i="39"/>
  <c r="BV99" i="39"/>
  <c r="BW99" i="39"/>
  <c r="BX23" i="39"/>
  <c r="CG23" i="39"/>
  <c r="BY23" i="39"/>
  <c r="BW23" i="39"/>
  <c r="BZ23" i="39"/>
  <c r="CB23" i="39"/>
  <c r="CE23" i="39"/>
  <c r="CA23" i="39"/>
  <c r="CD23" i="39"/>
  <c r="CC23" i="39"/>
  <c r="BV23" i="39"/>
  <c r="CF23" i="39"/>
  <c r="BY84" i="62"/>
  <c r="BW84" i="62"/>
  <c r="BZ84" i="62"/>
  <c r="CD84" i="62"/>
  <c r="CA84" i="62"/>
  <c r="CF84" i="62"/>
  <c r="CC84" i="62"/>
  <c r="CE84" i="62"/>
  <c r="CG84" i="62"/>
  <c r="CH84" i="62"/>
  <c r="BX84" i="62"/>
  <c r="CB84" i="62"/>
  <c r="CE19" i="28"/>
  <c r="BX19" i="28"/>
  <c r="CG19" i="28"/>
  <c r="CD19" i="28"/>
  <c r="BW19" i="28"/>
  <c r="CA19" i="28"/>
  <c r="CF19" i="28"/>
  <c r="BZ19" i="28"/>
  <c r="BY19" i="28"/>
  <c r="CC19" i="28"/>
  <c r="CB19" i="28"/>
  <c r="CH19" i="28"/>
  <c r="CA41" i="28"/>
  <c r="CE41" i="28"/>
  <c r="CD41" i="28"/>
  <c r="CF41" i="28"/>
  <c r="CG41" i="28"/>
  <c r="CC41" i="28"/>
  <c r="BW41" i="28"/>
  <c r="CB41" i="28"/>
  <c r="CH41" i="28"/>
  <c r="BZ41" i="28"/>
  <c r="BY41" i="28"/>
  <c r="BX41" i="28"/>
  <c r="CD107" i="28"/>
  <c r="BW107" i="28"/>
  <c r="BY107" i="28"/>
  <c r="BX107" i="28"/>
  <c r="CC107" i="28"/>
  <c r="CE107" i="28"/>
  <c r="CH107" i="28"/>
  <c r="CF107" i="28"/>
  <c r="CG107" i="28"/>
  <c r="BZ107" i="28"/>
  <c r="CB107" i="28"/>
  <c r="CA107" i="28"/>
  <c r="BZ24" i="28"/>
  <c r="CD24" i="28"/>
  <c r="CA24" i="28"/>
  <c r="CF24" i="28"/>
  <c r="CB24" i="28"/>
  <c r="BW24" i="28"/>
  <c r="BX24" i="28"/>
  <c r="CC24" i="28"/>
  <c r="CE24" i="28"/>
  <c r="CH24" i="28"/>
  <c r="CG24" i="28"/>
  <c r="BY24" i="28"/>
  <c r="CC46" i="28"/>
  <c r="BZ46" i="28"/>
  <c r="BW46" i="28"/>
  <c r="BX46" i="28"/>
  <c r="CH46" i="28"/>
  <c r="CE46" i="28"/>
  <c r="CD46" i="28"/>
  <c r="CF46" i="28"/>
  <c r="CA46" i="28"/>
  <c r="CG46" i="28"/>
  <c r="BY46" i="28"/>
  <c r="CB46" i="28"/>
  <c r="CH68" i="28"/>
  <c r="CF68" i="28"/>
  <c r="CA68" i="28"/>
  <c r="CC68" i="28"/>
  <c r="CD68" i="28"/>
  <c r="BX68" i="28"/>
  <c r="BW68" i="28"/>
  <c r="CE68" i="28"/>
  <c r="BZ68" i="28"/>
  <c r="CG68" i="28"/>
  <c r="BY68" i="28"/>
  <c r="CB68" i="28"/>
  <c r="CE90" i="28"/>
  <c r="CC90" i="28"/>
  <c r="CH90" i="28"/>
  <c r="CA90" i="28"/>
  <c r="CG90" i="28"/>
  <c r="CB90" i="28"/>
  <c r="CD90" i="28"/>
  <c r="BZ90" i="28"/>
  <c r="BX90" i="28"/>
  <c r="BW90" i="28"/>
  <c r="BY90" i="28"/>
  <c r="CF90" i="28"/>
  <c r="CG112" i="28"/>
  <c r="BZ112" i="28"/>
  <c r="CF112" i="28"/>
  <c r="CH112" i="28"/>
  <c r="BY112" i="28"/>
  <c r="CD112" i="28"/>
  <c r="CA112" i="28"/>
  <c r="CE112" i="28"/>
  <c r="CC112" i="28"/>
  <c r="BW112" i="28"/>
  <c r="BX112" i="28"/>
  <c r="CB112" i="28"/>
  <c r="CG32" i="62"/>
  <c r="CF32" i="62"/>
  <c r="CH32" i="62"/>
  <c r="BZ32" i="62"/>
  <c r="BY32" i="62"/>
  <c r="CB32" i="62"/>
  <c r="CA32" i="62"/>
  <c r="BW32" i="62"/>
  <c r="BX32" i="62"/>
  <c r="CE32" i="62"/>
  <c r="CD32" i="62"/>
  <c r="CC32" i="62"/>
  <c r="CH43" i="62"/>
  <c r="BW43" i="62"/>
  <c r="CG43" i="62"/>
  <c r="BZ43" i="62"/>
  <c r="CA43" i="62"/>
  <c r="BY43" i="62"/>
  <c r="BX43" i="62"/>
  <c r="CB43" i="62"/>
  <c r="CC43" i="62"/>
  <c r="CD43" i="62"/>
  <c r="CE43" i="62"/>
  <c r="CF43" i="62"/>
  <c r="BZ54" i="62"/>
  <c r="CH54" i="62"/>
  <c r="CG54" i="62"/>
  <c r="BY54" i="62"/>
  <c r="CA54" i="62"/>
  <c r="CC54" i="62"/>
  <c r="CD54" i="62"/>
  <c r="BX54" i="62"/>
  <c r="CF54" i="62"/>
  <c r="CB54" i="62"/>
  <c r="BW54" i="62"/>
  <c r="CE54" i="62"/>
  <c r="CC65" i="62"/>
  <c r="CF65" i="62"/>
  <c r="CD65" i="62"/>
  <c r="BX65" i="62"/>
  <c r="CA65" i="62"/>
  <c r="BY65" i="62"/>
  <c r="BW65" i="62"/>
  <c r="CH65" i="62"/>
  <c r="CG65" i="62"/>
  <c r="CE65" i="62"/>
  <c r="BZ65" i="62"/>
  <c r="CB65" i="62"/>
  <c r="CH76" i="62"/>
  <c r="CE76" i="62"/>
  <c r="BW76" i="62"/>
  <c r="BX76" i="62"/>
  <c r="CF76" i="62"/>
  <c r="CG76" i="62"/>
  <c r="CB76" i="62"/>
  <c r="BY76" i="62"/>
  <c r="BZ76" i="62"/>
  <c r="CA76" i="62"/>
  <c r="CD76" i="62"/>
  <c r="CC76" i="62"/>
  <c r="CE87" i="62"/>
  <c r="BW87" i="62"/>
  <c r="BX87" i="62"/>
  <c r="BY87" i="62"/>
  <c r="BZ87" i="62"/>
  <c r="CA87" i="62"/>
  <c r="CD87" i="62"/>
  <c r="CB87" i="62"/>
  <c r="CF87" i="62"/>
  <c r="CG87" i="62"/>
  <c r="CH87" i="62"/>
  <c r="CC87" i="62"/>
  <c r="CG98" i="62"/>
  <c r="BX98" i="62"/>
  <c r="BY98" i="62"/>
  <c r="BZ98" i="62"/>
  <c r="CB98" i="62"/>
  <c r="CC98" i="62"/>
  <c r="CD98" i="62"/>
  <c r="CE98" i="62"/>
  <c r="CF98" i="62"/>
  <c r="CA98" i="62"/>
  <c r="CH98" i="62"/>
  <c r="BW98" i="62"/>
  <c r="BW109" i="62"/>
  <c r="BY109" i="62"/>
  <c r="CB109" i="62"/>
  <c r="CF109" i="62"/>
  <c r="CA109" i="62"/>
  <c r="CG109" i="62"/>
  <c r="CH109" i="62"/>
  <c r="CD109" i="62"/>
  <c r="CC109" i="62"/>
  <c r="CE109" i="62"/>
  <c r="BX109" i="62"/>
  <c r="BZ109" i="62"/>
  <c r="CG120" i="62"/>
  <c r="CH120" i="62"/>
  <c r="BX120" i="62"/>
  <c r="CF120" i="62"/>
  <c r="CC120" i="62"/>
  <c r="CE120" i="62"/>
  <c r="CA120" i="62"/>
  <c r="BW120" i="62"/>
  <c r="BY120" i="62"/>
  <c r="BZ120" i="62"/>
  <c r="CB120" i="62"/>
  <c r="CD120" i="62"/>
  <c r="BY17" i="39"/>
  <c r="CG17" i="39"/>
  <c r="BW17" i="39"/>
  <c r="CA17" i="39"/>
  <c r="BV17" i="39"/>
  <c r="CE17" i="39"/>
  <c r="BX17" i="39"/>
  <c r="CB17" i="39"/>
  <c r="BZ17" i="39"/>
  <c r="CC17" i="39"/>
  <c r="CF17" i="39"/>
  <c r="CD17" i="39"/>
  <c r="BY28" i="39"/>
  <c r="CA28" i="39"/>
  <c r="CD28" i="39"/>
  <c r="BW28" i="39"/>
  <c r="BX28" i="39"/>
  <c r="BZ28" i="39"/>
  <c r="CG28" i="39"/>
  <c r="CC28" i="39"/>
  <c r="CE28" i="39"/>
  <c r="CF28" i="39"/>
  <c r="BV28" i="39"/>
  <c r="CB28" i="39"/>
  <c r="CF39" i="39"/>
  <c r="BX39" i="39"/>
  <c r="BW39" i="39"/>
  <c r="BZ39" i="39"/>
  <c r="CG39" i="39"/>
  <c r="BY39" i="39"/>
  <c r="CE39" i="39"/>
  <c r="CC39" i="39"/>
  <c r="CD39" i="39"/>
  <c r="CB39" i="39"/>
  <c r="CA39" i="39"/>
  <c r="BV39" i="39"/>
  <c r="CA50" i="39"/>
  <c r="BW50" i="39"/>
  <c r="CC50" i="39"/>
  <c r="CB50" i="39"/>
  <c r="CG50" i="39"/>
  <c r="BX50" i="39"/>
  <c r="BY50" i="39"/>
  <c r="CE50" i="39"/>
  <c r="CF50" i="39"/>
  <c r="CD50" i="39"/>
  <c r="BZ50" i="39"/>
  <c r="BV50" i="39"/>
  <c r="CB61" i="39"/>
  <c r="BY61" i="39"/>
  <c r="CA61" i="39"/>
  <c r="BZ61" i="39"/>
  <c r="CE61" i="39"/>
  <c r="CD61" i="39"/>
  <c r="CF61" i="39"/>
  <c r="BX61" i="39"/>
  <c r="BV61" i="39"/>
  <c r="CC61" i="39"/>
  <c r="CG61" i="39"/>
  <c r="BW61" i="39"/>
  <c r="CG72" i="39"/>
  <c r="BW72" i="39"/>
  <c r="BZ72" i="39"/>
  <c r="CE72" i="39"/>
  <c r="CF72" i="39"/>
  <c r="BY72" i="39"/>
  <c r="CC72" i="39"/>
  <c r="BV72" i="39"/>
  <c r="BX72" i="39"/>
  <c r="CD72" i="39"/>
  <c r="CB72" i="39"/>
  <c r="CA72" i="39"/>
  <c r="BV83" i="39"/>
  <c r="CC83" i="39"/>
  <c r="CA83" i="39"/>
  <c r="BW83" i="39"/>
  <c r="CG83" i="39"/>
  <c r="CF83" i="39"/>
  <c r="CB83" i="39"/>
  <c r="BZ83" i="39"/>
  <c r="BX83" i="39"/>
  <c r="BY83" i="39"/>
  <c r="CD83" i="39"/>
  <c r="CE83" i="39"/>
  <c r="BX94" i="39"/>
  <c r="BW94" i="39"/>
  <c r="CD94" i="39"/>
  <c r="CE94" i="39"/>
  <c r="CC94" i="39"/>
  <c r="BZ94" i="39"/>
  <c r="CB94" i="39"/>
  <c r="BV94" i="39"/>
  <c r="CG94" i="39"/>
  <c r="BY94" i="39"/>
  <c r="CF94" i="39"/>
  <c r="CA94" i="39"/>
  <c r="BW105" i="39"/>
  <c r="CF105" i="39"/>
  <c r="BZ105" i="39"/>
  <c r="CE105" i="39"/>
  <c r="BX105" i="39"/>
  <c r="CA105" i="39"/>
  <c r="CB105" i="39"/>
  <c r="CD105" i="39"/>
  <c r="BY105" i="39"/>
  <c r="CG105" i="39"/>
  <c r="CC105" i="39"/>
  <c r="BV105" i="39"/>
  <c r="CA79" i="28"/>
  <c r="BY79" i="28"/>
  <c r="CH79" i="28"/>
  <c r="BX79" i="28"/>
  <c r="CD79" i="28"/>
  <c r="CF79" i="28"/>
  <c r="BW79" i="28"/>
  <c r="CE79" i="28"/>
  <c r="CB79" i="28"/>
  <c r="CC79" i="28"/>
  <c r="CG79" i="28"/>
  <c r="BZ79" i="28"/>
  <c r="CC102" i="28"/>
  <c r="BY102" i="28"/>
  <c r="CA102" i="28"/>
  <c r="BZ102" i="28"/>
  <c r="CH102" i="28"/>
  <c r="BW102" i="28"/>
  <c r="BX102" i="28"/>
  <c r="CG102" i="28"/>
  <c r="CF102" i="28"/>
  <c r="CE102" i="28"/>
  <c r="CB102" i="28"/>
  <c r="CD102" i="28"/>
  <c r="CE38" i="62"/>
  <c r="CH38" i="62"/>
  <c r="BX38" i="62"/>
  <c r="CB38" i="62"/>
  <c r="CG38" i="62"/>
  <c r="CF38" i="62"/>
  <c r="BY38" i="62"/>
  <c r="CA38" i="62"/>
  <c r="CD38" i="62"/>
  <c r="BW38" i="62"/>
  <c r="CC38" i="62"/>
  <c r="BZ38" i="62"/>
  <c r="CA71" i="62"/>
  <c r="CB71" i="62"/>
  <c r="CD71" i="62"/>
  <c r="BX71" i="62"/>
  <c r="BW71" i="62"/>
  <c r="BY71" i="62"/>
  <c r="BZ71" i="62"/>
  <c r="CH71" i="62"/>
  <c r="CC71" i="62"/>
  <c r="CG71" i="62"/>
  <c r="CF71" i="62"/>
  <c r="CE71" i="62"/>
  <c r="BX93" i="62"/>
  <c r="BY93" i="62"/>
  <c r="CA93" i="62"/>
  <c r="CH93" i="62"/>
  <c r="BW93" i="62"/>
  <c r="BZ93" i="62"/>
  <c r="CB93" i="62"/>
  <c r="CF93" i="62"/>
  <c r="CG93" i="62"/>
  <c r="CC93" i="62"/>
  <c r="CD93" i="62"/>
  <c r="CE93" i="62"/>
  <c r="CA67" i="39"/>
  <c r="CE67" i="39"/>
  <c r="CF67" i="39"/>
  <c r="BY67" i="39"/>
  <c r="BZ67" i="39"/>
  <c r="BW67" i="39"/>
  <c r="BV67" i="39"/>
  <c r="CB67" i="39"/>
  <c r="CC67" i="39"/>
  <c r="CD67" i="39"/>
  <c r="BX67" i="39"/>
  <c r="CG67" i="39"/>
  <c r="BY62" i="28"/>
  <c r="CA62" i="28"/>
  <c r="CB62" i="28"/>
  <c r="CG62" i="28"/>
  <c r="BW62" i="28"/>
  <c r="CD62" i="28"/>
  <c r="BZ62" i="28"/>
  <c r="CC62" i="28"/>
  <c r="CH62" i="28"/>
  <c r="BX62" i="28"/>
  <c r="CF62" i="28"/>
  <c r="CE62" i="28"/>
  <c r="CD62" i="62"/>
  <c r="CC62" i="62"/>
  <c r="CG62" i="62"/>
  <c r="BY62" i="62"/>
  <c r="CB62" i="62"/>
  <c r="CE62" i="62"/>
  <c r="CF62" i="62"/>
  <c r="BW62" i="62"/>
  <c r="BX62" i="62"/>
  <c r="BZ62" i="62"/>
  <c r="CA62" i="62"/>
  <c r="CH62" i="62"/>
  <c r="CF102" i="39"/>
  <c r="CE102" i="39"/>
  <c r="BY102" i="39"/>
  <c r="BW102" i="39"/>
  <c r="CB102" i="39"/>
  <c r="CD102" i="39"/>
  <c r="CC102" i="39"/>
  <c r="BX102" i="39"/>
  <c r="CA102" i="39"/>
  <c r="BZ102" i="39"/>
  <c r="BV102" i="39"/>
  <c r="CG102" i="39"/>
  <c r="CB25" i="28"/>
  <c r="BZ25" i="28"/>
  <c r="CE25" i="28"/>
  <c r="CF25" i="28"/>
  <c r="CH25" i="28"/>
  <c r="CG25" i="28"/>
  <c r="BY25" i="28"/>
  <c r="CD25" i="28"/>
  <c r="CA25" i="28"/>
  <c r="CC25" i="28"/>
  <c r="BW25" i="28"/>
  <c r="BX25" i="28"/>
  <c r="CC47" i="28"/>
  <c r="CD47" i="28"/>
  <c r="BX47" i="28"/>
  <c r="BY47" i="28"/>
  <c r="CG47" i="28"/>
  <c r="BZ47" i="28"/>
  <c r="CA47" i="28"/>
  <c r="CH47" i="28"/>
  <c r="BW47" i="28"/>
  <c r="CF47" i="28"/>
  <c r="CB47" i="28"/>
  <c r="CE47" i="28"/>
  <c r="CD69" i="28"/>
  <c r="CF69" i="28"/>
  <c r="BW69" i="28"/>
  <c r="CH69" i="28"/>
  <c r="BZ69" i="28"/>
  <c r="CC69" i="28"/>
  <c r="CG69" i="28"/>
  <c r="CE69" i="28"/>
  <c r="BY69" i="28"/>
  <c r="CA69" i="28"/>
  <c r="BX69" i="28"/>
  <c r="CB69" i="28"/>
  <c r="CH91" i="28"/>
  <c r="BX91" i="28"/>
  <c r="BZ91" i="28"/>
  <c r="CA91" i="28"/>
  <c r="CG91" i="28"/>
  <c r="BY91" i="28"/>
  <c r="CB91" i="28"/>
  <c r="CD91" i="28"/>
  <c r="BW91" i="28"/>
  <c r="CF91" i="28"/>
  <c r="CC91" i="28"/>
  <c r="CE91" i="28"/>
  <c r="CB113" i="28"/>
  <c r="BY113" i="28"/>
  <c r="BZ113" i="28"/>
  <c r="BX113" i="28"/>
  <c r="CG113" i="28"/>
  <c r="CF113" i="28"/>
  <c r="CD113" i="28"/>
  <c r="BW113" i="28"/>
  <c r="CE113" i="28"/>
  <c r="CC113" i="28"/>
  <c r="CA113" i="28"/>
  <c r="CH113" i="28"/>
  <c r="BY25" i="62"/>
  <c r="CE25" i="62"/>
  <c r="CG25" i="62"/>
  <c r="CH25" i="62"/>
  <c r="BX25" i="62"/>
  <c r="CA25" i="62"/>
  <c r="BW25" i="62"/>
  <c r="CB25" i="62"/>
  <c r="CC25" i="62"/>
  <c r="BZ25" i="62"/>
  <c r="CD25" i="62"/>
  <c r="CF25" i="62"/>
  <c r="BW36" i="28"/>
  <c r="BX36" i="28"/>
  <c r="CD36" i="28"/>
  <c r="BZ36" i="28"/>
  <c r="CH36" i="28"/>
  <c r="CC36" i="28"/>
  <c r="CF36" i="28"/>
  <c r="CG36" i="28"/>
  <c r="CA36" i="28"/>
  <c r="CB36" i="28"/>
  <c r="BY36" i="28"/>
  <c r="CE36" i="28"/>
  <c r="CG56" i="39"/>
  <c r="BY56" i="39"/>
  <c r="CF56" i="39"/>
  <c r="CD56" i="39"/>
  <c r="CC56" i="39"/>
  <c r="CA56" i="39"/>
  <c r="BV56" i="39"/>
  <c r="CB56" i="39"/>
  <c r="CE56" i="39"/>
  <c r="BW56" i="39"/>
  <c r="BX56" i="39"/>
  <c r="BZ56" i="39"/>
  <c r="BW26" i="28"/>
  <c r="CH26" i="28"/>
  <c r="CE26" i="28"/>
  <c r="CA26" i="28"/>
  <c r="CB26" i="28"/>
  <c r="CG26" i="28"/>
  <c r="CF26" i="28"/>
  <c r="BY26" i="28"/>
  <c r="CC26" i="28"/>
  <c r="BZ26" i="28"/>
  <c r="BX26" i="28"/>
  <c r="CD26" i="28"/>
  <c r="BX48" i="28"/>
  <c r="BW48" i="28"/>
  <c r="CC48" i="28"/>
  <c r="CD48" i="28"/>
  <c r="BZ48" i="28"/>
  <c r="CB48" i="28"/>
  <c r="BY48" i="28"/>
  <c r="CA48" i="28"/>
  <c r="CG48" i="28"/>
  <c r="CF48" i="28"/>
  <c r="CH48" i="28"/>
  <c r="CE48" i="28"/>
  <c r="BW70" i="28"/>
  <c r="CE70" i="28"/>
  <c r="CC70" i="28"/>
  <c r="BX70" i="28"/>
  <c r="CF70" i="28"/>
  <c r="BZ70" i="28"/>
  <c r="CB70" i="28"/>
  <c r="CD70" i="28"/>
  <c r="CA70" i="28"/>
  <c r="BY70" i="28"/>
  <c r="CG70" i="28"/>
  <c r="CH70" i="28"/>
  <c r="CA92" i="28"/>
  <c r="CC92" i="28"/>
  <c r="BW92" i="28"/>
  <c r="CH92" i="28"/>
  <c r="CE92" i="28"/>
  <c r="BX92" i="28"/>
  <c r="BZ92" i="28"/>
  <c r="CB92" i="28"/>
  <c r="CG92" i="28"/>
  <c r="CF92" i="28"/>
  <c r="CD92" i="28"/>
  <c r="BY92" i="28"/>
  <c r="CB22" i="62"/>
  <c r="BW22" i="62"/>
  <c r="BZ22" i="62"/>
  <c r="CG22" i="62"/>
  <c r="CH22" i="62"/>
  <c r="CD22" i="62"/>
  <c r="CF22" i="62"/>
  <c r="CA22" i="62"/>
  <c r="BX22" i="62"/>
  <c r="CE22" i="62"/>
  <c r="CC22" i="62"/>
  <c r="BY22" i="62"/>
  <c r="CH33" i="62"/>
  <c r="CB33" i="62"/>
  <c r="CG33" i="62"/>
  <c r="CD33" i="62"/>
  <c r="CE33" i="62"/>
  <c r="CC33" i="62"/>
  <c r="BY33" i="62"/>
  <c r="CF33" i="62"/>
  <c r="BZ33" i="62"/>
  <c r="BW33" i="62"/>
  <c r="BX33" i="62"/>
  <c r="CA33" i="62"/>
  <c r="CB44" i="62"/>
  <c r="CC44" i="62"/>
  <c r="CG44" i="62"/>
  <c r="BW44" i="62"/>
  <c r="CH44" i="62"/>
  <c r="BX44" i="62"/>
  <c r="CF44" i="62"/>
  <c r="BZ44" i="62"/>
  <c r="CD44" i="62"/>
  <c r="CA44" i="62"/>
  <c r="CE44" i="62"/>
  <c r="BY44" i="62"/>
  <c r="BZ55" i="62"/>
  <c r="CE55" i="62"/>
  <c r="CA55" i="62"/>
  <c r="CD55" i="62"/>
  <c r="CB55" i="62"/>
  <c r="CC55" i="62"/>
  <c r="CH55" i="62"/>
  <c r="BX55" i="62"/>
  <c r="BY55" i="62"/>
  <c r="CF55" i="62"/>
  <c r="BW55" i="62"/>
  <c r="CG55" i="62"/>
  <c r="BZ66" i="62"/>
  <c r="CC66" i="62"/>
  <c r="CH66" i="62"/>
  <c r="BX66" i="62"/>
  <c r="CF66" i="62"/>
  <c r="CE66" i="62"/>
  <c r="CA66" i="62"/>
  <c r="CG66" i="62"/>
  <c r="CB66" i="62"/>
  <c r="BW66" i="62"/>
  <c r="BY66" i="62"/>
  <c r="CD66" i="62"/>
  <c r="CE77" i="62"/>
  <c r="CG77" i="62"/>
  <c r="BW77" i="62"/>
  <c r="BX77" i="62"/>
  <c r="CA77" i="62"/>
  <c r="CB77" i="62"/>
  <c r="CC77" i="62"/>
  <c r="CH77" i="62"/>
  <c r="CF77" i="62"/>
  <c r="CD77" i="62"/>
  <c r="BY77" i="62"/>
  <c r="BZ77" i="62"/>
  <c r="CD88" i="62"/>
  <c r="CE88" i="62"/>
  <c r="CA88" i="62"/>
  <c r="CG88" i="62"/>
  <c r="CB88" i="62"/>
  <c r="CH88" i="62"/>
  <c r="CC88" i="62"/>
  <c r="BX88" i="62"/>
  <c r="BY88" i="62"/>
  <c r="BZ88" i="62"/>
  <c r="CF88" i="62"/>
  <c r="BW88" i="62"/>
  <c r="CE99" i="62"/>
  <c r="BW99" i="62"/>
  <c r="BY99" i="62"/>
  <c r="BZ99" i="62"/>
  <c r="CC99" i="62"/>
  <c r="CF99" i="62"/>
  <c r="CD99" i="62"/>
  <c r="CH99" i="62"/>
  <c r="CB99" i="62"/>
  <c r="CA99" i="62"/>
  <c r="CG99" i="62"/>
  <c r="BX99" i="62"/>
  <c r="CD110" i="62"/>
  <c r="CE110" i="62"/>
  <c r="CF110" i="62"/>
  <c r="CG110" i="62"/>
  <c r="CH110" i="62"/>
  <c r="CB110" i="62"/>
  <c r="CC110" i="62"/>
  <c r="CA110" i="62"/>
  <c r="BW110" i="62"/>
  <c r="BX110" i="62"/>
  <c r="BY110" i="62"/>
  <c r="BZ110" i="62"/>
  <c r="BW121" i="62"/>
  <c r="BZ121" i="62"/>
  <c r="CA121" i="62"/>
  <c r="CC121" i="62"/>
  <c r="CE121" i="62"/>
  <c r="BY121" i="62"/>
  <c r="CB121" i="62"/>
  <c r="CF121" i="62"/>
  <c r="CG121" i="62"/>
  <c r="CH121" i="62"/>
  <c r="BX121" i="62"/>
  <c r="CD121" i="62"/>
  <c r="BY18" i="39"/>
  <c r="CD18" i="39"/>
  <c r="BZ18" i="39"/>
  <c r="CC18" i="39"/>
  <c r="CF18" i="39"/>
  <c r="CE18" i="39"/>
  <c r="CG18" i="39"/>
  <c r="CA18" i="39"/>
  <c r="CB18" i="39"/>
  <c r="BW18" i="39"/>
  <c r="BV18" i="39"/>
  <c r="BX18" i="39"/>
  <c r="BV29" i="39"/>
  <c r="BW29" i="39"/>
  <c r="CG29" i="39"/>
  <c r="BY29" i="39"/>
  <c r="CB29" i="39"/>
  <c r="CC29" i="39"/>
  <c r="CD29" i="39"/>
  <c r="CE29" i="39"/>
  <c r="CA29" i="39"/>
  <c r="CF29" i="39"/>
  <c r="BZ29" i="39"/>
  <c r="BX29" i="39"/>
  <c r="CE40" i="39"/>
  <c r="BY40" i="39"/>
  <c r="BV40" i="39"/>
  <c r="BX40" i="39"/>
  <c r="BZ40" i="39"/>
  <c r="CG40" i="39"/>
  <c r="CF40" i="39"/>
  <c r="BW40" i="39"/>
  <c r="CB40" i="39"/>
  <c r="CD40" i="39"/>
  <c r="CC40" i="39"/>
  <c r="CA40" i="39"/>
  <c r="BY51" i="39"/>
  <c r="CB51" i="39"/>
  <c r="CC51" i="39"/>
  <c r="BW51" i="39"/>
  <c r="CA51" i="39"/>
  <c r="BZ51" i="39"/>
  <c r="CG51" i="39"/>
  <c r="CF51" i="39"/>
  <c r="CE51" i="39"/>
  <c r="BX51" i="39"/>
  <c r="CD51" i="39"/>
  <c r="BV51" i="39"/>
  <c r="CB62" i="39"/>
  <c r="BX62" i="39"/>
  <c r="CE62" i="39"/>
  <c r="CG62" i="39"/>
  <c r="BZ62" i="39"/>
  <c r="CD62" i="39"/>
  <c r="BY62" i="39"/>
  <c r="CF62" i="39"/>
  <c r="CC62" i="39"/>
  <c r="CA62" i="39"/>
  <c r="BV62" i="39"/>
  <c r="BW62" i="39"/>
  <c r="BV73" i="39"/>
  <c r="BZ73" i="39"/>
  <c r="CG73" i="39"/>
  <c r="CB73" i="39"/>
  <c r="CD73" i="39"/>
  <c r="BW73" i="39"/>
  <c r="CF73" i="39"/>
  <c r="CA73" i="39"/>
  <c r="BX73" i="39"/>
  <c r="BY73" i="39"/>
  <c r="CE73" i="39"/>
  <c r="CC73" i="39"/>
  <c r="CA84" i="39"/>
  <c r="CB84" i="39"/>
  <c r="BY84" i="39"/>
  <c r="BW84" i="39"/>
  <c r="BV84" i="39"/>
  <c r="BZ84" i="39"/>
  <c r="CG84" i="39"/>
  <c r="CE84" i="39"/>
  <c r="BX84" i="39"/>
  <c r="CD84" i="39"/>
  <c r="CC84" i="39"/>
  <c r="CF84" i="39"/>
  <c r="CD95" i="39"/>
  <c r="BV95" i="39"/>
  <c r="CE95" i="39"/>
  <c r="CC95" i="39"/>
  <c r="BX95" i="39"/>
  <c r="CF95" i="39"/>
  <c r="CB95" i="39"/>
  <c r="BZ95" i="39"/>
  <c r="CA95" i="39"/>
  <c r="BY95" i="39"/>
  <c r="CG95" i="39"/>
  <c r="BW95" i="39"/>
  <c r="CA106" i="39"/>
  <c r="BW106" i="39"/>
  <c r="CF106" i="39"/>
  <c r="CB106" i="39"/>
  <c r="CD106" i="39"/>
  <c r="CE106" i="39"/>
  <c r="CG106" i="39"/>
  <c r="BZ106" i="39"/>
  <c r="BV106" i="39"/>
  <c r="CC106" i="39"/>
  <c r="BX106" i="39"/>
  <c r="BY106" i="39"/>
  <c r="CF80" i="62"/>
  <c r="CG80" i="62"/>
  <c r="CA80" i="62"/>
  <c r="CD80" i="62"/>
  <c r="BY80" i="62"/>
  <c r="CC80" i="62"/>
  <c r="BW80" i="62"/>
  <c r="BX80" i="62"/>
  <c r="BZ80" i="62"/>
  <c r="CE80" i="62"/>
  <c r="CH80" i="62"/>
  <c r="CB80" i="62"/>
  <c r="CD100" i="28"/>
  <c r="CF100" i="28"/>
  <c r="BY100" i="28"/>
  <c r="CG100" i="28"/>
  <c r="BW100" i="28"/>
  <c r="CH100" i="28"/>
  <c r="CA100" i="28"/>
  <c r="BZ100" i="28"/>
  <c r="CE100" i="28"/>
  <c r="CC100" i="28"/>
  <c r="BX100" i="28"/>
  <c r="CB100" i="28"/>
  <c r="CC35" i="28"/>
  <c r="CE35" i="28"/>
  <c r="CB35" i="28"/>
  <c r="CH35" i="28"/>
  <c r="BW35" i="28"/>
  <c r="BY35" i="28"/>
  <c r="CF35" i="28"/>
  <c r="BZ35" i="28"/>
  <c r="CG35" i="28"/>
  <c r="CD35" i="28"/>
  <c r="CA35" i="28"/>
  <c r="BX35" i="28"/>
  <c r="CA34" i="39"/>
  <c r="CE34" i="39"/>
  <c r="BZ34" i="39"/>
  <c r="CD34" i="39"/>
  <c r="BY34" i="39"/>
  <c r="BX34" i="39"/>
  <c r="CC34" i="39"/>
  <c r="CF34" i="39"/>
  <c r="BW34" i="39"/>
  <c r="CB34" i="39"/>
  <c r="BV34" i="39"/>
  <c r="CG34" i="39"/>
  <c r="BY25" i="39"/>
  <c r="BW25" i="39"/>
  <c r="BV25" i="39"/>
  <c r="CB25" i="39"/>
  <c r="BZ25" i="39"/>
  <c r="CD25" i="39"/>
  <c r="CE25" i="39"/>
  <c r="CA25" i="39"/>
  <c r="CC25" i="39"/>
  <c r="CG25" i="39"/>
  <c r="BX25" i="39"/>
  <c r="CF25" i="39"/>
  <c r="BZ27" i="28"/>
  <c r="CC27" i="28"/>
  <c r="BY27" i="28"/>
  <c r="CB27" i="28"/>
  <c r="CH27" i="28"/>
  <c r="BW27" i="28"/>
  <c r="CG27" i="28"/>
  <c r="CE27" i="28"/>
  <c r="BX27" i="28"/>
  <c r="CF27" i="28"/>
  <c r="CD27" i="28"/>
  <c r="CA27" i="28"/>
  <c r="BX49" i="28"/>
  <c r="BZ49" i="28"/>
  <c r="CG49" i="28"/>
  <c r="CF49" i="28"/>
  <c r="CB49" i="28"/>
  <c r="BW49" i="28"/>
  <c r="CC49" i="28"/>
  <c r="CD49" i="28"/>
  <c r="BY49" i="28"/>
  <c r="CA49" i="28"/>
  <c r="CH49" i="28"/>
  <c r="CE49" i="28"/>
  <c r="CH71" i="28"/>
  <c r="BZ71" i="28"/>
  <c r="BX71" i="28"/>
  <c r="BY71" i="28"/>
  <c r="CG71" i="28"/>
  <c r="BW71" i="28"/>
  <c r="CC71" i="28"/>
  <c r="CE71" i="28"/>
  <c r="CB71" i="28"/>
  <c r="CA71" i="28"/>
  <c r="CF71" i="28"/>
  <c r="CD71" i="28"/>
  <c r="CC93" i="28"/>
  <c r="CG93" i="28"/>
  <c r="BX93" i="28"/>
  <c r="CB93" i="28"/>
  <c r="CA93" i="28"/>
  <c r="CE93" i="28"/>
  <c r="BZ93" i="28"/>
  <c r="CD93" i="28"/>
  <c r="BY93" i="28"/>
  <c r="BW93" i="28"/>
  <c r="CH93" i="28"/>
  <c r="CF93" i="28"/>
  <c r="CP117" i="62"/>
  <c r="CP116" i="62" s="1"/>
  <c r="CP115" i="62" s="1"/>
  <c r="CP114" i="62" s="1"/>
  <c r="CP113" i="62" s="1"/>
  <c r="CP112" i="62" s="1"/>
  <c r="CP111" i="62" s="1"/>
  <c r="CP110" i="62" s="1"/>
  <c r="CP109" i="62" s="1"/>
  <c r="CP108" i="62" s="1"/>
  <c r="CP107" i="62" s="1"/>
  <c r="CP106" i="62" s="1"/>
  <c r="CP105" i="62" s="1"/>
  <c r="CP104" i="62" s="1"/>
  <c r="CP103" i="62" s="1"/>
  <c r="CP102" i="62" s="1"/>
  <c r="CP101" i="62" s="1"/>
  <c r="CP100" i="62" s="1"/>
  <c r="CP99" i="62" s="1"/>
  <c r="CP98" i="62" s="1"/>
  <c r="CP97" i="62" s="1"/>
  <c r="CP96" i="62" s="1"/>
  <c r="CP95" i="62" s="1"/>
  <c r="CP94" i="62" s="1"/>
  <c r="CP93" i="62" s="1"/>
  <c r="CP92" i="62" s="1"/>
  <c r="CP91" i="62" s="1"/>
  <c r="CP90" i="62" s="1"/>
  <c r="CP89" i="62" s="1"/>
  <c r="CP88" i="62" s="1"/>
  <c r="CP87" i="62" s="1"/>
  <c r="CP86" i="62" s="1"/>
  <c r="CP85" i="62" s="1"/>
  <c r="CP84" i="62" s="1"/>
  <c r="CP83" i="62" s="1"/>
  <c r="CP82" i="62" s="1"/>
  <c r="CP81" i="62" s="1"/>
  <c r="CP80" i="62" s="1"/>
  <c r="CP79" i="62" s="1"/>
  <c r="CP78" i="62" s="1"/>
  <c r="CP77" i="62" s="1"/>
  <c r="CP76" i="62" s="1"/>
  <c r="CP75" i="62" s="1"/>
  <c r="CP74" i="62" s="1"/>
  <c r="CP73" i="62" s="1"/>
  <c r="CP72" i="62" s="1"/>
  <c r="CP71" i="62" s="1"/>
  <c r="CP70" i="62" s="1"/>
  <c r="CP69" i="62" s="1"/>
  <c r="CP68" i="62" s="1"/>
  <c r="CP67" i="62" s="1"/>
  <c r="CP66" i="62" s="1"/>
  <c r="CP65" i="62" s="1"/>
  <c r="CP64" i="62" s="1"/>
  <c r="CP63" i="62" s="1"/>
  <c r="CP62" i="62" s="1"/>
  <c r="CP61" i="62" s="1"/>
  <c r="CP60" i="62" s="1"/>
  <c r="CP59" i="62" s="1"/>
  <c r="CP58" i="62" s="1"/>
  <c r="CP57" i="62" s="1"/>
  <c r="CP56" i="62" s="1"/>
  <c r="CP55" i="62" s="1"/>
  <c r="CP54" i="62" s="1"/>
  <c r="CP53" i="62" s="1"/>
  <c r="CP52" i="62" s="1"/>
  <c r="CP51" i="62" s="1"/>
  <c r="CP50" i="62" s="1"/>
  <c r="CP49" i="62" s="1"/>
  <c r="CP48" i="62" s="1"/>
  <c r="CP47" i="62" s="1"/>
  <c r="CP46" i="62" s="1"/>
  <c r="CP45" i="62" s="1"/>
  <c r="CP44" i="62" s="1"/>
  <c r="CP43" i="62" s="1"/>
  <c r="CP42" i="62" s="1"/>
  <c r="CP41" i="62" s="1"/>
  <c r="CP40" i="62" s="1"/>
  <c r="CP39" i="62" s="1"/>
  <c r="CP38" i="62" s="1"/>
  <c r="CP37" i="62" s="1"/>
  <c r="CP36" i="62" s="1"/>
  <c r="CP35" i="62" s="1"/>
  <c r="CP34" i="62" s="1"/>
  <c r="CP33" i="62" s="1"/>
  <c r="CP32" i="62" s="1"/>
  <c r="CP31" i="62" s="1"/>
  <c r="CP30" i="62" s="1"/>
  <c r="CP29" i="62" s="1"/>
  <c r="CP28" i="62" s="1"/>
  <c r="CP27" i="62" s="1"/>
  <c r="CP26" i="62" s="1"/>
  <c r="CP25" i="62" s="1"/>
  <c r="CP24" i="62" s="1"/>
  <c r="CP23" i="62" s="1"/>
  <c r="CP22" i="62" s="1"/>
  <c r="CP113" i="28" s="1"/>
  <c r="CP100" i="28" s="1"/>
  <c r="CP44" i="28" s="1"/>
  <c r="CP40" i="28" s="1"/>
  <c r="CP32" i="28" s="1"/>
  <c r="CP27" i="28" s="1"/>
  <c r="CP26" i="28" s="1"/>
  <c r="CP25" i="28" s="1"/>
  <c r="CP24" i="28" s="1"/>
  <c r="CP23" i="28" s="1"/>
  <c r="CP22" i="28" s="1"/>
  <c r="CP21" i="28" s="1"/>
  <c r="CP20" i="28" s="1"/>
  <c r="G128" i="22" s="1"/>
  <c r="G135" i="22" s="1"/>
  <c r="BZ48" i="62"/>
  <c r="BY48" i="62"/>
  <c r="CD48" i="62"/>
  <c r="CE48" i="62"/>
  <c r="BX48" i="62"/>
  <c r="CG48" i="62"/>
  <c r="BW48" i="62"/>
  <c r="CH48" i="62"/>
  <c r="CF48" i="62"/>
  <c r="CA48" i="62"/>
  <c r="CB48" i="62"/>
  <c r="CC48" i="62"/>
  <c r="CC36" i="39"/>
  <c r="CA36" i="39"/>
  <c r="BY36" i="39"/>
  <c r="CG36" i="39"/>
  <c r="CB36" i="39"/>
  <c r="BX36" i="39"/>
  <c r="BZ36" i="39"/>
  <c r="CE36" i="39"/>
  <c r="BW36" i="39"/>
  <c r="CF36" i="39"/>
  <c r="BV36" i="39"/>
  <c r="CD36" i="39"/>
  <c r="BZ28" i="28"/>
  <c r="BX28" i="28"/>
  <c r="CA28" i="28"/>
  <c r="BY28" i="28"/>
  <c r="CG28" i="28"/>
  <c r="CF28" i="28"/>
  <c r="CD28" i="28"/>
  <c r="BW28" i="28"/>
  <c r="CB28" i="28"/>
  <c r="CE28" i="28"/>
  <c r="CC28" i="28"/>
  <c r="CH28" i="28"/>
  <c r="CA50" i="28"/>
  <c r="CB50" i="28"/>
  <c r="BX50" i="28"/>
  <c r="CE50" i="28"/>
  <c r="BY50" i="28"/>
  <c r="CF50" i="28"/>
  <c r="CH50" i="28"/>
  <c r="CG50" i="28"/>
  <c r="CD50" i="28"/>
  <c r="BW50" i="28"/>
  <c r="BZ50" i="28"/>
  <c r="CC50" i="28"/>
  <c r="CC72" i="28"/>
  <c r="BX72" i="28"/>
  <c r="CA72" i="28"/>
  <c r="BZ72" i="28"/>
  <c r="CE72" i="28"/>
  <c r="CD72" i="28"/>
  <c r="BY72" i="28"/>
  <c r="CB72" i="28"/>
  <c r="CF72" i="28"/>
  <c r="CG72" i="28"/>
  <c r="CH72" i="28"/>
  <c r="BW72" i="28"/>
  <c r="BW94" i="28"/>
  <c r="BX94" i="28"/>
  <c r="BZ94" i="28"/>
  <c r="CG94" i="28"/>
  <c r="CB94" i="28"/>
  <c r="CC94" i="28"/>
  <c r="CA94" i="28"/>
  <c r="CE94" i="28"/>
  <c r="CF94" i="28"/>
  <c r="BY94" i="28"/>
  <c r="CH94" i="28"/>
  <c r="CD94" i="28"/>
  <c r="CH23" i="62"/>
  <c r="BX23" i="62"/>
  <c r="CF23" i="62"/>
  <c r="CD23" i="62"/>
  <c r="CG23" i="62"/>
  <c r="BY23" i="62"/>
  <c r="BZ23" i="62"/>
  <c r="CB23" i="62"/>
  <c r="CE23" i="62"/>
  <c r="CA23" i="62"/>
  <c r="CC23" i="62"/>
  <c r="BW23" i="62"/>
  <c r="CC34" i="62"/>
  <c r="CF34" i="62"/>
  <c r="BY34" i="62"/>
  <c r="CE34" i="62"/>
  <c r="BW34" i="62"/>
  <c r="BZ34" i="62"/>
  <c r="CG34" i="62"/>
  <c r="CD34" i="62"/>
  <c r="BX34" i="62"/>
  <c r="CA34" i="62"/>
  <c r="CB34" i="62"/>
  <c r="CH34" i="62"/>
  <c r="CA45" i="62"/>
  <c r="CB45" i="62"/>
  <c r="CC45" i="62"/>
  <c r="CG45" i="62"/>
  <c r="BW45" i="62"/>
  <c r="CH45" i="62"/>
  <c r="BX45" i="62"/>
  <c r="CF45" i="62"/>
  <c r="CE45" i="62"/>
  <c r="CD45" i="62"/>
  <c r="BZ45" i="62"/>
  <c r="BY45" i="62"/>
  <c r="BZ56" i="62"/>
  <c r="BW56" i="62"/>
  <c r="BX56" i="62"/>
  <c r="CC56" i="62"/>
  <c r="CE56" i="62"/>
  <c r="CB56" i="62"/>
  <c r="CD56" i="62"/>
  <c r="CF56" i="62"/>
  <c r="CH56" i="62"/>
  <c r="CA56" i="62"/>
  <c r="CG56" i="62"/>
  <c r="BY56" i="62"/>
  <c r="CB67" i="62"/>
  <c r="CF67" i="62"/>
  <c r="CG67" i="62"/>
  <c r="BZ67" i="62"/>
  <c r="CH67" i="62"/>
  <c r="CC67" i="62"/>
  <c r="CE67" i="62"/>
  <c r="BW67" i="62"/>
  <c r="BY67" i="62"/>
  <c r="BX67" i="62"/>
  <c r="CA67" i="62"/>
  <c r="CD67" i="62"/>
  <c r="CD78" i="62"/>
  <c r="BY78" i="62"/>
  <c r="BZ78" i="62"/>
  <c r="CE78" i="62"/>
  <c r="CF78" i="62"/>
  <c r="CG78" i="62"/>
  <c r="CB78" i="62"/>
  <c r="CH78" i="62"/>
  <c r="CC78" i="62"/>
  <c r="BX78" i="62"/>
  <c r="BW78" i="62"/>
  <c r="CA78" i="62"/>
  <c r="CF89" i="62"/>
  <c r="CA89" i="62"/>
  <c r="CG89" i="62"/>
  <c r="CH89" i="62"/>
  <c r="BW89" i="62"/>
  <c r="CD89" i="62"/>
  <c r="CE89" i="62"/>
  <c r="BY89" i="62"/>
  <c r="BX89" i="62"/>
  <c r="BZ89" i="62"/>
  <c r="CC89" i="62"/>
  <c r="CB89" i="62"/>
  <c r="CB100" i="62"/>
  <c r="CC100" i="62"/>
  <c r="CE100" i="62"/>
  <c r="BW100" i="62"/>
  <c r="BX100" i="62"/>
  <c r="BY100" i="62"/>
  <c r="CD100" i="62"/>
  <c r="BZ100" i="62"/>
  <c r="CF100" i="62"/>
  <c r="CG100" i="62"/>
  <c r="CH100" i="62"/>
  <c r="CA100" i="62"/>
  <c r="BW111" i="62"/>
  <c r="BY111" i="62"/>
  <c r="CD111" i="62"/>
  <c r="CB111" i="62"/>
  <c r="CC111" i="62"/>
  <c r="CE111" i="62"/>
  <c r="CF111" i="62"/>
  <c r="CA111" i="62"/>
  <c r="CH111" i="62"/>
  <c r="CG111" i="62"/>
  <c r="BX111" i="62"/>
  <c r="BZ111" i="62"/>
  <c r="CF19" i="39"/>
  <c r="CD19" i="39"/>
  <c r="CA19" i="39"/>
  <c r="CE19" i="39"/>
  <c r="BW19" i="39"/>
  <c r="CC19" i="39"/>
  <c r="CG19" i="39"/>
  <c r="BX19" i="39"/>
  <c r="BZ19" i="39"/>
  <c r="BV19" i="39"/>
  <c r="CB19" i="39"/>
  <c r="BY19" i="39"/>
  <c r="BV30" i="39"/>
  <c r="BW30" i="39"/>
  <c r="CE30" i="39"/>
  <c r="CG30" i="39"/>
  <c r="CF30" i="39"/>
  <c r="CD30" i="39"/>
  <c r="CC30" i="39"/>
  <c r="CA30" i="39"/>
  <c r="BX30" i="39"/>
  <c r="CB30" i="39"/>
  <c r="BY30" i="39"/>
  <c r="BZ30" i="39"/>
  <c r="CD41" i="39"/>
  <c r="BX41" i="39"/>
  <c r="CC41" i="39"/>
  <c r="CA41" i="39"/>
  <c r="BZ41" i="39"/>
  <c r="BV41" i="39"/>
  <c r="CE41" i="39"/>
  <c r="CB41" i="39"/>
  <c r="CG41" i="39"/>
  <c r="BY41" i="39"/>
  <c r="CF41" i="39"/>
  <c r="BW41" i="39"/>
  <c r="BW52" i="39"/>
  <c r="CF52" i="39"/>
  <c r="BV52" i="39"/>
  <c r="CB52" i="39"/>
  <c r="BY52" i="39"/>
  <c r="BX52" i="39"/>
  <c r="CC52" i="39"/>
  <c r="CD52" i="39"/>
  <c r="CE52" i="39"/>
  <c r="BZ52" i="39"/>
  <c r="CG52" i="39"/>
  <c r="CA52" i="39"/>
  <c r="BY63" i="39"/>
  <c r="CB63" i="39"/>
  <c r="BZ63" i="39"/>
  <c r="BW63" i="39"/>
  <c r="CC63" i="39"/>
  <c r="BV63" i="39"/>
  <c r="CF63" i="39"/>
  <c r="CG63" i="39"/>
  <c r="BX63" i="39"/>
  <c r="CA63" i="39"/>
  <c r="CE63" i="39"/>
  <c r="CD63" i="39"/>
  <c r="BX74" i="39"/>
  <c r="BY74" i="39"/>
  <c r="CD74" i="39"/>
  <c r="CE74" i="39"/>
  <c r="CC74" i="39"/>
  <c r="BW74" i="39"/>
  <c r="CA74" i="39"/>
  <c r="CF74" i="39"/>
  <c r="CB74" i="39"/>
  <c r="BV74" i="39"/>
  <c r="BZ74" i="39"/>
  <c r="CG74" i="39"/>
  <c r="BW85" i="39"/>
  <c r="BY85" i="39"/>
  <c r="BX85" i="39"/>
  <c r="BZ85" i="39"/>
  <c r="BV85" i="39"/>
  <c r="CC85" i="39"/>
  <c r="CG85" i="39"/>
  <c r="CD85" i="39"/>
  <c r="CE85" i="39"/>
  <c r="CB85" i="39"/>
  <c r="CA85" i="39"/>
  <c r="CF85" i="39"/>
  <c r="BV96" i="39"/>
  <c r="CG96" i="39"/>
  <c r="BY96" i="39"/>
  <c r="CC96" i="39"/>
  <c r="CB96" i="39"/>
  <c r="BX96" i="39"/>
  <c r="BW96" i="39"/>
  <c r="CD96" i="39"/>
  <c r="CF96" i="39"/>
  <c r="BZ96" i="39"/>
  <c r="CE96" i="39"/>
  <c r="CA96" i="39"/>
  <c r="CF107" i="39"/>
  <c r="BW107" i="39"/>
  <c r="CC107" i="39"/>
  <c r="BX107" i="39"/>
  <c r="CG107" i="39"/>
  <c r="CE107" i="39"/>
  <c r="BV107" i="39"/>
  <c r="CB107" i="39"/>
  <c r="BY107" i="39"/>
  <c r="BZ107" i="39"/>
  <c r="CD107" i="39"/>
  <c r="CA107" i="39"/>
  <c r="CF32" i="39"/>
  <c r="BX32" i="39"/>
  <c r="CE32" i="39"/>
  <c r="BV32" i="39"/>
  <c r="CB32" i="39"/>
  <c r="BY32" i="39"/>
  <c r="CC32" i="39"/>
  <c r="CD32" i="39"/>
  <c r="BZ32" i="39"/>
  <c r="CA32" i="39"/>
  <c r="CG32" i="39"/>
  <c r="BW32" i="39"/>
  <c r="CF99" i="28"/>
  <c r="BY99" i="28"/>
  <c r="CH99" i="28"/>
  <c r="BW99" i="28"/>
  <c r="CD99" i="28"/>
  <c r="CB99" i="28"/>
  <c r="CG99" i="28"/>
  <c r="CC99" i="28"/>
  <c r="CE99" i="28"/>
  <c r="CA99" i="28"/>
  <c r="BX99" i="28"/>
  <c r="BZ99" i="28"/>
  <c r="CC80" i="28"/>
  <c r="CD80" i="28"/>
  <c r="CB80" i="28"/>
  <c r="BZ80" i="28"/>
  <c r="BW80" i="28"/>
  <c r="CG80" i="28"/>
  <c r="BX80" i="28"/>
  <c r="CA80" i="28"/>
  <c r="CH80" i="28"/>
  <c r="CE80" i="28"/>
  <c r="BY80" i="28"/>
  <c r="CF80" i="28"/>
  <c r="CC115" i="62"/>
  <c r="CD115" i="62"/>
  <c r="BW115" i="62"/>
  <c r="BX115" i="62"/>
  <c r="BY115" i="62"/>
  <c r="BZ115" i="62"/>
  <c r="CA115" i="62"/>
  <c r="CH115" i="62"/>
  <c r="CB115" i="62"/>
  <c r="CF115" i="62"/>
  <c r="CG115" i="62"/>
  <c r="CE115" i="62"/>
  <c r="CC111" i="39"/>
  <c r="CA111" i="39"/>
  <c r="BW111" i="39"/>
  <c r="BY111" i="39"/>
  <c r="BZ111" i="39"/>
  <c r="CE111" i="39"/>
  <c r="BX111" i="39"/>
  <c r="CD111" i="39"/>
  <c r="CG111" i="39"/>
  <c r="CF111" i="39"/>
  <c r="CB111" i="39"/>
  <c r="BV111" i="39"/>
  <c r="CF29" i="28"/>
  <c r="CA29" i="28"/>
  <c r="BW29" i="28"/>
  <c r="CE29" i="28"/>
  <c r="CH29" i="28"/>
  <c r="CD29" i="28"/>
  <c r="BZ29" i="28"/>
  <c r="CG29" i="28"/>
  <c r="CC29" i="28"/>
  <c r="BY29" i="28"/>
  <c r="BX29" i="28"/>
  <c r="CB29" i="28"/>
  <c r="CF51" i="28"/>
  <c r="CB51" i="28"/>
  <c r="BZ51" i="28"/>
  <c r="CC51" i="28"/>
  <c r="CD51" i="28"/>
  <c r="BW51" i="28"/>
  <c r="CH51" i="28"/>
  <c r="CA51" i="28"/>
  <c r="CE51" i="28"/>
  <c r="BX51" i="28"/>
  <c r="CG51" i="28"/>
  <c r="BY51" i="28"/>
  <c r="CD73" i="28"/>
  <c r="CA73" i="28"/>
  <c r="CE73" i="28"/>
  <c r="CH73" i="28"/>
  <c r="BY73" i="28"/>
  <c r="CB73" i="28"/>
  <c r="CC73" i="28"/>
  <c r="BZ73" i="28"/>
  <c r="BX73" i="28"/>
  <c r="CG73" i="28"/>
  <c r="CF73" i="28"/>
  <c r="BW73" i="28"/>
  <c r="CB95" i="28"/>
  <c r="BX95" i="28"/>
  <c r="CH95" i="28"/>
  <c r="CD95" i="28"/>
  <c r="BY95" i="28"/>
  <c r="CG95" i="28"/>
  <c r="CF95" i="28"/>
  <c r="CC95" i="28"/>
  <c r="BZ95" i="28"/>
  <c r="BW95" i="28"/>
  <c r="CA95" i="28"/>
  <c r="CE95" i="28"/>
  <c r="BW75" i="28"/>
  <c r="CH75" i="28"/>
  <c r="CG75" i="28"/>
  <c r="CA75" i="28"/>
  <c r="BZ75" i="28"/>
  <c r="BX75" i="28"/>
  <c r="CC75" i="28"/>
  <c r="CD75" i="28"/>
  <c r="CB75" i="28"/>
  <c r="BY75" i="28"/>
  <c r="CF75" i="28"/>
  <c r="CE75" i="28"/>
  <c r="BX32" i="28"/>
  <c r="CE32" i="28"/>
  <c r="CG32" i="28"/>
  <c r="CB32" i="28"/>
  <c r="BW32" i="28"/>
  <c r="BZ32" i="28"/>
  <c r="CF32" i="28"/>
  <c r="CH32" i="28"/>
  <c r="CC32" i="28"/>
  <c r="CD32" i="28"/>
  <c r="BY32" i="28"/>
  <c r="CA32" i="28"/>
  <c r="CF69" i="62"/>
  <c r="BX69" i="62"/>
  <c r="CG69" i="62"/>
  <c r="BZ69" i="62"/>
  <c r="CB69" i="62"/>
  <c r="CA69" i="62"/>
  <c r="CC69" i="62"/>
  <c r="CD69" i="62"/>
  <c r="CE69" i="62"/>
  <c r="BY69" i="62"/>
  <c r="BW69" i="62"/>
  <c r="CH69" i="62"/>
  <c r="CD98" i="39"/>
  <c r="CB98" i="39"/>
  <c r="CG98" i="39"/>
  <c r="CE98" i="39"/>
  <c r="BZ98" i="39"/>
  <c r="BW98" i="39"/>
  <c r="BY98" i="39"/>
  <c r="CC98" i="39"/>
  <c r="CA98" i="39"/>
  <c r="BV98" i="39"/>
  <c r="BX98" i="39"/>
  <c r="CF98" i="39"/>
  <c r="CE77" i="28"/>
  <c r="BY77" i="28"/>
  <c r="BZ77" i="28"/>
  <c r="CA77" i="28"/>
  <c r="CF77" i="28"/>
  <c r="BW77" i="28"/>
  <c r="CB77" i="28"/>
  <c r="CG77" i="28"/>
  <c r="CH77" i="28"/>
  <c r="BX77" i="28"/>
  <c r="CC77" i="28"/>
  <c r="CD77" i="28"/>
  <c r="CG81" i="62"/>
  <c r="BY81" i="62"/>
  <c r="CA81" i="62"/>
  <c r="BX81" i="62"/>
  <c r="BZ81" i="62"/>
  <c r="CD81" i="62"/>
  <c r="CC81" i="62"/>
  <c r="CE81" i="62"/>
  <c r="CF81" i="62"/>
  <c r="BW81" i="62"/>
  <c r="CB81" i="62"/>
  <c r="CH81" i="62"/>
  <c r="CF44" i="39"/>
  <c r="BW44" i="39"/>
  <c r="CA44" i="39"/>
  <c r="CD44" i="39"/>
  <c r="BY44" i="39"/>
  <c r="CG44" i="39"/>
  <c r="CC44" i="39"/>
  <c r="BX44" i="39"/>
  <c r="BZ44" i="39"/>
  <c r="CE44" i="39"/>
  <c r="CB44" i="39"/>
  <c r="BV44" i="39"/>
  <c r="CF88" i="39"/>
  <c r="BY88" i="39"/>
  <c r="CG88" i="39"/>
  <c r="BZ88" i="39"/>
  <c r="CA88" i="39"/>
  <c r="BV88" i="39"/>
  <c r="BW88" i="39"/>
  <c r="CC88" i="39"/>
  <c r="CB88" i="39"/>
  <c r="CE88" i="39"/>
  <c r="CD88" i="39"/>
  <c r="BX88" i="39"/>
  <c r="BV45" i="39"/>
  <c r="BZ45" i="39"/>
  <c r="CE45" i="39"/>
  <c r="BY45" i="39"/>
  <c r="CD45" i="39"/>
  <c r="CB45" i="39"/>
  <c r="CF45" i="39"/>
  <c r="CA45" i="39"/>
  <c r="BX45" i="39"/>
  <c r="CG45" i="39"/>
  <c r="BW45" i="39"/>
  <c r="CC45" i="39"/>
  <c r="CB18" i="28"/>
  <c r="CH18" i="28"/>
  <c r="BY18" i="28"/>
  <c r="BZ18" i="28"/>
  <c r="CC18" i="28"/>
  <c r="BX18" i="28"/>
  <c r="CF18" i="28"/>
  <c r="CG18" i="28"/>
  <c r="CE18" i="28"/>
  <c r="CA18" i="28"/>
  <c r="CD18" i="28"/>
  <c r="BW18" i="28"/>
  <c r="BY40" i="28"/>
  <c r="BX40" i="28"/>
  <c r="CD40" i="28"/>
  <c r="CB40" i="28"/>
  <c r="CF40" i="28"/>
  <c r="CG40" i="28"/>
  <c r="CA40" i="28"/>
  <c r="CC40" i="28"/>
  <c r="CH40" i="28"/>
  <c r="CE40" i="28"/>
  <c r="BZ40" i="28"/>
  <c r="BW40" i="28"/>
  <c r="CB84" i="28"/>
  <c r="CA84" i="28"/>
  <c r="BX84" i="28"/>
  <c r="CE84" i="28"/>
  <c r="BZ84" i="28"/>
  <c r="BW84" i="28"/>
  <c r="BY84" i="28"/>
  <c r="CH84" i="28"/>
  <c r="CG84" i="28"/>
  <c r="CD84" i="28"/>
  <c r="CF84" i="28"/>
  <c r="CC84" i="28"/>
  <c r="CA29" i="62"/>
  <c r="CC29" i="62"/>
  <c r="BW29" i="62"/>
  <c r="CE29" i="62"/>
  <c r="CD29" i="62"/>
  <c r="BY29" i="62"/>
  <c r="CF29" i="62"/>
  <c r="CG29" i="62"/>
  <c r="CB29" i="62"/>
  <c r="BZ29" i="62"/>
  <c r="CH29" i="62"/>
  <c r="BX29" i="62"/>
  <c r="CG40" i="62"/>
  <c r="CH40" i="62"/>
  <c r="CE40" i="62"/>
  <c r="CC40" i="62"/>
  <c r="BW40" i="62"/>
  <c r="BY40" i="62"/>
  <c r="CA40" i="62"/>
  <c r="BX40" i="62"/>
  <c r="CD40" i="62"/>
  <c r="BZ40" i="62"/>
  <c r="CB40" i="62"/>
  <c r="CF40" i="62"/>
  <c r="BW51" i="62"/>
  <c r="BX51" i="62"/>
  <c r="CF51" i="62"/>
  <c r="CC51" i="62"/>
  <c r="BY51" i="62"/>
  <c r="CA51" i="62"/>
  <c r="BZ51" i="62"/>
  <c r="CB51" i="62"/>
  <c r="CE51" i="62"/>
  <c r="CD51" i="62"/>
  <c r="CG51" i="62"/>
  <c r="CH51" i="62"/>
  <c r="CD73" i="62"/>
  <c r="CE73" i="62"/>
  <c r="BX73" i="62"/>
  <c r="CC73" i="62"/>
  <c r="CG73" i="62"/>
  <c r="CH73" i="62"/>
  <c r="BW73" i="62"/>
  <c r="CF73" i="62"/>
  <c r="CA73" i="62"/>
  <c r="CB73" i="62"/>
  <c r="BZ73" i="62"/>
  <c r="BY73" i="62"/>
  <c r="CA117" i="62"/>
  <c r="CH117" i="62"/>
  <c r="BW117" i="62"/>
  <c r="BX117" i="62"/>
  <c r="BY117" i="62"/>
  <c r="BZ117" i="62"/>
  <c r="CB117" i="62"/>
  <c r="CC117" i="62"/>
  <c r="CD117" i="62"/>
  <c r="CE117" i="62"/>
  <c r="CF117" i="62"/>
  <c r="CG117" i="62"/>
  <c r="BX47" i="39"/>
  <c r="BW47" i="39"/>
  <c r="CC47" i="39"/>
  <c r="CD47" i="39"/>
  <c r="BV47" i="39"/>
  <c r="BZ47" i="39"/>
  <c r="CA47" i="39"/>
  <c r="CE47" i="39"/>
  <c r="BY47" i="39"/>
  <c r="CB47" i="39"/>
  <c r="CF47" i="39"/>
  <c r="CG47" i="39"/>
  <c r="CB58" i="39"/>
  <c r="CE58" i="39"/>
  <c r="BV58" i="39"/>
  <c r="CA58" i="39"/>
  <c r="CC58" i="39"/>
  <c r="BW58" i="39"/>
  <c r="CG58" i="39"/>
  <c r="BY58" i="39"/>
  <c r="BZ58" i="39"/>
  <c r="BX58" i="39"/>
  <c r="CD58" i="39"/>
  <c r="CF58" i="39"/>
  <c r="CA69" i="39"/>
  <c r="BZ69" i="39"/>
  <c r="BY69" i="39"/>
  <c r="BW69" i="39"/>
  <c r="CB69" i="39"/>
  <c r="BX69" i="39"/>
  <c r="CG69" i="39"/>
  <c r="CC69" i="39"/>
  <c r="CF69" i="39"/>
  <c r="BV69" i="39"/>
  <c r="CE69" i="39"/>
  <c r="CD69" i="39"/>
  <c r="BZ80" i="39"/>
  <c r="BV80" i="39"/>
  <c r="CD80" i="39"/>
  <c r="BY80" i="39"/>
  <c r="BX80" i="39"/>
  <c r="CB80" i="39"/>
  <c r="CE80" i="39"/>
  <c r="CA80" i="39"/>
  <c r="BW80" i="39"/>
  <c r="CC80" i="39"/>
  <c r="CF80" i="39"/>
  <c r="CG80" i="39"/>
  <c r="CD113" i="39"/>
  <c r="CC113" i="39"/>
  <c r="CF113" i="39"/>
  <c r="BZ113" i="39"/>
  <c r="CB113" i="39"/>
  <c r="CG113" i="39"/>
  <c r="BW113" i="39"/>
  <c r="BX113" i="39"/>
  <c r="CA113" i="39"/>
  <c r="BV113" i="39"/>
  <c r="CE113" i="39"/>
  <c r="BY113" i="39"/>
  <c r="BZ30" i="28"/>
  <c r="CE30" i="28"/>
  <c r="CD30" i="28"/>
  <c r="CA30" i="28"/>
  <c r="CB30" i="28"/>
  <c r="CG30" i="28"/>
  <c r="BX30" i="28"/>
  <c r="CC30" i="28"/>
  <c r="CF30" i="28"/>
  <c r="CH30" i="28"/>
  <c r="BY30" i="28"/>
  <c r="BW30" i="28"/>
  <c r="BZ52" i="28"/>
  <c r="BW52" i="28"/>
  <c r="CG52" i="28"/>
  <c r="CF52" i="28"/>
  <c r="CD52" i="28"/>
  <c r="CE52" i="28"/>
  <c r="BY52" i="28"/>
  <c r="CB52" i="28"/>
  <c r="BX52" i="28"/>
  <c r="CC52" i="28"/>
  <c r="CA52" i="28"/>
  <c r="CH52" i="28"/>
  <c r="CA74" i="28"/>
  <c r="CE74" i="28"/>
  <c r="BZ74" i="28"/>
  <c r="CH74" i="28"/>
  <c r="CD74" i="28"/>
  <c r="CF74" i="28"/>
  <c r="CC74" i="28"/>
  <c r="BX74" i="28"/>
  <c r="BY74" i="28"/>
  <c r="CG74" i="28"/>
  <c r="CB74" i="28"/>
  <c r="BW74" i="28"/>
  <c r="CH96" i="28"/>
  <c r="CB96" i="28"/>
  <c r="BX96" i="28"/>
  <c r="CA96" i="28"/>
  <c r="BY96" i="28"/>
  <c r="CE96" i="28"/>
  <c r="BZ96" i="28"/>
  <c r="CC96" i="28"/>
  <c r="CG96" i="28"/>
  <c r="CD96" i="28"/>
  <c r="CF96" i="28"/>
  <c r="BW96" i="28"/>
  <c r="CB24" i="62"/>
  <c r="CD24" i="62"/>
  <c r="BY24" i="62"/>
  <c r="CA24" i="62"/>
  <c r="CE24" i="62"/>
  <c r="BX24" i="62"/>
  <c r="CG24" i="62"/>
  <c r="CH24" i="62"/>
  <c r="BZ24" i="62"/>
  <c r="BW24" i="62"/>
  <c r="CF24" i="62"/>
  <c r="CC24" i="62"/>
  <c r="BZ35" i="62"/>
  <c r="CB35" i="62"/>
  <c r="CD35" i="62"/>
  <c r="CG35" i="62"/>
  <c r="BW35" i="62"/>
  <c r="CA35" i="62"/>
  <c r="CH35" i="62"/>
  <c r="CE35" i="62"/>
  <c r="CC35" i="62"/>
  <c r="CF35" i="62"/>
  <c r="BX35" i="62"/>
  <c r="BY35" i="62"/>
  <c r="BY46" i="62"/>
  <c r="CC46" i="62"/>
  <c r="CA46" i="62"/>
  <c r="CE46" i="62"/>
  <c r="CD46" i="62"/>
  <c r="CG46" i="62"/>
  <c r="BW46" i="62"/>
  <c r="CB46" i="62"/>
  <c r="CH46" i="62"/>
  <c r="BX46" i="62"/>
  <c r="CF46" i="62"/>
  <c r="BZ46" i="62"/>
  <c r="BZ57" i="62"/>
  <c r="CH57" i="62"/>
  <c r="BW57" i="62"/>
  <c r="BX57" i="62"/>
  <c r="CB57" i="62"/>
  <c r="BY57" i="62"/>
  <c r="CG57" i="62"/>
  <c r="CC57" i="62"/>
  <c r="CA57" i="62"/>
  <c r="CF57" i="62"/>
  <c r="CE57" i="62"/>
  <c r="CD57" i="62"/>
  <c r="CH68" i="62"/>
  <c r="CA68" i="62"/>
  <c r="BW68" i="62"/>
  <c r="BX68" i="62"/>
  <c r="CD68" i="62"/>
  <c r="CF68" i="62"/>
  <c r="CG68" i="62"/>
  <c r="CC68" i="62"/>
  <c r="CB68" i="62"/>
  <c r="BY68" i="62"/>
  <c r="CE68" i="62"/>
  <c r="BZ68" i="62"/>
  <c r="BX79" i="62"/>
  <c r="CD79" i="62"/>
  <c r="BY79" i="62"/>
  <c r="CC79" i="62"/>
  <c r="CE79" i="62"/>
  <c r="CF79" i="62"/>
  <c r="CA79" i="62"/>
  <c r="CB79" i="62"/>
  <c r="BW79" i="62"/>
  <c r="BZ79" i="62"/>
  <c r="CG79" i="62"/>
  <c r="CH79" i="62"/>
  <c r="CD90" i="62"/>
  <c r="CE90" i="62"/>
  <c r="BW90" i="62"/>
  <c r="BX90" i="62"/>
  <c r="CB90" i="62"/>
  <c r="CF90" i="62"/>
  <c r="CG90" i="62"/>
  <c r="CH90" i="62"/>
  <c r="CC90" i="62"/>
  <c r="CA90" i="62"/>
  <c r="BY90" i="62"/>
  <c r="BZ90" i="62"/>
  <c r="CD101" i="62"/>
  <c r="CE101" i="62"/>
  <c r="CF101" i="62"/>
  <c r="CA101" i="62"/>
  <c r="CG101" i="62"/>
  <c r="CH101" i="62"/>
  <c r="CC101" i="62"/>
  <c r="BW101" i="62"/>
  <c r="CB101" i="62"/>
  <c r="BX101" i="62"/>
  <c r="BY101" i="62"/>
  <c r="BZ101" i="62"/>
  <c r="CB112" i="62"/>
  <c r="CF112" i="62"/>
  <c r="CH112" i="62"/>
  <c r="BW112" i="62"/>
  <c r="BX112" i="62"/>
  <c r="BY112" i="62"/>
  <c r="BZ112" i="62"/>
  <c r="CA112" i="62"/>
  <c r="CG112" i="62"/>
  <c r="CC112" i="62"/>
  <c r="CD112" i="62"/>
  <c r="CE112" i="62"/>
  <c r="CD20" i="39"/>
  <c r="BW20" i="39"/>
  <c r="BZ20" i="39"/>
  <c r="CE20" i="39"/>
  <c r="BY20" i="39"/>
  <c r="CC20" i="39"/>
  <c r="CG20" i="39"/>
  <c r="CA20" i="39"/>
  <c r="CB20" i="39"/>
  <c r="BV20" i="39"/>
  <c r="CF20" i="39"/>
  <c r="BX20" i="39"/>
  <c r="BY31" i="39"/>
  <c r="CG31" i="39"/>
  <c r="CE31" i="39"/>
  <c r="BW31" i="39"/>
  <c r="CF31" i="39"/>
  <c r="CD31" i="39"/>
  <c r="CA31" i="39"/>
  <c r="CC31" i="39"/>
  <c r="CB31" i="39"/>
  <c r="BX31" i="39"/>
  <c r="BZ31" i="39"/>
  <c r="BV31" i="39"/>
  <c r="CA42" i="39"/>
  <c r="BY42" i="39"/>
  <c r="BW42" i="39"/>
  <c r="CE42" i="39"/>
  <c r="BV42" i="39"/>
  <c r="CF42" i="39"/>
  <c r="BX42" i="39"/>
  <c r="CD42" i="39"/>
  <c r="CC42" i="39"/>
  <c r="CB42" i="39"/>
  <c r="BZ42" i="39"/>
  <c r="CG42" i="39"/>
  <c r="CE53" i="39"/>
  <c r="BZ53" i="39"/>
  <c r="BX53" i="39"/>
  <c r="CF53" i="39"/>
  <c r="CB53" i="39"/>
  <c r="CG53" i="39"/>
  <c r="BV53" i="39"/>
  <c r="BY53" i="39"/>
  <c r="CC53" i="39"/>
  <c r="CD53" i="39"/>
  <c r="CA53" i="39"/>
  <c r="BW53" i="39"/>
  <c r="BX64" i="39"/>
  <c r="CF64" i="39"/>
  <c r="CD64" i="39"/>
  <c r="BV64" i="39"/>
  <c r="CE64" i="39"/>
  <c r="CA64" i="39"/>
  <c r="CC64" i="39"/>
  <c r="BW64" i="39"/>
  <c r="BY64" i="39"/>
  <c r="CG64" i="39"/>
  <c r="CB64" i="39"/>
  <c r="BZ64" i="39"/>
  <c r="BX75" i="39"/>
  <c r="CG75" i="39"/>
  <c r="CF75" i="39"/>
  <c r="CE75" i="39"/>
  <c r="CD75" i="39"/>
  <c r="CA75" i="39"/>
  <c r="BW75" i="39"/>
  <c r="BV75" i="39"/>
  <c r="BY75" i="39"/>
  <c r="BZ75" i="39"/>
  <c r="CB75" i="39"/>
  <c r="CC75" i="39"/>
  <c r="BW86" i="39"/>
  <c r="BV86" i="39"/>
  <c r="CD86" i="39"/>
  <c r="CF86" i="39"/>
  <c r="CE86" i="39"/>
  <c r="CB86" i="39"/>
  <c r="BZ86" i="39"/>
  <c r="CG86" i="39"/>
  <c r="BX86" i="39"/>
  <c r="CC86" i="39"/>
  <c r="BY86" i="39"/>
  <c r="CA86" i="39"/>
  <c r="BW97" i="39"/>
  <c r="BZ97" i="39"/>
  <c r="CD97" i="39"/>
  <c r="CC97" i="39"/>
  <c r="CG97" i="39"/>
  <c r="BX97" i="39"/>
  <c r="CF97" i="39"/>
  <c r="CB97" i="39"/>
  <c r="CE97" i="39"/>
  <c r="BY97" i="39"/>
  <c r="BV97" i="39"/>
  <c r="CA97" i="39"/>
  <c r="BV108" i="39"/>
  <c r="BY108" i="39"/>
  <c r="CA108" i="39"/>
  <c r="CB108" i="39"/>
  <c r="BX108" i="39"/>
  <c r="CF108" i="39"/>
  <c r="BW108" i="39"/>
  <c r="CG108" i="39"/>
  <c r="CC108" i="39"/>
  <c r="BZ108" i="39"/>
  <c r="CD108" i="39"/>
  <c r="CE108" i="39"/>
  <c r="D9" i="65" a="1"/>
  <c r="M165" i="22" l="1" a="1"/>
  <c r="M165" i="22" s="1"/>
  <c r="B59" i="59" s="1" a="1"/>
  <c r="B59" i="59" s="1"/>
  <c r="D9" i="65"/>
  <c r="M289" i="22" a="1"/>
  <c r="BC17" i="54" a="1"/>
  <c r="BC17" i="54" s="1"/>
  <c r="CI18" i="28"/>
  <c r="H107" i="22" s="1"/>
  <c r="H125" i="22" s="1"/>
  <c r="DA2" i="38"/>
  <c r="CI102" i="28"/>
  <c r="A92" i="51"/>
  <c r="D32" i="51"/>
  <c r="CH18" i="39"/>
  <c r="CM28" i="39" s="1"/>
  <c r="H424" i="22" s="1"/>
  <c r="CI25" i="28"/>
  <c r="CI102" i="62"/>
  <c r="CI33" i="28"/>
  <c r="CI43" i="62"/>
  <c r="CI89" i="28"/>
  <c r="CI106" i="62"/>
  <c r="CI75" i="62"/>
  <c r="CI87" i="28"/>
  <c r="CI85" i="62"/>
  <c r="CI63" i="62"/>
  <c r="CI31" i="28"/>
  <c r="CH101" i="39"/>
  <c r="CH79" i="39"/>
  <c r="CI38" i="28"/>
  <c r="CI101" i="28"/>
  <c r="CH66" i="39"/>
  <c r="CI92" i="62"/>
  <c r="CI78" i="28"/>
  <c r="CI29" i="28"/>
  <c r="CH95" i="39"/>
  <c r="CI59" i="28"/>
  <c r="CI56" i="62"/>
  <c r="CH39" i="39"/>
  <c r="CH57" i="39"/>
  <c r="CH65" i="39"/>
  <c r="CH113" i="39"/>
  <c r="CI23" i="62"/>
  <c r="CH114" i="39"/>
  <c r="CH35" i="39"/>
  <c r="CH44" i="39"/>
  <c r="CH111" i="39"/>
  <c r="CI74" i="28"/>
  <c r="CI72" i="28"/>
  <c r="CI42" i="62"/>
  <c r="CH52" i="39"/>
  <c r="CI24" i="28"/>
  <c r="CH107" i="39"/>
  <c r="CH61" i="39"/>
  <c r="CI29" i="62"/>
  <c r="CI94" i="28"/>
  <c r="CH62" i="39"/>
  <c r="CH38" i="39"/>
  <c r="CH55" i="39"/>
  <c r="CI113" i="62"/>
  <c r="CH20" i="39"/>
  <c r="CM22" i="39" s="1"/>
  <c r="H418" i="22" s="1"/>
  <c r="CI30" i="28"/>
  <c r="CI51" i="28"/>
  <c r="CH85" i="39"/>
  <c r="CI111" i="62"/>
  <c r="CH29" i="39"/>
  <c r="CI62" i="28"/>
  <c r="CI76" i="62"/>
  <c r="CI55" i="28"/>
  <c r="CH49" i="39"/>
  <c r="CI108" i="28"/>
  <c r="CI82" i="62"/>
  <c r="CI83" i="28"/>
  <c r="CI105" i="62"/>
  <c r="CI104" i="28"/>
  <c r="CH108" i="39"/>
  <c r="CI68" i="62"/>
  <c r="CI69" i="62"/>
  <c r="CH63" i="39"/>
  <c r="CH19" i="39"/>
  <c r="CM19" i="39" s="1"/>
  <c r="H415" i="22" s="1"/>
  <c r="CI33" i="62"/>
  <c r="CI113" i="28"/>
  <c r="CI106" i="28"/>
  <c r="CI39" i="28"/>
  <c r="CI39" i="62"/>
  <c r="CI103" i="28"/>
  <c r="CI58" i="62"/>
  <c r="CH81" i="39"/>
  <c r="CH73" i="39"/>
  <c r="CH21" i="39"/>
  <c r="CM26" i="39" s="1"/>
  <c r="H422" i="22" s="1"/>
  <c r="CH87" i="39"/>
  <c r="CI44" i="28"/>
  <c r="CI22" i="62"/>
  <c r="H148" i="22" s="1"/>
  <c r="CI32" i="62"/>
  <c r="CH41" i="39"/>
  <c r="CH45" i="39"/>
  <c r="CI26" i="28"/>
  <c r="CH93" i="39"/>
  <c r="CI79" i="62"/>
  <c r="CI80" i="28"/>
  <c r="CI28" i="28"/>
  <c r="CI88" i="62"/>
  <c r="CH94" i="39"/>
  <c r="CH50" i="39"/>
  <c r="CI111" i="28"/>
  <c r="CI23" i="28"/>
  <c r="CH71" i="39"/>
  <c r="CH70" i="39"/>
  <c r="CI52" i="62"/>
  <c r="CI61" i="28"/>
  <c r="CI24" i="62"/>
  <c r="CI38" i="62"/>
  <c r="CI70" i="28"/>
  <c r="CI34" i="28"/>
  <c r="CI67" i="28"/>
  <c r="CI14" i="28"/>
  <c r="H108" i="22" s="1"/>
  <c r="CI40" i="62"/>
  <c r="CI110" i="62"/>
  <c r="CI36" i="28"/>
  <c r="CI85" i="28"/>
  <c r="CI86" i="62"/>
  <c r="CI63" i="28"/>
  <c r="CI26" i="62"/>
  <c r="CI118" i="62"/>
  <c r="CI20" i="28"/>
  <c r="H110" i="22" s="1"/>
  <c r="CI60" i="28"/>
  <c r="CI58" i="28"/>
  <c r="CH91" i="39"/>
  <c r="CI49" i="62"/>
  <c r="CI83" i="62"/>
  <c r="CI51" i="62"/>
  <c r="CI90" i="62"/>
  <c r="CI45" i="62"/>
  <c r="CI49" i="28"/>
  <c r="CI121" i="62"/>
  <c r="CH83" i="39"/>
  <c r="CH97" i="39"/>
  <c r="CI77" i="62"/>
  <c r="CI95" i="62"/>
  <c r="CI84" i="28"/>
  <c r="CH74" i="39"/>
  <c r="CH25" i="39"/>
  <c r="CI35" i="28"/>
  <c r="CI80" i="62"/>
  <c r="CI62" i="62"/>
  <c r="CH72" i="39"/>
  <c r="CH23" i="39"/>
  <c r="CM18" i="39" s="1"/>
  <c r="H414" i="22" s="1"/>
  <c r="CH104" i="39"/>
  <c r="CI65" i="28"/>
  <c r="CH26" i="39"/>
  <c r="CI42" i="28"/>
  <c r="CI28" i="62"/>
  <c r="CI37" i="62"/>
  <c r="CH22" i="39"/>
  <c r="CM32" i="39" s="1"/>
  <c r="H428" i="22" s="1"/>
  <c r="CH99" i="39"/>
  <c r="CH37" i="39"/>
  <c r="CI52" i="28"/>
  <c r="CH84" i="39"/>
  <c r="CI64" i="62"/>
  <c r="CH42" i="39"/>
  <c r="CI76" i="28"/>
  <c r="CH77" i="39"/>
  <c r="CI101" i="62"/>
  <c r="CH17" i="39"/>
  <c r="CH75" i="39"/>
  <c r="CH31" i="39"/>
  <c r="CM23" i="39" s="1"/>
  <c r="H419" i="22" s="1"/>
  <c r="CI96" i="28"/>
  <c r="CH32" i="39"/>
  <c r="CI48" i="62"/>
  <c r="CH40" i="39"/>
  <c r="CI69" i="28"/>
  <c r="CH28" i="39"/>
  <c r="CI65" i="62"/>
  <c r="CI46" i="28"/>
  <c r="CI114" i="62"/>
  <c r="CI96" i="62"/>
  <c r="CI50" i="62"/>
  <c r="CH43" i="39"/>
  <c r="CI98" i="28"/>
  <c r="CI36" i="62"/>
  <c r="CI44" i="62"/>
  <c r="CH109" i="39"/>
  <c r="CH16" i="39"/>
  <c r="CM21" i="39" s="1"/>
  <c r="H417" i="22" s="1"/>
  <c r="CH106" i="39"/>
  <c r="CI91" i="62"/>
  <c r="CI32" i="28"/>
  <c r="CI100" i="28"/>
  <c r="CH30" i="39"/>
  <c r="CI55" i="62"/>
  <c r="CI74" i="62"/>
  <c r="CI99" i="62"/>
  <c r="CI77" i="28"/>
  <c r="CH100" i="39"/>
  <c r="CI15" i="28"/>
  <c r="CI81" i="62"/>
  <c r="CI100" i="62"/>
  <c r="CH51" i="39"/>
  <c r="CI66" i="62"/>
  <c r="CI112" i="28"/>
  <c r="CI53" i="28"/>
  <c r="CI109" i="28"/>
  <c r="CI37" i="28"/>
  <c r="CI104" i="62"/>
  <c r="CH110" i="39"/>
  <c r="CI95" i="28"/>
  <c r="CI115" i="62"/>
  <c r="CI93" i="28"/>
  <c r="CI41" i="62"/>
  <c r="CH86" i="39"/>
  <c r="CI73" i="62"/>
  <c r="CH92" i="39"/>
  <c r="CI61" i="62"/>
  <c r="CI92" i="28"/>
  <c r="CH56" i="39"/>
  <c r="CH67" i="39"/>
  <c r="CI109" i="62"/>
  <c r="CI19" i="28"/>
  <c r="CH33" i="39"/>
  <c r="CM29" i="39" s="1"/>
  <c r="H425" i="22" s="1"/>
  <c r="CI60" i="62"/>
  <c r="CH48" i="39"/>
  <c r="CI30" i="62"/>
  <c r="CI17" i="28"/>
  <c r="CI116" i="62"/>
  <c r="CH89" i="39"/>
  <c r="CI54" i="62"/>
  <c r="CI112" i="62"/>
  <c r="CI99" i="28"/>
  <c r="CI90" i="28"/>
  <c r="CI79" i="28"/>
  <c r="CH53" i="39"/>
  <c r="CH88" i="39"/>
  <c r="CH34" i="39"/>
  <c r="CM20" i="39" s="1"/>
  <c r="H416" i="22" s="1"/>
  <c r="CH105" i="39"/>
  <c r="CI98" i="62"/>
  <c r="CI87" i="62"/>
  <c r="CI107" i="28"/>
  <c r="CH27" i="39"/>
  <c r="CI97" i="62"/>
  <c r="CI53" i="62"/>
  <c r="CI86" i="28"/>
  <c r="CI57" i="28"/>
  <c r="CI47" i="62"/>
  <c r="CI81" i="28"/>
  <c r="CI41" i="28"/>
  <c r="CI67" i="62"/>
  <c r="CI103" i="62"/>
  <c r="CI46" i="62"/>
  <c r="CH47" i="39"/>
  <c r="CH59" i="39"/>
  <c r="CI73" i="28"/>
  <c r="CI84" i="62"/>
  <c r="CI71" i="28"/>
  <c r="CI25" i="62"/>
  <c r="CI91" i="28"/>
  <c r="CI56" i="28"/>
  <c r="CI45" i="28"/>
  <c r="CH82" i="39"/>
  <c r="CI110" i="28"/>
  <c r="CI22" i="28"/>
  <c r="CI21" i="28"/>
  <c r="CH78" i="39"/>
  <c r="CI105" i="28"/>
  <c r="CH46" i="39"/>
  <c r="CI94" i="62"/>
  <c r="CI72" i="62"/>
  <c r="CI16" i="28"/>
  <c r="CH76" i="39"/>
  <c r="CH54" i="39"/>
  <c r="CI54" i="28"/>
  <c r="CI59" i="62"/>
  <c r="CI43" i="28"/>
  <c r="CI107" i="62"/>
  <c r="CI89" i="62"/>
  <c r="CH64" i="39"/>
  <c r="CI93" i="62"/>
  <c r="CI70" i="62"/>
  <c r="CI108" i="62"/>
  <c r="CH112" i="39"/>
  <c r="CI78" i="62"/>
  <c r="CH98" i="39"/>
  <c r="CI57" i="62"/>
  <c r="CI35" i="62"/>
  <c r="CH80" i="39"/>
  <c r="CI40" i="28"/>
  <c r="CI75" i="28"/>
  <c r="CI50" i="28"/>
  <c r="CI48" i="28"/>
  <c r="CI120" i="62"/>
  <c r="CI97" i="28"/>
  <c r="CI119" i="62"/>
  <c r="CI31" i="62"/>
  <c r="CH90" i="39"/>
  <c r="CH68" i="39"/>
  <c r="CH24" i="39"/>
  <c r="CM31" i="39" s="1"/>
  <c r="H427" i="22" s="1"/>
  <c r="CI27" i="62"/>
  <c r="CI117" i="62"/>
  <c r="CH69" i="39"/>
  <c r="CH15" i="39"/>
  <c r="CM16" i="39" s="1"/>
  <c r="H412" i="22" s="1"/>
  <c r="CI64" i="28"/>
  <c r="CI82" i="28"/>
  <c r="CH58" i="39"/>
  <c r="CH96" i="39"/>
  <c r="CI34" i="62"/>
  <c r="CH36" i="39"/>
  <c r="CI27" i="28"/>
  <c r="CI47" i="28"/>
  <c r="CH102" i="39"/>
  <c r="CI71" i="62"/>
  <c r="CI68" i="28"/>
  <c r="CH60" i="39"/>
  <c r="CI88" i="28"/>
  <c r="CI66" i="28"/>
  <c r="CH103" i="39"/>
  <c r="D13" i="65" a="1"/>
  <c r="H111" i="22" l="1"/>
  <c r="H116" i="22" s="1"/>
  <c r="D18" i="59" s="1"/>
  <c r="BC14" i="54" a="1"/>
  <c r="BC14" i="54" s="1"/>
  <c r="BC15" i="54" a="1"/>
  <c r="BC15" i="54" s="1"/>
  <c r="BC18" i="54" a="1"/>
  <c r="BC18" i="54" s="1"/>
  <c r="D9" i="59"/>
  <c r="AP34" i="58"/>
  <c r="H115" i="22"/>
  <c r="D17" i="59" s="1"/>
  <c r="BC16" i="54" a="1"/>
  <c r="BC16" i="54" s="1"/>
  <c r="M289" i="22"/>
  <c r="F59" i="59" s="1" a="1"/>
  <c r="F59" i="59" s="1"/>
  <c r="H119" i="22"/>
  <c r="D21" i="59" s="1"/>
  <c r="D13" i="65"/>
  <c r="AN33" i="58"/>
  <c r="H117" i="22"/>
  <c r="D19" i="59" s="1"/>
  <c r="AU44" i="58"/>
  <c r="D12" i="59"/>
  <c r="AS34" i="58"/>
  <c r="AQ34" i="58"/>
  <c r="D10" i="59"/>
  <c r="H126" i="22"/>
  <c r="H156" i="22"/>
  <c r="D38" i="59" s="1"/>
  <c r="D30" i="59"/>
  <c r="H158" i="22"/>
  <c r="D40" i="59" s="1"/>
  <c r="H154" i="22"/>
  <c r="H128" i="22"/>
  <c r="H129" i="22" l="1"/>
  <c r="D13" i="59"/>
  <c r="AT36" i="58"/>
  <c r="C26" i="54"/>
  <c r="J18" i="54"/>
  <c r="C23" i="54"/>
  <c r="J15" i="54"/>
  <c r="C22" i="54"/>
  <c r="J14" i="54"/>
  <c r="D22" i="54" s="1"/>
  <c r="C25" i="54"/>
  <c r="J17" i="54"/>
  <c r="D25" i="54" s="1"/>
  <c r="C24" i="54"/>
  <c r="J16" i="54"/>
  <c r="H118" i="22"/>
  <c r="D20" i="59" s="1"/>
  <c r="G136" i="22"/>
  <c r="D36" i="59"/>
  <c r="H157" i="22"/>
  <c r="D39" i="59" s="1"/>
  <c r="G137" i="22"/>
  <c r="G138" i="22"/>
  <c r="B32" i="54" l="1"/>
  <c r="B29" i="54"/>
  <c r="D26" i="54"/>
  <c r="E26" i="54" s="1"/>
  <c r="D24" i="54"/>
  <c r="E24" i="54" s="1"/>
  <c r="D23" i="54"/>
  <c r="E23" i="54" s="1"/>
  <c r="E25" i="54"/>
  <c r="E22" i="54"/>
  <c r="AU42" i="58"/>
  <c r="I41" i="58"/>
  <c r="AO63" i="58"/>
  <c r="B35" i="54" l="1"/>
  <c r="H43" i="22"/>
  <c r="H44" i="22"/>
  <c r="CZ2" i="54"/>
  <c r="AO64" i="58"/>
  <c r="L45" i="58" s="1"/>
  <c r="AO68" i="58"/>
  <c r="F45" i="58" s="1"/>
  <c r="AO72" i="58"/>
  <c r="R45" i="58" s="1"/>
  <c r="D15" i="65" a="1"/>
  <c r="H45" i="22" l="1"/>
  <c r="D15" i="65"/>
  <c r="D5" i="65" s="1"/>
  <c r="H21" i="22" l="1"/>
  <c r="G6" i="58" s="1"/>
  <c r="H22" i="22" l="1" a="1"/>
  <c r="H22" i="22" s="1"/>
  <c r="D33" i="51" s="1"/>
  <c r="C8" i="5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Paige Weiler</author>
    <author>tc={97146FC3-F51C-4310-BC0B-D15162DE5A82}</author>
  </authors>
  <commentList>
    <comment ref="L16" authorId="0" shapeId="0" xr:uid="{C58570A8-2AA5-40F3-B423-E17E0DB2015A}">
      <text>
        <r>
          <rPr>
            <b/>
            <sz val="9"/>
            <color indexed="81"/>
            <rFont val="Tahoma"/>
            <family val="2"/>
          </rPr>
          <t>Paige Weiler:</t>
        </r>
        <r>
          <rPr>
            <sz val="9"/>
            <color indexed="81"/>
            <rFont val="Tahoma"/>
            <family val="2"/>
          </rPr>
          <t xml:space="preserve">
change reuse transport distance in column AJ</t>
        </r>
      </text>
    </comment>
    <comment ref="M16" authorId="0" shapeId="0" xr:uid="{EA51B1A8-AF58-438D-8C46-FD1BA49CE3F6}">
      <text>
        <r>
          <rPr>
            <b/>
            <sz val="9"/>
            <color indexed="81"/>
            <rFont val="Tahoma"/>
            <family val="2"/>
          </rPr>
          <t>Paige Weiler:</t>
        </r>
        <r>
          <rPr>
            <sz val="9"/>
            <color indexed="81"/>
            <rFont val="Tahoma"/>
            <family val="2"/>
          </rPr>
          <t xml:space="preserve">
These values wil be updated tol have less of an offset (only MRF impacts)</t>
        </r>
      </text>
    </comment>
    <comment ref="AC16" authorId="0" shapeId="0" xr:uid="{3B767205-7315-4A83-886F-D2E1C7B1CB84}">
      <text>
        <r>
          <rPr>
            <b/>
            <sz val="9"/>
            <color indexed="81"/>
            <rFont val="Tahoma"/>
            <family val="2"/>
          </rPr>
          <t>Paige Weiler:</t>
        </r>
        <r>
          <rPr>
            <sz val="9"/>
            <color indexed="81"/>
            <rFont val="Tahoma"/>
            <family val="2"/>
          </rPr>
          <t xml:space="preserve">
The displacement rate represents the share of reused products that replace new products. It depends on multiple factors: the new product displacement rate (whether a reused product fully substitutes a virgin product, based on price elasticity), the shortened lifespan of the reused product compared to a virgin product, and any additional lifespan assigned to the reused product. These rates can vary significantly by product type. 
These displacement rates are sourced from eBay's "Methodology to Calculate Net Environmental Impacts of Refurbishing Various Products". Materials were assigned to the product categories in Table 3 of the methodology. Average values were used.
</t>
        </r>
      </text>
    </comment>
    <comment ref="AG16" authorId="1" shapeId="0" xr:uid="{97146FC3-F51C-4310-BC0B-D15162DE5A82}">
      <text>
        <t>[Threaded comment]
Your version of Excel allows you to read this threaded comment; however, any edits to it will get removed if the file is opened in a newer version of Excel. Learn more: https://go.microsoft.com/fwlink/?linkid=870924
Comment:
    Based on WARM and available literature ranges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Paige Weiler</author>
    <author>tc={B9BFA1FD-8C54-4B96-82AE-F45DD269E719}</author>
    <author>tc={7871BA9E-9A11-4063-A2C6-A7913DC03FA4}</author>
  </authors>
  <commentList>
    <comment ref="AR16" authorId="0" shapeId="0" xr:uid="{5D293B65-A5EC-43B3-B6C8-45736912CB6D}">
      <text>
        <r>
          <rPr>
            <b/>
            <sz val="9"/>
            <color indexed="81"/>
            <rFont val="Tahoma"/>
            <family val="2"/>
          </rPr>
          <t>Paige Weiler:</t>
        </r>
        <r>
          <rPr>
            <sz val="9"/>
            <color indexed="81"/>
            <rFont val="Tahoma"/>
            <family val="2"/>
          </rPr>
          <t xml:space="preserve">
The displacement rate represents the share of reused products that replace new products. It depends on multiple factors: the new product displacement rate (whether a reused product fully substitutes a virgin product, based on price elasticity), the shortened lifespan of the reused product compared to a virgin product, and any additional lifespan assigned to the reused product. These rates can vary significantly by product type. 
These displacement rates are sourced from eBay's "Methodology to Calculate Net Environmental Impacts of Refurbishing Various Products". Materials were assigned to the product categories in Table 3 of the methodology. Average values were used.
</t>
        </r>
      </text>
    </comment>
    <comment ref="AV16" authorId="1" shapeId="0" xr:uid="{B9BFA1FD-8C54-4B96-82AE-F45DD269E719}">
      <text>
        <t>[Threaded comment]
Your version of Excel allows you to read this threaded comment; however, any edits to it will get removed if the file is opened in a newer version of Excel. Learn more: https://go.microsoft.com/fwlink/?linkid=870924
Comment:
    Based on WARM and available literature ranges</t>
      </text>
    </comment>
    <comment ref="E996" authorId="2" shapeId="0" xr:uid="{7871BA9E-9A11-4063-A2C6-A7913DC03FA4}">
      <text>
        <t xml:space="preserve">[Threaded comment]
Your version of Excel allows you to read this threaded comment; however, any edits to it will get removed if the file is opened in a newer version of Excel. Learn more: https://go.microsoft.com/fwlink/?linkid=870924
Comment:
    @Valerie Vines This needs a new name.  USGBC wants these split. </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<sst xmlns="http://schemas.openxmlformats.org/spreadsheetml/2006/main" count="158441" uniqueCount="10338">
  <si>
    <t>Results</t>
  </si>
  <si>
    <t>User Guide</t>
  </si>
  <si>
    <t>Credit Election</t>
  </si>
  <si>
    <t>Instructions</t>
  </si>
  <si>
    <t>Transport</t>
  </si>
  <si>
    <t>Purchased Materials</t>
  </si>
  <si>
    <t>Audit Scenarios</t>
  </si>
  <si>
    <t>Project Details</t>
  </si>
  <si>
    <t>NA</t>
  </si>
  <si>
    <t>Introduction and User Guide</t>
  </si>
  <si>
    <t>1.</t>
  </si>
  <si>
    <t>Start by Reading the Instructions:</t>
  </si>
  <si>
    <t>Review the instructions at the top of each tab carefully before proceeding as they contain information to guide correct data entry and ensure the calculator is completed successfully.</t>
  </si>
  <si>
    <t>2.</t>
  </si>
  <si>
    <t>Table of Contents:</t>
  </si>
  <si>
    <t>Tab Name</t>
  </si>
  <si>
    <t>Description</t>
  </si>
  <si>
    <t>Data Tables</t>
  </si>
  <si>
    <t xml:space="preserve">Quantitative results summarizing user inputs. </t>
  </si>
  <si>
    <t>3.</t>
  </si>
  <si>
    <t>Code</t>
  </si>
  <si>
    <t>MAp1</t>
  </si>
  <si>
    <t>Standardize Waste Tracking System</t>
  </si>
  <si>
    <t>MAc1</t>
  </si>
  <si>
    <t>Expand Material Tracking</t>
  </si>
  <si>
    <t>MAc2</t>
  </si>
  <si>
    <t>Implement Financial Data Tracking</t>
  </si>
  <si>
    <t>MAc4</t>
  </si>
  <si>
    <t>RDc1</t>
  </si>
  <si>
    <t>Reduce Hazardous Materials</t>
  </si>
  <si>
    <t>PIp1</t>
  </si>
  <si>
    <t>Meet 90% Diversion Performance</t>
  </si>
  <si>
    <t>PIp2</t>
  </si>
  <si>
    <t>Evaluate Greenhouse Gas Emissions</t>
  </si>
  <si>
    <t>PIc1</t>
  </si>
  <si>
    <t>Excel in Zero Waste Diversion</t>
  </si>
  <si>
    <t>PIc2</t>
  </si>
  <si>
    <t>Prioritize Preferred Diversion Strategies</t>
  </si>
  <si>
    <t>PIc3</t>
  </si>
  <si>
    <t>Evaluate Material Emissions</t>
  </si>
  <si>
    <t>PIc4</t>
  </si>
  <si>
    <t>Calculate Transport Emissions</t>
  </si>
  <si>
    <t>PIc5</t>
  </si>
  <si>
    <t>Determine Zero Waste Financial Impact</t>
  </si>
  <si>
    <t>PIc7</t>
  </si>
  <si>
    <t>Minimize Waste Generation</t>
  </si>
  <si>
    <t>4.</t>
  </si>
  <si>
    <t>Cell Formatting Key</t>
  </si>
  <si>
    <t>Text</t>
  </si>
  <si>
    <r>
      <t xml:space="preserve">Empty dropdown cell: </t>
    </r>
    <r>
      <rPr>
        <i/>
        <sz val="11"/>
        <color rgb="FF000000"/>
        <rFont val="Aptos Narrow"/>
        <family val="2"/>
        <scheme val="minor"/>
      </rPr>
      <t>Fields contain a drop down menu for users to select from</t>
    </r>
  </si>
  <si>
    <r>
      <t xml:space="preserve">Inactive user input cell and header: </t>
    </r>
    <r>
      <rPr>
        <i/>
        <sz val="11"/>
        <color rgb="FF000000"/>
        <rFont val="Aptos Narrow"/>
        <family val="2"/>
        <scheme val="minor"/>
      </rPr>
      <t xml:space="preserve">These cells are inactive by default. An input elsewhere will activate these cells. The text will be set to gray when inactive. </t>
    </r>
  </si>
  <si>
    <t>Tab and table headers</t>
  </si>
  <si>
    <t>General instructions cell</t>
  </si>
  <si>
    <t>Tab section headers</t>
  </si>
  <si>
    <t>5.</t>
  </si>
  <si>
    <t>Enter Waste Data:</t>
  </si>
  <si>
    <t>6.</t>
  </si>
  <si>
    <t>This calculator offers results in both tables (see 'Data Tables' and a summary dashboard (see 'Results). Note that the points and TRUE certification level displayed on the 'Results' tab are only estimates. Final scores will be determined by reviewers, dependent on proper documentation.</t>
  </si>
  <si>
    <t>V01</t>
  </si>
  <si>
    <r>
      <t xml:space="preserve">Copyright </t>
    </r>
    <r>
      <rPr>
        <sz val="9"/>
        <color rgb="FF868484"/>
        <rFont val="Arial"/>
        <family val="2"/>
      </rPr>
      <t>©</t>
    </r>
    <r>
      <rPr>
        <sz val="8"/>
        <color rgb="FF868484"/>
        <rFont val="Arial"/>
        <family val="2"/>
      </rPr>
      <t xml:space="preserve"> 2026</t>
    </r>
  </si>
  <si>
    <t>U.S. Green Building Council</t>
  </si>
  <si>
    <t>All Rights Reserved</t>
  </si>
  <si>
    <t>Number</t>
  </si>
  <si>
    <t>Credit</t>
  </si>
  <si>
    <t>Available Points</t>
  </si>
  <si>
    <t>Credit Type</t>
  </si>
  <si>
    <t>Points Demonstrated</t>
  </si>
  <si>
    <t>Notes</t>
  </si>
  <si>
    <t>FUNDAMENTALS AND PLANNING (FP)</t>
  </si>
  <si>
    <t>Dropdown Selection</t>
  </si>
  <si>
    <t>FPp1</t>
  </si>
  <si>
    <t>Establish Zero Waste Goal and Policy</t>
  </si>
  <si>
    <t>P</t>
  </si>
  <si>
    <t>N/A</t>
  </si>
  <si>
    <t xml:space="preserve">This prerequisite is required to qualify for TRUE v2 certification but does not involve use of the zero waste calculator. </t>
  </si>
  <si>
    <t>FPc1</t>
  </si>
  <si>
    <t>Engage Upper Management in Zero Waste Activities</t>
  </si>
  <si>
    <t>Optional: Expand Questionnaire</t>
  </si>
  <si>
    <t>No</t>
  </si>
  <si>
    <t>Questions to determine FPc1 credit achievement (opt 'Yes' to enter data)</t>
  </si>
  <si>
    <t>Response</t>
  </si>
  <si>
    <t>Points</t>
  </si>
  <si>
    <t>Did upper management formally commit to the Zero Waste Goal and Policy developed in FPp1?</t>
  </si>
  <si>
    <t>Yes</t>
  </si>
  <si>
    <t>Did you establish quarterly reviews with upper management on zero waste activities?</t>
  </si>
  <si>
    <t>FPc2</t>
  </si>
  <si>
    <t>Establish a Zero Waste Manager</t>
  </si>
  <si>
    <t>Optional</t>
  </si>
  <si>
    <t>FPc3</t>
  </si>
  <si>
    <t>Include a TRUE Advisor in Project</t>
  </si>
  <si>
    <t>FPc4</t>
  </si>
  <si>
    <t>Right-Size Collection</t>
  </si>
  <si>
    <t>FPc5</t>
  </si>
  <si>
    <t>Label Container and Collection Areas</t>
  </si>
  <si>
    <t>FPc6</t>
  </si>
  <si>
    <t>Engage Service Providers in Zero Waste Goals</t>
  </si>
  <si>
    <t>MEASUREMENT AND ANALYSIS (MP)</t>
  </si>
  <si>
    <t>MAp2</t>
  </si>
  <si>
    <t xml:space="preserve">Conduct a Waste Audit </t>
  </si>
  <si>
    <t>This prerequisite is required to qualify for TRUE v2 certification but does not involve use of the zero waste calculator.</t>
  </si>
  <si>
    <t>MAc3</t>
  </si>
  <si>
    <t>Conduct a Comprehensive Zero Waste Audit</t>
  </si>
  <si>
    <t>Analyze and Execute Waste Audit Findings</t>
  </si>
  <si>
    <t>Questions to determine MAc4 credit achievement (opt 'Yes' to enter data)</t>
  </si>
  <si>
    <r>
      <t xml:space="preserve">Did you analyze the results from </t>
    </r>
    <r>
      <rPr>
        <i/>
        <sz val="11"/>
        <color theme="1"/>
        <rFont val="Aptos Narrow"/>
        <family val="2"/>
        <scheme val="minor"/>
      </rPr>
      <t>MAp2: Conduct a Waste Audit</t>
    </r>
    <r>
      <rPr>
        <sz val="11"/>
        <color theme="1"/>
        <rFont val="Aptos Narrow"/>
        <family val="2"/>
        <scheme val="minor"/>
      </rPr>
      <t xml:space="preserve"> and if applicable, </t>
    </r>
    <r>
      <rPr>
        <i/>
        <sz val="11"/>
        <color theme="1"/>
        <rFont val="Aptos Narrow"/>
        <family val="2"/>
        <scheme val="minor"/>
      </rPr>
      <t>MAc3: Conduct a Comprehensive Zero Waste Audit</t>
    </r>
    <r>
      <rPr>
        <sz val="11"/>
        <color theme="1"/>
        <rFont val="Aptos Narrow"/>
        <family val="2"/>
        <scheme val="minor"/>
      </rPr>
      <t xml:space="preserve"> to quantify the reduction and diversion opportunities and estimate waste reduction or diversion potential of at least five (5) opportunities identified? If the </t>
    </r>
    <r>
      <rPr>
        <i/>
        <sz val="11"/>
        <color theme="1"/>
        <rFont val="Aptos Narrow"/>
        <family val="2"/>
        <scheme val="minor"/>
      </rPr>
      <t>MAc3: Conduct a Comprehensive Zero Waste Audit</t>
    </r>
    <r>
      <rPr>
        <sz val="11"/>
        <color theme="1"/>
        <rFont val="Aptos Narrow"/>
        <family val="2"/>
        <scheme val="minor"/>
      </rPr>
      <t xml:space="preserve"> was completed, did you create an action plan for implementation for each of the 5 opportunities?</t>
    </r>
  </si>
  <si>
    <t>Did you implement at least one opportunity prior to the end of the reporting period?</t>
  </si>
  <si>
    <t>MAc5</t>
  </si>
  <si>
    <t>Verify End of Use or Life</t>
  </si>
  <si>
    <t>Questions to determine MAc5 credit achievement (opt 'Yes' to enter data)</t>
  </si>
  <si>
    <t>Did you review agreements for at least two (2) diverted material types to determine current contractual end of life requirements, reach out to the waste service providers (e.g., haulers or vendors) associated with these agreements, and document attempted communication if the service providers did not respond?</t>
  </si>
  <si>
    <t>For at least two (2) diverted material types identified above, did you confirm diversion path through final end of life, document the final end-market location and method, and develop an action plan with the vendor if any material types are identified as being directed to incorrect outlets or disposed of via landfill, waste-to-energy, or incineration</t>
  </si>
  <si>
    <t>SOURCING AND CIRCULARITY (SC)</t>
  </si>
  <si>
    <t>SCp1</t>
  </si>
  <si>
    <t>Develop a Purchasing Policy</t>
  </si>
  <si>
    <t>SCc1</t>
  </si>
  <si>
    <t>Develop Purchasing Resources</t>
  </si>
  <si>
    <t>Questions to determine  SCc1 credit achievement (opt 'Yes' to enter data)</t>
  </si>
  <si>
    <t>Did you develop a vendor list or decision tree that aligns with the Purchasing Policy preferences?</t>
  </si>
  <si>
    <t>Did you develop a qualified procurement tool?</t>
  </si>
  <si>
    <t>SCc2</t>
  </si>
  <si>
    <t>Engage the Supply Chain</t>
  </si>
  <si>
    <t>Questions to SCc2 determine credit achievement (opt 'Yes' to enter data)</t>
  </si>
  <si>
    <t>Did you develop an engagement plan to communicate zero waste goals and purchasing preferences to material/product suppliers? (Yes/No)</t>
  </si>
  <si>
    <t>Enter number of key material/product suppliers to which you communicated the projects zero waste goals and purchasing preferences.</t>
  </si>
  <si>
    <t>SCc3</t>
  </si>
  <si>
    <t>Prevent and Reduce within the Supply Chain</t>
  </si>
  <si>
    <t>Questions to determine SCc3 credit achievement (opt 'Yes' to enter data)</t>
  </si>
  <si>
    <t>Enter the number of suppliers with implemented changes.</t>
  </si>
  <si>
    <t>SCc4</t>
  </si>
  <si>
    <t>Purchase Consumables for Zero Waste</t>
  </si>
  <si>
    <t>Questions to determine SCc4 credit achievement (opt 'Yes' to enter data)</t>
  </si>
  <si>
    <t>Did you identify a top ongoing consumable product or material purchased?</t>
  </si>
  <si>
    <t>SCc5</t>
  </si>
  <si>
    <t>Purchase Durable Goods for Zero Waste</t>
  </si>
  <si>
    <t>SCc6</t>
  </si>
  <si>
    <t>Advance Local Circularity</t>
  </si>
  <si>
    <t>Did you increase supply as required by credit SCc6 of the TRUE v2 Rating System?</t>
  </si>
  <si>
    <t>Did you increase demand as required by credit SCc6 of the TRUE v2 Rating System?</t>
  </si>
  <si>
    <t>REDUCTION AND DIVERSION (RD)</t>
  </si>
  <si>
    <t>RDp1</t>
  </si>
  <si>
    <t>Develop a Zero Waste Logistics Plan</t>
  </si>
  <si>
    <t>Questions to determine credit achievement (opt 'Yes' to enter data)</t>
  </si>
  <si>
    <t>Did you develop a qualified hazardous materials reduction plan?</t>
  </si>
  <si>
    <t>Hazardous waste reduction (% by weight)</t>
  </si>
  <si>
    <t>RDc2</t>
  </si>
  <si>
    <t>Divert Across the Nine Points of Generation</t>
  </si>
  <si>
    <t>Questions to determine RDc2 credit achievement (opt 'Yes' to enter data)</t>
  </si>
  <si>
    <t>Did you review points of generation within the project boundary for opportunities to reduce and divert materials, and identify the top material types disposed of by weight or volume?</t>
  </si>
  <si>
    <t>Waste reduction for Material 1 (% by weight)</t>
  </si>
  <si>
    <t>Waste reduction for Material 2 (% by weight)</t>
  </si>
  <si>
    <t>Waste reduction for Material 3 (% by weight)</t>
  </si>
  <si>
    <t>RDc3</t>
  </si>
  <si>
    <t>Facilitate On-site Reuse</t>
  </si>
  <si>
    <t>RDc4</t>
  </si>
  <si>
    <t>Manage Organics</t>
  </si>
  <si>
    <t>Questions to determine RDc4 credit achievement (opt 'Yes' to enter data)</t>
  </si>
  <si>
    <t>Do you manage Back-of-House Organic Waste (Generated by Food Preparation / Production / Distribution)?</t>
  </si>
  <si>
    <t>Do you manage Front-of House-Organic Waste (Generated by Personnel / Visitors)?</t>
  </si>
  <si>
    <t>Do you manage Other Organics / Compostables?</t>
  </si>
  <si>
    <t>Do you manage yard trimmings?</t>
  </si>
  <si>
    <t>Do you reuse compost onsite?</t>
  </si>
  <si>
    <t>RDc5</t>
  </si>
  <si>
    <t>Manage Universal Waste (Common Hazardous Waste)</t>
  </si>
  <si>
    <t>Questions to determine RDc5 credit achievement (opt 'Yes' to enter data)</t>
  </si>
  <si>
    <t>Did you collect and properly dispose of all universal waste generated at the project?</t>
  </si>
  <si>
    <t>Did you collect and properly dispose of universal waste from personnel and/or the local community?</t>
  </si>
  <si>
    <t>RDc6</t>
  </si>
  <si>
    <t>Reduce Contamination</t>
  </si>
  <si>
    <t>Questions to determine RDc6 credit achievement (opt 'Yes' to enter data)</t>
  </si>
  <si>
    <t>Did you develop a qualified contamination reduction plan?</t>
  </si>
  <si>
    <t>How many materials did you reduce contamination for?</t>
  </si>
  <si>
    <t>TEp1</t>
  </si>
  <si>
    <t>Conduct a Zero Waste Orientation</t>
  </si>
  <si>
    <t>TEc1</t>
  </si>
  <si>
    <t>Communicate Zero Waste Initiatives</t>
  </si>
  <si>
    <t>TEc2</t>
  </si>
  <si>
    <t xml:space="preserve">Train Personnel </t>
  </si>
  <si>
    <t>Questions to determine TEc2 credit achievement (opt 'Yes' to enter data)</t>
  </si>
  <si>
    <t>Did you conduct qualified role-specific training (not including procurement)?</t>
  </si>
  <si>
    <t>What was the percent participation in the qualified all personnel training?</t>
  </si>
  <si>
    <t>TEc3</t>
  </si>
  <si>
    <t xml:space="preserve">Engage Personnel </t>
  </si>
  <si>
    <t>TEc4</t>
  </si>
  <si>
    <t>Train Procurement Personnel</t>
  </si>
  <si>
    <t>Questions to determine TEc4 credit achievement (opt 'Yes' to enter data)</t>
  </si>
  <si>
    <t>Did you conduct qualified procurement personnel training?</t>
  </si>
  <si>
    <t>What percentage of procurement personnel participated in the procurement personnel training?</t>
  </si>
  <si>
    <t>TEc5</t>
  </si>
  <si>
    <t>Engage the Community</t>
  </si>
  <si>
    <t>TEc6</t>
  </si>
  <si>
    <t>Establish Local Partnerships</t>
  </si>
  <si>
    <t>Questions to determine TEc6 credit achievement (opt 'Yes' to enter data)</t>
  </si>
  <si>
    <t>How many qualified novel strategies that involve partnerships with local business, facilities or groups did you develop?</t>
  </si>
  <si>
    <t>PERFORMANCE AND IMPACT (PI)</t>
  </si>
  <si>
    <t>PIc5 Questions to determine credit achievement (opt 'Yes' to enter data)</t>
  </si>
  <si>
    <t>Did you calculate the financial impact of waste within the project boundary including, using the 'Cost' tab of this Zero Waste Calculator?</t>
  </si>
  <si>
    <t>Did you create a methodology to calculate the return on investment (ROI) or payback of zero waste and diversion initiatives?</t>
  </si>
  <si>
    <t>PIc6</t>
  </si>
  <si>
    <t>Determine Zero Waste Community Impact</t>
  </si>
  <si>
    <t>PROJECT PRIORITY LIBRARY (PR)</t>
  </si>
  <si>
    <t>Custom Material for Waste Handling</t>
  </si>
  <si>
    <t>Region</t>
  </si>
  <si>
    <t>Country</t>
  </si>
  <si>
    <t>n/a</t>
  </si>
  <si>
    <t>United Arab Emirates</t>
  </si>
  <si>
    <t>Data Set ID</t>
  </si>
  <si>
    <t>Year of First Month of Certification Period</t>
  </si>
  <si>
    <t>First Month of Certification Period</t>
  </si>
  <si>
    <t>January</t>
  </si>
  <si>
    <t>Other</t>
  </si>
  <si>
    <t>Enter other intensity metric</t>
  </si>
  <si>
    <t>Intensity metric unit</t>
  </si>
  <si>
    <t>Intensity Metric Value</t>
  </si>
  <si>
    <t>Waste Reporting Data</t>
  </si>
  <si>
    <t>Weight Code</t>
  </si>
  <si>
    <t xml:space="preserve">What is the unit of weight used in the diversion data?  </t>
  </si>
  <si>
    <t>short ton (U.S.)</t>
  </si>
  <si>
    <t>Diversion Data</t>
  </si>
  <si>
    <t>Date</t>
  </si>
  <si>
    <t>Total</t>
  </si>
  <si>
    <t>Baseline waste generation (landfill)</t>
  </si>
  <si>
    <t>Generation Frequency</t>
  </si>
  <si>
    <t>User Notes (optional)</t>
  </si>
  <si>
    <t>Material Category</t>
  </si>
  <si>
    <t>Material Subcategory</t>
  </si>
  <si>
    <t>Waste Handling Method</t>
  </si>
  <si>
    <t>Actual or estimated weight?</t>
  </si>
  <si>
    <t>Weight (kg)</t>
  </si>
  <si>
    <t>GWP factor
(kg CO2/kg)</t>
  </si>
  <si>
    <t>GWP emissions (kg CO2e)</t>
  </si>
  <si>
    <t>Qualified expanded material</t>
  </si>
  <si>
    <t>Material Type</t>
  </si>
  <si>
    <t>GWP (kg CO2e)</t>
  </si>
  <si>
    <t>Wood/Yard Trimmings</t>
  </si>
  <si>
    <t>Reduce</t>
  </si>
  <si>
    <t>Landfill</t>
  </si>
  <si>
    <t>Reuse</t>
  </si>
  <si>
    <t>Mixed/Custom</t>
  </si>
  <si>
    <t>Mixed Recycling</t>
  </si>
  <si>
    <t>Paper</t>
  </si>
  <si>
    <t>Paper – Non-Recyclable</t>
  </si>
  <si>
    <t>Composting</t>
  </si>
  <si>
    <t>Electronics</t>
  </si>
  <si>
    <t>Mixed MSW</t>
  </si>
  <si>
    <t>Recycle</t>
  </si>
  <si>
    <t>PP</t>
  </si>
  <si>
    <t>Mixed Inorganics</t>
  </si>
  <si>
    <t>Glass</t>
  </si>
  <si>
    <t>Glass – Brown</t>
  </si>
  <si>
    <t>Yard Trimmings – Grass</t>
  </si>
  <si>
    <t>Yard Trimmings – Leaves</t>
  </si>
  <si>
    <t>Appliances</t>
  </si>
  <si>
    <t>Plastics</t>
  </si>
  <si>
    <t>HDPE (translucent and pigmented)</t>
  </si>
  <si>
    <t>PET</t>
  </si>
  <si>
    <t>Anaerobic Digestion</t>
  </si>
  <si>
    <t>Metals</t>
  </si>
  <si>
    <t>Ferrous Metal</t>
  </si>
  <si>
    <t>Other Aluminum</t>
  </si>
  <si>
    <t>Folding Containers</t>
  </si>
  <si>
    <t>Mixed Organics</t>
  </si>
  <si>
    <t>Food Waste</t>
  </si>
  <si>
    <t>Oils/Grease</t>
  </si>
  <si>
    <t>Glass – Green</t>
  </si>
  <si>
    <t>Furniture/Textiles</t>
  </si>
  <si>
    <t>Waste Reporting Data (Baseline Year)</t>
  </si>
  <si>
    <t>Year of First Month of Baseline Period</t>
  </si>
  <si>
    <t>First Month of
Baseline Period</t>
  </si>
  <si>
    <t>Intensity Metric</t>
  </si>
  <si>
    <t>Food Waste – Vegetable</t>
  </si>
  <si>
    <t>Mixed Glass</t>
  </si>
  <si>
    <t>Magazines</t>
  </si>
  <si>
    <t>Corr. Cardboard</t>
  </si>
  <si>
    <t>Yard Trimming – Branches</t>
  </si>
  <si>
    <t>E-waste</t>
  </si>
  <si>
    <t>Hazardous Materials Generation</t>
  </si>
  <si>
    <t>Material Description</t>
  </si>
  <si>
    <t>Weight (kg) baseline</t>
  </si>
  <si>
    <t>Weight (kg) certification year</t>
  </si>
  <si>
    <t>Total:</t>
  </si>
  <si>
    <t>Monthly Waste Handling Costs</t>
  </si>
  <si>
    <t>Cost Category</t>
  </si>
  <si>
    <t>Waste Handling Expenses (USD)</t>
  </si>
  <si>
    <t>Notes (Optional)</t>
  </si>
  <si>
    <t>Total handling costs</t>
  </si>
  <si>
    <t>Monthly Waste-Based Revenue</t>
  </si>
  <si>
    <t>Revenue Stream</t>
  </si>
  <si>
    <t>Transportation Impacts</t>
  </si>
  <si>
    <t>Transportation Data</t>
  </si>
  <si>
    <t>Input weight UOM</t>
  </si>
  <si>
    <t>Input weight code</t>
  </si>
  <si>
    <t>No changes here!</t>
  </si>
  <si>
    <t>Distance to provider code</t>
  </si>
  <si>
    <t xml:space="preserve">What is the unit of distance for the transportation data?  </t>
  </si>
  <si>
    <t>Item</t>
  </si>
  <si>
    <t>Category</t>
  </si>
  <si>
    <t>Subcategory</t>
  </si>
  <si>
    <t>Transportation method</t>
  </si>
  <si>
    <t>Distance to service provider (km)</t>
  </si>
  <si>
    <t>Weight (metric tons)</t>
  </si>
  <si>
    <t>GWP EF factor
(kg CO2e/t*km)</t>
  </si>
  <si>
    <t>GHG emissions (kg CO2e)</t>
  </si>
  <si>
    <t>CNG Truck</t>
  </si>
  <si>
    <t>Gasoline Truck</t>
  </si>
  <si>
    <t>Diesel Truck</t>
  </si>
  <si>
    <t>Electric Truck</t>
  </si>
  <si>
    <t>Train</t>
  </si>
  <si>
    <t>Barge</t>
  </si>
  <si>
    <t>Gasoline Refuse Truck</t>
  </si>
  <si>
    <t>Diesel Refuse Truck</t>
  </si>
  <si>
    <t>Purchased Materials Reporting</t>
  </si>
  <si>
    <t>Summary Range:</t>
  </si>
  <si>
    <t>Total Spent</t>
  </si>
  <si>
    <r>
      <t>kg CO</t>
    </r>
    <r>
      <rPr>
        <b/>
        <vertAlign val="subscript"/>
        <sz val="11"/>
        <color theme="1"/>
        <rFont val="Aptos Narrow"/>
        <family val="2"/>
        <scheme val="minor"/>
      </rPr>
      <t>2</t>
    </r>
    <r>
      <rPr>
        <b/>
        <sz val="11"/>
        <color theme="1"/>
        <rFont val="Aptos Narrow"/>
        <family val="2"/>
        <scheme val="minor"/>
      </rPr>
      <t>eq</t>
    </r>
  </si>
  <si>
    <t>Purchased Material Name</t>
  </si>
  <si>
    <t>Unit</t>
  </si>
  <si>
    <t>Dataset ID</t>
  </si>
  <si>
    <t>Factor Selection
1-Weight
2-Cost</t>
  </si>
  <si>
    <t>Weight Factor (kgCO2e/kg)</t>
  </si>
  <si>
    <t>Cost Factor (kgCO2e/$)</t>
  </si>
  <si>
    <t>Selected Factor</t>
  </si>
  <si>
    <t>GHG emissions (kgCO2e)</t>
  </si>
  <si>
    <t>Summary Upstream Impacts</t>
  </si>
  <si>
    <t>Amount (Unit)</t>
  </si>
  <si>
    <t>Newsprint</t>
  </si>
  <si>
    <t>Compostable Food Service Ware</t>
  </si>
  <si>
    <t>Other Wood</t>
  </si>
  <si>
    <t>Food – Vegetable</t>
  </si>
  <si>
    <t>LDPE</t>
  </si>
  <si>
    <t>Office Paper</t>
  </si>
  <si>
    <t>Wood</t>
  </si>
  <si>
    <t>Food – Non-Vegetable</t>
  </si>
  <si>
    <t>Vegetable Oils</t>
  </si>
  <si>
    <t>Mixed Plastics</t>
  </si>
  <si>
    <t>Paper Bags</t>
  </si>
  <si>
    <t>Pallets</t>
  </si>
  <si>
    <t>Furniture</t>
  </si>
  <si>
    <t>Totals</t>
  </si>
  <si>
    <t>Waste Audit Scenario Analysis</t>
  </si>
  <si>
    <t>Improvement Analysis</t>
  </si>
  <si>
    <t>Analysis ID</t>
  </si>
  <si>
    <t>Original Waste Handling Option</t>
  </si>
  <si>
    <t>Select New Handling Option</t>
  </si>
  <si>
    <t>Original GWP (kgCO2e)</t>
  </si>
  <si>
    <t xml:space="preserve"> New GWP (kgCO2e)</t>
  </si>
  <si>
    <t>New GWP factor (kgCO2e/kg)</t>
  </si>
  <si>
    <t>Improvements identified</t>
  </si>
  <si>
    <t>Summary by Waste Handling Method</t>
  </si>
  <si>
    <t>Summary: Waste Generation Certification Year</t>
  </si>
  <si>
    <t>Waste handling method</t>
  </si>
  <si>
    <t>Weight 
(kg)</t>
  </si>
  <si>
    <r>
      <t>GWP 
(kgCO</t>
    </r>
    <r>
      <rPr>
        <b/>
        <vertAlign val="subscript"/>
        <sz val="11"/>
        <color theme="0"/>
        <rFont val="Aptos Narrow"/>
        <family val="2"/>
        <scheme val="minor"/>
      </rPr>
      <t>2</t>
    </r>
    <r>
      <rPr>
        <b/>
        <sz val="11"/>
        <color theme="0"/>
        <rFont val="Aptos Narrow"/>
        <family val="2"/>
        <scheme val="minor"/>
      </rPr>
      <t>e)</t>
    </r>
  </si>
  <si>
    <t>Handling costs ($)</t>
  </si>
  <si>
    <t>Revenue (US $)</t>
  </si>
  <si>
    <t>Net (US $)</t>
  </si>
  <si>
    <t>Summary: Waste Generation Baseline Year</t>
  </si>
  <si>
    <t>Summary: Waste Handling Method</t>
  </si>
  <si>
    <t>Waste Handling method</t>
  </si>
  <si>
    <t>Waste Handling Cost (US $)</t>
  </si>
  <si>
    <t>Summary: Transportation</t>
  </si>
  <si>
    <t>Summary transport method</t>
  </si>
  <si>
    <t>Travel distance (km)</t>
  </si>
  <si>
    <r>
      <t>GHG emissions (kg CO</t>
    </r>
    <r>
      <rPr>
        <b/>
        <vertAlign val="subscript"/>
        <sz val="11"/>
        <color theme="0"/>
        <rFont val="Aptos Narrow"/>
        <family val="2"/>
        <scheme val="minor"/>
      </rPr>
      <t>2</t>
    </r>
    <r>
      <rPr>
        <b/>
        <sz val="11"/>
        <color theme="0"/>
        <rFont val="Aptos Narrow"/>
        <family val="2"/>
        <scheme val="minor"/>
      </rPr>
      <t>e)</t>
    </r>
  </si>
  <si>
    <t>Summary by Material Type</t>
  </si>
  <si>
    <t>Waste Generation by Material Type (Does not include reduction)</t>
  </si>
  <si>
    <t>Waste Handling Cost by Material Type</t>
  </si>
  <si>
    <t>Upstream Impacts</t>
  </si>
  <si>
    <t>Waste handling cost  (US $)</t>
  </si>
  <si>
    <t>AD</t>
  </si>
  <si>
    <t>Intensity metric:</t>
  </si>
  <si>
    <t>Average 
diversion</t>
  </si>
  <si>
    <t>Intensity metric unit:</t>
  </si>
  <si>
    <t>Compost</t>
  </si>
  <si>
    <t>Waste Intensity:</t>
  </si>
  <si>
    <t>Total Diversion</t>
  </si>
  <si>
    <t>Anaerobic digestion</t>
  </si>
  <si>
    <t>Not Diverted</t>
  </si>
  <si>
    <t>percent savings</t>
  </si>
  <si>
    <t>landfill cost factor per kg</t>
  </si>
  <si>
    <t>this assumes cost data and waste data are from same time frame and that cost can be estimated based on mass</t>
  </si>
  <si>
    <t>To be hidden in future versions</t>
  </si>
  <si>
    <t>Weight (short tons)</t>
  </si>
  <si>
    <t>REDUCE</t>
  </si>
  <si>
    <t>Summary Table</t>
  </si>
  <si>
    <t>REUSE</t>
  </si>
  <si>
    <t>RECYCLE/COMPOST</t>
  </si>
  <si>
    <t>Generated</t>
  </si>
  <si>
    <t>Reduced</t>
  </si>
  <si>
    <t>Non diversion</t>
  </si>
  <si>
    <t>Total waste diverted</t>
  </si>
  <si>
    <t>UNACCEPTABLE*</t>
  </si>
  <si>
    <t>Overall</t>
  </si>
  <si>
    <t>Total waste generated</t>
  </si>
  <si>
    <t>Diverted</t>
  </si>
  <si>
    <t>Non-diverted</t>
  </si>
  <si>
    <t>GWP (kgCO2)</t>
  </si>
  <si>
    <t xml:space="preserve">*Residuals Management includes biological treatment and stabilized landfilling. </t>
  </si>
  <si>
    <t>Incineration</t>
  </si>
  <si>
    <t xml:space="preserve">  Unacceptable includes incineration and "waste-to-energy.")</t>
  </si>
  <si>
    <t>Comparative units for results</t>
  </si>
  <si>
    <t>GHG from waste</t>
  </si>
  <si>
    <t>GHG from transportation</t>
  </si>
  <si>
    <t>GHG from purchased materials</t>
  </si>
  <si>
    <t>tree factors from USGBC report pdf</t>
  </si>
  <si>
    <t>MTCO2e</t>
  </si>
  <si>
    <t>Mg</t>
  </si>
  <si>
    <t>trees</t>
  </si>
  <si>
    <t>trees/Mg CO2</t>
  </si>
  <si>
    <t>kg CO2e</t>
  </si>
  <si>
    <t>kg</t>
  </si>
  <si>
    <t>trees/kg co2</t>
  </si>
  <si>
    <t>kg co2/tree</t>
  </si>
  <si>
    <t>Mg co2/tree</t>
  </si>
  <si>
    <t>Greenhouse Gas Equivalencies Calculator - Calculations and References | US EPA</t>
  </si>
  <si>
    <t>use these referenced values</t>
  </si>
  <si>
    <t>kg co2eq saved</t>
  </si>
  <si>
    <t>total baseline impacts minus total modeled impacts</t>
  </si>
  <si>
    <t>trees equivalent</t>
  </si>
  <si>
    <t>Mg co2/vehicle/year</t>
  </si>
  <si>
    <t>kg co2/vehicle/year</t>
  </si>
  <si>
    <t>vehicle/year</t>
  </si>
  <si>
    <t>Data Output</t>
  </si>
  <si>
    <t>Add table/references to intermittent wastes vs. regular</t>
  </si>
  <si>
    <t>TOC</t>
  </si>
  <si>
    <t>Summary: True v2 Points</t>
  </si>
  <si>
    <t>TRUE v2 Certification Level</t>
  </si>
  <si>
    <t>Points earned</t>
  </si>
  <si>
    <t>Certification level</t>
  </si>
  <si>
    <t>MAc1: Expand Material Tracking</t>
  </si>
  <si>
    <t># of qualified material types</t>
  </si>
  <si>
    <t>TRUE v2 Points calculated</t>
  </si>
  <si>
    <t>MAc2: Implement Financial Data Tracking</t>
  </si>
  <si>
    <t>Waste Handling Costs</t>
  </si>
  <si>
    <t>Other Costs</t>
  </si>
  <si>
    <t>Months of cost data collected</t>
  </si>
  <si>
    <t>MAc4: Analyze and Execute Waste Audit Findings</t>
  </si>
  <si>
    <t>Identified improvement opportunities</t>
  </si>
  <si>
    <t>Overall GHG reductions (metric ton CO2e)</t>
  </si>
  <si>
    <t>PIc1: Excel in Zero Waste Diversion</t>
  </si>
  <si>
    <t>Diversion rate</t>
  </si>
  <si>
    <t>PIc2: Prioritize Preferred Diversion Strategies</t>
  </si>
  <si>
    <t>Preferred Diversion Strategies</t>
  </si>
  <si>
    <t>PIc3: Evaluate Material Emissions</t>
  </si>
  <si>
    <t>Number of consumable products identified</t>
  </si>
  <si>
    <t>ignore this row</t>
  </si>
  <si>
    <t>Number of products identified</t>
  </si>
  <si>
    <t>GHG emissions of consumable products (metric tons CO2e)</t>
  </si>
  <si>
    <t>GHG emissions of durable products (metric tons CO2e)</t>
  </si>
  <si>
    <t>PIc4: Calculate Transport Emissions</t>
  </si>
  <si>
    <t>Transport data entered</t>
  </si>
  <si>
    <t>GHG emissions due to waste handling transportation (metric ton CO2e)</t>
  </si>
  <si>
    <t>PIc5: Determine Zero Waste Financial Impact</t>
  </si>
  <si>
    <t>Waste handling cost data entered</t>
  </si>
  <si>
    <t>Purchased material cost data entered</t>
  </si>
  <si>
    <t>Zero waste for business decisions plan</t>
  </si>
  <si>
    <t>PIc7: Minimize Waste Generation</t>
  </si>
  <si>
    <t># of months of data collected</t>
  </si>
  <si>
    <t>Total Waste Generation (certification year)</t>
  </si>
  <si>
    <t>Total Waste Generation (Baseline year)</t>
  </si>
  <si>
    <t>Reduction</t>
  </si>
  <si>
    <t>Certification Generation Data</t>
  </si>
  <si>
    <t>GWP (kgCO2e)</t>
  </si>
  <si>
    <t>Revenue (US$)</t>
  </si>
  <si>
    <t>Net (US$)</t>
  </si>
  <si>
    <t>Summary</t>
  </si>
  <si>
    <t>Total diversion</t>
  </si>
  <si>
    <t>Total non-diversion</t>
  </si>
  <si>
    <t>Grand total</t>
  </si>
  <si>
    <t>Waste Generated</t>
  </si>
  <si>
    <t>Comparative Waste Generation by pathway</t>
  </si>
  <si>
    <t>Landfill-only Scenario
GWP (kgCO2eq)</t>
  </si>
  <si>
    <t>GWP difference (kg CO2e)</t>
  </si>
  <si>
    <t>Comparison</t>
  </si>
  <si>
    <t>Landfilling-only Scenario total</t>
  </si>
  <si>
    <t>Certified total</t>
  </si>
  <si>
    <t>difference (certified - landfill only scenario)</t>
  </si>
  <si>
    <t>% reduction</t>
  </si>
  <si>
    <t>weight 
(kg)</t>
  </si>
  <si>
    <t>GWP 
(kgCO2e)</t>
  </si>
  <si>
    <t>Grand Total</t>
  </si>
  <si>
    <t>% Diversion</t>
  </si>
  <si>
    <t>Summary: Waste Generation by Material Type and wastehandling method</t>
  </si>
  <si>
    <t>Waste generation by material type</t>
  </si>
  <si>
    <t>Sorted by mass, not including reduction</t>
  </si>
  <si>
    <t>mass (kg)</t>
  </si>
  <si>
    <t>Summary: Costs</t>
  </si>
  <si>
    <t>Cost if all were landfilled, mass basis (US $)</t>
  </si>
  <si>
    <t>Savings relative to landfill, mass basis (US $)</t>
  </si>
  <si>
    <t>Allocation of costs on annualized mass basis</t>
  </si>
  <si>
    <t>Sorted by cost</t>
  </si>
  <si>
    <t>Summary: Purchased Material</t>
  </si>
  <si>
    <t>Purchased Material</t>
  </si>
  <si>
    <t>Amount</t>
  </si>
  <si>
    <t>Summary: Waste Generated by material type and handling method</t>
  </si>
  <si>
    <t>Materials</t>
  </si>
  <si>
    <t>Waste Generated (kg)</t>
  </si>
  <si>
    <t>Location</t>
  </si>
  <si>
    <t>Factor List ranges</t>
  </si>
  <si>
    <t>Live and set must be the same. If these change, revert and let's discuss.</t>
  </si>
  <si>
    <t>Live</t>
  </si>
  <si>
    <t>Set</t>
  </si>
  <si>
    <t>Material list number of entries</t>
  </si>
  <si>
    <t>Material list range</t>
  </si>
  <si>
    <t>Confirm number of material subcategories (Must equal above number)</t>
  </si>
  <si>
    <t>First row of WHM options table</t>
  </si>
  <si>
    <t>Last row of WHM options table</t>
  </si>
  <si>
    <t>WHM options</t>
  </si>
  <si>
    <t>Material subcategory list</t>
  </si>
  <si>
    <t>Full Material List</t>
  </si>
  <si>
    <t>GWP (kg CO2/kg)</t>
  </si>
  <si>
    <t>Production GWP (kg CO2eq/kg material) ---&gt; These are only available as US values (applied to every region)</t>
  </si>
  <si>
    <t>Unit Process GWP Factors</t>
  </si>
  <si>
    <t>USEEIO Factors</t>
  </si>
  <si>
    <t>Waste-to-Energy</t>
  </si>
  <si>
    <t>Weight (kgCO2e/kg)</t>
  </si>
  <si>
    <t>Cost (kgCO2e/US$)</t>
  </si>
  <si>
    <t>reuse pathway</t>
  </si>
  <si>
    <t>reuse displacement rate</t>
  </si>
  <si>
    <t>reuse processing impact 
kg CO2eq/kg material</t>
  </si>
  <si>
    <t>notes on reuse processing*</t>
  </si>
  <si>
    <t>recycling pathway</t>
  </si>
  <si>
    <t>recycling displacement rate</t>
  </si>
  <si>
    <t>reuse transport distance</t>
  </si>
  <si>
    <t>km</t>
  </si>
  <si>
    <t>Global</t>
  </si>
  <si>
    <t/>
  </si>
  <si>
    <t>x</t>
  </si>
  <si>
    <t>assuming direct reuse</t>
  </si>
  <si>
    <t>assuming direct reuse - donation</t>
  </si>
  <si>
    <t>Food</t>
  </si>
  <si>
    <t>Food Waste – Non-Vegetable</t>
  </si>
  <si>
    <t>dishwashing</t>
  </si>
  <si>
    <t>LLDPE</t>
  </si>
  <si>
    <t>PVC</t>
  </si>
  <si>
    <t>Batteries</t>
  </si>
  <si>
    <t>3rd Class Mail</t>
  </si>
  <si>
    <t>Ferrous Cans</t>
  </si>
  <si>
    <t>Aluminum Cans</t>
  </si>
  <si>
    <t>Aluminum Foil</t>
  </si>
  <si>
    <t>Glass – Clear</t>
  </si>
  <si>
    <t>Glass – Non-Recyclable</t>
  </si>
  <si>
    <t>washing/drying - assuming 50% (excluding ironing)</t>
  </si>
  <si>
    <t>Mixed Paper</t>
  </si>
  <si>
    <t>Lightbulb/Lamps</t>
  </si>
  <si>
    <t>Textiles</t>
  </si>
  <si>
    <t>General other</t>
  </si>
  <si>
    <t>Africa</t>
  </si>
  <si>
    <t>Asia</t>
  </si>
  <si>
    <t>Europe</t>
  </si>
  <si>
    <t>North America</t>
  </si>
  <si>
    <t>Oceania</t>
  </si>
  <si>
    <t>Ferrous_Cans</t>
  </si>
  <si>
    <t>South America</t>
  </si>
  <si>
    <t>China</t>
  </si>
  <si>
    <t>United States</t>
  </si>
  <si>
    <t>Brazil</t>
  </si>
  <si>
    <t>India</t>
  </si>
  <si>
    <t>Ireland</t>
  </si>
  <si>
    <t>Canada</t>
  </si>
  <si>
    <t>Mexico</t>
  </si>
  <si>
    <t>Spain</t>
  </si>
  <si>
    <t>Australia</t>
  </si>
  <si>
    <t>*Assumes reuse onsite - no transport</t>
  </si>
  <si>
    <t>Waste Handling Options</t>
  </si>
  <si>
    <t>Note: do NOT move/reorder rows</t>
  </si>
  <si>
    <t>Purchased Material Options</t>
  </si>
  <si>
    <t>Default Material Types</t>
  </si>
  <si>
    <t>DELETE</t>
  </si>
  <si>
    <t>Dynamic Lists</t>
  </si>
  <si>
    <t>Confirmation</t>
  </si>
  <si>
    <t>ID</t>
  </si>
  <si>
    <t>Yes_No</t>
  </si>
  <si>
    <t>Months</t>
  </si>
  <si>
    <t>Reference</t>
  </si>
  <si>
    <t>Month abbreviation</t>
  </si>
  <si>
    <t>Jan</t>
  </si>
  <si>
    <t>February</t>
  </si>
  <si>
    <t>Feb</t>
  </si>
  <si>
    <t>March</t>
  </si>
  <si>
    <t>Mar</t>
  </si>
  <si>
    <t>April</t>
  </si>
  <si>
    <t>Apr</t>
  </si>
  <si>
    <t>May</t>
  </si>
  <si>
    <t>June</t>
  </si>
  <si>
    <t xml:space="preserve">June </t>
  </si>
  <si>
    <t>July</t>
  </si>
  <si>
    <t>August</t>
  </si>
  <si>
    <t>Aug</t>
  </si>
  <si>
    <t>September</t>
  </si>
  <si>
    <t>Sept</t>
  </si>
  <si>
    <t>October</t>
  </si>
  <si>
    <t>Oct</t>
  </si>
  <si>
    <t>November</t>
  </si>
  <si>
    <t>Nov</t>
  </si>
  <si>
    <t>December</t>
  </si>
  <si>
    <t>Dec</t>
  </si>
  <si>
    <t>Frequency</t>
  </si>
  <si>
    <t>Frequency options</t>
  </si>
  <si>
    <t>montly</t>
  </si>
  <si>
    <t>quarterly</t>
  </si>
  <si>
    <t>annually</t>
  </si>
  <si>
    <t>semi-annually</t>
  </si>
  <si>
    <t>Vehicle Emission Factors</t>
  </si>
  <si>
    <t>Method</t>
  </si>
  <si>
    <t>Emissions (kgCO2/metric ton*km)</t>
  </si>
  <si>
    <t>Transport, barge; average fuel mix - US</t>
  </si>
  <si>
    <t>Transport, combination truck; compressed natural gas powered - US</t>
  </si>
  <si>
    <t>Transport, combination truck; diesel powered - US</t>
  </si>
  <si>
    <t>Transport, combination truck; electricity powered - US</t>
  </si>
  <si>
    <t>Transport, combination truck; gasoline powered - US</t>
  </si>
  <si>
    <t>Transport, container ship; average fuel mix - GLO</t>
  </si>
  <si>
    <t>Transport, refuse truck; diesel powered - US</t>
  </si>
  <si>
    <t>Transport, refuse truck; gasoline powered - US</t>
  </si>
  <si>
    <t>Transport, train; diesel powered - US</t>
  </si>
  <si>
    <t>weight</t>
  </si>
  <si>
    <t>UOM (weight)</t>
  </si>
  <si>
    <t>lbm</t>
  </si>
  <si>
    <t>lbs</t>
  </si>
  <si>
    <t>ton</t>
  </si>
  <si>
    <t>uk_ton</t>
  </si>
  <si>
    <t>long ton (U.K.)</t>
  </si>
  <si>
    <t>metric ton</t>
  </si>
  <si>
    <t>Volume</t>
  </si>
  <si>
    <t>UOM (volume)</t>
  </si>
  <si>
    <t>yd3</t>
  </si>
  <si>
    <t>cubic yard</t>
  </si>
  <si>
    <t>gal</t>
  </si>
  <si>
    <t>gallon</t>
  </si>
  <si>
    <t>l</t>
  </si>
  <si>
    <t>liter</t>
  </si>
  <si>
    <t>ft3</t>
  </si>
  <si>
    <t>cubic feet</t>
  </si>
  <si>
    <t>m3</t>
  </si>
  <si>
    <t>cubic meter</t>
  </si>
  <si>
    <t>Earned</t>
  </si>
  <si>
    <t>Min diversion rate</t>
  </si>
  <si>
    <t>Material categories</t>
  </si>
  <si>
    <t>TRUEv2 Certification</t>
  </si>
  <si>
    <t>Level</t>
  </si>
  <si>
    <t>Minimum</t>
  </si>
  <si>
    <t>Maximum</t>
  </si>
  <si>
    <t>Certified</t>
  </si>
  <si>
    <t>Silver</t>
  </si>
  <si>
    <t>Gold</t>
  </si>
  <si>
    <t>Platinum</t>
  </si>
  <si>
    <t>Weight Measurement Method</t>
  </si>
  <si>
    <t>Measurement Method</t>
  </si>
  <si>
    <t>actual</t>
  </si>
  <si>
    <t>estimated</t>
  </si>
  <si>
    <t>Waste handling methods</t>
  </si>
  <si>
    <t>Future waste handling methods</t>
  </si>
  <si>
    <t>Animal Feed</t>
  </si>
  <si>
    <t>Pyrolysis to Biochar</t>
  </si>
  <si>
    <t>Fuel Blending</t>
  </si>
  <si>
    <t>Chemical Recycling</t>
  </si>
  <si>
    <t>Donation</t>
  </si>
  <si>
    <t>Country level data</t>
  </si>
  <si>
    <t>Countries w Data</t>
  </si>
  <si>
    <t>Intensity Metrics</t>
  </si>
  <si>
    <t>Intensity metric</t>
  </si>
  <si>
    <t>Annual production</t>
  </si>
  <si>
    <t>Annual revenue</t>
  </si>
  <si>
    <t>Project floor space/area</t>
  </si>
  <si>
    <t>Annual labor hours</t>
  </si>
  <si>
    <t>Material Categories</t>
  </si>
  <si>
    <t>Country List</t>
  </si>
  <si>
    <t>Global Region</t>
  </si>
  <si>
    <t>Country Code</t>
  </si>
  <si>
    <t>Country Level Data</t>
  </si>
  <si>
    <t>Afghanistan</t>
  </si>
  <si>
    <t>AF</t>
  </si>
  <si>
    <t>no</t>
  </si>
  <si>
    <t>Albania</t>
  </si>
  <si>
    <t>AL</t>
  </si>
  <si>
    <t>Algeria</t>
  </si>
  <si>
    <t>DZ</t>
  </si>
  <si>
    <t>Andorra</t>
  </si>
  <si>
    <t>Angola</t>
  </si>
  <si>
    <t>AO</t>
  </si>
  <si>
    <t>Antigua and Barbuda</t>
  </si>
  <si>
    <t>AG</t>
  </si>
  <si>
    <t>Argentina</t>
  </si>
  <si>
    <t>AR</t>
  </si>
  <si>
    <t>Armenia</t>
  </si>
  <si>
    <t>AM</t>
  </si>
  <si>
    <t>AU</t>
  </si>
  <si>
    <t>yes</t>
  </si>
  <si>
    <t>Austria</t>
  </si>
  <si>
    <t>AT</t>
  </si>
  <si>
    <t>Azerbaijan</t>
  </si>
  <si>
    <t>AZ</t>
  </si>
  <si>
    <t>Bahamas</t>
  </si>
  <si>
    <t>BS</t>
  </si>
  <si>
    <t>Bahrain</t>
  </si>
  <si>
    <t>BH</t>
  </si>
  <si>
    <t>Bangladesh</t>
  </si>
  <si>
    <t>BD</t>
  </si>
  <si>
    <t>Barbados</t>
  </si>
  <si>
    <t>BB</t>
  </si>
  <si>
    <t>Belarus</t>
  </si>
  <si>
    <t>BY</t>
  </si>
  <si>
    <t>Belgium</t>
  </si>
  <si>
    <t>BE</t>
  </si>
  <si>
    <t>Belize</t>
  </si>
  <si>
    <t>BZ</t>
  </si>
  <si>
    <t>Benin</t>
  </si>
  <si>
    <t>BJ</t>
  </si>
  <si>
    <t>Bhutan</t>
  </si>
  <si>
    <t>BT</t>
  </si>
  <si>
    <t>Bolivia</t>
  </si>
  <si>
    <t>BO</t>
  </si>
  <si>
    <t>Bosnia and Herzegovina</t>
  </si>
  <si>
    <t>BA</t>
  </si>
  <si>
    <t>Botswana</t>
  </si>
  <si>
    <t>BW</t>
  </si>
  <si>
    <t>BR</t>
  </si>
  <si>
    <t>Brunei</t>
  </si>
  <si>
    <t>BN</t>
  </si>
  <si>
    <t>Bulgaria</t>
  </si>
  <si>
    <t>BG</t>
  </si>
  <si>
    <t>Burkina Faso</t>
  </si>
  <si>
    <t>BF</t>
  </si>
  <si>
    <t>Burundi</t>
  </si>
  <si>
    <t>BI</t>
  </si>
  <si>
    <t>Cabo Verde</t>
  </si>
  <si>
    <t>CV</t>
  </si>
  <si>
    <t>Cambodia</t>
  </si>
  <si>
    <t>KH</t>
  </si>
  <si>
    <t>Cameroon</t>
  </si>
  <si>
    <t>CM</t>
  </si>
  <si>
    <t>CA</t>
  </si>
  <si>
    <t>Central African Republic</t>
  </si>
  <si>
    <t>CF</t>
  </si>
  <si>
    <t>Chad</t>
  </si>
  <si>
    <t>TD</t>
  </si>
  <si>
    <t>Chile</t>
  </si>
  <si>
    <t>CL</t>
  </si>
  <si>
    <t>CN</t>
  </si>
  <si>
    <t>Colombia</t>
  </si>
  <si>
    <t>CO</t>
  </si>
  <si>
    <t>Comoros</t>
  </si>
  <si>
    <t>KM</t>
  </si>
  <si>
    <t>Congo</t>
  </si>
  <si>
    <t>CG</t>
  </si>
  <si>
    <t>Costa Rica</t>
  </si>
  <si>
    <t>CR</t>
  </si>
  <si>
    <t>Côte d'Ivoire</t>
  </si>
  <si>
    <t>CI</t>
  </si>
  <si>
    <t>Croatia</t>
  </si>
  <si>
    <t>HR</t>
  </si>
  <si>
    <t>Cuba</t>
  </si>
  <si>
    <t>CU</t>
  </si>
  <si>
    <t>Cyprus</t>
  </si>
  <si>
    <t>CY</t>
  </si>
  <si>
    <t>Czechia</t>
  </si>
  <si>
    <t>CZ</t>
  </si>
  <si>
    <t>Democratic Republic of the Congo</t>
  </si>
  <si>
    <t>CD</t>
  </si>
  <si>
    <t>Denmark</t>
  </si>
  <si>
    <t>DK</t>
  </si>
  <si>
    <t>Djibouti</t>
  </si>
  <si>
    <t>DJ</t>
  </si>
  <si>
    <t>Dominica</t>
  </si>
  <si>
    <t>DM</t>
  </si>
  <si>
    <t>Dominican Republic</t>
  </si>
  <si>
    <t>DO</t>
  </si>
  <si>
    <t>Ecuador</t>
  </si>
  <si>
    <t>EC</t>
  </si>
  <si>
    <t>Egypt</t>
  </si>
  <si>
    <t>EG</t>
  </si>
  <si>
    <t>El Salvador</t>
  </si>
  <si>
    <t>SV</t>
  </si>
  <si>
    <t>Equatorial Guinea</t>
  </si>
  <si>
    <t>GQ</t>
  </si>
  <si>
    <t>Eritrea</t>
  </si>
  <si>
    <t>ER</t>
  </si>
  <si>
    <t>Estonia</t>
  </si>
  <si>
    <t>EE</t>
  </si>
  <si>
    <t>Eswatini</t>
  </si>
  <si>
    <t>SZ</t>
  </si>
  <si>
    <t>Ethiopia</t>
  </si>
  <si>
    <t>ET</t>
  </si>
  <si>
    <t>Fiji</t>
  </si>
  <si>
    <t>FJ</t>
  </si>
  <si>
    <t>Finland</t>
  </si>
  <si>
    <t>FI</t>
  </si>
  <si>
    <t>France</t>
  </si>
  <si>
    <t>FR</t>
  </si>
  <si>
    <t>Gabon</t>
  </si>
  <si>
    <t>GA</t>
  </si>
  <si>
    <t>Gambia</t>
  </si>
  <si>
    <t>GM</t>
  </si>
  <si>
    <t>Georgia</t>
  </si>
  <si>
    <t>GE</t>
  </si>
  <si>
    <t>Germany</t>
  </si>
  <si>
    <t>DE</t>
  </si>
  <si>
    <t>Ghana</t>
  </si>
  <si>
    <t>GH</t>
  </si>
  <si>
    <t>Greece</t>
  </si>
  <si>
    <t>GR</t>
  </si>
  <si>
    <t>Grenada</t>
  </si>
  <si>
    <t>GD</t>
  </si>
  <si>
    <t>Guatemala</t>
  </si>
  <si>
    <t>GT</t>
  </si>
  <si>
    <t>Guinea</t>
  </si>
  <si>
    <t>GN</t>
  </si>
  <si>
    <t>Guinea-Bissau</t>
  </si>
  <si>
    <t>GW</t>
  </si>
  <si>
    <t>Guyana</t>
  </si>
  <si>
    <t>GY</t>
  </si>
  <si>
    <t>Haiti</t>
  </si>
  <si>
    <t>HT</t>
  </si>
  <si>
    <t>Honduras</t>
  </si>
  <si>
    <t>HN</t>
  </si>
  <si>
    <t>Hungary</t>
  </si>
  <si>
    <t>HU</t>
  </si>
  <si>
    <t>Iceland</t>
  </si>
  <si>
    <t>IS</t>
  </si>
  <si>
    <t>IN</t>
  </si>
  <si>
    <t>Indonesia</t>
  </si>
  <si>
    <t>Iran</t>
  </si>
  <si>
    <t>IR</t>
  </si>
  <si>
    <t>Iraq</t>
  </si>
  <si>
    <t>IQ</t>
  </si>
  <si>
    <t>IE</t>
  </si>
  <si>
    <t>Israel</t>
  </si>
  <si>
    <t>IL</t>
  </si>
  <si>
    <t>Italy</t>
  </si>
  <si>
    <t>IT</t>
  </si>
  <si>
    <t>Jamaica</t>
  </si>
  <si>
    <t>JM</t>
  </si>
  <si>
    <t>Japan</t>
  </si>
  <si>
    <t>JP</t>
  </si>
  <si>
    <t>Jordan</t>
  </si>
  <si>
    <t>JO</t>
  </si>
  <si>
    <t>Kazakhstan</t>
  </si>
  <si>
    <t>KZ</t>
  </si>
  <si>
    <t>Kenya</t>
  </si>
  <si>
    <t>KE</t>
  </si>
  <si>
    <t>Kiribati</t>
  </si>
  <si>
    <t>KI</t>
  </si>
  <si>
    <t>Kuwait</t>
  </si>
  <si>
    <t>KW</t>
  </si>
  <si>
    <t>Kyrgyzstan</t>
  </si>
  <si>
    <t>KG</t>
  </si>
  <si>
    <t>Laos</t>
  </si>
  <si>
    <t>LA</t>
  </si>
  <si>
    <t>Latvia</t>
  </si>
  <si>
    <t>LV</t>
  </si>
  <si>
    <t>Lebanon</t>
  </si>
  <si>
    <t>LB</t>
  </si>
  <si>
    <t>Lesotho</t>
  </si>
  <si>
    <t>LS</t>
  </si>
  <si>
    <t>Liberia</t>
  </si>
  <si>
    <t>LR</t>
  </si>
  <si>
    <t>Libya</t>
  </si>
  <si>
    <t>LY</t>
  </si>
  <si>
    <t>Liechtenstein</t>
  </si>
  <si>
    <t>LI</t>
  </si>
  <si>
    <t>Lithuania</t>
  </si>
  <si>
    <t>LT</t>
  </si>
  <si>
    <t>Luxembourg</t>
  </si>
  <si>
    <t>LU</t>
  </si>
  <si>
    <t>Madagascar</t>
  </si>
  <si>
    <t>MG</t>
  </si>
  <si>
    <t>Malawi</t>
  </si>
  <si>
    <t>MW</t>
  </si>
  <si>
    <t>Malaysia</t>
  </si>
  <si>
    <t>MY</t>
  </si>
  <si>
    <t>Maldives</t>
  </si>
  <si>
    <t>MV</t>
  </si>
  <si>
    <t>Mali</t>
  </si>
  <si>
    <t>ML</t>
  </si>
  <si>
    <t>Malta</t>
  </si>
  <si>
    <t>MT</t>
  </si>
  <si>
    <t>Marshall Islands</t>
  </si>
  <si>
    <t>MH</t>
  </si>
  <si>
    <t>Mauritania</t>
  </si>
  <si>
    <t>MR</t>
  </si>
  <si>
    <t>Mauritius</t>
  </si>
  <si>
    <t>MU</t>
  </si>
  <si>
    <t>MX</t>
  </si>
  <si>
    <t>Micronesia</t>
  </si>
  <si>
    <t>FM</t>
  </si>
  <si>
    <t>Moldova</t>
  </si>
  <si>
    <t>MD</t>
  </si>
  <si>
    <t>Monaco</t>
  </si>
  <si>
    <t>MC</t>
  </si>
  <si>
    <t>Mongolia</t>
  </si>
  <si>
    <t>MN</t>
  </si>
  <si>
    <t>Montenegro</t>
  </si>
  <si>
    <t>ME</t>
  </si>
  <si>
    <t>Morocco</t>
  </si>
  <si>
    <t>MA</t>
  </si>
  <si>
    <t>Mozambique</t>
  </si>
  <si>
    <t>MZ</t>
  </si>
  <si>
    <t>Myanmar</t>
  </si>
  <si>
    <t>MM</t>
  </si>
  <si>
    <t>Namibia</t>
  </si>
  <si>
    <t>Nauru</t>
  </si>
  <si>
    <t>NR</t>
  </si>
  <si>
    <t>Nepal</t>
  </si>
  <si>
    <t>NP</t>
  </si>
  <si>
    <t>Netherlands</t>
  </si>
  <si>
    <t>NL</t>
  </si>
  <si>
    <t>New Zealand</t>
  </si>
  <si>
    <t>NZ</t>
  </si>
  <si>
    <t>Nicaragua</t>
  </si>
  <si>
    <t>NI</t>
  </si>
  <si>
    <t>Niger</t>
  </si>
  <si>
    <t>NE</t>
  </si>
  <si>
    <t>Nigeria</t>
  </si>
  <si>
    <t>NG</t>
  </si>
  <si>
    <t>North Korea</t>
  </si>
  <si>
    <t>KP</t>
  </si>
  <si>
    <t>North Macedonia</t>
  </si>
  <si>
    <t>MK</t>
  </si>
  <si>
    <t>Norway</t>
  </si>
  <si>
    <t>NO</t>
  </si>
  <si>
    <t>Oman</t>
  </si>
  <si>
    <t>OM</t>
  </si>
  <si>
    <t>Pakistan</t>
  </si>
  <si>
    <t>PK</t>
  </si>
  <si>
    <t>Palau</t>
  </si>
  <si>
    <t>PW</t>
  </si>
  <si>
    <t>Palestine</t>
  </si>
  <si>
    <t>PS</t>
  </si>
  <si>
    <t>Panama</t>
  </si>
  <si>
    <t>PA</t>
  </si>
  <si>
    <t>Papua New Guinea</t>
  </si>
  <si>
    <t>PG</t>
  </si>
  <si>
    <t>Paraguay</t>
  </si>
  <si>
    <t>PY</t>
  </si>
  <si>
    <t>Peru</t>
  </si>
  <si>
    <t>PE</t>
  </si>
  <si>
    <t>Philippines</t>
  </si>
  <si>
    <t>PH</t>
  </si>
  <si>
    <t>Poland</t>
  </si>
  <si>
    <t>PL</t>
  </si>
  <si>
    <t>Portugal</t>
  </si>
  <si>
    <t>PT</t>
  </si>
  <si>
    <t>Qatar</t>
  </si>
  <si>
    <t>QA</t>
  </si>
  <si>
    <t>Romania</t>
  </si>
  <si>
    <t>RO</t>
  </si>
  <si>
    <t>Russia</t>
  </si>
  <si>
    <t>RU</t>
  </si>
  <si>
    <t>Rwanda</t>
  </si>
  <si>
    <t>RW</t>
  </si>
  <si>
    <t>Saint Kitts and Nevis</t>
  </si>
  <si>
    <t>KN</t>
  </si>
  <si>
    <t>Saint Lucia</t>
  </si>
  <si>
    <t>LC</t>
  </si>
  <si>
    <t>Saint Vincent and the Grenadines</t>
  </si>
  <si>
    <t>VC</t>
  </si>
  <si>
    <t>Samoa</t>
  </si>
  <si>
    <t>WS</t>
  </si>
  <si>
    <t>San Marino</t>
  </si>
  <si>
    <t>SM</t>
  </si>
  <si>
    <t>Sao Tome and Principe</t>
  </si>
  <si>
    <t>ST</t>
  </si>
  <si>
    <t>Saudi Arabia</t>
  </si>
  <si>
    <t>SA</t>
  </si>
  <si>
    <t>Senegal</t>
  </si>
  <si>
    <t>SN</t>
  </si>
  <si>
    <t>Serbia</t>
  </si>
  <si>
    <t>RS</t>
  </si>
  <si>
    <t>Seychelles</t>
  </si>
  <si>
    <t>SC</t>
  </si>
  <si>
    <t>Sierra Leone</t>
  </si>
  <si>
    <t>SL</t>
  </si>
  <si>
    <t>Singapore</t>
  </si>
  <si>
    <t>SG</t>
  </si>
  <si>
    <t>Slovakia</t>
  </si>
  <si>
    <t>SK</t>
  </si>
  <si>
    <t>Slovenia</t>
  </si>
  <si>
    <t>SI</t>
  </si>
  <si>
    <t>Solomon Islands</t>
  </si>
  <si>
    <t>SB</t>
  </si>
  <si>
    <t>Somalia</t>
  </si>
  <si>
    <t>SO</t>
  </si>
  <si>
    <t>South Africa</t>
  </si>
  <si>
    <t>ZA</t>
  </si>
  <si>
    <t>South Korea</t>
  </si>
  <si>
    <t>KR</t>
  </si>
  <si>
    <t>South Sudan</t>
  </si>
  <si>
    <t>SS</t>
  </si>
  <si>
    <t>ES</t>
  </si>
  <si>
    <t>Sri Lanka</t>
  </si>
  <si>
    <t>LK</t>
  </si>
  <si>
    <t>Sudan</t>
  </si>
  <si>
    <t>SD</t>
  </si>
  <si>
    <t>Suriname</t>
  </si>
  <si>
    <t>SR</t>
  </si>
  <si>
    <t>Sweden</t>
  </si>
  <si>
    <t>SE</t>
  </si>
  <si>
    <t>Switzerland</t>
  </si>
  <si>
    <t>CH</t>
  </si>
  <si>
    <t>Syria</t>
  </si>
  <si>
    <t>SY</t>
  </si>
  <si>
    <t>Tajikistan</t>
  </si>
  <si>
    <t>TJ</t>
  </si>
  <si>
    <t>Tanzania</t>
  </si>
  <si>
    <t>TZ</t>
  </si>
  <si>
    <t>Thailand</t>
  </si>
  <si>
    <t>TH</t>
  </si>
  <si>
    <t>Timor-Leste</t>
  </si>
  <si>
    <t>TL</t>
  </si>
  <si>
    <t>Togo</t>
  </si>
  <si>
    <t>TG</t>
  </si>
  <si>
    <t>Tonga</t>
  </si>
  <si>
    <t>TO</t>
  </si>
  <si>
    <t>Trinidad and Tobago</t>
  </si>
  <si>
    <t>TT</t>
  </si>
  <si>
    <t>Tunisia</t>
  </si>
  <si>
    <t>TN</t>
  </si>
  <si>
    <t>Turkey</t>
  </si>
  <si>
    <t>TR</t>
  </si>
  <si>
    <t>Turkmenistan</t>
  </si>
  <si>
    <t>TM</t>
  </si>
  <si>
    <t>Tuvalu</t>
  </si>
  <si>
    <t>TV</t>
  </si>
  <si>
    <t>Uganda</t>
  </si>
  <si>
    <t>UG</t>
  </si>
  <si>
    <t>Ukraine</t>
  </si>
  <si>
    <t>UA</t>
  </si>
  <si>
    <t>AE</t>
  </si>
  <si>
    <t>United Kingdom</t>
  </si>
  <si>
    <t>GB</t>
  </si>
  <si>
    <t>US</t>
  </si>
  <si>
    <t>Uruguay</t>
  </si>
  <si>
    <t>UY</t>
  </si>
  <si>
    <t>Uzbekistan</t>
  </si>
  <si>
    <t>UZ</t>
  </si>
  <si>
    <t>Vanuatu</t>
  </si>
  <si>
    <t>VU</t>
  </si>
  <si>
    <t>Vatican City</t>
  </si>
  <si>
    <t>VA</t>
  </si>
  <si>
    <t>Venezuela</t>
  </si>
  <si>
    <t>VE</t>
  </si>
  <si>
    <t>Vietnam</t>
  </si>
  <si>
    <t>VN</t>
  </si>
  <si>
    <t>Yemen</t>
  </si>
  <si>
    <t>YE</t>
  </si>
  <si>
    <t>Zambia</t>
  </si>
  <si>
    <t>ZM</t>
  </si>
  <si>
    <t>Zimbabwe</t>
  </si>
  <si>
    <t>ZW</t>
  </si>
  <si>
    <t>USGBC</t>
  </si>
  <si>
    <t>Swolf</t>
  </si>
  <si>
    <t>calculate</t>
  </si>
  <si>
    <t>To be added</t>
  </si>
  <si>
    <t>process</t>
  </si>
  <si>
    <t>process_id</t>
  </si>
  <si>
    <t>pathway</t>
  </si>
  <si>
    <t>material</t>
  </si>
  <si>
    <t>country</t>
  </si>
  <si>
    <t>status</t>
  </si>
  <si>
    <t>impact_category</t>
  </si>
  <si>
    <t>amount</t>
  </si>
  <si>
    <t>unit</t>
  </si>
  <si>
    <t>seconds</t>
  </si>
  <si>
    <t>message</t>
  </si>
  <si>
    <t>string</t>
  </si>
  <si>
    <t>Anaerobic_Digestion - Corr_Cardboard - Australia</t>
  </si>
  <si>
    <t>896a702f-6860-5bd7-9765-ab1d64b60392</t>
  </si>
  <si>
    <t>Anaerobic_Digestion</t>
  </si>
  <si>
    <t>Corr_Cardboard</t>
  </si>
  <si>
    <t>ok</t>
  </si>
  <si>
    <t>Freshwater ecotoxicity</t>
  </si>
  <si>
    <t>CTUeco</t>
  </si>
  <si>
    <t>Human health - cancer</t>
  </si>
  <si>
    <t>CTUcancer</t>
  </si>
  <si>
    <t>Human health - non-cancer</t>
  </si>
  <si>
    <t>CTUnoncancer</t>
  </si>
  <si>
    <t>Smog formation</t>
  </si>
  <si>
    <t>0.043510404139587996</t>
  </si>
  <si>
    <t>kg O3 eq</t>
  </si>
  <si>
    <t>Global warming</t>
  </si>
  <si>
    <t>kg CO2 eq</t>
  </si>
  <si>
    <t>Ozone depletion</t>
  </si>
  <si>
    <t>2.821291595646516e-08</t>
  </si>
  <si>
    <t>kg CFC-11 eq</t>
  </si>
  <si>
    <t>Human health - particulate matter</t>
  </si>
  <si>
    <t>PM 2.5 eq</t>
  </si>
  <si>
    <t>Acidification</t>
  </si>
  <si>
    <t>kg SO2 eq</t>
  </si>
  <si>
    <t>Eutrophication (Freshwater)</t>
  </si>
  <si>
    <t>kg P eq</t>
  </si>
  <si>
    <t>Eutrophication (Marine)</t>
  </si>
  <si>
    <t>kg N eq</t>
  </si>
  <si>
    <t>Anaerobic_Digestion - Corr_Cardboard - Brazil</t>
  </si>
  <si>
    <t>776381ea-a4e6-5b67-bfa6-be951161d44b</t>
  </si>
  <si>
    <t>0.043204560815227736</t>
  </si>
  <si>
    <t>2.997763777731353e-08</t>
  </si>
  <si>
    <t>Anaerobic_Digestion - Corr_Cardboard - Canada</t>
  </si>
  <si>
    <t>49443acd-8d68-53cf-ac52-28610c4a203a</t>
  </si>
  <si>
    <t>2.8217738025493525e-08</t>
  </si>
  <si>
    <t>Anaerobic_Digestion - Corr_Cardboard - China</t>
  </si>
  <si>
    <t>4ae974ca-a943-5783-a439-4da9bbefdebc</t>
  </si>
  <si>
    <t>3.0041643506174356e-08</t>
  </si>
  <si>
    <t>Anaerobic_Digestion - Corr_Cardboard - India</t>
  </si>
  <si>
    <t>50963291-8a8c-5fbe-9ad6-a5d656fa38e3</t>
  </si>
  <si>
    <t>3.658758118312989e-08</t>
  </si>
  <si>
    <t>Anaerobic_Digestion - Corr_Cardboard - Ireland</t>
  </si>
  <si>
    <t>c813ad32-6e30-5ae8-91f8-44c4bc9506aa</t>
  </si>
  <si>
    <t>2.81978207838549e-08</t>
  </si>
  <si>
    <t>Anaerobic_Digestion - Corr_Cardboard - Mexico</t>
  </si>
  <si>
    <t>7f72c82f-d68e-5494-b9bc-e67e7b75575b</t>
  </si>
  <si>
    <t>0.043336796863237714</t>
  </si>
  <si>
    <t>3.000089079491565e-08</t>
  </si>
  <si>
    <t>Anaerobic_Digestion - Corr_Cardboard - Spain</t>
  </si>
  <si>
    <t>5c01b1d6-c40a-5613-8228-e60cdd0d6aba</t>
  </si>
  <si>
    <t>2.818719825498052e-08</t>
  </si>
  <si>
    <t>Anaerobic_Digestion - Corr_Cardboard - USA</t>
  </si>
  <si>
    <t>7dbbb996-c2b4-5220-b260-43e630c3f137</t>
  </si>
  <si>
    <t>USA</t>
  </si>
  <si>
    <t>2.8219438698370185e-08</t>
  </si>
  <si>
    <t>Anaerobic_Digestion - Diapers_and_sanitary_products - Australia</t>
  </si>
  <si>
    <t>9d311407-e2fe-5bb2-819e-c02144ad4f33</t>
  </si>
  <si>
    <t>Diapers_and_sanitary_products</t>
  </si>
  <si>
    <t>2.446363592399939e-08</t>
  </si>
  <si>
    <t>Anaerobic_Digestion - Diapers_and_sanitary_products - Brazil</t>
  </si>
  <si>
    <t>eafcb4c9-b5bf-5156-8d60-d83611a428dc</t>
  </si>
  <si>
    <t>2.596860674397299e-08</t>
  </si>
  <si>
    <t>Anaerobic_Digestion - Diapers_and_sanitary_products - Canada</t>
  </si>
  <si>
    <t>4efe1a5a-cdaf-56ad-bb28-29afa1dc5d57</t>
  </si>
  <si>
    <t>2.449145677956374e-08</t>
  </si>
  <si>
    <t>Anaerobic_Digestion - Diapers_and_sanitary_products - China</t>
  </si>
  <si>
    <t>d9c09e68-3457-58cf-90e0-fdba95c4b44e</t>
  </si>
  <si>
    <t>2.6337886844997352e-08</t>
  </si>
  <si>
    <t>Anaerobic_Digestion - Diapers_and_sanitary_products - India</t>
  </si>
  <si>
    <t>75e98e50-3938-5460-8c5c-ed12a90bb3b7</t>
  </si>
  <si>
    <t>3.260724357430401e-08</t>
  </si>
  <si>
    <t>Anaerobic_Digestion - Diapers_and_sanitary_products - Ireland</t>
  </si>
  <si>
    <t>1e250286-7d85-515d-8c7b-6df2021629cd</t>
  </si>
  <si>
    <t>2.437654455005932e-08</t>
  </si>
  <si>
    <t>Anaerobic_Digestion - Diapers_and_sanitary_products - Mexico</t>
  </si>
  <si>
    <t>e8600279-befa-50d7-a2d1-4620f16f9bf1</t>
  </si>
  <si>
    <t>2.6350600649574963e-08</t>
  </si>
  <si>
    <t>Anaerobic_Digestion - Diapers_and_sanitary_products - Spain</t>
  </si>
  <si>
    <t>43ed03d2-0655-55a2-9f40-2afb5a4f5df0</t>
  </si>
  <si>
    <t>2.4315258027656962e-08</t>
  </si>
  <si>
    <t>Anaerobic_Digestion - Diapers_and_sanitary_products - USA</t>
  </si>
  <si>
    <t>dc3d45ea-6d7b-5993-9d0e-97c461938db4</t>
  </si>
  <si>
    <t>2.450126878643923e-08</t>
  </si>
  <si>
    <t>Anaerobic_Digestion - Folding_Containers - Australia</t>
  </si>
  <si>
    <t>fd8f1c49-608a-5ca7-9094-bdf0bea6301c</t>
  </si>
  <si>
    <t>Folding_Containers</t>
  </si>
  <si>
    <t>2.827787876047925e-08</t>
  </si>
  <si>
    <t>Anaerobic_Digestion - Folding_Containers - Brazil</t>
  </si>
  <si>
    <t>259365df-0bb4-53b6-be42-0b6a2b551891</t>
  </si>
  <si>
    <t>3.0067865835159466e-08</t>
  </si>
  <si>
    <t>Anaerobic_Digestion - Folding_Containers - Canada</t>
  </si>
  <si>
    <t>ee406909-8f81-50c1-949c-ee8b6ac8176b</t>
  </si>
  <si>
    <t>2.8280463801824696e-08</t>
  </si>
  <si>
    <t>Anaerobic_Digestion - Folding_Containers - China</t>
  </si>
  <si>
    <t>b7dcc920-8cb2-5f12-a0ae-c34e3f3acf84</t>
  </si>
  <si>
    <t>3.010217837910599e-08</t>
  </si>
  <si>
    <t>Anaerobic_Digestion - Folding_Containers - India</t>
  </si>
  <si>
    <t>fdbfa674-368a-51ea-8866-e975edc79dba</t>
  </si>
  <si>
    <t>0.034766009254392986</t>
  </si>
  <si>
    <t>3.6675018311772415e-08</t>
  </si>
  <si>
    <t>Anaerobic_Digestion - Folding_Containers - Ireland</t>
  </si>
  <si>
    <t>4044b055-285c-59e4-b4c0-e0a17cefff4a</t>
  </si>
  <si>
    <t>2.8269786457137086e-08</t>
  </si>
  <si>
    <t>Anaerobic_Digestion - Folding_Containers - Mexico</t>
  </si>
  <si>
    <t>f81f88ad-5012-5903-9a99-c95062326887</t>
  </si>
  <si>
    <t>3.0080331441012473e-08</t>
  </si>
  <si>
    <t>Anaerobic_Digestion - Folding_Containers - Spain</t>
  </si>
  <si>
    <t>5ea88ebe-ad64-5338-94ac-989ae18bf29b</t>
  </si>
  <si>
    <t>0.034817370025490596</t>
  </si>
  <si>
    <t>2.8264091873303545e-08</t>
  </si>
  <si>
    <t>Anaerobic_Digestion - Folding_Containers - USA</t>
  </si>
  <si>
    <t>5d9dedeb-163f-5aca-9fc8-fb054ef31792</t>
  </si>
  <si>
    <t>0.034915659184142814</t>
  </si>
  <si>
    <t>2.8281375507915006e-08</t>
  </si>
  <si>
    <t>Anaerobic_Digestion - Food_Waste_Non_Vegetable - Australia</t>
  </si>
  <si>
    <t>a48adba5-59b0-548d-a6cb-41f245e8a6f7</t>
  </si>
  <si>
    <t>Food_Waste_Non_Vegetable</t>
  </si>
  <si>
    <t>0.031786297817317496</t>
  </si>
  <si>
    <t>1.2318424455845143e-08</t>
  </si>
  <si>
    <t>Anaerobic_Digestion - Food_Waste_Non_Vegetable - Brazil</t>
  </si>
  <si>
    <t>58801760-dd73-56f0-a36b-c188ffdfe280</t>
  </si>
  <si>
    <t>1.3105699569080404e-08</t>
  </si>
  <si>
    <t>Anaerobic_Digestion - Food_Waste_Non_Vegetable - Canada</t>
  </si>
  <si>
    <t>3a6eef5e-235c-57dd-85de-187215174706</t>
  </si>
  <si>
    <t>1.2329254545318801e-08</t>
  </si>
  <si>
    <t>Anaerobic_Digestion - Food_Waste_Non_Vegetable - China</t>
  </si>
  <si>
    <t>4c0e4ad7-448f-55bc-bcfb-e0825eaecdf6</t>
  </si>
  <si>
    <t>1.3249452751857098e-08</t>
  </si>
  <si>
    <t>Anaerobic_Digestion - Food_Waste_Non_Vegetable - India</t>
  </si>
  <si>
    <t>429d8bf8-564d-5322-b7a7-1f36290f08d9</t>
  </si>
  <si>
    <t>1.642117493563125e-08</t>
  </si>
  <si>
    <t>Anaerobic_Digestion - Food_Waste_Non_Vegetable - Ireland</t>
  </si>
  <si>
    <t>5c81e2bd-c2b8-5381-b23a-0cf3c5d2ac7b</t>
  </si>
  <si>
    <t>1.2284521567058062e-08</t>
  </si>
  <si>
    <t>Anaerobic_Digestion - Food_Waste_Non_Vegetable - Mexico</t>
  </si>
  <si>
    <t>738fd6b9-3391-560f-adb0-cb1ad08c56af</t>
  </si>
  <si>
    <t>0.031389633575572534</t>
  </si>
  <si>
    <t>1.3157924508141735e-08</t>
  </si>
  <si>
    <t>Anaerobic_Digestion - Food_Waste_Non_Vegetable - Spain</t>
  </si>
  <si>
    <t>15b5fe4d-7278-5760-a869-4e216436fa8d</t>
  </si>
  <si>
    <t>1.2260663978652343e-08</t>
  </si>
  <si>
    <t>Anaerobic_Digestion - Food_Waste_Non_Vegetable - USA</t>
  </si>
  <si>
    <t>e5f59034-700f-54b2-a46a-c1d22ebfc2fa</t>
  </si>
  <si>
    <t>0.031869608243691956</t>
  </si>
  <si>
    <t>1.233307415870687e-08</t>
  </si>
  <si>
    <t>Anaerobic_Digestion - Food_Waste_Vegetable - Australia</t>
  </si>
  <si>
    <t>5d3bbee8-38c3-54f3-a632-bebb5fc0cc0e</t>
  </si>
  <si>
    <t>Food_Waste_Vegetable</t>
  </si>
  <si>
    <t>0.025469219102954944</t>
  </si>
  <si>
    <t>1.2275362755693502e-08</t>
  </si>
  <si>
    <t>Anaerobic_Digestion - Food_Waste_Vegetable - Brazil</t>
  </si>
  <si>
    <t>589156c6-d914-524d-9235-ea9394ef9a57</t>
  </si>
  <si>
    <t>0.024861520268922695</t>
  </si>
  <si>
    <t>1.3077753478400874e-08</t>
  </si>
  <si>
    <t>Anaerobic_Digestion - Food_Waste_Vegetable - Canada</t>
  </si>
  <si>
    <t>ba8530e5-5a63-540a-bf9e-682cdad13e9f</t>
  </si>
  <si>
    <t>1.2284854483911941e-08</t>
  </si>
  <si>
    <t>Anaerobic_Digestion - Food_Waste_Vegetable - China</t>
  </si>
  <si>
    <t>f6788823-ead9-5891-b925-b7018213330c</t>
  </si>
  <si>
    <t>0.025577995629746837</t>
  </si>
  <si>
    <t>1.3203741924272287e-08</t>
  </si>
  <si>
    <t>Anaerobic_Digestion - Food_Waste_Vegetable - India</t>
  </si>
  <si>
    <t>d11d0658-03fb-55c1-ba13-04a506826ffe</t>
  </si>
  <si>
    <t>0.024935892815048197</t>
  </si>
  <si>
    <t>1.6391559097393602e-08</t>
  </si>
  <si>
    <t>Anaerobic_Digestion - Food_Waste_Vegetable - Ireland</t>
  </si>
  <si>
    <t>20bc0c48-3046-5fdc-83c1-a3e25047baea</t>
  </si>
  <si>
    <t>0.025300244865254586</t>
  </si>
  <si>
    <t>1.2245649519531825e-08</t>
  </si>
  <si>
    <t>Anaerobic_Digestion - Food_Waste_Vegetable - Mexico</t>
  </si>
  <si>
    <t>8eea3310-5bb6-5e10-897d-5f4873c500a7</t>
  </si>
  <si>
    <t>1.3123524561732504e-08</t>
  </si>
  <si>
    <t>Anaerobic_Digestion - Food_Waste_Vegetable - Spain</t>
  </si>
  <si>
    <t>a748ab8e-fd89-55c9-a3d6-020076763394</t>
  </si>
  <si>
    <t>0.025181337068354372</t>
  </si>
  <si>
    <t>1.2224740205195851e-08</t>
  </si>
  <si>
    <t>Anaerobic_Digestion - Food_Waste_Vegetable - USA</t>
  </si>
  <si>
    <t>41cc4f71-44c5-5324-b205-87ea2063b608</t>
  </si>
  <si>
    <t>0.025542234189932136</t>
  </si>
  <si>
    <t>1.2288202076954856e-08</t>
  </si>
  <si>
    <t>Anaerobic_Digestion - Magazines - Australia</t>
  </si>
  <si>
    <t>e9f4e936-9998-5db4-ac47-16ffabd3da8f</t>
  </si>
  <si>
    <t>2.8368029040638936e-08</t>
  </si>
  <si>
    <t>Anaerobic_Digestion - Magazines - Brazil</t>
  </si>
  <si>
    <t>5eb88ebe-1a71-5050-9a7f-05a03f9c4aea</t>
  </si>
  <si>
    <t>3.012235894537808e-08</t>
  </si>
  <si>
    <t>Anaerobic_Digestion - Magazines - Canada</t>
  </si>
  <si>
    <t>0f8ec077-967f-5c60-a363-1dc33972d26b</t>
  </si>
  <si>
    <t>0.049429855624446656</t>
  </si>
  <si>
    <t>2.8373771227239527e-08</t>
  </si>
  <si>
    <t>Anaerobic_Digestion - Magazines - China</t>
  </si>
  <si>
    <t>07ce857b-9703-5bb2-a3ca-b8254a159465</t>
  </si>
  <si>
    <t>3.0198577853996e-08</t>
  </si>
  <si>
    <t>Anaerobic_Digestion - Magazines - India</t>
  </si>
  <si>
    <t>cc55b4de-7c5e-51f1-a1e4-3220c0e7a3d6</t>
  </si>
  <si>
    <t>3.673345029541523e-08</t>
  </si>
  <si>
    <t>Anaerobic_Digestion - Magazines - Ireland</t>
  </si>
  <si>
    <t>a884c6c3-7432-5b13-98a5-6b28a93af9bc</t>
  </si>
  <si>
    <t>2.8350053499976853e-08</t>
  </si>
  <si>
    <t>Anaerobic_Digestion - Magazines - Mexico</t>
  </si>
  <si>
    <t>99bbbc35-c9a2-5dff-abe1-33c607e6b635</t>
  </si>
  <si>
    <t>3.015004896086915e-08</t>
  </si>
  <si>
    <t>Anaerobic_Digestion - Magazines - Spain</t>
  </si>
  <si>
    <t>a80f1a8d-e792-522e-a278-939fe649eabf</t>
  </si>
  <si>
    <t>2.8337404045435983e-08</t>
  </si>
  <si>
    <t>Anaerobic_Digestion - Magazines - USA</t>
  </si>
  <si>
    <t>dc57fa83-c6fb-549d-be64-b8d3a935dbd2</t>
  </si>
  <si>
    <t>2.8375796412060896e-08</t>
  </si>
  <si>
    <t>Anaerobic_Digestion - Misc_Organic - Australia</t>
  </si>
  <si>
    <t>cdc3be35-11b8-5056-b210-81cc1602c96a</t>
  </si>
  <si>
    <t>Misc_Organic</t>
  </si>
  <si>
    <t>0.016625482293287582</t>
  </si>
  <si>
    <t>1.3827631555867856e-08</t>
  </si>
  <si>
    <t>Anaerobic_Digestion - Misc_Organic - Brazil</t>
  </si>
  <si>
    <t>5fcdc54e-ccf7-5271-8115-be8ac64583ef</t>
  </si>
  <si>
    <t>0.016548643084154657</t>
  </si>
  <si>
    <t>1.472337116783776e-08</t>
  </si>
  <si>
    <t>Anaerobic_Digestion - Misc_Organic - Canada</t>
  </si>
  <si>
    <t>e7ece24e-5f45-5431-b1d1-eae9c4108a41</t>
  </si>
  <si>
    <t>0.016632456978820445</t>
  </si>
  <si>
    <t>1.3828858017849375e-08</t>
  </si>
  <si>
    <t>Anaerobic_Digestion - Misc_Organic - China</t>
  </si>
  <si>
    <t>8ce3496c-079b-510f-b9f9-5d19571ff708</t>
  </si>
  <si>
    <t>0.016641221566228822</t>
  </si>
  <si>
    <t>1.4739650609833193e-08</t>
  </si>
  <si>
    <t>Anaerobic_Digestion - Misc_Organic - India</t>
  </si>
  <si>
    <t>aa011d16-c1f5-5113-9d11-68d68d703d08</t>
  </si>
  <si>
    <t>0.016564374160088456</t>
  </si>
  <si>
    <t>1.8026864990923737e-08</t>
  </si>
  <si>
    <t>Anaerobic_Digestion - Misc_Organic - Ireland</t>
  </si>
  <si>
    <t>a51b7c2d-4851-5277-8705-eaf82bd4031b</t>
  </si>
  <si>
    <t>0.016603648495096376</t>
  </si>
  <si>
    <t>1.3823792196621182e-08</t>
  </si>
  <si>
    <t>Anaerobic_Digestion - Misc_Organic - Mexico</t>
  </si>
  <si>
    <t>42eb9d58-603f-5778-8655-b6fc5151c807</t>
  </si>
  <si>
    <t>1.4729285422046068e-08</t>
  </si>
  <si>
    <t>Anaerobic_Digestion - Misc_Organic - Spain</t>
  </si>
  <si>
    <t>45f29517-e5ed-544b-9874-0eb6c35a3451</t>
  </si>
  <si>
    <t>1.3821090425299747e-08</t>
  </si>
  <si>
    <t>Anaerobic_Digestion - Misc_Organic - USA</t>
  </si>
  <si>
    <t>58a47e77-73b8-52ee-9508-ba05bd746515</t>
  </si>
  <si>
    <t>1.382929057296523e-08</t>
  </si>
  <si>
    <t>Anaerobic_Digestion - Mixed_Paper - Australia</t>
  </si>
  <si>
    <t>1cd1085c-25db-5013-895a-7c787ae2aa05</t>
  </si>
  <si>
    <t>Mixed_Paper</t>
  </si>
  <si>
    <t>0.044017524438691086</t>
  </si>
  <si>
    <t>2.854324899696696e-08</t>
  </si>
  <si>
    <t>Anaerobic_Digestion - Mixed_Paper - Brazil</t>
  </si>
  <si>
    <t>59551f97-3436-5a7e-a7e7-dda347ebcee3</t>
  </si>
  <si>
    <t>3.0321432586936495e-08</t>
  </si>
  <si>
    <t>Anaerobic_Digestion - Mixed_Paper - Canada</t>
  </si>
  <si>
    <t>33d186f2-59f2-503f-9276-adbe256aee67</t>
  </si>
  <si>
    <t>2.8546879138520964e-08</t>
  </si>
  <si>
    <t>Anaerobic_Digestion - Mixed_Paper - China</t>
  </si>
  <si>
    <t>ee7aa100-ecfd-5684-9e23-4027b33336f7</t>
  </si>
  <si>
    <t>3.0369617267551814e-08</t>
  </si>
  <si>
    <t>Anaerobic_Digestion - Mixed_Paper - India</t>
  </si>
  <si>
    <t>ccaacf6f-66bb-5ca6-aa96-14552efa3c22</t>
  </si>
  <si>
    <t>0.043828050384982366</t>
  </si>
  <si>
    <t>3.692988893686023e-08</t>
  </si>
  <si>
    <t>Anaerobic_Digestion - Mixed_Paper - Ireland</t>
  </si>
  <si>
    <t>5173179d-ebac-5603-91f9-f8ee451a1ccc</t>
  </si>
  <si>
    <t>2.8531885075580032e-08</t>
  </si>
  <si>
    <t>Anaerobic_Digestion - Mixed_Paper - Mexico</t>
  </si>
  <si>
    <t>42f8ad56-84cb-509c-b7d3-b52c58e5254d</t>
  </si>
  <si>
    <t>0.043887785668758415</t>
  </si>
  <si>
    <t>3.0338937882889765e-08</t>
  </si>
  <si>
    <t>Anaerobic_Digestion - Mixed_Paper - Spain</t>
  </si>
  <si>
    <t>a5b335b3-5741-5f2f-851b-6b5cd0541855</t>
  </si>
  <si>
    <t>2.852388824201145e-08</t>
  </si>
  <si>
    <t>Anaerobic_Digestion - Mixed_Paper - USA</t>
  </si>
  <si>
    <t>63e8d6f2-c77d-5425-8883-36017f499702</t>
  </si>
  <si>
    <t>2.854815943609521e-08</t>
  </si>
  <si>
    <t>Anaerobic_Digestion - Newsprint - Australia</t>
  </si>
  <si>
    <t>c99b78bd-526a-571f-8be2-2521eb1f61cb</t>
  </si>
  <si>
    <t>0.031704837560048695</t>
  </si>
  <si>
    <t>2.8841627492208213e-08</t>
  </si>
  <si>
    <t>Anaerobic_Digestion - Newsprint - Brazil</t>
  </si>
  <si>
    <t>37cf94b0-c57d-51ab-bcee-8fbfbf6c8b34</t>
  </si>
  <si>
    <t>3.065234369083363e-08</t>
  </si>
  <si>
    <t>Anaerobic_Digestion - Newsprint - Canada</t>
  </si>
  <si>
    <t>abc89161-c08a-5055-96a6-aa5bda3dc719</t>
  </si>
  <si>
    <t>2.884237714237097e-08</t>
  </si>
  <si>
    <t>Anaerobic_Digestion - Newsprint - China</t>
  </si>
  <si>
    <t>07e385d4-e3e4-5ec4-aa85-50ba6dc6efb2</t>
  </si>
  <si>
    <t>3.066229417158544e-08</t>
  </si>
  <si>
    <t>Anaerobic_Digestion - Newsprint - India</t>
  </si>
  <si>
    <t>541c18d7-815b-5b2c-bf95-f762e9e1b136</t>
  </si>
  <si>
    <t>3.725720632236054e-08</t>
  </si>
  <si>
    <t>Anaerobic_Digestion - Newsprint - Ireland</t>
  </si>
  <si>
    <t>da42785c-5eda-55aa-86e8-185d995c477b</t>
  </si>
  <si>
    <t>0.031691492091038276</t>
  </si>
  <si>
    <t>2.883928076126396e-08</t>
  </si>
  <si>
    <t>Anaerobic_Digestion - Newsprint - Mexico</t>
  </si>
  <si>
    <t>e2eefe06-d235-5f0c-9fbc-de089c6c7ddd</t>
  </si>
  <si>
    <t>3.065595865949685e-08</t>
  </si>
  <si>
    <t>Anaerobic_Digestion - Newsprint - Spain</t>
  </si>
  <si>
    <t>9456c8db-6829-57b1-916c-897be6c32586</t>
  </si>
  <si>
    <t>2.883762935800659e-08</t>
  </si>
  <si>
    <t>Anaerobic_Digestion - Newsprint - USA</t>
  </si>
  <si>
    <t>7981db37-5772-58a5-a7b1-824ec1718d36</t>
  </si>
  <si>
    <t>0.031710604241371405</t>
  </si>
  <si>
    <t>2.884264153296581e-08</t>
  </si>
  <si>
    <t>Anaerobic_Digestion - Office_Paper - Australia</t>
  </si>
  <si>
    <t>12b523e2-0190-5b81-b95d-c76ea6d8356e</t>
  </si>
  <si>
    <t>Office_Paper</t>
  </si>
  <si>
    <t>2.7202506476553743e-08</t>
  </si>
  <si>
    <t>Anaerobic_Digestion - Office_Paper - Brazil</t>
  </si>
  <si>
    <t>95772e2c-d5f1-5e7e-a92e-e3a81e2b6887</t>
  </si>
  <si>
    <t>2.8863754302176205e-08</t>
  </si>
  <si>
    <t>Anaerobic_Digestion - Office_Paper - Canada</t>
  </si>
  <si>
    <t>d811afbc-2d7f-5a2e-ada2-80c628a5829f</t>
  </si>
  <si>
    <t>2.721649030557613e-08</t>
  </si>
  <si>
    <t>Anaerobic_Digestion - Office_Paper - China</t>
  </si>
  <si>
    <t>53ddf169-3033-5ccc-bbf1-1a48357009a7</t>
  </si>
  <si>
    <t>2.9049368643982026e-08</t>
  </si>
  <si>
    <t>Anaerobic_Digestion - Office_Paper - India</t>
  </si>
  <si>
    <t>a96e113a-a71d-5716-9b16-faae6378036d</t>
  </si>
  <si>
    <t>3.5485127974906335e-08</t>
  </si>
  <si>
    <t>Anaerobic_Digestion - Office_Paper - Ireland</t>
  </si>
  <si>
    <t>3d9f4967-1822-56e9-9be4-088c687af304</t>
  </si>
  <si>
    <t>2.715873101178796e-08</t>
  </si>
  <si>
    <t>Anaerobic_Digestion - Office_Paper - Mexico</t>
  </si>
  <si>
    <t>127f07fb-3195-5724-9571-3d3b10fd424e</t>
  </si>
  <si>
    <t>2.8931187227851842e-08</t>
  </si>
  <si>
    <t>Anaerobic_Digestion - Office_Paper - Spain</t>
  </si>
  <si>
    <t>8e896ab9-ec2a-5b3d-832c-d9554f3a1591</t>
  </si>
  <si>
    <t>2.7127926055100952e-08</t>
  </si>
  <si>
    <t>Anaerobic_Digestion - Office_Paper - USA</t>
  </si>
  <si>
    <t>c05de19e-2859-53c3-8202-f90bfb0cecb2</t>
  </si>
  <si>
    <t>2.722142219655256e-08</t>
  </si>
  <si>
    <t>Anaerobic_Digestion - Paper_Bags - Australia</t>
  </si>
  <si>
    <t>2db5db14-0850-5e37-80bf-049fc3d69090</t>
  </si>
  <si>
    <t>Paper_Bags</t>
  </si>
  <si>
    <t>2.827298333964143e-08</t>
  </si>
  <si>
    <t>Anaerobic_Digestion - Paper_Bags - Brazil</t>
  </si>
  <si>
    <t>6c8c0a69-8375-5e00-a951-f2ba8c6f7ce7</t>
  </si>
  <si>
    <t>3.0017740864465085e-08</t>
  </si>
  <si>
    <t>Anaerobic_Digestion - Paper_Bags - Canada</t>
  </si>
  <si>
    <t>e9d7bfa1-cd89-5f58-90cb-1b677f377759</t>
  </si>
  <si>
    <t>0.052485160090151306</t>
  </si>
  <si>
    <t>2.8279573080713556e-08</t>
  </si>
  <si>
    <t>Anaerobic_Digestion - Paper_Bags - China</t>
  </si>
  <si>
    <t>18d4c86f-c53d-5bbd-ad8e-8ad47a844b6b</t>
  </si>
  <si>
    <t>3.0105209786592045e-08</t>
  </si>
  <si>
    <t>Anaerobic_Digestion - Paper_Bags - India</t>
  </si>
  <si>
    <t>88bb13cb-722a-590f-a336-1dd96dbbd9dd</t>
  </si>
  <si>
    <t>3.6629889628561933e-08</t>
  </si>
  <si>
    <t>Anaerobic_Digestion - Paper_Bags - Ireland</t>
  </si>
  <si>
    <t>4ad1de63-db45-585d-8f83-7faddff33470</t>
  </si>
  <si>
    <t>2.8252354584980376e-08</t>
  </si>
  <si>
    <t>Anaerobic_Digestion - Paper_Bags - Mexico</t>
  </si>
  <si>
    <t>aa02100c-44eb-5b64-8b37-34944ef55178</t>
  </si>
  <si>
    <t>0.052209019451389414</t>
  </si>
  <si>
    <t>3.0049517963514347e-08</t>
  </si>
  <si>
    <t>Anaerobic_Digestion - Paper_Bags - Spain</t>
  </si>
  <si>
    <t>b845f743-2cac-5af1-9c26-43dded18910f</t>
  </si>
  <si>
    <t>0.052247819926354605</t>
  </si>
  <si>
    <t>2.8237838053922596e-08</t>
  </si>
  <si>
    <t>Anaerobic_Digestion - Paper_Bags - USA</t>
  </si>
  <si>
    <t>2dac88da-b83c-59bd-959b-488ec9b9f2e2</t>
  </si>
  <si>
    <t>2.8281897185540732e-08</t>
  </si>
  <si>
    <t>Anaerobic_Digestion - Paper_Non_recyclable - Australia</t>
  </si>
  <si>
    <t>ce8bd6a8-1ace-514e-954b-758c041c276d</t>
  </si>
  <si>
    <t>Paper_Non_recyclable</t>
  </si>
  <si>
    <t>2.7249384072716767e-08</t>
  </si>
  <si>
    <t>Anaerobic_Digestion - Paper_Non_recyclable - Brazil</t>
  </si>
  <si>
    <t>98479ca4-15d4-5981-b69c-b155a0f954d6</t>
  </si>
  <si>
    <t>2.8902991295287535e-08</t>
  </si>
  <si>
    <t>Anaerobic_Digestion - Paper_Non_recyclable - Canada</t>
  </si>
  <si>
    <t>1f1cef19-2fc8-599e-a265-f5da147e6cbe</t>
  </si>
  <si>
    <t>2.7264044413467655e-08</t>
  </si>
  <si>
    <t>Anaerobic_Digestion - Paper_Non_recyclable - China</t>
  </si>
  <si>
    <t>446664e5-4f5a-5966-bf7e-67d86a8c2b84</t>
  </si>
  <si>
    <t>2.9097585314907643e-08</t>
  </si>
  <si>
    <t>Anaerobic_Digestion - Paper_Non_recyclable - India</t>
  </si>
  <si>
    <t>d344faeb-3790-5a04-8d01-80b290676736</t>
  </si>
  <si>
    <t>3.552520898812471e-08</t>
  </si>
  <si>
    <t>Anaerobic_Digestion - Paper_Non_recyclable - Ireland</t>
  </si>
  <si>
    <t>c89e711b-e98c-5589-85c1-c0ff44046d64</t>
  </si>
  <si>
    <t>2.7203490832105166e-08</t>
  </si>
  <si>
    <t>Anaerobic_Digestion - Paper_Non_recyclable - Mexico</t>
  </si>
  <si>
    <t>1b860730-7775-5003-9670-ab23aa579d7e</t>
  </si>
  <si>
    <t>2.897368650091789e-08</t>
  </si>
  <si>
    <t>Anaerobic_Digestion - Paper_Non_recyclable - Spain</t>
  </si>
  <si>
    <t>64643a61-440f-554c-9102-8df109c59896</t>
  </si>
  <si>
    <t>2.7171195588712302e-08</t>
  </si>
  <si>
    <t>Anaerobic_Digestion - Paper_Non_recyclable - USA</t>
  </si>
  <si>
    <t>c044934a-746f-5e57-bc37-79f546f115be</t>
  </si>
  <si>
    <t>2.7269214900188073e-08</t>
  </si>
  <si>
    <t>Anaerobic_Digestion - Rubber_Leather - Australia</t>
  </si>
  <si>
    <t>98c53388-bc46-57d8-97ce-75fc45cc7512</t>
  </si>
  <si>
    <t>Rubber_Leather</t>
  </si>
  <si>
    <t>3.755279084683944</t>
  </si>
  <si>
    <t>2.0527533491945354e-08</t>
  </si>
  <si>
    <t>0.017907035953187534</t>
  </si>
  <si>
    <t>2.8648116810161484e-08</t>
  </si>
  <si>
    <t>Anaerobic_Digestion - Rubber_Leather - Brazil</t>
  </si>
  <si>
    <t>cf32b4f2-3941-53e6-bee9-fb3ae37cf08b</t>
  </si>
  <si>
    <t>3.7444160708895526</t>
  </si>
  <si>
    <t>1.6668427988997676e-08</t>
  </si>
  <si>
    <t>3.040690232407288e-08</t>
  </si>
  <si>
    <t>Anaerobic_Digestion - Rubber_Leather - Canada</t>
  </si>
  <si>
    <t>d2ba71a8-8dd9-54ed-9d13-4c8b2b0f8584</t>
  </si>
  <si>
    <t>3.756241132687202</t>
  </si>
  <si>
    <t>2.0869255986808288e-08</t>
  </si>
  <si>
    <t>0.017937447318296496</t>
  </si>
  <si>
    <t>2.8653464489700052e-08</t>
  </si>
  <si>
    <t>Anaerobic_Digestion - Rubber_Leather - China</t>
  </si>
  <si>
    <t>30f15724-cfd2-51b1-ae9b-291910996eb2</t>
  </si>
  <si>
    <t>2.1204281213727594e-08</t>
  </si>
  <si>
    <t>3.047788474356039e-08</t>
  </si>
  <si>
    <t>Anaerobic_Digestion - Rubber_Leather - India</t>
  </si>
  <si>
    <t>a78c81ce-a5b4-56d1-8e9b-2ea84e8d43a6</t>
  </si>
  <si>
    <t>3.745616358046674</t>
  </si>
  <si>
    <t>1.709569365096652e-08</t>
  </si>
  <si>
    <t>3.70175014847236e-08</t>
  </si>
  <si>
    <t>Anaerobic_Digestion - Rubber_Leather - Ireland</t>
  </si>
  <si>
    <t>52e732c2-10c8-5ad9-89d9-05f2f51e27fb</t>
  </si>
  <si>
    <t>3.7522674561519973</t>
  </si>
  <si>
    <t>1.9457793508024635e-08</t>
  </si>
  <si>
    <t>0.017811835158061857</t>
  </si>
  <si>
    <t>2.8631376248127612e-08</t>
  </si>
  <si>
    <t>Anaerobic_Digestion - Rubber_Leather - Mexico</t>
  </si>
  <si>
    <t>3b653401-90fd-5fc4-8766-96b0ebda6def</t>
  </si>
  <si>
    <t>3.7490552660195973</t>
  </si>
  <si>
    <t>1.8316284778488726e-08</t>
  </si>
  <si>
    <t>0.017714083751448423</t>
  </si>
  <si>
    <t>3.043268994463387e-08</t>
  </si>
  <si>
    <t>Anaerobic_Digestion - Rubber_Leather - Spain</t>
  </si>
  <si>
    <t>b01fce82-2ba3-5cde-89b7-74f153566689</t>
  </si>
  <si>
    <t>3.7501481619998844</t>
  </si>
  <si>
    <t>1.8705013519339837e-08</t>
  </si>
  <si>
    <t>0.017744842005936394</t>
  </si>
  <si>
    <t>2.8619595852622317e-08</t>
  </si>
  <si>
    <t>Anaerobic_Digestion - Rubber_Leather - USA</t>
  </si>
  <si>
    <t>17daed0c-0025-592b-92be-cb55aba0686f</t>
  </si>
  <si>
    <t>3.7565804328786414</t>
  </si>
  <si>
    <t>2.0989776488410347e-08</t>
  </si>
  <si>
    <t>0.017948172959806104</t>
  </si>
  <si>
    <t>2.8655350537676507e-08</t>
  </si>
  <si>
    <t>Anaerobic_Digestion - Textiles - Australia</t>
  </si>
  <si>
    <t>1a1cfe10-bfa5-5697-bb0f-2fe3f791f1a9</t>
  </si>
  <si>
    <t>2.765486081436924e-08</t>
  </si>
  <si>
    <t>Anaerobic_Digestion - Textiles - Brazil</t>
  </si>
  <si>
    <t>bbcb6943-1aa0-5450-99d5-62cf500e34ca</t>
  </si>
  <si>
    <t>2.9382518585380858e-08</t>
  </si>
  <si>
    <t>Anaerobic_Digestion - Textiles - Canada</t>
  </si>
  <si>
    <t>d8415785-d760-5667-828d-a36abde32334</t>
  </si>
  <si>
    <t>2.7662964596143326e-08</t>
  </si>
  <si>
    <t>Anaerobic_Digestion - Textiles - China</t>
  </si>
  <si>
    <t>58bea327-1668-5dd9-be90-6edb57810adc</t>
  </si>
  <si>
    <t>2.9490084125389836e-08</t>
  </si>
  <si>
    <t>Anaerobic_Digestion - Textiles - India</t>
  </si>
  <si>
    <t>d36096e8-16c5-59d5-958e-6083fe2a9678</t>
  </si>
  <si>
    <t>0.047725713312506836</t>
  </si>
  <si>
    <t>3.5996556275771586e-08</t>
  </si>
  <si>
    <t>Anaerobic_Digestion - Textiles - Ireland</t>
  </si>
  <si>
    <t>9e9aa7cb-0d94-5b2d-8233-acb3062b12f0</t>
  </si>
  <si>
    <t>2.7629492454031822e-08</t>
  </si>
  <si>
    <t>Anaerobic_Digestion - Textiles - Mexico</t>
  </si>
  <si>
    <t>e649125e-0b54-5a3a-ae20-706cc010a0b2</t>
  </si>
  <si>
    <t>2.9421596702912426e-08</t>
  </si>
  <si>
    <t>Anaerobic_Digestion - Textiles - Spain</t>
  </si>
  <si>
    <t>03a9a0c8-7df3-542a-a911-e74f3dc7397c</t>
  </si>
  <si>
    <t>0.047924993225187465</t>
  </si>
  <si>
    <t>2.761164064490569e-08</t>
  </si>
  <si>
    <t>Anaerobic_Digestion - Textiles - USA</t>
  </si>
  <si>
    <t>6c261114-9d40-5060-8f83-52ba121e9cf3</t>
  </si>
  <si>
    <t>2.7665822680874194e-08</t>
  </si>
  <si>
    <t>Anaerobic_Digestion - Third_Class_Mail - Australia</t>
  </si>
  <si>
    <t>62fc29e4-d69f-5407-aecc-efa9b3f60be6</t>
  </si>
  <si>
    <t>Third_Class_Mail</t>
  </si>
  <si>
    <t>2.855051001886761e-08</t>
  </si>
  <si>
    <t>Anaerobic_Digestion - Third_Class_Mail - Brazil</t>
  </si>
  <si>
    <t>bcc7f7b3-293b-5346-a8bf-ab00c7d657e5</t>
  </si>
  <si>
    <t>3.031623650342132e-08</t>
  </si>
  <si>
    <t>Anaerobic_Digestion - Third_Class_Mail - Canada</t>
  </si>
  <si>
    <t>8a96f03f-589d-54b5-ac22-08351ed6f6f4</t>
  </si>
  <si>
    <t>2.85552431332972e-08</t>
  </si>
  <si>
    <t>Anaerobic_Digestion - Third_Class_Mail - China</t>
  </si>
  <si>
    <t>a853f9a0-638f-5691-a0a5-a5cd3c40c0a2</t>
  </si>
  <si>
    <t>3.037906149349586e-08</t>
  </si>
  <si>
    <t>Anaerobic_Digestion - Third_Class_Mail - India</t>
  </si>
  <si>
    <t>c2572a36-6ddd-5de2-b175-5ef18478fd61</t>
  </si>
  <si>
    <t>0.047940602142914644</t>
  </si>
  <si>
    <t>3.6926068928943466e-08</t>
  </si>
  <si>
    <t>Anaerobic_Digestion - Third_Class_Mail - Ireland</t>
  </si>
  <si>
    <t>9109796a-dd86-5861-b223-9aa71ad5eac4</t>
  </si>
  <si>
    <t>2.853569331282427e-08</t>
  </si>
  <si>
    <t>Anaerobic_Digestion - Third_Class_Mail - Mexico</t>
  </si>
  <si>
    <t>137acd29-9082-52bf-8ecc-367b9801d324</t>
  </si>
  <si>
    <t>3.033906056348557e-08</t>
  </si>
  <si>
    <t>Anaerobic_Digestion - Third_Class_Mail - Spain</t>
  </si>
  <si>
    <t>798d90c0-32e5-5fbc-8321-3095be98907d</t>
  </si>
  <si>
    <t>2.852526674190987e-08</t>
  </si>
  <si>
    <t>Anaerobic_Digestion - Third_Class_Mail - USA</t>
  </si>
  <si>
    <t>ad529e61-e9c4-58e8-a21e-f47ebe85454d</t>
  </si>
  <si>
    <t>2.855691243319413e-08</t>
  </si>
  <si>
    <t>Anaerobic_Digestion - Wood - Australia</t>
  </si>
  <si>
    <t>7752cc50-c5c5-5e45-aa28-049d47369650</t>
  </si>
  <si>
    <t>0.10345260392370892</t>
  </si>
  <si>
    <t>2.8560004813128746e-08</t>
  </si>
  <si>
    <t>Anaerobic_Digestion - Wood - Brazil</t>
  </si>
  <si>
    <t>2cd50e0b-0ebe-5f47-8625-3fc15e94cfa7</t>
  </si>
  <si>
    <t>0.018935822761369847</t>
  </si>
  <si>
    <t>3.03324339060122e-08</t>
  </si>
  <si>
    <t>Anaerobic_Digestion - Wood - Canada</t>
  </si>
  <si>
    <t>5f2355c9-889e-530e-bec5-0e3945b10bf1</t>
  </si>
  <si>
    <t>0.10419732808698366</t>
  </si>
  <si>
    <t>0.019221377636464105</t>
  </si>
  <si>
    <t>2.856414446744572e-08</t>
  </si>
  <si>
    <t>Anaerobic_Digestion - Wood - China</t>
  </si>
  <si>
    <t>771e8bbc-4a6c-54c2-aaa4-353ddfda6145</t>
  </si>
  <si>
    <t>0.10492916664870579</t>
  </si>
  <si>
    <t>3.038738160382117e-08</t>
  </si>
  <si>
    <t>Anaerobic_Digestion - Wood - India</t>
  </si>
  <si>
    <t>5ecf0fc2-2e85-5ac8-97e4-05935c60af61</t>
  </si>
  <si>
    <t>3.694152592712643e-08</t>
  </si>
  <si>
    <t>Anaerobic_Digestion - Wood - Ireland</t>
  </si>
  <si>
    <t>9a768458-57f3-580d-ae56-2778631b2771</t>
  </si>
  <si>
    <t>0.10112129349955244</t>
  </si>
  <si>
    <t>0.019124140897121642</t>
  </si>
  <si>
    <t>2.854704589526686e-08</t>
  </si>
  <si>
    <t>Anaerobic_Digestion - Wood - Mexico</t>
  </si>
  <si>
    <t>7ae8d51b-2fda-5f81-9123-5004ba72905f</t>
  </si>
  <si>
    <t>3.035239617825079e-08</t>
  </si>
  <si>
    <t>Anaerobic_Digestion - Wood - Spain</t>
  </si>
  <si>
    <t>3825647b-ea84-5ca2-905b-c98cc9c43603</t>
  </si>
  <si>
    <t>0.019072281302805465</t>
  </si>
  <si>
    <t>2.853792665677149e-08</t>
  </si>
  <si>
    <t>Anaerobic_Digestion - Wood - USA</t>
  </si>
  <si>
    <t>d9f3bb2e-b197-5966-8fcc-27d844511bfd</t>
  </si>
  <si>
    <t>0.1044599813551319</t>
  </si>
  <si>
    <t>0.019229680386828818</t>
  </si>
  <si>
    <t>2.8565604462683742e-08</t>
  </si>
  <si>
    <t>Anaerobic_Digestion - Wood_Other - Australia</t>
  </si>
  <si>
    <t>08252021-9f49-51e7-98c3-f7f8fc5d60f5</t>
  </si>
  <si>
    <t>Wood_Other</t>
  </si>
  <si>
    <t>0.014771647602510004</t>
  </si>
  <si>
    <t>2.8248098838433218e-08</t>
  </si>
  <si>
    <t>Anaerobic_Digestion - Wood_Other - Brazil</t>
  </si>
  <si>
    <t>03c294cd-f433-59a9-8f8e-bbbb497e799d</t>
  </si>
  <si>
    <t>3.002377537445178e-08</t>
  </si>
  <si>
    <t>Anaerobic_Digestion - Wood_Other - Canada</t>
  </si>
  <si>
    <t>9faeef7a-5129-565d-96a5-59c0f58a67a5</t>
  </si>
  <si>
    <t>0.014793553970633068</t>
  </si>
  <si>
    <t>2.8251950958721925e-08</t>
  </si>
  <si>
    <t>Anaerobic_Digestion - Wood_Other - China</t>
  </si>
  <si>
    <t>af242a03-d725-5513-9122-0295842d53c4</t>
  </si>
  <si>
    <t>3.0074906489607244e-08</t>
  </si>
  <si>
    <t>Anaerobic_Digestion - Wood_Other - India</t>
  </si>
  <si>
    <t>e6202784-62a0-505b-8255-d611659c00b5</t>
  </si>
  <si>
    <t>3.663250866638167e-08</t>
  </si>
  <si>
    <t>Anaerobic_Digestion - Wood_Other - Ireland</t>
  </si>
  <si>
    <t>19628368-d1e3-55d4-968a-b7e24240cec8</t>
  </si>
  <si>
    <t>2.823604002709241e-08</t>
  </si>
  <si>
    <t>Anaerobic_Digestion - Wood_Other - Mexico</t>
  </si>
  <si>
    <t>f1e87b8c-8937-5542-9b3b-e04c63b40c95</t>
  </si>
  <si>
    <t>3.0042351097935837e-08</t>
  </si>
  <si>
    <t>Anaerobic_Digestion - Wood_Other - Spain</t>
  </si>
  <si>
    <t>70d38143-78ff-55e8-a2d2-a0338f5491ad</t>
  </si>
  <si>
    <t>0.014654813639195763</t>
  </si>
  <si>
    <t>2.8227554196889695e-08</t>
  </si>
  <si>
    <t>Anaerobic_Digestion - Wood_Other - USA</t>
  </si>
  <si>
    <t>55c58d13-1a80-598e-9c55-356749999c9b</t>
  </si>
  <si>
    <t>0.014801280024706022</t>
  </si>
  <si>
    <t>2.8253309544933387e-08</t>
  </si>
  <si>
    <t>Anaerobic_Digestion - Yard_Trimmings_Branches - Australia</t>
  </si>
  <si>
    <t>7f0e27c5-45e1-580b-ae02-964ffbb3ad72</t>
  </si>
  <si>
    <t>Yard_Trimmings_Branches</t>
  </si>
  <si>
    <t>0.1854157187116254</t>
  </si>
  <si>
    <t>0.039303466816839126</t>
  </si>
  <si>
    <t>2.898896035897951e-08</t>
  </si>
  <si>
    <t>Anaerobic_Digestion - Yard_Trimmings_Branches - Brazil</t>
  </si>
  <si>
    <t>abb24264-7b0a-5fcd-b65b-6e0fb8630bd3</t>
  </si>
  <si>
    <t>0.18395313175625974</t>
  </si>
  <si>
    <t>3.0799999471553467e-08</t>
  </si>
  <si>
    <t>Anaerobic_Digestion - Yard_Trimmings_Branches - Canada</t>
  </si>
  <si>
    <t>25480661-6b3a-50ca-abde-7e55fe859257</t>
  </si>
  <si>
    <t>0.18554543725523429</t>
  </si>
  <si>
    <t>2.8989681417803065e-08</t>
  </si>
  <si>
    <t>Anaerobic_Digestion - Yard_Trimmings_Branches - China</t>
  </si>
  <si>
    <t>786e184a-f456-5323-b19d-f330918e3760</t>
  </si>
  <si>
    <t>0.18567495072644863</t>
  </si>
  <si>
    <t>3.08095704451905e-08</t>
  </si>
  <si>
    <t>Anaerobic_Digestion - Yard_Trimmings_Branches - India</t>
  </si>
  <si>
    <t>26ce7f6b-8e41-509e-9ffc-7926fcb6290e</t>
  </si>
  <si>
    <t>0.18411499966836387</t>
  </si>
  <si>
    <t>3.7404826432353026e-08</t>
  </si>
  <si>
    <t>Anaerobic_Digestion - Yard_Trimmings_Branches - Ireland</t>
  </si>
  <si>
    <t>44b072cc-8476-5aba-a56b-f7b7e80fd8de</t>
  </si>
  <si>
    <t>0.18500964327093344</t>
  </si>
  <si>
    <t>0.039290630338355954</t>
  </si>
  <si>
    <t>2.8986703131358192e-08</t>
  </si>
  <si>
    <t>Anaerobic_Digestion - Yard_Trimmings_Branches - Mexico</t>
  </si>
  <si>
    <t>b7e5d4c7-b806-58a4-b14f-1d58d817275b</t>
  </si>
  <si>
    <t>0.1845786614946474</t>
  </si>
  <si>
    <t>0.039280795898955244</t>
  </si>
  <si>
    <t>3.08034765668454e-08</t>
  </si>
  <si>
    <t>Anaerobic_Digestion - Yard_Trimmings_Branches - Spain</t>
  </si>
  <si>
    <t>37d1e898-cc1b-5874-9347-a679e0bdf348</t>
  </si>
  <si>
    <t>0.18472388647941587</t>
  </si>
  <si>
    <t>2.8985114711920794e-08</t>
  </si>
  <si>
    <t>Anaerobic_Digestion - Yard_Trimmings_Branches - USA</t>
  </si>
  <si>
    <t>7cc3d202-6d6e-56fe-8a8b-cc04fcc524d2</t>
  </si>
  <si>
    <t>0.18559118707910643</t>
  </si>
  <si>
    <t>2.898993572465278e-08</t>
  </si>
  <si>
    <t>Anaerobic_Digestion - Yard_Trimmings_Grass - Australia</t>
  </si>
  <si>
    <t>6471d26f-031e-5053-bb65-e088090e302d</t>
  </si>
  <si>
    <t>Yard_Trimmings_Grass</t>
  </si>
  <si>
    <t>1.3029512436364524e-08</t>
  </si>
  <si>
    <t>Anaerobic_Digestion - Yard_Trimmings_Grass - Brazil</t>
  </si>
  <si>
    <t>a05e9dde-5c94-5377-8d97-13daf9226371</t>
  </si>
  <si>
    <t>0.020753954310782564</t>
  </si>
  <si>
    <t>1.3877338836515398e-08</t>
  </si>
  <si>
    <t>Anaerobic_Digestion - Yard_Trimmings_Grass - Canada</t>
  </si>
  <si>
    <t>d66ea6b3-59a3-5d4f-821d-d597afdab42e</t>
  </si>
  <si>
    <t>0.021134368025292512</t>
  </si>
  <si>
    <t>1.303498121397586e-08</t>
  </si>
  <si>
    <t>Anaerobic_Digestion - Yard_Trimmings_Grass - China</t>
  </si>
  <si>
    <t>d4533b8f-387e-5668-8a8e-0006c044ed16</t>
  </si>
  <si>
    <t>1.3949928651164318e-08</t>
  </si>
  <si>
    <t>Anaerobic_Digestion - Yard_Trimmings_Grass - India</t>
  </si>
  <si>
    <t>5a88ee61-544a-59ad-b40c-b03fbe9a4d6d</t>
  </si>
  <si>
    <t>0.020799784311351852</t>
  </si>
  <si>
    <t>1.718612539811626e-08</t>
  </si>
  <si>
    <t>Anaerobic_Digestion - Yard_Trimmings_Grass - Ireland</t>
  </si>
  <si>
    <t>2191270c-1eee-590a-8402-bcf95ba46fd8</t>
  </si>
  <si>
    <t>0.021005911380752137</t>
  </si>
  <si>
    <t>1.3012392784711663e-08</t>
  </si>
  <si>
    <t>Anaerobic_Digestion - Yard_Trimmings_Grass - Mexico</t>
  </si>
  <si>
    <t>4e64c046-c42e-5cf2-ad4c-75e3be5cb768</t>
  </si>
  <si>
    <t>0.020903925108479778</t>
  </si>
  <si>
    <t>1.390371041711835e-08</t>
  </si>
  <si>
    <t>Anaerobic_Digestion - Yard_Trimmings_Grass - Spain</t>
  </si>
  <si>
    <t>f3797528-87ae-5cfe-bb7f-f57bff900d46</t>
  </si>
  <si>
    <t>0.020937401170330567</t>
  </si>
  <si>
    <t>1.3000345622437425e-08</t>
  </si>
  <si>
    <t>Anaerobic_Digestion - Yard_Trimmings_Grass - USA</t>
  </si>
  <si>
    <t>67d28526-78df-5a75-b960-0add2b0035bc</t>
  </si>
  <si>
    <t>1.3036909971464958e-08</t>
  </si>
  <si>
    <t>Anaerobic_Digestion - Yard_Trimmings_Leaves - Australia</t>
  </si>
  <si>
    <t>65752ea1-828a-5b5f-b10c-0b78312d419e</t>
  </si>
  <si>
    <t>Yard_Trimmings_Leaves</t>
  </si>
  <si>
    <t>0.16700648453754366</t>
  </si>
  <si>
    <t>1.511722938009961e-08</t>
  </si>
  <si>
    <t>Anaerobic_Digestion - Yard_Trimmings_Leaves - Brazil</t>
  </si>
  <si>
    <t>00aaee7e-f11b-57d9-a3f3-0ef51a7ccdc5</t>
  </si>
  <si>
    <t>0.16070859549440777</t>
  </si>
  <si>
    <t>1.599180622967752e-08</t>
  </si>
  <si>
    <t>Anaerobic_Digestion - Yard_Trimmings_Leaves - Canada</t>
  </si>
  <si>
    <t>91f46353-9585-564a-a8ae-eb0ac6518481</t>
  </si>
  <si>
    <t>0.16756421945836938</t>
  </si>
  <si>
    <t>0.045967948144735704</t>
  </si>
  <si>
    <t>1.5120329628334425e-08</t>
  </si>
  <si>
    <t>Anaerobic_Digestion - Yard_Trimmings_Leaves - China</t>
  </si>
  <si>
    <t>7bc9c414-4bc8-521b-9ca8-a33af83ca671</t>
  </si>
  <si>
    <t>0.16811168945825394</t>
  </si>
  <si>
    <t>1.603295737180275e-08</t>
  </si>
  <si>
    <t>Anaerobic_Digestion - Yard_Trimmings_Leaves - India</t>
  </si>
  <si>
    <t>e3fb4411-7f03-575b-87a1-077edf3c1478</t>
  </si>
  <si>
    <t>0.16140444407765098</t>
  </si>
  <si>
    <t>1.9297637799772706e-08</t>
  </si>
  <si>
    <t>Anaerobic_Digestion - Yard_Trimmings_Leaves - Ireland</t>
  </si>
  <si>
    <t>1aa22a85-7090-5313-88d0-3a4d32da2b19</t>
  </si>
  <si>
    <t>0.1652605317419071</t>
  </si>
  <si>
    <t>0.045895126115055696</t>
  </si>
  <si>
    <t>1.510752425519012e-08</t>
  </si>
  <si>
    <t>Anaerobic_Digestion - Yard_Trimmings_Leaves - Mexico</t>
  </si>
  <si>
    <t>7be660e1-5cfd-5ba8-bc0e-57b9eae1f81c</t>
  </si>
  <si>
    <t>0.16339810903154192</t>
  </si>
  <si>
    <t>1.600675627007452e-08</t>
  </si>
  <si>
    <t>Anaerobic_Digestion - Yard_Trimmings_Leaves - Spain</t>
  </si>
  <si>
    <t>96dda6bd-a6b3-579d-9d92-c47e2cae39c1</t>
  </si>
  <si>
    <t>0.16403189829312687</t>
  </si>
  <si>
    <t>1.5100694722846405e-08</t>
  </si>
  <si>
    <t>Anaerobic_Digestion - Yard_Trimmings_Leaves - USA</t>
  </si>
  <si>
    <t>38f82f0c-461b-59dd-9ffd-63d22b9d0d00</t>
  </si>
  <si>
    <t>0.16776092436794018</t>
  </si>
  <si>
    <t>1.5121423040322814e-08</t>
  </si>
  <si>
    <t>Composting - Corr_Cardboard - Australia</t>
  </si>
  <si>
    <t>b71d5139-b8fa-5875-a9df-6a68d3628938</t>
  </si>
  <si>
    <t>2.15851336372409e-07</t>
  </si>
  <si>
    <t>Composting - Corr_Cardboard - Brazil</t>
  </si>
  <si>
    <t>2ed6eae1-3523-5819-bac6-3c66ab57b02a</t>
  </si>
  <si>
    <t>2.3018175532729046e-07</t>
  </si>
  <si>
    <t>Composting - Corr_Cardboard - Canada</t>
  </si>
  <si>
    <t>084cc5f7-2e0c-5145-823f-32932b23a022</t>
  </si>
  <si>
    <t>2.1585124927415592e-07</t>
  </si>
  <si>
    <t>Composting - Corr_Cardboard - China</t>
  </si>
  <si>
    <t>4c8e4fab-234e-5dff-8210-8c845a870b1c</t>
  </si>
  <si>
    <t>2.3018059922871117e-07</t>
  </si>
  <si>
    <t>Composting - Corr_Cardboard - India</t>
  </si>
  <si>
    <t>6281d166-ae9a-5276-87ba-4c6053b53c28</t>
  </si>
  <si>
    <t>2.821998098385229e-07</t>
  </si>
  <si>
    <t>Composting - Corr_Cardboard - Ireland</t>
  </si>
  <si>
    <t>d4dabca8-1177-5578-9f3a-98e87919f880</t>
  </si>
  <si>
    <t>2.1585160902780876e-07</t>
  </si>
  <si>
    <t>Composting - Corr_Cardboard - Mexico</t>
  </si>
  <si>
    <t>78204984-b36e-5a46-93f4-8882197145b7</t>
  </si>
  <si>
    <t>2.301813353214397e-07</t>
  </si>
  <si>
    <t>Composting - Corr_Cardboard - Spain</t>
  </si>
  <si>
    <t>bf39a59c-a902-5244-9b94-d45122121028</t>
  </si>
  <si>
    <t>2.1585180089642363e-07</t>
  </si>
  <si>
    <t>Composting - Corr_Cardboard - USA</t>
  </si>
  <si>
    <t>7a3029bb-660b-5b6b-83b4-a3f3427ba4dc</t>
  </si>
  <si>
    <t>2.1585121855588227e-07</t>
  </si>
  <si>
    <t>Composting - Diapers_and_sanitary_products - Australia</t>
  </si>
  <si>
    <t>f00ec65c-b636-5f9d-a3b3-1bc26f8eaa7a</t>
  </si>
  <si>
    <t>3.375800580024506e-09</t>
  </si>
  <si>
    <t>Composting - Diapers_and_sanitary_products - Brazil</t>
  </si>
  <si>
    <t>5df24867-066d-5bad-93ba-6ec47d82a79c</t>
  </si>
  <si>
    <t>3.575429807903042e-09</t>
  </si>
  <si>
    <t>Composting - Diapers_and_sanitary_products - Canada</t>
  </si>
  <si>
    <t>f8ed0291-b68d-57a6-b727-bc8f64ad50c8</t>
  </si>
  <si>
    <t>3.375682084819947e-09</t>
  </si>
  <si>
    <t>Composting - Diapers_and_sanitary_products - China</t>
  </si>
  <si>
    <t>7c4306f6-1b3e-5aba-937f-70ad73a0f9c3</t>
  </si>
  <si>
    <t>3.573856961912784e-09</t>
  </si>
  <si>
    <t>Composting - Diapers_and_sanitary_products - India</t>
  </si>
  <si>
    <t>6aa819e7-0b93-5a9a-850a-615972c9dcb7</t>
  </si>
  <si>
    <t>4.29511005519094e-09</t>
  </si>
  <si>
    <t>Composting - Diapers_and_sanitary_products - Ireland</t>
  </si>
  <si>
    <t>d51aecad-46cd-5d11-aa0f-991f81741d56</t>
  </si>
  <si>
    <t>3.3761715215344437e-09</t>
  </si>
  <si>
    <t>Composting - Diapers_and_sanitary_products - Mexico</t>
  </si>
  <si>
    <t>bd83e9be-d8ff-57d6-ae0b-668c308530cc</t>
  </si>
  <si>
    <t>3.5748583994347545e-09</t>
  </si>
  <si>
    <t>Composting - Diapers_and_sanitary_products - Spain</t>
  </si>
  <si>
    <t>5c94da3d-09c0-5a80-89e2-cf5f9afdfe4f</t>
  </si>
  <si>
    <t>3.376432554447296e-09</t>
  </si>
  <si>
    <t>Composting - Diapers_and_sanitary_products - USA</t>
  </si>
  <si>
    <t>0850c555-e392-55c1-9b1b-e5223104a76c</t>
  </si>
  <si>
    <t>3.3756402933028126e-09</t>
  </si>
  <si>
    <t>Composting - Folding_Containers - Australia</t>
  </si>
  <si>
    <t>9516b6cd-32fc-52aa-bd69-b6e5877ece1e</t>
  </si>
  <si>
    <t>2.150493786363938e-07</t>
  </si>
  <si>
    <t>Composting - Folding_Containers - Brazil</t>
  </si>
  <si>
    <t>ba2e52a0-e22c-5297-93af-84864deb0fe0</t>
  </si>
  <si>
    <t>2.293262280461373e-07</t>
  </si>
  <si>
    <t>Composting - Folding_Containers - Canada</t>
  </si>
  <si>
    <t>c72034ea-c90e-56c5-92ad-c10defa7d7c5</t>
  </si>
  <si>
    <t>2.150492927142717e-07</t>
  </si>
  <si>
    <t>Composting - Folding_Containers - China</t>
  </si>
  <si>
    <t>e8fcbda9-cb05-5a9c-99dc-66d00330a1ee</t>
  </si>
  <si>
    <t>2.293250875589285e-07</t>
  </si>
  <si>
    <t>Composting - Folding_Containers - India</t>
  </si>
  <si>
    <t>6546e9cb-aae5-5d6e-a03f-1d30e24d14fb</t>
  </si>
  <si>
    <t>2.811498661489024e-07</t>
  </si>
  <si>
    <t>Composting - Folding_Containers - Ireland</t>
  </si>
  <si>
    <t>e59b2a4e-c809-50ec-af03-9ae89246dcfa</t>
  </si>
  <si>
    <t>2.1504964760999308e-07</t>
  </si>
  <si>
    <t>Composting - Folding_Containers - Mexico</t>
  </si>
  <si>
    <t>1803920f-975e-5234-9aab-ced5901fe8c5</t>
  </si>
  <si>
    <t>2.293258137118331e-07</t>
  </si>
  <si>
    <t>Composting - Folding_Containers - Spain</t>
  </si>
  <si>
    <t>dfee2325-5f08-5c09-a81b-2db6e566a8e9</t>
  </si>
  <si>
    <t>2.1504983688771128e-07</t>
  </si>
  <si>
    <t>Composting - Folding_Containers - USA</t>
  </si>
  <si>
    <t>8ec11499-4cbd-5c46-8efb-d32779ef7e47</t>
  </si>
  <si>
    <t>2.1504926241080214e-07</t>
  </si>
  <si>
    <t>Composting - Food_Waste_Non_Vegetable - Australia</t>
  </si>
  <si>
    <t>d3f66311-5229-574f-9363-f0882d969cb1</t>
  </si>
  <si>
    <t>0.012283258487463054</t>
  </si>
  <si>
    <t>1.7335578724364237e-09</t>
  </si>
  <si>
    <t>Composting - Food_Waste_Non_Vegetable - Brazil</t>
  </si>
  <si>
    <t>cb236de6-969c-5ff9-8f8b-4dea01439301</t>
  </si>
  <si>
    <t>0.012286708308537115</t>
  </si>
  <si>
    <t>1.8384815738474404e-09</t>
  </si>
  <si>
    <t>Composting - Food_Waste_Non_Vegetable - Canada</t>
  </si>
  <si>
    <t>808b61ca-7556-50ae-b314-5498d732218d</t>
  </si>
  <si>
    <t>0.012282972677672144</t>
  </si>
  <si>
    <t>1.7335076142791652e-09</t>
  </si>
  <si>
    <t>Composting - Food_Waste_Non_Vegetable - China</t>
  </si>
  <si>
    <t>3691ded9-7ec7-5c80-9eaa-ac3bd923ca61</t>
  </si>
  <si>
    <t>0.012282914612537454</t>
  </si>
  <si>
    <t>1.8378144722424798e-09</t>
  </si>
  <si>
    <t>Composting - Food_Waste_Non_Vegetable - India</t>
  </si>
  <si>
    <t>444b116d-647a-5352-b393-53a45d2c2dc1</t>
  </si>
  <si>
    <t>0.012287158205069175</t>
  </si>
  <si>
    <t>2.217248287540625e-09</t>
  </si>
  <si>
    <t>Composting - Food_Waste_Non_Vegetable - Ireland</t>
  </si>
  <si>
    <t>bc996e41-b414-5e16-934f-2a6b63aa9bd6</t>
  </si>
  <si>
    <t>0.012284153196373307</t>
  </si>
  <si>
    <t>1.7337152023200086e-09</t>
  </si>
  <si>
    <t>Composting - Food_Waste_Non_Vegetable - Mexico</t>
  </si>
  <si>
    <t>21b77695-64d9-5e1a-ace0-08e53e0c518f</t>
  </si>
  <si>
    <t>0.012285330074410543</t>
  </si>
  <si>
    <t>1.8382392185828387e-09</t>
  </si>
  <si>
    <t>Composting - Food_Waste_Non_Vegetable - Spain</t>
  </si>
  <si>
    <t>9665c577-9499-5f51-bbed-deab615b24dc</t>
  </si>
  <si>
    <t>1.7338259159417893e-09</t>
  </si>
  <si>
    <t>Composting - Food_Waste_Non_Vegetable - USA</t>
  </si>
  <si>
    <t>01b44375-cbc6-5c64-8df6-421793f87c9b</t>
  </si>
  <si>
    <t>1.7334898889655822e-09</t>
  </si>
  <si>
    <t>Composting - Food_Waste_Vegetable - Australia</t>
  </si>
  <si>
    <t>6a7a4779-af5c-55b5-a67f-e1eafcd10732</t>
  </si>
  <si>
    <t>1.3490641538432128e-09</t>
  </si>
  <si>
    <t>Composting - Food_Waste_Vegetable - Brazil</t>
  </si>
  <si>
    <t>7757eca0-7abd-5c4b-9378-68596b0e6ce7</t>
  </si>
  <si>
    <t>1.4272790811397272e-09</t>
  </si>
  <si>
    <t>Composting - Food_Waste_Vegetable - Canada</t>
  </si>
  <si>
    <t>b1f68d72-4b56-527a-9227-bf59037433ce</t>
  </si>
  <si>
    <t>1.3490167659604344e-09</t>
  </si>
  <si>
    <t>Composting - Food_Waste_Vegetable - China</t>
  </si>
  <si>
    <t>ed75b00f-1a50-5552-9766-5fc4f25f24f9</t>
  </si>
  <si>
    <t>1.4266500781184708e-09</t>
  </si>
  <si>
    <t>Composting - Food_Waste_Vegetable - India</t>
  </si>
  <si>
    <t>eb543f72-12f3-569f-9ecc-24758e364a94</t>
  </si>
  <si>
    <t>1.7092098939130778e-09</t>
  </si>
  <si>
    <t>Composting - Food_Waste_Vegetable - Ireland</t>
  </si>
  <si>
    <t>92a25a9e-861b-54c2-ae04-8436c1117652</t>
  </si>
  <si>
    <t>1.3492124985201552e-09</t>
  </si>
  <si>
    <t>Composting - Food_Waste_Vegetable - Mexico</t>
  </si>
  <si>
    <t>c03797c6-2b1d-5b45-ac55-8d5d347fd204</t>
  </si>
  <si>
    <t>1.42705056693354e-09</t>
  </si>
  <si>
    <t>Composting - Food_Waste_Vegetable - Spain</t>
  </si>
  <si>
    <t>e6eb579d-f147-5963-a0bf-c56d40e274e6</t>
  </si>
  <si>
    <t>1.3493168892188607e-09</t>
  </si>
  <si>
    <t>Composting - Food_Waste_Vegetable - USA</t>
  </si>
  <si>
    <t>d022cf94-d5c4-5f94-914d-b14704a32a2b</t>
  </si>
  <si>
    <t>1.349000052950426e-09</t>
  </si>
  <si>
    <t>Composting - Magazines - Australia</t>
  </si>
  <si>
    <t>9a4d8438-cfde-5c5d-bc6e-d5e8711a68fb</t>
  </si>
  <si>
    <t>2.1735459433219384e-07</t>
  </si>
  <si>
    <t>Composting - Magazines - Brazil</t>
  </si>
  <si>
    <t>93932a83-fac6-5771-ac6b-8a92ce6bf3ab</t>
  </si>
  <si>
    <t>2.3178549120827065e-07</t>
  </si>
  <si>
    <t>Composting - Magazines - Canada</t>
  </si>
  <si>
    <t>2d939f5f-2f5f-55fc-8b6b-ea8a080f4214</t>
  </si>
  <si>
    <t>2.1735450502792687e-07</t>
  </si>
  <si>
    <t>Composting - Magazines - China</t>
  </si>
  <si>
    <t>1802be33-fdbb-583b-acef-7f30db554e37</t>
  </si>
  <si>
    <t>2.317843058281652e-07</t>
  </si>
  <si>
    <t>Composting - Magazines - India</t>
  </si>
  <si>
    <t>e495515a-eaa7-54b5-b371-a996f28d884f</t>
  </si>
  <si>
    <t>2.8416820359588967e-07</t>
  </si>
  <si>
    <t>Composting - Magazines - Ireland</t>
  </si>
  <si>
    <t>94a7cad6-db75-5605-b8c7-f8c856083480</t>
  </si>
  <si>
    <t>2.173548738933771e-07</t>
  </si>
  <si>
    <t>Composting - Magazines - Mexico</t>
  </si>
  <si>
    <t>e0d70d32-f450-50b7-b564-870fd5d05290</t>
  </si>
  <si>
    <t>2.3178506056456198e-07</t>
  </si>
  <si>
    <t>Composting - Magazines - Spain</t>
  </si>
  <si>
    <t>5f2d1811-db93-5f55-a95e-973c60d9710c</t>
  </si>
  <si>
    <t>2.173550706216172e-07</t>
  </si>
  <si>
    <t>Composting - Magazines - USA</t>
  </si>
  <si>
    <t>8a19e17c-15e2-5b8e-99c1-cd514f3d3a42</t>
  </si>
  <si>
    <t>2.1735447353162456e-07</t>
  </si>
  <si>
    <t>Composting - Misc_Organic - Australia</t>
  </si>
  <si>
    <t>f6a37fbb-87d2-580b-aad4-a1332501c41f</t>
  </si>
  <si>
    <t>3.594573974136006e-11</t>
  </si>
  <si>
    <t>3.5562897086018667e-09</t>
  </si>
  <si>
    <t>0.011720782004201031</t>
  </si>
  <si>
    <t>2.2331241234832642e-08</t>
  </si>
  <si>
    <t>Composting - Misc_Organic - Brazil</t>
  </si>
  <si>
    <t>31492b2e-5206-5d7e-982f-62638590f2f5</t>
  </si>
  <si>
    <t>3.621167071190476e-11</t>
  </si>
  <si>
    <t>3.6207364966939847e-09</t>
  </si>
  <si>
    <t>0.011729576055252025</t>
  </si>
  <si>
    <t>2.3782627945168294e-08</t>
  </si>
  <si>
    <t>Composting - Misc_Organic - Canada</t>
  </si>
  <si>
    <t>6783cd3a-7ff1-5494-a4a4-4f089e5b1e5c</t>
  </si>
  <si>
    <t>3.5922850125551756e-11</t>
  </si>
  <si>
    <t>3.5506080878246022e-09</t>
  </si>
  <si>
    <t>0.011720276372156165</t>
  </si>
  <si>
    <t>2.2331152322081587e-08</t>
  </si>
  <si>
    <t>Composting - Misc_Organic - China</t>
  </si>
  <si>
    <t>53ba6b00-0895-57d4-9111-cd5918749917</t>
  </si>
  <si>
    <t>3.5907845416105264e-11</t>
  </si>
  <si>
    <t>3.5453215082829027e-09</t>
  </si>
  <si>
    <t>0.011722864548748279</t>
  </si>
  <si>
    <t>2.3781447761842933e-08</t>
  </si>
  <si>
    <t>Composting - Misc_Organic - India</t>
  </si>
  <si>
    <t>3552d854-5af5-52cc-94da-72f8d409653c</t>
  </si>
  <si>
    <t>3.620876192159388e-11</t>
  </si>
  <si>
    <t>3.6143900291573266e-09</t>
  </si>
  <si>
    <t>2.9047639696442848e-08</t>
  </si>
  <si>
    <t>Composting - Misc_Organic - Ireland</t>
  </si>
  <si>
    <t>c831e935-d37c-568b-ac9a-d0b58c44d13f</t>
  </si>
  <si>
    <t>3.601739419107117e-11</t>
  </si>
  <si>
    <t>3.5740756519402625e-09</t>
  </si>
  <si>
    <t>0.011722364852344808</t>
  </si>
  <si>
    <t>2.233151957040227e-08</t>
  </si>
  <si>
    <t>Composting - Misc_Organic - Mexico</t>
  </si>
  <si>
    <t>5d926971-15fc-5955-86be-30de1a00e00b</t>
  </si>
  <si>
    <t>3.610129223373765e-11</t>
  </si>
  <si>
    <t>3.5933385421167527e-09</t>
  </si>
  <si>
    <t>0.011727137792590362</t>
  </si>
  <si>
    <t>2.3782199189428507e-08</t>
  </si>
  <si>
    <t>Composting - Misc_Organic - Spain</t>
  </si>
  <si>
    <t>3d9ab2b4-261e-53fa-8691-c54dcf3a6c24</t>
  </si>
  <si>
    <t>3.606781769248838e-11</t>
  </si>
  <si>
    <t>3.586591686099089e-09</t>
  </si>
  <si>
    <t>0.011723478708445822</t>
  </si>
  <si>
    <t>2.2331715436173385e-08</t>
  </si>
  <si>
    <t>Composting - Misc_Organic - USA</t>
  </si>
  <si>
    <t>bd3df3dc-196a-5e95-949c-44cd724a665c</t>
  </si>
  <si>
    <t>3.591477729436761e-11</t>
  </si>
  <si>
    <t>3.548604263663711e-09</t>
  </si>
  <si>
    <t>0.011720098043163754</t>
  </si>
  <si>
    <t>2.233112096386055e-08</t>
  </si>
  <si>
    <t>Composting - Mixed_Paper - Australia</t>
  </si>
  <si>
    <t>47f10547-86f0-51bb-8843-dbc8d22d4877</t>
  </si>
  <si>
    <t>2.1619885980507608e-07</t>
  </si>
  <si>
    <t>Composting - Mixed_Paper - Brazil</t>
  </si>
  <si>
    <t>8c07eddf-7388-5190-aa18-a1b0fee31b2b</t>
  </si>
  <si>
    <t>2.3055249770399101e-07</t>
  </si>
  <si>
    <t>Composting - Mixed_Paper - Canada</t>
  </si>
  <si>
    <t>6aad892e-b292-5372-b21d-4be6efd446ea</t>
  </si>
  <si>
    <t>2.1619877219704645e-07</t>
  </si>
  <si>
    <t>Composting - Mixed_Paper - China</t>
  </si>
  <si>
    <t>2f2ffd68-f520-561c-b61b-9db10b1b90cb</t>
  </si>
  <si>
    <t>2.305513348388892e-07</t>
  </si>
  <si>
    <t>Composting - Mixed_Paper - India</t>
  </si>
  <si>
    <t>49e200cb-e82d-5df5-a92d-276f734f75df</t>
  </si>
  <si>
    <t>2.826548191937047e-07</t>
  </si>
  <si>
    <t>Composting - Mixed_Paper - Ireland</t>
  </si>
  <si>
    <t>f95b52b7-3788-5399-ad62-b12679659688</t>
  </si>
  <si>
    <t>2.161991340562994e-07</t>
  </si>
  <si>
    <t>Composting - Mixed_Paper - Mexico</t>
  </si>
  <si>
    <t>f3a26e2a-f0f8-5b5c-81af-4a99a0484582</t>
  </si>
  <si>
    <t>2.305520752398905e-07</t>
  </si>
  <si>
    <t>Composting - Mixed_Paper - Spain</t>
  </si>
  <si>
    <t>68db8a5f-b762-59d9-9975-12df6287b499</t>
  </si>
  <si>
    <t>2.1619932704790078e-07</t>
  </si>
  <si>
    <t>Composting - Mixed_Paper - USA</t>
  </si>
  <si>
    <t>20186c40-8245-5fe8-8fc9-8dfb689f596a</t>
  </si>
  <si>
    <t>2.1619874129898207e-07</t>
  </si>
  <si>
    <t>Composting - Newsprint - Australia</t>
  </si>
  <si>
    <t>2cf49d19-b42b-503e-a994-c32bd45321bc</t>
  </si>
  <si>
    <t>2.1529876311798998e-07</t>
  </si>
  <si>
    <t>Composting - Newsprint - Brazil</t>
  </si>
  <si>
    <t>518f1e5f-6c1c-562e-be54-f77ee716149c</t>
  </si>
  <si>
    <t>2.2959221691935159e-07</t>
  </si>
  <si>
    <t>Composting - Newsprint - Canada</t>
  </si>
  <si>
    <t>3fd34a46-824c-55a8-b817-41a701009e61</t>
  </si>
  <si>
    <t>2.1529867683131494e-07</t>
  </si>
  <si>
    <t>Composting - Newsprint - China</t>
  </si>
  <si>
    <t>9ad70cd9-c237-523a-87f4-4c683fda154b</t>
  </si>
  <si>
    <t>2.2959107159325002e-07</t>
  </si>
  <si>
    <t>Composting - Newsprint - India</t>
  </si>
  <si>
    <t>36b04fae-00c1-5b89-8615-00f6592af338</t>
  </si>
  <si>
    <t>2.8147611624283217e-07</t>
  </si>
  <si>
    <t>Composting - Newsprint - Ireland</t>
  </si>
  <si>
    <t>6f4ab43e-a1be-5929-a275-3ab0079134c2</t>
  </si>
  <si>
    <t>2.1529903323279858e-07</t>
  </si>
  <si>
    <t>Composting - Newsprint - Mexico</t>
  </si>
  <si>
    <t>83bec3a4-797e-54d4-a502-9a7954a05d36</t>
  </si>
  <si>
    <t>2.2959180082709744e-07</t>
  </si>
  <si>
    <t>Composting - Newsprint - Spain</t>
  </si>
  <si>
    <t>0c742558-9e3d-5000-8024-a0ef7d83db12</t>
  </si>
  <si>
    <t>2.152992233135897e-07</t>
  </si>
  <si>
    <t>Composting - Newsprint - USA</t>
  </si>
  <si>
    <t>3fc8d619-0352-53b2-9827-6098394e7eaf</t>
  </si>
  <si>
    <t>2.1529864639927284e-07</t>
  </si>
  <si>
    <t>Composting - Office_Paper - Australia</t>
  </si>
  <si>
    <t>d965d991-c785-5513-8675-1f9ed5146758</t>
  </si>
  <si>
    <t>2.1757980374527008e-07</t>
  </si>
  <si>
    <t>4.248301537310186e-08</t>
  </si>
  <si>
    <t>Composting - Office_Paper - Brazil</t>
  </si>
  <si>
    <t>d598f3ad-2b55-5dbe-9390-81432a1ce6e7</t>
  </si>
  <si>
    <t>2.3202575625808967e-07</t>
  </si>
  <si>
    <t>4.411996419247162e-08</t>
  </si>
  <si>
    <t>Composting - Office_Paper - Canada</t>
  </si>
  <si>
    <t>8291b0e9-3dc7-510c-9168-14c22c71e75a</t>
  </si>
  <si>
    <t>2.1757971411045353e-07</t>
  </si>
  <si>
    <t>4.2469646296666377e-08</t>
  </si>
  <si>
    <t>Composting - Office_Paper - China</t>
  </si>
  <si>
    <t>66b0de99-5a02-5381-8b4a-3b98e4b0d36f</t>
  </si>
  <si>
    <t>2.3202456649043308e-07</t>
  </si>
  <si>
    <t>4.394250976856319e-08</t>
  </si>
  <si>
    <t>Composting - Office_Paper - India</t>
  </si>
  <si>
    <t>f0c91049-4475-5ab6-ae97-dd2f5ef2c326</t>
  </si>
  <si>
    <t>2.8446310907275123e-07</t>
  </si>
  <si>
    <t>4.4103284852254375e-08</t>
  </si>
  <si>
    <t>Composting - Office_Paper - Ireland</t>
  </si>
  <si>
    <t>680ce369-d4b5-58c1-83f9-70cbefb18882</t>
  </si>
  <si>
    <t>2.1758008434121744e-07</t>
  </si>
  <si>
    <t>4.252486639497281e-08</t>
  </si>
  <si>
    <t>Composting - Office_Paper - Mexico</t>
  </si>
  <si>
    <t>56f78651-1b5f-5163-a5c3-c8232bc04e95</t>
  </si>
  <si>
    <t>2.3202532402040198e-07</t>
  </si>
  <si>
    <t>4.405549573137162e-08</t>
  </si>
  <si>
    <t>Composting - Office_Paper - Spain</t>
  </si>
  <si>
    <t>0788f0f7-9f99-575c-bac9-75a1d7ac35f5</t>
  </si>
  <si>
    <t>2.1758028179762518e-07</t>
  </si>
  <si>
    <t>4.2554317114091444e-08</t>
  </si>
  <si>
    <t>Composting - Office_Paper - USA</t>
  </si>
  <si>
    <t>1ed432e9-50b2-519f-9e00-981e80be5958</t>
  </si>
  <si>
    <t>2.1757968249757103e-07</t>
  </si>
  <si>
    <t>4.246493121989223e-08</t>
  </si>
  <si>
    <t>Composting - Paper_Bags - Australia</t>
  </si>
  <si>
    <t>b5e8ca85-1301-5e4d-a910-44b456deced3</t>
  </si>
  <si>
    <t>2.1645082511464084e-07</t>
  </si>
  <si>
    <t>Composting - Paper_Bags - Brazil</t>
  </si>
  <si>
    <t>cf476110-5675-55c7-a527-bade6734a3bc</t>
  </si>
  <si>
    <t>2.3082125111534263e-07</t>
  </si>
  <si>
    <t>Composting - Paper_Bags - Canada</t>
  </si>
  <si>
    <t>1d37e08c-6d60-5d97-acb2-522cb24faffd</t>
  </si>
  <si>
    <t>2.1645073713802477e-07</t>
  </si>
  <si>
    <t>Composting - Paper_Bags - China</t>
  </si>
  <si>
    <t>774bb980-8a1b-53a8-b1bc-6f452f2f392f</t>
  </si>
  <si>
    <t>2.308200833578103e-07</t>
  </si>
  <si>
    <t>Composting - Paper_Bags - India</t>
  </si>
  <si>
    <t>0dd9f7ef-b94e-5e0b-bee4-029398a50ff7</t>
  </si>
  <si>
    <t>2.829845005529408e-07</t>
  </si>
  <si>
    <t>Composting - Paper_Bags - Ireland</t>
  </si>
  <si>
    <t>2b8a151c-2953-52bf-8901-7506cf166b26</t>
  </si>
  <si>
    <t>2.164511005196995e-07</t>
  </si>
  <si>
    <t>Composting - Paper_Bags - Mexico</t>
  </si>
  <si>
    <t>f231e240-f1d1-5b09-b5c8-20a9cbae004b</t>
  </si>
  <si>
    <t>2.3082082687384223e-07</t>
  </si>
  <si>
    <t>Composting - Paper_Bags - Spain</t>
  </si>
  <si>
    <t>87ce8cff-5676-5dee-8735-4e604979ea4d</t>
  </si>
  <si>
    <t>2.1645129432325924e-07</t>
  </si>
  <si>
    <t>Composting - Paper_Bags - USA</t>
  </si>
  <si>
    <t>9bc867d5-6e5c-5cd7-94e5-4e5789872f81</t>
  </si>
  <si>
    <t>2.1645070610996518e-07</t>
  </si>
  <si>
    <t>Composting - Paper_Non_recyclable - Australia</t>
  </si>
  <si>
    <t>99dac364-3ce2-50b0-85df-881063e5f6f5</t>
  </si>
  <si>
    <t>2.1651216625574097e-07</t>
  </si>
  <si>
    <t>Composting - Paper_Non_recyclable - Brazil</t>
  </si>
  <si>
    <t>7afada02-3169-56ae-a2f9-5c64b2c9f0f0</t>
  </si>
  <si>
    <t>2.3088673453142057e-07</t>
  </si>
  <si>
    <t>Composting - Paper_Non_recyclable - Canada</t>
  </si>
  <si>
    <t>2673759f-3f73-5c81-b79b-eb6d80c0cfbd</t>
  </si>
  <si>
    <t>2.1651207818818043e-07</t>
  </si>
  <si>
    <t>Composting - Paper_Non_recyclable - China</t>
  </si>
  <si>
    <t>faa181df-d74c-55e1-93e0-af0de6364c7f</t>
  </si>
  <si>
    <t>2.3088556556673622e-07</t>
  </si>
  <si>
    <t>Composting - Paper_Non_recyclable - India</t>
  </si>
  <si>
    <t>fbaa725a-9008-5f6e-9769-bbe78af2b126</t>
  </si>
  <si>
    <t>2.830650172537332e-07</t>
  </si>
  <si>
    <t>Composting - Paper_Non_recyclable - Ireland</t>
  </si>
  <si>
    <t>2ab7c1ae-a0d0-5d20-913e-018b319bfea6</t>
  </si>
  <si>
    <t>2.1651244194549556e-07</t>
  </si>
  <si>
    <t>Composting - Paper_Non_recyclable - Mexico</t>
  </si>
  <si>
    <t>0cb136c7-df0d-50d9-b6da-13b4decf6dee</t>
  </si>
  <si>
    <t>2.308863098513668e-07</t>
  </si>
  <si>
    <t>Composting - Paper_Non_recyclable - Spain</t>
  </si>
  <si>
    <t>dae659a9-e74d-5d53-904d-bdcb1659f9c7</t>
  </si>
  <si>
    <t>2.165126359493968e-07</t>
  </si>
  <si>
    <t>Composting - Paper_Non_recyclable - USA</t>
  </si>
  <si>
    <t>a005ac3c-dd5c-59f3-a586-3065cf6a06c4</t>
  </si>
  <si>
    <t>2.165120471280462e-07</t>
  </si>
  <si>
    <t>Composting - Rubber_Leather - Australia</t>
  </si>
  <si>
    <t>dbc8b0d3-86d0-5072-8aa0-7aa858691f74</t>
  </si>
  <si>
    <t>2.1528065892226018e-07</t>
  </si>
  <si>
    <t>1.1283436748480816e-07</t>
  </si>
  <si>
    <t>Composting - Rubber_Leather - Brazil</t>
  </si>
  <si>
    <t>b9551b6b-7467-5d8a-a675-0e9714a5cda4</t>
  </si>
  <si>
    <t>2.2957510005826722e-07</t>
  </si>
  <si>
    <t>1.1446116781938843e-07</t>
  </si>
  <si>
    <t>Composting - Rubber_Leather - Canada</t>
  </si>
  <si>
    <t>2f523746-7e16-550a-94b4-07f9bdac4cd1</t>
  </si>
  <si>
    <t>2.152805660572682e-07</t>
  </si>
  <si>
    <t>1.1282051662612631e-07</t>
  </si>
  <si>
    <t>Composting - Rubber_Leather - China</t>
  </si>
  <si>
    <t>5c9cde50-9bd9-5f5a-8fba-bed95093cbce</t>
  </si>
  <si>
    <t>2.2957386741487905e-07</t>
  </si>
  <si>
    <t>1.1427731845926803e-07</t>
  </si>
  <si>
    <t>Composting - Rubber_Leather - India</t>
  </si>
  <si>
    <t>d0f2ea70-e32f-52d9-aa43-eead26cccab5</t>
  </si>
  <si>
    <t>2.814623056512317e-07</t>
  </si>
  <si>
    <t>1.1444388740474247e-07</t>
  </si>
  <si>
    <t>Composting - Rubber_Leather - Ireland</t>
  </si>
  <si>
    <t>bede508a-e992-5883-8cce-040b95776b45</t>
  </si>
  <si>
    <t>2.1528094963006165e-07</t>
  </si>
  <si>
    <t>1.1287772669459489e-07</t>
  </si>
  <si>
    <t>Composting - Rubber_Leather - Mexico</t>
  </si>
  <si>
    <t>18967bc9-8d01-51ab-9db9-3e99d835ec15</t>
  </si>
  <si>
    <t>2.2957465224400316e-07</t>
  </si>
  <si>
    <t>1.1439437610430897e-07</t>
  </si>
  <si>
    <t>Composting - Rubber_Leather - Spain</t>
  </si>
  <si>
    <t>b2f6f241-8152-5c41-b032-37e96432c447</t>
  </si>
  <si>
    <t>2.1528115420221806e-07</t>
  </si>
  <si>
    <t>1.1290823873111142e-07</t>
  </si>
  <si>
    <t>Composting - Rubber_Leather - USA</t>
  </si>
  <si>
    <t>c33b3b1b-b806-5ad3-a92a-702ee25640e4</t>
  </si>
  <si>
    <t>2.1528053330515027e-07</t>
  </si>
  <si>
    <t>1.1281563163183459e-07</t>
  </si>
  <si>
    <t>Composting - Textiles - Australia</t>
  </si>
  <si>
    <t>cb861eed-ab3d-53e2-acbb-57e3bdfbc48a</t>
  </si>
  <si>
    <t>2.1440132261433637e-07</t>
  </si>
  <si>
    <t>Composting - Textiles - Brazil</t>
  </si>
  <si>
    <t>651d8c3c-c20f-578b-b3e6-c4577f6a15f5</t>
  </si>
  <si>
    <t>2.2863700342420222e-07</t>
  </si>
  <si>
    <t>Composting - Textiles - Canada</t>
  </si>
  <si>
    <t>35c5f674-098a-5ace-b4b5-3ce4dae6f4ae</t>
  </si>
  <si>
    <t>2.1440123186303163e-07</t>
  </si>
  <si>
    <t>Composting - Textiles - China</t>
  </si>
  <si>
    <t>f641ccca-159c-5689-8cdc-c4e7c2e5031d</t>
  </si>
  <si>
    <t>2.2863579883683895e-07</t>
  </si>
  <si>
    <t>Composting - Textiles - India</t>
  </si>
  <si>
    <t>5a031306-9566-533d-be07-84e9a1afb63d</t>
  </si>
  <si>
    <t>2.803109888447304e-07</t>
  </si>
  <si>
    <t>Composting - Textiles - Ireland</t>
  </si>
  <si>
    <t>89dc0a0d-7971-5d9e-839e-8d146745d1e8</t>
  </si>
  <si>
    <t>2.1440160670537782e-07</t>
  </si>
  <si>
    <t>Composting - Textiles - Mexico</t>
  </si>
  <si>
    <t>f246f590-4bba-5c74-a78e-0a96bea56f13</t>
  </si>
  <si>
    <t>2.2863656580257607e-07</t>
  </si>
  <si>
    <t>Composting - Textiles - Spain</t>
  </si>
  <si>
    <t>c08043d9-e243-56e6-905c-6c76ff0cc41f</t>
  </si>
  <si>
    <t>2.144018066212957e-07</t>
  </si>
  <si>
    <t>Composting - Textiles - USA</t>
  </si>
  <si>
    <t>d9b98088-0974-5607-9d65-80a2d6ade98d</t>
  </si>
  <si>
    <t>2.1440119985638e-07</t>
  </si>
  <si>
    <t>Composting - Third_Class_Mail - Australia</t>
  </si>
  <si>
    <t>4e9f9b29-9caa-5054-9f06-be1efd35edc2</t>
  </si>
  <si>
    <t>2.1717314813463757e-07</t>
  </si>
  <si>
    <t>Composting - Third_Class_Mail - Brazil</t>
  </si>
  <si>
    <t>84a085bc-fd7a-5d07-9eb2-c473e031746b</t>
  </si>
  <si>
    <t>2.3159190446468166e-07</t>
  </si>
  <si>
    <t>Composting - Third_Class_Mail - Canada</t>
  </si>
  <si>
    <t>9686d793-e1c8-582f-9308-11d1c3190d22</t>
  </si>
  <si>
    <t>2.1717305909691892e-07</t>
  </si>
  <si>
    <t>Composting - Third_Class_Mail - China</t>
  </si>
  <si>
    <t>3bbe2217-5653-5de7-a051-046b4e07b857</t>
  </si>
  <si>
    <t>2.3159072262260426e-07</t>
  </si>
  <si>
    <t>Composting - Third_Class_Mail - India</t>
  </si>
  <si>
    <t>bee9972c-e54e-5c6a-b3f7-8e191a23140e</t>
  </si>
  <si>
    <t>2.8393055597124607e-07</t>
  </si>
  <si>
    <t>Composting - Third_Class_Mail - Ireland</t>
  </si>
  <si>
    <t>43d11a1e-9832-5489-82d6-862f638a92a1</t>
  </si>
  <si>
    <t>2.171734268614087e-07</t>
  </si>
  <si>
    <t>Composting - Third_Class_Mail - Mexico</t>
  </si>
  <si>
    <t>ba47943b-86a0-5077-8610-8c60f7fe977f</t>
  </si>
  <si>
    <t>2.31591475106324e-07</t>
  </si>
  <si>
    <t>Composting - Third_Class_Mail - Spain</t>
  </si>
  <si>
    <t>04ef83cf-65c2-511e-9ab9-9a82b310e405</t>
  </si>
  <si>
    <t>2.1717362300247015e-07</t>
  </si>
  <si>
    <t>Composting - Third_Class_Mail - USA</t>
  </si>
  <si>
    <t>6c44635a-3eef-5469-8e5e-cacad2816e0d</t>
  </si>
  <si>
    <t>2.171730276946241e-07</t>
  </si>
  <si>
    <t>Composting - Yard_Trimmings_Branches - Australia</t>
  </si>
  <si>
    <t>ad2bc201-8543-5798-b728-899957d81f84</t>
  </si>
  <si>
    <t>2.8894370435869995e-08</t>
  </si>
  <si>
    <t>Composting - Yard_Trimmings_Branches - Brazil</t>
  </si>
  <si>
    <t>9ceeab57-8910-5c32-bf23-e4be577e0f2e</t>
  </si>
  <si>
    <t>3.0789334929586697e-08</t>
  </si>
  <si>
    <t>Composting - Yard_Trimmings_Branches - Canada</t>
  </si>
  <si>
    <t>0d2ea53d-8070-5f7f-9cb5-0ce0e2f71111</t>
  </si>
  <si>
    <t>2.8894257347756636e-08</t>
  </si>
  <si>
    <t>Composting - Yard_Trimmings_Branches - China</t>
  </si>
  <si>
    <t>f69eb671-3e36-5d75-a51b-de6820dc73fc</t>
  </si>
  <si>
    <t>3.078783385461633e-08</t>
  </si>
  <si>
    <t>Composting - Yard_Trimmings_Branches - India</t>
  </si>
  <si>
    <t>17de1119-3948-5a9a-b957-cb9f7e469867</t>
  </si>
  <si>
    <t>3.766358430269016e-08</t>
  </si>
  <si>
    <t>Composting - Yard_Trimmings_Branches - Ireland</t>
  </si>
  <si>
    <t>42b23831-14ad-5660-9645-8e47d23e922b</t>
  </si>
  <si>
    <t>2.889472445083336e-08</t>
  </si>
  <si>
    <t>Composting - Yard_Trimmings_Branches - Mexico</t>
  </si>
  <si>
    <t>baffe550-0c0a-562e-b625-909611b4a440</t>
  </si>
  <si>
    <t>3.078878959523459e-08</t>
  </si>
  <si>
    <t>Composting - Yard_Trimmings_Branches - Spain</t>
  </si>
  <si>
    <t>a751e3af-b97f-57dd-be9a-5674be8ed65b</t>
  </si>
  <si>
    <t>2.8894973572474284e-08</t>
  </si>
  <si>
    <t>Composting - Yard_Trimmings_Branches - USA</t>
  </si>
  <si>
    <t>1e35f1b7-67c4-5482-a9da-5965f7bbe206</t>
  </si>
  <si>
    <t>2.8894217463241088e-08</t>
  </si>
  <si>
    <t>Composting - Yard_Trimmings_Grass - Australia</t>
  </si>
  <si>
    <t>112c4cc6-e8f6-5454-ab1b-43636b9abf7f</t>
  </si>
  <si>
    <t>2.0182683691773315e-09</t>
  </si>
  <si>
    <t>Composting - Yard_Trimmings_Grass - Brazil</t>
  </si>
  <si>
    <t>6c6b2b19-5ee3-5b27-a440-150509fa82f8</t>
  </si>
  <si>
    <t>2.1428278102424265e-09</t>
  </si>
  <si>
    <t>Composting - Yard_Trimmings_Grass - Canada</t>
  </si>
  <si>
    <t>d982071a-54c0-5281-a9cf-5248fad1296e</t>
  </si>
  <si>
    <t>2.018216000853991e-09</t>
  </si>
  <si>
    <t>Composting - Yard_Trimmings_Grass - China</t>
  </si>
  <si>
    <t>12b8b609-eebe-5114-84ef-ada4bf929af5</t>
  </si>
  <si>
    <t>2.1421326993447174e-09</t>
  </si>
  <si>
    <t>Composting - Yard_Trimmings_Grass - India</t>
  </si>
  <si>
    <t>38bfb1f4-9e4f-5baa-9982-df51b9b8f805</t>
  </si>
  <si>
    <t>2.5927862803027114e-09</t>
  </si>
  <si>
    <t>Composting - Yard_Trimmings_Grass - Ireland</t>
  </si>
  <si>
    <t>94b96f9e-1575-51fd-b269-0b98d4e5e8cc</t>
  </si>
  <si>
    <t>2.018432304799401e-09</t>
  </si>
  <si>
    <t>Composting - Yard_Trimmings_Grass - Mexico</t>
  </si>
  <si>
    <t>fa281e4f-f10b-5c81-86b0-16ef3f372f13</t>
  </si>
  <si>
    <t>2.14257527931714e-09</t>
  </si>
  <si>
    <t>Composting - Yard_Trimmings_Grass - Spain</t>
  </si>
  <si>
    <t>d3ce4eef-0f49-5cf6-a17c-b9814065bac9</t>
  </si>
  <si>
    <t>2.0185476669040197e-09</t>
  </si>
  <si>
    <t>Composting - Yard_Trimmings_Grass - USA</t>
  </si>
  <si>
    <t>f89cc40c-b577-5cf8-b3e7-c1e455d3ff43</t>
  </si>
  <si>
    <t>2.018197531315495e-09</t>
  </si>
  <si>
    <t>Composting - Yard_Trimmings_Leaves - Australia</t>
  </si>
  <si>
    <t>730ed0e3-0e65-5754-91c1-e1a23d99f483</t>
  </si>
  <si>
    <t>5.617862072510504e-09</t>
  </si>
  <si>
    <t>Composting - Yard_Trimmings_Leaves - Brazil</t>
  </si>
  <si>
    <t>559bce54-40ff-52a0-9737-cce25632f3e3</t>
  </si>
  <si>
    <t>5.9898332782693615e-09</t>
  </si>
  <si>
    <t>Composting - Yard_Trimmings_Leaves - Canada</t>
  </si>
  <si>
    <t>384e92d5-5828-5ece-a6d7-e3ed435e770e</t>
  </si>
  <si>
    <t>5.617783115934783e-09</t>
  </si>
  <si>
    <t>Composting - Yard_Trimmings_Leaves - China</t>
  </si>
  <si>
    <t>721e3856-8e82-5618-93c8-2b738986fc71</t>
  </si>
  <si>
    <t>5.988785248222481e-09</t>
  </si>
  <si>
    <t>Composting - Yard_Trimmings_Leaves - India</t>
  </si>
  <si>
    <t>4a31069e-ae7c-5300-9601-c48f25b1d814</t>
  </si>
  <si>
    <t>7.336813117767265e-09</t>
  </si>
  <si>
    <t>Composting - Yard_Trimmings_Leaves - Ireland</t>
  </si>
  <si>
    <t>d2adfdc1-8036-5e1c-ae1f-43358898a362</t>
  </si>
  <si>
    <t>5.618109240924757e-09</t>
  </si>
  <si>
    <t>Composting - Yard_Trimmings_Leaves - Mexico</t>
  </si>
  <si>
    <t>32708554-02d6-5ada-80e6-90fb17f9550c</t>
  </si>
  <si>
    <t>5.989452533271219e-09</t>
  </si>
  <si>
    <t>Composting - Yard_Trimmings_Leaves - Spain</t>
  </si>
  <si>
    <t>f42947a8-0a9a-5f32-8ebe-c5788e45d877</t>
  </si>
  <si>
    <t>5.6182831742520285e-09</t>
  </si>
  <si>
    <t>Composting - Yard_Trimmings_Leaves - USA</t>
  </si>
  <si>
    <t>59881093-c250-5da6-97ad-008a60b664c4</t>
  </si>
  <si>
    <t>5.617755269110934e-09</t>
  </si>
  <si>
    <t>LF - Ferrous_Cans - Brazil</t>
  </si>
  <si>
    <t>3fd7dfe4-625b-556f-9428-d9abeac45ee2</t>
  </si>
  <si>
    <t>3.315746805598936e-11</t>
  </si>
  <si>
    <t>2.836291792268861e-08</t>
  </si>
  <si>
    <t>3.529055670997824e-10</t>
  </si>
  <si>
    <t>4.190785449671977e-06</t>
  </si>
  <si>
    <t>9.585096550040612e-05</t>
  </si>
  <si>
    <t>1.782530870423153e-08</t>
  </si>
  <si>
    <t>3.2696576512835416e-05</t>
  </si>
  <si>
    <t>LF - Ferrous_Cans - Canada</t>
  </si>
  <si>
    <t>97a00e63-99ff-5636-be11-29b10dcfad4c</t>
  </si>
  <si>
    <t>3.312411902639717e-11</t>
  </si>
  <si>
    <t>2.835511312223923e-08</t>
  </si>
  <si>
    <t>3.528148234200797e-10</t>
  </si>
  <si>
    <t>4.188304478913573e-06</t>
  </si>
  <si>
    <t>9.582292466349294e-05</t>
  </si>
  <si>
    <t>1.7811776882223916e-08</t>
  </si>
  <si>
    <t>3.269079135689209e-05</t>
  </si>
  <si>
    <t>LF - Ferrous_Cans - China</t>
  </si>
  <si>
    <t>28f86e03-1ce1-5cbc-89d9-c36460fe8032</t>
  </si>
  <si>
    <t>3.3133375025115384e-11</t>
  </si>
  <si>
    <t>2.83569375923155e-08</t>
  </si>
  <si>
    <t>0.026019857951830327</t>
  </si>
  <si>
    <t>3.528119797859504e-10</t>
  </si>
  <si>
    <t>4.188226311183444e-06</t>
  </si>
  <si>
    <t>9.582204204152683e-05</t>
  </si>
  <si>
    <t>1.78113501109115e-08</t>
  </si>
  <si>
    <t>3.269060966038478e-05</t>
  </si>
  <si>
    <t>LF - Ferrous_Cans - India</t>
  </si>
  <si>
    <t>ded9a6f2-90cb-57a2-bf5e-d543520bab8a</t>
  </si>
  <si>
    <t>3.3155203497855126e-11</t>
  </si>
  <si>
    <t>2.8362355817992727e-08</t>
  </si>
  <si>
    <t>0.026040709766842994</t>
  </si>
  <si>
    <t>3.5289677061776544e-10</t>
  </si>
  <si>
    <t>4.190544910492341e-06</t>
  </si>
  <si>
    <t>9.584824691948438e-05</t>
  </si>
  <si>
    <t>1.7823996704665608e-08</t>
  </si>
  <si>
    <t>3.269601567495973e-05</t>
  </si>
  <si>
    <t>LF - Ferrous_Cans - Ireland</t>
  </si>
  <si>
    <t>e16d725a-3bf7-5be1-84f4-293c47c0cb8a</t>
  </si>
  <si>
    <t>3.313157108190388e-11</t>
  </si>
  <si>
    <t>2.8356962858543574e-08</t>
  </si>
  <si>
    <t>3.5284377029110697e-10</t>
  </si>
  <si>
    <t>4.189096029057922e-06</t>
  </si>
  <si>
    <t>9.583187078663307e-05</t>
  </si>
  <si>
    <t>1.7816094322099527e-08</t>
  </si>
  <si>
    <t>3.2692636924429645e-05</t>
  </si>
  <si>
    <t>LF - Ferrous_Cans - Mexico</t>
  </si>
  <si>
    <t>026aa37e-6ef4-5f96-9f6b-2c332a05182b</t>
  </si>
  <si>
    <t>3.314871515713252e-11</t>
  </si>
  <si>
    <t>2.8360745293302125e-08</t>
  </si>
  <si>
    <t>0.026034511729898457</t>
  </si>
  <si>
    <t>3.528715672142328e-10</t>
  </si>
  <si>
    <t>4.189855725202361e-06</t>
  </si>
  <si>
    <t>9.584045772695565e-05</t>
  </si>
  <si>
    <t>1.782023760478567e-08</t>
  </si>
  <si>
    <t>3.2694408779922654e-05</t>
  </si>
  <si>
    <t>LF - Ferrous_Cans - Spain</t>
  </si>
  <si>
    <t>1a05343a-5bda-5e81-a4e8-ddd445c9a17a</t>
  </si>
  <si>
    <t>3.313554551150729e-11</t>
  </si>
  <si>
    <t>2.835794938457255e-08</t>
  </si>
  <si>
    <t>0.026031476046695347</t>
  </si>
  <si>
    <t>3.528592086223244e-10</t>
  </si>
  <si>
    <t>4.18951818913493e-06</t>
  </si>
  <si>
    <t>9.583664205230795e-05</t>
  </si>
  <si>
    <t>1.7818396956699853e-08</t>
  </si>
  <si>
    <t>3.269362122711639e-05</t>
  </si>
  <si>
    <t>LF - Ferrous_Cans - USA</t>
  </si>
  <si>
    <t>41e68f5d-9fe3-5832-be65-ca7250a6b28a</t>
  </si>
  <si>
    <t>3.312348271797124e-11</t>
  </si>
  <si>
    <t>2.8354955178864394e-08</t>
  </si>
  <si>
    <t>0.026019952971198478</t>
  </si>
  <si>
    <t>3.5281235173452637e-10</t>
  </si>
  <si>
    <t>4.188236890846641e-06</t>
  </si>
  <si>
    <t>9.582216078116168e-05</t>
  </si>
  <si>
    <t>1.781140822912296e-08</t>
  </si>
  <si>
    <t>3.2690633769475614e-05</t>
  </si>
  <si>
    <t>LF - Ferrous_Metal_Other - Australia</t>
  </si>
  <si>
    <t>936f795d-fd59-539b-9d96-47b2b8c10086</t>
  </si>
  <si>
    <t>Ferrous_Metal_Other</t>
  </si>
  <si>
    <t>3.312592320847363e-11</t>
  </si>
  <si>
    <t>2.835556095317115e-08</t>
  </si>
  <si>
    <t>0.026022284268183087</t>
  </si>
  <si>
    <t>3.5282183161028414e-10</t>
  </si>
  <si>
    <t>4.188496117373215e-06</t>
  </si>
  <si>
    <t>9.58250905670714e-05</t>
  </si>
  <si>
    <t>1.7812822157155547e-08</t>
  </si>
  <si>
    <t>3.269123817853325e-05</t>
  </si>
  <si>
    <t>LF - Ferrous_Metal_Other - Brazil</t>
  </si>
  <si>
    <t>6f1c41de-684c-535e-9780-cc623c9bf7e6</t>
  </si>
  <si>
    <t>LF - Ferrous_Metal_Other - Canada</t>
  </si>
  <si>
    <t>22ae9d7d-5510-5e48-8540-1f8abe27d7f2</t>
  </si>
  <si>
    <t>3.312411902639718e-11</t>
  </si>
  <si>
    <t>2.8355113122239227e-08</t>
  </si>
  <si>
    <t>3.528148234200796e-10</t>
  </si>
  <si>
    <t>4.188304478913572e-06</t>
  </si>
  <si>
    <t>LF - Ferrous_Metal_Other - China</t>
  </si>
  <si>
    <t>b9610ab7-f445-5e6a-83eb-ebd2e9defb88</t>
  </si>
  <si>
    <t>3.3133375025115365e-11</t>
  </si>
  <si>
    <t>2.835693759231549e-08</t>
  </si>
  <si>
    <t>0.026019857951830337</t>
  </si>
  <si>
    <t>3.528119797859501e-10</t>
  </si>
  <si>
    <t>4.188226311183447e-06</t>
  </si>
  <si>
    <t>9.582204204152703e-05</t>
  </si>
  <si>
    <t>3.269060966038485e-05</t>
  </si>
  <si>
    <t>LF - Ferrous_Metal_Other - India</t>
  </si>
  <si>
    <t>4f2d62e4-dd3d-512e-bbca-49a3bf12b282</t>
  </si>
  <si>
    <t>3.3155203497854906e-11</t>
  </si>
  <si>
    <t>2.8362355817992694e-08</t>
  </si>
  <si>
    <t>3.528967706177651e-10</t>
  </si>
  <si>
    <t>4.190544910492338e-06</t>
  </si>
  <si>
    <t>9.584824691948437e-05</t>
  </si>
  <si>
    <t>1.7823996704665605e-08</t>
  </si>
  <si>
    <t>LF - Ferrous_Metal_Other - Ireland</t>
  </si>
  <si>
    <t>da766588-70f2-5db9-9c45-e24b47b38f60</t>
  </si>
  <si>
    <t>3.31315710818993e-11</t>
  </si>
  <si>
    <t>2.8356962858542783e-08</t>
  </si>
  <si>
    <t>0.026027679442513378</t>
  </si>
  <si>
    <t>3.528437702911022e-10</t>
  </si>
  <si>
    <t>4.189096029057866e-06</t>
  </si>
  <si>
    <t>9.583187078663208e-05</t>
  </si>
  <si>
    <t>1.7816094322099233e-08</t>
  </si>
  <si>
    <t>3.2692636924429374e-05</t>
  </si>
  <si>
    <t>LF - Ferrous_Metal_Other - Mexico</t>
  </si>
  <si>
    <t>ccb94844-438c-53e1-8191-7f2850e8f56d</t>
  </si>
  <si>
    <t>LF - Ferrous_Metal_Other - Spain</t>
  </si>
  <si>
    <t>9b186347-21e5-55ea-b2a4-b06a74a6e739</t>
  </si>
  <si>
    <t>3.313554551150734e-11</t>
  </si>
  <si>
    <t>LF - Ferrous_Metal_Other - USA</t>
  </si>
  <si>
    <t>fdc8d31c-2d48-50d5-9f27-64b9ae33ae16</t>
  </si>
  <si>
    <t>4.1882368908466405e-06</t>
  </si>
  <si>
    <t>LF - Ferrous_Non_recyclable - Australia</t>
  </si>
  <si>
    <t>9679b261-a4f6-58f6-8ace-0f034e7d1ba3</t>
  </si>
  <si>
    <t>Ferrous_Non_recyclable</t>
  </si>
  <si>
    <t>3.322968032055221e-11</t>
  </si>
  <si>
    <t>2.8371303042327418e-08</t>
  </si>
  <si>
    <t>0.026022309817944667</t>
  </si>
  <si>
    <t>3.5282208811413246e-10</t>
  </si>
  <si>
    <t>4.188498809615536e-06</t>
  </si>
  <si>
    <t>9.582512979204667e-05</t>
  </si>
  <si>
    <t>1.7812832481599725e-08</t>
  </si>
  <si>
    <t>3.269125035879574e-05</t>
  </si>
  <si>
    <t>LF - Ferrous_Non_recyclable - Brazil</t>
  </si>
  <si>
    <t>bdc500d9-1edc-5b07-b57e-b6b7f9aa2dbe</t>
  </si>
  <si>
    <t>3.326274464097117e-11</t>
  </si>
  <si>
    <t>2.8378939869765673e-08</t>
  </si>
  <si>
    <t>0.026042898856465373</t>
  </si>
  <si>
    <t>3.5290582665000487e-10</t>
  </si>
  <si>
    <t>4.190788173888461e-06</t>
  </si>
  <si>
    <t>9.585100519126171e-05</t>
  </si>
  <si>
    <t>1.7825319151293453e-08</t>
  </si>
  <si>
    <t>3.269658883776609e-05</t>
  </si>
  <si>
    <t>LF - Ferrous_Non_recyclable - Canada</t>
  </si>
  <si>
    <t>a05d28df-bcad-53af-ba48-8f70a8fc1174</t>
  </si>
  <si>
    <t>3.322787613869254e-11</t>
  </si>
  <si>
    <t>2.8370855211432668e-08</t>
  </si>
  <si>
    <t>3.5281507992430437e-10</t>
  </si>
  <si>
    <t>4.188307171159534e-06</t>
  </si>
  <si>
    <t>9.582296388854959e-05</t>
  </si>
  <si>
    <t>1.7811787206682464e-08</t>
  </si>
  <si>
    <t>3.269080353718138e-05</t>
  </si>
  <si>
    <t>LF - Ferrous_Non_recyclable - China</t>
  </si>
  <si>
    <t>5cb323ea-326a-52c2-80ea-fa33df249b53</t>
  </si>
  <si>
    <t>3.323865161008991e-11</t>
  </si>
  <si>
    <t>2.8372959539391314e-08</t>
  </si>
  <si>
    <t>0.026019883805028086</t>
  </si>
  <si>
    <t>3.528122393361618e-10</t>
  </si>
  <si>
    <t>4.188229035399822e-06</t>
  </si>
  <si>
    <t>9.582208173238099e-05</t>
  </si>
  <si>
    <t>1.781136055797295e-08</t>
  </si>
  <si>
    <t>3.269062198531508e-05</t>
  </si>
  <si>
    <t>LF - Ferrous_Non_recyclable - India</t>
  </si>
  <si>
    <t>b5c98441-a9bd-56ca-b3df-390029d56c8a</t>
  </si>
  <si>
    <t>3.3260480082836784e-11</t>
  </si>
  <si>
    <t>2.8378377765069747e-08</t>
  </si>
  <si>
    <t>3.5289703016798797e-10</t>
  </si>
  <si>
    <t>4.190547634708825e-06</t>
  </si>
  <si>
    <t>9.584828661034003e-05</t>
  </si>
  <si>
    <t>1.7824007151727517e-08</t>
  </si>
  <si>
    <t>3.269602799989045e-05</t>
  </si>
  <si>
    <t>LF - Ferrous_Non_recyclable - Ireland</t>
  </si>
  <si>
    <t>17f43672-a62b-5e3b-a35e-dd5fe0588462</t>
  </si>
  <si>
    <t>3.3235328194199064e-11</t>
  </si>
  <si>
    <t>2.837270494773698e-08</t>
  </si>
  <si>
    <t>0.026027704992307703</t>
  </si>
  <si>
    <t>3.5284402679533315e-10</t>
  </si>
  <si>
    <t>4.189098721303892e-06</t>
  </si>
  <si>
    <t>9.583191001168974e-05</t>
  </si>
  <si>
    <t>1.781610464655807e-08</t>
  </si>
  <si>
    <t>3.269264910471895e-05</t>
  </si>
  <si>
    <t>LF - Ferrous_Non_recyclable - Mexico</t>
  </si>
  <si>
    <t>a0290621-f745-56ea-bd90-b369a641f7f2</t>
  </si>
  <si>
    <t>3.325399174211429e-11</t>
  </si>
  <si>
    <t>2.8376767240379184e-08</t>
  </si>
  <si>
    <t>0.026034537583097095</t>
  </si>
  <si>
    <t>3.528718267644557e-10</t>
  </si>
  <si>
    <t>4.189858449418847e-06</t>
  </si>
  <si>
    <t>9.584049741781133e-05</t>
  </si>
  <si>
    <t>1.7820248051847595e-08</t>
  </si>
  <si>
    <t>3.2694421104853376e-05</t>
  </si>
  <si>
    <t>LF - Ferrous_Non_recyclable - Spain</t>
  </si>
  <si>
    <t>989f59d5-aeab-514d-b031-999751ad568c</t>
  </si>
  <si>
    <t>3.323930262380346e-11</t>
  </si>
  <si>
    <t>2.8373691473766092e-08</t>
  </si>
  <si>
    <t>0.026031501596489235</t>
  </si>
  <si>
    <t>3.5285946512655026e-10</t>
  </si>
  <si>
    <t>4.189520881380898e-06</t>
  </si>
  <si>
    <t>9.583668127736469e-05</t>
  </si>
  <si>
    <t>1.781840728115844e-08</t>
  </si>
  <si>
    <t>3.269363340740572e-05</t>
  </si>
  <si>
    <t>LF - Ferrous_Non_recyclable - USA</t>
  </si>
  <si>
    <t>c90ab217-f241-5f5f-8b56-29ddf1e22de5</t>
  </si>
  <si>
    <t>3.322723983026639e-11</t>
  </si>
  <si>
    <t>2.8370697268057803e-08</t>
  </si>
  <si>
    <t>3.528126082387511e-10</t>
  </si>
  <si>
    <t>4.188239583092602e-06</t>
  </si>
  <si>
    <t>9.582220000621824e-05</t>
  </si>
  <si>
    <t>1.7811418553581507e-08</t>
  </si>
  <si>
    <t>3.269064594976486e-05</t>
  </si>
  <si>
    <t>LF - Fly_Ash - Australia</t>
  </si>
  <si>
    <t>742d5a97-97f0-56fb-a146-2f8886927d10</t>
  </si>
  <si>
    <t>Fly_Ash</t>
  </si>
  <si>
    <t>3.3227199570477624e-11</t>
  </si>
  <si>
    <t>2.8278124761871017e-08</t>
  </si>
  <si>
    <t>0.026022302374351578</t>
  </si>
  <si>
    <t>3.528220133850335e-10</t>
  </si>
  <si>
    <t>4.188498025265431e-06</t>
  </si>
  <si>
    <t>9.582511836434736e-05</t>
  </si>
  <si>
    <t>1.7812829473705836e-08</t>
  </si>
  <si>
    <t>3.269124681023022e-05</t>
  </si>
  <si>
    <t>LF - Fly_Ash - Brazil</t>
  </si>
  <si>
    <t>439694dd-c3c8-5363-96e3-1e741ed07906</t>
  </si>
  <si>
    <t>3.3260223882638235e-11</t>
  </si>
  <si>
    <t>2.8283993586578705e-08</t>
  </si>
  <si>
    <t>3.5290575066254573e-10</t>
  </si>
  <si>
    <t>4.19078737633072e-06</t>
  </si>
  <si>
    <t>9.585099357113198e-05</t>
  </si>
  <si>
    <t>1.7825316092749777e-08</t>
  </si>
  <si>
    <t>3.269658522944644e-05</t>
  </si>
  <si>
    <t>LF - Fly_Ash - Canada</t>
  </si>
  <si>
    <t>bad3c3bc-2ad0-5163-8463-97ddc58d018b</t>
  </si>
  <si>
    <t>3.322539538861789e-11</t>
  </si>
  <si>
    <t>2.827767693097624e-08</t>
  </si>
  <si>
    <t>3.528150051952054e-10</t>
  </si>
  <si>
    <t>4.188306386809429e-06</t>
  </si>
  <si>
    <t>9.582295246085021e-05</t>
  </si>
  <si>
    <t>1.781178419878858e-08</t>
  </si>
  <si>
    <t>3.269079998861582e-05</t>
  </si>
  <si>
    <t>LF - Fly_Ash - China</t>
  </si>
  <si>
    <t>2239c5b6-dca2-5d62-8175-5051a1a2f941</t>
  </si>
  <si>
    <t>3.32361308517641e-11</t>
  </si>
  <si>
    <t>2.8278013256205577e-08</t>
  </si>
  <si>
    <t>0.026019876236093524</t>
  </si>
  <si>
    <t>3.528121633487134e-10</t>
  </si>
  <si>
    <t>4.188228237842187e-06</t>
  </si>
  <si>
    <t>9.582207011225272e-05</t>
  </si>
  <si>
    <t>1.781135749942973e-08</t>
  </si>
  <si>
    <t>3.2690618376995856e-05</t>
  </si>
  <si>
    <t>LF - Fly_Ash - India</t>
  </si>
  <si>
    <t>657a3450-e0bc-5926-9366-5fe42869dbb4</t>
  </si>
  <si>
    <t>3.325795932450353e-11</t>
  </si>
  <si>
    <t>2.828343148188275e-08</t>
  </si>
  <si>
    <t>0.026040728051106125</t>
  </si>
  <si>
    <t>3.528969541805279e-10</t>
  </si>
  <si>
    <t>4.1905468371510754e-06</t>
  </si>
  <si>
    <t>9.584827499021011e-05</t>
  </si>
  <si>
    <t>1.7824004093183824e-08</t>
  </si>
  <si>
    <t>3.2696024391570754e-05</t>
  </si>
  <si>
    <t>LF - Fly_Ash - Ireland</t>
  </si>
  <si>
    <t>905bbf62-0eb0-56f4-9433-11a543375719</t>
  </si>
  <si>
    <t>3.3232847444125103e-11</t>
  </si>
  <si>
    <t>2.827952666728066e-08</t>
  </si>
  <si>
    <t>0.026027697548714705</t>
  </si>
  <si>
    <t>3.52843952066235e-10</t>
  </si>
  <si>
    <t>4.189097936953794e-06</t>
  </si>
  <si>
    <t>9.583189858399054e-05</t>
  </si>
  <si>
    <t>1.781610163866421e-08</t>
  </si>
  <si>
    <t>3.269264555615346e-05</t>
  </si>
  <si>
    <t>LF - Fly_Ash - Mexico</t>
  </si>
  <si>
    <t>55c47bbf-4f53-5336-b79b-bb448c3abfc7</t>
  </si>
  <si>
    <t>3.325147098378127e-11</t>
  </si>
  <si>
    <t>2.8281820957192206e-08</t>
  </si>
  <si>
    <t>3.5287175077699596e-10</t>
  </si>
  <si>
    <t>4.189857651861102e-06</t>
  </si>
  <si>
    <t>9.584048579768149e-05</t>
  </si>
  <si>
    <t>1.782024499330391e-08</t>
  </si>
  <si>
    <t>3.2694417496533685e-05</t>
  </si>
  <si>
    <t>LF - Fly_Ash - Spain</t>
  </si>
  <si>
    <t>62d7fa03-0cb9-5a24-8df5-bfd792d18ad5</t>
  </si>
  <si>
    <t>3.3236821873728715e-11</t>
  </si>
  <si>
    <t>2.8280513193309645e-08</t>
  </si>
  <si>
    <t>3.5285939039745055e-10</t>
  </si>
  <si>
    <t>4.1895200970307895e-06</t>
  </si>
  <si>
    <t>9.583666984966519e-05</t>
  </si>
  <si>
    <t>1.781840427326455e-08</t>
  </si>
  <si>
    <t>3.269362985884015e-05</t>
  </si>
  <si>
    <t>LF - Fly_Ash - USA</t>
  </si>
  <si>
    <t>be04786d-194c-55e4-9f42-d078c80e7095</t>
  </si>
  <si>
    <t>3.322475908019224e-11</t>
  </si>
  <si>
    <t>2.8277518987601445e-08</t>
  </si>
  <si>
    <t>0.026019971077399187</t>
  </si>
  <si>
    <t>3.5281253350965165e-10</t>
  </si>
  <si>
    <t>4.188238798742495e-06</t>
  </si>
  <si>
    <t>9.582218857851903e-05</t>
  </si>
  <si>
    <t>1.7811415545687635e-08</t>
  </si>
  <si>
    <t>3.269064240119941e-05</t>
  </si>
  <si>
    <t>LF - Folding_Containers - Australia</t>
  </si>
  <si>
    <t>65b21a69-aee7-52b5-82ae-cbc211ad7f6f</t>
  </si>
  <si>
    <t>7.324556925361087e-07</t>
  </si>
  <si>
    <t>LF - Folding_Containers - Brazil</t>
  </si>
  <si>
    <t>4dbc30cd-1dbf-5e19-b9a5-a6af1cd8ce19</t>
  </si>
  <si>
    <t>7.39209414750739e-07</t>
  </si>
  <si>
    <t>LF - Folding_Containers - Canada</t>
  </si>
  <si>
    <t>9cd5d235-13c8-5153-97bf-cd265c77de82</t>
  </si>
  <si>
    <t>7.324636435302959e-07</t>
  </si>
  <si>
    <t>LF - Folding_Containers - China</t>
  </si>
  <si>
    <t>0811d1d3-2830-5350-843f-027b24f5a0da</t>
  </si>
  <si>
    <t>7.393150873443979e-07</t>
  </si>
  <si>
    <t>LF - Folding_Containers - India</t>
  </si>
  <si>
    <t>b7c7c6be-66f7-591c-8ab7-7a0c31f72374</t>
  </si>
  <si>
    <t>7.653140981719161e-07</t>
  </si>
  <si>
    <t>LF - Folding_Containers - Ireland</t>
  </si>
  <si>
    <t>3e340b7a-b599-5ac4-a3dd-485267e9643a</t>
  </si>
  <si>
    <t>7.324308024673494e-07</t>
  </si>
  <si>
    <t>LF - Folding_Containers - Mexico</t>
  </si>
  <si>
    <t>4a20c5b3-0485-5fb4-91d3-04b556862769</t>
  </si>
  <si>
    <t>7.392478051686602e-07</t>
  </si>
  <si>
    <t>LF - Folding_Containers - Spain</t>
  </si>
  <si>
    <t>958a344c-bd62-5c00-aef0-f0cfd94b22f4</t>
  </si>
  <si>
    <t>7.324132872337778e-07</t>
  </si>
  <si>
    <t>LF - Folding_Containers - USA</t>
  </si>
  <si>
    <t>8766752d-7bca-5082-b46a-3b7400cce80d</t>
  </si>
  <si>
    <t>7.324664477290902e-07</t>
  </si>
  <si>
    <t>LF - Food_Waste_Non_Vegetable - Australia</t>
  </si>
  <si>
    <t>7dd324de-661f-5c9c-8001-9b601bb594b1</t>
  </si>
  <si>
    <t>0.1077400737011244</t>
  </si>
  <si>
    <t>4.4021344727197837e-07</t>
  </si>
  <si>
    <t>9.779111092927396e-07</t>
  </si>
  <si>
    <t>LF - Food_Waste_Non_Vegetable - Brazil</t>
  </si>
  <si>
    <t>34950851-f223-5db0-a758-fbf67969068e</t>
  </si>
  <si>
    <t>0.1266648915845046</t>
  </si>
  <si>
    <t>4.800491717433e-07</t>
  </si>
  <si>
    <t>9.80476770646809e-07</t>
  </si>
  <si>
    <t>LF - Food_Waste_Non_Vegetable - Canada</t>
  </si>
  <si>
    <t>513ef4fc-2fba-5fd0-8c18-9f220657578e</t>
  </si>
  <si>
    <t>0.10915411696249705</t>
  </si>
  <si>
    <t>4.402191972704452e-07</t>
  </si>
  <si>
    <t>9.787687243572538e-07</t>
  </si>
  <si>
    <t>LF - Food_Waste_Non_Vegetable - China</t>
  </si>
  <si>
    <t>5bad5b47-8e18-57f1-bf4f-a9fbeb241737</t>
  </si>
  <si>
    <t>0.14551542933787742</t>
  </si>
  <si>
    <t>4.801258246761645e-07</t>
  </si>
  <si>
    <t>9.91909592819303e-07</t>
  </si>
  <si>
    <t>LF - Food_Waste_Non_Vegetable - India</t>
  </si>
  <si>
    <t>a2b13175-1bd8-5f78-a7ce-6aebc1aea4f9</t>
  </si>
  <si>
    <t>0.28029661970511066</t>
  </si>
  <si>
    <t>6.224508175537408e-07</t>
  </si>
  <si>
    <t>9.967069338675625e-07</t>
  </si>
  <si>
    <t>5.418055526893292e-07</t>
  </si>
  <si>
    <t>LF - Food_Waste_Non_Vegetable - Ireland</t>
  </si>
  <si>
    <t>c80180c5-5692-5ad3-9174-db34f91b34bc</t>
  </si>
  <si>
    <t>0.10331350349161025</t>
  </si>
  <si>
    <t>4.401954472767778e-07</t>
  </si>
  <si>
    <t>9.75226401264695e-07</t>
  </si>
  <si>
    <t>LF - Food_Waste_Non_Vegetable - Mexico</t>
  </si>
  <si>
    <t>e7c64ce5-f50e-5ded-a55d-fb0df7e2697c</t>
  </si>
  <si>
    <t>0.13351321428891338</t>
  </si>
  <si>
    <t>4.800770194380111e-07</t>
  </si>
  <si>
    <t>9.846302678405617e-07</t>
  </si>
  <si>
    <t>LF - Food_Waste_Non_Vegetable - Spain</t>
  </si>
  <si>
    <t>e4e316e0-2169-5b27-8f8b-1f7d4770b5fe</t>
  </si>
  <si>
    <t>0.10019850964047057</t>
  </si>
  <si>
    <t>4.4018278061348843e-07</t>
  </si>
  <si>
    <t>9.733371622819972e-07</t>
  </si>
  <si>
    <t>LF - Food_Waste_Non_Vegetable - USA</t>
  </si>
  <si>
    <t>5704faa5-942a-51d2-b749-5b6b4ea2cce5</t>
  </si>
  <si>
    <t>0.10965282923864593</t>
  </si>
  <si>
    <t>4.40221225210397e-07</t>
  </si>
  <si>
    <t>9.790711925861737e-07</t>
  </si>
  <si>
    <t>LF - Food_Waste_Vegetable - Australia</t>
  </si>
  <si>
    <t>b73e66bd-c248-5fa9-81e6-a41052fb5210</t>
  </si>
  <si>
    <t>0.17048144598486462</t>
  </si>
  <si>
    <t>3.9040266824912413e-07</t>
  </si>
  <si>
    <t>1.2318282320098376e-07</t>
  </si>
  <si>
    <t>1.636775523694395e-06</t>
  </si>
  <si>
    <t>LF - Food_Waste_Vegetable - Brazil</t>
  </si>
  <si>
    <t>7a36652b-963e-590b-be2d-346fbd6b8aca</t>
  </si>
  <si>
    <t>0.18726550694841626</t>
  </si>
  <si>
    <t>4.2572731770351703e-07</t>
  </si>
  <si>
    <t>1.1640747219703725e-07</t>
  </si>
  <si>
    <t>LF - Food_Waste_Vegetable - Canada</t>
  </si>
  <si>
    <t>42172d68-437b-53da-9f51-b74c035f1822</t>
  </si>
  <si>
    <t>0.17173516472900097</t>
  </si>
  <si>
    <t>3.9040776631157647e-07</t>
  </si>
  <si>
    <t>1.23943201692227e-07</t>
  </si>
  <si>
    <t>1.9618130228045877e-06</t>
  </si>
  <si>
    <t>LF - Food_Waste_Vegetable - China</t>
  </si>
  <si>
    <t>5814904b-bfc2-507d-a537-f0b91557a249</t>
  </si>
  <si>
    <t>0.2039787623377244</t>
  </si>
  <si>
    <t>4.2579527969272206e-07</t>
  </si>
  <si>
    <t>1.2654403590091639e-07</t>
  </si>
  <si>
    <t>2.151142454963279e-06</t>
  </si>
  <si>
    <t>LF - Food_Waste_Vegetable - India</t>
  </si>
  <si>
    <t>b4ec4bed-509b-5900-b76f-0dc1829139b7</t>
  </si>
  <si>
    <t>0.32349939747501516</t>
  </si>
  <si>
    <t>5.520030889553817e-07</t>
  </si>
  <si>
    <t>1.3079954769313633e-07</t>
  </si>
  <si>
    <t>3.970237716476533e-06</t>
  </si>
  <si>
    <t>LF - Food_Waste_Vegetable - Ireland</t>
  </si>
  <si>
    <t>b723c946-4420-5146-a3e6-e6d59d94d3bf</t>
  </si>
  <si>
    <t>0.16655676122061183</t>
  </si>
  <si>
    <t>3.9038670909709974e-07</t>
  </si>
  <si>
    <t>1.2080250792404842e-07</t>
  </si>
  <si>
    <t>6.192668308276684e-07</t>
  </si>
  <si>
    <t>LF - Food_Waste_Vegetable - Mexico</t>
  </si>
  <si>
    <t>b1e8ea1d-1b53-5a29-ad17-542a5782cfaa</t>
  </si>
  <si>
    <t>0.19333736377524552</t>
  </si>
  <si>
    <t>4.2575200801420203e-07</t>
  </si>
  <si>
    <t>1.2009004402953423e-07</t>
  </si>
  <si>
    <t>LF - Food_Waste_Vegetable - Spain</t>
  </si>
  <si>
    <t>d2b4f4f0-b854-5042-89d4-1be72665267f</t>
  </si>
  <si>
    <t>0.16379494601613767</t>
  </si>
  <si>
    <t>3.903754785827121e-07</t>
  </si>
  <si>
    <t>1.1912747124768651e-07</t>
  </si>
  <si>
    <t>LF - Food_Waste_Vegetable - USA</t>
  </si>
  <si>
    <t>fe1a4743-928d-5609-b2e1-1095d8c0ef64</t>
  </si>
  <si>
    <t>0.17217733290420348</t>
  </si>
  <si>
    <t>3.9040956432327724e-07</t>
  </si>
  <si>
    <t>1.242113760108362e-07</t>
  </si>
  <si>
    <t>2.0764489716776285e-06</t>
  </si>
  <si>
    <t>LF - Glass_Brown - Australia</t>
  </si>
  <si>
    <t>3babeb04-f1df-5907-9607-fda04ee68e81</t>
  </si>
  <si>
    <t>Glass_Brown</t>
  </si>
  <si>
    <t>3.318864016380648e-11</t>
  </si>
  <si>
    <t>2.8289710423835716e-08</t>
  </si>
  <si>
    <t>3.52822035583053e-10</t>
  </si>
  <si>
    <t>4.188498258253909e-06</t>
  </si>
  <si>
    <t>9.582512175890581e-05</t>
  </si>
  <si>
    <t>1.781283036719028e-08</t>
  </si>
  <si>
    <t>3.269124786431928e-05</t>
  </si>
  <si>
    <t>LF - Glass_Brown - Brazil</t>
  </si>
  <si>
    <t>30a1eac1-f772-57b9-89f0-71bac2393b19</t>
  </si>
  <si>
    <t>3.322110152301896e-11</t>
  </si>
  <si>
    <t>2.8295806811772943e-08</t>
  </si>
  <si>
    <t>3.529057737195475e-10</t>
  </si>
  <si>
    <t>4.190787618335004e-06</t>
  </si>
  <si>
    <t>9.585099709704755e-05</t>
  </si>
  <si>
    <t>1.78253170208088e-08</t>
  </si>
  <si>
    <t>3.269658632432497e-05</t>
  </si>
  <si>
    <t>LF - Glass_Brown - Canada</t>
  </si>
  <si>
    <t>70a7785a-95da-5caf-87ef-f1c075182e6d</t>
  </si>
  <si>
    <t>3.318683598194676e-11</t>
  </si>
  <si>
    <t>2.8289262592940937e-08</t>
  </si>
  <si>
    <t>3.528150273932245e-10</t>
  </si>
  <si>
    <t>4.188306619797899e-06</t>
  </si>
  <si>
    <t>9.582295585540858e-05</t>
  </si>
  <si>
    <t>1.7811785092273002e-08</t>
  </si>
  <si>
    <t>3.269080104270491e-05</t>
  </si>
  <si>
    <t>LF - Glass_Brown - China</t>
  </si>
  <si>
    <t>34568f20-f28c-5ea8-be8f-65da00135a50</t>
  </si>
  <si>
    <t>3.3197008492145346e-11</t>
  </si>
  <si>
    <t>2.828982648139988e-08</t>
  </si>
  <si>
    <t>0.026019878532748307</t>
  </si>
  <si>
    <t>3.528121864057155e-10</t>
  </si>
  <si>
    <t>4.188228479846472e-06</t>
  </si>
  <si>
    <t>9.582207363816831e-05</t>
  </si>
  <si>
    <t>1.781135842748878e-08</t>
  </si>
  <si>
    <t>3.269061947187435e-05</t>
  </si>
  <si>
    <t>LF - Glass_Brown - India</t>
  </si>
  <si>
    <t>c3bdd4da-f969-5077-acb2-b3a834edcbb7</t>
  </si>
  <si>
    <t>3.321883696488499e-11</t>
  </si>
  <si>
    <t>2.8295244707077083e-08</t>
  </si>
  <si>
    <t>0.026040730347760978</t>
  </si>
  <si>
    <t>3.528969772375309e-10</t>
  </si>
  <si>
    <t>4.190547079155365e-06</t>
  </si>
  <si>
    <t>9.584827851612568e-05</t>
  </si>
  <si>
    <t>1.7824005021242884e-08</t>
  </si>
  <si>
    <t>3.269602548644926e-05</t>
  </si>
  <si>
    <t>LF - Glass_Brown - Ireland</t>
  </si>
  <si>
    <t>fc55b3d3-3ea3-58c9-b45b-bc98a6bbb929</t>
  </si>
  <si>
    <t>3.3194288037453695e-11</t>
  </si>
  <si>
    <t>2.8291112329245334e-08</t>
  </si>
  <si>
    <t>3.528439742642541e-10</t>
  </si>
  <si>
    <t>4.189098169942269e-06</t>
  </si>
  <si>
    <t>9.583190197854892e-05</t>
  </si>
  <si>
    <t>1.7816102532148643e-08</t>
  </si>
  <si>
    <t>3.269264661024253e-05</t>
  </si>
  <si>
    <t>LF - Glass_Brown - Mexico</t>
  </si>
  <si>
    <t>ef222c64-5938-5c71-a64a-575d257f5841</t>
  </si>
  <si>
    <t>3.321234862416226e-11</t>
  </si>
  <si>
    <t>2.829363418238646e-08</t>
  </si>
  <si>
    <t>3.5287177383399813e-10</t>
  </si>
  <si>
    <t>4.1898578938653855e-06</t>
  </si>
  <si>
    <t>9.584048932359688e-05</t>
  </si>
  <si>
    <t>1.7820245921362946e-08</t>
  </si>
  <si>
    <t>3.269441859141214e-05</t>
  </si>
  <si>
    <t>LF - Glass_Brown - Spain</t>
  </si>
  <si>
    <t>8b8230fb-41c3-517c-9873-a1af4a747616</t>
  </si>
  <si>
    <t>3.319826246705751e-11</t>
  </si>
  <si>
    <t>2.8292098855274334e-08</t>
  </si>
  <si>
    <t>0.026031496363989607</t>
  </si>
  <si>
    <t>3.528594125954699e-10</t>
  </si>
  <si>
    <t>4.189520330019268e-06</t>
  </si>
  <si>
    <t>9.583667324422375e-05</t>
  </si>
  <si>
    <t>1.781840516674897e-08</t>
  </si>
  <si>
    <t>3.269363091292924e-05</t>
  </si>
  <si>
    <t>LF - Glass_Brown - USA</t>
  </si>
  <si>
    <t>e3cb7a2a-2f1d-56b4-a38c-5e9d3cef5153</t>
  </si>
  <si>
    <t>3.318619967351348e-11</t>
  </si>
  <si>
    <t>2.828910464956484e-08</t>
  </si>
  <si>
    <t>3.5281255570765943e-10</t>
  </si>
  <si>
    <t>4.188239031730854e-06</t>
  </si>
  <si>
    <t>9.582219197307549e-05</t>
  </si>
  <si>
    <t>1.7811416439171575e-08</t>
  </si>
  <si>
    <t>3.2690643455287906e-05</t>
  </si>
  <si>
    <t>LF - Glass_Clear - Australia</t>
  </si>
  <si>
    <t>f8dbaf50-0551-5a4b-bc8f-fab36d711673</t>
  </si>
  <si>
    <t>Glass_Clear</t>
  </si>
  <si>
    <t>3.313395266875292e-11</t>
  </si>
  <si>
    <t>2.8283606062456362e-08</t>
  </si>
  <si>
    <t>3.528218784113309e-10</t>
  </si>
  <si>
    <t>4.188496608593228e-06</t>
  </si>
  <si>
    <t>9.582509772394229e-05</t>
  </si>
  <si>
    <t>1.7812824040928277e-08</t>
  </si>
  <si>
    <t>3.269124040090602e-05</t>
  </si>
  <si>
    <t>LF - Glass_Clear - Brazil</t>
  </si>
  <si>
    <t>269feed8-8c42-5902-bb64-d092cc8963a3</t>
  </si>
  <si>
    <t>3.3165613274441235e-11</t>
  </si>
  <si>
    <t>2.8289597463661902e-08</t>
  </si>
  <si>
    <t>0.026042877732017366</t>
  </si>
  <si>
    <t>3.5290561457352985e-10</t>
  </si>
  <si>
    <t>4.190785947952293e-06</t>
  </si>
  <si>
    <t>9.585097276017119e-05</t>
  </si>
  <si>
    <t>1.782531061508012e-08</t>
  </si>
  <si>
    <t>3.269657876716077e-05</t>
  </si>
  <si>
    <t>LF - Glass_Clear - Canada</t>
  </si>
  <si>
    <t>668e850d-32a0-55de-83a7-63f90a7f7614</t>
  </si>
  <si>
    <t>3.3132148486893364e-11</t>
  </si>
  <si>
    <t>2.828315823156161e-08</t>
  </si>
  <si>
    <t>0.026020565471455488</t>
  </si>
  <si>
    <t>3.5281487022150276e-10</t>
  </si>
  <si>
    <t>4.188304970137223e-06</t>
  </si>
  <si>
    <t>9.582293182044516e-05</t>
  </si>
  <si>
    <t>1.781177876601101e-08</t>
  </si>
  <si>
    <t>3.2690793579291636e-05</t>
  </si>
  <si>
    <t>LF - Glass_Clear - China</t>
  </si>
  <si>
    <t>f2d4e97a-2feb-53b2-bda7-8ec230332d93</t>
  </si>
  <si>
    <t>3.314152024357408e-11</t>
  </si>
  <si>
    <t>2.8283617133289982e-08</t>
  </si>
  <si>
    <t>0.026019862680581818</t>
  </si>
  <si>
    <t>3.5281202725970804e-10</t>
  </si>
  <si>
    <t>4.188226809463869e-06</t>
  </si>
  <si>
    <t>9.582204930129379e-05</t>
  </si>
  <si>
    <t>1.7811352021760534e-08</t>
  </si>
  <si>
    <t>3.269061191471071e-05</t>
  </si>
  <si>
    <t>LF - Glass_Clear - India</t>
  </si>
  <si>
    <t>6c18e7a9-b895-5da5-a282-6fdc1c1f4b02</t>
  </si>
  <si>
    <t>3.316334871631419e-11</t>
  </si>
  <si>
    <t>2.828903535896723e-08</t>
  </si>
  <si>
    <t>0.026040714495594534</t>
  </si>
  <si>
    <t>3.5289681809152397e-10</t>
  </si>
  <si>
    <t>4.190545408772767e-06</t>
  </si>
  <si>
    <t>9.584825417925125e-05</t>
  </si>
  <si>
    <t>1.7823998615514653e-08</t>
  </si>
  <si>
    <t>3.269601792928565e-05</t>
  </si>
  <si>
    <t>LF - Glass_Clear - Ireland</t>
  </si>
  <si>
    <t>4226f487-c310-5dea-989e-f22915cd4307</t>
  </si>
  <si>
    <t>3.313960054240053e-11</t>
  </si>
  <si>
    <t>2.8285007967866046e-08</t>
  </si>
  <si>
    <t>3.528438170925328e-10</t>
  </si>
  <si>
    <t>4.189096520281595e-06</t>
  </si>
  <si>
    <t>9.583187794358552e-05</t>
  </si>
  <si>
    <t>1.7816096205886657e-08</t>
  </si>
  <si>
    <t>3.269263914682928e-05</t>
  </si>
  <si>
    <t>LF - Glass_Clear - Mexico</t>
  </si>
  <si>
    <t>0a6a4725-a8eb-5a39-bdfa-f335fd255912</t>
  </si>
  <si>
    <t>3.3156860375591356e-11</t>
  </si>
  <si>
    <t>2.8287424834276624e-08</t>
  </si>
  <si>
    <t>0.026034516458649983</t>
  </si>
  <si>
    <t>3.528716146879913e-10</t>
  </si>
  <si>
    <t>4.189856223482787e-06</t>
  </si>
  <si>
    <t>9.584046498672243e-05</t>
  </si>
  <si>
    <t>1.782023951563472e-08</t>
  </si>
  <si>
    <t>3.2694411034248524e-05</t>
  </si>
  <si>
    <t>LF - Glass_Clear - Spain</t>
  </si>
  <si>
    <t>9c94485a-461d-52bb-8990-593d93b9fa25</t>
  </si>
  <si>
    <t>3.3143574972003914e-11</t>
  </si>
  <si>
    <t>2.8285994493895006e-08</t>
  </si>
  <si>
    <t>0.026031480708477155</t>
  </si>
  <si>
    <t>3.5285925542374845e-10</t>
  </si>
  <si>
    <t>4.189518680358587e-06</t>
  </si>
  <si>
    <t>9.583664920926025e-05</t>
  </si>
  <si>
    <t>1.781839884048698e-08</t>
  </si>
  <si>
    <t>3.269362344951598e-05</t>
  </si>
  <si>
    <t>LF - Glass_Clear - USA</t>
  </si>
  <si>
    <t>8f7f8f6d-ca56-5866-aac9-74c5453e858a</t>
  </si>
  <si>
    <t>3.3131512178467306e-11</t>
  </si>
  <si>
    <t>2.828300028818677e-08</t>
  </si>
  <si>
    <t>3.52812398535949e-10</t>
  </si>
  <si>
    <t>4.188237382070291e-06</t>
  </si>
  <si>
    <t>9.582216793811386e-05</t>
  </si>
  <si>
    <t>1.7811410112910053e-08</t>
  </si>
  <si>
    <t>3.269063599187517e-05</t>
  </si>
  <si>
    <t>LF - Glass_Green - Australia</t>
  </si>
  <si>
    <t>e747b79c-0b64-5fdc-9951-3fad6f1a9e41</t>
  </si>
  <si>
    <t>Glass_Green</t>
  </si>
  <si>
    <t>3.320121915664902e-11</t>
  </si>
  <si>
    <t>2.829168451064085e-08</t>
  </si>
  <si>
    <t>0.026022308291002064</t>
  </si>
  <si>
    <t>3.528220727845675e-10</t>
  </si>
  <si>
    <t>4.188498648717758e-06</t>
  </si>
  <si>
    <t>9.58251274478239e-05</t>
  </si>
  <si>
    <t>1.7812831864574958e-08</t>
  </si>
  <si>
    <t>3.269124963086021e-05</t>
  </si>
  <si>
    <t>LF - Glass_Green - Brazil</t>
  </si>
  <si>
    <t>3baf71e0-226a-5364-b510-aaa5a13f76b0</t>
  </si>
  <si>
    <t>3.323386472381101e-11</t>
  </si>
  <si>
    <t>2.829781585223783e-08</t>
  </si>
  <si>
    <t>3.5290581139315927e-10</t>
  </si>
  <si>
    <t>4.190788013753947e-06</t>
  </si>
  <si>
    <t>9.585100285815936e-05</t>
  </si>
  <si>
    <t>1.782531853719578e-08</t>
  </si>
  <si>
    <t>3.269658811328372e-05</t>
  </si>
  <si>
    <t>LF - Glass_Green - Canada</t>
  </si>
  <si>
    <t>b340c7cd-8fc8-5556-a569-29d06c367eb9</t>
  </si>
  <si>
    <t>3.319941497478931e-11</t>
  </si>
  <si>
    <t>2.8291236679746055e-08</t>
  </si>
  <si>
    <t>0.026020584832524948</t>
  </si>
  <si>
    <t>3.528150645947391e-10</t>
  </si>
  <si>
    <t>4.1883070102617484e-06</t>
  </si>
  <si>
    <t>9.582296154432667e-05</t>
  </si>
  <si>
    <t>1.781178658965768e-08</t>
  </si>
  <si>
    <t>3.269080280924583e-05</t>
  </si>
  <si>
    <t>LF - Glass_Green - China</t>
  </si>
  <si>
    <t>7af01809-eaa3-58a9-b555-42f36eaac0ca</t>
  </si>
  <si>
    <t>3.320977169293693e-11</t>
  </si>
  <si>
    <t>2.8291835521864725e-08</t>
  </si>
  <si>
    <t>3.5281222407932914e-10</t>
  </si>
  <si>
    <t>4.188228875265434e-06</t>
  </si>
  <si>
    <t>9.58220793992805e-05</t>
  </si>
  <si>
    <t>1.781135994387574e-08</t>
  </si>
  <si>
    <t>3.269062126083324e-05</t>
  </si>
  <si>
    <t>LF - Glass_Green - India</t>
  </si>
  <si>
    <t>d5efa3ac-2adc-53b9-8953-fe10e5ff2f9c</t>
  </si>
  <si>
    <t>3.3231600165676946e-11</t>
  </si>
  <si>
    <t>2.8297253747541972e-08</t>
  </si>
  <si>
    <t>0.026040734100342727</t>
  </si>
  <si>
    <t>3.528970149111451e-10</t>
  </si>
  <si>
    <t>4.1905474745743315e-06</t>
  </si>
  <si>
    <t>9.584828427723797e-05</t>
  </si>
  <si>
    <t>1.7824006537629864e-08</t>
  </si>
  <si>
    <t>3.269602727540817e-05</t>
  </si>
  <si>
    <t>LF - Glass_Green - Ireland</t>
  </si>
  <si>
    <t>150fcc73-797d-5511-b226-796addee24bf</t>
  </si>
  <si>
    <t>3.320686703029646e-11</t>
  </si>
  <si>
    <t>2.8293086416050495e-08</t>
  </si>
  <si>
    <t>0.026027703465365187</t>
  </si>
  <si>
    <t>3.5284401146576903e-10</t>
  </si>
  <si>
    <t>4.189098560406121e-06</t>
  </si>
  <si>
    <t>9.583190766746705e-05</t>
  </si>
  <si>
    <t>1.781610402953333e-08</t>
  </si>
  <si>
    <t>3.269264837678346e-05</t>
  </si>
  <si>
    <t>LF - Glass_Green - Mexico</t>
  </si>
  <si>
    <t>7655b5d7-d2c4-5543-9997-e977016062ad</t>
  </si>
  <si>
    <t>3.322511182495414e-11</t>
  </si>
  <si>
    <t>2.829564322285136e-08</t>
  </si>
  <si>
    <t>0.026034536063398186</t>
  </si>
  <si>
    <t>3.5287181150761245e-10</t>
  </si>
  <si>
    <t>4.189858289284353e-06</t>
  </si>
  <si>
    <t>9.584049508470915e-05</t>
  </si>
  <si>
    <t>1.7820247437749935e-08</t>
  </si>
  <si>
    <t>3.2694420380371046e-05</t>
  </si>
  <si>
    <t>LF - Glass_Green - Spain</t>
  </si>
  <si>
    <t>9703dd45-4e42-5b43-acdd-16f1e213c6ad</t>
  </si>
  <si>
    <t>3.3210841459899924e-11</t>
  </si>
  <si>
    <t>2.8294072942079455e-08</t>
  </si>
  <si>
    <t>0.026031500069546614</t>
  </si>
  <si>
    <t>3.528594497969847e-10</t>
  </si>
  <si>
    <t>4.189520720483114e-06</t>
  </si>
  <si>
    <t>9.583667893314178e-05</t>
  </si>
  <si>
    <t>1.781840666413365e-08</t>
  </si>
  <si>
    <t>3.2693632679470175e-05</t>
  </si>
  <si>
    <t>LF - Glass_Green - USA</t>
  </si>
  <si>
    <t>9ab55945-a8ac-56cb-ba14-83b9017cbf70</t>
  </si>
  <si>
    <t>3.319877866641155e-11</t>
  </si>
  <si>
    <t>2.8291078736379577e-08</t>
  </si>
  <si>
    <t>0.026019976994057892</t>
  </si>
  <si>
    <t>3.528125929092501e-10</t>
  </si>
  <si>
    <t>4.18823942219558e-06</t>
  </si>
  <si>
    <t>9.582219766201937e-05</t>
  </si>
  <si>
    <t>1.781141793656007e-08</t>
  </si>
  <si>
    <t>3.269064522183765e-05</t>
  </si>
  <si>
    <t>LF - Glass_Non_recyclable - Australia</t>
  </si>
  <si>
    <t>e7c89979-afcd-5304-a1e3-463cb8a4d70c</t>
  </si>
  <si>
    <t>Glass_Non_recyclable</t>
  </si>
  <si>
    <t>3.3146445473389105e-11</t>
  </si>
  <si>
    <t>2.8285037873578232e-08</t>
  </si>
  <si>
    <t>0.026022282157088645</t>
  </si>
  <si>
    <t>3.5282181041614115e-10</t>
  </si>
  <si>
    <t>4.18849589492165e-06</t>
  </si>
  <si>
    <t>9.582508732600369e-05</t>
  </si>
  <si>
    <t>1.7812821304078543e-08</t>
  </si>
  <si>
    <t>3.269123717210506e-05</t>
  </si>
  <si>
    <t>LF - Glass_Non_recyclable - Brazil</t>
  </si>
  <si>
    <t>af7286e8-a90a-5a7b-b0b3-a51b2bb177f1</t>
  </si>
  <si>
    <t>3.317828886431991e-11</t>
  </si>
  <si>
    <t>2.8291053975103633e-08</t>
  </si>
  <si>
    <t>0.026042870829753678</t>
  </si>
  <si>
    <t>3.529055452790471e-10</t>
  </si>
  <si>
    <t>4.190785220643443e-06</t>
  </si>
  <si>
    <t>9.585096216354271e-05</t>
  </si>
  <si>
    <t>1.7825307825933043e-08</t>
  </si>
  <si>
    <t>3.2696575476661983e-05</t>
  </si>
  <si>
    <t>LF - Glass_Non_recyclable - Canada</t>
  </si>
  <si>
    <t>1eab8776-5d0a-50e3-8319-3983e41ceb62</t>
  </si>
  <si>
    <t>3.314464129152951e-11</t>
  </si>
  <si>
    <t>2.8284590042683482e-08</t>
  </si>
  <si>
    <t>3.5281480222631286e-10</t>
  </si>
  <si>
    <t>4.188304256465645e-06</t>
  </si>
  <si>
    <t>9.582292142250656e-05</t>
  </si>
  <si>
    <t>1.7811776029161282e-08</t>
  </si>
  <si>
    <t>3.269079035049068e-05</t>
  </si>
  <si>
    <t>LF - Glass_Non_recyclable - China</t>
  </si>
  <si>
    <t>1e6e5529-7c29-5fc9-9218-5c64912c85ea</t>
  </si>
  <si>
    <t>3.31541958334461e-11</t>
  </si>
  <si>
    <t>2.8285073644730538e-08</t>
  </si>
  <si>
    <t>0.026019855778317294</t>
  </si>
  <si>
    <t>3.528119579652154e-10</t>
  </si>
  <si>
    <t>4.188226082154918e-06</t>
  </si>
  <si>
    <t>9.582203870466358e-05</t>
  </si>
  <si>
    <t>1.7811349232613024e-08</t>
  </si>
  <si>
    <t>3.269060862421142e-05</t>
  </si>
  <si>
    <t>LF - Glass_Non_recyclable - India</t>
  </si>
  <si>
    <t>3230c9e8-d956-55d5-80cf-53c39a3576fa</t>
  </si>
  <si>
    <t>3.317602430618523e-11</t>
  </si>
  <si>
    <t>2.8290491870407657e-08</t>
  </si>
  <si>
    <t>3.5289674879703004e-10</t>
  </si>
  <si>
    <t>4.190544681463808e-06</t>
  </si>
  <si>
    <t>9.584824358262099e-05</t>
  </si>
  <si>
    <t>1.7823995826367103e-08</t>
  </si>
  <si>
    <t>3.269601463878634e-05</t>
  </si>
  <si>
    <t>LF - Glass_Non_recyclable - Ireland</t>
  </si>
  <si>
    <t>706324f6-7678-5e23-ab69-20a2ac58172e</t>
  </si>
  <si>
    <t>3.315209334703646e-11</t>
  </si>
  <si>
    <t>2.8286439778987883e-08</t>
  </si>
  <si>
    <t>0.026027677331451754</t>
  </si>
  <si>
    <t>3.528437490973424e-10</t>
  </si>
  <si>
    <t>4.189095806610017e-06</t>
  </si>
  <si>
    <t>9.583186754564692e-05</t>
  </si>
  <si>
    <t>1.7816093469036913e-08</t>
  </si>
  <si>
    <t>3.269263591802831e-05</t>
  </si>
  <si>
    <t>LF - Glass_Non_recyclable - Mexico</t>
  </si>
  <si>
    <t>1add0f42-4c91-5a61-9f51-77c825bbc56c</t>
  </si>
  <si>
    <t>3.3169535965455785e-11</t>
  </si>
  <si>
    <t>2.828888134571588e-08</t>
  </si>
  <si>
    <t>3.528715453934863e-10</t>
  </si>
  <si>
    <t>4.189855496173719e-06</t>
  </si>
  <si>
    <t>9.584045439009035e-05</t>
  </si>
  <si>
    <t>1.7820236726486718e-08</t>
  </si>
  <si>
    <t>3.2694407743748666e-05</t>
  </si>
  <si>
    <t>LF - Glass_Non_recyclable - Spain</t>
  </si>
  <si>
    <t>67e8c85b-4b7c-5415-904a-780c0398921b</t>
  </si>
  <si>
    <t>3.315606777664021e-11</t>
  </si>
  <si>
    <t>2.828742630501689e-08</t>
  </si>
  <si>
    <t>3.5285918742855854e-10</t>
  </si>
  <si>
    <t>4.189517966687009e-06</t>
  </si>
  <si>
    <t>9.583663881132167e-05</t>
  </si>
  <si>
    <t>1.781839610363725e-08</t>
  </si>
  <si>
    <t>3.269362022071502e-05</t>
  </si>
  <si>
    <t>LF - Glass_Non_recyclable - USA</t>
  </si>
  <si>
    <t>8794492f-fb9c-5954-baea-9a52c5adee0f</t>
  </si>
  <si>
    <t>3.3144004983103194e-11</t>
  </si>
  <si>
    <t>2.828443209930859e-08</t>
  </si>
  <si>
    <t>0.026019950860136188</t>
  </si>
  <si>
    <t>3.528123305407585e-10</t>
  </si>
  <si>
    <t>4.188236668398709e-06</t>
  </si>
  <si>
    <t>9.582215754017523e-05</t>
  </si>
  <si>
    <t>1.7811407376060305e-08</t>
  </si>
  <si>
    <t>3.26906327630742e-05</t>
  </si>
  <si>
    <t>LF - HDPE_Pigmented_Containers - Australia</t>
  </si>
  <si>
    <t>0e0b3d27-5b18-5225-ad27-62b7429137cd</t>
  </si>
  <si>
    <t>HDPE_Pigmented_Containers</t>
  </si>
  <si>
    <t>3.3225805520871567e-11</t>
  </si>
  <si>
    <t>2.8307459709132715e-08</t>
  </si>
  <si>
    <t>0.026022302365788442</t>
  </si>
  <si>
    <t>3.528220132990649e-10</t>
  </si>
  <si>
    <t>4.188498024363113e-06</t>
  </si>
  <si>
    <t>9.582511835120084e-05</t>
  </si>
  <si>
    <t>1.7812829470245548e-08</t>
  </si>
  <si>
    <t>3.2691246806147916e-05</t>
  </si>
  <si>
    <t>LF - HDPE_Pigmented_Containers - Brazil</t>
  </si>
  <si>
    <t>26921b0c-55df-56b2-b4e5-9f917f957c2a</t>
  </si>
  <si>
    <t>3.32588097272834e-11</t>
  </si>
  <si>
    <t>2.8313885817122263e-08</t>
  </si>
  <si>
    <t>0.026042891280744235</t>
  </si>
  <si>
    <t>3.5290575059442157e-10</t>
  </si>
  <si>
    <t>4.190787375615697e-06</t>
  </si>
  <si>
    <t>9.585099356071435e-05</t>
  </si>
  <si>
    <t>1.7825316090007727e-08</t>
  </si>
  <si>
    <t>3.269658522621154e-05</t>
  </si>
  <si>
    <t>LF - HDPE_Pigmented_Containers - Canada</t>
  </si>
  <si>
    <t>a93881d5-fab3-506f-b06f-7affb17244eb</t>
  </si>
  <si>
    <t>3.322400133901184e-11</t>
  </si>
  <si>
    <t>2.8307011878237946e-08</t>
  </si>
  <si>
    <t>0.026020578907311333</t>
  </si>
  <si>
    <t>3.5281500510923676e-10</t>
  </si>
  <si>
    <t>4.188306385907111e-06</t>
  </si>
  <si>
    <t>9.582295244770368e-05</t>
  </si>
  <si>
    <t>1.7811784195328284e-08</t>
  </si>
  <si>
    <t>3.269079998453352e-05</t>
  </si>
  <si>
    <t>LF - HDPE_Pigmented_Containers - China</t>
  </si>
  <si>
    <t>4d7c743d-08b2-5cfe-91de-0640ccb0753e</t>
  </si>
  <si>
    <t>3.3234716696409115e-11</t>
  </si>
  <si>
    <t>2.8307905486749125e-08</t>
  </si>
  <si>
    <t>0.026019876229307803</t>
  </si>
  <si>
    <t>3.5281216328058906e-10</t>
  </si>
  <si>
    <t>4.1882282371271615e-06</t>
  </si>
  <si>
    <t>9.582207010183508e-05</t>
  </si>
  <si>
    <t>1.7811357496687677e-08</t>
  </si>
  <si>
    <t>3.269061837376094e-05</t>
  </si>
  <si>
    <t>LF - HDPE_Pigmented_Containers - India</t>
  </si>
  <si>
    <t>70136947-615a-5288-8a0b-d8cd4343691d</t>
  </si>
  <si>
    <t>3.325654516936545e-11</t>
  </si>
  <si>
    <t>2.8313323712463487e-08</t>
  </si>
  <si>
    <t>3.528969541127801e-10</t>
  </si>
  <si>
    <t>4.190546836439689e-06</t>
  </si>
  <si>
    <t>9.584827497987377e-05</t>
  </si>
  <si>
    <t>1.7824004090456166e-08</t>
  </si>
  <si>
    <t>3.26960243883626e-05</t>
  </si>
  <si>
    <t>LF - HDPE_Pigmented_Containers - Ireland</t>
  </si>
  <si>
    <t>7dc1d700-53ad-5823-8ceb-9940c6acdbbf</t>
  </si>
  <si>
    <t>3.323145339451901e-11</t>
  </si>
  <si>
    <t>2.8308861614542352e-08</t>
  </si>
  <si>
    <t>0.026027697540151558</t>
  </si>
  <si>
    <t>3.5284395198026637e-10</t>
  </si>
  <si>
    <t>4.189097936051476e-06</t>
  </si>
  <si>
    <t>9.583189857084402e-05</t>
  </si>
  <si>
    <t>1.7816101635203918e-08</t>
  </si>
  <si>
    <t>3.269264555207117e-05</t>
  </si>
  <si>
    <t>LF - HDPE_Pigmented_Containers - Mexico</t>
  </si>
  <si>
    <t>f3f03a0f-48fa-5a65-b09e-8d2d5382d73f</t>
  </si>
  <si>
    <t>3.3250056828426393e-11</t>
  </si>
  <si>
    <t>2.8311713187735754e-08</t>
  </si>
  <si>
    <t>3.5287175070887154e-10</t>
  </si>
  <si>
    <t>4.189857651146077e-06</t>
  </si>
  <si>
    <t>9.584048578726381e-05</t>
  </si>
  <si>
    <t>1.782024499056186e-08</t>
  </si>
  <si>
    <t>3.269441749329877e-05</t>
  </si>
  <si>
    <t>LF - HDPE_Pigmented_Containers - Spain</t>
  </si>
  <si>
    <t>c69f2ca3-259c-595f-84a4-2fffa7caed69</t>
  </si>
  <si>
    <t>3.3235427824122716e-11</t>
  </si>
  <si>
    <t>2.8309848140571382e-08</t>
  </si>
  <si>
    <t>0.026031494144332996</t>
  </si>
  <si>
    <t>3.52859390311482e-10</t>
  </si>
  <si>
    <t>4.189520096128471e-06</t>
  </si>
  <si>
    <t>9.58366698365187e-05</t>
  </si>
  <si>
    <t>1.7818404269804257e-08</t>
  </si>
  <si>
    <t>3.2693629854757834e-05</t>
  </si>
  <si>
    <t>LF - HDPE_Pigmented_Containers - USA</t>
  </si>
  <si>
    <t>842d20e1-b075-54d3-939b-a5e1f74c1307</t>
  </si>
  <si>
    <t>3.322336503058621e-11</t>
  </si>
  <si>
    <t>2.8306853934863146e-08</t>
  </si>
  <si>
    <t>0.026019971068836068</t>
  </si>
  <si>
    <t>3.5281253342368323e-10</t>
  </si>
  <si>
    <t>4.188238797840181e-06</t>
  </si>
  <si>
    <t>9.582218856537256e-05</t>
  </si>
  <si>
    <t>1.7811415542227334e-08</t>
  </si>
  <si>
    <t>3.26906423971171e-05</t>
  </si>
  <si>
    <t>LF - HDPE_Translucent_Containers - Australia</t>
  </si>
  <si>
    <t>910ebecf-b7ba-5379-a5c4-69083079901c</t>
  </si>
  <si>
    <t>HDPE_Translucent_Containers</t>
  </si>
  <si>
    <t>3.322580552087159e-11</t>
  </si>
  <si>
    <t>9.582511835120085e-05</t>
  </si>
  <si>
    <t>LF - HDPE_Translucent_Containers - Brazil</t>
  </si>
  <si>
    <t>f995daae-5267-516d-8632-e13efc255f6f</t>
  </si>
  <si>
    <t>3.325880972728321e-11</t>
  </si>
  <si>
    <t>2.8313885817122233e-08</t>
  </si>
  <si>
    <t>3.5290575059442115e-10</t>
  </si>
  <si>
    <t>4.190787375615694e-06</t>
  </si>
  <si>
    <t>9.585099356071429e-05</t>
  </si>
  <si>
    <t>1.7825316090007717e-08</t>
  </si>
  <si>
    <t>3.2696585226211526e-05</t>
  </si>
  <si>
    <t>LF - HDPE_Translucent_Containers - Canada</t>
  </si>
  <si>
    <t>84b3906c-98c4-5567-b0c8-9086de8b768d</t>
  </si>
  <si>
    <t>3.322400133901171e-11</t>
  </si>
  <si>
    <t>2.830701187823792e-08</t>
  </si>
  <si>
    <t>0.026020578907311312</t>
  </si>
  <si>
    <t>3.528150051092363e-10</t>
  </si>
  <si>
    <t>4.188306385907106e-06</t>
  </si>
  <si>
    <t>9.582295244770362e-05</t>
  </si>
  <si>
    <t>1.7811784195328274e-08</t>
  </si>
  <si>
    <t>3.2690799984533506e-05</t>
  </si>
  <si>
    <t>LF - HDPE_Translucent_Containers - China</t>
  </si>
  <si>
    <t>6c880663-500b-5468-abe7-4a7e847f3b13</t>
  </si>
  <si>
    <t>LF - HDPE_Translucent_Containers - India</t>
  </si>
  <si>
    <t>d7a17bdb-78f4-5286-bfc6-bb5839a0e73b</t>
  </si>
  <si>
    <t>3.325654516925365e-11</t>
  </si>
  <si>
    <t>2.8313323712444402e-08</t>
  </si>
  <si>
    <t>0.026040728044334993</t>
  </si>
  <si>
    <t>3.528969541125825e-10</t>
  </si>
  <si>
    <t>4.190546836437562e-06</t>
  </si>
  <si>
    <t>9.584827497981276e-05</t>
  </si>
  <si>
    <t>1.7824004090449476e-08</t>
  </si>
  <si>
    <t>3.269602438834178e-05</t>
  </si>
  <si>
    <t>LF - HDPE_Translucent_Containers - Ireland</t>
  </si>
  <si>
    <t>099128a4-fa97-53c4-bbd5-89e4002a0518</t>
  </si>
  <si>
    <t>LF - HDPE_Translucent_Containers - Mexico</t>
  </si>
  <si>
    <t>cf099c3f-4b2a-56d1-8708-eefbac72b731</t>
  </si>
  <si>
    <t>3.325005682842637e-11</t>
  </si>
  <si>
    <t>0.026034530007375937</t>
  </si>
  <si>
    <t>3.528717507088717e-10</t>
  </si>
  <si>
    <t>4.1898576511460786e-06</t>
  </si>
  <si>
    <t>LF - HDPE_Translucent_Containers - Spain</t>
  </si>
  <si>
    <t>861753c0-9dba-58e4-adca-dbcf8aae672d</t>
  </si>
  <si>
    <t>3.323542782412269e-11</t>
  </si>
  <si>
    <t>2.8309848140571376e-08</t>
  </si>
  <si>
    <t>0.026031494144333006</t>
  </si>
  <si>
    <t>3.5285939031148234e-10</t>
  </si>
  <si>
    <t>9.583666983651867e-05</t>
  </si>
  <si>
    <t>1.781840426980425e-08</t>
  </si>
  <si>
    <t>LF - HDPE_Translucent_Containers - USA</t>
  </si>
  <si>
    <t>f6d45691-270a-52d9-8252-fb5526e63256</t>
  </si>
  <si>
    <t>3.322336503058642e-11</t>
  </si>
  <si>
    <t>2.8306853934863183e-08</t>
  </si>
  <si>
    <t>0.026019971068836086</t>
  </si>
  <si>
    <t>3.528125334236836e-10</t>
  </si>
  <si>
    <t>1.7811415542227347e-08</t>
  </si>
  <si>
    <t>3.269064239711712e-05</t>
  </si>
  <si>
    <t>LF - Magazines - Australia</t>
  </si>
  <si>
    <t>2638fac6-a05a-5614-886d-152e224c49e0</t>
  </si>
  <si>
    <t>3.5509430134554007e-07</t>
  </si>
  <si>
    <t>3.2238396928207504e-10</t>
  </si>
  <si>
    <t>LF - Magazines - Brazil</t>
  </si>
  <si>
    <t>006614e4-32a9-564a-94f4-b9bfed9ee620</t>
  </si>
  <si>
    <t>3.8427857441205835e-07</t>
  </si>
  <si>
    <t>LF - Magazines - Canada</t>
  </si>
  <si>
    <t>ad185ec2-e333-59f1-b7b1-34b9818aa301</t>
  </si>
  <si>
    <t>3.5509971417096266e-07</t>
  </si>
  <si>
    <t>1.1297095104510352e-09</t>
  </si>
  <si>
    <t>LF - Magazines - China</t>
  </si>
  <si>
    <t>25a670bc-6c5b-509a-9459-b6bc2ebdc337</t>
  </si>
  <si>
    <t>3.8435070586641644e-07</t>
  </si>
  <si>
    <t>2.3494633554352455e-09</t>
  </si>
  <si>
    <t>1.2479444201151802e-07</t>
  </si>
  <si>
    <t>LF - Magazines - India</t>
  </si>
  <si>
    <t>47dc17f0-8305-59a8-aea3-e0ea2ce3b504</t>
  </si>
  <si>
    <t>4.892424687960126e-07</t>
  </si>
  <si>
    <t>4.803504298113635e-09</t>
  </si>
  <si>
    <t>1.1738185003041321e-06</t>
  </si>
  <si>
    <t>LF - Magazines - Ireland</t>
  </si>
  <si>
    <t>85bc85a6-c723-5fb8-bbc8-9e0a55302fa6</t>
  </si>
  <si>
    <t>3.55077356848565e-07</t>
  </si>
  <si>
    <t>LF - Magazines - Mexico</t>
  </si>
  <si>
    <t>37767d79-b3e2-51f4-ae25-558720fc1330</t>
  </si>
  <si>
    <t>3.8430477947225585e-07</t>
  </si>
  <si>
    <t>LF - Magazines - Spain</t>
  </si>
  <si>
    <t>6c903e3a-a583-5dd0-a890-17f0aa7a4b97</t>
  </si>
  <si>
    <t>3.5506543294328624e-07</t>
  </si>
  <si>
    <t>LF - Magazines - USA</t>
  </si>
  <si>
    <t>bfd2e596-4b9a-5d94-a0cd-0208acf90842</t>
  </si>
  <si>
    <t>3.551016231949372e-07</t>
  </si>
  <si>
    <t>1.4144413635900993e-09</t>
  </si>
  <si>
    <t>3.601913590431449e-08</t>
  </si>
  <si>
    <t>LF - Misc_Inorganic - Australia</t>
  </si>
  <si>
    <t>fe9b0527-0b75-52ba-b881-b8a8b8983448</t>
  </si>
  <si>
    <t>Misc_Inorganic</t>
  </si>
  <si>
    <t>3.323604086862505e-11</t>
  </si>
  <si>
    <t>2.8302524685577376e-08</t>
  </si>
  <si>
    <t>3.528223195418721e-10</t>
  </si>
  <si>
    <t>4.188501238660889e-06</t>
  </si>
  <si>
    <t>9.582516518236498e-05</t>
  </si>
  <si>
    <t>1.7812841796713752e-08</t>
  </si>
  <si>
    <t>3.269126134830988e-05</t>
  </si>
  <si>
    <t>LF - Misc_Inorganic - Brazil</t>
  </si>
  <si>
    <t>9b1bfc4e-8715-51a8-b0f6-e698583c9d40</t>
  </si>
  <si>
    <t>3.326920606874073e-11</t>
  </si>
  <si>
    <t>2.8308850989005017e-08</t>
  </si>
  <si>
    <t>3.529060619747474e-10</t>
  </si>
  <si>
    <t>4.190790643836421e-06</t>
  </si>
  <si>
    <t>9.585104117751641e-05</t>
  </si>
  <si>
    <t>1.782532862326434e-08</t>
  </si>
  <si>
    <t>3.269660001233229e-05</t>
  </si>
  <si>
    <t>LF - Misc_Inorganic - Canada</t>
  </si>
  <si>
    <t>93b1b891-55c1-5b5e-beff-ba200f81d9c4</t>
  </si>
  <si>
    <t>3.3234236686765496e-11</t>
  </si>
  <si>
    <t>2.830207685468263e-08</t>
  </si>
  <si>
    <t>0.026020609411450565</t>
  </si>
  <si>
    <t>3.5281531135204395e-10</t>
  </si>
  <si>
    <t>4.188309600204882e-06</t>
  </si>
  <si>
    <t>9.582299927886773e-05</t>
  </si>
  <si>
    <t>1.7811796521796494e-08</t>
  </si>
  <si>
    <t>3.2690814526695475e-05</t>
  </si>
  <si>
    <t>LF - Misc_Inorganic - China</t>
  </si>
  <si>
    <t>4656a1b2-7b5f-5876-911f-032b642c5fdd</t>
  </si>
  <si>
    <t>3.3245113037866956e-11</t>
  </si>
  <si>
    <t>2.8302870658631942e-08</t>
  </si>
  <si>
    <t>0.026019907245183473</t>
  </si>
  <si>
    <t>3.5281247466091567e-10</t>
  </si>
  <si>
    <t>4.188231505347893e-06</t>
  </si>
  <si>
    <t>9.582211771863725e-05</t>
  </si>
  <si>
    <t>1.781137002994432e-08</t>
  </si>
  <si>
    <t>3.269063315988172e-05</t>
  </si>
  <si>
    <t>LF - Misc_Inorganic - India</t>
  </si>
  <si>
    <t>2bd0747a-cdcc-5c00-ae74-5c4470ca1c1b</t>
  </si>
  <si>
    <t>3.3266941510605916e-11</t>
  </si>
  <si>
    <t>2.8308288884309028e-08</t>
  </si>
  <si>
    <t>3.528972654927278e-10</t>
  </si>
  <si>
    <t>4.190550104656763e-06</t>
  </si>
  <si>
    <t>9.58483225965944e-05</t>
  </si>
  <si>
    <t>1.7824016623698394e-08</t>
  </si>
  <si>
    <t>3.269603917445655e-05</t>
  </si>
  <si>
    <t>LF - Misc_Inorganic - Ireland</t>
  </si>
  <si>
    <t>16d13e0e-2401-5b1d-9b48-875c3f931671</t>
  </si>
  <si>
    <t>3.3241688742272466e-11</t>
  </si>
  <si>
    <t>2.8303926590987026e-08</t>
  </si>
  <si>
    <t>0.026027728044290797</t>
  </si>
  <si>
    <t>3.528442582230736e-10</t>
  </si>
  <si>
    <t>4.189101150349252e-06</t>
  </si>
  <si>
    <t>9.583194540200816e-05</t>
  </si>
  <si>
    <t>1.781611396167213e-08</t>
  </si>
  <si>
    <t>3.269266009423313e-05</t>
  </si>
  <si>
    <t>LF - Misc_Inorganic - Mexico</t>
  </si>
  <si>
    <t>99f23535-53f2-5dd4-8432-fc6f185d5f32</t>
  </si>
  <si>
    <t>3.3260453169883375e-11</t>
  </si>
  <si>
    <t>2.830667835961845e-08</t>
  </si>
  <si>
    <t>3.528720620891969e-10</t>
  </si>
  <si>
    <t>4.189860919366797e-06</t>
  </si>
  <si>
    <t>9.58405334040658e-05</t>
  </si>
  <si>
    <t>1.7820257523818462e-08</t>
  </si>
  <si>
    <t>3.269443227941951e-05</t>
  </si>
  <si>
    <t>LF - Misc_Inorganic - Spain</t>
  </si>
  <si>
    <t>3a61fa2f-c505-5c7f-b86c-3d2c79b892b2</t>
  </si>
  <si>
    <t>3.324566317187619e-11</t>
  </si>
  <si>
    <t>2.830491311701603e-08</t>
  </si>
  <si>
    <t>3.5285969655428953e-10</t>
  </si>
  <si>
    <t>4.1895233104262485e-06</t>
  </si>
  <si>
    <t>9.583671666768296e-05</t>
  </si>
  <si>
    <t>1.7818416596272458e-08</t>
  </si>
  <si>
    <t>3.269364439691985e-05</t>
  </si>
  <si>
    <t>LF - Misc_Inorganic - USA</t>
  </si>
  <si>
    <t>83fe9392-5482-5476-949f-42fec6fd4f43</t>
  </si>
  <si>
    <t>3.3233600378339845e-11</t>
  </si>
  <si>
    <t>2.8301918911307843e-08</t>
  </si>
  <si>
    <t>0.026020001572975317</t>
  </si>
  <si>
    <t>3.5281283966649073e-10</t>
  </si>
  <si>
    <t>4.188242012137958e-06</t>
  </si>
  <si>
    <t>9.582223539653671e-05</t>
  </si>
  <si>
    <t>1.7811427868695554e-08</t>
  </si>
  <si>
    <t>3.2690656939279065e-05</t>
  </si>
  <si>
    <t>LF - Misc_Organic - Australia</t>
  </si>
  <si>
    <t>a4ee8f6a-366b-590c-8c7d-935c90aded50</t>
  </si>
  <si>
    <t>2.7367396955841784e-07</t>
  </si>
  <si>
    <t>9.722620969041101e-08</t>
  </si>
  <si>
    <t>1.1062828663726246e-06</t>
  </si>
  <si>
    <t>LF - Misc_Organic - Brazil</t>
  </si>
  <si>
    <t>974c296b-4eb2-53f0-a26a-8740e9e89219</t>
  </si>
  <si>
    <t>2.918050424877669e-07</t>
  </si>
  <si>
    <t>9.003574312067496e-08</t>
  </si>
  <si>
    <t>LF - Misc_Organic - Canada</t>
  </si>
  <si>
    <t>b0aaf831-799a-574f-9e91-19894455818b</t>
  </si>
  <si>
    <t>2.7367918785551155e-07</t>
  </si>
  <si>
    <t>9.800452123683281e-08</t>
  </si>
  <si>
    <t>1.4389861733321752e-06</t>
  </si>
  <si>
    <t>LF - Misc_Organic - China</t>
  </si>
  <si>
    <t>7de23866-b5c2-52de-8e54-8b5120816466</t>
  </si>
  <si>
    <t>2.918745328141121e-07</t>
  </si>
  <si>
    <t>1.0040025905142729e-07</t>
  </si>
  <si>
    <t>1.6697621619340865e-06</t>
  </si>
  <si>
    <t>LF - Misc_Organic - India</t>
  </si>
  <si>
    <t>92b0e240-bf08-525e-9b97-f3321d335591</t>
  </si>
  <si>
    <t>3.579095908211063e-07</t>
  </si>
  <si>
    <t>9.97714961295943e-08</t>
  </si>
  <si>
    <t>1.400986111586173e-06</t>
  </si>
  <si>
    <t>LF - Misc_Organic - Ireland</t>
  </si>
  <si>
    <t>598189cf-8907-57e2-be8d-7ceb153b3821</t>
  </si>
  <si>
    <t>2.736576340196898e-07</t>
  </si>
  <si>
    <t>9.478975615378613e-08</t>
  </si>
  <si>
    <t>6.477686197746465e-08</t>
  </si>
  <si>
    <t>LF - Misc_Organic - Mexico</t>
  </si>
  <si>
    <t>d3738848-b685-5476-9d90-57fef56ac2a3</t>
  </si>
  <si>
    <t>2.9183028803703845e-07</t>
  </si>
  <si>
    <t>9.380112905806436e-08</t>
  </si>
  <si>
    <t>LF - Misc_Organic - Spain</t>
  </si>
  <si>
    <t>58465ae2-cd8a-530f-87da-f91fb724bc2e</t>
  </si>
  <si>
    <t>2.7364613864058475e-07</t>
  </si>
  <si>
    <t>9.307521477616121e-08</t>
  </si>
  <si>
    <t>LF - Misc_Organic - USA</t>
  </si>
  <si>
    <t>852fd6f6-8cbf-5bb6-8670-dcaf68f3551c</t>
  </si>
  <si>
    <t>2.736810282722033e-07</t>
  </si>
  <si>
    <t>9.827902028044206e-08</t>
  </si>
  <si>
    <t>1.5563257399696061e-06</t>
  </si>
  <si>
    <t>LF - Mixed_Glass - Australia</t>
  </si>
  <si>
    <t>81f71f04-bd9a-5203-967a-9472c5f995dc</t>
  </si>
  <si>
    <t>Mixed_Glass</t>
  </si>
  <si>
    <t>3.316769498163619e-11</t>
  </si>
  <si>
    <t>2.8286953014604895e-08</t>
  </si>
  <si>
    <t>0.026022298605907646</t>
  </si>
  <si>
    <t>3.528219755521729e-10</t>
  </si>
  <si>
    <t>4.188497628175027e-06</t>
  </si>
  <si>
    <t>9.582511257888283e-05</t>
  </si>
  <si>
    <t>1.7812827950909077e-08</t>
  </si>
  <si>
    <t>3.269124501370938e-05</t>
  </si>
  <si>
    <t>LF - Mixed_Glass - Brazil</t>
  </si>
  <si>
    <t>8d4c2ea5-0960-585e-8b60-17887f4f10d5</t>
  </si>
  <si>
    <t>3.319984965770268e-11</t>
  </si>
  <si>
    <t>2.829300122509064e-08</t>
  </si>
  <si>
    <t>3.529057129355323e-10</t>
  </si>
  <si>
    <t>4.1907869803509685e-06</t>
  </si>
  <si>
    <t>9.58509878018475e-05</t>
  </si>
  <si>
    <t>1.782531457421374e-08</t>
  </si>
  <si>
    <t>3.269658343794954e-05</t>
  </si>
  <si>
    <t>LF - Mixed_Glass - Canada</t>
  </si>
  <si>
    <t>25682647-9031-5ba1-b7d0-a75675627255</t>
  </si>
  <si>
    <t>3.316589079977661e-11</t>
  </si>
  <si>
    <t>2.8286505183710152e-08</t>
  </si>
  <si>
    <t>3.5281496736234463e-10</t>
  </si>
  <si>
    <t>4.1883059897190215e-06</t>
  </si>
  <si>
    <t>9.58229466753857e-05</t>
  </si>
  <si>
    <t>1.7811782675991823e-08</t>
  </si>
  <si>
    <t>3.269079819209502e-05</t>
  </si>
  <si>
    <t>LF - Mixed_Glass - China</t>
  </si>
  <si>
    <t>1b53cd37-ab16-5ad6-9053-c82b05cc9dc4</t>
  </si>
  <si>
    <t>3.317575662671519e-11</t>
  </si>
  <si>
    <t>2.8287020894697867e-08</t>
  </si>
  <si>
    <t>0.026019872478175412</t>
  </si>
  <si>
    <t>3.5281212562152557e-10</t>
  </si>
  <si>
    <t>4.188227841860919e-06</t>
  </si>
  <si>
    <t>9.582206434294794e-05</t>
  </si>
  <si>
    <t>1.7811355980886375e-08</t>
  </si>
  <si>
    <t>3.2690616585492984e-05</t>
  </si>
  <si>
    <t>LF - Mixed_Glass - India</t>
  </si>
  <si>
    <t>118a059a-fc39-52dd-baa7-138a73157f20</t>
  </si>
  <si>
    <t>3.319758509945475e-11</t>
  </si>
  <si>
    <t>2.8292439120375032e-08</t>
  </si>
  <si>
    <t>0.026040724293188055</t>
  </si>
  <si>
    <t>3.528969164533406e-10</t>
  </si>
  <si>
    <t>4.190546441169807e-06</t>
  </si>
  <si>
    <t>9.584826922090515e-05</t>
  </si>
  <si>
    <t>1.7824002574640468e-08</t>
  </si>
  <si>
    <t>3.2696022600067834e-05</t>
  </si>
  <si>
    <t>LF - Mixed_Glass - Ireland</t>
  </si>
  <si>
    <t>b2f09017-ca9b-5472-b8e8-657afd9b7b7f</t>
  </si>
  <si>
    <t>3.3173342855283845e-11</t>
  </si>
  <si>
    <t>2.8288354920014582e-08</t>
  </si>
  <si>
    <t>0.026027693780270776</t>
  </si>
  <si>
    <t>3.5284391423337455e-10</t>
  </si>
  <si>
    <t>4.189097539863394e-06</t>
  </si>
  <si>
    <t>9.583189279852607e-05</t>
  </si>
  <si>
    <t>1.7816100115867464e-08</t>
  </si>
  <si>
    <t>3.2692643759632615e-05</t>
  </si>
  <si>
    <t>LF - Mixed_Glass - Mexico</t>
  </si>
  <si>
    <t>4db231be-88ab-586a-8eb5-c699b99cf33b</t>
  </si>
  <si>
    <t>3.3191096758731943e-11</t>
  </si>
  <si>
    <t>2.8290828595684423e-08</t>
  </si>
  <si>
    <t>0.026034526256243386</t>
  </si>
  <si>
    <t>3.528717130498058e-10</t>
  </si>
  <si>
    <t>4.1898572558798105e-06</t>
  </si>
  <si>
    <t>9.584048002837622e-05</t>
  </si>
  <si>
    <t>1.782024347476053e-08</t>
  </si>
  <si>
    <t>3.2694415705030677e-05</t>
  </si>
  <si>
    <t>LF - Mixed_Glass - Spain</t>
  </si>
  <si>
    <t>ba47d637-003b-5b94-9aca-700383e37a66</t>
  </si>
  <si>
    <t>3.317731728488722e-11</t>
  </si>
  <si>
    <t>2.8289341446043542e-08</t>
  </si>
  <si>
    <t>3.528593525645903e-10</t>
  </si>
  <si>
    <t>4.189519699940386e-06</t>
  </si>
  <si>
    <t>9.583666406420083e-05</t>
  </si>
  <si>
    <t>1.7818402750467787e-08</t>
  </si>
  <si>
    <t>3.269362806231934e-05</t>
  </si>
  <si>
    <t>LF - Mixed_Glass - USA</t>
  </si>
  <si>
    <t>684dcdb3-701c-5942-b031-407a82dd84b5</t>
  </si>
  <si>
    <t>3.316525449135033e-11</t>
  </si>
  <si>
    <t>2.8286347240335247e-08</t>
  </si>
  <si>
    <t>0.026019967308955175</t>
  </si>
  <si>
    <t>3.5281249567679023e-10</t>
  </si>
  <si>
    <t>4.188238401652085e-06</t>
  </si>
  <si>
    <t>9.582218279305434e-05</t>
  </si>
  <si>
    <t>1.7811414022890846e-08</t>
  </si>
  <si>
    <t>3.26906406046785e-05</t>
  </si>
  <si>
    <t>LF - Mixed_Paper - Australia</t>
  </si>
  <si>
    <t>b698f148-eaf2-549b-80ae-d6f7be13d6e4</t>
  </si>
  <si>
    <t>6.933421926471213e-07</t>
  </si>
  <si>
    <t>LF - Mixed_Paper - Brazil</t>
  </si>
  <si>
    <t>251e8ea6-18e0-5d00-948b-a4ca4a9b66a2</t>
  </si>
  <si>
    <t>7.064496209538585e-07</t>
  </si>
  <si>
    <t>LF - Mixed_Paper - Canada</t>
  </si>
  <si>
    <t>9a67e1a9-f480-5e69-a8eb-55d39868c761</t>
  </si>
  <si>
    <t>6.933535027912695e-07</t>
  </si>
  <si>
    <t>LF - Mixed_Paper - China</t>
  </si>
  <si>
    <t>b9e938e3-4146-5d8d-8eaa-7094d665a171</t>
  </si>
  <si>
    <t>7.065999930213519e-07</t>
  </si>
  <si>
    <t>LF - Mixed_Paper - India</t>
  </si>
  <si>
    <t>c517aa97-331f-566b-9740-6e779b60b55a</t>
  </si>
  <si>
    <t>7.563865094316674e-07</t>
  </si>
  <si>
    <t>LF - Mixed_Paper - Ireland</t>
  </si>
  <si>
    <t>ab456fd1-2f1b-5d66-8e74-62105a600fe1</t>
  </si>
  <si>
    <t>6.933067869784836e-07</t>
  </si>
  <si>
    <t>LF - Mixed_Paper - Mexico</t>
  </si>
  <si>
    <t>7927d10d-9852-5a25-a283-5439beda48af</t>
  </si>
  <si>
    <t>7.065042505064687e-07</t>
  </si>
  <si>
    <t>LF - Mixed_Paper - Spain</t>
  </si>
  <si>
    <t>5dae05af-0da1-5719-923a-616c28e5b254</t>
  </si>
  <si>
    <t>6.932818718783311e-07</t>
  </si>
  <si>
    <t>LF - Mixed_Paper - USA</t>
  </si>
  <si>
    <t>28dd8278-432f-5bf6-b6ac-f185c66e189b</t>
  </si>
  <si>
    <t>6.93357491712886e-07</t>
  </si>
  <si>
    <t>LF - Mixed_Plastic - Australia</t>
  </si>
  <si>
    <t>c2e78dd9-005b-59fe-8ed6-7d83681c9237</t>
  </si>
  <si>
    <t>Mixed_Plastic</t>
  </si>
  <si>
    <t>3.321177075524011e-11</t>
  </si>
  <si>
    <t>2.8305111051999257e-08</t>
  </si>
  <si>
    <t>0.026022305346742963</t>
  </si>
  <si>
    <t>3.528220432260158e-10</t>
  </si>
  <si>
    <t>4.188498338473782e-06</t>
  </si>
  <si>
    <t>9.582512292768062e-05</t>
  </si>
  <si>
    <t>1.7812830674824407e-08</t>
  </si>
  <si>
    <t>3.269124822725097e-05</t>
  </si>
  <si>
    <t>LF - Mixed_Plastic - Brazil</t>
  </si>
  <si>
    <t>331cf96e-0acb-507c-a1ac-317e8eb8ef0b</t>
  </si>
  <si>
    <t>3.324456963830992e-11</t>
  </si>
  <si>
    <t>2.8311494286518083e-08</t>
  </si>
  <si>
    <t>3.5290578119893853e-10</t>
  </si>
  <si>
    <t>4.190787696838034e-06</t>
  </si>
  <si>
    <t>9.585099824080844e-05</t>
  </si>
  <si>
    <t>1.7825317321859048e-08</t>
  </si>
  <si>
    <t>3.269658667948926e-05</t>
  </si>
  <si>
    <t>LF - Mixed_Plastic - Canada</t>
  </si>
  <si>
    <t>59d2609f-94e2-559b-9f1d-38f823581265</t>
  </si>
  <si>
    <t>3.3209966573454496e-11</t>
  </si>
  <si>
    <t>2.8304663221117295e-08</t>
  </si>
  <si>
    <t>0.026020581888276308</t>
  </si>
  <si>
    <t>3.528150350362958e-10</t>
  </si>
  <si>
    <t>4.188306700018945e-06</t>
  </si>
  <si>
    <t>9.582295702420937e-05</t>
  </si>
  <si>
    <t>1.7811785399910468e-08</t>
  </si>
  <si>
    <t>3.2690801405645154e-05</t>
  </si>
  <si>
    <t>LF - Mixed_Plastic - China</t>
  </si>
  <si>
    <t>77c96e5b-5712-5615-a6a0-313b3b2f0987</t>
  </si>
  <si>
    <t>3.3220476607435914e-11</t>
  </si>
  <si>
    <t>2.8305513956144984e-08</t>
  </si>
  <si>
    <t>3.528121938851064e-10</t>
  </si>
  <si>
    <t>4.188228558349503e-06</t>
  </si>
  <si>
    <t>9.582207478192926e-05</t>
  </si>
  <si>
    <t>1.7811358728539015e-08</t>
  </si>
  <si>
    <t>3.2690619827038674e-05</t>
  </si>
  <si>
    <t>LF - Mixed_Plastic - India</t>
  </si>
  <si>
    <t>02e778ad-7326-52fa-b75d-5ea70a718414</t>
  </si>
  <si>
    <t>3.324230508017555e-11</t>
  </si>
  <si>
    <t>2.8310932181822166e-08</t>
  </si>
  <si>
    <t>0.026040731092765796</t>
  </si>
  <si>
    <t>3.5289698471692117e-10</t>
  </si>
  <si>
    <t>4.190547157658396e-06</t>
  </si>
  <si>
    <t>9.584827965988671e-05</t>
  </si>
  <si>
    <t>1.7824005322293118e-08</t>
  </si>
  <si>
    <t>3.2696025841613564e-05</t>
  </si>
  <si>
    <t>LF - Mixed_Plastic - Ireland</t>
  </si>
  <si>
    <t>8279b98a-66cb-50e2-b0b0-01faa60bdcda</t>
  </si>
  <si>
    <t>3.3217418628887485e-11</t>
  </si>
  <si>
    <t>2.8306512957408887e-08</t>
  </si>
  <si>
    <t>0.026027700521106065</t>
  </si>
  <si>
    <t>3.528439819072174e-10</t>
  </si>
  <si>
    <t>4.18909825016214e-06</t>
  </si>
  <si>
    <t>9.583190314732355e-05</t>
  </si>
  <si>
    <t>1.7816102839782787e-08</t>
  </si>
  <si>
    <t>3.269264697317413e-05</t>
  </si>
  <si>
    <t>LF - Mixed_Plastic - Mexico</t>
  </si>
  <si>
    <t>6524554a-f0f2-5c7d-8038-2bc8271ac1cc</t>
  </si>
  <si>
    <t>3.323581673945308e-11</t>
  </si>
  <si>
    <t>2.8309321657131604e-08</t>
  </si>
  <si>
    <t>0.026034533055821252</t>
  </si>
  <si>
    <t>3.5287178131338875e-10</t>
  </si>
  <si>
    <t>4.189857972368419e-06</t>
  </si>
  <si>
    <t>9.584049046735799e-05</t>
  </si>
  <si>
    <t>1.78202462224132e-08</t>
  </si>
  <si>
    <t>3.269441894657648e-05</t>
  </si>
  <si>
    <t>LF - Mixed_Plastic - Spain</t>
  </si>
  <si>
    <t>651c9dff-9d83-5815-a961-31e469dde3ee</t>
  </si>
  <si>
    <t>3.322139305848639e-11</t>
  </si>
  <si>
    <t>2.830749948343708e-08</t>
  </si>
  <si>
    <t>0.026031497125286927</t>
  </si>
  <si>
    <t>3.528594202384261e-10</t>
  </si>
  <si>
    <t>4.189520410239062e-06</t>
  </si>
  <si>
    <t>9.583667441299733e-05</t>
  </si>
  <si>
    <t>1.7818405474382815e-08</t>
  </si>
  <si>
    <t>3.269363127586057e-05</t>
  </si>
  <si>
    <t>LF - Mixed_Plastic - USA</t>
  </si>
  <si>
    <t>b5d244ef-37c0-54aa-b3f9-9d2891b69bef</t>
  </si>
  <si>
    <t>3.320933026495477e-11</t>
  </si>
  <si>
    <t>2.83045052777297e-08</t>
  </si>
  <si>
    <t>3.5281256335063453e-10</t>
  </si>
  <si>
    <t>4.1882391119508445e-06</t>
  </si>
  <si>
    <t>9.582219314185215e-05</t>
  </si>
  <si>
    <t>1.78114167468062e-08</t>
  </si>
  <si>
    <t>3.2690643818220104e-05</t>
  </si>
  <si>
    <t>LF - Newsprint - Australia</t>
  </si>
  <si>
    <t>7e2e0d80-9e02-5ca4-94d3-798e3193eefa</t>
  </si>
  <si>
    <t>3.290796695745647e-07</t>
  </si>
  <si>
    <t>LF - Newsprint - Brazil</t>
  </si>
  <si>
    <t>1f7e2dd4-de76-5bf9-8e2b-d44d17af8290</t>
  </si>
  <si>
    <t>3.358374042728297e-07</t>
  </si>
  <si>
    <t>LF - Newsprint - Canada</t>
  </si>
  <si>
    <t>8c034045-6990-589a-9731-4d4ab2c9f171</t>
  </si>
  <si>
    <t>3.2908525383012683e-07</t>
  </si>
  <si>
    <t>LF - Newsprint - China</t>
  </si>
  <si>
    <t>b8ae54f3-1042-5347-8bef-48d5b142ac4c</t>
  </si>
  <si>
    <t>3.359116524822752e-07</t>
  </si>
  <si>
    <t>LF - Newsprint - India</t>
  </si>
  <si>
    <t>f79900df-3c4f-5976-970d-4382fde539f6</t>
  </si>
  <si>
    <t>3.6153397293421677e-07</t>
  </si>
  <si>
    <t>LF - Newsprint - Ireland</t>
  </si>
  <si>
    <t>1f8d2237-b5c6-531b-b7dd-9930818f1dcc</t>
  </si>
  <si>
    <t>3.29062188426718e-07</t>
  </si>
  <si>
    <t>LF - Newsprint - Mexico</t>
  </si>
  <si>
    <t>31c34272-6068-538a-8e6d-0adf9501f7fe</t>
  </si>
  <si>
    <t>3.358643783414297e-07</t>
  </si>
  <si>
    <t>LF - Newsprint - Spain</t>
  </si>
  <si>
    <t>061208f1-e58b-594c-be50-55c8283aa5f7</t>
  </si>
  <si>
    <t>3.290498868782333e-07</t>
  </si>
  <si>
    <t>LF - Newsprint - USA</t>
  </si>
  <si>
    <t>f594a561-774e-58d7-83a3-0c6fcf6a0927</t>
  </si>
  <si>
    <t>3.290872233149921e-07</t>
  </si>
  <si>
    <t>LF - Office_Paper - Australia</t>
  </si>
  <si>
    <t>dd22afbe-3e9c-5fe7-89c6-7df67fea0d7c</t>
  </si>
  <si>
    <t>0.4592551708280681</t>
  </si>
  <si>
    <t>1.559130034940526e-06</t>
  </si>
  <si>
    <t>LF - Office_Paper - Brazil</t>
  </si>
  <si>
    <t>efe31ae6-2027-519d-bc50-f0bcdd9f7386</t>
  </si>
  <si>
    <t>0.4144712979455043</t>
  </si>
  <si>
    <t>1.5859770517870971e-06</t>
  </si>
  <si>
    <t>LF - Office_Paper - Canada</t>
  </si>
  <si>
    <t>6e84ad53-1d66-5716-8d89-289f76547f41</t>
  </si>
  <si>
    <t>0.4652214013943366</t>
  </si>
  <si>
    <t>1.5591542957375933e-06</t>
  </si>
  <si>
    <t>LF - Office_Paper - China</t>
  </si>
  <si>
    <t>4ce49abe-fdb1-5d4b-bb01-9fefc43df768</t>
  </si>
  <si>
    <t>0.4937899807278861</t>
  </si>
  <si>
    <t>1.586299589517626e-06</t>
  </si>
  <si>
    <t>LF - Office_Paper - India</t>
  </si>
  <si>
    <t>a296f792-13f8-5442-ad7b-1a723f6b68b5</t>
  </si>
  <si>
    <t>0.5406191469827021</t>
  </si>
  <si>
    <t>1.6884713597104264e-06</t>
  </si>
  <si>
    <t>LF - Office_Paper - Ireland</t>
  </si>
  <si>
    <t>97a5bb11-f19f-5797-a91c-2c56146e6e7c</t>
  </si>
  <si>
    <t>0.44057827514235937</t>
  </si>
  <si>
    <t>1.5590540880975313e-06</t>
  </si>
  <si>
    <t>LF - Office_Paper - Mexico</t>
  </si>
  <si>
    <t>3fcfcb97-9f2e-5d09-94f4-bec4949c142c</t>
  </si>
  <si>
    <t>0.44328744861925395</t>
  </si>
  <si>
    <t>1.5860942284157907e-06</t>
  </si>
  <si>
    <t>LF - Office_Paper - Spain</t>
  </si>
  <si>
    <t>deac3371-68d4-5940-9556-318ae3378013</t>
  </si>
  <si>
    <t>0.42743527447463797</t>
  </si>
  <si>
    <t>1.5590006440228316e-06</t>
  </si>
  <si>
    <t>LF - Office_Paper - USA</t>
  </si>
  <si>
    <t>d03aeaba-9995-5c4d-8960-9e880f98f3b3</t>
  </si>
  <si>
    <t>0.4673256032296065</t>
  </si>
  <si>
    <t>1.5591628521641594e-06</t>
  </si>
  <si>
    <t>LF - PET_Containers - Australia</t>
  </si>
  <si>
    <t>68e95fe5-99bb-5187-a69e-cb2a0e8b7121</t>
  </si>
  <si>
    <t>PET_Containers</t>
  </si>
  <si>
    <t>3.5282201329906505e-10</t>
  </si>
  <si>
    <t>4.188498024363111e-06</t>
  </si>
  <si>
    <t>9.58251183512007e-05</t>
  </si>
  <si>
    <t>3.269124680614787e-05</t>
  </si>
  <si>
    <t>LF - PET_Containers - Brazil</t>
  </si>
  <si>
    <t>b44d9ad6-51c9-5b78-8e4a-7421e2a28a23</t>
  </si>
  <si>
    <t>0.026042891280744232</t>
  </si>
  <si>
    <t>9.585099356071433e-05</t>
  </si>
  <si>
    <t>LF - PET_Containers - Canada</t>
  </si>
  <si>
    <t>34135361-ef81-563d-bbd0-e6872a637f3d</t>
  </si>
  <si>
    <t>3.3224001339011604e-11</t>
  </si>
  <si>
    <t>2.83070118782379e-08</t>
  </si>
  <si>
    <t>3.5281500510923376e-10</t>
  </si>
  <si>
    <t>4.188306385907086e-06</t>
  </si>
  <si>
    <t>9.582295244770334e-05</t>
  </si>
  <si>
    <t>1.7811784195328268e-08</t>
  </si>
  <si>
    <t>3.269079998453343e-05</t>
  </si>
  <si>
    <t>LF - PET_Containers - China</t>
  </si>
  <si>
    <t>7fd07141-b31a-544b-b617-1425c055a6ce</t>
  </si>
  <si>
    <t>3.323471669640917e-11</t>
  </si>
  <si>
    <t>9.58220701018351e-05</t>
  </si>
  <si>
    <t>1.781135749668768e-08</t>
  </si>
  <si>
    <t>LF - PET_Containers - India</t>
  </si>
  <si>
    <t>2e3689a5-9095-567e-a811-0b2c18501cc6</t>
  </si>
  <si>
    <t>3.325654516914817e-11</t>
  </si>
  <si>
    <t>2.831332371242623e-08</t>
  </si>
  <si>
    <t>3.5289695411240307e-10</t>
  </si>
  <si>
    <t>4.190546836436045e-06</t>
  </si>
  <si>
    <t>9.584827497979242e-05</t>
  </si>
  <si>
    <t>1.7824004090441757e-08</t>
  </si>
  <si>
    <t>3.269602438833581e-05</t>
  </si>
  <si>
    <t>LF - PET_Containers - Ireland</t>
  </si>
  <si>
    <t>2d84b66d-99fc-575f-828e-2551f68cf1b0</t>
  </si>
  <si>
    <t>3.323145339451898e-11</t>
  </si>
  <si>
    <t>9.583189857084399e-05</t>
  </si>
  <si>
    <t>1.7816101635203915e-08</t>
  </si>
  <si>
    <t>LF - PET_Containers - Mexico</t>
  </si>
  <si>
    <t>4e70427a-22e8-5ca7-88ff-31161a45e183</t>
  </si>
  <si>
    <t>0.026034530007375933</t>
  </si>
  <si>
    <t>1.7820244990561858e-08</t>
  </si>
  <si>
    <t>LF - PET_Containers - Spain</t>
  </si>
  <si>
    <t>41abb91d-5b36-5f4f-9712-20e4509ecbd6</t>
  </si>
  <si>
    <t>3.3235427824122335e-11</t>
  </si>
  <si>
    <t>2.8309848140571316e-08</t>
  </si>
  <si>
    <t>0.026031494144333003</t>
  </si>
  <si>
    <t>4.1895200961284715e-06</t>
  </si>
  <si>
    <t>9.58366698365189e-05</t>
  </si>
  <si>
    <t>1.7818404269804244e-08</t>
  </si>
  <si>
    <t>3.26936298547579e-05</t>
  </si>
  <si>
    <t>LF - PET_Containers - USA</t>
  </si>
  <si>
    <t>746ed973-8f9e-5d63-8945-ced81aa5e99e</t>
  </si>
  <si>
    <t>3.32233650305862e-11</t>
  </si>
  <si>
    <t>2.830685393486314e-08</t>
  </si>
  <si>
    <t>3.5281253342368333e-10</t>
  </si>
  <si>
    <t>4.188238797840178e-06</t>
  </si>
  <si>
    <t>9.58221885653725e-05</t>
  </si>
  <si>
    <t>LF - Paper_Bags - Australia</t>
  </si>
  <si>
    <t>cb09111c-f6ad-5d1c-a1ad-8bfb358e8813</t>
  </si>
  <si>
    <t>1.2085440507500846e-06</t>
  </si>
  <si>
    <t>LF - Paper_Bags - Brazil</t>
  </si>
  <si>
    <t>bd2f1074-3198-51c8-a15d-555f72b01268</t>
  </si>
  <si>
    <t>1.2196896812401314e-06</t>
  </si>
  <si>
    <t>LF - Paper_Bags - Canada</t>
  </si>
  <si>
    <t>4bbe4b7b-64e2-55e2-8136-cb4729d20d3c</t>
  </si>
  <si>
    <t>1.2085571768534452e-06</t>
  </si>
  <si>
    <t>LF - Paper_Bags - China</t>
  </si>
  <si>
    <t>e4ae076d-cacd-5b31-ada5-b0403194989a</t>
  </si>
  <si>
    <t>1.219864133850121e-06</t>
  </si>
  <si>
    <t>LF - Paper_Bags - India</t>
  </si>
  <si>
    <t>ec69f8fd-bbd0-525b-a700-bf7a303d3447</t>
  </si>
  <si>
    <t>1.2627703123653315e-06</t>
  </si>
  <si>
    <t>LF - Paper_Bags - Ireland</t>
  </si>
  <si>
    <t>ed20db86-2796-5bc8-912f-657d4e13ef59</t>
  </si>
  <si>
    <t>1.2085029603395633e-06</t>
  </si>
  <si>
    <t>LF - Paper_Bags - Mexico</t>
  </si>
  <si>
    <t>5828a3e0-1235-5611-b0b9-4f5061c2de7c</t>
  </si>
  <si>
    <t>1.2197530591546217e-06</t>
  </si>
  <si>
    <t>LF - Paper_Bags - Spain</t>
  </si>
  <si>
    <t>757a32b5-13c0-5a05-a25c-89c978aba7c8</t>
  </si>
  <si>
    <t>1.2084740448654928e-06</t>
  </si>
  <si>
    <t>LF - Paper_Bags - USA</t>
  </si>
  <si>
    <t>356d1f6a-b91f-5bf6-b463-7949cc626d61</t>
  </si>
  <si>
    <t>1.2085618062371871e-06</t>
  </si>
  <si>
    <t>LF - Paper_Non_recyclable - Australia</t>
  </si>
  <si>
    <t>f0bdee97-479a-590d-afab-a70bfd6d091e</t>
  </si>
  <si>
    <t>6.405510725845376e-07</t>
  </si>
  <si>
    <t>6.910642582937111e-08</t>
  </si>
  <si>
    <t>LF - Paper_Non_recyclable - Brazil</t>
  </si>
  <si>
    <t>91810b7d-3c07-5ffa-8af5-4bfe4ef9d952</t>
  </si>
  <si>
    <t>6.932195586291392e-07</t>
  </si>
  <si>
    <t>5.434436891298259e-08</t>
  </si>
  <si>
    <t>LF - Paper_Non_recyclable - Canada</t>
  </si>
  <si>
    <t>89763f73-bd39-5d1b-8e5a-508a4e26da56</t>
  </si>
  <si>
    <t>6.405608466935789e-07</t>
  </si>
  <si>
    <t>7.056423894085709e-08</t>
  </si>
  <si>
    <t>LF - Paper_Non_recyclable - China</t>
  </si>
  <si>
    <t>05c61879-6ce1-564b-aaa1-4ebc28f09558</t>
  </si>
  <si>
    <t>6.933498088217526e-07</t>
  </si>
  <si>
    <t>7.377124841298255e-08</t>
  </si>
  <si>
    <t>LF - Paper_Non_recyclable - India</t>
  </si>
  <si>
    <t>16b46b7a-f6fe-5311-bede-dd19dc93498a</t>
  </si>
  <si>
    <t>8.826468118975801e-07</t>
  </si>
  <si>
    <t>7.818985394237595e-08</t>
  </si>
  <si>
    <t>LF - Paper_Non_recyclable - Ireland</t>
  </si>
  <si>
    <t>59bb6888-40f0-5e94-b733-66ef100e4291</t>
  </si>
  <si>
    <t>6.405204753736257e-07</t>
  </si>
  <si>
    <t>6.454283695863214e-08</t>
  </si>
  <si>
    <t>LF - Paper_Non_recyclable - Mexico</t>
  </si>
  <si>
    <t>8c216b18-432d-5a20-9294-d21712e22dcd</t>
  </si>
  <si>
    <t>6.932668779875045e-07</t>
  </si>
  <si>
    <t>6.140207419949937e-08</t>
  </si>
  <si>
    <t>LF - Paper_Non_recyclable - Spain</t>
  </si>
  <si>
    <t>8d7d2d8d-c9bd-593e-92d8-f95c958d08d8</t>
  </si>
  <si>
    <t>6.404989440029839e-07</t>
  </si>
  <si>
    <t>6.133142256811223e-08</t>
  </si>
  <si>
    <t>LF - Paper_Non_recyclable - USA</t>
  </si>
  <si>
    <t>fd62c91e-df2c-5b81-90d5-2554f2d46c4a</t>
  </si>
  <si>
    <t>6.405642938781881e-07</t>
  </si>
  <si>
    <t>7.107838819985715e-08</t>
  </si>
  <si>
    <t>LF - Plastic_Film - Australia</t>
  </si>
  <si>
    <t>0c8ca7c3-0171-5596-8dff-9c7f0af4834c</t>
  </si>
  <si>
    <t>Plastic_Film</t>
  </si>
  <si>
    <t>3.3227550377577815e-11</t>
  </si>
  <si>
    <t>2.8310308846535374e-08</t>
  </si>
  <si>
    <t>0.026022303157787422</t>
  </si>
  <si>
    <t>3.528220212502466e-10</t>
  </si>
  <si>
    <t>4.188498107818033e-06</t>
  </si>
  <si>
    <t>9.582511956710916e-05</t>
  </si>
  <si>
    <t>1.7812829790285774e-08</t>
  </si>
  <si>
    <t>3.269124718371564e-05</t>
  </si>
  <si>
    <t>LF - Plastic_Film - Brazil</t>
  </si>
  <si>
    <t>3e27730e-8ca8-55a8-8573-ed81510fdf21</t>
  </si>
  <si>
    <t>3.326058046272503e-11</t>
  </si>
  <si>
    <t>2.8316788691181866e-08</t>
  </si>
  <si>
    <t>0.026042892084158144</t>
  </si>
  <si>
    <t>3.529057586602032e-10</t>
  </si>
  <si>
    <t>4.1907874602734345e-06</t>
  </si>
  <si>
    <t>9.585099479414727e-05</t>
  </si>
  <si>
    <t>1.7825316414660583e-08</t>
  </si>
  <si>
    <t>3.269658560922106e-05</t>
  </si>
  <si>
    <t>LF - Plastic_Film - Canada</t>
  </si>
  <si>
    <t>cf1c294d-f0e7-5267-b059-e1d2f8d03465</t>
  </si>
  <si>
    <t>3.322574619571816e-11</t>
  </si>
  <si>
    <t>2.830986101564058e-08</t>
  </si>
  <si>
    <t>0.026020579699310372</t>
  </si>
  <si>
    <t>3.528150130604199e-10</t>
  </si>
  <si>
    <t>4.188306469362037e-06</t>
  </si>
  <si>
    <t>9.582295366361212e-05</t>
  </si>
  <si>
    <t>1.78117845153685e-08</t>
  </si>
  <si>
    <t>3.26908003621013e-05</t>
  </si>
  <si>
    <t>LF - Plastic_Film - China</t>
  </si>
  <si>
    <t>1fdeb99c-3c58-5ed3-9cc0-04c24e02a11a</t>
  </si>
  <si>
    <t>3.323648743185093e-11</t>
  </si>
  <si>
    <t>2.8310808360808758e-08</t>
  </si>
  <si>
    <t>3.5281217134637117e-10</t>
  </si>
  <si>
    <t>4.1882283217849045e-06</t>
  </si>
  <si>
    <t>9.582207133526807e-05</t>
  </si>
  <si>
    <t>1.781135782134055e-08</t>
  </si>
  <si>
    <t>3.269061875677047e-05</t>
  </si>
  <si>
    <t>LF - Plastic_Film - India</t>
  </si>
  <si>
    <t>f40ad425-91f2-59bc-9f15-ad0bce74dfde</t>
  </si>
  <si>
    <t>3.3258315904590527e-11</t>
  </si>
  <si>
    <t>2.8316226586485956e-08</t>
  </si>
  <si>
    <t>3.5289696217818596e-10</t>
  </si>
  <si>
    <t>4.190546921093797e-06</t>
  </si>
  <si>
    <t>9.58482762132255e-05</t>
  </si>
  <si>
    <t>1.7824004415094656e-08</t>
  </si>
  <si>
    <t>3.2696024771345375e-05</t>
  </si>
  <si>
    <t>LF - Plastic_Film - Ireland</t>
  </si>
  <si>
    <t>5f89d319-0f21-51ee-a6a4-c5fc2df80de8</t>
  </si>
  <si>
    <t>3.3233198251225185e-11</t>
  </si>
  <si>
    <t>2.8311710751944988e-08</t>
  </si>
  <si>
    <t>0.026027698332150635</t>
  </si>
  <si>
    <t>3.528439599314503e-10</t>
  </si>
  <si>
    <t>4.189098019506409e-06</t>
  </si>
  <si>
    <t>9.583189978675237e-05</t>
  </si>
  <si>
    <t>1.7816101955244147e-08</t>
  </si>
  <si>
    <t>3.269264592963891e-05</t>
  </si>
  <si>
    <t>LF - Plastic_Film - Mexico</t>
  </si>
  <si>
    <t>f54527ad-c7a0-5b3e-a756-da2fec699425</t>
  </si>
  <si>
    <t>3.3251827563868147e-11</t>
  </si>
  <si>
    <t>2.8314616061795384e-08</t>
  </si>
  <si>
    <t>3.5287175877465375e-10</t>
  </si>
  <si>
    <t>4.189857735803819e-06</t>
  </si>
  <si>
    <t>9.584048702069679e-05</t>
  </si>
  <si>
    <t>1.782024531521473e-08</t>
  </si>
  <si>
    <t>3.269441787630829e-05</t>
  </si>
  <si>
    <t>LF - Plastic_Film - Spain</t>
  </si>
  <si>
    <t>5d342067-782b-5825-9889-fcb525b8707c</t>
  </si>
  <si>
    <t>3.323717268093391e-11</t>
  </si>
  <si>
    <t>2.8312697277992103e-08</t>
  </si>
  <si>
    <t>0.026031494936346003</t>
  </si>
  <si>
    <t>3.5285939826283104e-10</t>
  </si>
  <si>
    <t>4.189520179584846e-06</t>
  </si>
  <si>
    <t>9.583667105244742e-05</t>
  </si>
  <si>
    <t>1.7818404589851918e-08</t>
  </si>
  <si>
    <t>3.269363023233157e-05</t>
  </si>
  <si>
    <t>LF - Plastic_Film - USA</t>
  </si>
  <si>
    <t>df34a211-930f-5467-a793-7fd3da6f2954</t>
  </si>
  <si>
    <t>3.3225109887292595e-11</t>
  </si>
  <si>
    <t>2.8309703072265828e-08</t>
  </si>
  <si>
    <t>0.026019971860835166</t>
  </si>
  <si>
    <t>3.528125413748675e-10</t>
  </si>
  <si>
    <t>4.188238881295114e-06</t>
  </si>
  <si>
    <t>9.5822189781281e-05</t>
  </si>
  <si>
    <t>1.7811415862267572e-08</t>
  </si>
  <si>
    <t>3.2690642774684885e-05</t>
  </si>
  <si>
    <t>LF - Plastic_Non_Recyclable - Australia</t>
  </si>
  <si>
    <t>850ee5eb-12cf-5374-9de9-dd95b26967e3</t>
  </si>
  <si>
    <t>Plastic_Non_Recyclable</t>
  </si>
  <si>
    <t>3.317155156655755e-11</t>
  </si>
  <si>
    <t>2.8300087228879443e-08</t>
  </si>
  <si>
    <t>0.026022299085415035</t>
  </si>
  <si>
    <t>3.5282198036613036e-10</t>
  </si>
  <si>
    <t>4.1884976787019125e-06</t>
  </si>
  <si>
    <t>9.582511331504121e-05</t>
  </si>
  <si>
    <t>1.7812828144673936e-08</t>
  </si>
  <si>
    <t>3.269124524230366e-05</t>
  </si>
  <si>
    <t>LF - Plastic_Non_Recyclable - Brazil</t>
  </si>
  <si>
    <t>9cbbbe8c-8f0b-52a8-a2f1-e267f93b147c</t>
  </si>
  <si>
    <t>3.320376161315852e-11</t>
  </si>
  <si>
    <t>2.8306382355047887e-08</t>
  </si>
  <si>
    <t>3.5290571777540707e-10</t>
  </si>
  <si>
    <t>4.190787031150181e-06</t>
  </si>
  <si>
    <t>9.585098854197553e-05</t>
  </si>
  <si>
    <t>1.7825314769021468e-08</t>
  </si>
  <si>
    <t>3.269658366777682e-05</t>
  </si>
  <si>
    <t>LF - Plastic_Non_Recyclable - Canada</t>
  </si>
  <si>
    <t>2164cdcd-3e39-51ed-927b-26dca563dd3f</t>
  </si>
  <si>
    <t>3.316974738470489e-11</t>
  </si>
  <si>
    <t>2.829963939798588e-08</t>
  </si>
  <si>
    <t>0.026020575626938797</t>
  </si>
  <si>
    <t>3.5281497217631256e-10</t>
  </si>
  <si>
    <t>4.188306040246016e-06</t>
  </si>
  <si>
    <t>9.58229474115459e-05</t>
  </si>
  <si>
    <t>1.7811782869757118e-08</t>
  </si>
  <si>
    <t>3.269079842068983e-05</t>
  </si>
  <si>
    <t>LF - Plastic_Non_Recyclable - China</t>
  </si>
  <si>
    <t>430b6502-351a-5229-845e-e5b4ef6d345a</t>
  </si>
  <si>
    <t>3.3179668582284504e-11</t>
  </si>
  <si>
    <t>2.8300402024674782e-08</t>
  </si>
  <si>
    <t>3.5281213046157497e-10</t>
  </si>
  <si>
    <t>4.188227892661652e-06</t>
  </si>
  <si>
    <t>9.582206508309636e-05</t>
  </si>
  <si>
    <t>1.7811356175701438e-08</t>
  </si>
  <si>
    <t>3.2690616815326226e-05</t>
  </si>
  <si>
    <t>LF - Plastic_Non_Recyclable - India</t>
  </si>
  <si>
    <t>486a2f5e-b1b5-53ed-a217-4454608e324c</t>
  </si>
  <si>
    <t>3.320149705502413e-11</t>
  </si>
  <si>
    <t>2.8305820250352004e-08</t>
  </si>
  <si>
    <t>3.5289692129339e-10</t>
  </si>
  <si>
    <t>4.190546491970548e-06</t>
  </si>
  <si>
    <t>9.584826996105386e-05</t>
  </si>
  <si>
    <t>1.7824002769455547e-08</t>
  </si>
  <si>
    <t>3.269602282990116e-05</t>
  </si>
  <si>
    <t>LF - Plastic_Non_Recyclable - Ireland</t>
  </si>
  <si>
    <t>6eb5421e-98ca-5720-8438-88a051efc123</t>
  </si>
  <si>
    <t>3.317719944021198e-11</t>
  </si>
  <si>
    <t>2.830148913429029e-08</t>
  </si>
  <si>
    <t>3.5284391904734295e-10</t>
  </si>
  <si>
    <t>4.189097590390386e-06</t>
  </si>
  <si>
    <t>9.583189353468614e-05</t>
  </si>
  <si>
    <t>1.781610030963276e-08</t>
  </si>
  <si>
    <t>3.269264398822741e-05</t>
  </si>
  <si>
    <t>LF - Plastic_Non_Recyclable - Mexico</t>
  </si>
  <si>
    <t>f1271354-fc01-5583-b44f-784fc6f48c44</t>
  </si>
  <si>
    <t>3.319500871430166e-11</t>
  </si>
  <si>
    <t>2.8304209725661405e-08</t>
  </si>
  <si>
    <t>0.026034526738349682</t>
  </si>
  <si>
    <t>3.528717178898575e-10</t>
  </si>
  <si>
    <t>4.189857306680567e-06</t>
  </si>
  <si>
    <t>9.584048076852505e-05</t>
  </si>
  <si>
    <t>1.7820243669575615e-08</t>
  </si>
  <si>
    <t>3.2694415934864054e-05</t>
  </si>
  <si>
    <t>LF - Plastic_Non_Recyclable - Spain</t>
  </si>
  <si>
    <t>6cdbc501-8e46-5bbd-9e61-69e835b10992</t>
  </si>
  <si>
    <t>3.318117386981592e-11</t>
  </si>
  <si>
    <t>2.830247566031934e-08</t>
  </si>
  <si>
    <t>3.528593573785587e-10</t>
  </si>
  <si>
    <t>4.1895197504673845e-06</t>
  </si>
  <si>
    <t>9.583666480036106e-05</t>
  </si>
  <si>
    <t>1.78184029442331e-08</t>
  </si>
  <si>
    <t>3.269362829091417e-05</t>
  </si>
  <si>
    <t>LF - Plastic_Non_Recyclable - USA</t>
  </si>
  <si>
    <t>be935baa-5131-5182-a674-6f7efa5fbc38</t>
  </si>
  <si>
    <t>3.316911107627937e-11</t>
  </si>
  <si>
    <t>2.829948145461113e-08</t>
  </si>
  <si>
    <t>0.026019967788463605</t>
  </si>
  <si>
    <t>3.528125004907602e-10</t>
  </si>
  <si>
    <t>4.188238452179092e-06</t>
  </si>
  <si>
    <t>9.582218352921471e-05</t>
  </si>
  <si>
    <t>1.7811414216656188e-08</t>
  </si>
  <si>
    <t>3.2690640833273376e-05</t>
  </si>
  <si>
    <t>LF - Plastic_Other_1_Polypropylene - Australia</t>
  </si>
  <si>
    <t>774c8d9c-377e-5935-b165-9408900ab012</t>
  </si>
  <si>
    <t>Plastic_Other_1_Polypropylene</t>
  </si>
  <si>
    <t>3.322601051248093e-11</t>
  </si>
  <si>
    <t>2.8389535388106455e-08</t>
  </si>
  <si>
    <t>0.026022303275135838</t>
  </si>
  <si>
    <t>3.52822022428354e-10</t>
  </si>
  <si>
    <t>4.188498120183332e-06</t>
  </si>
  <si>
    <t>9.582511974726699e-05</t>
  </si>
  <si>
    <t>1.7812829837705242e-08</t>
  </si>
  <si>
    <t>3.269124723965881e-05</t>
  </si>
  <si>
    <t>LF - Plastic_Other_1_Polypropylene - Brazil</t>
  </si>
  <si>
    <t>3eaa4863-65b6-53b6-b8ad-35c5d7d84d54</t>
  </si>
  <si>
    <t>3.3259017898791e-11</t>
  </si>
  <si>
    <t>2.8397519824511545e-08</t>
  </si>
  <si>
    <t>3.529057598774382e-10</t>
  </si>
  <si>
    <t>4.190787473049429e-06</t>
  </si>
  <si>
    <t>9.58509949802888e-05</t>
  </si>
  <si>
    <t>1.7825316463655073e-08</t>
  </si>
  <si>
    <t>3.26965856670223e-05</t>
  </si>
  <si>
    <t>LF - Plastic_Other_1_Polypropylene - Canada</t>
  </si>
  <si>
    <t>11c93551-838d-519d-8b65-72516ff9c6e4</t>
  </si>
  <si>
    <t>3.3224206330614036e-11</t>
  </si>
  <si>
    <t>2.8389087557210435e-08</t>
  </si>
  <si>
    <t>3.528150142385142e-10</t>
  </si>
  <si>
    <t>4.188306481727216e-06</t>
  </si>
  <si>
    <t>9.582295384376814e-05</t>
  </si>
  <si>
    <t>1.7811784562787522e-08</t>
  </si>
  <si>
    <t>3.2690800418043945e-05</t>
  </si>
  <si>
    <t>LF - Plastic_Other_1_Polypropylene - China</t>
  </si>
  <si>
    <t>c6e25d53-1681-5a5e-b396-72a8e41949b0</t>
  </si>
  <si>
    <t>3.32349248679167e-11</t>
  </si>
  <si>
    <t>2.8391539494138404e-08</t>
  </si>
  <si>
    <t>3.528121725636058e-10</t>
  </si>
  <si>
    <t>4.188228334560895e-06</t>
  </si>
  <si>
    <t>9.582207152140955e-05</t>
  </si>
  <si>
    <t>1.7811357870335023e-08</t>
  </si>
  <si>
    <t>3.2690618814571715e-05</t>
  </si>
  <si>
    <t>LF - Plastic_Other_1_Polypropylene - India</t>
  </si>
  <si>
    <t>26424fe0-cd09-576b-9caf-39dcb4b600cd</t>
  </si>
  <si>
    <t>3.3256753340655824e-11</t>
  </si>
  <si>
    <t>2.8396957719815513e-08</t>
  </si>
  <si>
    <t>3.5289696339541976e-10</t>
  </si>
  <si>
    <t>4.190546933869778e-06</t>
  </si>
  <si>
    <t>9.584827639936685e-05</t>
  </si>
  <si>
    <t>1.78240044640891e-08</t>
  </si>
  <si>
    <t>3.2696024829146585e-05</t>
  </si>
  <si>
    <t>LF - Plastic_Other_1_Polypropylene - Ireland</t>
  </si>
  <si>
    <t>c913a4fa-e81b-54cb-b51d-021baf875845</t>
  </si>
  <si>
    <t>3.323165838612832e-11</t>
  </si>
  <si>
    <t>2.839093729351609e-08</t>
  </si>
  <si>
    <t>3.5284396110955547e-10</t>
  </si>
  <si>
    <t>4.1890980318716964e-06</t>
  </si>
  <si>
    <t>9.583189996691024e-05</t>
  </si>
  <si>
    <t>1.7816102002663622e-08</t>
  </si>
  <si>
    <t>3.2692645985582095e-05</t>
  </si>
  <si>
    <t>LF - Plastic_Other_1_Polypropylene - Mexico</t>
  </si>
  <si>
    <t>8f0d2782-e259-5853-bfff-46a74f25c391</t>
  </si>
  <si>
    <t>3.325026499993403e-11</t>
  </si>
  <si>
    <t>2.8395347195125053e-08</t>
  </si>
  <si>
    <t>0.026034530932035817</t>
  </si>
  <si>
    <t>3.5287175999188874e-10</t>
  </si>
  <si>
    <t>4.1898577485798135e-06</t>
  </si>
  <si>
    <t>9.584048720683833e-05</t>
  </si>
  <si>
    <t>1.782024536420922e-08</t>
  </si>
  <si>
    <t>3.269441793410954e-05</t>
  </si>
  <si>
    <t>LF - Plastic_Other_1_Polypropylene - Spain</t>
  </si>
  <si>
    <t>59707652-1b87-56f4-b7e9-1b5f66d67dc1</t>
  </si>
  <si>
    <t>3.323563281573182e-11</t>
  </si>
  <si>
    <t>2.839192381954507e-08</t>
  </si>
  <si>
    <t>0.026031495053680388</t>
  </si>
  <si>
    <t>3.5285939944077144e-10</t>
  </si>
  <si>
    <t>4.189520191948695e-06</t>
  </si>
  <si>
    <t>9.583667123258504e-05</t>
  </si>
  <si>
    <t>1.7818404637263955e-08</t>
  </si>
  <si>
    <t>3.2693630288268795e-05</t>
  </si>
  <si>
    <t>LF - Plastic_Other_1_Polypropylene - USA</t>
  </si>
  <si>
    <t>7ceaa0f1-e897-5c56-9c6c-9aff494b3b80</t>
  </si>
  <si>
    <t>3.322357002219544e-11</t>
  </si>
  <si>
    <t>2.838892961383687e-08</t>
  </si>
  <si>
    <t>0.026019971978183464</t>
  </si>
  <si>
    <t>3.528125425529724e-10</t>
  </si>
  <si>
    <t>4.1882388936604e-06</t>
  </si>
  <si>
    <t>9.582218996143877e-05</t>
  </si>
  <si>
    <t>1.781141590968703e-08</t>
  </si>
  <si>
    <t>3.2690642830628037e-05</t>
  </si>
  <si>
    <t>LF - Plastic_Other_2 - Australia</t>
  </si>
  <si>
    <t>7b9274b2-b14e-5e4e-ba49-37cfae361fa4</t>
  </si>
  <si>
    <t>Plastic_Other_2</t>
  </si>
  <si>
    <t>3.321012777178801e-11</t>
  </si>
  <si>
    <t>2.830615834985144e-08</t>
  </si>
  <si>
    <t>3.5282197082187576e-10</t>
  </si>
  <si>
    <t>4.1884975785262464e-06</t>
  </si>
  <si>
    <t>9.582511185551798e-05</t>
  </si>
  <si>
    <t>1.781282776051161e-08</t>
  </si>
  <si>
    <t>3.269124478908781e-05</t>
  </si>
  <si>
    <t>LF - Plastic_Other_2 - Brazil</t>
  </si>
  <si>
    <t>a34f752d-68d7-5c0c-a1ed-0e327c58d7d2</t>
  </si>
  <si>
    <t>3.324290244582743e-11</t>
  </si>
  <si>
    <t>2.8312562877279114e-08</t>
  </si>
  <si>
    <t>0.026042886997659147</t>
  </si>
  <si>
    <t>3.5290570759487977e-10</t>
  </si>
  <si>
    <t>4.190786924296257e-06</t>
  </si>
  <si>
    <t>9.585098698515226e-05</t>
  </si>
  <si>
    <t>1.7825314359248765e-08</t>
  </si>
  <si>
    <t>3.269658318434709e-05</t>
  </si>
  <si>
    <t>LF - Plastic_Other_2 - Canada</t>
  </si>
  <si>
    <t>72a3a01e-f6bb-5a8f-ab84-9672e5ba07f6</t>
  </si>
  <si>
    <t>3.32083235900647e-11</t>
  </si>
  <si>
    <t>2.83057105189812e-08</t>
  </si>
  <si>
    <t>0.026020574676272366</t>
  </si>
  <si>
    <t>3.528149626321712e-10</t>
  </si>
  <si>
    <t>4.188305940071633e-06</t>
  </si>
  <si>
    <t>9.582294595203387e-05</t>
  </si>
  <si>
    <t>1.7811782485604036e-08</t>
  </si>
  <si>
    <t>3.269079796747701e-05</t>
  </si>
  <si>
    <t>LF - Plastic_Other_2 - China</t>
  </si>
  <si>
    <t>ba866631-9d57-5644-8f26-afd31241fb35</t>
  </si>
  <si>
    <t>3.321880941495346e-11</t>
  </si>
  <si>
    <t>2.8306582546906012e-08</t>
  </si>
  <si>
    <t>0.026019871946222732</t>
  </si>
  <si>
    <t>3.5281212028104767e-10</t>
  </si>
  <si>
    <t>4.188227785807725e-06</t>
  </si>
  <si>
    <t>9.582206352627309e-05</t>
  </si>
  <si>
    <t>1.7811355765928726e-08</t>
  </si>
  <si>
    <t>3.26906163318965e-05</t>
  </si>
  <si>
    <t>LF - Plastic_Other_2 - India</t>
  </si>
  <si>
    <t>48a4931a-b025-599a-ae6e-c3eea7c3cf21</t>
  </si>
  <si>
    <t>3.324063788769264e-11</t>
  </si>
  <si>
    <t>2.831200077258312e-08</t>
  </si>
  <si>
    <t>3.5289691111286153e-10</t>
  </si>
  <si>
    <t>4.190546385116611e-06</t>
  </si>
  <si>
    <t>9.58482684042304e-05</t>
  </si>
  <si>
    <t>1.782400235968281e-08</t>
  </si>
  <si>
    <t>3.2696022346471394e-05</t>
  </si>
  <si>
    <t>LF - Plastic_Other_2 - Ireland</t>
  </si>
  <si>
    <t>5f15603b-97d3-562e-8340-9d946ce1670b</t>
  </si>
  <si>
    <t>3.321577564543549e-11</t>
  </si>
  <si>
    <t>2.830756025526109e-08</t>
  </si>
  <si>
    <t>3.528439095030776e-10</t>
  </si>
  <si>
    <t>4.189097490214605e-06</t>
  </si>
  <si>
    <t>9.58318920751609e-05</t>
  </si>
  <si>
    <t>1.781609992546999e-08</t>
  </si>
  <si>
    <t>3.2692643535010984e-05</t>
  </si>
  <si>
    <t>LF - Plastic_Other_2 - Mexico</t>
  </si>
  <si>
    <t>b7d21969-e6af-5a92-8cd4-7b5b2610bbb0</t>
  </si>
  <si>
    <t>3.323414954697094e-11</t>
  </si>
  <si>
    <t>2.8310390247892678e-08</t>
  </si>
  <si>
    <t>0.026034525724290873</t>
  </si>
  <si>
    <t>3.528717077093304e-10</t>
  </si>
  <si>
    <t>4.1898571998266455e-06</t>
  </si>
  <si>
    <t>9.584047921170182e-05</t>
  </si>
  <si>
    <t>1.7820243259802923e-08</t>
  </si>
  <si>
    <t>3.269441545143434e-05</t>
  </si>
  <si>
    <t>LF - Plastic_Other_2 - Spain</t>
  </si>
  <si>
    <t>9fd51e27-6a70-5f7d-82a7-d1eda5744987</t>
  </si>
  <si>
    <t>3.321975007503894e-11</t>
  </si>
  <si>
    <t>2.830854678129008e-08</t>
  </si>
  <si>
    <t>0.026031489913278093</t>
  </si>
  <si>
    <t>3.5285934783429093e-10</t>
  </si>
  <si>
    <t>4.189519650291582e-06</t>
  </si>
  <si>
    <t>9.583666334083552e-05</t>
  </si>
  <si>
    <t>1.781840256007031e-08</t>
  </si>
  <si>
    <t>3.269362783769765e-05</t>
  </si>
  <si>
    <t>LF - Plastic_Other_2 - USA</t>
  </si>
  <si>
    <t>a8742e85-09ce-5632-857c-abb2070298d9</t>
  </si>
  <si>
    <t>3.320768728150258e-11</t>
  </si>
  <si>
    <t>2.8305552575581878e-08</t>
  </si>
  <si>
    <t>0.026019966837781308</t>
  </si>
  <si>
    <t>3.528124909464944e-10</t>
  </si>
  <si>
    <t>4.1882383520033095e-06</t>
  </si>
  <si>
    <t>9.582218206968952e-05</t>
  </si>
  <si>
    <t>1.7811413832493404e-08</t>
  </si>
  <si>
    <t>3.2690640380056966e-05</t>
  </si>
  <si>
    <t>LF - Rubber_Leather - Australia</t>
  </si>
  <si>
    <t>7abe11e8-b375-52f2-858a-46f91685b404</t>
  </si>
  <si>
    <t>0.10570637211267724</t>
  </si>
  <si>
    <t>3.314995707004665e-11</t>
  </si>
  <si>
    <t>2.9428144123932766e-08</t>
  </si>
  <si>
    <t>3.528218381595807e-10</t>
  </si>
  <si>
    <t>4.188496186114374e-06</t>
  </si>
  <si>
    <t>9.582509156857694e-05</t>
  </si>
  <si>
    <t>1.7812822420769666e-08</t>
  </si>
  <si>
    <t>3.269123848952237e-05</t>
  </si>
  <si>
    <t>LF - Rubber_Leather - Brazil</t>
  </si>
  <si>
    <t>1bd13119-2f8b-5a13-96d6-0299a168311a</t>
  </si>
  <si>
    <t>0.10638783838150821</t>
  </si>
  <si>
    <t>3.3181852094070525e-11</t>
  </si>
  <si>
    <t>2.9455865396615047e-08</t>
  </si>
  <si>
    <t>3.5290557345107505e-10</t>
  </si>
  <si>
    <t>4.1907855163345875e-06</t>
  </si>
  <si>
    <t>9.585096647165647e-05</t>
  </si>
  <si>
    <t>1.7825308959875115e-08</t>
  </si>
  <si>
    <t>3.269657681443118e-05</t>
  </si>
  <si>
    <t>LF - Rubber_Leather - Canada</t>
  </si>
  <si>
    <t>2f6b5215-8c1f-59ed-a29b-e144f525af4d</t>
  </si>
  <si>
    <t>0.10570511133873209</t>
  </si>
  <si>
    <t>3.3148152888187654e-11</t>
  </si>
  <si>
    <t>2.9427696293038135e-08</t>
  </si>
  <si>
    <t>3.528148299697531e-10</t>
  </si>
  <si>
    <t>4.1883045476583765e-06</t>
  </si>
  <si>
    <t>9.582292566508007e-05</t>
  </si>
  <si>
    <t>1.781177714585245e-08</t>
  </si>
  <si>
    <t>3.269079166790809e-05</t>
  </si>
  <si>
    <t>LF - Rubber_Leather - China</t>
  </si>
  <si>
    <t>5da6d737-f1e1-57f4-bcbd-853d5efb0878</t>
  </si>
  <si>
    <t>0.10637100201579988</t>
  </si>
  <si>
    <t>3.315775906319659e-11</t>
  </si>
  <si>
    <t>2.944988506624194e-08</t>
  </si>
  <si>
    <t>3.5281198613724295e-10</t>
  </si>
  <si>
    <t>4.1882263778460574e-06</t>
  </si>
  <si>
    <t>9.582204301277729e-05</t>
  </si>
  <si>
    <t>1.7811350366555085e-08</t>
  </si>
  <si>
    <t>3.269060996198059e-05</t>
  </si>
  <si>
    <t>LF - Rubber_Leather - India</t>
  </si>
  <si>
    <t>3d49adcd-9afe-5c6b-843c-8b80cc17ce4c</t>
  </si>
  <si>
    <t>0.10638625589364614</t>
  </si>
  <si>
    <t>3.3179587535936176e-11</t>
  </si>
  <si>
    <t>2.9455303291919137e-08</t>
  </si>
  <si>
    <t>3.528967769690578e-10</t>
  </si>
  <si>
    <t>4.19054497715495e-06</t>
  </si>
  <si>
    <t>9.584824789073473e-05</t>
  </si>
  <si>
    <t>1.7823996960309188e-08</t>
  </si>
  <si>
    <t>3.269601597655549e-05</t>
  </si>
  <si>
    <t>LF - Rubber_Leather - Ireland</t>
  </si>
  <si>
    <t>e9b45ea5-9bb4-5ce2-ad8d-cc0a805853dd</t>
  </si>
  <si>
    <t>0.10571031888328916</t>
  </si>
  <si>
    <t>3.315560494369449e-11</t>
  </si>
  <si>
    <t>2.942954602934248e-08</t>
  </si>
  <si>
    <t>3.52843776840783e-10</t>
  </si>
  <si>
    <t>4.189096097802746e-06</t>
  </si>
  <si>
    <t>9.583187178822047e-05</t>
  </si>
  <si>
    <t>1.7816094585728076e-08</t>
  </si>
  <si>
    <t>3.269263723544576e-05</t>
  </si>
  <si>
    <t>LF - Rubber_Leather - Mexico</t>
  </si>
  <si>
    <t>e0b48022-c6c4-5263-8387-afffcdb16b17</t>
  </si>
  <si>
    <t>0.10638172179920967</t>
  </si>
  <si>
    <t>3.3173099195213796e-11</t>
  </si>
  <si>
    <t>2.9453692767228565e-08</t>
  </si>
  <si>
    <t>3.5287157356552564e-10</t>
  </si>
  <si>
    <t>4.189855791864972e-06</t>
  </si>
  <si>
    <t>9.5840458698206e-05</t>
  </si>
  <si>
    <t>1.7820237860429266e-08</t>
  </si>
  <si>
    <t>3.2694409081518425e-05</t>
  </si>
  <si>
    <t>LF - Rubber_Leather - Spain</t>
  </si>
  <si>
    <t>c2290cf9-6733-56bb-85f8-60755781daf9</t>
  </si>
  <si>
    <t>0.10571309624037789</t>
  </si>
  <si>
    <t>3.315957937327964e-11</t>
  </si>
  <si>
    <t>2.943053255536815e-08</t>
  </si>
  <si>
    <t>3.5285921517198055e-10</t>
  </si>
  <si>
    <t>4.1895182578796225e-06</t>
  </si>
  <si>
    <t>9.583664305389213e-05</t>
  </si>
  <si>
    <t>1.7818397220328293e-08</t>
  </si>
  <si>
    <t>3.269362153813145e-05</t>
  </si>
  <si>
    <t>LF - Rubber_Leather - USA</t>
  </si>
  <si>
    <t>1890405b-c06e-5530-ac41-ba6cfa56bd21</t>
  </si>
  <si>
    <t>0.10570466668229112</t>
  </si>
  <si>
    <t>3.314751657976185e-11</t>
  </si>
  <si>
    <t>2.942753834966332e-08</t>
  </si>
  <si>
    <t>3.5281235828420015e-10</t>
  </si>
  <si>
    <t>4.188236959591447e-06</t>
  </si>
  <si>
    <t>9.582216178274884e-05</t>
  </si>
  <si>
    <t>1.7811408492751498e-08</t>
  </si>
  <si>
    <t>3.269063408049165e-05</t>
  </si>
  <si>
    <t>LF - Textiles - Australia</t>
  </si>
  <si>
    <t>fecfa116-b4e9-58a6-ad65-a52ba794d125</t>
  </si>
  <si>
    <t>1.0432319670925575e-06</t>
  </si>
  <si>
    <t>4.3960984699372526e-07</t>
  </si>
  <si>
    <t>LF - Textiles - Brazil</t>
  </si>
  <si>
    <t>99054028-4c7b-5517-adad-fe1afa041e55</t>
  </si>
  <si>
    <t>0.28591573900957656</t>
  </si>
  <si>
    <t>1.0611936340614928e-06</t>
  </si>
  <si>
    <t>4.1979777700324014e-07</t>
  </si>
  <si>
    <t>LF - Textiles - Canada</t>
  </si>
  <si>
    <t>d90e56e8-1ba6-53bb-9a80-1e0d79fec92f</t>
  </si>
  <si>
    <t>0.31986203568916755</t>
  </si>
  <si>
    <t>1.0432481961364421e-06</t>
  </si>
  <si>
    <t>4.4203041677271954e-07</t>
  </si>
  <si>
    <t>LF - Textiles - China</t>
  </si>
  <si>
    <t>98f40dad-21d4-5c61-b825-2f52b9633f20</t>
  </si>
  <si>
    <t>0.3389752307625857</t>
  </si>
  <si>
    <t>1.0614093926627797e-06</t>
  </si>
  <si>
    <t>4.5197827719435774e-07</t>
  </si>
  <si>
    <t>LF - Textiles - India</t>
  </si>
  <si>
    <t>9adee647-56f1-527e-8f2e-3747cc12258f</t>
  </si>
  <si>
    <t>0.3703125622798563</t>
  </si>
  <si>
    <t>1.1297660835465544e-06</t>
  </si>
  <si>
    <t>4.343004903162152e-07</t>
  </si>
  <si>
    <t>LF - Textiles - Ireland</t>
  </si>
  <si>
    <t>b8bf74a1-26a4-58aa-96ab-338c89b8b2c5</t>
  </si>
  <si>
    <t>0.3033772361055518</t>
  </si>
  <si>
    <t>1.0431811631290925e-06</t>
  </si>
  <si>
    <t>4.320324111638379e-07</t>
  </si>
  <si>
    <t>LF - Textiles - Mexico</t>
  </si>
  <si>
    <t>da354e8c-bfce-5205-a368-2cb526fea18a</t>
  </si>
  <si>
    <t>0.3051920337662879</t>
  </si>
  <si>
    <t>1.0612720182724473e-06</t>
  </si>
  <si>
    <t>4.3148882014383336e-07</t>
  </si>
  <si>
    <t>LF - Textiles - Spain</t>
  </si>
  <si>
    <t>fe84e889-e078-53d0-8345-7d957964c53e</t>
  </si>
  <si>
    <t>0.2945853429942933</t>
  </si>
  <si>
    <t>1.0431454121918394e-06</t>
  </si>
  <si>
    <t>4.26700141505769e-07</t>
  </si>
  <si>
    <t>LF - Textiles - USA</t>
  </si>
  <si>
    <t>50658bad-34c1-525d-b44b-b1596a103d9e</t>
  </si>
  <si>
    <t>0.32126962274541393</t>
  </si>
  <si>
    <t>1.0432539198817025e-06</t>
  </si>
  <si>
    <t>4.4288411615875023e-07</t>
  </si>
  <si>
    <t>LF - Third_Class_Mail - Australia</t>
  </si>
  <si>
    <t>44bdd196-2a5c-5937-b77e-d0cdc5367d08</t>
  </si>
  <si>
    <t>3.2497301722602816e-07</t>
  </si>
  <si>
    <t>2.421396678005779e-06</t>
  </si>
  <si>
    <t>LF - Third_Class_Mail - Brazil</t>
  </si>
  <si>
    <t>d788dfc8-4c8e-5035-823e-820c317705b8</t>
  </si>
  <si>
    <t>3.5167924554635727e-07</t>
  </si>
  <si>
    <t>LF - Third_Class_Mail - Canada</t>
  </si>
  <si>
    <t>4ee1da93-cc8a-5baf-8499-a0fda04befc0</t>
  </si>
  <si>
    <t>3.2497796985055034e-07</t>
  </si>
  <si>
    <t>2.064998806834718e-10</t>
  </si>
  <si>
    <t>2.7371614815485866e-06</t>
  </si>
  <si>
    <t>LF - Third_Class_Mail - China</t>
  </si>
  <si>
    <t>a0dafd21-1c1e-5d1a-94db-2dd2ba51ba46</t>
  </si>
  <si>
    <t>3.5174524433473457e-07</t>
  </si>
  <si>
    <t>1.2942581444690422e-09</t>
  </si>
  <si>
    <t>2.9304252463029996e-06</t>
  </si>
  <si>
    <t>LF - Third_Class_Mail - India</t>
  </si>
  <si>
    <t>7f6c5ec5-91ba-547f-b085-5405c0c6b04b</t>
  </si>
  <si>
    <t>4.477306001332275e-07</t>
  </si>
  <si>
    <t>3.5409990188775e-09</t>
  </si>
  <si>
    <t>3.890835151865119e-06</t>
  </si>
  <si>
    <t>LF - Third_Class_Mail - Ireland</t>
  </si>
  <si>
    <t>b4fa0a66-3fe6-5882-8996-1cc1162192b1</t>
  </si>
  <si>
    <t>3.2495751335795914e-07</t>
  </si>
  <si>
    <t>1.432915553871682e-06</t>
  </si>
  <si>
    <t>LF - Third_Class_Mail - Mexico</t>
  </si>
  <si>
    <t>cbaaeb99-3cdf-5c49-be0a-07558858256c</t>
  </si>
  <si>
    <t>3.517032226342696e-07</t>
  </si>
  <si>
    <t>2.5124495861441346e-07</t>
  </si>
  <si>
    <t>LF - Third_Class_Mail - Spain</t>
  </si>
  <si>
    <t>95a76ad9-d7b0-5c7d-a448-53bb35b6a936</t>
  </si>
  <si>
    <t>3.2494660322857726e-07</t>
  </si>
  <si>
    <t>7.373177257773332e-07</t>
  </si>
  <si>
    <t>LF - Third_Class_Mail - USA</t>
  </si>
  <si>
    <t>682401c3-356b-512a-bef9-65c60dfa6717</t>
  </si>
  <si>
    <t>3.2497971656843075e-07</t>
  </si>
  <si>
    <t>4.670237010503825e-10</t>
  </si>
  <si>
    <t>2.848527086974896e-06</t>
  </si>
  <si>
    <t>LF - Wood - Australia</t>
  </si>
  <si>
    <t>06d22a15-7d65-5b6c-8cf0-1e46a0ab6d92</t>
  </si>
  <si>
    <t>1.618168881578067e-12</t>
  </si>
  <si>
    <t>2.0516333532383134e-08</t>
  </si>
  <si>
    <t>6.033485315148593e-08</t>
  </si>
  <si>
    <t>8.125987653677711e-07</t>
  </si>
  <si>
    <t>5.834384374609443e-05</t>
  </si>
  <si>
    <t>8.14390481206487e-08</t>
  </si>
  <si>
    <t>2.5170354536081433e-05</t>
  </si>
  <si>
    <t>LF - Wood - Brazil</t>
  </si>
  <si>
    <t>96e08183-dec9-5155-bebf-3007e1acfb24</t>
  </si>
  <si>
    <t>0.049883213166048955</t>
  </si>
  <si>
    <t>1.9574156880936798e-08</t>
  </si>
  <si>
    <t>6.322133434174354e-08</t>
  </si>
  <si>
    <t>4.080410252530563e-07</t>
  </si>
  <si>
    <t>5.380401608609975e-05</t>
  </si>
  <si>
    <t>8.022785932723163e-08</t>
  </si>
  <si>
    <t>2.4232928661582896e-05</t>
  </si>
  <si>
    <t>LF - Wood - Canada</t>
  </si>
  <si>
    <t>95b8cc15-0f6b-5835-a116-257a76b8ffb8</t>
  </si>
  <si>
    <t>1.947447903587838e-12</t>
  </si>
  <si>
    <t>2.059806660062388e-08</t>
  </si>
  <si>
    <t>6.03361322076301e-08</t>
  </si>
  <si>
    <t>8.47574465315961e-07</t>
  </si>
  <si>
    <t>5.8739140141250575e-05</t>
  </si>
  <si>
    <t>8.162981996588034e-08</t>
  </si>
  <si>
    <t>2.5251903401796068e-05</t>
  </si>
  <si>
    <t>LF - Wood - China</t>
  </si>
  <si>
    <t>d26d66d8-d940-5d48-80b0-a5ccf47a16f9</t>
  </si>
  <si>
    <t>0.052945245066077395</t>
  </si>
  <si>
    <t>2.2152036638600374e-12</t>
  </si>
  <si>
    <t>2.066180030068574e-08</t>
  </si>
  <si>
    <t>6.323835507800908e-08</t>
  </si>
  <si>
    <t>8.734718565989648e-07</t>
  </si>
  <si>
    <t>5.906432910622933e-05</t>
  </si>
  <si>
    <t>8.276651040941378e-08</t>
  </si>
  <si>
    <t>2.5318120849905777e-05</t>
  </si>
  <si>
    <t>LF - Wood - India</t>
  </si>
  <si>
    <t>eefa7bd3-7eb0-5721-a336-d8bd69a47208</t>
  </si>
  <si>
    <t>0.052069389215247314</t>
  </si>
  <si>
    <t>1.0138130867095708e-12</t>
  </si>
  <si>
    <t>2.035218152244929e-08</t>
  </si>
  <si>
    <t>7.391611744247766e-08</t>
  </si>
  <si>
    <t>7.403479509829709e-07</t>
  </si>
  <si>
    <t>5.767936485453912e-05</t>
  </si>
  <si>
    <t>8.20403204780856e-08</t>
  </si>
  <si>
    <t>2.5007697867301053e-05</t>
  </si>
  <si>
    <t>LF - Wood - Ireland</t>
  </si>
  <si>
    <t>96688d0c-8c54-5886-8404-0aa14e88fa6b</t>
  </si>
  <si>
    <t>5.873823778941975e-13</t>
  </si>
  <si>
    <t>2.0260473492672812e-08</t>
  </si>
  <si>
    <t>6.033084914964328e-08</t>
  </si>
  <si>
    <t>7.031096177038591e-07</t>
  </si>
  <si>
    <t>5.710639416125736e-05</t>
  </si>
  <si>
    <t>8.08418493007931e-08</t>
  </si>
  <si>
    <t>2.4915071130365884e-05</t>
  </si>
  <si>
    <t>LF - Wood - Mexico</t>
  </si>
  <si>
    <t>f09209ea-91f1-5f22-bf39-5db5e8cf7503</t>
  </si>
  <si>
    <t>1.9969293254403635e-08</t>
  </si>
  <si>
    <t>6.322751790510591e-08</t>
  </si>
  <si>
    <t>5.771301287757262e-07</t>
  </si>
  <si>
    <t>5.571506613461125e-05</t>
  </si>
  <si>
    <t>8.115014080652624e-08</t>
  </si>
  <si>
    <t>2.462717451277135e-05</t>
  </si>
  <si>
    <t>LF - Wood - Spain</t>
  </si>
  <si>
    <t>c4cbb78f-85d5-5ee2-b097-04e53f810b7d</t>
  </si>
  <si>
    <t>2.0080423835098853e-08</t>
  </si>
  <si>
    <t>6.032803151871698e-08</t>
  </si>
  <si>
    <t>6.260616989773974e-07</t>
  </si>
  <si>
    <t>5.6235596305260696e-05</t>
  </si>
  <si>
    <t>8.042159827941322e-08</t>
  </si>
  <si>
    <t>2.4735427252269686e-05</t>
  </si>
  <si>
    <t>LF - Wood - USA</t>
  </si>
  <si>
    <t>bb1c27c7-4ea6-5ba6-9467-2088c99d6016</t>
  </si>
  <si>
    <t>2.063579775250807e-12</t>
  </si>
  <si>
    <t>2.0626892652564872e-08</t>
  </si>
  <si>
    <t>6.033658331193391e-08</t>
  </si>
  <si>
    <t>8.599098806512301e-07</t>
  </si>
  <si>
    <t>5.887855537016708e-05</t>
  </si>
  <si>
    <t>8.169710239192735e-08</t>
  </si>
  <si>
    <t>2.5280664488213292e-05</t>
  </si>
  <si>
    <t>LF - Wood_Other - Australia</t>
  </si>
  <si>
    <t>2c747999-b08d-5b45-ab7c-f88f0e47f166</t>
  </si>
  <si>
    <t>0.054450397019561336</t>
  </si>
  <si>
    <t>5.171459655913819e-12</t>
  </si>
  <si>
    <t>2.140730265675124e-08</t>
  </si>
  <si>
    <t>5.338161983186113e-08</t>
  </si>
  <si>
    <t>1.2039363674003325e-06</t>
  </si>
  <si>
    <t>6.268869942224673e-05</t>
  </si>
  <si>
    <t>7.157487113953557e-08</t>
  </si>
  <si>
    <t>2.6218471800363275e-05</t>
  </si>
  <si>
    <t>LF - Wood_Other - Brazil</t>
  </si>
  <si>
    <t>5f08a4bc-76a1-50c3-b0ca-cb3ce5a9af25</t>
  </si>
  <si>
    <t>1.8276342574602777e-12</t>
  </si>
  <si>
    <t>2.0574880454234536e-08</t>
  </si>
  <si>
    <t>5.593350424513923e-08</t>
  </si>
  <si>
    <t>8.465410897172532e-07</t>
  </si>
  <si>
    <t>5.867813629805175e-05</t>
  </si>
  <si>
    <t>7.04753381231105e-08</t>
  </si>
  <si>
    <t>2.539326991661372e-05</t>
  </si>
  <si>
    <t>LF - Wood_Other - Canada</t>
  </si>
  <si>
    <t>9f5eb94d-9aa8-5a2e-b03c-d2f41b0db200</t>
  </si>
  <si>
    <t>0.054653679272662306</t>
  </si>
  <si>
    <t>5.462358872819853e-12</t>
  </si>
  <si>
    <t>2.1479509156276917e-08</t>
  </si>
  <si>
    <t>5.3382749804941245e-08</t>
  </si>
  <si>
    <t>1.2348354014886931e-06</t>
  </si>
  <si>
    <t>6.303792121929532e-05</t>
  </si>
  <si>
    <t>7.174340717334324e-08</t>
  </si>
  <si>
    <t>2.62905155674735e-05</t>
  </si>
  <si>
    <t>LF - Wood_Other - China</t>
  </si>
  <si>
    <t>cd0f9084-7310-5f50-a25f-ef9c7a3084d6</t>
  </si>
  <si>
    <t>0.054870165594903396</t>
  </si>
  <si>
    <t>5.6986968162547825e-12</t>
  </si>
  <si>
    <t>2.15357488944737e-08</t>
  </si>
  <si>
    <t>5.594854105592689e-08</t>
  </si>
  <si>
    <t>1.2577216189552229e-06</t>
  </si>
  <si>
    <t>6.332531079940479e-05</t>
  </si>
  <si>
    <t>7.271808575653151e-08</t>
  </si>
  <si>
    <t>2.635197283929975e-05</t>
  </si>
  <si>
    <t>LF - Wood_Other - India</t>
  </si>
  <si>
    <t>bee93fd9-d39e-56c3-b9dc-2da171e99308</t>
  </si>
  <si>
    <t>0.054097608906685114</t>
  </si>
  <si>
    <t>4.639104156333021e-12</t>
  </si>
  <si>
    <t>2.1262649814820877e-08</t>
  </si>
  <si>
    <t>6.538852639199927e-08</t>
  </si>
  <si>
    <t>1.1402984703726833e-06</t>
  </si>
  <si>
    <t>6.210393200156368e-05</t>
  </si>
  <si>
    <t>7.207754318364618e-08</t>
  </si>
  <si>
    <t>2.60781613646697e-05</t>
  </si>
  <si>
    <t>LF - Wood_Other - Ireland</t>
  </si>
  <si>
    <t>8bba52f4-6bb7-5a5b-8bc9-db7002d9ec70</t>
  </si>
  <si>
    <t>4.2608186290765836e-12</t>
  </si>
  <si>
    <t>2.118126491910557e-08</t>
  </si>
  <si>
    <t>5.337808252482771e-08</t>
  </si>
  <si>
    <t>1.10720895634106e-06</t>
  </si>
  <si>
    <t>6.159548336192023e-05</t>
  </si>
  <si>
    <t>7.104728007718114e-08</t>
  </si>
  <si>
    <t>2.5992943485931137e-05</t>
  </si>
  <si>
    <t>LF - Wood_Other - Mexico</t>
  </si>
  <si>
    <t>ef79dfdc-2ff8-50cf-8585-3d2447de745a</t>
  </si>
  <si>
    <t>0.053147802293538035</t>
  </si>
  <si>
    <t>3.2339753368725694e-12</t>
  </si>
  <si>
    <t>2.0923959999939417e-08</t>
  </si>
  <si>
    <t>5.593896705654898e-08</t>
  </si>
  <si>
    <t>9.959212819872278e-07</t>
  </si>
  <si>
    <t>6.0366435648730596e-05</t>
  </si>
  <si>
    <t>7.129011909854812e-08</t>
  </si>
  <si>
    <t>2.574156273871314e-05</t>
  </si>
  <si>
    <t>LF - Wood_Other - Spain</t>
  </si>
  <si>
    <t>15acf09f-4b15-58fa-bc4e-0e913bebdf9c</t>
  </si>
  <si>
    <t>3.6199971657466414e-12</t>
  </si>
  <si>
    <t>2.102220132594749e-08</t>
  </si>
  <si>
    <t>5.337559330876717e-08</t>
  </si>
  <si>
    <t>1.0391415189289806e-06</t>
  </si>
  <si>
    <t>6.082618317131999e-05</t>
  </si>
  <si>
    <t>7.067601229256134e-08</t>
  </si>
  <si>
    <t>2.5834238375775096e-05</t>
  </si>
  <si>
    <t>LF - Wood_Other - USA</t>
  </si>
  <si>
    <t>a3242594-47a8-5049-ac66-fa7a53967e57</t>
  </si>
  <si>
    <t>5.564954751288798e-12</t>
  </si>
  <si>
    <t>2.1504975327443613e-08</t>
  </si>
  <si>
    <t>5.3383148329839444e-08</t>
  </si>
  <si>
    <t>1.245733036689815e-06</t>
  </si>
  <si>
    <t>6.316108661461598e-05</t>
  </si>
  <si>
    <t>7.180284735549985e-08</t>
  </si>
  <si>
    <t>2.631592434530905e-05</t>
  </si>
  <si>
    <t>LF - Yard_Trimmings_Branches - Australia</t>
  </si>
  <si>
    <t>844bb347-0430-59fd-9ff8-97d140ff55e6</t>
  </si>
  <si>
    <t>6.743953654956969e-07</t>
  </si>
  <si>
    <t>5.807432332892818e-07</t>
  </si>
  <si>
    <t>LF - Yard_Trimmings_Branches - Brazil</t>
  </si>
  <si>
    <t>d76cf154-7063-5a10-ac54-4b18cca21eda</t>
  </si>
  <si>
    <t>6.78668558311236e-07</t>
  </si>
  <si>
    <t>5.787615479468093e-07</t>
  </si>
  <si>
    <t>LF - Yard_Trimmings_Branches - Canada</t>
  </si>
  <si>
    <t>d7aab5b5-f1ef-5ecb-8945-26bc077045cf</t>
  </si>
  <si>
    <t>6.744011305269247e-07</t>
  </si>
  <si>
    <t>5.81603090497411e-07</t>
  </si>
  <si>
    <t>LF - Yard_Trimmings_Branches - China</t>
  </si>
  <si>
    <t>d14492db-cf53-5b0e-93ab-f492158b3149</t>
  </si>
  <si>
    <t>6.787451664855034e-07</t>
  </si>
  <si>
    <t>5.90187694352813e-07</t>
  </si>
  <si>
    <t>LF - Yard_Trimmings_Branches - India</t>
  </si>
  <si>
    <t>d8dce8c1-7c9b-5eb8-bdd7-2f5a2b4637a8</t>
  </si>
  <si>
    <t>6.952963378867659e-07</t>
  </si>
  <si>
    <t>5.827816309959988e-07</t>
  </si>
  <si>
    <t>LF - Yard_Trimmings_Branches - Ireland</t>
  </si>
  <si>
    <t>710bf830-0df7-57cc-963e-d3287c1e4076</t>
  </si>
  <si>
    <t>6.74377318441418e-07</t>
  </si>
  <si>
    <t>5.780515063768767e-07</t>
  </si>
  <si>
    <t>LF - Yard_Trimmings_Branches - Mexico</t>
  </si>
  <si>
    <t>0e3a1f3c-9ada-5d0f-ab04-9854d3822fd1</t>
  </si>
  <si>
    <t>6.786963897453332e-07</t>
  </si>
  <si>
    <t>5.829126198620968e-07</t>
  </si>
  <si>
    <t>LF - Yard_Trimmings_Branches - Spain</t>
  </si>
  <si>
    <t>5253af1a-d5d9-5699-a95e-01610938b1eb</t>
  </si>
  <si>
    <t>6.743646186624812e-07</t>
  </si>
  <si>
    <t>5.761573281792582e-07</t>
  </si>
  <si>
    <t>LF - Yard_Trimmings_Branches - USA</t>
  </si>
  <si>
    <t>04cfe0e2-11de-5f08-bd28-d10b5dd0d0e3</t>
  </si>
  <si>
    <t>6.744031637687104e-07</t>
  </si>
  <si>
    <t>5.819063494974313e-07</t>
  </si>
  <si>
    <t>LF - Yard_Trimmings_Grass - Australia</t>
  </si>
  <si>
    <t>e7e4b19b-8dae-5751-9bba-88f16e4c48ed</t>
  </si>
  <si>
    <t>1.7961509626391116e-08</t>
  </si>
  <si>
    <t>0.018604858580971505</t>
  </si>
  <si>
    <t>3.4426474484071635e-07</t>
  </si>
  <si>
    <t>4.9554447388002066e-05</t>
  </si>
  <si>
    <t>2.043937406828257e-07</t>
  </si>
  <si>
    <t>2.2865719733363374e-05</t>
  </si>
  <si>
    <t>LF - Yard_Trimmings_Grass - Brazil</t>
  </si>
  <si>
    <t>e5a840cc-05c1-5116-ac2b-64546595d8f1</t>
  </si>
  <si>
    <t>1.669306055613591e-08</t>
  </si>
  <si>
    <t>3.8689935764542783e-07</t>
  </si>
  <si>
    <t>4.386557274251969e-05</t>
  </si>
  <si>
    <t>2.039749243312548e-07</t>
  </si>
  <si>
    <t>2.160206819748229e-05</t>
  </si>
  <si>
    <t>LF - Yard_Trimmings_Grass - Canada</t>
  </si>
  <si>
    <t>7126c506-8716-508d-87fa-957e4ac42698</t>
  </si>
  <si>
    <t>1.806903821219211e-08</t>
  </si>
  <si>
    <t>0.019018677848252397</t>
  </si>
  <si>
    <t>3.442664275757623e-07</t>
  </si>
  <si>
    <t>5.00745020397884e-05</t>
  </si>
  <si>
    <t>2.046447214323551e-07</t>
  </si>
  <si>
    <t>2.2973005981056225e-05</t>
  </si>
  <si>
    <t>LF - Yard_Trimmings_Grass - China</t>
  </si>
  <si>
    <t>8d667b77-df4f-56a7-9a27-dea722b37417</t>
  </si>
  <si>
    <t>1.8127854709404104e-08</t>
  </si>
  <si>
    <t>3.8692181100875867e-07</t>
  </si>
  <si>
    <t>5.080485654509363e-05</t>
  </si>
  <si>
    <t>2.0732385437925e-07</t>
  </si>
  <si>
    <t>2.3033628742699348e-05</t>
  </si>
  <si>
    <t>LF - Yard_Trimmings_Grass - India</t>
  </si>
  <si>
    <t>e52d32b9-3e8c-5775-99d7-6531d4e2a758</t>
  </si>
  <si>
    <t>0.049435551220946033</t>
  </si>
  <si>
    <t>3.870296540697907e-12</t>
  </si>
  <si>
    <t>2.0547154870486292e-08</t>
  </si>
  <si>
    <t>0.2032782171923476</t>
  </si>
  <si>
    <t>5.387835219167933e-07</t>
  </si>
  <si>
    <t>8.482330018439841e-07</t>
  </si>
  <si>
    <t>6.410431215975082e-05</t>
  </si>
  <si>
    <t>2.1292076654321483e-07</t>
  </si>
  <si>
    <t>2.5426129784568848e-05</t>
  </si>
  <si>
    <t>LF - Yard_Trimmings_Grass - Ireland</t>
  </si>
  <si>
    <t>9a7516a4-4ce6-5fbe-8672-d465252fc9c8</t>
  </si>
  <si>
    <t>0.041271922498462885</t>
  </si>
  <si>
    <t>1.7624898401274802e-08</t>
  </si>
  <si>
    <t>0.017309424352961837</t>
  </si>
  <si>
    <t>3.4425947714839853e-07</t>
  </si>
  <si>
    <t>4.7926450217192433e-05</t>
  </si>
  <si>
    <t>2.0360806181473364e-07</t>
  </si>
  <si>
    <t>2.2529867131890083e-05</t>
  </si>
  <si>
    <t>LF - Yard_Trimmings_Grass - Mexico</t>
  </si>
  <si>
    <t>5c2a921b-d61e-5e2e-9e04-0d45e036a089</t>
  </si>
  <si>
    <t>1.7214315360881705e-08</t>
  </si>
  <si>
    <t>0.054131726572866364</t>
  </si>
  <si>
    <t>3.869075148598214e-07</t>
  </si>
  <si>
    <t>4.638658595918585e-05</t>
  </si>
  <si>
    <t>2.0519157682060155e-07</t>
  </si>
  <si>
    <t>2.2122148245744893e-05</t>
  </si>
  <si>
    <t>LF - Yard_Trimmings_Grass - Spain</t>
  </si>
  <si>
    <t>2e085329-b296-5f16-8b4a-c048feba1533</t>
  </si>
  <si>
    <t>1.7388023835452188e-08</t>
  </si>
  <si>
    <t>3.442557702538045e-07</t>
  </si>
  <si>
    <t>4.6780822578474434e-05</t>
  </si>
  <si>
    <t>2.0305517668533546e-07</t>
  </si>
  <si>
    <t>2.2293526412334795e-05</t>
  </si>
  <si>
    <t>LF - Yard_Trimmings_Grass - USA</t>
  </si>
  <si>
    <t>64e14db7-a790-59b9-b1be-c4d56d8bac6d</t>
  </si>
  <si>
    <t>1.8106961964106687e-08</t>
  </si>
  <si>
    <t>0.019164625821971207</t>
  </si>
  <si>
    <t>3.442670210516824e-07</t>
  </si>
  <si>
    <t>5.0257917672297435e-05</t>
  </si>
  <si>
    <t>2.0473323865407786e-07</t>
  </si>
  <si>
    <t>2.301084426384882e-05</t>
  </si>
  <si>
    <t>LF - Yard_Trimmings_Leaves - Australia</t>
  </si>
  <si>
    <t>017b1919-d0cd-59e3-bea5-fb02a22bbcbf</t>
  </si>
  <si>
    <t>9.285923938977657e-09</t>
  </si>
  <si>
    <t>2.8615311331297854e-07</t>
  </si>
  <si>
    <t>6.661148769712736e-06</t>
  </si>
  <si>
    <t>6.171864307854985e-07</t>
  </si>
  <si>
    <t>1.451088513355671e-05</t>
  </si>
  <si>
    <t>LF - Yard_Trimmings_Leaves - Brazil</t>
  </si>
  <si>
    <t>20f8f8b9-5156-52b2-a124-7e9e0a53a747</t>
  </si>
  <si>
    <t>6.9501402134156885e-09</t>
  </si>
  <si>
    <t>3.144531531747987e-07</t>
  </si>
  <si>
    <t>6.195344612321992e-07</t>
  </si>
  <si>
    <t>1.2189143393313168e-05</t>
  </si>
  <si>
    <t>LF - Yard_Trimmings_Leaves - Canada</t>
  </si>
  <si>
    <t>f22cf64c-ad61-54b6-8dfa-6f32576a4bc1</t>
  </si>
  <si>
    <t>0.019751187004048744</t>
  </si>
  <si>
    <t>9.484436207984049e-09</t>
  </si>
  <si>
    <t>2.8615621986878064e-07</t>
  </si>
  <si>
    <t>7.62123978331984e-06</t>
  </si>
  <si>
    <t>6.176497750924554e-07</t>
  </si>
  <si>
    <t>1.4708950013737508e-05</t>
  </si>
  <si>
    <t>LF - Yard_Trimmings_Leaves - China</t>
  </si>
  <si>
    <t>68222654-8d2c-54bf-b054-5d7234f3b03b</t>
  </si>
  <si>
    <t>0.020097634534823522</t>
  </si>
  <si>
    <t>9.597419660027567e-09</t>
  </si>
  <si>
    <t>3.144945809483354e-07</t>
  </si>
  <si>
    <t>8.457135803395861e-06</t>
  </si>
  <si>
    <t>6.257134337795632e-07</t>
  </si>
  <si>
    <t>1.4830456643229178e-05</t>
  </si>
  <si>
    <t>LF - Yard_Trimmings_Leaves - India</t>
  </si>
  <si>
    <t>579ddae5-4ab8-5632-867b-97b457aeb112</t>
  </si>
  <si>
    <t>0.024947372132575196</t>
  </si>
  <si>
    <t>1.133407492708084e-08</t>
  </si>
  <si>
    <t>4.151249877025717e-07</t>
  </si>
  <si>
    <t>1.7915682819788352e-05</t>
  </si>
  <si>
    <t>6.297338428124898e-07</t>
  </si>
  <si>
    <t>1.6549052990319205e-05</t>
  </si>
  <si>
    <t>LF - Yard_Trimmings_Leaves - Ireland</t>
  </si>
  <si>
    <t>3c46e7f5-4756-5ac5-b609-ba37b768a78a</t>
  </si>
  <si>
    <t>0.017442812351637173</t>
  </si>
  <si>
    <t>8.66449422730535e-09</t>
  </si>
  <si>
    <t>2.861433884426415e-07</t>
  </si>
  <si>
    <t>3.65564646624669e-06</t>
  </si>
  <si>
    <t>6.157359616506776e-07</t>
  </si>
  <si>
    <t>1.3890855943425467e-05</t>
  </si>
  <si>
    <t>LF - Yard_Trimmings_Leaves - Mexico</t>
  </si>
  <si>
    <t>a24b61af-3134-5365-b413-2f5a11de32b8</t>
  </si>
  <si>
    <t>0.015352367881900402</t>
  </si>
  <si>
    <t>7.91188592996988e-09</t>
  </si>
  <si>
    <t>3.1446820371424833e-07</t>
  </si>
  <si>
    <t>3.051671847691825e-07</t>
  </si>
  <si>
    <t>6.217792565022132e-07</t>
  </si>
  <si>
    <t>1.314872161518892e-05</t>
  </si>
  <si>
    <t>LF - Yard_Trimmings_Leaves - Spain</t>
  </si>
  <si>
    <t>a04af846-8836-5fa1-8295-2ff76951a803</t>
  </si>
  <si>
    <t>8.227191837610023e-09</t>
  </si>
  <si>
    <t>2.8613654501536725e-07</t>
  </si>
  <si>
    <t>1.5406633638076918e-06</t>
  </si>
  <si>
    <t>6.147152611483962e-07</t>
  </si>
  <si>
    <t>1.3454539105925717e-05</t>
  </si>
  <si>
    <t>LF - Yard_Trimmings_Leaves - USA</t>
  </si>
  <si>
    <t>2bd543af-b2d0-5031-8162-16c0151cf412</t>
  </si>
  <si>
    <t>9.554448567734475e-09</t>
  </si>
  <si>
    <t>2.8615731550535507e-07</t>
  </si>
  <si>
    <t>7.959849773397948e-06</t>
  </si>
  <si>
    <t>6.178131898197657e-07</t>
  </si>
  <si>
    <t>1.4778804586025095e-05</t>
  </si>
  <si>
    <t>Recycle - Al - Australia</t>
  </si>
  <si>
    <t>84bffacb-3e50-5594-9e5b-b1cf7b494c87</t>
  </si>
  <si>
    <t>Al</t>
  </si>
  <si>
    <t>Recycle - Al - Brazil</t>
  </si>
  <si>
    <t>60eb6253-ff15-5c60-b8f5-560bda139332</t>
  </si>
  <si>
    <t>Recycle - Al - Canada</t>
  </si>
  <si>
    <t>7f039ab7-8e95-592b-ae4a-a6a8823adc81</t>
  </si>
  <si>
    <t>Recycle - Al - China</t>
  </si>
  <si>
    <t>e884e6bd-a86a-5f12-b36c-aa12942dccd1</t>
  </si>
  <si>
    <t>Recycle - Al - India</t>
  </si>
  <si>
    <t>5240ea47-7569-5ab0-bd41-1c0d5c5cceb1</t>
  </si>
  <si>
    <t>Recycle - Al - Ireland</t>
  </si>
  <si>
    <t>9863242c-75be-5326-9697-777416539493</t>
  </si>
  <si>
    <t>Recycle - Al - Mexico</t>
  </si>
  <si>
    <t>40eb5358-07cd-5442-b5c1-2c87f983baf4</t>
  </si>
  <si>
    <t>Recycle - Al - Spain</t>
  </si>
  <si>
    <t>42870897-c410-5b99-a292-53ccad41dcff</t>
  </si>
  <si>
    <t>Recycle - Al - United States</t>
  </si>
  <si>
    <t>d8148dca-0c49-55d6-979d-b8dbcc71cc33</t>
  </si>
  <si>
    <t>Recycle - Brown_glass - Australia</t>
  </si>
  <si>
    <t>b2320c2f-ff4c-5617-a950-1837d43bf152</t>
  </si>
  <si>
    <t>Brown_glass</t>
  </si>
  <si>
    <t>0.15258630108022156</t>
  </si>
  <si>
    <t>3.495331268543368e-10</t>
  </si>
  <si>
    <t>6.073249978207488e-08</t>
  </si>
  <si>
    <t>0.011139714590016692</t>
  </si>
  <si>
    <t>6.773714726367904e-10</t>
  </si>
  <si>
    <t>6.304909728214537e-06</t>
  </si>
  <si>
    <t>2.8024455777957734e-08</t>
  </si>
  <si>
    <t>Recycle - Brown_glass - Brazil</t>
  </si>
  <si>
    <t>5bfcea38-1b89-5551-a5ac-82fa01191773</t>
  </si>
  <si>
    <t>0.15318817980217148</t>
  </si>
  <si>
    <t>3.5039442215296063e-10</t>
  </si>
  <si>
    <t>6.094628900857213e-08</t>
  </si>
  <si>
    <t>6.807171004174569e-10</t>
  </si>
  <si>
    <t>6.39639568364194e-06</t>
  </si>
  <si>
    <t>2.8523457786652038e-08</t>
  </si>
  <si>
    <t>Recycle - Brown_glass - Canada</t>
  </si>
  <si>
    <t>5cd90fe0-8a4e-5511-a19a-feb3e3cc5dd2</t>
  </si>
  <si>
    <t>0.15253300973506037</t>
  </si>
  <si>
    <t>3.4945686633313033e-10</t>
  </si>
  <si>
    <t>6.071357052764995e-08</t>
  </si>
  <si>
    <t>0.011138029993667559</t>
  </si>
  <si>
    <t>6.770752451770615e-10</t>
  </si>
  <si>
    <t>6.296809409244989e-06</t>
  </si>
  <si>
    <t>2.7980273308440084e-08</t>
  </si>
  <si>
    <t>Recycle - Brown_glass - China</t>
  </si>
  <si>
    <t>65bb4e32-80a0-5b9f-82a2-d6e2af39611a</t>
  </si>
  <si>
    <t>0.15248081718051074</t>
  </si>
  <si>
    <t>3.493821781937812e-10</t>
  </si>
  <si>
    <t>6.069503156712663e-08</t>
  </si>
  <si>
    <t>0.011136380131262532</t>
  </si>
  <si>
    <t>6.767851254999913e-10</t>
  </si>
  <si>
    <t>6.288876107160883e-06</t>
  </si>
  <si>
    <t>2.7937001817673453e-08</t>
  </si>
  <si>
    <t>Recycle - Brown_glass - India</t>
  </si>
  <si>
    <t>f3069ccf-7f65-51e3-a8ce-7d11964a594a</t>
  </si>
  <si>
    <t>0.15312169319916658</t>
  </si>
  <si>
    <t>3.5029927906765027e-10</t>
  </si>
  <si>
    <t>6.092267275680837e-08</t>
  </si>
  <si>
    <t>0.011156638906840516</t>
  </si>
  <si>
    <t>6.803475252556408e-10</t>
  </si>
  <si>
    <t>6.386289676937805e-06</t>
  </si>
  <si>
    <t>2.8468335471738372e-08</t>
  </si>
  <si>
    <t>Recycle - Brown_glass - Ireland</t>
  </si>
  <si>
    <t>69294d18-d5ab-5387-be73-97fda9077294</t>
  </si>
  <si>
    <t>0.1527531261607696</t>
  </si>
  <si>
    <t>3.497718554425595e-10</t>
  </si>
  <si>
    <t>6.079175657855265e-08</t>
  </si>
  <si>
    <t>6.782987933803569e-10</t>
  </si>
  <si>
    <t>6.330267248469264e-06</t>
  </si>
  <si>
    <t>2.8162766117325482e-08</t>
  </si>
  <si>
    <t>Recycle - Brown_glass - Mexico</t>
  </si>
  <si>
    <t>60908bc6-ebad-5381-b5fe-69b0cfe2fc8a</t>
  </si>
  <si>
    <t>0.1529311978759501</t>
  </si>
  <si>
    <t>3.500266780928842e-10</t>
  </si>
  <si>
    <t>6.085500821523798e-08</t>
  </si>
  <si>
    <t>6.792886301290907e-10</t>
  </si>
  <si>
    <t>6.357334264470925e-06</t>
  </si>
  <si>
    <t>2.8310400749232785e-08</t>
  </si>
  <si>
    <t>Recycle - Brown_glass - Spain</t>
  </si>
  <si>
    <t>2980a700-fc84-5351-9af1-2961326de298</t>
  </si>
  <si>
    <t>0.1528705215877999</t>
  </si>
  <si>
    <t>3.49939849634223e-10</t>
  </si>
  <si>
    <t>6.0833455805695e-08</t>
  </si>
  <si>
    <t>0.011148699103886706</t>
  </si>
  <si>
    <t>6.789513524220944e-10</t>
  </si>
  <si>
    <t>6.348111429388684e-06</t>
  </si>
  <si>
    <t>2.8260095615396396e-08</t>
  </si>
  <si>
    <t>Recycle - Brown_glass - United States</t>
  </si>
  <si>
    <t>0e307f3c-2695-5c5d-997c-f50e5cba8f8b</t>
  </si>
  <si>
    <t>0.1525142146608391</t>
  </si>
  <si>
    <t>3.494299703680904e-10</t>
  </si>
  <si>
    <t>6.070689445781533e-08</t>
  </si>
  <si>
    <t>0.011137435861293205</t>
  </si>
  <si>
    <t>6.769707701056509e-10</t>
  </si>
  <si>
    <t>6.293952545794294e-06</t>
  </si>
  <si>
    <t>2.7964690800788617e-08</t>
  </si>
  <si>
    <t>Recycle - Clear_glass - Australia</t>
  </si>
  <si>
    <t>9b660bc0-6d21-5046-8d05-d0cf545999c1</t>
  </si>
  <si>
    <t>Clear_glass</t>
  </si>
  <si>
    <t>0.15258630108022211</t>
  </si>
  <si>
    <t>3.495331268543373e-10</t>
  </si>
  <si>
    <t>6.073249978207509e-08</t>
  </si>
  <si>
    <t>0.011139714590016185</t>
  </si>
  <si>
    <t>6.77371472636785e-10</t>
  </si>
  <si>
    <t>6.304909728214347e-06</t>
  </si>
  <si>
    <t>2.8024455777958158e-08</t>
  </si>
  <si>
    <t>Recycle - Clear_glass - Brazil</t>
  </si>
  <si>
    <t>bbdcf492-459c-52ea-8a8a-cca52f48bb67</t>
  </si>
  <si>
    <t>3.503944221529607e-10</t>
  </si>
  <si>
    <t>6.094628900857214e-08</t>
  </si>
  <si>
    <t>2.8523457786652045e-08</t>
  </si>
  <si>
    <t>Recycle - Clear_glass - Canada</t>
  </si>
  <si>
    <t>8fdda307-9ac2-5bcb-9604-6404971c6463</t>
  </si>
  <si>
    <t>0.1525330097350604</t>
  </si>
  <si>
    <t>2.798027330844009e-08</t>
  </si>
  <si>
    <t>Recycle - Clear_glass - China</t>
  </si>
  <si>
    <t>9815f593-66d1-5ef4-8029-c8347b1fdf8e</t>
  </si>
  <si>
    <t>0.1524808171805108</t>
  </si>
  <si>
    <t>3.4938217819378075e-10</t>
  </si>
  <si>
    <t>6.069503156712666e-08</t>
  </si>
  <si>
    <t>0.011136380131262471</t>
  </si>
  <si>
    <t>6.767851254999797e-10</t>
  </si>
  <si>
    <t>6.288876107160834e-06</t>
  </si>
  <si>
    <t>2.7937001817673387e-08</t>
  </si>
  <si>
    <t>Recycle - Clear_glass - India</t>
  </si>
  <si>
    <t>9311d85c-5baf-5ac0-9de1-e87d05b3406b</t>
  </si>
  <si>
    <t>6.092267275680838e-08</t>
  </si>
  <si>
    <t>6.386289676937806e-06</t>
  </si>
  <si>
    <t>2.8468335471738375e-08</t>
  </si>
  <si>
    <t>Recycle - Clear_glass - Ireland</t>
  </si>
  <si>
    <t>62d6bad5-be27-56d0-b231-84913e77009d</t>
  </si>
  <si>
    <t>6.3302672484692655e-06</t>
  </si>
  <si>
    <t>2.816276611732549e-08</t>
  </si>
  <si>
    <t>Recycle - Clear_glass - Mexico</t>
  </si>
  <si>
    <t>d9ec546e-4b89-5f31-9a6a-f851dfa52eef</t>
  </si>
  <si>
    <t>6.792886301290908e-10</t>
  </si>
  <si>
    <t>2.831040074923279e-08</t>
  </si>
  <si>
    <t>Recycle - Clear_glass - Spain</t>
  </si>
  <si>
    <t>00b21453-14ce-5066-8efc-ee82733d2c59</t>
  </si>
  <si>
    <t>0.15287052158780406</t>
  </si>
  <si>
    <t>3.4993984963423116e-10</t>
  </si>
  <si>
    <t>6.083345580569661e-08</t>
  </si>
  <si>
    <t>0.011148699103885462</t>
  </si>
  <si>
    <t>6.789513524220981e-10</t>
  </si>
  <si>
    <t>6.348111429388336e-06</t>
  </si>
  <si>
    <t>2.826009561539572e-08</t>
  </si>
  <si>
    <t>Recycle - Clear_glass - United States</t>
  </si>
  <si>
    <t>3fe4d70c-14d7-5072-b940-5de914dd2753</t>
  </si>
  <si>
    <t>0.15251421466083911</t>
  </si>
  <si>
    <t>3.4942997036809043e-10</t>
  </si>
  <si>
    <t>2.7964690800788624e-08</t>
  </si>
  <si>
    <t>Recycle - Fe - Australia</t>
  </si>
  <si>
    <t>da2ff2e1-ca09-5d15-a258-bc2a1696b484</t>
  </si>
  <si>
    <t>Fe</t>
  </si>
  <si>
    <t>Recycle - Fe - Brazil</t>
  </si>
  <si>
    <t>bf35a1df-2a40-51b5-9dc9-4d5ed8f35286</t>
  </si>
  <si>
    <t>Recycle - Fe - Canada</t>
  </si>
  <si>
    <t>104e8232-3cef-5e0d-9cd0-28bd7b7b58af</t>
  </si>
  <si>
    <t>Recycle - Fe - China</t>
  </si>
  <si>
    <t>69877a48-c80e-5a4d-be56-61a7cc129122</t>
  </si>
  <si>
    <t>Recycle - Fe - India</t>
  </si>
  <si>
    <t>63535e21-7f76-529e-a2f4-3157d1ef9477</t>
  </si>
  <si>
    <t>Recycle - Fe - Ireland</t>
  </si>
  <si>
    <t>fec692f3-1fa7-5c09-be1f-a724e7ae0343</t>
  </si>
  <si>
    <t>Recycle - Fe - Mexico</t>
  </si>
  <si>
    <t>6c2c85ce-8042-575d-9e27-1b4b39d846a3</t>
  </si>
  <si>
    <t>Recycle - Fe - Spain</t>
  </si>
  <si>
    <t>e10e660d-cd44-5767-9b25-decc5db2aaf3</t>
  </si>
  <si>
    <t>Recycle - Fe - United States</t>
  </si>
  <si>
    <t>01b7c6c2-fbf5-5ab4-9eb3-776ec23d29b6</t>
  </si>
  <si>
    <t>Recycle - Fiber_Other - Australia</t>
  </si>
  <si>
    <t>5a4b6a67-1d99-5bfe-94d6-cb649da70ad1</t>
  </si>
  <si>
    <t>Fiber_Other</t>
  </si>
  <si>
    <t>0.2508191300840515</t>
  </si>
  <si>
    <t>Recycle - Fiber_Other - Brazil</t>
  </si>
  <si>
    <t>28bc234c-9ee8-5439-aa2d-4830dbab3966</t>
  </si>
  <si>
    <t>0.1433441289423204</t>
  </si>
  <si>
    <t>Recycle - Fiber_Other - Canada</t>
  </si>
  <si>
    <t>3d14c272-371d-52df-9e44-cbe85071f045</t>
  </si>
  <si>
    <t>0.26033514581014233</t>
  </si>
  <si>
    <t>Recycle - Fiber_Other - China</t>
  </si>
  <si>
    <t>84d3a4e8-ae38-5e79-bd47-333e340153d8</t>
  </si>
  <si>
    <t>0.26965495502641845</t>
  </si>
  <si>
    <t>Recycle - Fiber_Other - India</t>
  </si>
  <si>
    <t>9ede8234-22ef-597c-8e2b-6855b75a08e4</t>
  </si>
  <si>
    <t>0.15521636744053488</t>
  </si>
  <si>
    <t>Recycle - Fiber_Other - Ireland</t>
  </si>
  <si>
    <t>d6a386a3-1997-5bd7-9681-5c332905c4b6</t>
  </si>
  <si>
    <t>0.22102986346324544</t>
  </si>
  <si>
    <t>Recycle - Fiber_Other - Mexico</t>
  </si>
  <si>
    <t>235b6a5f-0d97-5197-b748-6a052ef6ec39</t>
  </si>
  <si>
    <t>0.18923233167699235</t>
  </si>
  <si>
    <t>Recycle - Fiber_Other - Spain</t>
  </si>
  <si>
    <t>ecd22cd8-e0b6-5ea5-9a62-2ac4731e9fa0</t>
  </si>
  <si>
    <t>0.20006704621156743</t>
  </si>
  <si>
    <t>Recycle - Fiber_Other - United States</t>
  </si>
  <si>
    <t>5b3e5d02-e578-5066-862f-b26125a0d11d</t>
  </si>
  <si>
    <t>0.2636913047002316</t>
  </si>
  <si>
    <t>Recycle - Green_glass - Australia</t>
  </si>
  <si>
    <t>ad7621f3-8301-5e36-a586-ee0113bb0ea5</t>
  </si>
  <si>
    <t>Green_glass</t>
  </si>
  <si>
    <t>0.15258630108023213</t>
  </si>
  <si>
    <t>3.495331268543607e-10</t>
  </si>
  <si>
    <t>6.073249978207905e-08</t>
  </si>
  <si>
    <t>0.011139714590017946</t>
  </si>
  <si>
    <t>6.773714726368051e-10</t>
  </si>
  <si>
    <t>6.304909728215065e-06</t>
  </si>
  <si>
    <t>2.802445577795982e-08</t>
  </si>
  <si>
    <t>Recycle - Green_glass - Brazil</t>
  </si>
  <si>
    <t>ee68beb7-bfbe-5364-9924-2f98f188e7cd</t>
  </si>
  <si>
    <t>0.15318817980217145</t>
  </si>
  <si>
    <t>6.807171004174568e-10</t>
  </si>
  <si>
    <t>6.396395683641939e-06</t>
  </si>
  <si>
    <t>Recycle - Green_glass - Canada</t>
  </si>
  <si>
    <t>c5f2ec6a-0041-5578-ad34-9e0329ba71c4</t>
  </si>
  <si>
    <t>3.494568663331303e-10</t>
  </si>
  <si>
    <t>6.770752451770614e-10</t>
  </si>
  <si>
    <t>6.296809409244988e-06</t>
  </si>
  <si>
    <t>2.7980273308440087e-08</t>
  </si>
  <si>
    <t>Recycle - Green_glass - China</t>
  </si>
  <si>
    <t>4b9ea8b7-900d-5c65-af61-b9105620fa77</t>
  </si>
  <si>
    <t>0.15248081718051076</t>
  </si>
  <si>
    <t>6.288876107160832e-06</t>
  </si>
  <si>
    <t>2.7937001817673377e-08</t>
  </si>
  <si>
    <t>Recycle - Green_glass - India</t>
  </si>
  <si>
    <t>e5c15bf7-7049-585d-9bd1-f8a2ead4a220</t>
  </si>
  <si>
    <t>6.803475252556407e-10</t>
  </si>
  <si>
    <t>6.386289676937807e-06</t>
  </si>
  <si>
    <t>2.8468335471738365e-08</t>
  </si>
  <si>
    <t>Recycle - Green_glass - Ireland</t>
  </si>
  <si>
    <t>d7537daf-8494-56c5-a015-e08113bebc60</t>
  </si>
  <si>
    <t>2.816276611732548e-08</t>
  </si>
  <si>
    <t>Recycle - Green_glass - Mexico</t>
  </si>
  <si>
    <t>9bf74131-1c0e-52d2-b4e8-deba9e353c18</t>
  </si>
  <si>
    <t>0.011150617146173311</t>
  </si>
  <si>
    <t>6.792886301290906e-10</t>
  </si>
  <si>
    <t>6.357334264470923e-06</t>
  </si>
  <si>
    <t>2.8310400749232778e-08</t>
  </si>
  <si>
    <t>Recycle - Green_glass - Spain</t>
  </si>
  <si>
    <t>41ce6781-9c9f-5ed1-955e-613a43e1a194</t>
  </si>
  <si>
    <t>0.15287052158781456</t>
  </si>
  <si>
    <t>3.4993984963425515e-10</t>
  </si>
  <si>
    <t>6.083345580570078e-08</t>
  </si>
  <si>
    <t>0.011148699103886713</t>
  </si>
  <si>
    <t>6.789513524221131e-10</t>
  </si>
  <si>
    <t>6.348111429388867e-06</t>
  </si>
  <si>
    <t>2.826009561539781e-08</t>
  </si>
  <si>
    <t>Recycle - Green_glass - United States</t>
  </si>
  <si>
    <t>3cd3578d-9ae7-539f-854c-58237bab54c8</t>
  </si>
  <si>
    <t>6.293952545794292e-06</t>
  </si>
  <si>
    <t>Recycle - HDPE_P - Australia</t>
  </si>
  <si>
    <t>439738be-4fb7-59a5-90a0-e8733fc1f966</t>
  </si>
  <si>
    <t>HDPE_P</t>
  </si>
  <si>
    <t>Recycle - HDPE_P - Brazil</t>
  </si>
  <si>
    <t>56a8de4f-d9bd-5807-b074-63d299d478c0</t>
  </si>
  <si>
    <t>Recycle - HDPE_P - Canada</t>
  </si>
  <si>
    <t>0f8383bc-6664-529d-871e-c82f21082f0f</t>
  </si>
  <si>
    <t>Recycle - HDPE_P - China</t>
  </si>
  <si>
    <t>61920040-feb6-5d45-9231-8fcfccfd3caa</t>
  </si>
  <si>
    <t>Recycle - HDPE_P - India</t>
  </si>
  <si>
    <t>deaca333-b69b-546c-b80a-08fc674849ba</t>
  </si>
  <si>
    <t>Recycle - HDPE_P - Ireland</t>
  </si>
  <si>
    <t>97cdd023-87ac-56f4-8d69-b745808a9c26</t>
  </si>
  <si>
    <t>Recycle - HDPE_P - Mexico</t>
  </si>
  <si>
    <t>812398e9-ada2-5688-807c-484eb8308d59</t>
  </si>
  <si>
    <t>Recycle - HDPE_P - Spain</t>
  </si>
  <si>
    <t>a0142351-db3b-5090-89cb-a9aa4ab5da4a</t>
  </si>
  <si>
    <t>Recycle - HDPE_P - United States</t>
  </si>
  <si>
    <t>7558686d-b0d1-54bd-85c6-37a419e6c312</t>
  </si>
  <si>
    <t>Recycle - HDPE_T - Australia</t>
  </si>
  <si>
    <t>e37bfd8d-ad9a-5c40-b556-32387540402a</t>
  </si>
  <si>
    <t>HDPE_T</t>
  </si>
  <si>
    <t>Recycle - HDPE_T - Brazil</t>
  </si>
  <si>
    <t>4f40600d-274b-51ea-a833-1cd4a1f5c2c4</t>
  </si>
  <si>
    <t>Recycle - HDPE_T - Canada</t>
  </si>
  <si>
    <t>965606ba-8fc9-5fe8-9da6-66ac5ff524c5</t>
  </si>
  <si>
    <t>Recycle - HDPE_T - China</t>
  </si>
  <si>
    <t>8c5dba2e-a302-5fc3-b3ab-b0e92bc52aa9</t>
  </si>
  <si>
    <t>Recycle - HDPE_T - India</t>
  </si>
  <si>
    <t>9c08de9b-28ce-5f69-a097-5118317f7f94</t>
  </si>
  <si>
    <t>Recycle - HDPE_T - Ireland</t>
  </si>
  <si>
    <t>2b0b51aa-45de-540b-ae1a-438b680d5901</t>
  </si>
  <si>
    <t>Recycle - HDPE_T - Mexico</t>
  </si>
  <si>
    <t>c52df0b7-afe8-5ba4-aa5b-af5564b06dc6</t>
  </si>
  <si>
    <t>Recycle - HDPE_T - Spain</t>
  </si>
  <si>
    <t>588ab6df-3cd0-5ebd-9a6c-a899751eb6eb</t>
  </si>
  <si>
    <t>Recycle - HDPE_T - United States</t>
  </si>
  <si>
    <t>bfb8354b-5963-5fd8-ba66-8e8d8d58522c</t>
  </si>
  <si>
    <t>Recycle - LDPE_Film - Australia</t>
  </si>
  <si>
    <t>19325fcf-11d6-548f-8307-9cc1b59069e2</t>
  </si>
  <si>
    <t>LDPE_Film</t>
  </si>
  <si>
    <t>Recycle - LDPE_Film - Brazil</t>
  </si>
  <si>
    <t>2734ed67-2f9e-5a9d-a865-ac4028c5c54d</t>
  </si>
  <si>
    <t>Recycle - LDPE_Film - Canada</t>
  </si>
  <si>
    <t>6bbbba6e-64a6-536a-a365-dc589bc066eb</t>
  </si>
  <si>
    <t>Recycle - LDPE_Film - China</t>
  </si>
  <si>
    <t>850ad86e-8d46-5d18-9cf8-fbacc8d3491c</t>
  </si>
  <si>
    <t>Recycle - LDPE_Film - India</t>
  </si>
  <si>
    <t>c3cd267b-0b2f-5cfb-a047-0a4d5cfac5a2</t>
  </si>
  <si>
    <t>Recycle - LDPE_Film - Ireland</t>
  </si>
  <si>
    <t>ba5097aa-b3a4-506e-84f4-d44b21046269</t>
  </si>
  <si>
    <t>Recycle - LDPE_Film - Mexico</t>
  </si>
  <si>
    <t>4ea50d64-c9cd-5b93-90a3-81c8629f95e0</t>
  </si>
  <si>
    <t>Recycle - LDPE_Film - Spain</t>
  </si>
  <si>
    <t>7b87612b-d147-5a2e-a40b-bf8ee2e0e15f</t>
  </si>
  <si>
    <t>Recycle - LDPE_Film - United States</t>
  </si>
  <si>
    <t>21d2dc38-ca0e-5f06-9864-e825e158967d</t>
  </si>
  <si>
    <t>Recycle - Mixed_Glass - Australia</t>
  </si>
  <si>
    <t>a953c8ab-6679-57f2-aacf-551cc3ae1c33</t>
  </si>
  <si>
    <t>Recycle - Mixed_Glass - Brazil</t>
  </si>
  <si>
    <t>e50cc746-d35a-585c-99e5-d684e0bc8d00</t>
  </si>
  <si>
    <t>Recycle - Mixed_Glass - Canada</t>
  </si>
  <si>
    <t>667d7166-6d0f-5f54-bea6-a977aa5ebdb0</t>
  </si>
  <si>
    <t>Recycle - Mixed_Glass - China</t>
  </si>
  <si>
    <t>c91f2264-6f89-56b2-9c36-c44198c59b5f</t>
  </si>
  <si>
    <t>Recycle - Mixed_Glass - India</t>
  </si>
  <si>
    <t>0421db93-b606-5e41-acf3-fc13e2dc1deb</t>
  </si>
  <si>
    <t>Recycle - Mixed_Glass - Ireland</t>
  </si>
  <si>
    <t>86a2bbea-ea35-56f2-bda9-dc05d55eb83a</t>
  </si>
  <si>
    <t>Recycle - Mixed_Glass - Mexico</t>
  </si>
  <si>
    <t>bc5134f4-a5e1-5a32-9ea7-07f2c12b1aa8</t>
  </si>
  <si>
    <t>Recycle - Mixed_Glass - Spain</t>
  </si>
  <si>
    <t>4e3fdc45-d8ef-55d2-ad58-ae8ae7abf564</t>
  </si>
  <si>
    <t>Recycle - Mixed_Glass - United States</t>
  </si>
  <si>
    <t>793634e7-3f97-5bc9-8162-5a820eb36153</t>
  </si>
  <si>
    <t>Recycle - Mixed_Paper - Australia</t>
  </si>
  <si>
    <t>dd2ea085-098a-58a5-9b8b-3a1bc8acbec2</t>
  </si>
  <si>
    <t>Recycle - Mixed_Paper - Brazil</t>
  </si>
  <si>
    <t>fc40c77f-1f51-5cc6-8f41-0779dcee719b</t>
  </si>
  <si>
    <t>Recycle - Mixed_Paper - Canada</t>
  </si>
  <si>
    <t>13bcdfec-d15a-51f0-8741-6801a98d9915</t>
  </si>
  <si>
    <t>Recycle - Mixed_Paper - China</t>
  </si>
  <si>
    <t>8c0087ff-4db7-5117-8522-1bff35d87972</t>
  </si>
  <si>
    <t>Recycle - Mixed_Paper - India</t>
  </si>
  <si>
    <t>b9c3ebc3-a7f8-598b-ac7a-6c4f32c3b259</t>
  </si>
  <si>
    <t>Recycle - Mixed_Paper - Ireland</t>
  </si>
  <si>
    <t>047ac7de-2b09-551d-9d02-94e00e0e8132</t>
  </si>
  <si>
    <t>Recycle - Mixed_Paper - Mexico</t>
  </si>
  <si>
    <t>5da34b30-77ed-5937-8688-b5b546e2c419</t>
  </si>
  <si>
    <t>Recycle - Mixed_Paper - Spain</t>
  </si>
  <si>
    <t>1daad1e8-9db3-530d-9305-46075d542452</t>
  </si>
  <si>
    <t>Recycle - Mixed_Paper - United States</t>
  </si>
  <si>
    <t>5a197069-e497-52e9-adf5-2b394b6883dd</t>
  </si>
  <si>
    <t>Recycle - OCC - Australia</t>
  </si>
  <si>
    <t>99c02c67-f07e-59b0-a373-701426104161</t>
  </si>
  <si>
    <t>OCC</t>
  </si>
  <si>
    <t>Recycle - OCC - Brazil</t>
  </si>
  <si>
    <t>73399e20-6599-52da-a7cc-6b66fe4f6bb9</t>
  </si>
  <si>
    <t>0.019094659947610036</t>
  </si>
  <si>
    <t>Recycle - OCC - Canada</t>
  </si>
  <si>
    <t>e891a30f-ac72-549a-9a32-bc5afaa91602</t>
  </si>
  <si>
    <t>Recycle - OCC - China</t>
  </si>
  <si>
    <t>63f10fa2-c2b7-5363-91d6-c60397dbeb2f</t>
  </si>
  <si>
    <t>Recycle - OCC - India</t>
  </si>
  <si>
    <t>d58c2630-f5df-5ffa-a311-3f6985cafa59</t>
  </si>
  <si>
    <t>0.015846287513421806</t>
  </si>
  <si>
    <t>Recycle - OCC - Ireland</t>
  </si>
  <si>
    <t>cc3fff20-6e13-5ec5-82e0-7eacb1a55daa</t>
  </si>
  <si>
    <t>Recycle - OCC - Mexico</t>
  </si>
  <si>
    <t>dcd8d751-d3b0-538b-a766-e59a2ebe8ca5</t>
  </si>
  <si>
    <t>Recycle - OCC - Spain</t>
  </si>
  <si>
    <t>9b14b5a0-7a38-582e-a11e-2c6297daca39</t>
  </si>
  <si>
    <t>Recycle - OCC - United States</t>
  </si>
  <si>
    <t>fa9bb597-3c50-524f-9e32-e3d0185d8a2e</t>
  </si>
  <si>
    <t>Recycle - OFF - Australia</t>
  </si>
  <si>
    <t>2d158563-90a7-521e-91fc-8871b762347c</t>
  </si>
  <si>
    <t>OFF</t>
  </si>
  <si>
    <t>0.47243052834402105</t>
  </si>
  <si>
    <t>1.0104835615883747e-09</t>
  </si>
  <si>
    <t>1.8379893090550358e-07</t>
  </si>
  <si>
    <t>1.8546002453999866e-09</t>
  </si>
  <si>
    <t>2.34078084615347e-05</t>
  </si>
  <si>
    <t>1.337164890437743e-07</t>
  </si>
  <si>
    <t>Recycle - OFF - Brazil</t>
  </si>
  <si>
    <t>ef5245c2-1c1b-5e76-b997-bbecb1f65afb</t>
  </si>
  <si>
    <t>0.4835148808575608</t>
  </si>
  <si>
    <t>1.0263453961406491e-09</t>
  </si>
  <si>
    <t>1.877361279913397e-07</t>
  </si>
  <si>
    <t>1.916214182474124e-09</t>
  </si>
  <si>
    <t>2.509263722026181e-05</t>
  </si>
  <si>
    <t>1.4290623768862803e-07</t>
  </si>
  <si>
    <t>Recycle - OFF - Canada</t>
  </si>
  <si>
    <t>602edec6-f6db-50e0-8156-b6e5ccc0dd1f</t>
  </si>
  <si>
    <t>0.4714491012985515</t>
  </si>
  <si>
    <t>1.009079128320726e-09</t>
  </si>
  <si>
    <t>1.8345032491352856e-07</t>
  </si>
  <si>
    <t>1.8491448447215483e-09</t>
  </si>
  <si>
    <t>2.3258630915189067e-05</t>
  </si>
  <si>
    <t>1.329028133825112e-07</t>
  </si>
  <si>
    <t>Recycle - OFF - China</t>
  </si>
  <si>
    <t>34919c6c-abdb-552a-b565-44223006c261</t>
  </si>
  <si>
    <t>0.47048790986226674</t>
  </si>
  <si>
    <t>1.0077036524400381e-09</t>
  </si>
  <si>
    <t>1.831089066739653e-07</t>
  </si>
  <si>
    <t>1.8438019265313237e-09</t>
  </si>
  <si>
    <t>2.311252919454129e-05</t>
  </si>
  <si>
    <t>1.3210591453900607e-07</t>
  </si>
  <si>
    <t>Recycle - OFF - India</t>
  </si>
  <si>
    <t>f420deb3-e2dc-588d-bfb3-7605e8553c23</t>
  </si>
  <si>
    <t>0.4822904465682743</t>
  </si>
  <si>
    <t>1.0245932167424322e-09</t>
  </si>
  <si>
    <t>1.8730120505743915e-07</t>
  </si>
  <si>
    <t>1.9094079917508174e-09</t>
  </si>
  <si>
    <t>2.4906522415518707e-05</t>
  </si>
  <si>
    <t>1.4189109103599882e-07</t>
  </si>
  <si>
    <t>Recycle - OFF - Ireland</t>
  </si>
  <si>
    <t>a325fb8d-89d2-585e-a14f-6b18d6042fcf</t>
  </si>
  <si>
    <t>0.47550282170375224</t>
  </si>
  <si>
    <t>1.0148800483392773e-09</t>
  </si>
  <si>
    <t>1.8489021922820813e-07</t>
  </si>
  <si>
    <t>1.8716780214368406e-09</t>
  </si>
  <si>
    <t>2.387479904139928e-05</t>
  </si>
  <si>
    <t>1.3626364763555436e-07</t>
  </si>
  <si>
    <t>Recycle - OFF - Mexico</t>
  </si>
  <si>
    <t>87cb61ff-4394-53ee-8fbc-eb6d21ac6b80</t>
  </si>
  <si>
    <t>0.4787822359641393</t>
  </si>
  <si>
    <t>1.0195729274554084e-09</t>
  </si>
  <si>
    <t>1.8605507755019623e-07</t>
  </si>
  <si>
    <t>1.889907108217751e-09</t>
  </si>
  <si>
    <t>2.437327213226597e-05</t>
  </si>
  <si>
    <t>1.389825247840837e-07</t>
  </si>
  <si>
    <t>Recycle - OFF - Spain</t>
  </si>
  <si>
    <t>27aa7c30-e30b-53bf-a53e-49e36560b246</t>
  </si>
  <si>
    <t>0.47766480591985927</t>
  </si>
  <si>
    <t>1.017973872349171e-09</t>
  </si>
  <si>
    <t>1.8565816286270397e-07</t>
  </si>
  <si>
    <t>1.8836957156849954e-09</t>
  </si>
  <si>
    <t>2.420342204204473e-05</t>
  </si>
  <si>
    <t>1.3805609257051075e-07</t>
  </si>
  <si>
    <t>Recycle - OFF - United States</t>
  </si>
  <si>
    <t>94dbaa8d-f3d3-5721-9960-a1662d0e20da</t>
  </si>
  <si>
    <t>0.4711029664036084</t>
  </si>
  <si>
    <t>1.0085838053481257e-09</t>
  </si>
  <si>
    <t>1.833273767036073e-07</t>
  </si>
  <si>
    <t>1.8472208050800683e-09</t>
  </si>
  <si>
    <t>2.3206018187049402e-05</t>
  </si>
  <si>
    <t>1.326158419353424e-07</t>
  </si>
  <si>
    <t>Recycle - ONP - Australia</t>
  </si>
  <si>
    <t>f0a3ab67-c618-5ea4-bccf-ffd6a8e17485</t>
  </si>
  <si>
    <t>ONP</t>
  </si>
  <si>
    <t>0.2508191300840513</t>
  </si>
  <si>
    <t>Recycle - ONP - Brazil</t>
  </si>
  <si>
    <t>692bd224-e5bb-5103-bf0a-c4bdbc2069aa</t>
  </si>
  <si>
    <t>0.1433441289423207</t>
  </si>
  <si>
    <t>Recycle - ONP - Canada</t>
  </si>
  <si>
    <t>c92a40a3-32e0-5d86-ad50-895dc9b36493</t>
  </si>
  <si>
    <t>0.2603351458101504</t>
  </si>
  <si>
    <t>Recycle - ONP - China</t>
  </si>
  <si>
    <t>82053dfc-ffe2-58e2-884c-75e2eaf2162a</t>
  </si>
  <si>
    <t>0.26965495502641657</t>
  </si>
  <si>
    <t>Recycle - ONP - India</t>
  </si>
  <si>
    <t>74ed8559-fe5c-560e-bfde-49cc915acc5c</t>
  </si>
  <si>
    <t>0.1552163674405352</t>
  </si>
  <si>
    <t>Recycle - ONP - Ireland</t>
  </si>
  <si>
    <t>a18aa8c5-5773-5d47-afa8-cea31ab5d70e</t>
  </si>
  <si>
    <t>0.22102986346324557</t>
  </si>
  <si>
    <t>Recycle - ONP - Mexico</t>
  </si>
  <si>
    <t>919a3c2d-67a5-52c2-999a-a810e472e003</t>
  </si>
  <si>
    <t>0.1892323316770026</t>
  </si>
  <si>
    <t>Recycle - ONP - Spain</t>
  </si>
  <si>
    <t>455f5abd-e35d-5be1-a809-254c17c0efd4</t>
  </si>
  <si>
    <t>0.2000670462115672</t>
  </si>
  <si>
    <t>Recycle - ONP - United States</t>
  </si>
  <si>
    <t>98ff6df5-6f35-5176-92c9-f90320d430ee</t>
  </si>
  <si>
    <t>0.26369130470023155</t>
  </si>
  <si>
    <t>Recycle - PET - Australia</t>
  </si>
  <si>
    <t>a1509015-9e63-5ea1-a59b-add2a073eddc</t>
  </si>
  <si>
    <t>Recycle - PET - Brazil</t>
  </si>
  <si>
    <t>f2e694d3-9a1b-5f84-b776-706cd37d73a5</t>
  </si>
  <si>
    <t>Recycle - PET - Canada</t>
  </si>
  <si>
    <t>60f9e9ea-a05d-51bd-99f9-dbb7bcffccd2</t>
  </si>
  <si>
    <t>Recycle - PET - China</t>
  </si>
  <si>
    <t>1ec4489c-7452-5722-bddd-79e3ef7d6330</t>
  </si>
  <si>
    <t>Recycle - PET - India</t>
  </si>
  <si>
    <t>28b7801d-6c8d-5473-be33-e882050ebc69</t>
  </si>
  <si>
    <t>Recycle - PET - Ireland</t>
  </si>
  <si>
    <t>f31827ab-90da-53a9-b181-12b5f226ef90</t>
  </si>
  <si>
    <t>Recycle - PET - Mexico</t>
  </si>
  <si>
    <t>f020b7d9-eb3f-52ea-abfc-d1e97d460395</t>
  </si>
  <si>
    <t>Recycle - PET - Spain</t>
  </si>
  <si>
    <t>991d0d97-4e01-558c-b352-316530c0986b</t>
  </si>
  <si>
    <t>Recycle - PET - United States</t>
  </si>
  <si>
    <t>425e273f-5372-5aee-887d-fafad3492430</t>
  </si>
  <si>
    <t>WTE_energy_recovery - Al_Non_recyclable - Australia</t>
  </si>
  <si>
    <t>a0aa4077-bc9d-5a4d-a99e-4eb29af45cce</t>
  </si>
  <si>
    <t>WTE_energy_recovery</t>
  </si>
  <si>
    <t>Al_Non_recyclable</t>
  </si>
  <si>
    <t>0.10963768865787092</t>
  </si>
  <si>
    <t>1.418370837773468e-10</t>
  </si>
  <si>
    <t>4.6139256951359305e-08</t>
  </si>
  <si>
    <t>4.940188643720908e-10</t>
  </si>
  <si>
    <t>6.60058169443908e-06</t>
  </si>
  <si>
    <t>1.8563968845117935e-08</t>
  </si>
  <si>
    <t>3.8316365846542626e-05</t>
  </si>
  <si>
    <t>WTE_energy_recovery - Al_Non_recyclable - Brazil</t>
  </si>
  <si>
    <t>a970d3db-f579-5d93-91da-08314e6d40f4</t>
  </si>
  <si>
    <t>0.10904779609681609</t>
  </si>
  <si>
    <t>1.4099342866477788e-10</t>
  </si>
  <si>
    <t>4.5927708858296936e-08</t>
  </si>
  <si>
    <t>0.040984842545202585</t>
  </si>
  <si>
    <t>4.907008680616241e-10</t>
  </si>
  <si>
    <t>6.509850916725584e-06</t>
  </si>
  <si>
    <t>1.8069085479651387e-08</t>
  </si>
  <si>
    <t>3.8104819751052954e-05</t>
  </si>
  <si>
    <t>WTE_energy_recovery - Al_Non_recyclable - Canada</t>
  </si>
  <si>
    <t>984b4585-3fe7-5b57-bf51-cd306c3c4b02</t>
  </si>
  <si>
    <t>0.10969061382926316</t>
  </si>
  <si>
    <t>1.4191282029973236e-10</t>
  </si>
  <si>
    <t>4.6158056139703255e-08</t>
  </si>
  <si>
    <t>0.041873157686420165</t>
  </si>
  <si>
    <t>4.943130564032248e-10</t>
  </si>
  <si>
    <t>6.60862635475742e-06</t>
  </si>
  <si>
    <t>1.8607847729471803e-08</t>
  </si>
  <si>
    <t>3.833512266698719e-05</t>
  </si>
  <si>
    <t>WTE_energy_recovery - Al_Non_recyclable - China</t>
  </si>
  <si>
    <t>5a10b6c0-a593-5bb7-af9f-d3b9b59005bb</t>
  </si>
  <si>
    <t>0.10975019550796646</t>
  </si>
  <si>
    <t>1.4199857021325095e-10</t>
  </si>
  <si>
    <t>4.61772033516646e-08</t>
  </si>
  <si>
    <t>0.041945011672945794</t>
  </si>
  <si>
    <t>4.946052542733296e-10</t>
  </si>
  <si>
    <t>6.61661608199563e-06</t>
  </si>
  <si>
    <t>1.865142657976371e-08</t>
  </si>
  <si>
    <t>3.835375195651299e-05</t>
  </si>
  <si>
    <t>WTE_energy_recovery - Al_Non_recyclable - India</t>
  </si>
  <si>
    <t>4bf598ba-c336-58ba-b82c-a51fc74eae8a</t>
  </si>
  <si>
    <t>0.10911381619656108</t>
  </si>
  <si>
    <t>1.4108790417866262e-10</t>
  </si>
  <si>
    <t>4.595115940662894e-08</t>
  </si>
  <si>
    <t>0.041075091000056026</t>
  </si>
  <si>
    <t>4.910678500991608e-10</t>
  </si>
  <si>
    <t>6.519886014625752e-06</t>
  </si>
  <si>
    <t>1.8123821028797744e-08</t>
  </si>
  <si>
    <t>3.8128217448665964e-05</t>
  </si>
  <si>
    <t>WTE_energy_recovery - Al_Non_recyclable - Ireland</t>
  </si>
  <si>
    <t>6959225c-1e57-52d9-a4b3-9dc9eb6f68ae</t>
  </si>
  <si>
    <t>0.10947200986046639</t>
  </si>
  <si>
    <t>1.4159999553335007e-10</t>
  </si>
  <si>
    <t>4.608040731828147e-08</t>
  </si>
  <si>
    <t>4.930979154050501e-10</t>
  </si>
  <si>
    <t>6.575398409963503e-06</t>
  </si>
  <si>
    <t>1.8426608859314095e-08</t>
  </si>
  <si>
    <t>3.825764884338971e-05</t>
  </si>
  <si>
    <t>WTE_energy_recovery - Al_Non_recyclable - Mexico</t>
  </si>
  <si>
    <t>6e0df20b-75d2-587d-a014-54982d1f600b</t>
  </si>
  <si>
    <t>0.10930297490910806</t>
  </si>
  <si>
    <t>1.413585924483084e-10</t>
  </si>
  <si>
    <t>4.601834917985803e-08</t>
  </si>
  <si>
    <t>4.9211931548685e-10</t>
  </si>
  <si>
    <t>6.548638261411707e-06</t>
  </si>
  <si>
    <t>1.8280647602164143e-08</t>
  </si>
  <si>
    <t>3.819525579573322e-05</t>
  </si>
  <si>
    <t>WTE_energy_recovery - Al_Non_recyclable - Spain</t>
  </si>
  <si>
    <t>3d7223b7-e1ea-5277-a4e7-45f277990eac</t>
  </si>
  <si>
    <t>0.10935542107711242</t>
  </si>
  <si>
    <t>1.4143315565795573e-10</t>
  </si>
  <si>
    <t>4.6038994613524894e-08</t>
  </si>
  <si>
    <t>4.924498402060264e-10</t>
  </si>
  <si>
    <t>6.557676839406947e-06</t>
  </si>
  <si>
    <t>1.8329948128563322e-08</t>
  </si>
  <si>
    <t>3.821632947081012e-05</t>
  </si>
  <si>
    <t>WTE_energy_recovery - Al_Non_recyclable - USA</t>
  </si>
  <si>
    <t>2591ebcc-59ef-59c4-8ac0-c566581b0162</t>
  </si>
  <si>
    <t>0.10970927975937418</t>
  </si>
  <si>
    <t>1.4193953145808176e-10</t>
  </si>
  <si>
    <t>4.6164686337141304e-08</t>
  </si>
  <si>
    <t>0.041898673724089806</t>
  </si>
  <si>
    <t>4.944168136088801e-10</t>
  </si>
  <si>
    <t>6.611463588219889e-06</t>
  </si>
  <si>
    <t>1.862332316709733e-08</t>
  </si>
  <si>
    <t>3.8341737921896864e-05</t>
  </si>
  <si>
    <t>WTE_energy_recovery - Aluminum_Cans - Australia</t>
  </si>
  <si>
    <t>31d1a172-8a81-54b6-9be5-739026c22dc0</t>
  </si>
  <si>
    <t>Aluminum_Cans</t>
  </si>
  <si>
    <t>7.935010046715986e-11</t>
  </si>
  <si>
    <t>3.0486665401737075e-08</t>
  </si>
  <si>
    <t>1.3373704539707396e-07</t>
  </si>
  <si>
    <t>7.150646369687888e-05</t>
  </si>
  <si>
    <t>5.7123923581745644e-08</t>
  </si>
  <si>
    <t>2.2852839856878464e-05</t>
  </si>
  <si>
    <t>WTE_energy_recovery - Aluminum_Cans - Brazil</t>
  </si>
  <si>
    <t>56628b1b-0437-5fff-8c35-ef17c6ca0220</t>
  </si>
  <si>
    <t>7.08803151217081e-11</t>
  </si>
  <si>
    <t>2.8373606949428014e-08</t>
  </si>
  <si>
    <t>1.4257246310389325e-07</t>
  </si>
  <si>
    <t>6.137654008204739e-05</t>
  </si>
  <si>
    <t>5.309947443746849e-08</t>
  </si>
  <si>
    <t>2.0745770763078963e-05</t>
  </si>
  <si>
    <t>WTE_energy_recovery - Aluminum_Cans - Canada</t>
  </si>
  <si>
    <t>7b19e525-d868-5d9a-a0a9-3438a1011dc5</t>
  </si>
  <si>
    <t>8.008439102830107e-11</t>
  </si>
  <si>
    <t>3.0668929732383374e-08</t>
  </si>
  <si>
    <t>1.3373989768583527e-07</t>
  </si>
  <si>
    <t>7.238797266772819e-05</t>
  </si>
  <si>
    <t>5.7549343836067737e-08</t>
  </si>
  <si>
    <t>2.3034693416814626e-05</t>
  </si>
  <si>
    <t>WTE_energy_recovery - Aluminum_Cans - China</t>
  </si>
  <si>
    <t>ee2382da-adfb-530a-ad5a-94afb756106e</t>
  </si>
  <si>
    <t>8.065511495951252e-11</t>
  </si>
  <si>
    <t>3.0799890826567376e-08</t>
  </si>
  <si>
    <t>1.4261043247623372e-07</t>
  </si>
  <si>
    <t>1.8843443123381364e-08</t>
  </si>
  <si>
    <t>7.311109613019872e-05</t>
  </si>
  <si>
    <t>5.876262476646409e-08</t>
  </si>
  <si>
    <t>2.3166586503161506e-05</t>
  </si>
  <si>
    <t>WTE_energy_recovery - Aluminum_Cans - India</t>
  </si>
  <si>
    <t>3817596c-54e2-589e-8769-8cf9e33f0991</t>
  </si>
  <si>
    <t>7.932825627375102e-11</t>
  </si>
  <si>
    <t>3.043614895613321e-08</t>
  </si>
  <si>
    <t>1.747988151114641e-07</t>
  </si>
  <si>
    <t>7.169088084052854e-05</t>
  </si>
  <si>
    <t>5.790303148556204e-08</t>
  </si>
  <si>
    <t>2.279913785292828e-05</t>
  </si>
  <si>
    <t>WTE_energy_recovery - Aluminum_Cans - Ireland</t>
  </si>
  <si>
    <t>d7bcd55f-34b6-5907-bb06-16cb8ee32401</t>
  </si>
  <si>
    <t>7.705145175399888e-11</t>
  </si>
  <si>
    <t>2.9916098801449114e-08</t>
  </si>
  <si>
    <t>1.3372811649312523e-07</t>
  </si>
  <si>
    <t>6.87469573533004e-05</t>
  </si>
  <si>
    <t>5.579217322038755e-08</t>
  </si>
  <si>
    <t>2.2283559147494968e-05</t>
  </si>
  <si>
    <t>WTE_energy_recovery - Aluminum_Cans - Mexico</t>
  </si>
  <si>
    <t>77267212-543f-544f-880f-173831d8e9ae</t>
  </si>
  <si>
    <t>7.44314596320718e-11</t>
  </si>
  <si>
    <t>2.9255065886066704e-08</t>
  </si>
  <si>
    <t>1.4258625722043644e-07</t>
  </si>
  <si>
    <t>6.563965594972786e-05</t>
  </si>
  <si>
    <t>5.5156873620661676e-08</t>
  </si>
  <si>
    <t>2.1625243148052765e-05</t>
  </si>
  <si>
    <t>WTE_energy_recovery - Aluminum_Cans - Spain</t>
  </si>
  <si>
    <t>59f985f8-cd36-5131-a68f-ffb294de177b</t>
  </si>
  <si>
    <t>7.543388414102857e-11</t>
  </si>
  <si>
    <t>2.9514588971615927e-08</t>
  </si>
  <si>
    <t>1.337218331903464e-07</t>
  </si>
  <si>
    <t>6.680508251893012e-05</t>
  </si>
  <si>
    <t>5.4855015558691145e-08</t>
  </si>
  <si>
    <t>2.1882954203854607e-05</t>
  </si>
  <si>
    <t>WTE_energy_recovery - Aluminum_Cans - USA</t>
  </si>
  <si>
    <t>bcd08fb5-d64f-5ab6-b3d7-fc22a164c559</t>
  </si>
  <si>
    <t>8.034336451738796e-11</t>
  </si>
  <si>
    <t>3.0733211683072686e-08</t>
  </si>
  <si>
    <t>1.3374090364616152e-07</t>
  </si>
  <si>
    <t>7.26988679262661e-05</t>
  </si>
  <si>
    <t>5.7699383307383445e-08</t>
  </si>
  <si>
    <t>2.3098830494717428e-05</t>
  </si>
  <si>
    <t>WTE_energy_recovery - Aluminum_Foil - Australia</t>
  </si>
  <si>
    <t>38285a0b-5fd9-5166-8249-2201085e8207</t>
  </si>
  <si>
    <t>Aluminum_Foil</t>
  </si>
  <si>
    <t>8.271356824080207e-11</t>
  </si>
  <si>
    <t>3.137913954098684e-08</t>
  </si>
  <si>
    <t>1.3375116304784508e-07</t>
  </si>
  <si>
    <t>2.717000873384773e-07</t>
  </si>
  <si>
    <t>7.586956885323203e-05</t>
  </si>
  <si>
    <t>5.9229578052204784e-08</t>
  </si>
  <si>
    <t>2.375293983465299e-05</t>
  </si>
  <si>
    <t>WTE_energy_recovery - Aluminum_Foil - Brazil</t>
  </si>
  <si>
    <t>2578b04d-b350-5975-af30-387a4bbd5390</t>
  </si>
  <si>
    <t>7.467136346718139e-11</t>
  </si>
  <si>
    <t>2.9372214397269886e-08</t>
  </si>
  <si>
    <t>1.425882416547551e-07</t>
  </si>
  <si>
    <t>6.625295172738317e-05</t>
  </si>
  <si>
    <t>5.545285296327578e-08</t>
  </si>
  <si>
    <t>2.1751764855885775e-05</t>
  </si>
  <si>
    <t>WTE_energy_recovery - Aluminum_Foil - Canada</t>
  </si>
  <si>
    <t>002dfcfe-a72b-5411-b888-51fc5884b35e</t>
  </si>
  <si>
    <t>8.341000010547901e-11</t>
  </si>
  <si>
    <t>3.155200665160156e-08</t>
  </si>
  <si>
    <t>1.337538682777442e-07</t>
  </si>
  <si>
    <t>3.456744079155841e-07</t>
  </si>
  <si>
    <t>7.670562881203588e-05</t>
  </si>
  <si>
    <t>5.963306440579293e-08</t>
  </si>
  <si>
    <t>2.3925417353153975e-05</t>
  </si>
  <si>
    <t>WTE_energy_recovery - Aluminum_Foil - China</t>
  </si>
  <si>
    <t>eea4925f-6151-5341-b351-2618b56c2af8</t>
  </si>
  <si>
    <t>8.394364593190596e-11</t>
  </si>
  <si>
    <t>3.167376428286802e-08</t>
  </si>
  <si>
    <t>1.42624259041422e-07</t>
  </si>
  <si>
    <t>3.9692989190104307e-07</t>
  </si>
  <si>
    <t>7.738424035549301e-05</t>
  </si>
  <si>
    <t>6.082486368083133e-08</t>
  </si>
  <si>
    <t>2.4048127718507686e-05</t>
  </si>
  <si>
    <t>WTE_energy_recovery - Aluminum_Foil - India</t>
  </si>
  <si>
    <t>33b98206-2f2d-52d8-a900-6a9d41c7bede</t>
  </si>
  <si>
    <t>8.307207188163831e-11</t>
  </si>
  <si>
    <t>3.142303237570038e-08</t>
  </si>
  <si>
    <t>1.748144101908043e-07</t>
  </si>
  <si>
    <t>2.877365821340414e-07</t>
  </si>
  <si>
    <t>7.651059002487207e-05</t>
  </si>
  <si>
    <t>6.022904514479016e-08</t>
  </si>
  <si>
    <t>2.379343434000477e-05</t>
  </si>
  <si>
    <t>WTE_energy_recovery - Aluminum_Foil - Ireland</t>
  </si>
  <si>
    <t>b35a13b3-3b7e-5cea-a164-ab03180fb56f</t>
  </si>
  <si>
    <t>8.053343370787689e-11</t>
  </si>
  <si>
    <t>3.083799032514561e-08</t>
  </si>
  <si>
    <t>1.337426945020736e-07</t>
  </si>
  <si>
    <t>4.0128301183098626e-08</t>
  </si>
  <si>
    <t>7.325233767779547e-05</t>
  </si>
  <si>
    <t>5.7966490336622535e-08</t>
  </si>
  <si>
    <t>2.3213010211501268e-05</t>
  </si>
  <si>
    <t>WTE_energy_recovery - Aluminum_Foil - Mexico</t>
  </si>
  <si>
    <t>1736d047-51ac-57ee-88df-a0f721851b13</t>
  </si>
  <si>
    <t>7.803994548620145e-11</t>
  </si>
  <si>
    <t>3.0208357988666994e-08</t>
  </si>
  <si>
    <t>1.4260132662294505e-07</t>
  </si>
  <si>
    <t>7.029690302673402e-05</t>
  </si>
  <si>
    <t>5.740448232508435e-08</t>
  </si>
  <si>
    <t>2.258602402320534e-05</t>
  </si>
  <si>
    <t>WTE_energy_recovery - Aluminum_Foil - Spain</t>
  </si>
  <si>
    <t>ccef1967-4d4d-5900-8a5c-597c1f5af4fc</t>
  </si>
  <si>
    <t>7.899926496247999e-11</t>
  </si>
  <si>
    <t>3.0457181617700855e-08</t>
  </si>
  <si>
    <t>1.3373673515504932e-07</t>
  </si>
  <si>
    <t>7.141058240619172e-05</t>
  </si>
  <si>
    <t>5.7077650833064716e-08</t>
  </si>
  <si>
    <t>2.283305973594993e-05</t>
  </si>
  <si>
    <t>WTE_energy_recovery - Aluminum_Foil - USA</t>
  </si>
  <si>
    <t>24d7b112-1372-5780-b5ba-b3408071f4db</t>
  </si>
  <si>
    <t>8.365562138873071e-11</t>
  </si>
  <si>
    <t>3.161297434089628e-08</t>
  </si>
  <si>
    <t>1.337548223725711e-07</t>
  </si>
  <si>
    <t>3.717640635858993e-07</t>
  </si>
  <si>
    <t>7.700049487198778e-05</t>
  </si>
  <si>
    <t>5.977536811268143e-08</t>
  </si>
  <si>
    <t>2.3986247639041916e-05</t>
  </si>
  <si>
    <t>WTE_energy_recovery - Aluminum_Other - Australia</t>
  </si>
  <si>
    <t>711aaf5f-3382-5f79-b817-f7b5a1787e3d</t>
  </si>
  <si>
    <t>Aluminum_Other</t>
  </si>
  <si>
    <t>7.907913338023793e-11</t>
  </si>
  <si>
    <t>3.047700641795394e-08</t>
  </si>
  <si>
    <t>7.15064636968789e-05</t>
  </si>
  <si>
    <t>5.712392358174565e-08</t>
  </si>
  <si>
    <t>2.285283985687847e-05</t>
  </si>
  <si>
    <t>WTE_energy_recovery - Aluminum_Other - Brazil</t>
  </si>
  <si>
    <t>0571b184-3367-5939-995a-4c1a48f82cd6</t>
  </si>
  <si>
    <t>7.06093480347892e-11</t>
  </si>
  <si>
    <t>2.8363947965645434e-08</t>
  </si>
  <si>
    <t>6.137654008204765e-05</t>
  </si>
  <si>
    <t>5.309947443746855e-08</t>
  </si>
  <si>
    <t>2.074577076307904e-05</t>
  </si>
  <si>
    <t>WTE_energy_recovery - Aluminum_Other - Canada</t>
  </si>
  <si>
    <t>6c066b36-4a5f-521a-bc56-e25cea233a12</t>
  </si>
  <si>
    <t>7.981342394137912e-11</t>
  </si>
  <si>
    <t>3.065927074860025e-08</t>
  </si>
  <si>
    <t>1.337398976858353e-07</t>
  </si>
  <si>
    <t>7.238797266773033e-05</t>
  </si>
  <si>
    <t>5.7549343836067664e-08</t>
  </si>
  <si>
    <t>2.3034693416815473e-05</t>
  </si>
  <si>
    <t>WTE_energy_recovery - Aluminum_Other - China</t>
  </si>
  <si>
    <t>f7429676-7591-5ef9-8051-9604ea359d64</t>
  </si>
  <si>
    <t>8.038414787259053e-11</t>
  </si>
  <si>
    <t>3.079023184278424e-08</t>
  </si>
  <si>
    <t>1.4261043247623375e-07</t>
  </si>
  <si>
    <t>1.8843443123381358e-08</t>
  </si>
  <si>
    <t>5.876262476646413e-08</t>
  </si>
  <si>
    <t>2.31665865031615e-05</t>
  </si>
  <si>
    <t>WTE_energy_recovery - Aluminum_Other - India</t>
  </si>
  <si>
    <t>acf1db58-771f-54b9-93eb-282f0fceb731</t>
  </si>
  <si>
    <t>7.905728918682904e-11</t>
  </si>
  <si>
    <t>3.0426489972350067e-08</t>
  </si>
  <si>
    <t>7.169088084052858e-05</t>
  </si>
  <si>
    <t>5.790303148556205e-08</t>
  </si>
  <si>
    <t>2.2799137852928288e-05</t>
  </si>
  <si>
    <t>WTE_energy_recovery - Aluminum_Other - Ireland</t>
  </si>
  <si>
    <t>ba784149-d0f5-5d85-8512-6a5fa6592fc0</t>
  </si>
  <si>
    <t>7.678048466707694e-11</t>
  </si>
  <si>
    <t>2.990643981766599e-08</t>
  </si>
  <si>
    <t>1.3372811649312518e-07</t>
  </si>
  <si>
    <t>6.874695735330035e-05</t>
  </si>
  <si>
    <t>2.2283559147494947e-05</t>
  </si>
  <si>
    <t>WTE_energy_recovery - Aluminum_Other - Mexico</t>
  </si>
  <si>
    <t>4b3a7aad-ae05-5632-ae44-c056b21a7310</t>
  </si>
  <si>
    <t>7.416049254514986e-11</t>
  </si>
  <si>
    <t>2.924540690228357e-08</t>
  </si>
  <si>
    <t>1.4258625722043647e-07</t>
  </si>
  <si>
    <t>6.56396559497279e-05</t>
  </si>
  <si>
    <t>5.515687362066169e-08</t>
  </si>
  <si>
    <t>2.162524314805278e-05</t>
  </si>
  <si>
    <t>WTE_energy_recovery - Aluminum_Other - Spain</t>
  </si>
  <si>
    <t>f92685b3-c00b-517c-899a-65c7808bd74c</t>
  </si>
  <si>
    <t>7.51629170541066e-11</t>
  </si>
  <si>
    <t>2.950492998783278e-08</t>
  </si>
  <si>
    <t>1.3372183319034642e-07</t>
  </si>
  <si>
    <t>6.68050825189301e-05</t>
  </si>
  <si>
    <t>5.485501555869119e-08</t>
  </si>
  <si>
    <t>2.18829542038546e-05</t>
  </si>
  <si>
    <t>WTE_energy_recovery - Aluminum_Other - USA</t>
  </si>
  <si>
    <t>29894c0b-eda4-5e82-a460-920164402ba9</t>
  </si>
  <si>
    <t>8.007239743046591e-11</t>
  </si>
  <si>
    <t>3.072355269928953e-08</t>
  </si>
  <si>
    <t>1.3374090364616154e-07</t>
  </si>
  <si>
    <t>5.7699383307383425e-08</t>
  </si>
  <si>
    <t>WTE_energy_recovery - Bottom_Ash - Australia</t>
  </si>
  <si>
    <t>3c39508a-ead9-5abe-9288-26db44abff75</t>
  </si>
  <si>
    <t>Bottom_Ash</t>
  </si>
  <si>
    <t>0.5895034754744461</t>
  </si>
  <si>
    <t>1.962989345295576e-06</t>
  </si>
  <si>
    <t>WTE_energy_recovery - Bottom_Ash - Brazil</t>
  </si>
  <si>
    <t>1a122d42-ae76-57c8-99ac-6f8e8493667d</t>
  </si>
  <si>
    <t>0.5450867924900082</t>
  </si>
  <si>
    <t>WTE_energy_recovery - Bottom_Ash - Canada</t>
  </si>
  <si>
    <t>9ba1cf03-4694-5c9f-b2b4-52543e553ebd</t>
  </si>
  <si>
    <t>0.5934362737538921</t>
  </si>
  <si>
    <t>2.9826015376070228e-06</t>
  </si>
  <si>
    <t>WTE_energy_recovery - Bottom_Ash - China</t>
  </si>
  <si>
    <t>b3e064fd-aa22-5efc-a729-6c18e44affd8</t>
  </si>
  <si>
    <t>0.5972886876850733</t>
  </si>
  <si>
    <t>3.981373753621306e-06</t>
  </si>
  <si>
    <t>WTE_energy_recovery - Bottom_Ash - India</t>
  </si>
  <si>
    <t>2579a4f1-315d-5ead-a5bf-bc7858be1321</t>
  </si>
  <si>
    <t>0.5499933659725033</t>
  </si>
  <si>
    <t>WTE_energy_recovery - Bottom_Ash - Ireland</t>
  </si>
  <si>
    <t>73454684-1004-5bdc-a689-0831991cf88f</t>
  </si>
  <si>
    <t>0.5771921069474808</t>
  </si>
  <si>
    <t>WTE_energy_recovery - Bottom_Ash - Mexico</t>
  </si>
  <si>
    <t>6a0d9141-08e4-5c48-a179-07984ff921ea</t>
  </si>
  <si>
    <t>0.5640515259503877</t>
  </si>
  <si>
    <t>WTE_energy_recovery - Bottom_Ash - Spain</t>
  </si>
  <si>
    <t>43080c1d-cfdb-5fbd-9b43-36a8046025eb</t>
  </si>
  <si>
    <t>0.5685285513173938</t>
  </si>
  <si>
    <t>WTE_energy_recovery - Bottom_Ash - USA</t>
  </si>
  <si>
    <t>0f9ac324-681e-5272-be12-9faa59922808</t>
  </si>
  <si>
    <t>0.5948233139068752</t>
  </si>
  <si>
    <t>3.342203772641782e-06</t>
  </si>
  <si>
    <t>WTE_energy_recovery - Corr_Cardboard - Australia</t>
  </si>
  <si>
    <t>c6a5dbed-5a46-571f-a844-0d891c19b42d</t>
  </si>
  <si>
    <t>WTE_energy_recovery - Corr_Cardboard - Brazil</t>
  </si>
  <si>
    <t>097fe51b-893a-522b-bff2-b368e0e5a3c2</t>
  </si>
  <si>
    <t>WTE_energy_recovery - Corr_Cardboard - Canada</t>
  </si>
  <si>
    <t>25b74e9b-9523-5b68-9b74-6fca21a28e30</t>
  </si>
  <si>
    <t>WTE_energy_recovery - Corr_Cardboard - China</t>
  </si>
  <si>
    <t>e131851f-bfc2-56ac-90bb-e0a8612fbcb5</t>
  </si>
  <si>
    <t>WTE_energy_recovery - Corr_Cardboard - India</t>
  </si>
  <si>
    <t>13adf386-ec58-55ca-b0d4-e8fce34caf82</t>
  </si>
  <si>
    <t>WTE_energy_recovery - Corr_Cardboard - Ireland</t>
  </si>
  <si>
    <t>4cdca2fc-036a-584c-9811-79a0fcee2aaf</t>
  </si>
  <si>
    <t>WTE_energy_recovery - Corr_Cardboard - Mexico</t>
  </si>
  <si>
    <t>ed0147b1-14cb-583a-9a27-6392982d566b</t>
  </si>
  <si>
    <t>WTE_energy_recovery - Corr_Cardboard - Spain</t>
  </si>
  <si>
    <t>3ab49116-6200-53e4-87c3-2a408000a9c7</t>
  </si>
  <si>
    <t>WTE_energy_recovery - Corr_Cardboard - USA</t>
  </si>
  <si>
    <t>11a16003-025d-5bb6-9eef-29661dfe36f1</t>
  </si>
  <si>
    <t>WTE_energy_recovery - Diapers_and_sanitary_products - Australia</t>
  </si>
  <si>
    <t>e8cfe455-112e-5e41-a160-e09f217eb09d</t>
  </si>
  <si>
    <t>WTE_energy_recovery - Diapers_and_sanitary_products - Brazil</t>
  </si>
  <si>
    <t>f12749d7-7bd1-5c48-a6f7-5965ecf6dd34</t>
  </si>
  <si>
    <t>WTE_energy_recovery - Diapers_and_sanitary_products - Canada</t>
  </si>
  <si>
    <t>dc3153e4-a8f2-56a6-b9db-1dfa5042b9a8</t>
  </si>
  <si>
    <t>WTE_energy_recovery - Diapers_and_sanitary_products - China</t>
  </si>
  <si>
    <t>e5c35e7c-7da7-5a34-bb5c-c063264fd335</t>
  </si>
  <si>
    <t>WTE_energy_recovery - Diapers_and_sanitary_products - India</t>
  </si>
  <si>
    <t>543bdb24-2f01-503d-aa00-4c0d3168dbb1</t>
  </si>
  <si>
    <t>WTE_energy_recovery - Diapers_and_sanitary_products - Ireland</t>
  </si>
  <si>
    <t>8a255c97-9fec-5a7b-95c0-526cd662ad09</t>
  </si>
  <si>
    <t>WTE_energy_recovery - Diapers_and_sanitary_products - Mexico</t>
  </si>
  <si>
    <t>6b735df9-97aa-5017-a11c-341bc6b9b558</t>
  </si>
  <si>
    <t>WTE_energy_recovery - Diapers_and_sanitary_products - Spain</t>
  </si>
  <si>
    <t>df0a2b99-6ca8-5b54-bbb8-9a560500318b</t>
  </si>
  <si>
    <t>WTE_energy_recovery - Diapers_and_sanitary_products - USA</t>
  </si>
  <si>
    <t>e24fe047-fb64-52fb-9055-2b5d9fca2e03</t>
  </si>
  <si>
    <t>WTE_energy_recovery - E_waste - Australia</t>
  </si>
  <si>
    <t>f797af2e-4488-50a2-b77e-e0bf41e4fc73</t>
  </si>
  <si>
    <t>E_waste</t>
  </si>
  <si>
    <t>0.10913674837325506</t>
  </si>
  <si>
    <t>1.3117723558486415e-10</t>
  </si>
  <si>
    <t>4.4878078229543406e-08</t>
  </si>
  <si>
    <t>4.940188643720907e-10</t>
  </si>
  <si>
    <t>3.831636584654263e-05</t>
  </si>
  <si>
    <t>WTE_energy_recovery - E_waste - Brazil</t>
  </si>
  <si>
    <t>4c2afa24-3845-59c7-877d-54d08331f4e1</t>
  </si>
  <si>
    <t>0.1085468558122016</t>
  </si>
  <si>
    <t>1.303335804722983e-10</t>
  </si>
  <si>
    <t>4.4666530136481586e-08</t>
  </si>
  <si>
    <t>4.907008680616276e-10</t>
  </si>
  <si>
    <t>6.509850916725588e-06</t>
  </si>
  <si>
    <t>1.8069085479651443e-08</t>
  </si>
  <si>
    <t>3.810481975105303e-05</t>
  </si>
  <si>
    <t>WTE_energy_recovery - E_waste - Canada</t>
  </si>
  <si>
    <t>22a54bda-cb82-5c09-bb8f-f9c2b5f181ba</t>
  </si>
  <si>
    <t>0.10918967354464446</t>
  </si>
  <si>
    <t>1.312529721072435e-10</t>
  </si>
  <si>
    <t>4.489687741788624e-08</t>
  </si>
  <si>
    <t>4.943130564032179e-10</t>
  </si>
  <si>
    <t>6.608626354757346e-06</t>
  </si>
  <si>
    <t>1.8607847729471813e-08</t>
  </si>
  <si>
    <t>3.833512266698673e-05</t>
  </si>
  <si>
    <t>WTE_energy_recovery - E_waste - China</t>
  </si>
  <si>
    <t>0e24da1c-e679-530c-ab2a-a79ab5388ea4</t>
  </si>
  <si>
    <t>0.10924925522335059</t>
  </si>
  <si>
    <t>1.313387220207683e-10</t>
  </si>
  <si>
    <t>4.49160246298487e-08</t>
  </si>
  <si>
    <t>1.8651426579763708e-08</t>
  </si>
  <si>
    <t>WTE_energy_recovery - E_waste - India</t>
  </si>
  <si>
    <t>44926596-4bff-5182-b205-4140e7f4d5be</t>
  </si>
  <si>
    <t>0.10861287591194387</t>
  </si>
  <si>
    <t>1.3042805598617716e-10</t>
  </si>
  <si>
    <t>4.468998068481252e-08</t>
  </si>
  <si>
    <t>4.910678500991606e-10</t>
  </si>
  <si>
    <t>6.519886014625742e-06</t>
  </si>
  <si>
    <t>1.8123821028797704e-08</t>
  </si>
  <si>
    <t>WTE_energy_recovery - E_waste - Ireland</t>
  </si>
  <si>
    <t>eab5a52d-04df-52cb-979d-04901e9d4e22</t>
  </si>
  <si>
    <t>0.10897106957585462</t>
  </si>
  <si>
    <t>1.309401473408765e-10</t>
  </si>
  <si>
    <t>4.48192285964672e-08</t>
  </si>
  <si>
    <t>4.93097915405052e-10</t>
  </si>
  <si>
    <t>6.575398409963689e-06</t>
  </si>
  <si>
    <t>1.842660885931412e-08</t>
  </si>
  <si>
    <t>3.825764884339532e-05</t>
  </si>
  <si>
    <t>WTE_energy_recovery - E_waste - Mexico</t>
  </si>
  <si>
    <t>ae519b99-a53e-5138-a9e6-5214aa9747a1</t>
  </si>
  <si>
    <t>0.10880203462449059</t>
  </si>
  <si>
    <t>1.3069874425582235e-10</t>
  </si>
  <si>
    <t>4.475717045804149e-08</t>
  </si>
  <si>
    <t>6.548638261411746e-06</t>
  </si>
  <si>
    <t>1.8280647602164093e-08</t>
  </si>
  <si>
    <t>3.819525579573445e-05</t>
  </si>
  <si>
    <t>WTE_energy_recovery - E_waste - Spain</t>
  </si>
  <si>
    <t>acd9be2c-adee-57e0-b5f6-6704a98a06e0</t>
  </si>
  <si>
    <t>0.10885448079249656</t>
  </si>
  <si>
    <t>1.3077330746547307e-10</t>
  </si>
  <si>
    <t>4.477781589170899e-08</t>
  </si>
  <si>
    <t>3.8216329470810126e-05</t>
  </si>
  <si>
    <t>WTE_energy_recovery - E_waste - USA</t>
  </si>
  <si>
    <t>4e9ce4f8-09ea-5c23-81cf-bd185df30bac</t>
  </si>
  <si>
    <t>0.10920833947475832</t>
  </si>
  <si>
    <t>1.3127968326559915e-10</t>
  </si>
  <si>
    <t>4.4903507615325405e-08</t>
  </si>
  <si>
    <t>1.8623323167097324e-08</t>
  </si>
  <si>
    <t>WTE_energy_recovery - Ferrous_Cans - Australia</t>
  </si>
  <si>
    <t>b8cfdfc3-a66a-5e8d-9fae-b54c2d8385c3</t>
  </si>
  <si>
    <t>6.2877660540263724e-12</t>
  </si>
  <si>
    <t>1.235602422429392e-08</t>
  </si>
  <si>
    <t>2.4640695670150603e-07</t>
  </si>
  <si>
    <t>7.868639100139724e-08</t>
  </si>
  <si>
    <t>5.0468316918706995e-06</t>
  </si>
  <si>
    <t>WTE_energy_recovery - Ferrous_Cans - Brazil</t>
  </si>
  <si>
    <t>61429b4e-0a2f-5b66-b8c3-d4f64ca96de5</t>
  </si>
  <si>
    <t>8.076266325226768e-09</t>
  </si>
  <si>
    <t>2.627125766105023e-07</t>
  </si>
  <si>
    <t>7.037359954068374e-08</t>
  </si>
  <si>
    <t>7.793863388131085e-07</t>
  </si>
  <si>
    <t>WTE_energy_recovery - Ferrous_Cans - Canada</t>
  </si>
  <si>
    <t>e7c3e940-9d84-545f-b9f3-476b3b59dd1a</t>
  </si>
  <si>
    <t>0.016448662020942154</t>
  </si>
  <si>
    <t>7.778241600689078e-12</t>
  </si>
  <si>
    <t>1.2725987481664366e-08</t>
  </si>
  <si>
    <t>2.464127463260442e-07</t>
  </si>
  <si>
    <t>7.954991631368014e-08</t>
  </si>
  <si>
    <t>5.415961159833188e-06</t>
  </si>
  <si>
    <t>WTE_energy_recovery - Ferrous_Cans - China</t>
  </si>
  <si>
    <t>4e5199e5-455d-5ac7-a641-6c80eaa91ea2</t>
  </si>
  <si>
    <t>8.954173115929254e-12</t>
  </si>
  <si>
    <t>1.2999924399102578e-08</t>
  </si>
  <si>
    <t>2.6278962786095394e-07</t>
  </si>
  <si>
    <t>8.186583097479342e-08</t>
  </si>
  <si>
    <t>5.691947921704668e-06</t>
  </si>
  <si>
    <t>WTE_energy_recovery - Ferrous_Cans - India</t>
  </si>
  <si>
    <t>1f99701d-55fb-5215-baba-92f34e7cd583</t>
  </si>
  <si>
    <t>0.014186621298604447</t>
  </si>
  <si>
    <t>4.882636637466793e-12</t>
  </si>
  <si>
    <t>1.1925803026703245e-08</t>
  </si>
  <si>
    <t>3.222080339339615e-07</t>
  </si>
  <si>
    <t>7.933919217929448e-08</t>
  </si>
  <si>
    <t>4.611890601963298e-06</t>
  </si>
  <si>
    <t>WTE_energy_recovery - Ferrous_Cans - Ireland</t>
  </si>
  <si>
    <t>ac93cd57-3480-582c-a391-aa80cf808f40</t>
  </si>
  <si>
    <t>0.012146591373562025</t>
  </si>
  <si>
    <t>1.621929560128115e-12</t>
  </si>
  <si>
    <t>1.119787837513469e-08</t>
  </si>
  <si>
    <t>2.4638883265947394e-07</t>
  </si>
  <si>
    <t>7.59831813281637e-08</t>
  </si>
  <si>
    <t>3.891295966074767e-06</t>
  </si>
  <si>
    <t>WTE_energy_recovery - Ferrous_Cans - Mexico</t>
  </si>
  <si>
    <t>a4549a82-898a-557a-a155-f05ba07e9391</t>
  </si>
  <si>
    <t>9.865011018731787e-09</t>
  </si>
  <si>
    <t>2.627405690123518e-07</t>
  </si>
  <si>
    <t>7.454867987442393e-08</t>
  </si>
  <si>
    <t>2.5640997228610054e-06</t>
  </si>
  <si>
    <t>WTE_energy_recovery - Ferrous_Cans - Spain</t>
  </si>
  <si>
    <t>aea50d6d-1bbc-5cdd-a8b8-2b13d159b506</t>
  </si>
  <si>
    <t>1.0382886851651308e-08</t>
  </si>
  <si>
    <t>2.463760787039698e-07</t>
  </si>
  <si>
    <t>7.408092266922146e-08</t>
  </si>
  <si>
    <t>3.0781411960701565e-06</t>
  </si>
  <si>
    <t>WTE_energy_recovery - Ferrous_Cans - USA</t>
  </si>
  <si>
    <t>09951044-7574-5320-8569-fe222f9b77ae</t>
  </si>
  <si>
    <t>8.303910420537751e-12</t>
  </si>
  <si>
    <t>1.2856468085203777e-08</t>
  </si>
  <si>
    <t>2.4641478824152896e-07</t>
  </si>
  <si>
    <t>7.985446900012527e-08</t>
  </si>
  <si>
    <t>5.546147698102581e-06</t>
  </si>
  <si>
    <t>WTE_energy_recovery - Ferrous_Metal_Other - Australia</t>
  </si>
  <si>
    <t>b7d500e8-2fd4-5b28-b245-f0f2b36bfc9f</t>
  </si>
  <si>
    <t>WTE_energy_recovery - Ferrous_Metal_Other - Brazil</t>
  </si>
  <si>
    <t>4559325d-5aa5-5ed6-ab3d-96e7d0d3ca10</t>
  </si>
  <si>
    <t>8.076266325226755e-09</t>
  </si>
  <si>
    <t>WTE_energy_recovery - Ferrous_Metal_Other - Canada</t>
  </si>
  <si>
    <t>b5db277e-22c4-52a4-bb8f-352c4e39cc5b</t>
  </si>
  <si>
    <t>0.016448662020942126</t>
  </si>
  <si>
    <t>7.778241600689026e-12</t>
  </si>
  <si>
    <t>1.2725987481664359e-08</t>
  </si>
  <si>
    <t>7.954991631368013e-08</t>
  </si>
  <si>
    <t>5.4159611598331845e-06</t>
  </si>
  <si>
    <t>WTE_energy_recovery - Ferrous_Metal_Other - China</t>
  </si>
  <si>
    <t>a824e0f8-d617-5409-8387-b0444dbde199</t>
  </si>
  <si>
    <t>0.017233891912966443</t>
  </si>
  <si>
    <t>8.954173115929266e-12</t>
  </si>
  <si>
    <t>1.299992439910258e-08</t>
  </si>
  <si>
    <t>8.18658309747934e-08</t>
  </si>
  <si>
    <t>5.691947921704661e-06</t>
  </si>
  <si>
    <t>WTE_energy_recovery - Ferrous_Metal_Other - India</t>
  </si>
  <si>
    <t>fb45c30c-e80b-5850-abc5-da0070df5cad</t>
  </si>
  <si>
    <t>0.014186621298604448</t>
  </si>
  <si>
    <t>3.2220803393396133e-07</t>
  </si>
  <si>
    <t>7.933919217929454e-08</t>
  </si>
  <si>
    <t>WTE_energy_recovery - Ferrous_Metal_Other - Ireland</t>
  </si>
  <si>
    <t>aeb2d25c-542e-5b9e-869a-d3462fe4d616</t>
  </si>
  <si>
    <t>3.89129596607476e-06</t>
  </si>
  <si>
    <t>WTE_energy_recovery - Ferrous_Metal_Other - Mexico</t>
  </si>
  <si>
    <t>adac9e48-7def-5b9d-850a-7081a60d572e</t>
  </si>
  <si>
    <t>7.454867987442396e-08</t>
  </si>
  <si>
    <t>2.564099722861012e-06</t>
  </si>
  <si>
    <t>WTE_energy_recovery - Ferrous_Metal_Other - Spain</t>
  </si>
  <si>
    <t>f17b59e3-a8b5-5add-a07a-3fee8d8f3213</t>
  </si>
  <si>
    <t>1.03828868516513e-08</t>
  </si>
  <si>
    <t>7.408092266922147e-08</t>
  </si>
  <si>
    <t>3.07814119607017e-06</t>
  </si>
  <si>
    <t>WTE_energy_recovery - Ferrous_Metal_Other - USA</t>
  </si>
  <si>
    <t>1146de9e-7b99-5db1-98f5-dad9196a7dde</t>
  </si>
  <si>
    <t>0.016816002790093272</t>
  </si>
  <si>
    <t>8.303910420538035e-12</t>
  </si>
  <si>
    <t>1.2856468085203828e-08</t>
  </si>
  <si>
    <t>7.985446900012538e-08</t>
  </si>
  <si>
    <t>5.546147698102593e-06</t>
  </si>
  <si>
    <t>WTE_energy_recovery - Ferrous_Non_recyclable - Australia</t>
  </si>
  <si>
    <t>e15bb36c-c29e-51b4-ad3b-c0795b5828c6</t>
  </si>
  <si>
    <t>0.10950179740087154</t>
  </si>
  <si>
    <t>1.4275731484475155e-10</t>
  </si>
  <si>
    <t>4.618403188168362e-08</t>
  </si>
  <si>
    <t>6.6005816944390805e-06</t>
  </si>
  <si>
    <t>3.831636584654264e-05</t>
  </si>
  <si>
    <t>WTE_energy_recovery - Ferrous_Non_recyclable - Brazil</t>
  </si>
  <si>
    <t>f6de31f2-af06-504d-bf3d-3e76cc89432c</t>
  </si>
  <si>
    <t>0.10891190483981808</t>
  </si>
  <si>
    <t>1.4191365973218567e-10</t>
  </si>
  <si>
    <t>4.59724837886218e-08</t>
  </si>
  <si>
    <t>WTE_energy_recovery - Ferrous_Non_recyclable - Canada</t>
  </si>
  <si>
    <t>9833cf64-6ae3-562a-a70d-851699d67684</t>
  </si>
  <si>
    <t>0.10955472257226373</t>
  </si>
  <si>
    <t>1.4283305136713718e-10</t>
  </si>
  <si>
    <t>4.620283107002755e-08</t>
  </si>
  <si>
    <t>4.943130564032272e-10</t>
  </si>
  <si>
    <t>6.6086263547576e-06</t>
  </si>
  <si>
    <t>1.860784772947188e-08</t>
  </si>
  <si>
    <t>3.833512266699237e-05</t>
  </si>
  <si>
    <t>WTE_energy_recovery - Ferrous_Non_recyclable - China</t>
  </si>
  <si>
    <t>ba5abe81-bbf8-5821-a0df-7de558fbfd6c</t>
  </si>
  <si>
    <t>0.10961430425096705</t>
  </si>
  <si>
    <t>1.4291880128065564e-10</t>
  </si>
  <si>
    <t>4.6221978281988916e-08</t>
  </si>
  <si>
    <t>3.8353751956512984e-05</t>
  </si>
  <si>
    <t>WTE_energy_recovery - Ferrous_Non_recyclable - India</t>
  </si>
  <si>
    <t>1580e0f7-bd6a-52cc-80e0-c6270e759823</t>
  </si>
  <si>
    <t>0.10897792493956039</t>
  </si>
  <si>
    <t>1.4200813524606462e-10</t>
  </si>
  <si>
    <t>4.599593433695275e-08</t>
  </si>
  <si>
    <t>4.910678500991605e-10</t>
  </si>
  <si>
    <t>WTE_energy_recovery - Ferrous_Non_recyclable - Ireland</t>
  </si>
  <si>
    <t>e190e4ea-def8-5c44-84aa-a356962d878b</t>
  </si>
  <si>
    <t>1.425202266007617e-10</t>
  </si>
  <si>
    <t>4.6125182248606985e-08</t>
  </si>
  <si>
    <t>0.041574329443251096</t>
  </si>
  <si>
    <t>4.930979154050543e-10</t>
  </si>
  <si>
    <t>6.575398409963712e-06</t>
  </si>
  <si>
    <t>1.842660885931418e-08</t>
  </si>
  <si>
    <t>3.825764884339541e-05</t>
  </si>
  <si>
    <t>WTE_energy_recovery - Ferrous_Non_recyclable - Mexico</t>
  </si>
  <si>
    <t>028ac7eb-ea2e-5232-90b3-6e9f07c8a61d</t>
  </si>
  <si>
    <t>0.10916708365210706</t>
  </si>
  <si>
    <t>1.4227882351570976e-10</t>
  </si>
  <si>
    <t>4.6063124110181715e-08</t>
  </si>
  <si>
    <t>6.548638261411747e-06</t>
  </si>
  <si>
    <t>1.8280647602164087e-08</t>
  </si>
  <si>
    <t>3.819525579573446e-05</t>
  </si>
  <si>
    <t>WTE_energy_recovery - Ferrous_Non_recyclable - Spain</t>
  </si>
  <si>
    <t>040ddf18-9243-5d57-8629-336783d7678b</t>
  </si>
  <si>
    <t>0.10921952982011306</t>
  </si>
  <si>
    <t>1.4235338672536053e-10</t>
  </si>
  <si>
    <t>4.608376954384922e-08</t>
  </si>
  <si>
    <t>0.041414954380226764</t>
  </si>
  <si>
    <t>6.557676839406948e-06</t>
  </si>
  <si>
    <t>3.821632947081013e-05</t>
  </si>
  <si>
    <t>WTE_energy_recovery - Ferrous_Non_recyclable - USA</t>
  </si>
  <si>
    <t>fc142bf5-ede8-50fb-9e48-4a08ca21d1b7</t>
  </si>
  <si>
    <t>0.10957338850237493</t>
  </si>
  <si>
    <t>1.4285976252548682e-10</t>
  </si>
  <si>
    <t>4.620946126746568e-08</t>
  </si>
  <si>
    <t>4.944168136088803e-10</t>
  </si>
  <si>
    <t>6.611463588219893e-06</t>
  </si>
  <si>
    <t>1.862332316709737e-08</t>
  </si>
  <si>
    <t>3.834173792189687e-05</t>
  </si>
  <si>
    <t>WTE_energy_recovery - Fly_Ash - Australia</t>
  </si>
  <si>
    <t>6b83eb4e-69e3-53f0-98dd-e6ce2a60069e</t>
  </si>
  <si>
    <t>1.4683692303563974e-10</t>
  </si>
  <si>
    <t>4.403243119759732e-08</t>
  </si>
  <si>
    <t>0.12978735096488034</t>
  </si>
  <si>
    <t>4.836541333455255e-10</t>
  </si>
  <si>
    <t>7.42927570894621e-06</t>
  </si>
  <si>
    <t>1.8132007322710006e-08</t>
  </si>
  <si>
    <t>4.482105958456875e-05</t>
  </si>
  <si>
    <t>WTE_energy_recovery - Fly_Ash - Brazil</t>
  </si>
  <si>
    <t>c8a9d7d9-cbc7-55c7-8bdc-f0c8ad5fe9da</t>
  </si>
  <si>
    <t>0.10646111108065287</t>
  </si>
  <si>
    <t>1.4602027862478699e-10</t>
  </si>
  <si>
    <t>4.3827655084944044e-08</t>
  </si>
  <si>
    <t>0.12899750323112585</t>
  </si>
  <si>
    <t>4.80442347751701e-10</t>
  </si>
  <si>
    <t>7.341449268489591e-06</t>
  </si>
  <si>
    <t>1.765296541937196e-08</t>
  </si>
  <si>
    <t>4.461628518491711e-05</t>
  </si>
  <si>
    <t>WTE_energy_recovery - Fly_Ash - Canada</t>
  </si>
  <si>
    <t>e8331978-5851-5e14-b4b2-5b3ff871db5e</t>
  </si>
  <si>
    <t>0.10708334867538565</t>
  </si>
  <si>
    <t>1.4691023523876956e-10</t>
  </si>
  <si>
    <t>4.4050628625616605e-08</t>
  </si>
  <si>
    <t>4.839389083162584e-10</t>
  </si>
  <si>
    <t>7.437062860412939e-06</t>
  </si>
  <si>
    <t>1.817448164793026e-08</t>
  </si>
  <si>
    <t>4.483921600088633e-05</t>
  </si>
  <si>
    <t>WTE_energy_recovery - Fly_Ash - China</t>
  </si>
  <si>
    <t>169eb233-661b-5fc8-8417-2d53b254c4a0</t>
  </si>
  <si>
    <t>0.10714102670671821</t>
  </si>
  <si>
    <t>1.4699324562100784e-10</t>
  </si>
  <si>
    <t>4.406916326670647e-08</t>
  </si>
  <si>
    <t>0.12992693737251987</t>
  </si>
  <si>
    <t>4.842217546723094e-10</t>
  </si>
  <si>
    <t>7.444796883869383e-06</t>
  </si>
  <si>
    <t>1.8216665797505825e-08</t>
  </si>
  <si>
    <t>4.4857249077591805e-05</t>
  </si>
  <si>
    <t>WTE_energy_recovery - Fly_Ash - India</t>
  </si>
  <si>
    <t>aab80a8f-c11c-5eac-9996-0d82e711ee0e</t>
  </si>
  <si>
    <t>0.1065250178788901</t>
  </si>
  <si>
    <t>1.4611172998016928e-10</t>
  </si>
  <si>
    <t>4.385035498189349e-08</t>
  </si>
  <si>
    <t>0.12908486283551765</t>
  </si>
  <si>
    <t>4.807975827047014e-10</t>
  </si>
  <si>
    <t>7.351163143192656e-06</t>
  </si>
  <si>
    <t>1.770594888515379e-08</t>
  </si>
  <si>
    <t>4.4638933922898016e-05</t>
  </si>
  <si>
    <t>WTE_energy_recovery - Fly_Ash - Ireland</t>
  </si>
  <si>
    <t>83f3cfa8-d0a9-5b1a-9182-b33fe0e1a9d6</t>
  </si>
  <si>
    <t>0.1068717421999319</t>
  </si>
  <si>
    <t>1.4660742396497297e-10</t>
  </si>
  <si>
    <t>4.397546533597177e-08</t>
  </si>
  <si>
    <t>0.12956812022784123</t>
  </si>
  <si>
    <t>4.827626638719254e-10</t>
  </si>
  <si>
    <t>7.404898539137317e-06</t>
  </si>
  <si>
    <t>1.7999044217672597e-08</t>
  </si>
  <si>
    <t>4.476422210740054e-05</t>
  </si>
  <si>
    <t>WTE_energy_recovery - Fly_Ash - Mexico</t>
  </si>
  <si>
    <t>98d62066-c418-5bbc-b409-b17bf63a8fdc</t>
  </si>
  <si>
    <t>0.10670812162645268</t>
  </si>
  <si>
    <t>1.4637375352603708e-10</t>
  </si>
  <si>
    <t>4.391539401240111e-08</t>
  </si>
  <si>
    <t>0.1293351628255638</t>
  </si>
  <si>
    <t>4.818153907153686e-10</t>
  </si>
  <si>
    <t>7.3789950313802046e-06</t>
  </si>
  <si>
    <t>1.7857755444386725e-08</t>
  </si>
  <si>
    <t>4.470382637438571e-05</t>
  </si>
  <si>
    <t>WTE_energy_recovery - Fly_Ash - Spain</t>
  </si>
  <si>
    <t>59d23fe2-44ff-5b52-8af6-b2b383d6d012</t>
  </si>
  <si>
    <t>0.10675888541302288</t>
  </si>
  <si>
    <t>1.4644592461894735e-10</t>
  </si>
  <si>
    <t>4.393537824816108e-08</t>
  </si>
  <si>
    <t>0.12941384674622103</t>
  </si>
  <si>
    <t>4.821353335016124e-10</t>
  </si>
  <si>
    <t>7.3877442344569605e-06</t>
  </si>
  <si>
    <t>1.7905477588201758e-08</t>
  </si>
  <si>
    <t>4.472422536420792e-05</t>
  </si>
  <si>
    <t>WTE_energy_recovery - Fly_Ash - USA</t>
  </si>
  <si>
    <t>3b7e6872-0ea6-5df9-803a-aa7102b5719a</t>
  </si>
  <si>
    <t>0.10710141711075624</t>
  </si>
  <si>
    <t>1.4693609137534753e-10</t>
  </si>
  <si>
    <t>4.405704659103223e-08</t>
  </si>
  <si>
    <t>0.12988208227748113</t>
  </si>
  <si>
    <t>4.840393442631096e-10</t>
  </si>
  <si>
    <t>7.439809274287801e-06</t>
  </si>
  <si>
    <t>1.8189461718192042e-08</t>
  </si>
  <si>
    <t>4.4845619502077494e-05</t>
  </si>
  <si>
    <t>WTE_energy_recovery - Folding_Containers - Australia</t>
  </si>
  <si>
    <t>4df744f3-df6c-5c1c-8ad2-eea900c961c5</t>
  </si>
  <si>
    <t>WTE_energy_recovery - Folding_Containers - Brazil</t>
  </si>
  <si>
    <t>4f9782f2-addf-5eaf-bc21-6ba78af25997</t>
  </si>
  <si>
    <t>WTE_energy_recovery - Folding_Containers - Canada</t>
  </si>
  <si>
    <t>c2ac8654-05cb-59c7-b07f-de812dc0e198</t>
  </si>
  <si>
    <t>WTE_energy_recovery - Folding_Containers - China</t>
  </si>
  <si>
    <t>8af1869a-621e-52f1-a743-9c05c341915e</t>
  </si>
  <si>
    <t>WTE_energy_recovery - Folding_Containers - India</t>
  </si>
  <si>
    <t>008b67f1-d4eb-5876-ab39-d1d3333a7448</t>
  </si>
  <si>
    <t>WTE_energy_recovery - Folding_Containers - Ireland</t>
  </si>
  <si>
    <t>954253c1-46c6-501b-8bdf-b6c6dd979247</t>
  </si>
  <si>
    <t>WTE_energy_recovery - Folding_Containers - Mexico</t>
  </si>
  <si>
    <t>55fd1b5c-fc0c-5875-b154-33cc718564b7</t>
  </si>
  <si>
    <t>WTE_energy_recovery - Folding_Containers - Spain</t>
  </si>
  <si>
    <t>c28bddd0-c524-584f-b48d-c0e41ac8ee98</t>
  </si>
  <si>
    <t>WTE_energy_recovery - Folding_Containers - USA</t>
  </si>
  <si>
    <t>2ec1a585-a673-5021-8a6e-8fee14bf1256</t>
  </si>
  <si>
    <t>WTE_energy_recovery - Food_Waste_Non_Vegetable - Australia</t>
  </si>
  <si>
    <t>e18cb8ba-b408-5bf4-9151-30594db86d01</t>
  </si>
  <si>
    <t>WTE_energy_recovery - Food_Waste_Non_Vegetable - Brazil</t>
  </si>
  <si>
    <t>e5819adc-b9ff-55f9-a445-7a7d2bca94cd</t>
  </si>
  <si>
    <t>WTE_energy_recovery - Food_Waste_Non_Vegetable - Canada</t>
  </si>
  <si>
    <t>7ae9f198-40ee-5d88-984a-e089b1d3da24</t>
  </si>
  <si>
    <t>WTE_energy_recovery - Food_Waste_Non_Vegetable - China</t>
  </si>
  <si>
    <t>efaad6fd-2ddc-55bb-9a8c-355c3c0272e0</t>
  </si>
  <si>
    <t>WTE_energy_recovery - Food_Waste_Non_Vegetable - India</t>
  </si>
  <si>
    <t>a8150075-ce46-55a4-ac20-ad50efe25439</t>
  </si>
  <si>
    <t>WTE_energy_recovery - Food_Waste_Non_Vegetable - Ireland</t>
  </si>
  <si>
    <t>dace02c8-9285-5200-95a8-d9a7012253f0</t>
  </si>
  <si>
    <t>WTE_energy_recovery - Food_Waste_Non_Vegetable - Mexico</t>
  </si>
  <si>
    <t>02b35ddd-0deb-580b-91a3-f5879bd73798</t>
  </si>
  <si>
    <t>WTE_energy_recovery - Food_Waste_Non_Vegetable - Spain</t>
  </si>
  <si>
    <t>925a2069-3965-511b-8442-5d37a5a2e93a</t>
  </si>
  <si>
    <t>WTE_energy_recovery - Food_Waste_Non_Vegetable - USA</t>
  </si>
  <si>
    <t>ea4428f5-1daf-5fbe-be9d-aa4e8ef0158f</t>
  </si>
  <si>
    <t>WTE_energy_recovery - Food_Waste_Vegetable - Australia</t>
  </si>
  <si>
    <t>2ff04e9a-5058-57b9-9160-a2ead1e56ed6</t>
  </si>
  <si>
    <t>2.1463409596776248e-11</t>
  </si>
  <si>
    <t>1.9993160133813444e-06</t>
  </si>
  <si>
    <t>WTE_energy_recovery - Food_Waste_Vegetable - Brazil</t>
  </si>
  <si>
    <t>ca8ca15f-284e-50fb-bf76-9515e9b5e0e8</t>
  </si>
  <si>
    <t>3.2915315501466564e-12</t>
  </si>
  <si>
    <t>WTE_energy_recovery - Food_Waste_Vegetable - Canada</t>
  </si>
  <si>
    <t>bb668b28-3cfc-5d7f-9ee0-bc4023a6b213</t>
  </si>
  <si>
    <t>2.3072442564546747e-11</t>
  </si>
  <si>
    <t>2.397807276560512e-06</t>
  </si>
  <si>
    <t>WTE_energy_recovery - Food_Waste_Vegetable - China</t>
  </si>
  <si>
    <t>4efa444e-d026-5122-a795-caa638971371</t>
  </si>
  <si>
    <t>2.464902019480298e-11</t>
  </si>
  <si>
    <t>2.7880980655147107e-06</t>
  </si>
  <si>
    <t>WTE_energy_recovery - Food_Waste_Vegetable - India</t>
  </si>
  <si>
    <t>ebd823f1-7a62-5042-8ae8-b2a77f0eeb91</t>
  </si>
  <si>
    <t>5.29896992084828e-12</t>
  </si>
  <si>
    <t>WTE_energy_recovery - Food_Waste_Vegetable - Ireland</t>
  </si>
  <si>
    <t>40e2cd69-557b-5975-837d-29e42d0f1ab3</t>
  </si>
  <si>
    <t>1.642643682810316e-11</t>
  </si>
  <si>
    <t>7.51865102559472e-07</t>
  </si>
  <si>
    <t>WTE_energy_recovery - Food_Waste_Vegetable - Mexico</t>
  </si>
  <si>
    <t>38c3931d-1191-5567-bbfc-da84f1613709</t>
  </si>
  <si>
    <t>1.1050619185094235e-11</t>
  </si>
  <si>
    <t>WTE_energy_recovery - Food_Waste_Vegetable - Spain</t>
  </si>
  <si>
    <t>2be925d6-681e-511e-b0aa-bb9474ea5a9d</t>
  </si>
  <si>
    <t>1.2881900435332875e-11</t>
  </si>
  <si>
    <t>WTE_energy_recovery - Food_Waste_Vegetable - USA</t>
  </si>
  <si>
    <t>5c6d07d3-699f-5316-97bd-5b059386ff4c</t>
  </si>
  <si>
    <t>2.363992484438654e-11</t>
  </si>
  <si>
    <t>2.53834928847366e-06</t>
  </si>
  <si>
    <t>WTE_energy_recovery - Glass_Brown - Australia</t>
  </si>
  <si>
    <t>553c2439-b132-5526-bc4a-a88ecc11eb5a</t>
  </si>
  <si>
    <t>0.10404081703246851</t>
  </si>
  <si>
    <t>1.2900419616775906e-10</t>
  </si>
  <si>
    <t>4.365413802761474e-08</t>
  </si>
  <si>
    <t>0.034754241337771795</t>
  </si>
  <si>
    <t>4.653636779384391e-10</t>
  </si>
  <si>
    <t>5.818092524518229e-06</t>
  </si>
  <si>
    <t>1.4290033868688375e-08</t>
  </si>
  <si>
    <t>3.649806558779509e-05</t>
  </si>
  <si>
    <t>WTE_energy_recovery - Glass_Brown - Brazil</t>
  </si>
  <si>
    <t>f7da6dca-f8fb-51e9-bb20-e0c1bc9daca7</t>
  </si>
  <si>
    <t>0.10284444559216921</t>
  </si>
  <si>
    <t>1.2729266287915114e-10</t>
  </si>
  <si>
    <t>4.322716671762874e-08</t>
  </si>
  <si>
    <t>4.586744832240131e-10</t>
  </si>
  <si>
    <t>5.63517656448907e-06</t>
  </si>
  <si>
    <t>1.3292334623641927e-08</t>
  </si>
  <si>
    <t>3.607158177655762e-05</t>
  </si>
  <si>
    <t>WTE_energy_recovery - Glass_Brown - Canada</t>
  </si>
  <si>
    <t>c229d129-6fa3-567f-a704-ec2597255695</t>
  </si>
  <si>
    <t>0.1041474408546271</t>
  </si>
  <si>
    <t>1.291567760703147e-10</t>
  </si>
  <si>
    <t>4.369201114662377e-08</t>
  </si>
  <si>
    <t>0.034899994453013006</t>
  </si>
  <si>
    <t>4.659563614949259e-10</t>
  </si>
  <si>
    <t>5.834299414520949e-06</t>
  </si>
  <si>
    <t>1.4378432909046794e-08</t>
  </si>
  <si>
    <t>3.6535853351826676e-05</t>
  </si>
  <si>
    <t>WTE_energy_recovery - Glass_Brown - China</t>
  </si>
  <si>
    <t>c25b5c7c-385e-5c95-8956-cfdd91dfbdd5</t>
  </si>
  <si>
    <t>0.10425961399542132</t>
  </si>
  <si>
    <t>1.293177849644121e-10</t>
  </si>
  <si>
    <t>4.372983901232931e-08</t>
  </si>
  <si>
    <t>4.665408964259386e-10</t>
  </si>
  <si>
    <t>5.8502830780476655e-06</t>
  </si>
  <si>
    <t>1.4465613973982147e-08</t>
  </si>
  <si>
    <t>3.657312119434109e-05</t>
  </si>
  <si>
    <t>WTE_energy_recovery - Glass_Brown - India</t>
  </si>
  <si>
    <t>5cdb837f-0bf3-5ae3-a7af-4d5bcf2a239b</t>
  </si>
  <si>
    <t>0.10297746045182941</t>
  </si>
  <si>
    <t>1.2748300865666525e-10</t>
  </si>
  <si>
    <t>4.327441401666689e-08</t>
  </si>
  <si>
    <t>4.5941386508524295e-10</t>
  </si>
  <si>
    <t>5.655394909272936e-06</t>
  </si>
  <si>
    <t>1.3402613787392957e-08</t>
  </si>
  <si>
    <t>3.6118722593933516e-05</t>
  </si>
  <si>
    <t>WTE_energy_recovery - Glass_Brown - Ireland</t>
  </si>
  <si>
    <t>db14499c-3043-59da-8171-d926320aef58</t>
  </si>
  <si>
    <t>0.10370703811092857</t>
  </si>
  <si>
    <t>1.285265547336714e-10</t>
  </si>
  <si>
    <t>4.353557869854295e-08</t>
  </si>
  <si>
    <t>4.635083207181311e-10</t>
  </si>
  <si>
    <t>5.767357912335801e-06</t>
  </si>
  <si>
    <t>1.4013306438001046e-08</t>
  </si>
  <si>
    <t>3.637977345691344e-05</t>
  </si>
  <si>
    <t>WTE_energy_recovery - Glass_Brown - Mexico</t>
  </si>
  <si>
    <t>b893ed03-bd88-5810-8a94-7ab888ea9fe5</t>
  </si>
  <si>
    <t>0.10335857044278492</t>
  </si>
  <si>
    <t>1.2802838138951753e-10</t>
  </si>
  <si>
    <t>4.3409785491357325e-08</t>
  </si>
  <si>
    <t>4.615323187318144e-10</t>
  </si>
  <si>
    <t>5.713323874657978e-06</t>
  </si>
  <si>
    <t>1.3718582177884758e-08</t>
  </si>
  <si>
    <t>3.625378898076485e-05</t>
  </si>
  <si>
    <t>WTE_energy_recovery - Glass_Brown - Spain</t>
  </si>
  <si>
    <t>4d832403-9237-5eb3-a11a-2be4aee1feea</t>
  </si>
  <si>
    <t>0.10347215664762231</t>
  </si>
  <si>
    <t>1.281904366874606e-10</t>
  </si>
  <si>
    <t>4.345214805956638e-08</t>
  </si>
  <si>
    <t>4.622026989705053e-10</t>
  </si>
  <si>
    <t>5.731655777837031e-06</t>
  </si>
  <si>
    <t>1.38185723201099e-08</t>
  </si>
  <si>
    <t>3.629653084629281e-05</t>
  </si>
  <si>
    <t>WTE_energy_recovery - Glass_Brown - USA</t>
  </si>
  <si>
    <t>e33ab60b-d449-564c-95d4-eb90739a6ed3</t>
  </si>
  <si>
    <t>0.10418504550965678</t>
  </si>
  <si>
    <t>1.2921058875948626e-10</t>
  </si>
  <si>
    <t>4.3705368439078684e-08</t>
  </si>
  <si>
    <t>4.661653922746524e-10</t>
  </si>
  <si>
    <t>5.8400153464328935e-06</t>
  </si>
  <si>
    <t>1.4409609951384103e-08</t>
  </si>
  <si>
    <t>3.6549180540835454e-05</t>
  </si>
  <si>
    <t>WTE_energy_recovery - Glass_Clear - Australia</t>
  </si>
  <si>
    <t>214a1b9d-9798-50d2-8e81-efad1c9a5140</t>
  </si>
  <si>
    <t>1.1851112527860705e-10</t>
  </si>
  <si>
    <t>4.107135549293355e-08</t>
  </si>
  <si>
    <t>4.256565905741144e-10</t>
  </si>
  <si>
    <t>4.740311179731811e-06</t>
  </si>
  <si>
    <t>8.36770249975916e-09</t>
  </si>
  <si>
    <t>3.403044318196224e-05</t>
  </si>
  <si>
    <t>WTE_energy_recovery - Glass_Clear - Brazil</t>
  </si>
  <si>
    <t>b66bb8f6-a462-5b34-a31c-1f103313efb8</t>
  </si>
  <si>
    <t>1.1559698545182972e-10</t>
  </si>
  <si>
    <t>4.034587527202154e-08</t>
  </si>
  <si>
    <t>0.022198094085999216</t>
  </si>
  <si>
    <t>4.1429597381682677e-10</t>
  </si>
  <si>
    <t>4.429655513790094e-06</t>
  </si>
  <si>
    <t>6.673258387779856e-09</t>
  </si>
  <si>
    <t>3.3306123211925176e-05</t>
  </si>
  <si>
    <t>WTE_energy_recovery - Glass_Clear - Canada</t>
  </si>
  <si>
    <t>b9878f4e-561c-5b24-9814-d83de854d138</t>
  </si>
  <si>
    <t>1.1877018596839652e-10</t>
  </si>
  <si>
    <t>4.113565908843082e-08</t>
  </si>
  <si>
    <t>0.025239377345235244</t>
  </si>
  <si>
    <t>4.2666288962397993e-10</t>
  </si>
  <si>
    <t>4.767828356195539e-06</t>
  </si>
  <si>
    <t>8.517792491877262e-09</t>
  </si>
  <si>
    <t>3.4094601855887525e-05</t>
  </si>
  <si>
    <t>WTE_energy_recovery - Glass_Clear - China</t>
  </si>
  <si>
    <t>0256fd8d-d6f6-5390-96a3-b76cba4de56f</t>
  </si>
  <si>
    <t>1.1903548016957847e-10</t>
  </si>
  <si>
    <t>4.119937247234652e-08</t>
  </si>
  <si>
    <t>0.025482742381461265</t>
  </si>
  <si>
    <t>4.276525118938681e-10</t>
  </si>
  <si>
    <t>4.794889104400563e-06</t>
  </si>
  <si>
    <t>8.665392530185491e-09</t>
  </si>
  <si>
    <t>3.4157696878194756e-05</t>
  </si>
  <si>
    <t>WTE_energy_recovery - Glass_Clear - India</t>
  </si>
  <si>
    <t>0bdf696a-45c8-5bd5-b433-6640e8860780</t>
  </si>
  <si>
    <t>1.1592017730042072e-10</t>
  </si>
  <si>
    <t>4.0426097392615456e-08</t>
  </si>
  <si>
    <t>4.1555138485721006e-10</t>
  </si>
  <si>
    <t>4.463984640041042e-06</t>
  </si>
  <si>
    <t>6.8605035542734755e-09</t>
  </si>
  <si>
    <t>3.338616453521493e-05</t>
  </si>
  <si>
    <t>WTE_energy_recovery - Glass_Clear - Ireland</t>
  </si>
  <si>
    <t>641e9a08-a00c-5a01-8aa4-888a3432ceab</t>
  </si>
  <si>
    <t>1.177001526844832e-10</t>
  </si>
  <si>
    <t>4.087005728094206e-08</t>
  </si>
  <si>
    <t>0.024217219892454303</t>
  </si>
  <si>
    <t>4.225064370267068e-10</t>
  </si>
  <si>
    <t>4.65417045341057e-06</t>
  </si>
  <si>
    <t>7.897855567911094e-09</t>
  </si>
  <si>
    <t>3.382959863750019e-05</t>
  </si>
  <si>
    <t>WTE_energy_recovery - Glass_Clear - Mexico</t>
  </si>
  <si>
    <t>e528ea3f-fac2-5c81-8b5f-282e5ac35d5e</t>
  </si>
  <si>
    <t>1.1684617641669578e-10</t>
  </si>
  <si>
    <t>4.065594728861748e-08</t>
  </si>
  <si>
    <t>4.1914834907326576e-10</t>
  </si>
  <si>
    <t>4.5623433725508905e-06</t>
  </si>
  <si>
    <t>7.396992514421027e-09</t>
  </si>
  <si>
    <t>3.361549641651876e-05</t>
  </si>
  <si>
    <t>WTE_energy_recovery - Glass_Clear - Spain</t>
  </si>
  <si>
    <t>a00a716b-4af4-5a33-aa12-c765c5282174</t>
  </si>
  <si>
    <t>1.1712946826639532e-10</t>
  </si>
  <si>
    <t>4.072840298361457e-08</t>
  </si>
  <si>
    <t>4.202896623081625e-10</t>
  </si>
  <si>
    <t>4.593552905258571e-06</t>
  </si>
  <si>
    <t>7.567222541795726e-09</t>
  </si>
  <si>
    <t>3.368826358769346e-05</t>
  </si>
  <si>
    <t>WTE_energy_recovery - Glass_Clear - USA</t>
  </si>
  <si>
    <t>4e1f403e-2951-5c56-a025-554a8433afdc</t>
  </si>
  <si>
    <t>1.1886155286628153e-10</t>
  </si>
  <si>
    <t>4.115833802149551e-08</t>
  </si>
  <si>
    <t>4.270177965093304e-10</t>
  </si>
  <si>
    <t>4.777533259915453e-06</t>
  </si>
  <si>
    <t>8.570727026230758e-09</t>
  </si>
  <si>
    <t>3.4117229677243626e-05</t>
  </si>
  <si>
    <t>WTE_energy_recovery - Glass_Green - Australia</t>
  </si>
  <si>
    <t>c1513d7f-096a-56aa-b373-36410b7f788a</t>
  </si>
  <si>
    <t>0.1058776276101998</t>
  </si>
  <si>
    <t>1.3154380416824434e-10</t>
  </si>
  <si>
    <t>4.4253788936866375e-08</t>
  </si>
  <si>
    <t>4.744786477781693e-10</t>
  </si>
  <si>
    <t>6.067586834549946e-06</t>
  </si>
  <si>
    <t>1.564953604806955e-08</t>
  </si>
  <si>
    <t>3.708117616273777e-05</t>
  </si>
  <si>
    <t>WTE_energy_recovery - Glass_Green - Brazil</t>
  </si>
  <si>
    <t>c7d9d689-54e8-5843-80ed-1aa54e860dfa</t>
  </si>
  <si>
    <t>0.10487417191677749</t>
  </si>
  <si>
    <t>1.3010833550819772e-10</t>
  </si>
  <si>
    <t>4.389534191059371e-08</t>
  </si>
  <si>
    <t>4.688618024566526e-10</t>
  </si>
  <si>
    <t>5.913994192951217e-06</t>
  </si>
  <si>
    <t>1.4811778235891469e-08</t>
  </si>
  <si>
    <t>3.672306220143994e-05</t>
  </si>
  <si>
    <t>WTE_energy_recovery - Glass_Green - Canada</t>
  </si>
  <si>
    <t>8bb34d98-1a30-5c2e-921b-87a062fd53f7</t>
  </si>
  <si>
    <t>0.10596717035060371</t>
  </si>
  <si>
    <t>1.3167194084847972e-10</t>
  </si>
  <si>
    <t>4.428559480158831e-08</t>
  </si>
  <si>
    <t>4.749763837321592e-10</t>
  </si>
  <si>
    <t>6.081197389066639e-06</t>
  </si>
  <si>
    <t>1.5723773607392758e-08</t>
  </si>
  <si>
    <t>3.711291034630595e-05</t>
  </si>
  <si>
    <t>WTE_energy_recovery - Glass_Green - China</t>
  </si>
  <si>
    <t>af93b6d8-8f81-5114-a6b0-000b9f20e1b0</t>
  </si>
  <si>
    <t>0.10606261459689738</t>
  </si>
  <si>
    <t>1.318090105042251e-10</t>
  </si>
  <si>
    <t>4.4317480511033896e-08</t>
  </si>
  <si>
    <t>0.037239157158854536</t>
  </si>
  <si>
    <t>4.754679287432002e-10</t>
  </si>
  <si>
    <t>6.094638249797774e-06</t>
  </si>
  <si>
    <t>1.579708518059261e-08</t>
  </si>
  <si>
    <t>3.714424942444898e-05</t>
  </si>
  <si>
    <t>WTE_energy_recovery - Glass_Green - India</t>
  </si>
  <si>
    <t>5a62e7d9-895b-5d21-8886-dd497abe0d40</t>
  </si>
  <si>
    <t>0.10498587631602681</t>
  </si>
  <si>
    <t>1.302681857744172e-10</t>
  </si>
  <si>
    <t>4.393501966666351e-08</t>
  </si>
  <si>
    <t>4.694827271175031e-10</t>
  </si>
  <si>
    <t>5.930973333954976e-06</t>
  </si>
  <si>
    <t>1.490438945066286e-08</t>
  </si>
  <si>
    <t>3.6762650535392256e-05</t>
  </si>
  <si>
    <t>WTE_energy_recovery - Glass_Green - Ireland</t>
  </si>
  <si>
    <t>f8e8668a-898a-5154-b197-4b55a2592fdf</t>
  </si>
  <si>
    <t>0.10559731990110949</t>
  </si>
  <si>
    <t>1.311426806475079e-10</t>
  </si>
  <si>
    <t>4.4154222751649915e-08</t>
  </si>
  <si>
    <t>4.729205178352418e-10</t>
  </si>
  <si>
    <t>6.024979881280295e-06</t>
  </si>
  <si>
    <t>1.5417140210188135e-08</t>
  </si>
  <si>
    <t>3.6981834370698e-05</t>
  </si>
  <si>
    <t>WTE_energy_recovery - Glass_Green - Mexico</t>
  </si>
  <si>
    <t>e3bb1664-0351-5ce9-9aa8-29b6724f9e6f</t>
  </si>
  <si>
    <t>0.10530592824625314</t>
  </si>
  <si>
    <t>1.30726183727715e-10</t>
  </si>
  <si>
    <t>4.4048703124983425e-08</t>
  </si>
  <si>
    <t>4.712617809203005e-10</t>
  </si>
  <si>
    <t>5.979621434576884e-06</t>
  </si>
  <si>
    <t>1.516973618958437e-08</t>
  </si>
  <si>
    <t>3.687607778432496e-05</t>
  </si>
  <si>
    <t>WTE_energy_recovery - Glass_Green - Spain</t>
  </si>
  <si>
    <t>d4a939d9-33d1-5cf5-ab77-b503426f351c</t>
  </si>
  <si>
    <t>0.10540006632804552</t>
  </si>
  <si>
    <t>1.3086040854032213e-10</t>
  </si>
  <si>
    <t>4.408415765834932e-08</t>
  </si>
  <si>
    <t>0.036343057172505557</t>
  </si>
  <si>
    <t>4.718240560235537e-10</t>
  </si>
  <si>
    <t>5.994997210460897e-06</t>
  </si>
  <si>
    <t>1.525360239834558e-08</t>
  </si>
  <si>
    <t>3.691192718370697e-05</t>
  </si>
  <si>
    <t>WTE_energy_recovery - Glass_Green - USA</t>
  </si>
  <si>
    <t>f003974d-d354-5361-946d-6f281d5b8a93</t>
  </si>
  <si>
    <t>0.10599875075913827</t>
  </si>
  <si>
    <t>1.3171713277237952e-10</t>
  </si>
  <si>
    <t>4.4296812262626326e-08</t>
  </si>
  <si>
    <t>4.751519278879274e-10</t>
  </si>
  <si>
    <t>6.085997631610905e-06</t>
  </si>
  <si>
    <t>1.574995610349962e-08</t>
  </si>
  <si>
    <t>3.712410252645453e-05</t>
  </si>
  <si>
    <t>WTE_energy_recovery - Glass_Non_recyclable - Australia</t>
  </si>
  <si>
    <t>eebc0a12-4a66-5f6e-81e3-d38bdc87862c</t>
  </si>
  <si>
    <t>1.2093949345918332e-10</t>
  </si>
  <si>
    <t>4.166517849157736e-08</t>
  </si>
  <si>
    <t>4.347715604138445e-10</t>
  </si>
  <si>
    <t>4.98811149598894e-06</t>
  </si>
  <si>
    <t>9.727204679140286e-09</t>
  </si>
  <si>
    <t>3.4600015411673464e-05</t>
  </si>
  <si>
    <t>WTE_energy_recovery - Glass_Non_recyclable - Brazil</t>
  </si>
  <si>
    <t>9dc6c4c0-72b7-5258-bae1-6d19be9555f7</t>
  </si>
  <si>
    <t>1.183014182609671e-10</t>
  </si>
  <si>
    <t>4.1008222554378634e-08</t>
  </si>
  <si>
    <t>0.024702921490784867</t>
  </si>
  <si>
    <t>4.2448329304946636e-10</t>
  </si>
  <si>
    <t>4.706779148477614e-06</t>
  </si>
  <si>
    <t>8.19270200002939e-09</t>
  </si>
  <si>
    <t>3.394406529157475e-05</t>
  </si>
  <si>
    <t>WTE_energy_recovery - Glass_Non_recyclable - Canada</t>
  </si>
  <si>
    <t>d7feb722-0430-5366-ad69-b9007690129e</t>
  </si>
  <si>
    <t>1.2117411092665233e-10</t>
  </si>
  <si>
    <t>4.172341483278752e-08</t>
  </si>
  <si>
    <t>0.027457142334285284</t>
  </si>
  <si>
    <t>4.3568291186121276e-10</t>
  </si>
  <si>
    <t>5.013032336966603e-06</t>
  </si>
  <si>
    <t>9.863133190223205e-09</t>
  </si>
  <si>
    <t>3.465812050513407e-05</t>
  </si>
  <si>
    <t>WTE_energy_recovery - Glass_Non_recyclable - China</t>
  </si>
  <si>
    <t>879d0eb8-4693-5482-9b56-e972fa1e0d3f</t>
  </si>
  <si>
    <t>1.214154658894811e-10</t>
  </si>
  <si>
    <t>4.178118606044307e-08</t>
  </si>
  <si>
    <t>4.3657954421112865e-10</t>
  </si>
  <si>
    <t>5.037550282375811e-06</t>
  </si>
  <si>
    <t>9.99686373679592e-09</t>
  </si>
  <si>
    <t>3.471528676306341e-05</t>
  </si>
  <si>
    <t>WTE_energy_recovery - Glass_Non_recyclable - India</t>
  </si>
  <si>
    <t>0bb8b4b9-bd51-5723-a465-cb1d7565c0e0</t>
  </si>
  <si>
    <t>1.1859411459826348e-10</t>
  </si>
  <si>
    <t>4.1080875132004234e-08</t>
  </si>
  <si>
    <t>4.2562024688947013e-10</t>
  </si>
  <si>
    <t>4.737869070948457e-06</t>
  </si>
  <si>
    <t>8.362279217543358e-09</t>
  </si>
  <si>
    <t>3.401655413144095e-05</t>
  </si>
  <si>
    <t>WTE_energy_recovery - Glass_Non_recyclable - Ireland</t>
  </si>
  <si>
    <t>dc74985c-978b-55b8-8d72-dce3dbda68a8</t>
  </si>
  <si>
    <t>1.2020503877841065e-10</t>
  </si>
  <si>
    <t>4.1482873423441184e-08</t>
  </si>
  <si>
    <t>0.026531428776119068</t>
  </si>
  <si>
    <t>4.319186341438196e-10</t>
  </si>
  <si>
    <t>4.910098428580445e-06</t>
  </si>
  <si>
    <t>9.301689340098174e-09</t>
  </si>
  <si>
    <t>3.441812120605211e-05</t>
  </si>
  <si>
    <t>WTE_energy_recovery - Glass_Non_recyclable - Mexico</t>
  </si>
  <si>
    <t>c4762323-9f20-5a6a-9603-766e70925a5c</t>
  </si>
  <si>
    <t>1.194327389349961e-10</t>
  </si>
  <si>
    <t>4.128903701163796e-08</t>
  </si>
  <si>
    <t>4.28877811261751e-10</t>
  </si>
  <si>
    <t>4.826946938695175e-06</t>
  </si>
  <si>
    <t>8.84814652612049e-09</t>
  </si>
  <si>
    <t>3.4224246874846185e-05</t>
  </si>
  <si>
    <t>WTE_energy_recovery - Glass_Non_recyclable - Spain</t>
  </si>
  <si>
    <t>aff0c3e0-2daf-56d3-9b12-4b4613c41e68</t>
  </si>
  <si>
    <t>1.1968820029934767e-10</t>
  </si>
  <si>
    <t>4.1354584671789634e-08</t>
  </si>
  <si>
    <t>4.2991101936121097e-10</t>
  </si>
  <si>
    <t>4.855200344107811e-06</t>
  </si>
  <si>
    <t>9.002252620031402e-09</t>
  </si>
  <si>
    <t>3.429012157987492e-05</t>
  </si>
  <si>
    <t>WTE_energy_recovery - Glass_Non_recyclable - USA</t>
  </si>
  <si>
    <t>9eeddee9-58c3-5063-bc4a-53a4615781d1</t>
  </si>
  <si>
    <t>1.2125685705926541e-10</t>
  </si>
  <si>
    <t>4.174395393443522e-08</t>
  </si>
  <si>
    <t>4.360043321226037e-10</t>
  </si>
  <si>
    <t>5.021821551318841e-06</t>
  </si>
  <si>
    <t>9.911073178346296e-09</t>
  </si>
  <si>
    <t>3.467861331762998e-05</t>
  </si>
  <si>
    <t>WTE_energy_recovery - HDPE_Pigmented_Containers - Australia</t>
  </si>
  <si>
    <t>3af6dfe7-2f84-5d17-a25e-e24c00b24ae9</t>
  </si>
  <si>
    <t>0.4921785572613189</t>
  </si>
  <si>
    <t>WTE_energy_recovery - HDPE_Pigmented_Containers - Brazil</t>
  </si>
  <si>
    <t>434bb14a-5243-595c-9210-6e326882b6d3</t>
  </si>
  <si>
    <t>0.17559068845489875</t>
  </si>
  <si>
    <t>WTE_energy_recovery - HDPE_Pigmented_Containers - Canada</t>
  </si>
  <si>
    <t>57b9d3fe-1c67-5611-9482-67fe0dc38420</t>
  </si>
  <si>
    <t>0.5202097761056255</t>
  </si>
  <si>
    <t>WTE_energy_recovery - HDPE_Pigmented_Containers - China</t>
  </si>
  <si>
    <t>73a0e62c-4463-5cd3-a0d9-d46a64125203</t>
  </si>
  <si>
    <t>0.5476630444829564</t>
  </si>
  <si>
    <t>WTE_energy_recovery - HDPE_Pigmented_Containers - India</t>
  </si>
  <si>
    <t>d78ce7c7-8138-5720-a87e-b31b7c80c563</t>
  </si>
  <si>
    <t>0.21056260563970564</t>
  </si>
  <si>
    <t>WTE_energy_recovery - HDPE_Pigmented_Containers - Ireland</t>
  </si>
  <si>
    <t>79b8ccd6-c03a-5679-9332-c0ded224431a</t>
  </si>
  <si>
    <t>0.40442865479219037</t>
  </si>
  <si>
    <t>WTE_energy_recovery - HDPE_Pigmented_Containers - Mexico</t>
  </si>
  <si>
    <t>f974bed2-c74b-528f-b6d2-39f385606e20</t>
  </si>
  <si>
    <t>0.31076304251752573</t>
  </si>
  <si>
    <t>WTE_energy_recovery - HDPE_Pigmented_Containers - Spain</t>
  </si>
  <si>
    <t>20c63a92-985f-578a-b685-0a035feb180f</t>
  </si>
  <si>
    <t>0.34267872342502553</t>
  </si>
  <si>
    <t>WTE_energy_recovery - HDPE_Pigmented_Containers - USA</t>
  </si>
  <si>
    <t>671d52f8-3d60-5b9b-84f4-9bd74233184a</t>
  </si>
  <si>
    <t>0.5300959750183076</t>
  </si>
  <si>
    <t>WTE_energy_recovery - HDPE_Translucent_Containers - Australia</t>
  </si>
  <si>
    <t>2e909669-bacc-5dbe-bd5f-c7f01a36c3f9</t>
  </si>
  <si>
    <t>0.40634583988149514</t>
  </si>
  <si>
    <t>WTE_energy_recovery - HDPE_Translucent_Containers - Brazil</t>
  </si>
  <si>
    <t>921d9957-7338-51ac-8ffb-a1e617e8698a</t>
  </si>
  <si>
    <t>WTE_energy_recovery - HDPE_Translucent_Containers - Canada</t>
  </si>
  <si>
    <t>2201b3a9-0ced-51c5-9862-33ad8a24d945</t>
  </si>
  <si>
    <t>WTE_energy_recovery - HDPE_Translucent_Containers - China</t>
  </si>
  <si>
    <t>10e792be-5fce-5f32-8e7c-3a8aec32195c</t>
  </si>
  <si>
    <t>0.4602142753858538</t>
  </si>
  <si>
    <t>WTE_energy_recovery - HDPE_Translucent_Containers - India</t>
  </si>
  <si>
    <t>14fe5a9f-79f5-5674-8f4f-75f1b24f1a9e</t>
  </si>
  <si>
    <t>0.1329324491530679</t>
  </si>
  <si>
    <t>WTE_energy_recovery - HDPE_Translucent_Containers - Ireland</t>
  </si>
  <si>
    <t>ef9a7a25-5d9c-5c6c-a236-0a2b3a940975</t>
  </si>
  <si>
    <t>0.32115179883744627</t>
  </si>
  <si>
    <t>WTE_energy_recovery - HDPE_Translucent_Containers - Mexico</t>
  </si>
  <si>
    <t>ebd06555-4371-5f4f-b126-805a4d47fa9e</t>
  </si>
  <si>
    <t>0.23021438115892645</t>
  </si>
  <si>
    <t>WTE_energy_recovery - HDPE_Translucent_Containers - Spain</t>
  </si>
  <si>
    <t>28177a69-9030-56b8-ae72-19f4d72c2781</t>
  </si>
  <si>
    <t>0.2612004366212628</t>
  </si>
  <si>
    <t>WTE_energy_recovery - HDPE_Translucent_Containers - USA</t>
  </si>
  <si>
    <t>253a534c-85d1-5c15-aec8-1a4b81002be7</t>
  </si>
  <si>
    <t>0.4431588499678544</t>
  </si>
  <si>
    <t>WTE_energy_recovery - Magazines - Australia</t>
  </si>
  <si>
    <t>e6033d54-ba74-562e-a0b9-d5b408d1f58a</t>
  </si>
  <si>
    <t>WTE_energy_recovery - Magazines - Brazil</t>
  </si>
  <si>
    <t>541a852a-4835-5a94-9a2f-af27029c8e06</t>
  </si>
  <si>
    <t>WTE_energy_recovery - Magazines - Canada</t>
  </si>
  <si>
    <t>64da3ae6-2cda-5b74-be4c-1126be19eee8</t>
  </si>
  <si>
    <t>WTE_energy_recovery - Magazines - China</t>
  </si>
  <si>
    <t>5f22bbf4-58c8-562c-978d-5476a12dfcf2</t>
  </si>
  <si>
    <t>WTE_energy_recovery - Magazines - India</t>
  </si>
  <si>
    <t>3e2047ac-623c-5479-8171-a22985d2eb37</t>
  </si>
  <si>
    <t>WTE_energy_recovery - Magazines - Ireland</t>
  </si>
  <si>
    <t>607440ac-8d98-5256-ae1f-041c05563b44</t>
  </si>
  <si>
    <t>WTE_energy_recovery - Magazines - Mexico</t>
  </si>
  <si>
    <t>00c1829c-1a16-5d05-b4d9-3085dba36b39</t>
  </si>
  <si>
    <t>WTE_energy_recovery - Magazines - Spain</t>
  </si>
  <si>
    <t>70f09c72-3207-55da-adcc-1d69362ebdbb</t>
  </si>
  <si>
    <t>WTE_energy_recovery - Magazines - USA</t>
  </si>
  <si>
    <t>2c5327f5-87aa-53ae-a7ee-169861ea7077</t>
  </si>
  <si>
    <t>WTE_energy_recovery - Misc_Inorganic - Australia</t>
  </si>
  <si>
    <t>3c0e409a-1188-52d4-9fd5-5761b111a0e7</t>
  </si>
  <si>
    <t>0.10933040964728323</t>
  </si>
  <si>
    <t>1.5972031698858037e-10</t>
  </si>
  <si>
    <t>4.809914644932386e-08</t>
  </si>
  <si>
    <t>0.041800809795970006</t>
  </si>
  <si>
    <t>6.600581694439121e-06</t>
  </si>
  <si>
    <t>1.8563968845117888e-08</t>
  </si>
  <si>
    <t>3.831636584654392e-05</t>
  </si>
  <si>
    <t>WTE_energy_recovery - Misc_Inorganic - Brazil</t>
  </si>
  <si>
    <t>a301d6d9-20c0-5fbf-9933-b04fd22c8562</t>
  </si>
  <si>
    <t>0.10874051708622845</t>
  </si>
  <si>
    <t>1.5887666187601162e-10</t>
  </si>
  <si>
    <t>4.788759835626153e-08</t>
  </si>
  <si>
    <t>1.806908547965142e-08</t>
  </si>
  <si>
    <t>3.810481975105293e-05</t>
  </si>
  <si>
    <t>WTE_energy_recovery - Misc_Inorganic - Canada</t>
  </si>
  <si>
    <t>9307fabc-240a-57e7-9c41-7a54cf7d3993</t>
  </si>
  <si>
    <t>0.10938333481867667</t>
  </si>
  <si>
    <t>1.5979605351096862e-10</t>
  </si>
  <si>
    <t>4.811794563766827e-08</t>
  </si>
  <si>
    <t>4.943130564032271e-10</t>
  </si>
  <si>
    <t>6.608626354757601e-06</t>
  </si>
  <si>
    <t>1.8607847729471876e-08</t>
  </si>
  <si>
    <t>WTE_energy_recovery - Misc_Inorganic - China</t>
  </si>
  <si>
    <t>6df9f32b-4ec7-555a-90c0-6c0d216bd082</t>
  </si>
  <si>
    <t>0.10944291649737654</t>
  </si>
  <si>
    <t>1.5988180342447883e-10</t>
  </si>
  <si>
    <t>4.813709284962826e-08</t>
  </si>
  <si>
    <t>4.946052542733177e-10</t>
  </si>
  <si>
    <t>6.616616081995355e-06</t>
  </si>
  <si>
    <t>1.865142657976313e-08</t>
  </si>
  <si>
    <t>3.835375195650725e-05</t>
  </si>
  <si>
    <t>WTE_energy_recovery - Misc_Inorganic - India</t>
  </si>
  <si>
    <t>0ef35265-d909-5caf-9d16-9a6e96b20130</t>
  </si>
  <si>
    <t>0.10880653718597207</t>
  </si>
  <si>
    <t>1.5897113738989347e-10</t>
  </si>
  <si>
    <t>4.7911048904592985e-08</t>
  </si>
  <si>
    <t>1.8123821028797707e-08</t>
  </si>
  <si>
    <t>3.812821744866597e-05</t>
  </si>
  <si>
    <t>WTE_energy_recovery - Misc_Inorganic - Ireland</t>
  </si>
  <si>
    <t>6e864380-5055-5c52-a408-19b808ee9ea4</t>
  </si>
  <si>
    <t>0.10916473084988174</t>
  </si>
  <si>
    <t>1.594832287445905e-10</t>
  </si>
  <si>
    <t>4.804029681624724e-08</t>
  </si>
  <si>
    <t>6.575398409963704e-06</t>
  </si>
  <si>
    <t>1.8426608859314185e-08</t>
  </si>
  <si>
    <t>3.825764884339534e-05</t>
  </si>
  <si>
    <t>WTE_energy_recovery - Misc_Inorganic - Mexico</t>
  </si>
  <si>
    <t>98dced51-9c15-5642-82cf-6527a843bb35</t>
  </si>
  <si>
    <t>0.10899569589851894</t>
  </si>
  <si>
    <t>1.59241825659539e-10</t>
  </si>
  <si>
    <t>4.797823867782203e-08</t>
  </si>
  <si>
    <t>0.041333668033558785</t>
  </si>
  <si>
    <t>6.548638261411706e-06</t>
  </si>
  <si>
    <t>1.8280647602164083e-08</t>
  </si>
  <si>
    <t>3.8195255795733203e-05</t>
  </si>
  <si>
    <t>WTE_energy_recovery - Misc_Inorganic - Spain</t>
  </si>
  <si>
    <t>983561ca-1941-5b59-a6a7-1d699b2562f0</t>
  </si>
  <si>
    <t>0.10904814206652474</t>
  </si>
  <si>
    <t>1.5931638886918932e-10</t>
  </si>
  <si>
    <t>4.7998884111489456e-08</t>
  </si>
  <si>
    <t>1.8329948128563325e-08</t>
  </si>
  <si>
    <t>WTE_energy_recovery - Misc_Inorganic - USA</t>
  </si>
  <si>
    <t>d556c568-16cc-52c4-b043-3192ea4fc687</t>
  </si>
  <si>
    <t>0.10940200074878638</t>
  </si>
  <si>
    <t>1.5982276466931515e-10</t>
  </si>
  <si>
    <t>4.812457583510582e-08</t>
  </si>
  <si>
    <t>0.041898673724089924</t>
  </si>
  <si>
    <t>6.6114635882199e-06</t>
  </si>
  <si>
    <t>1.862332316709736e-08</t>
  </si>
  <si>
    <t>3.834173792189691e-05</t>
  </si>
  <si>
    <t>WTE_energy_recovery - Misc_Organic - Australia</t>
  </si>
  <si>
    <t>6fb1d403-b9d8-5371-b39c-8fd9c7a2fcf4</t>
  </si>
  <si>
    <t>WTE_energy_recovery - Misc_Organic - Brazil</t>
  </si>
  <si>
    <t>3cb822a6-109a-5720-ba5a-f90b92f67b1d</t>
  </si>
  <si>
    <t>WTE_energy_recovery - Misc_Organic - Canada</t>
  </si>
  <si>
    <t>881fb052-b5d4-5fd4-9359-b984d83c65a1</t>
  </si>
  <si>
    <t>WTE_energy_recovery - Misc_Organic - China</t>
  </si>
  <si>
    <t>dcb0b28d-bf34-5b07-b6de-109b29160af4</t>
  </si>
  <si>
    <t>WTE_energy_recovery - Misc_Organic - India</t>
  </si>
  <si>
    <t>add5b2d3-03fe-5efa-8911-925d01d28c9b</t>
  </si>
  <si>
    <t>WTE_energy_recovery - Misc_Organic - Ireland</t>
  </si>
  <si>
    <t>2ce3fff3-be07-59f7-a3e5-2ee6b7d418e8</t>
  </si>
  <si>
    <t>WTE_energy_recovery - Misc_Organic - Mexico</t>
  </si>
  <si>
    <t>561400a6-368c-58e7-bc57-dab433b8a9a7</t>
  </si>
  <si>
    <t>WTE_energy_recovery - Misc_Organic - Spain</t>
  </si>
  <si>
    <t>d27e42fd-b3e5-517e-a912-e497df434b0b</t>
  </si>
  <si>
    <t>WTE_energy_recovery - Misc_Organic - USA</t>
  </si>
  <si>
    <t>d7adf046-4a35-5172-bebc-cb9f203c5973</t>
  </si>
  <si>
    <t>WTE_energy_recovery - Mixed_Glass - Australia</t>
  </si>
  <si>
    <t>67ee37d5-2afa-5c88-95c5-99bbbca8377a</t>
  </si>
  <si>
    <t>0.10131202588964384</t>
  </si>
  <si>
    <t>1.2500762848197704e-10</t>
  </si>
  <si>
    <t>4.266566016358538e-08</t>
  </si>
  <si>
    <t>0.031014823110772687</t>
  </si>
  <si>
    <t>4.5015307201838823e-10</t>
  </si>
  <si>
    <t>5.406014237698705e-06</t>
  </si>
  <si>
    <t>1.2021364606845993e-08</t>
  </si>
  <si>
    <t>3.555908830399332e-05</t>
  </si>
  <si>
    <t>WTE_energy_recovery - Mixed_Glass - Brazil</t>
  </si>
  <si>
    <t>09ed8bcc-541a-5a6a-b234-1ecc18e0a6d8</t>
  </si>
  <si>
    <t>1.228354123444584e-10</t>
  </si>
  <si>
    <t>4.2124338955152894e-08</t>
  </si>
  <si>
    <t>0.028929737811491513</t>
  </si>
  <si>
    <t>4.416743942545458e-10</t>
  </si>
  <si>
    <t>5.174164990038948e-06</t>
  </si>
  <si>
    <t>1.0756763095700504e-08</t>
  </si>
  <si>
    <t>3.501851230567428e-05</t>
  </si>
  <si>
    <t>WTE_energy_recovery - Mixed_Glass - Canada</t>
  </si>
  <si>
    <t>14131734-b8f1-5b46-a3ef-714f991fd157</t>
  </si>
  <si>
    <t>0.10144715376698203</t>
  </si>
  <si>
    <t>1.2520099801178335e-10</t>
  </si>
  <si>
    <t>4.271365801318658e-08</t>
  </si>
  <si>
    <t>0.031199540828438097</t>
  </si>
  <si>
    <t>4.5090419938654343e-10</t>
  </si>
  <si>
    <t>5.426553762543915e-06</t>
  </si>
  <si>
    <t>1.2133395618681992e-08</t>
  </si>
  <si>
    <t>3.560697798042844e-05</t>
  </si>
  <si>
    <t>WTE_energy_recovery - Mixed_Glass - China</t>
  </si>
  <si>
    <t>08031381-b070-55c7-b24b-6abf4909656e</t>
  </si>
  <si>
    <t>0.10158724325047223</t>
  </si>
  <si>
    <t>1.2540195550987625e-10</t>
  </si>
  <si>
    <t>4.2761401852150284e-08</t>
  </si>
  <si>
    <t>4.516439112464969e-10</t>
  </si>
  <si>
    <t>5.446780728235524e-06</t>
  </si>
  <si>
    <t>1.2243721397950993e-08</t>
  </si>
  <si>
    <t>3.565413944848069e-05</t>
  </si>
  <si>
    <t>WTE_energy_recovery - Mixed_Glass - India</t>
  </si>
  <si>
    <t>f3782cdc-0f8d-535b-85db-6c94f85876a5</t>
  </si>
  <si>
    <t>1.2307664750644525e-10</t>
  </si>
  <si>
    <t>4.218421792901945e-08</t>
  </si>
  <si>
    <t>0.029160179539146076</t>
  </si>
  <si>
    <t>4.4261145156890905e-10</t>
  </si>
  <si>
    <t>5.199788756130862e-06</t>
  </si>
  <si>
    <t>1.0896525649311321e-08</t>
  </si>
  <si>
    <t>3.507825632976322e-05</t>
  </si>
  <si>
    <t>WTE_energy_recovery - Mixed_Glass - Ireland</t>
  </si>
  <si>
    <t>bd8fb947-011d-5382-94d2-dd73a11f50d6</t>
  </si>
  <si>
    <t>0.10088901688232853</t>
  </si>
  <si>
    <t>1.2440229777998464e-10</t>
  </si>
  <si>
    <t>4.2515406025705e-08</t>
  </si>
  <si>
    <t>4.4780171677894784e-10</t>
  </si>
  <si>
    <t>5.341716594705746e-06</t>
  </si>
  <si>
    <t>1.1670658830663853e-08</t>
  </si>
  <si>
    <t>3.540917279517429e-05</t>
  </si>
  <si>
    <t>WTE_energy_recovery - Mixed_Glass - Mexico</t>
  </si>
  <si>
    <t>85330725-88a0-53a2-ad35-60a3151f9a94</t>
  </si>
  <si>
    <t>0.10044530361701318</t>
  </si>
  <si>
    <t>1.2376782690268388e-10</t>
  </si>
  <si>
    <t>4.235578128102876e-08</t>
  </si>
  <si>
    <t>0.029820433927303696</t>
  </si>
  <si>
    <t>4.452962787048092e-10</t>
  </si>
  <si>
    <t>5.273205164589842e-06</t>
  </si>
  <si>
    <t>1.1296968920862645e-08</t>
  </si>
  <si>
    <t>3.524943302796929e-05</t>
  </si>
  <si>
    <t>WTE_energy_recovery - Mixed_Glass - Spain</t>
  </si>
  <si>
    <t>4baeaeca-6648-55bc-95cf-5950383b408a</t>
  </si>
  <si>
    <t>0.1005913438771794</t>
  </si>
  <si>
    <t>1.2397632432302384e-10</t>
  </si>
  <si>
    <t>4.240967163238126e-08</t>
  </si>
  <si>
    <t>0.030029661949898902</t>
  </si>
  <si>
    <t>4.461470593882271e-10</t>
  </si>
  <si>
    <t>5.296470105192063e-06</t>
  </si>
  <si>
    <t>1.1423865877054118e-08</t>
  </si>
  <si>
    <t>3.5303676696373094e-05</t>
  </si>
  <si>
    <t>WTE_energy_recovery - Mixed_Glass - USA</t>
  </si>
  <si>
    <t>a52e1fa2-fb8a-5962-a31a-750a494d2c48</t>
  </si>
  <si>
    <t>0.1014948113833486</t>
  </si>
  <si>
    <t>1.2526919660299846e-10</t>
  </si>
  <si>
    <t>4.2730586149317834e-08</t>
  </si>
  <si>
    <t>4.5116911097000246e-10</t>
  </si>
  <si>
    <t>5.4337977510881875e-06</t>
  </si>
  <si>
    <t>1.2172907310041279e-08</t>
  </si>
  <si>
    <t>3.562386796547275e-05</t>
  </si>
  <si>
    <t>WTE_energy_recovery - Mixed_Paper - Australia</t>
  </si>
  <si>
    <t>6b94b631-dfd7-5fea-bdd9-d8c24b341f0b</t>
  </si>
  <si>
    <t>WTE_energy_recovery - Mixed_Paper - Brazil</t>
  </si>
  <si>
    <t>58c77500-194e-539b-8fe0-2a43f6ec98b9</t>
  </si>
  <si>
    <t>WTE_energy_recovery - Mixed_Paper - Canada</t>
  </si>
  <si>
    <t>c52205d1-31cd-54d5-955d-bdbd6c72dc73</t>
  </si>
  <si>
    <t>WTE_energy_recovery - Mixed_Paper - China</t>
  </si>
  <si>
    <t>94253c5b-dd9c-5e3f-a416-d92bd2fa1ff3</t>
  </si>
  <si>
    <t>WTE_energy_recovery - Mixed_Paper - India</t>
  </si>
  <si>
    <t>4eeda0b8-9ef9-5114-8693-e8a10a8cb37b</t>
  </si>
  <si>
    <t>WTE_energy_recovery - Mixed_Paper - Ireland</t>
  </si>
  <si>
    <t>bea67e01-73a5-55eb-954a-79b74849ad78</t>
  </si>
  <si>
    <t>WTE_energy_recovery - Mixed_Paper - Mexico</t>
  </si>
  <si>
    <t>ab4684bc-5028-51ec-a48f-db6991401e37</t>
  </si>
  <si>
    <t>WTE_energy_recovery - Mixed_Paper - Spain</t>
  </si>
  <si>
    <t>7bd4ba01-7849-59e5-acc0-0456b0dce621</t>
  </si>
  <si>
    <t>WTE_energy_recovery - Mixed_Paper - USA</t>
  </si>
  <si>
    <t>a4d9c7ee-5f3f-50b0-b9c7-d1b3eb43eb4a</t>
  </si>
  <si>
    <t>WTE_energy_recovery - Mixed_Plastic - Australia</t>
  </si>
  <si>
    <t>01344354-c1ed-5b6f-bd86-f5ae91c57f5a</t>
  </si>
  <si>
    <t>0.6274341812204955</t>
  </si>
  <si>
    <t>WTE_energy_recovery - Mixed_Plastic - Brazil</t>
  </si>
  <si>
    <t>09de3725-e7e9-5ed0-b86d-b731151c775f</t>
  </si>
  <si>
    <t>0.4439553273317368</t>
  </si>
  <si>
    <t>WTE_energy_recovery - Mixed_Plastic - Canada</t>
  </si>
  <si>
    <t>6214d991-44cb-552c-95ef-de9da299593f</t>
  </si>
  <si>
    <t>0.6436797161842644</t>
  </si>
  <si>
    <t>WTE_energy_recovery - Mixed_Plastic - China</t>
  </si>
  <si>
    <t>d8b70aa3-fb9f-52ee-855f-d549d8270071</t>
  </si>
  <si>
    <t>WTE_energy_recovery - Mixed_Plastic - India</t>
  </si>
  <si>
    <t>e867adba-4423-551b-b51b-2dfc56ec6837</t>
  </si>
  <si>
    <t>0.46422335303737383</t>
  </si>
  <si>
    <t>WTE_energy_recovery - Mixed_Plastic - Ireland</t>
  </si>
  <si>
    <t>51b88e28-5bc6-5f33-a511-5960696073c7</t>
  </si>
  <si>
    <t>0.5765785935078284</t>
  </si>
  <si>
    <t>WTE_energy_recovery - Mixed_Plastic - Mexico</t>
  </si>
  <si>
    <t>864105ba-082c-541c-ba45-21e67e831855</t>
  </si>
  <si>
    <t>0.5222946626433675</t>
  </si>
  <si>
    <t>WTE_energy_recovery - Mixed_Plastic - Spain</t>
  </si>
  <si>
    <t>13ce8807-146f-5314-bd80-362a73991476</t>
  </si>
  <si>
    <t>0.5407913280803958</t>
  </si>
  <si>
    <t>WTE_energy_recovery - Mixed_Plastic - USA</t>
  </si>
  <si>
    <t>a59c74b0-1a47-5bf9-bce9-06fc67b6904a</t>
  </si>
  <si>
    <t>0.6494092776060079</t>
  </si>
  <si>
    <t>WTE_energy_recovery - Newsprint - Australia</t>
  </si>
  <si>
    <t>cd4fe163-3c8a-54e9-99a1-701e48385b26</t>
  </si>
  <si>
    <t>WTE_energy_recovery - Newsprint - Brazil</t>
  </si>
  <si>
    <t>bf342a97-eced-5c23-a119-c21d2c62e6df</t>
  </si>
  <si>
    <t>WTE_energy_recovery - Newsprint - Canada</t>
  </si>
  <si>
    <t>815c8b03-f8b9-59f5-bc7c-ac568429bad4</t>
  </si>
  <si>
    <t>WTE_energy_recovery - Newsprint - China</t>
  </si>
  <si>
    <t>90584db3-9e6b-592a-9467-776995fe7337</t>
  </si>
  <si>
    <t>WTE_energy_recovery - Newsprint - India</t>
  </si>
  <si>
    <t>7408be99-eba1-5132-a3a7-3ccf8ecee7f0</t>
  </si>
  <si>
    <t>WTE_energy_recovery - Newsprint - Ireland</t>
  </si>
  <si>
    <t>5a441a6e-6ffb-5581-b064-1308df41428a</t>
  </si>
  <si>
    <t>WTE_energy_recovery - Newsprint - Mexico</t>
  </si>
  <si>
    <t>c2067027-00aa-5248-ab07-58e046398f93</t>
  </si>
  <si>
    <t>WTE_energy_recovery - Newsprint - Spain</t>
  </si>
  <si>
    <t>25b5de04-8519-5b1b-92aa-f2816853016b</t>
  </si>
  <si>
    <t>WTE_energy_recovery - Newsprint - USA</t>
  </si>
  <si>
    <t>db114fe4-32d8-559e-903e-b12178e25627</t>
  </si>
  <si>
    <t>WTE_energy_recovery - Office_Paper - Australia</t>
  </si>
  <si>
    <t>5fab5d30-3ef2-5f59-91bc-ed748504d70f</t>
  </si>
  <si>
    <t>WTE_energy_recovery - Office_Paper - Brazil</t>
  </si>
  <si>
    <t>49f1ea26-f2fd-5562-bc99-d6eeef17a51f</t>
  </si>
  <si>
    <t>WTE_energy_recovery - Office_Paper - Canada</t>
  </si>
  <si>
    <t>7e36efad-3068-5796-8e69-84a25b3ca63f</t>
  </si>
  <si>
    <t>WTE_energy_recovery - Office_Paper - China</t>
  </si>
  <si>
    <t>c5e2840b-5026-58e7-adf1-53435059e3aa</t>
  </si>
  <si>
    <t>WTE_energy_recovery - Office_Paper - India</t>
  </si>
  <si>
    <t>db67adaa-1818-5a4f-b665-1f0a2f4400f8</t>
  </si>
  <si>
    <t>WTE_energy_recovery - Office_Paper - Ireland</t>
  </si>
  <si>
    <t>f3e25bc2-ab2e-53be-9647-031e44b65a80</t>
  </si>
  <si>
    <t>WTE_energy_recovery - Office_Paper - Mexico</t>
  </si>
  <si>
    <t>caf68819-31eb-5d1f-b964-b790fa95aed0</t>
  </si>
  <si>
    <t>WTE_energy_recovery - Office_Paper - Spain</t>
  </si>
  <si>
    <t>34f9434e-cde3-5fb3-86d9-3bb793cb9bb9</t>
  </si>
  <si>
    <t>WTE_energy_recovery - Office_Paper - USA</t>
  </si>
  <si>
    <t>ec7c8add-14a6-5ca4-8e7a-01febf721302</t>
  </si>
  <si>
    <t>WTE_energy_recovery - PET_Containers - Australia</t>
  </si>
  <si>
    <t>f3c06c80-ff6e-55cb-8935-b39b932d0885</t>
  </si>
  <si>
    <t>0.6971182430324758</t>
  </si>
  <si>
    <t>WTE_energy_recovery - PET_Containers - Brazil</t>
  </si>
  <si>
    <t>f712a644-be74-58aa-9c49-3af49e03e988</t>
  </si>
  <si>
    <t>0.48074063466547773</t>
  </si>
  <si>
    <t>WTE_energy_recovery - PET_Containers - Canada</t>
  </si>
  <si>
    <t>03683f87-1f5e-52a6-9692-c93194536038</t>
  </si>
  <si>
    <t>0.7162766797535187</t>
  </si>
  <si>
    <t>WTE_energy_recovery - PET_Containers - China</t>
  </si>
  <si>
    <t>53537f5a-f85c-5220-b31a-738ced4fdf9a</t>
  </si>
  <si>
    <t>0.7350401233648556</t>
  </si>
  <si>
    <t>WTE_energy_recovery - PET_Containers - India</t>
  </si>
  <si>
    <t>c24f7458-1fdf-5e00-ab25-49789a61ba35</t>
  </si>
  <si>
    <t>0.5046428152893635</t>
  </si>
  <si>
    <t>WTE_energy_recovery - PET_Containers - Ireland</t>
  </si>
  <si>
    <t>3b0a9e48-866d-5b24-b007-309c2af00492</t>
  </si>
  <si>
    <t>0.6371440063404934</t>
  </si>
  <si>
    <t>WTE_energy_recovery - PET_Containers - Mexico</t>
  </si>
  <si>
    <t>58ea9eeb-386a-5da0-9050-81dd0b3e50cd</t>
  </si>
  <si>
    <t>0.5731265912341654</t>
  </si>
  <si>
    <t>WTE_energy_recovery - PET_Containers - Spain</t>
  </si>
  <si>
    <t>d4b25c24-6fcc-5080-9629-c5c0d2541a6f</t>
  </si>
  <si>
    <t>0.5949399138535452</t>
  </si>
  <si>
    <t>WTE_energy_recovery - PET_Containers - USA</t>
  </si>
  <si>
    <t>8e38eb20-b296-5565-bdcc-41acbe871d06</t>
  </si>
  <si>
    <t>0.7230335788142549</t>
  </si>
  <si>
    <t>WTE_energy_recovery - Paper_Bags - Australia</t>
  </si>
  <si>
    <t>63536677-fcf8-5e52-bcea-43b78a172e1a</t>
  </si>
  <si>
    <t>WTE_energy_recovery - Paper_Bags - Brazil</t>
  </si>
  <si>
    <t>2ffb081c-c799-59aa-b0a4-974ed067dfe4</t>
  </si>
  <si>
    <t>WTE_energy_recovery - Paper_Bags - Canada</t>
  </si>
  <si>
    <t>44dd2297-d3a7-54c5-8468-7082b86b0a01</t>
  </si>
  <si>
    <t>WTE_energy_recovery - Paper_Bags - China</t>
  </si>
  <si>
    <t>16172b22-13d4-587f-89c6-ca552bb59a5f</t>
  </si>
  <si>
    <t>WTE_energy_recovery - Paper_Bags - India</t>
  </si>
  <si>
    <t>e6295e84-5901-5f2c-80a2-12ca50064da2</t>
  </si>
  <si>
    <t>WTE_energy_recovery - Paper_Bags - Ireland</t>
  </si>
  <si>
    <t>ba807687-918e-512a-8d5b-0b6bc82dfef5</t>
  </si>
  <si>
    <t>WTE_energy_recovery - Paper_Bags - Mexico</t>
  </si>
  <si>
    <t>c07fe103-b0c8-51f0-bca4-f950308cabe3</t>
  </si>
  <si>
    <t>WTE_energy_recovery - Paper_Bags - Spain</t>
  </si>
  <si>
    <t>f65b8f84-26f0-545a-93c8-bc2b44059177</t>
  </si>
  <si>
    <t>WTE_energy_recovery - Paper_Bags - USA</t>
  </si>
  <si>
    <t>f59f70bd-dce9-54b1-a5ed-732c97c7ea3c</t>
  </si>
  <si>
    <t>WTE_energy_recovery - Paper_Non_recyclable - Australia</t>
  </si>
  <si>
    <t>8facbb78-35fb-58f8-97c1-286a3de7eb88</t>
  </si>
  <si>
    <t>WTE_energy_recovery - Paper_Non_recyclable - Brazil</t>
  </si>
  <si>
    <t>d35305d5-4af2-550b-a912-3d8aaa3e9e47</t>
  </si>
  <si>
    <t>WTE_energy_recovery - Paper_Non_recyclable - Canada</t>
  </si>
  <si>
    <t>da788d8b-b815-5258-ac4a-1234170f2f66</t>
  </si>
  <si>
    <t>WTE_energy_recovery - Paper_Non_recyclable - China</t>
  </si>
  <si>
    <t>5385d66e-f02e-52f4-af33-2d6fec9e5852</t>
  </si>
  <si>
    <t>WTE_energy_recovery - Paper_Non_recyclable - India</t>
  </si>
  <si>
    <t>f10ed20b-bbf4-51b1-9f83-4fca848f8ffb</t>
  </si>
  <si>
    <t>WTE_energy_recovery - Paper_Non_recyclable - Ireland</t>
  </si>
  <si>
    <t>06845042-5150-5d0e-9e3c-719d281bc22f</t>
  </si>
  <si>
    <t>WTE_energy_recovery - Paper_Non_recyclable - Mexico</t>
  </si>
  <si>
    <t>96338047-3cba-5ab3-86ea-c4d63e3e7e27</t>
  </si>
  <si>
    <t>WTE_energy_recovery - Paper_Non_recyclable - Spain</t>
  </si>
  <si>
    <t>608b6df4-4659-5935-beaf-a43d3c11b401</t>
  </si>
  <si>
    <t>WTE_energy_recovery - Paper_Non_recyclable - USA</t>
  </si>
  <si>
    <t>8e5744d4-d8c0-5c15-839f-1776d15e7dc9</t>
  </si>
  <si>
    <t>WTE_energy_recovery - Plastic_Film - Australia</t>
  </si>
  <si>
    <t>47378138-c325-5a74-b4fd-def7cbef8681</t>
  </si>
  <si>
    <t>0.5352349930811257</t>
  </si>
  <si>
    <t>WTE_energy_recovery - Plastic_Film - Brazil</t>
  </si>
  <si>
    <t>761ef86a-dfa0-54e7-a300-9d944983c441</t>
  </si>
  <si>
    <t>WTE_energy_recovery - Plastic_Film - Canada</t>
  </si>
  <si>
    <t>a0ce50ae-8574-5dc8-bd03-83a88380253f</t>
  </si>
  <si>
    <t>WTE_energy_recovery - Plastic_Film - China</t>
  </si>
  <si>
    <t>ac774bcc-a7a5-5ca3-b5ed-234e02841fd0</t>
  </si>
  <si>
    <t>0.5756548595167819</t>
  </si>
  <si>
    <t>WTE_energy_recovery - Plastic_Film - India</t>
  </si>
  <si>
    <t>ac0c162d-06fc-55ca-b8a3-5a05207f0263</t>
  </si>
  <si>
    <t>0.3300811610486567</t>
  </si>
  <si>
    <t>WTE_energy_recovery - Plastic_Film - Ireland</t>
  </si>
  <si>
    <t>f8b8fe65-64d5-54c1-8592-cb1ef54d63e2</t>
  </si>
  <si>
    <t>0.47131022056053323</t>
  </si>
  <si>
    <t>WTE_energy_recovery - Plastic_Film - Mexico</t>
  </si>
  <si>
    <t>00c28a82-2a12-59ec-b3a0-24f441db2031</t>
  </si>
  <si>
    <t>0.4030759988977058</t>
  </si>
  <si>
    <t>WTE_energy_recovery - Plastic_Film - Spain</t>
  </si>
  <si>
    <t>f49fb060-db41-516f-b80d-4235d06116cc</t>
  </si>
  <si>
    <t>0.4263261213793786</t>
  </si>
  <si>
    <t>WTE_energy_recovery - Plastic_Film - USA</t>
  </si>
  <si>
    <t>c663b762-974a-501b-85e9-303422ddb66d</t>
  </si>
  <si>
    <t>0.5628573862289226</t>
  </si>
  <si>
    <t>WTE_energy_recovery - Plastic_Non_Recyclable - Australia</t>
  </si>
  <si>
    <t>992ac133-a23d-5232-8156-be86adcfc994</t>
  </si>
  <si>
    <t>0.49637285483986254</t>
  </si>
  <si>
    <t>WTE_energy_recovery - Plastic_Non_Recyclable - Brazil</t>
  </si>
  <si>
    <t>486958f7-e70d-525c-af47-38be877949a4</t>
  </si>
  <si>
    <t>0.27629902332726314</t>
  </si>
  <si>
    <t>WTE_energy_recovery - Plastic_Non_Recyclable - Canada</t>
  </si>
  <si>
    <t>14309cca-17d4-5f82-b390-713ceb073023</t>
  </si>
  <si>
    <t>0.5158585654377447</t>
  </si>
  <si>
    <t>WTE_energy_recovery - Plastic_Non_Recyclable - China</t>
  </si>
  <si>
    <t>d78a9cc1-3701-5940-ae43-18693ff0ddb6</t>
  </si>
  <si>
    <t>0.5349425757898038</t>
  </si>
  <si>
    <t>WTE_energy_recovery - Plastic_Non_Recyclable - India</t>
  </si>
  <si>
    <t>91557b42-9c59-5013-9da4-ba69f99c4773</t>
  </si>
  <si>
    <t>0.30060951226996924</t>
  </si>
  <si>
    <t>WTE_energy_recovery - Plastic_Non_Recyclable - Ireland</t>
  </si>
  <si>
    <t>e7aedcf0-af2d-54cd-8c20-ff6d1c7c3d52</t>
  </si>
  <si>
    <t>0.43537410862040393</t>
  </si>
  <si>
    <t>WTE_energy_recovery - Plastic_Non_Recyclable - Mexico</t>
  </si>
  <si>
    <t>31cbd6c9-af23-5539-86d6-327c0ae485f8</t>
  </si>
  <si>
    <t>0.37026316036421636</t>
  </si>
  <si>
    <t>WTE_energy_recovery - Plastic_Non_Recyclable - Spain</t>
  </si>
  <si>
    <t>58e31bf3-bb29-5df9-948e-0c324c0dd5ce</t>
  </si>
  <si>
    <t>0.39244906498448856</t>
  </si>
  <si>
    <t>WTE_energy_recovery - Plastic_Non_Recyclable - USA</t>
  </si>
  <si>
    <t>3235847f-3ca0-5132-a623-21f7d15d4b89</t>
  </si>
  <si>
    <t>0.5227308891849082</t>
  </si>
  <si>
    <t>WTE_energy_recovery - Plastic_Other_1_Polypropylene - Australia</t>
  </si>
  <si>
    <t>7d7c4024-fbfc-5162-9f59-29899c381ffd</t>
  </si>
  <si>
    <t>0.44686290323644673</t>
  </si>
  <si>
    <t>WTE_energy_recovery - Plastic_Other_1_Polypropylene - Brazil</t>
  </si>
  <si>
    <t>55ee6971-0879-50e7-bd6d-65a501621720</t>
  </si>
  <si>
    <t>0.12492150926214546</t>
  </si>
  <si>
    <t>WTE_energy_recovery - Plastic_Other_1_Polypropylene - Canada</t>
  </si>
  <si>
    <t>2c5e71e2-6dfe-5cf3-9c39-4ad882d7518e</t>
  </si>
  <si>
    <t>0.47536813212165824</t>
  </si>
  <si>
    <t>WTE_energy_recovery - Plastic_Other_1_Polypropylene - China</t>
  </si>
  <si>
    <t>cfa5431b-4f2f-52a1-8dcc-8118ce71d832</t>
  </si>
  <si>
    <t>0.5032856371369889</t>
  </si>
  <si>
    <t>WTE_energy_recovery - Plastic_Other_1_Polypropylene - India</t>
  </si>
  <si>
    <t>24c05b4c-5873-5728-8529-81f9aed750e9</t>
  </si>
  <si>
    <t>0.1604848042271256</t>
  </si>
  <si>
    <t>WTE_energy_recovery - Plastic_Other_1_Polypropylene - Ireland</t>
  </si>
  <si>
    <t>7dad9738-e192-57f2-af62-e74abdc61bec</t>
  </si>
  <si>
    <t>0.3576291432479589</t>
  </si>
  <si>
    <t>WTE_energy_recovery - Plastic_Other_1_Polypropylene - Mexico</t>
  </si>
  <si>
    <t>c70b7992-8593-5b77-a0db-73885a36af9b</t>
  </si>
  <si>
    <t>0.2623796381155529</t>
  </si>
  <si>
    <t>WTE_energy_recovery - Plastic_Other_1_Polypropylene - Spain</t>
  </si>
  <si>
    <t>738163d2-ddfd-51b7-8a4c-f7d4887bb723</t>
  </si>
  <si>
    <t>0.2948350158486543</t>
  </si>
  <si>
    <t>WTE_energy_recovery - Plastic_Other_1_Polypropylene - USA</t>
  </si>
  <si>
    <t>d2e07f53-6531-53d3-8e8e-216a4ab1d2b1</t>
  </si>
  <si>
    <t>0.4854215074092624</t>
  </si>
  <si>
    <t>WTE_energy_recovery - Plastic_Other_2 - Australia</t>
  </si>
  <si>
    <t>700adbe2-da05-5803-9295-9a595643c633</t>
  </si>
  <si>
    <t>0.6449658094424755</t>
  </si>
  <si>
    <t>WTE_energy_recovery - Plastic_Other_2 - Brazil</t>
  </si>
  <si>
    <t>04046e57-5d80-5ab4-876e-0e14fb9ddd96</t>
  </si>
  <si>
    <t>0.3635704727619421</t>
  </si>
  <si>
    <t>WTE_energy_recovery - Plastic_Other_2 - Canada</t>
  </si>
  <si>
    <t>a96158c8-1c66-5983-9905-061e3e5136aa</t>
  </si>
  <si>
    <t>0.6698810241315882</t>
  </si>
  <si>
    <t>WTE_energy_recovery - Plastic_Other_2 - China</t>
  </si>
  <si>
    <t>2a1873ac-ff93-59ed-a4fd-bbbfb11829a0</t>
  </si>
  <si>
    <t>WTE_energy_recovery - Plastic_Other_2 - India</t>
  </si>
  <si>
    <t>47cc9320-9c8a-5d26-9ad7-52ab3f29d12f</t>
  </si>
  <si>
    <t>0.39465484423752784</t>
  </si>
  <si>
    <t>WTE_energy_recovery - Plastic_Other_2 - Ireland</t>
  </si>
  <si>
    <t>45ad070a-e3b4-5c39-b64f-22fec16c8ac2</t>
  </si>
  <si>
    <t>0.5669703547635172</t>
  </si>
  <si>
    <t>WTE_energy_recovery - Plastic_Other_2 - Mexico</t>
  </si>
  <si>
    <t>4dd13f07-593d-5a66-af24-2d51eff12fd8</t>
  </si>
  <si>
    <t>0.48371680745405576</t>
  </si>
  <si>
    <t>WTE_energy_recovery - Plastic_Other_2 - Spain</t>
  </si>
  <si>
    <t>edb9d700-3f94-5356-8c44-7b68de3d60e7</t>
  </si>
  <si>
    <t>0.5120846644338872</t>
  </si>
  <si>
    <t>WTE_energy_recovery - Plastic_Other_2 - USA</t>
  </si>
  <si>
    <t>badf10e1-3e40-5af9-9e57-3cf0d20f739a</t>
  </si>
  <si>
    <t>0.6786682541745237</t>
  </si>
  <si>
    <t>WTE_energy_recovery - Rubber_Leather - Australia</t>
  </si>
  <si>
    <t>eae80572-1b6b-50f5-a1ac-2139dc8b716a</t>
  </si>
  <si>
    <t>WTE_energy_recovery - Rubber_Leather - Brazil</t>
  </si>
  <si>
    <t>643f6186-7603-58e5-9753-dcf80e79b5c8</t>
  </si>
  <si>
    <t>WTE_energy_recovery - Rubber_Leather - Canada</t>
  </si>
  <si>
    <t>04696b35-885d-5c2d-8e13-c683965cce21</t>
  </si>
  <si>
    <t>WTE_energy_recovery - Rubber_Leather - China</t>
  </si>
  <si>
    <t>b4bf113f-ae98-5045-93d1-deb21258461d</t>
  </si>
  <si>
    <t>WTE_energy_recovery - Rubber_Leather - India</t>
  </si>
  <si>
    <t>3888d0ef-bdd0-5c34-a357-5141f65af46b</t>
  </si>
  <si>
    <t>WTE_energy_recovery - Rubber_Leather - Ireland</t>
  </si>
  <si>
    <t>3ad0becb-2bd3-54cc-badd-8c2e7723ca96</t>
  </si>
  <si>
    <t>WTE_energy_recovery - Rubber_Leather - Mexico</t>
  </si>
  <si>
    <t>8a656746-f016-5fcc-9db7-8971226139b0</t>
  </si>
  <si>
    <t>WTE_energy_recovery - Rubber_Leather - Spain</t>
  </si>
  <si>
    <t>396eba0a-077a-59e3-9f4f-fe652359f156</t>
  </si>
  <si>
    <t>WTE_energy_recovery - Rubber_Leather - USA</t>
  </si>
  <si>
    <t>f43635fc-f1b4-576c-9b24-8e1eb64764c9</t>
  </si>
  <si>
    <t>WTE_energy_recovery - Textiles - Australia</t>
  </si>
  <si>
    <t>886f0647-d08f-5e3b-9acd-e754b821e4fe</t>
  </si>
  <si>
    <t>WTE_energy_recovery - Textiles - Brazil</t>
  </si>
  <si>
    <t>e6c9f8a8-c941-57b4-81a7-04e120e829f2</t>
  </si>
  <si>
    <t>WTE_energy_recovery - Textiles - Canada</t>
  </si>
  <si>
    <t>1da13e93-7965-539a-a069-18aa73e94c3f</t>
  </si>
  <si>
    <t>WTE_energy_recovery - Textiles - China</t>
  </si>
  <si>
    <t>5558b5cf-62a1-5084-b279-9a9f2168e85b</t>
  </si>
  <si>
    <t>WTE_energy_recovery - Textiles - India</t>
  </si>
  <si>
    <t>5e78e82c-18f8-5db1-bffe-282573480c7f</t>
  </si>
  <si>
    <t>WTE_energy_recovery - Textiles - Ireland</t>
  </si>
  <si>
    <t>4aa493b0-564a-5203-8502-2fba86fa86ca</t>
  </si>
  <si>
    <t>WTE_energy_recovery - Textiles - Mexico</t>
  </si>
  <si>
    <t>538965bf-64bc-5bc1-8141-86ec26e53cba</t>
  </si>
  <si>
    <t>WTE_energy_recovery - Textiles - Spain</t>
  </si>
  <si>
    <t>4a7820ec-78aa-5dd4-8a7a-5571a5d128d0</t>
  </si>
  <si>
    <t>WTE_energy_recovery - Textiles - USA</t>
  </si>
  <si>
    <t>f8cf13f2-4c51-54a2-8095-6273140c3ac4</t>
  </si>
  <si>
    <t>WTE_energy_recovery - Third_Class_Mail - Australia</t>
  </si>
  <si>
    <t>15294eb4-819d-5d81-824c-30790e6876c2</t>
  </si>
  <si>
    <t>WTE_energy_recovery - Third_Class_Mail - Brazil</t>
  </si>
  <si>
    <t>2cd5025a-1fb9-52fe-9c0c-a06105c9c664</t>
  </si>
  <si>
    <t>WTE_energy_recovery - Third_Class_Mail - Canada</t>
  </si>
  <si>
    <t>301623b4-c7c3-55b0-bb71-476cffde0bde</t>
  </si>
  <si>
    <t>WTE_energy_recovery - Third_Class_Mail - China</t>
  </si>
  <si>
    <t>e8f03ac2-a175-5570-9dad-b94d132a9c83</t>
  </si>
  <si>
    <t>WTE_energy_recovery - Third_Class_Mail - India</t>
  </si>
  <si>
    <t>188e6c46-fb14-5c15-9b1b-8f38d519165e</t>
  </si>
  <si>
    <t>WTE_energy_recovery - Third_Class_Mail - Ireland</t>
  </si>
  <si>
    <t>c3f718fc-9b88-5466-8dd4-c8aae89c7f29</t>
  </si>
  <si>
    <t>WTE_energy_recovery - Third_Class_Mail - Mexico</t>
  </si>
  <si>
    <t>46f2b820-ef07-5fee-8995-3a1cb2bd2805</t>
  </si>
  <si>
    <t>WTE_energy_recovery - Third_Class_Mail - Spain</t>
  </si>
  <si>
    <t>eab4b11d-6473-5c09-b0f1-9be0ce22ec6b</t>
  </si>
  <si>
    <t>WTE_energy_recovery - Third_Class_Mail - USA</t>
  </si>
  <si>
    <t>ac099d2a-517c-5ec8-bfb0-8be6f09696d0</t>
  </si>
  <si>
    <t>WTE_energy_recovery - Wood - Australia</t>
  </si>
  <si>
    <t>55638ebf-a921-5395-bb7a-a2111a282e49</t>
  </si>
  <si>
    <t>WTE_energy_recovery - Wood - Brazil</t>
  </si>
  <si>
    <t>cf7930d6-bbd4-56ff-b240-60ac385fa6b5</t>
  </si>
  <si>
    <t>WTE_energy_recovery - Wood - Canada</t>
  </si>
  <si>
    <t>60ac36e5-365b-5251-a345-614ddd9b4b81</t>
  </si>
  <si>
    <t>WTE_energy_recovery - Wood - China</t>
  </si>
  <si>
    <t>d7f5fa4b-1914-52cb-8825-e0097eab9773</t>
  </si>
  <si>
    <t>WTE_energy_recovery - Wood - India</t>
  </si>
  <si>
    <t>f9889785-6be6-5840-99fe-5266999afa3f</t>
  </si>
  <si>
    <t>WTE_energy_recovery - Wood - Ireland</t>
  </si>
  <si>
    <t>332d60ac-0b41-572a-a3e5-62959b86487e</t>
  </si>
  <si>
    <t>WTE_energy_recovery - Wood - Mexico</t>
  </si>
  <si>
    <t>2399d680-4a47-5200-b425-4b52e0e835f0</t>
  </si>
  <si>
    <t>WTE_energy_recovery - Wood - Spain</t>
  </si>
  <si>
    <t>99b74b95-984c-5948-b171-a94c570c9822</t>
  </si>
  <si>
    <t>WTE_energy_recovery - Wood - USA</t>
  </si>
  <si>
    <t>a8b025a0-4612-5d95-a4e2-a277958362f7</t>
  </si>
  <si>
    <t>WTE_energy_recovery - Wood_Other - Australia</t>
  </si>
  <si>
    <t>86197b36-c6c4-595f-9c71-ea5cee1a7419</t>
  </si>
  <si>
    <t>WTE_energy_recovery - Wood_Other - Brazil</t>
  </si>
  <si>
    <t>9704099a-e996-5afe-bfd1-aa2c5320f6b8</t>
  </si>
  <si>
    <t>WTE_energy_recovery - Wood_Other - Canada</t>
  </si>
  <si>
    <t>5314f5a1-5a5b-5585-a132-597bd7c3be98</t>
  </si>
  <si>
    <t>WTE_energy_recovery - Wood_Other - China</t>
  </si>
  <si>
    <t>5d9e0f31-9336-5d72-9bc8-34394ba775e8</t>
  </si>
  <si>
    <t>WTE_energy_recovery - Wood_Other - India</t>
  </si>
  <si>
    <t>b5126862-c990-50de-b596-7b394c934efb</t>
  </si>
  <si>
    <t>WTE_energy_recovery - Wood_Other - Ireland</t>
  </si>
  <si>
    <t>7ab9f4ad-f591-576c-962e-aea854ddf74e</t>
  </si>
  <si>
    <t>WTE_energy_recovery - Wood_Other - Mexico</t>
  </si>
  <si>
    <t>a417d8f6-ff92-5928-a08b-8dfa2fe2f41f</t>
  </si>
  <si>
    <t>WTE_energy_recovery - Wood_Other - Spain</t>
  </si>
  <si>
    <t>28d12c35-8902-599f-b606-7290c0cc2702</t>
  </si>
  <si>
    <t>WTE_energy_recovery - Wood_Other - USA</t>
  </si>
  <si>
    <t>3eafae72-659b-543f-a36d-aaeb23f136d7</t>
  </si>
  <si>
    <t>WTE_energy_recovery - Yard_Trimmings_Branches - Australia</t>
  </si>
  <si>
    <t>5c6105dd-7da6-55b1-83b4-b05d791b8e90</t>
  </si>
  <si>
    <t>WTE_energy_recovery - Yard_Trimmings_Branches - Brazil</t>
  </si>
  <si>
    <t>b3da4a40-f377-5cae-8064-e5e19a15d729</t>
  </si>
  <si>
    <t>WTE_energy_recovery - Yard_Trimmings_Branches - Canada</t>
  </si>
  <si>
    <t>e120f779-2b11-5450-832d-5cfd0a39adfb</t>
  </si>
  <si>
    <t>WTE_energy_recovery - Yard_Trimmings_Branches - China</t>
  </si>
  <si>
    <t>496ca664-f7b3-5e94-9bd9-9d50a99bdc7c</t>
  </si>
  <si>
    <t>WTE_energy_recovery - Yard_Trimmings_Branches - India</t>
  </si>
  <si>
    <t>1f045f8c-3b5e-5a3c-96b4-84a90bd84eb7</t>
  </si>
  <si>
    <t>WTE_energy_recovery - Yard_Trimmings_Branches - Ireland</t>
  </si>
  <si>
    <t>86a1c532-917f-5c51-9de0-532ee5114473</t>
  </si>
  <si>
    <t>WTE_energy_recovery - Yard_Trimmings_Branches - Mexico</t>
  </si>
  <si>
    <t>9a888ecb-cb96-591b-99ed-aee742634def</t>
  </si>
  <si>
    <t>WTE_energy_recovery - Yard_Trimmings_Branches - Spain</t>
  </si>
  <si>
    <t>ecb2254b-9f75-5004-904d-a6681ec85350</t>
  </si>
  <si>
    <t>WTE_energy_recovery - Yard_Trimmings_Branches - USA</t>
  </si>
  <si>
    <t>c9b08168-678b-5add-b0c1-959345176e9c</t>
  </si>
  <si>
    <t>WTE_energy_recovery - Yard_Trimmings_Grass - Australia</t>
  </si>
  <si>
    <t>656be277-bbba-50a3-8a01-83fa4881a4db</t>
  </si>
  <si>
    <t>WTE_energy_recovery - Yard_Trimmings_Grass - Brazil</t>
  </si>
  <si>
    <t>480839c6-56f9-5959-bca1-98531bcbefa6</t>
  </si>
  <si>
    <t>WTE_energy_recovery - Yard_Trimmings_Grass - Canada</t>
  </si>
  <si>
    <t>f8604526-ce4a-5294-991b-3eed2e42682e</t>
  </si>
  <si>
    <t>WTE_energy_recovery - Yard_Trimmings_Grass - China</t>
  </si>
  <si>
    <t>82f66b95-3f96-5a7a-bbb0-71625df44441</t>
  </si>
  <si>
    <t>WTE_energy_recovery - Yard_Trimmings_Grass - India</t>
  </si>
  <si>
    <t>0a3ae97d-960c-50f7-a7a5-3029d762c14b</t>
  </si>
  <si>
    <t>WTE_energy_recovery - Yard_Trimmings_Grass - Ireland</t>
  </si>
  <si>
    <t>3e0bb587-299e-5abe-a508-d7fa06dd5827</t>
  </si>
  <si>
    <t>WTE_energy_recovery - Yard_Trimmings_Grass - Mexico</t>
  </si>
  <si>
    <t>c3acb513-e227-52c0-a9ec-b536f3c2849f</t>
  </si>
  <si>
    <t>WTE_energy_recovery - Yard_Trimmings_Grass - Spain</t>
  </si>
  <si>
    <t>88774b67-ec75-5854-be98-59b13e92a4e6</t>
  </si>
  <si>
    <t>WTE_energy_recovery - Yard_Trimmings_Grass - USA</t>
  </si>
  <si>
    <t>6a476c01-046a-543f-9a2d-b2499f96c608</t>
  </si>
  <si>
    <t>WTE_energy_recovery - Yard_Trimmings_Leaves - Australia</t>
  </si>
  <si>
    <t>d639997e-7b51-5c98-9237-9b9498c73d1b</t>
  </si>
  <si>
    <t>WTE_energy_recovery - Yard_Trimmings_Leaves - Brazil</t>
  </si>
  <si>
    <t>d50c4621-26e0-5be0-a8d1-1c905061eff9</t>
  </si>
  <si>
    <t>WTE_energy_recovery - Yard_Trimmings_Leaves - Canada</t>
  </si>
  <si>
    <t>c38ae2df-4525-50a5-922a-21acf063fb7c</t>
  </si>
  <si>
    <t>WTE_energy_recovery - Yard_Trimmings_Leaves - China</t>
  </si>
  <si>
    <t>b7dc307a-2b77-5a6d-9a29-f022ccd7e272</t>
  </si>
  <si>
    <t>WTE_energy_recovery - Yard_Trimmings_Leaves - India</t>
  </si>
  <si>
    <t>c75c8f53-0887-5de8-9658-b3289d366361</t>
  </si>
  <si>
    <t>WTE_energy_recovery - Yard_Trimmings_Leaves - Ireland</t>
  </si>
  <si>
    <t>e0ccae0f-5310-5eff-b1fb-efb69aaf7fe7</t>
  </si>
  <si>
    <t>WTE_energy_recovery - Yard_Trimmings_Leaves - Mexico</t>
  </si>
  <si>
    <t>00658f76-c158-526a-985a-484a9f0d2fb0</t>
  </si>
  <si>
    <t>WTE_energy_recovery - Yard_Trimmings_Leaves - Spain</t>
  </si>
  <si>
    <t>ad935f34-8d5f-54ee-8147-6ae3125900c3</t>
  </si>
  <si>
    <t>WTE_energy_recovery - Yard_Trimmings_Leaves - USA</t>
  </si>
  <si>
    <t>becefc1b-9281-56f6-bea9-642188706a24</t>
  </si>
  <si>
    <t>WTE_no_energy_recovery - Al_Non_recyclable - Australia</t>
  </si>
  <si>
    <t>958e9c29-414e-5624-935e-9f6b6b045a56</t>
  </si>
  <si>
    <t>WTE_no_energy_recovery</t>
  </si>
  <si>
    <t>0.11484111285616933</t>
  </si>
  <si>
    <t>1.4928324300386776e-10</t>
  </si>
  <si>
    <t>4.798752969123148e-08</t>
  </si>
  <si>
    <t>5.229428318056775e-10</t>
  </si>
  <si>
    <t>7.391505541586829e-06</t>
  </si>
  <si>
    <t>2.2877992638253665e-08</t>
  </si>
  <si>
    <t>4.016047311808191e-05</t>
  </si>
  <si>
    <t>WTE_no_energy_recovery - Al_Non_recyclable - Brazil</t>
  </si>
  <si>
    <t>c740fc3a-dd3f-59d8-9761-0ba2c4e8b54c</t>
  </si>
  <si>
    <t>0.11486338784785582</t>
  </si>
  <si>
    <t>1.4931560662383174e-10</t>
  </si>
  <si>
    <t>4.799342544991894e-08</t>
  </si>
  <si>
    <t>5.230276551932798e-10</t>
  </si>
  <si>
    <t>7.393824628243623e-06</t>
  </si>
  <si>
    <t>2.289064148374437e-08</t>
  </si>
  <si>
    <t>4.0165880819242494e-05</t>
  </si>
  <si>
    <t>WTE_no_energy_recovery - Al_Non_recyclable - Canada</t>
  </si>
  <si>
    <t>2c21ed8d-e39d-5ea5-84b9-8877c9ad6a0f</t>
  </si>
  <si>
    <t>0.11483983569216286</t>
  </si>
  <si>
    <t>1.4928141536764458e-10</t>
  </si>
  <si>
    <t>4.798707603853519e-08</t>
  </si>
  <si>
    <t>5.229357325093808e-10</t>
  </si>
  <si>
    <t>7.391311411830864e-06</t>
  </si>
  <si>
    <t>2.287693377476251e-08</t>
  </si>
  <si>
    <t>4.016002048778522e-05</t>
  </si>
  <si>
    <t>WTE_no_energy_recovery - Al_Non_recyclable - China</t>
  </si>
  <si>
    <t>640f9d7e-e860-5424-b7df-1d8e8c2b2923</t>
  </si>
  <si>
    <t>0.11484633260939273</t>
  </si>
  <si>
    <t>1.49291200383555e-10</t>
  </si>
  <si>
    <t>4.798736737525077e-08</t>
  </si>
  <si>
    <t>5.229328512443643e-10</t>
  </si>
  <si>
    <t>7.3912322209547485e-06</t>
  </si>
  <si>
    <t>2.2876501428711042e-08</t>
  </si>
  <si>
    <t>4.015983639771125e-05</t>
  </si>
  <si>
    <t>WTE_no_energy_recovery - Al_Non_recyclable - India</t>
  </si>
  <si>
    <t>46fc9855-ecfd-53b5-b48c-b255158c68e4</t>
  </si>
  <si>
    <t>0.11486178478770369</t>
  </si>
  <si>
    <t>1.4931331262656178e-10</t>
  </si>
  <si>
    <t>4.7992856037882714e-08</t>
  </si>
  <si>
    <t>5.230187443571927e-10</t>
  </si>
  <si>
    <t>7.393580962056362e-06</t>
  </si>
  <si>
    <t>2.2889312428191898e-08</t>
  </si>
  <si>
    <t>4.016531269048122e-05</t>
  </si>
  <si>
    <t>WTE_no_energy_recovery - Al_Non_recyclable - Ireland</t>
  </si>
  <si>
    <t>58688cf8-545e-5f2b-bab1-c972c17283e3</t>
  </si>
  <si>
    <t>0.11484511093479956</t>
  </si>
  <si>
    <t>1.4928896429987394e-10</t>
  </si>
  <si>
    <t>4.798894982141166e-08</t>
  </si>
  <si>
    <t>5.229650556897362e-10</t>
  </si>
  <si>
    <t>7.392113252127116e-06</t>
  </si>
  <si>
    <t>2.2881307341356577e-08</t>
  </si>
  <si>
    <t>4.016189004770097e-05</t>
  </si>
  <si>
    <t>WTE_no_energy_recovery - Al_Non_recyclable - Mexico</t>
  </si>
  <si>
    <t>dd35cb64-34cd-5412-865d-4544884e1354</t>
  </si>
  <si>
    <t>0.11485719174998824</t>
  </si>
  <si>
    <t>1.4930673993729136e-10</t>
  </si>
  <si>
    <t>4.799122457635076e-08</t>
  </si>
  <si>
    <t>5.229932133092166e-10</t>
  </si>
  <si>
    <t>7.392882817355917e-06</t>
  </si>
  <si>
    <t>2.2885504460005652e-08</t>
  </si>
  <si>
    <t>4.016368490580306e-05</t>
  </si>
  <si>
    <t>WTE_no_energy_recovery - Al_Non_recyclable - Spain</t>
  </si>
  <si>
    <t>9d5caac5-ad11-5b81-b11c-1e4498fe7fd2</t>
  </si>
  <si>
    <t>0.11484792439753884</t>
  </si>
  <si>
    <t>1.4929299039706204e-10</t>
  </si>
  <si>
    <t>4.7989949172279e-08</t>
  </si>
  <si>
    <t>5.22980694719257e-10</t>
  </si>
  <si>
    <t>7.392540900285094e-06</t>
  </si>
  <si>
    <t>2.2883639910206662e-08</t>
  </si>
  <si>
    <t>4.01628871463225e-05</t>
  </si>
  <si>
    <t>WTE_no_energy_recovery - Al_Non_recyclable - USA</t>
  </si>
  <si>
    <t>23538c23-30f6-5bc7-ac3a-57fb35b9c5fc</t>
  </si>
  <si>
    <t>0.1148393852551883</t>
  </si>
  <si>
    <t>1.492807707872096e-10</t>
  </si>
  <si>
    <t>4.7986916041896583e-08</t>
  </si>
  <si>
    <t>0.048911448565512064</t>
  </si>
  <si>
    <t>5.229332286919148e-10</t>
  </si>
  <si>
    <t>7.39124294511906e-06</t>
  </si>
  <si>
    <t>2.287656032917125e-08</t>
  </si>
  <si>
    <t>4.015986085173241e-05</t>
  </si>
  <si>
    <t>WTE_no_energy_recovery - Aluminum_Cans - Australia</t>
  </si>
  <si>
    <t>ee4f06ea-225e-56fa-a20d-7379136e5ef7</t>
  </si>
  <si>
    <t>8.706219395177149e-11</t>
  </si>
  <si>
    <t>3.240094788231907e-08</t>
  </si>
  <si>
    <t>1.3376700236334435e-07</t>
  </si>
  <si>
    <t>7.048250512527432e-07</t>
  </si>
  <si>
    <t>8.076476000426564e-05</t>
  </si>
  <si>
    <t>6.159201965320771e-08</t>
  </si>
  <si>
    <t>2.4762808102401267e-05</t>
  </si>
  <si>
    <t>WTE_no_energy_recovery - Aluminum_Cans - Brazil</t>
  </si>
  <si>
    <t>fb67463d-5434-525c-bcd7-e4e45c877803</t>
  </si>
  <si>
    <t>7.949971372215677e-11</t>
  </si>
  <si>
    <t>3.051309913360794e-08</t>
  </si>
  <si>
    <t>1.4260594441913677e-07</t>
  </si>
  <si>
    <t>7.17240477197112e-05</t>
  </si>
  <si>
    <t>5.80932288702791e-08</t>
  </si>
  <si>
    <t>2.2880441155132432e-05</t>
  </si>
  <si>
    <t>WTE_no_energy_recovery - Aluminum_Cans - Canada</t>
  </si>
  <si>
    <t>72097299-a0b8-56ff-92f1-347600067708</t>
  </si>
  <si>
    <t>8.771615020578967e-11</t>
  </si>
  <si>
    <t>3.256327177046071e-08</t>
  </si>
  <si>
    <t>1.3376954260037387e-07</t>
  </si>
  <si>
    <t>7.742876534560044e-07</t>
  </si>
  <si>
    <t>8.154982838859204e-05</t>
  </si>
  <si>
    <t>6.197089724011929e-08</t>
  </si>
  <si>
    <t>2.4924766159784352e-05</t>
  </si>
  <si>
    <t>WTE_no_energy_recovery - Aluminum_Cans - China</t>
  </si>
  <si>
    <t>6215a0cf-1134-563d-b14b-4eb87bdfc19f</t>
  </si>
  <si>
    <t>8.820819620732822e-11</t>
  </si>
  <si>
    <t>3.267470356528174e-08</t>
  </si>
  <si>
    <t>1.4263977177309671e-07</t>
  </si>
  <si>
    <t>8.211244441882382e-07</t>
  </si>
  <si>
    <t>8.217849973021685e-05</t>
  </si>
  <si>
    <t>6.313859514573111e-08</t>
  </si>
  <si>
    <t>2.5037173960116817e-05</t>
  </si>
  <si>
    <t>WTE_no_energy_recovery - Aluminum_Cans - India</t>
  </si>
  <si>
    <t>5d58b094-1228-5f52-b741-a8f22ac823f5</t>
  </si>
  <si>
    <t>8.784742930907801e-11</t>
  </si>
  <si>
    <t>3.2550763324218006e-08</t>
  </si>
  <si>
    <t>1.748319071090886e-07</t>
  </si>
  <si>
    <t>7.661885771555442e-07</t>
  </si>
  <si>
    <t>8.19180686219403e-05</t>
  </si>
  <si>
    <t>6.283871900636317e-08</t>
  </si>
  <si>
    <t>2.4908986496236915e-05</t>
  </si>
  <si>
    <t>WTE_no_energy_recovery - Aluminum_Cans - Ireland</t>
  </si>
  <si>
    <t>35a15c88-8418-5ab5-bc9a-c99a704d9b39</t>
  </si>
  <si>
    <t>8.501502654788918e-11</t>
  </si>
  <si>
    <t>3.1892803536832296e-08</t>
  </si>
  <si>
    <t>1.337590503169914e-07</t>
  </si>
  <si>
    <t>4.873769052249688e-07</t>
  </si>
  <si>
    <t>7.830715462722912e-05</t>
  </si>
  <si>
    <t>6.040596807678873e-08</t>
  </si>
  <si>
    <t>2.4255808966240093e-05</t>
  </si>
  <si>
    <t>WTE_no_energy_recovery - Aluminum_Cans - Mexico</t>
  </si>
  <si>
    <t>59205e6d-39d7-5c49-8a49-9558b7c8965d</t>
  </si>
  <si>
    <t>8.266346953137769e-11</t>
  </si>
  <si>
    <t>3.12984011181489e-08</t>
  </si>
  <si>
    <t>1.4261823375746672e-07</t>
  </si>
  <si>
    <t>2.3216892759006953e-07</t>
  </si>
  <si>
    <t>7.552210706433654e-05</t>
  </si>
  <si>
    <t>5.992618965199746e-08</t>
  </si>
  <si>
    <t>2.366397329776164e-05</t>
  </si>
  <si>
    <t>WTE_no_energy_recovery - Aluminum_Cans - Spain</t>
  </si>
  <si>
    <t>ec60f35d-2c6c-5d7e-87c6-506071d99454</t>
  </si>
  <si>
    <t>8.357442726367438e-11</t>
  </si>
  <si>
    <t>3.1535220478896945e-08</t>
  </si>
  <si>
    <t>1.3375345443252083e-07</t>
  </si>
  <si>
    <t>3.3435783950171904e-07</t>
  </si>
  <si>
    <t>7.657772862116816e-05</t>
  </si>
  <si>
    <t>5.957133918967893e-08</t>
  </si>
  <si>
    <t>2.3899031796349563e-05</t>
  </si>
  <si>
    <t>WTE_no_energy_recovery - Aluminum_Cans - USA</t>
  </si>
  <si>
    <t>0b7072e9-d641-5224-b29c-4aae1ff5f1af</t>
  </si>
  <si>
    <t>8.794679096541314e-11</t>
  </si>
  <si>
    <t>3.262052102014063e-08</t>
  </si>
  <si>
    <t>1.3377043850464038e-07</t>
  </si>
  <si>
    <t>7.987860923640165e-07</t>
  </si>
  <si>
    <t>8.182671046962675e-05</t>
  </si>
  <si>
    <t>6.210452179667427e-08</t>
  </si>
  <si>
    <t>2.4981886386332805e-05</t>
  </si>
  <si>
    <t>WTE_no_energy_recovery - Aluminum_Foil - Australia</t>
  </si>
  <si>
    <t>3bda8bb4-d2ed-51ca-a8e7-20bb803a7f2b</t>
  </si>
  <si>
    <t>8.67912268648495e-11</t>
  </si>
  <si>
    <t>3.239128889853593e-08</t>
  </si>
  <si>
    <t>1.3376700236334438e-07</t>
  </si>
  <si>
    <t>WTE_no_energy_recovery - Aluminum_Foil - Brazil</t>
  </si>
  <si>
    <t>70ee06f1-6ff2-590e-b43f-3e47b0b1f0ee</t>
  </si>
  <si>
    <t>7.922874663523478e-11</t>
  </si>
  <si>
    <t>3.0503440149824796e-08</t>
  </si>
  <si>
    <t>5.809322887027909e-08</t>
  </si>
  <si>
    <t>WTE_no_energy_recovery - Aluminum_Foil - Canada</t>
  </si>
  <si>
    <t>0748f517-2bcf-555d-a99a-a13079cdffbb</t>
  </si>
  <si>
    <t>8.744518311886767e-11</t>
  </si>
  <si>
    <t>3.255361278667757e-08</t>
  </si>
  <si>
    <t>7.742876534560046e-07</t>
  </si>
  <si>
    <t>6.197089724011931e-08</t>
  </si>
  <si>
    <t>WTE_no_energy_recovery - Aluminum_Foil - China</t>
  </si>
  <si>
    <t>6f4e4d49-3db9-56a1-8a39-b81108d0f92d</t>
  </si>
  <si>
    <t>8.793722912040653e-11</t>
  </si>
  <si>
    <t>3.266504458149866e-08</t>
  </si>
  <si>
    <t>8.211244441882252e-07</t>
  </si>
  <si>
    <t>8.21784997302168e-05</t>
  </si>
  <si>
    <t>6.313859514573107e-08</t>
  </si>
  <si>
    <t>2.503717396011679e-05</t>
  </si>
  <si>
    <t>WTE_no_energy_recovery - Aluminum_Foil - India</t>
  </si>
  <si>
    <t>9ad86782-533c-537f-ba78-4a9fabb65dd1</t>
  </si>
  <si>
    <t>8.757646222215602e-11</t>
  </si>
  <si>
    <t>3.254110434043487e-08</t>
  </si>
  <si>
    <t>1.7483190710908857e-07</t>
  </si>
  <si>
    <t>7.66188577155543e-07</t>
  </si>
  <si>
    <t>8.191806862194028e-05</t>
  </si>
  <si>
    <t>WTE_no_energy_recovery - Aluminum_Foil - Ireland</t>
  </si>
  <si>
    <t>f726ed16-beca-5e2f-9fa2-57b087d3ff65</t>
  </si>
  <si>
    <t>8.474405946096721e-11</t>
  </si>
  <si>
    <t>3.188314455304916e-08</t>
  </si>
  <si>
    <t>WTE_no_energy_recovery - Aluminum_Foil - Mexico</t>
  </si>
  <si>
    <t>8e06be7c-acaa-5b3e-a86c-1e03fdc236d9</t>
  </si>
  <si>
    <t>8.23925024444532e-11</t>
  </si>
  <si>
    <t>3.128874213436528e-08</t>
  </si>
  <si>
    <t>2.321689275900685e-07</t>
  </si>
  <si>
    <t>7.552210706433651e-05</t>
  </si>
  <si>
    <t>5.992618965199754e-08</t>
  </si>
  <si>
    <t>2.366397329776157e-05</t>
  </si>
  <si>
    <t>WTE_no_energy_recovery - Aluminum_Foil - Spain</t>
  </si>
  <si>
    <t>f4e6c2f4-7666-56de-b434-2621bb665af8</t>
  </si>
  <si>
    <t>8.33034601767524e-11</t>
  </si>
  <si>
    <t>3.15255614951138e-08</t>
  </si>
  <si>
    <t>1.337534544325208e-07</t>
  </si>
  <si>
    <t>WTE_no_energy_recovery - Aluminum_Foil - USA</t>
  </si>
  <si>
    <t>04b41fe2-2de9-5859-b39d-6d61c764f132</t>
  </si>
  <si>
    <t>8.767582387849116e-11</t>
  </si>
  <si>
    <t>3.261086203635749e-08</t>
  </si>
  <si>
    <t>WTE_no_energy_recovery - Aluminum_Other - Australia</t>
  </si>
  <si>
    <t>ff1e94eb-79b5-5059-8314-503405da9711</t>
  </si>
  <si>
    <t>7.048250512527428e-07</t>
  </si>
  <si>
    <t>WTE_no_energy_recovery - Aluminum_Other - Brazil</t>
  </si>
  <si>
    <t>0ea692c1-8b61-5bac-88f3-ce0686f5183e</t>
  </si>
  <si>
    <t>7.172404771971115e-05</t>
  </si>
  <si>
    <t>2.288044115513242e-05</t>
  </si>
  <si>
    <t>WTE_no_energy_recovery - Aluminum_Other - Canada</t>
  </si>
  <si>
    <t>5b22a0f5-6a21-58d8-bf56-ab981f152fba</t>
  </si>
  <si>
    <t>8.744518311886761e-11</t>
  </si>
  <si>
    <t>3.255361278667756e-08</t>
  </si>
  <si>
    <t>WTE_no_energy_recovery - Aluminum_Other - China</t>
  </si>
  <si>
    <t>9e4c0716-8b93-54d1-8be9-b2802e720cd0</t>
  </si>
  <si>
    <t>8.21124444188224e-07</t>
  </si>
  <si>
    <t>8.217849973021666e-05</t>
  </si>
  <si>
    <t>2.503717396011675e-05</t>
  </si>
  <si>
    <t>WTE_no_energy_recovery - Aluminum_Other - India</t>
  </si>
  <si>
    <t>a743e2ed-e0f6-576c-897d-b9e3a5f594fd</t>
  </si>
  <si>
    <t>1.7483190710908855e-07</t>
  </si>
  <si>
    <t>7.661885771555437e-07</t>
  </si>
  <si>
    <t>6.283871900636319e-08</t>
  </si>
  <si>
    <t>WTE_no_energy_recovery - Aluminum_Other - Ireland</t>
  </si>
  <si>
    <t>52fc5aa5-112c-5d03-96d5-43fb9ae60b75</t>
  </si>
  <si>
    <t>8.474405946096994e-11</t>
  </si>
  <si>
    <t>3.188314455304968e-08</t>
  </si>
  <si>
    <t>4.873769052249633e-07</t>
  </si>
  <si>
    <t>7.830715462722909e-05</t>
  </si>
  <si>
    <t>2.4255808966240045e-05</t>
  </si>
  <si>
    <t>WTE_no_energy_recovery - Aluminum_Other - Mexico</t>
  </si>
  <si>
    <t>876ecd54-e8bc-5a18-bd05-052f65b3857a</t>
  </si>
  <si>
    <t>8.239250244445328e-11</t>
  </si>
  <si>
    <t>3.1288742134365287e-08</t>
  </si>
  <si>
    <t>2.3216892759006705e-07</t>
  </si>
  <si>
    <t>7.552210706433645e-05</t>
  </si>
  <si>
    <t>2.3663973297761556e-05</t>
  </si>
  <si>
    <t>WTE_no_energy_recovery - Aluminum_Other - Spain</t>
  </si>
  <si>
    <t>9417026b-12f4-5d3c-a423-de9c9d25f9a7</t>
  </si>
  <si>
    <t>WTE_no_energy_recovery - Aluminum_Other - USA</t>
  </si>
  <si>
    <t>5607d345-658d-5174-8a13-195ac79d8c8f</t>
  </si>
  <si>
    <t>WTE_no_energy_recovery - Bottom_Ash - Australia</t>
  </si>
  <si>
    <t>0271001e-47b8-5487-bd05-e9437f22e9e6</t>
  </si>
  <si>
    <t>2.8155445307240475e-10</t>
  </si>
  <si>
    <t>3.830047770793559e-08</t>
  </si>
  <si>
    <t>0.9671704084912576</t>
  </si>
  <si>
    <t>4.1780193182557873e-10</t>
  </si>
  <si>
    <t>1.4834301879482755e-05</t>
  </si>
  <si>
    <t>1.756977187047543e-08</t>
  </si>
  <si>
    <t>9.987642964324149e-05</t>
  </si>
  <si>
    <t>WTE_no_energy_recovery - Bottom_Ash - Brazil</t>
  </si>
  <si>
    <t>89b0815d-8e25-5840-a6f0-28ef017a9232</t>
  </si>
  <si>
    <t>2.8157730026980475e-10</t>
  </si>
  <si>
    <t>3.830463926636113e-08</t>
  </si>
  <si>
    <t>0.9671851293911498</t>
  </si>
  <si>
    <t>4.17861802241889e-10</t>
  </si>
  <si>
    <t>1.4835938747261853e-05</t>
  </si>
  <si>
    <t>1.757869973317209e-08</t>
  </si>
  <si>
    <t>9.988024653049224e-05</t>
  </si>
  <si>
    <t>WTE_no_energy_recovery - Bottom_Ash - Canada</t>
  </si>
  <si>
    <t>dbff6155-623b-565d-8cf8-9ab14eb4e0f6</t>
  </si>
  <si>
    <t>2.815531630823781e-10</t>
  </si>
  <si>
    <t>3.830015750884638e-08</t>
  </si>
  <si>
    <t>0.9671691762184462</t>
  </si>
  <si>
    <t>4.1779692096985135e-10</t>
  </si>
  <si>
    <t>1.4834164857986688e-05</t>
  </si>
  <si>
    <t>1.7569024498909603e-08</t>
  </si>
  <si>
    <t>9.987611016578622e-05</t>
  </si>
  <si>
    <t>WTE_no_energy_recovery - Bottom_Ash - China</t>
  </si>
  <si>
    <t>436c40c5-65b6-58d7-9f77-38c092d19ecd</t>
  </si>
  <si>
    <t>2.8156007375273166e-10</t>
  </si>
  <si>
    <t>3.83003633301447e-08</t>
  </si>
  <si>
    <t>0.9671686736293722</t>
  </si>
  <si>
    <t>4.177948873125007e-10</t>
  </si>
  <si>
    <t>1.4834108963242408e-05</t>
  </si>
  <si>
    <t>1.7568719338948148e-08</t>
  </si>
  <si>
    <t>9.987598023098605e-05</t>
  </si>
  <si>
    <t>WTE_no_energy_recovery - Bottom_Ash - India</t>
  </si>
  <si>
    <t>13f9c942-ec4e-548a-8f39-8a09d4ea4d5a</t>
  </si>
  <si>
    <t>2.815756811108312e-10</t>
  </si>
  <si>
    <t>3.830423736151947e-08</t>
  </si>
  <si>
    <t>0.9671835826771203</t>
  </si>
  <si>
    <t>4.1785551275739763e-10</t>
  </si>
  <si>
    <t>1.4835766761749726e-05</t>
  </si>
  <si>
    <t>1.7577761653488444e-08</t>
  </si>
  <si>
    <t>9.98798455314164e-05</t>
  </si>
  <si>
    <t>WTE_no_energy_recovery - Bottom_Ash - Ireland</t>
  </si>
  <si>
    <t>11d4d66d-9a93-598f-a97b-149483dfa247</t>
  </si>
  <si>
    <t>2.815584913020637e-10</t>
  </si>
  <si>
    <t>3.8301480070303636e-08</t>
  </si>
  <si>
    <t>0.9671742660409269</t>
  </si>
  <si>
    <t>4.1781761798263977e-10</t>
  </si>
  <si>
    <t>1.483473081633992e-05</t>
  </si>
  <si>
    <t>1.7572111468420727e-08</t>
  </si>
  <si>
    <t>9.987742974657577e-05</t>
  </si>
  <si>
    <t>WTE_no_energy_recovery - Bottom_Ash - Mexico</t>
  </si>
  <si>
    <t>4bd870ff-f905-5b17-9857-2a5602c67584</t>
  </si>
  <si>
    <t>2.815710419471236e-10</t>
  </si>
  <si>
    <t>3.8303085836350055e-08</t>
  </si>
  <si>
    <t>0.9671791510806907</t>
  </si>
  <si>
    <t>4.178374923237203e-10</t>
  </si>
  <si>
    <t>1.4835273994265915e-05</t>
  </si>
  <si>
    <t>1.757507389706825e-08</t>
  </si>
  <si>
    <t>9.987869660145556e-05</t>
  </si>
  <si>
    <t>WTE_no_energy_recovery - Bottom_Ash - Spain</t>
  </si>
  <si>
    <t>6336f442-a5ff-569e-a4f0-cfd1ca6a1c95</t>
  </si>
  <si>
    <t>2.8156133301923e-10</t>
  </si>
  <si>
    <t>3.830218543641432e-08</t>
  </si>
  <si>
    <t>0.9671769806129163</t>
  </si>
  <si>
    <t>4.178286563894585e-10</t>
  </si>
  <si>
    <t>1.4835032660794951e-05</t>
  </si>
  <si>
    <t>1.7573757852159913e-08</t>
  </si>
  <si>
    <t>9.987813352299664e-05</t>
  </si>
  <si>
    <t>WTE_no_energy_recovery - Bottom_Ash - USA</t>
  </si>
  <si>
    <t>e9619cad-1d85-526c-bbec-f544dafba5ae</t>
  </si>
  <si>
    <t>2.815527081218516e-10</t>
  </si>
  <si>
    <t>3.830004457933301e-08</t>
  </si>
  <si>
    <t>0.9671687416139365</t>
  </si>
  <si>
    <t>4.177951537146806e-10</t>
  </si>
  <si>
    <t>1.483411653251883e-05</t>
  </si>
  <si>
    <t>1.756876091194246e-08</t>
  </si>
  <si>
    <t>9.987599749078351e-05</t>
  </si>
  <si>
    <t>WTE_no_energy_recovery - Corr_Cardboard - Australia</t>
  </si>
  <si>
    <t>c5c24387-eb04-5dc7-ad23-6fdf40dcad50</t>
  </si>
  <si>
    <t>0.051198122526134635</t>
  </si>
  <si>
    <t>3.160859852110107e-10</t>
  </si>
  <si>
    <t>2.187667349964957e-08</t>
  </si>
  <si>
    <t>2.0893141911343898e-10</t>
  </si>
  <si>
    <t>1.5283367719866457e-05</t>
  </si>
  <si>
    <t>7.024581620392408e-09</t>
  </si>
  <si>
    <t>WTE_no_energy_recovery - Corr_Cardboard - Brazil</t>
  </si>
  <si>
    <t>5d3b7e69-b033-5a1d-a22a-e29c1d96b17f</t>
  </si>
  <si>
    <t>3.160899273004959e-10</t>
  </si>
  <si>
    <t>2.1877389935406627e-08</t>
  </si>
  <si>
    <t>0.034587427043835064</t>
  </si>
  <si>
    <t>2.0894171852637416e-10</t>
  </si>
  <si>
    <t>1.528364930719058e-05</t>
  </si>
  <si>
    <t>7.026117463578818e-09</t>
  </si>
  <si>
    <t>WTE_no_energy_recovery - Corr_Cardboard - Canada</t>
  </si>
  <si>
    <t>bbb25f11-f840-5c1b-a0f5-491cc92a69be</t>
  </si>
  <si>
    <t>3.1608576329664176e-10</t>
  </si>
  <si>
    <t>2.1876618416449514e-08</t>
  </si>
  <si>
    <t>0.034584682649234345</t>
  </si>
  <si>
    <t>2.0893055710608798e-10</t>
  </si>
  <si>
    <t>1.5283344148336418e-05</t>
  </si>
  <si>
    <t>7.024453051577638e-09</t>
  </si>
  <si>
    <t>WTE_no_energy_recovery - Corr_Cardboard - China</t>
  </si>
  <si>
    <t>542a932f-0422-53e4-95fd-b707dc1db6a8</t>
  </si>
  <si>
    <t>3.1608696385770066e-10</t>
  </si>
  <si>
    <t>2.1876654354771147e-08</t>
  </si>
  <si>
    <t>0.034584596192508074</t>
  </si>
  <si>
    <t>2.0893020728677472e-10</t>
  </si>
  <si>
    <t>1.5283334533156438e-05</t>
  </si>
  <si>
    <t>7.024400556600362e-09</t>
  </si>
  <si>
    <t>WTE_no_energy_recovery - Corr_Cardboard - India</t>
  </si>
  <si>
    <t>61b14e99-516b-50a8-98d6-e4e291646369</t>
  </si>
  <si>
    <t>3.160896487598824e-10</t>
  </si>
  <si>
    <t>2.1877320796535405e-08</t>
  </si>
  <si>
    <t>0.034587160965760616</t>
  </si>
  <si>
    <t>2.0894063655914722e-10</t>
  </si>
  <si>
    <t>1.528361972087201e-05</t>
  </si>
  <si>
    <t>7.025956087634581e-09</t>
  </si>
  <si>
    <t>WTE_no_energy_recovery - Corr_Cardboard - Ireland</t>
  </si>
  <si>
    <t>08db74d2-707f-59c6-8155-d331a5d6c3f8</t>
  </si>
  <si>
    <t>3.1608667989946704e-10</t>
  </si>
  <si>
    <t>2.1876845934014534e-08</t>
  </si>
  <si>
    <t>2.0893411757122678e-10</t>
  </si>
  <si>
    <t>1.5283441509004187e-05</t>
  </si>
  <si>
    <t>7.024984096682377e-09</t>
  </si>
  <si>
    <t>WTE_no_energy_recovery - Corr_Cardboard - Mexico</t>
  </si>
  <si>
    <t>c0c758c2-a1eb-553f-a5c9-c5b8780f5397</t>
  </si>
  <si>
    <t>0.051200083146741314</t>
  </si>
  <si>
    <t>3.160888506939357e-10</t>
  </si>
  <si>
    <t>2.1877122701991956e-08</t>
  </si>
  <si>
    <t>2.0893753654045035e-10</t>
  </si>
  <si>
    <t>1.5283534951080733e-05</t>
  </si>
  <si>
    <t>7.025493718346756e-09</t>
  </si>
  <si>
    <t>WTE_no_energy_recovery - Corr_Cardboard - Spain</t>
  </si>
  <si>
    <t>e16fd7d0-8da1-5386-b4c1-525e770b5c29</t>
  </si>
  <si>
    <t>3.16087168754308e-10</t>
  </si>
  <si>
    <t>2.187696727671606e-08</t>
  </si>
  <si>
    <t>2.089360164859661e-10</t>
  </si>
  <si>
    <t>1.5283493434693644e-05</t>
  </si>
  <si>
    <t>7.025267320738178e-09</t>
  </si>
  <si>
    <t>WTE_no_energy_recovery - Corr_Cardboard - USA</t>
  </si>
  <si>
    <t>95a08448-4723-5cd1-987c-5cabeef964d0</t>
  </si>
  <si>
    <t>3.1608568503070324e-10</t>
  </si>
  <si>
    <t>2.1876598989413993e-08</t>
  </si>
  <si>
    <t>2.0893025308876486e-10</t>
  </si>
  <si>
    <t>1.5283335835004184e-05</t>
  </si>
  <si>
    <t>7.024407707246251e-09</t>
  </si>
  <si>
    <t>WTE_no_energy_recovery - Diapers_and_sanitary_products - Australia</t>
  </si>
  <si>
    <t>8dbae387-4267-56a8-ba47-b4913bf41206</t>
  </si>
  <si>
    <t>3.191474646438549e-10</t>
  </si>
  <si>
    <t>2.015988961228047e-08</t>
  </si>
  <si>
    <t>0.13780987715574106</t>
  </si>
  <si>
    <t>1.9058468488872388e-10</t>
  </si>
  <si>
    <t>1.545628847226815e-05</t>
  </si>
  <si>
    <t>6.0983149092364705e-09</t>
  </si>
  <si>
    <t>WTE_no_energy_recovery - Diapers_and_sanitary_products - Brazil</t>
  </si>
  <si>
    <t>6c08b6b2-0c38-5121-85d7-11f2443488a9</t>
  </si>
  <si>
    <t>3.1914974614953727e-10</t>
  </si>
  <si>
    <t>2.016030343591128e-08</t>
  </si>
  <si>
    <t>0.1378113389542809</t>
  </si>
  <si>
    <t>1.9059063009190333e-10</t>
  </si>
  <si>
    <t>1.5456451014687442e-05</t>
  </si>
  <si>
    <t>6.099201453411841e-09</t>
  </si>
  <si>
    <t>WTE_no_energy_recovery - Diapers_and_sanitary_products - Canada</t>
  </si>
  <si>
    <t>900fbcbb-db2c-521a-ad53-3d45c0da5dab</t>
  </si>
  <si>
    <t>3.191473365469429e-10</t>
  </si>
  <si>
    <t>2.0159857816286932e-08</t>
  </si>
  <si>
    <t>0.13780975479018936</t>
  </si>
  <si>
    <t>1.905841873072439e-10</t>
  </si>
  <si>
    <t>1.545627486593782e-05</t>
  </si>
  <si>
    <t>6.098240694717396e-09</t>
  </si>
  <si>
    <t>WTE_no_energy_recovery - Diapers_and_sanitary_products - China</t>
  </si>
  <si>
    <t>2c64fd8b-bb4b-5de6-b033-599269860468</t>
  </si>
  <si>
    <t>3.1914803554434736e-10</t>
  </si>
  <si>
    <t>2.0159878832455207e-08</t>
  </si>
  <si>
    <t>0.13780970488562874</t>
  </si>
  <si>
    <t>1.905839853926231e-10</t>
  </si>
  <si>
    <t>1.54562693158547e-05</t>
  </si>
  <si>
    <t>6.098210393286032e-09</t>
  </si>
  <si>
    <t>WTE_no_energy_recovery - Diapers_and_sanitary_products - India</t>
  </si>
  <si>
    <t>afcd0d08-dde4-56d3-a9d5-80ed56cfdde2</t>
  </si>
  <si>
    <t>0.047486853689061824</t>
  </si>
  <si>
    <t>3.1914958536594175e-10</t>
  </si>
  <si>
    <t>2.0160263526483408e-08</t>
  </si>
  <si>
    <t>0.13781118536449985</t>
  </si>
  <si>
    <t>1.9059000554173333e-10</t>
  </si>
  <si>
    <t>1.5456433936406138e-05</t>
  </si>
  <si>
    <t>6.099108301444718e-09</t>
  </si>
  <si>
    <t>WTE_no_energy_recovery - Diapers_and_sanitary_products - Ireland</t>
  </si>
  <si>
    <t>a0beca5a-1a5f-59a8-a473-467a6c8db653</t>
  </si>
  <si>
    <t>3.191478656428816e-10</t>
  </si>
  <si>
    <t>2.0159989147564124e-08</t>
  </si>
  <si>
    <t>0.13781026021312107</t>
  </si>
  <si>
    <t>1.9058624253508709e-10</t>
  </si>
  <si>
    <t>1.545633106599807e-05</t>
  </si>
  <si>
    <t>6.098547232948601e-09</t>
  </si>
  <si>
    <t>WTE_no_energy_recovery - Diapers_and_sanitary_products - Mexico</t>
  </si>
  <si>
    <t>577d7949-d7d7-5965-9170-7cae6e563dba</t>
  </si>
  <si>
    <t>0.047486531768341646</t>
  </si>
  <si>
    <t>3.191491246937153e-10</t>
  </si>
  <si>
    <t>2.0160149179224334e-08</t>
  </si>
  <si>
    <t>0.13781074530387138</t>
  </si>
  <si>
    <t>1.9058821610002913e-10</t>
  </si>
  <si>
    <t>1.545638500425003e-05</t>
  </si>
  <si>
    <t>6.098841405350936e-09</t>
  </si>
  <si>
    <t>WTE_no_energy_recovery - Diapers_and_sanitary_products - Spain</t>
  </si>
  <si>
    <t>74a0f116-038a-5c15-8383-c1ef9adaf3a3</t>
  </si>
  <si>
    <t>3.191481478273833e-10</t>
  </si>
  <si>
    <t>2.0160059190912153e-08</t>
  </si>
  <si>
    <t>0.1378105297720179</t>
  </si>
  <si>
    <t>1.9058733865660528e-10</t>
  </si>
  <si>
    <t>1.5456361039363525e-05</t>
  </si>
  <si>
    <t>6.098710720005188e-09</t>
  </si>
  <si>
    <t>WTE_no_energy_recovery - Diapers_and_sanitary_products - USA</t>
  </si>
  <si>
    <t>9081713d-ee3e-58c9-a3ac-b2514a8554da</t>
  </si>
  <si>
    <t>3.1914729136904223e-10</t>
  </si>
  <si>
    <t>2.015984660230689e-08</t>
  </si>
  <si>
    <t>0.13780971163365752</t>
  </si>
  <si>
    <t>1.9058401181756955e-10</t>
  </si>
  <si>
    <t>1.545627006718507e-05</t>
  </si>
  <si>
    <t>6.098214520347257e-09</t>
  </si>
  <si>
    <t>WTE_no_energy_recovery - E_waste - Australia</t>
  </si>
  <si>
    <t>a7d7df8f-a788-576a-95ac-8d2fbf70cba4</t>
  </si>
  <si>
    <t>0.1143401725715549</t>
  </si>
  <si>
    <t>1.3862339481138804e-10</t>
  </si>
  <si>
    <t>4.6726350969416155e-08</t>
  </si>
  <si>
    <t>5.229428318056787e-10</t>
  </si>
  <si>
    <t>7.391505541586616e-06</t>
  </si>
  <si>
    <t>2.2877992638253628e-08</t>
  </si>
  <si>
    <t>4.0160473118075426e-05</t>
  </si>
  <si>
    <t>WTE_no_energy_recovery - E_waste - Brazil</t>
  </si>
  <si>
    <t>dfd874ee-deee-55ab-8245-9c01069f6bbd</t>
  </si>
  <si>
    <t>0.11436244756323996</t>
  </si>
  <si>
    <t>1.3865575843134913e-10</t>
  </si>
  <si>
    <t>4.6732246728103046e-08</t>
  </si>
  <si>
    <t>7.393824628243622e-06</t>
  </si>
  <si>
    <t>4.016588081924249e-05</t>
  </si>
  <si>
    <t>WTE_no_energy_recovery - E_waste - Canada</t>
  </si>
  <si>
    <t>7cdf51ca-c6a0-5c54-8f8d-441f086c5d89</t>
  </si>
  <si>
    <t>0.1143388954075482</t>
  </si>
  <si>
    <t>1.386215671751645e-10</t>
  </si>
  <si>
    <t>4.6725897316719775e-08</t>
  </si>
  <si>
    <t>5.229357325093807e-10</t>
  </si>
  <si>
    <t>2.2876933774762513e-08</t>
  </si>
  <si>
    <t>WTE_no_energy_recovery - E_waste - China</t>
  </si>
  <si>
    <t>0e636e37-3139-567b-b5c1-14d5fed1b913</t>
  </si>
  <si>
    <t>0.11434539232477824</t>
  </si>
  <si>
    <t>1.386313521910752e-10</t>
  </si>
  <si>
    <t>4.672618865343541e-08</t>
  </si>
  <si>
    <t>5.229328512443694e-10</t>
  </si>
  <si>
    <t>7.391232220954554e-06</t>
  </si>
  <si>
    <t>2.287650142871106e-08</t>
  </si>
  <si>
    <t>4.0159836397704784e-05</t>
  </si>
  <si>
    <t>WTE_no_energy_recovery - E_waste - India</t>
  </si>
  <si>
    <t>66580115-aae0-53f1-bdb6-94b1bc56860f</t>
  </si>
  <si>
    <t>0.1143608445030878</t>
  </si>
  <si>
    <t>1.3865346443407912e-10</t>
  </si>
  <si>
    <t>4.673167731606681e-08</t>
  </si>
  <si>
    <t>4.016531269048123e-05</t>
  </si>
  <si>
    <t>WTE_no_energy_recovery - E_waste - Ireland</t>
  </si>
  <si>
    <t>9c16a0c7-783f-5e41-9e6b-8eca7e4be37c</t>
  </si>
  <si>
    <t>0.11434417065018376</t>
  </si>
  <si>
    <t>1.3862911610739123e-10</t>
  </si>
  <si>
    <t>4.6727771099595765e-08</t>
  </si>
  <si>
    <t>0.048919275480954746</t>
  </si>
  <si>
    <t>5.22965055689734e-10</t>
  </si>
  <si>
    <t>7.392113252127111e-06</t>
  </si>
  <si>
    <t>4.016189004770091e-05</t>
  </si>
  <si>
    <t>WTE_no_energy_recovery - E_waste - Mexico</t>
  </si>
  <si>
    <t>954774a6-2876-5e2c-a3f7-07ea97ab2d2f</t>
  </si>
  <si>
    <t>0.11435625146536721</t>
  </si>
  <si>
    <t>1.386468917447969e-10</t>
  </si>
  <si>
    <t>4.6730045854532815e-08</t>
  </si>
  <si>
    <t>5.229932133092071e-10</t>
  </si>
  <si>
    <t>7.392882817355606e-06</t>
  </si>
  <si>
    <t>2.2885504460005013e-08</t>
  </si>
  <si>
    <t>4.016368490579607e-05</t>
  </si>
  <si>
    <t>WTE_no_energy_recovery - E_waste - Spain</t>
  </si>
  <si>
    <t>9a6bf060-be42-5e11-a3eb-511dae547494</t>
  </si>
  <si>
    <t>0.11434698411292298</t>
  </si>
  <si>
    <t>1.3863314220457938e-10</t>
  </si>
  <si>
    <t>4.67287704504631e-08</t>
  </si>
  <si>
    <t>0.048923121440990515</t>
  </si>
  <si>
    <t>4.016288714632249e-05</t>
  </si>
  <si>
    <t>WTE_no_energy_recovery - E_waste - USA</t>
  </si>
  <si>
    <t>fa3e4772-1219-587d-a63f-b1400c2db02b</t>
  </si>
  <si>
    <t>0.11433844497057255</t>
  </si>
  <si>
    <t>1.3862092259472718e-10</t>
  </si>
  <si>
    <t>4.672573732008071e-08</t>
  </si>
  <si>
    <t>5.229332286919149e-10</t>
  </si>
  <si>
    <t>7.391242945119063e-06</t>
  </si>
  <si>
    <t>2.2876560329171293e-08</t>
  </si>
  <si>
    <t>4.015986085173242e-05</t>
  </si>
  <si>
    <t>WTE_no_energy_recovery - Ferrous_Cans - Australia</t>
  </si>
  <si>
    <t>313cd930-11cb-5b6e-bda5-170f3cf077a9</t>
  </si>
  <si>
    <t>3.332378829441442e-11</t>
  </si>
  <si>
    <t>1.906685881449593e-08</t>
  </si>
  <si>
    <t>2.4651197581310797e-07</t>
  </si>
  <si>
    <t>1.8110072673249025e-05</t>
  </si>
  <si>
    <t>9.435004251201433e-08</t>
  </si>
  <si>
    <t>1.1742542015838682e-05</t>
  </si>
  <si>
    <t>WTE_no_energy_recovery - Ferrous_Cans - Brazil</t>
  </si>
  <si>
    <t>dea8cd87-97b7-5f46-be6c-91c823c47544</t>
  </si>
  <si>
    <t>1.933490173054675e-11</t>
  </si>
  <si>
    <t>1.5576610867217738e-08</t>
  </si>
  <si>
    <t>2.628299509117042e-07</t>
  </si>
  <si>
    <t>1.39734820434592e-06</t>
  </si>
  <si>
    <t>8.788003358196235e-08</t>
  </si>
  <si>
    <t>8.26282728913658e-06</t>
  </si>
  <si>
    <t>WTE_no_energy_recovery - Ferrous_Cans - Canada</t>
  </si>
  <si>
    <t>ce1b5dc6-d30c-5877-98ae-29f452764ce9</t>
  </si>
  <si>
    <t>3.4532638609414305e-11</t>
  </si>
  <si>
    <t>1.9366917544886436e-08</t>
  </si>
  <si>
    <t>2.465166714885669e-07</t>
  </si>
  <si>
    <t>1.9561286203002264e-05</t>
  </si>
  <si>
    <t>9.505040478772888e-08</t>
  </si>
  <si>
    <t>1.2041924501265499e-05</t>
  </si>
  <si>
    <t>WTE_no_energy_recovery - Ferrous_Cans - China</t>
  </si>
  <si>
    <t>55cc4d79-f03a-5cd8-bd3a-b1c3ee37152b</t>
  </si>
  <si>
    <t>3.543275159878358e-11</t>
  </si>
  <si>
    <t>1.9572391265795293e-08</t>
  </si>
  <si>
    <t>2.6289248163004856e-07</t>
  </si>
  <si>
    <t>2.0722666846971982e-05</t>
  </si>
  <si>
    <t>9.720652059859363e-08</t>
  </si>
  <si>
    <t>1.2249602362704086e-05</t>
  </si>
  <si>
    <t>WTE_no_energy_recovery - Ferrous_Cans - India</t>
  </si>
  <si>
    <t>8dcd7215-2283-53e1-a0ad-37c4d533ea1c</t>
  </si>
  <si>
    <t>0.035056737279167784</t>
  </si>
  <si>
    <t>3.474801004255293e-11</t>
  </si>
  <si>
    <t>1.9338934260066945e-08</t>
  </si>
  <si>
    <t>3.2232404341770746e-07</t>
  </si>
  <si>
    <t>2.0219409342842423e-05</t>
  </si>
  <si>
    <t>9.664206303404666e-08</t>
  </si>
  <si>
    <t>1.2008314797050546e-05</t>
  </si>
  <si>
    <t>WTE_no_energy_recovery - Ferrous_Cans - Ireland</t>
  </si>
  <si>
    <t>c0f7ad4f-326c-5b95-8bb2-b7b851235448</t>
  </si>
  <si>
    <t>2.953956122140406e-11</t>
  </si>
  <si>
    <t>1.8127544528061593e-08</t>
  </si>
  <si>
    <t>2.464972763073237e-07</t>
  </si>
  <si>
    <t>1.3567143362781794e-05</t>
  </si>
  <si>
    <t>9.215760408369284e-08</t>
  </si>
  <si>
    <t>1.0805344670178148e-05</t>
  </si>
  <si>
    <t>WTE_no_energy_recovery - Ferrous_Cans - Mexico</t>
  </si>
  <si>
    <t>9f490a50-477d-5f2e-b35f-452918c05359</t>
  </si>
  <si>
    <t>0.028574829807078938</t>
  </si>
  <si>
    <t>2.5183184266943278e-11</t>
  </si>
  <si>
    <t>1.702826142400358e-08</t>
  </si>
  <si>
    <t>2.628526680640615e-07</t>
  </si>
  <si>
    <t>8.41815684978451e-06</t>
  </si>
  <si>
    <t>9.126830789137537e-08</t>
  </si>
  <si>
    <t>9.71120624844405e-06</t>
  </si>
  <si>
    <t>WTE_no_energy_recovery - Ferrous_Cans - Spain</t>
  </si>
  <si>
    <t>85f08012-b992-5835-9005-2edd79087b51</t>
  </si>
  <si>
    <t>0.029794708965273135</t>
  </si>
  <si>
    <t>2.6876586614461863e-11</t>
  </si>
  <si>
    <t>1.746654558575438e-08</t>
  </si>
  <si>
    <t>2.464869322106605e-07</t>
  </si>
  <si>
    <t>1.0370267181330177e-05</t>
  </si>
  <si>
    <t>9.061477704154008e-08</t>
  </si>
  <si>
    <t>1.014583542693134e-05</t>
  </si>
  <si>
    <t>WTE_no_energy_recovery - Ferrous_Cans - USA</t>
  </si>
  <si>
    <t>6472009b-523d-5e7e-ac34-c72ac74ea97a</t>
  </si>
  <si>
    <t>3.4958982349085426e-11</t>
  </si>
  <si>
    <t>1.9472743849143213e-08</t>
  </si>
  <si>
    <t>2.46518327584289e-07</t>
  </si>
  <si>
    <t>2.0073107886513754e-05</t>
  </si>
  <si>
    <t>9.529741226917686e-08</t>
  </si>
  <si>
    <t>1.2147512303861211e-05</t>
  </si>
  <si>
    <t>WTE_no_energy_recovery - Ferrous_Metal_Other - Australia</t>
  </si>
  <si>
    <t>19b13dcd-eb61-5ce4-a28b-84a8823232d6</t>
  </si>
  <si>
    <t>9.43500425120143e-08</t>
  </si>
  <si>
    <t>WTE_no_energy_recovery - Ferrous_Metal_Other - Brazil</t>
  </si>
  <si>
    <t>d2dcea30-da4e-5ea6-92b5-8d8be6788a74</t>
  </si>
  <si>
    <t>WTE_no_energy_recovery - Ferrous_Metal_Other - Canada</t>
  </si>
  <si>
    <t>7e100e4f-4e47-59e5-a2ff-5be30e7cb932</t>
  </si>
  <si>
    <t>0.035144807586864626</t>
  </si>
  <si>
    <t>3.453263860941432e-11</t>
  </si>
  <si>
    <t>1.9561286203002312e-05</t>
  </si>
  <si>
    <t>9.505040478772885e-08</t>
  </si>
  <si>
    <t>1.204192450126551e-05</t>
  </si>
  <si>
    <t>WTE_no_energy_recovery - Ferrous_Metal_Other - China</t>
  </si>
  <si>
    <t>446b962f-7ee7-527d-924d-2c59716428b9</t>
  </si>
  <si>
    <t>3.543275159878369e-11</t>
  </si>
  <si>
    <t>1.9572391265795313e-08</t>
  </si>
  <si>
    <t>2.628924816300485e-07</t>
  </si>
  <si>
    <t>2.0722666846972077e-05</t>
  </si>
  <si>
    <t>1.2249602362704112e-05</t>
  </si>
  <si>
    <t>WTE_no_energy_recovery - Ferrous_Metal_Other - India</t>
  </si>
  <si>
    <t>7ab10e1e-c603-5c9c-a8d9-aa2cec566b6f</t>
  </si>
  <si>
    <t>1.9338934260066942e-08</t>
  </si>
  <si>
    <t>3.223240434177075e-07</t>
  </si>
  <si>
    <t>2.0219409342842443e-05</t>
  </si>
  <si>
    <t>WTE_no_energy_recovery - Ferrous_Metal_Other - Ireland</t>
  </si>
  <si>
    <t>50fec3db-4d99-59fa-8686-13989c082f54</t>
  </si>
  <si>
    <t>1.3567143362781808e-05</t>
  </si>
  <si>
    <t>1.0805344670178152e-05</t>
  </si>
  <si>
    <t>WTE_no_energy_recovery - Ferrous_Metal_Other - Mexico</t>
  </si>
  <si>
    <t>ccf771fe-eabc-59c5-b137-1ff0d6414a40</t>
  </si>
  <si>
    <t>0.028574829807076086</t>
  </si>
  <si>
    <t>2.518318426693723e-11</t>
  </si>
  <si>
    <t>1.7028261424002465e-08</t>
  </si>
  <si>
    <t>2.6285266806406146e-07</t>
  </si>
  <si>
    <t>8.418156849784737e-06</t>
  </si>
  <si>
    <t>9.126830789137542e-08</t>
  </si>
  <si>
    <t>9.711206248444161e-06</t>
  </si>
  <si>
    <t>WTE_no_energy_recovery - Ferrous_Metal_Other - Spain</t>
  </si>
  <si>
    <t>fceae7f2-481d-54ee-b473-d553365e5361</t>
  </si>
  <si>
    <t>2.4648693221066056e-07</t>
  </si>
  <si>
    <t>1.0370267181330156e-05</t>
  </si>
  <si>
    <t>9.06147770415401e-08</t>
  </si>
  <si>
    <t>1.014583542693133e-05</t>
  </si>
  <si>
    <t>WTE_no_energy_recovery - Ferrous_Metal_Other - USA</t>
  </si>
  <si>
    <t>0d75426f-551c-5391-b7e4-5ad757036d50</t>
  </si>
  <si>
    <t>0.035442739347966226</t>
  </si>
  <si>
    <t>3.4958982349085394e-11</t>
  </si>
  <si>
    <t>1.947274384914321e-08</t>
  </si>
  <si>
    <t>2.0073107886513768e-05</t>
  </si>
  <si>
    <t>9.529741226917688e-08</t>
  </si>
  <si>
    <t>1.2147512303861218e-05</t>
  </si>
  <si>
    <t>WTE_no_energy_recovery - Ferrous_Non_recyclable - Australia</t>
  </si>
  <si>
    <t>a2abef89-f7c8-59e0-89ec-92edf0e2b5c2</t>
  </si>
  <si>
    <t>0.11470522159916759</t>
  </si>
  <si>
    <t>1.5020347407126666e-10</t>
  </si>
  <si>
    <t>4.8032304621554855e-08</t>
  </si>
  <si>
    <t>5.229428318056628e-10</t>
  </si>
  <si>
    <t>7.391505541586494e-06</t>
  </si>
  <si>
    <t>2.2877992638253135e-08</t>
  </si>
  <si>
    <t>4.016047311807487e-05</t>
  </si>
  <si>
    <t>WTE_no_energy_recovery - Ferrous_Non_recyclable - Brazil</t>
  </si>
  <si>
    <t>619175a4-ab28-531b-a4ce-7efd61c81640</t>
  </si>
  <si>
    <t>0.11472749659085645</t>
  </si>
  <si>
    <t>1.5023583769123651e-10</t>
  </si>
  <si>
    <t>4.803820038024327e-08</t>
  </si>
  <si>
    <t>0.048934666491893486</t>
  </si>
  <si>
    <t>5.230276551932778e-10</t>
  </si>
  <si>
    <t>7.3938246282436095e-06</t>
  </si>
  <si>
    <t>WTE_no_energy_recovery - Ferrous_Non_recyclable - Canada</t>
  </si>
  <si>
    <t>2a907ebf-68cf-5d5e-9f38-a83de0ed70b0</t>
  </si>
  <si>
    <t>0.11470394443516468</t>
  </si>
  <si>
    <t>1.502016464350519e-10</t>
  </si>
  <si>
    <t>4.803185096885999e-08</t>
  </si>
  <si>
    <t>2.2876933774762507e-08</t>
  </si>
  <si>
    <t>WTE_no_energy_recovery - Ferrous_Non_recyclable - China</t>
  </si>
  <si>
    <t>a768caf9-243f-5ecf-8bac-735ac94ad4fd</t>
  </si>
  <si>
    <t>0.11471044135239292</t>
  </si>
  <si>
    <t>1.5021143145095857e-10</t>
  </si>
  <si>
    <t>4.803214230557494e-08</t>
  </si>
  <si>
    <t>5.229328512443619e-10</t>
  </si>
  <si>
    <t>7.391232220954521e-06</t>
  </si>
  <si>
    <t>2.2876501428711022e-08</t>
  </si>
  <si>
    <t>4.015983639770439e-05</t>
  </si>
  <si>
    <t>WTE_no_energy_recovery - Ferrous_Non_recyclable - India</t>
  </si>
  <si>
    <t>5dba52a6-9b35-5250-9d88-fcd85ab3de69</t>
  </si>
  <si>
    <t>0.1147258935307043</t>
  </si>
  <si>
    <t>1.5023354369396655e-10</t>
  </si>
  <si>
    <t>4.8037630968207036e-08</t>
  </si>
  <si>
    <t>5.230187443571926e-10</t>
  </si>
  <si>
    <t>7.393580962056361e-06</t>
  </si>
  <si>
    <t>2.2889312428191895e-08</t>
  </si>
  <si>
    <t>WTE_no_energy_recovery - Ferrous_Non_recyclable - Ireland</t>
  </si>
  <si>
    <t>c556247b-238a-5e76-888e-3a3db1d457dd</t>
  </si>
  <si>
    <t>0.11470921967780023</t>
  </si>
  <si>
    <t>1.5020919536727863e-10</t>
  </si>
  <si>
    <t>4.803372475173599e-08</t>
  </si>
  <si>
    <t>5.229650556897338e-10</t>
  </si>
  <si>
    <t>7.3921132521271084e-06</t>
  </si>
  <si>
    <t>WTE_no_energy_recovery - Ferrous_Non_recyclable - Mexico</t>
  </si>
  <si>
    <t>7fea492e-c9dd-5d1d-bce0-cb8b549b9b04</t>
  </si>
  <si>
    <t>0.11472130049298673</t>
  </si>
  <si>
    <t>1.5022697100469102e-10</t>
  </si>
  <si>
    <t>4.803599950667422e-08</t>
  </si>
  <si>
    <t>5.229932133092105e-10</t>
  </si>
  <si>
    <t>7.392882817355684e-06</t>
  </si>
  <si>
    <t>2.28855044600056e-08</t>
  </si>
  <si>
    <t>4.016368490579643e-05</t>
  </si>
  <si>
    <t>WTE_no_energy_recovery - Ferrous_Non_recyclable - Spain</t>
  </si>
  <si>
    <t>35983666-a61b-586a-8ae2-0376bef733bd</t>
  </si>
  <si>
    <t>0.11471203314053946</t>
  </si>
  <si>
    <t>1.5021322146446678e-10</t>
  </si>
  <si>
    <t>4.8034724102603315e-08</t>
  </si>
  <si>
    <t>WTE_no_energy_recovery - Ferrous_Non_recyclable - USA</t>
  </si>
  <si>
    <t>6064475a-4252-564e-8414-67fc9e091fba</t>
  </si>
  <si>
    <t>0.11470349399818902</t>
  </si>
  <si>
    <t>1.5020100185461459e-10</t>
  </si>
  <si>
    <t>4.803169097222093e-08</t>
  </si>
  <si>
    <t>WTE_no_energy_recovery - Fly_Ash - Australia</t>
  </si>
  <si>
    <t>bc292058-4223-51e7-8cb2-9536a28459b8</t>
  </si>
  <si>
    <t>0.11206903225791212</t>
  </si>
  <si>
    <t>1.5404480516691033e-10</t>
  </si>
  <si>
    <t>4.58215592097933e-08</t>
  </si>
  <si>
    <t>0.1366727353262865</t>
  </si>
  <si>
    <t>5.116525338212369e-10</t>
  </si>
  <si>
    <t>8.194889992985003e-06</t>
  </si>
  <si>
    <t>2.2307982354465293e-08</t>
  </si>
  <si>
    <t>4.6606155423412226e-05</t>
  </si>
  <si>
    <t>WTE_no_energy_recovery - Fly_Ash - Brazil</t>
  </si>
  <si>
    <t>59ebdc65-7856-5c8b-9aa8-4730609805f2</t>
  </si>
  <si>
    <t>0.11209060389565931</t>
  </si>
  <si>
    <t>1.5407614688915098e-10</t>
  </si>
  <si>
    <t>4.5827268745634114e-08</t>
  </si>
  <si>
    <t>0.13669293281152264</t>
  </si>
  <si>
    <t>5.117346776951416e-10</t>
  </si>
  <si>
    <t>8.197135821239036e-06</t>
  </si>
  <si>
    <t>2.2320231631333937e-08</t>
  </si>
  <si>
    <t>4.6611392298924585e-05</t>
  </si>
  <si>
    <t>WTE_no_energy_recovery - Fly_Ash - Canada</t>
  </si>
  <si>
    <t>98d45e16-9ab3-55d6-902e-c07ed12dafb5</t>
  </si>
  <si>
    <t>0.11206779543867382</t>
  </si>
  <si>
    <t>1.5404303526451092e-10</t>
  </si>
  <si>
    <t>4.5821119887686405e-08</t>
  </si>
  <si>
    <t>0.13667104461352214</t>
  </si>
  <si>
    <t>5.116456587870152e-10</t>
  </si>
  <si>
    <t>8.194701995659861e-06</t>
  </si>
  <si>
    <t>2.23069569397716e-08</t>
  </si>
  <si>
    <t>4.6605717091413774e-05</t>
  </si>
  <si>
    <t>WTE_no_energy_recovery - Fly_Ash - China</t>
  </si>
  <si>
    <t>576f9fdf-35a5-5124-8f96-144e61a117c0</t>
  </si>
  <si>
    <t>0.11207408742089858</t>
  </si>
  <si>
    <t>1.5405251162586133e-10</t>
  </si>
  <si>
    <t>4.582140204153775e-08</t>
  </si>
  <si>
    <t>0.13667035504606195</t>
  </si>
  <si>
    <t>5.116428685402688e-10</t>
  </si>
  <si>
    <t>8.19462530638159e-06</t>
  </si>
  <si>
    <t>2.230653825128684e-08</t>
  </si>
  <si>
    <t>4.6605538816665004e-05</t>
  </si>
  <si>
    <t>WTE_no_energy_recovery - Fly_Ash - India</t>
  </si>
  <si>
    <t>441f6a1a-5d19-5c88-a209-db41c38d28e0</t>
  </si>
  <si>
    <t>0.11208905147511743</t>
  </si>
  <si>
    <t>1.5407392535773832e-10</t>
  </si>
  <si>
    <t>4.5826717320947636e-08</t>
  </si>
  <si>
    <t>0.13669081067660768</t>
  </si>
  <si>
    <t>5.117260483464762e-10</t>
  </si>
  <si>
    <t>8.196899852305495e-06</t>
  </si>
  <si>
    <t>2.231894455976738e-08</t>
  </si>
  <si>
    <t>4.66108421169752e-05</t>
  </si>
  <si>
    <t>WTE_no_energy_recovery - Fly_Ash - Ireland</t>
  </si>
  <si>
    <t>b4fc669d-a3a2-5a16-ab75-72b45be54e4d</t>
  </si>
  <si>
    <t>0.11207290403988353</t>
  </si>
  <si>
    <t>1.5405034573096145e-10</t>
  </si>
  <si>
    <t>4.582293447900066e-08</t>
  </si>
  <si>
    <t>0.13667802799233839</t>
  </si>
  <si>
    <t>5.116740556674953e-10</t>
  </si>
  <si>
    <t>8.195478506351486e-06</t>
  </si>
  <si>
    <t>2.2311192348289643e-08</t>
  </si>
  <si>
    <t>4.660752759316828e-05</t>
  </si>
  <si>
    <t>WTE_no_energy_recovery - Fly_Ash - Mexico</t>
  </si>
  <si>
    <t>b8a63071-f384-5c9c-9c7a-fd7279bb51d0</t>
  </si>
  <si>
    <t>0.11208460352842561</t>
  </si>
  <si>
    <t>1.5406756029537428e-10</t>
  </si>
  <si>
    <t>4.582513739620641e-08</t>
  </si>
  <si>
    <t>0.13668473040234688</t>
  </si>
  <si>
    <t>5.117013238074108e-10</t>
  </si>
  <si>
    <t>8.19622376153415e-06</t>
  </si>
  <si>
    <t>2.2315256882777252e-08</t>
  </si>
  <si>
    <t>4.660926575293198e-05</t>
  </si>
  <si>
    <t>WTE_no_energy_recovery - Fly_Ash - Spain</t>
  </si>
  <si>
    <t>b79759be-7289-5b2e-9423-6029168cdd82</t>
  </si>
  <si>
    <t>0.11207562862719564</t>
  </si>
  <si>
    <t>1.5405424464640222e-10</t>
  </si>
  <si>
    <t>4.5823902261035036e-08</t>
  </si>
  <si>
    <t>0.13668175246104033</t>
  </si>
  <si>
    <t>5.116892006704196e-10</t>
  </si>
  <si>
    <t>8.195892645387005e-06</t>
  </si>
  <si>
    <t>2.231345123283252e-08</t>
  </si>
  <si>
    <t>4.660849319410387e-05</t>
  </si>
  <si>
    <t>WTE_no_energy_recovery - Fly_Ash - USA</t>
  </si>
  <si>
    <t>cfa164d2-ff87-5f25-9b21-d77468c55511</t>
  </si>
  <si>
    <t>0.11206735923070428</t>
  </si>
  <si>
    <t>1.540424110459432e-10</t>
  </si>
  <si>
    <t>4.582096494523533e-08</t>
  </si>
  <si>
    <t>0.13667044832397784</t>
  </si>
  <si>
    <t>5.116432340634868e-10</t>
  </si>
  <si>
    <t>8.194635691766201e-06</t>
  </si>
  <si>
    <t>2.230659529107961e-08</t>
  </si>
  <si>
    <t>4.6605562498158314e-05</t>
  </si>
  <si>
    <t>WTE_no_energy_recovery - Folding_Containers - Australia</t>
  </si>
  <si>
    <t>91ab08bd-2286-5078-8881-6756efd68738</t>
  </si>
  <si>
    <t>2.931108334447948e-10</t>
  </si>
  <si>
    <t>2.2212201208890344e-08</t>
  </si>
  <si>
    <t>0.028420507959224288</t>
  </si>
  <si>
    <t>2.1316528085760562e-10</t>
  </si>
  <si>
    <t>1.4006363567704625e-05</t>
  </si>
  <si>
    <t>7.238335476813349e-09</t>
  </si>
  <si>
    <t>9.371376534490743e-05</t>
  </si>
  <si>
    <t>WTE_no_energy_recovery - Folding_Containers - Brazil</t>
  </si>
  <si>
    <t>d79fd603-04fb-59ae-ac5b-0b3ac0c7b132</t>
  </si>
  <si>
    <t>2.9311515874592565e-10</t>
  </si>
  <si>
    <t>2.221298747821476e-08</t>
  </si>
  <si>
    <t>2.1317658508817303e-10</t>
  </si>
  <si>
    <t>1.4006672626929817e-05</t>
  </si>
  <si>
    <t>7.240021158232736e-09</t>
  </si>
  <si>
    <t>9.371448601716777e-05</t>
  </si>
  <si>
    <t>WTE_no_energy_recovery - Folding_Containers - Canada</t>
  </si>
  <si>
    <t>60aa9129-d171-5fb9-9a24-e61abcfca28d</t>
  </si>
  <si>
    <t>2.9311058988024227e-10</t>
  </si>
  <si>
    <t>2.221214075171932e-08</t>
  </si>
  <si>
    <t>2.1316433475197508e-10</t>
  </si>
  <si>
    <t>1.4006337696513078e-05</t>
  </si>
  <si>
    <t>7.238194364699231e-09</t>
  </si>
  <si>
    <t>9.371370502399113e-05</t>
  </si>
  <si>
    <t>WTE_no_energy_recovery - Folding_Containers - China</t>
  </si>
  <si>
    <t>edebc48c-2770-5fc0-9dec-53d78dab4b05</t>
  </si>
  <si>
    <t>0.052105470688476756</t>
  </si>
  <si>
    <t>2.9311190618676537e-10</t>
  </si>
  <si>
    <t>2.2212180133615856e-08</t>
  </si>
  <si>
    <t>0.028420180400488885</t>
  </si>
  <si>
    <t>2.13163950800814e-10</t>
  </si>
  <si>
    <t>1.40063271432339e-05</t>
  </si>
  <si>
    <t>7.238136748134767e-09</t>
  </si>
  <si>
    <t>9.371368049208548e-05</t>
  </si>
  <si>
    <t>WTE_no_energy_recovery - Folding_Containers - India</t>
  </si>
  <si>
    <t>e192901a-07c2-5d29-a474-4c087a8ab918</t>
  </si>
  <si>
    <t>2.931148530306157e-10</t>
  </si>
  <si>
    <t>2.2212911594087392e-08</t>
  </si>
  <si>
    <t>0.028422995395521358</t>
  </si>
  <si>
    <t>2.1317539756316582e-10</t>
  </si>
  <si>
    <t>1.400664015414112e-05</t>
  </si>
  <si>
    <t>7.239844038293781e-09</t>
  </si>
  <si>
    <t>9.37144103040569e-05</t>
  </si>
  <si>
    <t>WTE_no_energy_recovery - Folding_Containers - Ireland</t>
  </si>
  <si>
    <t>d6f09abc-a807-5cfe-b634-69810f83d7f9</t>
  </si>
  <si>
    <t>2.9311159590773343e-10</t>
  </si>
  <si>
    <t>2.221239046612001e-08</t>
  </si>
  <si>
    <t>0.028421236307763362</t>
  </si>
  <si>
    <t>2.131682425795641e-10</t>
  </si>
  <si>
    <t>1.4006444555782568e-05</t>
  </si>
  <si>
    <t>7.238777219082479e-09</t>
  </si>
  <si>
    <t>9.371395417560877e-05</t>
  </si>
  <si>
    <t>WTE_no_energy_recovery - Folding_Containers - Mexico</t>
  </si>
  <si>
    <t>fa1316e9-f3e8-56bd-a04a-470a6ba29a6a</t>
  </si>
  <si>
    <t>2.931139771045879e-10</t>
  </si>
  <si>
    <t>2.2212694173249075e-08</t>
  </si>
  <si>
    <t>0.028422158660527743</t>
  </si>
  <si>
    <t>2.1317199510362492e-10</t>
  </si>
  <si>
    <t>1.4006547114126416e-05</t>
  </si>
  <si>
    <t>7.2393365598077756e-09</t>
  </si>
  <si>
    <t>9.371419337322294e-05</t>
  </si>
  <si>
    <t>WTE_no_energy_recovery - Folding_Containers - Spain</t>
  </si>
  <si>
    <t>e86a9a87-89ec-5019-9c57-e29a49171d87</t>
  </si>
  <si>
    <t>2.9311213245573004e-10</t>
  </si>
  <si>
    <t>2.2212523647133888e-08</t>
  </si>
  <si>
    <t>0.028421748849327886</t>
  </si>
  <si>
    <t>2.1317032675428012e-10</t>
  </si>
  <si>
    <t>1.4006501547392953e-05</t>
  </si>
  <si>
    <t>7.239088074753482e-09</t>
  </si>
  <si>
    <t>9.371408705647147e-05</t>
  </si>
  <si>
    <t>WTE_no_energy_recovery - Folding_Containers - USA</t>
  </si>
  <si>
    <t>4f4a83c4-97dc-578c-97af-649ce35e5c64</t>
  </si>
  <si>
    <t>2.9311050397860266e-10</t>
  </si>
  <si>
    <t>2.2212119429363306e-08</t>
  </si>
  <si>
    <t>2.131640010744253e-10</t>
  </si>
  <si>
    <t>1.4006328572124044e-05</t>
  </si>
  <si>
    <t>7.238144596530632e-09</t>
  </si>
  <si>
    <t>9.371368374968998e-05</t>
  </si>
  <si>
    <t>WTE_no_energy_recovery - Food_Waste_Non_Vegetable - Australia</t>
  </si>
  <si>
    <t>06c3802f-90f0-52e2-95ca-7f5d27b5d51a</t>
  </si>
  <si>
    <t>2.0208562459596316e-10</t>
  </si>
  <si>
    <t>2.0185303754036527e-08</t>
  </si>
  <si>
    <t>0.025728606114301122</t>
  </si>
  <si>
    <t>1.9129032851276425e-10</t>
  </si>
  <si>
    <t>8.817960472791929e-06</t>
  </si>
  <si>
    <t>6.133940551973633e-09</t>
  </si>
  <si>
    <t>5.2296761824970846e-05</t>
  </si>
  <si>
    <t>WTE_no_energy_recovery - Food_Waste_Non_Vegetable - Brazil</t>
  </si>
  <si>
    <t>e9512176-9af7-544f-bfac-e986ba63045c</t>
  </si>
  <si>
    <t>2.0208796997025578e-10</t>
  </si>
  <si>
    <t>2.0185729216595807e-08</t>
  </si>
  <si>
    <t>1.9129644118553465e-10</t>
  </si>
  <si>
    <t>8.818127593861303e-06</t>
  </si>
  <si>
    <t>6.134852069187492e-09</t>
  </si>
  <si>
    <t>5.229715152252448e-05</t>
  </si>
  <si>
    <t>WTE_no_energy_recovery - Food_Waste_Non_Vegetable - Canada</t>
  </si>
  <si>
    <t>793ffbc3-a198-5768-980c-6012d7ce4c5b</t>
  </si>
  <si>
    <t>2.0208549289068987e-10</t>
  </si>
  <si>
    <t>2.018527106238174e-08</t>
  </si>
  <si>
    <t>1.9128981691489168e-10</t>
  </si>
  <si>
    <t>8.817946483184595e-06</t>
  </si>
  <si>
    <t>6.133864246904329e-09</t>
  </si>
  <si>
    <t>5.229672920699405e-05</t>
  </si>
  <si>
    <t>WTE_no_energy_recovery - Food_Waste_Non_Vegetable - China</t>
  </si>
  <si>
    <t>48b1ef55-686a-54e5-920e-4cb0bbe4f0c1</t>
  </si>
  <si>
    <t>2.0208621117900167e-10</t>
  </si>
  <si>
    <t>2.0185292652478468e-08</t>
  </si>
  <si>
    <t>1.912896093116331e-10</t>
  </si>
  <si>
    <t>8.817940776751659e-06</t>
  </si>
  <si>
    <t>6.133833091875323e-09</t>
  </si>
  <si>
    <t>5.229671594229439e-05</t>
  </si>
  <si>
    <t>WTE_no_energy_recovery - Food_Waste_Non_Vegetable - India</t>
  </si>
  <si>
    <t>9df758a2-1dd7-5b80-9e67-ef22d5dd48d9</t>
  </si>
  <si>
    <t>2.020878046575443e-10</t>
  </si>
  <si>
    <t>2.0185688182958583e-08</t>
  </si>
  <si>
    <t>0.025729951173919848</t>
  </si>
  <si>
    <t>1.9129579904240305e-10</t>
  </si>
  <si>
    <t>8.818110034501661e-06</t>
  </si>
  <si>
    <t>6.134756293221246e-09</t>
  </si>
  <si>
    <t>5.22971105813616e-05</t>
  </si>
  <si>
    <t>WTE_no_energy_recovery - Food_Waste_Non_Vegetable - Ireland</t>
  </si>
  <si>
    <t>d23ecfb2-9f1a-594c-be82-48340de45b16</t>
  </si>
  <si>
    <t>2.020860368907396e-10</t>
  </si>
  <si>
    <t>2.0185406093131543e-08</t>
  </si>
  <si>
    <t>0.025728999962029108</t>
  </si>
  <si>
    <t>1.9129193003647697e-10</t>
  </si>
  <si>
    <t>8.818004266345136e-06</t>
  </si>
  <si>
    <t>6.134179420015286e-09</t>
  </si>
  <si>
    <t>5.229686393342438e-05</t>
  </si>
  <si>
    <t>WTE_no_energy_recovery - Food_Waste_Non_Vegetable - Mexico</t>
  </si>
  <si>
    <t>5d4675ff-62f3-5778-b8af-1ba4496539d0</t>
  </si>
  <si>
    <t>2.0208733100863896e-10</t>
  </si>
  <si>
    <t>2.0185570614650555e-08</t>
  </si>
  <si>
    <t>1.9129395919389182e-10</t>
  </si>
  <si>
    <t>8.818059723975036e-06</t>
  </si>
  <si>
    <t>6.134481878927905e-09</t>
  </si>
  <si>
    <t>5.229699327802188e-05</t>
  </si>
  <si>
    <t>WTE_no_energy_recovery - Food_Waste_Non_Vegetable - Spain</t>
  </si>
  <si>
    <t>2ede3b8f-e313-5add-89b5-6596d6c81831</t>
  </si>
  <si>
    <t>0.047626255062603345</t>
  </si>
  <si>
    <t>2.0208632702410053e-10</t>
  </si>
  <si>
    <t>2.0185478109531636e-08</t>
  </si>
  <si>
    <t>1.912930570346576e-10</t>
  </si>
  <si>
    <t>8.818035084030749e-06</t>
  </si>
  <si>
    <t>6.134347512341071e-09</t>
  </si>
  <si>
    <t>5.229693578752048e-05</t>
  </si>
  <si>
    <t>WTE_no_energy_recovery - Food_Waste_Non_Vegetable - USA</t>
  </si>
  <si>
    <t>2f87cab9-e842-5282-b2be-a689fe3d6a43</t>
  </si>
  <si>
    <t>2.0208544644017237e-10</t>
  </si>
  <si>
    <t>2.0185259532514918e-08</t>
  </si>
  <si>
    <t>0.025728435929623143</t>
  </si>
  <si>
    <t>1.9128963648184668e-10</t>
  </si>
  <si>
    <t>8.817941549255717e-06</t>
  </si>
  <si>
    <t>6.133837335227997e-09</t>
  </si>
  <si>
    <t>5.2296717703112736e-05</t>
  </si>
  <si>
    <t>WTE_no_energy_recovery - Food_Waste_Vegetable - Australia</t>
  </si>
  <si>
    <t>275299f0-1d9e-5c50-bc37-7aaffd42ff5a</t>
  </si>
  <si>
    <t>0.046838379560324564</t>
  </si>
  <si>
    <t>1.759412956730424e-10</t>
  </si>
  <si>
    <t>1.9861540853054387e-08</t>
  </si>
  <si>
    <t>0.025084386562055146</t>
  </si>
  <si>
    <t>1.8737400639940451e-10</t>
  </si>
  <si>
    <t>7.310406813748543e-06</t>
  </si>
  <si>
    <t>5.936218234784562e-09</t>
  </si>
  <si>
    <t>4.025713247134708e-05</t>
  </si>
  <si>
    <t>WTE_no_energy_recovery - Food_Waste_Vegetable - Brazil</t>
  </si>
  <si>
    <t>15d9863d-a339-5b73-9132-0201c3ee3bc6</t>
  </si>
  <si>
    <t>1.7594328657656134e-10</t>
  </si>
  <si>
    <t>1.9861901719563602e-08</t>
  </si>
  <si>
    <t>1.8737918961586869e-10</t>
  </si>
  <si>
    <t>7.310548523309404e-06</t>
  </si>
  <si>
    <t>5.93699115163262e-09</t>
  </si>
  <si>
    <t>4.025746291375166e-05</t>
  </si>
  <si>
    <t>WTE_no_energy_recovery - Food_Waste_Vegetable - Canada</t>
  </si>
  <si>
    <t>37dd97c4-9a74-5c19-b573-b1d37a49d085</t>
  </si>
  <si>
    <t>0.046838301518418585</t>
  </si>
  <si>
    <t>1.7594118399418732e-10</t>
  </si>
  <si>
    <t>1.9861513132322478e-08</t>
  </si>
  <si>
    <t>1.8737357259244623e-10</t>
  </si>
  <si>
    <t>7.310394951328092e-06</t>
  </si>
  <si>
    <t>5.936153532266854e-09</t>
  </si>
  <si>
    <t>4.0257104813090144e-05</t>
  </si>
  <si>
    <t>WTE_no_energy_recovery - Food_Waste_Vegetable - China</t>
  </si>
  <si>
    <t>e7e47555-c7aa-59cb-8813-0e37856cd53c</t>
  </si>
  <si>
    <t>0.046838707383090185</t>
  </si>
  <si>
    <t>1.759417952179526e-10</t>
  </si>
  <si>
    <t>1.9861531537113947e-08</t>
  </si>
  <si>
    <t>0.025084236372043926</t>
  </si>
  <si>
    <t>1.8737339656114487e-10</t>
  </si>
  <si>
    <t>7.3103901126369765e-06</t>
  </si>
  <si>
    <t>5.936127114706017e-09</t>
  </si>
  <si>
    <t>4.025709356558495e-05</t>
  </si>
  <si>
    <t>WTE_no_energy_recovery - Food_Waste_Vegetable - India</t>
  </si>
  <si>
    <t>214354aa-bacd-5eef-92a0-71f3ba717ecc</t>
  </si>
  <si>
    <t>0.046839651598141296</t>
  </si>
  <si>
    <t>1.7594314640044406e-10</t>
  </si>
  <si>
    <t>1.986186692528832e-08</t>
  </si>
  <si>
    <t>0.025085527099398056</t>
  </si>
  <si>
    <t>1.8737864511368594e-10</t>
  </si>
  <si>
    <t>7.3105336339346365e-06</t>
  </si>
  <si>
    <t>5.9369099388614885e-09</t>
  </si>
  <si>
    <t>4.025742819788913e-05</t>
  </si>
  <si>
    <t>WTE_no_energy_recovery - Food_Waste_Vegetable - Ireland</t>
  </si>
  <si>
    <t>fd396011-0925-56bf-b612-ef2f5a260e01</t>
  </si>
  <si>
    <t>1.759416452764208e-10</t>
  </si>
  <si>
    <t>1.9861627630999262e-08</t>
  </si>
  <si>
    <t>0.025084720523348012</t>
  </si>
  <si>
    <t>1.873753644037643e-10</t>
  </si>
  <si>
    <t>7.310443948282033e-06</t>
  </si>
  <si>
    <t>5.936420781795193e-09</t>
  </si>
  <si>
    <t>4.025721905372079e-05</t>
  </si>
  <si>
    <t>WTE_no_energy_recovery - Food_Waste_Vegetable - Mexico</t>
  </si>
  <si>
    <t>c95dbf70-b8be-55bf-b25b-e02bc2727360</t>
  </si>
  <si>
    <t>0.046839370937682014</t>
  </si>
  <si>
    <t>1.7594274477212194e-10</t>
  </si>
  <si>
    <t>1.9861767233804537e-08</t>
  </si>
  <si>
    <t>0.025085143440906357</t>
  </si>
  <si>
    <t>1.873770850229555e-10</t>
  </si>
  <si>
    <t>7.310490973364749e-06</t>
  </si>
  <si>
    <t>5.936677250576881e-09</t>
  </si>
  <si>
    <t>4.025732873108435e-05</t>
  </si>
  <si>
    <t>WTE_no_energy_recovery - Food_Waste_Vegetable - Spain</t>
  </si>
  <si>
    <t>e566fa5f-2e2b-5bbf-a8f8-03d37cb83851</t>
  </si>
  <si>
    <t>1.7594189129361342e-10</t>
  </si>
  <si>
    <t>1.986168869696048e-08</t>
  </si>
  <si>
    <t>0.025084955533146925</t>
  </si>
  <si>
    <t>1.8737632003646713e-10</t>
  </si>
  <si>
    <t>7.310470079990787e-06</t>
  </si>
  <si>
    <t>5.936563314876913e-09</t>
  </si>
  <si>
    <t>4.025727998205707e-05</t>
  </si>
  <si>
    <t>WTE_no_energy_recovery - Food_Waste_Vegetable - USA</t>
  </si>
  <si>
    <t>5216b09c-7f57-5993-8ef2-28d98455c5f8</t>
  </si>
  <si>
    <t>1.7594114460669337e-10</t>
  </si>
  <si>
    <t>1.986150335562712e-08</t>
  </si>
  <si>
    <t>0.025084242254773716</t>
  </si>
  <si>
    <t>1.873734195951107e-10</t>
  </si>
  <si>
    <t>7.310390767626757e-06</t>
  </si>
  <si>
    <t>5.936130712639944e-09</t>
  </si>
  <si>
    <t>4.025709505842915e-05</t>
  </si>
  <si>
    <t>WTE_no_energy_recovery - Glass_Brown - Australia</t>
  </si>
  <si>
    <t>34f4fd1f-817d-5d22-8fa4-694528ca6014</t>
  </si>
  <si>
    <t>0.1143993117043468</t>
  </si>
  <si>
    <t>1.4382731989061556e-10</t>
  </si>
  <si>
    <t>4.733350811133868e-08</t>
  </si>
  <si>
    <t>0.048914143290902816</t>
  </si>
  <si>
    <t>5.229428318056771e-10</t>
  </si>
  <si>
    <t>7.392590421349088e-06</t>
  </si>
  <si>
    <t>2.2877992638253658e-08</t>
  </si>
  <si>
    <t>4.016914344318924e-05</t>
  </si>
  <si>
    <t>WTE_no_energy_recovery - Glass_Brown - Brazil</t>
  </si>
  <si>
    <t>98ed9e59-7f26-5952-abc8-ed8e79df7d78</t>
  </si>
  <si>
    <t>0.11442158669603171</t>
  </si>
  <si>
    <t>1.4385968351057608e-10</t>
  </si>
  <si>
    <t>4.733940387002548e-08</t>
  </si>
  <si>
    <t>0.048934999613471385</t>
  </si>
  <si>
    <t>5.230276551932779e-10</t>
  </si>
  <si>
    <t>7.394909508005902e-06</t>
  </si>
  <si>
    <t>4.017455114435107e-05</t>
  </si>
  <si>
    <t>WTE_no_energy_recovery - Glass_Brown - Canada</t>
  </si>
  <si>
    <t>295da0cb-bd99-5fb5-8d74-11d6b241f426</t>
  </si>
  <si>
    <t>0.11439803454033763</t>
  </si>
  <si>
    <t>1.4382549225438662e-10</t>
  </si>
  <si>
    <t>4.733305445864132e-08</t>
  </si>
  <si>
    <t>5.229357325093785e-10</t>
  </si>
  <si>
    <t>7.392396291593127e-06</t>
  </si>
  <si>
    <t>2.287693377476252e-08</t>
  </si>
  <si>
    <t>4.0168690812893806e-05</t>
  </si>
  <si>
    <t>WTE_no_energy_recovery - Glass_Brown - China</t>
  </si>
  <si>
    <t>eba22119-f553-5ad4-9a27-71a59183d20c</t>
  </si>
  <si>
    <t>0.1144045314575702</t>
  </si>
  <si>
    <t>1.4383527727030282e-10</t>
  </si>
  <si>
    <t>4.7333345795357954e-08</t>
  </si>
  <si>
    <t>0.048911685366366454</t>
  </si>
  <si>
    <t>5.229328512443679e-10</t>
  </si>
  <si>
    <t>7.392317100717026e-06</t>
  </si>
  <si>
    <t>2.2876501428711072e-08</t>
  </si>
  <si>
    <t>4.016850672281861e-05</t>
  </si>
  <si>
    <t>WTE_no_energy_recovery - Glass_Brown - India</t>
  </si>
  <si>
    <t>5fed334e-a8a7-5a3e-aa8a-f91ee12fb380</t>
  </si>
  <si>
    <t>0.11441998363587956</t>
  </si>
  <si>
    <t>1.4385738951330617e-10</t>
  </si>
  <si>
    <t>4.733883445798927e-08</t>
  </si>
  <si>
    <t>7.394665841818654e-06</t>
  </si>
  <si>
    <t>4.01739830155898e-05</t>
  </si>
  <si>
    <t>WTE_no_energy_recovery - Glass_Brown - Ireland</t>
  </si>
  <si>
    <t>01bf48ce-9933-5e34-babc-f92277bc7df0</t>
  </si>
  <si>
    <t>0.11440330978297525</t>
  </si>
  <si>
    <t>1.4383304118661774e-10</t>
  </si>
  <si>
    <t>4.733492824151811e-08</t>
  </si>
  <si>
    <t>5.229650556897345e-10</t>
  </si>
  <si>
    <t>7.393198131889401e-06</t>
  </si>
  <si>
    <t>2.2881307341356558e-08</t>
  </si>
  <si>
    <t>4.017056037280948e-05</t>
  </si>
  <si>
    <t>WTE_no_energy_recovery - Glass_Brown - Mexico</t>
  </si>
  <si>
    <t>6bc86015-fc54-5d55-adaa-9a0e8d43743d</t>
  </si>
  <si>
    <t>0.11441539059816312</t>
  </si>
  <si>
    <t>1.438508168240337e-10</t>
  </si>
  <si>
    <t>4.7337202996456925e-08</t>
  </si>
  <si>
    <t>5.229932133092178e-10</t>
  </si>
  <si>
    <t>7.393967697118191e-06</t>
  </si>
  <si>
    <t>2.2885504460005668e-08</t>
  </si>
  <si>
    <t>4.017235523091045e-05</t>
  </si>
  <si>
    <t>WTE_no_energy_recovery - Glass_Brown - Spain</t>
  </si>
  <si>
    <t>cfb26ee6-d85f-5b82-8883-7a980eabea32</t>
  </si>
  <si>
    <t>0.11440612324571474</t>
  </si>
  <si>
    <t>1.4383706728380638e-10</t>
  </si>
  <si>
    <t>4.733592759238555e-08</t>
  </si>
  <si>
    <t>7.3936257800473845e-06</t>
  </si>
  <si>
    <t>4.017155747143106e-05</t>
  </si>
  <si>
    <t>WTE_no_energy_recovery - Glass_Brown - USA</t>
  </si>
  <si>
    <t>06aec164-b980-58f0-be42-7bd393694370</t>
  </si>
  <si>
    <t>0.11439758410336408</t>
  </si>
  <si>
    <t>1.4382484767395377e-10</t>
  </si>
  <si>
    <t>4.733289446200308e-08</t>
  </si>
  <si>
    <t>0.048911781687090074</t>
  </si>
  <si>
    <t>5.22933228691915e-10</t>
  </si>
  <si>
    <t>7.392327824881361e-06</t>
  </si>
  <si>
    <t>2.2876560329171283e-08</t>
  </si>
  <si>
    <t>4.0168531176841016e-05</t>
  </si>
  <si>
    <t>WTE_no_energy_recovery - Glass_Clear - Australia</t>
  </si>
  <si>
    <t>7d24fc2e-2002-5aea-a55c-1da3b69d31e5</t>
  </si>
  <si>
    <t>0.11435918756607795</t>
  </si>
  <si>
    <t>1.4355640457590407e-10</t>
  </si>
  <si>
    <t>4.728805131952873e-08</t>
  </si>
  <si>
    <t>5.229428318056772e-10</t>
  </si>
  <si>
    <t>7.40059657681943e-06</t>
  </si>
  <si>
    <t>4.023312838715301e-05</t>
  </si>
  <si>
    <t>WTE_no_energy_recovery - Glass_Clear - Brazil</t>
  </si>
  <si>
    <t>57321fa4-dc09-5bac-992d-d402283ce00f</t>
  </si>
  <si>
    <t>0.1143814625577628</t>
  </si>
  <si>
    <t>1.4358876819586448e-10</t>
  </si>
  <si>
    <t>4.729394707821554e-08</t>
  </si>
  <si>
    <t>7.402915663476242e-06</t>
  </si>
  <si>
    <t>2.2890641483744372e-08</t>
  </si>
  <si>
    <t>4.0238536088314836e-05</t>
  </si>
  <si>
    <t>WTE_no_energy_recovery - Glass_Clear - Canada</t>
  </si>
  <si>
    <t>dd6a2cfa-7261-54e7-9559-7b0e24396006</t>
  </si>
  <si>
    <t>0.11435791040206872</t>
  </si>
  <si>
    <t>1.4355457693967497e-10</t>
  </si>
  <si>
    <t>4.728759766683136e-08</t>
  </si>
  <si>
    <t>0.048914855785742326</t>
  </si>
  <si>
    <t>7.400402447063469e-06</t>
  </si>
  <si>
    <t>4.023267575685758e-05</t>
  </si>
  <si>
    <t>WTE_no_energy_recovery - Glass_Clear - China</t>
  </si>
  <si>
    <t>704cf41f-9279-52e1-b500-86770090f4d0</t>
  </si>
  <si>
    <t>0.11436440731930131</t>
  </si>
  <si>
    <t>1.4356436195559122e-10</t>
  </si>
  <si>
    <t>4.7287889003548003e-08</t>
  </si>
  <si>
    <t>0.048914143724643436</t>
  </si>
  <si>
    <t>5.229328512443676e-10</t>
  </si>
  <si>
    <t>7.400323256187352e-06</t>
  </si>
  <si>
    <t>2.2876501428711095e-08</t>
  </si>
  <si>
    <t>4.023249166678237e-05</t>
  </si>
  <si>
    <t>WTE_no_energy_recovery - Glass_Clear - India</t>
  </si>
  <si>
    <t>388f98d6-afc8-5206-80cc-6bfb0637bffe</t>
  </si>
  <si>
    <t>0.11437985949761063</t>
  </si>
  <si>
    <t>1.4358647419859455e-10</t>
  </si>
  <si>
    <t>4.7293377666179306e-08</t>
  </si>
  <si>
    <t>5.230187443571929e-10</t>
  </si>
  <si>
    <t>7.402671997288995e-06</t>
  </si>
  <si>
    <t>4.0237967959553556e-05</t>
  </si>
  <si>
    <t>WTE_no_energy_recovery - Glass_Clear - Ireland</t>
  </si>
  <si>
    <t>c21e8c3e-d3ae-56ce-9374-b47a63fcca60</t>
  </si>
  <si>
    <t>0.11436318564470632</t>
  </si>
  <si>
    <t>1.435621258719061e-10</t>
  </si>
  <si>
    <t>4.728947144970815e-08</t>
  </si>
  <si>
    <t>7.401204287359743e-06</t>
  </si>
  <si>
    <t>4.023454531677325e-05</t>
  </si>
  <si>
    <t>WTE_no_energy_recovery - Glass_Clear - Mexico</t>
  </si>
  <si>
    <t>8c35df73-92e5-59d9-a19a-0788fb833305</t>
  </si>
  <si>
    <t>0.1143752664598942</t>
  </si>
  <si>
    <t>1.435799015093221e-10</t>
  </si>
  <si>
    <t>4.729174620464696e-08</t>
  </si>
  <si>
    <t>5.229932133092179e-10</t>
  </si>
  <si>
    <t>7.401973852588531e-06</t>
  </si>
  <si>
    <t>2.288550446000567e-08</t>
  </si>
  <si>
    <t>4.0236340174874223e-05</t>
  </si>
  <si>
    <t>WTE_no_energy_recovery - Glass_Clear - Spain</t>
  </si>
  <si>
    <t>240dc54b-dd0a-5536-82ac-cdb928c0f5b5</t>
  </si>
  <si>
    <t>0.11436599910744581</t>
  </si>
  <si>
    <t>1.4356615196909478e-10</t>
  </si>
  <si>
    <t>4.729047080057559e-08</t>
  </si>
  <si>
    <t>7.401631935517727e-06</t>
  </si>
  <si>
    <t>4.023554241539483e-05</t>
  </si>
  <si>
    <t>WTE_no_energy_recovery - Glass_Clear - USA</t>
  </si>
  <si>
    <t>f0a34187-d9f3-52fe-974d-91a8d7603646</t>
  </si>
  <si>
    <t>0.11435745996509515</t>
  </si>
  <si>
    <t>1.4355393235924214e-10</t>
  </si>
  <si>
    <t>4.728743767019312e-08</t>
  </si>
  <si>
    <t>0.048914240045367076</t>
  </si>
  <si>
    <t>7.400333980351703e-06</t>
  </si>
  <si>
    <t>4.0232516120804796e-05</t>
  </si>
  <si>
    <t>WTE_no_energy_recovery - Glass_Green - Australia</t>
  </si>
  <si>
    <t>c3adc75e-cc16-5f75-b879-f977a997ea22</t>
  </si>
  <si>
    <t>0.11459633843362385</t>
  </si>
  <si>
    <t>1.4402037854833142e-10</t>
  </si>
  <si>
    <t>4.735070260902738e-08</t>
  </si>
  <si>
    <t>5.229428318056769e-10</t>
  </si>
  <si>
    <t>7.392836524722135e-06</t>
  </si>
  <si>
    <t>2.287799263825368e-08</t>
  </si>
  <si>
    <t>4.017111029364487e-05</t>
  </si>
  <si>
    <t>WTE_no_energy_recovery - Glass_Green - Brazil</t>
  </si>
  <si>
    <t>fb537db8-5e9c-5185-8b08-4807eef5deed</t>
  </si>
  <si>
    <t>0.1146186134253087</t>
  </si>
  <si>
    <t>1.4405274216829186e-10</t>
  </si>
  <si>
    <t>4.735659836771418e-08</t>
  </si>
  <si>
    <t>7.3951556113789625e-06</t>
  </si>
  <si>
    <t>4.0176517994806705e-05</t>
  </si>
  <si>
    <t>WTE_no_energy_recovery - Glass_Green - Canada</t>
  </si>
  <si>
    <t>bc426654-cd84-5ab4-81ad-f71b54d5b8f3</t>
  </si>
  <si>
    <t>0.11459506126961462</t>
  </si>
  <si>
    <t>1.4401855091210235e-10</t>
  </si>
  <si>
    <t>4.735024895633e-08</t>
  </si>
  <si>
    <t>7.3926423949661914e-06</t>
  </si>
  <si>
    <t>4.017065766334944e-05</t>
  </si>
  <si>
    <t>WTE_no_energy_recovery - Glass_Green - China</t>
  </si>
  <si>
    <t>5747300b-4fca-5026-b3c5-89fa4cbfb9d4</t>
  </si>
  <si>
    <t>0.11460155818684721</t>
  </si>
  <si>
    <t>1.440283359280186e-10</t>
  </si>
  <si>
    <t>4.7350540293046656e-08</t>
  </si>
  <si>
    <t>0.048911760934504785</t>
  </si>
  <si>
    <t>7.392563204090073e-06</t>
  </si>
  <si>
    <t>4.017047357327423e-05</t>
  </si>
  <si>
    <t>WTE_no_energy_recovery - Glass_Green - India</t>
  </si>
  <si>
    <t>335fde1d-839b-588c-bf98-cbf49c785f8f</t>
  </si>
  <si>
    <t>0.11461701036515655</t>
  </si>
  <si>
    <t>1.440504481710219e-10</t>
  </si>
  <si>
    <t>4.735602895567795e-08</t>
  </si>
  <si>
    <t>7.394911945191717e-06</t>
  </si>
  <si>
    <t>4.017594986604541e-05</t>
  </si>
  <si>
    <t>WTE_no_energy_recovery - Glass_Green - Ireland</t>
  </si>
  <si>
    <t>45a787f3-8028-53cf-a940-771cffe93c77</t>
  </si>
  <si>
    <t>0.11460033651225222</t>
  </si>
  <si>
    <t>1.440260998443335e-10</t>
  </si>
  <si>
    <t>4.7352122739206797e-08</t>
  </si>
  <si>
    <t>0.048919684170670864</t>
  </si>
  <si>
    <t>7.393444235262464e-06</t>
  </si>
  <si>
    <t>4.017252722326511e-05</t>
  </si>
  <si>
    <t>WTE_no_energy_recovery - Glass_Green - Mexico</t>
  </si>
  <si>
    <t>141c9640-80a4-5bd1-87c6-663e855a0ae5</t>
  </si>
  <si>
    <t>0.1146124173274401</t>
  </si>
  <si>
    <t>1.4404387548174947e-10</t>
  </si>
  <si>
    <t>4.735439749414561e-08</t>
  </si>
  <si>
    <t>0.048926605211687825</t>
  </si>
  <si>
    <t>7.394213800491253e-06</t>
  </si>
  <si>
    <t>4.017432208136608e-05</t>
  </si>
  <si>
    <t>WTE_no_energy_recovery - Glass_Green - Spain</t>
  </si>
  <si>
    <t>f9aa67ff-1b02-5b46-89f2-7ed0f852d947</t>
  </si>
  <si>
    <t>0.11460314997499145</t>
  </si>
  <si>
    <t>1.440301259415215e-10</t>
  </si>
  <si>
    <t>4.7353122090074125e-08</t>
  </si>
  <si>
    <t>5.229806947192548e-10</t>
  </si>
  <si>
    <t>7.393871883420434e-06</t>
  </si>
  <si>
    <t>2.2883639910206622e-08</t>
  </si>
  <si>
    <t>4.0173524321886625e-05</t>
  </si>
  <si>
    <t>WTE_no_energy_recovery - Glass_Green - USA</t>
  </si>
  <si>
    <t>fe0f7d5c-ecb8-5661-8acc-102bda583d5f</t>
  </si>
  <si>
    <t>0.11459461083264107</t>
  </si>
  <si>
    <t>1.4401790633166955e-10</t>
  </si>
  <si>
    <t>4.735008895969176e-08</t>
  </si>
  <si>
    <t>7.392573928254424e-06</t>
  </si>
  <si>
    <t>4.017049802729665e-05</t>
  </si>
  <si>
    <t>WTE_no_energy_recovery - Glass_Non_recyclable - Australia</t>
  </si>
  <si>
    <t>c0c77c08-43be-587c-ba58-7f0aaa9ba37e</t>
  </si>
  <si>
    <t>0.11439406812783483</t>
  </si>
  <si>
    <t>1.4363822341371063e-10</t>
  </si>
  <si>
    <t>4.729941790660957e-08</t>
  </si>
  <si>
    <t>7.399148686417853e-06</t>
  </si>
  <si>
    <t>4.022155689237593e-05</t>
  </si>
  <si>
    <t>WTE_no_energy_recovery - Glass_Non_recyclable - Brazil</t>
  </si>
  <si>
    <t>91518f78-a34a-5787-9069-faf4dd9f0d48</t>
  </si>
  <si>
    <t>0.11441634311951966</t>
  </si>
  <si>
    <t>1.4367058703367102e-10</t>
  </si>
  <si>
    <t>4.7305313665296354e-08</t>
  </si>
  <si>
    <t>0.048937013384659604</t>
  </si>
  <si>
    <t>7.4014677730746804e-06</t>
  </si>
  <si>
    <t>4.0226964593537766e-05</t>
  </si>
  <si>
    <t>WTE_no_energy_recovery - Glass_Non_recyclable - Canada</t>
  </si>
  <si>
    <t>59768308-1945-58dd-b02f-1d9df0339ea7</t>
  </si>
  <si>
    <t>0.1143927909638256</t>
  </si>
  <si>
    <t>1.4363639577748156e-10</t>
  </si>
  <si>
    <t>4.729896425391219e-08</t>
  </si>
  <si>
    <t>5.229357325093786e-10</t>
  </si>
  <si>
    <t>7.398954556661909e-06</t>
  </si>
  <si>
    <t>4.0221104262080496e-05</t>
  </si>
  <si>
    <t>WTE_no_energy_recovery - Glass_Non_recyclable - China</t>
  </si>
  <si>
    <t>461568a3-3d4a-531b-83cb-17b84716e3e9</t>
  </si>
  <si>
    <t>0.11439928788105819</t>
  </si>
  <si>
    <t>1.4364618079339781e-10</t>
  </si>
  <si>
    <t>4.729925559062883e-08</t>
  </si>
  <si>
    <t>7.398875365785791e-06</t>
  </si>
  <si>
    <t>4.022092017200529e-05</t>
  </si>
  <si>
    <t>WTE_no_energy_recovery - Glass_Non_recyclable - India</t>
  </si>
  <si>
    <t>64a93c76-3dcf-527a-b0cb-3ffc69838aa2</t>
  </si>
  <si>
    <t>0.11441474005936751</t>
  </si>
  <si>
    <t>1.4366829303640114e-10</t>
  </si>
  <si>
    <t>4.7304744253260135e-08</t>
  </si>
  <si>
    <t>5.23018744357193e-10</t>
  </si>
  <si>
    <t>7.4012241068874326e-06</t>
  </si>
  <si>
    <t>2.28893124281919e-08</t>
  </si>
  <si>
    <t>4.02263964647764e-05</t>
  </si>
  <si>
    <t>WTE_no_energy_recovery - Glass_Non_recyclable - Ireland</t>
  </si>
  <si>
    <t>73e26988-a224-5e5c-b9cb-b8fc21a4528d</t>
  </si>
  <si>
    <t>0.11439806620646321</t>
  </si>
  <si>
    <t>1.4364394470971273e-10</t>
  </si>
  <si>
    <t>4.7300838036788986e-08</t>
  </si>
  <si>
    <t>0.048921622373720754</t>
  </si>
  <si>
    <t>7.399756396958181e-06</t>
  </si>
  <si>
    <t>4.0222973821996175e-05</t>
  </si>
  <si>
    <t>WTE_no_energy_recovery - Glass_Non_recyclable - Mexico</t>
  </si>
  <si>
    <t>f539959a-8ac2-5f26-b343-a3ca75ddd652</t>
  </si>
  <si>
    <t>0.11441014702165109</t>
  </si>
  <si>
    <t>1.4366172034712868e-10</t>
  </si>
  <si>
    <t>4.730311279172779e-08</t>
  </si>
  <si>
    <t>7.400525962186972e-06</t>
  </si>
  <si>
    <t>4.022476868009713e-05</t>
  </si>
  <si>
    <t>WTE_no_energy_recovery - Glass_Non_recyclable - Spain</t>
  </si>
  <si>
    <t>75b8a6f6-de7e-55ab-bedb-ba5d050d018d</t>
  </si>
  <si>
    <t>0.11440087966920265</t>
  </si>
  <si>
    <t>1.4364797080690116e-10</t>
  </si>
  <si>
    <t>4.7301837387656394e-08</t>
  </si>
  <si>
    <t>0.048925468333756765</t>
  </si>
  <si>
    <t>5.229806947192533e-10</t>
  </si>
  <si>
    <t>7.400184045116191e-06</t>
  </si>
  <si>
    <t>2.2883639910206612e-08</t>
  </si>
  <si>
    <t>4.0223970920618925e-05</t>
  </si>
  <si>
    <t>WTE_no_energy_recovery - Glass_Non_recyclable - USA</t>
  </si>
  <si>
    <t>99e265e7-2530-5d48-8b3c-e119630d47fb</t>
  </si>
  <si>
    <t>0.11439234052685204</t>
  </si>
  <si>
    <t>1.4363575119704876e-10</t>
  </si>
  <si>
    <t>4.729880425727395e-08</t>
  </si>
  <si>
    <t>7.398886089950142e-06</t>
  </si>
  <si>
    <t>4.0220944626027706e-05</t>
  </si>
  <si>
    <t>WTE_no_energy_recovery - HDPE_Pigmented_Containers - Australia</t>
  </si>
  <si>
    <t>1a05b65e-d785-5965-b7c5-22a94083af9c</t>
  </si>
  <si>
    <t>7.846152689724732e-10</t>
  </si>
  <si>
    <t>1.8577183762325477e-08</t>
  </si>
  <si>
    <t>3.183177717190811</t>
  </si>
  <si>
    <t>1.7012101979192447e-10</t>
  </si>
  <si>
    <t>4.176831218163659e-05</t>
  </si>
  <si>
    <t>5.065171269870243e-09</t>
  </si>
  <si>
    <t>WTE_no_energy_recovery - HDPE_Pigmented_Containers - Brazil</t>
  </si>
  <si>
    <t>4e4b0f2c-46f5-5899-9dbf-963c98358048</t>
  </si>
  <si>
    <t>7.84615698288529e-10</t>
  </si>
  <si>
    <t>1.8577260057046208e-08</t>
  </si>
  <si>
    <t>0.028526440297915196</t>
  </si>
  <si>
    <t>3.1831779848466826</t>
  </si>
  <si>
    <t>1.701221083765337e-10</t>
  </si>
  <si>
    <t>4.176834194320046e-05</t>
  </si>
  <si>
    <t>5.06533359591783e-09</t>
  </si>
  <si>
    <t>WTE_no_energy_recovery - HDPE_Pigmented_Containers - Canada</t>
  </si>
  <si>
    <t>90c6176d-8e2b-5a5e-b1d8-050a15022c34</t>
  </si>
  <si>
    <t>7.846152455181037e-10</t>
  </si>
  <si>
    <t>1.8577177940522877e-08</t>
  </si>
  <si>
    <t>0.028526433589119927</t>
  </si>
  <si>
    <t>3.183177694785851</t>
  </si>
  <si>
    <t>1.7012092868545407e-10</t>
  </si>
  <si>
    <t>4.1768309690336645e-05</t>
  </si>
  <si>
    <t>5.065157681296367e-09</t>
  </si>
  <si>
    <t>WTE_no_energy_recovery - HDPE_Pigmented_Containers - China</t>
  </si>
  <si>
    <t>2973ec42-f75d-59ce-850c-4bb7f19439cb</t>
  </si>
  <si>
    <t>7.846153850791299e-10</t>
  </si>
  <si>
    <t>1.857718231275182e-08</t>
  </si>
  <si>
    <t>0.028526433379113626</t>
  </si>
  <si>
    <t>3.1831776856510134</t>
  </si>
  <si>
    <t>1.7012089174145234e-10</t>
  </si>
  <si>
    <t>4.17683086744001e-05</t>
  </si>
  <si>
    <t>5.065152134204653e-09</t>
  </si>
  <si>
    <t>WTE_no_energy_recovery - HDPE_Pigmented_Containers - India</t>
  </si>
  <si>
    <t>daf177a1-5e27-5e9a-931f-5a3318ecddfd</t>
  </si>
  <si>
    <t>0.043398741056084184</t>
  </si>
  <si>
    <t>7.846156688492699e-10</t>
  </si>
  <si>
    <t>1.8577252749684664e-08</t>
  </si>
  <si>
    <t>0.028526439647601487</t>
  </si>
  <si>
    <t>3.1831779567246095</t>
  </si>
  <si>
    <t>1.7012199402226768e-10</t>
  </si>
  <si>
    <t>4.1768338816191104e-05</t>
  </si>
  <si>
    <t>5.065316539923467e-09</t>
  </si>
  <si>
    <t>WTE_no_energy_recovery - HDPE_Pigmented_Containers - Ireland</t>
  </si>
  <si>
    <t>73ac789a-bdf0-5a6c-8195-505d0b030b21</t>
  </si>
  <si>
    <t>7.846153423948307e-10</t>
  </si>
  <si>
    <t>1.8577201987095837e-08</t>
  </si>
  <si>
    <t>3.1831777873280784</t>
  </si>
  <si>
    <t>1.7012130499477964e-10</t>
  </si>
  <si>
    <t>4.176831998048855e-05</t>
  </si>
  <si>
    <t>5.065213808014785e-09</t>
  </si>
  <si>
    <t>WTE_no_energy_recovery - HDPE_Pigmented_Containers - Mexico</t>
  </si>
  <si>
    <t>3de37859-7d98-597a-891f-d0a31801c1f0</t>
  </si>
  <si>
    <t>7.846155845008434e-10</t>
  </si>
  <si>
    <t>1.857723181286417e-08</t>
  </si>
  <si>
    <t>0.028526437784343085</t>
  </si>
  <si>
    <t>3.183177876150128</t>
  </si>
  <si>
    <t>1.7012166637801988e-10</t>
  </si>
  <si>
    <t>4.176832985678235e-05</t>
  </si>
  <si>
    <t>5.06526767162507e-09</t>
  </si>
  <si>
    <t>WTE_no_energy_recovery - HDPE_Pigmented_Containers - Spain</t>
  </si>
  <si>
    <t>8dbbf69b-0041-5720-af6a-310b7a40a37a</t>
  </si>
  <si>
    <t>7.846153940624125e-10</t>
  </si>
  <si>
    <t>1.8577214811933672e-08</t>
  </si>
  <si>
    <t>0.028526436870466482</t>
  </si>
  <si>
    <t>3.1831778366839325</t>
  </si>
  <si>
    <t>1.701215056930865e-10</t>
  </si>
  <si>
    <t>4.176832546856955e-05</t>
  </si>
  <si>
    <t>5.065243742264569e-09</t>
  </si>
  <si>
    <t>WTE_no_energy_recovery - HDPE_Pigmented_Containers - USA</t>
  </si>
  <si>
    <t>ef0c1874-fdde-5d76-806e-e7119fc3d842</t>
  </si>
  <si>
    <t>7.846152372460991e-10</t>
  </si>
  <si>
    <t>1.8577175887259976e-08</t>
  </si>
  <si>
    <t>3.1831776868839503</t>
  </si>
  <si>
    <t>1.701208965535428e-10</t>
  </si>
  <si>
    <t>4.176830881169179e-05</t>
  </si>
  <si>
    <t>5.065152888806039e-09</t>
  </si>
  <si>
    <t>WTE_no_energy_recovery - HDPE_Translucent_Containers - Australia</t>
  </si>
  <si>
    <t>37f92138-0050-5317-8e1b-af8b73d956c3</t>
  </si>
  <si>
    <t>0.045243743867164433</t>
  </si>
  <si>
    <t>7.664719196383463e-10</t>
  </si>
  <si>
    <t>1.931232706701838e-08</t>
  </si>
  <si>
    <t>3.0189695511941927</t>
  </si>
  <si>
    <t>1.792943869042818e-10</t>
  </si>
  <si>
    <t>4.079630205332339e-05</t>
  </si>
  <si>
    <t>5.528304625448232e-09</t>
  </si>
  <si>
    <t>WTE_no_energy_recovery - HDPE_Translucent_Containers - Brazil</t>
  </si>
  <si>
    <t>c32bead4-7c79-5411-bbcf-9a46969486fb</t>
  </si>
  <si>
    <t>7.66473179246303e-10</t>
  </si>
  <si>
    <t>1.9312554667802158e-08</t>
  </si>
  <si>
    <t>0.027838976155837785</t>
  </si>
  <si>
    <t>1.7929765259376506e-10</t>
  </si>
  <si>
    <t>4.0796391337339663e-05</t>
  </si>
  <si>
    <t>5.528791601001306e-09</t>
  </si>
  <si>
    <t>WTE_no_energy_recovery - HDPE_Translucent_Containers - Canada</t>
  </si>
  <si>
    <t>76174f80-f974-50a8-9a0d-dfe6f60d6005</t>
  </si>
  <si>
    <t>0.045243694696978067</t>
  </si>
  <si>
    <t>7.664718492752486e-10</t>
  </si>
  <si>
    <t>1.9312309601612497e-08</t>
  </si>
  <si>
    <t>0.027838956029834595</t>
  </si>
  <si>
    <t>3.0189694839793115</t>
  </si>
  <si>
    <t>1.7929411358487614e-10</t>
  </si>
  <si>
    <t>4.0796294579423585e-05</t>
  </si>
  <si>
    <t>5.528263859726482e-09</t>
  </si>
  <si>
    <t>WTE_no_energy_recovery - HDPE_Translucent_Containers - China</t>
  </si>
  <si>
    <t>a2600089-eb00-5601-920c-a67e3b2de43f</t>
  </si>
  <si>
    <t>0.045243953905040143</t>
  </si>
  <si>
    <t>7.664722396181015e-10</t>
  </si>
  <si>
    <t>1.9312321434918147e-08</t>
  </si>
  <si>
    <t>0.027838955399433034</t>
  </si>
  <si>
    <t>3.018969456568395</t>
  </si>
  <si>
    <t>1.7929400268852793e-10</t>
  </si>
  <si>
    <t>4.079629153093861e-05</t>
  </si>
  <si>
    <t>5.528247215861841e-09</t>
  </si>
  <si>
    <t>WTE_no_energy_recovery - HDPE_Translucent_Containers - India</t>
  </si>
  <si>
    <t>03255515-943f-5e9c-b673-e11f3c7e5147</t>
  </si>
  <si>
    <t>7.664730909285677e-10</t>
  </si>
  <si>
    <t>1.931253274572462e-08</t>
  </si>
  <si>
    <t>3.018970269789185</t>
  </si>
  <si>
    <t>1.7929730953101902e-10</t>
  </si>
  <si>
    <t>4.079638195631211e-05</t>
  </si>
  <si>
    <t>5.5287404330201685e-09</t>
  </si>
  <si>
    <t>WTE_no_energy_recovery - HDPE_Translucent_Containers - Ireland</t>
  </si>
  <si>
    <t>d5fcdfa5-802f-5570-a0e8-701f3a1c9b37</t>
  </si>
  <si>
    <t>0.045243897791216986</t>
  </si>
  <si>
    <t>7.66472139905416e-10</t>
  </si>
  <si>
    <t>1.9312381741328837e-08</t>
  </si>
  <si>
    <t>0.027838962449860404</t>
  </si>
  <si>
    <t>3.0189697616059936</t>
  </si>
  <si>
    <t>1.7929524251284988e-10</t>
  </si>
  <si>
    <t>4.0796325449879245e-05</t>
  </si>
  <si>
    <t>5.528432239881668e-09</t>
  </si>
  <si>
    <t>WTE_no_energy_recovery - HDPE_Translucent_Containers - Mexico</t>
  </si>
  <si>
    <t>a28ee04f-e10d-5568-ae55-d9d5509c7fb4</t>
  </si>
  <si>
    <t>7.66472837883248e-10</t>
  </si>
  <si>
    <t>1.931246993525617e-08</t>
  </si>
  <si>
    <t>0.027838968615121435</t>
  </si>
  <si>
    <t>3.0189700280657403</t>
  </si>
  <si>
    <t>1.7929632659823085e-10</t>
  </si>
  <si>
    <t>4.079635507808537e-05</t>
  </si>
  <si>
    <t>5.528593828122976e-09</t>
  </si>
  <si>
    <t>WTE_no_energy_recovery - HDPE_Translucent_Containers - Spain</t>
  </si>
  <si>
    <t>ba3bba8b-e780-52a9-9ebf-7e93153716e5</t>
  </si>
  <si>
    <t>7.664722949081703e-10</t>
  </si>
  <si>
    <t>1.931242021584397e-08</t>
  </si>
  <si>
    <t>0.027838965873874195</t>
  </si>
  <si>
    <t>3.0189699096735563</t>
  </si>
  <si>
    <t>1.792958446077636e-10</t>
  </si>
  <si>
    <t>4.0796341914122226e-05</t>
  </si>
  <si>
    <t>5.528522042630991e-09</t>
  </si>
  <si>
    <t>WTE_no_energy_recovery - HDPE_Translucent_Containers - USA</t>
  </si>
  <si>
    <t>cca5eb8c-baa6-513f-bf97-c44b18da5bb8</t>
  </si>
  <si>
    <t>0.045243677355378056</t>
  </si>
  <si>
    <t>7.664718244592229e-10</t>
  </si>
  <si>
    <t>1.9312303441821357e-08</t>
  </si>
  <si>
    <t>0.027838955481648064</t>
  </si>
  <si>
    <t>3.0189694602736115</t>
  </si>
  <si>
    <t>1.7929401718914208e-10</t>
  </si>
  <si>
    <t>4.079629194348901e-05</t>
  </si>
  <si>
    <t>5.528249482255583e-09</t>
  </si>
  <si>
    <t>WTE_no_energy_recovery - Magazines - Australia</t>
  </si>
  <si>
    <t>365f3fb8-b996-50d6-807c-34489d210c93</t>
  </si>
  <si>
    <t>3.165973437409849e-10</t>
  </si>
  <si>
    <t>2.842972995625629e-08</t>
  </si>
  <si>
    <t>0.010010396890644828</t>
  </si>
  <si>
    <t>2.900804358766002e-10</t>
  </si>
  <si>
    <t>1.5817750371503063e-05</t>
  </si>
  <si>
    <t>1.1121530535120626e-08</t>
  </si>
  <si>
    <t>WTE_no_energy_recovery - Magazines - Brazil</t>
  </si>
  <si>
    <t>eae659db-67e5-53c5-b15e-6844831414f2</t>
  </si>
  <si>
    <t>3.166086307203676e-10</t>
  </si>
  <si>
    <t>2.8431784868725365e-08</t>
  </si>
  <si>
    <t>0.010010564986628624</t>
  </si>
  <si>
    <t>2.901099942942236e-10</t>
  </si>
  <si>
    <t>1.5818558503598533e-05</t>
  </si>
  <si>
    <t>1.1125938277778805e-08</t>
  </si>
  <si>
    <t>WTE_no_energy_recovery - Magazines - Canada</t>
  </si>
  <si>
    <t>a25ba080-7263-5e8e-939b-711d1667568b</t>
  </si>
  <si>
    <t>3.165967068647832e-10</t>
  </si>
  <si>
    <t>2.8429571871949446e-08</t>
  </si>
  <si>
    <t>0.010010382822037643</t>
  </si>
  <si>
    <t>0.040391627649062435</t>
  </si>
  <si>
    <t>2.900779619855885e-10</t>
  </si>
  <si>
    <t>1.5817682723128073e-05</t>
  </si>
  <si>
    <t>1.1121161553074859e-08</t>
  </si>
  <si>
    <t>WTE_no_energy_recovery - Magazines - China</t>
  </si>
  <si>
    <t>270bc469-00d4-56f3-ad51-0dce5f63b76b</t>
  </si>
  <si>
    <t>3.16600125880472e-10</t>
  </si>
  <si>
    <t>2.8429673812104222e-08</t>
  </si>
  <si>
    <t>0.010010377114555002</t>
  </si>
  <si>
    <t>2.900769579724433e-10</t>
  </si>
  <si>
    <t>1.5817655127712063e-05</t>
  </si>
  <si>
    <t>1.1121010894336858e-08</t>
  </si>
  <si>
    <t>WTE_no_energy_recovery - Magazines - India</t>
  </si>
  <si>
    <t>015cb9c4-1ed7-55b7-84c9-6d8fc8941098</t>
  </si>
  <si>
    <t>3.1660783133140795e-10</t>
  </si>
  <si>
    <t>2.8431586445778428e-08</t>
  </si>
  <si>
    <t>0.010010547328110526</t>
  </si>
  <si>
    <t>0.040398740210004426</t>
  </si>
  <si>
    <t>2.901068891361671e-10</t>
  </si>
  <si>
    <t>1.5818473593268965e-05</t>
  </si>
  <si>
    <t>1.1125475141935962e-08</t>
  </si>
  <si>
    <t>WTE_no_energy_recovery - Magazines - Ireland</t>
  </si>
  <si>
    <t>76e3e80a-00c0-542f-a219-b30701f3ca2b</t>
  </si>
  <si>
    <t>3.1659933744037974e-10</t>
  </si>
  <si>
    <t>2.8430224828865373e-08</t>
  </si>
  <si>
    <t>0.010010440931502074</t>
  </si>
  <si>
    <t>2.9008818023106524e-10</t>
  </si>
  <si>
    <t>1.5817962140329066e-05</t>
  </si>
  <si>
    <t>1.1122685609350988e-08</t>
  </si>
  <si>
    <t>WTE_no_energy_recovery - Magazines - Mexico</t>
  </si>
  <si>
    <t>6f3795a9-ea25-530e-a22e-d84008c9ab05</t>
  </si>
  <si>
    <t>3.166055409470718e-10</t>
  </si>
  <si>
    <t>2.8431017930552047e-08</t>
  </si>
  <si>
    <t>2.90097992334627e-10</t>
  </si>
  <si>
    <t>1.581823031086076e-05</t>
  </si>
  <si>
    <t>1.112414817967449e-08</t>
  </si>
  <si>
    <t>WTE_no_energy_recovery - Magazines - Spain</t>
  </si>
  <si>
    <t>21661a1f-df55-55ac-afa0-067c7f11cb5a</t>
  </si>
  <si>
    <t>3.166007404140274e-10</t>
  </si>
  <si>
    <t>2.843057307255313e-08</t>
  </si>
  <si>
    <t>0.010010471923216469</t>
  </si>
  <si>
    <t>2.9009362996198316e-10</t>
  </si>
  <si>
    <t>1.581811116283625e-05</t>
  </si>
  <si>
    <t>1.1123498439364878e-08</t>
  </si>
  <si>
    <t>WTE_no_energy_recovery - Magazines - USA</t>
  </si>
  <si>
    <t>927e9775-5256-536a-b176-3ba35a70b269</t>
  </si>
  <si>
    <t>3.165964822479116e-10</t>
  </si>
  <si>
    <t>2.8429516117938613e-08</t>
  </si>
  <si>
    <t>0.010010377860246675</t>
  </si>
  <si>
    <t>2.9007708948059045e-10</t>
  </si>
  <si>
    <t>1.581765886454049e-05</t>
  </si>
  <si>
    <t>1.1121031418530256e-08</t>
  </si>
  <si>
    <t>WTE_no_energy_recovery - Misc_Inorganic - Australia</t>
  </si>
  <si>
    <t>433f9687-962a-55d8-a17e-dae796a17ac0</t>
  </si>
  <si>
    <t>0.1145338338455833</t>
  </si>
  <si>
    <t>1.6716647621510487e-10</t>
  </si>
  <si>
    <t>4.99474191891967e-08</t>
  </si>
  <si>
    <t>7.391505541586782e-06</t>
  </si>
  <si>
    <t>4.0160473118080664e-05</t>
  </si>
  <si>
    <t>WTE_no_energy_recovery - Misc_Inorganic - Brazil</t>
  </si>
  <si>
    <t>4c00b80c-a944-503d-a1af-f8fb07c8370c</t>
  </si>
  <si>
    <t>0.11455610883726766</t>
  </si>
  <si>
    <t>1.6719883983506414e-10</t>
  </si>
  <si>
    <t>4.99533149478833e-08</t>
  </si>
  <si>
    <t>0.048934666491893763</t>
  </si>
  <si>
    <t>5.230276551932767e-10</t>
  </si>
  <si>
    <t>7.393824628243635e-06</t>
  </si>
  <si>
    <t>2.2890641483744236e-08</t>
  </si>
  <si>
    <t>4.01658808192437e-05</t>
  </si>
  <si>
    <t>WTE_no_energy_recovery - Misc_Inorganic - Canada</t>
  </si>
  <si>
    <t>1991343d-97a6-5019-9e4d-4f68b802458e</t>
  </si>
  <si>
    <t>0.11453255668157405</t>
  </si>
  <si>
    <t>1.6716464857887582e-10</t>
  </si>
  <si>
    <t>4.994696553649932e-08</t>
  </si>
  <si>
    <t>7.391311411830837e-06</t>
  </si>
  <si>
    <t>4.016002048778524e-05</t>
  </si>
  <si>
    <t>WTE_no_energy_recovery - Misc_Inorganic - China</t>
  </si>
  <si>
    <t>93557d47-9ed8-560b-a059-8cc8bdf1f3b4</t>
  </si>
  <si>
    <t>0.11453905359880555</t>
  </si>
  <si>
    <t>1.671744335947898e-10</t>
  </si>
  <si>
    <t>4.9947256873215536e-08</t>
  </si>
  <si>
    <t>5.229328512443699e-10</t>
  </si>
  <si>
    <t>7.391232220954741e-06</t>
  </si>
  <si>
    <t>2.2876501428711158e-08</t>
  </si>
  <si>
    <t>4.0159836397710104e-05</t>
  </si>
  <si>
    <t>WTE_no_energy_recovery - Misc_Inorganic - India</t>
  </si>
  <si>
    <t>a7d45217-846e-5bab-b297-605d4bbc2dc3</t>
  </si>
  <si>
    <t>0.1145545057771174</t>
  </si>
  <si>
    <t>1.671965458377982e-10</t>
  </si>
  <si>
    <t>4.995274553584781e-08</t>
  </si>
  <si>
    <t>0.048932475133413623</t>
  </si>
  <si>
    <t>5.230187443571903e-10</t>
  </si>
  <si>
    <t>7.393580962056409e-06</t>
  </si>
  <si>
    <t>2.2889312428191947e-08</t>
  </si>
  <si>
    <t>4.016531269048243e-05</t>
  </si>
  <si>
    <t>WTE_no_energy_recovery - Misc_Inorganic - Ireland</t>
  </si>
  <si>
    <t>6315fce3-a6b8-54b3-aec0-cd7c4e8fab6c</t>
  </si>
  <si>
    <t>0.11453783192421167</t>
  </si>
  <si>
    <t>1.6717219751110696e-10</t>
  </si>
  <si>
    <t>4.994883931937612e-08</t>
  </si>
  <si>
    <t>7.392113252127109e-06</t>
  </si>
  <si>
    <t>WTE_no_energy_recovery - Misc_Inorganic - Mexico</t>
  </si>
  <si>
    <t>c39a534c-cab6-5edb-a4e7-97d80df08fe4</t>
  </si>
  <si>
    <t>0.11454991273939973</t>
  </si>
  <si>
    <t>1.6718997314852327e-10</t>
  </si>
  <si>
    <t>4.995111407431499e-08</t>
  </si>
  <si>
    <t>5.229932133092176e-10</t>
  </si>
  <si>
    <t>7.392882817355901e-06</t>
  </si>
  <si>
    <t>2.2885504460005688e-08</t>
  </si>
  <si>
    <t>4.0163684905801875e-05</t>
  </si>
  <si>
    <t>WTE_no_energy_recovery - Misc_Inorganic - Spain</t>
  </si>
  <si>
    <t>9e3aaa50-f96b-5944-af79-8d55aad8cb2b</t>
  </si>
  <si>
    <t>0.11454064538694995</t>
  </si>
  <si>
    <t>1.67176223608293e-10</t>
  </si>
  <si>
    <t>4.994983867024308e-08</t>
  </si>
  <si>
    <t>5.229806947192554e-10</t>
  </si>
  <si>
    <t>7.392540900285127e-06</t>
  </si>
  <si>
    <t>2.2883639910206672e-08</t>
  </si>
  <si>
    <t>4.016288714632368e-05</t>
  </si>
  <si>
    <t>WTE_no_energy_recovery - Misc_Inorganic - USA</t>
  </si>
  <si>
    <t>6f389506-8f5e-5537-b860-2682b77b1896</t>
  </si>
  <si>
    <t>0.1145321062446005</t>
  </si>
  <si>
    <t>1.67164003998443e-10</t>
  </si>
  <si>
    <t>4.9946805539861086e-08</t>
  </si>
  <si>
    <t>0.048911448565512175</t>
  </si>
  <si>
    <t>7.391242945119069e-06</t>
  </si>
  <si>
    <t>4.015986085173245e-05</t>
  </si>
  <si>
    <t>WTE_no_energy_recovery - Misc_Organic - Australia</t>
  </si>
  <si>
    <t>331ad557-8fa3-5a8f-b846-a6cab2f5ad7a</t>
  </si>
  <si>
    <t>2.089213174206924e-10</t>
  </si>
  <si>
    <t>2.249416990783384e-08</t>
  </si>
  <si>
    <t>0.027529569440036875</t>
  </si>
  <si>
    <t>2.1598785535371414e-10</t>
  </si>
  <si>
    <t>9.136207482373161e-06</t>
  </si>
  <si>
    <t>7.380838047760167e-09</t>
  </si>
  <si>
    <t>5.478536559604786e-05</t>
  </si>
  <si>
    <t>WTE_no_energy_recovery - Misc_Organic - Brazil</t>
  </si>
  <si>
    <t>e4ef89b3-e42f-5300-84dd-f67c2f2fb284</t>
  </si>
  <si>
    <t>2.0892589819626033e-10</t>
  </si>
  <si>
    <t>2.2495002732871056e-08</t>
  </si>
  <si>
    <t>2.15999829462708e-10</t>
  </si>
  <si>
    <t>9.136534856199076e-06</t>
  </si>
  <si>
    <t>7.3826236213353486e-09</t>
  </si>
  <si>
    <t>5.478612897472052e-05</t>
  </si>
  <si>
    <t>WTE_no_energy_recovery - Misc_Organic - Canada</t>
  </si>
  <si>
    <t>45d58601-badc-5e65-a19c-a996e741ca04</t>
  </si>
  <si>
    <t>2.0892105942268351e-10</t>
  </si>
  <si>
    <t>2.2494105868015386e-08</t>
  </si>
  <si>
    <t>2.1598685318256435e-10</t>
  </si>
  <si>
    <t>9.13618007807392e-06</t>
  </si>
  <si>
    <t>7.380688573446964e-09</t>
  </si>
  <si>
    <t>5.478530170055692e-05</t>
  </si>
  <si>
    <t>WTE_no_energy_recovery - Misc_Organic - China</t>
  </si>
  <si>
    <t>a8b9d51d-8903-5d21-9968-004d221f3143</t>
  </si>
  <si>
    <t>2.0892245289284297e-10</t>
  </si>
  <si>
    <t>2.2494147545627265e-08</t>
  </si>
  <si>
    <t>0.027529222470223453</t>
  </si>
  <si>
    <t>2.1598644647683307e-10</t>
  </si>
  <si>
    <t>9.136168899395236e-06</t>
  </si>
  <si>
    <t>7.380627542490566e-09</t>
  </si>
  <si>
    <t>5.478527571481979e-05</t>
  </si>
  <si>
    <t>WTE_no_energy_recovery - Misc_Organic - India</t>
  </si>
  <si>
    <t>805d2501-e568-5493-8f7a-6b81ca75b32b</t>
  </si>
  <si>
    <t>0.052670024430736866</t>
  </si>
  <si>
    <t>2.0892557436448637e-10</t>
  </si>
  <si>
    <t>2.249492235190634e-08</t>
  </si>
  <si>
    <t>0.027532204279776068</t>
  </si>
  <si>
    <t>2.1599857156584157e-10</t>
  </si>
  <si>
    <t>9.136500459096965e-06</t>
  </si>
  <si>
    <t>7.382436005399958e-09</t>
  </si>
  <si>
    <t>5.478604877490665e-05</t>
  </si>
  <si>
    <t>WTE_no_energy_recovery - Misc_Organic - Ireland</t>
  </si>
  <si>
    <t>f3a74902-cf86-5ad0-94d2-a163b1054083</t>
  </si>
  <si>
    <t>2.089221250666236e-10</t>
  </si>
  <si>
    <t>2.2494370380307376e-08</t>
  </si>
  <si>
    <t>0.027530340949970738</t>
  </si>
  <si>
    <t>2.1599099258512508e-10</t>
  </si>
  <si>
    <t>9.136293269744595e-06</t>
  </si>
  <si>
    <t>7.381305967349214e-09</t>
  </si>
  <si>
    <t>5.478556561671484e-05</t>
  </si>
  <si>
    <t>WTE_no_energy_recovery - Misc_Organic - Mexico</t>
  </si>
  <si>
    <t>beadc867-9925-5e59-ab42-db35d9bb6988</t>
  </si>
  <si>
    <t>2.089246465317214e-10</t>
  </si>
  <si>
    <t>2.249469204686837e-08</t>
  </si>
  <si>
    <t>0.027531317960487172</t>
  </si>
  <si>
    <t>2.159949674790754e-10</t>
  </si>
  <si>
    <t>9.13640190559994e-06</t>
  </si>
  <si>
    <t>7.381898454114561e-09</t>
  </si>
  <si>
    <t>5.478581898891366e-05</t>
  </si>
  <si>
    <t>WTE_no_energy_recovery - Misc_Organic - Spain</t>
  </si>
  <si>
    <t>55ec7588-3b36-560c-9ad7-017f667569f7</t>
  </si>
  <si>
    <t>2.0892269341005435e-10</t>
  </si>
  <si>
    <t>2.2494511453529055e-08</t>
  </si>
  <si>
    <t>2.159932002664877e-10</t>
  </si>
  <si>
    <t>9.13635363863561e-06</t>
  </si>
  <si>
    <t>7.381635244097026e-09</t>
  </si>
  <si>
    <t>5.4785706371999357e-05</t>
  </si>
  <si>
    <t>WTE_no_energy_recovery - Misc_Organic - USA</t>
  </si>
  <si>
    <t>e11b9514-a71e-5798-bec6-61b86c0ef0c8</t>
  </si>
  <si>
    <t>0.052666854293494346</t>
  </si>
  <si>
    <t>2.089209684305813e-10</t>
  </si>
  <si>
    <t>2.249408328211326e-08</t>
  </si>
  <si>
    <t>0.027529236064572745</t>
  </si>
  <si>
    <t>2.1598649973153263e-10</t>
  </si>
  <si>
    <t>9.136170412980384e-06</t>
  </si>
  <si>
    <t>7.380635856053563e-09</t>
  </si>
  <si>
    <t>5.478527916555641e-05</t>
  </si>
  <si>
    <t>WTE_no_energy_recovery - Mixed_Glass - Australia</t>
  </si>
  <si>
    <t>003e4fd1-73c1-537d-9f90-f3289e6a43be</t>
  </si>
  <si>
    <t>0.1144069098586294</t>
  </si>
  <si>
    <t>1.4374655642057897e-10</t>
  </si>
  <si>
    <t>4.731700438410468e-08</t>
  </si>
  <si>
    <t>0.048915326896509584</t>
  </si>
  <si>
    <t>5.229428318056792e-10</t>
  </si>
  <si>
    <t>7.3964450793913815e-06</t>
  </si>
  <si>
    <t>2.2877992638253747e-08</t>
  </si>
  <si>
    <t>4.0199949749630516e-05</t>
  </si>
  <si>
    <t>WTE_no_energy_recovery - Mixed_Glass - Brazil</t>
  </si>
  <si>
    <t>2a1f1955-99a4-5993-9ce2-d11bacae113c</t>
  </si>
  <si>
    <t>0.11442918485031624</t>
  </si>
  <si>
    <t>1.4377892004054345e-10</t>
  </si>
  <si>
    <t>4.732290014279225e-08</t>
  </si>
  <si>
    <t>5.230276551932783e-10</t>
  </si>
  <si>
    <t>7.398764166048208e-06</t>
  </si>
  <si>
    <t>2.2890641483744342e-08</t>
  </si>
  <si>
    <t>4.0205357450793484e-05</t>
  </si>
  <si>
    <t>WTE_no_energy_recovery - Mixed_Glass - Canada</t>
  </si>
  <si>
    <t>bb7bbcec-aad1-5e3f-8c32-941dcf5ce30f</t>
  </si>
  <si>
    <t>0.1144056326946213</t>
  </si>
  <si>
    <t>1.4374472878435223e-10</t>
  </si>
  <si>
    <t>4.7316550731407763e-08</t>
  </si>
  <si>
    <t>0.048913581033072084</t>
  </si>
  <si>
    <t>7.396250949635413e-06</t>
  </si>
  <si>
    <t>4.019949711933501e-05</t>
  </si>
  <si>
    <t>WTE_no_energy_recovery - Mixed_Glass - China</t>
  </si>
  <si>
    <t>4bb55f4c-7975-5da3-a26b-146064244e3d</t>
  </si>
  <si>
    <t>0.11441212961185276</t>
  </si>
  <si>
    <t>1.4375451380026615e-10</t>
  </si>
  <si>
    <t>4.731684206812396e-08</t>
  </si>
  <si>
    <t>7.396171758759319e-06</t>
  </si>
  <si>
    <t>4.019931302925988e-05</t>
  </si>
  <si>
    <t>WTE_no_energy_recovery - Mixed_Glass - India</t>
  </si>
  <si>
    <t>01b8cf64-f369-52ca-9dc0-6ece57d7f8cf</t>
  </si>
  <si>
    <t>0.11442758179016439</t>
  </si>
  <si>
    <t>1.4377662604327408e-10</t>
  </si>
  <si>
    <t>4.732233073075615e-08</t>
  </si>
  <si>
    <t>7.398520499860991e-06</t>
  </si>
  <si>
    <t>2.2889312428191858e-08</t>
  </si>
  <si>
    <t>4.0204789322032225e-05</t>
  </si>
  <si>
    <t>WTE_no_energy_recovery - Mixed_Glass - Ireland</t>
  </si>
  <si>
    <t>fec18a05-7d76-5b8c-963d-3337318bf706</t>
  </si>
  <si>
    <t>0.11441090793725892</t>
  </si>
  <si>
    <t>1.4375227771658337e-10</t>
  </si>
  <si>
    <t>4.731842451428455e-08</t>
  </si>
  <si>
    <t>7.397052789931686e-06</t>
  </si>
  <si>
    <t>4.0201366679250674e-05</t>
  </si>
  <si>
    <t>WTE_no_energy_recovery - Mixed_Glass - Mexico</t>
  </si>
  <si>
    <t>f3102cdc-ccc3-585d-b6a8-4e0465e11ff6</t>
  </si>
  <si>
    <t>0.11442298875244693</t>
  </si>
  <si>
    <t>1.4377005335399958e-10</t>
  </si>
  <si>
    <t>4.732069926922341e-08</t>
  </si>
  <si>
    <t>7.3978223551604785e-06</t>
  </si>
  <si>
    <t>2.288550446000569e-08</t>
  </si>
  <si>
    <t>4.020316153735164e-05</t>
  </si>
  <si>
    <t>WTE_no_energy_recovery - Mixed_Glass - Spain</t>
  </si>
  <si>
    <t>0e79c3cd-97ed-5d18-a71f-a8cff75de5cb</t>
  </si>
  <si>
    <t>0.11441372139999947</t>
  </si>
  <si>
    <t>1.4375630381377405e-10</t>
  </si>
  <si>
    <t>4.7319423865152406e-08</t>
  </si>
  <si>
    <t>5.229806947192544e-10</t>
  </si>
  <si>
    <t>7.397480438089488e-06</t>
  </si>
  <si>
    <t>2.288363991020663e-08</t>
  </si>
  <si>
    <t>4.0202363777866987e-05</t>
  </si>
  <si>
    <t>WTE_no_energy_recovery - Mixed_Glass - USA</t>
  </si>
  <si>
    <t>73d0a563-2b80-5219-b9c2-0bac08a2f5bc</t>
  </si>
  <si>
    <t>0.1144051822576477</t>
  </si>
  <si>
    <t>1.4374408420391935e-10</t>
  </si>
  <si>
    <t>4.73163907347695e-08</t>
  </si>
  <si>
    <t>0.048912965292696835</t>
  </si>
  <si>
    <t>7.3961824829236464e-06</t>
  </si>
  <si>
    <t>4.0199337483282205e-05</t>
  </si>
  <si>
    <t>WTE_no_energy_recovery - Mixed_Paper - Australia</t>
  </si>
  <si>
    <t>6f386053-ac39-5cd1-a169-da06655665b8</t>
  </si>
  <si>
    <t>3.418562911728553e-10</t>
  </si>
  <si>
    <t>2.0540452209916915e-08</t>
  </si>
  <si>
    <t>0.010442735883493919</t>
  </si>
  <si>
    <t>1.9129032851275132e-10</t>
  </si>
  <si>
    <t>1.659655013422608e-05</t>
  </si>
  <si>
    <t>6.133940551973324e-09</t>
  </si>
  <si>
    <t>WTE_no_energy_recovery - Mixed_Paper - Brazil</t>
  </si>
  <si>
    <t>9ab66439-c246-52e4-911f-d43f54e8447f</t>
  </si>
  <si>
    <t>3.418586365471499e-10</t>
  </si>
  <si>
    <t>2.0540877672476512e-08</t>
  </si>
  <si>
    <t>0.027473100157278545</t>
  </si>
  <si>
    <t>1.9129644118553574e-10</t>
  </si>
  <si>
    <t>1.659671725529549e-05</t>
  </si>
  <si>
    <t>6.1348520691874966e-09</t>
  </si>
  <si>
    <t>WTE_no_energy_recovery - Mixed_Paper - Canada</t>
  </si>
  <si>
    <t>c7c856fa-0d88-5e3e-9ff2-d08856fede3d</t>
  </si>
  <si>
    <t>3.418561594675769e-10</t>
  </si>
  <si>
    <t>2.0540419518261084e-08</t>
  </si>
  <si>
    <t>0.027471471368936518</t>
  </si>
  <si>
    <t>1.9128981691488956e-10</t>
  </si>
  <si>
    <t>1.6596536144618754e-05</t>
  </si>
  <si>
    <t>6.133864246904333e-09</t>
  </si>
  <si>
    <t>WTE_no_energy_recovery - Mixed_Paper - China</t>
  </si>
  <si>
    <t>015dbcab-7593-53f1-83f0-11d2106d5811</t>
  </si>
  <si>
    <t>3.4185687775589374e-10</t>
  </si>
  <si>
    <t>2.0540441108358846e-08</t>
  </si>
  <si>
    <t>0.010442731793972695</t>
  </si>
  <si>
    <t>0.027471420058523814</t>
  </si>
  <si>
    <t>1.912896093116289e-10</t>
  </si>
  <si>
    <t>1.6596530438185842e-05</t>
  </si>
  <si>
    <t>6.133833091875115e-09</t>
  </si>
  <si>
    <t>WTE_no_energy_recovery - Mixed_Paper - India</t>
  </si>
  <si>
    <t>ea7d9f5e-4ce0-52cc-b5ea-ed1c098d8f64</t>
  </si>
  <si>
    <t>3.418584712344385e-10</t>
  </si>
  <si>
    <t>2.0540836638839345e-08</t>
  </si>
  <si>
    <t>0.010442766993943127</t>
  </si>
  <si>
    <t>1.9129579904240276e-10</t>
  </si>
  <si>
    <t>1.65966996959358e-05</t>
  </si>
  <si>
    <t>6.134756293221275e-09</t>
  </si>
  <si>
    <t>WTE_no_energy_recovery - Mixed_Paper - Ireland</t>
  </si>
  <si>
    <t>2149b4fc-6978-5b5e-b402-ba16d9a74412</t>
  </si>
  <si>
    <t>3.418567034676312e-10</t>
  </si>
  <si>
    <t>2.0540554549011775e-08</t>
  </si>
  <si>
    <t>0.010442744991093279</t>
  </si>
  <si>
    <t>0.027471991029133933</t>
  </si>
  <si>
    <t>1.9129193003647829e-10</t>
  </si>
  <si>
    <t>1.6596593927779328e-05</t>
  </si>
  <si>
    <t>6.134179420015288e-09</t>
  </si>
  <si>
    <t>WTE_no_energy_recovery - Mixed_Paper - Mexico</t>
  </si>
  <si>
    <t>1c5ef429-ae19-5c94-95c9-5c0cfb6b0ed7</t>
  </si>
  <si>
    <t>3.4185799758553096e-10</t>
  </si>
  <si>
    <t>2.0540719070530873e-08</t>
  </si>
  <si>
    <t>0.010442756531030465</t>
  </si>
  <si>
    <t>0.027472489784322762</t>
  </si>
  <si>
    <t>1.9129395919389148e-10</t>
  </si>
  <si>
    <t>1.6596649385409224e-05</t>
  </si>
  <si>
    <t>6.134481878927917e-09</t>
  </si>
  <si>
    <t>WTE_no_energy_recovery - Mixed_Paper - Spain</t>
  </si>
  <si>
    <t>88388952-bf3d-5223-ba0d-72eb01a5c75d</t>
  </si>
  <si>
    <t>3.418569936009921e-10</t>
  </si>
  <si>
    <t>2.0540626565411885e-08</t>
  </si>
  <si>
    <t>0.010442751400144558</t>
  </si>
  <si>
    <t>0.027472268181238838</t>
  </si>
  <si>
    <t>1.9129305703465454e-10</t>
  </si>
  <si>
    <t>1.6596624745464896e-05</t>
  </si>
  <si>
    <t>6.134347512341103e-09</t>
  </si>
  <si>
    <t>WTE_no_energy_recovery - Mixed_Paper - USA</t>
  </si>
  <si>
    <t>f4fad1f1-81be-525b-9188-71e3894cb530</t>
  </si>
  <si>
    <t>3.418561130170641e-10</t>
  </si>
  <si>
    <t>2.05404079883952e-08</t>
  </si>
  <si>
    <t>0.027471426996728023</t>
  </si>
  <si>
    <t>1.659653121068991e-05</t>
  </si>
  <si>
    <t>WTE_no_energy_recovery - Mixed_Plastic - Australia</t>
  </si>
  <si>
    <t>9652a8a3-8e4b-5ed9-8a9f-884a4339a50a</t>
  </si>
  <si>
    <t>5.116879201184712e-10</t>
  </si>
  <si>
    <t>2.1486734896648945e-08</t>
  </si>
  <si>
    <t>0.017564841305963114</t>
  </si>
  <si>
    <t>2.1870245647238895</t>
  </si>
  <si>
    <t>2.0610884461732895e-10</t>
  </si>
  <si>
    <t>2.646852524578264e-05</t>
  </si>
  <si>
    <t>6.8820790494454296e-09</t>
  </si>
  <si>
    <t>WTE_no_energy_recovery - Mixed_Plastic - Brazil</t>
  </si>
  <si>
    <t>21915499-a1ae-5da2-a3a8-f90abc27e9c7</t>
  </si>
  <si>
    <t>5.116916067335272e-10</t>
  </si>
  <si>
    <t>2.1487404776694592e-08</t>
  </si>
  <si>
    <t>2.1870269324237643</t>
  </si>
  <si>
    <t>2.0611847415184202e-10</t>
  </si>
  <si>
    <t>2.6468788518505903e-05</t>
  </si>
  <si>
    <t>6.883515000476127e-09</t>
  </si>
  <si>
    <t>WTE_no_energy_recovery - Mixed_Plastic - Canada</t>
  </si>
  <si>
    <t>08591fd8-c0ee-5552-b6fe-4699b9426665</t>
  </si>
  <si>
    <t>5.116877126375545e-10</t>
  </si>
  <si>
    <t>2.1486683396095536e-08</t>
  </si>
  <si>
    <t>0.017564836722705795</t>
  </si>
  <si>
    <t>2.1870243665261637</t>
  </si>
  <si>
    <t>2.061080386754944e-10</t>
  </si>
  <si>
    <t>2.646850320736016e-05</t>
  </si>
  <si>
    <t>6.881958842829912e-09</t>
  </si>
  <si>
    <t>WTE_no_energy_recovery - Mixed_Plastic - China</t>
  </si>
  <si>
    <t>c6d1392f-3f6b-56f0-aba0-7c49d48418a6</t>
  </si>
  <si>
    <t>0.050657953064227115</t>
  </si>
  <si>
    <t>5.116888360349773e-10</t>
  </si>
  <si>
    <t>2.1486717038701767e-08</t>
  </si>
  <si>
    <t>2.187024285692849</t>
  </si>
  <si>
    <t>2.0610771161075134e-10</t>
  </si>
  <si>
    <t>2.6468494217579785e-05</t>
  </si>
  <si>
    <t>6.881909762244385e-09</t>
  </si>
  <si>
    <t>WTE_no_energy_recovery - Mixed_Plastic - India</t>
  </si>
  <si>
    <t>5aeace27-7a4c-5b24-8098-e5de81da263c</t>
  </si>
  <si>
    <t>0.050659707260196404</t>
  </si>
  <si>
    <t>5.116913463093809e-10</t>
  </si>
  <si>
    <t>2.1487340134661386e-08</t>
  </si>
  <si>
    <t>2.061174625564682e-10</t>
  </si>
  <si>
    <t>2.646876085650076e-05</t>
  </si>
  <si>
    <t>6.883364120528509e-09</t>
  </si>
  <si>
    <t>WTE_no_energy_recovery - Mixed_Plastic - Ireland</t>
  </si>
  <si>
    <t>3e57c9e8-b27b-5ad7-9b46-5ddb56967a12</t>
  </si>
  <si>
    <t>5.116885696239404e-10</t>
  </si>
  <si>
    <t>2.1486896115770997e-08</t>
  </si>
  <si>
    <t>0.017564855653551165</t>
  </si>
  <si>
    <t>2.1870251851689404</t>
  </si>
  <si>
    <t>2.061113675656663e-10</t>
  </si>
  <si>
    <t>2.64685942356268e-05</t>
  </si>
  <si>
    <t>6.882455348415644e-09</t>
  </si>
  <si>
    <t>WTE_no_energy_recovery - Mixed_Plastic - Mexico</t>
  </si>
  <si>
    <t>6692a2f3-25e7-5e37-b06a-ee628a3f9a09</t>
  </si>
  <si>
    <t>5.116906001501588e-10</t>
  </si>
  <si>
    <t>2.148715492431524e-08</t>
  </si>
  <si>
    <t>2.1870259708773276</t>
  </si>
  <si>
    <t>2.0611456416500182e-10</t>
  </si>
  <si>
    <t>2.6468681600191955e-05</t>
  </si>
  <si>
    <t>6.882931824039903e-09</t>
  </si>
  <si>
    <t>WTE_no_energy_recovery - Mixed_Plastic - Spain</t>
  </si>
  <si>
    <t>f0cce057-a208-56d2-9876-66b5d36ba5c9</t>
  </si>
  <si>
    <t>0.050658125399225415</t>
  </si>
  <si>
    <t>5.116890266833474e-10</t>
  </si>
  <si>
    <t>2.1487009566264807e-08</t>
  </si>
  <si>
    <t>2.1870256217784223</t>
  </si>
  <si>
    <t>2.0611314297375447e-10</t>
  </si>
  <si>
    <t>2.6468642784035588e-05</t>
  </si>
  <si>
    <t>6.882720151394637e-09</t>
  </si>
  <si>
    <t>WTE_no_energy_recovery - Mixed_Plastic - USA</t>
  </si>
  <si>
    <t>656cf4a9-78c3-5ae7-a232-5b8111afe031</t>
  </si>
  <si>
    <t>0.050657156000043245</t>
  </si>
  <si>
    <t>5.116876394620881e-10</t>
  </si>
  <si>
    <t>2.1486665232607898e-08</t>
  </si>
  <si>
    <t>0.017564835106258336</t>
  </si>
  <si>
    <t>2.187024296624739</t>
  </si>
  <si>
    <t>2.061077544316582e-10</t>
  </si>
  <si>
    <t>2.64684954347325e-05</t>
  </si>
  <si>
    <t>6.881916447723339e-09</t>
  </si>
  <si>
    <t>WTE_no_energy_recovery - Newsprint - Australia</t>
  </si>
  <si>
    <t>75c0ed86-6721-5833-bb3d-b1a654f5a3ec</t>
  </si>
  <si>
    <t>3.5864704136184007e-10</t>
  </si>
  <si>
    <t>1.9156243794520916e-08</t>
  </si>
  <si>
    <t>0.011117276816385921</t>
  </si>
  <si>
    <t>1.7671878767658335e-10</t>
  </si>
  <si>
    <t>1.756030340991764e-05</t>
  </si>
  <si>
    <t>5.398271029459089e-09</t>
  </si>
  <si>
    <t>WTE_no_energy_recovery - Newsprint - Brazil</t>
  </si>
  <si>
    <t>d494c923-40b5-55f0-892b-366a81e9be38</t>
  </si>
  <si>
    <t>3.5864806784938085e-10</t>
  </si>
  <si>
    <t>1.915642891321821e-08</t>
  </si>
  <si>
    <t>0.011117291911864988</t>
  </si>
  <si>
    <t>1.7672144210200699e-10</t>
  </si>
  <si>
    <t>1.7560375981860677e-05</t>
  </si>
  <si>
    <t>5.398666853420183e-09</t>
  </si>
  <si>
    <t>WTE_no_energy_recovery - Newsprint - Canada</t>
  </si>
  <si>
    <t>9ad0067b-2b46-52e8-8b3d-7f444348a638</t>
  </si>
  <si>
    <t>3.586469841692725e-10</t>
  </si>
  <si>
    <t>1.915622959828105e-08</t>
  </si>
  <si>
    <t>0.011117275553001077</t>
  </si>
  <si>
    <t>1.7671856551696155e-10</t>
  </si>
  <si>
    <t>1.7560297334978553e-05</t>
  </si>
  <si>
    <t>5.398237894244176e-09</t>
  </si>
  <si>
    <t>WTE_no_energy_recovery - Newsprint - China</t>
  </si>
  <si>
    <t>e8423338-8464-5c36-934b-5dddda3510a8</t>
  </si>
  <si>
    <t>3.5864730410030267e-10</t>
  </si>
  <si>
    <t>1.9156239336745455e-08</t>
  </si>
  <si>
    <t>0.011117275040633567</t>
  </si>
  <si>
    <t>1.7671847538415849e-10</t>
  </si>
  <si>
    <t>1.756029485717064e-05</t>
  </si>
  <si>
    <t>5.398224366011998e-09</t>
  </si>
  <si>
    <t>WTE_no_energy_recovery - Newsprint - India</t>
  </si>
  <si>
    <t>a98711d2-ffb0-5baa-891b-424ffe8bf94d</t>
  </si>
  <si>
    <t>3.586479960629194e-10</t>
  </si>
  <si>
    <t>1.9156411094504827e-08</t>
  </si>
  <si>
    <t>0.011117290326100236</t>
  </si>
  <si>
    <t>0.026683067303327417</t>
  </si>
  <si>
    <t>1.7672116325357244e-10</t>
  </si>
  <si>
    <t>1.7560368356769083e-05</t>
  </si>
  <si>
    <t>5.398625263035899e-09</t>
  </si>
  <si>
    <t>WTE_no_energy_recovery - Newsprint - Ireland</t>
  </si>
  <si>
    <t>908deffa-de55-5ada-96d2-1edb4da80ebb</t>
  </si>
  <si>
    <t>3.586472203994347e-10</t>
  </si>
  <si>
    <t>1.9156288234922357e-08</t>
  </si>
  <si>
    <t>0.011117280771329742</t>
  </si>
  <si>
    <t>1.7671948313277673e-10</t>
  </si>
  <si>
    <t>1.7560322427118158e-05</t>
  </si>
  <si>
    <t>5.398374757088272e-09</t>
  </si>
  <si>
    <t>WTE_no_energy_recovery - Newsprint - Mexico</t>
  </si>
  <si>
    <t>7a74ba18-0863-5ccb-8b5b-504b79cc3edb</t>
  </si>
  <si>
    <t>3.5864779038248726e-10</t>
  </si>
  <si>
    <t>1.9156360040866705e-08</t>
  </si>
  <si>
    <t>0.011117285782616192</t>
  </si>
  <si>
    <t>0.026682870825552225</t>
  </si>
  <si>
    <t>1.7672036430563332e-10</t>
  </si>
  <si>
    <t>1.7560346509595032e-05</t>
  </si>
  <si>
    <t>5.398506099567783e-09</t>
  </si>
  <si>
    <t>WTE_no_energy_recovery - Newsprint - Spain</t>
  </si>
  <si>
    <t>35052285-c01f-515c-9650-63a2729c9060</t>
  </si>
  <si>
    <t>3.586473463888536e-10</t>
  </si>
  <si>
    <t>1.9156319507797617e-08</t>
  </si>
  <si>
    <t>0.011117283554438247</t>
  </si>
  <si>
    <t>0.026682774593358726</t>
  </si>
  <si>
    <t>1.767199725278716e-10</t>
  </si>
  <si>
    <t>1.7560335809592527e-05</t>
  </si>
  <si>
    <t>5.398447750604923e-09</t>
  </si>
  <si>
    <t>WTE_no_energy_recovery - Newsprint - USA</t>
  </si>
  <si>
    <t>89d997da-6325-589b-9199-4809bb51f5a6</t>
  </si>
  <si>
    <t>3.5864696399829785e-10</t>
  </si>
  <si>
    <t>1.9156224591476534e-08</t>
  </si>
  <si>
    <t>0.011117275107423814</t>
  </si>
  <si>
    <t>0.026682409311866075</t>
  </si>
  <si>
    <t>1.76718487164532e-10</t>
  </si>
  <si>
    <t>1.7560295192436865e-05</t>
  </si>
  <si>
    <t>5.398226207940914e-09</t>
  </si>
  <si>
    <t>WTE_no_energy_recovery - Office_Paper - Australia</t>
  </si>
  <si>
    <t>0ee175a9-237d-5dd7-936f-1b7c082708f8</t>
  </si>
  <si>
    <t>3.185738664865549e-10</t>
  </si>
  <si>
    <t>2.4507953489127776e-08</t>
  </si>
  <si>
    <t>2.4315513487877297e-10</t>
  </si>
  <si>
    <t>1.5701790864219786e-05</t>
  </si>
  <si>
    <t>8.752425293125687e-09</t>
  </si>
  <si>
    <t>WTE_no_energy_recovery - Office_Paper - Brazil</t>
  </si>
  <si>
    <t>28c530e7-3f1f-5710-a0c0-641d737093a2</t>
  </si>
  <si>
    <t>3.1858090620352065e-10</t>
  </si>
  <si>
    <t>2.4509234412889853e-08</t>
  </si>
  <si>
    <t>2.431735565676005e-10</t>
  </si>
  <si>
    <t>1.5702294516077802e-05</t>
  </si>
  <si>
    <t>8.755172328697903e-09</t>
  </si>
  <si>
    <t>WTE_no_energy_recovery - Office_Paper - Canada</t>
  </si>
  <si>
    <t>3d28537a-194c-565b-9913-c2955e5f2785</t>
  </si>
  <si>
    <t>3.1857346956654275e-10</t>
  </si>
  <si>
    <t>2.4507854966330404e-08</t>
  </si>
  <si>
    <t>2.4315359307700646e-10</t>
  </si>
  <si>
    <t>1.5701748703759432e-05</t>
  </si>
  <si>
    <t>8.752195332643855e-09</t>
  </si>
  <si>
    <t>WTE_no_energy_recovery - Office_Paper - China</t>
  </si>
  <si>
    <t>34606dec-82c7-5ce9-8c95-d3ba74561976</t>
  </si>
  <si>
    <t>3.185756057367289e-10</t>
  </si>
  <si>
    <t>2.4507918740207872e-08</t>
  </si>
  <si>
    <t>2.4315296735855544e-10</t>
  </si>
  <si>
    <t>1.5701731505610392e-05</t>
  </si>
  <si>
    <t>8.75210143816756e-09</t>
  </si>
  <si>
    <t>WTE_no_energy_recovery - Office_Paper - India</t>
  </si>
  <si>
    <t>1e0274c0-bb69-5d8e-a896-f78a6f3f449b</t>
  </si>
  <si>
    <t>3.1858040800078016e-10</t>
  </si>
  <si>
    <t>2.450911074986528e-08</t>
  </si>
  <si>
    <t>0.037251606753389975</t>
  </si>
  <si>
    <t>2.431716213416309e-10</t>
  </si>
  <si>
    <t>1.5702241597458927e-05</t>
  </si>
  <si>
    <t>8.754883688796506e-09</t>
  </si>
  <si>
    <t>WTE_no_energy_recovery - Office_Paper - Ireland</t>
  </si>
  <si>
    <t>fe6e3149-e0a6-5f3c-b298-1d56b7642fba</t>
  </si>
  <si>
    <t>3.185751090187569e-10</t>
  </si>
  <si>
    <t>2.4508261908317846e-08</t>
  </si>
  <si>
    <t>2.431599613886365e-10</t>
  </si>
  <si>
    <t>1.570192284479122e-05</t>
  </si>
  <si>
    <t>8.753145169416531e-09</t>
  </si>
  <si>
    <t>WTE_no_energy_recovery - Office_Paper - Mexico</t>
  </si>
  <si>
    <t>aa134e5b-6f9c-509d-a654-c581409fcb06</t>
  </si>
  <si>
    <t>3.185789805657724e-10</t>
  </si>
  <si>
    <t>2.4508756434424898e-08</t>
  </si>
  <si>
    <t>2.4316607659277793e-10</t>
  </si>
  <si>
    <t>1.5702089976694555e-05</t>
  </si>
  <si>
    <t>8.754056686819853e-09</t>
  </si>
  <si>
    <t>WTE_no_energy_recovery - Office_Paper - Spain</t>
  </si>
  <si>
    <t>6a4afe26-c1de-5a1f-b088-db2fb03b3719</t>
  </si>
  <si>
    <t>3.185759833932689e-10</t>
  </si>
  <si>
    <t>2.4508478944044147e-08</t>
  </si>
  <si>
    <t>2.431633578214974e-10</t>
  </si>
  <si>
    <t>1.5702015720008045e-05</t>
  </si>
  <si>
    <t>8.753651749028345e-09</t>
  </si>
  <si>
    <t>WTE_no_energy_recovery - Office_Paper - USA</t>
  </si>
  <si>
    <t>fd932321-a6e8-52f4-8e84-ff5783c91930</t>
  </si>
  <si>
    <t>3.185733295786918e-10</t>
  </si>
  <si>
    <t>2.4507820218788424e-08</t>
  </si>
  <si>
    <t>2.431530493061872e-10</t>
  </si>
  <si>
    <t>1.570173383438474e-05</t>
  </si>
  <si>
    <t>8.752114228961684e-09</t>
  </si>
  <si>
    <t>WTE_no_energy_recovery - PET_Containers - Australia</t>
  </si>
  <si>
    <t>0135af1f-21de-5117-b4a3-399ba17be433</t>
  </si>
  <si>
    <t>5.780880304058262e-10</t>
  </si>
  <si>
    <t>1.896172026016438e-08</t>
  </si>
  <si>
    <t>0.020103877721293666</t>
  </si>
  <si>
    <t>2.5363325692766914</t>
  </si>
  <si>
    <t>1.7491939643531115e-10</t>
  </si>
  <si>
    <t>3.0053576118357395e-05</t>
  </si>
  <si>
    <t>5.307425640480334e-09</t>
  </si>
  <si>
    <t>WTE_no_energy_recovery - PET_Containers - Brazil</t>
  </si>
  <si>
    <t>6782dee1-bef2-525f-b56f-8c1fd4def867</t>
  </si>
  <si>
    <t>0.044363437184106444</t>
  </si>
  <si>
    <t>5.78088894028418e-10</t>
  </si>
  <si>
    <t>1.89618756995956e-08</t>
  </si>
  <si>
    <t>0.020103890388193296</t>
  </si>
  <si>
    <t>2.5363331169384287</t>
  </si>
  <si>
    <t>1.7492162381324e-10</t>
  </si>
  <si>
    <t>3.005363701474247e-05</t>
  </si>
  <si>
    <t>5.307757783192163e-09</t>
  </si>
  <si>
    <t>WTE_no_energy_recovery - PET_Containers - Canada</t>
  </si>
  <si>
    <t>cd992bbd-fc10-51d8-863a-e4532d39f5cc</t>
  </si>
  <si>
    <t>5.78087982414586e-10</t>
  </si>
  <si>
    <t>1.896170834786206e-08</t>
  </si>
  <si>
    <t>0.020103876661166333</t>
  </si>
  <si>
    <t>2.5363325234326966</t>
  </si>
  <si>
    <t>1.7491921001745953e-10</t>
  </si>
  <si>
    <t>3.005357102077444e-05</t>
  </si>
  <si>
    <t>5.307397836167503e-09</t>
  </si>
  <si>
    <t>WTE_no_energy_recovery - PET_Containers - China</t>
  </si>
  <si>
    <t>91dff587-2050-539b-b64d-ca8c8b17250b</t>
  </si>
  <si>
    <t>5.780882531537965e-10</t>
  </si>
  <si>
    <t>1.896171662280759e-08</t>
  </si>
  <si>
    <t>0.020103876231260975</t>
  </si>
  <si>
    <t>2.536332504738063</t>
  </si>
  <si>
    <t>1.7491913439069165e-10</t>
  </si>
  <si>
    <t>3.005356894165873e-05</t>
  </si>
  <si>
    <t>5.307386484610018e-09</t>
  </si>
  <si>
    <t>WTE_no_energy_recovery - PET_Containers - India</t>
  </si>
  <si>
    <t>e190b738-c89d-50a2-9b9c-c367e3088180</t>
  </si>
  <si>
    <t>5.780888337912016e-10</t>
  </si>
  <si>
    <t>1.8961860747615902e-08</t>
  </si>
  <si>
    <t>0.020103889057551637</t>
  </si>
  <si>
    <t>2.5363330593963447</t>
  </si>
  <si>
    <t>1.7492138982686602e-10</t>
  </si>
  <si>
    <t>3.0053630616400707e-05</t>
  </si>
  <si>
    <t>5.307722884005689e-09</t>
  </si>
  <si>
    <t>WTE_no_energy_recovery - PET_Containers - Ireland</t>
  </si>
  <si>
    <t>540a2135-b62b-56c0-9667-bab83ff9fa2d</t>
  </si>
  <si>
    <t>0.044362948061717714</t>
  </si>
  <si>
    <t>5.780881806392654e-10</t>
  </si>
  <si>
    <t>1.8961757550848227e-08</t>
  </si>
  <si>
    <t>0.020103881039953166</t>
  </si>
  <si>
    <t>1.7491998000423247e-10</t>
  </si>
  <si>
    <t>3.0053592076008313e-05</t>
  </si>
  <si>
    <t>5.307512680068232e-09</t>
  </si>
  <si>
    <t>WTE_no_energy_recovery - PET_Containers - Mexico</t>
  </si>
  <si>
    <t>aa955b8f-1162-5709-b90e-19880ab10be9</t>
  </si>
  <si>
    <t>5.780886612013077e-10</t>
  </si>
  <si>
    <t>1.8961817907653804e-08</t>
  </si>
  <si>
    <t>2.536332894528557</t>
  </si>
  <si>
    <t>1.749207194162843e-10</t>
  </si>
  <si>
    <t>3.005361228407163e-05</t>
  </si>
  <si>
    <t>5.307622891947045e-09</t>
  </si>
  <si>
    <t>WTE_no_energy_recovery - PET_Containers - Spain</t>
  </si>
  <si>
    <t>c29c6f96-ba06-5845-afdd-4ad40be546c2</t>
  </si>
  <si>
    <t>5.780882863590907e-10</t>
  </si>
  <si>
    <t>1.896178379244014e-08</t>
  </si>
  <si>
    <t>2.5363328137780026</t>
  </si>
  <si>
    <t>1.749203906638555e-10</t>
  </si>
  <si>
    <t>3.0053603305466428e-05</t>
  </si>
  <si>
    <t>5.307573930148824e-09</t>
  </si>
  <si>
    <t>WTE_no_energy_recovery - PET_Containers - USA</t>
  </si>
  <si>
    <t>71a55d7e-3499-5d58-b6a3-5ffc22824f52</t>
  </si>
  <si>
    <t>0.044362797713171156</t>
  </si>
  <si>
    <t>5.780879654887842e-10</t>
  </si>
  <si>
    <t>1.8961704146568768e-08</t>
  </si>
  <si>
    <t>2.5363325072641927</t>
  </si>
  <si>
    <t>1.7491914427062625e-10</t>
  </si>
  <si>
    <t>3.00535692229319e-05</t>
  </si>
  <si>
    <t>5.307388029995056e-09</t>
  </si>
  <si>
    <t>WTE_no_energy_recovery - Paper_Bags - Australia</t>
  </si>
  <si>
    <t>045ff043-30ca-5ecc-9ce8-2fdffbff4b4f</t>
  </si>
  <si>
    <t>3.566560916619037e-10</t>
  </si>
  <si>
    <t>1.91447329211871e-08</t>
  </si>
  <si>
    <t>0.010944978727352795</t>
  </si>
  <si>
    <t>0.026389736758903937</t>
  </si>
  <si>
    <t>1.7389621318047136e-10</t>
  </si>
  <si>
    <t>1.7325918051004792e-05</t>
  </si>
  <si>
    <t>5.255768458512022e-09</t>
  </si>
  <si>
    <t>WTE_no_energy_recovery - Paper_Bags - Brazil</t>
  </si>
  <si>
    <t>79295494-b908-5e92-aa85-d1bac65d1255</t>
  </si>
  <si>
    <t>3.566568626750137e-10</t>
  </si>
  <si>
    <t>1.9144871484172833e-08</t>
  </si>
  <si>
    <t>0.010944990013295476</t>
  </si>
  <si>
    <t>0.026390224713508405</t>
  </si>
  <si>
    <t>1.7389819772747144e-10</t>
  </si>
  <si>
    <t>1.732597230834708e-05</t>
  </si>
  <si>
    <t>5.256064390317465e-09</t>
  </si>
  <si>
    <t>WTE_no_energy_recovery - Paper_Bags - Canada</t>
  </si>
  <si>
    <t>9f8def2f-871e-5310-adbf-ace6f38c055a</t>
  </si>
  <si>
    <t>3.5665604890279064e-10</t>
  </si>
  <si>
    <t>1.914472230759438e-08</t>
  </si>
  <si>
    <t>0.010944977782803247</t>
  </si>
  <si>
    <t>0.026389695912937886</t>
  </si>
  <si>
    <t>1.7389604708637013e-10</t>
  </si>
  <si>
    <t>1.732591350917335e-05</t>
  </si>
  <si>
    <t>5.2557436854964495e-09</t>
  </si>
  <si>
    <t>WTE_no_energy_recovery - Paper_Bags - China</t>
  </si>
  <si>
    <t>2914f094-303f-5f3d-9888-6527bbf32e54</t>
  </si>
  <si>
    <t>3.566562916701819e-10</t>
  </si>
  <si>
    <t>1.9144729750342892e-08</t>
  </si>
  <si>
    <t>0.026389679256789877</t>
  </si>
  <si>
    <t>1.7389597970813314e-10</t>
  </si>
  <si>
    <t>1.7325911656764952e-05</t>
  </si>
  <si>
    <t>5.255733571655946e-09</t>
  </si>
  <si>
    <t>WTE_no_energy_recovery - Paper_Bags - India</t>
  </si>
  <si>
    <t>a6e42747-900f-5e28-b924-5b7c8e70a673</t>
  </si>
  <si>
    <t>3.566568090050193e-10</t>
  </si>
  <si>
    <t>1.9144858162297258e-08</t>
  </si>
  <si>
    <t>0.010944988827723824</t>
  </si>
  <si>
    <t>0.026390173444809505</t>
  </si>
  <si>
    <t>1.7389798925089886e-10</t>
  </si>
  <si>
    <t>1.7325966607568998e-05</t>
  </si>
  <si>
    <t>5.2560332959301265e-09</t>
  </si>
  <si>
    <t>WTE_no_energy_recovery - Paper_Bags - Ireland</t>
  </si>
  <si>
    <t>cc88db77-3487-566b-923a-d1b63fc009a3</t>
  </si>
  <si>
    <t>3.566562255165088e-10</t>
  </si>
  <si>
    <t>1.9144766146345266e-08</t>
  </si>
  <si>
    <t>0.010944981684203553</t>
  </si>
  <si>
    <t>0.026389864624536286</t>
  </si>
  <si>
    <t>1.7389673312721713e-10</t>
  </si>
  <si>
    <t>1.7325932268911802e-05</t>
  </si>
  <si>
    <t>5.255846008821537e-09</t>
  </si>
  <si>
    <t>WTE_no_energy_recovery - Paper_Bags - Mexico</t>
  </si>
  <si>
    <t>54d2b3a3-5809-5026-8e55-7952281998e9</t>
  </si>
  <si>
    <t>0.044226373599649496</t>
  </si>
  <si>
    <t>3.566566552313104e-10</t>
  </si>
  <si>
    <t>1.914481999285624e-08</t>
  </si>
  <si>
    <t>0.010944985430860307</t>
  </si>
  <si>
    <t>1.7389739193018377e-10</t>
  </si>
  <si>
    <t>1.7325950273877204e-05</t>
  </si>
  <si>
    <t>5.255944205260742e-09</t>
  </si>
  <si>
    <t>WTE_no_energy_recovery - Paper_Bags - Spain</t>
  </si>
  <si>
    <t>7db16df6-f3d8-5060-a2a0-77b142c52e0a</t>
  </si>
  <si>
    <t>3.566563197104987e-10</t>
  </si>
  <si>
    <t>1.914478952701368e-08</t>
  </si>
  <si>
    <t>0.010944983764950294</t>
  </si>
  <si>
    <t>0.026389954604055597</t>
  </si>
  <si>
    <t>1.738970990156719e-10</t>
  </si>
  <si>
    <t>1.7325942274105633e-05</t>
  </si>
  <si>
    <t>5.25590058126202e-09</t>
  </si>
  <si>
    <t>WTE_no_energy_recovery - Paper_Bags - USA</t>
  </si>
  <si>
    <t>f0431234-b086-5a59-b5fe-f3177ed1ae3b</t>
  </si>
  <si>
    <t>0.044225947778913956</t>
  </si>
  <si>
    <t>3.566560338222836e-10</t>
  </si>
  <si>
    <t>1.9144718564336862e-08</t>
  </si>
  <si>
    <t>0.010944977449674521</t>
  </si>
  <si>
    <t>0.026389681507166248</t>
  </si>
  <si>
    <t>1.738959885074251e-10</t>
  </si>
  <si>
    <t>1.7325911907336204e-05</t>
  </si>
  <si>
    <t>5.255734948417993e-09</t>
  </si>
  <si>
    <t>WTE_no_energy_recovery - Paper_Non_recyclable - Australia</t>
  </si>
  <si>
    <t>2dabe574-713d-51fb-90ea-07a2d0e8d4ac</t>
  </si>
  <si>
    <t>3.677733611563077e-10</t>
  </si>
  <si>
    <t>1.963756755659176e-08</t>
  </si>
  <si>
    <t>0.011431521086214294</t>
  </si>
  <si>
    <t>0.026991512169268247</t>
  </si>
  <si>
    <t>1.798941839847051e-10</t>
  </si>
  <si>
    <t>1.7991337341068695e-05</t>
  </si>
  <si>
    <t>5.55858642177454e-09</t>
  </si>
  <si>
    <t>WTE_no_energy_recovery - Paper_Non_recyclable - Brazil</t>
  </si>
  <si>
    <t>d72c5f37-35d0-5c68-936c-dcc93a117903</t>
  </si>
  <si>
    <t>3.6777467505258176e-10</t>
  </si>
  <si>
    <t>1.9637805050464398e-08</t>
  </si>
  <si>
    <t>0.011431540467421753</t>
  </si>
  <si>
    <t>0.026992350131206575</t>
  </si>
  <si>
    <t>1.7989759202335436e-10</t>
  </si>
  <si>
    <t>1.7991430516937564e-05</t>
  </si>
  <si>
    <t>5.559094624410482e-09</t>
  </si>
  <si>
    <t>WTE_no_energy_recovery - Paper_Non_recyclable - Canada</t>
  </si>
  <si>
    <t>ac8b2836-5a71-521d-a266-1771b4ff4265</t>
  </si>
  <si>
    <t>0.045367134331770725</t>
  </si>
  <si>
    <t>3.6777328772610333e-10</t>
  </si>
  <si>
    <t>1.9637549329873824e-08</t>
  </si>
  <si>
    <t>0.011431519464139747</t>
  </si>
  <si>
    <t>0.026991442024508094</t>
  </si>
  <si>
    <t>1.7989389875137685e-10</t>
  </si>
  <si>
    <t>1.799132954138351e-05</t>
  </si>
  <si>
    <t>5.558543879085373e-09</t>
  </si>
  <si>
    <t>WTE_no_energy_recovery - Paper_Non_recyclable - China</t>
  </si>
  <si>
    <t>d3370ad0-afb3-5947-b4a7-f442ddccaa78</t>
  </si>
  <si>
    <t>3.6777369446622747e-10</t>
  </si>
  <si>
    <t>1.9637561651018624e-08</t>
  </si>
  <si>
    <t>0.011431518806250809</t>
  </si>
  <si>
    <t>1.7989378301968277e-10</t>
  </si>
  <si>
    <t>1.799132636000114e-05</t>
  </si>
  <si>
    <t>5.558526509662556e-09</t>
  </si>
  <si>
    <t>WTE_no_energy_recovery - Paper_Non_recyclable - India</t>
  </si>
  <si>
    <t>e5abc07c-b752-57bd-b2bc-bcfb215e2472</t>
  </si>
  <si>
    <t>3.677745828850679e-10</t>
  </si>
  <si>
    <t>1.963778217280365e-08</t>
  </si>
  <si>
    <t>0.011431538431439596</t>
  </si>
  <si>
    <t>0.026992262087484682</t>
  </si>
  <si>
    <t>1.7989723400653833e-10</t>
  </si>
  <si>
    <t>1.7991420726992996e-05</t>
  </si>
  <si>
    <t>5.559041226028699e-09</t>
  </si>
  <si>
    <t>WTE_no_energy_recovery - Paper_Non_recyclable - Ireland</t>
  </si>
  <si>
    <t>e28eca9d-dce6-5677-b0ba-034e882ccb0d</t>
  </si>
  <si>
    <t>3.677735910247651e-10</t>
  </si>
  <si>
    <t>1.963762461414188e-08</t>
  </si>
  <si>
    <t>0.011431526164012855</t>
  </si>
  <si>
    <t>1.798950768890314e-10</t>
  </si>
  <si>
    <t>1.7991361757474414e-05</t>
  </si>
  <si>
    <t>5.558719598888348e-09</t>
  </si>
  <si>
    <t>WTE_no_energy_recovery - Paper_Non_recyclable - Mexico</t>
  </si>
  <si>
    <t>d265cb58-0fa2-5009-a9f0-5072c10a5f86</t>
  </si>
  <si>
    <t>0.045367840722188406</t>
  </si>
  <si>
    <t>3.677743188096004e-10</t>
  </si>
  <si>
    <t>1.963771662444875e-08</t>
  </si>
  <si>
    <t>0.011431532598007684</t>
  </si>
  <si>
    <t>0.026992009827381033</t>
  </si>
  <si>
    <t>1.7989620822801407e-10</t>
  </si>
  <si>
    <t>1.7991392677151708e-05</t>
  </si>
  <si>
    <t>5.558888230663212e-09</t>
  </si>
  <si>
    <t>WTE_no_energy_recovery - Paper_Non_recyclable - Spain</t>
  </si>
  <si>
    <t>2d363ab1-3ea6-5d76-ba06-a7bcb65566cb</t>
  </si>
  <si>
    <t>3.677737527840593e-10</t>
  </si>
  <si>
    <t>1.963766476575297e-08</t>
  </si>
  <si>
    <t>1.798957052291175e-10</t>
  </si>
  <si>
    <t>1.799137893938954e-05</t>
  </si>
  <si>
    <t>5.5588133161168255e-09</t>
  </si>
  <si>
    <t>WTE_no_energy_recovery - Paper_Non_recyclable - USA</t>
  </si>
  <si>
    <t>b9150da4-c0fc-5f47-8b73-93f3faa58651</t>
  </si>
  <si>
    <t>3.677732618283532e-10</t>
  </si>
  <si>
    <t>1.9637542901578937e-08</t>
  </si>
  <si>
    <t>0.026991417285482364</t>
  </si>
  <si>
    <t>1.7989379815377745e-10</t>
  </si>
  <si>
    <t>1.7991326790549225e-05</t>
  </si>
  <si>
    <t>5.558528874904202e-09</t>
  </si>
  <si>
    <t>WTE_no_energy_recovery - Plastic_Film - Australia</t>
  </si>
  <si>
    <t>f538115a-f1a0-59fb-a5df-9df08f1d90a5</t>
  </si>
  <si>
    <t>6.093713401935108e-10</t>
  </si>
  <si>
    <t>2.0625702523824216e-08</t>
  </si>
  <si>
    <t>0.021446480884598714</t>
  </si>
  <si>
    <t>2.4956079529639843</t>
  </si>
  <si>
    <t>1.9383064555924835e-10</t>
  </si>
  <si>
    <t>3.1885536188193716e-05</t>
  </si>
  <si>
    <t>6.262192865825685e-09</t>
  </si>
  <si>
    <t>WTE_no_energy_recovery - Plastic_Film - Brazil</t>
  </si>
  <si>
    <t>cb8836fb-b935-5bd1-9dcb-8467db1b3946</t>
  </si>
  <si>
    <t>6.093739154947917e-10</t>
  </si>
  <si>
    <t>2.062616988652404e-08</t>
  </si>
  <si>
    <t>0.021446519075392027</t>
  </si>
  <si>
    <t>2.4956096041782594</t>
  </si>
  <si>
    <t>1.9383736112261577e-10</t>
  </si>
  <si>
    <t>3.188571979240381e-05</t>
  </si>
  <si>
    <t>6.263194285980136e-09</t>
  </si>
  <si>
    <t>WTE_no_energy_recovery - Plastic_Film - Canada</t>
  </si>
  <si>
    <t>7dbfe71b-561f-55f5-a119-0274209db4c4</t>
  </si>
  <si>
    <t>6.093711954981224e-10</t>
  </si>
  <si>
    <t>2.062566660778595e-08</t>
  </si>
  <si>
    <t>0.021446477688274932</t>
  </si>
  <si>
    <t>2.495607814742614</t>
  </si>
  <si>
    <t>1.9383008350242182e-10</t>
  </si>
  <si>
    <t>3.188552081878952e-05</t>
  </si>
  <si>
    <t>6.2621090347772894e-09</t>
  </si>
  <si>
    <t>WTE_no_energy_recovery - Plastic_Film - China</t>
  </si>
  <si>
    <t>09d0a0e6-c6ba-5ac5-8e63-3a4a85652a89</t>
  </si>
  <si>
    <t>6.093719832337154e-10</t>
  </si>
  <si>
    <t>2.0625690264028017e-08</t>
  </si>
  <si>
    <t>0.021446476391708574</t>
  </si>
  <si>
    <t>2.495607758371133</t>
  </si>
  <si>
    <t>1.9382985542004784e-10</t>
  </si>
  <si>
    <t>3.188551454949703e-05</t>
  </si>
  <si>
    <t>6.262074806795559e-09</t>
  </si>
  <si>
    <t>WTE_no_energy_recovery - Plastic_Film - India</t>
  </si>
  <si>
    <t>6e2db92d-0ce3-5453-a72f-182b0e81bb80</t>
  </si>
  <si>
    <t>6.093737338772188e-10</t>
  </si>
  <si>
    <t>2.0626124805725326e-08</t>
  </si>
  <si>
    <t>2.4956094306866983</t>
  </si>
  <si>
    <t>1.9383665564475853e-10</t>
  </si>
  <si>
    <t>3.1885700501161584e-05</t>
  </si>
  <si>
    <t>6.263089063615002e-09</t>
  </si>
  <si>
    <t>WTE_no_energy_recovery - Plastic_Film - Ireland</t>
  </si>
  <si>
    <t>5ffa005a-8dc7-588f-b482-352c3e3eb6e3</t>
  </si>
  <si>
    <t>6.09371793152977e-10</t>
  </si>
  <si>
    <t>2.0625814956638027e-08</t>
  </si>
  <si>
    <t>0.021446490890481864</t>
  </si>
  <si>
    <t>2.4956083856569684</t>
  </si>
  <si>
    <t>1.93832405041482e-10</t>
  </si>
  <si>
    <t>3.188558430111113e-05</t>
  </si>
  <si>
    <t>6.262455293455349e-09</t>
  </si>
  <si>
    <t>WTE_no_energy_recovery - Plastic_Film - Mexico</t>
  </si>
  <si>
    <t>ec3aca90-487d-55cf-b95b-e406a06a0035</t>
  </si>
  <si>
    <t>0.048170895047216125</t>
  </si>
  <si>
    <t>6.093732135123029e-10</t>
  </si>
  <si>
    <t>2.0625995641647115e-08</t>
  </si>
  <si>
    <t>2.4956089336041343</t>
  </si>
  <si>
    <t>1.938346343317965e-10</t>
  </si>
  <si>
    <t>3.188564522850135e-05</t>
  </si>
  <si>
    <t>6.262787583804245e-09</t>
  </si>
  <si>
    <t>WTE_no_energy_recovery - Plastic_Film - Spain</t>
  </si>
  <si>
    <t>9b94e40b-016a-524f-bbb4-7aa955543f2f</t>
  </si>
  <si>
    <t>6.093721119022314e-10</t>
  </si>
  <si>
    <t>2.0625894076025516e-08</t>
  </si>
  <si>
    <t>2.495608690144624</t>
  </si>
  <si>
    <t>1.938336431956446e-10</t>
  </si>
  <si>
    <t>3.1885618158349294e-05</t>
  </si>
  <si>
    <t>6.262639964750421e-09</t>
  </si>
  <si>
    <t>WTE_no_energy_recovery - Plastic_Film - USA</t>
  </si>
  <si>
    <t>c485c311-c679-5237-99d5-7e5d8d1e6e7b</t>
  </si>
  <si>
    <t>6.093711444661899e-10</t>
  </si>
  <si>
    <t>2.0625653940727756e-08</t>
  </si>
  <si>
    <t>0.021446476560978523</t>
  </si>
  <si>
    <t>2.495607765993969</t>
  </si>
  <si>
    <t>1.9382988527324298e-10</t>
  </si>
  <si>
    <t>3.188551539822659e-05</t>
  </si>
  <si>
    <t>6.262079468798628e-09</t>
  </si>
  <si>
    <t>WTE_no_energy_recovery - Plastic_Non_Recyclable - Australia</t>
  </si>
  <si>
    <t>47f20e33-579f-5369-bf9f-565d29912725</t>
  </si>
  <si>
    <t>5.870654649876535e-10</t>
  </si>
  <si>
    <t>2.0122168168916244e-08</t>
  </si>
  <si>
    <t>0.020562222819460473</t>
  </si>
  <si>
    <t>2.367012322973539</t>
  </si>
  <si>
    <t>1.8952621945268057e-10</t>
  </si>
  <si>
    <t>3.066430156761342e-05</t>
  </si>
  <si>
    <t>6.0448764451314085e-09</t>
  </si>
  <si>
    <t>WTE_no_energy_recovery - Plastic_Non_Recyclable - Brazil</t>
  </si>
  <si>
    <t>0dde5518-141a-59a2-95dc-4169a37ec020</t>
  </si>
  <si>
    <t>5.870676506904204e-10</t>
  </si>
  <si>
    <t>2.012256453415453e-08</t>
  </si>
  <si>
    <t>0.020562255200710783</t>
  </si>
  <si>
    <t>2.367013723006078</t>
  </si>
  <si>
    <t>1.8953191345145352e-10</t>
  </si>
  <si>
    <t>3.0664457242057344e-05</t>
  </si>
  <si>
    <t>6.0457255297486865e-09</t>
  </si>
  <si>
    <t>WTE_no_energy_recovery - Plastic_Non_Recyclable - Canada</t>
  </si>
  <si>
    <t>cb159d30-c3cc-5624-a427-9c7d4a25c780</t>
  </si>
  <si>
    <t>5.870653423032837e-10</t>
  </si>
  <si>
    <t>2.0122137716414882e-08</t>
  </si>
  <si>
    <t>2.3670122057783614</t>
  </si>
  <si>
    <t>1.8952574289577e-10</t>
  </si>
  <si>
    <t>3.066428853619838e-05</t>
  </si>
  <si>
    <t>6.044805366436999e-09</t>
  </si>
  <si>
    <t>WTE_no_energy_recovery - Plastic_Non_Recyclable - China</t>
  </si>
  <si>
    <t>33190390-b23a-5875-b8af-81e6a2f5c890</t>
  </si>
  <si>
    <t>5.870660123643263e-10</t>
  </si>
  <si>
    <t>2.0122157871690206e-08</t>
  </si>
  <si>
    <t>0.020562219010056528</t>
  </si>
  <si>
    <t>2.3670121579825802</t>
  </si>
  <si>
    <t>1.8952554951411222e-10</t>
  </si>
  <si>
    <t>3.066428322064015e-05</t>
  </si>
  <si>
    <t>6.044776345402584e-09</t>
  </si>
  <si>
    <t>WTE_no_energy_recovery - Plastic_Non_Recyclable - India</t>
  </si>
  <si>
    <t>1e2229bd-9569-57ca-9f2b-99bd10c03004</t>
  </si>
  <si>
    <t>5.87067496700472e-10</t>
  </si>
  <si>
    <t>2.0122526311036105e-08</t>
  </si>
  <si>
    <t>2.3670135759060016</t>
  </si>
  <si>
    <t>1.8953131529068976e-10</t>
  </si>
  <si>
    <t>3.0664440885393186e-05</t>
  </si>
  <si>
    <t>6.045636313778287e-09</t>
  </si>
  <si>
    <t>WTE_no_energy_recovery - Plastic_Non_Recyclable - Ireland</t>
  </si>
  <si>
    <t>253e2e19-01f5-535e-9781-9f852bd587bd</t>
  </si>
  <si>
    <t>0.047334451999607424</t>
  </si>
  <si>
    <t>5.870658490430613e-10</t>
  </si>
  <si>
    <t>2.0122263498484042e-08</t>
  </si>
  <si>
    <t>2.367012689845396</t>
  </si>
  <si>
    <t>1.8952771128300356e-10</t>
  </si>
  <si>
    <t>3.066434236160823e-05</t>
  </si>
  <si>
    <t>6.045098952348579e-09</t>
  </si>
  <si>
    <t>WTE_no_energy_recovery - Plastic_Non_Recyclable - Mexico</t>
  </si>
  <si>
    <t>23f05c00-ce88-5ac9-a7db-d39c016f33ef</t>
  </si>
  <si>
    <t>0.047335271762256034</t>
  </si>
  <si>
    <t>5.870670554933035e-10</t>
  </si>
  <si>
    <t>2.0122416795357257e-08</t>
  </si>
  <si>
    <t>0.020562242052795304</t>
  </si>
  <si>
    <t>2.3670131544394883</t>
  </si>
  <si>
    <t>1.8952960145923583e-10</t>
  </si>
  <si>
    <t>3.066439402079344e-05</t>
  </si>
  <si>
    <t>6.045380694986004e-09</t>
  </si>
  <si>
    <t>WTE_no_energy_recovery - Plastic_Non_Recyclable - Spain</t>
  </si>
  <si>
    <t>35f16b2b-755a-5ba2-9b96-6e43671bf34b</t>
  </si>
  <si>
    <t>5.87066119304274e-10</t>
  </si>
  <si>
    <t>2.0122330582254037e-08</t>
  </si>
  <si>
    <t>0.020562237273326945</t>
  </si>
  <si>
    <t>2.3670129480144793</t>
  </si>
  <si>
    <t>1.895287610895243e-10</t>
  </si>
  <si>
    <t>3.0664371068493433e-05</t>
  </si>
  <si>
    <t>6.045255531501373e-09</t>
  </si>
  <si>
    <t>WTE_no_energy_recovery - Plastic_Non_Recyclable - USA</t>
  </si>
  <si>
    <t>1780a6c3-e165-529b-80d7-8eef18a14a3a</t>
  </si>
  <si>
    <t>0.047334067649939554</t>
  </si>
  <si>
    <t>5.870652990343139e-10</t>
  </si>
  <si>
    <t>2.0122126976265863e-08</t>
  </si>
  <si>
    <t>2.367012164445346</t>
  </si>
  <si>
    <t>1.895255748211549e-10</t>
  </si>
  <si>
    <t>3.066428394020986e-05</t>
  </si>
  <si>
    <t>6.044780298026171e-09</t>
  </si>
  <si>
    <t>WTE_no_energy_recovery - Plastic_Other_1_Polypropylene - Australia</t>
  </si>
  <si>
    <t>9df0e173-8ae2-5b20-a4d3-db817105031e</t>
  </si>
  <si>
    <t>7.955552160317944e-10</t>
  </si>
  <si>
    <t>1.8608338419587143e-08</t>
  </si>
  <si>
    <t>3.183367027092916</t>
  </si>
  <si>
    <t>4.2384839285317086e-05</t>
  </si>
  <si>
    <t>WTE_no_energy_recovery - Plastic_Other_1_Polypropylene - Brazil</t>
  </si>
  <si>
    <t>abfd6248-74b3-51be-8534-c2bd6daa6f1d</t>
  </si>
  <si>
    <t>0.043541324230959785</t>
  </si>
  <si>
    <t>7.955556453478503e-10</t>
  </si>
  <si>
    <t>1.860841471430787e-08</t>
  </si>
  <si>
    <t>0.028970032673230166</t>
  </si>
  <si>
    <t>3.1833672947487885</t>
  </si>
  <si>
    <t>1.701221083765448e-10</t>
  </si>
  <si>
    <t>4.2384869046881e-05</t>
  </si>
  <si>
    <t>5.06533359591822e-09</t>
  </si>
  <si>
    <t>WTE_no_energy_recovery - Plastic_Other_1_Polypropylene - Canada</t>
  </si>
  <si>
    <t>cfb6608d-545b-5ba2-97c0-f8772ec7d509</t>
  </si>
  <si>
    <t>7.955551925774249e-10</t>
  </si>
  <si>
    <t>1.8608332597784543e-08</t>
  </si>
  <si>
    <t>3.1833670046879567</t>
  </si>
  <si>
    <t>1.7012092868545402e-10</t>
  </si>
  <si>
    <t>4.238483679401713e-05</t>
  </si>
  <si>
    <t>WTE_no_energy_recovery - Plastic_Other_1_Polypropylene - China</t>
  </si>
  <si>
    <t>06e92d18-24f8-569c-a9a3-8ea82eb10a80</t>
  </si>
  <si>
    <t>7.955553321384511e-10</t>
  </si>
  <si>
    <t>1.8608336970013487e-08</t>
  </si>
  <si>
    <t>3.1833669955531185</t>
  </si>
  <si>
    <t>4.2384835778080586e-05</t>
  </si>
  <si>
    <t>WTE_no_energy_recovery - Plastic_Other_1_Polypropylene - India</t>
  </si>
  <si>
    <t>ad48f1bf-8fab-566c-9259-11c06fc5a977</t>
  </si>
  <si>
    <t>0.043541303658616366</t>
  </si>
  <si>
    <t>7.955556159085911e-10</t>
  </si>
  <si>
    <t>1.860840740694633e-08</t>
  </si>
  <si>
    <t>0.028970032022916512</t>
  </si>
  <si>
    <t>3.183367266626715</t>
  </si>
  <si>
    <t>1.7012199402226365e-10</t>
  </si>
  <si>
    <t>4.238486591987157e-05</t>
  </si>
  <si>
    <t>5.065316539923451e-09</t>
  </si>
  <si>
    <t>WTE_no_energy_recovery - Plastic_Other_1_Polypropylene - Ireland</t>
  </si>
  <si>
    <t>f1752565-5897-58af-8583-96313b783311</t>
  </si>
  <si>
    <t>0.043541080357916914</t>
  </si>
  <si>
    <t>7.955552894541519e-10</t>
  </si>
  <si>
    <t>1.8608356644357502e-08</t>
  </si>
  <si>
    <t>3.1833670972301835</t>
  </si>
  <si>
    <t>1.701213049947797e-10</t>
  </si>
  <si>
    <t>4.238484708416904e-05</t>
  </si>
  <si>
    <t>5.065213808014784e-09</t>
  </si>
  <si>
    <t>WTE_no_energy_recovery - Plastic_Other_1_Polypropylene - Mexico</t>
  </si>
  <si>
    <t>832145e3-6860-5b34-9feb-b2f2dc5a747e</t>
  </si>
  <si>
    <t>7.955555315601646e-10</t>
  </si>
  <si>
    <t>1.8608386470125836e-08</t>
  </si>
  <si>
    <t>0.028970030159658124</t>
  </si>
  <si>
    <t>3.1833671860522332</t>
  </si>
  <si>
    <t>4.2384856960462844e-05</t>
  </si>
  <si>
    <t>WTE_no_energy_recovery - Plastic_Other_1_Polypropylene - Spain</t>
  </si>
  <si>
    <t>0f2e365d-50bd-52f3-9cc2-c6ca3f912833</t>
  </si>
  <si>
    <t>7.955553411217339e-10</t>
  </si>
  <si>
    <t>1.860836946919537e-08</t>
  </si>
  <si>
    <t>3.183367146586037</t>
  </si>
  <si>
    <t>1.7012150569308498e-10</t>
  </si>
  <si>
    <t>4.238485257225001e-05</t>
  </si>
  <si>
    <t>5.065243742264558e-09</t>
  </si>
  <si>
    <t>WTE_no_energy_recovery - Plastic_Other_1_Polypropylene - USA</t>
  </si>
  <si>
    <t>2ad19be4-a75d-5a87-ad63-a1bcb211808f</t>
  </si>
  <si>
    <t>0.043541006879303845</t>
  </si>
  <si>
    <t>7.955551843054203e-10</t>
  </si>
  <si>
    <t>1.860833054452164e-08</t>
  </si>
  <si>
    <t>0.028970025781706134</t>
  </si>
  <si>
    <t>3.183366996786055</t>
  </si>
  <si>
    <t>1.7012089655354175e-10</t>
  </si>
  <si>
    <t>4.238483591537228e-05</t>
  </si>
  <si>
    <t>WTE_no_energy_recovery - Plastic_Other_2 - Australia</t>
  </si>
  <si>
    <t>de938dab-c9ab-5729-ac71-7f6e87413c04</t>
  </si>
  <si>
    <t>0.044320242440887996</t>
  </si>
  <si>
    <t>7.179779246397465e-10</t>
  </si>
  <si>
    <t>1.8942238875972107e-08</t>
  </si>
  <si>
    <t>0.025827920582758825</t>
  </si>
  <si>
    <t>3.0368307213495918</t>
  </si>
  <si>
    <t>1.7470770334810294e-10</t>
  </si>
  <si>
    <t>3.800952143976501e-05</t>
  </si>
  <si>
    <t>5.2967379476593024e-09</t>
  </si>
  <si>
    <t>WTE_no_energy_recovery - Plastic_Other_2 - Brazil</t>
  </si>
  <si>
    <t>bfb6d9b3-d3cd-549f-9a2f-1a2673399094</t>
  </si>
  <si>
    <t>0.044320823359488136</t>
  </si>
  <si>
    <t>7.179787691017558e-10</t>
  </si>
  <si>
    <t>1.8942390823724848e-08</t>
  </si>
  <si>
    <t>0.025827932963943232</t>
  </si>
  <si>
    <t>1.747098804851565e-10</t>
  </si>
  <si>
    <t>3.800958096255507e-05</t>
  </si>
  <si>
    <t>5.29706259846013e-09</t>
  </si>
  <si>
    <t>WTE_no_energy_recovery - Plastic_Other_2 - Canada</t>
  </si>
  <si>
    <t>a850729b-d8ed-55a2-beae-cee3d1a7d781</t>
  </si>
  <si>
    <t>7.179778777310157e-10</t>
  </si>
  <si>
    <t>1.8942227232368336e-08</t>
  </si>
  <si>
    <t>0.025827919546544134</t>
  </si>
  <si>
    <t>3.0368306765396706</t>
  </si>
  <si>
    <t>1.7470752113516513e-10</t>
  </si>
  <si>
    <t>3.800951645716512e-05</t>
  </si>
  <si>
    <t>5.2967107705114205e-09</t>
  </si>
  <si>
    <t>WTE_no_energy_recovery - Plastic_Other_2 - China</t>
  </si>
  <si>
    <t>b439cce3-a65b-5b27-afa0-ea1e8d3ce995</t>
  </si>
  <si>
    <t>0.044320385613979704</t>
  </si>
  <si>
    <t>7.179781426829527e-10</t>
  </si>
  <si>
    <t>1.894223533513512e-08</t>
  </si>
  <si>
    <t>3.0368306582667928</t>
  </si>
  <si>
    <t>1.7470744721499124e-10</t>
  </si>
  <si>
    <t>3.8009514424954364e-05</t>
  </si>
  <si>
    <t>5.296699675033316e-09</t>
  </si>
  <si>
    <t>WTE_no_energy_recovery - Plastic_Other_2 - India</t>
  </si>
  <si>
    <t>8f39428f-54f2-5c1c-893a-89da6505aa2f</t>
  </si>
  <si>
    <t>0.044320782214817174</t>
  </si>
  <si>
    <t>7.179787102232748e-10</t>
  </si>
  <si>
    <t>1.894237620900809e-08</t>
  </si>
  <si>
    <t>0.025827931663316157</t>
  </si>
  <si>
    <t>3.0368312004139884</t>
  </si>
  <si>
    <t>1.7470965177666422e-10</t>
  </si>
  <si>
    <t>3.800957470853678e-05</t>
  </si>
  <si>
    <t>5.297028486472711e-09</t>
  </si>
  <si>
    <t>WTE_no_energy_recovery - Plastic_Other_2 - Ireland</t>
  </si>
  <si>
    <t>5a6b4a0e-89fd-5b71-8d9c-22119b548a5e</t>
  </si>
  <si>
    <t>0.044320345056923775</t>
  </si>
  <si>
    <t>7.179780714844616e-10</t>
  </si>
  <si>
    <t>1.894227532551272e-08</t>
  </si>
  <si>
    <t>3.0368308616241246</t>
  </si>
  <si>
    <t>1.7470827375381547e-10</t>
  </si>
  <si>
    <t>3.800953703746891e-05</t>
  </si>
  <si>
    <t>5.296823023948223e-09</t>
  </si>
  <si>
    <t>WTE_no_energy_recovery - Plastic_Other_2 - Mexico</t>
  </si>
  <si>
    <t>4433379f-c603-51f6-a4ea-b62951933348</t>
  </si>
  <si>
    <t>7.179785415263885e-10</t>
  </si>
  <si>
    <t>1.8942334335361324e-08</t>
  </si>
  <si>
    <t>3.0368310392650226</t>
  </si>
  <si>
    <t>1.747089964881251e-10</t>
  </si>
  <si>
    <t>3.800955678971884e-05</t>
  </si>
  <si>
    <t>5.29693074987407e-09</t>
  </si>
  <si>
    <t>WTE_no_energy_recovery - Plastic_Other_2 - Spain</t>
  </si>
  <si>
    <t>df1a251c-8941-5726-b489-c0b09e725d36</t>
  </si>
  <si>
    <t>7.179781748196311e-10</t>
  </si>
  <si>
    <t>1.8942300975189487e-08</t>
  </si>
  <si>
    <t>0.025827926109237183</t>
  </si>
  <si>
    <t>3.0368309603358328</t>
  </si>
  <si>
    <t>1.7470867515042566e-10</t>
  </si>
  <si>
    <t>3.8009548013630895e-05</t>
  </si>
  <si>
    <t>5.296882892447787e-09</t>
  </si>
  <si>
    <t>WTE_no_energy_recovery - Plastic_Other_2 - USA</t>
  </si>
  <si>
    <t>58230c1f-afd8-5a72-ba8e-5d859c84a544</t>
  </si>
  <si>
    <t>7.17977861186999e-10</t>
  </si>
  <si>
    <t>1.8942223125841058e-08</t>
  </si>
  <si>
    <t>3.036830660735872</t>
  </si>
  <si>
    <t>1.7470745687134336e-10</t>
  </si>
  <si>
    <t>3.800951469987543e-05</t>
  </si>
  <si>
    <t>5.296701185530833e-09</t>
  </si>
  <si>
    <t>WTE_no_energy_recovery - Rubber_Leather - Australia</t>
  </si>
  <si>
    <t>df4d2452-6850-50ab-bd07-8907ace344d3</t>
  </si>
  <si>
    <t>5.484105967639878e-10</t>
  </si>
  <si>
    <t>3.3548158928169626e-08</t>
  </si>
  <si>
    <t>0.014524855642930842</t>
  </si>
  <si>
    <t>0.8238206955612793</t>
  </si>
  <si>
    <t>2.7773167245611883e-10</t>
  </si>
  <si>
    <t>2.2114412466843912e-05</t>
  </si>
  <si>
    <t>1.0498081787227265e-08</t>
  </si>
  <si>
    <t>WTE_no_energy_recovery - Rubber_Leather - Brazil</t>
  </si>
  <si>
    <t>6234fa85-e277-58a7-b947-3cc990472a8c</t>
  </si>
  <si>
    <t>5.484207660427365e-10</t>
  </si>
  <si>
    <t>3.3550010159400446e-08</t>
  </si>
  <si>
    <t>0.8238272427604935</t>
  </si>
  <si>
    <t>2.777583001556401e-10</t>
  </si>
  <si>
    <t>2.211514047256112e-05</t>
  </si>
  <si>
    <t>1.0502052501704949e-08</t>
  </si>
  <si>
    <t>WTE_no_energy_recovery - Rubber_Leather - Canada</t>
  </si>
  <si>
    <t>c2e036c2-db03-5377-b90a-edd0e9fab48a</t>
  </si>
  <si>
    <t>5.484100230341537e-10</t>
  </si>
  <si>
    <t>3.354801651794458e-08</t>
  </si>
  <si>
    <t>0.8238201475014835</t>
  </si>
  <si>
    <t>2.777294438517511e-10</t>
  </si>
  <si>
    <t>2.211435152581487e-05</t>
  </si>
  <si>
    <t>1.0497749389803542e-08</t>
  </si>
  <si>
    <t>WTE_no_energy_recovery - Rubber_Leather - China</t>
  </si>
  <si>
    <t>096dc4f9-b7de-5cb9-bd09-ffb63e060615</t>
  </si>
  <si>
    <t>5.484131044589185e-10</t>
  </si>
  <si>
    <t>3.354810841434177e-08</t>
  </si>
  <si>
    <t>0.014524837827662092</t>
  </si>
  <si>
    <t>0.8238199239741366</t>
  </si>
  <si>
    <t>2.7772853938984236e-10</t>
  </si>
  <si>
    <t>2.2114326666521763e-05</t>
  </si>
  <si>
    <t>1.049761366902919e-08</t>
  </si>
  <si>
    <t>WTE_no_energy_recovery - Rubber_Leather - India</t>
  </si>
  <si>
    <t>2bcf98a0-809c-547e-85e6-9d8d6a8d5c52</t>
  </si>
  <si>
    <t>5.484200459133078e-10</t>
  </si>
  <si>
    <t>3.354983141011718e-08</t>
  </si>
  <si>
    <t>0.014524991164519465</t>
  </si>
  <si>
    <t>0.8238265548513187</t>
  </si>
  <si>
    <t>2.7775550287445e-10</t>
  </si>
  <si>
    <t>2.211506398110279e-05</t>
  </si>
  <si>
    <t>1.0501635285846564e-08</t>
  </si>
  <si>
    <t>WTE_no_energy_recovery - Rubber_Leather - Ireland</t>
  </si>
  <si>
    <t>f10edcdd-1832-5782-a0d5-59ba08dbf500</t>
  </si>
  <si>
    <t>5.484123927878077e-10</t>
  </si>
  <si>
    <t>3.3548604734089836e-08</t>
  </si>
  <si>
    <t>0.014524895317130854</t>
  </si>
  <si>
    <t>0.8238224112267271</t>
  </si>
  <si>
    <t>2.7773864895674197e-10</t>
  </si>
  <si>
    <t>2.2114603238760815e-05</t>
  </si>
  <si>
    <t>1.0499122335684024e-08</t>
  </si>
  <si>
    <t>WTE_no_energy_recovery - Rubber_Leather - Mexico</t>
  </si>
  <si>
    <t>91bf120d-894f-5f34-b7be-66fb97c3401d</t>
  </si>
  <si>
    <t>5.48417982620903e-10</t>
  </si>
  <si>
    <t>3.354931926325609e-08</t>
  </si>
  <si>
    <t>0.014524945586352159</t>
  </si>
  <si>
    <t>0.8238245838755621</t>
  </si>
  <si>
    <t>2.777474881920351e-10</t>
  </si>
  <si>
    <t>2.2114844820179784e-05</t>
  </si>
  <si>
    <t>1.0500439892081209e-08</t>
  </si>
  <si>
    <t>WTE_no_energy_recovery - Rubber_Leather - Spain</t>
  </si>
  <si>
    <t>55b196be-2529-5632-af7f-53f5aa8a491f</t>
  </si>
  <si>
    <t>5.484136566564215e-10</t>
  </si>
  <si>
    <t>3.354891844936709e-08</t>
  </si>
  <si>
    <t>0.014524923236012345</t>
  </si>
  <si>
    <t>0.8238236185468565</t>
  </si>
  <si>
    <t>2.777435583460671e-10</t>
  </si>
  <si>
    <t>2.211473748566528e-05</t>
  </si>
  <si>
    <t>1.0499854573486889e-08</t>
  </si>
  <si>
    <t>WTE_no_energy_recovery - Rubber_Leather - USA</t>
  </si>
  <si>
    <t>84f2980a-93c0-5b92-904c-ca6fae7bd631</t>
  </si>
  <si>
    <t>5.484098206880771e-10</t>
  </si>
  <si>
    <t>3.354796629195185e-08</t>
  </si>
  <si>
    <t>0.014524838499399367</t>
  </si>
  <si>
    <t>0.8238199542088485</t>
  </si>
  <si>
    <t>2.777286578557476e-10</t>
  </si>
  <si>
    <t>2.2114330032809626e-05</t>
  </si>
  <si>
    <t>1.0497632158117476e-08</t>
  </si>
  <si>
    <t>WTE_no_energy_recovery - Textiles - Australia</t>
  </si>
  <si>
    <t>e2a00ff6-f220-59df-9109-639b047e6247</t>
  </si>
  <si>
    <t>3.676277705155027e-10</t>
  </si>
  <si>
    <t>1.9282739600616628e-08</t>
  </si>
  <si>
    <t>0.7092954641864713</t>
  </si>
  <si>
    <t>1.7506052516011802e-10</t>
  </si>
  <si>
    <t>1.7939610152440405e-05</t>
  </si>
  <si>
    <t>5.314550769027689e-09</t>
  </si>
  <si>
    <t>WTE_no_energy_recovery - Textiles - Brazil</t>
  </si>
  <si>
    <t>39d565dc-a261-5c9b-bfc4-f2ef9f821c68</t>
  </si>
  <si>
    <t>0.044455542583730454</t>
  </si>
  <si>
    <t>3.676286469118159e-10</t>
  </si>
  <si>
    <t>1.9282897367833396e-08</t>
  </si>
  <si>
    <t>0.7092960200836766</t>
  </si>
  <si>
    <t>1.7506278603196643e-10</t>
  </si>
  <si>
    <t>1.7939671964555548e-05</t>
  </si>
  <si>
    <t>5.314887906347444e-09</t>
  </si>
  <si>
    <t>WTE_no_energy_recovery - Textiles - Canada</t>
  </si>
  <si>
    <t>fb0047f0-bd10-5353-954a-7b2712135558</t>
  </si>
  <si>
    <t>3.676277218025899e-10</t>
  </si>
  <si>
    <t>1.9282727509182005e-08</t>
  </si>
  <si>
    <t>1.7506033593898912e-10</t>
  </si>
  <si>
    <t>1.7939604978202055e-05</t>
  </si>
  <si>
    <t>5.3145225466048876e-09</t>
  </si>
  <si>
    <t>WTE_no_energy_recovery - Textiles - China</t>
  </si>
  <si>
    <t>cbab2005-281c-58e0-aac7-dcf5ec0aa3ba</t>
  </si>
  <si>
    <t>3.6762799639998195e-10</t>
  </si>
  <si>
    <t>1.928273589891328e-08</t>
  </si>
  <si>
    <t>0.7092953986772875</t>
  </si>
  <si>
    <t>1.7506025917449413e-10</t>
  </si>
  <si>
    <t>1.7939602867816356e-05</t>
  </si>
  <si>
    <t>5.314511024327821e-09</t>
  </si>
  <si>
    <t>WTE_no_energy_recovery - Textiles - India</t>
  </si>
  <si>
    <t>3c7658cd-5afe-5e72-b56b-980dc00edf5b</t>
  </si>
  <si>
    <t>3.676285857687767e-10</t>
  </si>
  <si>
    <t>1.928288219101195e-08</t>
  </si>
  <si>
    <t>0.011388051495917637</t>
  </si>
  <si>
    <t>0.7092959616762973</t>
  </si>
  <si>
    <t>1.750625485270005e-10</t>
  </si>
  <si>
    <t>1.7939665469998113e-05</t>
  </si>
  <si>
    <t>5.314852482361021e-09</t>
  </si>
  <si>
    <t>WTE_no_energy_recovery - Textiles - Ireland</t>
  </si>
  <si>
    <t>be644551-5fa6-5e5d-8e12-00d3c95047e1</t>
  </si>
  <si>
    <t>3.6762792300809135e-10</t>
  </si>
  <si>
    <t>1.928277745206269e-08</t>
  </si>
  <si>
    <t>0.011388043357756547</t>
  </si>
  <si>
    <t>0.7092956098561791</t>
  </si>
  <si>
    <t>1.7506111750451044e-10</t>
  </si>
  <si>
    <t>1.7939626350055987e-05</t>
  </si>
  <si>
    <t>5.3146391174815655e-09</t>
  </si>
  <si>
    <t>WTE_no_energy_recovery - Textiles - Mexico</t>
  </si>
  <si>
    <t>81299dd0-d79d-535c-9689-899f1b194d60</t>
  </si>
  <si>
    <t>0.044455377436009684</t>
  </si>
  <si>
    <t>3.6762841058354914e-10</t>
  </si>
  <si>
    <t>1.9282838706840477e-08</t>
  </si>
  <si>
    <t>0.011388047626073046</t>
  </si>
  <si>
    <t>0.7092957943292955</t>
  </si>
  <si>
    <t>1.7506186803505633e-10</t>
  </si>
  <si>
    <t>1.7939646861994865e-05</t>
  </si>
  <si>
    <t>5.31475098666245e-09</t>
  </si>
  <si>
    <t>WTE_no_energy_recovery - Textiles - Spain</t>
  </si>
  <si>
    <t>5ab7da66-410c-5ad7-906e-28a35aa56e06</t>
  </si>
  <si>
    <t>0.044455121236767675</t>
  </si>
  <si>
    <t>3.676280303176906e-10</t>
  </si>
  <si>
    <t>1.9282804088265497e-08</t>
  </si>
  <si>
    <t>0.011388045728227617</t>
  </si>
  <si>
    <t>0.7092957123644917</t>
  </si>
  <si>
    <t>1.7506153433945174e-10</t>
  </si>
  <si>
    <t>1.793963774837805e-05</t>
  </si>
  <si>
    <t>5.314701288615729e-09</t>
  </si>
  <si>
    <t>WTE_no_energy_recovery - Textiles - USA</t>
  </si>
  <si>
    <t>8f8eb87e-467a-5e9a-bb83-ef485195e73f</t>
  </si>
  <si>
    <t>3.676277046222651e-10</t>
  </si>
  <si>
    <t>1.9282723244711355e-08</t>
  </si>
  <si>
    <t>0.011388038533609524</t>
  </si>
  <si>
    <t>0.7092954012414536</t>
  </si>
  <si>
    <t>1.7506026920348098e-10</t>
  </si>
  <si>
    <t>1.7939603153324275e-05</t>
  </si>
  <si>
    <t>5.314512592971182e-09</t>
  </si>
  <si>
    <t>WTE_no_energy_recovery - Third_Class_Mail - Australia</t>
  </si>
  <si>
    <t>745634bb-c9d7-5c1e-9a3e-1facf9757fad</t>
  </si>
  <si>
    <t>3.2387950388494155e-10</t>
  </si>
  <si>
    <t>2.2562029046755742e-08</t>
  </si>
  <si>
    <t>0.029212786791767205</t>
  </si>
  <si>
    <t>2.1845760803780958e-10</t>
  </si>
  <si>
    <t>1.582608750255345e-05</t>
  </si>
  <si>
    <t>7.505527797338847e-09</t>
  </si>
  <si>
    <t>WTE_no_energy_recovery - Third_Class_Mail - Brazil</t>
  </si>
  <si>
    <t>e2839d62-3517-561d-b8ef-388827dad4aa</t>
  </si>
  <si>
    <t>0.053153473907854236</t>
  </si>
  <si>
    <t>3.2388430820063483e-10</t>
  </si>
  <si>
    <t>2.2562902608040325e-08</t>
  </si>
  <si>
    <t>0.029215875094976133</t>
  </si>
  <si>
    <t>2.1847016829042644e-10</t>
  </si>
  <si>
    <t>1.5826430901655036e-05</t>
  </si>
  <si>
    <t>7.507400776550102e-09</t>
  </si>
  <si>
    <t>WTE_no_energy_recovery - Third_Class_Mail - Canada</t>
  </si>
  <si>
    <t>8d51f1cf-3d5b-5f5d-9018-5953ccd14df3</t>
  </si>
  <si>
    <t>3.238792332576598e-10</t>
  </si>
  <si>
    <t>2.2561961872121072e-08</t>
  </si>
  <si>
    <t>2.1845655680933178e-10</t>
  </si>
  <si>
    <t>1.5826058756785015e-05</t>
  </si>
  <si>
    <t>7.505371006101224e-09</t>
  </si>
  <si>
    <t>WTE_no_energy_recovery - Third_Class_Mail - China</t>
  </si>
  <si>
    <t>02a0a7ad-7ce3-5e0a-a6a5-ea6adf46276a</t>
  </si>
  <si>
    <t>3.2388069424600333e-10</t>
  </si>
  <si>
    <t>2.256200555848431e-08</t>
  </si>
  <si>
    <t>2.1845613019335258e-10</t>
  </si>
  <si>
    <t>1.582604703088176e-05</t>
  </si>
  <si>
    <t>7.505306987552112e-09</t>
  </si>
  <si>
    <t>WTE_no_energy_recovery - Third_Class_Mail - India</t>
  </si>
  <si>
    <t>7e8c274d-7f2a-57ee-8f6a-bbf1e0c9aefc</t>
  </si>
  <si>
    <t>3.238839685169568e-10</t>
  </si>
  <si>
    <t>2.256281829234328e-08</t>
  </si>
  <si>
    <t>0.029215550609518644</t>
  </si>
  <si>
    <t>2.1846884881819105e-10</t>
  </si>
  <si>
    <t>1.5826394820778665e-05</t>
  </si>
  <si>
    <t>7.507203976617824e-09</t>
  </si>
  <si>
    <t>WTE_no_energy_recovery - Third_Class_Mail - Ireland</t>
  </si>
  <si>
    <t>6e4ae737-1eb1-5e76-8254-40584b1a3b77</t>
  </si>
  <si>
    <t>3.2388035106598857e-10</t>
  </si>
  <si>
    <t>2.256223933256719e-08</t>
  </si>
  <si>
    <t>0.029213596067921673</t>
  </si>
  <si>
    <t>2.1846089883998974e-10</t>
  </si>
  <si>
    <t>1.5826177489306703e-05</t>
  </si>
  <si>
    <t>7.506018622082604e-09</t>
  </si>
  <si>
    <t>WTE_no_energy_recovery - Third_Class_Mail - Mexico</t>
  </si>
  <si>
    <t>5dce16a4-4d3d-5062-b415-4217455d689a</t>
  </si>
  <si>
    <t>3.238829952658089e-10</t>
  </si>
  <si>
    <t>2.2562576713632877e-08</t>
  </si>
  <si>
    <t>0.029214620903970877</t>
  </si>
  <si>
    <t>2.184650683075937e-10</t>
  </si>
  <si>
    <t>1.582629144298459e-05</t>
  </si>
  <si>
    <t>7.506640111633266e-09</t>
  </si>
  <si>
    <t>WTE_no_energy_recovery - Third_Class_Mail - Spain</t>
  </si>
  <si>
    <t>f040049a-9686-55c6-bd09-4152d36b2dad</t>
  </si>
  <si>
    <t>3.2388094723042934e-10</t>
  </si>
  <si>
    <t>2.256238731147156e-08</t>
  </si>
  <si>
    <t>2.1846321458967064e-10</t>
  </si>
  <si>
    <t>1.5826240813318234e-05</t>
  </si>
  <si>
    <t>7.50636401727261e-09</t>
  </si>
  <si>
    <t>WTE_no_energy_recovery - Third_Class_Mail - USA</t>
  </si>
  <si>
    <t>8837c92e-ac61-59d2-bd66-bce63daa2aa4</t>
  </si>
  <si>
    <t>3.2387913781139866e-10</t>
  </si>
  <si>
    <t>2.2561938180615294e-08</t>
  </si>
  <si>
    <t>2.184561860565007e-10</t>
  </si>
  <si>
    <t>1.5826048618574997e-05</t>
  </si>
  <si>
    <t>7.505315708136036e-09</t>
  </si>
  <si>
    <t>WTE_no_energy_recovery - Wood - Australia</t>
  </si>
  <si>
    <t>aa71bdcf-c540-5a47-a4cd-3792eb8a7771</t>
  </si>
  <si>
    <t>0.050080242475728336</t>
  </si>
  <si>
    <t>4.0459190913494767e-10</t>
  </si>
  <si>
    <t>2.22309159032013e-08</t>
  </si>
  <si>
    <t>0.012830125264510899</t>
  </si>
  <si>
    <t>2.032862701212182e-10</t>
  </si>
  <si>
    <t>1.989306081853108e-05</t>
  </si>
  <si>
    <t>6.739576478498362e-09</t>
  </si>
  <si>
    <t>WTE_no_energy_recovery - Wood - Brazil</t>
  </si>
  <si>
    <t>a4503f8a-e666-5fc8-9a25-2501047829a8</t>
  </si>
  <si>
    <t>0.050082603758989215</t>
  </si>
  <si>
    <t>4.0459534027557285e-10</t>
  </si>
  <si>
    <t>2.2231539227535346e-08</t>
  </si>
  <si>
    <t>0.053038049624167014</t>
  </si>
  <si>
    <t>2.0329522977730627e-10</t>
  </si>
  <si>
    <t>1.989330577665368e-05</t>
  </si>
  <si>
    <t>6.740912537373566e-09</t>
  </si>
  <si>
    <t>WTE_no_energy_recovery - Wood - Canada</t>
  </si>
  <si>
    <t>5979a543-0d85-598b-920e-eb8f400f361c</t>
  </si>
  <si>
    <t>0.050080107572914985</t>
  </si>
  <si>
    <t>4.04591716087486e-10</t>
  </si>
  <si>
    <t>2.2230867985295084e-08</t>
  </si>
  <si>
    <t>0.012830121000088892</t>
  </si>
  <si>
    <t>0.053035662223568945</t>
  </si>
  <si>
    <t>2.0328552024490308e-10</t>
  </si>
  <si>
    <t>1.9893040313216243e-05</t>
  </si>
  <si>
    <t>6.73946463408218e-09</t>
  </si>
  <si>
    <t>WTE_no_energy_recovery - Wood - China</t>
  </si>
  <si>
    <t>1eb70028-3ad6-5ad8-bb45-36fbf41b626e</t>
  </si>
  <si>
    <t>0.050080802267858306</t>
  </si>
  <si>
    <t>4.0459276232126907e-10</t>
  </si>
  <si>
    <t>2.2230899332185384e-08</t>
  </si>
  <si>
    <t>0.012830119270192062</t>
  </si>
  <si>
    <t>2.032852159347273e-10</t>
  </si>
  <si>
    <t>1.9893031948835403e-05</t>
  </si>
  <si>
    <t>6.739418967888336e-09</t>
  </si>
  <si>
    <t>WTE_no_energy_recovery - Wood - India</t>
  </si>
  <si>
    <t>91cb2256-91e7-5d39-b2f9-3286ed953d39</t>
  </si>
  <si>
    <t>4.0459509796789064e-10</t>
  </si>
  <si>
    <t>2.223147908233952e-08</t>
  </si>
  <si>
    <t>0.012830170864669362</t>
  </si>
  <si>
    <t>2.032942885537911e-10</t>
  </si>
  <si>
    <t>1.9893280038961974e-05</t>
  </si>
  <si>
    <t>6.740772153422354e-09</t>
  </si>
  <si>
    <t>WTE_no_energy_recovery - Wood - Ireland</t>
  </si>
  <si>
    <t>5505828a-5ffe-5861-87a8-ac96d01d4ea1</t>
  </si>
  <si>
    <t>0.050080664780183665</t>
  </si>
  <si>
    <t>4.0459251345742756e-10</t>
  </si>
  <si>
    <t>2.2231065907080086e-08</t>
  </si>
  <si>
    <t>0.012830138614005863</t>
  </si>
  <si>
    <t>2.032886175601065e-10</t>
  </si>
  <si>
    <t>1.9893125009081717e-05</t>
  </si>
  <si>
    <t>6.739926600148872e-09</t>
  </si>
  <si>
    <t>WTE_no_energy_recovery - Wood - Mexico</t>
  </si>
  <si>
    <t>f0f0a7bf-d868-5f2e-aec0-a5ee87244c12</t>
  </si>
  <si>
    <t>4.04594403715398e-10</t>
  </si>
  <si>
    <t>2.2231306756191493e-08</t>
  </si>
  <si>
    <t>0.012830155528619219</t>
  </si>
  <si>
    <t>2.032915917895522e-10</t>
  </si>
  <si>
    <t>1.989320629613542e-05</t>
  </si>
  <si>
    <t>6.7403699297328995e-09</t>
  </si>
  <si>
    <t>WTE_no_energy_recovery - Wood - Spain</t>
  </si>
  <si>
    <t>af57ce5d-83d6-5e56-b015-417836b3343c</t>
  </si>
  <si>
    <t>4.045929387213958e-10</t>
  </si>
  <si>
    <t>2.223117146536525e-08</t>
  </si>
  <si>
    <t>0.012830148008094925</t>
  </si>
  <si>
    <t>2.0329026946154532e-10</t>
  </si>
  <si>
    <t>1.989317018020995e-05</t>
  </si>
  <si>
    <t>6.740172982051099e-09</t>
  </si>
  <si>
    <t>WTE_no_energy_recovery - Wood - USA</t>
  </si>
  <si>
    <t>8b391b3b-f654-575e-8b05-ea03ece59320</t>
  </si>
  <si>
    <t>0.050080059994676955</t>
  </si>
  <si>
    <t>4.045916480024868e-10</t>
  </si>
  <si>
    <t>2.2230851085354452e-08</t>
  </si>
  <si>
    <t>0.012830119496089962</t>
  </si>
  <si>
    <t>2.0328525577455082e-10</t>
  </si>
  <si>
    <t>1.9893033081293104e-05</t>
  </si>
  <si>
    <t>6.7394251882003305e-09</t>
  </si>
  <si>
    <t>WTE_no_energy_recovery - Wood_Other - Australia</t>
  </si>
  <si>
    <t>7da6badf-6dcb-5f61-bc39-279ffc6e4345</t>
  </si>
  <si>
    <t>0.057881327442484094</t>
  </si>
  <si>
    <t>4.0994764838883553e-10</t>
  </si>
  <si>
    <t>2.5177115888133462e-08</t>
  </si>
  <si>
    <t>0.013338531593686429</t>
  </si>
  <si>
    <t>2.420966694427309e-10</t>
  </si>
  <si>
    <t>2.052977516808605e-05</t>
  </si>
  <si>
    <t>8.698986829020536e-09</t>
  </si>
  <si>
    <t>WTE_no_energy_recovery - Wood_Other - Brazil</t>
  </si>
  <si>
    <t>fd98aed0-84ac-5940-9c68-2b157a72f0bb</t>
  </si>
  <si>
    <t>4.0995459230289046e-10</t>
  </si>
  <si>
    <t>2.517837935350377e-08</t>
  </si>
  <si>
    <t>0.032211717992012716</t>
  </si>
  <si>
    <t>2.4211483992714856e-10</t>
  </si>
  <si>
    <t>2.053027195196887e-05</t>
  </si>
  <si>
    <t>8.701696405034474e-09</t>
  </si>
  <si>
    <t>WTE_no_energy_recovery - Wood_Other - Canada</t>
  </si>
  <si>
    <t>695c260e-d08e-5133-a077-24205c3a43ab</t>
  </si>
  <si>
    <t>4.0994725688137183e-10</t>
  </si>
  <si>
    <t>2.5177018708829275e-08</t>
  </si>
  <si>
    <t>2.4209514866553695e-10</t>
  </si>
  <si>
    <t>2.0529733582541083e-05</t>
  </si>
  <si>
    <t>8.698760004363459e-09</t>
  </si>
  <si>
    <t>WTE_no_energy_recovery - Wood_Other - China</t>
  </si>
  <si>
    <t>256c03c2-afbe-5eb4-9dd0-2bd47f69ba88</t>
  </si>
  <si>
    <t>4.099493641151904e-10</t>
  </si>
  <si>
    <t>2.5177081621812767e-08</t>
  </si>
  <si>
    <t>0.013338519436787077</t>
  </si>
  <si>
    <t>0.032206723725850955</t>
  </si>
  <si>
    <t>2.420945314800479e-10</t>
  </si>
  <si>
    <t>2.052971661891686e-05</t>
  </si>
  <si>
    <t>8.69866739028404e-09</t>
  </si>
  <si>
    <t>WTE_no_energy_recovery - Wood_Other - India</t>
  </si>
  <si>
    <t>3e4e8fdd-37fe-546e-b95e-6794fa4aa1d4</t>
  </si>
  <si>
    <t>4.099541008938236e-10</t>
  </si>
  <si>
    <t>2.5178257376793165e-08</t>
  </si>
  <si>
    <t>2.421129310906282e-10</t>
  </si>
  <si>
    <t>2.053021975496756e-05</t>
  </si>
  <si>
    <t>8.701411701131686e-09</t>
  </si>
  <si>
    <t>WTE_no_energy_recovery - Wood_Other - Ireland</t>
  </si>
  <si>
    <t>1b03e542-17db-5c3e-8f8e-452716a92c66</t>
  </si>
  <si>
    <t>4.099488739774166e-10</t>
  </si>
  <si>
    <t>2.5177420101607296e-08</t>
  </si>
  <si>
    <t>0.013338558666961325</t>
  </si>
  <si>
    <t>0.032208421000972015</t>
  </si>
  <si>
    <t>2.4210143013655163e-10</t>
  </si>
  <si>
    <t>2.052990534892243e-05</t>
  </si>
  <si>
    <t>8.699696888816465e-09</t>
  </si>
  <si>
    <t>WTE_no_energy_recovery - Wood_Other - Mexico</t>
  </si>
  <si>
    <t>a550ea34-9180-5580-a866-62f1da3878d3</t>
  </si>
  <si>
    <t>0.057884779206556124</t>
  </si>
  <si>
    <t>4.0995269292384126e-10</t>
  </si>
  <si>
    <t>2.517790789292742e-08</t>
  </si>
  <si>
    <t>0.013338592970232804</t>
  </si>
  <si>
    <t>0.032209903595691806</t>
  </si>
  <si>
    <t>2.42107461951984e-10</t>
  </si>
  <si>
    <t>2.053007020175896e-05</t>
  </si>
  <si>
    <t>8.700595976454767e-09</t>
  </si>
  <si>
    <t>WTE_no_energy_recovery - Wood_Other - Spain</t>
  </si>
  <si>
    <t>3dc27490-5301-594e-85b0-7919bd05144c</t>
  </si>
  <si>
    <t>4.099497364286411e-10</t>
  </si>
  <si>
    <t>2.5177634177755665e-08</t>
  </si>
  <si>
    <t>0.013338577718525067</t>
  </si>
  <si>
    <t>0.032209244864079244</t>
  </si>
  <si>
    <t>2.4210478025442397e-10</t>
  </si>
  <si>
    <t>2.0529996957659113e-05</t>
  </si>
  <si>
    <t>8.700196560524733e-09</t>
  </si>
  <si>
    <t>WTE_no_energy_recovery - Wood_Other - USA</t>
  </si>
  <si>
    <t>37286161-0dec-5089-b150-4e2cd72d9c74</t>
  </si>
  <si>
    <t>0.057880957364090185</t>
  </si>
  <si>
    <t>4.099471188024435e-10</t>
  </si>
  <si>
    <t>2.5176984435116943e-08</t>
  </si>
  <si>
    <t>2.420946123097715e-10</t>
  </si>
  <si>
    <t>2.0529718915930574e-05</t>
  </si>
  <si>
    <t>8.698680006640503e-09</t>
  </si>
  <si>
    <t>WTE_no_energy_recovery - Yard_Trimmings_Branches - Australia</t>
  </si>
  <si>
    <t>dd6a3de4-23a4-5e9a-8c73-91e4c7814f9f</t>
  </si>
  <si>
    <t>3.627341476653905e-10</t>
  </si>
  <si>
    <t>2.1179137787516787e-08</t>
  </si>
  <si>
    <t>0.010877669283252771</t>
  </si>
  <si>
    <t>1.8539820425212103e-10</t>
  </si>
  <si>
    <t>1.721165380633382e-05</t>
  </si>
  <si>
    <t>5.836466435121324e-09</t>
  </si>
  <si>
    <t>WTE_no_energy_recovery - Yard_Trimmings_Branches - Brazil</t>
  </si>
  <si>
    <t>25ee7cf5-f6a1-53ed-9203-8b0f374dd476</t>
  </si>
  <si>
    <t>3.627359597368079e-10</t>
  </si>
  <si>
    <t>2.117946606502775e-08</t>
  </si>
  <si>
    <t>0.010877696093056303</t>
  </si>
  <si>
    <t>1.8540291855369714e-10</t>
  </si>
  <si>
    <t>1.7211782695674185e-05</t>
  </si>
  <si>
    <t>5.837169427460763e-09</t>
  </si>
  <si>
    <t>WTE_no_energy_recovery - Yard_Trimmings_Branches - Canada</t>
  </si>
  <si>
    <t>6c7f78b4-9a73-5ef2-a940-5dceb858ea79</t>
  </si>
  <si>
    <t>3.627340460899519e-10</t>
  </si>
  <si>
    <t>2.1179112574637395e-08</t>
  </si>
  <si>
    <t>0.027208013547889254</t>
  </si>
  <si>
    <t>1.8539780969103226e-10</t>
  </si>
  <si>
    <t>1.7211643017088735e-05</t>
  </si>
  <si>
    <t>5.836407586143476e-09</t>
  </si>
  <si>
    <t>WTE_no_energy_recovery - Yard_Trimmings_Branches - China</t>
  </si>
  <si>
    <t>5e840de9-18f3-57f9-a0d8-aa58a438c266</t>
  </si>
  <si>
    <t>0.046475758656095364</t>
  </si>
  <si>
    <t>3.6273460329916956e-10</t>
  </si>
  <si>
    <t>2.1179129372427707e-08</t>
  </si>
  <si>
    <t>0.010877666129323327</t>
  </si>
  <si>
    <t>0.027207973976344856</t>
  </si>
  <si>
    <t>1.853976495879295e-10</t>
  </si>
  <si>
    <t>1.7211638616177282e-05</t>
  </si>
  <si>
    <t>5.83638355865686e-09</t>
  </si>
  <si>
    <t>WTE_no_energy_recovery - Yard_Trimmings_Branches - India</t>
  </si>
  <si>
    <t>6e9d7100-c90b-5599-898d-7b9d3c8c52e9</t>
  </si>
  <si>
    <t>3.6273583224221875e-10</t>
  </si>
  <si>
    <t>2.1179434418539195e-08</t>
  </si>
  <si>
    <t>0.010877693276697945</t>
  </si>
  <si>
    <t>1.8540242331181076e-10</t>
  </si>
  <si>
    <t>1.7211769153318817e-05</t>
  </si>
  <si>
    <t>5.8370955618872325e-09</t>
  </si>
  <si>
    <t>WTE_no_energy_recovery - Yard_Trimmings_Branches - Ireland</t>
  </si>
  <si>
    <t>6dff9b29-a5b1-5cab-ab99-683093db3c14</t>
  </si>
  <si>
    <t>3.627344656406768e-10</t>
  </si>
  <si>
    <t>2.1179216714791308e-08</t>
  </si>
  <si>
    <t>0.010877676307332863</t>
  </si>
  <si>
    <t>0.027208414326918163</t>
  </si>
  <si>
    <t>1.8539943939987252e-10</t>
  </si>
  <si>
    <t>1.7211687581361878e-05</t>
  </si>
  <si>
    <t>5.836650658008447e-09</t>
  </si>
  <si>
    <t>WTE_no_energy_recovery - Yard_Trimmings_Branches - Mexico</t>
  </si>
  <si>
    <t>9569e048-af9c-5270-98e7-828ee331b5ba</t>
  </si>
  <si>
    <t>0.046476362179902725</t>
  </si>
  <si>
    <t>3.62735466948605e-10</t>
  </si>
  <si>
    <t>2.1179343745993802e-08</t>
  </si>
  <si>
    <t>0.010877685207355554</t>
  </si>
  <si>
    <t>0.027208798984050132</t>
  </si>
  <si>
    <t>1.8540100436014044e-10</t>
  </si>
  <si>
    <t>1.721173035218654e-05</t>
  </si>
  <si>
    <t>5.836883924562002e-09</t>
  </si>
  <si>
    <t>WTE_no_energy_recovery - Yard_Trimmings_Branches - Spain</t>
  </si>
  <si>
    <t>26b2f0ee-6916-5d3b-88c7-9b5bcc25247a</t>
  </si>
  <si>
    <t>3.6273468940106385e-10</t>
  </si>
  <si>
    <t>2.117927225620679e-08</t>
  </si>
  <si>
    <t>0.010877681250203986</t>
  </si>
  <si>
    <t>0.027208628075733498</t>
  </si>
  <si>
    <t>1.854003085779185e-10</t>
  </si>
  <si>
    <t>1.7211711348974193e-05</t>
  </si>
  <si>
    <t>5.836780296336435e-09</t>
  </si>
  <si>
    <t>WTE_no_energy_recovery - Yard_Trimmings_Branches - USA</t>
  </si>
  <si>
    <t>f07ac1d9-303e-514a-adfb-3f56333f91ad</t>
  </si>
  <si>
    <t>0.046475363620893016</t>
  </si>
  <si>
    <t>3.6273401026579016e-10</t>
  </si>
  <si>
    <t>2.117910368242588e-08</t>
  </si>
  <si>
    <t>0.010877666248092976</t>
  </si>
  <si>
    <t>0.027207979326582962</t>
  </si>
  <si>
    <t>1.8539767053513308e-10</t>
  </si>
  <si>
    <t>1.7211639211880555e-05</t>
  </si>
  <si>
    <t>5.836386830973869e-09</t>
  </si>
  <si>
    <t>WTE_no_energy_recovery - Yard_Trimmings_Grass - Australia</t>
  </si>
  <si>
    <t>e07508de-135f-5339-a2f5-cf3ccc230970</t>
  </si>
  <si>
    <t>1.9659833756411295e-10</t>
  </si>
  <si>
    <t>2.0822670136457002e-08</t>
  </si>
  <si>
    <t>0.025753037248270105</t>
  </si>
  <si>
    <t>1.9358367029084e-10</t>
  </si>
  <si>
    <t>8.303006123691403e-06</t>
  </si>
  <si>
    <t>6.249723890867817e-09</t>
  </si>
  <si>
    <t>4.817617269113525e-05</t>
  </si>
  <si>
    <t>WTE_no_energy_recovery - Yard_Trimmings_Grass - Brazil</t>
  </si>
  <si>
    <t>db2f68c9-68d3-5d79-afb0-b974259da667</t>
  </si>
  <si>
    <t>1.966008905113808e-10</t>
  </si>
  <si>
    <t>2.0823133425531982e-08</t>
  </si>
  <si>
    <t>0.025754674050476854</t>
  </si>
  <si>
    <t>1.9359032723984569e-10</t>
  </si>
  <si>
    <t>8.303188125373932e-06</t>
  </si>
  <si>
    <t>6.250716570458337e-09</t>
  </si>
  <si>
    <t>4.817659708764892e-05</t>
  </si>
  <si>
    <t>WTE_no_energy_recovery - Yard_Trimmings_Grass - Canada</t>
  </si>
  <si>
    <t>ce162b31-f95b-565b-9f8b-922ecc4ee40d</t>
  </si>
  <si>
    <t>0.048096821710885765</t>
  </si>
  <si>
    <t>1.9659819413165495e-10</t>
  </si>
  <si>
    <t>2.082263453390085e-08</t>
  </si>
  <si>
    <t>0.025752900233321135</t>
  </si>
  <si>
    <t>1.9358311313974684e-10</t>
  </si>
  <si>
    <t>8.302990888434143e-06</t>
  </si>
  <si>
    <t>6.249640791511889e-09</t>
  </si>
  <si>
    <t>4.8176137168817186e-05</t>
  </si>
  <si>
    <t>WTE_no_energy_recovery - Yard_Trimmings_Grass - China</t>
  </si>
  <si>
    <t>af68cb07-a7a0-55ac-95f7-862413a704d4</t>
  </si>
  <si>
    <t>0.048097340289809276</t>
  </si>
  <si>
    <t>1.9659897511542616e-10</t>
  </si>
  <si>
    <t>2.0822657989267276e-08</t>
  </si>
  <si>
    <t>0.025752844353887614</t>
  </si>
  <si>
    <t>1.9358288704839708e-10</t>
  </si>
  <si>
    <t>8.302984673864094e-06</t>
  </si>
  <si>
    <t>6.24960686228941e-09</t>
  </si>
  <si>
    <t>4.81761227228791e-05</t>
  </si>
  <si>
    <t>WTE_no_energy_recovery - Yard_Trimmings_Grass - India</t>
  </si>
  <si>
    <t>94a081bf-a4ed-5782-b7c5-e4d80a95aac0</t>
  </si>
  <si>
    <t>1.9660071047904493e-10</t>
  </si>
  <si>
    <t>2.0823088738214858e-08</t>
  </si>
  <si>
    <t>1.9358962791958007e-10</t>
  </si>
  <si>
    <t>8.303169002509619e-06</t>
  </si>
  <si>
    <t>6.25061226649502e-09</t>
  </si>
  <si>
    <t>4.817655250103983e-05</t>
  </si>
  <si>
    <t>WTE_no_energy_recovery - Yard_Trimmings_Grass - Ireland</t>
  </si>
  <si>
    <t>9bf3bca3-df84-59c2-bd9e-121eb4e8fc2e</t>
  </si>
  <si>
    <t>0.048097235710678025</t>
  </si>
  <si>
    <t>1.9659878657006758e-10</t>
  </si>
  <si>
    <t>2.0822781587937037e-08</t>
  </si>
  <si>
    <t>0.025753466164631894</t>
  </si>
  <si>
    <t>1.9358541441599128e-10</t>
  </si>
  <si>
    <t>8.303053816670612e-06</t>
  </si>
  <si>
    <t>6.2499840279819414e-09</t>
  </si>
  <si>
    <t>4.81762838914364e-05</t>
  </si>
  <si>
    <t>WTE_no_energy_recovery - Yard_Trimmings_Grass - Mexico</t>
  </si>
  <si>
    <t>bec2e56a-0b30-5e77-8cc9-872b41992a80</t>
  </si>
  <si>
    <t>1.9660019465592444e-10</t>
  </si>
  <si>
    <t>2.082296070149627e-08</t>
  </si>
  <si>
    <t>0.025754009329244067</t>
  </si>
  <si>
    <t>1.9358762424894424e-10</t>
  </si>
  <si>
    <t>8.303114212278595e-06</t>
  </si>
  <si>
    <t>6.250313418052435e-09</t>
  </si>
  <si>
    <t>4.817642475288237e-05</t>
  </si>
  <si>
    <t>WTE_no_energy_recovery - Yard_Trimmings_Grass - Spain</t>
  </si>
  <si>
    <t>8d6c6e1e-2a3b-504e-93e5-805863460ec1</t>
  </si>
  <si>
    <t>1.9659910253722138e-10</t>
  </si>
  <si>
    <t>2.0822860016756395e-08</t>
  </si>
  <si>
    <t>0.025753767994664424</t>
  </si>
  <si>
    <t>1.9358664176332557e-10</t>
  </si>
  <si>
    <t>8.303087378396736e-06</t>
  </si>
  <si>
    <t>6.250167087432691e-09</t>
  </si>
  <si>
    <t>4.817636214349964e-05</t>
  </si>
  <si>
    <t>WTE_no_energy_recovery - Yard_Trimmings_Grass - USA</t>
  </si>
  <si>
    <t>d846c374-4ced-55c9-886c-43dabfd7f9e4</t>
  </si>
  <si>
    <t>1.9659814354513763e-10</t>
  </si>
  <si>
    <t>2.0822621977403046e-08</t>
  </si>
  <si>
    <t>1.935829166407433e-10</t>
  </si>
  <si>
    <t>8.30298551518281e-06</t>
  </si>
  <si>
    <t>6.2496114835903405e-09</t>
  </si>
  <si>
    <t>4.817612464061756e-05</t>
  </si>
  <si>
    <t>WTE_no_energy_recovery - Yard_Trimmings_Leaves - Australia</t>
  </si>
  <si>
    <t>28f03872-940f-5090-9d56-76ad5700110c</t>
  </si>
  <si>
    <t>3.7089098383569644e-10</t>
  </si>
  <si>
    <t>2.23600741802352e-08</t>
  </si>
  <si>
    <t>0.011301344736456642</t>
  </si>
  <si>
    <t>0.028431758504297924</t>
  </si>
  <si>
    <t>2.001814381754972e-10</t>
  </si>
  <si>
    <t>1.7773875928609238e-05</t>
  </si>
  <si>
    <t>6.582823650456586e-09</t>
  </si>
  <si>
    <t>WTE_no_energy_recovery - Yard_Trimmings_Leaves - Brazil</t>
  </si>
  <si>
    <t>59b8842d-c34d-5fa7-98b2-94e46847fdfa</t>
  </si>
  <si>
    <t>3.708941339544471e-10</t>
  </si>
  <si>
    <t>2.2360646293286346e-08</t>
  </si>
  <si>
    <t>0.011301391498706915</t>
  </si>
  <si>
    <t>2.0018966096531892e-10</t>
  </si>
  <si>
    <t>1.7774100740671003e-05</t>
  </si>
  <si>
    <t>6.584049827960688e-09</t>
  </si>
  <si>
    <t>WTE_no_energy_recovery - Yard_Trimmings_Leaves - Canada</t>
  </si>
  <si>
    <t>2a4dfb8f-af0b-546e-b213-2100d17d4578</t>
  </si>
  <si>
    <t>0.049449140641242256</t>
  </si>
  <si>
    <t>3.7089080666503756e-10</t>
  </si>
  <si>
    <t>2.236003020324133e-08</t>
  </si>
  <si>
    <t>0.011301340822753489</t>
  </si>
  <si>
    <t>0.028431589260675447</t>
  </si>
  <si>
    <t>2.001807499712543e-10</t>
  </si>
  <si>
    <t>1.777385710971285e-05</t>
  </si>
  <si>
    <t>6.582721004459704e-09</t>
  </si>
  <si>
    <t>WTE_no_energy_recovery - Yard_Trimmings_Leaves - China</t>
  </si>
  <si>
    <t>4e3ddc81-d4b5-5b07-8275-1ec5b0e1305a</t>
  </si>
  <si>
    <t>0.049449778979058466</t>
  </si>
  <si>
    <t>3.7089176801881545e-10</t>
  </si>
  <si>
    <t>2.236005902484366e-08</t>
  </si>
  <si>
    <t>0.011301339235144247</t>
  </si>
  <si>
    <t>2.0018047069110167e-10</t>
  </si>
  <si>
    <t>1.777384943327143e-05</t>
  </si>
  <si>
    <t>6.582679094096679e-09</t>
  </si>
  <si>
    <t>WTE_no_energy_recovery - Yard_Trimmings_Leaves - India</t>
  </si>
  <si>
    <t>24153016-2abe-54c9-853e-83324c607e99</t>
  </si>
  <si>
    <t>3.7089391157487583e-10</t>
  </si>
  <si>
    <t>2.2360591094611717e-08</t>
  </si>
  <si>
    <t>0.011301386586337456</t>
  </si>
  <si>
    <t>0.028433567884760435</t>
  </si>
  <si>
    <t>2.0018879715084236e-10</t>
  </si>
  <si>
    <t>1.7774077119724055e-05</t>
  </si>
  <si>
    <t>6.583920989605606e-09</t>
  </si>
  <si>
    <t>WTE_no_energy_recovery - Yard_Trimmings_Leaves - Ireland</t>
  </si>
  <si>
    <t>33ca29e1-2808-5c6a-8758-ebe65cc9d11a</t>
  </si>
  <si>
    <t>3.7089153845688824e-10</t>
  </si>
  <si>
    <t>2.2360211847346397e-08</t>
  </si>
  <si>
    <t>0.028432288310420325</t>
  </si>
  <si>
    <t>2.0018359255398693e-10</t>
  </si>
  <si>
    <t>1.7773934839937023e-05</t>
  </si>
  <si>
    <t>6.58314497705543e-09</t>
  </si>
  <si>
    <t>WTE_no_energy_recovery - Yard_Trimmings_Leaves - Mexico</t>
  </si>
  <si>
    <t>083702b4-a271-5007-ab7c-54e801f34bbf</t>
  </si>
  <si>
    <t>3.708932744197824e-10</t>
  </si>
  <si>
    <t>2.236043294108112e-08</t>
  </si>
  <si>
    <t>0.028432959237527148</t>
  </si>
  <si>
    <t>2.001863221765577e-10</t>
  </si>
  <si>
    <t>1.7774009441728083e-05</t>
  </si>
  <si>
    <t>6.5835518459951495e-09</t>
  </si>
  <si>
    <t>WTE_no_energy_recovery - Yard_Trimmings_Leaves - Spain</t>
  </si>
  <si>
    <t>053c51db-3ccd-5989-a7bb-3e588d2b4ed6</t>
  </si>
  <si>
    <t>3.708919287458755e-10</t>
  </si>
  <si>
    <t>2.2360308724202508e-08</t>
  </si>
  <si>
    <t>0.011301365609540287</t>
  </si>
  <si>
    <t>2.0018510859811502e-10</t>
  </si>
  <si>
    <t>1.7773976296056583e-05</t>
  </si>
  <si>
    <t>6.583371095773207e-09</t>
  </si>
  <si>
    <t>WTE_no_energy_recovery - Yard_Trimmings_Leaves - USA</t>
  </si>
  <si>
    <t>ce871ca2-ba48-5264-96c8-86826b0ffc38</t>
  </si>
  <si>
    <t>3.708907441795503e-10</t>
  </si>
  <si>
    <t>2.2360014693201938e-08</t>
  </si>
  <si>
    <t>0.028431529570936902</t>
  </si>
  <si>
    <t>2.0018050725173372e-10</t>
  </si>
  <si>
    <t>1.777385047256464e-05</t>
  </si>
  <si>
    <t>6.582684802725154e-09</t>
  </si>
  <si>
    <t>Total waste not diverted</t>
  </si>
  <si>
    <t xml:space="preserve"> metric tons CO2/home</t>
  </si>
  <si>
    <t>12,194 kWh per home × 823.1 lbs CO2 per megawatt-hour generated × 1/(1-0.051) MWh delivered/MWh generated × 1 MWh/1,000 kWh × 1 metric ton/2,204.6 lb</t>
  </si>
  <si>
    <t>homes/year</t>
  </si>
  <si>
    <t>kg tons CO2/home</t>
  </si>
  <si>
    <t>formula uses ABS</t>
  </si>
  <si>
    <t>ESTIMATED POINTS AND CERTIFICATION</t>
  </si>
  <si>
    <t>WASTE STREAM-SPECIFIC DIVERSION RATES AND INTENSITY METRICS</t>
  </si>
  <si>
    <t>WASTE DIVERSION AND TOTAL GENERATION</t>
  </si>
  <si>
    <t>Convert kg to mg</t>
  </si>
  <si>
    <t>MATERIAL RECOVERY (AD)</t>
  </si>
  <si>
    <t>Notes:</t>
  </si>
  <si>
    <t xml:space="preserve">Methodology Overview </t>
  </si>
  <si>
    <t>Displacement rates</t>
  </si>
  <si>
    <t>C&amp;D</t>
  </si>
  <si>
    <t>Missing factors (electronics and textiles)</t>
  </si>
  <si>
    <t>reuse transport distance (km)</t>
  </si>
  <si>
    <t>ALL</t>
  </si>
  <si>
    <t xml:space="preserve">assuming direct reuse. Varies widely based on material. </t>
  </si>
  <si>
    <t>The environmental impact data was primarily drawn from an adapted version of the swolfPy tool. Electricity data and country specific technology were applied to the models for the 9 countries. The country level data were used as proxies for regional level data. Material credits are consistent across all regions and represent US values thus the reuse and reduction pathways have the same results across geographies. Mixed materials and parent material categories represent a mix of the materials within each. Reuse and reduction models were built separately using a mix of data sources to calculate displacement rates (eBay reuse methodology and Oregon DEQ's Waste Impact Calculator), reuse processing, and material credits (USLCI v1.2026-06.0). Several production and end of life pathway treatment factors were calculated from ecoinvent v3.12 and USLCI v1.2026-06.0 - this was done when available material/pathway combinations in swolfPy did not exist. Data was compared for validity but sources have different modeling methods. Economic factors were drawn from USEEIO v2. See a high level description of the workflow to develop the landfill, incineration, WTE, composting, AD, and recycling (reprocessing) factors from swolfPy models below. 
Built SWOLF treatment inventories
Used SWOLF process models for MRF sorting, composting, AD, reprocessing, WTE, and landfill.
Read material-specific inputs
Loaded electricity, fuels, transport, emissions, costs, recovery flows, and waste outputs from the SWOLF input CSVs.
Applied pathway routing
Routed recovered materials to reprocessing and residuals to the appropriate landfill or treatment pathways.
Created country-specific variants
Linked electricity exchanges to country-specific grid providers so results vary by electricity mix.
Converted units and signs
Converted source inventories from per-Mg bases to per-kg process references, preserved negative values as credits/removals, and corrected exchange input/output behavior.
Mapped flows to FEDEFL/OpenLCA
Standardized elementary flows, units, flow properties, categories, and UUIDs for OpenLCA compatibility.
Exported OpenLCA packages
Generated JSON and ZIP files containing processes, flows, providers, exchanges, and pathway links.
Imported and calculated LCIA results
OpenLCA product systems were calculated using TRACI 2.2, and results were exported to CSV by process, material, pathway, country, and impact category.
Adjusted the aluminum credit
The aluminum reprocessing credit was changed from the electricity-based credit to a direct -5.00828 kg CO2e/kg credit in the source inventory. The source validation passed, but the export regeneration was cancelled, so the packaged JSON/ZIP still needs to be regenerated before that change appears in OpenLCA. Applied a factor of 0.22 to the aluminum recycling data to reduce the credit from 23 kg CO2eq/kg to ~5 kg CO2eq/kg to align with the material emission factor from USLCI.</t>
  </si>
  <si>
    <r>
      <t xml:space="preserve">Empty user input cell: </t>
    </r>
    <r>
      <rPr>
        <i/>
        <sz val="11"/>
        <color rgb="FF000000"/>
        <rFont val="Aptos Narrow"/>
        <family val="2"/>
        <scheme val="minor"/>
      </rPr>
      <t>Fields where users can enter data</t>
    </r>
  </si>
  <si>
    <r>
      <t xml:space="preserve">Populated user input cell: </t>
    </r>
    <r>
      <rPr>
        <i/>
        <sz val="11"/>
        <color rgb="FF000000"/>
        <rFont val="Aptos Narrow"/>
        <family val="2"/>
        <scheme val="minor"/>
      </rPr>
      <t>Fields where users have entered data, for both regular and drop down inputs.</t>
    </r>
  </si>
  <si>
    <t>Attempted</t>
  </si>
  <si>
    <t>Prerequisite</t>
  </si>
  <si>
    <t>User Notes</t>
  </si>
  <si>
    <t>Mixed</t>
  </si>
  <si>
    <t>Custom</t>
  </si>
  <si>
    <t>Default Material List</t>
  </si>
  <si>
    <r>
      <rPr>
        <b/>
        <u/>
        <sz val="12"/>
        <rFont val="Aptos Narrow"/>
        <family val="2"/>
        <scheme val="minor"/>
      </rPr>
      <t xml:space="preserve">Description
</t>
    </r>
    <r>
      <rPr>
        <sz val="12"/>
        <rFont val="Aptos Narrow"/>
        <family val="2"/>
        <scheme val="minor"/>
      </rPr>
      <t xml:space="preserve">
The following section lists the default materials available for selection throughout the model. Users may enter additional custom materials below the default material list and the waste handling impacts of those materials.
</t>
    </r>
  </si>
  <si>
    <t>Project Inputs</t>
  </si>
  <si>
    <t>Mixed Municipal Solid Waste</t>
  </si>
  <si>
    <t>High-Density Polyethylene (HDPE) (translucent and pigmented)</t>
  </si>
  <si>
    <t>Low-Density Polyethylene (LDPE)</t>
  </si>
  <si>
    <t>Polyethylene Terephthalate (PET)</t>
  </si>
  <si>
    <t>Linear Low-Density Polyethylene (LLDPE)</t>
  </si>
  <si>
    <t>Polypropylene (PP)</t>
  </si>
  <si>
    <t>Polyvinyl chloride (PVC)</t>
  </si>
  <si>
    <t>Construction &amp; Demolition (C&amp;D)</t>
  </si>
  <si>
    <t>C&amp;D All</t>
  </si>
  <si>
    <t>Factors!$F$17:$R$943</t>
  </si>
  <si>
    <t>Factors!$J$952:$Q$1023</t>
  </si>
  <si>
    <t>Factors!$H$952:$H$1023</t>
  </si>
  <si>
    <t>Inputs are set as of:</t>
  </si>
  <si>
    <t>Methodology overview</t>
  </si>
  <si>
    <t>Pre C&amp;D table</t>
  </si>
  <si>
    <t>Material WHMs</t>
  </si>
  <si>
    <t>Wood/Yard Trimmings - Generic</t>
  </si>
  <si>
    <t>Food Waste -Generic</t>
  </si>
  <si>
    <t>Plastics - Generic</t>
  </si>
  <si>
    <t>Electronics - Generic</t>
  </si>
  <si>
    <t>Paper - Generic</t>
  </si>
  <si>
    <t>Metals - Generic</t>
  </si>
  <si>
    <t>Furniture/Textiles - Generic</t>
  </si>
  <si>
    <t xml:space="preserve">Input GWP Impact Factors (kg CO2 eq/kg) </t>
  </si>
  <si>
    <t>Financial</t>
  </si>
  <si>
    <t>Cost (USD)</t>
  </si>
  <si>
    <r>
      <rPr>
        <b/>
        <u/>
        <sz val="12"/>
        <color theme="1"/>
        <rFont val="Aptos Narrow"/>
        <family val="2"/>
        <scheme val="minor"/>
      </rPr>
      <t>Instructions</t>
    </r>
    <r>
      <rPr>
        <u/>
        <sz val="12"/>
        <color theme="1"/>
        <rFont val="Aptos Narrow"/>
        <family val="2"/>
        <scheme val="minor"/>
      </rPr>
      <t xml:space="preserve">
</t>
    </r>
    <r>
      <rPr>
        <sz val="12"/>
        <color theme="1"/>
        <rFont val="Aptos Narrow"/>
        <family val="2"/>
        <scheme val="minor"/>
      </rPr>
      <t xml:space="preserve">
This tab is only required for users electing credit </t>
    </r>
    <r>
      <rPr>
        <i/>
        <sz val="12"/>
        <color theme="1"/>
        <rFont val="Aptos Narrow"/>
        <family val="2"/>
        <scheme val="minor"/>
      </rPr>
      <t>PIc3: Evaluate Material Emissions.</t>
    </r>
    <r>
      <rPr>
        <sz val="12"/>
        <color theme="1"/>
        <rFont val="Aptos Narrow"/>
        <family val="2"/>
        <scheme val="minor"/>
      </rPr>
      <t xml:space="preserve"> In the </t>
    </r>
    <r>
      <rPr>
        <b/>
        <i/>
        <sz val="12"/>
        <color theme="1"/>
        <rFont val="Aptos Narrow"/>
        <family val="2"/>
        <scheme val="minor"/>
      </rPr>
      <t xml:space="preserve">Purchased Material Name </t>
    </r>
    <r>
      <rPr>
        <sz val="12"/>
        <color theme="1"/>
        <rFont val="Aptos Narrow"/>
        <family val="2"/>
        <scheme val="minor"/>
      </rPr>
      <t>column</t>
    </r>
    <r>
      <rPr>
        <b/>
        <i/>
        <sz val="12"/>
        <color theme="1"/>
        <rFont val="Aptos Narrow"/>
        <family val="2"/>
        <scheme val="minor"/>
      </rPr>
      <t>,</t>
    </r>
    <r>
      <rPr>
        <sz val="12"/>
        <color theme="1"/>
        <rFont val="Aptos Narrow"/>
        <family val="2"/>
        <scheme val="minor"/>
      </rPr>
      <t xml:space="preserve"> freely enter a category of purchased good (e.g., apples, plywood, white copy paper). In the </t>
    </r>
    <r>
      <rPr>
        <b/>
        <i/>
        <sz val="12"/>
        <color theme="1"/>
        <rFont val="Aptos Narrow"/>
        <family val="2"/>
        <scheme val="minor"/>
      </rPr>
      <t>Purchased Material Subcategory</t>
    </r>
    <r>
      <rPr>
        <sz val="12"/>
        <color theme="1"/>
        <rFont val="Aptos Narrow"/>
        <family val="2"/>
        <scheme val="minor"/>
      </rPr>
      <t xml:space="preserve"> column, select from the dropdown list the purchasing category that best represents your named items (e.g., food waste - vegetable, wood, and office paper respectively).  Enter purchasing data by months in units of US dollar. For more information on purchased material impacts, refer to the TRUE v2 Supplementary Guidance.</t>
    </r>
  </si>
  <si>
    <t>Select Material Subcategory</t>
  </si>
  <si>
    <t>Old GWP factor (kgCO2e/kg)</t>
  </si>
  <si>
    <t>Change in GWP (kgCO2e)</t>
  </si>
  <si>
    <t>Total Weight
(kg)</t>
  </si>
  <si>
    <t>Global Container Ship</t>
  </si>
  <si>
    <t>Diversion and Disposal</t>
  </si>
  <si>
    <t>Project Name</t>
  </si>
  <si>
    <t>Baseline</t>
  </si>
  <si>
    <t>Diversion and Disposal Data</t>
  </si>
  <si>
    <t>Financial Data</t>
  </si>
  <si>
    <t>Total Waste-Based Revenue</t>
  </si>
  <si>
    <t>Value (USD)</t>
  </si>
  <si>
    <t>Input Material Name [Optional]</t>
  </si>
  <si>
    <t>Citation Notes</t>
  </si>
  <si>
    <t>Haz</t>
  </si>
  <si>
    <t>Factor Selection</t>
  </si>
  <si>
    <t>Errors</t>
  </si>
  <si>
    <t>Error Handling</t>
  </si>
  <si>
    <t>Error description</t>
  </si>
  <si>
    <t>E1</t>
  </si>
  <si>
    <t>For rows with information, the minimum data is subcategory and 1 factor.</t>
  </si>
  <si>
    <t>E2</t>
  </si>
  <si>
    <t>Check for  UOM selection</t>
  </si>
  <si>
    <t>E0</t>
  </si>
  <si>
    <t>EB</t>
  </si>
  <si>
    <t>All factors are numbers or blank</t>
  </si>
  <si>
    <t>All weights are positive numbers or blank</t>
  </si>
  <si>
    <t>EB (up to 19)</t>
  </si>
  <si>
    <t>Check for all blanks, no errors in full blank rows.</t>
  </si>
  <si>
    <t>Minimum data entered (frequency, cat, subcat, WHM, estimation, and at least 1 weight value).</t>
  </si>
  <si>
    <t>Error count</t>
  </si>
  <si>
    <t>All weights are numbers or blanks</t>
  </si>
  <si>
    <t>EB (up to 3)</t>
  </si>
  <si>
    <t>E3</t>
  </si>
  <si>
    <t>Check for minimum data</t>
  </si>
  <si>
    <t>If they are entered, All weights are positive if numbers</t>
  </si>
  <si>
    <t>All financial entries are blank or positive numbers</t>
  </si>
  <si>
    <t>Check for minimum data (cost category and at least 1 month of data</t>
  </si>
  <si>
    <t>EB (up to 13)</t>
  </si>
  <si>
    <t>Distances are positive numbers</t>
  </si>
  <si>
    <t>EB (up to 18)</t>
  </si>
  <si>
    <t>Check for minimum data (distance and transport method)</t>
  </si>
  <si>
    <t>EB (up to 14)</t>
  </si>
  <si>
    <t>Check for minimum data (category and at least one month of data)</t>
  </si>
  <si>
    <t>Error Report</t>
  </si>
  <si>
    <t>Sheet</t>
  </si>
  <si>
    <t>Error Count</t>
  </si>
  <si>
    <t>Total Errors:</t>
  </si>
  <si>
    <t>TRAINING AND EDUCATION (TE)</t>
  </si>
  <si>
    <r>
      <t xml:space="preserve">Error Check: </t>
    </r>
    <r>
      <rPr>
        <i/>
        <sz val="11"/>
        <color rgb="FF000000"/>
        <rFont val="Aptos Narrow"/>
        <family val="2"/>
        <scheme val="minor"/>
      </rPr>
      <t>Indicates a data entry error. This could be missing mandatory data or invalid data (e.g. words where numbers should be entered).</t>
    </r>
  </si>
  <si>
    <t>E4</t>
  </si>
  <si>
    <t>Subcategory does not fit category</t>
  </si>
  <si>
    <t>WHM does not fit subcategory</t>
  </si>
  <si>
    <t>Date Prepared (m[m]/d[d]/yyyy)</t>
  </si>
  <si>
    <t>Waste Handling
 Method</t>
  </si>
  <si>
    <t>Waste Handling 
Method</t>
  </si>
  <si>
    <t>Enter Project Information and Elect Relevant Credits:</t>
  </si>
  <si>
    <t>In the 'Project Details' of the Project Inputs tab, enter details relevant to the project (name, time period, etc.). In the 'Credit Election' section, select the credits that your project is attempting to unlock relevant data entry sections of the workbook.</t>
  </si>
  <si>
    <t>Zero Waste Excellence Score</t>
  </si>
  <si>
    <t>Preferred Diversion Score</t>
  </si>
  <si>
    <t xml:space="preserve">       PIc2: Prioritize Preferred Diversion Strategies</t>
  </si>
  <si>
    <t xml:space="preserve">            PIc1: Excel in Zero Waste Diversion</t>
  </si>
  <si>
    <t>Estimated Total Points Demonstrated:</t>
  </si>
  <si>
    <t>Number of staff</t>
  </si>
  <si>
    <t>ENVIRONMENTAL IMPACTS</t>
  </si>
  <si>
    <t>Material Notes (optional)</t>
  </si>
  <si>
    <t>If electing into credit PIc4: Calculate Transportation Emissions, input transport distance and vehicle information to calculate affiliated emissions estimates.</t>
  </si>
  <si>
    <t>If electing into credit PIc3: Evaluate Material Emissions, enter costs of goods purchased each month.</t>
  </si>
  <si>
    <t>If electing into credit MAc4: Analyze and Execute Waste Audit Functions, compare existing waste handling strategies with adjustment scenarios to compare emissions savings.</t>
  </si>
  <si>
    <t>Purchase Amount (USD)</t>
  </si>
  <si>
    <r>
      <rPr>
        <b/>
        <sz val="12"/>
        <color theme="1"/>
        <rFont val="Aptos Narrow"/>
        <family val="2"/>
        <scheme val="minor"/>
      </rPr>
      <t xml:space="preserve">Welcome to TRUE v2! </t>
    </r>
    <r>
      <rPr>
        <sz val="12"/>
        <color theme="1"/>
        <rFont val="Aptos Narrow"/>
        <family val="2"/>
        <scheme val="minor"/>
      </rPr>
      <t xml:space="preserve">
This Zero Waste Calculator is designed for projects pursuing TRUE v2 zero waste certification, administered by GBCI, to calculate key performance metrics. Fill in the data input tabs as thoroughly as possible to determine your project's estimated score and rating. GBCI will verify the inputs and may accept the score, request additional supporting information, or take other steps to verify the score. Not all sections will apply to all projects. </t>
    </r>
  </si>
  <si>
    <t>Enter waste stream data by material and waste handling method over the twelve-month certification period.</t>
  </si>
  <si>
    <t xml:space="preserve">A visual dashboard of results, including an estimated TRUE certification level and total points earned. </t>
  </si>
  <si>
    <t xml:space="preserve">Enter key project descriptions and elect attempted credits to estimate a final TRUE score and certification level. </t>
  </si>
  <si>
    <t>List of material categories and subcategories, and space to enter custom material data.</t>
  </si>
  <si>
    <r>
      <rPr>
        <b/>
        <i/>
        <sz val="11"/>
        <color theme="1"/>
        <rFont val="Aptos Narrow"/>
        <family val="2"/>
        <scheme val="minor"/>
      </rPr>
      <t>Locked cell:</t>
    </r>
    <r>
      <rPr>
        <b/>
        <sz val="11"/>
        <color theme="1"/>
        <rFont val="Aptos Narrow"/>
        <family val="2"/>
        <scheme val="minor"/>
      </rPr>
      <t xml:space="preserve"> </t>
    </r>
    <r>
      <rPr>
        <i/>
        <sz val="11"/>
        <color theme="1"/>
        <rFont val="Aptos Narrow"/>
        <family val="2"/>
        <scheme val="minor"/>
      </rPr>
      <t>No user input required.</t>
    </r>
  </si>
  <si>
    <t>Following the instructions at the top of each data input tab, enter waste-related data according to the requirements of selected credits. Work through data entry tabs from left to right and ensure that all necessary cells are populated to properly generate results.</t>
  </si>
  <si>
    <t>View Your Results:</t>
  </si>
  <si>
    <t>Estimated TRUE Certification Level:</t>
  </si>
  <si>
    <t>This prerequisite is required to qualify for TRUE v2 certification. Fill in 12 months of data in the 'Diversion and Disposal' tab of the Zero Wase Calculator to demonstrate this prerequisite.</t>
  </si>
  <si>
    <t>This prerequisite is required to qualify for TRUE v2 certification. The Zero Waste Calculator will determine if this prerequisite is achieved based on data entered into the 'Diversion and Disposal' tab.</t>
  </si>
  <si>
    <t>Optional. Award for this credit does not involve use of the Zero Waste Calculator. Select 'Yes' under 'Attempted' if you wish to certify that this project fulfills the requirements of this credit. Enter the points demonstrated for this credit.</t>
  </si>
  <si>
    <t xml:space="preserve">Optional. Select 'Yes' under 'Attempted' if you wish to certify that this project fulfills the requirements of this credit. If attempting, fill in the  'Diversion and Disposal' tab and the Zero Waste Calculator will determine how many points are earned. </t>
  </si>
  <si>
    <t>Optional. Award for this credit does not involve use of the Zero Waste Calculator. Select 'Yes' under 'Attempted' if you wish to certify that this project fulfills the requirements of this credit.</t>
  </si>
  <si>
    <t xml:space="preserve">Optional. Select 'Yes' under 'Attempted' if you wish to certify that this project fulfills the requirements of this credit. If attempting, fill in the 'Financial' tab and the Zero Waste Calculator will determine the potential points that can be earned. </t>
  </si>
  <si>
    <t xml:space="preserve">Optional. Select 'Yes' under 'Attempted' if you wish to certify that this project fulfills the requirements of this credit. If attempting, fill in the 'Transport' tab and the Zero Waste Calculator will determine the potential points that can be earned. </t>
  </si>
  <si>
    <t xml:space="preserve">Optional. Select 'Yes' under 'Attempted' if you wish to certify that this project fulfills the requirements of this credit. If attempting, fill in the 'Purchased Materials' tab and the Zero Waste Calculator will determine the potential points that can be earned. </t>
  </si>
  <si>
    <t xml:space="preserve">Optional. Select 'Yes' under 'Attempted' if you wish to certify that this project fulfills the requirements of this credit. If attempting, fill in the  'Diversion and Disposal' tab and the Zero Waste Calculator will determine the potential points that can be earned. </t>
  </si>
  <si>
    <t>Optional. Select 'Yes' under 'Attempted' if you wish to certify that this project fulfills the requirements of this credit. If attempting, expand the rows below and enter the information regarding this credit.</t>
  </si>
  <si>
    <t xml:space="preserve">Optional. Award for this credit does not involve use of the Zero Waste Calculator. Select 'Yes' under 'Attempted' if you wish to certify that this project fulfills the requirements of this credit. </t>
  </si>
  <si>
    <t>Optional. Select 'Yes' under 'Attempted' if you wish to certify that this project fulfills the requirements of this credit. If attempting, enter the information regarding this credit in the  'Diversion and Disposal' tab.</t>
  </si>
  <si>
    <t>Optional. Select 'Yes' under 'Attempted' if you wish to certify that this project fulfills the requirements of this credit. If attempting, enter the information regarding this credit in the 'Diversion and Disposal' tab.</t>
  </si>
  <si>
    <t xml:space="preserve">Optional. Award for this credit is partially covered by the Zero Waste Calculator. Select 'Yes' under 'Attempted' if you wish to certify that this project fulfills the requirements of this credit. Use the 'Audit Scenarios' tab to analyze the waste audit findings. Demonstrating execution of the waste audit findings does not involve use of the Zero Waste Calculator. </t>
  </si>
  <si>
    <t>Optional. Award for this credit does not involve use of the Zero Waste Calculator. Select 'Yes' under 'Attempted' if you wish to certify that this project fulfills the requirements of this credit. The results of the zero waste audit will serve as an input for the many areas of the Zero Waste Calculator.</t>
  </si>
  <si>
    <t>Optional. Award for this credit can be demonstrated by tracking financial data for waste handling. Select 'Yes' under 'Attempted' and enter financial data in the 'Financial' tab, and 'Points Demonstrated' will auto-populate.</t>
  </si>
  <si>
    <t>Optional. Award for this credit can be demonstrated by tracking material type subcategories for additional granularity. Select 'Yes' under 'Attempted' and then enter data in the "Material Subcategory" column of the "Diversion and Disposal" tab for material type subcategories provided by GBCI.</t>
  </si>
  <si>
    <t>Enter currency abbreviation or symbol</t>
  </si>
  <si>
    <t>Enter per USD exchange rate</t>
  </si>
  <si>
    <t>User selection from dropdown</t>
  </si>
  <si>
    <t>Custom Material Subcategory Name</t>
  </si>
  <si>
    <r>
      <rPr>
        <b/>
        <u/>
        <sz val="12"/>
        <rFont val="Aptos Narrow"/>
        <family val="2"/>
        <scheme val="minor"/>
      </rPr>
      <t>Instructions</t>
    </r>
    <r>
      <rPr>
        <sz val="12"/>
        <rFont val="Aptos Narrow"/>
        <family val="2"/>
        <scheme val="minor"/>
      </rPr>
      <t xml:space="preserve">
If there are material types that do not appear in the default material list above, users may enter custom data below. To enter custom materials, freely enter the name, material subcategory, and the available GWP impact factors for the waste handling methods. The material category for all materials entered here is custom. For any custom material listed, users will need to provide affiliated impact factors for global warming potential (GWP), and GBCI may require additional documentation or citations. Users may optionally enter a region/country to note the data's geographic representation. 
The custom materials will appear in the material dropdowns in the waste data input tab as long as at least 1 impact is entered for GWP. No waste handling methods without values will be available for selection. 
</t>
    </r>
    <r>
      <rPr>
        <b/>
        <sz val="12"/>
        <rFont val="Aptos Narrow"/>
        <family val="2"/>
        <scheme val="minor"/>
      </rPr>
      <t>Invalid Data</t>
    </r>
    <r>
      <rPr>
        <sz val="12"/>
        <rFont val="Aptos Narrow"/>
        <family val="2"/>
        <scheme val="minor"/>
      </rPr>
      <t xml:space="preserve">
Attempts to type in invalid data in input cells will result in an error (e.g., entering words in a cell that expects numbers). For any row with incomplete data entries, a red X will appear at the right of the table until the required data (custom material subcategory name and at least one GWP factor) are input in the table.</t>
    </r>
  </si>
  <si>
    <t>Check location of errors in need of resolving, in order to unlock all data on the Results tab.</t>
  </si>
  <si>
    <t>Values are positive numbers</t>
  </si>
  <si>
    <t>Disclaimer: The total points demonstrated and the expected certification level are estimated based on user inputs and should not be considered as official certification. For complete results, ensure that you have entered all relevant data and resolved errors.</t>
  </si>
  <si>
    <t>Select intensity metric (optional)</t>
  </si>
  <si>
    <t>Enter currency name (optional)</t>
  </si>
  <si>
    <r>
      <rPr>
        <b/>
        <u/>
        <sz val="12"/>
        <color theme="1"/>
        <rFont val="Aptos Narrow"/>
        <family val="2"/>
      </rPr>
      <t>Instructions</t>
    </r>
    <r>
      <rPr>
        <sz val="12"/>
        <color theme="1"/>
        <rFont val="Aptos Narrow"/>
        <family val="2"/>
      </rPr>
      <t xml:space="preserve">
</t>
    </r>
    <r>
      <rPr>
        <b/>
        <sz val="12"/>
        <color theme="1"/>
        <rFont val="Aptos Narrow"/>
        <family val="2"/>
      </rPr>
      <t>Waste Reporting Data</t>
    </r>
    <r>
      <rPr>
        <sz val="12"/>
        <color theme="1"/>
        <rFont val="Aptos Narrow"/>
        <family val="2"/>
      </rPr>
      <t xml:space="preserve">
In the </t>
    </r>
    <r>
      <rPr>
        <b/>
        <sz val="12"/>
        <color theme="1"/>
        <rFont val="Aptos Narrow"/>
        <family val="2"/>
      </rPr>
      <t xml:space="preserve">Waste Reporting Data </t>
    </r>
    <r>
      <rPr>
        <sz val="12"/>
        <color theme="1"/>
        <rFont val="Aptos Narrow"/>
        <family val="2"/>
      </rPr>
      <t xml:space="preserve">section, input all solid, non-hazardous waste generated within the project boundary. This should include materials from regular monthly operations and intermittent (such as construction and special events) and tenant-generated waste as applicable. In the case that your regular waste data is only available in annual totals, you may either divide totals by 12 and enter equal values across the 12-month collection period, or enter the total value in a single month's cell. Exclude hazardous materials (as defined by local regulations) and wastewater from the Waste Reporting Data table. For more guidance on included and excluded materials, refer to the TRUE v2 Supplementary Guidance. 'User Notes (optional)' can be used to populate with internal naming conventions.
To fill in the Waste Reporting Data table, select the unit of measure for the waste generated above the table. Next, select the generation frequency (monthly or intermittent) and whether the data was actually measured or estimated. In the 'User Notes (optional)' column, you may optionally include a note, material name, or other internal naming conventions which will not affect the rest of the model. For each material line, select the </t>
    </r>
    <r>
      <rPr>
        <b/>
        <sz val="12"/>
        <color theme="1"/>
        <rFont val="Aptos Narrow"/>
        <family val="2"/>
      </rPr>
      <t xml:space="preserve">material category </t>
    </r>
    <r>
      <rPr>
        <sz val="12"/>
        <color theme="1"/>
        <rFont val="Aptos Narrow"/>
        <family val="2"/>
      </rPr>
      <t>most representative of the material stream</t>
    </r>
    <r>
      <rPr>
        <b/>
        <sz val="12"/>
        <color theme="1"/>
        <rFont val="Aptos Narrow"/>
        <family val="2"/>
      </rPr>
      <t xml:space="preserve">. </t>
    </r>
    <r>
      <rPr>
        <sz val="12"/>
        <color theme="1"/>
        <rFont val="Aptos Narrow"/>
        <family val="2"/>
      </rPr>
      <t>A full pairing of material categories with subcategories may be found in the Materials tab</t>
    </r>
    <r>
      <rPr>
        <b/>
        <sz val="12"/>
        <color theme="1"/>
        <rFont val="Aptos Narrow"/>
        <family val="2"/>
      </rPr>
      <t xml:space="preserve">. </t>
    </r>
    <r>
      <rPr>
        <sz val="12"/>
        <color theme="1"/>
        <rFont val="Aptos Narrow"/>
        <family val="2"/>
      </rPr>
      <t xml:space="preserve">Note that data in the Material Category must be selected before Material Subcategory and Waste Handling Method selections are available. Next, select the </t>
    </r>
    <r>
      <rPr>
        <b/>
        <sz val="12"/>
        <color theme="1"/>
        <rFont val="Aptos Narrow"/>
        <family val="2"/>
      </rPr>
      <t xml:space="preserve">material subcategory </t>
    </r>
    <r>
      <rPr>
        <sz val="12"/>
        <color theme="1"/>
        <rFont val="Aptos Narrow"/>
        <family val="2"/>
      </rPr>
      <t xml:space="preserve">to further specify the primary product type within the stream. If you do not have product-level data or are not seeking credit for </t>
    </r>
    <r>
      <rPr>
        <i/>
        <sz val="12"/>
        <color theme="1"/>
        <rFont val="Aptos Narrow"/>
        <family val="2"/>
      </rPr>
      <t>MAc1: Expanded Material Tracking</t>
    </r>
    <r>
      <rPr>
        <sz val="12"/>
        <color theme="1"/>
        <rFont val="Aptos Narrow"/>
        <family val="2"/>
      </rPr>
      <t xml:space="preserve">, select the same response as used with material category. Then, select the </t>
    </r>
    <r>
      <rPr>
        <b/>
        <sz val="12"/>
        <color theme="1"/>
        <rFont val="Aptos Narrow"/>
        <family val="2"/>
      </rPr>
      <t>waste handling method</t>
    </r>
    <r>
      <rPr>
        <sz val="12"/>
        <color theme="1"/>
        <rFont val="Aptos Narrow"/>
        <family val="2"/>
      </rPr>
      <t xml:space="preserve">. After entering the material category, subcategory and waste handling method enter the weight of material waste generated in each month where data is available. The model will sum each month to get the total.  Finally, users may optionally enter notes for each material line.
</t>
    </r>
    <r>
      <rPr>
        <b/>
        <sz val="12"/>
        <color theme="1"/>
        <rFont val="Aptos Narrow"/>
        <family val="2"/>
      </rPr>
      <t>Invalid Data and row expansions</t>
    </r>
    <r>
      <rPr>
        <sz val="12"/>
        <color theme="1"/>
        <rFont val="Aptos Narrow"/>
        <family val="2"/>
      </rPr>
      <t xml:space="preserve">
Attempts to type in invalid data in input cells will result in an error (e.g. entering words in a cell that expects numbers or entering something that does not match the drop down list). To expand or collapse rows beyond the default 20 lines of input: Use the "+" / “-“ buttons on the left edge of the worksheet. Do not insert or delete rows manually.  
</t>
    </r>
  </si>
  <si>
    <r>
      <rPr>
        <b/>
        <u/>
        <sz val="12"/>
        <color theme="1"/>
        <rFont val="Aptos Narrow"/>
        <family val="2"/>
      </rPr>
      <t>Instructions</t>
    </r>
    <r>
      <rPr>
        <sz val="12"/>
        <color theme="1"/>
        <rFont val="Aptos Narrow"/>
        <family val="2"/>
      </rPr>
      <t xml:space="preserve">
If you elect to attempt credit</t>
    </r>
    <r>
      <rPr>
        <i/>
        <sz val="12"/>
        <color theme="1"/>
        <rFont val="Aptos Narrow"/>
        <family val="2"/>
      </rPr>
      <t xml:space="preserve"> PIc7: Minimize Waste Generation</t>
    </r>
    <r>
      <rPr>
        <sz val="12"/>
        <color theme="1"/>
        <rFont val="Aptos Narrow"/>
        <family val="2"/>
      </rPr>
      <t xml:space="preserve">, fill in the Waste Reporting Data (Baseline Year) table below. 
In the </t>
    </r>
    <r>
      <rPr>
        <b/>
        <sz val="12"/>
        <color theme="1"/>
        <rFont val="Aptos Narrow"/>
        <family val="2"/>
      </rPr>
      <t xml:space="preserve">Waste Reporting Data Section (Baseline Year) </t>
    </r>
    <r>
      <rPr>
        <sz val="12"/>
        <color theme="1"/>
        <rFont val="Aptos Narrow"/>
        <family val="2"/>
      </rPr>
      <t xml:space="preserve">section, include all solid, non-hazardous waste generated within the project boundary, including materials from regular monthly operations or intermittent (such as construction and special events), and tenant-generated waste. In the case that your regular waste data is only available in annual totals, you may either divide totals by 12 and enter equal values across the 12-month collection period, or enter the total value in a single month's cell. Exclude hazardous materials (as defined by local regulations) and wastewater from the Diversion Data table. For more guidance on included and excluded materials, refer to the TRUE v2 Supplementary Guidance. 
To fill in the Diversion Data table, select the unit of measure for the waste generated above the table. Next, select the generation frequency, monthly or intermittent. Users may optionally include a note or material name or some other type of identifier. This will not affect the rest of the model. For each material line, select the </t>
    </r>
    <r>
      <rPr>
        <b/>
        <sz val="12"/>
        <color theme="1"/>
        <rFont val="Aptos Narrow"/>
        <family val="2"/>
      </rPr>
      <t>material category</t>
    </r>
    <r>
      <rPr>
        <sz val="12"/>
        <color theme="1"/>
        <rFont val="Aptos Narrow"/>
        <family val="2"/>
      </rPr>
      <t xml:space="preserve">, then select the </t>
    </r>
    <r>
      <rPr>
        <b/>
        <sz val="12"/>
        <color theme="1"/>
        <rFont val="Aptos Narrow"/>
        <family val="2"/>
      </rPr>
      <t>material subcategory</t>
    </r>
    <r>
      <rPr>
        <sz val="12"/>
        <color theme="1"/>
        <rFont val="Aptos Narrow"/>
        <family val="2"/>
      </rPr>
      <t xml:space="preserve">, then select the </t>
    </r>
    <r>
      <rPr>
        <b/>
        <sz val="12"/>
        <color theme="1"/>
        <rFont val="Aptos Narrow"/>
        <family val="2"/>
      </rPr>
      <t>waste handling method</t>
    </r>
    <r>
      <rPr>
        <sz val="12"/>
        <color theme="1"/>
        <rFont val="Aptos Narrow"/>
        <family val="2"/>
      </rPr>
      <t xml:space="preserve">. Data in the </t>
    </r>
    <r>
      <rPr>
        <b/>
        <sz val="12"/>
        <color theme="1"/>
        <rFont val="Aptos Narrow"/>
        <family val="2"/>
      </rPr>
      <t>Material Category</t>
    </r>
    <r>
      <rPr>
        <sz val="12"/>
        <color theme="1"/>
        <rFont val="Aptos Narrow"/>
        <family val="2"/>
      </rPr>
      <t xml:space="preserve"> must be selected before </t>
    </r>
    <r>
      <rPr>
        <b/>
        <sz val="12"/>
        <color theme="1"/>
        <rFont val="Aptos Narrow"/>
        <family val="2"/>
      </rPr>
      <t xml:space="preserve">Material Subcategory </t>
    </r>
    <r>
      <rPr>
        <sz val="12"/>
        <color theme="1"/>
        <rFont val="Aptos Narrow"/>
        <family val="2"/>
      </rPr>
      <t xml:space="preserve">and </t>
    </r>
    <r>
      <rPr>
        <b/>
        <sz val="12"/>
        <color theme="1"/>
        <rFont val="Aptos Narrow"/>
        <family val="2"/>
      </rPr>
      <t>Waste Handling Method</t>
    </r>
    <r>
      <rPr>
        <sz val="12"/>
        <color theme="1"/>
        <rFont val="Aptos Narrow"/>
        <family val="2"/>
      </rPr>
      <t xml:space="preserve"> selections are available.  After entering the material category, subcategory and waste handling method enter the weight of material waste generated in each month where data is available. The model will sum each month to get the total. After the total select whether the data was actually measured or estimated. Finally, users may enter notes for each material line
</t>
    </r>
    <r>
      <rPr>
        <b/>
        <sz val="12"/>
        <color theme="1"/>
        <rFont val="Aptos Narrow"/>
        <family val="2"/>
      </rPr>
      <t>Invalid Data and row expansions</t>
    </r>
    <r>
      <rPr>
        <sz val="12"/>
        <color theme="1"/>
        <rFont val="Aptos Narrow"/>
        <family val="2"/>
      </rPr>
      <t xml:space="preserve">
Attempts to type in invalid data in input cells will result in an error (e.g. entering words in a cell that expects numbers or entering something that does not match the drop down list). Expand or Collapse Rows: Use the "+" / “-“ buttons on the left edge of the worksheet. Do not insert or delete rows manually.  </t>
    </r>
  </si>
  <si>
    <r>
      <rPr>
        <b/>
        <u/>
        <sz val="12"/>
        <color theme="1"/>
        <rFont val="Aptos Narrow"/>
        <family val="2"/>
      </rPr>
      <t xml:space="preserve">Instructions
</t>
    </r>
    <r>
      <rPr>
        <sz val="12"/>
        <color theme="1"/>
        <rFont val="Aptos Narrow"/>
        <family val="2"/>
      </rPr>
      <t xml:space="preserve">
</t>
    </r>
    <r>
      <rPr>
        <b/>
        <sz val="12"/>
        <color theme="1"/>
        <rFont val="Aptos Narrow"/>
        <family val="2"/>
      </rPr>
      <t>Hazardous Materials</t>
    </r>
    <r>
      <rPr>
        <sz val="12"/>
        <color theme="1"/>
        <rFont val="Aptos Narrow"/>
        <family val="2"/>
      </rPr>
      <t xml:space="preserve">
If you elect to attempt credit </t>
    </r>
    <r>
      <rPr>
        <i/>
        <sz val="12"/>
        <color theme="1"/>
        <rFont val="Aptos Narrow"/>
        <family val="2"/>
      </rPr>
      <t>RDc1: Reduce Hazardous Materials</t>
    </r>
    <r>
      <rPr>
        <sz val="12"/>
        <color theme="1"/>
        <rFont val="Aptos Narrow"/>
        <family val="2"/>
      </rPr>
      <t xml:space="preserve">, fill in the Hazardous Materials Generation table below.  Enter a material description weight for both a baseline year and certification year. </t>
    </r>
  </si>
  <si>
    <r>
      <rPr>
        <b/>
        <u/>
        <sz val="12"/>
        <color theme="1"/>
        <rFont val="Aptos Narrow"/>
        <family val="2"/>
      </rPr>
      <t>Instructions</t>
    </r>
    <r>
      <rPr>
        <sz val="12"/>
        <color theme="1"/>
        <rFont val="Aptos Narrow"/>
        <family val="2"/>
      </rPr>
      <t xml:space="preserve">
In the </t>
    </r>
    <r>
      <rPr>
        <b/>
        <sz val="12"/>
        <color theme="1"/>
        <rFont val="Aptos Narrow"/>
        <family val="2"/>
      </rPr>
      <t>Project Details</t>
    </r>
    <r>
      <rPr>
        <sz val="12"/>
        <color theme="1"/>
        <rFont val="Aptos Narrow"/>
        <family val="2"/>
      </rPr>
      <t xml:space="preserve"> section, select from the dropdown list the Country in which your project is located. The model supporting this calculator uses primary data from nine key countries: USA, India, China, Canada, Spain, Ireland, Brazil, Mexico and Australia. Users may select locations other than these nine, but the calculator will generated estimated data referencing the key countries most aligned with their waste operations emission profiles. 
Enter the year and month of your certification period to auto-populate the column headers in Diversion Data table. 
If attempting credit </t>
    </r>
    <r>
      <rPr>
        <i/>
        <sz val="12"/>
        <color theme="1"/>
        <rFont val="Aptos Narrow"/>
        <family val="2"/>
      </rPr>
      <t>PIc7: Minimize Waste Generation</t>
    </r>
    <r>
      <rPr>
        <sz val="12"/>
        <color theme="1"/>
        <rFont val="Aptos Narrow"/>
        <family val="2"/>
      </rPr>
      <t xml:space="preserve">, complete the intensity metric inputs.  Intensity metrics are a way to normalize waste generation for comparability across projects. Select a metric from the dropdown list and enter relevant units and the quantity of those units relevant to your project. For example, for a chosen metric of "Annual Revenue", a user might enter USD for "Intensity Metric Unit" and "5,000,000" for "Intensity Metric Value". There is no wrong answer to an intensity metric - you may input any name and provide the appropriate conversion factor. A waste intensity ratio can be found on the 'Results' tab after completing data entry. The model provides some common intensity metrics that users can identify and quantify but users may also enter a custom intensity metric.   </t>
    </r>
  </si>
  <si>
    <t>change in GHG emissions compared to an all-landfill scenario.* Equal to…</t>
  </si>
  <si>
    <t>*Postive values indicate an increase in emissions compared to a baseline landfill scenario. Negative values indicate GHG emissions prevented through diversion of waste.</t>
  </si>
  <si>
    <t>^Calculated based on the average carbon absorption of a tree over a ten year period.</t>
  </si>
  <si>
    <t>If electing into credit PIc7: Minimize Waste Generation, enter baseline data for comparison against certification period diversion and disposal data.</t>
  </si>
  <si>
    <t>If electing into credit RDc1: Reduce Hazardous Materials, enter hazardous waste-based data for certification year and baseline year.</t>
  </si>
  <si>
    <t>If electing into credit MAc2: Implement Financial Data Tracking,  input cost data for waste hauling and management, including savings, rebates, and revenues.</t>
  </si>
  <si>
    <t>Select Country Where Project is Located</t>
  </si>
  <si>
    <t>Intensity Metric Unit</t>
  </si>
  <si>
    <t>Questions to determine SCc6 credit achievement (opt 'Yes' to enter data)</t>
  </si>
  <si>
    <t>Did at least 50% of your purchases of office and janitorial paper purchased contain at a minimum of 50% post-consumer recycled content?</t>
  </si>
  <si>
    <t>Does 50% of the above product or material contain a minimum 50% post-consumer recycled content? Or, is the top material or product 100% compostable or biodegradable?</t>
  </si>
  <si>
    <r>
      <rPr>
        <b/>
        <u/>
        <sz val="12"/>
        <color theme="1"/>
        <rFont val="Aptos Narrow"/>
        <family val="2"/>
        <scheme val="minor"/>
      </rPr>
      <t>Instructions</t>
    </r>
    <r>
      <rPr>
        <u/>
        <sz val="12"/>
        <color theme="1"/>
        <rFont val="Aptos Narrow"/>
        <family val="2"/>
        <scheme val="minor"/>
      </rPr>
      <t xml:space="preserve">
</t>
    </r>
    <r>
      <rPr>
        <sz val="12"/>
        <color theme="1"/>
        <rFont val="Aptos Narrow"/>
        <family val="2"/>
        <scheme val="minor"/>
      </rPr>
      <t xml:space="preserve">This tab is only required for users electing credit </t>
    </r>
    <r>
      <rPr>
        <i/>
        <sz val="12"/>
        <color theme="1"/>
        <rFont val="Aptos Narrow"/>
        <family val="2"/>
        <scheme val="minor"/>
      </rPr>
      <t>PIc4: Calculate Transport Emissions</t>
    </r>
    <r>
      <rPr>
        <sz val="12"/>
        <color theme="1"/>
        <rFont val="Aptos Narrow"/>
        <family val="2"/>
        <scheme val="minor"/>
      </rPr>
      <t xml:space="preserve">. Complete the Waste tab before entering information under </t>
    </r>
    <r>
      <rPr>
        <b/>
        <sz val="12"/>
        <color theme="1"/>
        <rFont val="Aptos Narrow"/>
        <family val="2"/>
        <scheme val="minor"/>
      </rPr>
      <t>Transportation Data</t>
    </r>
    <r>
      <rPr>
        <sz val="12"/>
        <color theme="1"/>
        <rFont val="Aptos Narrow"/>
        <family val="2"/>
        <scheme val="minor"/>
      </rPr>
      <t xml:space="preserve"> section below: the </t>
    </r>
    <r>
      <rPr>
        <i/>
        <sz val="12"/>
        <color theme="1"/>
        <rFont val="Aptos Narrow"/>
        <family val="2"/>
        <scheme val="minor"/>
      </rPr>
      <t>Category, Subcategory, Waste Handling Method, and weight by month</t>
    </r>
    <r>
      <rPr>
        <sz val="12"/>
        <color theme="1"/>
        <rFont val="Aptos Narrow"/>
        <family val="2"/>
        <scheme val="minor"/>
      </rPr>
      <t xml:space="preserve"> columns will auto-populate from entries made in the Waste tab.
Select the most applicable option of vehicle under the </t>
    </r>
    <r>
      <rPr>
        <b/>
        <i/>
        <sz val="12"/>
        <color theme="1"/>
        <rFont val="Aptos Narrow"/>
        <family val="2"/>
        <scheme val="minor"/>
      </rPr>
      <t>Transportation Method</t>
    </r>
    <r>
      <rPr>
        <sz val="12"/>
        <color theme="1"/>
        <rFont val="Aptos Narrow"/>
        <family val="2"/>
        <scheme val="minor"/>
      </rPr>
      <t xml:space="preserve"> column. If you do not have exact distances to input in the distance to service provider column, you may use estimates. You may find it helpful to check waste hauling receipts for facility addresses, use a mapping app to search locations of and distances to your local waste processing facilities, or call your service providers to gather distance information. Distance units available for selection are kilometers and miles.
</t>
    </r>
  </si>
  <si>
    <t xml:space="preserve">For source and additional GHG equivalences, see: EPA (2026). Greenhouse Gas Equivalencies Calculator - Calculations and References. </t>
  </si>
  <si>
    <t>https://www.epa.gov/energy/greenhouse-gas-equivalencies-calculator-calculations-and-references</t>
  </si>
  <si>
    <t>Accessed 8/31/2026.</t>
  </si>
  <si>
    <t>Percent Reduction:</t>
  </si>
  <si>
    <r>
      <rPr>
        <b/>
        <u/>
        <sz val="12"/>
        <rFont val="Aptos Narrow"/>
        <family val="2"/>
        <scheme val="minor"/>
      </rPr>
      <t>Instructions</t>
    </r>
    <r>
      <rPr>
        <sz val="12"/>
        <rFont val="Aptos Narrow"/>
        <family val="2"/>
        <scheme val="minor"/>
      </rPr>
      <t xml:space="preserve">
The table below is an interactive list of credits to assist with tracking anticipated points towards certification. There are four types of entry cases:</t>
    </r>
    <r>
      <rPr>
        <b/>
        <u/>
        <sz val="12"/>
        <color rgb="FFFF0000"/>
        <rFont val="Aptos Narrow"/>
        <family val="2"/>
        <scheme val="minor"/>
      </rPr>
      <t xml:space="preserve">
</t>
    </r>
    <r>
      <rPr>
        <sz val="12"/>
        <rFont val="Aptos Narrow"/>
        <family val="2"/>
        <scheme val="minor"/>
      </rPr>
      <t xml:space="preserve">
1. </t>
    </r>
    <r>
      <rPr>
        <b/>
        <sz val="12"/>
        <rFont val="Aptos Narrow"/>
        <family val="2"/>
        <scheme val="minor"/>
      </rPr>
      <t>Prerequisites</t>
    </r>
    <r>
      <rPr>
        <sz val="12"/>
        <rFont val="Aptos Narrow"/>
        <family val="2"/>
        <scheme val="minor"/>
      </rPr>
      <t xml:space="preserve">. These rows do not allow inputs from users, as no points are awarded for required prerequisite credits. However, optional credits in each category cannot be earned if the prerequisites are not fulfilled. The Zero Waste Calculator is not involved in demonstrating completion. 
2. </t>
    </r>
    <r>
      <rPr>
        <b/>
        <sz val="12"/>
        <rFont val="Aptos Narrow"/>
        <family val="2"/>
        <scheme val="minor"/>
      </rPr>
      <t>Optional credits</t>
    </r>
    <r>
      <rPr>
        <sz val="12"/>
        <rFont val="Aptos Narrow"/>
        <family val="2"/>
        <scheme val="minor"/>
      </rPr>
      <t xml:space="preserve"> that </t>
    </r>
    <r>
      <rPr>
        <b/>
        <i/>
        <sz val="12"/>
        <rFont val="Aptos Narrow"/>
        <family val="2"/>
        <scheme val="minor"/>
      </rPr>
      <t>do not</t>
    </r>
    <r>
      <rPr>
        <sz val="12"/>
        <rFont val="Aptos Narrow"/>
        <family val="2"/>
        <scheme val="minor"/>
      </rPr>
      <t xml:space="preserve"> require use of the calculator's data input tabs. Select 'Yes' in the "Attempted" column if you anticipate fulfilling project requirements of this credit. If a credit is multi-attribute (multiple pathways to achieving points), the "Credit Type" column will say "Optional: Expand Questionnaire". Click the [+] icon on the lefthand margin of the table to expand and answer additional credit-specific questions. 
3. </t>
    </r>
    <r>
      <rPr>
        <b/>
        <sz val="12"/>
        <rFont val="Aptos Narrow"/>
        <family val="2"/>
        <scheme val="minor"/>
      </rPr>
      <t>Optional credits</t>
    </r>
    <r>
      <rPr>
        <sz val="12"/>
        <rFont val="Aptos Narrow"/>
        <family val="2"/>
        <scheme val="minor"/>
      </rPr>
      <t xml:space="preserve"> that </t>
    </r>
    <r>
      <rPr>
        <b/>
        <i/>
        <sz val="12"/>
        <rFont val="Aptos Narrow"/>
        <family val="2"/>
        <scheme val="minor"/>
      </rPr>
      <t>do</t>
    </r>
    <r>
      <rPr>
        <sz val="12"/>
        <rFont val="Aptos Narrow"/>
        <family val="2"/>
        <scheme val="minor"/>
      </rPr>
      <t xml:space="preserve"> rely on use of the calculator's data input tabs. If opting in to these credits, fill out the</t>
    </r>
    <r>
      <rPr>
        <sz val="12"/>
        <color rgb="FFFF0000"/>
        <rFont val="Aptos Narrow"/>
        <family val="2"/>
        <scheme val="minor"/>
      </rPr>
      <t xml:space="preserve"> </t>
    </r>
    <r>
      <rPr>
        <sz val="12"/>
        <rFont val="Aptos Narrow"/>
        <family val="2"/>
        <scheme val="minor"/>
      </rPr>
      <t xml:space="preserve">data tables affiliated with the credit and the 'Points Generated' score will auto-populate. In some cases, these credits require both quantitative calculator use and qualitative documentation. Expand the credit's questionnaire using the "+" / " -" icons on the righthand margin of the table, answering the questions available. If cells are locked to user edits, the calculator will auto-populate the points associated with that question.
4. </t>
    </r>
    <r>
      <rPr>
        <b/>
        <sz val="12"/>
        <rFont val="Aptos Narrow"/>
        <family val="2"/>
        <scheme val="minor"/>
      </rPr>
      <t xml:space="preserve">Project Priority </t>
    </r>
    <r>
      <rPr>
        <sz val="12"/>
        <rFont val="Aptos Narrow"/>
        <family val="2"/>
        <scheme val="minor"/>
      </rPr>
      <t xml:space="preserve">category can be populated manually with credits from the Project Priority Library (Appendix 1 of the TRUE v2 Rating System) or with open-ended innovation credits. Input the name of the credit, or a description of the innovative strategy in Column C. Enter the attempted number of points in Column G based on the Project Priority Library. All open-ended innovation credits are worth 1 point.
A summary of total points demonstrated and the expected certification level can be found in the Results tab.
</t>
    </r>
    <r>
      <rPr>
        <b/>
        <u/>
        <sz val="12"/>
        <color rgb="FFFF0000"/>
        <rFont val="Aptos Narrow"/>
        <family val="2"/>
        <scheme val="minor"/>
      </rPr>
      <t xml:space="preserve">
</t>
    </r>
  </si>
  <si>
    <t>General/Other</t>
  </si>
  <si>
    <t>Lightbulbs/Lamps</t>
  </si>
  <si>
    <t>Option 1</t>
  </si>
  <si>
    <t>Option 2</t>
  </si>
  <si>
    <t>Plan</t>
  </si>
  <si>
    <t>Implement</t>
  </si>
  <si>
    <t>Option 1 and 3</t>
  </si>
  <si>
    <t>Option 2 and 3</t>
  </si>
  <si>
    <t>Option 3</t>
  </si>
  <si>
    <t>Option 4</t>
  </si>
  <si>
    <t>Option 5</t>
  </si>
  <si>
    <t>Opportunity Description</t>
  </si>
  <si>
    <t>Source Audit</t>
  </si>
  <si>
    <t>Weight Reduced or Diverted from Opportunity (kg)</t>
  </si>
  <si>
    <t>Percent Weight Impacted by Opportunity</t>
  </si>
  <si>
    <t>Material Reduced or Diverted (kg)</t>
  </si>
  <si>
    <r>
      <rPr>
        <b/>
        <u/>
        <sz val="12"/>
        <color theme="1"/>
        <rFont val="Aptos Narrow"/>
        <family val="2"/>
        <scheme val="minor"/>
      </rPr>
      <t>Instructions</t>
    </r>
    <r>
      <rPr>
        <u/>
        <sz val="12"/>
        <color theme="1"/>
        <rFont val="Aptos Narrow"/>
        <family val="2"/>
        <scheme val="minor"/>
      </rPr>
      <t xml:space="preserve">
</t>
    </r>
    <r>
      <rPr>
        <sz val="12"/>
        <color theme="1"/>
        <rFont val="Aptos Narrow"/>
        <family val="2"/>
        <scheme val="minor"/>
      </rPr>
      <t xml:space="preserve">
This is an </t>
    </r>
    <r>
      <rPr>
        <b/>
        <sz val="12"/>
        <color theme="1"/>
        <rFont val="Aptos Narrow"/>
        <family val="2"/>
        <scheme val="minor"/>
      </rPr>
      <t>optional</t>
    </r>
    <r>
      <rPr>
        <sz val="12"/>
        <color theme="1"/>
        <rFont val="Aptos Narrow"/>
        <family val="2"/>
        <scheme val="minor"/>
      </rPr>
      <t xml:space="preserve"> tab for users electing credit </t>
    </r>
    <r>
      <rPr>
        <i/>
        <sz val="12"/>
        <color theme="1"/>
        <rFont val="Aptos Narrow"/>
        <family val="2"/>
        <scheme val="minor"/>
      </rPr>
      <t xml:space="preserve">MAc4: Analyze and Execute Waste Audit Findings </t>
    </r>
    <r>
      <rPr>
        <sz val="12"/>
        <color theme="1"/>
        <rFont val="Aptos Narrow"/>
        <family val="2"/>
        <scheme val="minor"/>
      </rPr>
      <t>to support quantifying the reduction or diversion potential of five (5) opportunities. 
In the "</t>
    </r>
    <r>
      <rPr>
        <i/>
        <sz val="12"/>
        <color theme="1"/>
        <rFont val="Aptos Narrow"/>
        <family val="2"/>
        <scheme val="minor"/>
      </rPr>
      <t>Improvement Analysis</t>
    </r>
    <r>
      <rPr>
        <sz val="12"/>
        <color theme="1"/>
        <rFont val="Aptos Narrow"/>
        <family val="2"/>
        <scheme val="minor"/>
      </rPr>
      <t>" table, enter a description of the opportunity and use the dropdown in 'Source Audit' column to specify which audit was used to identify this opportunity. In 'Select Material Subcategory' column, select  the material type that you would like to analyze from the '</t>
    </r>
    <r>
      <rPr>
        <i/>
        <sz val="12"/>
        <color theme="1"/>
        <rFont val="Aptos Narrow"/>
        <family val="2"/>
        <scheme val="minor"/>
      </rPr>
      <t>Select Material type</t>
    </r>
    <r>
      <rPr>
        <sz val="12"/>
        <color theme="1"/>
        <rFont val="Aptos Narrow"/>
        <family val="2"/>
        <scheme val="minor"/>
      </rPr>
      <t>' drop-down list. The '</t>
    </r>
    <r>
      <rPr>
        <i/>
        <sz val="12"/>
        <color theme="1"/>
        <rFont val="Aptos Narrow"/>
        <family val="2"/>
        <scheme val="minor"/>
      </rPr>
      <t xml:space="preserve">Original Waste Handling Option' and 'Weight', </t>
    </r>
    <r>
      <rPr>
        <sz val="12"/>
        <color theme="1"/>
        <rFont val="Aptos Narrow"/>
        <family val="2"/>
        <scheme val="minor"/>
      </rPr>
      <t xml:space="preserve">columns will auto-populate based on data entered in the Waste tab for that material type. 
Enter the percent of the total weight that is impacted by the opportunity. For example, if all of a material is being diverted, enter 100%. If only half of the material can be reduced, enter 50%. The 'Weight Reduced or Diverted' will automatically calculate. 
The GWP impact of the opportunity is calculated in the 'GWP Improvement Analysis' table. This analysis is not required by the credit, but can be used to support or showcase the opportunity. 
To compare the global warming potential of managing the selected material type using another waste handling method, make a selection under the 'Select New Handling Option. Reduction (or increase) in GWP will </t>
    </r>
  </si>
  <si>
    <t>GWP Improvement Analysis</t>
  </si>
  <si>
    <t>Reduction in GWP (kgCO2e)</t>
  </si>
  <si>
    <r>
      <rPr>
        <b/>
        <u/>
        <sz val="12"/>
        <color theme="1"/>
        <rFont val="Aptos Narrow"/>
        <family val="2"/>
        <scheme val="minor"/>
      </rPr>
      <t>Instructions</t>
    </r>
    <r>
      <rPr>
        <sz val="12"/>
        <color theme="1"/>
        <rFont val="Aptos Narrow"/>
        <family val="2"/>
        <scheme val="minor"/>
      </rPr>
      <t xml:space="preserve">
If you elect to attempt credit </t>
    </r>
    <r>
      <rPr>
        <i/>
        <sz val="12"/>
        <color theme="1"/>
        <rFont val="Aptos Narrow"/>
        <family val="2"/>
        <scheme val="minor"/>
      </rPr>
      <t>MAc2: Implement Financial Data Tracking</t>
    </r>
    <r>
      <rPr>
        <sz val="12"/>
        <color theme="1"/>
        <rFont val="Aptos Narrow"/>
        <family val="2"/>
        <scheme val="minor"/>
      </rPr>
      <t xml:space="preserve">, fill in the Monthly Waste Handling Costs and Monthly Waste-Based Revenue below. 
In the </t>
    </r>
    <r>
      <rPr>
        <b/>
        <sz val="12"/>
        <color theme="1"/>
        <rFont val="Aptos Narrow"/>
        <family val="2"/>
        <scheme val="minor"/>
      </rPr>
      <t xml:space="preserve">Monthly Waste Handling Costs </t>
    </r>
    <r>
      <rPr>
        <sz val="12"/>
        <color theme="1"/>
        <rFont val="Aptos Narrow"/>
        <family val="2"/>
        <scheme val="minor"/>
      </rPr>
      <t>section, freely enter a cost category name. Users may input data in the rows pre-listing waste handling methods, or enter personalized data by clicking the "+" / "-"  buttons on the left margin of the worksheet to expand additional rows. Enter the costs affiliated with each cost category my month in the form of a positive number. In the case of intermittent wastes, or if your regular waste data is only available in annual totals, you may either divide totals by 12 and enter equal values across the 12-month collection period or enter the total value under the month relevant to the expense.
In the</t>
    </r>
    <r>
      <rPr>
        <b/>
        <sz val="12"/>
        <color theme="1"/>
        <rFont val="Aptos Narrow"/>
        <family val="2"/>
        <scheme val="minor"/>
      </rPr>
      <t xml:space="preserve"> Monthly Waste-Based Revenue</t>
    </r>
    <r>
      <rPr>
        <sz val="12"/>
        <color theme="1"/>
        <rFont val="Aptos Narrow"/>
        <family val="2"/>
        <scheme val="minor"/>
      </rPr>
      <t xml:space="preserve"> section, enter names and values for rebates, credits, or revenue received from the sale, donation, or other processing of waste, if applicable. Enter values as positive numbers.
Attempts to type in invalid data, such as negative values, in input cells will result in an error (e.g. entering words in a cell that expects numbers or entering something that does not match the drop down list). Expand or Collapse Rows: Use the "+" / “-“ buttons on the left edge of the worksheet. Do </t>
    </r>
    <r>
      <rPr>
        <i/>
        <sz val="12"/>
        <color theme="1"/>
        <rFont val="Aptos Narrow"/>
        <family val="2"/>
        <scheme val="minor"/>
      </rPr>
      <t>not</t>
    </r>
    <r>
      <rPr>
        <sz val="12"/>
        <color theme="1"/>
        <rFont val="Aptos Narrow"/>
        <family val="2"/>
        <scheme val="minor"/>
      </rPr>
      <t xml:space="preserve"> insert or delete rows manually.  
</t>
    </r>
  </si>
  <si>
    <t>Purchased Material Subcategory</t>
  </si>
  <si>
    <t>Last Updated 10/14/2026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</si>
</sst>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43" formatCode="_(* #,##0.00_);_(* \(#,##0.00\);_(* &quot;-&quot;??_);_(@_)"/>
    <numFmt numFmtId="164" formatCode="0.0%"/>
    <numFmt numFmtId="165" formatCode="_(* #,##0_);_(* \(#,##0\);_(* &quot;-&quot;??_);_(@_)"/>
    <numFmt numFmtId="166" formatCode="_(* #,##0.0_);_(* \(#,##0.0\);_(* &quot;-&quot;??_);_(@_)"/>
    <numFmt numFmtId="167" formatCode="_([$$-409]* #,##0_);_([$$-409]* \(#,##0\);_([$$-409]* &quot;-&quot;??_);_(@_)"/>
    <numFmt numFmtId="168" formatCode="0.0000"/>
    <numFmt numFmtId="169" formatCode="_(&quot;$&quot;* #,##0_);_(&quot;$&quot;* \(#,##0\);_(&quot;$&quot;* &quot;-&quot;??_);_(@_)"/>
    <numFmt numFmtId="170" formatCode="_(* #,##0.0000_);_(* \(#,##0.0000\);_(* &quot;-&quot;??_);_(@_)"/>
    <numFmt numFmtId="171" formatCode="#,##0.0"/>
    <numFmt numFmtId="172" formatCode="_([$$-409]* #,##0.00_);_([$$-409]* \(#,##0.00\);_([$$-409]* &quot;-&quot;??_);_(@_)"/>
  </numFmts>
  <fonts count="140">
    <font>
      <sz val="11"/>
      <color theme="1"/>
      <name val="Aptos Narrow"/>
      <family val="2"/>
      <scheme val="minor"/>
    </font>
    <font>
      <b/>
      <sz val="11"/>
      <color theme="1"/>
      <name val="Aptos Narrow"/>
      <family val="2"/>
      <scheme val="minor"/>
    </font>
    <font>
      <sz val="11"/>
      <color theme="1"/>
      <name val="Aptos Narrow"/>
      <family val="2"/>
      <scheme val="minor"/>
    </font>
    <font>
      <u/>
      <sz val="11"/>
      <color theme="10"/>
      <name val="Aptos Narrow"/>
      <family val="2"/>
      <scheme val="minor"/>
    </font>
    <font>
      <sz val="8"/>
      <name val="Aptos Narrow"/>
      <family val="2"/>
      <scheme val="minor"/>
    </font>
    <font>
      <b/>
      <u/>
      <sz val="11"/>
      <color theme="1"/>
      <name val="Aptos Narrow"/>
      <family val="2"/>
      <scheme val="minor"/>
    </font>
    <font>
      <sz val="10"/>
      <name val="Arial"/>
      <family val="2"/>
    </font>
    <font>
      <sz val="11"/>
      <color theme="0"/>
      <name val="Aptos Narrow"/>
      <family val="2"/>
      <scheme val="minor"/>
    </font>
    <font>
      <sz val="11"/>
      <color theme="1"/>
      <name val="Source Sans Pro"/>
      <family val="2"/>
    </font>
    <font>
      <b/>
      <sz val="11"/>
      <color rgb="FFFF0000"/>
      <name val="Source Sans Pro"/>
      <family val="2"/>
    </font>
    <font>
      <sz val="11"/>
      <name val="Source Sans Pro"/>
      <family val="2"/>
    </font>
    <font>
      <sz val="12"/>
      <color theme="1"/>
      <name val="Source Sans Pro"/>
      <family val="2"/>
    </font>
    <font>
      <b/>
      <sz val="12"/>
      <name val="Source Sans Pro"/>
      <family val="2"/>
    </font>
    <font>
      <b/>
      <u/>
      <sz val="16"/>
      <name val="Source Sans Pro"/>
      <family val="2"/>
    </font>
    <font>
      <sz val="12"/>
      <name val="Source Sans Pro"/>
      <family val="2"/>
    </font>
    <font>
      <b/>
      <sz val="12"/>
      <color theme="1"/>
      <name val="Source Sans Pro"/>
      <family val="2"/>
    </font>
    <font>
      <b/>
      <u/>
      <sz val="14"/>
      <name val="Source Sans Pro"/>
      <family val="2"/>
    </font>
    <font>
      <b/>
      <sz val="11"/>
      <name val="Source Sans Pro"/>
      <family val="2"/>
    </font>
    <font>
      <b/>
      <sz val="11"/>
      <color rgb="FFFF0000"/>
      <name val="Roboto"/>
    </font>
    <font>
      <b/>
      <sz val="14"/>
      <color theme="1"/>
      <name val="Aptos Narrow"/>
      <family val="2"/>
      <scheme val="minor"/>
    </font>
    <font>
      <b/>
      <sz val="11"/>
      <color theme="0"/>
      <name val="Aptos Narrow"/>
      <family val="2"/>
      <scheme val="minor"/>
    </font>
    <font>
      <b/>
      <sz val="10"/>
      <color theme="0"/>
      <name val="Aptos Narrow"/>
      <family val="2"/>
      <scheme val="minor"/>
    </font>
    <font>
      <sz val="11"/>
      <color theme="1"/>
      <name val="Roboto"/>
    </font>
    <font>
      <b/>
      <sz val="11"/>
      <color theme="0"/>
      <name val="Roboto"/>
    </font>
    <font>
      <b/>
      <sz val="11"/>
      <color theme="1"/>
      <name val="Roboto"/>
    </font>
    <font>
      <sz val="12"/>
      <color theme="1"/>
      <name val="Aptos Narrow"/>
      <family val="2"/>
      <scheme val="minor"/>
    </font>
    <font>
      <b/>
      <sz val="36"/>
      <color theme="0"/>
      <name val="Aptos Display"/>
      <family val="2"/>
      <scheme val="major"/>
    </font>
    <font>
      <b/>
      <u/>
      <sz val="12"/>
      <color theme="1"/>
      <name val="Aptos Narrow"/>
      <family val="2"/>
      <scheme val="minor"/>
    </font>
    <font>
      <b/>
      <sz val="20"/>
      <name val="Aptos Display"/>
      <family val="2"/>
      <scheme val="major"/>
    </font>
    <font>
      <b/>
      <sz val="12"/>
      <name val="Aptos Display"/>
      <family val="2"/>
      <scheme val="major"/>
    </font>
    <font>
      <b/>
      <sz val="11"/>
      <color rgb="FFFF0000"/>
      <name val="Aptos Narrow"/>
      <family val="2"/>
      <scheme val="minor"/>
    </font>
    <font>
      <sz val="11"/>
      <color rgb="FFFF0000"/>
      <name val="Aptos Narrow"/>
      <family val="2"/>
      <scheme val="minor"/>
    </font>
    <font>
      <b/>
      <u/>
      <sz val="12"/>
      <color rgb="FFFF0000"/>
      <name val="Aptos Narrow"/>
      <family val="2"/>
      <scheme val="minor"/>
    </font>
    <font>
      <sz val="18"/>
      <color rgb="FFFF0000"/>
      <name val="Aptos Narrow"/>
      <family val="2"/>
      <scheme val="minor"/>
    </font>
    <font>
      <sz val="10"/>
      <color rgb="FF000000"/>
      <name val="Arial"/>
      <family val="2"/>
    </font>
    <font>
      <sz val="11"/>
      <color rgb="FF000000"/>
      <name val="Aptos Narrow"/>
      <family val="2"/>
      <scheme val="minor"/>
    </font>
    <font>
      <sz val="8"/>
      <color rgb="FF868484"/>
      <name val="Arial"/>
      <family val="2"/>
    </font>
    <font>
      <sz val="9"/>
      <color rgb="FF868484"/>
      <name val="Arial"/>
      <family val="2"/>
    </font>
    <font>
      <sz val="10"/>
      <color rgb="FF353434"/>
      <name val="Arial"/>
      <family val="2"/>
    </font>
    <font>
      <b/>
      <i/>
      <sz val="10"/>
      <color rgb="FF000000"/>
      <name val="Arial"/>
      <family val="2"/>
    </font>
    <font>
      <b/>
      <sz val="11"/>
      <color rgb="FF000000"/>
      <name val="Aptos Narrow"/>
      <family val="2"/>
      <scheme val="minor"/>
    </font>
    <font>
      <b/>
      <sz val="12"/>
      <color theme="0"/>
      <name val="Source Sans Pro"/>
      <family val="2"/>
    </font>
    <font>
      <i/>
      <sz val="11"/>
      <color theme="1"/>
      <name val="Aptos Narrow"/>
      <family val="2"/>
      <scheme val="minor"/>
    </font>
    <font>
      <sz val="12"/>
      <color rgb="FFFF0000"/>
      <name val="Aptos Narrow"/>
      <family val="2"/>
      <scheme val="minor"/>
    </font>
    <font>
      <sz val="12"/>
      <name val="Aptos Narrow"/>
      <family val="2"/>
      <scheme val="minor"/>
    </font>
    <font>
      <sz val="9"/>
      <color indexed="81"/>
      <name val="Tahoma"/>
      <family val="2"/>
    </font>
    <font>
      <b/>
      <sz val="9"/>
      <color indexed="81"/>
      <name val="Tahoma"/>
      <family val="2"/>
    </font>
    <font>
      <b/>
      <sz val="11"/>
      <color theme="9"/>
      <name val="Aptos Narrow"/>
      <family val="2"/>
      <scheme val="minor"/>
    </font>
    <font>
      <b/>
      <u/>
      <sz val="12"/>
      <name val="Source Sans Pro"/>
      <family val="2"/>
    </font>
    <font>
      <b/>
      <sz val="14"/>
      <color rgb="FFFF0000"/>
      <name val="Aptos Narrow"/>
      <family val="2"/>
      <scheme val="minor"/>
    </font>
    <font>
      <sz val="11"/>
      <name val="Roboto"/>
    </font>
    <font>
      <sz val="11"/>
      <color theme="1"/>
      <name val="Arial"/>
      <family val="2"/>
    </font>
    <font>
      <b/>
      <sz val="12"/>
      <name val="Aptos Narrow"/>
      <family val="2"/>
      <scheme val="minor"/>
    </font>
    <font>
      <b/>
      <i/>
      <sz val="12"/>
      <name val="Aptos Narrow"/>
      <family val="2"/>
      <scheme val="minor"/>
    </font>
    <font>
      <b/>
      <sz val="28"/>
      <color theme="0"/>
      <name val="Aptos Narrow"/>
      <family val="2"/>
      <scheme val="minor"/>
    </font>
    <font>
      <sz val="10"/>
      <color theme="1"/>
      <name val="Aptos Narrow"/>
      <family val="2"/>
      <scheme val="minor"/>
    </font>
    <font>
      <b/>
      <u/>
      <sz val="12"/>
      <name val="Aptos Narrow"/>
      <family val="2"/>
      <scheme val="minor"/>
    </font>
    <font>
      <b/>
      <sz val="28"/>
      <color theme="0"/>
      <name val="Arial"/>
      <family val="2"/>
    </font>
    <font>
      <b/>
      <sz val="12"/>
      <color theme="1"/>
      <name val="Aptos Narrow"/>
      <family val="2"/>
      <scheme val="minor"/>
    </font>
    <font>
      <i/>
      <sz val="12"/>
      <color theme="1"/>
      <name val="Aptos Narrow"/>
      <family val="2"/>
      <scheme val="minor"/>
    </font>
    <font>
      <b/>
      <sz val="28"/>
      <color theme="0"/>
      <name val="Aptos Display"/>
      <family val="2"/>
      <scheme val="major"/>
    </font>
    <font>
      <u/>
      <sz val="12"/>
      <color theme="1"/>
      <name val="Aptos Narrow"/>
      <family val="2"/>
      <scheme val="minor"/>
    </font>
    <font>
      <sz val="12"/>
      <color theme="1"/>
      <name val="Aptos Narrow"/>
      <family val="2"/>
    </font>
    <font>
      <b/>
      <u/>
      <sz val="12"/>
      <color theme="1"/>
      <name val="Aptos Narrow"/>
      <family val="2"/>
    </font>
    <font>
      <b/>
      <sz val="12"/>
      <color theme="1"/>
      <name val="Aptos Narrow"/>
      <family val="2"/>
    </font>
    <font>
      <b/>
      <i/>
      <sz val="12"/>
      <color theme="1"/>
      <name val="Aptos Narrow"/>
      <family val="2"/>
      <scheme val="minor"/>
    </font>
    <font>
      <b/>
      <strike/>
      <sz val="11"/>
      <color theme="1"/>
      <name val="Aptos Narrow"/>
      <family val="2"/>
      <scheme val="minor"/>
    </font>
    <font>
      <b/>
      <vertAlign val="subscript"/>
      <sz val="11"/>
      <color theme="0"/>
      <name val="Aptos Narrow"/>
      <family val="2"/>
      <scheme val="minor"/>
    </font>
    <font>
      <b/>
      <sz val="16"/>
      <color theme="0"/>
      <name val="Aptos Narrow"/>
      <family val="2"/>
      <scheme val="minor"/>
    </font>
    <font>
      <b/>
      <vertAlign val="subscript"/>
      <sz val="11"/>
      <color theme="1"/>
      <name val="Aptos Narrow"/>
      <family val="2"/>
      <scheme val="minor"/>
    </font>
    <font>
      <sz val="11"/>
      <name val="Aptos Narrow"/>
      <family val="2"/>
      <scheme val="minor"/>
    </font>
    <font>
      <b/>
      <i/>
      <sz val="11"/>
      <color theme="1"/>
      <name val="Aptos Narrow"/>
      <family val="2"/>
      <scheme val="minor"/>
    </font>
    <font>
      <b/>
      <i/>
      <sz val="11"/>
      <color rgb="FF000000"/>
      <name val="Aptos Narrow"/>
      <family val="2"/>
      <scheme val="minor"/>
    </font>
    <font>
      <i/>
      <sz val="11"/>
      <color rgb="FF000000"/>
      <name val="Aptos Narrow"/>
      <family val="2"/>
      <scheme val="minor"/>
    </font>
    <font>
      <b/>
      <sz val="10"/>
      <color rgb="FFFFFFFF"/>
      <name val="Aptos Narrow"/>
      <family val="2"/>
      <scheme val="minor"/>
    </font>
    <font>
      <sz val="10"/>
      <color rgb="FF000000"/>
      <name val="Aptos Narrow"/>
      <family val="2"/>
      <scheme val="minor"/>
    </font>
    <font>
      <b/>
      <sz val="10"/>
      <color rgb="FF000000"/>
      <name val="Aptos Narrow"/>
      <family val="2"/>
      <scheme val="minor"/>
    </font>
    <font>
      <sz val="10"/>
      <name val="Aptos Narrow"/>
      <family val="2"/>
      <scheme val="minor"/>
    </font>
    <font>
      <b/>
      <sz val="10"/>
      <name val="Aptos Narrow"/>
      <family val="2"/>
      <scheme val="minor"/>
    </font>
    <font>
      <b/>
      <u/>
      <sz val="16"/>
      <color theme="1"/>
      <name val="Aptos Narrow"/>
      <family val="2"/>
      <scheme val="minor"/>
    </font>
    <font>
      <b/>
      <sz val="12"/>
      <color theme="0"/>
      <name val="Aptos Narrow"/>
      <family val="2"/>
      <scheme val="minor"/>
    </font>
    <font>
      <b/>
      <sz val="11"/>
      <name val="Aptos Narrow"/>
      <family val="2"/>
      <scheme val="minor"/>
    </font>
    <font>
      <sz val="11"/>
      <color theme="1"/>
      <name val="Aptos"/>
      <family val="2"/>
    </font>
    <font>
      <b/>
      <sz val="36"/>
      <color rgb="FF0F2663"/>
      <name val="Aptos"/>
      <family val="2"/>
    </font>
    <font>
      <sz val="11"/>
      <color rgb="FF0F2663"/>
      <name val="Aptos"/>
      <family val="2"/>
    </font>
    <font>
      <sz val="28"/>
      <color rgb="FF0F2663"/>
      <name val="Aptos"/>
      <family val="2"/>
    </font>
    <font>
      <b/>
      <sz val="48"/>
      <color rgb="FF0F2663"/>
      <name val="Aptos"/>
      <family val="2"/>
    </font>
    <font>
      <b/>
      <sz val="28"/>
      <color rgb="FF383737"/>
      <name val="Aptos"/>
      <family val="2"/>
    </font>
    <font>
      <sz val="11"/>
      <color rgb="FF383737"/>
      <name val="Aptos"/>
      <family val="2"/>
    </font>
    <font>
      <i/>
      <sz val="12"/>
      <color theme="1"/>
      <name val="Aptos"/>
      <family val="2"/>
    </font>
    <font>
      <b/>
      <i/>
      <sz val="22"/>
      <color rgb="FF383737"/>
      <name val="Aptos"/>
      <family val="2"/>
    </font>
    <font>
      <i/>
      <sz val="11"/>
      <color theme="1"/>
      <name val="Aptos"/>
      <family val="2"/>
    </font>
    <font>
      <b/>
      <i/>
      <sz val="20"/>
      <color rgb="FF383737"/>
      <name val="Aptos"/>
      <family val="2"/>
    </font>
    <font>
      <sz val="12"/>
      <color rgb="FFFF0000"/>
      <name val="Aptos"/>
      <family val="2"/>
    </font>
    <font>
      <sz val="11"/>
      <color rgb="FFFF0000"/>
      <name val="Aptos"/>
      <family val="2"/>
    </font>
    <font>
      <sz val="18"/>
      <color theme="1"/>
      <name val="Aptos"/>
      <family val="2"/>
    </font>
    <font>
      <b/>
      <u/>
      <sz val="36"/>
      <color rgb="FF0F2663"/>
      <name val="Aptos"/>
      <family val="2"/>
    </font>
    <font>
      <b/>
      <sz val="20"/>
      <color rgb="FF383737"/>
      <name val="Aptos"/>
      <family val="2"/>
    </font>
    <font>
      <b/>
      <sz val="26"/>
      <color rgb="FF383737"/>
      <name val="Aptos"/>
      <family val="2"/>
    </font>
    <font>
      <i/>
      <sz val="14"/>
      <color theme="1"/>
      <name val="Aptos"/>
      <family val="2"/>
    </font>
    <font>
      <b/>
      <sz val="72"/>
      <color rgb="FF0F2663"/>
      <name val="Aptos"/>
      <family val="2"/>
    </font>
    <font>
      <b/>
      <sz val="24"/>
      <color rgb="FF383737"/>
      <name val="Aptos"/>
      <family val="2"/>
    </font>
    <font>
      <sz val="24"/>
      <color rgb="FF383737"/>
      <name val="Aptos"/>
      <family val="2"/>
    </font>
    <font>
      <sz val="14"/>
      <color rgb="FF383737"/>
      <name val="Aptos"/>
      <family val="2"/>
    </font>
    <font>
      <b/>
      <sz val="28"/>
      <color theme="0"/>
      <name val="Aptos"/>
      <family val="2"/>
    </font>
    <font>
      <u/>
      <sz val="18"/>
      <color rgb="FFFF0000"/>
      <name val="Aptos"/>
      <family val="2"/>
    </font>
    <font>
      <b/>
      <sz val="16"/>
      <color rgb="FFFF0000"/>
      <name val="Aptos"/>
      <family val="2"/>
    </font>
    <font>
      <sz val="18"/>
      <color rgb="FFFF0000"/>
      <name val="Aptos"/>
      <family val="2"/>
    </font>
    <font>
      <sz val="11"/>
      <name val="Aptos"/>
      <family val="2"/>
    </font>
    <font>
      <b/>
      <sz val="48"/>
      <name val="Aptos"/>
      <family val="2"/>
    </font>
    <font>
      <b/>
      <sz val="20"/>
      <name val="Aptos"/>
      <family val="2"/>
    </font>
    <font>
      <sz val="11"/>
      <color theme="1"/>
      <name val="Aptos Display"/>
      <family val="2"/>
      <scheme val="major"/>
    </font>
    <font>
      <b/>
      <sz val="11"/>
      <color rgb="FF000000"/>
      <name val="Aptos Display"/>
      <family val="2"/>
      <scheme val="major"/>
    </font>
    <font>
      <sz val="11"/>
      <color rgb="FFFF0000"/>
      <name val="Source Sans Pro"/>
      <family val="2"/>
    </font>
    <font>
      <sz val="11"/>
      <color rgb="FF00B050"/>
      <name val="Aptos Narrow"/>
      <family val="2"/>
      <scheme val="minor"/>
    </font>
    <font>
      <b/>
      <sz val="20"/>
      <name val="Aptos Display"/>
      <family val="2"/>
      <scheme val="major"/>
    </font>
    <font>
      <b/>
      <u/>
      <sz val="11"/>
      <color theme="1"/>
      <name val="Source Sans Pro"/>
      <family val="2"/>
    </font>
    <font>
      <b/>
      <sz val="11"/>
      <color theme="1"/>
      <name val="Source Sans Pro"/>
      <family val="2"/>
    </font>
    <font>
      <b/>
      <sz val="16"/>
      <name val="Aptos Narrow"/>
      <family val="2"/>
      <scheme val="minor"/>
    </font>
    <font>
      <b/>
      <sz val="28"/>
      <color theme="0"/>
      <name val="Ariel"/>
    </font>
    <font>
      <b/>
      <sz val="12"/>
      <color theme="0"/>
      <name val="Source Sans Pro"/>
      <family val="2"/>
    </font>
    <font>
      <sz val="11"/>
      <name val="Source Sans Pro"/>
      <family val="2"/>
    </font>
    <font>
      <b/>
      <sz val="16"/>
      <color theme="0"/>
      <name val="Ariel"/>
    </font>
    <font>
      <b/>
      <sz val="16"/>
      <color theme="0"/>
      <name val="Arial"/>
      <family val="2"/>
    </font>
    <font>
      <b/>
      <sz val="16"/>
      <color theme="0"/>
      <name val="Aptos Display"/>
      <family val="2"/>
      <scheme val="major"/>
    </font>
    <font>
      <b/>
      <sz val="48"/>
      <color theme="0"/>
      <name val="Aptos Display"/>
      <family val="2"/>
      <scheme val="major"/>
    </font>
    <font>
      <b/>
      <sz val="24"/>
      <color theme="0"/>
      <name val="Aptos Display"/>
      <family val="2"/>
      <scheme val="major"/>
    </font>
    <font>
      <sz val="11"/>
      <color theme="0"/>
      <name val="Aptos"/>
      <family val="2"/>
    </font>
    <font>
      <b/>
      <sz val="11"/>
      <color theme="0"/>
      <name val="Aptos"/>
      <family val="2"/>
    </font>
    <font>
      <b/>
      <sz val="48"/>
      <color theme="0"/>
      <name val="Aptos"/>
      <family val="2"/>
    </font>
    <font>
      <b/>
      <sz val="20"/>
      <color theme="0"/>
      <name val="Aptos"/>
      <family val="2"/>
    </font>
    <font>
      <strike/>
      <sz val="11"/>
      <color theme="0"/>
      <name val="Aptos"/>
      <family val="2"/>
    </font>
    <font>
      <b/>
      <strike/>
      <sz val="11"/>
      <color theme="0"/>
      <name val="Aptos"/>
      <family val="2"/>
    </font>
    <font>
      <u/>
      <sz val="11"/>
      <color theme="0"/>
      <name val="Aptos"/>
      <family val="2"/>
    </font>
    <font>
      <i/>
      <sz val="12"/>
      <color theme="1"/>
      <name val="Aptos Narrow"/>
      <family val="2"/>
    </font>
    <font>
      <sz val="11"/>
      <name val="Source Sans Pro"/>
      <family val="2"/>
    </font>
    <font>
      <sz val="11"/>
      <color rgb="FF0F2663"/>
      <name val="Aptos"/>
      <family val="2"/>
    </font>
    <font>
      <b/>
      <sz val="48"/>
      <color rgb="FF0F2663"/>
      <name val="Aptos"/>
      <family val="2"/>
    </font>
    <font>
      <sz val="11"/>
      <color theme="1"/>
      <name val="Aptos"/>
      <family val="2"/>
    </font>
    <font>
      <b/>
      <sz val="11"/>
      <name val="Aptos"/>
      <family val="2"/>
    </font>
  </fonts>
  <fills count="28">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
      <patternFill patternType="solid">
        <fgColor rgb="FF74CEDE"/>
        <bgColor indexed="64"/>
      </patternFill>
    </fill>
    <fill>
      <patternFill patternType="solid">
        <fgColor theme="4"/>
        <bgColor indexed="64"/>
      </patternFill>
    </fill>
    <fill>
      <patternFill patternType="solid">
        <fgColor theme="2" tint="-9.9978637043366805E-2"/>
        <bgColor indexed="64"/>
      </patternFill>
    </fill>
    <fill>
      <patternFill patternType="solid">
        <fgColor rgb="FF0F2663"/>
        <bgColor indexed="64"/>
      </patternFill>
    </fill>
    <fill>
      <patternFill patternType="solid">
        <fgColor rgb="FF049DAD"/>
        <bgColor indexed="64"/>
      </patternFill>
    </fill>
    <fill>
      <patternFill patternType="solid">
        <fgColor rgb="FF8ED8AC"/>
        <bgColor indexed="64"/>
      </patternFill>
    </fill>
    <fill>
      <patternFill patternType="solid">
        <fgColor theme="0" tint="-4.9989318521683403E-2"/>
        <bgColor indexed="64"/>
      </patternFill>
    </fill>
    <fill>
      <patternFill patternType="solid">
        <fgColor rgb="FF4B4846"/>
        <bgColor indexed="64"/>
      </patternFill>
    </fill>
    <fill>
      <patternFill patternType="solid">
        <fgColor rgb="FFD7D7D7"/>
        <bgColor indexed="64"/>
      </patternFill>
    </fill>
    <fill>
      <patternFill patternType="solid">
        <fgColor rgb="FF75CEDE"/>
        <bgColor indexed="64"/>
      </patternFill>
    </fill>
    <fill>
      <patternFill patternType="solid">
        <fgColor rgb="FFACE2EB"/>
        <bgColor indexed="64"/>
      </patternFill>
    </fill>
    <fill>
      <patternFill patternType="solid">
        <fgColor theme="6" tint="0.79998168889431442"/>
        <bgColor indexed="64"/>
      </patternFill>
    </fill>
    <fill>
      <patternFill patternType="solid">
        <fgColor theme="1"/>
        <bgColor indexed="64"/>
      </patternFill>
    </fill>
    <fill>
      <patternFill patternType="solid">
        <fgColor rgb="FFC8EBF2"/>
        <bgColor indexed="64"/>
      </patternFill>
    </fill>
    <fill>
      <patternFill patternType="solid">
        <fgColor rgb="FFE3F5F8"/>
        <bgColor indexed="64"/>
      </patternFill>
    </fill>
    <fill>
      <patternFill patternType="solid">
        <fgColor theme="8" tint="0.39997558519241921"/>
        <bgColor indexed="64"/>
      </patternFill>
    </fill>
    <fill>
      <patternFill patternType="solid">
        <fgColor rgb="FF2F8DA6"/>
        <bgColor indexed="64"/>
      </patternFill>
    </fill>
    <fill>
      <patternFill patternType="solid">
        <fgColor theme="9" tint="0.79998168889431442"/>
        <bgColor indexed="64"/>
      </patternFill>
    </fill>
    <fill>
      <patternFill patternType="solid">
        <fgColor rgb="FF70978B"/>
        <bgColor indexed="64"/>
      </patternFill>
    </fill>
    <fill>
      <patternFill patternType="solid">
        <fgColor theme="4" tint="0.79998168889431442"/>
        <bgColor theme="4" tint="0.79998168889431442"/>
      </patternFill>
    </fill>
    <fill>
      <patternFill patternType="solid">
        <fgColor theme="4"/>
        <bgColor theme="4"/>
      </patternFill>
    </fill>
    <fill>
      <patternFill patternType="solid">
        <fgColor rgb="FF75CEDE"/>
        <bgColor theme="0"/>
      </patternFill>
    </fill>
    <fill>
      <patternFill patternType="solid">
        <fgColor rgb="FF70978B"/>
        <bgColor theme="0"/>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style="medium">
        <color indexed="64"/>
      </left>
      <right style="medium">
        <color indexed="64"/>
      </right>
      <top style="medium">
        <color indexed="64"/>
      </top>
      <bottom style="medium">
        <color indexed="64"/>
      </bottom>
      <diagonal/>
    </border>
    <border>
      <left style="thin">
        <color auto="1"/>
      </left>
      <right/>
      <top/>
      <bottom/>
      <diagonal/>
    </border>
    <border>
      <left style="thin">
        <color auto="1"/>
      </left>
      <right style="thin">
        <color auto="1"/>
      </right>
      <top/>
      <bottom style="thin">
        <color auto="1"/>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theme="4" tint="0.39997558519241921"/>
      </bottom>
      <diagonal/>
    </border>
    <border>
      <left/>
      <right style="thin">
        <color indexed="64"/>
      </right>
      <top style="thin">
        <color indexed="64"/>
      </top>
      <bottom style="thin">
        <color theme="4" tint="0.39997558519241921"/>
      </bottom>
      <diagonal/>
    </border>
    <border>
      <left style="thin">
        <color indexed="64"/>
      </left>
      <right style="thin">
        <color indexed="64"/>
      </right>
      <top/>
      <bottom/>
      <diagonal/>
    </border>
    <border>
      <left/>
      <right style="thin">
        <color indexed="64"/>
      </right>
      <top/>
      <bottom/>
      <diagonal/>
    </border>
  </borders>
  <cellStyleXfs count="8">
    <xf numFmtId="0" fontId="0" fillId="0" borderId="0"/>
    <xf numFmtId="0" fontId="3" fillId="0" borderId="0" applyNumberFormat="0" applyFill="0" applyBorder="0" applyAlignment="0" applyProtection="0"/>
    <xf numFmtId="0" fontId="2" fillId="0" borderId="0"/>
    <xf numFmtId="43" fontId="2" fillId="0" borderId="0" applyFont="0" applyFill="0" applyBorder="0" applyAlignment="0" applyProtection="0"/>
    <xf numFmtId="0" fontId="6" fillId="0" borderId="0"/>
    <xf numFmtId="0" fontId="6" fillId="0" borderId="0"/>
    <xf numFmtId="9" fontId="2" fillId="0" borderId="0" applyFont="0" applyFill="0" applyBorder="0" applyAlignment="0" applyProtection="0"/>
    <xf numFmtId="44" fontId="2" fillId="0" borderId="0" applyFont="0" applyFill="0" applyBorder="0" applyAlignment="0" applyProtection="0"/>
  </cellStyleXfs>
  <cellXfs count="676">
    <xf numFmtId="0" fontId="0" fillId="0" borderId="0" xfId="0"/>
    <xf numFmtId="0" fontId="1" fillId="0" borderId="0" xfId="0" applyFont="1"/>
    <xf numFmtId="0" fontId="0" fillId="0" borderId="1" xfId="0" applyBorder="1" applyAlignment="1">
      <alignment horizontal="center"/>
    </xf>
    <xf numFmtId="0" fontId="0" fillId="0" borderId="1" xfId="0" applyBorder="1"/>
    <xf numFmtId="0" fontId="0" fillId="0" borderId="1" xfId="0" applyBorder="1" applyAlignment="1">
      <alignment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4" borderId="0" xfId="0" applyFill="1"/>
    <xf numFmtId="0" fontId="8" fillId="4" borderId="0" xfId="0" applyFont="1" applyFill="1"/>
    <xf numFmtId="0" fontId="13" fillId="4" borderId="0" xfId="0" applyFont="1" applyFill="1" applyAlignment="1">
      <alignment horizontal="left" vertical="center"/>
    </xf>
    <xf numFmtId="0" fontId="16" fillId="4" borderId="0" xfId="0" applyFont="1" applyFill="1" applyAlignment="1">
      <alignment horizontal="left" vertical="center"/>
    </xf>
    <xf numFmtId="0" fontId="0" fillId="0" borderId="12" xfId="0" applyBorder="1"/>
    <xf numFmtId="0" fontId="8" fillId="4" borderId="14" xfId="0" applyFont="1" applyFill="1" applyBorder="1"/>
    <xf numFmtId="0" fontId="10" fillId="4" borderId="14" xfId="0" applyFont="1" applyFill="1" applyBorder="1"/>
    <xf numFmtId="0" fontId="1" fillId="0" borderId="0" xfId="0" applyFont="1" applyAlignment="1">
      <alignment horizontal="right" indent="1"/>
    </xf>
    <xf numFmtId="0" fontId="1" fillId="0" borderId="0" xfId="0" applyFont="1" applyAlignment="1">
      <alignment wrapText="1"/>
    </xf>
    <xf numFmtId="0" fontId="0" fillId="0" borderId="19" xfId="0" applyBorder="1"/>
    <xf numFmtId="0" fontId="1" fillId="0" borderId="19" xfId="0" applyFont="1" applyBorder="1" applyAlignment="1">
      <alignment horizontal="right" indent="1"/>
    </xf>
    <xf numFmtId="9" fontId="1" fillId="0" borderId="19" xfId="6" applyFont="1" applyBorder="1"/>
    <xf numFmtId="0" fontId="1" fillId="0" borderId="0" xfId="6" applyNumberFormat="1" applyFont="1" applyBorder="1"/>
    <xf numFmtId="0" fontId="0" fillId="0" borderId="0" xfId="0" applyAlignment="1">
      <alignment horizontal="center"/>
    </xf>
    <xf numFmtId="0" fontId="0" fillId="0" borderId="8" xfId="0" applyBorder="1"/>
    <xf numFmtId="0" fontId="5" fillId="0" borderId="0" xfId="0" applyFont="1"/>
    <xf numFmtId="0" fontId="1" fillId="2" borderId="1" xfId="0" applyFont="1" applyFill="1" applyBorder="1" applyAlignment="1">
      <alignment horizontal="center" wrapText="1"/>
    </xf>
    <xf numFmtId="0" fontId="22" fillId="0" borderId="0" xfId="0" applyFont="1"/>
    <xf numFmtId="0" fontId="24" fillId="0" borderId="0" xfId="0" applyFont="1"/>
    <xf numFmtId="0" fontId="22" fillId="0" borderId="1" xfId="0" applyFont="1" applyBorder="1"/>
    <xf numFmtId="9" fontId="1" fillId="0" borderId="0" xfId="6" applyFont="1" applyBorder="1"/>
    <xf numFmtId="0" fontId="28" fillId="9" borderId="11" xfId="0" applyFont="1" applyFill="1" applyBorder="1" applyAlignment="1">
      <alignment vertical="center"/>
    </xf>
    <xf numFmtId="0" fontId="0" fillId="0" borderId="0" xfId="0" applyAlignment="1">
      <alignment horizontal="center" vertical="center"/>
    </xf>
    <xf numFmtId="0" fontId="12" fillId="11" borderId="1" xfId="0" applyFont="1" applyFill="1" applyBorder="1" applyAlignment="1">
      <alignment horizontal="right" vertical="center" wrapText="1" indent="2"/>
    </xf>
    <xf numFmtId="0" fontId="0" fillId="0" borderId="1" xfId="0" applyBorder="1" applyAlignment="1">
      <alignment horizontal="center" wrapText="1"/>
    </xf>
    <xf numFmtId="0" fontId="30" fillId="0" borderId="0" xfId="0" applyFont="1"/>
    <xf numFmtId="0" fontId="1" fillId="0" borderId="0" xfId="0" applyFont="1" applyAlignment="1">
      <alignment horizontal="right"/>
    </xf>
    <xf numFmtId="0" fontId="30" fillId="0" borderId="0" xfId="0" applyFont="1" applyAlignment="1">
      <alignment vertical="center"/>
    </xf>
    <xf numFmtId="0" fontId="23" fillId="6" borderId="1" xfId="0" applyFont="1" applyFill="1" applyBorder="1" applyAlignment="1">
      <alignment horizontal="center" vertical="center" wrapText="1"/>
    </xf>
    <xf numFmtId="0" fontId="23" fillId="6" borderId="1" xfId="0" applyFont="1" applyFill="1" applyBorder="1" applyAlignment="1">
      <alignment vertical="center" wrapText="1"/>
    </xf>
    <xf numFmtId="0" fontId="31" fillId="0" borderId="0" xfId="0" applyFont="1"/>
    <xf numFmtId="0" fontId="33" fillId="0" borderId="0" xfId="0" applyFont="1"/>
    <xf numFmtId="0" fontId="0" fillId="0" borderId="0" xfId="0" applyAlignment="1">
      <alignment horizontal="left"/>
    </xf>
    <xf numFmtId="0" fontId="29" fillId="4" borderId="0" xfId="0" applyFont="1" applyFill="1" applyAlignment="1">
      <alignment horizontal="right" vertical="center"/>
    </xf>
    <xf numFmtId="0" fontId="19" fillId="0" borderId="0" xfId="0" applyFont="1"/>
    <xf numFmtId="0" fontId="0" fillId="0" borderId="0" xfId="0" applyAlignment="1">
      <alignment wrapText="1"/>
    </xf>
    <xf numFmtId="0" fontId="1" fillId="0" borderId="1" xfId="0" applyFont="1" applyBorder="1" applyAlignment="1">
      <alignment horizontal="center"/>
    </xf>
    <xf numFmtId="0" fontId="22" fillId="0" borderId="10" xfId="0" applyFont="1" applyBorder="1" applyAlignment="1">
      <alignment horizontal="center" wrapText="1"/>
    </xf>
    <xf numFmtId="0" fontId="22" fillId="0" borderId="1" xfId="0" applyFont="1" applyBorder="1" applyAlignment="1">
      <alignment wrapText="1"/>
    </xf>
    <xf numFmtId="0" fontId="22" fillId="0" borderId="10" xfId="0" applyFont="1" applyBorder="1" applyAlignment="1">
      <alignment horizontal="center"/>
    </xf>
    <xf numFmtId="0" fontId="0" fillId="0" borderId="10" xfId="0" applyBorder="1" applyAlignment="1">
      <alignment horizontal="center"/>
    </xf>
    <xf numFmtId="0" fontId="23" fillId="0" borderId="7" xfId="0" applyFont="1" applyBorder="1" applyAlignment="1">
      <alignment horizontal="center" vertical="center" wrapText="1"/>
    </xf>
    <xf numFmtId="0" fontId="22" fillId="0" borderId="1" xfId="0" applyFont="1" applyBorder="1" applyAlignment="1">
      <alignment horizontal="left" vertical="center" wrapText="1"/>
    </xf>
    <xf numFmtId="0" fontId="23" fillId="6" borderId="22" xfId="0" applyFont="1" applyFill="1" applyBorder="1" applyAlignment="1">
      <alignment horizontal="center" vertical="center" wrapText="1"/>
    </xf>
    <xf numFmtId="0" fontId="22" fillId="0" borderId="1" xfId="0" applyFont="1" applyBorder="1" applyAlignment="1">
      <alignment horizontal="center" wrapText="1"/>
    </xf>
    <xf numFmtId="0" fontId="23" fillId="0" borderId="22" xfId="0" applyFont="1" applyBorder="1" applyAlignment="1">
      <alignment horizontal="center" vertical="center" wrapText="1"/>
    </xf>
    <xf numFmtId="0" fontId="23" fillId="0" borderId="2" xfId="0" applyFont="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vertical="center"/>
    </xf>
    <xf numFmtId="0" fontId="1" fillId="0" borderId="1" xfId="0" applyFont="1" applyBorder="1"/>
    <xf numFmtId="0" fontId="0" fillId="0" borderId="12" xfId="0" applyBorder="1" applyAlignment="1">
      <alignment wrapText="1"/>
    </xf>
    <xf numFmtId="0" fontId="0" fillId="0" borderId="1" xfId="0" applyBorder="1" applyAlignment="1">
      <alignment vertical="center"/>
    </xf>
    <xf numFmtId="0" fontId="0" fillId="0" borderId="1" xfId="0" applyBorder="1" applyAlignment="1">
      <alignment vertical="center" wrapText="1"/>
    </xf>
    <xf numFmtId="166" fontId="0" fillId="0" borderId="1" xfId="3" applyNumberFormat="1" applyFont="1" applyBorder="1" applyAlignment="1">
      <alignment vertical="center" wrapText="1"/>
    </xf>
    <xf numFmtId="165" fontId="0" fillId="0" borderId="1" xfId="3" applyNumberFormat="1" applyFont="1" applyFill="1" applyBorder="1"/>
    <xf numFmtId="0" fontId="1" fillId="0" borderId="1" xfId="0" applyFont="1" applyBorder="1" applyAlignment="1">
      <alignment horizontal="right"/>
    </xf>
    <xf numFmtId="165" fontId="1" fillId="0" borderId="1" xfId="3" applyNumberFormat="1" applyFont="1" applyFill="1" applyBorder="1"/>
    <xf numFmtId="164" fontId="1" fillId="0" borderId="1" xfId="6" applyNumberFormat="1" applyFont="1" applyFill="1" applyBorder="1"/>
    <xf numFmtId="9" fontId="1" fillId="0" borderId="1" xfId="6" applyFont="1" applyFill="1" applyBorder="1"/>
    <xf numFmtId="9" fontId="1" fillId="0" borderId="1" xfId="6" applyFont="1" applyBorder="1"/>
    <xf numFmtId="44" fontId="0" fillId="0" borderId="1" xfId="7" applyFont="1" applyBorder="1" applyAlignment="1">
      <alignment vertical="center" wrapText="1"/>
    </xf>
    <xf numFmtId="0" fontId="23" fillId="17" borderId="22" xfId="0" applyFont="1" applyFill="1" applyBorder="1" applyAlignment="1">
      <alignment horizontal="center" vertical="center" wrapText="1"/>
    </xf>
    <xf numFmtId="164" fontId="0" fillId="0" borderId="1" xfId="6" applyNumberFormat="1" applyFont="1" applyBorder="1" applyAlignment="1">
      <alignment horizontal="center" vertical="center"/>
    </xf>
    <xf numFmtId="0" fontId="6" fillId="0" borderId="0" xfId="0" applyFont="1" applyAlignment="1">
      <alignment vertical="center" wrapText="1"/>
    </xf>
    <xf numFmtId="0" fontId="36" fillId="0" borderId="0" xfId="0" applyFont="1" applyAlignment="1">
      <alignment horizontal="right" vertical="center"/>
    </xf>
    <xf numFmtId="164" fontId="1" fillId="0" borderId="20" xfId="6" applyNumberFormat="1" applyFont="1" applyBorder="1" applyAlignment="1">
      <alignment horizontal="center" vertical="center" wrapText="1"/>
    </xf>
    <xf numFmtId="0" fontId="1" fillId="0" borderId="20" xfId="6" applyNumberFormat="1" applyFont="1" applyFill="1" applyBorder="1" applyAlignment="1">
      <alignment horizontal="center" vertical="center" wrapText="1"/>
    </xf>
    <xf numFmtId="0" fontId="1" fillId="0" borderId="20" xfId="6" applyNumberFormat="1" applyFont="1" applyBorder="1" applyAlignment="1">
      <alignment horizontal="center" vertical="center" wrapText="1"/>
    </xf>
    <xf numFmtId="2" fontId="1" fillId="0" borderId="20" xfId="3" applyNumberFormat="1" applyFont="1" applyBorder="1" applyAlignment="1">
      <alignment horizontal="center" vertical="center" wrapText="1"/>
    </xf>
    <xf numFmtId="1" fontId="1" fillId="0" borderId="20" xfId="3" applyNumberFormat="1" applyFont="1" applyBorder="1" applyAlignment="1">
      <alignment horizontal="center" vertical="center" wrapText="1"/>
    </xf>
    <xf numFmtId="44" fontId="0" fillId="0" borderId="1" xfId="7" applyFont="1" applyBorder="1" applyAlignment="1">
      <alignment horizontal="center" vertical="center" wrapText="1"/>
    </xf>
    <xf numFmtId="44" fontId="0" fillId="0" borderId="1" xfId="0" applyNumberFormat="1" applyBorder="1" applyAlignment="1">
      <alignment horizontal="center" vertical="center" wrapText="1"/>
    </xf>
    <xf numFmtId="0" fontId="20" fillId="6" borderId="1" xfId="0" applyFont="1" applyFill="1" applyBorder="1" applyAlignment="1">
      <alignment vertical="center" wrapText="1"/>
    </xf>
    <xf numFmtId="167" fontId="1" fillId="0" borderId="1" xfId="3" applyNumberFormat="1" applyFont="1" applyBorder="1"/>
    <xf numFmtId="9" fontId="0" fillId="0" borderId="1" xfId="0" applyNumberFormat="1" applyBorder="1"/>
    <xf numFmtId="165" fontId="0" fillId="0" borderId="1" xfId="3" applyNumberFormat="1" applyFont="1" applyBorder="1" applyAlignment="1">
      <alignment horizontal="center"/>
    </xf>
    <xf numFmtId="165" fontId="0" fillId="0" borderId="13" xfId="0" applyNumberFormat="1" applyBorder="1"/>
    <xf numFmtId="165" fontId="1" fillId="0" borderId="1" xfId="0" applyNumberFormat="1" applyFont="1" applyBorder="1" applyAlignment="1">
      <alignment horizontal="center"/>
    </xf>
    <xf numFmtId="165" fontId="1" fillId="0" borderId="1" xfId="3" applyNumberFormat="1" applyFont="1" applyBorder="1" applyAlignment="1">
      <alignment horizontal="center"/>
    </xf>
    <xf numFmtId="0" fontId="1" fillId="0" borderId="20" xfId="3" applyNumberFormat="1" applyFont="1" applyBorder="1" applyAlignment="1">
      <alignment horizontal="center" vertical="center" wrapText="1"/>
    </xf>
    <xf numFmtId="0" fontId="1" fillId="0" borderId="0" xfId="0" applyFont="1" applyAlignment="1">
      <alignment horizontal="center" vertical="center" wrapText="1"/>
    </xf>
    <xf numFmtId="0" fontId="23" fillId="6" borderId="22" xfId="0" applyFont="1" applyFill="1" applyBorder="1" applyAlignment="1">
      <alignment vertical="center" wrapText="1"/>
    </xf>
    <xf numFmtId="2" fontId="1" fillId="0" borderId="0" xfId="3" applyNumberFormat="1" applyFont="1" applyBorder="1" applyAlignment="1">
      <alignment horizontal="center" vertical="center" wrapText="1"/>
    </xf>
    <xf numFmtId="0" fontId="1" fillId="0" borderId="0" xfId="3" applyNumberFormat="1" applyFont="1" applyBorder="1" applyAlignment="1">
      <alignment horizontal="center" vertical="center" wrapText="1"/>
    </xf>
    <xf numFmtId="0" fontId="23" fillId="6" borderId="5" xfId="0" applyFont="1" applyFill="1" applyBorder="1" applyAlignment="1">
      <alignment vertical="center" wrapText="1"/>
    </xf>
    <xf numFmtId="2" fontId="1" fillId="0" borderId="20" xfId="3" applyNumberFormat="1" applyFont="1" applyBorder="1" applyAlignment="1">
      <alignment horizontal="center" vertical="center"/>
    </xf>
    <xf numFmtId="9" fontId="1" fillId="0" borderId="20" xfId="6" applyFont="1" applyBorder="1" applyAlignment="1">
      <alignment horizontal="center" vertical="center" wrapText="1"/>
    </xf>
    <xf numFmtId="9" fontId="0" fillId="0" borderId="1" xfId="0" applyNumberFormat="1" applyBorder="1" applyAlignment="1">
      <alignment horizontal="center" vertical="center"/>
    </xf>
    <xf numFmtId="0" fontId="1" fillId="0" borderId="0" xfId="0" applyFont="1" applyAlignment="1">
      <alignment horizontal="left" vertical="center" indent="1"/>
    </xf>
    <xf numFmtId="0" fontId="1" fillId="0" borderId="0" xfId="0" applyFont="1" applyAlignment="1">
      <alignment horizontal="right" vertical="center" wrapText="1"/>
    </xf>
    <xf numFmtId="43" fontId="0" fillId="0" borderId="1" xfId="3" applyFont="1" applyBorder="1"/>
    <xf numFmtId="165" fontId="1" fillId="0" borderId="1" xfId="3" applyNumberFormat="1" applyFont="1" applyBorder="1"/>
    <xf numFmtId="0" fontId="1" fillId="2" borderId="1" xfId="0" applyFont="1" applyFill="1" applyBorder="1" applyAlignment="1">
      <alignment vertical="center" wrapText="1"/>
    </xf>
    <xf numFmtId="165" fontId="0" fillId="0" borderId="1" xfId="0" applyNumberFormat="1" applyBorder="1"/>
    <xf numFmtId="0" fontId="1" fillId="2" borderId="1" xfId="0" applyFont="1" applyFill="1" applyBorder="1"/>
    <xf numFmtId="9" fontId="0" fillId="0" borderId="1" xfId="6" applyFont="1" applyBorder="1"/>
    <xf numFmtId="0" fontId="1" fillId="0" borderId="13" xfId="0" applyFont="1" applyBorder="1"/>
    <xf numFmtId="0" fontId="1" fillId="7" borderId="1" xfId="0" applyFont="1" applyFill="1" applyBorder="1" applyAlignment="1">
      <alignment horizontal="center" vertical="center" wrapText="1"/>
    </xf>
    <xf numFmtId="0" fontId="1" fillId="0" borderId="0" xfId="0" applyFont="1" applyAlignment="1">
      <alignment horizontal="right" vertical="center" wrapText="1" indent="1"/>
    </xf>
    <xf numFmtId="9" fontId="1" fillId="0" borderId="1" xfId="6" applyFont="1" applyBorder="1" applyAlignment="1">
      <alignment horizontal="center"/>
    </xf>
    <xf numFmtId="165" fontId="1" fillId="0" borderId="1" xfId="0" applyNumberFormat="1" applyFont="1" applyBorder="1" applyAlignment="1">
      <alignment horizontal="right"/>
    </xf>
    <xf numFmtId="9" fontId="1" fillId="0" borderId="1" xfId="6" applyFont="1" applyBorder="1" applyAlignment="1">
      <alignment horizontal="right"/>
    </xf>
    <xf numFmtId="0" fontId="13" fillId="4" borderId="0" xfId="0" applyFont="1" applyFill="1" applyAlignment="1">
      <alignment horizontal="center" vertical="center" wrapText="1"/>
    </xf>
    <xf numFmtId="0" fontId="1" fillId="0" borderId="0" xfId="0" applyFont="1" applyAlignment="1">
      <alignment horizontal="left"/>
    </xf>
    <xf numFmtId="44" fontId="0" fillId="0" borderId="1" xfId="6" applyNumberFormat="1" applyFont="1" applyBorder="1" applyAlignment="1">
      <alignment horizontal="center" vertical="center" wrapText="1"/>
    </xf>
    <xf numFmtId="44" fontId="1" fillId="0" borderId="20" xfId="6" applyNumberFormat="1" applyFont="1" applyBorder="1" applyAlignment="1">
      <alignment horizontal="center" vertical="center" wrapText="1"/>
    </xf>
    <xf numFmtId="1" fontId="1" fillId="0" borderId="20" xfId="6" applyNumberFormat="1" applyFont="1" applyBorder="1" applyAlignment="1">
      <alignment horizontal="center" vertical="center" wrapText="1"/>
    </xf>
    <xf numFmtId="43" fontId="0" fillId="0" borderId="0" xfId="0" applyNumberFormat="1"/>
    <xf numFmtId="0" fontId="1" fillId="0" borderId="1" xfId="0" applyFont="1" applyBorder="1" applyAlignment="1">
      <alignment horizontal="right" wrapText="1" indent="1"/>
    </xf>
    <xf numFmtId="0" fontId="1" fillId="0" borderId="1" xfId="0" applyFont="1" applyBorder="1" applyAlignment="1">
      <alignment horizontal="right" indent="1"/>
    </xf>
    <xf numFmtId="43" fontId="1" fillId="2" borderId="1" xfId="3" applyFont="1" applyFill="1" applyBorder="1" applyAlignment="1">
      <alignment horizontal="center" vertical="center"/>
    </xf>
    <xf numFmtId="43" fontId="1" fillId="2" borderId="1" xfId="3" applyFont="1" applyFill="1" applyBorder="1" applyAlignment="1">
      <alignment horizontal="center" vertical="center" wrapText="1"/>
    </xf>
    <xf numFmtId="43" fontId="1" fillId="0" borderId="20" xfId="3" applyFont="1" applyBorder="1" applyAlignment="1">
      <alignment horizontal="center" vertical="center" wrapText="1"/>
    </xf>
    <xf numFmtId="0" fontId="28" fillId="9" borderId="11" xfId="0" applyFont="1" applyFill="1" applyBorder="1" applyAlignment="1">
      <alignment horizontal="left" vertical="center"/>
    </xf>
    <xf numFmtId="0" fontId="29" fillId="4" borderId="0" xfId="0" applyFont="1" applyFill="1" applyAlignment="1">
      <alignment horizontal="left" vertical="center"/>
    </xf>
    <xf numFmtId="0" fontId="8" fillId="4" borderId="0" xfId="0" applyFont="1" applyFill="1" applyAlignment="1">
      <alignment horizontal="left"/>
    </xf>
    <xf numFmtId="9" fontId="0" fillId="0" borderId="1" xfId="6" applyFont="1" applyFill="1" applyBorder="1"/>
    <xf numFmtId="0" fontId="0" fillId="0" borderId="22" xfId="0" applyBorder="1"/>
    <xf numFmtId="0" fontId="0" fillId="3" borderId="1" xfId="0" applyFill="1" applyBorder="1"/>
    <xf numFmtId="165" fontId="1" fillId="0" borderId="22" xfId="0" applyNumberFormat="1" applyFont="1" applyBorder="1"/>
    <xf numFmtId="0" fontId="0" fillId="14" borderId="1" xfId="0" applyFill="1" applyBorder="1"/>
    <xf numFmtId="0" fontId="0" fillId="19" borderId="1" xfId="0" applyFill="1" applyBorder="1"/>
    <xf numFmtId="0" fontId="0" fillId="13" borderId="1" xfId="0" applyFill="1" applyBorder="1"/>
    <xf numFmtId="0" fontId="1" fillId="0" borderId="22" xfId="0" applyFont="1" applyBorder="1" applyAlignment="1">
      <alignment wrapText="1"/>
    </xf>
    <xf numFmtId="0" fontId="48" fillId="4" borderId="1" xfId="0" applyFont="1" applyFill="1" applyBorder="1" applyAlignment="1">
      <alignment horizontal="center" vertical="center" wrapText="1"/>
    </xf>
    <xf numFmtId="0" fontId="29" fillId="4" borderId="0" xfId="0" applyFont="1" applyFill="1" applyAlignment="1">
      <alignment horizontal="right" vertical="center" wrapText="1"/>
    </xf>
    <xf numFmtId="0" fontId="22" fillId="0" borderId="12" xfId="0" applyFont="1" applyBorder="1" applyAlignment="1">
      <alignment horizontal="left" vertical="center" wrapText="1"/>
    </xf>
    <xf numFmtId="0" fontId="22" fillId="0" borderId="1"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 xfId="0" applyFont="1" applyBorder="1" applyAlignment="1">
      <alignment horizontal="center" vertical="center"/>
    </xf>
    <xf numFmtId="0" fontId="0" fillId="0" borderId="10" xfId="0" applyBorder="1" applyAlignment="1">
      <alignment horizontal="center" wrapText="1"/>
    </xf>
    <xf numFmtId="0" fontId="30" fillId="0" borderId="1" xfId="0" applyFont="1" applyBorder="1" applyAlignment="1">
      <alignment horizontal="center" vertical="center"/>
    </xf>
    <xf numFmtId="0" fontId="23" fillId="17" borderId="7"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50" fillId="0" borderId="10" xfId="0" applyFont="1" applyBorder="1" applyAlignment="1">
      <alignment horizontal="center" vertical="center" wrapText="1"/>
    </xf>
    <xf numFmtId="0" fontId="0" fillId="0" borderId="12" xfId="0" applyBorder="1" applyAlignment="1">
      <alignment horizontal="center" vertical="center"/>
    </xf>
    <xf numFmtId="0" fontId="23" fillId="0" borderId="0" xfId="0" applyFont="1" applyAlignment="1">
      <alignment horizontal="center" vertical="center" wrapText="1"/>
    </xf>
    <xf numFmtId="0" fontId="18" fillId="0" borderId="0" xfId="0" applyFont="1" applyAlignment="1">
      <alignment horizontal="center" vertical="center" wrapText="1"/>
    </xf>
    <xf numFmtId="0" fontId="22" fillId="0" borderId="0" xfId="0" applyFont="1" applyAlignment="1">
      <alignment horizontal="left" vertical="center" wrapText="1"/>
    </xf>
    <xf numFmtId="0" fontId="1" fillId="7" borderId="1" xfId="0" applyFont="1" applyFill="1" applyBorder="1" applyAlignment="1">
      <alignment vertical="center" wrapText="1"/>
    </xf>
    <xf numFmtId="44" fontId="1" fillId="0" borderId="1" xfId="0" applyNumberFormat="1" applyFont="1" applyBorder="1" applyAlignment="1">
      <alignment horizontal="center" vertical="center" wrapText="1"/>
    </xf>
    <xf numFmtId="0" fontId="1" fillId="7" borderId="12" xfId="0" applyFont="1" applyFill="1" applyBorder="1" applyAlignment="1">
      <alignment horizontal="center" vertical="center" wrapText="1"/>
    </xf>
    <xf numFmtId="0" fontId="1" fillId="0" borderId="1" xfId="6" applyNumberFormat="1" applyFont="1" applyBorder="1"/>
    <xf numFmtId="44" fontId="0" fillId="0" borderId="1" xfId="0" applyNumberFormat="1" applyBorder="1"/>
    <xf numFmtId="44" fontId="1" fillId="0" borderId="0" xfId="0" applyNumberFormat="1" applyFont="1" applyAlignment="1">
      <alignment horizontal="center" vertical="center" wrapText="1"/>
    </xf>
    <xf numFmtId="0" fontId="32" fillId="0" borderId="0" xfId="0" applyFont="1" applyAlignment="1">
      <alignment horizontal="left" vertical="top" wrapText="1"/>
    </xf>
    <xf numFmtId="165" fontId="0" fillId="0" borderId="1" xfId="3" applyNumberFormat="1" applyFont="1" applyBorder="1"/>
    <xf numFmtId="0" fontId="0" fillId="3" borderId="1" xfId="0" applyFill="1" applyBorder="1" applyAlignment="1">
      <alignment horizontal="center"/>
    </xf>
    <xf numFmtId="0" fontId="18" fillId="3" borderId="0" xfId="0" applyFont="1" applyFill="1" applyAlignment="1">
      <alignment wrapText="1"/>
    </xf>
    <xf numFmtId="0" fontId="0" fillId="20" borderId="0" xfId="0" applyFill="1"/>
    <xf numFmtId="0" fontId="30" fillId="0" borderId="0" xfId="0" applyFont="1" applyAlignment="1">
      <alignment horizontal="right" indent="1"/>
    </xf>
    <xf numFmtId="0" fontId="31" fillId="0" borderId="0" xfId="0" applyFont="1" applyAlignment="1">
      <alignment horizontal="center" vertical="center" wrapText="1"/>
    </xf>
    <xf numFmtId="0" fontId="0" fillId="0" borderId="1" xfId="6" applyNumberFormat="1" applyFont="1" applyBorder="1" applyAlignment="1">
      <alignment horizontal="center" vertical="center" wrapText="1"/>
    </xf>
    <xf numFmtId="0" fontId="24" fillId="0" borderId="1" xfId="0" applyFont="1" applyBorder="1" applyAlignment="1">
      <alignment horizontal="center"/>
    </xf>
    <xf numFmtId="0" fontId="0" fillId="0" borderId="21" xfId="0" applyBorder="1" applyAlignment="1">
      <alignment wrapText="1"/>
    </xf>
    <xf numFmtId="1" fontId="0" fillId="0" borderId="1" xfId="6" applyNumberFormat="1" applyFont="1" applyBorder="1" applyAlignment="1">
      <alignment horizontal="center" vertical="center" wrapText="1"/>
    </xf>
    <xf numFmtId="0" fontId="34" fillId="16" borderId="1" xfId="0" applyFont="1" applyFill="1" applyBorder="1" applyAlignment="1">
      <alignment horizontal="center" vertical="center" wrapText="1"/>
    </xf>
    <xf numFmtId="11" fontId="0" fillId="0" borderId="0" xfId="0" applyNumberFormat="1"/>
    <xf numFmtId="0" fontId="0" fillId="0" borderId="0" xfId="0" quotePrefix="1"/>
    <xf numFmtId="0" fontId="24" fillId="0" borderId="1" xfId="0" applyFont="1" applyBorder="1" applyAlignment="1">
      <alignment horizontal="center" vertical="center" wrapText="1"/>
    </xf>
    <xf numFmtId="9" fontId="0" fillId="0" borderId="0" xfId="6" applyFont="1"/>
    <xf numFmtId="0" fontId="0" fillId="8" borderId="0" xfId="0" applyFill="1"/>
    <xf numFmtId="0" fontId="55" fillId="8" borderId="0" xfId="0" applyFont="1" applyFill="1"/>
    <xf numFmtId="168" fontId="24" fillId="0" borderId="1" xfId="0" applyNumberFormat="1" applyFont="1" applyBorder="1" applyAlignment="1">
      <alignment horizontal="center" vertical="center" wrapText="1"/>
    </xf>
    <xf numFmtId="0" fontId="22" fillId="0" borderId="10" xfId="0" applyFont="1" applyBorder="1" applyAlignment="1">
      <alignment horizontal="left" vertical="center" wrapText="1"/>
    </xf>
    <xf numFmtId="0" fontId="22" fillId="0" borderId="8" xfId="0" applyFont="1" applyBorder="1" applyAlignment="1">
      <alignment horizontal="left" vertical="center" wrapText="1"/>
    </xf>
    <xf numFmtId="0" fontId="0" fillId="8" borderId="0" xfId="0" applyFill="1" applyAlignment="1">
      <alignment horizontal="left"/>
    </xf>
    <xf numFmtId="169" fontId="0" fillId="0" borderId="1" xfId="7" applyNumberFormat="1" applyFont="1" applyFill="1" applyBorder="1"/>
    <xf numFmtId="169" fontId="0" fillId="0" borderId="1" xfId="7" applyNumberFormat="1" applyFont="1" applyBorder="1"/>
    <xf numFmtId="169" fontId="1" fillId="0" borderId="1" xfId="7" applyNumberFormat="1" applyFont="1" applyBorder="1" applyAlignment="1">
      <alignment horizontal="right" indent="1"/>
    </xf>
    <xf numFmtId="0" fontId="31" fillId="0" borderId="0" xfId="0" applyFont="1" applyAlignment="1">
      <alignment horizontal="right"/>
    </xf>
    <xf numFmtId="165" fontId="0" fillId="0" borderId="1" xfId="3" applyNumberFormat="1" applyFont="1" applyBorder="1" applyAlignment="1">
      <alignment horizontal="right"/>
    </xf>
    <xf numFmtId="0" fontId="0" fillId="0" borderId="0" xfId="0" applyAlignment="1">
      <alignment horizontal="center" wrapText="1"/>
    </xf>
    <xf numFmtId="0" fontId="57" fillId="8" borderId="0" xfId="0" applyFont="1" applyFill="1" applyAlignment="1">
      <alignment horizontal="left" vertical="center" indent="2"/>
    </xf>
    <xf numFmtId="0" fontId="28" fillId="9" borderId="11" xfId="0" applyFont="1" applyFill="1" applyBorder="1" applyAlignment="1">
      <alignment horizontal="left" vertical="center" indent="2"/>
    </xf>
    <xf numFmtId="0" fontId="54" fillId="8" borderId="0" xfId="0" applyFont="1" applyFill="1" applyAlignment="1">
      <alignment horizontal="left" vertical="center" indent="2"/>
    </xf>
    <xf numFmtId="0" fontId="31" fillId="4" borderId="0" xfId="0" applyFont="1" applyFill="1"/>
    <xf numFmtId="0" fontId="60" fillId="0" borderId="0" xfId="0" applyFont="1" applyAlignment="1">
      <alignment horizontal="left" vertical="center" wrapText="1"/>
    </xf>
    <xf numFmtId="0" fontId="50" fillId="0" borderId="1" xfId="0" applyFont="1" applyBorder="1" applyAlignment="1">
      <alignment horizontal="center" vertical="center" wrapText="1"/>
    </xf>
    <xf numFmtId="0" fontId="1" fillId="0" borderId="8" xfId="0" applyFont="1" applyBorder="1" applyAlignment="1">
      <alignment horizontal="center"/>
    </xf>
    <xf numFmtId="0" fontId="24" fillId="0" borderId="8" xfId="0" applyFont="1" applyBorder="1" applyAlignment="1">
      <alignment horizontal="center"/>
    </xf>
    <xf numFmtId="0" fontId="50" fillId="0" borderId="10" xfId="0" applyFont="1" applyBorder="1" applyAlignment="1">
      <alignment horizontal="center" wrapText="1"/>
    </xf>
    <xf numFmtId="0" fontId="30" fillId="0" borderId="1" xfId="0" applyFont="1" applyBorder="1"/>
    <xf numFmtId="0" fontId="22" fillId="0" borderId="3" xfId="0" applyFont="1" applyBorder="1" applyAlignment="1">
      <alignment horizontal="center" wrapText="1"/>
    </xf>
    <xf numFmtId="0" fontId="22" fillId="0" borderId="4" xfId="0" applyFont="1" applyBorder="1" applyAlignment="1">
      <alignment horizontal="left" vertical="center" wrapText="1"/>
    </xf>
    <xf numFmtId="0" fontId="23" fillId="17" borderId="1" xfId="0" applyFont="1" applyFill="1" applyBorder="1" applyAlignment="1">
      <alignment vertical="center" wrapText="1"/>
    </xf>
    <xf numFmtId="0" fontId="10" fillId="14" borderId="1" xfId="0" applyFont="1" applyFill="1" applyBorder="1" applyAlignment="1" applyProtection="1">
      <alignment horizontal="center" vertical="center" wrapText="1"/>
      <protection locked="0"/>
    </xf>
    <xf numFmtId="0" fontId="10" fillId="14" borderId="1" xfId="0" applyFont="1" applyFill="1" applyBorder="1" applyAlignment="1" applyProtection="1">
      <alignment horizontal="left" vertical="center" wrapText="1"/>
      <protection locked="0"/>
    </xf>
    <xf numFmtId="0" fontId="12" fillId="14" borderId="1" xfId="0" applyFont="1" applyFill="1" applyBorder="1" applyAlignment="1" applyProtection="1">
      <alignment horizontal="left" vertical="center"/>
      <protection locked="0"/>
    </xf>
    <xf numFmtId="0" fontId="41" fillId="8" borderId="1" xfId="0" applyFont="1" applyFill="1" applyBorder="1" applyAlignment="1">
      <alignment horizontal="left" vertical="center" wrapText="1"/>
    </xf>
    <xf numFmtId="0" fontId="20" fillId="8" borderId="1" xfId="0" applyFont="1" applyFill="1" applyBorder="1"/>
    <xf numFmtId="0" fontId="21" fillId="8" borderId="22" xfId="0" applyFont="1" applyFill="1" applyBorder="1" applyAlignment="1">
      <alignment horizontal="center" wrapText="1"/>
    </xf>
    <xf numFmtId="0" fontId="20" fillId="8" borderId="1" xfId="0" applyFont="1" applyFill="1" applyBorder="1" applyAlignment="1">
      <alignment horizontal="center" vertical="center" wrapText="1"/>
    </xf>
    <xf numFmtId="0" fontId="0" fillId="15" borderId="1" xfId="6" applyNumberFormat="1" applyFont="1" applyFill="1" applyBorder="1" applyAlignment="1">
      <alignment horizontal="center" vertical="center" wrapText="1"/>
    </xf>
    <xf numFmtId="0" fontId="1" fillId="15" borderId="1" xfId="0" applyFont="1" applyFill="1" applyBorder="1" applyAlignment="1">
      <alignment horizontal="center"/>
    </xf>
    <xf numFmtId="0" fontId="0" fillId="0" borderId="1" xfId="6" applyNumberFormat="1" applyFont="1" applyFill="1" applyBorder="1" applyAlignment="1">
      <alignment horizontal="center" vertical="center" wrapText="1"/>
    </xf>
    <xf numFmtId="0" fontId="0" fillId="15" borderId="1" xfId="0" applyFill="1" applyBorder="1"/>
    <xf numFmtId="43" fontId="0" fillId="0" borderId="1" xfId="3" applyFont="1" applyBorder="1" applyAlignment="1">
      <alignment vertical="center" wrapText="1"/>
    </xf>
    <xf numFmtId="0" fontId="11" fillId="0" borderId="0" xfId="0" applyFont="1" applyAlignment="1">
      <alignment vertical="top" wrapText="1"/>
    </xf>
    <xf numFmtId="0" fontId="20" fillId="8" borderId="1" xfId="0" applyFont="1" applyFill="1" applyBorder="1" applyAlignment="1">
      <alignment vertical="center" wrapText="1"/>
    </xf>
    <xf numFmtId="0" fontId="20" fillId="8" borderId="12" xfId="0" applyFont="1" applyFill="1" applyBorder="1" applyAlignment="1">
      <alignment horizontal="center" vertical="center" wrapText="1"/>
    </xf>
    <xf numFmtId="0" fontId="68" fillId="9" borderId="0" xfId="0" applyFont="1" applyFill="1"/>
    <xf numFmtId="0" fontId="68" fillId="9" borderId="0" xfId="0" applyFont="1" applyFill="1" applyAlignment="1">
      <alignment horizontal="right" indent="1"/>
    </xf>
    <xf numFmtId="9" fontId="68" fillId="9" borderId="0" xfId="6" applyFont="1" applyFill="1"/>
    <xf numFmtId="0" fontId="60" fillId="8" borderId="0" xfId="0" applyFont="1" applyFill="1" applyAlignment="1">
      <alignment vertical="center" wrapText="1"/>
    </xf>
    <xf numFmtId="0" fontId="60" fillId="8" borderId="0" xfId="0" applyFont="1" applyFill="1" applyAlignment="1">
      <alignment vertical="center"/>
    </xf>
    <xf numFmtId="0" fontId="58" fillId="0" borderId="0" xfId="0" applyFont="1"/>
    <xf numFmtId="0" fontId="58" fillId="0" borderId="0" xfId="0" applyFont="1" applyAlignment="1">
      <alignment horizontal="left"/>
    </xf>
    <xf numFmtId="0" fontId="1" fillId="0" borderId="1" xfId="0" applyFont="1" applyBorder="1" applyAlignment="1">
      <alignment horizontal="left"/>
    </xf>
    <xf numFmtId="0" fontId="0" fillId="0" borderId="1" xfId="0" applyBorder="1" applyAlignment="1">
      <alignment horizontal="left"/>
    </xf>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1" fillId="0" borderId="1" xfId="6" applyNumberFormat="1" applyFont="1" applyBorder="1" applyAlignment="1">
      <alignment horizontal="left" wrapText="1"/>
    </xf>
    <xf numFmtId="0" fontId="0" fillId="0" borderId="0" xfId="0" applyAlignment="1">
      <alignment horizontal="left" wrapText="1"/>
    </xf>
    <xf numFmtId="0" fontId="35" fillId="0" borderId="0" xfId="0" applyFont="1"/>
    <xf numFmtId="49" fontId="1" fillId="0" borderId="0" xfId="0" applyNumberFormat="1" applyFont="1"/>
    <xf numFmtId="49" fontId="0" fillId="0" borderId="0" xfId="0" applyNumberFormat="1"/>
    <xf numFmtId="0" fontId="40" fillId="0" borderId="0" xfId="0" applyFont="1"/>
    <xf numFmtId="0" fontId="7" fillId="0" borderId="0" xfId="0" applyFont="1" applyAlignment="1">
      <alignment horizontal="left"/>
    </xf>
    <xf numFmtId="0" fontId="38" fillId="0" borderId="0" xfId="0" applyFont="1" applyAlignment="1">
      <alignment horizontal="center" vertical="center" wrapText="1"/>
    </xf>
    <xf numFmtId="0" fontId="39" fillId="0" borderId="0" xfId="0" applyFont="1" applyAlignment="1">
      <alignment vertical="center"/>
    </xf>
    <xf numFmtId="0" fontId="34" fillId="0" borderId="0" xfId="0" applyFont="1"/>
    <xf numFmtId="0" fontId="38" fillId="0" borderId="0" xfId="0" applyFont="1" applyAlignment="1">
      <alignment horizontal="center" vertical="center"/>
    </xf>
    <xf numFmtId="0" fontId="6" fillId="0" borderId="0" xfId="0" applyFont="1" applyAlignment="1">
      <alignment horizontal="center" vertical="center"/>
    </xf>
    <xf numFmtId="0" fontId="51" fillId="4" borderId="0" xfId="0" applyFont="1" applyFill="1"/>
    <xf numFmtId="0" fontId="7" fillId="8" borderId="1" xfId="0" applyFont="1" applyFill="1" applyBorder="1" applyAlignment="1">
      <alignment vertical="center"/>
    </xf>
    <xf numFmtId="0" fontId="0" fillId="9" borderId="1" xfId="0" applyFill="1" applyBorder="1"/>
    <xf numFmtId="0" fontId="0" fillId="0" borderId="0" xfId="0" applyAlignment="1">
      <alignment horizontal="left" vertical="center"/>
    </xf>
    <xf numFmtId="0" fontId="72" fillId="0" borderId="0" xfId="0" applyFont="1" applyAlignment="1">
      <alignment vertical="center"/>
    </xf>
    <xf numFmtId="0" fontId="71" fillId="4" borderId="0" xfId="0" applyFont="1" applyFill="1"/>
    <xf numFmtId="0" fontId="74" fillId="8" borderId="1" xfId="0" applyFont="1" applyFill="1" applyBorder="1" applyAlignment="1">
      <alignment horizontal="center" vertical="center"/>
    </xf>
    <xf numFmtId="0" fontId="74" fillId="8" borderId="8" xfId="0" applyFont="1" applyFill="1" applyBorder="1" applyAlignment="1">
      <alignment horizontal="center" vertical="center"/>
    </xf>
    <xf numFmtId="0" fontId="21" fillId="9" borderId="1" xfId="0" applyFont="1" applyFill="1" applyBorder="1" applyAlignment="1">
      <alignment horizontal="center" vertical="center"/>
    </xf>
    <xf numFmtId="0" fontId="75" fillId="0" borderId="1" xfId="0" applyFont="1" applyBorder="1" applyAlignment="1">
      <alignment horizontal="center" vertical="center"/>
    </xf>
    <xf numFmtId="0" fontId="75" fillId="0" borderId="1" xfId="0" applyFont="1" applyBorder="1" applyAlignment="1">
      <alignment vertical="center"/>
    </xf>
    <xf numFmtId="0" fontId="75" fillId="14" borderId="1" xfId="0" applyFont="1" applyFill="1" applyBorder="1" applyAlignment="1">
      <alignment horizontal="center" vertical="center"/>
    </xf>
    <xf numFmtId="0" fontId="75" fillId="0" borderId="1" xfId="0" applyFont="1" applyBorder="1" applyAlignment="1">
      <alignment horizontal="left" vertical="center" wrapText="1"/>
    </xf>
    <xf numFmtId="0" fontId="75" fillId="0" borderId="1" xfId="0" applyFont="1" applyBorder="1" applyAlignment="1">
      <alignment horizontal="center" vertical="center" wrapText="1"/>
    </xf>
    <xf numFmtId="0" fontId="75" fillId="16" borderId="1" xfId="0" applyFont="1" applyFill="1" applyBorder="1" applyAlignment="1">
      <alignment horizontal="left" vertical="center" wrapText="1"/>
    </xf>
    <xf numFmtId="0" fontId="75" fillId="0" borderId="0" xfId="0" applyFont="1" applyAlignment="1">
      <alignment horizontal="center" vertical="center"/>
    </xf>
    <xf numFmtId="0" fontId="75" fillId="0" borderId="0" xfId="0" applyFont="1" applyAlignment="1">
      <alignment vertical="center"/>
    </xf>
    <xf numFmtId="0" fontId="0" fillId="0" borderId="6" xfId="0" applyBorder="1"/>
    <xf numFmtId="0" fontId="76" fillId="9" borderId="1" xfId="0" applyFont="1" applyFill="1" applyBorder="1" applyAlignment="1">
      <alignment horizontal="center" vertical="center"/>
    </xf>
    <xf numFmtId="0" fontId="76" fillId="9" borderId="1" xfId="0" applyFont="1" applyFill="1" applyBorder="1" applyAlignment="1">
      <alignment horizontal="left" vertical="center" wrapText="1"/>
    </xf>
    <xf numFmtId="0" fontId="76" fillId="0" borderId="1" xfId="0" applyFont="1" applyBorder="1" applyAlignment="1">
      <alignment horizontal="center" vertical="center"/>
    </xf>
    <xf numFmtId="0" fontId="77" fillId="0" borderId="1" xfId="0" applyFont="1" applyBorder="1" applyAlignment="1">
      <alignment vertical="center"/>
    </xf>
    <xf numFmtId="0" fontId="78" fillId="0" borderId="1" xfId="0" applyFont="1" applyBorder="1" applyAlignment="1">
      <alignment horizontal="center" vertical="center"/>
    </xf>
    <xf numFmtId="0" fontId="77" fillId="16" borderId="1" xfId="0" applyFont="1" applyFill="1" applyBorder="1" applyAlignment="1">
      <alignment horizontal="left" vertical="center" wrapText="1"/>
    </xf>
    <xf numFmtId="0" fontId="75" fillId="0" borderId="0" xfId="0" applyFont="1" applyAlignment="1">
      <alignment horizontal="left" vertical="center" wrapText="1"/>
    </xf>
    <xf numFmtId="0" fontId="75" fillId="0" borderId="12" xfId="0" applyFont="1" applyBorder="1" applyAlignment="1">
      <alignment horizontal="center" vertical="center"/>
    </xf>
    <xf numFmtId="0" fontId="75" fillId="0" borderId="12" xfId="0" applyFont="1" applyBorder="1" applyAlignment="1">
      <alignment vertical="center"/>
    </xf>
    <xf numFmtId="0" fontId="75" fillId="0" borderId="12" xfId="0" applyFont="1" applyBorder="1" applyAlignment="1">
      <alignment horizontal="left" vertical="center" wrapText="1"/>
    </xf>
    <xf numFmtId="0" fontId="75" fillId="16" borderId="12" xfId="0" applyFont="1" applyFill="1" applyBorder="1" applyAlignment="1">
      <alignment horizontal="left" vertical="center" wrapText="1"/>
    </xf>
    <xf numFmtId="0" fontId="75" fillId="3" borderId="1" xfId="0" applyFont="1" applyFill="1" applyBorder="1" applyAlignment="1">
      <alignment horizontal="left" vertical="center" wrapText="1"/>
    </xf>
    <xf numFmtId="0" fontId="21" fillId="9" borderId="22" xfId="0" applyFont="1" applyFill="1" applyBorder="1" applyAlignment="1">
      <alignment horizontal="center" vertical="center"/>
    </xf>
    <xf numFmtId="0" fontId="76" fillId="9" borderId="22" xfId="0" applyFont="1" applyFill="1" applyBorder="1" applyAlignment="1">
      <alignment horizontal="center" vertical="center"/>
    </xf>
    <xf numFmtId="0" fontId="76" fillId="9" borderId="22" xfId="0" applyFont="1" applyFill="1" applyBorder="1" applyAlignment="1">
      <alignment horizontal="left" vertical="center" wrapText="1"/>
    </xf>
    <xf numFmtId="0" fontId="80" fillId="8" borderId="1" xfId="0" applyFont="1" applyFill="1" applyBorder="1" applyAlignment="1">
      <alignment horizontal="left" vertical="center"/>
    </xf>
    <xf numFmtId="0" fontId="80" fillId="8" borderId="1" xfId="0" applyFont="1" applyFill="1" applyBorder="1" applyAlignment="1">
      <alignment horizontal="center" vertical="center" wrapText="1"/>
    </xf>
    <xf numFmtId="0" fontId="70" fillId="14" borderId="1" xfId="0" applyFont="1" applyFill="1" applyBorder="1" applyAlignment="1" applyProtection="1">
      <alignment horizontal="left" vertical="center" wrapText="1"/>
      <protection locked="0"/>
    </xf>
    <xf numFmtId="0" fontId="70" fillId="14" borderId="1" xfId="0" applyFont="1" applyFill="1" applyBorder="1" applyAlignment="1" applyProtection="1">
      <alignment vertical="center" wrapText="1"/>
      <protection locked="0"/>
    </xf>
    <xf numFmtId="44" fontId="70" fillId="14" borderId="1" xfId="7" applyFont="1" applyFill="1" applyBorder="1" applyAlignment="1" applyProtection="1">
      <alignment horizontal="center" vertical="center"/>
      <protection locked="0"/>
    </xf>
    <xf numFmtId="0" fontId="70" fillId="14" borderId="1" xfId="0" applyFont="1" applyFill="1" applyBorder="1" applyAlignment="1" applyProtection="1">
      <alignment horizontal="center" vertical="center" wrapText="1"/>
      <protection locked="0"/>
    </xf>
    <xf numFmtId="0" fontId="0" fillId="3" borderId="0" xfId="0" applyFill="1"/>
    <xf numFmtId="0" fontId="82" fillId="13" borderId="0" xfId="0" applyFont="1" applyFill="1"/>
    <xf numFmtId="0" fontId="82" fillId="12" borderId="0" xfId="0" applyFont="1" applyFill="1"/>
    <xf numFmtId="0" fontId="82" fillId="13" borderId="18" xfId="0" applyFont="1" applyFill="1" applyBorder="1"/>
    <xf numFmtId="0" fontId="83" fillId="4" borderId="15" xfId="0" applyFont="1" applyFill="1" applyBorder="1"/>
    <xf numFmtId="0" fontId="84" fillId="4" borderId="11" xfId="0" applyFont="1" applyFill="1" applyBorder="1" applyAlignment="1">
      <alignment horizontal="centerContinuous"/>
    </xf>
    <xf numFmtId="0" fontId="82" fillId="4" borderId="11" xfId="0" applyFont="1" applyFill="1" applyBorder="1"/>
    <xf numFmtId="0" fontId="85" fillId="4" borderId="16" xfId="0" applyFont="1" applyFill="1" applyBorder="1" applyAlignment="1">
      <alignment horizontal="centerContinuous"/>
    </xf>
    <xf numFmtId="0" fontId="83" fillId="4" borderId="17" xfId="0" applyFont="1" applyFill="1" applyBorder="1"/>
    <xf numFmtId="0" fontId="84" fillId="4" borderId="0" xfId="0" applyFont="1" applyFill="1" applyAlignment="1">
      <alignment horizontal="centerContinuous"/>
    </xf>
    <xf numFmtId="0" fontId="86" fillId="4" borderId="0" xfId="0" applyFont="1" applyFill="1" applyAlignment="1">
      <alignment horizontal="center" vertical="center"/>
    </xf>
    <xf numFmtId="0" fontId="86" fillId="4" borderId="0" xfId="3" applyNumberFormat="1" applyFont="1" applyFill="1" applyBorder="1" applyAlignment="1">
      <alignment horizontal="centerContinuous"/>
    </xf>
    <xf numFmtId="0" fontId="82" fillId="4" borderId="0" xfId="0" applyFont="1" applyFill="1"/>
    <xf numFmtId="0" fontId="82" fillId="13" borderId="17" xfId="0" applyFont="1" applyFill="1" applyBorder="1"/>
    <xf numFmtId="0" fontId="84" fillId="4" borderId="17" xfId="0" applyFont="1" applyFill="1" applyBorder="1" applyAlignment="1">
      <alignment horizontal="centerContinuous"/>
    </xf>
    <xf numFmtId="0" fontId="87" fillId="4" borderId="0" xfId="3" applyNumberFormat="1" applyFont="1" applyFill="1" applyBorder="1" applyAlignment="1">
      <alignment horizontal="center"/>
    </xf>
    <xf numFmtId="0" fontId="88" fillId="4" borderId="0" xfId="0" applyFont="1" applyFill="1" applyAlignment="1">
      <alignment horizontal="centerContinuous"/>
    </xf>
    <xf numFmtId="0" fontId="82" fillId="4" borderId="0" xfId="0" applyFont="1" applyFill="1" applyAlignment="1">
      <alignment vertical="center"/>
    </xf>
    <xf numFmtId="0" fontId="82" fillId="4" borderId="19" xfId="0" applyFont="1" applyFill="1" applyBorder="1"/>
    <xf numFmtId="0" fontId="90" fillId="4" borderId="19" xfId="0" applyFont="1" applyFill="1" applyBorder="1" applyAlignment="1">
      <alignment horizontal="center" vertical="center"/>
    </xf>
    <xf numFmtId="0" fontId="91" fillId="4" borderId="19" xfId="0" applyFont="1" applyFill="1" applyBorder="1"/>
    <xf numFmtId="0" fontId="90" fillId="4" borderId="19" xfId="0" applyFont="1" applyFill="1" applyBorder="1" applyAlignment="1">
      <alignment horizontal="left" vertical="center"/>
    </xf>
    <xf numFmtId="0" fontId="92" fillId="4" borderId="19" xfId="0" applyFont="1" applyFill="1" applyBorder="1" applyAlignment="1">
      <alignment horizontal="center" vertical="center"/>
    </xf>
    <xf numFmtId="0" fontId="82" fillId="4" borderId="24" xfId="0" applyFont="1" applyFill="1" applyBorder="1"/>
    <xf numFmtId="0" fontId="93" fillId="13" borderId="0" xfId="0" applyFont="1" applyFill="1" applyAlignment="1">
      <alignment vertical="center"/>
    </xf>
    <xf numFmtId="0" fontId="94" fillId="13" borderId="0" xfId="0" applyFont="1" applyFill="1" applyAlignment="1">
      <alignment vertical="top"/>
    </xf>
    <xf numFmtId="0" fontId="95" fillId="4" borderId="11" xfId="0" applyFont="1" applyFill="1" applyBorder="1"/>
    <xf numFmtId="0" fontId="95" fillId="4" borderId="16" xfId="0" applyFont="1" applyFill="1" applyBorder="1"/>
    <xf numFmtId="0" fontId="94" fillId="13" borderId="0" xfId="0" applyFont="1" applyFill="1"/>
    <xf numFmtId="0" fontId="82" fillId="4" borderId="17" xfId="0" applyFont="1" applyFill="1" applyBorder="1"/>
    <xf numFmtId="0" fontId="82" fillId="4" borderId="18" xfId="0" applyFont="1" applyFill="1" applyBorder="1"/>
    <xf numFmtId="9" fontId="86" fillId="4" borderId="0" xfId="6" applyFont="1" applyFill="1" applyBorder="1" applyAlignment="1">
      <alignment horizontal="center"/>
    </xf>
    <xf numFmtId="0" fontId="96" fillId="4" borderId="0" xfId="0" applyFont="1" applyFill="1"/>
    <xf numFmtId="0" fontId="97" fillId="4" borderId="0" xfId="0" applyFont="1" applyFill="1" applyAlignment="1">
      <alignment horizontal="center" vertical="top" wrapText="1"/>
    </xf>
    <xf numFmtId="0" fontId="82" fillId="4" borderId="23" xfId="0" applyFont="1" applyFill="1" applyBorder="1"/>
    <xf numFmtId="0" fontId="82" fillId="4" borderId="16" xfId="0" applyFont="1" applyFill="1" applyBorder="1"/>
    <xf numFmtId="0" fontId="83" fillId="4" borderId="17" xfId="3" applyNumberFormat="1" applyFont="1" applyFill="1" applyBorder="1" applyAlignment="1">
      <alignment horizontal="centerContinuous"/>
    </xf>
    <xf numFmtId="165" fontId="86" fillId="4" borderId="0" xfId="3" applyNumberFormat="1" applyFont="1" applyFill="1" applyAlignment="1">
      <alignment horizontal="centerContinuous"/>
    </xf>
    <xf numFmtId="0" fontId="87" fillId="4" borderId="17" xfId="0" applyFont="1" applyFill="1" applyBorder="1" applyAlignment="1">
      <alignment horizontal="centerContinuous"/>
    </xf>
    <xf numFmtId="165" fontId="86" fillId="4" borderId="17" xfId="3" applyNumberFormat="1" applyFont="1" applyFill="1" applyBorder="1" applyAlignment="1">
      <alignment horizontal="centerContinuous"/>
    </xf>
    <xf numFmtId="165" fontId="86" fillId="4" borderId="0" xfId="3" applyNumberFormat="1" applyFont="1" applyFill="1" applyBorder="1" applyAlignment="1">
      <alignment horizontal="centerContinuous"/>
    </xf>
    <xf numFmtId="0" fontId="87" fillId="4" borderId="0" xfId="0" applyFont="1" applyFill="1" applyAlignment="1">
      <alignment horizontal="centerContinuous"/>
    </xf>
    <xf numFmtId="0" fontId="94" fillId="4" borderId="0" xfId="0" applyFont="1" applyFill="1"/>
    <xf numFmtId="0" fontId="99" fillId="4" borderId="0" xfId="0" applyFont="1" applyFill="1" applyAlignment="1">
      <alignment horizontal="left" vertical="top"/>
    </xf>
    <xf numFmtId="0" fontId="87" fillId="4" borderId="23" xfId="0" applyFont="1" applyFill="1" applyBorder="1" applyAlignment="1">
      <alignment horizontal="centerContinuous"/>
    </xf>
    <xf numFmtId="0" fontId="88" fillId="4" borderId="19" xfId="0" applyFont="1" applyFill="1" applyBorder="1" applyAlignment="1">
      <alignment horizontal="centerContinuous"/>
    </xf>
    <xf numFmtId="0" fontId="87" fillId="4" borderId="19" xfId="0" applyFont="1" applyFill="1" applyBorder="1" applyAlignment="1">
      <alignment horizontal="centerContinuous"/>
    </xf>
    <xf numFmtId="0" fontId="100" fillId="4" borderId="0" xfId="3" applyNumberFormat="1" applyFont="1" applyFill="1" applyBorder="1" applyAlignment="1">
      <alignment horizontal="centerContinuous"/>
    </xf>
    <xf numFmtId="0" fontId="101" fillId="4" borderId="0" xfId="0" applyFont="1" applyFill="1" applyAlignment="1">
      <alignment horizontal="centerContinuous" vertical="center" wrapText="1"/>
    </xf>
    <xf numFmtId="0" fontId="102" fillId="4" borderId="0" xfId="0" applyFont="1" applyFill="1" applyAlignment="1">
      <alignment horizontal="centerContinuous" wrapText="1"/>
    </xf>
    <xf numFmtId="0" fontId="84" fillId="4" borderId="18" xfId="0" applyFont="1" applyFill="1" applyBorder="1" applyAlignment="1">
      <alignment horizontal="centerContinuous"/>
    </xf>
    <xf numFmtId="0" fontId="88" fillId="4" borderId="18" xfId="0" applyFont="1" applyFill="1" applyBorder="1" applyAlignment="1">
      <alignment horizontal="centerContinuous"/>
    </xf>
    <xf numFmtId="1" fontId="86" fillId="4" borderId="0" xfId="3" applyNumberFormat="1" applyFont="1" applyFill="1" applyBorder="1" applyAlignment="1">
      <alignment horizontal="centerContinuous"/>
    </xf>
    <xf numFmtId="0" fontId="102" fillId="4" borderId="0" xfId="0" applyFont="1" applyFill="1" applyAlignment="1">
      <alignment horizontal="centerContinuous" vertical="center" wrapText="1"/>
    </xf>
    <xf numFmtId="0" fontId="103" fillId="4" borderId="17" xfId="0" applyFont="1" applyFill="1" applyBorder="1" applyAlignment="1">
      <alignment horizontal="left"/>
    </xf>
    <xf numFmtId="0" fontId="94" fillId="4" borderId="19" xfId="0" applyFont="1" applyFill="1" applyBorder="1"/>
    <xf numFmtId="0" fontId="104" fillId="13" borderId="0" xfId="0" applyFont="1" applyFill="1"/>
    <xf numFmtId="0" fontId="88" fillId="13" borderId="0" xfId="0" applyFont="1" applyFill="1"/>
    <xf numFmtId="0" fontId="105" fillId="13" borderId="0" xfId="1" applyFont="1" applyFill="1"/>
    <xf numFmtId="0" fontId="106" fillId="12" borderId="0" xfId="0" applyFont="1" applyFill="1"/>
    <xf numFmtId="0" fontId="107" fillId="13" borderId="0" xfId="0" applyFont="1" applyFill="1"/>
    <xf numFmtId="0" fontId="60" fillId="8" borderId="0" xfId="0" applyFont="1" applyFill="1"/>
    <xf numFmtId="0" fontId="26" fillId="8" borderId="0" xfId="0" applyFont="1" applyFill="1" applyAlignment="1">
      <alignment vertical="center"/>
    </xf>
    <xf numFmtId="0" fontId="108" fillId="4" borderId="0" xfId="0" applyFont="1" applyFill="1"/>
    <xf numFmtId="9" fontId="109" fillId="4" borderId="0" xfId="6" applyFont="1" applyFill="1" applyAlignment="1">
      <alignment horizontal="center"/>
    </xf>
    <xf numFmtId="0" fontId="110" fillId="4" borderId="0" xfId="0" applyFont="1" applyFill="1" applyAlignment="1">
      <alignment horizontal="center" wrapText="1"/>
    </xf>
    <xf numFmtId="0" fontId="99" fillId="4" borderId="0" xfId="0" applyFont="1" applyFill="1" applyAlignment="1">
      <alignment horizontal="right" vertical="top"/>
    </xf>
    <xf numFmtId="0" fontId="94" fillId="4" borderId="0" xfId="0" applyFont="1" applyFill="1" applyAlignment="1">
      <alignment horizontal="centerContinuous"/>
    </xf>
    <xf numFmtId="0" fontId="94" fillId="12" borderId="0" xfId="0" applyFont="1" applyFill="1"/>
    <xf numFmtId="0" fontId="24" fillId="0" borderId="0" xfId="0" applyFont="1" applyAlignment="1">
      <alignment horizontal="left"/>
    </xf>
    <xf numFmtId="14" fontId="18" fillId="3" borderId="0" xfId="0" applyNumberFormat="1" applyFont="1" applyFill="1" applyAlignment="1">
      <alignment horizontal="left" wrapText="1"/>
    </xf>
    <xf numFmtId="9" fontId="0" fillId="0" borderId="0" xfId="0" applyNumberFormat="1"/>
    <xf numFmtId="0" fontId="22" fillId="22" borderId="1" xfId="0" applyFont="1" applyFill="1" applyBorder="1" applyAlignment="1">
      <alignment horizontal="center" wrapText="1"/>
    </xf>
    <xf numFmtId="0" fontId="0" fillId="22" borderId="1" xfId="0" applyFill="1" applyBorder="1" applyAlignment="1">
      <alignment horizontal="center" wrapText="1"/>
    </xf>
    <xf numFmtId="9" fontId="0" fillId="3" borderId="0" xfId="0" applyNumberFormat="1" applyFill="1"/>
    <xf numFmtId="0" fontId="94" fillId="4" borderId="17" xfId="0" applyFont="1" applyFill="1" applyBorder="1"/>
    <xf numFmtId="0" fontId="40" fillId="0" borderId="0" xfId="0" applyFont="1" applyAlignment="1">
      <alignment horizontal="left" vertical="center"/>
    </xf>
    <xf numFmtId="0" fontId="112" fillId="0" borderId="0" xfId="0" applyFont="1" applyAlignment="1">
      <alignment horizontal="left" vertical="center"/>
    </xf>
    <xf numFmtId="0" fontId="111" fillId="0" borderId="0" xfId="0" applyFont="1"/>
    <xf numFmtId="0" fontId="0" fillId="0" borderId="5" xfId="0" applyBorder="1"/>
    <xf numFmtId="0" fontId="74" fillId="8" borderId="21" xfId="0" applyFont="1" applyFill="1" applyBorder="1" applyAlignment="1">
      <alignment horizontal="center" vertical="center"/>
    </xf>
    <xf numFmtId="0" fontId="76" fillId="9" borderId="1" xfId="0" applyFont="1" applyFill="1" applyBorder="1" applyAlignment="1">
      <alignment horizontal="center" vertical="center" wrapText="1"/>
    </xf>
    <xf numFmtId="0" fontId="0" fillId="23" borderId="1" xfId="0" applyFill="1" applyBorder="1"/>
    <xf numFmtId="0" fontId="55" fillId="0" borderId="1" xfId="0" applyFont="1" applyBorder="1" applyAlignment="1">
      <alignment horizontal="center" vertical="center"/>
    </xf>
    <xf numFmtId="0" fontId="23" fillId="25" borderId="1" xfId="0" applyFont="1" applyFill="1" applyBorder="1" applyAlignment="1">
      <alignment horizontal="center" vertical="center" wrapText="1"/>
    </xf>
    <xf numFmtId="0" fontId="23" fillId="25" borderId="10" xfId="0" applyFont="1" applyFill="1" applyBorder="1" applyAlignment="1">
      <alignment horizontal="center" vertical="center" wrapText="1"/>
    </xf>
    <xf numFmtId="0" fontId="22" fillId="24" borderId="1" xfId="0" applyFont="1" applyFill="1" applyBorder="1" applyAlignment="1">
      <alignment horizontal="center" vertical="center" wrapText="1"/>
    </xf>
    <xf numFmtId="0" fontId="22" fillId="24" borderId="10" xfId="0" applyFont="1" applyFill="1" applyBorder="1" applyAlignment="1">
      <alignment horizontal="center" vertic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0" fontId="22" fillId="24" borderId="25" xfId="0" applyFont="1" applyFill="1" applyBorder="1" applyAlignment="1">
      <alignment horizontal="center" vertical="center" wrapText="1"/>
    </xf>
    <xf numFmtId="0" fontId="22" fillId="24" borderId="26" xfId="0" applyFont="1" applyFill="1" applyBorder="1" applyAlignment="1">
      <alignment horizontal="center" vertical="center" wrapText="1"/>
    </xf>
    <xf numFmtId="0" fontId="50" fillId="24" borderId="1" xfId="0" applyFont="1" applyFill="1" applyBorder="1" applyAlignment="1">
      <alignment horizontal="center" vertical="center" wrapText="1"/>
    </xf>
    <xf numFmtId="0" fontId="22" fillId="24" borderId="1" xfId="0" applyFont="1" applyFill="1" applyBorder="1" applyAlignment="1">
      <alignment horizontal="left" vertical="center" wrapText="1"/>
    </xf>
    <xf numFmtId="0" fontId="22" fillId="0" borderId="10" xfId="0" applyFont="1" applyBorder="1" applyAlignment="1">
      <alignment horizontal="center" vertical="center"/>
    </xf>
    <xf numFmtId="0" fontId="50" fillId="0" borderId="8" xfId="0" applyFont="1" applyBorder="1" applyAlignment="1">
      <alignment horizontal="center" vertical="center" wrapText="1"/>
    </xf>
    <xf numFmtId="0" fontId="0" fillId="0" borderId="10" xfId="0" applyBorder="1" applyAlignment="1">
      <alignment horizontal="center" vertical="center"/>
    </xf>
    <xf numFmtId="0" fontId="0" fillId="0" borderId="10" xfId="0" applyBorder="1" applyAlignment="1">
      <alignment horizontal="center" vertical="center" wrapText="1"/>
    </xf>
    <xf numFmtId="0" fontId="0" fillId="24" borderId="10" xfId="0" applyFill="1" applyBorder="1" applyAlignment="1">
      <alignment horizontal="center" vertical="center" wrapText="1"/>
    </xf>
    <xf numFmtId="0" fontId="0" fillId="24" borderId="1" xfId="0" applyFill="1" applyBorder="1" applyAlignment="1">
      <alignment horizontal="center" vertical="center" wrapText="1"/>
    </xf>
    <xf numFmtId="171" fontId="70" fillId="14" borderId="1" xfId="0" applyNumberFormat="1" applyFont="1" applyFill="1" applyBorder="1" applyAlignment="1" applyProtection="1">
      <alignment horizontal="center" vertical="center"/>
      <protection locked="0"/>
    </xf>
    <xf numFmtId="171" fontId="10" fillId="14" borderId="1" xfId="0" applyNumberFormat="1" applyFont="1" applyFill="1" applyBorder="1" applyAlignment="1" applyProtection="1">
      <alignment horizontal="center" vertical="center"/>
      <protection locked="0"/>
    </xf>
    <xf numFmtId="0" fontId="20" fillId="8" borderId="27" xfId="0" applyFont="1" applyFill="1" applyBorder="1" applyAlignment="1">
      <alignment horizontal="center" vertical="center" wrapText="1"/>
    </xf>
    <xf numFmtId="43" fontId="0" fillId="0" borderId="1" xfId="0" applyNumberFormat="1" applyBorder="1"/>
    <xf numFmtId="165" fontId="12" fillId="26" borderId="1" xfId="3" applyNumberFormat="1" applyFont="1" applyFill="1" applyBorder="1" applyAlignment="1" applyProtection="1">
      <alignment horizontal="left" vertical="center"/>
      <protection locked="0"/>
    </xf>
    <xf numFmtId="14" fontId="12" fillId="26" borderId="1" xfId="3" applyNumberFormat="1" applyFont="1" applyFill="1" applyBorder="1" applyAlignment="1" applyProtection="1">
      <alignment horizontal="left" vertical="center"/>
      <protection locked="0"/>
    </xf>
    <xf numFmtId="0" fontId="114" fillId="0" borderId="0" xfId="0" applyFont="1"/>
    <xf numFmtId="0" fontId="116" fillId="4" borderId="0" xfId="0" applyFont="1" applyFill="1"/>
    <xf numFmtId="0" fontId="117" fillId="4" borderId="0" xfId="0" applyFont="1" applyFill="1"/>
    <xf numFmtId="0" fontId="8" fillId="4" borderId="0" xfId="0" applyFont="1" applyFill="1" applyAlignment="1">
      <alignment horizontal="center"/>
    </xf>
    <xf numFmtId="0" fontId="8" fillId="4" borderId="0" xfId="0" applyFont="1" applyFill="1" applyAlignment="1">
      <alignment horizontal="center" wrapText="1"/>
    </xf>
    <xf numFmtId="1" fontId="8" fillId="4" borderId="0" xfId="0" applyNumberFormat="1" applyFont="1" applyFill="1" applyAlignment="1">
      <alignment horizontal="center"/>
    </xf>
    <xf numFmtId="1" fontId="0" fillId="0" borderId="0" xfId="0" applyNumberFormat="1" applyAlignment="1">
      <alignment horizontal="center"/>
    </xf>
    <xf numFmtId="0" fontId="5" fillId="0" borderId="0" xfId="0" applyFont="1" applyAlignment="1">
      <alignment wrapText="1"/>
    </xf>
    <xf numFmtId="1" fontId="0" fillId="0" borderId="0" xfId="0" applyNumberFormat="1" applyAlignment="1">
      <alignment horizontal="center" vertical="center"/>
    </xf>
    <xf numFmtId="0" fontId="0" fillId="0" borderId="4" xfId="0" applyBorder="1"/>
    <xf numFmtId="0" fontId="0" fillId="0" borderId="3" xfId="0" applyBorder="1"/>
    <xf numFmtId="0" fontId="0" fillId="0" borderId="21" xfId="0" applyBorder="1"/>
    <xf numFmtId="0" fontId="0" fillId="0" borderId="28" xfId="0" applyBorder="1"/>
    <xf numFmtId="0" fontId="0" fillId="0" borderId="2" xfId="0" applyBorder="1"/>
    <xf numFmtId="0" fontId="0" fillId="0" borderId="7" xfId="0" applyBorder="1"/>
    <xf numFmtId="0" fontId="1" fillId="0" borderId="8" xfId="0" applyFont="1" applyBorder="1" applyAlignment="1">
      <alignment horizontal="right"/>
    </xf>
    <xf numFmtId="0" fontId="1" fillId="0" borderId="10" xfId="0" applyFont="1" applyBorder="1" applyAlignment="1">
      <alignment horizontal="left" indent="1"/>
    </xf>
    <xf numFmtId="0" fontId="118" fillId="9" borderId="0" xfId="0" applyFont="1" applyFill="1"/>
    <xf numFmtId="0" fontId="70" fillId="27" borderId="1" xfId="0" applyFont="1" applyFill="1" applyBorder="1" applyAlignment="1" applyProtection="1">
      <alignment horizontal="left" vertical="center" wrapText="1"/>
      <protection locked="0"/>
    </xf>
    <xf numFmtId="0" fontId="70" fillId="27" borderId="1" xfId="0" applyFont="1" applyFill="1" applyBorder="1" applyAlignment="1" applyProtection="1">
      <alignment vertical="center" wrapText="1"/>
      <protection locked="0"/>
    </xf>
    <xf numFmtId="0" fontId="12" fillId="23" borderId="1" xfId="0" applyFont="1" applyFill="1" applyBorder="1" applyAlignment="1" applyProtection="1">
      <alignment horizontal="left" vertical="center"/>
      <protection locked="0"/>
    </xf>
    <xf numFmtId="0" fontId="12" fillId="23" borderId="1" xfId="0" applyFont="1" applyFill="1" applyBorder="1" applyAlignment="1" applyProtection="1">
      <alignment horizontal="left" vertical="center" wrapText="1"/>
      <protection locked="0"/>
    </xf>
    <xf numFmtId="0" fontId="12" fillId="27" borderId="1" xfId="0" applyFont="1" applyFill="1" applyBorder="1" applyAlignment="1" applyProtection="1">
      <alignment horizontal="left" vertical="center"/>
      <protection locked="0"/>
    </xf>
    <xf numFmtId="0" fontId="10" fillId="27" borderId="1" xfId="0" applyFont="1" applyFill="1" applyBorder="1" applyAlignment="1" applyProtection="1">
      <alignment horizontal="left" vertical="center" wrapText="1"/>
      <protection locked="0"/>
    </xf>
    <xf numFmtId="0" fontId="10" fillId="27" borderId="1" xfId="0" applyFont="1" applyFill="1" applyBorder="1" applyAlignment="1" applyProtection="1">
      <alignment vertical="center" wrapText="1"/>
      <protection locked="0"/>
    </xf>
    <xf numFmtId="0" fontId="70" fillId="23" borderId="1" xfId="0" applyFont="1" applyFill="1" applyBorder="1" applyAlignment="1" applyProtection="1">
      <alignment vertical="center" wrapText="1"/>
      <protection locked="0"/>
    </xf>
    <xf numFmtId="0" fontId="70" fillId="23" borderId="1" xfId="0" applyFont="1" applyFill="1" applyBorder="1" applyAlignment="1" applyProtection="1">
      <alignment vertical="center"/>
      <protection locked="0"/>
    </xf>
    <xf numFmtId="0" fontId="15" fillId="14" borderId="1" xfId="0" applyFont="1" applyFill="1" applyBorder="1" applyAlignment="1" applyProtection="1">
      <alignment horizontal="left"/>
      <protection locked="0"/>
    </xf>
    <xf numFmtId="0" fontId="55" fillId="23" borderId="1" xfId="0" applyFont="1" applyFill="1" applyBorder="1" applyAlignment="1" applyProtection="1">
      <alignment horizontal="center" vertical="center"/>
      <protection locked="0"/>
    </xf>
    <xf numFmtId="0" fontId="75" fillId="23" borderId="1" xfId="0" applyFont="1" applyFill="1" applyBorder="1" applyAlignment="1" applyProtection="1">
      <alignment horizontal="center" vertical="center"/>
      <protection locked="0"/>
    </xf>
    <xf numFmtId="0" fontId="75" fillId="14" borderId="1" xfId="0" applyFont="1" applyFill="1" applyBorder="1" applyAlignment="1" applyProtection="1">
      <alignment horizontal="center" vertical="center"/>
      <protection locked="0"/>
    </xf>
    <xf numFmtId="9" fontId="0" fillId="14" borderId="1" xfId="6" applyFont="1" applyFill="1" applyBorder="1" applyAlignment="1" applyProtection="1">
      <alignment horizontal="center" vertical="center"/>
      <protection locked="0"/>
    </xf>
    <xf numFmtId="0" fontId="0" fillId="14" borderId="1" xfId="0" applyFill="1" applyBorder="1" applyAlignment="1" applyProtection="1">
      <alignment horizontal="center" vertical="center"/>
      <protection locked="0"/>
    </xf>
    <xf numFmtId="0" fontId="0" fillId="14" borderId="1" xfId="0" applyFill="1" applyBorder="1" applyProtection="1">
      <protection locked="0"/>
    </xf>
    <xf numFmtId="0" fontId="62" fillId="0" borderId="0" xfId="0" applyFont="1" applyAlignment="1">
      <alignment vertical="top" wrapText="1"/>
    </xf>
    <xf numFmtId="0" fontId="12" fillId="4" borderId="0" xfId="0" applyFont="1" applyFill="1" applyAlignment="1">
      <alignment horizontal="right" vertical="center"/>
    </xf>
    <xf numFmtId="0" fontId="49" fillId="0" borderId="0" xfId="0" applyFont="1" applyAlignment="1">
      <alignment horizontal="left"/>
    </xf>
    <xf numFmtId="0" fontId="47" fillId="0" borderId="0" xfId="0" applyFont="1"/>
    <xf numFmtId="0" fontId="79" fillId="4" borderId="0" xfId="0" applyFont="1" applyFill="1"/>
    <xf numFmtId="0" fontId="0" fillId="4" borderId="0" xfId="0" applyFill="1" applyAlignment="1">
      <alignment horizontal="left"/>
    </xf>
    <xf numFmtId="0" fontId="52" fillId="4" borderId="12" xfId="0" applyFont="1" applyFill="1" applyBorder="1" applyAlignment="1">
      <alignment horizontal="right" vertical="center"/>
    </xf>
    <xf numFmtId="0" fontId="1" fillId="0" borderId="12" xfId="0" applyFont="1" applyBorder="1" applyAlignment="1">
      <alignment horizontal="center" vertical="center" wrapText="1"/>
    </xf>
    <xf numFmtId="0" fontId="80" fillId="8" borderId="1" xfId="0" applyFont="1" applyFill="1" applyBorder="1" applyAlignment="1">
      <alignment horizontal="center" vertical="center"/>
    </xf>
    <xf numFmtId="0" fontId="12" fillId="5" borderId="12" xfId="0" applyFont="1" applyFill="1" applyBorder="1" applyAlignment="1">
      <alignment horizontal="left" vertical="center"/>
    </xf>
    <xf numFmtId="0" fontId="12" fillId="5" borderId="1" xfId="0" applyFont="1" applyFill="1" applyBorder="1" applyAlignment="1">
      <alignment horizontal="left" vertical="center"/>
    </xf>
    <xf numFmtId="0" fontId="12" fillId="5" borderId="1" xfId="0" applyFont="1" applyFill="1" applyBorder="1" applyAlignment="1">
      <alignment horizontal="center" vertical="center"/>
    </xf>
    <xf numFmtId="0" fontId="12" fillId="5" borderId="3" xfId="0" applyFont="1" applyFill="1" applyBorder="1" applyAlignment="1">
      <alignment horizontal="center" vertical="center"/>
    </xf>
    <xf numFmtId="0" fontId="12" fillId="5" borderId="12" xfId="0" applyFont="1" applyFill="1" applyBorder="1" applyAlignment="1">
      <alignment horizontal="center" vertical="center" wrapText="1"/>
    </xf>
    <xf numFmtId="0" fontId="12" fillId="5" borderId="1" xfId="0" applyFont="1" applyFill="1" applyBorder="1" applyAlignment="1">
      <alignment horizontal="center" vertical="center" wrapText="1"/>
    </xf>
    <xf numFmtId="171" fontId="81"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7" fillId="0" borderId="1" xfId="0" applyFont="1" applyBorder="1" applyAlignment="1">
      <alignment horizontal="center" vertical="center" wrapText="1"/>
    </xf>
    <xf numFmtId="166" fontId="10" fillId="0" borderId="1" xfId="3" applyNumberFormat="1" applyFont="1" applyBorder="1" applyAlignment="1" applyProtection="1">
      <alignment horizontal="center" vertical="center" wrapText="1"/>
    </xf>
    <xf numFmtId="166" fontId="17" fillId="0" borderId="1" xfId="3" applyNumberFormat="1" applyFont="1" applyBorder="1" applyAlignment="1" applyProtection="1">
      <alignment horizontal="center" vertical="center" wrapText="1"/>
    </xf>
    <xf numFmtId="11" fontId="0" fillId="0" borderId="1" xfId="0" applyNumberFormat="1" applyBorder="1" applyAlignment="1">
      <alignment vertical="center"/>
    </xf>
    <xf numFmtId="0" fontId="14" fillId="4" borderId="0" xfId="0" applyFont="1" applyFill="1" applyAlignment="1">
      <alignment horizontal="left" vertical="center"/>
    </xf>
    <xf numFmtId="0" fontId="10" fillId="4" borderId="0" xfId="0" applyFont="1" applyFill="1" applyAlignment="1">
      <alignment horizontal="left" vertical="center"/>
    </xf>
    <xf numFmtId="0" fontId="17" fillId="4" borderId="0" xfId="0" applyFont="1" applyFill="1" applyAlignment="1">
      <alignment horizontal="center" vertical="center"/>
    </xf>
    <xf numFmtId="0" fontId="10" fillId="4" borderId="0" xfId="0" applyFont="1" applyFill="1"/>
    <xf numFmtId="0" fontId="10" fillId="4" borderId="0" xfId="0" applyFont="1" applyFill="1" applyAlignment="1">
      <alignment horizontal="center" vertical="center"/>
    </xf>
    <xf numFmtId="0" fontId="10" fillId="4" borderId="0" xfId="0" applyFont="1" applyFill="1" applyAlignment="1">
      <alignment horizontal="center" vertical="center" wrapText="1"/>
    </xf>
    <xf numFmtId="0" fontId="9" fillId="4" borderId="0" xfId="0" applyFont="1" applyFill="1" applyAlignment="1">
      <alignment horizontal="center" vertical="center"/>
    </xf>
    <xf numFmtId="9" fontId="0" fillId="0" borderId="0" xfId="6" applyFont="1" applyProtection="1"/>
    <xf numFmtId="0" fontId="1" fillId="0" borderId="0" xfId="0" applyFont="1" applyAlignment="1">
      <alignment horizontal="center"/>
    </xf>
    <xf numFmtId="0" fontId="28" fillId="9" borderId="8" xfId="0" applyFont="1" applyFill="1" applyBorder="1" applyAlignment="1">
      <alignment vertical="center"/>
    </xf>
    <xf numFmtId="0" fontId="28" fillId="9" borderId="9" xfId="0" applyFont="1" applyFill="1" applyBorder="1" applyAlignment="1">
      <alignment vertical="center"/>
    </xf>
    <xf numFmtId="0" fontId="28" fillId="9" borderId="10" xfId="0" applyFont="1" applyFill="1" applyBorder="1" applyAlignment="1">
      <alignment vertical="center"/>
    </xf>
    <xf numFmtId="165" fontId="12" fillId="0" borderId="1" xfId="3" applyNumberFormat="1" applyFont="1" applyBorder="1" applyAlignment="1" applyProtection="1">
      <alignment horizontal="left" vertical="center"/>
    </xf>
    <xf numFmtId="0" fontId="15" fillId="0" borderId="1" xfId="0" applyFont="1" applyBorder="1" applyAlignment="1">
      <alignment horizontal="left"/>
    </xf>
    <xf numFmtId="0" fontId="113" fillId="4" borderId="0" xfId="0" applyFont="1" applyFill="1" applyAlignment="1">
      <alignment horizontal="center" vertical="center"/>
    </xf>
    <xf numFmtId="0" fontId="113" fillId="4" borderId="0" xfId="0" applyFont="1" applyFill="1" applyAlignment="1">
      <alignment horizontal="center" vertical="center" wrapText="1"/>
    </xf>
    <xf numFmtId="0" fontId="113" fillId="4" borderId="0" xfId="0" applyFont="1" applyFill="1"/>
    <xf numFmtId="0" fontId="1" fillId="0" borderId="0" xfId="0" applyFont="1" applyAlignment="1">
      <alignment vertical="center"/>
    </xf>
    <xf numFmtId="0" fontId="41" fillId="8" borderId="1" xfId="0" applyFont="1" applyFill="1" applyBorder="1" applyAlignment="1">
      <alignment horizontal="left" vertical="center"/>
    </xf>
    <xf numFmtId="0" fontId="41" fillId="8" borderId="1" xfId="0" applyFont="1" applyFill="1" applyBorder="1" applyAlignment="1">
      <alignment horizontal="center" vertical="center"/>
    </xf>
    <xf numFmtId="0" fontId="41" fillId="8" borderId="1" xfId="0" applyFont="1" applyFill="1" applyBorder="1" applyAlignment="1">
      <alignment horizontal="center" vertical="center" wrapText="1"/>
    </xf>
    <xf numFmtId="171" fontId="17" fillId="4" borderId="1" xfId="0" applyNumberFormat="1" applyFont="1" applyFill="1" applyBorder="1" applyAlignment="1">
      <alignment horizontal="center" vertical="center" wrapText="1"/>
    </xf>
    <xf numFmtId="0" fontId="10" fillId="23" borderId="1" xfId="0" applyFont="1" applyFill="1" applyBorder="1" applyAlignment="1" applyProtection="1">
      <alignment horizontal="center" vertical="center" wrapText="1"/>
      <protection locked="0"/>
    </xf>
    <xf numFmtId="0" fontId="34" fillId="14" borderId="1" xfId="0" applyFont="1" applyFill="1" applyBorder="1" applyAlignment="1" applyProtection="1">
      <alignment horizontal="left" vertical="center" wrapText="1"/>
      <protection locked="0"/>
    </xf>
    <xf numFmtId="0" fontId="26" fillId="0" borderId="0" xfId="0" applyFont="1" applyAlignment="1">
      <alignment horizontal="center" vertical="center" wrapText="1"/>
    </xf>
    <xf numFmtId="0" fontId="52" fillId="4" borderId="12" xfId="0" applyFont="1" applyFill="1" applyBorder="1" applyAlignment="1">
      <alignment horizontal="center" vertical="center" wrapText="1"/>
    </xf>
    <xf numFmtId="0" fontId="80" fillId="8" borderId="12" xfId="0" applyFont="1" applyFill="1" applyBorder="1" applyAlignment="1">
      <alignment horizontal="center" vertical="center"/>
    </xf>
    <xf numFmtId="44" fontId="81" fillId="0" borderId="8" xfId="7" applyFont="1" applyBorder="1" applyAlignment="1" applyProtection="1">
      <alignment horizontal="center" vertical="center" wrapText="1"/>
    </xf>
    <xf numFmtId="44" fontId="81" fillId="0" borderId="8" xfId="7" applyFont="1" applyBorder="1" applyAlignment="1" applyProtection="1">
      <alignment horizontal="center" vertical="center"/>
    </xf>
    <xf numFmtId="44" fontId="81" fillId="4" borderId="1" xfId="7" applyFont="1" applyFill="1" applyBorder="1" applyAlignment="1" applyProtection="1">
      <alignment horizontal="center" vertical="center"/>
    </xf>
    <xf numFmtId="0" fontId="115" fillId="9" borderId="11" xfId="0" applyFont="1" applyFill="1" applyBorder="1" applyAlignment="1">
      <alignment vertical="center"/>
    </xf>
    <xf numFmtId="44" fontId="81" fillId="4" borderId="1" xfId="7" applyFont="1" applyFill="1" applyBorder="1" applyAlignment="1" applyProtection="1">
      <alignment horizontal="center" vertical="center" wrapText="1"/>
    </xf>
    <xf numFmtId="44" fontId="81" fillId="0" borderId="1" xfId="7" applyFont="1" applyBorder="1" applyAlignment="1" applyProtection="1">
      <alignment horizontal="center" vertical="center" wrapText="1"/>
    </xf>
    <xf numFmtId="0" fontId="30" fillId="3" borderId="0" xfId="0" applyFont="1" applyFill="1"/>
    <xf numFmtId="0" fontId="52" fillId="4" borderId="12" xfId="0" applyFont="1" applyFill="1" applyBorder="1" applyAlignment="1">
      <alignment horizontal="right" vertical="center" wrapText="1"/>
    </xf>
    <xf numFmtId="0" fontId="12" fillId="4" borderId="12" xfId="0" applyFont="1" applyFill="1" applyBorder="1" applyAlignment="1">
      <alignment horizontal="right" vertical="center" wrapText="1"/>
    </xf>
    <xf numFmtId="0" fontId="80" fillId="8" borderId="1" xfId="0" applyFont="1" applyFill="1" applyBorder="1" applyAlignment="1">
      <alignment vertical="center"/>
    </xf>
    <xf numFmtId="0" fontId="70" fillId="0" borderId="1" xfId="0" applyFont="1" applyBorder="1" applyAlignment="1">
      <alignment horizontal="center" vertical="center" wrapText="1"/>
    </xf>
    <xf numFmtId="0" fontId="70" fillId="0" borderId="1" xfId="0" applyFont="1" applyBorder="1" applyAlignment="1">
      <alignment vertical="center" wrapText="1"/>
    </xf>
    <xf numFmtId="43" fontId="81" fillId="0" borderId="1" xfId="3" applyFont="1" applyBorder="1" applyAlignment="1" applyProtection="1">
      <alignment horizontal="center" vertical="center" wrapText="1"/>
    </xf>
    <xf numFmtId="2" fontId="10" fillId="0" borderId="1" xfId="0" applyNumberFormat="1" applyFont="1" applyBorder="1" applyAlignment="1">
      <alignment horizontal="center" vertical="center" wrapText="1"/>
    </xf>
    <xf numFmtId="170" fontId="10" fillId="0" borderId="1" xfId="3" applyNumberFormat="1" applyFont="1" applyBorder="1" applyAlignment="1" applyProtection="1">
      <alignment horizontal="center" vertical="center" wrapText="1"/>
    </xf>
    <xf numFmtId="166" fontId="0" fillId="0" borderId="1" xfId="3" applyNumberFormat="1" applyFont="1" applyBorder="1" applyAlignment="1" applyProtection="1">
      <alignment horizontal="center" vertical="center"/>
    </xf>
    <xf numFmtId="166" fontId="1" fillId="0" borderId="1" xfId="3" applyNumberFormat="1" applyFont="1" applyBorder="1" applyAlignment="1" applyProtection="1">
      <alignment horizontal="center" vertical="center"/>
    </xf>
    <xf numFmtId="166" fontId="17" fillId="0" borderId="1" xfId="3" applyNumberFormat="1" applyFont="1" applyBorder="1" applyAlignment="1" applyProtection="1">
      <alignment horizontal="center" vertical="center"/>
    </xf>
    <xf numFmtId="2" fontId="0" fillId="0" borderId="0" xfId="0" applyNumberFormat="1"/>
    <xf numFmtId="0" fontId="80" fillId="8" borderId="21" xfId="0" applyFont="1" applyFill="1" applyBorder="1" applyAlignment="1">
      <alignment horizontal="center" vertical="center" wrapText="1"/>
    </xf>
    <xf numFmtId="43" fontId="10" fillId="0" borderId="1" xfId="3" applyFont="1" applyBorder="1" applyAlignment="1" applyProtection="1">
      <alignment horizontal="center" vertical="center" wrapText="1"/>
    </xf>
    <xf numFmtId="43" fontId="17" fillId="0" borderId="1" xfId="3" applyFont="1" applyBorder="1" applyAlignment="1" applyProtection="1">
      <alignment horizontal="center" vertical="center" wrapText="1"/>
    </xf>
    <xf numFmtId="1" fontId="10" fillId="0" borderId="1" xfId="7" applyNumberFormat="1" applyFont="1" applyFill="1" applyBorder="1" applyAlignment="1" applyProtection="1">
      <alignment horizontal="center" vertical="center" wrapText="1"/>
    </xf>
    <xf numFmtId="43" fontId="10" fillId="0" borderId="1" xfId="3" applyFont="1" applyFill="1" applyBorder="1" applyAlignment="1" applyProtection="1">
      <alignment horizontal="center" vertical="center" wrapText="1"/>
    </xf>
    <xf numFmtId="166" fontId="0" fillId="0" borderId="1" xfId="3" applyNumberFormat="1" applyFont="1" applyBorder="1" applyAlignment="1" applyProtection="1">
      <alignment vertical="center" wrapText="1"/>
    </xf>
    <xf numFmtId="44" fontId="1" fillId="0" borderId="1" xfId="7" applyFont="1" applyBorder="1" applyProtection="1"/>
    <xf numFmtId="43" fontId="1" fillId="0" borderId="1" xfId="0" applyNumberFormat="1" applyFont="1" applyBorder="1"/>
    <xf numFmtId="0" fontId="70" fillId="23" borderId="1" xfId="0" applyFont="1" applyFill="1" applyBorder="1" applyAlignment="1" applyProtection="1">
      <alignment horizontal="center" vertical="center" wrapText="1"/>
      <protection locked="0"/>
    </xf>
    <xf numFmtId="44" fontId="70" fillId="14" borderId="1" xfId="7" applyFont="1" applyFill="1" applyBorder="1" applyAlignment="1" applyProtection="1">
      <alignment horizontal="center" vertical="center" wrapText="1"/>
      <protection locked="0"/>
    </xf>
    <xf numFmtId="0" fontId="0" fillId="27" borderId="1" xfId="0" applyFill="1" applyBorder="1" applyAlignment="1" applyProtection="1">
      <alignment horizontal="center"/>
      <protection locked="0"/>
    </xf>
    <xf numFmtId="9" fontId="0" fillId="14" borderId="1" xfId="6" applyFont="1" applyFill="1" applyBorder="1" applyProtection="1">
      <protection locked="0"/>
    </xf>
    <xf numFmtId="43" fontId="12" fillId="14" borderId="1" xfId="3" applyFont="1" applyFill="1" applyBorder="1" applyAlignment="1" applyProtection="1">
      <alignment horizontal="left" vertical="center"/>
      <protection locked="0"/>
    </xf>
    <xf numFmtId="1" fontId="0" fillId="14" borderId="1" xfId="0" applyNumberFormat="1" applyFill="1" applyBorder="1" applyAlignment="1" applyProtection="1">
      <alignment horizontal="center" vertical="center"/>
      <protection locked="0"/>
    </xf>
    <xf numFmtId="1" fontId="0" fillId="0" borderId="0" xfId="0" applyNumberFormat="1" applyAlignment="1">
      <alignment horizontal="center" vertical="center" wrapText="1"/>
    </xf>
    <xf numFmtId="166" fontId="0" fillId="0" borderId="1" xfId="3" applyNumberFormat="1" applyFont="1" applyBorder="1" applyAlignment="1" applyProtection="1">
      <alignment horizontal="center" vertical="center" wrapText="1"/>
    </xf>
    <xf numFmtId="166" fontId="1" fillId="0" borderId="1" xfId="3" applyNumberFormat="1" applyFont="1" applyBorder="1" applyAlignment="1" applyProtection="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9" fontId="55" fillId="14" borderId="1" xfId="0" applyNumberFormat="1" applyFont="1" applyFill="1" applyBorder="1" applyAlignment="1" applyProtection="1">
      <alignment horizontal="center" vertical="center"/>
      <protection locked="0"/>
    </xf>
    <xf numFmtId="0" fontId="94" fillId="0" borderId="11" xfId="0" applyFont="1" applyBorder="1"/>
    <xf numFmtId="0" fontId="83" fillId="4" borderId="19" xfId="3" applyNumberFormat="1" applyFont="1" applyFill="1" applyBorder="1" applyAlignment="1">
      <alignment horizontal="left" vertical="center"/>
    </xf>
    <xf numFmtId="0" fontId="89" fillId="4" borderId="19" xfId="0" applyFont="1" applyFill="1" applyBorder="1" applyAlignment="1">
      <alignment vertical="center"/>
    </xf>
    <xf numFmtId="0" fontId="19" fillId="0" borderId="1" xfId="0" applyFont="1" applyBorder="1" applyAlignment="1">
      <alignment horizontal="center" vertical="center"/>
    </xf>
    <xf numFmtId="0" fontId="31" fillId="4" borderId="0" xfId="0" applyFont="1" applyFill="1" applyAlignment="1">
      <alignment horizontal="left"/>
    </xf>
    <xf numFmtId="165" fontId="12" fillId="27" borderId="1" xfId="3" applyNumberFormat="1" applyFont="1" applyFill="1" applyBorder="1" applyAlignment="1" applyProtection="1">
      <alignment horizontal="left" vertical="center" wrapText="1"/>
      <protection locked="0"/>
    </xf>
    <xf numFmtId="0" fontId="98" fillId="4" borderId="0" xfId="0" applyFont="1" applyFill="1" applyAlignment="1">
      <alignment vertical="center" wrapText="1"/>
    </xf>
    <xf numFmtId="0" fontId="12" fillId="0" borderId="1" xfId="0" applyFont="1" applyBorder="1" applyAlignment="1" applyProtection="1">
      <alignment horizontal="left" vertical="center"/>
      <protection locked="0"/>
    </xf>
    <xf numFmtId="166" fontId="70" fillId="14" borderId="1" xfId="3" applyNumberFormat="1" applyFont="1" applyFill="1" applyBorder="1" applyAlignment="1" applyProtection="1">
      <alignment horizontal="center" vertical="center" wrapText="1"/>
      <protection locked="0"/>
    </xf>
    <xf numFmtId="166" fontId="70" fillId="0" borderId="1" xfId="3" applyNumberFormat="1" applyFont="1" applyFill="1" applyBorder="1" applyAlignment="1" applyProtection="1">
      <alignment horizontal="center" vertical="center" wrapText="1"/>
    </xf>
    <xf numFmtId="166" fontId="81" fillId="0" borderId="1" xfId="3" applyNumberFormat="1" applyFont="1" applyBorder="1" applyAlignment="1" applyProtection="1">
      <alignment horizontal="center" vertical="center" wrapText="1"/>
    </xf>
    <xf numFmtId="166" fontId="70" fillId="0" borderId="1" xfId="3" applyNumberFormat="1" applyFont="1" applyFill="1" applyBorder="1" applyAlignment="1" applyProtection="1">
      <alignment horizontal="center" vertical="center"/>
    </xf>
    <xf numFmtId="0" fontId="75" fillId="14" borderId="1" xfId="0" applyFont="1" applyFill="1" applyBorder="1" applyAlignment="1" applyProtection="1">
      <alignment vertical="center"/>
      <protection locked="0"/>
    </xf>
    <xf numFmtId="2" fontId="0" fillId="0" borderId="1" xfId="0" applyNumberFormat="1" applyBorder="1"/>
    <xf numFmtId="0" fontId="62" fillId="4" borderId="0" xfId="0" applyFont="1" applyFill="1" applyAlignment="1">
      <alignment vertical="top" wrapText="1"/>
    </xf>
    <xf numFmtId="0" fontId="74" fillId="8" borderId="8" xfId="0" applyFont="1" applyFill="1" applyBorder="1" applyAlignment="1">
      <alignment horizontal="center" vertical="center" wrapText="1"/>
    </xf>
    <xf numFmtId="0" fontId="74" fillId="8" borderId="1" xfId="0" applyFont="1" applyFill="1" applyBorder="1" applyAlignment="1">
      <alignment horizontal="center" vertical="center" wrapText="1"/>
    </xf>
    <xf numFmtId="0" fontId="119" fillId="8" borderId="0" xfId="0" applyFont="1" applyFill="1" applyAlignment="1">
      <alignment horizontal="left" vertical="center" indent="2"/>
    </xf>
    <xf numFmtId="0" fontId="60" fillId="8" borderId="0" xfId="0" applyFont="1" applyFill="1" applyAlignment="1">
      <alignment horizontal="left" vertical="center" indent="2"/>
    </xf>
    <xf numFmtId="0" fontId="60" fillId="8" borderId="0" xfId="0" applyFont="1" applyFill="1" applyAlignment="1">
      <alignment horizontal="left" vertical="center" indent="3"/>
    </xf>
    <xf numFmtId="1" fontId="0" fillId="0" borderId="1" xfId="6" applyNumberFormat="1" applyFont="1" applyFill="1" applyBorder="1" applyAlignment="1">
      <alignment horizontal="center" vertical="center" wrapText="1"/>
    </xf>
    <xf numFmtId="0" fontId="41" fillId="8" borderId="0" xfId="0" applyFont="1" applyFill="1" applyAlignment="1">
      <alignment horizontal="left" vertical="center" wrapText="1"/>
    </xf>
    <xf numFmtId="0" fontId="120" fillId="8" borderId="8" xfId="0" applyFont="1" applyFill="1" applyBorder="1" applyAlignment="1">
      <alignment horizontal="left" vertical="center" wrapText="1"/>
    </xf>
    <xf numFmtId="0" fontId="0" fillId="14" borderId="1" xfId="0" applyFill="1" applyBorder="1" applyAlignment="1" applyProtection="1">
      <alignment horizontal="left"/>
      <protection locked="0"/>
    </xf>
    <xf numFmtId="0" fontId="121" fillId="4" borderId="0" xfId="0" applyFont="1" applyFill="1"/>
    <xf numFmtId="0" fontId="10" fillId="14" borderId="1" xfId="0" applyFont="1" applyFill="1" applyBorder="1" applyAlignment="1" applyProtection="1">
      <alignment vertical="center"/>
      <protection locked="0"/>
    </xf>
    <xf numFmtId="0" fontId="68" fillId="8" borderId="0" xfId="0" applyFont="1" applyFill="1" applyAlignment="1">
      <alignment horizontal="left" vertical="center" indent="2"/>
    </xf>
    <xf numFmtId="0" fontId="122" fillId="8" borderId="0" xfId="0" applyFont="1" applyFill="1" applyAlignment="1">
      <alignment horizontal="left" vertical="center" indent="2"/>
    </xf>
    <xf numFmtId="0" fontId="123" fillId="8" borderId="0" xfId="0" applyFont="1" applyFill="1" applyAlignment="1">
      <alignment horizontal="left" vertical="center" indent="2"/>
    </xf>
    <xf numFmtId="0" fontId="124" fillId="8" borderId="0" xfId="0" applyFont="1" applyFill="1" applyAlignment="1">
      <alignment horizontal="left" vertical="center" indent="2"/>
    </xf>
    <xf numFmtId="0" fontId="124" fillId="8" borderId="0" xfId="0" applyFont="1" applyFill="1" applyAlignment="1">
      <alignment vertical="center"/>
    </xf>
    <xf numFmtId="0" fontId="124" fillId="8" borderId="0" xfId="0" applyFont="1" applyFill="1" applyAlignment="1">
      <alignment horizontal="left" vertical="center" indent="3"/>
    </xf>
    <xf numFmtId="0" fontId="126" fillId="8" borderId="0" xfId="0" applyFont="1" applyFill="1" applyAlignment="1">
      <alignment horizontal="left" vertical="center" indent="3"/>
    </xf>
    <xf numFmtId="0" fontId="125" fillId="8" borderId="0" xfId="0" applyFont="1" applyFill="1" applyAlignment="1">
      <alignment horizontal="left" vertical="center" indent="3"/>
    </xf>
    <xf numFmtId="0" fontId="98" fillId="4" borderId="0" xfId="0" applyFont="1" applyFill="1" applyAlignment="1">
      <alignment horizontal="centerContinuous" vertical="center"/>
    </xf>
    <xf numFmtId="0" fontId="82" fillId="4" borderId="0" xfId="0" applyFont="1" applyFill="1" applyAlignment="1">
      <alignment horizontal="centerContinuous"/>
    </xf>
    <xf numFmtId="0" fontId="127" fillId="4" borderId="0" xfId="0" applyFont="1" applyFill="1"/>
    <xf numFmtId="0" fontId="127" fillId="4" borderId="0" xfId="0" applyFont="1" applyFill="1" applyAlignment="1">
      <alignment horizontal="right"/>
    </xf>
    <xf numFmtId="0" fontId="128" fillId="4" borderId="0" xfId="0" applyFont="1" applyFill="1"/>
    <xf numFmtId="9" fontId="129" fillId="4" borderId="0" xfId="6" applyFont="1" applyFill="1" applyBorder="1" applyAlignment="1">
      <alignment horizontal="center"/>
    </xf>
    <xf numFmtId="0" fontId="130" fillId="4" borderId="0" xfId="0" applyFont="1" applyFill="1" applyAlignment="1">
      <alignment horizontal="center" vertical="top" wrapText="1"/>
    </xf>
    <xf numFmtId="0" fontId="130" fillId="4" borderId="0" xfId="0" applyFont="1" applyFill="1" applyAlignment="1">
      <alignment horizontal="center" wrapText="1"/>
    </xf>
    <xf numFmtId="0" fontId="131" fillId="4" borderId="0" xfId="0" applyFont="1" applyFill="1" applyAlignment="1">
      <alignment horizontal="right"/>
    </xf>
    <xf numFmtId="0" fontId="132" fillId="4" borderId="0" xfId="0" applyFont="1" applyFill="1"/>
    <xf numFmtId="0" fontId="131" fillId="4" borderId="0" xfId="0" applyFont="1" applyFill="1"/>
    <xf numFmtId="164" fontId="127" fillId="4" borderId="0" xfId="0" applyNumberFormat="1" applyFont="1" applyFill="1"/>
    <xf numFmtId="9" fontId="127" fillId="4" borderId="0" xfId="6" applyFont="1" applyFill="1" applyBorder="1"/>
    <xf numFmtId="9" fontId="127" fillId="4" borderId="0" xfId="0" applyNumberFormat="1" applyFont="1" applyFill="1"/>
    <xf numFmtId="43" fontId="127" fillId="4" borderId="0" xfId="0" applyNumberFormat="1" applyFont="1" applyFill="1" applyAlignment="1">
      <alignment horizontal="right"/>
    </xf>
    <xf numFmtId="165" fontId="127" fillId="4" borderId="0" xfId="0" applyNumberFormat="1" applyFont="1" applyFill="1" applyAlignment="1">
      <alignment horizontal="right"/>
    </xf>
    <xf numFmtId="0" fontId="128" fillId="4" borderId="0" xfId="0" applyFont="1" applyFill="1" applyAlignment="1">
      <alignment horizontal="right" indent="1"/>
    </xf>
    <xf numFmtId="9" fontId="128" fillId="4" borderId="0" xfId="6" applyFont="1" applyFill="1"/>
    <xf numFmtId="44" fontId="127" fillId="4" borderId="0" xfId="0" applyNumberFormat="1" applyFont="1" applyFill="1"/>
    <xf numFmtId="0" fontId="133" fillId="4" borderId="0" xfId="1" applyFont="1" applyFill="1"/>
    <xf numFmtId="11" fontId="127" fillId="4" borderId="0" xfId="0" applyNumberFormat="1" applyFont="1" applyFill="1"/>
    <xf numFmtId="3" fontId="127" fillId="4" borderId="0" xfId="0" applyNumberFormat="1" applyFont="1" applyFill="1"/>
    <xf numFmtId="1" fontId="127" fillId="4" borderId="0" xfId="0" applyNumberFormat="1" applyFont="1" applyFill="1"/>
    <xf numFmtId="44" fontId="0" fillId="0" borderId="1" xfId="7" applyFont="1" applyFill="1" applyBorder="1"/>
    <xf numFmtId="172" fontId="1" fillId="0" borderId="1" xfId="3" applyNumberFormat="1" applyFont="1" applyBorder="1"/>
    <xf numFmtId="166" fontId="0" fillId="14" borderId="1" xfId="3" applyNumberFormat="1" applyFont="1" applyFill="1" applyBorder="1" applyProtection="1">
      <protection locked="0"/>
    </xf>
    <xf numFmtId="166" fontId="0" fillId="14" borderId="12" xfId="3" applyNumberFormat="1" applyFont="1" applyFill="1" applyBorder="1" applyProtection="1">
      <protection locked="0"/>
    </xf>
    <xf numFmtId="166" fontId="0" fillId="14" borderId="8" xfId="3" applyNumberFormat="1" applyFont="1" applyFill="1" applyBorder="1" applyProtection="1">
      <protection locked="0"/>
    </xf>
    <xf numFmtId="166" fontId="34" fillId="14" borderId="1" xfId="3" applyNumberFormat="1" applyFont="1" applyFill="1" applyBorder="1" applyAlignment="1" applyProtection="1">
      <alignment horizontal="center" vertical="center" wrapText="1"/>
      <protection locked="0"/>
    </xf>
    <xf numFmtId="0" fontId="135" fillId="0" borderId="1" xfId="0" applyFont="1" applyBorder="1" applyAlignment="1">
      <alignment horizontal="center" vertical="center" wrapText="1"/>
    </xf>
    <xf numFmtId="0" fontId="136" fillId="4" borderId="0" xfId="0" applyFont="1" applyFill="1" applyAlignment="1">
      <alignment horizontal="centerContinuous"/>
    </xf>
    <xf numFmtId="0" fontId="138" fillId="4" borderId="0" xfId="0" applyFont="1" applyFill="1"/>
    <xf numFmtId="0" fontId="137" fillId="4" borderId="0" xfId="3" applyNumberFormat="1" applyFont="1" applyFill="1" applyAlignment="1">
      <alignment horizontal="centerContinuous"/>
    </xf>
    <xf numFmtId="0" fontId="82" fillId="0" borderId="0" xfId="0" applyFont="1" applyAlignment="1">
      <alignment horizontal="centerContinuous"/>
    </xf>
    <xf numFmtId="0" fontId="75" fillId="13" borderId="1" xfId="0" applyFont="1" applyFill="1" applyBorder="1" applyAlignment="1">
      <alignment horizontal="center" vertical="center"/>
    </xf>
    <xf numFmtId="0" fontId="75" fillId="0" borderId="1" xfId="0" applyFont="1" applyBorder="1" applyAlignment="1" applyProtection="1">
      <alignment horizontal="left" vertical="center" wrapText="1"/>
      <protection locked="0"/>
    </xf>
    <xf numFmtId="0" fontId="0" fillId="0" borderId="0" xfId="0" applyProtection="1">
      <protection locked="0"/>
    </xf>
    <xf numFmtId="0" fontId="77" fillId="0" borderId="1" xfId="0" applyFont="1" applyBorder="1" applyAlignment="1" applyProtection="1">
      <alignment horizontal="left" vertical="center" wrapText="1"/>
      <protection locked="0"/>
    </xf>
    <xf numFmtId="0" fontId="75" fillId="0" borderId="12" xfId="0" applyFont="1" applyBorder="1" applyAlignment="1" applyProtection="1">
      <alignment horizontal="left" vertical="center" wrapText="1"/>
      <protection locked="0"/>
    </xf>
    <xf numFmtId="9" fontId="55" fillId="14" borderId="1" xfId="6" applyFont="1" applyFill="1" applyBorder="1" applyAlignment="1" applyProtection="1">
      <alignment horizontal="center" vertical="center" wrapText="1"/>
    </xf>
    <xf numFmtId="9" fontId="108" fillId="4" borderId="0" xfId="0" applyNumberFormat="1" applyFont="1" applyFill="1"/>
    <xf numFmtId="44" fontId="108" fillId="4" borderId="0" xfId="7" applyFont="1" applyFill="1" applyBorder="1" applyAlignment="1">
      <alignment horizontal="center" vertical="center" wrapText="1"/>
    </xf>
    <xf numFmtId="164" fontId="108" fillId="4" borderId="0" xfId="0" applyNumberFormat="1" applyFont="1" applyFill="1"/>
    <xf numFmtId="165" fontId="108" fillId="4" borderId="0" xfId="0" applyNumberFormat="1" applyFont="1" applyFill="1"/>
    <xf numFmtId="9" fontId="108" fillId="4" borderId="0" xfId="6" applyFont="1" applyFill="1" applyBorder="1"/>
    <xf numFmtId="165" fontId="108" fillId="4" borderId="0" xfId="0" applyNumberFormat="1" applyFont="1" applyFill="1" applyAlignment="1">
      <alignment horizontal="right"/>
    </xf>
    <xf numFmtId="0" fontId="139" fillId="4" borderId="0" xfId="0" applyFont="1" applyFill="1" applyAlignment="1">
      <alignment vertical="center" wrapText="1"/>
    </xf>
    <xf numFmtId="0" fontId="139" fillId="4" borderId="0" xfId="0" applyFont="1" applyFill="1" applyAlignment="1">
      <alignment horizontal="center" vertical="center" wrapText="1"/>
    </xf>
    <xf numFmtId="0" fontId="25" fillId="15" borderId="1" xfId="0" applyFont="1" applyFill="1" applyBorder="1" applyAlignment="1">
      <alignment horizontal="left" vertical="center" wrapText="1"/>
    </xf>
    <xf numFmtId="0" fontId="0" fillId="0" borderId="0" xfId="0" applyAlignment="1">
      <alignment horizontal="left" wrapText="1"/>
    </xf>
    <xf numFmtId="0" fontId="7" fillId="8" borderId="1" xfId="0" applyFont="1" applyFill="1" applyBorder="1" applyAlignment="1">
      <alignment horizontal="left" vertical="center"/>
    </xf>
    <xf numFmtId="0" fontId="0" fillId="15" borderId="1" xfId="0" applyFill="1" applyBorder="1" applyAlignment="1">
      <alignment horizontal="left" vertical="center"/>
    </xf>
    <xf numFmtId="0" fontId="7" fillId="21" borderId="1" xfId="0" applyFont="1" applyFill="1" applyBorder="1" applyAlignment="1">
      <alignment horizontal="left" vertical="center"/>
    </xf>
    <xf numFmtId="0" fontId="7" fillId="8" borderId="8" xfId="0" applyFont="1" applyFill="1" applyBorder="1" applyAlignment="1">
      <alignment horizontal="left" vertical="center"/>
    </xf>
    <xf numFmtId="0" fontId="7" fillId="8" borderId="9" xfId="0" applyFont="1" applyFill="1" applyBorder="1" applyAlignment="1">
      <alignment horizontal="left" vertical="center"/>
    </xf>
    <xf numFmtId="0" fontId="7" fillId="8" borderId="10" xfId="0" applyFont="1" applyFill="1" applyBorder="1" applyAlignment="1">
      <alignment horizontal="left" vertical="center"/>
    </xf>
    <xf numFmtId="0" fontId="0" fillId="15" borderId="1" xfId="0" applyFill="1" applyBorder="1" applyAlignment="1">
      <alignment wrapText="1"/>
    </xf>
    <xf numFmtId="0" fontId="21" fillId="9" borderId="1" xfId="0" applyFont="1" applyFill="1" applyBorder="1" applyAlignment="1">
      <alignment vertical="center"/>
    </xf>
    <xf numFmtId="0" fontId="0" fillId="15" borderId="1" xfId="0" applyFill="1" applyBorder="1" applyAlignment="1">
      <alignment vertical="center" wrapText="1"/>
    </xf>
    <xf numFmtId="0" fontId="0" fillId="15" borderId="10" xfId="0" applyFill="1" applyBorder="1" applyAlignment="1">
      <alignment vertical="center" wrapText="1"/>
    </xf>
    <xf numFmtId="0" fontId="0" fillId="15" borderId="1" xfId="0" applyFill="1" applyBorder="1"/>
    <xf numFmtId="0" fontId="0" fillId="15" borderId="10" xfId="0" applyFill="1" applyBorder="1" applyAlignment="1">
      <alignment wrapText="1"/>
    </xf>
    <xf numFmtId="0" fontId="21" fillId="9" borderId="22" xfId="0" applyFont="1" applyFill="1" applyBorder="1" applyAlignment="1">
      <alignment vertical="center"/>
    </xf>
    <xf numFmtId="0" fontId="0" fillId="15" borderId="10" xfId="0" applyFill="1" applyBorder="1"/>
    <xf numFmtId="0" fontId="75" fillId="0" borderId="1" xfId="0" applyFont="1" applyBorder="1" applyAlignment="1">
      <alignment horizontal="center" vertical="center"/>
    </xf>
    <xf numFmtId="0" fontId="62" fillId="18" borderId="8" xfId="0" applyFont="1" applyFill="1" applyBorder="1" applyAlignment="1">
      <alignment horizontal="left" vertical="top" wrapText="1"/>
    </xf>
    <xf numFmtId="0" fontId="62" fillId="18" borderId="9" xfId="0" applyFont="1" applyFill="1" applyBorder="1" applyAlignment="1">
      <alignment horizontal="left" vertical="top" wrapText="1"/>
    </xf>
    <xf numFmtId="0" fontId="62" fillId="18" borderId="10" xfId="0" applyFont="1" applyFill="1" applyBorder="1" applyAlignment="1">
      <alignment horizontal="left" vertical="top" wrapText="1"/>
    </xf>
    <xf numFmtId="0" fontId="19" fillId="0" borderId="1" xfId="0" applyFont="1" applyBorder="1" applyAlignment="1">
      <alignment horizontal="center" vertical="center"/>
    </xf>
    <xf numFmtId="0" fontId="0" fillId="0" borderId="12" xfId="6" applyNumberFormat="1" applyFont="1" applyFill="1" applyBorder="1" applyAlignment="1">
      <alignment horizontal="center" vertical="center" wrapText="1"/>
    </xf>
    <xf numFmtId="0" fontId="0" fillId="0" borderId="22" xfId="6" applyNumberFormat="1" applyFont="1" applyFill="1" applyBorder="1" applyAlignment="1">
      <alignment horizontal="center" vertical="center" wrapText="1"/>
    </xf>
    <xf numFmtId="0" fontId="32" fillId="18" borderId="8" xfId="0" applyFont="1" applyFill="1" applyBorder="1" applyAlignment="1">
      <alignment horizontal="left" vertical="top" wrapText="1"/>
    </xf>
    <xf numFmtId="0" fontId="32" fillId="18" borderId="9" xfId="0" applyFont="1" applyFill="1" applyBorder="1" applyAlignment="1">
      <alignment horizontal="left" vertical="top" wrapText="1"/>
    </xf>
    <xf numFmtId="0" fontId="32" fillId="18" borderId="10" xfId="0" applyFont="1" applyFill="1" applyBorder="1" applyAlignment="1">
      <alignment horizontal="left" vertical="top" wrapText="1"/>
    </xf>
    <xf numFmtId="0" fontId="92" fillId="4" borderId="17" xfId="0" applyFont="1" applyFill="1" applyBorder="1" applyAlignment="1">
      <alignment horizontal="left" vertical="center" wrapText="1"/>
    </xf>
    <xf numFmtId="0" fontId="92" fillId="4" borderId="0" xfId="0" applyFont="1" applyFill="1" applyAlignment="1">
      <alignment horizontal="left" vertical="center" wrapText="1"/>
    </xf>
    <xf numFmtId="0" fontId="92" fillId="4" borderId="18" xfId="0" applyFont="1" applyFill="1" applyBorder="1" applyAlignment="1">
      <alignment horizontal="left" vertical="center" wrapText="1"/>
    </xf>
    <xf numFmtId="0" fontId="3" fillId="0" borderId="23" xfId="1" applyBorder="1" applyAlignment="1" applyProtection="1">
      <alignment horizontal="left" vertical="top"/>
    </xf>
    <xf numFmtId="0" fontId="3" fillId="0" borderId="19" xfId="1" applyBorder="1" applyAlignment="1" applyProtection="1">
      <alignment horizontal="left" vertical="top"/>
    </xf>
    <xf numFmtId="0" fontId="1" fillId="5" borderId="8" xfId="0" applyFont="1" applyFill="1" applyBorder="1" applyAlignment="1">
      <alignment horizontal="center"/>
    </xf>
    <xf numFmtId="0" fontId="1" fillId="5" borderId="9" xfId="0" applyFont="1" applyFill="1" applyBorder="1" applyAlignment="1">
      <alignment horizontal="center"/>
    </xf>
    <xf numFmtId="0" fontId="1" fillId="5" borderId="10" xfId="0" applyFont="1" applyFill="1" applyBorder="1" applyAlignment="1">
      <alignment horizontal="center"/>
    </xf>
    <xf numFmtId="0" fontId="44" fillId="18" borderId="8" xfId="0" applyFont="1" applyFill="1" applyBorder="1" applyAlignment="1">
      <alignment vertical="top" wrapText="1"/>
    </xf>
    <xf numFmtId="0" fontId="44" fillId="18" borderId="9" xfId="0" applyFont="1" applyFill="1" applyBorder="1" applyAlignment="1">
      <alignment vertical="top" wrapText="1"/>
    </xf>
    <xf numFmtId="0" fontId="44" fillId="18" borderId="10" xfId="0" applyFont="1" applyFill="1" applyBorder="1" applyAlignment="1">
      <alignment vertical="top" wrapText="1"/>
    </xf>
    <xf numFmtId="0" fontId="23" fillId="6" borderId="21" xfId="0" applyFont="1" applyFill="1" applyBorder="1" applyAlignment="1">
      <alignment horizontal="center" vertical="center" wrapText="1"/>
    </xf>
    <xf numFmtId="0" fontId="23" fillId="6" borderId="0" xfId="0" applyFont="1" applyFill="1" applyAlignment="1">
      <alignment horizontal="center" vertical="center" wrapText="1"/>
    </xf>
    <xf numFmtId="0" fontId="0" fillId="0" borderId="1" xfId="0" applyBorder="1" applyAlignment="1">
      <alignment horizontal="left"/>
    </xf>
    <xf numFmtId="0" fontId="80" fillId="8" borderId="1" xfId="0" applyFont="1" applyFill="1" applyBorder="1" applyAlignment="1">
      <alignment horizontal="center" vertical="center"/>
    </xf>
    <xf numFmtId="0" fontId="12" fillId="5" borderId="4"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3" xfId="0" applyFont="1" applyFill="1" applyBorder="1" applyAlignment="1">
      <alignment horizontal="center" vertical="center"/>
    </xf>
    <xf numFmtId="0" fontId="41" fillId="8" borderId="1" xfId="0" applyFont="1" applyFill="1" applyBorder="1" applyAlignment="1">
      <alignment horizontal="center" vertical="center"/>
    </xf>
    <xf numFmtId="0" fontId="1" fillId="0" borderId="1" xfId="0" applyFont="1" applyBorder="1" applyAlignment="1">
      <alignment horizontal="left"/>
    </xf>
    <xf numFmtId="0" fontId="25" fillId="18" borderId="1" xfId="0" applyFont="1" applyFill="1" applyBorder="1" applyAlignment="1">
      <alignment horizontal="left" vertical="top" wrapText="1"/>
    </xf>
    <xf numFmtId="0" fontId="80" fillId="8" borderId="1" xfId="0" applyFont="1" applyFill="1" applyBorder="1" applyAlignment="1">
      <alignment horizontal="center" vertical="center" wrapText="1"/>
    </xf>
    <xf numFmtId="0" fontId="1" fillId="14" borderId="1" xfId="0" applyFont="1" applyFill="1" applyBorder="1" applyAlignment="1">
      <alignment horizontal="center" vertical="center"/>
    </xf>
    <xf numFmtId="0" fontId="61" fillId="18" borderId="1" xfId="0" applyFont="1" applyFill="1" applyBorder="1" applyAlignment="1">
      <alignment horizontal="left" vertical="top" wrapText="1"/>
    </xf>
    <xf numFmtId="0" fontId="1" fillId="0" borderId="8" xfId="0" applyFont="1" applyBorder="1" applyAlignment="1">
      <alignment horizontal="left"/>
    </xf>
    <xf numFmtId="0" fontId="1" fillId="0" borderId="9" xfId="0" applyFont="1" applyBorder="1" applyAlignment="1">
      <alignment horizontal="left"/>
    </xf>
    <xf numFmtId="0" fontId="12" fillId="5" borderId="1" xfId="0" applyFont="1" applyFill="1" applyBorder="1" applyAlignment="1">
      <alignment horizontal="center" vertical="center" wrapText="1"/>
    </xf>
    <xf numFmtId="0" fontId="80" fillId="8" borderId="8" xfId="0" applyFont="1" applyFill="1" applyBorder="1" applyAlignment="1">
      <alignment horizontal="center" vertical="center" wrapText="1"/>
    </xf>
    <xf numFmtId="0" fontId="80" fillId="8" borderId="9" xfId="0" applyFont="1" applyFill="1" applyBorder="1" applyAlignment="1">
      <alignment horizontal="center" vertical="center" wrapText="1"/>
    </xf>
    <xf numFmtId="0" fontId="80" fillId="8" borderId="10" xfId="0" applyFont="1" applyFill="1" applyBorder="1" applyAlignment="1">
      <alignment horizontal="center" vertical="center" wrapText="1"/>
    </xf>
    <xf numFmtId="0" fontId="61" fillId="18" borderId="8" xfId="0" applyFont="1" applyFill="1" applyBorder="1" applyAlignment="1">
      <alignment vertical="top" wrapText="1"/>
    </xf>
    <xf numFmtId="0" fontId="25" fillId="18" borderId="9" xfId="0" applyFont="1" applyFill="1" applyBorder="1" applyAlignment="1">
      <alignment vertical="top" wrapText="1"/>
    </xf>
    <xf numFmtId="0" fontId="25" fillId="18" borderId="10" xfId="0" applyFont="1" applyFill="1" applyBorder="1" applyAlignment="1">
      <alignment vertical="top" wrapText="1"/>
    </xf>
    <xf numFmtId="0" fontId="61" fillId="18" borderId="8" xfId="0" applyFont="1" applyFill="1" applyBorder="1" applyAlignment="1">
      <alignment horizontal="left" vertical="top" wrapText="1"/>
    </xf>
    <xf numFmtId="0" fontId="25" fillId="18" borderId="9" xfId="0" applyFont="1" applyFill="1" applyBorder="1" applyAlignment="1">
      <alignment horizontal="left" vertical="top" wrapText="1"/>
    </xf>
    <xf numFmtId="0" fontId="25" fillId="18" borderId="10" xfId="0" applyFont="1" applyFill="1" applyBorder="1" applyAlignment="1">
      <alignment horizontal="left" vertical="top" wrapText="1"/>
    </xf>
    <xf numFmtId="0" fontId="1" fillId="2" borderId="8" xfId="0" applyFont="1" applyFill="1" applyBorder="1"/>
    <xf numFmtId="0" fontId="1" fillId="2" borderId="9" xfId="0" applyFont="1" applyFill="1" applyBorder="1"/>
    <xf numFmtId="0" fontId="1" fillId="2" borderId="10" xfId="0" applyFont="1" applyFill="1" applyBorder="1"/>
    <xf numFmtId="0" fontId="1" fillId="7" borderId="8" xfId="0" applyFont="1" applyFill="1" applyBorder="1"/>
    <xf numFmtId="0" fontId="1" fillId="7" borderId="9" xfId="0" applyFont="1" applyFill="1" applyBorder="1"/>
    <xf numFmtId="0" fontId="1" fillId="7" borderId="10" xfId="0" applyFont="1" applyFill="1" applyBorder="1"/>
    <xf numFmtId="0" fontId="1" fillId="0" borderId="0" xfId="0" applyFont="1" applyAlignment="1">
      <alignment horizontal="right" vertical="center" wrapText="1" indent="1"/>
    </xf>
    <xf numFmtId="0" fontId="1" fillId="0" borderId="18" xfId="0" applyFont="1" applyBorder="1" applyAlignment="1">
      <alignment horizontal="right" vertical="center" wrapText="1" indent="1"/>
    </xf>
    <xf numFmtId="0" fontId="1" fillId="10" borderId="0" xfId="0" applyFont="1" applyFill="1" applyAlignment="1">
      <alignment horizontal="center" vertical="center"/>
    </xf>
    <xf numFmtId="0" fontId="1" fillId="0" borderId="0" xfId="0" applyFont="1" applyAlignment="1">
      <alignment horizontal="right" vertical="center" wrapText="1"/>
    </xf>
    <xf numFmtId="0" fontId="0" fillId="0" borderId="0" xfId="0" applyAlignment="1">
      <alignment horizontal="right" vertical="center" wrapText="1"/>
    </xf>
    <xf numFmtId="0" fontId="1" fillId="0" borderId="0" xfId="0" applyFont="1" applyAlignment="1">
      <alignment horizontal="right" vertical="center" indent="1"/>
    </xf>
    <xf numFmtId="0" fontId="1" fillId="0" borderId="18" xfId="0" applyFont="1" applyBorder="1" applyAlignment="1">
      <alignment horizontal="right" vertical="center" indent="1"/>
    </xf>
    <xf numFmtId="0" fontId="66" fillId="0" borderId="0" xfId="0" applyFont="1" applyAlignment="1">
      <alignment horizontal="right" vertical="center" wrapText="1" indent="1"/>
    </xf>
    <xf numFmtId="0" fontId="66" fillId="0" borderId="18" xfId="0" applyFont="1" applyBorder="1" applyAlignment="1">
      <alignment horizontal="right" vertical="center" wrapText="1" indent="1"/>
    </xf>
    <xf numFmtId="0" fontId="22" fillId="0" borderId="0" xfId="0" applyFont="1" applyAlignment="1">
      <alignment horizontal="left" vertical="top" wrapText="1"/>
    </xf>
    <xf numFmtId="0" fontId="1" fillId="14" borderId="1" xfId="0" applyFont="1" applyFill="1" applyBorder="1" applyAlignment="1" applyProtection="1">
      <alignment horizontal="center"/>
      <protection locked="0"/>
    </xf>
    <xf numFmtId="0" fontId="1" fillId="23" borderId="1" xfId="0" applyFont="1" applyFill="1" applyBorder="1" applyAlignment="1" applyProtection="1">
      <alignment horizontal="center"/>
      <protection locked="0"/>
    </xf>
    <xf numFmtId="0" fontId="0" fillId="0" borderId="1" xfId="0" applyBorder="1" applyAlignment="1" applyProtection="1">
      <alignment horizontal="center"/>
    </xf>
    <xf numFmtId="43" fontId="0" fillId="0" borderId="1" xfId="3" applyFont="1" applyBorder="1" applyAlignment="1" applyProtection="1">
      <alignment horizontal="center"/>
    </xf>
    <xf numFmtId="43" fontId="0" fillId="0" borderId="1" xfId="3" applyFont="1" applyBorder="1" applyProtection="1"/>
    <xf numFmtId="0" fontId="1" fillId="0" borderId="1" xfId="0" applyFont="1" applyBorder="1" applyAlignment="1" applyProtection="1">
      <alignment horizontal="center"/>
    </xf>
    <xf numFmtId="43" fontId="0" fillId="0" borderId="1" xfId="0" applyNumberFormat="1" applyBorder="1" applyProtection="1"/>
    <xf numFmtId="0" fontId="20" fillId="8" borderId="1" xfId="0" applyFont="1" applyFill="1" applyBorder="1" applyAlignment="1" applyProtection="1">
      <alignment horizontal="center" vertical="center" wrapText="1"/>
    </xf>
    <xf numFmtId="0" fontId="20" fillId="8" borderId="27" xfId="0" applyFont="1" applyFill="1" applyBorder="1" applyAlignment="1" applyProtection="1">
      <alignment horizontal="center" vertical="center" wrapText="1"/>
    </xf>
    <xf numFmtId="0" fontId="41" fillId="8" borderId="1" xfId="0" applyFont="1" applyFill="1" applyBorder="1" applyAlignment="1" applyProtection="1">
      <alignment horizontal="center" vertical="center"/>
    </xf>
    <xf numFmtId="0" fontId="41" fillId="8" borderId="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 xfId="0" applyBorder="1" applyAlignment="1" applyProtection="1">
      <alignment horizontal="center" vertical="center"/>
    </xf>
  </cellXfs>
  <cellStyles count="8">
    <cellStyle name="Comma" xfId="3" builtinId="3"/>
    <cellStyle name="Currency" xfId="7" builtinId="4"/>
    <cellStyle name="Hyperlink" xfId="1" builtinId="8"/>
    <cellStyle name="Normal" xfId="0" builtinId="0"/>
    <cellStyle name="Normal 2" xfId="4" xr:uid="{DD93C4E6-EFF5-4D61-8428-E5C224A49213}"/>
    <cellStyle name="Normal 2 2" xfId="5" xr:uid="{E6ECDC88-48F4-43DD-B438-4484A43487AA}"/>
    <cellStyle name="Percent" xfId="6" builtinId="5"/>
    <cellStyle name="Standard 2" xfId="2" xr:uid="{D0CE370B-2B23-4254-9A45-4037A99F1A57}"/>
  </cellStyles>
  <dxfs count="171">
    <dxf>
      <font>
        <color theme="0" tint="-0.24994659260841701"/>
      </font>
      <fill>
        <patternFill patternType="solid">
          <bgColor theme="0" tint="-0.24994659260841701"/>
        </patternFill>
      </fill>
      <border>
        <left/>
        <right/>
        <top/>
        <bottom/>
        <vertical/>
        <horizontal/>
      </border>
    </dxf>
    <dxf>
      <font>
        <strike val="0"/>
        <color theme="1" tint="0.499984740745262"/>
      </font>
      <fill>
        <patternFill>
          <bgColor theme="1" tint="0.499984740745262"/>
        </patternFill>
      </fill>
      <border>
        <left/>
        <right/>
        <top/>
        <bottom/>
        <vertical/>
        <horizontal/>
      </border>
    </dxf>
    <dxf>
      <font>
        <color rgb="FF9C0006"/>
      </font>
      <fill>
        <patternFill>
          <bgColor rgb="FFFFC7CE"/>
        </patternFill>
      </fill>
    </dxf>
    <dxf>
      <fill>
        <patternFill>
          <bgColor rgb="FFE3F5F5"/>
        </patternFill>
      </fill>
      <border>
        <left style="thin">
          <color auto="1"/>
        </left>
        <right style="thin">
          <color auto="1"/>
        </right>
        <top style="thin">
          <color auto="1"/>
        </top>
        <bottom style="thin">
          <color auto="1"/>
        </bottom>
        <vertical/>
        <horizontal/>
      </border>
    </dxf>
    <dxf>
      <fill>
        <patternFill patternType="none">
          <bgColor auto="1"/>
        </patternFill>
      </fill>
    </dxf>
    <dxf>
      <fill>
        <patternFill patternType="none">
          <bgColor auto="1"/>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strike val="0"/>
        <color theme="1" tint="0.499984740745262"/>
      </font>
      <fill>
        <patternFill>
          <bgColor theme="1" tint="0.499984740745262"/>
        </patternFill>
      </fill>
      <border>
        <left/>
        <right/>
        <top/>
        <bottom/>
        <vertical/>
        <horizontal/>
      </border>
    </dxf>
    <dxf>
      <fill>
        <patternFill>
          <bgColor rgb="FFE3F5F8"/>
        </patternFill>
      </fill>
    </dxf>
    <dxf>
      <font>
        <strike val="0"/>
        <color theme="1" tint="0.499984740745262"/>
      </font>
      <fill>
        <patternFill patternType="solid">
          <bgColor theme="1" tint="0.499984740745262"/>
        </patternFill>
      </fill>
      <border>
        <left/>
        <right/>
        <top/>
        <bottom/>
        <vertical/>
        <horizontal/>
      </border>
    </dxf>
    <dxf>
      <fill>
        <patternFill patternType="none">
          <bgColor auto="1"/>
        </patternFill>
      </fill>
      <border>
        <left style="thin">
          <color auto="1"/>
        </left>
        <right style="thin">
          <color auto="1"/>
        </right>
        <top style="thin">
          <color auto="1"/>
        </top>
        <bottom style="thin">
          <color auto="1"/>
        </bottom>
        <vertical/>
        <horizontal/>
      </border>
    </dxf>
    <dxf>
      <fill>
        <patternFill>
          <bgColor theme="0"/>
        </patternFill>
      </fill>
    </dxf>
    <dxf>
      <font>
        <strike val="0"/>
        <u val="none"/>
        <color theme="1" tint="0.499984740745262"/>
      </font>
      <fill>
        <patternFill patternType="solid">
          <bgColor theme="1" tint="0.499984740745262"/>
        </patternFill>
      </fill>
      <border>
        <left/>
        <right/>
        <top/>
        <bottom/>
        <vertical/>
        <horizontal/>
      </border>
    </dxf>
    <dxf>
      <fill>
        <patternFill>
          <bgColor rgb="FFE3F5F8"/>
        </patternFill>
      </fill>
    </dxf>
    <dxf>
      <font>
        <strike val="0"/>
        <color theme="1" tint="0.499984740745262"/>
      </font>
      <fill>
        <patternFill patternType="solid">
          <bgColor theme="1" tint="0.499984740745262"/>
        </patternFill>
      </fill>
      <border>
        <left/>
        <right/>
        <top/>
        <bottom/>
        <vertical/>
        <horizontal/>
      </border>
    </dxf>
    <dxf>
      <fill>
        <patternFill patternType="none">
          <bgColor auto="1"/>
        </patternFill>
      </fill>
    </dxf>
    <dxf>
      <fill>
        <patternFill patternType="none">
          <bgColor auto="1"/>
        </patternFill>
      </fill>
    </dxf>
    <dxf>
      <font>
        <color theme="1" tint="0.499984740745262"/>
      </font>
      <fill>
        <patternFill patternType="solid">
          <bgColor theme="1" tint="0.499984740745262"/>
        </patternFill>
      </fill>
      <border>
        <left/>
        <right/>
        <top/>
        <bottom/>
        <vertical/>
        <horizontal/>
      </border>
    </dxf>
    <dxf>
      <fill>
        <patternFill>
          <bgColor rgb="FFFFC7CE"/>
        </patternFill>
      </fill>
    </dxf>
    <dxf>
      <font>
        <color auto="1"/>
      </font>
      <fill>
        <patternFill patternType="solid">
          <fgColor theme="0"/>
          <bgColor rgb="FFE3F5F8"/>
        </patternFill>
      </fill>
      <border>
        <left style="thin">
          <color auto="1"/>
        </left>
        <right style="thin">
          <color auto="1"/>
        </right>
        <top style="thin">
          <color auto="1"/>
        </top>
        <bottom style="thin">
          <color auto="1"/>
        </bottom>
      </border>
    </dxf>
    <dxf>
      <font>
        <color auto="1"/>
      </font>
      <fill>
        <patternFill patternType="solid">
          <fgColor theme="0"/>
          <bgColor rgb="FFE3F5F8"/>
        </patternFill>
      </fill>
      <border>
        <left style="thin">
          <color auto="1"/>
        </left>
        <right style="thin">
          <color auto="1"/>
        </right>
        <top style="thin">
          <color auto="1"/>
        </top>
        <bottom style="thin">
          <color auto="1"/>
        </bottom>
      </border>
    </dxf>
    <dxf>
      <font>
        <color auto="1"/>
      </font>
      <fill>
        <patternFill patternType="none">
          <bgColor auto="1"/>
        </patternFill>
      </fill>
      <border>
        <left style="thin">
          <color auto="1"/>
        </left>
        <right style="thin">
          <color auto="1"/>
        </right>
        <top style="thin">
          <color auto="1"/>
        </top>
        <bottom style="thin">
          <color auto="1"/>
        </bottom>
      </border>
    </dxf>
    <dxf>
      <font>
        <color auto="1"/>
      </font>
      <fill>
        <patternFill patternType="none">
          <bgColor auto="1"/>
        </patternFill>
      </fill>
      <border>
        <left style="thin">
          <color auto="1"/>
        </left>
        <right style="thin">
          <color auto="1"/>
        </right>
        <top style="thin">
          <color auto="1"/>
        </top>
        <bottom style="thin">
          <color auto="1"/>
        </bottom>
      </border>
    </dxf>
    <dxf>
      <font>
        <color auto="1"/>
      </font>
      <fill>
        <patternFill patternType="solid">
          <fgColor theme="0"/>
          <bgColor rgb="FFE3F5F8"/>
        </patternFill>
      </fill>
      <border>
        <left style="thin">
          <color auto="1"/>
        </left>
        <right style="thin">
          <color auto="1"/>
        </right>
        <top style="thin">
          <color auto="1"/>
        </top>
        <bottom style="thin">
          <color auto="1"/>
        </bottom>
      </border>
    </dxf>
    <dxf>
      <fill>
        <patternFill>
          <bgColor rgb="FFFFC7CE"/>
        </patternFill>
      </fill>
    </dxf>
    <dxf>
      <fill>
        <patternFill patternType="solid">
          <bgColor rgb="FFE3F5F8"/>
        </patternFill>
      </fill>
    </dxf>
    <dxf>
      <font>
        <color theme="2" tint="-9.9948118533890809E-2"/>
      </font>
      <fill>
        <patternFill patternType="solid">
          <bgColor theme="2" tint="-9.9948118533890809E-2"/>
        </patternFill>
      </fill>
      <border>
        <left style="thin">
          <color auto="1"/>
        </left>
        <right style="thin">
          <color auto="1"/>
        </right>
        <top style="thin">
          <color auto="1"/>
        </top>
        <bottom style="thin">
          <color auto="1"/>
        </bottom>
        <vertical/>
        <horizontal/>
      </border>
    </dxf>
    <dxf>
      <font>
        <color theme="1" tint="0.499984740745262"/>
      </font>
      <fill>
        <patternFill patternType="solid">
          <bgColor theme="1" tint="0.499984740745262"/>
        </patternFill>
      </fill>
      <border>
        <left/>
        <right/>
        <top/>
        <bottom/>
      </border>
    </dxf>
    <dxf>
      <fill>
        <patternFill patternType="none">
          <bgColor auto="1"/>
        </patternFill>
      </fill>
      <border>
        <left style="thin">
          <color auto="1"/>
        </left>
        <right style="thin">
          <color auto="1"/>
        </right>
        <top style="thin">
          <color auto="1"/>
        </top>
        <bottom style="thin">
          <color auto="1"/>
        </bottom>
        <vertical/>
        <horizontal/>
      </border>
    </dxf>
    <dxf>
      <fill>
        <patternFill>
          <bgColor rgb="FFFFC7CE"/>
        </patternFill>
      </fill>
    </dxf>
    <dxf>
      <fill>
        <patternFill>
          <bgColor rgb="FFFFC7CE"/>
        </patternFill>
      </fill>
    </dxf>
    <dxf>
      <fill>
        <patternFill patternType="solid">
          <bgColor rgb="FFE3F5F8"/>
        </patternFill>
      </fill>
    </dxf>
    <dxf>
      <font>
        <strike val="0"/>
        <color theme="0" tint="-0.24994659260841701"/>
      </font>
      <fill>
        <patternFill patternType="solid">
          <bgColor theme="0" tint="-0.24994659260841701"/>
        </patternFill>
      </fill>
      <border>
        <left/>
        <right/>
        <top/>
        <bottom/>
      </border>
    </dxf>
    <dxf>
      <fill>
        <patternFill>
          <bgColor rgb="FFE3F5F8"/>
        </patternFill>
      </fill>
    </dxf>
    <dxf>
      <font>
        <color rgb="FF70978B"/>
      </font>
      <fill>
        <patternFill patternType="none">
          <bgColor auto="1"/>
        </patternFill>
      </fill>
    </dxf>
    <dxf>
      <font>
        <color rgb="FF65BDD2"/>
      </font>
      <fill>
        <patternFill patternType="none">
          <bgColor auto="1"/>
        </patternFill>
      </fill>
    </dxf>
    <dxf>
      <font>
        <color rgb="FFB9987E"/>
      </font>
    </dxf>
    <dxf>
      <font>
        <color rgb="FFA69F95"/>
      </font>
    </dxf>
    <dxf>
      <font>
        <b/>
        <i val="0"/>
        <color rgb="FFC00000"/>
      </font>
    </dxf>
    <dxf>
      <font>
        <b/>
        <i val="0"/>
        <color rgb="FFC0000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tint="-0.24994659260841701"/>
      </font>
      <fill>
        <patternFill>
          <bgColor theme="0" tint="-0.24994659260841701"/>
        </patternFill>
      </fill>
    </dxf>
    <dxf>
      <fill>
        <patternFill patternType="none">
          <bgColor auto="1"/>
        </patternFill>
      </fill>
    </dxf>
    <dxf>
      <font>
        <color theme="0" tint="-0.24994659260841701"/>
      </font>
      <fill>
        <patternFill>
          <bgColor theme="0" tint="-0.24994659260841701"/>
        </patternFill>
      </fill>
    </dxf>
    <dxf>
      <fill>
        <patternFill patternType="none">
          <bgColor auto="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ill>
        <patternFill patternType="none">
          <bgColor auto="1"/>
        </patternFill>
      </fill>
    </dxf>
    <dxf>
      <fill>
        <patternFill patternType="none">
          <bgColor auto="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ill>
        <patternFill patternType="none">
          <bgColor auto="1"/>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ill>
        <patternFill>
          <bgColor rgb="FFE3F5F7"/>
        </patternFill>
      </fill>
    </dxf>
    <dxf>
      <font>
        <color rgb="FF70978B"/>
      </font>
    </dxf>
    <dxf>
      <font>
        <color rgb="FFA69F95"/>
      </font>
    </dxf>
    <dxf>
      <font>
        <b/>
        <i val="0"/>
        <color rgb="FFC00000"/>
      </font>
    </dxf>
    <dxf>
      <font>
        <b/>
        <i val="0"/>
        <color rgb="FFC00000"/>
      </font>
    </dxf>
    <dxf>
      <font>
        <color rgb="FFB9987E"/>
      </font>
    </dxf>
    <dxf>
      <font>
        <color rgb="FF65BDD2"/>
      </font>
    </dxf>
    <dxf>
      <font>
        <color auto="1"/>
      </font>
      <fill>
        <patternFill patternType="solid">
          <fgColor theme="0"/>
          <bgColor rgb="FFE3F5F8"/>
        </patternFill>
      </fill>
      <border>
        <left style="thin">
          <color auto="1"/>
        </left>
        <right style="thin">
          <color auto="1"/>
        </right>
        <top style="thin">
          <color auto="1"/>
        </top>
        <bottom style="thin">
          <color auto="1"/>
        </bottom>
      </border>
    </dxf>
    <dxf>
      <font>
        <color auto="1"/>
      </font>
      <fill>
        <patternFill patternType="solid">
          <fgColor theme="0"/>
          <bgColor rgb="FFE3F5F8"/>
        </patternFill>
      </fill>
      <border>
        <left style="thin">
          <color auto="1"/>
        </left>
        <right style="thin">
          <color auto="1"/>
        </right>
        <top style="thin">
          <color auto="1"/>
        </top>
        <bottom style="thin">
          <color auto="1"/>
        </bottom>
      </border>
    </dxf>
    <dxf>
      <font>
        <color auto="1"/>
      </font>
      <fill>
        <patternFill patternType="solid">
          <fgColor theme="0"/>
          <bgColor rgb="FFE3F5F8"/>
        </patternFill>
      </fill>
      <border>
        <left style="thin">
          <color auto="1"/>
        </left>
        <right style="thin">
          <color auto="1"/>
        </right>
        <top style="thin">
          <color auto="1"/>
        </top>
        <bottom style="thin">
          <color auto="1"/>
        </bottom>
      </border>
    </dxf>
    <dxf>
      <font>
        <color theme="2" tint="-9.9948118533890809E-2"/>
      </font>
      <fill>
        <patternFill patternType="solid">
          <bgColor theme="2" tint="-9.9948118533890809E-2"/>
        </patternFill>
      </fill>
      <border>
        <left style="thin">
          <color auto="1"/>
        </left>
        <right style="thin">
          <color auto="1"/>
        </right>
        <top style="thin">
          <color auto="1"/>
        </top>
        <bottom style="thin">
          <color auto="1"/>
        </bottom>
        <vertical/>
        <horizontal/>
      </border>
    </dxf>
    <dxf>
      <fill>
        <patternFill patternType="none">
          <bgColor auto="1"/>
        </patternFill>
      </fill>
    </dxf>
    <dxf>
      <fill>
        <patternFill patternType="none">
          <bgColor auto="1"/>
        </patternFill>
      </fill>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Roboto"/>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name val="Roboto"/>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0"/>
        <name val="Roboto"/>
        <scheme val="none"/>
      </font>
      <fill>
        <patternFill patternType="solid">
          <fgColor indexed="64"/>
          <bgColor theme="4"/>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1"/>
        <color theme="1"/>
        <name val="Roboto"/>
        <scheme val="none"/>
      </font>
      <alignment horizontal="center" vertical="bottom"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border outline="0">
        <top style="thin">
          <color indexed="64"/>
        </top>
      </border>
    </dxf>
    <dxf>
      <border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lef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Roboto"/>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auto="1"/>
        <name val="Roboto"/>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auto="1"/>
        </top>
        <bottom style="thin">
          <color auto="1"/>
        </bottom>
      </border>
    </dxf>
    <dxf>
      <font>
        <b val="0"/>
        <i val="0"/>
        <strike val="0"/>
        <condense val="0"/>
        <extend val="0"/>
        <outline val="0"/>
        <shadow val="0"/>
        <u val="none"/>
        <vertAlign val="baseline"/>
        <sz val="11"/>
        <color auto="1"/>
        <name val="Roboto"/>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Roboto"/>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Roboto"/>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Roboto"/>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Roboto"/>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Roboto"/>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Roboto"/>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1"/>
        <color theme="1"/>
        <name val="Roboto"/>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auto="1"/>
        </right>
        <top style="thin">
          <color auto="1"/>
        </top>
        <bottom style="thin">
          <color auto="1"/>
        </bottom>
      </border>
    </dxf>
    <dxf>
      <border outline="0">
        <top style="thin">
          <color indexed="64"/>
        </top>
      </border>
    </dxf>
    <dxf>
      <border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lef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Roboto"/>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bottom/>
      </border>
    </dxf>
    <dxf>
      <alignment horizontal="general" vertical="bottom" textRotation="0" wrapText="1" indent="0" justifyLastLine="0" shrinkToFit="0" readingOrder="0"/>
    </dxf>
    <dxf>
      <border outline="0">
        <top style="thin">
          <color indexed="64"/>
        </top>
      </border>
    </dxf>
    <dxf>
      <border outline="0">
        <bottom style="thin">
          <color auto="1"/>
        </bottom>
      </border>
    </dxf>
    <dxf>
      <font>
        <b/>
        <i val="0"/>
        <strike val="0"/>
        <condense val="0"/>
        <extend val="0"/>
        <outline val="0"/>
        <shadow val="0"/>
        <u val="none"/>
        <vertAlign val="baseline"/>
        <sz val="11"/>
        <color theme="0"/>
        <name val="Roboto"/>
        <scheme val="none"/>
      </font>
      <fill>
        <patternFill patternType="solid">
          <fgColor indexed="64"/>
          <bgColor theme="4"/>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Roboto"/>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Roboto"/>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Roboto"/>
        <scheme val="none"/>
      </font>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name val="Roboto"/>
        <scheme val="none"/>
      </font>
      <fill>
        <patternFill patternType="none">
          <fgColor indexed="64"/>
          <bgColor auto="1"/>
        </patternFill>
      </fill>
      <alignment horizontal="center"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Roboto"/>
        <scheme val="none"/>
      </font>
      <fill>
        <patternFill patternType="none">
          <fgColor indexed="64"/>
          <bgColor auto="1"/>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0"/>
        <name val="Roboto"/>
        <scheme val="none"/>
      </font>
      <fill>
        <patternFill patternType="solid">
          <fgColor indexed="64"/>
          <bgColor theme="4"/>
        </patternFill>
      </fill>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D7D7D7"/>
      <color rgb="FFFF5B04"/>
      <color rgb="FF8ED8AC"/>
      <color rgb="FFD3E736"/>
      <color rgb="FF0F5B6D"/>
      <color rgb="FF049DAD"/>
      <color rgb="FF383737"/>
      <color rgb="FF0F2663"/>
      <color rgb="FF75CEDE"/>
      <color rgb="FF7097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3600" b="1" i="0" u="none" strike="noStrike" kern="1200" spc="0" baseline="0">
                <a:solidFill>
                  <a:srgbClr val="383737"/>
                </a:solidFill>
                <a:latin typeface="Aptos" panose="020B0004020202020204" pitchFamily="34" charset="0"/>
                <a:ea typeface="+mn-ea"/>
                <a:cs typeface="+mn-cs"/>
              </a:defRPr>
            </a:pPr>
            <a:r>
              <a:rPr lang="en-US" sz="1800">
                <a:solidFill>
                  <a:srgbClr val="383737"/>
                </a:solidFill>
                <a:latin typeface="Aptos" panose="020B0004020202020204" pitchFamily="34" charset="0"/>
              </a:rPr>
              <a:t>TOP 10</a:t>
            </a:r>
            <a:r>
              <a:rPr lang="en-US" sz="1800" baseline="0">
                <a:solidFill>
                  <a:srgbClr val="383737"/>
                </a:solidFill>
                <a:latin typeface="Aptos" panose="020B0004020202020204" pitchFamily="34" charset="0"/>
              </a:rPr>
              <a:t> WASTE MATERIALS GENERATED</a:t>
            </a:r>
            <a:endParaRPr lang="en-US" sz="1800">
              <a:solidFill>
                <a:srgbClr val="383737"/>
              </a:solidFill>
              <a:latin typeface="Aptos" panose="020B0004020202020204" pitchFamily="34" charset="0"/>
            </a:endParaRPr>
          </a:p>
        </c:rich>
      </c:tx>
      <c:layout>
        <c:manualLayout>
          <c:xMode val="edge"/>
          <c:yMode val="edge"/>
          <c:x val="0.43173010843182114"/>
          <c:y val="5.8524774528955006E-2"/>
        </c:manualLayout>
      </c:layout>
      <c:overlay val="0"/>
      <c:spPr>
        <a:noFill/>
        <a:ln>
          <a:noFill/>
        </a:ln>
        <a:effectLst/>
      </c:spPr>
      <c:txPr>
        <a:bodyPr rot="0" spcFirstLastPara="1" vertOverflow="ellipsis" vert="horz" wrap="square" anchor="ctr" anchorCtr="1"/>
        <a:lstStyle/>
        <a:p>
          <a:pPr>
            <a:defRPr sz="3600" b="1" i="0" u="none" strike="noStrike" kern="1200" spc="0" baseline="0">
              <a:solidFill>
                <a:srgbClr val="383737"/>
              </a:solidFill>
              <a:latin typeface="Aptos" panose="020B0004020202020204" pitchFamily="34" charset="0"/>
              <a:ea typeface="+mn-ea"/>
              <a:cs typeface="+mn-cs"/>
            </a:defRPr>
          </a:pPr>
          <a:endParaRPr lang="en-US"/>
        </a:p>
      </c:txPr>
    </c:title>
    <c:autoTitleDeleted val="0"/>
    <c:plotArea>
      <c:layout>
        <c:manualLayout>
          <c:layoutTarget val="inner"/>
          <c:xMode val="edge"/>
          <c:yMode val="edge"/>
          <c:x val="0.10198764097722329"/>
          <c:y val="4.7606499343701536E-2"/>
          <c:w val="0.88684402579650512"/>
          <c:h val="0.79081057415232847"/>
        </c:manualLayout>
      </c:layout>
      <c:barChart>
        <c:barDir val="col"/>
        <c:grouping val="clustered"/>
        <c:varyColors val="0"/>
        <c:ser>
          <c:idx val="0"/>
          <c:order val="0"/>
          <c:spPr>
            <a:solidFill>
              <a:srgbClr val="0F2663"/>
            </a:solidFill>
            <a:ln>
              <a:noFill/>
            </a:ln>
            <a:effectLst/>
          </c:spPr>
          <c:invertIfNegative val="0"/>
          <c:dPt>
            <c:idx val="1"/>
            <c:invertIfNegative val="0"/>
            <c:bubble3D val="0"/>
            <c:spPr>
              <a:solidFill>
                <a:srgbClr val="049DAD"/>
              </a:solidFill>
              <a:ln>
                <a:noFill/>
              </a:ln>
              <a:effectLst/>
            </c:spPr>
            <c:extLst>
              <c:ext xmlns:c16="http://schemas.microsoft.com/office/drawing/2014/chart" uri="{C3380CC4-5D6E-409C-BE32-E72D297353CC}">
                <c16:uniqueId val="{00000001-F31A-4B17-AD30-F2B39EAE404B}"/>
              </c:ext>
            </c:extLst>
          </c:dPt>
          <c:dPt>
            <c:idx val="2"/>
            <c:invertIfNegative val="0"/>
            <c:bubble3D val="0"/>
            <c:spPr>
              <a:solidFill>
                <a:srgbClr val="383737"/>
              </a:solidFill>
              <a:ln>
                <a:noFill/>
              </a:ln>
              <a:effectLst/>
            </c:spPr>
            <c:extLst>
              <c:ext xmlns:c16="http://schemas.microsoft.com/office/drawing/2014/chart" uri="{C3380CC4-5D6E-409C-BE32-E72D297353CC}">
                <c16:uniqueId val="{00000002-F31A-4B17-AD30-F2B39EAE404B}"/>
              </c:ext>
            </c:extLst>
          </c:dPt>
          <c:dPt>
            <c:idx val="3"/>
            <c:invertIfNegative val="0"/>
            <c:bubble3D val="0"/>
            <c:spPr>
              <a:solidFill>
                <a:srgbClr val="8BADD3"/>
              </a:solidFill>
              <a:ln>
                <a:noFill/>
              </a:ln>
              <a:effectLst/>
            </c:spPr>
            <c:extLst>
              <c:ext xmlns:c16="http://schemas.microsoft.com/office/drawing/2014/chart" uri="{C3380CC4-5D6E-409C-BE32-E72D297353CC}">
                <c16:uniqueId val="{00000003-F31A-4B17-AD30-F2B39EAE404B}"/>
              </c:ext>
            </c:extLst>
          </c:dPt>
          <c:dPt>
            <c:idx val="4"/>
            <c:invertIfNegative val="0"/>
            <c:bubble3D val="0"/>
            <c:spPr>
              <a:solidFill>
                <a:srgbClr val="0F5B6D"/>
              </a:solidFill>
              <a:ln>
                <a:noFill/>
              </a:ln>
              <a:effectLst/>
            </c:spPr>
            <c:extLst>
              <c:ext xmlns:c16="http://schemas.microsoft.com/office/drawing/2014/chart" uri="{C3380CC4-5D6E-409C-BE32-E72D297353CC}">
                <c16:uniqueId val="{00000004-F31A-4B17-AD30-F2B39EAE404B}"/>
              </c:ext>
            </c:extLst>
          </c:dPt>
          <c:dPt>
            <c:idx val="5"/>
            <c:invertIfNegative val="0"/>
            <c:bubble3D val="0"/>
            <c:spPr>
              <a:solidFill>
                <a:srgbClr val="8ED8AC"/>
              </a:solidFill>
              <a:ln>
                <a:noFill/>
              </a:ln>
              <a:effectLst/>
            </c:spPr>
            <c:extLst>
              <c:ext xmlns:c16="http://schemas.microsoft.com/office/drawing/2014/chart" uri="{C3380CC4-5D6E-409C-BE32-E72D297353CC}">
                <c16:uniqueId val="{00000005-F31A-4B17-AD30-F2B39EAE404B}"/>
              </c:ext>
            </c:extLst>
          </c:dPt>
          <c:dPt>
            <c:idx val="6"/>
            <c:invertIfNegative val="0"/>
            <c:bubble3D val="0"/>
            <c:spPr>
              <a:solidFill>
                <a:srgbClr val="D3E736"/>
              </a:solidFill>
              <a:ln>
                <a:noFill/>
              </a:ln>
              <a:effectLst/>
            </c:spPr>
            <c:extLst>
              <c:ext xmlns:c16="http://schemas.microsoft.com/office/drawing/2014/chart" uri="{C3380CC4-5D6E-409C-BE32-E72D297353CC}">
                <c16:uniqueId val="{00000006-F31A-4B17-AD30-F2B39EAE404B}"/>
              </c:ext>
            </c:extLst>
          </c:dPt>
          <c:dPt>
            <c:idx val="7"/>
            <c:invertIfNegative val="0"/>
            <c:bubble3D val="0"/>
            <c:spPr>
              <a:solidFill>
                <a:srgbClr val="FF5B04"/>
              </a:solidFill>
              <a:ln>
                <a:noFill/>
              </a:ln>
              <a:effectLst/>
            </c:spPr>
            <c:extLst>
              <c:ext xmlns:c16="http://schemas.microsoft.com/office/drawing/2014/chart" uri="{C3380CC4-5D6E-409C-BE32-E72D297353CC}">
                <c16:uniqueId val="{00000007-F31A-4B17-AD30-F2B39EAE404B}"/>
              </c:ext>
            </c:extLst>
          </c:dPt>
          <c:dPt>
            <c:idx val="8"/>
            <c:invertIfNegative val="0"/>
            <c:bubble3D val="0"/>
            <c:spPr>
              <a:solidFill>
                <a:srgbClr val="FFC600"/>
              </a:solidFill>
              <a:ln>
                <a:noFill/>
              </a:ln>
              <a:effectLst/>
            </c:spPr>
            <c:extLst>
              <c:ext xmlns:c16="http://schemas.microsoft.com/office/drawing/2014/chart" uri="{C3380CC4-5D6E-409C-BE32-E72D297353CC}">
                <c16:uniqueId val="{00000008-F31A-4B17-AD30-F2B39EAE404B}"/>
              </c:ext>
            </c:extLst>
          </c:dPt>
          <c:dPt>
            <c:idx val="9"/>
            <c:invertIfNegative val="0"/>
            <c:bubble3D val="0"/>
            <c:spPr>
              <a:solidFill>
                <a:srgbClr val="A57DF3"/>
              </a:solidFill>
              <a:ln>
                <a:noFill/>
              </a:ln>
              <a:effectLst/>
            </c:spPr>
            <c:extLst>
              <c:ext xmlns:c16="http://schemas.microsoft.com/office/drawing/2014/chart" uri="{C3380CC4-5D6E-409C-BE32-E72D297353CC}">
                <c16:uniqueId val="{00000009-F31A-4B17-AD30-F2B39EAE404B}"/>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383737"/>
                    </a:solidFill>
                    <a:latin typeface="Aptos" panose="020B0004020202020204" pitchFamily="34"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'Data output'!$M$165:$M$174</c:f>
              <c:numCache>
                <c:formatCode>General</c:formatCode>
                <c:ptCount val="10"/>
                <c:pt idx="0">
                  <c:v>0</c:v>
                </c:pt>
              </c:numCache>
            </c:numRef>
          </c:cat>
          <c:val>
            <c:numRef>
              <c:f>'Data output'!$O$165:$O$174</c:f>
              <c:numCache>
                <c:formatCode>_(* #,##0_);_(* \(#,##0\);_(* "-"??_);_(@_)</c:formatCode>
                <c:ptCount val="10"/>
                <c:pt idx="0">
                  <c:v>0</c:v>
                </c:pt>
              </c:numCache>
            </c:numRef>
          </c:val>
          <c:extLst>
            <c:ext xmlns:c16="http://schemas.microsoft.com/office/drawing/2014/chart" uri="{C3380CC4-5D6E-409C-BE32-E72D297353CC}">
              <c16:uniqueId val="{00000000-6DA7-49CC-B96A-54C2CA8E8FD6}"/>
            </c:ext>
          </c:extLst>
        </c:ser>
        <c:dLbls>
          <c:showLegendKey val="0"/>
          <c:showVal val="0"/>
          <c:showCatName val="0"/>
          <c:showSerName val="0"/>
          <c:showPercent val="0"/>
          <c:showBubbleSize val="0"/>
        </c:dLbls>
        <c:gapWidth val="26"/>
        <c:axId val="882590832"/>
        <c:axId val="812310448"/>
      </c:barChart>
      <c:catAx>
        <c:axId val="882590832"/>
        <c:scaling>
          <c:orientation val="minMax"/>
        </c:scaling>
        <c:delete val="0"/>
        <c:axPos val="b"/>
        <c:numFmt formatCode="General" sourceLinked="1"/>
        <c:majorTickMark val="out"/>
        <c:minorTickMark val="none"/>
        <c:tickLblPos val="low"/>
        <c:spPr>
          <a:noFill/>
          <a:ln>
            <a:solidFill>
              <a:schemeClr val="bg2">
                <a:lumMod val="90000"/>
              </a:schemeClr>
            </a:solidFill>
          </a:ln>
          <a:effectLst/>
        </c:spPr>
        <c:txPr>
          <a:bodyPr rot="-60000000" spcFirstLastPara="1" vertOverflow="ellipsis" vert="horz" wrap="square" anchor="ctr" anchorCtr="1"/>
          <a:lstStyle/>
          <a:p>
            <a:pPr>
              <a:defRPr sz="1800" b="1" i="0" u="none" strike="noStrike" kern="1200" baseline="0">
                <a:solidFill>
                  <a:schemeClr val="bg1"/>
                </a:solidFill>
                <a:latin typeface="Aptos" panose="020B0004020202020204" pitchFamily="34" charset="0"/>
                <a:ea typeface="+mn-ea"/>
                <a:cs typeface="+mn-cs"/>
              </a:defRPr>
            </a:pPr>
            <a:endParaRPr lang="en-US"/>
          </a:p>
        </c:txPr>
        <c:crossAx val="812310448"/>
        <c:crosses val="autoZero"/>
        <c:auto val="1"/>
        <c:lblAlgn val="ctr"/>
        <c:lblOffset val="50"/>
        <c:noMultiLvlLbl val="0"/>
      </c:catAx>
      <c:valAx>
        <c:axId val="8123104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1" i="0" u="none" strike="noStrike" kern="1200" baseline="0">
                    <a:solidFill>
                      <a:schemeClr val="bg1"/>
                    </a:solidFill>
                    <a:latin typeface="Aptos" panose="020B0004020202020204" pitchFamily="34" charset="0"/>
                    <a:ea typeface="+mn-ea"/>
                    <a:cs typeface="+mn-cs"/>
                  </a:defRPr>
                </a:pPr>
                <a:r>
                  <a:rPr lang="en-US" sz="1800">
                    <a:solidFill>
                      <a:schemeClr val="bg1"/>
                    </a:solidFill>
                    <a:latin typeface="Aptos" panose="020B0004020202020204" pitchFamily="34" charset="0"/>
                  </a:rPr>
                  <a:t>Weight (short tons)</a:t>
                </a:r>
              </a:p>
            </c:rich>
          </c:tx>
          <c:layout>
            <c:manualLayout>
              <c:xMode val="edge"/>
              <c:yMode val="edge"/>
              <c:x val="4.2364107212297768E-2"/>
              <c:y val="0.22853932173496683"/>
            </c:manualLayout>
          </c:layout>
          <c:overlay val="0"/>
          <c:spPr>
            <a:noFill/>
            <a:ln>
              <a:noFill/>
            </a:ln>
            <a:effectLst/>
          </c:spPr>
          <c:txPr>
            <a:bodyPr rot="-5400000" spcFirstLastPara="1" vertOverflow="ellipsis" vert="horz" wrap="square" anchor="ctr" anchorCtr="1"/>
            <a:lstStyle/>
            <a:p>
              <a:pPr>
                <a:defRPr sz="1800" b="1" i="0" u="none" strike="noStrike" kern="1200" baseline="0">
                  <a:solidFill>
                    <a:schemeClr val="bg1"/>
                  </a:solidFill>
                  <a:latin typeface="Aptos" panose="020B0004020202020204" pitchFamily="34"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800" b="1" i="0" u="none" strike="noStrike" kern="1200" baseline="0">
                <a:solidFill>
                  <a:schemeClr val="bg1"/>
                </a:solidFill>
                <a:latin typeface="Aptos" panose="020B0004020202020204" pitchFamily="34" charset="0"/>
                <a:ea typeface="+mn-ea"/>
                <a:cs typeface="+mn-cs"/>
              </a:defRPr>
            </a:pPr>
            <a:endParaRPr lang="en-US"/>
          </a:p>
        </c:txPr>
        <c:crossAx val="882590832"/>
        <c:crosses val="autoZero"/>
        <c:crossBetween val="between"/>
      </c:valAx>
      <c:spPr>
        <a:solidFill>
          <a:srgbClr val="E0E6ED"/>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0F5B6D"/>
    </a:solidFill>
    <a:ln w="9525" cap="flat" cmpd="sng" algn="ctr">
      <a:solidFill>
        <a:schemeClr val="tx1">
          <a:lumMod val="15000"/>
          <a:lumOff val="85000"/>
        </a:schemeClr>
      </a:solidFill>
      <a:round/>
    </a:ln>
    <a:effectLst/>
  </c:spPr>
  <c:txPr>
    <a:bodyPr/>
    <a:lstStyle/>
    <a:p>
      <a:pPr>
        <a:defRPr b="1">
          <a:latin typeface="News Gothic MT" panose="020B0504020203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a:solidFill>
                  <a:srgbClr val="383737"/>
                </a:solidFill>
                <a:latin typeface="Aptos" panose="020B0004020202020204" pitchFamily="34" charset="0"/>
              </a:rPr>
              <a:t>WASTE</a:t>
            </a:r>
            <a:r>
              <a:rPr lang="en-US" sz="1800" b="1" baseline="0">
                <a:solidFill>
                  <a:srgbClr val="383737"/>
                </a:solidFill>
                <a:latin typeface="Aptos" panose="020B0004020202020204" pitchFamily="34" charset="0"/>
              </a:rPr>
              <a:t> STREAM DIVERSION</a:t>
            </a:r>
            <a:endParaRPr lang="en-US" sz="1800" b="1">
              <a:solidFill>
                <a:srgbClr val="383737"/>
              </a:solidFill>
              <a:latin typeface="Aptos" panose="020B0004020202020204" pitchFamily="34" charset="0"/>
            </a:endParaRPr>
          </a:p>
        </c:rich>
      </c:tx>
      <c:layout>
        <c:manualLayout>
          <c:xMode val="edge"/>
          <c:yMode val="edge"/>
          <c:x val="0.19188935913890029"/>
          <c:y val="1.818296096204185E-2"/>
        </c:manualLayout>
      </c:layout>
      <c:overlay val="0"/>
      <c:spPr>
        <a:noFill/>
        <a:ln>
          <a:noFill/>
        </a:ln>
        <a:effectLst/>
      </c:spPr>
    </c:title>
    <c:autoTitleDeleted val="0"/>
    <c:plotArea>
      <c:layout>
        <c:manualLayout>
          <c:layoutTarget val="inner"/>
          <c:xMode val="edge"/>
          <c:yMode val="edge"/>
          <c:x val="0.12093699267830177"/>
          <c:y val="0.13819078965735998"/>
          <c:w val="0.7261399423456929"/>
          <c:h val="0.49534537675309875"/>
        </c:manualLayout>
      </c:layout>
      <c:doughnutChart>
        <c:varyColors val="1"/>
        <c:ser>
          <c:idx val="0"/>
          <c:order val="0"/>
          <c:dPt>
            <c:idx val="0"/>
            <c:bubble3D val="0"/>
            <c:spPr>
              <a:solidFill>
                <a:srgbClr val="0F2663"/>
              </a:solidFill>
              <a:ln w="19050">
                <a:noFill/>
                <a:prstDash val="sysDot"/>
              </a:ln>
              <a:effectLst/>
            </c:spPr>
            <c:extLst>
              <c:ext xmlns:c16="http://schemas.microsoft.com/office/drawing/2014/chart" uri="{C3380CC4-5D6E-409C-BE32-E72D297353CC}">
                <c16:uniqueId val="{00000001-6017-4F89-89B3-76A19B198D73}"/>
              </c:ext>
            </c:extLst>
          </c:dPt>
          <c:cat>
            <c:numRef>
              <c:f>Results!$AO$22:$AT$22</c:f>
              <c:numCache>
                <c:formatCode>General</c:formatCode>
                <c:ptCount val="1"/>
                <c:pt idx="0">
                  <c:v>0</c:v>
                </c:pt>
              </c:numCache>
            </c:numRef>
          </c:cat>
          <c:val>
            <c:numRef>
              <c:f>Results!$AO$23:$AT$23</c:f>
              <c:numCache>
                <c:formatCode>0%</c:formatCode>
                <c:ptCount val="1"/>
                <c:pt idx="0">
                  <c:v>0</c:v>
                </c:pt>
              </c:numCache>
            </c:numRef>
          </c:val>
          <c:extLst>
            <c:ext xmlns:c16="http://schemas.microsoft.com/office/drawing/2014/chart" uri="{C3380CC4-5D6E-409C-BE32-E72D297353CC}">
              <c16:uniqueId val="{00000004-6017-4F89-89B3-76A19B198D73}"/>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b"/>
      <c:layout>
        <c:manualLayout>
          <c:xMode val="edge"/>
          <c:yMode val="edge"/>
          <c:x val="7.9332931241673135E-2"/>
          <c:y val="0.66584178502245261"/>
          <c:w val="0.76359418946438706"/>
          <c:h val="0.30526403553851328"/>
        </c:manualLayout>
      </c:layout>
      <c:overlay val="0"/>
      <c:spPr>
        <a:noFill/>
        <a:ln>
          <a:noFill/>
        </a:ln>
        <a:effectLst/>
      </c:spPr>
      <c:txPr>
        <a:bodyPr rot="0" spcFirstLastPara="1" vertOverflow="ellipsis" vert="horz" wrap="square" anchor="ctr" anchorCtr="1"/>
        <a:lstStyle/>
        <a:p>
          <a:pPr rtl="0">
            <a:defRPr sz="2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News Gothic MT" panose="020B0504020203020204" pitchFamily="34" charset="0"/>
                <a:ea typeface="+mn-ea"/>
                <a:cs typeface="+mn-cs"/>
              </a:defRPr>
            </a:pPr>
            <a:r>
              <a:rPr lang="en-US" sz="1600" b="1">
                <a:solidFill>
                  <a:srgbClr val="383737"/>
                </a:solidFill>
                <a:latin typeface="News Gothic MT" panose="020B0504020203020204" pitchFamily="34" charset="0"/>
              </a:rPr>
              <a:t>WASTE STREAM DIVERSION</a:t>
            </a:r>
          </a:p>
        </c:rich>
      </c:tx>
      <c:layout>
        <c:manualLayout>
          <c:xMode val="edge"/>
          <c:yMode val="edge"/>
          <c:x val="0.45308360754802979"/>
          <c:y val="0.11255170419642706"/>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News Gothic MT" panose="020B0504020203020204" pitchFamily="34" charset="0"/>
              <a:ea typeface="+mn-ea"/>
              <a:cs typeface="+mn-cs"/>
            </a:defRPr>
          </a:pPr>
          <a:endParaRPr lang="en-US"/>
        </a:p>
      </c:txPr>
    </c:title>
    <c:autoTitleDeleted val="0"/>
    <c:plotArea>
      <c:layout>
        <c:manualLayout>
          <c:layoutTarget val="inner"/>
          <c:xMode val="edge"/>
          <c:yMode val="edge"/>
          <c:x val="0.21958078148305357"/>
          <c:y val="9.6163675208639901E-2"/>
          <c:w val="0.74530446200531864"/>
          <c:h val="0.79639222614728467"/>
        </c:manualLayout>
      </c:layout>
      <c:barChart>
        <c:barDir val="col"/>
        <c:grouping val="clustered"/>
        <c:varyColors val="0"/>
        <c:ser>
          <c:idx val="0"/>
          <c:order val="0"/>
          <c:tx>
            <c:strRef>
              <c:f>Results!$AX$31</c:f>
              <c:strCache>
                <c:ptCount val="1"/>
                <c:pt idx="0">
                  <c:v>Weight (short tons)</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383737"/>
                    </a:solidFill>
                    <a:latin typeface="Aptos" panose="020B0004020202020204" pitchFamily="34"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Results!$AX$32:$AX$39</c:f>
            </c:numRef>
          </c:val>
          <c:extLst>
            <c:ext xmlns:c15="http://schemas.microsoft.com/office/drawing/2012/chart" uri="{02D57815-91ED-43cb-92C2-25804820EDAC}">
              <c15:filteredCategoryTitle>
                <c15:cat>
                  <c:multiLvlStrRef>
                    <c:extLst>
                      <c:ext uri="{02D57815-91ED-43cb-92C2-25804820EDAC}">
                        <c15:formulaRef>
                          <c15:sqref>Results!$AW$32:$AW$39</c15:sqref>
                        </c15:formulaRef>
                      </c:ext>
                    </c:extLst>
                  </c:multiLvlStrRef>
                </c15:cat>
              </c15:filteredCategoryTitle>
            </c:ext>
            <c:ext xmlns:c16="http://schemas.microsoft.com/office/drawing/2014/chart" uri="{C3380CC4-5D6E-409C-BE32-E72D297353CC}">
              <c16:uniqueId val="{00000000-0EE1-4966-8D4E-C75822F181DB}"/>
            </c:ext>
          </c:extLst>
        </c:ser>
        <c:dLbls>
          <c:showLegendKey val="0"/>
          <c:showVal val="0"/>
          <c:showCatName val="0"/>
          <c:showSerName val="0"/>
          <c:showPercent val="0"/>
          <c:showBubbleSize val="0"/>
        </c:dLbls>
        <c:gapWidth val="37"/>
        <c:overlap val="-27"/>
        <c:axId val="1620563648"/>
        <c:axId val="683932560"/>
      </c:barChart>
      <c:catAx>
        <c:axId val="1620563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bg1"/>
                </a:solidFill>
                <a:latin typeface="+mn-lt"/>
                <a:ea typeface="+mn-ea"/>
                <a:cs typeface="+mn-cs"/>
              </a:defRPr>
            </a:pPr>
            <a:endParaRPr lang="en-US"/>
          </a:p>
        </c:txPr>
        <c:crossAx val="683932560"/>
        <c:crosses val="autoZero"/>
        <c:auto val="1"/>
        <c:lblAlgn val="ctr"/>
        <c:lblOffset val="100"/>
        <c:noMultiLvlLbl val="0"/>
      </c:catAx>
      <c:valAx>
        <c:axId val="683932560"/>
        <c:scaling>
          <c:orientation val="minMax"/>
        </c:scaling>
        <c:delete val="0"/>
        <c:axPos val="l"/>
        <c:majorGridlines>
          <c:spPr>
            <a:ln w="9525" cap="flat" cmpd="sng" algn="ctr">
              <a:solidFill>
                <a:schemeClr val="tx1">
                  <a:lumMod val="15000"/>
                  <a:lumOff val="85000"/>
                </a:schemeClr>
              </a:solidFill>
              <a:round/>
            </a:ln>
            <a:effectLst/>
          </c:spPr>
        </c:majorGridlines>
        <c:title>
          <c:tx>
            <c:strRef>
              <c:f>Results!$AX$31</c:f>
              <c:strCache>
                <c:ptCount val="1"/>
                <c:pt idx="0">
                  <c:v>Weight (short tons)</c:v>
                </c:pt>
              </c:strCache>
            </c:strRef>
          </c:tx>
          <c:layout>
            <c:manualLayout>
              <c:xMode val="edge"/>
              <c:yMode val="edge"/>
              <c:x val="9.7947482271726866E-2"/>
              <c:y val="0.35698879600435512"/>
            </c:manualLayout>
          </c:layout>
          <c:overlay val="0"/>
          <c:spPr>
            <a:noFill/>
            <a:ln>
              <a:noFill/>
            </a:ln>
            <a:effectLst/>
          </c:spPr>
          <c:txPr>
            <a:bodyPr rot="-5400000" spcFirstLastPara="1" vertOverflow="ellipsis" vert="horz" wrap="square" anchor="ctr" anchorCtr="1"/>
            <a:lstStyle/>
            <a:p>
              <a:pPr>
                <a:defRPr sz="1800" b="1" i="0" u="none" strike="noStrike" kern="1200" baseline="0">
                  <a:solidFill>
                    <a:schemeClr val="bg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bg1"/>
                </a:solidFill>
                <a:latin typeface="+mn-lt"/>
                <a:ea typeface="+mn-ea"/>
                <a:cs typeface="+mn-cs"/>
              </a:defRPr>
            </a:pPr>
            <a:endParaRPr lang="en-US"/>
          </a:p>
        </c:txPr>
        <c:crossAx val="1620563648"/>
        <c:crosses val="autoZero"/>
        <c:crossBetween val="between"/>
      </c:valAx>
      <c:spPr>
        <a:solidFill>
          <a:srgbClr val="E0E6ED"/>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0F5B6D"/>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800" b="1" i="0" u="none" strike="noStrike" kern="1200" spc="0" baseline="0">
                <a:solidFill>
                  <a:srgbClr val="D3E736"/>
                </a:solidFill>
                <a:latin typeface="News Gothic MT" panose="020B0504020203020204" pitchFamily="34" charset="0"/>
                <a:ea typeface="+mn-ea"/>
                <a:cs typeface="+mn-cs"/>
              </a:defRPr>
            </a:pPr>
            <a:r>
              <a:rPr lang="en-US" sz="1800" b="1">
                <a:solidFill>
                  <a:srgbClr val="383737"/>
                </a:solidFill>
                <a:latin typeface="Aptos" panose="020B0004020202020204" pitchFamily="34" charset="0"/>
              </a:rPr>
              <a:t>WHERE IT ALL WENT</a:t>
            </a:r>
          </a:p>
        </c:rich>
      </c:tx>
      <c:layout>
        <c:manualLayout>
          <c:xMode val="edge"/>
          <c:yMode val="edge"/>
          <c:x val="0.42377026577530164"/>
          <c:y val="5.9840760235488864E-2"/>
        </c:manualLayout>
      </c:layout>
      <c:overlay val="0"/>
      <c:spPr>
        <a:noFill/>
        <a:ln>
          <a:noFill/>
        </a:ln>
        <a:effectLst/>
      </c:spPr>
      <c:txPr>
        <a:bodyPr rot="0" spcFirstLastPara="1" vertOverflow="ellipsis" vert="horz" wrap="square" anchor="ctr" anchorCtr="1"/>
        <a:lstStyle/>
        <a:p>
          <a:pPr>
            <a:defRPr sz="2800" b="1" i="0" u="none" strike="noStrike" kern="1200" spc="0" baseline="0">
              <a:solidFill>
                <a:srgbClr val="D3E736"/>
              </a:solidFill>
              <a:latin typeface="News Gothic MT" panose="020B0504020203020204" pitchFamily="34" charset="0"/>
              <a:ea typeface="+mn-ea"/>
              <a:cs typeface="+mn-cs"/>
            </a:defRPr>
          </a:pPr>
          <a:endParaRPr lang="en-US"/>
        </a:p>
      </c:txPr>
    </c:title>
    <c:autoTitleDeleted val="0"/>
    <c:plotArea>
      <c:layout>
        <c:manualLayout>
          <c:layoutTarget val="inner"/>
          <c:xMode val="edge"/>
          <c:yMode val="edge"/>
          <c:x val="0.1917734739479266"/>
          <c:y val="4.5844445507758409E-2"/>
          <c:w val="0.77599658359399215"/>
          <c:h val="0.78124499162818117"/>
        </c:manualLayout>
      </c:layout>
      <c:barChart>
        <c:barDir val="col"/>
        <c:grouping val="stacked"/>
        <c:varyColors val="0"/>
        <c:ser>
          <c:idx val="0"/>
          <c:order val="0"/>
          <c:tx>
            <c:strRef>
              <c:f>Results!$AN$28</c:f>
              <c:strCache>
                <c:ptCount val="1"/>
                <c:pt idx="0">
                  <c:v>Generated</c:v>
                </c:pt>
              </c:strCache>
            </c:strRef>
          </c:tx>
          <c:spPr>
            <a:solidFill>
              <a:srgbClr val="D3E736"/>
            </a:solidFill>
            <a:ln>
              <a:noFill/>
            </a:ln>
            <a:effectLst/>
          </c:spPr>
          <c:invertIfNegative val="0"/>
          <c:cat>
            <c:strRef>
              <c:f>Results!$AM$30:$AM$32</c:f>
              <c:strCache>
                <c:ptCount val="3"/>
                <c:pt idx="0">
                  <c:v> Overall </c:v>
                </c:pt>
                <c:pt idx="1">
                  <c:v> Diverted </c:v>
                </c:pt>
                <c:pt idx="2">
                  <c:v> Non-diverted </c:v>
                </c:pt>
              </c:strCache>
            </c:strRef>
          </c:cat>
          <c:val>
            <c:numRef>
              <c:f>Results!$AN$30:$AN$32</c:f>
              <c:numCache>
                <c:formatCode>General</c:formatCode>
                <c:ptCount val="3"/>
                <c:pt idx="0" formatCode="_(* #,##0_);_(* \(#,##0\);_(* &quot;-&quot;??_);_(@_)">
                  <c:v>0</c:v>
                </c:pt>
              </c:numCache>
            </c:numRef>
          </c:val>
          <c:extLst>
            <c:ext xmlns:c16="http://schemas.microsoft.com/office/drawing/2014/chart" uri="{C3380CC4-5D6E-409C-BE32-E72D297353CC}">
              <c16:uniqueId val="{00000000-BC88-4028-A32C-BFDE522F6710}"/>
            </c:ext>
          </c:extLst>
        </c:ser>
        <c:ser>
          <c:idx val="1"/>
          <c:order val="1"/>
          <c:tx>
            <c:strRef>
              <c:f>Results!$AO$28:$AO$29</c:f>
              <c:strCache>
                <c:ptCount val="2"/>
                <c:pt idx="0">
                  <c:v>Reduced</c:v>
                </c:pt>
              </c:strCache>
            </c:strRef>
          </c:tx>
          <c:spPr>
            <a:solidFill>
              <a:srgbClr val="0F2663"/>
            </a:solidFill>
            <a:ln w="19050">
              <a:noFill/>
            </a:ln>
            <a:effectLst/>
          </c:spPr>
          <c:invertIfNegative val="0"/>
          <c:dPt>
            <c:idx val="0"/>
            <c:invertIfNegative val="0"/>
            <c:bubble3D val="0"/>
            <c:spPr>
              <a:solidFill>
                <a:srgbClr val="0F2663"/>
              </a:solidFill>
              <a:ln w="19050">
                <a:noFill/>
                <a:prstDash val="sysDash"/>
              </a:ln>
              <a:effectLst/>
            </c:spPr>
            <c:extLst>
              <c:ext xmlns:c16="http://schemas.microsoft.com/office/drawing/2014/chart" uri="{C3380CC4-5D6E-409C-BE32-E72D297353CC}">
                <c16:uniqueId val="{00000002-87D4-4EC8-AD42-691E1350A20A}"/>
              </c:ext>
            </c:extLst>
          </c:dPt>
          <c:cat>
            <c:strRef>
              <c:f>Results!$AM$30:$AM$32</c:f>
              <c:strCache>
                <c:ptCount val="3"/>
                <c:pt idx="0">
                  <c:v> Overall </c:v>
                </c:pt>
                <c:pt idx="1">
                  <c:v> Diverted </c:v>
                </c:pt>
                <c:pt idx="2">
                  <c:v> Non-diverted </c:v>
                </c:pt>
              </c:strCache>
            </c:strRef>
          </c:cat>
          <c:val>
            <c:numRef>
              <c:f>Results!$AO$30:$AO$32</c:f>
              <c:numCache>
                <c:formatCode>General</c:formatCode>
                <c:ptCount val="3"/>
                <c:pt idx="0" formatCode="_(* #,##0_);_(* \(#,##0\);_(* &quot;-&quot;??_);_(@_)">
                  <c:v>0</c:v>
                </c:pt>
              </c:numCache>
            </c:numRef>
          </c:val>
          <c:extLst>
            <c:ext xmlns:c16="http://schemas.microsoft.com/office/drawing/2014/chart" uri="{C3380CC4-5D6E-409C-BE32-E72D297353CC}">
              <c16:uniqueId val="{00000001-BC88-4028-A32C-BFDE522F6710}"/>
            </c:ext>
          </c:extLst>
        </c:ser>
        <c:ser>
          <c:idx val="2"/>
          <c:order val="2"/>
          <c:tx>
            <c:strRef>
              <c:f>Results!$AP$28:$AP$29</c:f>
              <c:strCache>
                <c:ptCount val="2"/>
                <c:pt idx="0">
                  <c:v>Reuse</c:v>
                </c:pt>
              </c:strCache>
            </c:strRef>
          </c:tx>
          <c:spPr>
            <a:solidFill>
              <a:schemeClr val="accent3"/>
            </a:solidFill>
            <a:ln>
              <a:noFill/>
            </a:ln>
            <a:effectLst/>
          </c:spPr>
          <c:invertIfNegative val="0"/>
          <c:cat>
            <c:strRef>
              <c:f>Results!$AM$30:$AM$32</c:f>
              <c:strCache>
                <c:ptCount val="3"/>
                <c:pt idx="0">
                  <c:v> Overall </c:v>
                </c:pt>
                <c:pt idx="1">
                  <c:v> Diverted </c:v>
                </c:pt>
                <c:pt idx="2">
                  <c:v> Non-diverted </c:v>
                </c:pt>
              </c:strCache>
            </c:strRef>
          </c:cat>
          <c:val>
            <c:numRef>
              <c:f>Results!$AP$30:$AP$32</c:f>
            </c:numRef>
          </c:val>
          <c:extLst>
            <c:ext xmlns:c16="http://schemas.microsoft.com/office/drawing/2014/chart" uri="{C3380CC4-5D6E-409C-BE32-E72D297353CC}">
              <c16:uniqueId val="{00000002-BC88-4028-A32C-BFDE522F6710}"/>
            </c:ext>
          </c:extLst>
        </c:ser>
        <c:ser>
          <c:idx val="3"/>
          <c:order val="3"/>
          <c:tx>
            <c:strRef>
              <c:f>Results!$AQ$28:$AQ$29</c:f>
              <c:strCache>
                <c:ptCount val="2"/>
                <c:pt idx="0">
                  <c:v>Recycle</c:v>
                </c:pt>
              </c:strCache>
            </c:strRef>
          </c:tx>
          <c:spPr>
            <a:solidFill>
              <a:schemeClr val="accent4"/>
            </a:solidFill>
            <a:ln>
              <a:noFill/>
            </a:ln>
            <a:effectLst/>
          </c:spPr>
          <c:invertIfNegative val="0"/>
          <c:cat>
            <c:strRef>
              <c:f>Results!$AM$30:$AM$32</c:f>
              <c:strCache>
                <c:ptCount val="3"/>
                <c:pt idx="0">
                  <c:v> Overall </c:v>
                </c:pt>
                <c:pt idx="1">
                  <c:v> Diverted </c:v>
                </c:pt>
                <c:pt idx="2">
                  <c:v> Non-diverted </c:v>
                </c:pt>
              </c:strCache>
            </c:strRef>
          </c:cat>
          <c:val>
            <c:numRef>
              <c:f>Results!$AQ$30:$AQ$32</c:f>
            </c:numRef>
          </c:val>
          <c:extLst>
            <c:ext xmlns:c16="http://schemas.microsoft.com/office/drawing/2014/chart" uri="{C3380CC4-5D6E-409C-BE32-E72D297353CC}">
              <c16:uniqueId val="{00000003-BC88-4028-A32C-BFDE522F6710}"/>
            </c:ext>
          </c:extLst>
        </c:ser>
        <c:ser>
          <c:idx val="4"/>
          <c:order val="4"/>
          <c:tx>
            <c:strRef>
              <c:f>Results!$AR$28:$AR$29</c:f>
              <c:strCache>
                <c:ptCount val="2"/>
                <c:pt idx="0">
                  <c:v>Composting</c:v>
                </c:pt>
              </c:strCache>
            </c:strRef>
          </c:tx>
          <c:spPr>
            <a:solidFill>
              <a:schemeClr val="accent5"/>
            </a:solidFill>
            <a:ln>
              <a:noFill/>
            </a:ln>
            <a:effectLst/>
          </c:spPr>
          <c:invertIfNegative val="0"/>
          <c:cat>
            <c:strRef>
              <c:f>Results!$AM$30:$AM$32</c:f>
              <c:strCache>
                <c:ptCount val="3"/>
                <c:pt idx="0">
                  <c:v> Overall </c:v>
                </c:pt>
                <c:pt idx="1">
                  <c:v> Diverted </c:v>
                </c:pt>
                <c:pt idx="2">
                  <c:v> Non-diverted </c:v>
                </c:pt>
              </c:strCache>
            </c:strRef>
          </c:cat>
          <c:val>
            <c:numRef>
              <c:f>Results!$AR$30:$AR$32</c:f>
            </c:numRef>
          </c:val>
          <c:extLst>
            <c:ext xmlns:c16="http://schemas.microsoft.com/office/drawing/2014/chart" uri="{C3380CC4-5D6E-409C-BE32-E72D297353CC}">
              <c16:uniqueId val="{00000004-BC88-4028-A32C-BFDE522F6710}"/>
            </c:ext>
          </c:extLst>
        </c:ser>
        <c:ser>
          <c:idx val="5"/>
          <c:order val="5"/>
          <c:tx>
            <c:strRef>
              <c:f>Results!$AS$28:$AS$29</c:f>
              <c:strCache>
                <c:ptCount val="2"/>
                <c:pt idx="0">
                  <c:v>Anaerobic digestion</c:v>
                </c:pt>
              </c:strCache>
            </c:strRef>
          </c:tx>
          <c:spPr>
            <a:solidFill>
              <a:schemeClr val="accent6"/>
            </a:solidFill>
            <a:ln>
              <a:noFill/>
            </a:ln>
            <a:effectLst/>
          </c:spPr>
          <c:invertIfNegative val="0"/>
          <c:cat>
            <c:strRef>
              <c:f>Results!$AM$30:$AM$32</c:f>
              <c:strCache>
                <c:ptCount val="3"/>
                <c:pt idx="0">
                  <c:v> Overall </c:v>
                </c:pt>
                <c:pt idx="1">
                  <c:v> Diverted </c:v>
                </c:pt>
                <c:pt idx="2">
                  <c:v> Non-diverted </c:v>
                </c:pt>
              </c:strCache>
            </c:strRef>
          </c:cat>
          <c:val>
            <c:numRef>
              <c:f>Results!$AS$30:$AS$32</c:f>
            </c:numRef>
          </c:val>
          <c:extLst>
            <c:ext xmlns:c16="http://schemas.microsoft.com/office/drawing/2014/chart" uri="{C3380CC4-5D6E-409C-BE32-E72D297353CC}">
              <c16:uniqueId val="{00000005-BC88-4028-A32C-BFDE522F6710}"/>
            </c:ext>
          </c:extLst>
        </c:ser>
        <c:ser>
          <c:idx val="6"/>
          <c:order val="6"/>
          <c:tx>
            <c:strRef>
              <c:f>Results!$AT$28:$AT$29</c:f>
              <c:strCache>
                <c:ptCount val="2"/>
                <c:pt idx="0">
                  <c:v>Non diversion</c:v>
                </c:pt>
              </c:strCache>
            </c:strRef>
          </c:tx>
          <c:spPr>
            <a:solidFill>
              <a:schemeClr val="accent1">
                <a:lumMod val="60000"/>
              </a:schemeClr>
            </a:solidFill>
            <a:ln>
              <a:noFill/>
            </a:ln>
            <a:effectLst/>
          </c:spPr>
          <c:invertIfNegative val="0"/>
          <c:cat>
            <c:strRef>
              <c:f>Results!$AM$30:$AM$32</c:f>
              <c:strCache>
                <c:ptCount val="3"/>
                <c:pt idx="0">
                  <c:v> Overall </c:v>
                </c:pt>
                <c:pt idx="1">
                  <c:v> Diverted </c:v>
                </c:pt>
                <c:pt idx="2">
                  <c:v> Non-diverted </c:v>
                </c:pt>
              </c:strCache>
            </c:strRef>
          </c:cat>
          <c:val>
            <c:numRef>
              <c:f>Results!$AT$30:$AT$32</c:f>
            </c:numRef>
          </c:val>
          <c:extLst>
            <c:ext xmlns:c16="http://schemas.microsoft.com/office/drawing/2014/chart" uri="{C3380CC4-5D6E-409C-BE32-E72D297353CC}">
              <c16:uniqueId val="{00000006-BC88-4028-A32C-BFDE522F6710}"/>
            </c:ext>
          </c:extLst>
        </c:ser>
        <c:dLbls>
          <c:showLegendKey val="0"/>
          <c:showVal val="0"/>
          <c:showCatName val="0"/>
          <c:showSerName val="0"/>
          <c:showPercent val="0"/>
          <c:showBubbleSize val="0"/>
        </c:dLbls>
        <c:gapWidth val="29"/>
        <c:overlap val="100"/>
        <c:axId val="1143645216"/>
        <c:axId val="32552176"/>
      </c:barChart>
      <c:catAx>
        <c:axId val="11436452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1" i="0" u="none" strike="noStrike" kern="1200" baseline="0">
                <a:solidFill>
                  <a:schemeClr val="bg1"/>
                </a:solidFill>
                <a:latin typeface="Aptos" panose="020B0004020202020204" pitchFamily="34" charset="0"/>
                <a:ea typeface="+mn-ea"/>
                <a:cs typeface="+mn-cs"/>
              </a:defRPr>
            </a:pPr>
            <a:endParaRPr lang="en-US"/>
          </a:p>
        </c:txPr>
        <c:crossAx val="32552176"/>
        <c:crosses val="autoZero"/>
        <c:auto val="1"/>
        <c:lblAlgn val="ctr"/>
        <c:lblOffset val="100"/>
        <c:noMultiLvlLbl val="0"/>
      </c:catAx>
      <c:valAx>
        <c:axId val="32552176"/>
        <c:scaling>
          <c:orientation val="minMax"/>
        </c:scaling>
        <c:delete val="0"/>
        <c:axPos val="l"/>
        <c:majorGridlines>
          <c:spPr>
            <a:ln w="9525" cap="flat" cmpd="sng" algn="ctr">
              <a:solidFill>
                <a:schemeClr val="tx1">
                  <a:lumMod val="15000"/>
                  <a:lumOff val="85000"/>
                </a:schemeClr>
              </a:solidFill>
              <a:round/>
            </a:ln>
            <a:effectLst/>
          </c:spPr>
        </c:majorGridlines>
        <c:title>
          <c:tx>
            <c:strRef>
              <c:f>Results!$AX$31</c:f>
              <c:strCache>
                <c:ptCount val="1"/>
                <c:pt idx="0">
                  <c:v>Weight (short tons)</c:v>
                </c:pt>
              </c:strCache>
            </c:strRef>
          </c:tx>
          <c:layout>
            <c:manualLayout>
              <c:xMode val="edge"/>
              <c:yMode val="edge"/>
              <c:x val="3.3119501095485004E-2"/>
              <c:y val="0.30571540142951381"/>
            </c:manualLayout>
          </c:layout>
          <c:overlay val="0"/>
          <c:spPr>
            <a:noFill/>
            <a:ln>
              <a:noFill/>
            </a:ln>
            <a:effectLst/>
          </c:spPr>
          <c:txPr>
            <a:bodyPr rot="-5400000" spcFirstLastPara="1" vertOverflow="ellipsis" vert="horz" wrap="square" anchor="ctr" anchorCtr="1"/>
            <a:lstStyle/>
            <a:p>
              <a:pPr>
                <a:defRPr sz="2000" b="1" i="0" u="none" strike="noStrike" kern="1200" baseline="0">
                  <a:solidFill>
                    <a:schemeClr val="bg1"/>
                  </a:solidFill>
                  <a:latin typeface="+mn-lt"/>
                  <a:ea typeface="+mn-ea"/>
                  <a:cs typeface="+mn-cs"/>
                </a:defRPr>
              </a:pPr>
              <a:endParaRPr lang="en-US"/>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chemeClr val="bg1"/>
                </a:solidFill>
                <a:latin typeface="News Gothic MT" panose="020B0504020203020204" pitchFamily="34" charset="0"/>
                <a:ea typeface="+mn-ea"/>
                <a:cs typeface="+mn-cs"/>
              </a:defRPr>
            </a:pPr>
            <a:endParaRPr lang="en-US"/>
          </a:p>
        </c:txPr>
        <c:crossAx val="1143645216"/>
        <c:crosses val="autoZero"/>
        <c:crossBetween val="between"/>
      </c:valAx>
      <c:spPr>
        <a:solidFill>
          <a:srgbClr val="E0E6ED"/>
        </a:solidFill>
        <a:ln>
          <a:noFill/>
        </a:ln>
        <a:effectLst/>
      </c:spPr>
    </c:plotArea>
    <c:legend>
      <c:legendPos val="b"/>
      <c:layout>
        <c:manualLayout>
          <c:xMode val="edge"/>
          <c:yMode val="edge"/>
          <c:x val="5.5922149780417485E-2"/>
          <c:y val="0.91925205442391189"/>
          <c:w val="0.91191472073361846"/>
          <c:h val="5.2564890904589309E-2"/>
        </c:manualLayout>
      </c:layout>
      <c:overlay val="0"/>
      <c:spPr>
        <a:solidFill>
          <a:srgbClr val="E0E6ED"/>
        </a:solidFill>
        <a:ln>
          <a:noFill/>
        </a:ln>
        <a:effectLst/>
      </c:spPr>
      <c:txPr>
        <a:bodyPr rot="0" spcFirstLastPara="1" vertOverflow="ellipsis" vert="horz" wrap="square" anchor="ctr" anchorCtr="1"/>
        <a:lstStyle/>
        <a:p>
          <a:pPr>
            <a:defRPr sz="1600" b="1" i="0" u="none" strike="noStrike" kern="1200" baseline="0">
              <a:solidFill>
                <a:srgbClr val="2E5B66"/>
              </a:solidFill>
              <a:latin typeface="Aptos" panose="020B0004020202020204" pitchFamily="34"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0F5B6D"/>
    </a:solidFill>
    <a:ln w="9525" cap="flat" cmpd="sng" algn="ctr">
      <a:noFill/>
      <a:round/>
    </a:ln>
    <a:effectLst/>
  </c:spPr>
  <c:txPr>
    <a:bodyPr/>
    <a:lstStyle/>
    <a:p>
      <a:pPr>
        <a:defRPr>
          <a:latin typeface="News Gothic MT" panose="020B0504020203020204" pitchFamily="34" charset="0"/>
        </a:defRPr>
      </a:pPr>
      <a:endParaRPr lang="en-US"/>
    </a:p>
  </c:txPr>
  <c:printSettings>
    <c:headerFooter/>
    <c:pageMargins b="0.75" l="0.7" r="0.7" t="0.75" header="0.3" footer="0.3"/>
    <c:pageSetup orientation="portrait"/>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_xlchart.v2.0</cx:f>
      </cx:strDim>
      <cx:numDim type="val">
        <cx:f>_xlchart.v2.1</cx:f>
      </cx:numDim>
    </cx:data>
  </cx:chartData>
  <cx:chart>
    <cx:title pos="t" align="ctr" overlay="0">
      <cx:tx>
        <cx:txData>
          <cx:v>WASTE HANDLING HIERARCHY (SHORT TONS)</cx:v>
        </cx:txData>
      </cx:tx>
      <cx:txPr>
        <a:bodyPr spcFirstLastPara="1" vertOverflow="ellipsis" horzOverflow="overflow" wrap="square" lIns="0" tIns="0" rIns="0" bIns="0" anchor="ctr" anchorCtr="1"/>
        <a:lstStyle/>
        <a:p>
          <a:pPr algn="ctr" rtl="0">
            <a:defRPr>
              <a:solidFill>
                <a:sysClr val="windowText" lastClr="000000"/>
              </a:solidFill>
            </a:defRPr>
          </a:pPr>
          <a:r>
            <a:rPr lang="en-US" sz="2400" b="1" i="0" u="none" strike="noStrike" baseline="0">
              <a:solidFill>
                <a:sysClr val="windowText" lastClr="000000"/>
              </a:solidFill>
              <a:latin typeface="Aptos Narrow" panose="02110004020202020204"/>
            </a:rPr>
            <a:t>WASTE HANDLING HIERARCHY (SHORT TONS)</a:t>
          </a:r>
        </a:p>
      </cx:txPr>
    </cx:title>
    <cx:plotArea>
      <cx:plotAreaRegion>
        <cx:series layoutId="funnel" hidden="1" uniqueId="{00000000-A465-46D9-AD6F-D2F8CA408120}" formatIdx="0">
          <cx:dataPt idx="0">
            <cx:spPr>
              <a:solidFill>
                <a:srgbClr val="0F2663"/>
              </a:solidFill>
            </cx:spPr>
          </cx:dataPt>
          <cx:dataPt idx="1">
            <cx:spPr>
              <a:solidFill>
                <a:srgbClr val="049DAD"/>
              </a:solidFill>
            </cx:spPr>
          </cx:dataPt>
          <cx:dataPt idx="2">
            <cx:spPr>
              <a:solidFill>
                <a:srgbClr val="383737"/>
              </a:solidFill>
            </cx:spPr>
          </cx:dataPt>
          <cx:dataPt idx="3">
            <cx:spPr>
              <a:solidFill>
                <a:srgbClr val="A57DF3"/>
              </a:solidFill>
            </cx:spPr>
          </cx:dataPt>
          <cx:dataPt idx="4">
            <cx:spPr>
              <a:solidFill>
                <a:srgbClr val="0F5B6D"/>
              </a:solidFill>
            </cx:spPr>
          </cx:dataPt>
          <cx:dataPt idx="5">
            <cx:spPr>
              <a:solidFill>
                <a:srgbClr val="8ED8AC"/>
              </a:solidFill>
            </cx:spPr>
          </cx:dataPt>
          <cx:dataLabels>
            <cx:txPr>
              <a:bodyPr spcFirstLastPara="1" vertOverflow="ellipsis" horzOverflow="overflow" wrap="square" lIns="0" tIns="0" rIns="0" bIns="0" anchor="ctr" anchorCtr="1"/>
              <a:lstStyle/>
              <a:p>
                <a:pPr algn="ctr" rtl="0">
                  <a:defRPr sz="1400" b="1">
                    <a:solidFill>
                      <a:sysClr val="windowText" lastClr="000000"/>
                    </a:solidFill>
                  </a:defRPr>
                </a:pPr>
                <a:endParaRPr lang="en-US" sz="1400" b="1" i="0" u="none" strike="noStrike" baseline="0">
                  <a:solidFill>
                    <a:sysClr val="windowText" lastClr="000000"/>
                  </a:solidFill>
                  <a:latin typeface="Aptos Narrow" panose="02110004020202020204"/>
                </a:endParaRPr>
              </a:p>
            </cx:txPr>
            <cx:visibility seriesName="0" categoryName="0" value="1"/>
            <cx:separator>, </cx:separator>
          </cx:dataLabels>
          <cx:dataId val="0"/>
        </cx:series>
      </cx:plotAreaRegion>
    </cx:plotArea>
  </cx:chart>
  <cx:spPr>
    <a:solidFill>
      <a:schemeClr val="lt1"/>
    </a:solidFill>
    <a:ln w="38100" cap="flat" cmpd="sng" algn="ctr">
      <a:solidFill>
        <a:schemeClr val="accent1"/>
      </a:solidFill>
      <a:prstDash val="solid"/>
      <a:miter lim="800000"/>
    </a:ln>
    <a:effectLst/>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419">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xml"/><Relationship Id="rId7" Type="http://schemas.openxmlformats.org/officeDocument/2006/relationships/image" Target="../media/image4.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png"/><Relationship Id="rId5" Type="http://schemas.microsoft.com/office/2014/relationships/chartEx" Target="../charts/chartEx1.xml"/><Relationship Id="rId10" Type="http://schemas.openxmlformats.org/officeDocument/2006/relationships/image" Target="../media/image7.png"/><Relationship Id="rId4" Type="http://schemas.openxmlformats.org/officeDocument/2006/relationships/chart" Target="../charts/chart4.xml"/><Relationship Id="rId9"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40</xdr:col>
      <xdr:colOff>438150</xdr:colOff>
      <xdr:row>0</xdr:row>
      <xdr:rowOff>0</xdr:rowOff>
    </xdr:from>
    <xdr:to>
      <xdr:col>41</xdr:col>
      <xdr:colOff>543581</xdr:colOff>
      <xdr:row>1</xdr:row>
      <xdr:rowOff>9525</xdr:rowOff>
    </xdr:to>
    <xdr:pic>
      <xdr:nvPicPr>
        <xdr:cNvPr id="6" name="Picture 3">
          <a:extLst>
            <a:ext uri="{FF2B5EF4-FFF2-40B4-BE49-F238E27FC236}">
              <a16:creationId xmlns:a16="http://schemas.microsoft.com/office/drawing/2014/main" id="{D03689A8-C9CB-4B33-8AA3-FF9C3C311E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50525" y="0"/>
          <a:ext cx="707411" cy="8972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26</xdr:col>
      <xdr:colOff>54150</xdr:colOff>
      <xdr:row>1</xdr:row>
      <xdr:rowOff>92349</xdr:rowOff>
    </xdr:from>
    <xdr:to>
      <xdr:col>28</xdr:col>
      <xdr:colOff>324542</xdr:colOff>
      <xdr:row>1</xdr:row>
      <xdr:rowOff>801732</xdr:rowOff>
    </xdr:to>
    <xdr:sp macro="" textlink="">
      <xdr:nvSpPr>
        <xdr:cNvPr id="6" name="Rectangle 14">
          <a:extLst>
            <a:ext uri="{FF2B5EF4-FFF2-40B4-BE49-F238E27FC236}">
              <a16:creationId xmlns:a16="http://schemas.microsoft.com/office/drawing/2014/main" id="{01B98B8B-FE66-BD69-1DEB-C575AB5900DE}"/>
            </a:ext>
          </a:extLst>
        </xdr:cNvPr>
        <xdr:cNvSpPr/>
      </xdr:nvSpPr>
      <xdr:spPr>
        <a:xfrm>
          <a:off x="27752850" y="92349"/>
          <a:ext cx="1489592" cy="709383"/>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24</xdr:col>
      <xdr:colOff>176892</xdr:colOff>
      <xdr:row>0</xdr:row>
      <xdr:rowOff>0</xdr:rowOff>
    </xdr:from>
    <xdr:to>
      <xdr:col>25</xdr:col>
      <xdr:colOff>478336</xdr:colOff>
      <xdr:row>2</xdr:row>
      <xdr:rowOff>229</xdr:rowOff>
    </xdr:to>
    <xdr:pic>
      <xdr:nvPicPr>
        <xdr:cNvPr id="12" name="Picture 2">
          <a:extLst>
            <a:ext uri="{FF2B5EF4-FFF2-40B4-BE49-F238E27FC236}">
              <a16:creationId xmlns:a16="http://schemas.microsoft.com/office/drawing/2014/main" id="{83EF5529-B4CE-41FE-965F-38336E9795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173463" y="0"/>
          <a:ext cx="909774" cy="11470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102474</xdr:colOff>
      <xdr:row>35</xdr:row>
      <xdr:rowOff>305378</xdr:rowOff>
    </xdr:from>
    <xdr:to>
      <xdr:col>20</xdr:col>
      <xdr:colOff>938356</xdr:colOff>
      <xdr:row>37</xdr:row>
      <xdr:rowOff>4693227</xdr:rowOff>
    </xdr:to>
    <xdr:graphicFrame macro="">
      <xdr:nvGraphicFramePr>
        <xdr:cNvPr id="31" name="Chart 14">
          <a:extLst>
            <a:ext uri="{FF2B5EF4-FFF2-40B4-BE49-F238E27FC236}">
              <a16:creationId xmlns:a16="http://schemas.microsoft.com/office/drawing/2014/main" id="{35C5F67B-D2EA-4192-9A4B-01D7F77AC3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273915</xdr:colOff>
      <xdr:row>9</xdr:row>
      <xdr:rowOff>502227</xdr:rowOff>
    </xdr:from>
    <xdr:to>
      <xdr:col>6</xdr:col>
      <xdr:colOff>1286824</xdr:colOff>
      <xdr:row>20</xdr:row>
      <xdr:rowOff>369015</xdr:rowOff>
    </xdr:to>
    <xdr:graphicFrame macro="">
      <xdr:nvGraphicFramePr>
        <xdr:cNvPr id="17" name="Chart 26">
          <a:extLst>
            <a:ext uri="{FF2B5EF4-FFF2-40B4-BE49-F238E27FC236}">
              <a16:creationId xmlns:a16="http://schemas.microsoft.com/office/drawing/2014/main" id="{E25F61A5-AA7B-496F-82A0-9E61A65D32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332220</xdr:colOff>
      <xdr:row>10</xdr:row>
      <xdr:rowOff>516082</xdr:rowOff>
    </xdr:from>
    <xdr:to>
      <xdr:col>17</xdr:col>
      <xdr:colOff>727364</xdr:colOff>
      <xdr:row>20</xdr:row>
      <xdr:rowOff>198293</xdr:rowOff>
    </xdr:to>
    <xdr:graphicFrame macro="">
      <xdr:nvGraphicFramePr>
        <xdr:cNvPr id="8" name="Chart 5">
          <a:extLst>
            <a:ext uri="{FF2B5EF4-FFF2-40B4-BE49-F238E27FC236}">
              <a16:creationId xmlns:a16="http://schemas.microsoft.com/office/drawing/2014/main" id="{C660DFC9-F2D7-2640-89AD-2D7CB23A91E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322696</xdr:colOff>
      <xdr:row>23</xdr:row>
      <xdr:rowOff>100735</xdr:rowOff>
    </xdr:from>
    <xdr:to>
      <xdr:col>15</xdr:col>
      <xdr:colOff>311728</xdr:colOff>
      <xdr:row>33</xdr:row>
      <xdr:rowOff>579072</xdr:rowOff>
    </xdr:to>
    <xdr:graphicFrame macro="">
      <xdr:nvGraphicFramePr>
        <xdr:cNvPr id="13" name="Chart 5">
          <a:extLst>
            <a:ext uri="{FF2B5EF4-FFF2-40B4-BE49-F238E27FC236}">
              <a16:creationId xmlns:a16="http://schemas.microsoft.com/office/drawing/2014/main" id="{EF9B1BD1-FB78-448D-850F-C7EC9D2813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484910</xdr:colOff>
      <xdr:row>23</xdr:row>
      <xdr:rowOff>86755</xdr:rowOff>
    </xdr:from>
    <xdr:to>
      <xdr:col>20</xdr:col>
      <xdr:colOff>1000124</xdr:colOff>
      <xdr:row>33</xdr:row>
      <xdr:rowOff>581932</xdr:rowOff>
    </xdr:to>
    <mc:AlternateContent xmlns:mc="http://schemas.openxmlformats.org/markup-compatibility/2006">
      <mc:Choice xmlns:cx2="http://schemas.microsoft.com/office/drawing/2015/10/21/chartex" Requires="cx2">
        <xdr:graphicFrame macro="">
          <xdr:nvGraphicFramePr>
            <xdr:cNvPr id="2" name="Chart 10">
              <a:extLst>
                <a:ext uri="{FF2B5EF4-FFF2-40B4-BE49-F238E27FC236}">
                  <a16:creationId xmlns:a16="http://schemas.microsoft.com/office/drawing/2014/main" id="{766A7D19-D5DE-4DA7-B4DD-C57296CA69DA}"/>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5"/>
            </a:graphicData>
          </a:graphic>
        </xdr:graphicFrame>
      </mc:Choice>
      <mc:Fallback>
        <xdr:sp macro="" textlink="">
          <xdr:nvSpPr>
            <xdr:cNvPr id="0" name=""/>
            <xdr:cNvSpPr>
              <a:spLocks noTextEdit="1"/>
            </xdr:cNvSpPr>
          </xdr:nvSpPr>
          <xdr:spPr>
            <a:xfrm>
              <a:off x="15532505" y="15071485"/>
              <a:ext cx="9053424" cy="5629152"/>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editAs="oneCell">
    <xdr:from>
      <xdr:col>5</xdr:col>
      <xdr:colOff>900545</xdr:colOff>
      <xdr:row>43</xdr:row>
      <xdr:rowOff>534593</xdr:rowOff>
    </xdr:from>
    <xdr:to>
      <xdr:col>6</xdr:col>
      <xdr:colOff>2111549</xdr:colOff>
      <xdr:row>43</xdr:row>
      <xdr:rowOff>2764333</xdr:rowOff>
    </xdr:to>
    <xdr:pic>
      <xdr:nvPicPr>
        <xdr:cNvPr id="22" name="Picture 21">
          <a:extLst>
            <a:ext uri="{FF2B5EF4-FFF2-40B4-BE49-F238E27FC236}">
              <a16:creationId xmlns:a16="http://schemas.microsoft.com/office/drawing/2014/main" id="{EB331DC8-0623-E1D6-4F7F-3AF376EBA114}"/>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792681" y="31793911"/>
          <a:ext cx="2164774" cy="2220850"/>
        </a:xfrm>
        <a:prstGeom prst="rect">
          <a:avLst/>
        </a:prstGeom>
        <a:solidFill>
          <a:srgbClr val="0F5B6D"/>
        </a:solidFill>
      </xdr:spPr>
    </xdr:pic>
    <xdr:clientData/>
  </xdr:twoCellAnchor>
  <xdr:twoCellAnchor editAs="oneCell">
    <xdr:from>
      <xdr:col>12</xdr:col>
      <xdr:colOff>591993</xdr:colOff>
      <xdr:row>43</xdr:row>
      <xdr:rowOff>447097</xdr:rowOff>
    </xdr:from>
    <xdr:to>
      <xdr:col>14</xdr:col>
      <xdr:colOff>113900</xdr:colOff>
      <xdr:row>43</xdr:row>
      <xdr:rowOff>2629187</xdr:rowOff>
    </xdr:to>
    <xdr:pic>
      <xdr:nvPicPr>
        <xdr:cNvPr id="24" name="Picture 23">
          <a:extLst>
            <a:ext uri="{FF2B5EF4-FFF2-40B4-BE49-F238E27FC236}">
              <a16:creationId xmlns:a16="http://schemas.microsoft.com/office/drawing/2014/main" id="{A531426C-2CD4-9029-F8A8-E38F06A8449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2697402" y="31775688"/>
          <a:ext cx="2188907" cy="2182090"/>
        </a:xfrm>
        <a:prstGeom prst="rect">
          <a:avLst/>
        </a:prstGeom>
        <a:solidFill>
          <a:srgbClr val="0F5B6D"/>
        </a:solidFill>
      </xdr:spPr>
    </xdr:pic>
    <xdr:clientData/>
  </xdr:twoCellAnchor>
  <xdr:twoCellAnchor editAs="oneCell">
    <xdr:from>
      <xdr:col>18</xdr:col>
      <xdr:colOff>1541317</xdr:colOff>
      <xdr:row>43</xdr:row>
      <xdr:rowOff>407844</xdr:rowOff>
    </xdr:from>
    <xdr:to>
      <xdr:col>19</xdr:col>
      <xdr:colOff>1235767</xdr:colOff>
      <xdr:row>43</xdr:row>
      <xdr:rowOff>2568807</xdr:rowOff>
    </xdr:to>
    <xdr:pic>
      <xdr:nvPicPr>
        <xdr:cNvPr id="27" name="Picture 26">
          <a:extLst>
            <a:ext uri="{FF2B5EF4-FFF2-40B4-BE49-F238E27FC236}">
              <a16:creationId xmlns:a16="http://schemas.microsoft.com/office/drawing/2014/main" id="{FB2991EE-4A67-1377-7DD4-4F9E54DA1112}"/>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21110862" y="31736435"/>
          <a:ext cx="2164600" cy="2152073"/>
        </a:xfrm>
        <a:prstGeom prst="rect">
          <a:avLst/>
        </a:prstGeom>
        <a:solidFill>
          <a:srgbClr val="0F5B6D"/>
        </a:solidFill>
      </xdr:spPr>
    </xdr:pic>
    <xdr:clientData/>
  </xdr:twoCellAnchor>
  <xdr:twoCellAnchor editAs="oneCell">
    <xdr:from>
      <xdr:col>48</xdr:col>
      <xdr:colOff>0</xdr:colOff>
      <xdr:row>31</xdr:row>
      <xdr:rowOff>0</xdr:rowOff>
    </xdr:from>
    <xdr:to>
      <xdr:col>61</xdr:col>
      <xdr:colOff>589666</xdr:colOff>
      <xdr:row>36</xdr:row>
      <xdr:rowOff>384054</xdr:rowOff>
    </xdr:to>
    <xdr:pic>
      <xdr:nvPicPr>
        <xdr:cNvPr id="12" name="Picture 8">
          <a:extLst>
            <a:ext uri="{FF2B5EF4-FFF2-40B4-BE49-F238E27FC236}">
              <a16:creationId xmlns:a16="http://schemas.microsoft.com/office/drawing/2014/main" id="{3279C146-7915-6FFC-8421-C01EE702559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7924357" y="19118036"/>
          <a:ext cx="2414021" cy="3035814"/>
        </a:xfrm>
        <a:prstGeom prst="rect">
          <a:avLst/>
        </a:prstGeom>
      </xdr:spPr>
    </xdr:pic>
    <xdr:clientData/>
  </xdr:twoCellAnchor>
  <xdr:twoCellAnchor editAs="oneCell">
    <xdr:from>
      <xdr:col>21</xdr:col>
      <xdr:colOff>508000</xdr:colOff>
      <xdr:row>0</xdr:row>
      <xdr:rowOff>0</xdr:rowOff>
    </xdr:from>
    <xdr:to>
      <xdr:col>23</xdr:col>
      <xdr:colOff>323850</xdr:colOff>
      <xdr:row>2</xdr:row>
      <xdr:rowOff>63876</xdr:rowOff>
    </xdr:to>
    <xdr:pic>
      <xdr:nvPicPr>
        <xdr:cNvPr id="16" name="Picture 11">
          <a:extLst>
            <a:ext uri="{FF2B5EF4-FFF2-40B4-BE49-F238E27FC236}">
              <a16:creationId xmlns:a16="http://schemas.microsoft.com/office/drawing/2014/main" id="{8A8C4EEF-5311-AFAE-666A-A4215DCD52D3}"/>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5177750" y="0"/>
          <a:ext cx="1353185" cy="16977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25</xdr:col>
      <xdr:colOff>183372</xdr:colOff>
      <xdr:row>0</xdr:row>
      <xdr:rowOff>0</xdr:rowOff>
    </xdr:from>
    <xdr:to>
      <xdr:col>26</xdr:col>
      <xdr:colOff>515620</xdr:colOff>
      <xdr:row>2</xdr:row>
      <xdr:rowOff>28575</xdr:rowOff>
    </xdr:to>
    <xdr:pic>
      <xdr:nvPicPr>
        <xdr:cNvPr id="4" name="Picture 1">
          <a:extLst>
            <a:ext uri="{FF2B5EF4-FFF2-40B4-BE49-F238E27FC236}">
              <a16:creationId xmlns:a16="http://schemas.microsoft.com/office/drawing/2014/main" id="{051EAFC0-E1BA-46D9-8912-456ECE0EBA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29972" y="0"/>
          <a:ext cx="937403" cy="11677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27</xdr:col>
      <xdr:colOff>190499</xdr:colOff>
      <xdr:row>0</xdr:row>
      <xdr:rowOff>0</xdr:rowOff>
    </xdr:from>
    <xdr:to>
      <xdr:col>28</xdr:col>
      <xdr:colOff>518937</xdr:colOff>
      <xdr:row>2</xdr:row>
      <xdr:rowOff>28575</xdr:rowOff>
    </xdr:to>
    <xdr:pic>
      <xdr:nvPicPr>
        <xdr:cNvPr id="7" name="Picture 1">
          <a:extLst>
            <a:ext uri="{FF2B5EF4-FFF2-40B4-BE49-F238E27FC236}">
              <a16:creationId xmlns:a16="http://schemas.microsoft.com/office/drawing/2014/main" id="{3F5092ED-43F0-4F92-952A-11E68AE9D4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645411" y="0"/>
          <a:ext cx="941213" cy="11715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27</xdr:col>
      <xdr:colOff>133350</xdr:colOff>
      <xdr:row>0</xdr:row>
      <xdr:rowOff>0</xdr:rowOff>
    </xdr:from>
    <xdr:to>
      <xdr:col>28</xdr:col>
      <xdr:colOff>474488</xdr:colOff>
      <xdr:row>2</xdr:row>
      <xdr:rowOff>28575</xdr:rowOff>
    </xdr:to>
    <xdr:pic>
      <xdr:nvPicPr>
        <xdr:cNvPr id="3" name="Picture 1">
          <a:extLst>
            <a:ext uri="{FF2B5EF4-FFF2-40B4-BE49-F238E27FC236}">
              <a16:creationId xmlns:a16="http://schemas.microsoft.com/office/drawing/2014/main" id="{D6584860-5570-470C-9A60-20E411CA89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098750" y="0"/>
          <a:ext cx="941213" cy="116776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26</xdr:col>
      <xdr:colOff>171450</xdr:colOff>
      <xdr:row>0</xdr:row>
      <xdr:rowOff>0</xdr:rowOff>
    </xdr:from>
    <xdr:to>
      <xdr:col>27</xdr:col>
      <xdr:colOff>512588</xdr:colOff>
      <xdr:row>2</xdr:row>
      <xdr:rowOff>30480</xdr:rowOff>
    </xdr:to>
    <xdr:pic>
      <xdr:nvPicPr>
        <xdr:cNvPr id="3" name="Picture 1">
          <a:extLst>
            <a:ext uri="{FF2B5EF4-FFF2-40B4-BE49-F238E27FC236}">
              <a16:creationId xmlns:a16="http://schemas.microsoft.com/office/drawing/2014/main" id="{8CEC3DC3-CCD5-4DA8-AB46-41AD26DF00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75500" y="0"/>
          <a:ext cx="941213" cy="116967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26</xdr:col>
      <xdr:colOff>0</xdr:colOff>
      <xdr:row>1</xdr:row>
      <xdr:rowOff>0</xdr:rowOff>
    </xdr:from>
    <xdr:to>
      <xdr:col>28</xdr:col>
      <xdr:colOff>274096</xdr:colOff>
      <xdr:row>2</xdr:row>
      <xdr:rowOff>29139</xdr:rowOff>
    </xdr:to>
    <xdr:sp macro="" textlink="">
      <xdr:nvSpPr>
        <xdr:cNvPr id="2" name="Rectangle 14">
          <a:extLst>
            <a:ext uri="{FF2B5EF4-FFF2-40B4-BE49-F238E27FC236}">
              <a16:creationId xmlns:a16="http://schemas.microsoft.com/office/drawing/2014/main" id="{83082022-9C39-4A61-B0DF-5C0AD2E93B12}"/>
            </a:ext>
          </a:extLst>
        </xdr:cNvPr>
        <xdr:cNvSpPr/>
      </xdr:nvSpPr>
      <xdr:spPr>
        <a:xfrm>
          <a:off x="27920156" y="0"/>
          <a:ext cx="1488534" cy="779233"/>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24</xdr:col>
      <xdr:colOff>231934</xdr:colOff>
      <xdr:row>0</xdr:row>
      <xdr:rowOff>0</xdr:rowOff>
    </xdr:from>
    <xdr:to>
      <xdr:col>25</xdr:col>
      <xdr:colOff>553387</xdr:colOff>
      <xdr:row>2</xdr:row>
      <xdr:rowOff>19050</xdr:rowOff>
    </xdr:to>
    <xdr:pic>
      <xdr:nvPicPr>
        <xdr:cNvPr id="9" name="Picture 5">
          <a:extLst>
            <a:ext uri="{FF2B5EF4-FFF2-40B4-BE49-F238E27FC236}">
              <a16:creationId xmlns:a16="http://schemas.microsoft.com/office/drawing/2014/main" id="{1A61C798-3531-4532-9617-942C8F33CA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438465" y="0"/>
          <a:ext cx="935498" cy="117348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26</xdr:col>
      <xdr:colOff>130968</xdr:colOff>
      <xdr:row>0</xdr:row>
      <xdr:rowOff>0</xdr:rowOff>
    </xdr:from>
    <xdr:to>
      <xdr:col>27</xdr:col>
      <xdr:colOff>454961</xdr:colOff>
      <xdr:row>2</xdr:row>
      <xdr:rowOff>40005</xdr:rowOff>
    </xdr:to>
    <xdr:pic>
      <xdr:nvPicPr>
        <xdr:cNvPr id="7" name="Picture 5">
          <a:extLst>
            <a:ext uri="{FF2B5EF4-FFF2-40B4-BE49-F238E27FC236}">
              <a16:creationId xmlns:a16="http://schemas.microsoft.com/office/drawing/2014/main" id="{4CC64AA4-9E36-4512-8399-7979549F41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253531" y="0"/>
          <a:ext cx="945023" cy="117348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23</xdr:col>
      <xdr:colOff>142875</xdr:colOff>
      <xdr:row>0</xdr:row>
      <xdr:rowOff>59531</xdr:rowOff>
    </xdr:from>
    <xdr:to>
      <xdr:col>24</xdr:col>
      <xdr:colOff>473853</xdr:colOff>
      <xdr:row>1</xdr:row>
      <xdr:rowOff>824706</xdr:rowOff>
    </xdr:to>
    <xdr:pic>
      <xdr:nvPicPr>
        <xdr:cNvPr id="3" name="Picture 1">
          <a:extLst>
            <a:ext uri="{FF2B5EF4-FFF2-40B4-BE49-F238E27FC236}">
              <a16:creationId xmlns:a16="http://schemas.microsoft.com/office/drawing/2014/main" id="{59AF43E5-A1C5-408C-901E-76DDF6265F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432125" y="59531"/>
          <a:ext cx="941213" cy="117348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22</xdr:col>
      <xdr:colOff>200025</xdr:colOff>
      <xdr:row>0</xdr:row>
      <xdr:rowOff>0</xdr:rowOff>
    </xdr:from>
    <xdr:to>
      <xdr:col>23</xdr:col>
      <xdr:colOff>532273</xdr:colOff>
      <xdr:row>1</xdr:row>
      <xdr:rowOff>825500</xdr:rowOff>
    </xdr:to>
    <xdr:pic>
      <xdr:nvPicPr>
        <xdr:cNvPr id="3" name="Picture 1">
          <a:extLst>
            <a:ext uri="{FF2B5EF4-FFF2-40B4-BE49-F238E27FC236}">
              <a16:creationId xmlns:a16="http://schemas.microsoft.com/office/drawing/2014/main" id="{BFF3AAAF-596F-4AA5-9A52-7018F58A26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393775" y="0"/>
          <a:ext cx="941213" cy="117348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22</xdr:col>
      <xdr:colOff>209550</xdr:colOff>
      <xdr:row>0</xdr:row>
      <xdr:rowOff>0</xdr:rowOff>
    </xdr:from>
    <xdr:to>
      <xdr:col>23</xdr:col>
      <xdr:colOff>558308</xdr:colOff>
      <xdr:row>2</xdr:row>
      <xdr:rowOff>80645</xdr:rowOff>
    </xdr:to>
    <xdr:pic>
      <xdr:nvPicPr>
        <xdr:cNvPr id="3" name="Picture 1">
          <a:extLst>
            <a:ext uri="{FF2B5EF4-FFF2-40B4-BE49-F238E27FC236}">
              <a16:creationId xmlns:a16="http://schemas.microsoft.com/office/drawing/2014/main" id="{21ED9464-FB5E-45F3-B5BA-1C68C3A885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63725" y="0"/>
          <a:ext cx="941213" cy="116967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24</xdr:col>
      <xdr:colOff>201084</xdr:colOff>
      <xdr:row>0</xdr:row>
      <xdr:rowOff>0</xdr:rowOff>
    </xdr:from>
    <xdr:to>
      <xdr:col>25</xdr:col>
      <xdr:colOff>529522</xdr:colOff>
      <xdr:row>2</xdr:row>
      <xdr:rowOff>24765</xdr:rowOff>
    </xdr:to>
    <xdr:pic>
      <xdr:nvPicPr>
        <xdr:cNvPr id="7" name="Picture 5">
          <a:extLst>
            <a:ext uri="{FF2B5EF4-FFF2-40B4-BE49-F238E27FC236}">
              <a16:creationId xmlns:a16="http://schemas.microsoft.com/office/drawing/2014/main" id="{BE3B6C06-9108-4539-BAEB-57FA0A8488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696334" y="0"/>
          <a:ext cx="939308" cy="116967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Valerie Vines" id="{03AE1BB5-0E41-446A-A3FE-BFB63736A735}" userId="Valerie.Vines@erg.com" providerId="PeoplePicker"/>
  <person displayName="Paige Weiler" id="{2253E63A-C3FD-42CD-97A1-D54DEB313E12}" userId="S::Paige.Weiler@erg.com::07b51755-bc42-4068-8a4e-cdcd17367753" providerId="AD"/>
  <person displayName="William Barr" id="{ADD73D38-B524-42AD-9422-CC5AB26569E0}" userId="S::William.Barr@erg.com::21df21f5-3424-4bd2-8657-a3c0a32259bb"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8E20378-FC02-4981-A84E-1ADA73417234}" name="tblPurch_Mat" displayName="tblPurch_Mat" ref="T16:Z927" totalsRowShown="0" headerRowDxfId="170" dataDxfId="168" headerRowBorderDxfId="169" tableBorderDxfId="167" totalsRowBorderDxfId="166">
  <autoFilter ref="T16:Z927" xr:uid="{68E20378-FC02-4981-A84E-1ADA73417234}"/>
  <tableColumns count="7">
    <tableColumn id="1" xr3:uid="{19F6864C-6939-4C23-894A-5C2BE5747E92}" name="Dataset ID" dataDxfId="165">
      <calculatedColumnFormula>tblGWP[[#This Row],[Dataset ID]]</calculatedColumnFormula>
    </tableColumn>
    <tableColumn id="7" xr3:uid="{344C1597-6AD5-4CC2-90DF-CC9F3542EFE0}" name="Material Category" dataDxfId="164"/>
    <tableColumn id="2" xr3:uid="{99B41582-2D0F-4369-9162-4B2261D17E3A}" name="Material Subcategory" dataDxfId="163">
      <calculatedColumnFormula>tblGWP[[#This Row],[Material Subcategory]]</calculatedColumnFormula>
    </tableColumn>
    <tableColumn id="3" xr3:uid="{3F194DFF-4ED0-44EC-9FBC-A8ABE40E85F0}" name="Region" dataDxfId="162">
      <calculatedColumnFormula>tblGWP[[#This Row],[Region]]</calculatedColumnFormula>
    </tableColumn>
    <tableColumn id="4" xr3:uid="{A33628D7-96F3-403F-84A4-35BB7FE06EFD}" name="Country" dataDxfId="161">
      <calculatedColumnFormula>tblGWP[[#This Row],[Country]]</calculatedColumnFormula>
    </tableColumn>
    <tableColumn id="5" xr3:uid="{98061498-01E5-48AD-A4CD-8806FC2A7ED6}" name="Weight (kgCO2e/kg)" dataDxfId="160"/>
    <tableColumn id="6" xr3:uid="{B8436E45-42A6-40FE-9982-188965C338EB}" name="Cost (kgCO2e/US$)" dataDxfId="15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195D60F-FD63-4081-AB67-B071BFAED94E}" name="tbl_Mat_def" displayName="tbl_Mat_def" ref="G1040:H1097" totalsRowShown="0" headerRowDxfId="158" headerRowBorderDxfId="157" tableBorderDxfId="156">
  <autoFilter ref="G1040:H1097" xr:uid="{6195D60F-FD63-4081-AB67-B071BFAED94E}"/>
  <tableColumns count="2">
    <tableColumn id="1" xr3:uid="{711D2768-02A7-46FF-B09B-C86819693F11}" name="Material Subcategory"/>
    <tableColumn id="2" xr3:uid="{6CBCAB5A-3F71-4187-8A03-D8BB70B0A42B}" name="Material Category" dataDxfId="15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2D66BF5-F93A-4F49-99F6-E0F2CA504CFB}" name="tblGWP" displayName="tblGWP" ref="F16:R943" totalsRowShown="0" headerRowDxfId="154" dataDxfId="152" headerRowBorderDxfId="153" tableBorderDxfId="151" totalsRowBorderDxfId="150">
  <autoFilter ref="F16:R943" xr:uid="{B2D66BF5-F93A-4F49-99F6-E0F2CA504CFB}"/>
  <tableColumns count="13">
    <tableColumn id="1" xr3:uid="{D11687F9-A57C-48F8-B8DE-506025F84337}" name="Dataset ID" dataDxfId="149"/>
    <tableColumn id="13" xr3:uid="{8525A855-2DD5-4427-90D2-F2E781DCE3F7}" name="Material Category" dataDxfId="148"/>
    <tableColumn id="2" xr3:uid="{90657296-EA01-4284-B62E-3300CABBCA44}" name="Material Subcategory" dataDxfId="147"/>
    <tableColumn id="3" xr3:uid="{32609F2E-DCE1-42F6-9942-0ABB6B62DAC4}" name="Region" dataDxfId="146"/>
    <tableColumn id="4" xr3:uid="{39FB88F7-6E1B-4918-82CA-9F75545038A4}" name="Country" dataDxfId="145"/>
    <tableColumn id="5" xr3:uid="{ACAD2FE4-CEB6-4001-A2FF-6A059D0BBA26}" name="Reduce" dataDxfId="144"/>
    <tableColumn id="6" xr3:uid="{712B8954-2F7E-4B05-9F57-9C36E4462378}" name="Reuse" dataDxfId="143"/>
    <tableColumn id="7" xr3:uid="{CB1091F9-817E-475E-91B7-8E7F51193856}" name="Recycle" dataDxfId="142"/>
    <tableColumn id="8" xr3:uid="{AF208D25-4B52-4969-943A-3AAD3ACCBAC3}" name="Composting" dataDxfId="141"/>
    <tableColumn id="9" xr3:uid="{F6B231DF-5020-466A-A050-20F2E04C02E1}" name="Anaerobic Digestion" dataDxfId="140"/>
    <tableColumn id="10" xr3:uid="{59268E4A-73D3-4686-8120-23A47B408B71}" name="Landfill" dataDxfId="139"/>
    <tableColumn id="11" xr3:uid="{41D031C9-2AA2-40DD-B922-2AD86C8CA6D7}" name="Waste-to-Energy" dataDxfId="138"/>
    <tableColumn id="12" xr3:uid="{419D0BCD-9188-4CE0-990B-86FCF24E6AB2}" name="Incineration" dataDxfId="13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7A101022-0579-4575-A491-024BA855BAD4}" name="tblGWP21" displayName="tblGWP21" ref="T16:AF930" totalsRowShown="0" headerRowDxfId="136" dataDxfId="134" headerRowBorderDxfId="135" tableBorderDxfId="133" totalsRowBorderDxfId="132">
  <autoFilter ref="T16:AF930" xr:uid="{7A101022-0579-4575-A491-024BA855BAD4}"/>
  <tableColumns count="13">
    <tableColumn id="1" xr3:uid="{EBF2A832-3148-4ED1-8CC0-F535BFB7DFCE}" name="Dataset ID" dataDxfId="131"/>
    <tableColumn id="13" xr3:uid="{1B38572B-59E4-4F62-9E5D-4DF0C847133D}" name="Material Category" dataDxfId="130"/>
    <tableColumn id="2" xr3:uid="{6DE58722-C686-4B52-BBD7-11C0F7CCF1D9}" name="Material Subcategory" dataDxfId="129"/>
    <tableColumn id="3" xr3:uid="{427A62DC-9048-4A1C-8EE1-3866B82A7F80}" name="Region" dataDxfId="128"/>
    <tableColumn id="4" xr3:uid="{9B87E29E-C208-40AF-9ED7-093602446580}" name="Country" dataDxfId="127"/>
    <tableColumn id="5" xr3:uid="{93DE023E-CF41-43BE-894B-923971BB10AD}" name="Reduce" dataDxfId="126"/>
    <tableColumn id="6" xr3:uid="{51F0B22A-C757-4432-908C-882D0CE676D3}" name="Reuse" dataDxfId="125"/>
    <tableColumn id="7" xr3:uid="{4CC15874-60DB-4A93-A9C0-2AABE61DE49A}" name="Recycle" dataDxfId="124"/>
    <tableColumn id="8" xr3:uid="{C693963A-A85B-4FC5-B89F-E1AD60CE66E5}" name="Composting" dataDxfId="123"/>
    <tableColumn id="9" xr3:uid="{299773B5-168C-47A3-B347-7D08EC217EC5}" name="Anaerobic Digestion" dataDxfId="122"/>
    <tableColumn id="10" xr3:uid="{10BAE51B-20DE-411F-A6A9-89368E971F0B}" name="Landfill" dataDxfId="121"/>
    <tableColumn id="11" xr3:uid="{8F5E3A88-D0E3-4AFB-9474-D88A4585EDE4}" name="Waste-to-Energy" dataDxfId="120"/>
    <tableColumn id="12" xr3:uid="{883FEF08-95A8-471A-9C03-882A2AD22671}" name="Incineration" dataDxfId="119"/>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46BD02A2-CCA0-4892-9C7F-3174504C1049}" name="tblZwaste1422" displayName="tblZwaste1422" ref="AI16:AO927" totalsRowShown="0" headerRowDxfId="118" dataDxfId="116" headerRowBorderDxfId="117" tableBorderDxfId="115" totalsRowBorderDxfId="114">
  <autoFilter ref="AI16:AO927" xr:uid="{46BD02A2-CCA0-4892-9C7F-3174504C1049}"/>
  <tableColumns count="7">
    <tableColumn id="1" xr3:uid="{336ECB94-7BCF-4C5F-A701-CDB98F564855}" name="Dataset ID" dataDxfId="113"/>
    <tableColumn id="7" xr3:uid="{A8D2DFDB-1F1D-4D24-8A59-A9E09C2FDD6A}" name="Material Category" dataDxfId="112"/>
    <tableColumn id="2" xr3:uid="{06390600-37EE-437E-AA7B-DD1CF921275D}" name="Material Subcategory" dataDxfId="111"/>
    <tableColumn id="3" xr3:uid="{67F1E6BF-9814-4C25-A766-B84987AE3F67}" name="Region" dataDxfId="110"/>
    <tableColumn id="4" xr3:uid="{A11E23FC-0FC4-4D29-A953-FADB4A0CE712}" name="Country" dataDxfId="109"/>
    <tableColumn id="5" xr3:uid="{2D729E15-718B-42B7-B0B8-62BA282202F4}" name="Weight (kgCO2e/kg)" dataDxfId="108"/>
    <tableColumn id="6" xr3:uid="{5E1BE47F-3E0A-4F3B-8332-DE2B647C9B93}" name="Cost (kgCO2e/US$)" dataDxfId="107"/>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G16" dT="2026-08-24T13:23:11.29" personId="{2253E63A-C3FD-42CD-97A1-D54DEB313E12}" id="{97146FC3-F51C-4310-BC0B-D15162DE5A82}">
    <text>Based on WARM and available literature ranges</text>
  </threadedComment>
</ThreadedComments>
</file>

<file path=xl/threadedComments/threadedComment2.xml><?xml version="1.0" encoding="utf-8"?>
<ThreadedComments xmlns="http://schemas.microsoft.com/office/spreadsheetml/2018/threadedcomments" xmlns:x="http://schemas.openxmlformats.org/spreadsheetml/2006/main">
  <threadedComment ref="AV16" dT="2026-08-24T13:23:11.29" personId="{2253E63A-C3FD-42CD-97A1-D54DEB313E12}" id="{B9BFA1FD-8C54-4B96-82AE-F45DD269E719}">
    <text>Based on WARM and available literature ranges</text>
  </threadedComment>
  <threadedComment ref="E996" dT="2026-10-01T12:16:33.37" personId="{ADD73D38-B524-42AD-9422-CC5AB26569E0}" id="{7871BA9E-9A11-4063-A2C6-A7913DC03FA4}">
    <text xml:space="preserve">@Valerie Vines This needs a new name.  USGBC wants these split. </text>
    <mentions>
      <mention mentionpersonId="{03AE1BB5-0E41-446A-A3FE-BFB63736A735}" mentionId="{77BA3EBF-B971-4EF0-AB30-85AEC5F20CB7}" startIndex="0" length="14"/>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epa.gov/energy/greenhouse-gas-equivalencies-calculator-calculations-and-references" TargetMode="External"/><Relationship Id="rId2" Type="http://schemas.openxmlformats.org/officeDocument/2006/relationships/hyperlink" Target="https://www.epa.gov/energy/greenhouse-gas-equivalencies-calculator-calculations-and-references" TargetMode="External"/><Relationship Id="rId1" Type="http://schemas.openxmlformats.org/officeDocument/2006/relationships/hyperlink" Target="https://www.epa.gov/energy/greenhouse-gas-equivalencies-calculator-calculations-and-references" TargetMode="External"/><Relationship Id="rId6" Type="http://schemas.openxmlformats.org/officeDocument/2006/relationships/drawing" Target="../drawings/drawing3.xml"/><Relationship Id="rId5" Type="http://schemas.openxmlformats.org/officeDocument/2006/relationships/printerSettings" Target="../printerSettings/printerSettings1.bin"/><Relationship Id="rId4" Type="http://schemas.openxmlformats.org/officeDocument/2006/relationships/hyperlink" Target="https://www.epa.gov/energy/greenhouse-gas-equivalencies-calculator-calculations-and-reference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vmlDrawing" Target="../drawings/vmlDrawing1.vm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3.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vmlDrawing" Target="../drawings/vmlDrawing2.vml"/><Relationship Id="rId5" Type="http://schemas.microsoft.com/office/2017/10/relationships/threadedComment" Target="../threadedComments/threadedComment2.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DC3DD-B263-48A2-AB2F-97A1135A0E24}">
  <sheetPr>
    <tabColor rgb="FFACE2EB"/>
  </sheetPr>
  <dimension ref="A1:AP63"/>
  <sheetViews>
    <sheetView showGridLines="0" zoomScaleNormal="100" workbookViewId="0"/>
  </sheetViews>
  <sheetFormatPr defaultRowHeight="14.4"/>
  <cols>
    <col min="1" max="1" width="4.5546875" customWidth="1"/>
    <col min="3" max="3" width="3" customWidth="1"/>
    <col min="4" max="4" width="8.44140625" customWidth="1"/>
    <col min="5" max="5" width="2.44140625" customWidth="1"/>
    <col min="6" max="6" width="9.5546875" customWidth="1"/>
    <col min="7" max="7" width="2.5546875" customWidth="1"/>
    <col min="10" max="10" width="8.5546875" customWidth="1"/>
  </cols>
  <sheetData>
    <row r="1" spans="1:42" ht="70.05" customHeight="1">
      <c r="A1" s="188" t="s">
        <v>9</v>
      </c>
      <c r="B1" s="174"/>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row>
    <row r="3" spans="1:42" ht="14.85" customHeight="1">
      <c r="B3" s="585" t="s">
        <v>10259</v>
      </c>
      <c r="C3" s="585"/>
      <c r="D3" s="585"/>
      <c r="E3" s="585"/>
      <c r="F3" s="585"/>
      <c r="G3" s="585"/>
      <c r="H3" s="585"/>
      <c r="I3" s="585"/>
      <c r="J3" s="585"/>
      <c r="K3" s="585"/>
      <c r="L3" s="585"/>
      <c r="M3" s="585"/>
      <c r="N3" s="585"/>
      <c r="O3" s="585"/>
      <c r="P3" s="585"/>
      <c r="Q3" s="585"/>
      <c r="R3" s="585"/>
      <c r="S3" s="585"/>
      <c r="T3" s="585"/>
      <c r="U3" s="585"/>
      <c r="V3" s="585"/>
      <c r="W3" s="585"/>
      <c r="X3" s="585"/>
      <c r="Y3" s="585"/>
      <c r="Z3" s="585"/>
      <c r="AA3" s="585"/>
      <c r="AB3" s="585"/>
      <c r="AC3" s="585"/>
      <c r="AD3" s="585"/>
    </row>
    <row r="4" spans="1:42" ht="53.85" customHeight="1">
      <c r="B4" s="585"/>
      <c r="C4" s="585"/>
      <c r="D4" s="585"/>
      <c r="E4" s="585"/>
      <c r="F4" s="585"/>
      <c r="G4" s="585"/>
      <c r="H4" s="585"/>
      <c r="I4" s="585"/>
      <c r="J4" s="585"/>
      <c r="K4" s="585"/>
      <c r="L4" s="585"/>
      <c r="M4" s="585"/>
      <c r="N4" s="585"/>
      <c r="O4" s="585"/>
      <c r="P4" s="585"/>
      <c r="Q4" s="585"/>
      <c r="R4" s="585"/>
      <c r="S4" s="585"/>
      <c r="T4" s="585"/>
      <c r="U4" s="585"/>
      <c r="V4" s="585"/>
      <c r="W4" s="585"/>
      <c r="X4" s="585"/>
      <c r="Y4" s="585"/>
      <c r="Z4" s="585"/>
      <c r="AA4" s="585"/>
      <c r="AB4" s="585"/>
      <c r="AC4" s="585"/>
      <c r="AD4" s="585"/>
    </row>
    <row r="5" spans="1:42" ht="14.55" customHeight="1">
      <c r="B5" s="585"/>
      <c r="C5" s="585"/>
      <c r="D5" s="585"/>
      <c r="E5" s="585"/>
      <c r="F5" s="585"/>
      <c r="G5" s="585"/>
      <c r="H5" s="585"/>
      <c r="I5" s="585"/>
      <c r="J5" s="585"/>
      <c r="K5" s="585"/>
      <c r="L5" s="585"/>
      <c r="M5" s="585"/>
      <c r="N5" s="585"/>
      <c r="O5" s="585"/>
      <c r="P5" s="585"/>
      <c r="Q5" s="585"/>
      <c r="R5" s="585"/>
      <c r="S5" s="585"/>
      <c r="T5" s="585"/>
      <c r="U5" s="585"/>
      <c r="V5" s="585"/>
      <c r="W5" s="585"/>
      <c r="X5" s="585"/>
      <c r="Y5" s="585"/>
      <c r="Z5" s="585"/>
      <c r="AA5" s="585"/>
      <c r="AB5" s="585"/>
      <c r="AC5" s="585"/>
      <c r="AD5" s="585"/>
    </row>
    <row r="6" spans="1:42" ht="14.55" customHeight="1">
      <c r="B6" s="585"/>
      <c r="C6" s="585"/>
      <c r="D6" s="585"/>
      <c r="E6" s="585"/>
      <c r="F6" s="585"/>
      <c r="G6" s="585"/>
      <c r="H6" s="585"/>
      <c r="I6" s="585"/>
      <c r="J6" s="585"/>
      <c r="K6" s="585"/>
      <c r="L6" s="585"/>
      <c r="M6" s="585"/>
      <c r="N6" s="585"/>
      <c r="O6" s="585"/>
      <c r="P6" s="585"/>
      <c r="Q6" s="585"/>
      <c r="R6" s="585"/>
      <c r="S6" s="585"/>
      <c r="T6" s="585"/>
      <c r="U6" s="585"/>
      <c r="V6" s="585"/>
      <c r="W6" s="585"/>
      <c r="X6" s="585"/>
      <c r="Y6" s="585"/>
      <c r="Z6" s="585"/>
      <c r="AA6" s="585"/>
      <c r="AB6" s="585"/>
      <c r="AC6" s="585"/>
      <c r="AD6" s="585"/>
    </row>
    <row r="7" spans="1:42" ht="14.55" customHeight="1">
      <c r="B7" s="585"/>
      <c r="C7" s="585"/>
      <c r="D7" s="585"/>
      <c r="E7" s="585"/>
      <c r="F7" s="585"/>
      <c r="G7" s="585"/>
      <c r="H7" s="585"/>
      <c r="I7" s="585"/>
      <c r="J7" s="585"/>
      <c r="K7" s="585"/>
      <c r="L7" s="585"/>
      <c r="M7" s="585"/>
      <c r="N7" s="585"/>
      <c r="O7" s="585"/>
      <c r="P7" s="585"/>
      <c r="Q7" s="585"/>
      <c r="R7" s="585"/>
      <c r="S7" s="585"/>
      <c r="T7" s="585"/>
      <c r="U7" s="585"/>
      <c r="V7" s="585"/>
      <c r="W7" s="585"/>
      <c r="X7" s="585"/>
      <c r="Y7" s="585"/>
      <c r="Z7" s="585"/>
      <c r="AA7" s="585"/>
      <c r="AB7" s="585"/>
      <c r="AC7" s="585"/>
      <c r="AD7" s="585"/>
    </row>
    <row r="8" spans="1:42" ht="15" thickBot="1">
      <c r="C8" s="227"/>
      <c r="D8" s="226"/>
      <c r="E8" s="226"/>
      <c r="F8" s="226"/>
      <c r="G8" s="226"/>
      <c r="H8" s="226"/>
      <c r="I8" s="226"/>
      <c r="J8" s="226"/>
      <c r="K8" s="226"/>
      <c r="L8" s="226"/>
      <c r="M8" s="226"/>
      <c r="N8" s="226"/>
      <c r="O8" s="226"/>
      <c r="P8" s="226"/>
      <c r="Q8" s="226"/>
      <c r="R8" s="226"/>
      <c r="S8" s="226"/>
      <c r="T8" s="226"/>
      <c r="U8" s="226"/>
      <c r="AB8" s="39"/>
    </row>
    <row r="9" spans="1:42" ht="25.8">
      <c r="A9" s="187"/>
      <c r="B9" s="30" t="s">
        <v>1</v>
      </c>
      <c r="C9" s="122"/>
      <c r="D9" s="122"/>
      <c r="E9" s="122"/>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row>
    <row r="12" spans="1:42">
      <c r="B12" s="228" t="s">
        <v>10</v>
      </c>
      <c r="C12" s="1" t="s">
        <v>11</v>
      </c>
      <c r="D12" s="1"/>
    </row>
    <row r="13" spans="1:42" ht="29.1" customHeight="1">
      <c r="C13" s="229"/>
      <c r="D13" s="586" t="s">
        <v>12</v>
      </c>
      <c r="E13" s="586"/>
      <c r="F13" s="586"/>
      <c r="G13" s="586"/>
      <c r="H13" s="586"/>
      <c r="I13" s="586"/>
      <c r="J13" s="586"/>
      <c r="K13" s="586"/>
      <c r="L13" s="586"/>
      <c r="M13" s="586"/>
      <c r="N13" s="586"/>
      <c r="O13" s="586"/>
      <c r="P13" s="586"/>
      <c r="Q13" s="586"/>
      <c r="R13" s="586"/>
      <c r="S13" s="586"/>
      <c r="T13" s="586"/>
      <c r="U13" s="586"/>
      <c r="Y13" s="39"/>
    </row>
    <row r="15" spans="1:42">
      <c r="B15" s="228" t="s">
        <v>13</v>
      </c>
      <c r="C15" s="1" t="s">
        <v>14</v>
      </c>
      <c r="E15" s="1"/>
    </row>
    <row r="16" spans="1:42">
      <c r="C16" s="229"/>
    </row>
    <row r="17" spans="2:25">
      <c r="D17" s="1" t="s">
        <v>15</v>
      </c>
      <c r="E17" s="1"/>
      <c r="F17" s="230"/>
      <c r="G17" s="230"/>
      <c r="H17" s="1" t="s">
        <v>16</v>
      </c>
      <c r="Y17" s="39"/>
    </row>
    <row r="18" spans="2:25" ht="20.100000000000001" customHeight="1">
      <c r="D18" s="588" t="s">
        <v>10161</v>
      </c>
      <c r="E18" s="588"/>
      <c r="F18" s="588"/>
      <c r="G18" s="41"/>
      <c r="H18" s="57" t="s">
        <v>10262</v>
      </c>
      <c r="I18" s="57"/>
      <c r="J18" s="57"/>
      <c r="K18" s="57"/>
      <c r="L18" s="57"/>
      <c r="M18" s="57"/>
      <c r="N18" s="57"/>
      <c r="O18" s="57"/>
      <c r="P18" s="57"/>
      <c r="Q18" s="57"/>
      <c r="R18" s="57"/>
      <c r="S18" s="57"/>
      <c r="T18" s="57"/>
      <c r="U18" s="57"/>
      <c r="V18" s="57"/>
    </row>
    <row r="19" spans="2:25" ht="20.100000000000001" customHeight="1">
      <c r="D19" s="587" t="s">
        <v>494</v>
      </c>
      <c r="E19" s="587"/>
      <c r="F19" s="587"/>
      <c r="G19" s="231"/>
      <c r="H19" s="57" t="s">
        <v>10263</v>
      </c>
      <c r="I19" s="57"/>
      <c r="J19" s="57"/>
      <c r="K19" s="57"/>
      <c r="L19" s="57"/>
      <c r="M19" s="57"/>
      <c r="N19" s="57"/>
      <c r="O19" s="57"/>
      <c r="P19" s="57"/>
      <c r="Q19" s="57"/>
      <c r="R19" s="57"/>
      <c r="S19" s="57"/>
      <c r="T19" s="57"/>
      <c r="U19" s="57"/>
      <c r="V19" s="57"/>
    </row>
    <row r="20" spans="2:25" ht="20.100000000000001" customHeight="1">
      <c r="D20" s="587" t="s">
        <v>10194</v>
      </c>
      <c r="E20" s="587"/>
      <c r="F20" s="587"/>
      <c r="G20" s="231"/>
      <c r="H20" s="57" t="s">
        <v>10260</v>
      </c>
      <c r="I20" s="57"/>
      <c r="J20" s="57"/>
      <c r="K20" s="57"/>
      <c r="L20" s="57"/>
      <c r="M20" s="57"/>
      <c r="N20" s="57"/>
      <c r="O20" s="57"/>
      <c r="P20" s="57"/>
      <c r="Q20" s="57"/>
      <c r="R20" s="57"/>
      <c r="S20" s="57"/>
      <c r="T20" s="57"/>
      <c r="U20" s="57"/>
      <c r="V20" s="57"/>
      <c r="Y20" s="39"/>
    </row>
    <row r="21" spans="2:25" ht="20.100000000000001" customHeight="1">
      <c r="D21" s="590" t="s">
        <v>10196</v>
      </c>
      <c r="E21" s="591"/>
      <c r="F21" s="592"/>
      <c r="G21" s="231"/>
      <c r="H21" s="57" t="s">
        <v>10302</v>
      </c>
      <c r="I21" s="57"/>
      <c r="J21" s="57"/>
      <c r="K21" s="57"/>
      <c r="L21" s="57"/>
      <c r="M21" s="57"/>
      <c r="N21" s="57"/>
      <c r="O21" s="57"/>
      <c r="P21" s="57"/>
      <c r="Q21" s="57"/>
      <c r="R21" s="57"/>
      <c r="S21" s="57"/>
      <c r="T21" s="57"/>
      <c r="U21" s="57"/>
      <c r="V21" s="57"/>
      <c r="Y21" s="39"/>
    </row>
    <row r="22" spans="2:25" ht="20.100000000000001" customHeight="1">
      <c r="D22" s="590" t="s">
        <v>10203</v>
      </c>
      <c r="E22" s="591"/>
      <c r="F22" s="592"/>
      <c r="G22" s="231"/>
      <c r="H22" s="57" t="s">
        <v>10303</v>
      </c>
      <c r="I22" s="57"/>
      <c r="J22" s="57"/>
      <c r="K22" s="57"/>
      <c r="L22" s="57"/>
      <c r="M22" s="57"/>
      <c r="N22" s="57"/>
      <c r="O22" s="57"/>
      <c r="P22" s="57"/>
      <c r="Q22" s="57"/>
      <c r="R22" s="57"/>
      <c r="S22" s="57"/>
      <c r="T22" s="57"/>
      <c r="U22" s="57"/>
      <c r="V22" s="57"/>
      <c r="Y22" s="39"/>
    </row>
    <row r="23" spans="2:25" ht="20.100000000000001" customHeight="1">
      <c r="D23" s="587" t="s">
        <v>10186</v>
      </c>
      <c r="E23" s="587"/>
      <c r="F23" s="587"/>
      <c r="G23" s="231"/>
      <c r="H23" s="57" t="s">
        <v>10304</v>
      </c>
      <c r="I23" s="57"/>
      <c r="J23" s="57"/>
      <c r="K23" s="57"/>
      <c r="L23" s="57"/>
      <c r="M23" s="57"/>
      <c r="N23" s="57"/>
      <c r="O23" s="57"/>
      <c r="P23" s="57"/>
      <c r="Q23" s="57"/>
      <c r="R23" s="57"/>
      <c r="S23" s="57"/>
      <c r="T23" s="57"/>
      <c r="U23" s="57"/>
      <c r="V23" s="57"/>
    </row>
    <row r="24" spans="2:25" ht="20.100000000000001" customHeight="1">
      <c r="D24" s="587" t="s">
        <v>4</v>
      </c>
      <c r="E24" s="587"/>
      <c r="F24" s="587"/>
      <c r="G24" s="231"/>
      <c r="H24" s="240" t="s">
        <v>10255</v>
      </c>
      <c r="I24" s="57"/>
      <c r="J24" s="57"/>
      <c r="K24" s="57"/>
      <c r="L24" s="57"/>
      <c r="M24" s="57"/>
      <c r="N24" s="57"/>
      <c r="O24" s="57"/>
      <c r="P24" s="57"/>
      <c r="Q24" s="57"/>
      <c r="R24" s="57"/>
      <c r="S24" s="57"/>
      <c r="T24" s="57"/>
      <c r="U24" s="57"/>
      <c r="V24" s="57"/>
    </row>
    <row r="25" spans="2:25" ht="20.100000000000001" customHeight="1">
      <c r="D25" s="587" t="s">
        <v>5</v>
      </c>
      <c r="E25" s="587"/>
      <c r="F25" s="587"/>
      <c r="G25" s="231"/>
      <c r="H25" s="57" t="s">
        <v>10256</v>
      </c>
      <c r="I25" s="57"/>
      <c r="J25" s="31"/>
      <c r="K25" s="57"/>
      <c r="L25" s="57"/>
      <c r="M25" s="57"/>
      <c r="N25" s="57"/>
      <c r="O25" s="57"/>
      <c r="P25" s="57"/>
      <c r="Q25" s="57"/>
      <c r="R25" s="57"/>
      <c r="S25" s="57"/>
      <c r="T25" s="57"/>
      <c r="U25" s="57"/>
      <c r="V25" s="57"/>
    </row>
    <row r="26" spans="2:25" ht="20.100000000000001" customHeight="1">
      <c r="D26" s="587" t="s">
        <v>6</v>
      </c>
      <c r="E26" s="587"/>
      <c r="F26" s="587"/>
      <c r="G26" s="231"/>
      <c r="H26" s="57" t="s">
        <v>10257</v>
      </c>
      <c r="I26" s="57"/>
      <c r="J26" s="57"/>
      <c r="K26" s="57"/>
      <c r="L26" s="57"/>
      <c r="M26" s="57"/>
      <c r="N26" s="57"/>
      <c r="O26" s="57"/>
      <c r="P26" s="57"/>
      <c r="Q26" s="57"/>
      <c r="R26" s="57"/>
      <c r="S26" s="57"/>
      <c r="T26" s="57"/>
      <c r="U26" s="57"/>
      <c r="V26" s="57"/>
    </row>
    <row r="27" spans="2:25" ht="20.100000000000001" customHeight="1">
      <c r="D27" s="589" t="s">
        <v>10205</v>
      </c>
      <c r="E27" s="589"/>
      <c r="F27" s="589"/>
      <c r="G27" s="231"/>
      <c r="H27" s="57" t="s">
        <v>10290</v>
      </c>
      <c r="I27" s="57"/>
      <c r="J27" s="57"/>
      <c r="K27" s="57"/>
      <c r="L27" s="57"/>
      <c r="M27" s="57"/>
      <c r="N27" s="57"/>
      <c r="O27" s="57"/>
      <c r="P27" s="57"/>
      <c r="Q27" s="57"/>
      <c r="R27" s="57"/>
      <c r="S27" s="57"/>
      <c r="T27" s="57"/>
      <c r="U27" s="57"/>
      <c r="V27" s="57"/>
    </row>
    <row r="28" spans="2:25" ht="20.100000000000001" customHeight="1">
      <c r="D28" s="589" t="s">
        <v>17</v>
      </c>
      <c r="E28" s="589"/>
      <c r="F28" s="589"/>
      <c r="G28" s="231"/>
      <c r="H28" s="240" t="s">
        <v>18</v>
      </c>
      <c r="I28" s="57"/>
      <c r="J28" s="57"/>
      <c r="K28" s="57"/>
      <c r="L28" s="57"/>
      <c r="M28" s="57"/>
      <c r="N28" s="57"/>
      <c r="O28" s="57"/>
      <c r="P28" s="57"/>
      <c r="Q28" s="57"/>
      <c r="R28" s="57"/>
      <c r="S28" s="57"/>
      <c r="T28" s="57"/>
      <c r="U28" s="57"/>
      <c r="V28" s="57"/>
    </row>
    <row r="29" spans="2:25" ht="20.100000000000001" customHeight="1">
      <c r="D29" s="589" t="s">
        <v>0</v>
      </c>
      <c r="E29" s="589"/>
      <c r="F29" s="589"/>
      <c r="G29" s="41"/>
      <c r="H29" s="57" t="s">
        <v>10261</v>
      </c>
      <c r="I29" s="57"/>
      <c r="J29" s="57"/>
      <c r="K29" s="57"/>
      <c r="L29" s="57"/>
      <c r="M29" s="57"/>
      <c r="N29" s="57"/>
      <c r="O29" s="57"/>
      <c r="P29" s="57"/>
      <c r="Q29" s="57"/>
      <c r="R29" s="57"/>
      <c r="S29" s="57"/>
      <c r="T29" s="57"/>
      <c r="U29" s="57"/>
      <c r="V29" s="57"/>
      <c r="Y29" s="39"/>
    </row>
    <row r="32" spans="2:25">
      <c r="B32" s="228" t="s">
        <v>19</v>
      </c>
      <c r="C32" s="1" t="s">
        <v>10245</v>
      </c>
      <c r="E32" s="1"/>
    </row>
    <row r="34" spans="2:27" ht="29.1" customHeight="1">
      <c r="D34" s="586" t="s">
        <v>10246</v>
      </c>
      <c r="E34" s="586"/>
      <c r="F34" s="586"/>
      <c r="G34" s="586"/>
      <c r="H34" s="586"/>
      <c r="I34" s="586"/>
      <c r="J34" s="586"/>
      <c r="K34" s="586"/>
      <c r="L34" s="586"/>
      <c r="M34" s="586"/>
      <c r="N34" s="586"/>
      <c r="O34" s="586"/>
      <c r="P34" s="586"/>
      <c r="Q34" s="586"/>
      <c r="R34" s="586"/>
      <c r="S34" s="586"/>
      <c r="T34" s="586"/>
      <c r="U34" s="586"/>
      <c r="V34" s="586"/>
    </row>
    <row r="37" spans="2:27">
      <c r="B37" s="228" t="s">
        <v>46</v>
      </c>
      <c r="C37" s="352" t="s">
        <v>47</v>
      </c>
      <c r="E37" s="353"/>
      <c r="F37" s="354"/>
    </row>
    <row r="39" spans="2:27" ht="15" customHeight="1">
      <c r="D39" s="3" t="s">
        <v>48</v>
      </c>
      <c r="F39" s="1" t="s">
        <v>10264</v>
      </c>
    </row>
    <row r="40" spans="2:27" ht="15" customHeight="1">
      <c r="D40" s="129"/>
      <c r="E40" s="232"/>
      <c r="F40" s="241" t="s">
        <v>10152</v>
      </c>
      <c r="G40" s="233"/>
      <c r="J40" s="233"/>
      <c r="K40" s="234"/>
      <c r="L40" s="234"/>
      <c r="M40" s="234"/>
      <c r="N40" s="234"/>
    </row>
    <row r="41" spans="2:27" ht="15" customHeight="1">
      <c r="D41" s="130" t="s">
        <v>48</v>
      </c>
      <c r="F41" s="241" t="s">
        <v>10153</v>
      </c>
      <c r="J41" s="233"/>
      <c r="K41" s="234"/>
      <c r="L41" s="234"/>
      <c r="M41" s="234"/>
      <c r="N41" s="234"/>
      <c r="Z41" s="34"/>
      <c r="AA41" s="1"/>
    </row>
    <row r="42" spans="2:27" ht="15" customHeight="1">
      <c r="D42" s="358"/>
      <c r="E42" s="235"/>
      <c r="F42" s="241" t="s">
        <v>49</v>
      </c>
      <c r="G42" s="233"/>
      <c r="AA42" s="44"/>
    </row>
    <row r="43" spans="2:27" ht="15" customHeight="1">
      <c r="D43" s="131" t="s">
        <v>48</v>
      </c>
      <c r="E43" s="235"/>
      <c r="F43" s="241" t="s">
        <v>50</v>
      </c>
      <c r="G43" s="233"/>
    </row>
    <row r="44" spans="2:27" ht="15" customHeight="1">
      <c r="D44" s="2">
        <v>1</v>
      </c>
      <c r="E44" s="236"/>
      <c r="F44" s="241" t="s">
        <v>10238</v>
      </c>
      <c r="G44" s="236"/>
      <c r="H44" s="236"/>
      <c r="I44" s="236"/>
      <c r="J44" s="236"/>
      <c r="K44" s="236"/>
      <c r="L44" s="234"/>
      <c r="M44" s="234"/>
      <c r="N44" s="234"/>
    </row>
    <row r="45" spans="2:27" ht="15" customHeight="1">
      <c r="D45" s="238" t="s">
        <v>48</v>
      </c>
      <c r="E45" s="232"/>
      <c r="F45" s="242" t="s">
        <v>51</v>
      </c>
    </row>
    <row r="46" spans="2:27" ht="15" customHeight="1">
      <c r="D46" s="209" t="s">
        <v>48</v>
      </c>
      <c r="E46" s="237"/>
      <c r="F46" s="241" t="s">
        <v>52</v>
      </c>
    </row>
    <row r="47" spans="2:27" ht="15" customHeight="1">
      <c r="D47" s="239" t="s">
        <v>48</v>
      </c>
      <c r="E47" s="237"/>
      <c r="F47" s="241" t="s">
        <v>53</v>
      </c>
    </row>
    <row r="49" spans="2:23">
      <c r="B49" s="228" t="s">
        <v>54</v>
      </c>
      <c r="C49" s="1" t="s">
        <v>55</v>
      </c>
    </row>
    <row r="50" spans="2:23">
      <c r="C50" s="228"/>
      <c r="D50" s="1"/>
    </row>
    <row r="51" spans="2:23" ht="28.05" customHeight="1">
      <c r="D51" s="586" t="s">
        <v>10265</v>
      </c>
      <c r="E51" s="586"/>
      <c r="F51" s="586"/>
      <c r="G51" s="586"/>
      <c r="H51" s="586"/>
      <c r="I51" s="586"/>
      <c r="J51" s="586"/>
      <c r="K51" s="586"/>
      <c r="L51" s="586"/>
      <c r="M51" s="586"/>
      <c r="N51" s="586"/>
      <c r="O51" s="586"/>
      <c r="P51" s="586"/>
      <c r="Q51" s="586"/>
      <c r="R51" s="586"/>
      <c r="S51" s="586"/>
      <c r="T51" s="586"/>
      <c r="U51" s="586"/>
      <c r="V51" s="586"/>
    </row>
    <row r="53" spans="2:23">
      <c r="B53" s="228" t="s">
        <v>56</v>
      </c>
      <c r="C53" s="1" t="s">
        <v>10266</v>
      </c>
    </row>
    <row r="55" spans="2:23" ht="33" customHeight="1">
      <c r="D55" s="586" t="s">
        <v>57</v>
      </c>
      <c r="E55" s="586"/>
      <c r="F55" s="586"/>
      <c r="G55" s="586"/>
      <c r="H55" s="586"/>
      <c r="I55" s="586"/>
      <c r="J55" s="586"/>
      <c r="K55" s="586"/>
      <c r="L55" s="586"/>
      <c r="M55" s="586"/>
      <c r="N55" s="586"/>
      <c r="O55" s="586"/>
      <c r="P55" s="586"/>
      <c r="Q55" s="586"/>
      <c r="R55" s="586"/>
      <c r="S55" s="586"/>
      <c r="T55" s="586"/>
      <c r="U55" s="586"/>
      <c r="V55" s="586"/>
    </row>
    <row r="59" spans="2:23">
      <c r="V59" s="72"/>
      <c r="W59" s="73" t="s">
        <v>58</v>
      </c>
    </row>
    <row r="60" spans="2:23">
      <c r="V60" s="72"/>
      <c r="W60" s="73" t="s">
        <v>59</v>
      </c>
    </row>
    <row r="61" spans="2:23">
      <c r="V61" s="72"/>
      <c r="W61" s="73" t="s">
        <v>60</v>
      </c>
    </row>
    <row r="62" spans="2:23">
      <c r="V62" s="72"/>
      <c r="W62" s="73" t="s">
        <v>61</v>
      </c>
    </row>
    <row r="63" spans="2:23">
      <c r="V63" s="72"/>
      <c r="W63" s="73" t="s">
        <v>10337</v>
      </c>
    </row>
  </sheetData>
  <sheetProtection algorithmName="SHA-512" hashValue="kc4YLf3bJzBzGlC3pcR2ijUnwXHVzEqcKkhREfczdJHIAXLfyetdEo9mVTpo1w+ncXC/UbSBCzvhZUYA7GFrGg==" saltValue="LTe49kGBC8rIhP2if4t3bw==" spinCount="100000" sheet="1" selectLockedCells="1"/>
  <mergeCells count="17">
    <mergeCell ref="D27:F27"/>
    <mergeCell ref="B3:AD7"/>
    <mergeCell ref="D34:V34"/>
    <mergeCell ref="D51:V51"/>
    <mergeCell ref="D55:V55"/>
    <mergeCell ref="D13:U13"/>
    <mergeCell ref="D19:F19"/>
    <mergeCell ref="D20:F20"/>
    <mergeCell ref="D18:F18"/>
    <mergeCell ref="D23:F23"/>
    <mergeCell ref="D24:F24"/>
    <mergeCell ref="D25:F25"/>
    <mergeCell ref="D29:F29"/>
    <mergeCell ref="D26:F26"/>
    <mergeCell ref="D28:F28"/>
    <mergeCell ref="D21:F21"/>
    <mergeCell ref="D22:F22"/>
  </mergeCells>
  <pageMargins left="0.7" right="0.7" top="0.75" bottom="0.75" header="0.3" footer="0.3"/>
  <ignoredErrors>
    <ignoredError sqref="B12 B15 B32 B37 B49 B53" numberStoredAsText="1"/>
  </ignoredErrors>
  <drawing r:id="rId1"/>
  <extLst>
    <ext xmlns:x14="http://schemas.microsoft.com/office/spreadsheetml/2009/9/main" uri="{78C0D931-6437-407d-A8EE-F0AAD7539E65}">
      <x14:conditionalFormattings>
        <x14:conditionalFormatting xmlns:xm="http://schemas.microsoft.com/office/excel/2006/main">
          <x14:cfRule type="iconSet" priority="63" id="{EB66C719-2B14-483F-B8D8-5F23593625B4}">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D44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876EC-45DC-4359-9861-69AA5BF785A6}">
  <sheetPr>
    <tabColor rgb="FFACE2EB"/>
  </sheetPr>
  <dimension ref="A1:BF173"/>
  <sheetViews>
    <sheetView showGridLines="0" tabSelected="1" topLeftCell="A37" zoomScale="77" zoomScaleNormal="70" workbookViewId="0">
      <selection activeCell="F54" sqref="F54"/>
    </sheetView>
  </sheetViews>
  <sheetFormatPr defaultRowHeight="14.4" outlineLevelRow="2"/>
  <cols>
    <col min="1" max="1" width="6" customWidth="1"/>
    <col min="2" max="2" width="10.33203125" customWidth="1"/>
    <col min="3" max="3" width="47.77734375" customWidth="1"/>
    <col min="4" max="4" width="21.5546875" customWidth="1"/>
    <col min="5" max="5" width="15" customWidth="1"/>
    <col min="6" max="6" width="21.5546875" customWidth="1"/>
    <col min="7" max="7" width="18.77734375" customWidth="1"/>
    <col min="8" max="8" width="65.44140625" customWidth="1"/>
    <col min="9" max="9" width="51.77734375" customWidth="1"/>
    <col min="10" max="10" width="11.5546875" bestFit="1" customWidth="1"/>
  </cols>
  <sheetData>
    <row r="1" spans="1:58" ht="21">
      <c r="A1" s="529" t="str">
        <f>_xlfn.CONCAT("Project Name: ",'Project Inputs'!$D$10)</f>
        <v xml:space="preserve">Project Name: </v>
      </c>
      <c r="B1" s="174"/>
      <c r="C1" s="174"/>
      <c r="D1" s="174"/>
      <c r="E1" s="175"/>
      <c r="F1" s="174"/>
      <c r="G1" s="174"/>
      <c r="H1" s="174"/>
      <c r="I1" s="174"/>
      <c r="J1" s="174"/>
      <c r="K1" s="174"/>
      <c r="L1" s="174"/>
      <c r="M1" s="174"/>
      <c r="N1" s="174"/>
      <c r="O1" s="174"/>
      <c r="P1" s="174"/>
      <c r="Q1" s="174"/>
      <c r="R1" s="174"/>
      <c r="S1" s="174"/>
      <c r="T1" s="174"/>
      <c r="U1" s="174"/>
      <c r="V1" s="174"/>
      <c r="W1" s="174"/>
      <c r="X1" s="174"/>
      <c r="Y1" s="174"/>
      <c r="Z1" s="174"/>
    </row>
    <row r="2" spans="1:58" ht="70.05" customHeight="1">
      <c r="A2" s="188" t="s">
        <v>10161</v>
      </c>
      <c r="B2" s="174"/>
      <c r="C2" s="174"/>
      <c r="D2" s="174"/>
      <c r="E2" s="175"/>
      <c r="F2" s="174"/>
      <c r="G2" s="174"/>
      <c r="H2" s="174"/>
      <c r="I2" s="174"/>
      <c r="J2" s="174"/>
      <c r="K2" s="174"/>
      <c r="L2" s="174"/>
      <c r="M2" s="174"/>
      <c r="N2" s="174"/>
      <c r="O2" s="174"/>
      <c r="P2" s="174"/>
      <c r="Q2" s="174"/>
      <c r="R2" s="174"/>
      <c r="S2" s="174"/>
      <c r="T2" s="174"/>
      <c r="U2" s="174"/>
      <c r="V2" s="174"/>
      <c r="W2" s="174"/>
      <c r="X2" s="174"/>
      <c r="Y2" s="174"/>
      <c r="Z2" s="174"/>
    </row>
    <row r="3" spans="1:58" ht="13.05" customHeight="1" thickBot="1">
      <c r="B3" s="39"/>
    </row>
    <row r="4" spans="1:58" ht="25.8">
      <c r="A4" s="187" t="s">
        <v>7</v>
      </c>
      <c r="B4" s="30"/>
      <c r="C4" s="122"/>
      <c r="D4" s="122"/>
      <c r="E4" s="122"/>
      <c r="F4" s="30"/>
      <c r="G4" s="30"/>
      <c r="H4" s="30"/>
      <c r="I4" s="30"/>
      <c r="J4" s="30"/>
      <c r="K4" s="30"/>
      <c r="L4" s="30"/>
      <c r="M4" s="30"/>
      <c r="N4" s="30"/>
      <c r="O4" s="30"/>
      <c r="P4" s="30"/>
      <c r="Q4" s="30"/>
      <c r="R4" s="30"/>
      <c r="S4" s="30"/>
      <c r="T4" s="30"/>
      <c r="U4" s="30"/>
      <c r="V4" s="30"/>
      <c r="W4" s="30"/>
      <c r="X4" s="30"/>
      <c r="Y4" s="30"/>
      <c r="Z4" s="30"/>
    </row>
    <row r="5" spans="1:58">
      <c r="D5" s="41"/>
      <c r="E5" s="41"/>
    </row>
    <row r="6" spans="1:58" ht="211.5" customHeight="1">
      <c r="B6" s="602" t="s">
        <v>10298</v>
      </c>
      <c r="C6" s="603"/>
      <c r="D6" s="603"/>
      <c r="E6" s="603"/>
      <c r="F6" s="603"/>
      <c r="G6" s="603"/>
      <c r="H6" s="604"/>
      <c r="I6" s="517"/>
      <c r="J6" s="517"/>
      <c r="K6" s="517"/>
      <c r="L6" s="517"/>
    </row>
    <row r="7" spans="1:58">
      <c r="D7" s="41"/>
      <c r="E7" s="41"/>
    </row>
    <row r="8" spans="1:58">
      <c r="D8" s="41"/>
      <c r="E8" s="41"/>
    </row>
    <row r="9" spans="1:58">
      <c r="D9" s="41"/>
      <c r="E9" s="41"/>
    </row>
    <row r="10" spans="1:58" ht="15.6">
      <c r="C10" s="32" t="s">
        <v>10195</v>
      </c>
      <c r="D10" s="380"/>
      <c r="E10" s="41"/>
    </row>
    <row r="11" spans="1:58" ht="15.6">
      <c r="C11" s="32" t="s">
        <v>10242</v>
      </c>
      <c r="D11" s="381"/>
      <c r="E11" s="41"/>
    </row>
    <row r="12" spans="1:58">
      <c r="D12" s="41"/>
      <c r="E12" s="41"/>
    </row>
    <row r="13" spans="1:58" ht="15.6">
      <c r="C13" s="32" t="s">
        <v>10305</v>
      </c>
      <c r="D13" s="403"/>
      <c r="E13" s="39"/>
      <c r="H13" s="39"/>
      <c r="BE13" s="5" t="s">
        <v>202</v>
      </c>
      <c r="BF13" s="5">
        <f>$D$13</f>
        <v>0</v>
      </c>
    </row>
    <row r="14" spans="1:58">
      <c r="D14" s="41"/>
      <c r="E14" s="41"/>
      <c r="BE14" s="5" t="s">
        <v>205</v>
      </c>
      <c r="BF14" s="5">
        <f>IFERROR(INDEX(ls_country_data,MATCH(BF13,_xlfn.CHOOSECOLS(ls_country_data,2),0),1),1)</f>
        <v>1</v>
      </c>
    </row>
    <row r="15" spans="1:58" ht="15.6">
      <c r="C15" s="134" t="s">
        <v>206</v>
      </c>
      <c r="D15" s="201"/>
      <c r="E15" s="41"/>
    </row>
    <row r="16" spans="1:58" ht="15.6">
      <c r="C16" s="134" t="s">
        <v>207</v>
      </c>
      <c r="D16" s="404"/>
      <c r="E16" s="41"/>
    </row>
    <row r="17" spans="1:26" ht="15.6">
      <c r="C17" s="42"/>
      <c r="D17" s="123"/>
      <c r="E17" s="41"/>
    </row>
    <row r="18" spans="1:26">
      <c r="D18" s="41"/>
      <c r="E18" s="41"/>
    </row>
    <row r="19" spans="1:26" ht="15.6">
      <c r="C19" s="202" t="s">
        <v>10293</v>
      </c>
      <c r="D19" s="508"/>
      <c r="E19" s="41"/>
    </row>
    <row r="20" spans="1:26" ht="15.6">
      <c r="C20" s="202" t="s">
        <v>210</v>
      </c>
      <c r="D20" s="409"/>
      <c r="E20" s="41"/>
    </row>
    <row r="21" spans="1:26" ht="15.6">
      <c r="C21" s="202" t="s">
        <v>10306</v>
      </c>
      <c r="D21" s="201"/>
      <c r="E21" s="41"/>
    </row>
    <row r="22" spans="1:26" ht="30" customHeight="1">
      <c r="C22" s="202" t="s">
        <v>212</v>
      </c>
      <c r="D22" s="495"/>
      <c r="E22" s="41"/>
      <c r="F22" s="34"/>
    </row>
    <row r="23" spans="1:26">
      <c r="D23" s="41"/>
    </row>
    <row r="24" spans="1:26" ht="15.6">
      <c r="C24" s="525" t="s">
        <v>10294</v>
      </c>
      <c r="D24" s="526"/>
    </row>
    <row r="25" spans="1:26" ht="15.6">
      <c r="C25" s="524" t="s">
        <v>10285</v>
      </c>
      <c r="D25" s="526"/>
    </row>
    <row r="26" spans="1:26" ht="15.6">
      <c r="C26" s="524" t="s">
        <v>10286</v>
      </c>
      <c r="D26" s="526"/>
    </row>
    <row r="27" spans="1:26" ht="13.05" customHeight="1" thickBot="1"/>
    <row r="28" spans="1:26" ht="26.1" customHeight="1">
      <c r="A28" s="187" t="s">
        <v>2</v>
      </c>
      <c r="B28" s="30"/>
      <c r="C28" s="30"/>
      <c r="D28" s="30"/>
      <c r="E28" s="30"/>
      <c r="F28" s="30"/>
      <c r="G28" s="30"/>
      <c r="H28" s="30"/>
      <c r="I28" s="30"/>
      <c r="J28" s="30"/>
      <c r="K28" s="30"/>
      <c r="L28" s="30"/>
      <c r="M28" s="30"/>
      <c r="N28" s="30"/>
      <c r="O28" s="30"/>
      <c r="P28" s="30"/>
      <c r="Q28" s="30"/>
      <c r="R28" s="30"/>
      <c r="S28" s="30"/>
      <c r="T28" s="30"/>
      <c r="U28" s="30"/>
      <c r="V28" s="30"/>
      <c r="W28" s="30"/>
      <c r="X28" s="30"/>
      <c r="Y28" s="30"/>
      <c r="Z28" s="30"/>
    </row>
    <row r="29" spans="1:26" ht="13.05" customHeight="1"/>
    <row r="30" spans="1:26" ht="234.6" customHeight="1">
      <c r="B30" s="608" t="s">
        <v>10315</v>
      </c>
      <c r="C30" s="609"/>
      <c r="D30" s="609"/>
      <c r="E30" s="609"/>
      <c r="F30" s="609"/>
      <c r="G30" s="609"/>
      <c r="H30" s="610"/>
    </row>
    <row r="31" spans="1:26" ht="16.05" customHeight="1">
      <c r="B31" s="158"/>
      <c r="C31" s="158"/>
      <c r="D31" s="158"/>
      <c r="E31" s="158"/>
      <c r="F31" s="158"/>
      <c r="G31" s="158"/>
      <c r="H31" s="158"/>
    </row>
    <row r="32" spans="1:26" ht="26.55" customHeight="1">
      <c r="B32" s="605" t="s">
        <v>10251</v>
      </c>
      <c r="C32" s="605"/>
      <c r="D32" s="506">
        <f>SUM($G$36,$G$48,$G$64,$G$92,$G$125,$G$144,$G$158)</f>
        <v>0</v>
      </c>
      <c r="I32" s="211"/>
      <c r="J32" s="211"/>
      <c r="K32" s="211"/>
      <c r="L32" s="211"/>
      <c r="M32" s="211"/>
      <c r="N32" s="211"/>
      <c r="O32" s="211"/>
    </row>
    <row r="33" spans="1:15" ht="26.55" customHeight="1">
      <c r="B33" s="605" t="s">
        <v>10267</v>
      </c>
      <c r="C33" s="605"/>
      <c r="D33" s="506" t="str">
        <f ca="1">'Data output'!$H$22</f>
        <v>Not certified</v>
      </c>
      <c r="I33" s="211"/>
      <c r="J33" s="211"/>
      <c r="K33" s="211"/>
      <c r="L33" s="211"/>
      <c r="M33" s="211"/>
      <c r="N33" s="211"/>
      <c r="O33" s="211"/>
    </row>
    <row r="34" spans="1:15" ht="15" customHeight="1">
      <c r="I34" s="211"/>
      <c r="J34" s="211"/>
      <c r="K34" s="211"/>
      <c r="L34" s="211"/>
      <c r="M34" s="211"/>
      <c r="N34" s="211"/>
      <c r="O34" s="211"/>
    </row>
    <row r="35" spans="1:15" ht="34.049999999999997" customHeight="1">
      <c r="B35" s="243" t="s">
        <v>62</v>
      </c>
      <c r="C35" s="243" t="s">
        <v>63</v>
      </c>
      <c r="D35" s="519" t="s">
        <v>64</v>
      </c>
      <c r="E35" s="244" t="s">
        <v>65</v>
      </c>
      <c r="F35" s="244" t="s">
        <v>10154</v>
      </c>
      <c r="G35" s="518" t="s">
        <v>66</v>
      </c>
      <c r="H35" s="244" t="s">
        <v>3</v>
      </c>
      <c r="I35" s="356" t="s">
        <v>10156</v>
      </c>
    </row>
    <row r="36" spans="1:15">
      <c r="A36" s="22" t="str">
        <f>IF(G36&gt;D36,1,"")</f>
        <v/>
      </c>
      <c r="B36" s="594" t="s">
        <v>68</v>
      </c>
      <c r="C36" s="594"/>
      <c r="D36" s="245">
        <v>7</v>
      </c>
      <c r="E36" s="245"/>
      <c r="F36" s="245" t="s">
        <v>69</v>
      </c>
      <c r="G36" s="245">
        <f>SUM(G37:G38,G43:G47)</f>
        <v>0</v>
      </c>
      <c r="H36" s="245"/>
      <c r="I36" s="245"/>
    </row>
    <row r="37" spans="1:15" ht="27.6">
      <c r="B37" s="246" t="s">
        <v>70</v>
      </c>
      <c r="C37" s="247" t="s">
        <v>71</v>
      </c>
      <c r="D37" s="246" t="s">
        <v>72</v>
      </c>
      <c r="E37" s="246" t="s">
        <v>10155</v>
      </c>
      <c r="F37" s="246" t="s">
        <v>73</v>
      </c>
      <c r="G37" s="248">
        <v>0</v>
      </c>
      <c r="H37" s="249" t="s">
        <v>74</v>
      </c>
      <c r="I37" s="572"/>
    </row>
    <row r="38" spans="1:15" ht="41.4">
      <c r="A38" s="22" t="str">
        <f>IF(G38&gt;D38,1,"")</f>
        <v/>
      </c>
      <c r="B38" s="246" t="s">
        <v>75</v>
      </c>
      <c r="C38" s="247" t="s">
        <v>76</v>
      </c>
      <c r="D38" s="246">
        <v>2</v>
      </c>
      <c r="E38" s="250" t="s">
        <v>77</v>
      </c>
      <c r="F38" s="410"/>
      <c r="G38" s="248">
        <f>IF(F38="Yes",G42,0)</f>
        <v>0</v>
      </c>
      <c r="H38" s="251" t="s">
        <v>10272</v>
      </c>
      <c r="I38" s="572"/>
    </row>
    <row r="39" spans="1:15" ht="41.4" hidden="1" outlineLevel="1">
      <c r="B39" s="252"/>
      <c r="C39" s="1" t="s">
        <v>79</v>
      </c>
      <c r="F39" s="1" t="s">
        <v>80</v>
      </c>
      <c r="G39" s="1" t="s">
        <v>81</v>
      </c>
      <c r="H39" s="251" t="s">
        <v>10272</v>
      </c>
      <c r="I39" s="573"/>
    </row>
    <row r="40" spans="1:15" ht="30" hidden="1" customHeight="1" outlineLevel="1">
      <c r="B40" s="246" t="s">
        <v>10318</v>
      </c>
      <c r="C40" s="595" t="s">
        <v>82</v>
      </c>
      <c r="D40" s="595"/>
      <c r="E40" s="595"/>
      <c r="F40" s="410"/>
      <c r="G40" s="165">
        <f>IF(F40="Yes",1,0)</f>
        <v>0</v>
      </c>
      <c r="H40" s="251" t="s">
        <v>10272</v>
      </c>
      <c r="I40" s="573"/>
    </row>
    <row r="41" spans="1:15" ht="30" hidden="1" customHeight="1" outlineLevel="1">
      <c r="B41" s="246" t="s">
        <v>10319</v>
      </c>
      <c r="C41" s="595" t="s">
        <v>84</v>
      </c>
      <c r="D41" s="595"/>
      <c r="E41" s="595"/>
      <c r="F41" s="410"/>
      <c r="G41" s="165">
        <f>IF(F41="Yes",1,0)</f>
        <v>0</v>
      </c>
      <c r="H41" s="251" t="s">
        <v>10272</v>
      </c>
      <c r="I41" s="573"/>
    </row>
    <row r="42" spans="1:15" ht="41.4" hidden="1" outlineLevel="1">
      <c r="B42" s="252"/>
      <c r="C42" s="253"/>
      <c r="F42" s="359"/>
      <c r="G42" s="206">
        <f>IF(F38="Yes",SUM(G40:G41),0)</f>
        <v>0</v>
      </c>
      <c r="H42" s="251" t="s">
        <v>10272</v>
      </c>
      <c r="I42" s="573"/>
      <c r="K42" s="39"/>
    </row>
    <row r="43" spans="1:15" ht="41.4" collapsed="1">
      <c r="A43" s="22" t="str">
        <f t="shared" ref="A43:A48" si="0">IF(G43&gt;D43,1,"")</f>
        <v/>
      </c>
      <c r="B43" s="246" t="s">
        <v>85</v>
      </c>
      <c r="C43" s="247" t="s">
        <v>86</v>
      </c>
      <c r="D43" s="246">
        <v>1</v>
      </c>
      <c r="E43" s="246" t="s">
        <v>87</v>
      </c>
      <c r="F43" s="410"/>
      <c r="G43" s="248">
        <f>IF(F43="Yes",D43,0)</f>
        <v>0</v>
      </c>
      <c r="H43" s="251" t="s">
        <v>10272</v>
      </c>
      <c r="I43" s="572"/>
    </row>
    <row r="44" spans="1:15" ht="41.4">
      <c r="A44" s="22" t="str">
        <f t="shared" si="0"/>
        <v/>
      </c>
      <c r="B44" s="246" t="s">
        <v>88</v>
      </c>
      <c r="C44" s="247" t="s">
        <v>89</v>
      </c>
      <c r="D44" s="246">
        <v>1</v>
      </c>
      <c r="E44" s="246" t="s">
        <v>87</v>
      </c>
      <c r="F44" s="410"/>
      <c r="G44" s="248">
        <f>IF(F44="Yes",D44,0)</f>
        <v>0</v>
      </c>
      <c r="H44" s="251" t="s">
        <v>10272</v>
      </c>
      <c r="I44" s="572"/>
    </row>
    <row r="45" spans="1:15" ht="41.4">
      <c r="A45" s="22" t="str">
        <f t="shared" si="0"/>
        <v/>
      </c>
      <c r="B45" s="246" t="s">
        <v>90</v>
      </c>
      <c r="C45" s="247" t="s">
        <v>91</v>
      </c>
      <c r="D45" s="246">
        <v>1</v>
      </c>
      <c r="E45" s="246" t="s">
        <v>87</v>
      </c>
      <c r="F45" s="410"/>
      <c r="G45" s="248">
        <f>IF(F45="Yes",D45,0)</f>
        <v>0</v>
      </c>
      <c r="H45" s="251" t="s">
        <v>10272</v>
      </c>
      <c r="I45" s="572"/>
    </row>
    <row r="46" spans="1:15" ht="41.4">
      <c r="A46" s="22" t="str">
        <f t="shared" si="0"/>
        <v/>
      </c>
      <c r="B46" s="246" t="s">
        <v>92</v>
      </c>
      <c r="C46" s="247" t="s">
        <v>93</v>
      </c>
      <c r="D46" s="246">
        <v>1</v>
      </c>
      <c r="E46" s="246" t="s">
        <v>87</v>
      </c>
      <c r="F46" s="410"/>
      <c r="G46" s="248">
        <f>IF(F46="Yes",D46,0)</f>
        <v>0</v>
      </c>
      <c r="H46" s="251" t="s">
        <v>10272</v>
      </c>
      <c r="I46" s="572"/>
    </row>
    <row r="47" spans="1:15" ht="41.4">
      <c r="A47" s="22" t="str">
        <f t="shared" si="0"/>
        <v/>
      </c>
      <c r="B47" s="246" t="s">
        <v>94</v>
      </c>
      <c r="C47" s="247" t="s">
        <v>95</v>
      </c>
      <c r="D47" s="246">
        <v>1</v>
      </c>
      <c r="E47" s="246" t="s">
        <v>87</v>
      </c>
      <c r="F47" s="410"/>
      <c r="G47" s="248">
        <f>IF(F47="Yes",D47,0)</f>
        <v>0</v>
      </c>
      <c r="H47" s="251" t="s">
        <v>10272</v>
      </c>
      <c r="I47" s="572"/>
    </row>
    <row r="48" spans="1:15">
      <c r="A48" s="22" t="str">
        <f t="shared" si="0"/>
        <v/>
      </c>
      <c r="B48" s="594" t="s">
        <v>96</v>
      </c>
      <c r="C48" s="594"/>
      <c r="D48" s="245">
        <v>7</v>
      </c>
      <c r="E48" s="245"/>
      <c r="F48" s="255"/>
      <c r="G48" s="245">
        <f>SUM(G49:G54,G59)</f>
        <v>0</v>
      </c>
      <c r="H48" s="256"/>
      <c r="I48" s="245"/>
    </row>
    <row r="49" spans="1:11" ht="41.4">
      <c r="B49" s="246" t="s">
        <v>21</v>
      </c>
      <c r="C49" s="247" t="s">
        <v>22</v>
      </c>
      <c r="D49" s="246" t="s">
        <v>72</v>
      </c>
      <c r="E49" s="246" t="s">
        <v>10155</v>
      </c>
      <c r="F49" s="246" t="s">
        <v>73</v>
      </c>
      <c r="G49" s="248">
        <v>0</v>
      </c>
      <c r="H49" s="249" t="s">
        <v>10268</v>
      </c>
      <c r="I49" s="572"/>
    </row>
    <row r="50" spans="1:11" ht="27.6">
      <c r="B50" s="246" t="s">
        <v>97</v>
      </c>
      <c r="C50" s="247" t="s">
        <v>98</v>
      </c>
      <c r="D50" s="246" t="s">
        <v>72</v>
      </c>
      <c r="E50" s="246" t="s">
        <v>10155</v>
      </c>
      <c r="F50" s="246" t="s">
        <v>73</v>
      </c>
      <c r="G50" s="248">
        <v>0</v>
      </c>
      <c r="H50" s="249" t="s">
        <v>99</v>
      </c>
      <c r="I50" s="572"/>
    </row>
    <row r="51" spans="1:11" ht="55.2">
      <c r="A51" s="22" t="str">
        <f>IF(G51&gt;D51,1,"")</f>
        <v/>
      </c>
      <c r="B51" s="246" t="s">
        <v>23</v>
      </c>
      <c r="C51" s="247" t="s">
        <v>24</v>
      </c>
      <c r="D51" s="257">
        <v>1</v>
      </c>
      <c r="E51" s="246" t="s">
        <v>87</v>
      </c>
      <c r="F51" s="410"/>
      <c r="G51" s="248">
        <f>IF(F51="Yes",'Data output'!H30,0)</f>
        <v>0</v>
      </c>
      <c r="H51" s="251" t="s">
        <v>10284</v>
      </c>
      <c r="I51" s="572"/>
    </row>
    <row r="52" spans="1:11" ht="41.4">
      <c r="A52" s="22" t="str">
        <f>IF(G52&gt;D52,1,"")</f>
        <v/>
      </c>
      <c r="B52" s="246" t="s">
        <v>25</v>
      </c>
      <c r="C52" s="247" t="s">
        <v>26</v>
      </c>
      <c r="D52" s="246">
        <v>1</v>
      </c>
      <c r="E52" s="246" t="s">
        <v>87</v>
      </c>
      <c r="F52" s="410"/>
      <c r="G52" s="248">
        <f>IF(F52="Yes",'Data output'!H38,0)</f>
        <v>0</v>
      </c>
      <c r="H52" s="251" t="s">
        <v>10283</v>
      </c>
      <c r="I52" s="572"/>
    </row>
    <row r="53" spans="1:11" ht="55.2">
      <c r="A53" s="22" t="str">
        <f>IF(G53&gt;D53,1,"")</f>
        <v/>
      </c>
      <c r="B53" s="246" t="s">
        <v>100</v>
      </c>
      <c r="C53" s="247" t="s">
        <v>101</v>
      </c>
      <c r="D53" s="257">
        <v>1</v>
      </c>
      <c r="E53" s="246" t="s">
        <v>87</v>
      </c>
      <c r="F53" s="410"/>
      <c r="G53" s="248">
        <f>IF(F53="Yes",D53,0)</f>
        <v>0</v>
      </c>
      <c r="H53" s="251" t="s">
        <v>10282</v>
      </c>
      <c r="I53" s="572"/>
    </row>
    <row r="54" spans="1:11" ht="69">
      <c r="A54" s="22" t="str">
        <f>IF(G54&gt;D54,1,"")</f>
        <v/>
      </c>
      <c r="B54" s="246" t="s">
        <v>27</v>
      </c>
      <c r="C54" s="258" t="s">
        <v>102</v>
      </c>
      <c r="D54" s="259">
        <v>2</v>
      </c>
      <c r="E54" s="250" t="s">
        <v>77</v>
      </c>
      <c r="F54" s="410"/>
      <c r="G54" s="248">
        <f>IF(F54="Yes",G58,0)</f>
        <v>0</v>
      </c>
      <c r="H54" s="260" t="s">
        <v>10281</v>
      </c>
      <c r="I54" s="574"/>
    </row>
    <row r="55" spans="1:11" ht="28.8" hidden="1" outlineLevel="1">
      <c r="B55" s="252"/>
      <c r="C55" s="17" t="s">
        <v>103</v>
      </c>
      <c r="F55" s="1" t="s">
        <v>80</v>
      </c>
      <c r="G55" s="1" t="s">
        <v>81</v>
      </c>
      <c r="H55" s="44"/>
      <c r="I55" s="573"/>
    </row>
    <row r="56" spans="1:11" ht="89.25" hidden="1" customHeight="1" outlineLevel="1">
      <c r="B56" s="246" t="s">
        <v>10320</v>
      </c>
      <c r="C56" s="596" t="s">
        <v>104</v>
      </c>
      <c r="D56" s="595"/>
      <c r="E56" s="595"/>
      <c r="F56" s="410"/>
      <c r="G56" s="165">
        <f>IF(F56="Yes",1,0)</f>
        <v>0</v>
      </c>
      <c r="H56" s="44"/>
      <c r="I56" s="573"/>
    </row>
    <row r="57" spans="1:11" ht="30" hidden="1" customHeight="1" outlineLevel="1">
      <c r="B57" s="246" t="s">
        <v>10321</v>
      </c>
      <c r="C57" s="596" t="s">
        <v>105</v>
      </c>
      <c r="D57" s="595"/>
      <c r="E57" s="595"/>
      <c r="F57" s="410"/>
      <c r="G57" s="165">
        <f>IF(F57="Yes",1,0)</f>
        <v>0</v>
      </c>
      <c r="H57" s="44"/>
      <c r="I57" s="573"/>
    </row>
    <row r="58" spans="1:11" ht="19.05" hidden="1" customHeight="1" outlineLevel="1">
      <c r="B58" s="252"/>
      <c r="F58" s="35"/>
      <c r="G58" s="206">
        <f>IF(F54="Yes",SUM(G56:G57),0)</f>
        <v>0</v>
      </c>
      <c r="H58" s="44"/>
      <c r="I58" s="573"/>
      <c r="K58" s="39"/>
    </row>
    <row r="59" spans="1:11" ht="41.4" collapsed="1">
      <c r="A59" s="22" t="str">
        <f>IF(G59&gt;D59,1,"")</f>
        <v/>
      </c>
      <c r="B59" s="246" t="s">
        <v>106</v>
      </c>
      <c r="C59" s="247" t="s">
        <v>107</v>
      </c>
      <c r="D59" s="246">
        <v>2</v>
      </c>
      <c r="E59" s="250" t="s">
        <v>77</v>
      </c>
      <c r="F59" s="410"/>
      <c r="G59" s="248">
        <f>IF(F59="Yes",G63,0)</f>
        <v>0</v>
      </c>
      <c r="H59" s="251" t="s">
        <v>10272</v>
      </c>
      <c r="I59" s="572"/>
    </row>
    <row r="60" spans="1:11" hidden="1" outlineLevel="1">
      <c r="B60" s="252"/>
      <c r="C60" s="1" t="s">
        <v>108</v>
      </c>
      <c r="F60" s="1" t="s">
        <v>80</v>
      </c>
      <c r="G60" s="1" t="s">
        <v>81</v>
      </c>
      <c r="H60" s="44"/>
    </row>
    <row r="61" spans="1:11" ht="66.75" hidden="1" customHeight="1" outlineLevel="1">
      <c r="B61" s="246" t="s">
        <v>10320</v>
      </c>
      <c r="C61" s="593" t="s">
        <v>109</v>
      </c>
      <c r="D61" s="593"/>
      <c r="E61" s="593"/>
      <c r="F61" s="410"/>
      <c r="G61" s="165">
        <f>IF(F61="Yes",1,0)</f>
        <v>0</v>
      </c>
      <c r="H61" s="44"/>
    </row>
    <row r="62" spans="1:11" ht="66" hidden="1" customHeight="1" outlineLevel="1">
      <c r="B62" s="246" t="s">
        <v>10321</v>
      </c>
      <c r="C62" s="593" t="s">
        <v>110</v>
      </c>
      <c r="D62" s="593"/>
      <c r="E62" s="593"/>
      <c r="F62" s="410"/>
      <c r="G62" s="165">
        <f>IF(F62="Yes",1,0)</f>
        <v>0</v>
      </c>
      <c r="H62" s="44"/>
    </row>
    <row r="63" spans="1:11" hidden="1" outlineLevel="1">
      <c r="B63" s="252"/>
      <c r="F63" s="35"/>
      <c r="G63" s="206">
        <f>IF(F59="Yes",SUM(G61:G62),0)</f>
        <v>0</v>
      </c>
      <c r="H63" s="44"/>
      <c r="K63" s="39"/>
    </row>
    <row r="64" spans="1:11" collapsed="1">
      <c r="A64" s="22" t="str">
        <f>IF(G64&gt;D64,1,"")</f>
        <v/>
      </c>
      <c r="B64" s="594" t="s">
        <v>111</v>
      </c>
      <c r="C64" s="594"/>
      <c r="D64" s="245">
        <v>16</v>
      </c>
      <c r="E64" s="245"/>
      <c r="F64" s="255"/>
      <c r="G64" s="245">
        <f>SUM(G65:G66,G71,G76,G80,G86:G87)</f>
        <v>0</v>
      </c>
      <c r="H64" s="256"/>
      <c r="I64" s="245"/>
    </row>
    <row r="65" spans="1:11" ht="27.6">
      <c r="B65" s="246" t="s">
        <v>112</v>
      </c>
      <c r="C65" s="247" t="s">
        <v>113</v>
      </c>
      <c r="D65" s="246" t="s">
        <v>72</v>
      </c>
      <c r="E65" s="246" t="s">
        <v>10155</v>
      </c>
      <c r="F65" s="246" t="s">
        <v>73</v>
      </c>
      <c r="G65" s="248">
        <v>0</v>
      </c>
      <c r="H65" s="249" t="s">
        <v>99</v>
      </c>
      <c r="I65" s="572"/>
    </row>
    <row r="66" spans="1:11" ht="39.6" customHeight="1">
      <c r="A66" s="22" t="str">
        <f>IF(G66&gt;D66,1,"")</f>
        <v/>
      </c>
      <c r="B66" s="246" t="s">
        <v>114</v>
      </c>
      <c r="C66" s="247" t="s">
        <v>115</v>
      </c>
      <c r="D66" s="246">
        <v>3</v>
      </c>
      <c r="E66" s="250" t="s">
        <v>77</v>
      </c>
      <c r="F66" s="410"/>
      <c r="G66" s="248">
        <f>IF(F66="Yes",G70,0)</f>
        <v>0</v>
      </c>
      <c r="H66" s="251" t="s">
        <v>10277</v>
      </c>
      <c r="I66" s="572"/>
    </row>
    <row r="67" spans="1:11" ht="21.6" hidden="1" customHeight="1" outlineLevel="1">
      <c r="B67" s="252"/>
      <c r="C67" s="1" t="s">
        <v>116</v>
      </c>
      <c r="F67" s="1" t="s">
        <v>80</v>
      </c>
      <c r="G67" s="1" t="s">
        <v>81</v>
      </c>
      <c r="H67" s="44"/>
      <c r="I67" s="573"/>
    </row>
    <row r="68" spans="1:11" ht="35.25" hidden="1" customHeight="1" outlineLevel="1">
      <c r="B68" s="246" t="s">
        <v>10318</v>
      </c>
      <c r="C68" s="593" t="s">
        <v>117</v>
      </c>
      <c r="D68" s="593"/>
      <c r="E68" s="593"/>
      <c r="F68" s="410"/>
      <c r="G68" s="165">
        <f>IF(F68="Yes",1,0)</f>
        <v>0</v>
      </c>
      <c r="H68" s="44"/>
      <c r="I68" s="573"/>
    </row>
    <row r="69" spans="1:11" hidden="1" outlineLevel="1">
      <c r="B69" s="246" t="s">
        <v>10319</v>
      </c>
      <c r="C69" s="597" t="s">
        <v>118</v>
      </c>
      <c r="D69" s="597"/>
      <c r="E69" s="597"/>
      <c r="F69" s="410"/>
      <c r="G69" s="165">
        <f>IF(F69="Yes",3,0)</f>
        <v>0</v>
      </c>
      <c r="H69" s="44"/>
      <c r="I69" s="573"/>
    </row>
    <row r="70" spans="1:11" ht="17.55" hidden="1" customHeight="1" outlineLevel="1">
      <c r="B70" s="252"/>
      <c r="F70" s="1"/>
      <c r="G70" s="206">
        <f>IF(F66="Yes",MAX(G68:G69),0)</f>
        <v>0</v>
      </c>
      <c r="H70" s="44"/>
      <c r="I70" s="573"/>
      <c r="K70" s="39"/>
    </row>
    <row r="71" spans="1:11" ht="41.4" collapsed="1">
      <c r="A71" s="22" t="str">
        <f>IF(G71&gt;D71,1,"")</f>
        <v/>
      </c>
      <c r="B71" s="246" t="s">
        <v>119</v>
      </c>
      <c r="C71" s="247" t="s">
        <v>120</v>
      </c>
      <c r="D71" s="246">
        <v>3</v>
      </c>
      <c r="E71" s="250" t="s">
        <v>77</v>
      </c>
      <c r="F71" s="411"/>
      <c r="G71" s="248">
        <f>IF(F71="Yes",G75,0)</f>
        <v>0</v>
      </c>
      <c r="H71" s="251" t="s">
        <v>10277</v>
      </c>
      <c r="I71" s="572"/>
    </row>
    <row r="72" spans="1:11" ht="16.5" hidden="1" customHeight="1" outlineLevel="1">
      <c r="B72" s="252"/>
      <c r="C72" s="1" t="s">
        <v>121</v>
      </c>
      <c r="F72" s="1" t="s">
        <v>80</v>
      </c>
      <c r="G72" s="1" t="s">
        <v>81</v>
      </c>
      <c r="H72" s="44"/>
      <c r="I72" s="573"/>
    </row>
    <row r="73" spans="1:11" ht="29.55" hidden="1" customHeight="1" outlineLevel="1">
      <c r="B73" s="246" t="s">
        <v>10320</v>
      </c>
      <c r="C73" s="593" t="s">
        <v>122</v>
      </c>
      <c r="D73" s="593"/>
      <c r="E73" s="593"/>
      <c r="F73" s="410"/>
      <c r="G73" s="165">
        <f>IF(F73="Yes",1,0)</f>
        <v>0</v>
      </c>
      <c r="H73" s="44"/>
      <c r="I73" s="573"/>
    </row>
    <row r="74" spans="1:11" ht="27.6" hidden="1" customHeight="1" outlineLevel="1">
      <c r="B74" s="246" t="s">
        <v>10321</v>
      </c>
      <c r="C74" s="593" t="s">
        <v>123</v>
      </c>
      <c r="D74" s="593"/>
      <c r="E74" s="593"/>
      <c r="F74" s="496"/>
      <c r="G74" s="208" t="str">
        <f>_xlfn.LET(_xlpm.x,F74,IF(AND(ISNUMBER(_xlpm.x),_xlpm.x&gt;0),IF(_xlpm.x&lt;=2,_xlpm.x,2),""))</f>
        <v/>
      </c>
      <c r="H74" s="44"/>
      <c r="I74" s="573"/>
      <c r="K74" s="39"/>
    </row>
    <row r="75" spans="1:11" ht="16.5" hidden="1" customHeight="1" outlineLevel="1">
      <c r="B75" s="252"/>
      <c r="C75" s="261"/>
      <c r="F75" s="35"/>
      <c r="G75" s="207">
        <f>IF(F71="Yes",SUM(G73:G74),0)</f>
        <v>0</v>
      </c>
      <c r="H75" s="44"/>
      <c r="I75" s="573"/>
    </row>
    <row r="76" spans="1:11" ht="41.4" collapsed="1">
      <c r="A76" s="22" t="str">
        <f>IF(G76&gt;D76,1,"")</f>
        <v/>
      </c>
      <c r="B76" s="246" t="s">
        <v>124</v>
      </c>
      <c r="C76" s="247" t="s">
        <v>125</v>
      </c>
      <c r="D76" s="246">
        <v>3</v>
      </c>
      <c r="E76" s="250" t="s">
        <v>77</v>
      </c>
      <c r="F76" s="410"/>
      <c r="G76" s="248">
        <f>IF(F76="Yes",G79,0)</f>
        <v>0</v>
      </c>
      <c r="H76" s="251" t="s">
        <v>10277</v>
      </c>
      <c r="I76" s="572"/>
    </row>
    <row r="77" spans="1:11" ht="17.55" hidden="1" customHeight="1" outlineLevel="1">
      <c r="B77" s="252"/>
      <c r="C77" s="1" t="s">
        <v>126</v>
      </c>
      <c r="F77" s="1" t="s">
        <v>80</v>
      </c>
      <c r="G77" s="1" t="s">
        <v>81</v>
      </c>
      <c r="H77" s="44"/>
      <c r="I77" s="573"/>
    </row>
    <row r="78" spans="1:11" ht="18.600000000000001" hidden="1" customHeight="1" outlineLevel="1">
      <c r="B78" s="252"/>
      <c r="C78" s="597" t="s">
        <v>127</v>
      </c>
      <c r="D78" s="597"/>
      <c r="E78" s="597"/>
      <c r="F78" s="414"/>
      <c r="G78" s="165">
        <f>_xlfn.LET(_xlpm.x,F78,IF(AND(ISNUMBER(_xlpm.x),_xlpm.x=1),1,0)+IF(AND(ISNUMBER(_xlpm.x),_xlpm.x=2),2,0)+IF(AND(ISNUMBER(_xlpm.x),_xlpm.x&gt;2),3))</f>
        <v>0</v>
      </c>
      <c r="H78" s="44"/>
      <c r="I78" s="573"/>
    </row>
    <row r="79" spans="1:11" ht="14.55" hidden="1" customHeight="1" outlineLevel="1">
      <c r="B79" s="252"/>
      <c r="F79" s="35"/>
      <c r="G79" s="207">
        <f>IF(F76="Yes",G78,0)</f>
        <v>0</v>
      </c>
      <c r="H79" s="44"/>
      <c r="I79" s="573"/>
    </row>
    <row r="80" spans="1:11" ht="41.4" collapsed="1">
      <c r="A80" s="22" t="str">
        <f>IF(G80&gt;D80,1,"")</f>
        <v/>
      </c>
      <c r="B80" s="246" t="s">
        <v>128</v>
      </c>
      <c r="C80" s="247" t="s">
        <v>129</v>
      </c>
      <c r="D80" s="246">
        <v>2</v>
      </c>
      <c r="E80" s="250" t="s">
        <v>77</v>
      </c>
      <c r="F80" s="410"/>
      <c r="G80" s="248">
        <f>IF(F80="Yes",G85,0)</f>
        <v>0</v>
      </c>
      <c r="H80" s="251" t="s">
        <v>10277</v>
      </c>
      <c r="I80" s="572"/>
    </row>
    <row r="81" spans="1:11" ht="20.55" hidden="1" customHeight="1" outlineLevel="1">
      <c r="B81" s="252"/>
      <c r="C81" s="1" t="s">
        <v>130</v>
      </c>
      <c r="F81" s="1" t="s">
        <v>80</v>
      </c>
      <c r="G81" s="1" t="s">
        <v>81</v>
      </c>
      <c r="H81" s="44"/>
      <c r="I81" s="573"/>
    </row>
    <row r="82" spans="1:11" ht="30" hidden="1" customHeight="1" outlineLevel="1">
      <c r="B82" s="246" t="s">
        <v>10318</v>
      </c>
      <c r="C82" s="593" t="s">
        <v>10308</v>
      </c>
      <c r="D82" s="593"/>
      <c r="E82" s="593"/>
      <c r="F82" s="410"/>
      <c r="G82" s="208">
        <f>IF(F82="Yes",1,0)</f>
        <v>0</v>
      </c>
      <c r="H82" s="44"/>
      <c r="I82" s="573"/>
      <c r="K82" s="39"/>
    </row>
    <row r="83" spans="1:11" ht="15" hidden="1" customHeight="1" outlineLevel="1">
      <c r="B83" s="601" t="s">
        <v>10319</v>
      </c>
      <c r="C83" s="593" t="s">
        <v>131</v>
      </c>
      <c r="D83" s="593"/>
      <c r="E83" s="593"/>
      <c r="F83" s="410"/>
      <c r="G83" s="606">
        <f>IF(AND(F83="Yes",F84="Yes"),1,0)</f>
        <v>0</v>
      </c>
      <c r="H83" s="44"/>
      <c r="I83" s="573"/>
    </row>
    <row r="84" spans="1:11" ht="30" hidden="1" customHeight="1" outlineLevel="1">
      <c r="B84" s="601"/>
      <c r="C84" s="593" t="s">
        <v>10309</v>
      </c>
      <c r="D84" s="593"/>
      <c r="E84" s="593"/>
      <c r="F84" s="410"/>
      <c r="G84" s="607"/>
      <c r="H84" s="44"/>
      <c r="I84" s="573"/>
    </row>
    <row r="85" spans="1:11" ht="14.1" hidden="1" customHeight="1" outlineLevel="1">
      <c r="B85" s="252"/>
      <c r="F85" s="35"/>
      <c r="G85" s="207">
        <f>IF(F80="Yes",SUM(G82:G83),0)</f>
        <v>0</v>
      </c>
      <c r="H85" s="44"/>
      <c r="I85" s="573"/>
    </row>
    <row r="86" spans="1:11" ht="41.4" collapsed="1">
      <c r="A86" s="22" t="str">
        <f>IF(G86&gt;D86,1,"")</f>
        <v/>
      </c>
      <c r="B86" s="246" t="s">
        <v>132</v>
      </c>
      <c r="C86" s="247" t="s">
        <v>133</v>
      </c>
      <c r="D86" s="246">
        <v>1</v>
      </c>
      <c r="E86" s="246" t="s">
        <v>87</v>
      </c>
      <c r="F86" s="410"/>
      <c r="G86" s="248">
        <f>IF(F86="Yes",D86,0)</f>
        <v>0</v>
      </c>
      <c r="H86" s="251" t="s">
        <v>10272</v>
      </c>
      <c r="I86" s="572"/>
    </row>
    <row r="87" spans="1:11" ht="41.1" customHeight="1">
      <c r="A87" s="22" t="str">
        <f>IF(G87&gt;D87,1,"")</f>
        <v/>
      </c>
      <c r="B87" s="246" t="s">
        <v>134</v>
      </c>
      <c r="C87" s="247" t="s">
        <v>135</v>
      </c>
      <c r="D87" s="246">
        <v>4</v>
      </c>
      <c r="E87" s="250" t="s">
        <v>77</v>
      </c>
      <c r="F87" s="410"/>
      <c r="G87" s="248">
        <f>IF(F87="Yes",G91,0)</f>
        <v>0</v>
      </c>
      <c r="H87" s="251" t="s">
        <v>10277</v>
      </c>
      <c r="I87" s="572"/>
    </row>
    <row r="88" spans="1:11" ht="19.05" hidden="1" customHeight="1" outlineLevel="1">
      <c r="B88" s="252"/>
      <c r="C88" s="1" t="s">
        <v>10307</v>
      </c>
      <c r="F88" s="1" t="s">
        <v>80</v>
      </c>
      <c r="G88" s="1" t="s">
        <v>81</v>
      </c>
      <c r="H88" s="44"/>
    </row>
    <row r="89" spans="1:11" ht="27.6" hidden="1" outlineLevel="1">
      <c r="B89" s="250" t="s">
        <v>10322</v>
      </c>
      <c r="C89" s="598" t="s">
        <v>136</v>
      </c>
      <c r="D89" s="593"/>
      <c r="E89" s="593"/>
      <c r="F89" s="410"/>
      <c r="G89" s="165">
        <f>IF(F89="Yes",2,0)</f>
        <v>0</v>
      </c>
      <c r="H89" s="44"/>
    </row>
    <row r="90" spans="1:11" ht="27.6" hidden="1" outlineLevel="1">
      <c r="B90" s="250" t="s">
        <v>10323</v>
      </c>
      <c r="C90" s="598" t="s">
        <v>137</v>
      </c>
      <c r="D90" s="593"/>
      <c r="E90" s="593"/>
      <c r="F90" s="410"/>
      <c r="G90" s="165">
        <f>IF(F90="Yes",2,0)</f>
        <v>0</v>
      </c>
      <c r="H90" s="44"/>
    </row>
    <row r="91" spans="1:11" hidden="1" outlineLevel="1">
      <c r="B91" s="252"/>
      <c r="C91" s="254"/>
      <c r="F91" s="35"/>
      <c r="G91" s="207">
        <f>IF(F87="Yes",SUM(G89:G90),0)</f>
        <v>0</v>
      </c>
      <c r="H91" s="44"/>
    </row>
    <row r="92" spans="1:11" collapsed="1">
      <c r="A92" s="22" t="str">
        <f>IF(G92&gt;D92,1,"")</f>
        <v/>
      </c>
      <c r="B92" s="594" t="s">
        <v>138</v>
      </c>
      <c r="C92" s="594"/>
      <c r="D92" s="245">
        <f>SUM(D93:D120)</f>
        <v>26</v>
      </c>
      <c r="E92" s="245"/>
      <c r="F92" s="255"/>
      <c r="G92" s="245">
        <f>SUM(G93:G94,G99,G106:G107,G115,G120)</f>
        <v>0</v>
      </c>
      <c r="H92" s="256"/>
      <c r="I92" s="245"/>
    </row>
    <row r="93" spans="1:11" ht="27.6">
      <c r="B93" s="262" t="s">
        <v>139</v>
      </c>
      <c r="C93" s="263" t="s">
        <v>140</v>
      </c>
      <c r="D93" s="262" t="s">
        <v>72</v>
      </c>
      <c r="E93" s="262" t="s">
        <v>10155</v>
      </c>
      <c r="F93" s="262" t="s">
        <v>73</v>
      </c>
      <c r="G93" s="248">
        <v>0</v>
      </c>
      <c r="H93" s="264" t="s">
        <v>99</v>
      </c>
      <c r="I93" s="575"/>
    </row>
    <row r="94" spans="1:11" ht="41.4">
      <c r="A94" s="22" t="str">
        <f>IF(G94&gt;D94,1,"")</f>
        <v/>
      </c>
      <c r="B94" s="246" t="s">
        <v>28</v>
      </c>
      <c r="C94" s="247" t="s">
        <v>29</v>
      </c>
      <c r="D94" s="246">
        <v>3</v>
      </c>
      <c r="E94" s="250" t="s">
        <v>77</v>
      </c>
      <c r="F94" s="410"/>
      <c r="G94" s="248">
        <f>IF(F94="Yes",G98,0)</f>
        <v>0</v>
      </c>
      <c r="H94" s="251" t="s">
        <v>10280</v>
      </c>
      <c r="I94" s="572"/>
    </row>
    <row r="95" spans="1:11" ht="22.5" hidden="1" customHeight="1" outlineLevel="1">
      <c r="B95" s="252"/>
      <c r="C95" s="1" t="s">
        <v>141</v>
      </c>
      <c r="F95" s="1" t="s">
        <v>80</v>
      </c>
      <c r="G95" s="1" t="s">
        <v>81</v>
      </c>
      <c r="H95" s="44"/>
      <c r="I95" s="573"/>
    </row>
    <row r="96" spans="1:11" ht="15.6" hidden="1" customHeight="1" outlineLevel="1">
      <c r="B96" s="246" t="s">
        <v>10320</v>
      </c>
      <c r="C96" s="597" t="s">
        <v>142</v>
      </c>
      <c r="D96" s="597"/>
      <c r="E96" s="597"/>
      <c r="F96" s="410"/>
      <c r="G96" s="165">
        <f>IF(F96="Yes",1,0)</f>
        <v>0</v>
      </c>
      <c r="H96" s="44"/>
      <c r="I96" s="573"/>
    </row>
    <row r="97" spans="1:11" ht="18" hidden="1" customHeight="1" outlineLevel="1">
      <c r="B97" s="246" t="s">
        <v>10321</v>
      </c>
      <c r="C97" s="597" t="s">
        <v>143</v>
      </c>
      <c r="D97" s="597"/>
      <c r="E97" s="597"/>
      <c r="F97" s="576">
        <f>Haz!D34</f>
        <v>0</v>
      </c>
      <c r="G97" s="523" cm="1">
        <f t="array" ref="G97">_xlfn.LET(_xlpm.x,F97,_xlfn.IFS(F94&lt;&gt;"Yes",0,_xlpm.x&gt;=0.2,2,_xlpm.x&gt;=0.1,1,_xlpm.x&lt;0.1,0))</f>
        <v>0</v>
      </c>
      <c r="H97" s="44"/>
      <c r="I97" s="573"/>
      <c r="K97" s="39"/>
    </row>
    <row r="98" spans="1:11" ht="17.100000000000001" hidden="1" customHeight="1" outlineLevel="1">
      <c r="B98" s="252"/>
      <c r="F98" s="35"/>
      <c r="G98" s="207">
        <f>IF(F94="Yes",SUM(G96:G97),0)</f>
        <v>0</v>
      </c>
      <c r="H98" s="44"/>
      <c r="I98" s="573"/>
    </row>
    <row r="99" spans="1:11" ht="41.4" collapsed="1">
      <c r="A99" s="22" t="str">
        <f>IF(G99&gt;D99,1,"")</f>
        <v/>
      </c>
      <c r="B99" s="246" t="s">
        <v>144</v>
      </c>
      <c r="C99" s="247" t="s">
        <v>145</v>
      </c>
      <c r="D99" s="246">
        <v>7</v>
      </c>
      <c r="E99" s="250" t="s">
        <v>77</v>
      </c>
      <c r="F99" s="410"/>
      <c r="G99" s="248">
        <f>IF(F99="Yes",G105,0)</f>
        <v>0</v>
      </c>
      <c r="H99" s="251" t="s">
        <v>10277</v>
      </c>
      <c r="I99" s="572"/>
    </row>
    <row r="100" spans="1:11" ht="17.100000000000001" hidden="1" customHeight="1" outlineLevel="1">
      <c r="B100" s="252"/>
      <c r="C100" s="1" t="s">
        <v>146</v>
      </c>
      <c r="F100" s="1" t="s">
        <v>80</v>
      </c>
      <c r="H100" s="44"/>
      <c r="I100" s="573"/>
    </row>
    <row r="101" spans="1:11" ht="30" hidden="1" customHeight="1" outlineLevel="1">
      <c r="B101" s="262" t="s">
        <v>10320</v>
      </c>
      <c r="C101" s="593" t="s">
        <v>147</v>
      </c>
      <c r="D101" s="593"/>
      <c r="E101" s="593"/>
      <c r="F101" s="410"/>
      <c r="G101" s="165">
        <f>IF(F101="Yes",1,0)</f>
        <v>0</v>
      </c>
      <c r="H101" s="44"/>
      <c r="I101" s="573"/>
    </row>
    <row r="102" spans="1:11" hidden="1" outlineLevel="1">
      <c r="B102" s="601" t="s">
        <v>10321</v>
      </c>
      <c r="C102" s="598" t="s">
        <v>148</v>
      </c>
      <c r="D102" s="593"/>
      <c r="E102" s="593"/>
      <c r="F102" s="413"/>
      <c r="G102" s="168">
        <f>IF(AND(ISNUMBER(F102),0.1&lt;=F102,F102&lt;=0.2),1,0)+IF(AND(ISNUMBER(F102),0.2&lt;=F102),2,0)</f>
        <v>0</v>
      </c>
      <c r="H102" s="44"/>
      <c r="I102" s="573"/>
    </row>
    <row r="103" spans="1:11" hidden="1" outlineLevel="1">
      <c r="B103" s="601"/>
      <c r="C103" s="598" t="s">
        <v>149</v>
      </c>
      <c r="D103" s="593"/>
      <c r="E103" s="593"/>
      <c r="F103" s="413"/>
      <c r="G103" s="168">
        <f>IF(AND(ISNUMBER(F103),0.1&lt;=F103,F103&lt;=0.2),1,0)+IF(AND(ISNUMBER(F103),0.2&lt;=F103),2,0)</f>
        <v>0</v>
      </c>
      <c r="H103" s="44"/>
      <c r="I103" s="573"/>
    </row>
    <row r="104" spans="1:11" hidden="1" outlineLevel="1">
      <c r="B104" s="601"/>
      <c r="C104" s="598" t="s">
        <v>150</v>
      </c>
      <c r="D104" s="593"/>
      <c r="E104" s="593"/>
      <c r="F104" s="413"/>
      <c r="G104" s="168">
        <f t="shared" ref="G104" si="1">IF(AND(ISNUMBER(F104),0.1&lt;=F104,F104&lt;=0.2),1,0)+IF(AND(ISNUMBER(F104),0.2&lt;=F104),2,0)</f>
        <v>0</v>
      </c>
      <c r="H104" s="44"/>
      <c r="I104" s="573"/>
    </row>
    <row r="105" spans="1:11" ht="18" hidden="1" customHeight="1" outlineLevel="1">
      <c r="B105" s="252"/>
      <c r="C105" s="261"/>
      <c r="F105" s="35"/>
      <c r="G105" s="207">
        <f>IF(F99="Yes",SUM(G101:G104),0)</f>
        <v>0</v>
      </c>
      <c r="H105" s="44"/>
      <c r="I105" s="573"/>
    </row>
    <row r="106" spans="1:11" ht="41.4" collapsed="1">
      <c r="A106" s="22" t="str">
        <f>IF(G106&gt;D106,1,"")</f>
        <v/>
      </c>
      <c r="B106" s="246" t="s">
        <v>151</v>
      </c>
      <c r="C106" s="247" t="s">
        <v>152</v>
      </c>
      <c r="D106" s="246">
        <v>2</v>
      </c>
      <c r="E106" s="246" t="s">
        <v>87</v>
      </c>
      <c r="F106" s="410"/>
      <c r="G106" s="248">
        <f>IF(F106="Yes",D106,0)</f>
        <v>0</v>
      </c>
      <c r="H106" s="251" t="s">
        <v>10272</v>
      </c>
      <c r="I106" s="572"/>
    </row>
    <row r="107" spans="1:11" ht="41.4">
      <c r="A107" s="22" t="str">
        <f>IF(G107&gt;D107,1,"")</f>
        <v/>
      </c>
      <c r="B107" s="246" t="s">
        <v>153</v>
      </c>
      <c r="C107" s="247" t="s">
        <v>154</v>
      </c>
      <c r="D107" s="246">
        <v>5</v>
      </c>
      <c r="E107" s="250" t="s">
        <v>77</v>
      </c>
      <c r="F107" s="410"/>
      <c r="G107" s="248">
        <f>IF(F107="Yes",G114,0)</f>
        <v>0</v>
      </c>
      <c r="H107" s="251" t="s">
        <v>10277</v>
      </c>
      <c r="I107" s="572"/>
    </row>
    <row r="108" spans="1:11" ht="16.5" hidden="1" customHeight="1" outlineLevel="1">
      <c r="B108" s="252"/>
      <c r="C108" s="1" t="s">
        <v>155</v>
      </c>
      <c r="F108" s="1" t="s">
        <v>80</v>
      </c>
      <c r="H108" s="44"/>
      <c r="I108" s="573"/>
    </row>
    <row r="109" spans="1:11" ht="30" hidden="1" customHeight="1" outlineLevel="1">
      <c r="B109" s="246" t="s">
        <v>10318</v>
      </c>
      <c r="C109" s="598" t="s">
        <v>156</v>
      </c>
      <c r="D109" s="593"/>
      <c r="E109" s="593"/>
      <c r="F109" s="410"/>
      <c r="G109" s="165">
        <f>IF(F109="Yes",1,0)</f>
        <v>0</v>
      </c>
      <c r="H109" s="44"/>
      <c r="I109" s="573"/>
    </row>
    <row r="110" spans="1:11" ht="16.5" hidden="1" customHeight="1" outlineLevel="1">
      <c r="B110" s="246" t="s">
        <v>10319</v>
      </c>
      <c r="C110" s="598" t="s">
        <v>157</v>
      </c>
      <c r="D110" s="593"/>
      <c r="E110" s="593"/>
      <c r="F110" s="410"/>
      <c r="G110" s="165">
        <f t="shared" ref="G110:G113" si="2">IF(F110="Yes",1,0)</f>
        <v>0</v>
      </c>
      <c r="H110" s="44"/>
      <c r="I110" s="573"/>
    </row>
    <row r="111" spans="1:11" ht="16.5" hidden="1" customHeight="1" outlineLevel="1">
      <c r="B111" s="246" t="s">
        <v>10324</v>
      </c>
      <c r="C111" s="598" t="s">
        <v>158</v>
      </c>
      <c r="D111" s="593"/>
      <c r="E111" s="593"/>
      <c r="F111" s="410"/>
      <c r="G111" s="165">
        <f t="shared" si="2"/>
        <v>0</v>
      </c>
      <c r="H111" s="44"/>
      <c r="I111" s="573"/>
    </row>
    <row r="112" spans="1:11" ht="16.5" hidden="1" customHeight="1" outlineLevel="1">
      <c r="B112" s="246" t="s">
        <v>10325</v>
      </c>
      <c r="C112" s="598" t="s">
        <v>159</v>
      </c>
      <c r="D112" s="593"/>
      <c r="E112" s="593"/>
      <c r="F112" s="410"/>
      <c r="G112" s="165">
        <f t="shared" si="2"/>
        <v>0</v>
      </c>
      <c r="H112" s="44"/>
      <c r="I112" s="573"/>
    </row>
    <row r="113" spans="1:9" ht="16.5" hidden="1" customHeight="1" outlineLevel="1">
      <c r="B113" s="246" t="s">
        <v>10326</v>
      </c>
      <c r="C113" s="598" t="s">
        <v>160</v>
      </c>
      <c r="D113" s="593"/>
      <c r="E113" s="593"/>
      <c r="F113" s="410"/>
      <c r="G113" s="165">
        <f t="shared" si="2"/>
        <v>0</v>
      </c>
      <c r="H113" s="44"/>
      <c r="I113" s="573"/>
    </row>
    <row r="114" spans="1:9" ht="14.1" hidden="1" customHeight="1" outlineLevel="1">
      <c r="B114" s="252"/>
      <c r="C114" s="261"/>
      <c r="F114" s="35"/>
      <c r="G114" s="207">
        <f>IF(F107="Yes",SUM(G109:G113),0)</f>
        <v>0</v>
      </c>
      <c r="H114" s="44"/>
      <c r="I114" s="573"/>
    </row>
    <row r="115" spans="1:9" ht="41.4" collapsed="1">
      <c r="A115" s="22" t="str">
        <f>IF(G115&gt;D115,1,"")</f>
        <v/>
      </c>
      <c r="B115" s="246" t="s">
        <v>161</v>
      </c>
      <c r="C115" s="247" t="s">
        <v>162</v>
      </c>
      <c r="D115" s="246">
        <v>5</v>
      </c>
      <c r="E115" s="250" t="s">
        <v>77</v>
      </c>
      <c r="F115" s="410"/>
      <c r="G115" s="248">
        <f>IF(F115="Yes",G119,0)</f>
        <v>0</v>
      </c>
      <c r="H115" s="251" t="s">
        <v>10279</v>
      </c>
      <c r="I115" s="572"/>
    </row>
    <row r="116" spans="1:9" ht="18" hidden="1" customHeight="1" outlineLevel="1">
      <c r="B116" s="252"/>
      <c r="C116" s="1" t="s">
        <v>163</v>
      </c>
      <c r="F116" s="1" t="s">
        <v>80</v>
      </c>
      <c r="G116" s="1" t="s">
        <v>81</v>
      </c>
      <c r="H116" s="44"/>
      <c r="I116" s="573"/>
    </row>
    <row r="117" spans="1:9" ht="16.5" hidden="1" customHeight="1" outlineLevel="1">
      <c r="B117" s="246" t="s">
        <v>10318</v>
      </c>
      <c r="C117" s="597" t="s">
        <v>164</v>
      </c>
      <c r="D117" s="597"/>
      <c r="E117" s="597"/>
      <c r="F117" s="410"/>
      <c r="G117" s="165">
        <f>IF(F117="Yes",1,0)</f>
        <v>0</v>
      </c>
      <c r="H117" s="44"/>
      <c r="I117" s="573"/>
    </row>
    <row r="118" spans="1:9" ht="33" hidden="1" customHeight="1" outlineLevel="1">
      <c r="B118" s="246" t="s">
        <v>10319</v>
      </c>
      <c r="C118" s="593" t="s">
        <v>165</v>
      </c>
      <c r="D118" s="593"/>
      <c r="E118" s="593"/>
      <c r="F118" s="410"/>
      <c r="G118" s="165">
        <f>IF(F118="Yes",1,0)</f>
        <v>0</v>
      </c>
      <c r="H118" s="44"/>
      <c r="I118" s="573"/>
    </row>
    <row r="119" spans="1:9" ht="19.5" hidden="1" customHeight="1" outlineLevel="1">
      <c r="B119" s="252"/>
      <c r="F119" s="35"/>
      <c r="G119" s="207">
        <f>IF(F115="Yes",SUM(G117:G118),0)</f>
        <v>0</v>
      </c>
      <c r="H119" s="44"/>
      <c r="I119" s="573"/>
    </row>
    <row r="120" spans="1:9" ht="41.4" collapsed="1">
      <c r="A120" s="22" t="str">
        <f>IF(G120&gt;D120,1,"")</f>
        <v/>
      </c>
      <c r="B120" s="246" t="s">
        <v>166</v>
      </c>
      <c r="C120" s="247" t="s">
        <v>167</v>
      </c>
      <c r="D120" s="246">
        <v>4</v>
      </c>
      <c r="E120" s="250" t="s">
        <v>77</v>
      </c>
      <c r="F120" s="410"/>
      <c r="G120" s="248">
        <f>IF(F120="Yes",G124,0)</f>
        <v>0</v>
      </c>
      <c r="H120" s="251" t="s">
        <v>10279</v>
      </c>
      <c r="I120" s="572"/>
    </row>
    <row r="121" spans="1:9" ht="15.6" hidden="1" customHeight="1" outlineLevel="1">
      <c r="B121" s="252"/>
      <c r="C121" s="1" t="s">
        <v>168</v>
      </c>
      <c r="F121" s="1" t="s">
        <v>80</v>
      </c>
      <c r="G121" s="1" t="s">
        <v>81</v>
      </c>
      <c r="H121" s="44"/>
    </row>
    <row r="122" spans="1:9" ht="15.6" hidden="1" customHeight="1" outlineLevel="1">
      <c r="B122" s="246" t="s">
        <v>10320</v>
      </c>
      <c r="C122" s="600" t="s">
        <v>169</v>
      </c>
      <c r="D122" s="597"/>
      <c r="E122" s="597"/>
      <c r="F122" s="410"/>
      <c r="G122" s="165">
        <f>IF(F122="Yes",1,0)</f>
        <v>0</v>
      </c>
      <c r="H122" s="44"/>
    </row>
    <row r="123" spans="1:9" ht="13.5" hidden="1" customHeight="1" outlineLevel="1">
      <c r="B123" s="246" t="s">
        <v>10321</v>
      </c>
      <c r="C123" s="600" t="s">
        <v>170</v>
      </c>
      <c r="D123" s="597"/>
      <c r="E123" s="597"/>
      <c r="F123" s="496"/>
      <c r="G123" s="165">
        <f>_xlfn.LET(_xlpm.x,F123,IF(_xlpm.x=1,1,IF(_xlpm.x=2,2,IF(AND(ISNUMBER(_xlpm.x),_xlpm.x&gt;=3),3,0))))</f>
        <v>0</v>
      </c>
      <c r="H123" s="44"/>
    </row>
    <row r="124" spans="1:9" ht="15" hidden="1" customHeight="1" outlineLevel="1">
      <c r="B124" s="252"/>
      <c r="F124" s="35"/>
      <c r="G124" s="207">
        <f>IF(F120="Yes",SUM(G122:G123),0)</f>
        <v>0</v>
      </c>
      <c r="H124" s="44"/>
    </row>
    <row r="125" spans="1:9" collapsed="1">
      <c r="A125" s="22" t="str">
        <f>IF(G125&gt;D125,1,"")</f>
        <v/>
      </c>
      <c r="B125" s="594" t="s">
        <v>10237</v>
      </c>
      <c r="C125" s="594"/>
      <c r="D125" s="245">
        <v>11</v>
      </c>
      <c r="E125" s="245"/>
      <c r="F125" s="255"/>
      <c r="G125" s="245">
        <f>SUM(G126:G128,G133:G134,G139:G140)</f>
        <v>0</v>
      </c>
      <c r="H125" s="256"/>
      <c r="I125" s="245"/>
    </row>
    <row r="126" spans="1:9" ht="27.6">
      <c r="B126" s="246" t="s">
        <v>171</v>
      </c>
      <c r="C126" s="247" t="s">
        <v>172</v>
      </c>
      <c r="D126" s="246" t="s">
        <v>72</v>
      </c>
      <c r="E126" s="246" t="s">
        <v>10155</v>
      </c>
      <c r="F126" s="246" t="s">
        <v>73</v>
      </c>
      <c r="G126" s="248">
        <v>0</v>
      </c>
      <c r="H126" s="249" t="s">
        <v>99</v>
      </c>
      <c r="I126" s="572"/>
    </row>
    <row r="127" spans="1:9" ht="41.4">
      <c r="A127" s="22" t="str">
        <f>IF(G127&gt;D127,1,"")</f>
        <v/>
      </c>
      <c r="B127" s="246" t="s">
        <v>173</v>
      </c>
      <c r="C127" s="247" t="s">
        <v>174</v>
      </c>
      <c r="D127" s="246">
        <v>1</v>
      </c>
      <c r="E127" s="246" t="s">
        <v>87</v>
      </c>
      <c r="F127" s="410"/>
      <c r="G127" s="248">
        <f>IF(F127="Yes",D127,0)</f>
        <v>0</v>
      </c>
      <c r="H127" s="265" t="s">
        <v>10272</v>
      </c>
      <c r="I127" s="575"/>
    </row>
    <row r="128" spans="1:9" ht="41.4">
      <c r="A128" s="22" t="str">
        <f>IF(G128&gt;D128,1,"")</f>
        <v/>
      </c>
      <c r="B128" s="246" t="s">
        <v>175</v>
      </c>
      <c r="C128" s="247" t="s">
        <v>176</v>
      </c>
      <c r="D128" s="246">
        <v>3</v>
      </c>
      <c r="E128" s="250" t="s">
        <v>77</v>
      </c>
      <c r="F128" s="410"/>
      <c r="G128" s="248">
        <f>IF(F128="Yes",G132,0)</f>
        <v>0</v>
      </c>
      <c r="H128" s="266" t="s">
        <v>10277</v>
      </c>
      <c r="I128" s="572"/>
    </row>
    <row r="129" spans="1:9" ht="20.55" hidden="1" customHeight="1" outlineLevel="1">
      <c r="C129" s="1" t="s">
        <v>177</v>
      </c>
      <c r="F129" s="1" t="s">
        <v>80</v>
      </c>
      <c r="G129" s="1" t="s">
        <v>81</v>
      </c>
      <c r="H129" s="44"/>
      <c r="I129" s="573"/>
    </row>
    <row r="130" spans="1:9" ht="22.05" hidden="1" customHeight="1" outlineLevel="2">
      <c r="B130" s="246" t="s">
        <v>10318</v>
      </c>
      <c r="C130" s="597" t="s">
        <v>178</v>
      </c>
      <c r="D130" s="597"/>
      <c r="E130" s="597"/>
      <c r="F130" s="410"/>
      <c r="G130" s="165">
        <f>IF(F130="Yes",1,0)</f>
        <v>0</v>
      </c>
      <c r="H130" s="44"/>
      <c r="I130" s="573"/>
    </row>
    <row r="131" spans="1:9" ht="22.05" hidden="1" customHeight="1" outlineLevel="2">
      <c r="B131" s="246" t="s">
        <v>10319</v>
      </c>
      <c r="C131" s="597" t="s">
        <v>179</v>
      </c>
      <c r="D131" s="597"/>
      <c r="E131" s="597"/>
      <c r="F131" s="502"/>
      <c r="G131" s="165">
        <f>_xlfn.LET(_xlpm.x,F131,IF(_xlpm.x&gt;=0.8,2,IF(_xlpm.x&gt;0.5,1,0)))</f>
        <v>0</v>
      </c>
      <c r="H131" s="44"/>
      <c r="I131" s="573"/>
    </row>
    <row r="132" spans="1:9" ht="22.05" hidden="1" customHeight="1" outlineLevel="2">
      <c r="B132" s="252"/>
      <c r="C132" s="355"/>
      <c r="F132" s="35"/>
      <c r="G132" s="207">
        <f>IF(F128="Yes",SUM(G130:G131),0)</f>
        <v>0</v>
      </c>
      <c r="H132" s="44"/>
      <c r="I132" s="573"/>
    </row>
    <row r="133" spans="1:9" ht="41.4" collapsed="1">
      <c r="A133" s="22" t="str">
        <f>IF(G133&gt;D133,1,"")</f>
        <v/>
      </c>
      <c r="B133" s="246" t="s">
        <v>180</v>
      </c>
      <c r="C133" s="247" t="s">
        <v>181</v>
      </c>
      <c r="D133" s="246">
        <v>1</v>
      </c>
      <c r="E133" s="246" t="s">
        <v>87</v>
      </c>
      <c r="F133" s="410"/>
      <c r="G133" s="248">
        <f>IF(F133="Yes",D133,0)</f>
        <v>0</v>
      </c>
      <c r="H133" s="251" t="s">
        <v>10278</v>
      </c>
      <c r="I133" s="572"/>
    </row>
    <row r="134" spans="1:9" ht="41.4">
      <c r="A134" s="22" t="str">
        <f>IF(G134&gt;D134,1,"")</f>
        <v/>
      </c>
      <c r="B134" s="246" t="s">
        <v>182</v>
      </c>
      <c r="C134" s="247" t="s">
        <v>183</v>
      </c>
      <c r="D134" s="246">
        <v>2</v>
      </c>
      <c r="E134" s="250" t="s">
        <v>77</v>
      </c>
      <c r="F134" s="410"/>
      <c r="G134" s="248">
        <f>IF(F134="Yes",G138,0)</f>
        <v>0</v>
      </c>
      <c r="H134" s="266" t="s">
        <v>10277</v>
      </c>
      <c r="I134" s="572"/>
    </row>
    <row r="135" spans="1:9" ht="23.1" hidden="1" customHeight="1" outlineLevel="1">
      <c r="B135" s="252"/>
      <c r="C135" s="1" t="s">
        <v>184</v>
      </c>
      <c r="F135" s="1" t="s">
        <v>80</v>
      </c>
      <c r="G135" s="1" t="s">
        <v>81</v>
      </c>
      <c r="H135" s="44"/>
      <c r="I135" s="573"/>
    </row>
    <row r="136" spans="1:9" ht="13.05" hidden="1" customHeight="1" outlineLevel="1">
      <c r="B136" s="252"/>
      <c r="C136" s="597" t="s">
        <v>185</v>
      </c>
      <c r="D136" s="597"/>
      <c r="E136" s="597"/>
      <c r="F136" s="410"/>
      <c r="G136" s="165" t="str">
        <f>IF(F136="Yes","n/a","n/a")</f>
        <v>n/a</v>
      </c>
      <c r="H136" s="44"/>
      <c r="I136" s="573"/>
    </row>
    <row r="137" spans="1:9" ht="30" hidden="1" customHeight="1" outlineLevel="1">
      <c r="B137" s="252"/>
      <c r="C137" s="593" t="s">
        <v>186</v>
      </c>
      <c r="D137" s="593"/>
      <c r="E137" s="593"/>
      <c r="F137" s="502"/>
      <c r="G137" s="165">
        <f>_xlfn.LET(_xlpm.x,F137,IF(_xlpm.x&gt;=0.9,2,IF(_xlpm.x&gt;0.5,1,0)))</f>
        <v>0</v>
      </c>
      <c r="H137" s="44"/>
      <c r="I137" s="573"/>
    </row>
    <row r="138" spans="1:9" ht="22.05" hidden="1" customHeight="1" outlineLevel="1">
      <c r="B138" s="252"/>
      <c r="F138" s="35"/>
      <c r="G138" s="207">
        <f>IF(F134="Yes",SUM(G136:G137),0)</f>
        <v>0</v>
      </c>
      <c r="H138" s="44"/>
      <c r="I138" s="573"/>
    </row>
    <row r="139" spans="1:9" ht="41.4" collapsed="1">
      <c r="A139" s="22" t="str">
        <f>IF(G139&gt;D139,1,"")</f>
        <v/>
      </c>
      <c r="B139" s="246" t="s">
        <v>187</v>
      </c>
      <c r="C139" s="247" t="s">
        <v>188</v>
      </c>
      <c r="D139" s="246">
        <v>1</v>
      </c>
      <c r="E139" s="246" t="s">
        <v>87</v>
      </c>
      <c r="F139" s="410"/>
      <c r="G139" s="248">
        <f>IF(F139="Yes",D139,0)</f>
        <v>0</v>
      </c>
      <c r="H139" s="251" t="s">
        <v>10272</v>
      </c>
      <c r="I139" s="572"/>
    </row>
    <row r="140" spans="1:9" ht="41.4">
      <c r="A140" s="22" t="str">
        <f>IF(G140&gt;D140,1,"")</f>
        <v/>
      </c>
      <c r="B140" s="246" t="s">
        <v>189</v>
      </c>
      <c r="C140" s="247" t="s">
        <v>190</v>
      </c>
      <c r="D140" s="246">
        <v>3</v>
      </c>
      <c r="E140" s="250" t="s">
        <v>77</v>
      </c>
      <c r="F140" s="410"/>
      <c r="G140" s="248">
        <f>IF(F140="Yes",G143,0)</f>
        <v>0</v>
      </c>
      <c r="H140" s="266" t="s">
        <v>10277</v>
      </c>
      <c r="I140" s="572"/>
    </row>
    <row r="141" spans="1:9" hidden="1" outlineLevel="1">
      <c r="B141" s="252"/>
      <c r="C141" s="1" t="s">
        <v>191</v>
      </c>
      <c r="F141" s="1" t="s">
        <v>80</v>
      </c>
      <c r="G141" s="1" t="s">
        <v>81</v>
      </c>
      <c r="H141" s="44"/>
    </row>
    <row r="142" spans="1:9" ht="31.05" hidden="1" customHeight="1" outlineLevel="1">
      <c r="B142" s="252"/>
      <c r="C142" s="593" t="s">
        <v>192</v>
      </c>
      <c r="D142" s="593"/>
      <c r="E142" s="593"/>
      <c r="F142" s="496"/>
      <c r="G142" s="165">
        <f>_xlfn.LET(_xlpm.x,F142,IF(_xlpm.x=1,1,IF(_xlpm.x=2,2,IF(AND(ISNUMBER(_xlpm.x),_xlpm.x&gt;=3),3,0))))</f>
        <v>0</v>
      </c>
      <c r="H142" s="44"/>
    </row>
    <row r="143" spans="1:9" hidden="1" outlineLevel="1">
      <c r="B143" s="252"/>
      <c r="F143" s="35"/>
      <c r="G143" s="207">
        <f>IF(F140="Yes",SUM(G142:G142),0)</f>
        <v>0</v>
      </c>
      <c r="H143" s="44"/>
    </row>
    <row r="144" spans="1:9" collapsed="1">
      <c r="A144" s="22" t="str">
        <f>IF(G144&gt;D144,1,"")</f>
        <v/>
      </c>
      <c r="B144" s="599" t="s">
        <v>193</v>
      </c>
      <c r="C144" s="599"/>
      <c r="D144" s="267">
        <v>21</v>
      </c>
      <c r="E144" s="267"/>
      <c r="F144" s="268"/>
      <c r="G144" s="267">
        <f>SUM(G145:G151,G156:G157)</f>
        <v>0</v>
      </c>
      <c r="H144" s="269"/>
      <c r="I144" s="245"/>
    </row>
    <row r="145" spans="1:9" ht="41.4">
      <c r="B145" s="246" t="s">
        <v>30</v>
      </c>
      <c r="C145" s="247" t="s">
        <v>31</v>
      </c>
      <c r="D145" s="257" t="s">
        <v>72</v>
      </c>
      <c r="E145" s="246" t="s">
        <v>10155</v>
      </c>
      <c r="F145" s="246" t="s">
        <v>73</v>
      </c>
      <c r="G145" s="248">
        <v>0</v>
      </c>
      <c r="H145" s="249" t="s">
        <v>10269</v>
      </c>
      <c r="I145" s="572"/>
    </row>
    <row r="146" spans="1:9" ht="41.4">
      <c r="B146" s="246" t="s">
        <v>32</v>
      </c>
      <c r="C146" s="247" t="s">
        <v>33</v>
      </c>
      <c r="D146" s="257" t="s">
        <v>72</v>
      </c>
      <c r="E146" s="246" t="s">
        <v>10155</v>
      </c>
      <c r="F146" s="246" t="s">
        <v>73</v>
      </c>
      <c r="G146" s="248">
        <v>0</v>
      </c>
      <c r="H146" s="249" t="s">
        <v>10269</v>
      </c>
      <c r="I146" s="572"/>
    </row>
    <row r="147" spans="1:9" ht="41.4">
      <c r="A147" s="22" t="str">
        <f>IF(G147&gt;D147,1,"")</f>
        <v/>
      </c>
      <c r="B147" s="246" t="s">
        <v>34</v>
      </c>
      <c r="C147" s="247" t="s">
        <v>35</v>
      </c>
      <c r="D147" s="257">
        <v>5</v>
      </c>
      <c r="E147" s="246" t="s">
        <v>87</v>
      </c>
      <c r="F147" s="410"/>
      <c r="G147" s="248">
        <f>IF(F147="Yes",'Data output'!H56,0)</f>
        <v>0</v>
      </c>
      <c r="H147" s="249" t="s">
        <v>10271</v>
      </c>
      <c r="I147" s="572"/>
    </row>
    <row r="148" spans="1:9" ht="55.2">
      <c r="A148" s="22" t="str">
        <f>IF(G148&gt;D148,1,"")</f>
        <v/>
      </c>
      <c r="B148" s="246" t="s">
        <v>36</v>
      </c>
      <c r="C148" s="247" t="s">
        <v>37</v>
      </c>
      <c r="D148" s="257">
        <v>5</v>
      </c>
      <c r="E148" s="246" t="s">
        <v>87</v>
      </c>
      <c r="F148" s="410"/>
      <c r="G148" s="248">
        <f>IF(F148="Yes",'Data output'!H64,0)</f>
        <v>0</v>
      </c>
      <c r="H148" s="249" t="s">
        <v>10276</v>
      </c>
      <c r="I148" s="572"/>
    </row>
    <row r="149" spans="1:9" ht="41.4">
      <c r="A149" s="22" t="str">
        <f>IF(G149&gt;D149,1,"")</f>
        <v/>
      </c>
      <c r="B149" s="246" t="s">
        <v>38</v>
      </c>
      <c r="C149" s="247" t="s">
        <v>39</v>
      </c>
      <c r="D149" s="257">
        <v>2</v>
      </c>
      <c r="E149" s="246" t="s">
        <v>87</v>
      </c>
      <c r="F149" s="410"/>
      <c r="G149" s="248">
        <f>IF(F149="Yes",'Data output'!H73,0)</f>
        <v>0</v>
      </c>
      <c r="H149" s="249" t="s">
        <v>10275</v>
      </c>
      <c r="I149" s="572"/>
    </row>
    <row r="150" spans="1:9" ht="41.4">
      <c r="A150" s="22" t="str">
        <f>IF(G150&gt;D150,1,"")</f>
        <v/>
      </c>
      <c r="B150" s="246" t="s">
        <v>40</v>
      </c>
      <c r="C150" s="247" t="s">
        <v>41</v>
      </c>
      <c r="D150" s="257">
        <v>1</v>
      </c>
      <c r="E150" s="246" t="s">
        <v>87</v>
      </c>
      <c r="F150" s="410"/>
      <c r="G150" s="248">
        <f>IF(F150="Yes",'Data output'!H80,0)</f>
        <v>0</v>
      </c>
      <c r="H150" s="249" t="s">
        <v>10274</v>
      </c>
      <c r="I150" s="572"/>
    </row>
    <row r="151" spans="1:9" ht="41.4">
      <c r="A151" s="22" t="str">
        <f>IF(G151&gt;D151,1,"")</f>
        <v/>
      </c>
      <c r="B151" s="246" t="s">
        <v>42</v>
      </c>
      <c r="C151" s="247" t="s">
        <v>43</v>
      </c>
      <c r="D151" s="257">
        <v>2</v>
      </c>
      <c r="E151" s="250" t="s">
        <v>77</v>
      </c>
      <c r="F151" s="410"/>
      <c r="G151" s="248">
        <f>IF(F151="Yes",G155,0)</f>
        <v>0</v>
      </c>
      <c r="H151" s="249" t="s">
        <v>10273</v>
      </c>
      <c r="I151" s="572"/>
    </row>
    <row r="152" spans="1:9" ht="20.100000000000001" hidden="1" customHeight="1" outlineLevel="1">
      <c r="B152" s="252"/>
      <c r="C152" s="1" t="s">
        <v>194</v>
      </c>
      <c r="F152" s="1" t="s">
        <v>80</v>
      </c>
      <c r="G152" s="1" t="s">
        <v>81</v>
      </c>
      <c r="H152" s="44"/>
      <c r="I152" s="573"/>
    </row>
    <row r="153" spans="1:9" ht="31.05" hidden="1" customHeight="1" outlineLevel="1">
      <c r="B153" s="246" t="s">
        <v>10318</v>
      </c>
      <c r="C153" s="593" t="s">
        <v>195</v>
      </c>
      <c r="D153" s="593"/>
      <c r="E153" s="593"/>
      <c r="F153" s="410"/>
      <c r="G153" s="165">
        <f>IF(F153="Yes",1,0)</f>
        <v>0</v>
      </c>
      <c r="H153" s="44"/>
      <c r="I153" s="573"/>
    </row>
    <row r="154" spans="1:9" ht="28.5" hidden="1" customHeight="1" outlineLevel="1">
      <c r="B154" s="246" t="s">
        <v>10319</v>
      </c>
      <c r="C154" s="593" t="s">
        <v>196</v>
      </c>
      <c r="D154" s="593"/>
      <c r="E154" s="593"/>
      <c r="F154" s="410"/>
      <c r="G154" s="165">
        <f>IF(F154="Yes",1,0)</f>
        <v>0</v>
      </c>
      <c r="H154" s="44"/>
      <c r="I154" s="573"/>
    </row>
    <row r="155" spans="1:9" ht="15.6" hidden="1" customHeight="1" outlineLevel="1">
      <c r="B155" s="252"/>
      <c r="F155" s="35"/>
      <c r="G155" s="207">
        <f>IF(F151="Yes",SUM(G153:G154),0)</f>
        <v>0</v>
      </c>
      <c r="H155" s="44"/>
      <c r="I155" s="573"/>
    </row>
    <row r="156" spans="1:9" ht="41.4" collapsed="1">
      <c r="A156" s="22" t="str">
        <f>IF(G156&gt;D156,1,"")</f>
        <v/>
      </c>
      <c r="B156" s="246" t="s">
        <v>197</v>
      </c>
      <c r="C156" s="247" t="s">
        <v>198</v>
      </c>
      <c r="D156" s="246">
        <v>1</v>
      </c>
      <c r="E156" s="246" t="s">
        <v>87</v>
      </c>
      <c r="F156" s="410"/>
      <c r="G156" s="248">
        <f>IF(F156="Yes",D156,0)</f>
        <v>0</v>
      </c>
      <c r="H156" s="251" t="s">
        <v>10272</v>
      </c>
      <c r="I156" s="572"/>
    </row>
    <row r="157" spans="1:9" ht="41.4">
      <c r="A157" s="22" t="str">
        <f>IF(G157&gt;D157,1,"")</f>
        <v/>
      </c>
      <c r="B157" s="246" t="s">
        <v>44</v>
      </c>
      <c r="C157" s="247" t="s">
        <v>45</v>
      </c>
      <c r="D157" s="246">
        <v>5</v>
      </c>
      <c r="E157" s="246" t="s">
        <v>87</v>
      </c>
      <c r="F157" s="410"/>
      <c r="G157" s="248">
        <f>IF(F157="Yes",'Data output'!H98,0)</f>
        <v>0</v>
      </c>
      <c r="H157" s="251" t="s">
        <v>10271</v>
      </c>
      <c r="I157" s="572"/>
    </row>
    <row r="158" spans="1:9" ht="24" customHeight="1">
      <c r="A158" s="22" t="str">
        <f>IF(G158&gt;D158,1,"")</f>
        <v/>
      </c>
      <c r="B158" s="594" t="s">
        <v>199</v>
      </c>
      <c r="C158" s="594"/>
      <c r="D158" s="245">
        <v>15</v>
      </c>
      <c r="E158" s="245"/>
      <c r="F158" s="255"/>
      <c r="G158" s="245">
        <f>SUM(G159:G173)</f>
        <v>0</v>
      </c>
      <c r="H158" s="357"/>
      <c r="I158" s="245"/>
    </row>
    <row r="159" spans="1:9" ht="41.4">
      <c r="A159" s="22"/>
      <c r="B159" s="515"/>
      <c r="C159" s="515"/>
      <c r="D159" s="571"/>
      <c r="E159" s="246" t="s">
        <v>87</v>
      </c>
      <c r="F159" s="410"/>
      <c r="G159" s="412"/>
      <c r="H159" s="251" t="s">
        <v>10270</v>
      </c>
      <c r="I159" s="572"/>
    </row>
    <row r="160" spans="1:9" ht="41.4">
      <c r="A160" s="22"/>
      <c r="B160" s="515"/>
      <c r="C160" s="515"/>
      <c r="D160" s="571"/>
      <c r="E160" s="246" t="s">
        <v>87</v>
      </c>
      <c r="F160" s="410"/>
      <c r="G160" s="412"/>
      <c r="H160" s="251" t="s">
        <v>10270</v>
      </c>
      <c r="I160" s="572"/>
    </row>
    <row r="161" spans="1:9" ht="41.4">
      <c r="A161" s="22"/>
      <c r="B161" s="515"/>
      <c r="C161" s="515"/>
      <c r="D161" s="571"/>
      <c r="E161" s="246" t="s">
        <v>87</v>
      </c>
      <c r="F161" s="410"/>
      <c r="G161" s="412"/>
      <c r="H161" s="251" t="s">
        <v>10270</v>
      </c>
      <c r="I161" s="572"/>
    </row>
    <row r="162" spans="1:9" ht="41.4">
      <c r="A162" s="22"/>
      <c r="B162" s="515"/>
      <c r="C162" s="515"/>
      <c r="D162" s="571"/>
      <c r="E162" s="246" t="s">
        <v>87</v>
      </c>
      <c r="F162" s="410"/>
      <c r="G162" s="412"/>
      <c r="H162" s="251" t="s">
        <v>10270</v>
      </c>
      <c r="I162" s="572"/>
    </row>
    <row r="163" spans="1:9" ht="41.4">
      <c r="A163" s="22"/>
      <c r="B163" s="515"/>
      <c r="C163" s="515"/>
      <c r="D163" s="571"/>
      <c r="E163" s="246" t="s">
        <v>87</v>
      </c>
      <c r="F163" s="410"/>
      <c r="G163" s="412"/>
      <c r="H163" s="251" t="s">
        <v>10270</v>
      </c>
      <c r="I163" s="572"/>
    </row>
    <row r="164" spans="1:9" ht="41.4">
      <c r="A164" s="22"/>
      <c r="B164" s="515"/>
      <c r="C164" s="515"/>
      <c r="D164" s="571"/>
      <c r="E164" s="246" t="s">
        <v>87</v>
      </c>
      <c r="F164" s="410"/>
      <c r="G164" s="412"/>
      <c r="H164" s="251" t="s">
        <v>10270</v>
      </c>
      <c r="I164" s="572"/>
    </row>
    <row r="165" spans="1:9" ht="41.4">
      <c r="A165" s="22"/>
      <c r="B165" s="515"/>
      <c r="C165" s="515"/>
      <c r="D165" s="571"/>
      <c r="E165" s="246" t="s">
        <v>87</v>
      </c>
      <c r="F165" s="410"/>
      <c r="G165" s="412"/>
      <c r="H165" s="251" t="s">
        <v>10270</v>
      </c>
      <c r="I165" s="572"/>
    </row>
    <row r="166" spans="1:9" ht="41.4">
      <c r="A166" s="22"/>
      <c r="B166" s="515"/>
      <c r="C166" s="515"/>
      <c r="D166" s="571"/>
      <c r="E166" s="246" t="s">
        <v>87</v>
      </c>
      <c r="F166" s="410"/>
      <c r="G166" s="412"/>
      <c r="H166" s="251" t="s">
        <v>10270</v>
      </c>
      <c r="I166" s="572"/>
    </row>
    <row r="167" spans="1:9" ht="41.4">
      <c r="A167" s="22"/>
      <c r="B167" s="515"/>
      <c r="C167" s="515"/>
      <c r="D167" s="571"/>
      <c r="E167" s="246" t="s">
        <v>87</v>
      </c>
      <c r="F167" s="410"/>
      <c r="G167" s="412"/>
      <c r="H167" s="251" t="s">
        <v>10270</v>
      </c>
      <c r="I167" s="572"/>
    </row>
    <row r="168" spans="1:9" ht="41.4">
      <c r="A168" s="22"/>
      <c r="B168" s="515"/>
      <c r="C168" s="515"/>
      <c r="D168" s="571"/>
      <c r="E168" s="246" t="s">
        <v>87</v>
      </c>
      <c r="F168" s="410"/>
      <c r="G168" s="412"/>
      <c r="H168" s="251" t="s">
        <v>10270</v>
      </c>
      <c r="I168" s="572"/>
    </row>
    <row r="169" spans="1:9" ht="41.4">
      <c r="A169" s="22"/>
      <c r="B169" s="515"/>
      <c r="C169" s="515"/>
      <c r="D169" s="571"/>
      <c r="E169" s="246" t="s">
        <v>87</v>
      </c>
      <c r="F169" s="410"/>
      <c r="G169" s="412"/>
      <c r="H169" s="251" t="s">
        <v>10270</v>
      </c>
      <c r="I169" s="572"/>
    </row>
    <row r="170" spans="1:9" ht="41.4">
      <c r="A170" s="22"/>
      <c r="B170" s="515"/>
      <c r="C170" s="515"/>
      <c r="D170" s="571"/>
      <c r="E170" s="246" t="s">
        <v>87</v>
      </c>
      <c r="F170" s="410"/>
      <c r="G170" s="412"/>
      <c r="H170" s="251" t="s">
        <v>10270</v>
      </c>
      <c r="I170" s="572"/>
    </row>
    <row r="171" spans="1:9" ht="41.4">
      <c r="A171" s="22"/>
      <c r="B171" s="515"/>
      <c r="C171" s="515"/>
      <c r="D171" s="571"/>
      <c r="E171" s="246" t="s">
        <v>87</v>
      </c>
      <c r="F171" s="410"/>
      <c r="G171" s="412"/>
      <c r="H171" s="251" t="s">
        <v>10270</v>
      </c>
      <c r="I171" s="572"/>
    </row>
    <row r="172" spans="1:9" ht="41.4">
      <c r="A172" s="22"/>
      <c r="B172" s="515"/>
      <c r="C172" s="515"/>
      <c r="D172" s="571"/>
      <c r="E172" s="246" t="s">
        <v>87</v>
      </c>
      <c r="F172" s="410"/>
      <c r="G172" s="412"/>
      <c r="H172" s="251" t="s">
        <v>10270</v>
      </c>
      <c r="I172" s="572"/>
    </row>
    <row r="173" spans="1:9" ht="41.4">
      <c r="A173" s="22"/>
      <c r="B173" s="515"/>
      <c r="C173" s="515"/>
      <c r="D173" s="571"/>
      <c r="E173" s="246" t="s">
        <v>87</v>
      </c>
      <c r="F173" s="410"/>
      <c r="G173" s="412"/>
      <c r="H173" s="251" t="s">
        <v>10270</v>
      </c>
      <c r="I173" s="572"/>
    </row>
  </sheetData>
  <sheetProtection algorithmName="SHA-512" hashValue="7OQEDo7zctKkeDQRoT1yOt2Q4adulOChe1gYSuTi6nj4tsFpWY6xinlT8NIY5RuLDTnetgep/amOaJf8D2tFog==" saltValue="CGddLDXvTiYkFEIaPb5zOQ==" spinCount="100000" sheet="1" formatColumns="0" formatRows="0" selectLockedCells="1"/>
  <mergeCells count="52">
    <mergeCell ref="B102:B104"/>
    <mergeCell ref="C90:E90"/>
    <mergeCell ref="B6:H6"/>
    <mergeCell ref="B32:C32"/>
    <mergeCell ref="B33:C33"/>
    <mergeCell ref="C84:E84"/>
    <mergeCell ref="C89:E89"/>
    <mergeCell ref="C73:E73"/>
    <mergeCell ref="C74:E74"/>
    <mergeCell ref="G83:G84"/>
    <mergeCell ref="B30:H30"/>
    <mergeCell ref="C61:E61"/>
    <mergeCell ref="C62:E62"/>
    <mergeCell ref="B83:B84"/>
    <mergeCell ref="C96:E96"/>
    <mergeCell ref="C97:E97"/>
    <mergeCell ref="C153:E153"/>
    <mergeCell ref="C111:E111"/>
    <mergeCell ref="C112:E112"/>
    <mergeCell ref="C113:E113"/>
    <mergeCell ref="B144:C144"/>
    <mergeCell ref="C118:E118"/>
    <mergeCell ref="C136:E136"/>
    <mergeCell ref="C137:E137"/>
    <mergeCell ref="C142:E142"/>
    <mergeCell ref="C122:E122"/>
    <mergeCell ref="C123:E123"/>
    <mergeCell ref="C130:E130"/>
    <mergeCell ref="C131:E131"/>
    <mergeCell ref="C117:E117"/>
    <mergeCell ref="C83:E83"/>
    <mergeCell ref="C110:E110"/>
    <mergeCell ref="C102:E102"/>
    <mergeCell ref="C103:E103"/>
    <mergeCell ref="C104:E104"/>
    <mergeCell ref="C109:E109"/>
    <mergeCell ref="C154:E154"/>
    <mergeCell ref="C101:E101"/>
    <mergeCell ref="B158:C158"/>
    <mergeCell ref="B36:C36"/>
    <mergeCell ref="B48:C48"/>
    <mergeCell ref="B64:C64"/>
    <mergeCell ref="B92:C92"/>
    <mergeCell ref="B125:C125"/>
    <mergeCell ref="C40:E40"/>
    <mergeCell ref="C41:E41"/>
    <mergeCell ref="C56:E56"/>
    <mergeCell ref="C57:E57"/>
    <mergeCell ref="C68:E68"/>
    <mergeCell ref="C69:E69"/>
    <mergeCell ref="C78:E78"/>
    <mergeCell ref="C82:E82"/>
  </mergeCells>
  <conditionalFormatting sqref="B159:C173 G159:H173">
    <cfRule type="expression" dxfId="106" priority="57" stopIfTrue="1">
      <formula>LEN(B159)&gt;0</formula>
    </cfRule>
  </conditionalFormatting>
  <conditionalFormatting sqref="C75 C105 C114">
    <cfRule type="expression" dxfId="105" priority="122" stopIfTrue="1">
      <formula>LEN(C75)&gt;0</formula>
    </cfRule>
  </conditionalFormatting>
  <conditionalFormatting sqref="C20:D20">
    <cfRule type="expression" dxfId="104" priority="11" stopIfTrue="1">
      <formula>$D$19&lt;&gt;"Other"</formula>
    </cfRule>
  </conditionalFormatting>
  <conditionalFormatting sqref="D10:D11 D24:D26">
    <cfRule type="cellIs" dxfId="103" priority="9" operator="greaterThan">
      <formula>0</formula>
    </cfRule>
  </conditionalFormatting>
  <conditionalFormatting sqref="D15:D16">
    <cfRule type="cellIs" dxfId="102" priority="10" operator="greaterThan">
      <formula>0</formula>
    </cfRule>
  </conditionalFormatting>
  <conditionalFormatting sqref="D19:D22 D13">
    <cfRule type="cellIs" dxfId="101" priority="12" operator="greaterThan">
      <formula>0</formula>
    </cfRule>
  </conditionalFormatting>
  <conditionalFormatting sqref="D33">
    <cfRule type="containsText" dxfId="100" priority="4" operator="containsText" text="Certified">
      <formula>NOT(ISERROR(SEARCH("Certified",D33)))</formula>
    </cfRule>
    <cfRule type="containsText" dxfId="99" priority="5" operator="containsText" text="Gold">
      <formula>NOT(ISERROR(SEARCH("Gold",D33)))</formula>
    </cfRule>
    <cfRule type="containsText" dxfId="98" priority="2" operator="containsText" text="Not certified">
      <formula>NOT(ISERROR(SEARCH("Not certified",D33)))</formula>
    </cfRule>
    <cfRule type="containsText" dxfId="97" priority="1" operator="containsText" text="See Error Tab">
      <formula>NOT(ISERROR(SEARCH("See Error Tab",D33)))</formula>
    </cfRule>
    <cfRule type="containsText" dxfId="96" priority="6" operator="containsText" text="Platinum">
      <formula>NOT(ISERROR(SEARCH("Platinum",D33)))</formula>
    </cfRule>
    <cfRule type="containsText" dxfId="95" priority="3" operator="containsText" text="Silver">
      <formula>NOT(ISERROR(SEARCH("Silver",D33)))</formula>
    </cfRule>
  </conditionalFormatting>
  <conditionalFormatting sqref="F38">
    <cfRule type="notContainsBlanks" dxfId="94" priority="46">
      <formula>LEN(TRIM(F38))&gt;0</formula>
    </cfRule>
  </conditionalFormatting>
  <conditionalFormatting sqref="F40:F41">
    <cfRule type="notContainsBlanks" dxfId="93" priority="42">
      <formula>LEN(TRIM(F40))&gt;0</formula>
    </cfRule>
  </conditionalFormatting>
  <conditionalFormatting sqref="F43:F47">
    <cfRule type="notContainsBlanks" dxfId="92" priority="45">
      <formula>LEN(TRIM(F43))&gt;0</formula>
    </cfRule>
  </conditionalFormatting>
  <conditionalFormatting sqref="F51:F54">
    <cfRule type="notContainsBlanks" dxfId="91" priority="44">
      <formula>LEN(TRIM(F51))&gt;0</formula>
    </cfRule>
  </conditionalFormatting>
  <conditionalFormatting sqref="F56:F57">
    <cfRule type="notContainsBlanks" dxfId="90" priority="43">
      <formula>LEN(TRIM(F56))&gt;0</formula>
    </cfRule>
  </conditionalFormatting>
  <conditionalFormatting sqref="F59">
    <cfRule type="notContainsBlanks" dxfId="89" priority="41">
      <formula>LEN(TRIM(F59))&gt;0</formula>
    </cfRule>
  </conditionalFormatting>
  <conditionalFormatting sqref="F61:F62">
    <cfRule type="notContainsBlanks" dxfId="88" priority="40">
      <formula>LEN(TRIM(F61))&gt;0</formula>
    </cfRule>
  </conditionalFormatting>
  <conditionalFormatting sqref="F66">
    <cfRule type="notContainsBlanks" dxfId="87" priority="39">
      <formula>LEN(TRIM(F66))&gt;0</formula>
    </cfRule>
  </conditionalFormatting>
  <conditionalFormatting sqref="F68:F69">
    <cfRule type="notContainsBlanks" dxfId="86" priority="38">
      <formula>LEN(TRIM(F68))&gt;0</formula>
    </cfRule>
  </conditionalFormatting>
  <conditionalFormatting sqref="F73">
    <cfRule type="notContainsBlanks" dxfId="85" priority="37">
      <formula>LEN(TRIM(F73))&gt;0</formula>
    </cfRule>
  </conditionalFormatting>
  <conditionalFormatting sqref="F76">
    <cfRule type="notContainsBlanks" dxfId="84" priority="36">
      <formula>LEN(TRIM(F76))&gt;0</formula>
    </cfRule>
  </conditionalFormatting>
  <conditionalFormatting sqref="F80">
    <cfRule type="notContainsBlanks" dxfId="83" priority="35">
      <formula>LEN(TRIM(F80))&gt;0</formula>
    </cfRule>
  </conditionalFormatting>
  <conditionalFormatting sqref="F82:F84">
    <cfRule type="notContainsBlanks" dxfId="82" priority="34">
      <formula>LEN(TRIM(F82))&gt;0</formula>
    </cfRule>
  </conditionalFormatting>
  <conditionalFormatting sqref="F86:F87">
    <cfRule type="notContainsBlanks" dxfId="81" priority="33">
      <formula>LEN(TRIM(F86))&gt;0</formula>
    </cfRule>
  </conditionalFormatting>
  <conditionalFormatting sqref="F89:F90">
    <cfRule type="notContainsBlanks" dxfId="80" priority="32">
      <formula>LEN(TRIM(F89))&gt;0</formula>
    </cfRule>
  </conditionalFormatting>
  <conditionalFormatting sqref="F94">
    <cfRule type="notContainsBlanks" dxfId="79" priority="31">
      <formula>LEN(TRIM(F94))&gt;0</formula>
    </cfRule>
  </conditionalFormatting>
  <conditionalFormatting sqref="F96">
    <cfRule type="notContainsBlanks" dxfId="78" priority="30">
      <formula>LEN(TRIM(F96))&gt;0</formula>
    </cfRule>
  </conditionalFormatting>
  <conditionalFormatting sqref="F99">
    <cfRule type="notContainsBlanks" dxfId="77" priority="29">
      <formula>LEN(TRIM(F99))&gt;0</formula>
    </cfRule>
  </conditionalFormatting>
  <conditionalFormatting sqref="F101">
    <cfRule type="notContainsBlanks" dxfId="76" priority="28">
      <formula>LEN(TRIM(F101))&gt;0</formula>
    </cfRule>
  </conditionalFormatting>
  <conditionalFormatting sqref="F106:F107">
    <cfRule type="notContainsBlanks" dxfId="75" priority="27">
      <formula>LEN(TRIM(F106))&gt;0</formula>
    </cfRule>
  </conditionalFormatting>
  <conditionalFormatting sqref="F109:F113">
    <cfRule type="notContainsBlanks" dxfId="74" priority="26">
      <formula>LEN(TRIM(F109))&gt;0</formula>
    </cfRule>
  </conditionalFormatting>
  <conditionalFormatting sqref="F115">
    <cfRule type="notContainsBlanks" dxfId="73" priority="25">
      <formula>LEN(TRIM(F115))&gt;0</formula>
    </cfRule>
  </conditionalFormatting>
  <conditionalFormatting sqref="F117:F118">
    <cfRule type="notContainsBlanks" dxfId="72" priority="24">
      <formula>LEN(TRIM(F117))&gt;0</formula>
    </cfRule>
  </conditionalFormatting>
  <conditionalFormatting sqref="F120">
    <cfRule type="notContainsBlanks" dxfId="71" priority="23">
      <formula>LEN(TRIM(F120))&gt;0</formula>
    </cfRule>
  </conditionalFormatting>
  <conditionalFormatting sqref="F122">
    <cfRule type="notContainsBlanks" dxfId="70" priority="22">
      <formula>LEN(TRIM(F122))&gt;0</formula>
    </cfRule>
  </conditionalFormatting>
  <conditionalFormatting sqref="F127:F128">
    <cfRule type="notContainsBlanks" dxfId="69" priority="21">
      <formula>LEN(TRIM(F127))&gt;0</formula>
    </cfRule>
  </conditionalFormatting>
  <conditionalFormatting sqref="F130:F131">
    <cfRule type="notContainsBlanks" dxfId="68" priority="8">
      <formula>LEN(TRIM(F130))&gt;0</formula>
    </cfRule>
  </conditionalFormatting>
  <conditionalFormatting sqref="F133:F134">
    <cfRule type="notContainsBlanks" dxfId="67" priority="20">
      <formula>LEN(TRIM(F133))&gt;0</formula>
    </cfRule>
  </conditionalFormatting>
  <conditionalFormatting sqref="F136:F137">
    <cfRule type="notContainsBlanks" dxfId="66" priority="7">
      <formula>LEN(TRIM(F136))&gt;0</formula>
    </cfRule>
  </conditionalFormatting>
  <conditionalFormatting sqref="F139:F140">
    <cfRule type="notContainsBlanks" dxfId="65" priority="18">
      <formula>LEN(TRIM(F139))&gt;0</formula>
    </cfRule>
  </conditionalFormatting>
  <conditionalFormatting sqref="F147:F151">
    <cfRule type="notContainsBlanks" dxfId="64" priority="17">
      <formula>LEN(TRIM(F147))&gt;0</formula>
    </cfRule>
  </conditionalFormatting>
  <conditionalFormatting sqref="F153:F154">
    <cfRule type="notContainsBlanks" dxfId="63" priority="16">
      <formula>LEN(TRIM(F153))&gt;0</formula>
    </cfRule>
  </conditionalFormatting>
  <conditionalFormatting sqref="F156:F157">
    <cfRule type="notContainsBlanks" dxfId="62" priority="15">
      <formula>LEN(TRIM(F156))&gt;0</formula>
    </cfRule>
  </conditionalFormatting>
  <conditionalFormatting sqref="F159:F173">
    <cfRule type="notContainsBlanks" dxfId="61" priority="14">
      <formula>LEN(TRIM(F159))&gt;0</formula>
    </cfRule>
  </conditionalFormatting>
  <conditionalFormatting sqref="G37">
    <cfRule type="expression" dxfId="60" priority="76" stopIfTrue="1">
      <formula>LEN(G37)&gt;0</formula>
    </cfRule>
  </conditionalFormatting>
  <conditionalFormatting sqref="G37:G38 G159:G173 G43:G47">
    <cfRule type="expression" dxfId="59" priority="77">
      <formula>F37="No"</formula>
    </cfRule>
  </conditionalFormatting>
  <conditionalFormatting sqref="G49:G54 G59">
    <cfRule type="expression" dxfId="58" priority="66">
      <formula>F49="No"</formula>
    </cfRule>
  </conditionalFormatting>
  <conditionalFormatting sqref="G49:G58 G59:H59">
    <cfRule type="expression" dxfId="57" priority="67" stopIfTrue="1">
      <formula>LEN(G49)&gt;0</formula>
    </cfRule>
  </conditionalFormatting>
  <conditionalFormatting sqref="G65:G66 F71:H71 G76:H76 G80:H80 G86:H87">
    <cfRule type="expression" dxfId="56" priority="65" stopIfTrue="1">
      <formula>LEN(F65)&gt;0</formula>
    </cfRule>
  </conditionalFormatting>
  <conditionalFormatting sqref="G65:G66 G71 G76 G80 G86:G87">
    <cfRule type="expression" dxfId="55" priority="64">
      <formula>F65="No"</formula>
    </cfRule>
  </conditionalFormatting>
  <conditionalFormatting sqref="G93:G94 G99 G106:G107 G115 G120">
    <cfRule type="expression" dxfId="54" priority="62">
      <formula>F93="No"</formula>
    </cfRule>
  </conditionalFormatting>
  <conditionalFormatting sqref="G93:G94 G99:H99 G106:H107 G115:H115 G120:H120">
    <cfRule type="expression" dxfId="53" priority="63" stopIfTrue="1">
      <formula>LEN(G93)&gt;0</formula>
    </cfRule>
  </conditionalFormatting>
  <conditionalFormatting sqref="G126:G128 G133:G134 G139:G140">
    <cfRule type="expression" dxfId="52" priority="60">
      <formula>F126="No"</formula>
    </cfRule>
  </conditionalFormatting>
  <conditionalFormatting sqref="G126:G128 G133:H134 G139:H140">
    <cfRule type="expression" dxfId="51" priority="61" stopIfTrue="1">
      <formula>LEN(G126)&gt;0</formula>
    </cfRule>
  </conditionalFormatting>
  <conditionalFormatting sqref="G145:G151 G156:G157">
    <cfRule type="expression" dxfId="50" priority="58">
      <formula>F145="No"</formula>
    </cfRule>
  </conditionalFormatting>
  <conditionalFormatting sqref="G145:G151 G156:H157">
    <cfRule type="expression" dxfId="49" priority="59" stopIfTrue="1">
      <formula>LEN(G145)&gt;0</formula>
    </cfRule>
  </conditionalFormatting>
  <conditionalFormatting sqref="G38:H38 G43:G47 H39:H47 F123 F138 F142">
    <cfRule type="expression" dxfId="48" priority="140" stopIfTrue="1">
      <formula>LEN(F38)&gt;0</formula>
    </cfRule>
  </conditionalFormatting>
  <conditionalFormatting sqref="H51:H54">
    <cfRule type="expression" dxfId="47" priority="133" stopIfTrue="1">
      <formula>LEN(H51)&gt;0</formula>
    </cfRule>
  </conditionalFormatting>
  <conditionalFormatting sqref="H66 F74:F75 F78:F79 F85">
    <cfRule type="expression" dxfId="46" priority="139" stopIfTrue="1">
      <formula>LEN(F66)&gt;0</formula>
    </cfRule>
  </conditionalFormatting>
  <conditionalFormatting sqref="H94 F97:F98 F102:F105 F114 F119">
    <cfRule type="expression" dxfId="45" priority="131" stopIfTrue="1">
      <formula>LEN(F94)&gt;0</formula>
    </cfRule>
  </conditionalFormatting>
  <conditionalFormatting sqref="H127:H128">
    <cfRule type="expression" dxfId="44" priority="128" stopIfTrue="1">
      <formula>LEN(H127)&gt;0</formula>
    </cfRule>
  </conditionalFormatting>
  <conditionalFormatting sqref="H147:H151 F155">
    <cfRule type="expression" dxfId="43" priority="127" stopIfTrue="1">
      <formula>LEN(F147)&gt;0</formula>
    </cfRule>
  </conditionalFormatting>
  <dataValidations count="10">
    <dataValidation type="list" allowBlank="1" showInputMessage="1" showErrorMessage="1" sqref="F139:F140 F80 F159:F173 F109:F113 F40:F41 F122 F127:F128 F130 F133:F134 F136 F66 F68:F69 F71 F73 F89:F90 F82:F84 F86:F87 F76 F101 F56:F57 F106:F107 F153:F154 F147:F151 F156:F157 F115 F117:F118 F120 F38 F43:F47 F61:F62 F51:F54 F59 F98:F99 F94 F96" xr:uid="{20293C4D-A934-4591-8D22-D8564BE77383}">
      <formula1>ls_YN</formula1>
    </dataValidation>
    <dataValidation type="decimal" allowBlank="1" showInputMessage="1" showErrorMessage="1" sqref="F137 F102:F104 F131" xr:uid="{AEDE20D7-D121-4BCD-838F-4389B46A572E}">
      <formula1>0</formula1>
      <formula2>1</formula2>
    </dataValidation>
    <dataValidation type="whole" allowBlank="1" showInputMessage="1" showErrorMessage="1" sqref="G54 G120 G87 G94 G71 G76 G80 G159:G173" xr:uid="{314A1628-A66F-4CED-BB70-FF3B9EE13863}">
      <formula1>0</formula1>
      <formula2>D54</formula2>
    </dataValidation>
    <dataValidation type="decimal" allowBlank="1" showInputMessage="1" showErrorMessage="1" sqref="D22 D26" xr:uid="{D73A1EA9-33F1-4F76-A47E-C6A93AEFB4D5}">
      <formula1>0</formula1>
      <formula2>1E+100</formula2>
    </dataValidation>
    <dataValidation type="list" allowBlank="1" showInputMessage="1" showErrorMessage="1" sqref="D19" xr:uid="{6E0CC26D-35B7-4DBF-A19B-60AF16FAFDAE}">
      <formula1>ls_int_metric</formula1>
    </dataValidation>
    <dataValidation type="list" allowBlank="1" showInputMessage="1" showErrorMessage="1" sqref="D16" xr:uid="{5A88D6C0-4B8E-41B5-AB95-986BC3400787}">
      <formula1>ls_Month_2</formula1>
    </dataValidation>
    <dataValidation type="whole" allowBlank="1" showInputMessage="1" showErrorMessage="1" sqref="D15" xr:uid="{BBF65A7F-E13B-426B-AA88-947A67BCE3EB}">
      <formula1>1900</formula1>
      <formula2>2200</formula2>
    </dataValidation>
    <dataValidation type="list" allowBlank="1" showInputMessage="1" showErrorMessage="1" sqref="D13" xr:uid="{BA9ACC51-51C4-4A4D-89E5-F467A65B5FF7}">
      <formula1>ls_country</formula1>
    </dataValidation>
    <dataValidation type="whole" allowBlank="1" showInputMessage="1" showErrorMessage="1" sqref="D11" xr:uid="{B5D969F3-B47D-4F47-88DD-95D627B969CC}">
      <formula1>36526</formula1>
      <formula2>1000000</formula2>
    </dataValidation>
    <dataValidation type="whole" allowBlank="1" showInputMessage="1" showErrorMessage="1" sqref="F78 F123 F74 F142" xr:uid="{3713F6CF-D597-47DA-B4B0-5F4FF5C711F8}">
      <formula1>0</formula1>
      <formula2>1000000</formula2>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iconSet" priority="119" id="{6CBC60BE-AE4E-4F17-AF31-D846C3452061}">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A36</xm:sqref>
        </x14:conditionalFormatting>
        <x14:conditionalFormatting xmlns:xm="http://schemas.microsoft.com/office/excel/2006/main">
          <x14:cfRule type="iconSet" priority="118" id="{4E1211C3-7594-4D61-BE76-92300923517F}">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A38</xm:sqref>
        </x14:conditionalFormatting>
        <x14:conditionalFormatting xmlns:xm="http://schemas.microsoft.com/office/excel/2006/main">
          <x14:cfRule type="iconSet" priority="117" id="{7D094A0B-780C-4B15-9DB8-5648F1D02C0F}">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A43</xm:sqref>
        </x14:conditionalFormatting>
        <x14:conditionalFormatting xmlns:xm="http://schemas.microsoft.com/office/excel/2006/main">
          <x14:cfRule type="iconSet" priority="116" id="{219D618B-12CF-4630-B857-261A42C09A45}">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A44</xm:sqref>
        </x14:conditionalFormatting>
        <x14:conditionalFormatting xmlns:xm="http://schemas.microsoft.com/office/excel/2006/main">
          <x14:cfRule type="iconSet" priority="115" id="{14BE19C5-5A5B-4B43-9909-3E48B2F691A6}">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A45</xm:sqref>
        </x14:conditionalFormatting>
        <x14:conditionalFormatting xmlns:xm="http://schemas.microsoft.com/office/excel/2006/main">
          <x14:cfRule type="iconSet" priority="114" id="{06B58F7F-B538-4CE5-8DEF-DBA4B64AB65B}">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A46</xm:sqref>
        </x14:conditionalFormatting>
        <x14:conditionalFormatting xmlns:xm="http://schemas.microsoft.com/office/excel/2006/main">
          <x14:cfRule type="iconSet" priority="113" id="{7483745A-15A8-429B-A5A6-771E08E5E8C0}">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A47</xm:sqref>
        </x14:conditionalFormatting>
        <x14:conditionalFormatting xmlns:xm="http://schemas.microsoft.com/office/excel/2006/main">
          <x14:cfRule type="iconSet" priority="53" id="{E03B6228-07CA-435B-A87F-EADAF70E2492}">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A48</xm:sqref>
        </x14:conditionalFormatting>
        <x14:conditionalFormatting xmlns:xm="http://schemas.microsoft.com/office/excel/2006/main">
          <x14:cfRule type="iconSet" priority="112" id="{FE1D5651-9528-4ECB-90E1-804E40BB8141}">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A51</xm:sqref>
        </x14:conditionalFormatting>
        <x14:conditionalFormatting xmlns:xm="http://schemas.microsoft.com/office/excel/2006/main">
          <x14:cfRule type="iconSet" priority="111" id="{F5B8561F-A6BB-4115-936F-C2E38407AF8C}">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A52</xm:sqref>
        </x14:conditionalFormatting>
        <x14:conditionalFormatting xmlns:xm="http://schemas.microsoft.com/office/excel/2006/main">
          <x14:cfRule type="iconSet" priority="110" id="{E37F8694-28A0-4033-8745-5F09FB3679C8}">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A53</xm:sqref>
        </x14:conditionalFormatting>
        <x14:conditionalFormatting xmlns:xm="http://schemas.microsoft.com/office/excel/2006/main">
          <x14:cfRule type="iconSet" priority="109" id="{7D09F03D-A6C6-4953-AE0B-1D337B8818C6}">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A54</xm:sqref>
        </x14:conditionalFormatting>
        <x14:conditionalFormatting xmlns:xm="http://schemas.microsoft.com/office/excel/2006/main">
          <x14:cfRule type="iconSet" priority="108" id="{6C6FC428-9775-42F5-9ABC-F71AB944A4C7}">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A59</xm:sqref>
        </x14:conditionalFormatting>
        <x14:conditionalFormatting xmlns:xm="http://schemas.microsoft.com/office/excel/2006/main">
          <x14:cfRule type="iconSet" priority="54" id="{19E28C22-1F1D-4AE5-AF48-088B8FC18D0F}">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A64</xm:sqref>
        </x14:conditionalFormatting>
        <x14:conditionalFormatting xmlns:xm="http://schemas.microsoft.com/office/excel/2006/main">
          <x14:cfRule type="iconSet" priority="107" id="{97F4B0B1-3AA4-4B15-B093-3D422928FF8A}">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A66</xm:sqref>
        </x14:conditionalFormatting>
        <x14:conditionalFormatting xmlns:xm="http://schemas.microsoft.com/office/excel/2006/main">
          <x14:cfRule type="iconSet" priority="106" id="{65B962C5-8689-4966-8501-B4F854D7AA83}">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A71</xm:sqref>
        </x14:conditionalFormatting>
        <x14:conditionalFormatting xmlns:xm="http://schemas.microsoft.com/office/excel/2006/main">
          <x14:cfRule type="iconSet" priority="105" id="{2D521DC4-1E17-43E2-8D3E-F645854F02B6}">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A76</xm:sqref>
        </x14:conditionalFormatting>
        <x14:conditionalFormatting xmlns:xm="http://schemas.microsoft.com/office/excel/2006/main">
          <x14:cfRule type="iconSet" priority="104" id="{AC878A59-6A7D-452D-A1F9-AE3ED3B085D8}">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A80</xm:sqref>
        </x14:conditionalFormatting>
        <x14:conditionalFormatting xmlns:xm="http://schemas.microsoft.com/office/excel/2006/main">
          <x14:cfRule type="iconSet" priority="103" id="{F70B41B8-091C-4D7B-A31A-F4FD589E1712}">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A86</xm:sqref>
        </x14:conditionalFormatting>
        <x14:conditionalFormatting xmlns:xm="http://schemas.microsoft.com/office/excel/2006/main">
          <x14:cfRule type="iconSet" priority="102" id="{74DA9C5C-0246-47B9-8628-6282DF1FA9B2}">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A87</xm:sqref>
        </x14:conditionalFormatting>
        <x14:conditionalFormatting xmlns:xm="http://schemas.microsoft.com/office/excel/2006/main">
          <x14:cfRule type="iconSet" priority="55" id="{9CE465DA-9AD3-4587-AE38-69346C49CC92}">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A92</xm:sqref>
        </x14:conditionalFormatting>
        <x14:conditionalFormatting xmlns:xm="http://schemas.microsoft.com/office/excel/2006/main">
          <x14:cfRule type="iconSet" priority="101" id="{71FC9BC4-9A24-4049-AC1A-4E6DF7703282}">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A94</xm:sqref>
        </x14:conditionalFormatting>
        <x14:conditionalFormatting xmlns:xm="http://schemas.microsoft.com/office/excel/2006/main">
          <x14:cfRule type="iconSet" priority="100" id="{53B0270D-9C27-46BB-8153-B8001ED1E163}">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A99</xm:sqref>
        </x14:conditionalFormatting>
        <x14:conditionalFormatting xmlns:xm="http://schemas.microsoft.com/office/excel/2006/main">
          <x14:cfRule type="iconSet" priority="99" id="{A4CA438D-AF89-4628-91F2-AF80DB4AB82C}">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A106</xm:sqref>
        </x14:conditionalFormatting>
        <x14:conditionalFormatting xmlns:xm="http://schemas.microsoft.com/office/excel/2006/main">
          <x14:cfRule type="iconSet" priority="98" id="{A7303B68-B4F1-4190-BA75-F402926F4753}">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A107</xm:sqref>
        </x14:conditionalFormatting>
        <x14:conditionalFormatting xmlns:xm="http://schemas.microsoft.com/office/excel/2006/main">
          <x14:cfRule type="iconSet" priority="97" id="{67C8F8B6-F159-4F5E-AAB0-C9B5604E71F5}">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A115</xm:sqref>
        </x14:conditionalFormatting>
        <x14:conditionalFormatting xmlns:xm="http://schemas.microsoft.com/office/excel/2006/main">
          <x14:cfRule type="iconSet" priority="96" id="{1F4E3F92-5196-426E-AD2A-08D6B0670551}">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A120</xm:sqref>
        </x14:conditionalFormatting>
        <x14:conditionalFormatting xmlns:xm="http://schemas.microsoft.com/office/excel/2006/main">
          <x14:cfRule type="iconSet" priority="95" id="{A5123A6D-83A2-442E-8039-488B98338781}">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A125</xm:sqref>
        </x14:conditionalFormatting>
        <x14:conditionalFormatting xmlns:xm="http://schemas.microsoft.com/office/excel/2006/main">
          <x14:cfRule type="iconSet" priority="94" id="{6B275D96-65BE-4BED-A2B4-82929D7AC18E}">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A127</xm:sqref>
        </x14:conditionalFormatting>
        <x14:conditionalFormatting xmlns:xm="http://schemas.microsoft.com/office/excel/2006/main">
          <x14:cfRule type="iconSet" priority="93" id="{75D84DAA-D769-4057-9086-CAF8F3103890}">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A128</xm:sqref>
        </x14:conditionalFormatting>
        <x14:conditionalFormatting xmlns:xm="http://schemas.microsoft.com/office/excel/2006/main">
          <x14:cfRule type="iconSet" priority="92" id="{EE15FA38-BE5B-417A-9D99-B9724D6D4F4B}">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A133</xm:sqref>
        </x14:conditionalFormatting>
        <x14:conditionalFormatting xmlns:xm="http://schemas.microsoft.com/office/excel/2006/main">
          <x14:cfRule type="iconSet" priority="91" id="{792A07FC-84FB-4B11-9FC3-31877BDCD355}">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A134</xm:sqref>
        </x14:conditionalFormatting>
        <x14:conditionalFormatting xmlns:xm="http://schemas.microsoft.com/office/excel/2006/main">
          <x14:cfRule type="iconSet" priority="90" id="{ED813304-6F38-4A8B-BC9E-80BD0FA46431}">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A139</xm:sqref>
        </x14:conditionalFormatting>
        <x14:conditionalFormatting xmlns:xm="http://schemas.microsoft.com/office/excel/2006/main">
          <x14:cfRule type="iconSet" priority="89" id="{0222DB67-2609-42A8-8D45-8D71BA2D07B8}">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A140</xm:sqref>
        </x14:conditionalFormatting>
        <x14:conditionalFormatting xmlns:xm="http://schemas.microsoft.com/office/excel/2006/main">
          <x14:cfRule type="iconSet" priority="88" id="{A99EAADD-BAB6-4F7A-B3EF-5D5457C193DB}">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A144</xm:sqref>
        </x14:conditionalFormatting>
        <x14:conditionalFormatting xmlns:xm="http://schemas.microsoft.com/office/excel/2006/main">
          <x14:cfRule type="iconSet" priority="87" id="{3200A5E0-0677-41ED-92DE-FB4BB2221215}">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A147</xm:sqref>
        </x14:conditionalFormatting>
        <x14:conditionalFormatting xmlns:xm="http://schemas.microsoft.com/office/excel/2006/main">
          <x14:cfRule type="iconSet" priority="86" id="{F74AAB0E-657A-40E6-8BAE-5944274DBDEC}">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A148</xm:sqref>
        </x14:conditionalFormatting>
        <x14:conditionalFormatting xmlns:xm="http://schemas.microsoft.com/office/excel/2006/main">
          <x14:cfRule type="iconSet" priority="85" id="{FAF45DBB-4F3C-46C5-84AA-36C6229ACBBE}">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A149</xm:sqref>
        </x14:conditionalFormatting>
        <x14:conditionalFormatting xmlns:xm="http://schemas.microsoft.com/office/excel/2006/main">
          <x14:cfRule type="iconSet" priority="84" id="{93C18730-9C6B-4AA2-97AC-E8E42CB65C3D}">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A150</xm:sqref>
        </x14:conditionalFormatting>
        <x14:conditionalFormatting xmlns:xm="http://schemas.microsoft.com/office/excel/2006/main">
          <x14:cfRule type="iconSet" priority="83" id="{5E41093D-C7DE-4C9A-A11E-B67C6DE891D7}">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A151</xm:sqref>
        </x14:conditionalFormatting>
        <x14:conditionalFormatting xmlns:xm="http://schemas.microsoft.com/office/excel/2006/main">
          <x14:cfRule type="iconSet" priority="82" id="{839EDD96-7DD3-4E68-9104-ADA1B87FB63C}">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A156</xm:sqref>
        </x14:conditionalFormatting>
        <x14:conditionalFormatting xmlns:xm="http://schemas.microsoft.com/office/excel/2006/main">
          <x14:cfRule type="iconSet" priority="81" id="{4DFFBC6F-077A-4025-AC4E-25155C2FB7B3}">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A157</xm:sqref>
        </x14:conditionalFormatting>
        <x14:conditionalFormatting xmlns:xm="http://schemas.microsoft.com/office/excel/2006/main">
          <x14:cfRule type="iconSet" priority="80" id="{E5B80F54-18CF-4B07-B955-2C87E88628B8}">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A158</xm:sqref>
        </x14:conditionalFormatting>
        <x14:conditionalFormatting xmlns:xm="http://schemas.microsoft.com/office/excel/2006/main">
          <x14:cfRule type="iconSet" priority="949" id="{3CB63183-E3C2-4A89-A6B2-436BBD186986}">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A159:A173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3AABF-6BBC-4B79-B86B-0B2D2928C3A6}">
  <sheetPr>
    <tabColor rgb="FF2F8DA6"/>
    <pageSetUpPr fitToPage="1"/>
  </sheetPr>
  <dimension ref="A1:BV107"/>
  <sheetViews>
    <sheetView zoomScale="25" zoomScaleNormal="25" workbookViewId="0">
      <selection activeCell="BU12" sqref="BU12"/>
      <extLst>
        <ext xmlns:xlsdti="http://schemas.microsoft.com/office/spreadsheetml/2023/showDataTypeIcons" uri="{77bfe23e-c014-4d31-8a63-9c772dbf06b6}">
          <xlsdti:showDataTypeIcons visible="0"/>
        </ext>
      </extLst>
    </sheetView>
  </sheetViews>
  <sheetFormatPr defaultColWidth="8.5546875" defaultRowHeight="14.4"/>
  <cols>
    <col min="1" max="1" width="4.44140625" style="277" customWidth="1"/>
    <col min="2" max="2" width="4" style="277" customWidth="1"/>
    <col min="3" max="3" width="9.5546875" style="277" customWidth="1"/>
    <col min="4" max="4" width="8.5546875" style="277" customWidth="1"/>
    <col min="5" max="5" width="17" style="277" customWidth="1"/>
    <col min="6" max="6" width="14.21875" style="277" customWidth="1"/>
    <col min="7" max="7" width="40.5546875" style="277" customWidth="1"/>
    <col min="8" max="8" width="5" style="277" customWidth="1"/>
    <col min="9" max="9" width="4.44140625" style="277" customWidth="1"/>
    <col min="10" max="10" width="25.21875" style="277" customWidth="1"/>
    <col min="11" max="11" width="17" style="277" customWidth="1"/>
    <col min="12" max="12" width="22.77734375" style="277" customWidth="1"/>
    <col min="13" max="13" width="29.44140625" style="277" customWidth="1"/>
    <col min="14" max="15" width="8.5546875" style="277" customWidth="1"/>
    <col min="16" max="16" width="23.77734375" style="277" customWidth="1"/>
    <col min="17" max="17" width="20.77734375" style="277" customWidth="1"/>
    <col min="18" max="18" width="15.44140625" style="277" customWidth="1"/>
    <col min="19" max="19" width="35.44140625" style="277" customWidth="1"/>
    <col min="20" max="20" width="29" style="277" customWidth="1"/>
    <col min="21" max="21" width="16.5546875" style="277" customWidth="1"/>
    <col min="22" max="22" width="8.5546875" style="277" customWidth="1"/>
    <col min="23" max="23" width="13.44140625" style="277" customWidth="1"/>
    <col min="24" max="24" width="8.21875" style="277" customWidth="1"/>
    <col min="25" max="33" width="8.5546875" style="278" bestFit="1"/>
    <col min="34" max="36" width="8.5546875" style="339" bestFit="1"/>
    <col min="37" max="37" width="9.44140625" style="339" bestFit="1" customWidth="1"/>
    <col min="38" max="38" width="12" style="339" customWidth="1"/>
    <col min="39" max="39" width="20.77734375" style="339" customWidth="1"/>
    <col min="40" max="40" width="21.21875" style="339" customWidth="1"/>
    <col min="41" max="41" width="15.77734375" style="339" customWidth="1"/>
    <col min="42" max="42" width="23.21875" style="339" hidden="1" customWidth="1"/>
    <col min="43" max="43" width="17.21875" style="339" hidden="1" customWidth="1"/>
    <col min="44" max="44" width="23.77734375" style="339" hidden="1" customWidth="1"/>
    <col min="45" max="45" width="17.21875" style="339" hidden="1" customWidth="1"/>
    <col min="46" max="46" width="17.5546875" style="339" hidden="1" customWidth="1"/>
    <col min="47" max="47" width="14.77734375" style="339" hidden="1" customWidth="1"/>
    <col min="48" max="48" width="13.5546875" style="339" hidden="1" customWidth="1"/>
    <col min="49" max="49" width="18" style="339" hidden="1" customWidth="1"/>
    <col min="50" max="50" width="34.77734375" style="339" hidden="1" customWidth="1"/>
    <col min="51" max="57" width="0" style="339" hidden="1" customWidth="1"/>
    <col min="58" max="58" width="29.77734375" style="339" hidden="1" customWidth="1"/>
    <col min="59" max="16384" width="8.5546875" style="339"/>
  </cols>
  <sheetData>
    <row r="1" spans="1:74" ht="36.6">
      <c r="A1" s="535" t="str">
        <f>_xlfn.CONCAT("Project Name: ",'Project Inputs'!$D$10)</f>
        <v xml:space="preserve">Project Name: </v>
      </c>
      <c r="B1" s="218"/>
      <c r="C1" s="218"/>
      <c r="D1" s="218"/>
      <c r="E1" s="218"/>
      <c r="F1" s="218"/>
      <c r="G1" s="218"/>
      <c r="H1" s="218"/>
      <c r="I1" s="218"/>
      <c r="J1" s="218"/>
      <c r="K1" s="218"/>
      <c r="L1" s="218"/>
      <c r="M1" s="218"/>
      <c r="N1" s="218"/>
      <c r="O1" s="218"/>
      <c r="P1" s="218"/>
      <c r="Q1" s="218"/>
      <c r="R1" s="218"/>
      <c r="S1" s="218"/>
      <c r="T1" s="218"/>
      <c r="U1" s="218"/>
      <c r="V1" s="218"/>
      <c r="W1" s="218"/>
      <c r="X1" s="218"/>
    </row>
    <row r="2" spans="1:74" ht="91.05" customHeight="1">
      <c r="A2" s="536" t="s">
        <v>0</v>
      </c>
      <c r="B2" s="337"/>
      <c r="C2" s="337"/>
      <c r="D2" s="337"/>
      <c r="E2" s="337"/>
      <c r="F2" s="337"/>
      <c r="G2" s="337"/>
      <c r="H2" s="337"/>
      <c r="I2" s="337"/>
      <c r="J2" s="337"/>
      <c r="K2" s="337"/>
      <c r="L2" s="337"/>
      <c r="M2" s="337"/>
      <c r="N2" s="337"/>
      <c r="O2" s="337"/>
      <c r="P2" s="337"/>
      <c r="Q2" s="337"/>
      <c r="R2" s="337"/>
      <c r="S2" s="337"/>
      <c r="T2" s="337"/>
      <c r="U2" s="337"/>
      <c r="V2" s="337"/>
      <c r="W2" s="337"/>
      <c r="X2" s="337"/>
      <c r="AI2" s="539"/>
      <c r="AJ2" s="539"/>
      <c r="AK2" s="539"/>
      <c r="AL2" s="539"/>
      <c r="AM2" s="539"/>
      <c r="AN2" s="539"/>
      <c r="AO2" s="539"/>
      <c r="AP2" s="539"/>
      <c r="AQ2" s="539"/>
      <c r="AR2" s="539"/>
      <c r="AS2" s="539"/>
      <c r="AT2" s="539"/>
      <c r="AU2" s="539"/>
      <c r="AV2" s="539"/>
      <c r="AW2" s="539"/>
      <c r="AX2" s="539"/>
      <c r="AY2" s="539"/>
      <c r="AZ2" s="539"/>
      <c r="BA2" s="539"/>
      <c r="BB2" s="539"/>
      <c r="BC2" s="539"/>
      <c r="BD2" s="539"/>
      <c r="BE2" s="539"/>
      <c r="BF2" s="539"/>
      <c r="BG2" s="539"/>
      <c r="BH2" s="539"/>
      <c r="BI2" s="539"/>
      <c r="BJ2" s="539"/>
      <c r="BK2" s="539"/>
      <c r="BL2" s="539"/>
      <c r="BM2" s="539"/>
      <c r="BN2" s="539"/>
      <c r="BO2" s="539"/>
    </row>
    <row r="3" spans="1:74" ht="15" thickBot="1">
      <c r="AI3" s="539"/>
      <c r="AJ3" s="539"/>
      <c r="AK3" s="539"/>
      <c r="AL3" s="539"/>
      <c r="AM3" s="539"/>
      <c r="AN3" s="539"/>
      <c r="AO3" s="539"/>
      <c r="AP3" s="539"/>
      <c r="AQ3" s="539"/>
      <c r="AR3" s="539"/>
      <c r="AS3" s="539"/>
      <c r="AT3" s="539"/>
      <c r="AU3" s="539"/>
      <c r="AV3" s="539"/>
      <c r="AW3" s="539"/>
      <c r="AX3" s="539"/>
      <c r="AY3" s="539"/>
      <c r="AZ3" s="539"/>
      <c r="BA3" s="539"/>
      <c r="BB3" s="539"/>
      <c r="BC3" s="539"/>
      <c r="BD3" s="539"/>
      <c r="BE3" s="539"/>
      <c r="BF3" s="539"/>
      <c r="BG3" s="539"/>
      <c r="BH3" s="539"/>
      <c r="BI3" s="539"/>
      <c r="BJ3" s="539"/>
      <c r="BK3" s="539"/>
      <c r="BL3" s="539"/>
      <c r="BM3" s="539"/>
      <c r="BN3" s="539"/>
      <c r="BO3" s="539"/>
    </row>
    <row r="4" spans="1:74" ht="47.4">
      <c r="B4" s="279"/>
      <c r="C4" s="280" t="s">
        <v>10138</v>
      </c>
      <c r="D4" s="281"/>
      <c r="E4" s="281"/>
      <c r="F4" s="281"/>
      <c r="G4" s="281"/>
      <c r="H4" s="281"/>
      <c r="I4" s="281"/>
      <c r="J4" s="282"/>
      <c r="K4" s="282"/>
      <c r="L4" s="282"/>
      <c r="M4" s="282"/>
      <c r="N4" s="282"/>
      <c r="O4" s="282"/>
      <c r="P4" s="282"/>
      <c r="Q4" s="282"/>
      <c r="R4" s="282"/>
      <c r="S4" s="282"/>
      <c r="T4" s="282"/>
      <c r="U4" s="283"/>
      <c r="Z4" s="344"/>
      <c r="AI4" s="539"/>
      <c r="AJ4" s="539"/>
      <c r="AK4" s="539"/>
      <c r="AL4" s="539"/>
      <c r="AM4" s="539"/>
      <c r="AN4" s="539"/>
      <c r="AO4" s="539"/>
      <c r="AP4" s="539"/>
      <c r="AQ4" s="539"/>
      <c r="AR4" s="539"/>
      <c r="AS4" s="539"/>
      <c r="AT4" s="539"/>
      <c r="AU4" s="539"/>
      <c r="AV4" s="539"/>
      <c r="AW4" s="539"/>
      <c r="AX4" s="539"/>
      <c r="AY4" s="539"/>
      <c r="AZ4" s="539"/>
      <c r="BA4" s="539"/>
      <c r="BB4" s="539"/>
      <c r="BC4" s="539"/>
      <c r="BD4" s="539"/>
      <c r="BE4" s="539"/>
      <c r="BF4" s="539"/>
      <c r="BG4" s="539"/>
      <c r="BH4" s="539"/>
      <c r="BI4" s="539"/>
      <c r="BJ4" s="539"/>
      <c r="BK4" s="539"/>
      <c r="BL4" s="539"/>
      <c r="BM4" s="539"/>
      <c r="BN4" s="539"/>
      <c r="BO4" s="539"/>
    </row>
    <row r="5" spans="1:74" ht="78" customHeight="1">
      <c r="C5" s="611" t="s">
        <v>10292</v>
      </c>
      <c r="D5" s="612"/>
      <c r="E5" s="612"/>
      <c r="F5" s="612"/>
      <c r="G5" s="612"/>
      <c r="H5" s="612"/>
      <c r="I5" s="612"/>
      <c r="J5" s="612"/>
      <c r="K5" s="612"/>
      <c r="L5" s="612"/>
      <c r="M5" s="612"/>
      <c r="N5" s="612"/>
      <c r="O5" s="612"/>
      <c r="P5" s="612"/>
      <c r="Q5" s="612"/>
      <c r="R5" s="612"/>
      <c r="S5" s="612"/>
      <c r="T5" s="612"/>
      <c r="U5" s="613"/>
      <c r="V5" s="289"/>
      <c r="Z5" s="344"/>
      <c r="AI5" s="539"/>
      <c r="AJ5" s="539"/>
      <c r="AK5" s="539"/>
      <c r="AL5" s="539"/>
      <c r="AM5" s="539"/>
      <c r="AN5" s="539"/>
      <c r="AO5" s="539"/>
      <c r="AP5" s="539"/>
      <c r="AQ5" s="539"/>
      <c r="AR5" s="539"/>
      <c r="AS5" s="539"/>
      <c r="AT5" s="539"/>
      <c r="AU5" s="539"/>
      <c r="AV5" s="539"/>
      <c r="AW5" s="539"/>
      <c r="AX5" s="539"/>
      <c r="AY5" s="539"/>
      <c r="AZ5" s="539"/>
      <c r="BA5" s="539"/>
      <c r="BB5" s="539"/>
      <c r="BC5" s="539"/>
      <c r="BD5" s="539"/>
      <c r="BE5" s="539"/>
      <c r="BF5" s="539"/>
      <c r="BG5" s="539"/>
      <c r="BH5" s="539"/>
      <c r="BI5" s="539"/>
      <c r="BJ5" s="539"/>
      <c r="BK5" s="539"/>
      <c r="BL5" s="539"/>
      <c r="BM5" s="539"/>
      <c r="BN5" s="539"/>
      <c r="BO5" s="539"/>
    </row>
    <row r="6" spans="1:74" ht="65.55" customHeight="1">
      <c r="C6" s="284"/>
      <c r="D6" s="285"/>
      <c r="E6" s="285"/>
      <c r="F6" s="285"/>
      <c r="G6" s="286">
        <f ca="1">'Data output'!$H$21</f>
        <v>0</v>
      </c>
      <c r="H6" s="285"/>
      <c r="I6" s="285"/>
      <c r="J6" s="285"/>
      <c r="K6" s="285"/>
      <c r="L6" s="285"/>
      <c r="M6" s="285"/>
      <c r="N6" s="287" t="str">
        <f>TEXT('Data output'!H56,0)&amp;" out of 5"</f>
        <v>0 out of 5</v>
      </c>
      <c r="O6" s="285"/>
      <c r="P6" s="288"/>
      <c r="Q6" s="288"/>
      <c r="R6" s="287" t="str">
        <f>TEXT('Data output'!H64,0)&amp;" out of 5"</f>
        <v>0 out of 5</v>
      </c>
      <c r="S6" s="285"/>
      <c r="T6" s="285"/>
      <c r="U6" s="285"/>
      <c r="V6" s="289"/>
      <c r="AI6" s="539"/>
      <c r="AJ6" s="539"/>
      <c r="AK6" s="540"/>
      <c r="AL6" s="541"/>
      <c r="AM6" s="539"/>
      <c r="AN6" s="539"/>
      <c r="AO6" s="539"/>
      <c r="AP6" s="539"/>
      <c r="AQ6" s="539"/>
      <c r="AR6" s="539"/>
      <c r="AS6" s="539"/>
      <c r="AT6" s="539"/>
      <c r="AU6" s="539"/>
      <c r="AV6" s="539"/>
      <c r="AW6" s="539"/>
      <c r="AX6" s="539"/>
      <c r="AY6" s="539"/>
      <c r="AZ6" s="539"/>
      <c r="BA6" s="539"/>
      <c r="BB6" s="539"/>
      <c r="BC6" s="539"/>
      <c r="BD6" s="539"/>
      <c r="BE6" s="539"/>
      <c r="BF6" s="539"/>
      <c r="BG6" s="539"/>
      <c r="BH6" s="539"/>
      <c r="BI6" s="539"/>
      <c r="BJ6" s="539"/>
      <c r="BK6" s="539"/>
      <c r="BL6" s="539"/>
      <c r="BM6" s="539"/>
      <c r="BN6" s="539"/>
      <c r="BO6" s="539"/>
    </row>
    <row r="7" spans="1:74" ht="49.05" customHeight="1">
      <c r="C7" s="290"/>
      <c r="D7" s="285"/>
      <c r="E7" s="285"/>
      <c r="F7" s="285"/>
      <c r="G7" s="291" t="str">
        <f>"Points attempted"</f>
        <v>Points attempted</v>
      </c>
      <c r="H7" s="285"/>
      <c r="I7" s="285"/>
      <c r="J7" s="285"/>
      <c r="K7" s="285"/>
      <c r="L7" s="285"/>
      <c r="M7" s="285"/>
      <c r="N7" s="317" t="s">
        <v>10247</v>
      </c>
      <c r="O7" s="292"/>
      <c r="P7" s="288"/>
      <c r="Q7" s="293"/>
      <c r="R7" s="317" t="s">
        <v>10248</v>
      </c>
      <c r="S7" s="292"/>
      <c r="T7" s="292"/>
      <c r="U7" s="292"/>
      <c r="V7" s="289"/>
      <c r="AI7" s="539"/>
      <c r="AJ7" s="539"/>
      <c r="AK7" s="540"/>
      <c r="AL7" s="541"/>
      <c r="AM7" s="539"/>
      <c r="AN7" s="539"/>
      <c r="AO7" s="539"/>
      <c r="AP7" s="539"/>
      <c r="AQ7" s="539"/>
      <c r="AR7" s="539"/>
      <c r="AS7" s="539"/>
      <c r="AT7" s="539"/>
      <c r="AU7" s="539"/>
      <c r="AV7" s="539"/>
      <c r="AW7" s="539"/>
      <c r="AX7" s="539"/>
      <c r="AY7" s="539"/>
      <c r="AZ7" s="539"/>
      <c r="BA7" s="539"/>
      <c r="BB7" s="539"/>
      <c r="BC7" s="539"/>
      <c r="BD7" s="539"/>
      <c r="BE7" s="539"/>
      <c r="BF7" s="539"/>
      <c r="BG7" s="539"/>
      <c r="BH7" s="539"/>
      <c r="BI7" s="539"/>
      <c r="BJ7" s="539"/>
      <c r="BK7" s="539"/>
      <c r="BL7" s="539"/>
      <c r="BM7" s="539"/>
      <c r="BN7" s="539"/>
      <c r="BO7" s="539"/>
    </row>
    <row r="8" spans="1:74" ht="72" customHeight="1" thickBot="1">
      <c r="B8" s="279"/>
      <c r="C8" s="504" t="str">
        <f ca="1">_xlfn.CONCAT("  Estimated TRUE Certification Level: ", 'Data output'!$H$22)</f>
        <v xml:space="preserve">  Estimated TRUE Certification Level: Not certified</v>
      </c>
      <c r="D8" s="294"/>
      <c r="E8" s="294"/>
      <c r="F8" s="294"/>
      <c r="G8" s="294"/>
      <c r="H8" s="294"/>
      <c r="I8" s="294"/>
      <c r="J8" s="294"/>
      <c r="K8" s="294"/>
      <c r="L8" s="294"/>
      <c r="M8" s="505"/>
      <c r="N8" s="295" t="s">
        <v>10250</v>
      </c>
      <c r="O8" s="296"/>
      <c r="P8" s="296"/>
      <c r="Q8" s="294"/>
      <c r="R8" s="297" t="s">
        <v>10249</v>
      </c>
      <c r="S8" s="294"/>
      <c r="T8" s="298"/>
      <c r="U8" s="299"/>
      <c r="AI8" s="539"/>
      <c r="AJ8" s="539"/>
      <c r="AK8" s="540"/>
      <c r="AL8" s="541"/>
      <c r="AM8" s="539"/>
      <c r="AN8" s="539"/>
      <c r="AO8" s="539"/>
      <c r="AP8" s="539"/>
      <c r="AQ8" s="539"/>
      <c r="AR8" s="539"/>
      <c r="AS8" s="539"/>
      <c r="AT8" s="539"/>
      <c r="AU8" s="539"/>
      <c r="AV8" s="539"/>
      <c r="AW8" s="539"/>
      <c r="AX8" s="539"/>
      <c r="AY8" s="539"/>
      <c r="AZ8" s="539"/>
      <c r="BA8" s="539"/>
      <c r="BB8" s="539"/>
      <c r="BC8" s="539"/>
      <c r="BD8" s="539"/>
      <c r="BE8" s="539"/>
      <c r="BF8" s="539"/>
      <c r="BG8" s="539"/>
      <c r="BH8" s="539"/>
      <c r="BI8" s="539"/>
      <c r="BJ8" s="539"/>
      <c r="BK8" s="539"/>
      <c r="BL8" s="539"/>
      <c r="BM8" s="539"/>
      <c r="BN8" s="539"/>
      <c r="BO8" s="539"/>
    </row>
    <row r="9" spans="1:74" ht="29.55" customHeight="1" thickBot="1">
      <c r="C9" s="300"/>
      <c r="O9" s="301"/>
      <c r="AI9" s="539"/>
      <c r="AJ9" s="539"/>
      <c r="AK9" s="540"/>
      <c r="AL9" s="541"/>
      <c r="AM9" s="539"/>
      <c r="AN9" s="539"/>
      <c r="AO9" s="539"/>
      <c r="AP9" s="539"/>
      <c r="AQ9" s="539"/>
      <c r="AR9" s="539"/>
      <c r="AS9" s="539"/>
      <c r="AT9" s="539"/>
      <c r="AU9" s="539"/>
      <c r="AV9" s="539"/>
      <c r="AW9" s="539"/>
      <c r="AX9" s="539"/>
      <c r="AY9" s="539"/>
      <c r="AZ9" s="539"/>
      <c r="BA9" s="539"/>
      <c r="BB9" s="539"/>
      <c r="BC9" s="539"/>
      <c r="BD9" s="539"/>
      <c r="BE9" s="539"/>
      <c r="BF9" s="539"/>
      <c r="BG9" s="539"/>
      <c r="BH9" s="539"/>
      <c r="BI9" s="539"/>
      <c r="BJ9" s="539"/>
      <c r="BK9" s="539"/>
      <c r="BL9" s="539"/>
      <c r="BM9" s="539"/>
      <c r="BN9" s="539"/>
      <c r="BO9" s="539"/>
    </row>
    <row r="10" spans="1:74" ht="41.1" customHeight="1">
      <c r="C10" s="280" t="s">
        <v>10139</v>
      </c>
      <c r="D10" s="302"/>
      <c r="E10" s="302"/>
      <c r="F10" s="302"/>
      <c r="G10" s="302"/>
      <c r="H10" s="302"/>
      <c r="I10" s="302"/>
      <c r="J10" s="302"/>
      <c r="K10" s="302"/>
      <c r="L10" s="302"/>
      <c r="M10" s="302"/>
      <c r="N10" s="302"/>
      <c r="O10" s="302"/>
      <c r="P10" s="302"/>
      <c r="Q10" s="302"/>
      <c r="R10" s="302"/>
      <c r="S10" s="302"/>
      <c r="T10" s="302"/>
      <c r="U10" s="303"/>
      <c r="V10" s="304"/>
      <c r="AI10" s="539"/>
      <c r="AJ10" s="539"/>
      <c r="AK10" s="540"/>
      <c r="AL10" s="541"/>
      <c r="AM10" s="539"/>
      <c r="AN10" s="539"/>
      <c r="AO10" s="539"/>
      <c r="AP10" s="539"/>
      <c r="AQ10" s="539"/>
      <c r="AR10" s="539"/>
      <c r="AS10" s="539"/>
      <c r="AT10" s="539"/>
      <c r="AU10" s="539"/>
      <c r="AV10" s="539"/>
      <c r="AW10" s="539"/>
      <c r="AX10" s="539"/>
      <c r="AY10" s="539"/>
      <c r="AZ10" s="539"/>
      <c r="BA10" s="539"/>
      <c r="BB10" s="539"/>
      <c r="BC10" s="539"/>
      <c r="BD10" s="539"/>
      <c r="BE10" s="539"/>
      <c r="BF10" s="539"/>
      <c r="BG10" s="539"/>
      <c r="BH10" s="539"/>
      <c r="BI10" s="539"/>
      <c r="BJ10" s="539"/>
      <c r="BK10" s="539"/>
      <c r="BL10" s="539"/>
      <c r="BM10" s="539"/>
      <c r="BN10" s="539"/>
      <c r="BO10" s="539"/>
    </row>
    <row r="11" spans="1:74" ht="50.1" customHeight="1">
      <c r="C11" s="305"/>
      <c r="D11" s="288"/>
      <c r="E11" s="288"/>
      <c r="F11" s="288"/>
      <c r="G11" s="288"/>
      <c r="H11" s="288"/>
      <c r="I11" s="288"/>
      <c r="J11" s="288"/>
      <c r="K11" s="288"/>
      <c r="L11" s="288"/>
      <c r="M11" s="288"/>
      <c r="N11" s="288"/>
      <c r="O11" s="288"/>
      <c r="P11" s="288"/>
      <c r="Q11" s="288"/>
      <c r="R11" s="288"/>
      <c r="S11" s="288"/>
      <c r="T11" s="288"/>
      <c r="U11" s="306"/>
      <c r="V11" s="304"/>
      <c r="AI11" s="539"/>
      <c r="AJ11" s="539"/>
      <c r="AK11" s="540"/>
      <c r="AL11" s="541"/>
      <c r="AM11" s="539"/>
      <c r="AN11" s="539"/>
      <c r="AO11" s="539"/>
      <c r="AP11" s="539"/>
      <c r="AQ11" s="539"/>
      <c r="AR11" s="539"/>
      <c r="AS11" s="539"/>
      <c r="AT11" s="539"/>
      <c r="AU11" s="539"/>
      <c r="AV11" s="539"/>
      <c r="AW11" s="539"/>
      <c r="AX11" s="539"/>
      <c r="AY11" s="539"/>
      <c r="AZ11" s="539"/>
      <c r="BA11" s="539"/>
      <c r="BB11" s="539"/>
      <c r="BC11" s="539"/>
      <c r="BD11" s="539"/>
      <c r="BE11" s="539"/>
      <c r="BF11" s="539"/>
      <c r="BG11" s="539"/>
      <c r="BH11" s="539"/>
      <c r="BI11" s="539"/>
      <c r="BJ11" s="539"/>
      <c r="BK11" s="539"/>
      <c r="BL11" s="539"/>
      <c r="BM11" s="539"/>
      <c r="BN11" s="539"/>
      <c r="BO11" s="539"/>
    </row>
    <row r="12" spans="1:74" ht="51.6" customHeight="1">
      <c r="C12" s="305"/>
      <c r="D12" s="288"/>
      <c r="E12" s="288"/>
      <c r="F12" s="288"/>
      <c r="G12" s="307">
        <f>'Data output'!$G$118</f>
        <v>0</v>
      </c>
      <c r="H12" s="288"/>
      <c r="I12" s="288"/>
      <c r="J12" s="288"/>
      <c r="K12" s="288"/>
      <c r="L12" s="288"/>
      <c r="M12" s="288"/>
      <c r="N12" s="288"/>
      <c r="O12" s="288"/>
      <c r="P12" s="288"/>
      <c r="Q12" s="288"/>
      <c r="R12" s="288"/>
      <c r="S12" s="308" t="s">
        <v>369</v>
      </c>
      <c r="T12" s="288"/>
      <c r="U12" s="306"/>
      <c r="AI12" s="539"/>
      <c r="AJ12" s="539"/>
      <c r="AK12" s="540"/>
      <c r="AL12" s="541"/>
      <c r="AM12" s="539"/>
      <c r="AN12" s="539"/>
      <c r="AO12" s="539"/>
      <c r="AP12" s="539"/>
      <c r="AQ12" s="539"/>
      <c r="AR12" s="539"/>
      <c r="AS12" s="539"/>
      <c r="AT12" s="539"/>
      <c r="AU12" s="539"/>
      <c r="AV12" s="539"/>
      <c r="AW12" s="539"/>
      <c r="AX12" s="542"/>
      <c r="AY12" s="539"/>
      <c r="AZ12" s="539"/>
      <c r="BA12" s="539"/>
      <c r="BB12" s="539"/>
      <c r="BC12" s="539"/>
      <c r="BD12" s="539"/>
      <c r="BE12" s="539"/>
      <c r="BF12" s="542"/>
      <c r="BG12" s="539"/>
      <c r="BH12" s="539"/>
      <c r="BI12" s="539"/>
      <c r="BJ12" s="539"/>
      <c r="BK12" s="539"/>
      <c r="BL12" s="539"/>
      <c r="BM12" s="539"/>
      <c r="BN12" s="539"/>
      <c r="BO12" s="539"/>
      <c r="BV12" s="340"/>
    </row>
    <row r="13" spans="1:74" ht="70.5" customHeight="1">
      <c r="C13" s="305"/>
      <c r="D13" s="288"/>
      <c r="E13" s="288"/>
      <c r="F13" s="288"/>
      <c r="G13" s="309" t="s">
        <v>370</v>
      </c>
      <c r="H13" s="288"/>
      <c r="I13" s="288"/>
      <c r="J13" s="288"/>
      <c r="K13" s="288"/>
      <c r="L13" s="288"/>
      <c r="M13" s="288"/>
      <c r="N13" s="288"/>
      <c r="O13" s="288"/>
      <c r="P13" s="288"/>
      <c r="Q13" s="288"/>
      <c r="R13" s="288"/>
      <c r="S13" s="509">
        <f>'Project Inputs'!D19</f>
        <v>0</v>
      </c>
      <c r="T13" s="288"/>
      <c r="U13" s="306"/>
      <c r="AI13" s="539"/>
      <c r="AJ13" s="539"/>
      <c r="AK13" s="540"/>
      <c r="AL13" s="541"/>
      <c r="AM13" s="539"/>
      <c r="AN13" s="539"/>
      <c r="AO13" s="539"/>
      <c r="AP13" s="539"/>
      <c r="AQ13" s="539"/>
      <c r="AR13" s="539"/>
      <c r="AS13" s="539"/>
      <c r="AT13" s="539"/>
      <c r="AU13" s="539"/>
      <c r="AV13" s="539"/>
      <c r="AW13" s="539"/>
      <c r="AX13" s="543"/>
      <c r="AY13" s="539"/>
      <c r="AZ13" s="539"/>
      <c r="BA13" s="539"/>
      <c r="BB13" s="539"/>
      <c r="BC13" s="539"/>
      <c r="BD13" s="539"/>
      <c r="BE13" s="539"/>
      <c r="BF13" s="543"/>
      <c r="BG13" s="539"/>
      <c r="BH13" s="539"/>
      <c r="BI13" s="539"/>
      <c r="BJ13" s="539"/>
      <c r="BK13" s="539"/>
      <c r="BL13" s="539"/>
      <c r="BM13" s="539"/>
      <c r="BN13" s="542"/>
      <c r="BO13" s="539"/>
      <c r="BV13" s="341"/>
    </row>
    <row r="14" spans="1:74" ht="49.05" customHeight="1">
      <c r="C14" s="305"/>
      <c r="D14" s="288"/>
      <c r="E14" s="288"/>
      <c r="F14" s="288"/>
      <c r="G14" s="288"/>
      <c r="H14" s="288"/>
      <c r="I14" s="288"/>
      <c r="J14" s="288"/>
      <c r="K14" s="288"/>
      <c r="L14" s="288"/>
      <c r="M14" s="288"/>
      <c r="N14" s="288"/>
      <c r="O14" s="288"/>
      <c r="P14" s="288"/>
      <c r="Q14" s="288"/>
      <c r="R14" s="288"/>
      <c r="S14" s="308" t="s">
        <v>371</v>
      </c>
      <c r="T14" s="288"/>
      <c r="U14" s="306"/>
      <c r="AI14" s="539"/>
      <c r="AJ14" s="539"/>
      <c r="AK14" s="540"/>
      <c r="AL14" s="541"/>
      <c r="AM14" s="539"/>
      <c r="AN14" s="539"/>
      <c r="AO14" s="539"/>
      <c r="AP14" s="539"/>
      <c r="AQ14" s="539"/>
      <c r="AR14" s="539"/>
      <c r="AS14" s="539"/>
      <c r="AT14" s="539"/>
      <c r="AU14" s="539"/>
      <c r="AV14" s="539"/>
      <c r="AW14" s="539"/>
      <c r="AX14" s="539"/>
      <c r="AY14" s="539"/>
      <c r="AZ14" s="539"/>
      <c r="BA14" s="539"/>
      <c r="BB14" s="539"/>
      <c r="BC14" s="539"/>
      <c r="BD14" s="539"/>
      <c r="BE14" s="539"/>
      <c r="BF14" s="539"/>
      <c r="BG14" s="539"/>
      <c r="BH14" s="539"/>
      <c r="BI14" s="539"/>
      <c r="BJ14" s="539"/>
      <c r="BK14" s="539"/>
      <c r="BL14" s="539"/>
      <c r="BM14" s="539"/>
      <c r="BN14" s="544"/>
      <c r="BO14" s="539"/>
    </row>
    <row r="15" spans="1:74" ht="49.05" customHeight="1">
      <c r="C15" s="305"/>
      <c r="D15" s="288"/>
      <c r="E15" s="288"/>
      <c r="F15" s="288"/>
      <c r="G15" s="288"/>
      <c r="H15" s="288"/>
      <c r="I15" s="288"/>
      <c r="J15" s="288"/>
      <c r="K15" s="288"/>
      <c r="L15" s="288"/>
      <c r="M15" s="288"/>
      <c r="N15" s="288"/>
      <c r="O15" s="288"/>
      <c r="P15" s="288"/>
      <c r="Q15" s="288"/>
      <c r="R15" s="288"/>
      <c r="S15" s="537">
        <f>'Project Inputs'!D21</f>
        <v>0</v>
      </c>
      <c r="T15" s="538"/>
      <c r="U15" s="306"/>
      <c r="AI15" s="539"/>
      <c r="AJ15" s="539"/>
      <c r="AK15" s="545"/>
      <c r="AL15" s="546"/>
      <c r="AM15" s="547"/>
      <c r="AN15" s="547"/>
      <c r="AO15" s="539"/>
      <c r="AP15" s="539"/>
      <c r="AQ15" s="539"/>
      <c r="AR15" s="539"/>
      <c r="AS15" s="539"/>
      <c r="AT15" s="539"/>
      <c r="AU15" s="539"/>
      <c r="AV15" s="539"/>
      <c r="AW15" s="539"/>
      <c r="AX15" s="539"/>
      <c r="AY15" s="539"/>
      <c r="AZ15" s="539"/>
      <c r="BA15" s="539"/>
      <c r="BB15" s="539"/>
      <c r="BC15" s="539"/>
      <c r="BD15" s="539"/>
      <c r="BE15" s="539"/>
      <c r="BF15" s="539"/>
      <c r="BG15" s="539"/>
      <c r="BH15" s="539"/>
      <c r="BI15" s="539"/>
      <c r="BJ15" s="539"/>
      <c r="BK15" s="539"/>
      <c r="BL15" s="539"/>
      <c r="BM15" s="539"/>
      <c r="BN15" s="539"/>
      <c r="BO15" s="539"/>
    </row>
    <row r="16" spans="1:74" ht="74.55" customHeight="1">
      <c r="C16" s="305"/>
      <c r="D16" s="288"/>
      <c r="E16" s="288"/>
      <c r="F16" s="288"/>
      <c r="G16" s="288"/>
      <c r="H16" s="288"/>
      <c r="I16" s="288"/>
      <c r="J16" s="288"/>
      <c r="K16" s="288"/>
      <c r="L16" s="288"/>
      <c r="M16" s="288"/>
      <c r="N16" s="288"/>
      <c r="O16" s="288"/>
      <c r="P16" s="288"/>
      <c r="Q16" s="288"/>
      <c r="R16" s="288"/>
      <c r="S16" s="308" t="s">
        <v>373</v>
      </c>
      <c r="T16" s="288"/>
      <c r="U16" s="306"/>
      <c r="AI16" s="539"/>
      <c r="AJ16" s="539"/>
      <c r="AK16" s="540"/>
      <c r="AL16" s="539"/>
      <c r="AM16" s="539"/>
      <c r="AN16" s="539"/>
      <c r="AO16" s="539"/>
      <c r="AP16" s="539"/>
      <c r="AQ16" s="539"/>
      <c r="AR16" s="539"/>
      <c r="AS16" s="539"/>
      <c r="AT16" s="539"/>
      <c r="AU16" s="539"/>
      <c r="AV16" s="539"/>
      <c r="AW16" s="539"/>
      <c r="AX16" s="539"/>
      <c r="AY16" s="539"/>
      <c r="AZ16" s="539"/>
      <c r="BA16" s="539"/>
      <c r="BB16" s="539"/>
      <c r="BC16" s="539"/>
      <c r="BD16" s="539"/>
      <c r="BE16" s="539"/>
      <c r="BF16" s="539"/>
      <c r="BG16" s="539"/>
      <c r="BH16" s="539"/>
      <c r="BI16" s="539"/>
      <c r="BJ16" s="539"/>
      <c r="BK16" s="539"/>
      <c r="BL16" s="539"/>
      <c r="BM16" s="539"/>
      <c r="BN16" s="539"/>
      <c r="BO16" s="539"/>
    </row>
    <row r="17" spans="3:67" ht="49.05" customHeight="1">
      <c r="C17" s="305"/>
      <c r="D17" s="288"/>
      <c r="E17" s="288"/>
      <c r="F17" s="288"/>
      <c r="G17" s="288"/>
      <c r="H17" s="288"/>
      <c r="I17" s="288"/>
      <c r="J17" s="288"/>
      <c r="K17" s="288"/>
      <c r="L17" s="288"/>
      <c r="M17" s="288"/>
      <c r="N17" s="288"/>
      <c r="O17" s="288"/>
      <c r="P17" s="288"/>
      <c r="Q17" s="288"/>
      <c r="R17" s="288"/>
      <c r="S17" s="537" t="str">
        <f>IFERROR(_xlfn.CONCAT(TEXT(('Project Inputs'!D22)/'Data output'!G119, "0.000"), "kg / ", S15), "Select metric in Project Input tab")</f>
        <v>Select metric in Project Input tab</v>
      </c>
      <c r="T17" s="538"/>
      <c r="U17" s="306"/>
      <c r="AI17" s="539"/>
      <c r="AJ17" s="539"/>
      <c r="AK17" s="540"/>
      <c r="AL17" s="539"/>
      <c r="AM17" s="539"/>
      <c r="AN17" s="539"/>
      <c r="AO17" s="539"/>
      <c r="AP17" s="539"/>
      <c r="AQ17" s="539"/>
      <c r="AR17" s="539"/>
      <c r="AS17" s="539"/>
      <c r="AT17" s="539"/>
      <c r="AU17" s="539"/>
      <c r="AV17" s="539"/>
      <c r="AW17" s="539"/>
      <c r="AX17" s="539"/>
      <c r="AY17" s="539"/>
      <c r="AZ17" s="539"/>
      <c r="BA17" s="539"/>
      <c r="BB17" s="539"/>
      <c r="BC17" s="539"/>
      <c r="BD17" s="539"/>
      <c r="BE17" s="539"/>
      <c r="BF17" s="539"/>
      <c r="BG17" s="539"/>
      <c r="BH17" s="539"/>
      <c r="BI17" s="539"/>
      <c r="BJ17" s="539"/>
      <c r="BK17" s="539"/>
      <c r="BL17" s="539"/>
      <c r="BM17" s="539"/>
      <c r="BN17" s="539"/>
      <c r="BO17" s="539"/>
    </row>
    <row r="18" spans="3:67" ht="49.05" customHeight="1">
      <c r="C18" s="305"/>
      <c r="D18" s="288"/>
      <c r="E18" s="288"/>
      <c r="F18" s="288"/>
      <c r="G18" s="288"/>
      <c r="H18" s="288"/>
      <c r="I18" s="288"/>
      <c r="J18" s="288"/>
      <c r="K18" s="288"/>
      <c r="L18" s="288"/>
      <c r="M18" s="288"/>
      <c r="N18" s="288"/>
      <c r="O18" s="288"/>
      <c r="P18" s="288"/>
      <c r="Q18" s="288"/>
      <c r="R18" s="288"/>
      <c r="S18" s="288"/>
      <c r="T18" s="288"/>
      <c r="U18" s="306"/>
      <c r="AI18" s="539"/>
      <c r="AJ18" s="539"/>
      <c r="AK18" s="540"/>
      <c r="AL18" s="539"/>
      <c r="AM18" s="539"/>
      <c r="AN18" s="539"/>
      <c r="AO18" s="539"/>
      <c r="AP18" s="539"/>
      <c r="AQ18" s="539"/>
      <c r="AR18" s="539"/>
      <c r="AS18" s="539"/>
      <c r="AT18" s="539"/>
      <c r="AU18" s="539"/>
      <c r="AV18" s="539"/>
      <c r="AW18" s="539"/>
      <c r="AX18" s="539"/>
      <c r="AY18" s="539"/>
      <c r="AZ18" s="539"/>
      <c r="BA18" s="539"/>
      <c r="BB18" s="539"/>
      <c r="BC18" s="539"/>
      <c r="BD18" s="539"/>
      <c r="BE18" s="539"/>
      <c r="BF18" s="539"/>
      <c r="BG18" s="539"/>
      <c r="BH18" s="539"/>
      <c r="BI18" s="539"/>
      <c r="BJ18" s="539"/>
      <c r="BK18" s="539"/>
      <c r="BL18" s="539"/>
      <c r="BM18" s="539"/>
      <c r="BN18" s="539"/>
      <c r="BO18" s="539"/>
    </row>
    <row r="19" spans="3:67" ht="49.05" customHeight="1">
      <c r="C19" s="305"/>
      <c r="D19" s="288"/>
      <c r="E19" s="288"/>
      <c r="F19" s="288"/>
      <c r="G19" s="288"/>
      <c r="H19" s="288"/>
      <c r="I19" s="288"/>
      <c r="J19" s="288"/>
      <c r="K19" s="288"/>
      <c r="L19" s="288"/>
      <c r="M19" s="288"/>
      <c r="N19" s="288"/>
      <c r="O19" s="288"/>
      <c r="P19" s="288"/>
      <c r="Q19" s="288"/>
      <c r="R19" s="288"/>
      <c r="S19" s="288"/>
      <c r="T19" s="288"/>
      <c r="U19" s="306"/>
      <c r="AI19" s="539"/>
      <c r="AJ19" s="539"/>
      <c r="AK19" s="540"/>
      <c r="AL19" s="539"/>
      <c r="AM19" s="539"/>
      <c r="AN19" s="539"/>
      <c r="AO19" s="539"/>
      <c r="AP19" s="539"/>
      <c r="AQ19" s="539"/>
      <c r="AR19" s="539"/>
      <c r="AS19" s="539"/>
      <c r="AT19" s="539"/>
      <c r="AU19" s="539"/>
      <c r="AV19" s="539"/>
      <c r="AW19" s="539"/>
      <c r="AX19" s="539"/>
      <c r="AY19" s="539"/>
      <c r="AZ19" s="539"/>
      <c r="BA19" s="539"/>
      <c r="BB19" s="539"/>
      <c r="BC19" s="539"/>
      <c r="BD19" s="539"/>
      <c r="BE19" s="539"/>
      <c r="BF19" s="539"/>
      <c r="BG19" s="539"/>
      <c r="BH19" s="539"/>
      <c r="BI19" s="539"/>
      <c r="BJ19" s="539"/>
      <c r="BK19" s="539"/>
      <c r="BL19" s="539"/>
      <c r="BM19" s="539"/>
      <c r="BN19" s="539"/>
      <c r="BO19" s="539"/>
    </row>
    <row r="20" spans="3:67" ht="49.05" customHeight="1">
      <c r="C20" s="305"/>
      <c r="D20" s="288"/>
      <c r="E20" s="288"/>
      <c r="F20" s="288"/>
      <c r="G20" s="288"/>
      <c r="H20" s="288"/>
      <c r="I20" s="288"/>
      <c r="J20" s="288"/>
      <c r="K20" s="288"/>
      <c r="L20" s="288"/>
      <c r="M20" s="288"/>
      <c r="N20" s="288"/>
      <c r="O20" s="288"/>
      <c r="P20" s="288"/>
      <c r="Q20" s="288"/>
      <c r="R20" s="288"/>
      <c r="S20" s="288"/>
      <c r="T20" s="288"/>
      <c r="U20" s="306"/>
      <c r="AI20" s="539"/>
      <c r="AJ20" s="539"/>
      <c r="AK20" s="540"/>
      <c r="AL20" s="539"/>
      <c r="AM20" s="539"/>
      <c r="AN20" s="539"/>
      <c r="AO20" s="539"/>
      <c r="AP20" s="539"/>
      <c r="AQ20" s="539"/>
      <c r="AR20" s="539"/>
      <c r="AS20" s="539"/>
      <c r="AT20" s="539"/>
      <c r="AU20" s="539"/>
      <c r="AV20" s="539"/>
      <c r="AW20" s="539"/>
      <c r="AX20" s="539"/>
      <c r="AY20" s="539"/>
      <c r="AZ20" s="539"/>
      <c r="BA20" s="539"/>
      <c r="BB20" s="539"/>
      <c r="BC20" s="539"/>
      <c r="BD20" s="539"/>
      <c r="BE20" s="539"/>
      <c r="BF20" s="539"/>
      <c r="BG20" s="539"/>
      <c r="BH20" s="539"/>
      <c r="BI20" s="539"/>
      <c r="BJ20" s="539"/>
      <c r="BK20" s="539"/>
      <c r="BL20" s="539"/>
      <c r="BM20" s="539"/>
      <c r="BN20" s="539"/>
      <c r="BO20" s="539"/>
    </row>
    <row r="21" spans="3:67" ht="43.5" customHeight="1" thickBot="1">
      <c r="C21" s="310"/>
      <c r="D21" s="294"/>
      <c r="E21" s="294"/>
      <c r="F21" s="294"/>
      <c r="G21" s="294"/>
      <c r="H21" s="294"/>
      <c r="I21" s="294"/>
      <c r="J21" s="294"/>
      <c r="K21" s="294"/>
      <c r="L21" s="294"/>
      <c r="M21" s="294"/>
      <c r="N21" s="294"/>
      <c r="O21" s="294"/>
      <c r="P21" s="294"/>
      <c r="Q21" s="294"/>
      <c r="R21" s="294"/>
      <c r="S21" s="294"/>
      <c r="T21" s="294"/>
      <c r="U21" s="299"/>
      <c r="AI21" s="539"/>
      <c r="AJ21" s="539"/>
      <c r="AK21" s="539"/>
      <c r="AL21" s="539"/>
      <c r="AM21" s="539"/>
      <c r="AN21" s="539"/>
      <c r="AO21" s="539" t="s">
        <v>234</v>
      </c>
      <c r="AP21" s="539" t="s">
        <v>236</v>
      </c>
      <c r="AQ21" s="539" t="s">
        <v>244</v>
      </c>
      <c r="AR21" s="539" t="s">
        <v>372</v>
      </c>
      <c r="AS21" s="539" t="s">
        <v>375</v>
      </c>
      <c r="AT21" s="539" t="s">
        <v>376</v>
      </c>
      <c r="AU21" s="539"/>
      <c r="AV21" s="539"/>
      <c r="AW21" s="539"/>
      <c r="AX21" s="539"/>
      <c r="AY21" s="539"/>
      <c r="AZ21" s="539"/>
      <c r="BA21" s="539"/>
      <c r="BB21" s="539"/>
      <c r="BC21" s="539"/>
      <c r="BD21" s="539"/>
      <c r="BE21" s="539"/>
      <c r="BF21" s="539"/>
      <c r="BG21" s="539"/>
      <c r="BH21" s="539"/>
      <c r="BI21" s="539"/>
      <c r="BJ21" s="539"/>
      <c r="BK21" s="539"/>
      <c r="BL21" s="539"/>
      <c r="BM21" s="539"/>
      <c r="BN21" s="539"/>
      <c r="BO21" s="539"/>
    </row>
    <row r="22" spans="3:67" ht="25.5" customHeight="1" thickBot="1">
      <c r="AI22" s="539"/>
      <c r="AJ22" s="539"/>
      <c r="AK22" s="539"/>
      <c r="AL22" s="539"/>
      <c r="AM22" s="539"/>
      <c r="AN22" s="541" t="s">
        <v>374</v>
      </c>
      <c r="AO22" s="539" t="e">
        <f>$AO$21&amp;" ("&amp;TEXT($AO$23,"0%")&amp;")"</f>
        <v>#DIV/0!</v>
      </c>
      <c r="AP22" s="539" t="e">
        <f>$AP$21&amp;" ("&amp;TEXT($AP$23,"0%")&amp;")"</f>
        <v>#DIV/0!</v>
      </c>
      <c r="AQ22" s="539" t="e">
        <f>$AQ$21&amp;" ("&amp;TEXT($AQ$23,"0%")&amp;")"</f>
        <v>#DIV/0!</v>
      </c>
      <c r="AR22" s="339" t="e">
        <f>$AR$21&amp;" ("&amp;TEXT($AR$23,"0%")&amp;")"</f>
        <v>#DIV/0!</v>
      </c>
      <c r="AS22" s="339" t="e">
        <f>$AS$21&amp;" ("&amp;TEXT($AS$23,"0%")&amp;")"</f>
        <v>#DIV/0!</v>
      </c>
      <c r="AT22" s="339" t="str">
        <f>$AT$21&amp;" ("&amp;TEXT($AT$23,"0%")&amp;")"</f>
        <v>Not Diverted (100%)</v>
      </c>
      <c r="AU22" s="339" t="s">
        <v>377</v>
      </c>
      <c r="AW22" s="339" t="s">
        <v>378</v>
      </c>
      <c r="BG22" s="539"/>
      <c r="BH22" s="539"/>
      <c r="BI22" s="539"/>
      <c r="BJ22" s="539"/>
      <c r="BK22" s="539"/>
      <c r="BL22" s="539"/>
      <c r="BM22" s="539"/>
      <c r="BN22" s="539"/>
      <c r="BO22" s="539"/>
    </row>
    <row r="23" spans="3:67" ht="49.05" customHeight="1">
      <c r="C23" s="280" t="s">
        <v>10140</v>
      </c>
      <c r="D23" s="282"/>
      <c r="E23" s="282"/>
      <c r="F23" s="282"/>
      <c r="G23" s="282"/>
      <c r="H23" s="282"/>
      <c r="I23" s="282"/>
      <c r="J23" s="282"/>
      <c r="K23" s="282"/>
      <c r="L23" s="282"/>
      <c r="M23" s="282"/>
      <c r="N23" s="282"/>
      <c r="O23" s="282"/>
      <c r="P23" s="282"/>
      <c r="Q23" s="503"/>
      <c r="R23" s="282"/>
      <c r="S23" s="282"/>
      <c r="T23" s="282"/>
      <c r="U23" s="311"/>
      <c r="V23" s="304"/>
      <c r="AI23" s="539"/>
      <c r="AJ23" s="539"/>
      <c r="AK23" s="539"/>
      <c r="AL23" s="539"/>
      <c r="AM23" s="539"/>
      <c r="AN23" s="548">
        <f>'Data output'!$G$118</f>
        <v>0</v>
      </c>
      <c r="AO23" s="549" t="e">
        <f>$AY$25</f>
        <v>#DIV/0!</v>
      </c>
      <c r="AP23" s="549" t="e">
        <f>$AY$26</f>
        <v>#DIV/0!</v>
      </c>
      <c r="AQ23" s="550" t="e">
        <f>'Data output'!$G$108/'Data output'!$G$117</f>
        <v>#DIV/0!</v>
      </c>
      <c r="AR23" s="577" t="e">
        <f>'Data output'!$G$109/'Data output'!$G$117</f>
        <v>#DIV/0!</v>
      </c>
      <c r="AS23" s="577" t="e">
        <f>'Data output'!$G$110/'Data output'!$G$117</f>
        <v>#DIV/0!</v>
      </c>
      <c r="AT23" s="577">
        <f>1-$AN$23</f>
        <v>1</v>
      </c>
      <c r="AU23" s="339" t="e">
        <f>('Data output'!$H$284-'Data output'!$G$284)/'Data output'!$H$284</f>
        <v>#DIV/0!</v>
      </c>
      <c r="AW23" s="578" t="e">
        <f>'Data output'!$G$277/SUMIF('Diversion and Disposal'!$G$14:$G$113,Lookups!$H$114,'Diversion and Disposal'!$T$14:$T$113)</f>
        <v>#DIV/0!</v>
      </c>
      <c r="AX23" s="339" t="s">
        <v>379</v>
      </c>
      <c r="BG23" s="539"/>
      <c r="BH23" s="539"/>
      <c r="BI23" s="539"/>
      <c r="BJ23" s="539"/>
      <c r="BK23" s="539"/>
      <c r="BL23" s="539"/>
      <c r="BM23" s="539"/>
      <c r="BN23" s="539"/>
      <c r="BO23" s="539"/>
    </row>
    <row r="24" spans="3:67" ht="49.05" customHeight="1">
      <c r="C24" s="305"/>
      <c r="D24" s="288"/>
      <c r="E24" s="288"/>
      <c r="F24" s="288"/>
      <c r="G24" s="288"/>
      <c r="H24" s="288"/>
      <c r="I24" s="288"/>
      <c r="J24" s="288"/>
      <c r="K24" s="288"/>
      <c r="L24" s="288"/>
      <c r="M24" s="288"/>
      <c r="N24" s="288"/>
      <c r="O24" s="288"/>
      <c r="P24" s="288"/>
      <c r="Q24" s="288"/>
      <c r="R24" s="288"/>
      <c r="S24" s="288"/>
      <c r="T24" s="288"/>
      <c r="U24" s="306"/>
      <c r="V24" s="304"/>
      <c r="AI24" s="539"/>
      <c r="AJ24" s="539"/>
      <c r="AK24" s="539"/>
      <c r="AL24" s="539" t="s">
        <v>380</v>
      </c>
      <c r="AM24" s="539"/>
      <c r="AN24" s="548">
        <f>1-$AN$23</f>
        <v>1</v>
      </c>
      <c r="AO24" s="548" t="e">
        <f>1-$AO$23</f>
        <v>#DIV/0!</v>
      </c>
      <c r="AP24" s="548" t="e">
        <f>1-$AP$23</f>
        <v>#DIV/0!</v>
      </c>
      <c r="AQ24" s="548" t="e">
        <f>1-$AQ$23</f>
        <v>#DIV/0!</v>
      </c>
      <c r="AR24" s="579" t="e">
        <f>1-$AR$23</f>
        <v>#DIV/0!</v>
      </c>
      <c r="AS24" s="577" t="e">
        <f>1-$AS$23</f>
        <v>#DIV/0!</v>
      </c>
      <c r="AT24" s="577"/>
      <c r="AX24" s="339" t="s">
        <v>381</v>
      </c>
      <c r="BG24" s="539"/>
      <c r="BH24" s="539"/>
      <c r="BI24" s="539"/>
      <c r="BJ24" s="539"/>
      <c r="BK24" s="539"/>
      <c r="BL24" s="539"/>
      <c r="BM24" s="539"/>
      <c r="BN24" s="539"/>
      <c r="BO24" s="539"/>
    </row>
    <row r="25" spans="3:67" ht="41.55" customHeight="1">
      <c r="C25" s="312" t="str">
        <f>TEXT(ROUND(CONVERT('Data output'!$G$115,"kg","ton"),0),"#,##0")&amp;" short tons"</f>
        <v>0 short tons</v>
      </c>
      <c r="D25" s="313"/>
      <c r="E25" s="313"/>
      <c r="F25" s="285"/>
      <c r="G25" s="285"/>
      <c r="H25" s="288"/>
      <c r="I25" s="288"/>
      <c r="J25" s="288"/>
      <c r="K25" s="288"/>
      <c r="L25" s="288"/>
      <c r="M25" s="288"/>
      <c r="N25" s="285"/>
      <c r="O25" s="288"/>
      <c r="P25" s="288"/>
      <c r="Q25" s="288"/>
      <c r="R25" s="288"/>
      <c r="S25" s="288"/>
      <c r="T25" s="288"/>
      <c r="U25" s="306"/>
      <c r="AI25" s="539"/>
      <c r="AJ25" s="539"/>
      <c r="AK25" s="539"/>
      <c r="AL25" s="539"/>
      <c r="AM25" s="539"/>
      <c r="AN25" s="539"/>
      <c r="AO25" s="539"/>
      <c r="AP25" s="539"/>
      <c r="AQ25" s="539"/>
      <c r="AW25" s="339" t="s">
        <v>382</v>
      </c>
      <c r="AX25" s="580">
        <f>CONVERT('Data output'!$G$106,"kg","ton")</f>
        <v>0</v>
      </c>
      <c r="AY25" s="581" t="e">
        <f>AX25/SUM($AX$25:$AX$29)</f>
        <v>#DIV/0!</v>
      </c>
      <c r="BG25" s="539"/>
      <c r="BH25" s="539"/>
      <c r="BI25" s="539"/>
      <c r="BJ25" s="539"/>
      <c r="BK25" s="539"/>
      <c r="BL25" s="539"/>
      <c r="BM25" s="539"/>
      <c r="BN25" s="539"/>
      <c r="BO25" s="539"/>
    </row>
    <row r="26" spans="3:67" ht="45" customHeight="1">
      <c r="C26" s="314" t="s">
        <v>389</v>
      </c>
      <c r="D26" s="292"/>
      <c r="E26" s="292"/>
      <c r="F26" s="292"/>
      <c r="G26" s="292"/>
      <c r="H26" s="288"/>
      <c r="I26" s="288"/>
      <c r="J26" s="288"/>
      <c r="K26" s="288"/>
      <c r="L26" s="288"/>
      <c r="M26" s="288"/>
      <c r="N26" s="292"/>
      <c r="O26" s="288"/>
      <c r="P26" s="288"/>
      <c r="Q26" s="288"/>
      <c r="R26" s="288"/>
      <c r="S26" s="288"/>
      <c r="T26" s="288"/>
      <c r="U26" s="306"/>
      <c r="AI26" s="539"/>
      <c r="AJ26" s="539"/>
      <c r="AK26" s="539"/>
      <c r="AL26" s="539"/>
      <c r="AM26" s="539" t="s">
        <v>383</v>
      </c>
      <c r="AN26" s="539"/>
      <c r="AO26" s="539"/>
      <c r="AP26" s="539"/>
      <c r="AQ26" s="539"/>
      <c r="AW26" s="339" t="s">
        <v>384</v>
      </c>
      <c r="AX26" s="580">
        <f>CONVERT('Data output'!$G$107,"kg","ton")</f>
        <v>0</v>
      </c>
      <c r="AY26" s="581" t="e">
        <f>AX26/SUM($AX$25:$AX$29)</f>
        <v>#DIV/0!</v>
      </c>
      <c r="BG26" s="539"/>
      <c r="BH26" s="539"/>
      <c r="BI26" s="539"/>
      <c r="BJ26" s="539"/>
      <c r="BK26" s="539"/>
      <c r="BL26" s="539"/>
      <c r="BM26" s="539"/>
      <c r="BN26" s="539"/>
      <c r="BO26" s="539"/>
    </row>
    <row r="27" spans="3:67" ht="26.1" customHeight="1">
      <c r="C27" s="315"/>
      <c r="D27" s="316"/>
      <c r="E27" s="316"/>
      <c r="F27" s="285"/>
      <c r="G27" s="285"/>
      <c r="H27" s="288"/>
      <c r="I27" s="288"/>
      <c r="J27" s="317"/>
      <c r="K27" s="292"/>
      <c r="L27" s="292"/>
      <c r="M27" s="292"/>
      <c r="N27" s="292"/>
      <c r="O27" s="288"/>
      <c r="P27" s="288"/>
      <c r="Q27" s="288"/>
      <c r="R27" s="288"/>
      <c r="S27" s="288"/>
      <c r="T27" s="288"/>
      <c r="U27" s="306"/>
      <c r="AI27" s="539"/>
      <c r="AJ27" s="539"/>
      <c r="AK27" s="539"/>
      <c r="AL27" s="539"/>
      <c r="AM27" s="539"/>
      <c r="AN27" s="539"/>
      <c r="AO27" s="539"/>
      <c r="AP27" s="539"/>
      <c r="AQ27" s="539"/>
      <c r="AW27" s="339" t="s">
        <v>385</v>
      </c>
      <c r="AX27" s="580">
        <f>CONVERT(SUM('Data output'!$G$108:$G$109),"kg","ton")</f>
        <v>0</v>
      </c>
      <c r="AY27" s="581" t="e">
        <f>AX27/SUM($AX$25:$AX$29)</f>
        <v>#DIV/0!</v>
      </c>
      <c r="BG27" s="539"/>
      <c r="BH27" s="539"/>
      <c r="BI27" s="539"/>
      <c r="BJ27" s="539"/>
      <c r="BK27" s="539"/>
      <c r="BL27" s="539"/>
      <c r="BM27" s="539"/>
      <c r="BN27" s="539"/>
      <c r="BO27" s="539"/>
    </row>
    <row r="28" spans="3:67" ht="49.5" customHeight="1">
      <c r="C28" s="312" t="str">
        <f>TEXT(ROUND(CONVERT('Data output'!$G$119,"kg","ton"),0),"#,##0")&amp;" short tons"</f>
        <v>0 short tons</v>
      </c>
      <c r="D28" s="292"/>
      <c r="E28" s="292"/>
      <c r="F28" s="292"/>
      <c r="G28" s="292"/>
      <c r="H28" s="288"/>
      <c r="I28" s="288"/>
      <c r="J28" s="317"/>
      <c r="K28" s="292"/>
      <c r="L28" s="292"/>
      <c r="M28" s="292"/>
      <c r="N28" s="292"/>
      <c r="O28" s="288"/>
      <c r="P28" s="288"/>
      <c r="Q28" s="288"/>
      <c r="R28" s="288"/>
      <c r="S28" s="288"/>
      <c r="T28" s="288"/>
      <c r="U28" s="306"/>
      <c r="AI28" s="539"/>
      <c r="AJ28" s="539"/>
      <c r="AK28" s="539"/>
      <c r="AL28" s="539"/>
      <c r="AM28" s="539"/>
      <c r="AN28" s="539" t="s">
        <v>386</v>
      </c>
      <c r="AO28" s="539" t="s">
        <v>387</v>
      </c>
      <c r="AP28" s="539" t="s">
        <v>236</v>
      </c>
      <c r="AQ28" s="539" t="s">
        <v>244</v>
      </c>
      <c r="AR28" s="339" t="s">
        <v>241</v>
      </c>
      <c r="AS28" s="339" t="s">
        <v>375</v>
      </c>
      <c r="AT28" s="339" t="s">
        <v>388</v>
      </c>
      <c r="AW28" s="339" t="s">
        <v>10142</v>
      </c>
      <c r="AX28" s="580">
        <f>CONVERT(SUM('Data output'!$G$110),"kg","ton")</f>
        <v>0</v>
      </c>
      <c r="AY28" s="581" t="e">
        <f>AX28/SUM($AX$25:$AX$29)</f>
        <v>#DIV/0!</v>
      </c>
      <c r="BD28" s="581"/>
      <c r="BG28" s="539"/>
      <c r="BH28" s="539"/>
      <c r="BI28" s="539"/>
      <c r="BJ28" s="539"/>
      <c r="BK28" s="539"/>
      <c r="BL28" s="539"/>
      <c r="BM28" s="539"/>
      <c r="BN28" s="539"/>
      <c r="BO28" s="539"/>
    </row>
    <row r="29" spans="3:67" ht="31.05" customHeight="1">
      <c r="C29" s="314" t="s">
        <v>392</v>
      </c>
      <c r="D29" s="317"/>
      <c r="E29" s="317"/>
      <c r="F29" s="317"/>
      <c r="G29" s="317"/>
      <c r="H29" s="288"/>
      <c r="I29" s="288"/>
      <c r="J29" s="317"/>
      <c r="K29" s="292"/>
      <c r="L29" s="292"/>
      <c r="M29" s="292"/>
      <c r="N29" s="292"/>
      <c r="O29" s="288"/>
      <c r="P29" s="288"/>
      <c r="Q29" s="288"/>
      <c r="R29" s="288"/>
      <c r="S29" s="288"/>
      <c r="T29" s="288"/>
      <c r="U29" s="306"/>
      <c r="AI29" s="539"/>
      <c r="AJ29" s="539"/>
      <c r="AK29" s="539"/>
      <c r="AL29" s="539"/>
      <c r="AM29" s="539"/>
      <c r="AN29" s="539"/>
      <c r="AO29" s="539"/>
      <c r="AP29" s="539"/>
      <c r="AQ29" s="539"/>
      <c r="AW29" s="339" t="s">
        <v>390</v>
      </c>
      <c r="AX29" s="580">
        <f>CONVERT(SUM('Data output'!G111:G113),"kg","ton")</f>
        <v>0</v>
      </c>
      <c r="AY29" s="581" t="e">
        <f>AX29/SUM($AX$25:$AX$29)</f>
        <v>#DIV/0!</v>
      </c>
      <c r="BG29" s="539"/>
      <c r="BH29" s="539"/>
      <c r="BI29" s="539"/>
      <c r="BJ29" s="539"/>
      <c r="BK29" s="539"/>
      <c r="BL29" s="539"/>
      <c r="BM29" s="539"/>
      <c r="BN29" s="539"/>
      <c r="BO29" s="539"/>
    </row>
    <row r="30" spans="3:67" ht="34.049999999999997" customHeight="1">
      <c r="C30" s="314"/>
      <c r="D30" s="292"/>
      <c r="E30" s="292"/>
      <c r="F30" s="292"/>
      <c r="G30" s="292"/>
      <c r="H30" s="288"/>
      <c r="I30" s="288"/>
      <c r="J30" s="317"/>
      <c r="K30" s="292"/>
      <c r="L30" s="292"/>
      <c r="M30" s="292"/>
      <c r="N30" s="292"/>
      <c r="O30" s="288"/>
      <c r="P30" s="288"/>
      <c r="Q30" s="288"/>
      <c r="R30" s="288"/>
      <c r="S30" s="288"/>
      <c r="T30" s="288"/>
      <c r="U30" s="306"/>
      <c r="AI30" s="539"/>
      <c r="AJ30" s="539"/>
      <c r="AK30" s="539"/>
      <c r="AL30" s="539" t="s">
        <v>381</v>
      </c>
      <c r="AM30" s="551" t="s">
        <v>391</v>
      </c>
      <c r="AN30" s="552">
        <f>CONVERT(SUM('Data output'!$G$107:$G$113),"kg","ton")</f>
        <v>0</v>
      </c>
      <c r="AO30" s="552">
        <f>CONVERT('Data output'!$G$106,"kg","ton")</f>
        <v>0</v>
      </c>
      <c r="AP30" s="539"/>
      <c r="AQ30" s="539"/>
      <c r="BG30" s="539"/>
      <c r="BH30" s="539"/>
      <c r="BI30" s="539"/>
      <c r="BJ30" s="539"/>
      <c r="BK30" s="539"/>
      <c r="BL30" s="539"/>
      <c r="BM30" s="539"/>
      <c r="BN30" s="539"/>
      <c r="BO30" s="539"/>
    </row>
    <row r="31" spans="3:67" ht="45" customHeight="1">
      <c r="C31" s="312" t="str">
        <f>TEXT(ROUND(CONVERT(SUM('Data output'!$G$111:$G$113),"kg","ton"),0),"#,##0")&amp;" short tons"</f>
        <v>0 short tons</v>
      </c>
      <c r="D31" s="292"/>
      <c r="E31" s="292"/>
      <c r="F31" s="292"/>
      <c r="G31" s="292"/>
      <c r="H31" s="288"/>
      <c r="I31" s="288"/>
      <c r="J31" s="317"/>
      <c r="K31" s="292"/>
      <c r="L31" s="292"/>
      <c r="M31" s="292"/>
      <c r="N31" s="292"/>
      <c r="O31" s="288"/>
      <c r="P31" s="288"/>
      <c r="Q31" s="288"/>
      <c r="R31" s="288"/>
      <c r="S31" s="288"/>
      <c r="T31" s="288"/>
      <c r="U31" s="306"/>
      <c r="AI31" s="539"/>
      <c r="AJ31" s="539"/>
      <c r="AK31" s="539"/>
      <c r="AL31" s="539"/>
      <c r="AM31" s="551" t="s">
        <v>393</v>
      </c>
      <c r="AN31" s="539"/>
      <c r="AO31" s="539"/>
      <c r="AP31" s="552">
        <f>CONVERT('Data output'!$G$107,"kg","ton")</f>
        <v>0</v>
      </c>
      <c r="AQ31" s="552">
        <f>CONVERT('Data output'!$G$108,"kg","ton")</f>
        <v>0</v>
      </c>
      <c r="AR31" s="582">
        <f>CONVERT('Data output'!$G$109,"kg","ton")</f>
        <v>0</v>
      </c>
      <c r="AS31" s="582">
        <f>CONVERT('Data output'!$G$110,"kg","ton")</f>
        <v>0</v>
      </c>
      <c r="AW31" s="583" t="s">
        <v>349</v>
      </c>
      <c r="AX31" s="584" t="s">
        <v>381</v>
      </c>
      <c r="BG31" s="539"/>
      <c r="BH31" s="539"/>
      <c r="BI31" s="539"/>
      <c r="BJ31" s="539"/>
      <c r="BK31" s="539"/>
      <c r="BL31" s="539"/>
      <c r="BM31" s="539"/>
      <c r="BN31" s="539"/>
      <c r="BO31" s="539"/>
    </row>
    <row r="32" spans="3:67" ht="36" customHeight="1">
      <c r="C32" s="314" t="s">
        <v>10132</v>
      </c>
      <c r="D32" s="292"/>
      <c r="E32" s="292"/>
      <c r="F32" s="292"/>
      <c r="G32" s="292"/>
      <c r="H32" s="288"/>
      <c r="I32" s="288"/>
      <c r="J32" s="317"/>
      <c r="K32" s="292"/>
      <c r="L32" s="292"/>
      <c r="M32" s="292"/>
      <c r="N32" s="292"/>
      <c r="O32" s="288"/>
      <c r="P32" s="288"/>
      <c r="Q32" s="288"/>
      <c r="R32" s="288"/>
      <c r="S32" s="288"/>
      <c r="T32" s="288"/>
      <c r="U32" s="306"/>
      <c r="AI32" s="539"/>
      <c r="AJ32" s="539"/>
      <c r="AK32" s="539"/>
      <c r="AL32" s="539"/>
      <c r="AM32" s="551" t="s">
        <v>394</v>
      </c>
      <c r="AN32" s="539"/>
      <c r="AO32" s="539"/>
      <c r="AP32" s="539"/>
      <c r="AQ32" s="539"/>
      <c r="AT32" s="582">
        <f>CONVERT(SUM('Data output'!$G$111:$G$113),"kg","ton")</f>
        <v>0</v>
      </c>
      <c r="AW32" s="339" t="str">
        <f>'Data output'!F106</f>
        <v>Reduce</v>
      </c>
      <c r="AX32" s="339">
        <f>CONVERT('Data output'!$G$106,"kg","ton")</f>
        <v>0</v>
      </c>
      <c r="BG32" s="539"/>
      <c r="BH32" s="539"/>
      <c r="BI32" s="539"/>
      <c r="BJ32" s="539"/>
      <c r="BK32" s="539"/>
      <c r="BL32" s="539"/>
      <c r="BM32" s="539"/>
      <c r="BN32" s="539"/>
      <c r="BO32" s="539"/>
    </row>
    <row r="33" spans="3:67" ht="49.05" customHeight="1">
      <c r="C33" s="314"/>
      <c r="D33" s="292"/>
      <c r="E33" s="292"/>
      <c r="F33" s="292"/>
      <c r="G33" s="292"/>
      <c r="H33" s="288"/>
      <c r="I33" s="288"/>
      <c r="J33" s="317"/>
      <c r="K33" s="292"/>
      <c r="L33" s="292"/>
      <c r="M33" s="292"/>
      <c r="N33" s="292"/>
      <c r="O33" s="288"/>
      <c r="P33" s="288"/>
      <c r="Q33" s="288"/>
      <c r="R33" s="288"/>
      <c r="S33" s="288"/>
      <c r="T33" s="288"/>
      <c r="U33" s="306"/>
      <c r="AI33" s="539"/>
      <c r="AJ33" s="539"/>
      <c r="AK33" s="539"/>
      <c r="AL33" s="539" t="s">
        <v>395</v>
      </c>
      <c r="AM33" s="540" t="s">
        <v>391</v>
      </c>
      <c r="AN33" s="552">
        <f>SUM('Data output'!$H$107:$H$113)</f>
        <v>0</v>
      </c>
      <c r="AO33" s="552">
        <f>'Data output'!$H$106</f>
        <v>0</v>
      </c>
      <c r="AP33" s="539"/>
      <c r="AQ33" s="539"/>
      <c r="AW33" s="339" t="str">
        <f>'Data output'!F107</f>
        <v>Reuse</v>
      </c>
      <c r="AX33" s="339">
        <f>CONVERT('Data output'!$G$107,"kg","ton")</f>
        <v>0</v>
      </c>
      <c r="BG33" s="539"/>
      <c r="BH33" s="539"/>
      <c r="BI33" s="539"/>
      <c r="BJ33" s="539"/>
      <c r="BK33" s="539"/>
      <c r="BL33" s="539"/>
      <c r="BM33" s="539"/>
      <c r="BN33" s="539"/>
      <c r="BO33" s="539"/>
    </row>
    <row r="34" spans="3:67" ht="49.05" customHeight="1">
      <c r="C34" s="314"/>
      <c r="D34" s="292"/>
      <c r="E34" s="292"/>
      <c r="F34" s="292"/>
      <c r="G34" s="292"/>
      <c r="H34" s="288"/>
      <c r="I34" s="288"/>
      <c r="J34" s="317"/>
      <c r="K34" s="292"/>
      <c r="L34" s="292"/>
      <c r="M34" s="292"/>
      <c r="N34" s="292"/>
      <c r="O34" s="288"/>
      <c r="P34" s="288"/>
      <c r="Q34" s="288"/>
      <c r="R34" s="288"/>
      <c r="S34" s="288"/>
      <c r="T34" s="288"/>
      <c r="U34" s="306"/>
      <c r="AI34" s="539"/>
      <c r="AJ34" s="539"/>
      <c r="AK34" s="539"/>
      <c r="AL34" s="539"/>
      <c r="AM34" s="551" t="s">
        <v>393</v>
      </c>
      <c r="AN34" s="539"/>
      <c r="AO34" s="539"/>
      <c r="AP34" s="552">
        <f>'Data output'!$H$107</f>
        <v>0</v>
      </c>
      <c r="AQ34" s="552">
        <f>'Data output'!$H$108</f>
        <v>0</v>
      </c>
      <c r="AR34" s="582">
        <f>'Data output'!$H$109</f>
        <v>0</v>
      </c>
      <c r="AS34" s="582">
        <f>'Data output'!$H$110</f>
        <v>0</v>
      </c>
      <c r="AW34" s="339" t="str">
        <f>'Data output'!F108</f>
        <v>Recycle</v>
      </c>
      <c r="AX34" s="339">
        <f>CONVERT('Data output'!$G$108,"kg","ton")</f>
        <v>0</v>
      </c>
      <c r="BG34" s="539"/>
      <c r="BH34" s="539"/>
      <c r="BI34" s="539"/>
      <c r="BJ34" s="539"/>
      <c r="BK34" s="539"/>
      <c r="BL34" s="539"/>
      <c r="BM34" s="539"/>
      <c r="BN34" s="539"/>
      <c r="BO34" s="539"/>
    </row>
    <row r="35" spans="3:67" ht="25.05" customHeight="1">
      <c r="C35" s="314"/>
      <c r="D35" s="292"/>
      <c r="E35" s="292"/>
      <c r="F35" s="292"/>
      <c r="G35" s="292"/>
      <c r="H35" s="288"/>
      <c r="I35" s="318"/>
      <c r="J35" s="317"/>
      <c r="K35" s="292"/>
      <c r="L35" s="292"/>
      <c r="M35" s="292"/>
      <c r="N35" s="292"/>
      <c r="O35" s="288"/>
      <c r="P35" s="342" t="s">
        <v>10143</v>
      </c>
      <c r="Q35" s="319" t="s">
        <v>396</v>
      </c>
      <c r="R35" s="288"/>
      <c r="S35" s="288"/>
      <c r="T35" s="288"/>
      <c r="U35" s="306"/>
      <c r="AI35" s="539"/>
      <c r="AJ35" s="539"/>
      <c r="AK35" s="539"/>
      <c r="AL35" s="539"/>
      <c r="AM35" s="551"/>
      <c r="AN35" s="539"/>
      <c r="AO35" s="539"/>
      <c r="AP35" s="552"/>
      <c r="AQ35" s="552"/>
      <c r="AR35" s="582"/>
      <c r="AS35" s="582"/>
      <c r="AW35" s="339" t="str">
        <f>'Data output'!F109</f>
        <v>Composting</v>
      </c>
      <c r="AX35" s="339">
        <f>CONVERT('Data output'!$G$109,"kg","ton")</f>
        <v>0</v>
      </c>
      <c r="BG35" s="539"/>
      <c r="BH35" s="539"/>
      <c r="BI35" s="539"/>
      <c r="BJ35" s="539"/>
      <c r="BK35" s="539"/>
      <c r="BL35" s="539"/>
      <c r="BM35" s="539"/>
      <c r="BN35" s="539"/>
      <c r="BO35" s="539"/>
    </row>
    <row r="36" spans="3:67" ht="49.05" customHeight="1">
      <c r="C36" s="314"/>
      <c r="D36" s="292"/>
      <c r="E36" s="292"/>
      <c r="F36" s="292"/>
      <c r="G36" s="292"/>
      <c r="H36" s="288"/>
      <c r="I36" s="288"/>
      <c r="J36" s="317"/>
      <c r="K36" s="292"/>
      <c r="L36" s="292"/>
      <c r="M36" s="292"/>
      <c r="N36" s="292"/>
      <c r="O36" s="288"/>
      <c r="P36" s="319"/>
      <c r="Q36" s="319" t="s">
        <v>398</v>
      </c>
      <c r="R36" s="288"/>
      <c r="S36" s="288"/>
      <c r="T36" s="288"/>
      <c r="U36" s="306"/>
      <c r="AI36" s="539"/>
      <c r="AJ36" s="539"/>
      <c r="AK36" s="539"/>
      <c r="AL36" s="539"/>
      <c r="AM36" s="551" t="s">
        <v>394</v>
      </c>
      <c r="AN36" s="539"/>
      <c r="AO36" s="539"/>
      <c r="AP36" s="539"/>
      <c r="AQ36" s="539"/>
      <c r="AT36" s="582">
        <f>SUM('Data output'!$H$111:$H$113)</f>
        <v>0</v>
      </c>
      <c r="AW36" s="339" t="str">
        <f>'Data output'!F110</f>
        <v>Anaerobic Digestion</v>
      </c>
      <c r="AX36" s="339">
        <f>CONVERT('Data output'!$G$110,"kg","ton")</f>
        <v>0</v>
      </c>
      <c r="BG36" s="539"/>
      <c r="BH36" s="539"/>
      <c r="BI36" s="539"/>
      <c r="BJ36" s="539"/>
      <c r="BK36" s="539"/>
      <c r="BL36" s="539"/>
      <c r="BM36" s="539"/>
      <c r="BN36" s="539"/>
      <c r="BO36" s="539"/>
    </row>
    <row r="37" spans="3:67" ht="49.05" customHeight="1">
      <c r="C37" s="314"/>
      <c r="D37" s="292"/>
      <c r="E37" s="292"/>
      <c r="F37" s="292"/>
      <c r="G37" s="292"/>
      <c r="H37" s="288"/>
      <c r="I37" s="288"/>
      <c r="J37" s="317"/>
      <c r="K37" s="292"/>
      <c r="L37" s="292"/>
      <c r="M37" s="292"/>
      <c r="N37" s="292"/>
      <c r="O37" s="288"/>
      <c r="P37" s="288"/>
      <c r="Q37" s="288"/>
      <c r="R37" s="288"/>
      <c r="S37" s="288"/>
      <c r="T37" s="288"/>
      <c r="U37" s="306"/>
      <c r="AI37" s="539"/>
      <c r="AJ37" s="539"/>
      <c r="AK37" s="539"/>
      <c r="AL37" s="539"/>
      <c r="AM37" s="540"/>
      <c r="AN37" s="552"/>
      <c r="AO37" s="552"/>
      <c r="AP37" s="539"/>
      <c r="AQ37" s="539"/>
      <c r="AW37" s="339" t="str">
        <f>'Data output'!F111</f>
        <v>Landfill</v>
      </c>
      <c r="AX37" s="339">
        <f>CONVERT('Data output'!$G$111,"kg","ton")</f>
        <v>0</v>
      </c>
      <c r="BG37" s="539"/>
      <c r="BH37" s="539"/>
      <c r="BI37" s="539"/>
      <c r="BJ37" s="539"/>
      <c r="BK37" s="539"/>
      <c r="BL37" s="539"/>
      <c r="BM37" s="539"/>
      <c r="BN37" s="539"/>
      <c r="BO37" s="539"/>
    </row>
    <row r="38" spans="3:67" ht="376.05" customHeight="1" thickBot="1">
      <c r="C38" s="320"/>
      <c r="D38" s="321"/>
      <c r="E38" s="321"/>
      <c r="F38" s="321"/>
      <c r="G38" s="321"/>
      <c r="H38" s="294"/>
      <c r="I38" s="294"/>
      <c r="J38" s="322"/>
      <c r="K38" s="321"/>
      <c r="L38" s="321"/>
      <c r="M38" s="321"/>
      <c r="N38" s="321"/>
      <c r="O38" s="294"/>
      <c r="P38" s="294"/>
      <c r="Q38" s="294"/>
      <c r="R38" s="294"/>
      <c r="S38" s="294"/>
      <c r="T38" s="294"/>
      <c r="U38" s="299"/>
      <c r="AI38" s="539"/>
      <c r="AJ38" s="539"/>
      <c r="AK38" s="539"/>
      <c r="AL38" s="539"/>
      <c r="AM38" s="539"/>
      <c r="AN38" s="539"/>
      <c r="AO38" s="539"/>
      <c r="AP38" s="539"/>
      <c r="AQ38" s="539"/>
      <c r="AW38" s="339" t="str">
        <f>'Data output'!F112</f>
        <v>Waste-to-Energy</v>
      </c>
      <c r="AX38" s="339">
        <f>CONVERT('Data output'!$G$112,"kg","ton")</f>
        <v>0</v>
      </c>
      <c r="BG38" s="539"/>
      <c r="BH38" s="539"/>
      <c r="BI38" s="539"/>
      <c r="BJ38" s="539"/>
      <c r="BK38" s="539"/>
      <c r="BL38" s="539"/>
      <c r="BM38" s="539"/>
      <c r="BN38" s="539"/>
      <c r="BO38" s="539"/>
    </row>
    <row r="39" spans="3:67" ht="24.6" customHeight="1" thickBot="1">
      <c r="P39" s="304"/>
      <c r="AI39" s="539"/>
      <c r="AJ39" s="539"/>
      <c r="AK39" s="539"/>
      <c r="AL39" s="539"/>
      <c r="AM39" s="539"/>
      <c r="AN39" s="539"/>
      <c r="AO39" s="539"/>
      <c r="AP39" s="539"/>
      <c r="AQ39" s="539"/>
      <c r="AR39" s="539"/>
      <c r="AS39" s="539"/>
      <c r="AT39" s="539"/>
      <c r="AU39" s="539"/>
      <c r="AV39" s="539"/>
      <c r="AW39" s="539" t="s">
        <v>397</v>
      </c>
      <c r="AX39" s="539">
        <f>CONVERT('Data output'!$G$113,"kg","ton")</f>
        <v>0</v>
      </c>
      <c r="AY39" s="539"/>
      <c r="AZ39" s="539"/>
      <c r="BA39" s="539"/>
      <c r="BB39" s="539"/>
      <c r="BC39" s="539"/>
      <c r="BD39" s="539"/>
      <c r="BE39" s="539"/>
      <c r="BF39" s="539"/>
      <c r="BG39" s="539"/>
      <c r="BH39" s="539"/>
      <c r="BI39" s="539"/>
      <c r="BJ39" s="539"/>
      <c r="BK39" s="539"/>
      <c r="BL39" s="539"/>
      <c r="BM39" s="539"/>
      <c r="BN39" s="539"/>
      <c r="BO39" s="539"/>
    </row>
    <row r="40" spans="3:67" ht="49.05" customHeight="1">
      <c r="C40" s="280" t="s">
        <v>10253</v>
      </c>
      <c r="D40" s="282"/>
      <c r="E40" s="282"/>
      <c r="F40" s="282"/>
      <c r="G40" s="282"/>
      <c r="H40" s="282"/>
      <c r="I40" s="282"/>
      <c r="J40" s="282"/>
      <c r="K40" s="282"/>
      <c r="L40" s="282"/>
      <c r="M40" s="282"/>
      <c r="N40" s="282"/>
      <c r="O40" s="282"/>
      <c r="P40" s="282"/>
      <c r="Q40" s="282"/>
      <c r="R40" s="282"/>
      <c r="S40" s="282"/>
      <c r="T40" s="282"/>
      <c r="U40" s="311"/>
      <c r="AI40" s="539"/>
      <c r="AJ40" s="539"/>
      <c r="AK40" s="539"/>
      <c r="AL40" s="539"/>
      <c r="AM40" s="540"/>
      <c r="AN40" s="552"/>
      <c r="AO40" s="552"/>
      <c r="AP40" s="539"/>
      <c r="AQ40" s="539"/>
      <c r="AR40" s="539"/>
      <c r="AS40" s="539"/>
      <c r="AT40" s="539"/>
      <c r="AU40" s="539"/>
      <c r="AV40" s="539"/>
      <c r="AW40" s="539"/>
      <c r="AX40" s="539"/>
      <c r="AY40" s="539"/>
      <c r="AZ40" s="539"/>
      <c r="BA40" s="539"/>
      <c r="BB40" s="539"/>
      <c r="BC40" s="539"/>
      <c r="BD40" s="539"/>
      <c r="BE40" s="539"/>
      <c r="BF40" s="539"/>
      <c r="BG40" s="539"/>
      <c r="BH40" s="539"/>
      <c r="BI40" s="539"/>
      <c r="BJ40" s="539"/>
      <c r="BK40" s="539"/>
      <c r="BL40" s="539"/>
      <c r="BM40" s="539"/>
      <c r="BN40" s="539"/>
      <c r="BO40" s="539"/>
    </row>
    <row r="41" spans="3:67" ht="70.05" customHeight="1">
      <c r="C41" s="351"/>
      <c r="D41" s="288"/>
      <c r="E41" s="288"/>
      <c r="F41" s="288"/>
      <c r="G41" s="568"/>
      <c r="H41" s="288"/>
      <c r="I41" s="323" t="str">
        <f>TEXT(ROUND(CONVERT('Data output'!$G$137,"kg","Mg"),0),"#,##0")&amp;" MTCO₂e"</f>
        <v>0 MTCO₂e</v>
      </c>
      <c r="J41" s="567"/>
      <c r="K41" s="567"/>
      <c r="L41" s="567"/>
      <c r="M41" s="567"/>
      <c r="N41" s="285"/>
      <c r="O41" s="569"/>
      <c r="P41" s="285"/>
      <c r="Q41" s="570"/>
      <c r="R41" s="285"/>
      <c r="S41" s="288"/>
      <c r="T41" s="288"/>
      <c r="U41" s="306"/>
      <c r="AI41" s="539"/>
      <c r="AJ41" s="539"/>
      <c r="AK41" s="539"/>
      <c r="AL41" s="539"/>
      <c r="AM41" s="540"/>
      <c r="AN41" s="552"/>
      <c r="AO41" s="552"/>
      <c r="AP41" s="539"/>
      <c r="AQ41" s="539"/>
      <c r="AR41" s="539"/>
      <c r="AS41" s="539"/>
      <c r="AT41" s="539"/>
      <c r="AU41" s="539"/>
      <c r="AV41" s="539"/>
      <c r="AW41" s="539"/>
      <c r="AX41" s="539"/>
      <c r="AY41" s="539"/>
      <c r="AZ41" s="539"/>
      <c r="BA41" s="539"/>
      <c r="BB41" s="539"/>
      <c r="BC41" s="539"/>
      <c r="BD41" s="539"/>
      <c r="BE41" s="539"/>
      <c r="BF41" s="539"/>
      <c r="BG41" s="539"/>
      <c r="BH41" s="539"/>
      <c r="BI41" s="539"/>
      <c r="BJ41" s="539"/>
      <c r="BK41" s="539"/>
      <c r="BL41" s="539"/>
      <c r="BM41" s="539"/>
      <c r="BN41" s="539"/>
      <c r="BO41" s="539"/>
    </row>
    <row r="42" spans="3:67" ht="36.6" customHeight="1">
      <c r="C42" s="305"/>
      <c r="D42" s="288"/>
      <c r="E42" s="288"/>
      <c r="F42" s="288"/>
      <c r="G42" s="288"/>
      <c r="H42" s="288"/>
      <c r="I42" s="324" t="s">
        <v>10299</v>
      </c>
      <c r="J42" s="292"/>
      <c r="K42" s="292"/>
      <c r="L42" s="292"/>
      <c r="M42" s="292"/>
      <c r="N42" s="292"/>
      <c r="O42" s="292"/>
      <c r="P42" s="324"/>
      <c r="Q42" s="325"/>
      <c r="R42" s="292"/>
      <c r="S42" s="288"/>
      <c r="T42" s="288"/>
      <c r="U42" s="326"/>
      <c r="V42" s="304"/>
      <c r="AI42" s="539"/>
      <c r="AJ42" s="539"/>
      <c r="AK42" s="539"/>
      <c r="AL42" s="541" t="s">
        <v>399</v>
      </c>
      <c r="AM42" s="553"/>
      <c r="AN42" s="554"/>
      <c r="AO42" s="539"/>
      <c r="AP42" s="539"/>
      <c r="AQ42" s="539"/>
      <c r="AR42" s="539"/>
      <c r="AS42" s="539"/>
      <c r="AT42" s="539" t="s">
        <v>400</v>
      </c>
      <c r="AU42" s="539">
        <f>'Data output'!$G$137</f>
        <v>0</v>
      </c>
      <c r="AV42" s="539"/>
      <c r="AW42" s="539"/>
      <c r="AX42" s="539"/>
      <c r="AY42" s="539"/>
      <c r="AZ42" s="539"/>
      <c r="BA42" s="539"/>
      <c r="BB42" s="539"/>
      <c r="BC42" s="539"/>
      <c r="BD42" s="539"/>
      <c r="BE42" s="539"/>
      <c r="BF42" s="539"/>
      <c r="BG42" s="539"/>
      <c r="BH42" s="539"/>
      <c r="BI42" s="539"/>
      <c r="BJ42" s="539"/>
      <c r="BK42" s="539"/>
      <c r="BL42" s="539"/>
      <c r="BM42" s="539"/>
      <c r="BN42" s="539"/>
      <c r="BO42" s="539"/>
    </row>
    <row r="43" spans="3:67" ht="16.5" customHeight="1">
      <c r="C43" s="305"/>
      <c r="D43" s="288"/>
      <c r="E43" s="288"/>
      <c r="F43" s="288"/>
      <c r="G43" s="288"/>
      <c r="H43" s="288"/>
      <c r="I43" s="288"/>
      <c r="J43" s="288"/>
      <c r="K43" s="288"/>
      <c r="L43" s="288"/>
      <c r="M43" s="292"/>
      <c r="N43" s="292"/>
      <c r="O43" s="288"/>
      <c r="P43" s="318"/>
      <c r="Q43" s="288"/>
      <c r="R43" s="288"/>
      <c r="S43" s="288"/>
      <c r="T43" s="288"/>
      <c r="U43" s="327"/>
      <c r="AI43" s="539"/>
      <c r="AJ43" s="539"/>
      <c r="AK43" s="539"/>
      <c r="AL43" s="539"/>
      <c r="AM43" s="553"/>
      <c r="AN43" s="554"/>
      <c r="AO43" s="539"/>
      <c r="AP43" s="539"/>
      <c r="AQ43" s="539"/>
      <c r="AR43" s="539"/>
      <c r="AS43" s="539"/>
      <c r="AT43" s="539" t="s">
        <v>401</v>
      </c>
      <c r="AU43" s="539">
        <f>'Data output'!$H$405</f>
        <v>0</v>
      </c>
      <c r="AV43" s="539"/>
      <c r="AW43" s="539"/>
      <c r="AX43" s="539"/>
      <c r="AY43" s="539"/>
      <c r="AZ43" s="539"/>
      <c r="BA43" s="539"/>
      <c r="BB43" s="539"/>
      <c r="BC43" s="539"/>
      <c r="BD43" s="539"/>
      <c r="BE43" s="539"/>
      <c r="BF43" s="539"/>
      <c r="BG43" s="539"/>
      <c r="BH43" s="539"/>
      <c r="BI43" s="539"/>
      <c r="BJ43" s="539"/>
      <c r="BK43" s="539"/>
      <c r="BL43" s="539"/>
      <c r="BM43" s="539"/>
      <c r="BN43" s="539"/>
      <c r="BO43" s="539"/>
    </row>
    <row r="44" spans="3:67" ht="229.05" customHeight="1">
      <c r="C44" s="305"/>
      <c r="D44" s="288"/>
      <c r="E44" s="288"/>
      <c r="F44" s="288"/>
      <c r="G44" s="288"/>
      <c r="H44" s="288"/>
      <c r="I44" s="288"/>
      <c r="J44" s="288"/>
      <c r="K44" s="288"/>
      <c r="L44" s="288"/>
      <c r="M44" s="292"/>
      <c r="N44" s="292"/>
      <c r="O44" s="288"/>
      <c r="P44" s="318"/>
      <c r="Q44" s="288"/>
      <c r="R44" s="288"/>
      <c r="S44" s="288"/>
      <c r="T44" s="288"/>
      <c r="U44" s="327"/>
      <c r="AI44" s="539"/>
      <c r="AJ44" s="539"/>
      <c r="AK44" s="539"/>
      <c r="AL44" s="539"/>
      <c r="AM44" s="539"/>
      <c r="AN44" s="539"/>
      <c r="AO44" s="539"/>
      <c r="AP44" s="539"/>
      <c r="AQ44" s="539"/>
      <c r="AR44" s="539"/>
      <c r="AS44" s="539"/>
      <c r="AT44" s="539" t="s">
        <v>402</v>
      </c>
      <c r="AU44" s="555">
        <f>SUM('Data output'!$H$411:$H$510)</f>
        <v>0</v>
      </c>
      <c r="AV44" s="539"/>
      <c r="AW44" s="539"/>
      <c r="AX44" s="539"/>
      <c r="AY44" s="539"/>
      <c r="AZ44" s="539"/>
      <c r="BA44" s="539"/>
      <c r="BB44" s="539"/>
      <c r="BC44" s="539"/>
      <c r="BD44" s="539"/>
      <c r="BE44" s="539"/>
      <c r="BF44" s="539"/>
      <c r="BG44" s="539"/>
      <c r="BH44" s="539"/>
      <c r="BI44" s="539"/>
      <c r="BJ44" s="539"/>
      <c r="BK44" s="539"/>
      <c r="BL44" s="539"/>
      <c r="BM44" s="539"/>
      <c r="BN44" s="539"/>
      <c r="BO44" s="539"/>
    </row>
    <row r="45" spans="3:67" ht="93.6" customHeight="1">
      <c r="C45" s="305"/>
      <c r="D45" s="328"/>
      <c r="E45" s="285"/>
      <c r="F45" s="324" t="str">
        <f>IF('Data output'!G137&gt;0,
"...adding "&amp;TEXT($AO$68,"#,##0")&amp;" cars to the road for one year",
"...taking "&amp;TEXT($AO$68,"#,##0")&amp;" cars off the road for one year")</f>
        <v>...taking 0 cars off the road for one year</v>
      </c>
      <c r="G45" s="329"/>
      <c r="H45" s="292"/>
      <c r="I45" s="288"/>
      <c r="J45" s="288"/>
      <c r="K45" s="324"/>
      <c r="L45" s="324" t="str">
        <f>IF('Data output'!G137&gt;0,
"...the absence of "&amp;TEXT($AO$64,"#,##0")&amp;" tree seedlings allowed to grow for 10 years^",
"..."&amp;TEXT($AO$64,"#,##0")&amp;" tree seedlings allowed to grow for 10 years^")</f>
        <v>...0 tree seedlings allowed to grow for 10 years^</v>
      </c>
      <c r="M45" s="292"/>
      <c r="N45" s="292"/>
      <c r="O45" s="292"/>
      <c r="P45" s="292"/>
      <c r="Q45" s="288"/>
      <c r="R45" s="324" t="str">
        <f>_xlfn.CONCAT("...the electricity use of " &amp;TEXT($AO$72,"#,##0")," homes for an entire year")</f>
        <v>...the electricity use of 0 homes for an entire year</v>
      </c>
      <c r="S45" s="329"/>
      <c r="T45" s="292"/>
      <c r="U45" s="327"/>
      <c r="AI45" s="539"/>
      <c r="AJ45" s="539"/>
      <c r="AK45" s="539"/>
      <c r="AL45" s="539"/>
      <c r="AM45" s="539"/>
      <c r="AN45" s="539"/>
      <c r="AO45" s="539" t="s">
        <v>403</v>
      </c>
      <c r="AP45" s="539"/>
      <c r="AQ45" s="539"/>
      <c r="AR45" s="539"/>
      <c r="AS45" s="539"/>
      <c r="AT45" s="539"/>
      <c r="AU45" s="539"/>
      <c r="AV45" s="539"/>
      <c r="AW45" s="539"/>
      <c r="AX45" s="539"/>
      <c r="AY45" s="539"/>
      <c r="AZ45" s="539"/>
      <c r="BA45" s="539"/>
      <c r="BB45" s="539"/>
      <c r="BC45" s="539"/>
      <c r="BD45" s="539"/>
      <c r="BE45" s="539"/>
      <c r="BF45" s="539"/>
      <c r="BG45" s="539"/>
      <c r="BH45" s="539"/>
      <c r="BI45" s="539"/>
      <c r="BJ45" s="539"/>
      <c r="BK45" s="539"/>
      <c r="BL45" s="539"/>
      <c r="BM45" s="539"/>
      <c r="BN45" s="539"/>
      <c r="BO45" s="539"/>
    </row>
    <row r="46" spans="3:67" ht="36" customHeight="1">
      <c r="C46" s="305"/>
      <c r="D46" s="288"/>
      <c r="E46" s="288"/>
      <c r="F46" s="288"/>
      <c r="G46" s="329"/>
      <c r="H46" s="343"/>
      <c r="I46" s="288"/>
      <c r="J46" s="288"/>
      <c r="K46" s="324"/>
      <c r="L46" s="325"/>
      <c r="M46" s="292"/>
      <c r="N46" s="292"/>
      <c r="O46" s="292"/>
      <c r="P46" s="292"/>
      <c r="Q46" s="288"/>
      <c r="R46" s="324"/>
      <c r="S46" s="325"/>
      <c r="T46" s="292"/>
      <c r="U46" s="327"/>
      <c r="AI46" s="539"/>
      <c r="AJ46" s="539"/>
      <c r="AK46" s="539"/>
      <c r="AL46" s="539"/>
      <c r="AM46" s="539"/>
      <c r="AN46" s="539"/>
      <c r="AO46" s="539"/>
      <c r="AP46" s="539"/>
      <c r="AQ46" s="539"/>
      <c r="AR46" s="539"/>
      <c r="AS46" s="539"/>
      <c r="AT46" s="539" t="s">
        <v>393</v>
      </c>
      <c r="AU46" s="539"/>
      <c r="AV46" s="539"/>
      <c r="AW46" s="539"/>
      <c r="AX46" s="539"/>
      <c r="AY46" s="539"/>
      <c r="AZ46" s="539"/>
      <c r="BA46" s="539"/>
      <c r="BB46" s="539"/>
      <c r="BC46" s="539"/>
      <c r="BD46" s="539"/>
      <c r="BE46" s="539"/>
      <c r="BF46" s="539"/>
      <c r="BG46" s="539"/>
      <c r="BH46" s="539"/>
      <c r="BI46" s="539"/>
      <c r="BJ46" s="539"/>
      <c r="BK46" s="539"/>
      <c r="BL46" s="539"/>
      <c r="BM46" s="539"/>
      <c r="BN46" s="539"/>
      <c r="BO46" s="539"/>
    </row>
    <row r="47" spans="3:67" ht="23.4" customHeight="1">
      <c r="C47" s="330" t="s">
        <v>10300</v>
      </c>
      <c r="D47" s="288"/>
      <c r="E47" s="288"/>
      <c r="F47" s="288"/>
      <c r="G47" s="329"/>
      <c r="H47" s="292"/>
      <c r="I47" s="288"/>
      <c r="J47" s="288"/>
      <c r="K47" s="324"/>
      <c r="L47" s="325"/>
      <c r="M47" s="292"/>
      <c r="N47" s="292"/>
      <c r="O47" s="292"/>
      <c r="P47" s="292"/>
      <c r="Q47" s="288"/>
      <c r="R47" s="324"/>
      <c r="S47" s="325"/>
      <c r="T47" s="292"/>
      <c r="U47" s="327"/>
      <c r="AI47" s="539"/>
      <c r="AJ47" s="539"/>
      <c r="AK47" s="539"/>
      <c r="AL47" s="539"/>
      <c r="AM47" s="539"/>
      <c r="AN47" s="539"/>
      <c r="AO47" s="539">
        <v>7016947</v>
      </c>
      <c r="AP47" s="539" t="s">
        <v>404</v>
      </c>
      <c r="AQ47" s="539" t="s">
        <v>405</v>
      </c>
      <c r="AR47" s="539"/>
      <c r="AS47" s="539"/>
      <c r="AT47" s="539"/>
      <c r="AU47" s="539"/>
      <c r="AV47" s="539"/>
      <c r="AW47" s="539"/>
      <c r="AX47" s="539"/>
      <c r="AY47" s="539"/>
      <c r="AZ47" s="539"/>
      <c r="BA47" s="539"/>
      <c r="BB47" s="539"/>
      <c r="BC47" s="539"/>
      <c r="BD47" s="539"/>
      <c r="BE47" s="539"/>
      <c r="BF47" s="539"/>
      <c r="BG47" s="539"/>
      <c r="BH47" s="539"/>
      <c r="BI47" s="539"/>
      <c r="BJ47" s="539"/>
      <c r="BK47" s="539"/>
      <c r="BL47" s="539"/>
      <c r="BM47" s="539"/>
      <c r="BN47" s="539"/>
      <c r="BO47" s="539"/>
    </row>
    <row r="48" spans="3:67" ht="23.4" customHeight="1">
      <c r="C48" s="330" t="s">
        <v>10301</v>
      </c>
      <c r="D48" s="288"/>
      <c r="E48" s="288"/>
      <c r="F48" s="288"/>
      <c r="G48" s="329"/>
      <c r="H48" s="292"/>
      <c r="I48" s="288"/>
      <c r="J48" s="288"/>
      <c r="K48" s="324"/>
      <c r="L48" s="325"/>
      <c r="M48" s="292"/>
      <c r="N48" s="292"/>
      <c r="O48" s="292"/>
      <c r="P48" s="292"/>
      <c r="Q48" s="288"/>
      <c r="R48" s="324"/>
      <c r="S48" s="325"/>
      <c r="T48" s="292"/>
      <c r="U48" s="327"/>
      <c r="AI48" s="539"/>
      <c r="AJ48" s="539"/>
      <c r="AK48" s="539"/>
      <c r="AL48" s="539"/>
      <c r="AM48" s="539"/>
      <c r="AN48" s="539"/>
      <c r="AO48" s="539"/>
      <c r="AP48" s="539"/>
      <c r="AQ48" s="539"/>
      <c r="AR48" s="539"/>
      <c r="AS48" s="539"/>
      <c r="AT48" s="539"/>
      <c r="AU48" s="539"/>
      <c r="AV48" s="539"/>
      <c r="AW48" s="539"/>
      <c r="AX48" s="539"/>
      <c r="AY48" s="539"/>
      <c r="AZ48" s="539"/>
      <c r="BA48" s="539"/>
      <c r="BB48" s="539"/>
      <c r="BC48" s="539"/>
      <c r="BD48" s="539"/>
      <c r="BE48" s="539"/>
      <c r="BF48" s="539"/>
      <c r="BG48" s="539"/>
      <c r="BH48" s="539"/>
      <c r="BI48" s="539"/>
      <c r="BJ48" s="539"/>
      <c r="BK48" s="539"/>
      <c r="BL48" s="539"/>
      <c r="BM48" s="539"/>
      <c r="BN48" s="539"/>
      <c r="BO48" s="539"/>
    </row>
    <row r="49" spans="1:67" ht="23.4" customHeight="1">
      <c r="C49" s="330" t="s">
        <v>10311</v>
      </c>
      <c r="D49" s="288"/>
      <c r="E49" s="288"/>
      <c r="F49" s="288"/>
      <c r="G49" s="329"/>
      <c r="H49" s="292"/>
      <c r="I49" s="288"/>
      <c r="J49" s="288"/>
      <c r="K49" s="324"/>
      <c r="L49" s="325"/>
      <c r="M49" s="292"/>
      <c r="N49" s="292"/>
      <c r="O49" s="292"/>
      <c r="P49" s="292"/>
      <c r="Q49" s="288"/>
      <c r="R49" s="324"/>
      <c r="S49" s="325"/>
      <c r="T49" s="292"/>
      <c r="U49" s="327"/>
      <c r="AI49" s="539"/>
      <c r="AJ49" s="539"/>
      <c r="AK49" s="539"/>
      <c r="AL49" s="539"/>
      <c r="AM49" s="539"/>
      <c r="AN49" s="539"/>
      <c r="AO49" s="539"/>
      <c r="AP49" s="539"/>
      <c r="AQ49" s="539"/>
      <c r="AR49" s="539"/>
      <c r="AS49" s="539"/>
      <c r="AT49" s="539"/>
      <c r="AU49" s="539"/>
      <c r="AV49" s="539"/>
      <c r="AW49" s="539"/>
      <c r="AX49" s="539"/>
      <c r="AY49" s="539"/>
      <c r="AZ49" s="539"/>
      <c r="BA49" s="539"/>
      <c r="BB49" s="539"/>
      <c r="BC49" s="539"/>
      <c r="BD49" s="539"/>
      <c r="BE49" s="539"/>
      <c r="BF49" s="539"/>
      <c r="BG49" s="539"/>
      <c r="BH49" s="539"/>
      <c r="BI49" s="539"/>
      <c r="BJ49" s="539"/>
      <c r="BK49" s="539"/>
      <c r="BL49" s="539"/>
      <c r="BM49" s="539"/>
      <c r="BN49" s="539"/>
      <c r="BO49" s="539"/>
    </row>
    <row r="50" spans="1:67" ht="18.45" customHeight="1" thickBot="1">
      <c r="C50" s="614" t="s">
        <v>10312</v>
      </c>
      <c r="D50" s="615"/>
      <c r="E50" s="615"/>
      <c r="F50" s="615"/>
      <c r="G50" s="615"/>
      <c r="H50" s="615"/>
      <c r="I50" s="615"/>
      <c r="J50" s="615"/>
      <c r="K50" s="294" t="s">
        <v>10313</v>
      </c>
      <c r="L50" s="294"/>
      <c r="M50" s="294"/>
      <c r="N50" s="294"/>
      <c r="O50" s="294"/>
      <c r="P50" s="331"/>
      <c r="Q50" s="294"/>
      <c r="R50" s="294"/>
      <c r="S50" s="294"/>
      <c r="T50" s="294"/>
      <c r="U50" s="299"/>
      <c r="AI50" s="539"/>
      <c r="AJ50" s="539"/>
      <c r="AK50" s="539"/>
      <c r="AL50" s="539"/>
      <c r="AM50" s="539"/>
      <c r="AN50" s="539"/>
      <c r="AO50" s="539">
        <v>116000000</v>
      </c>
      <c r="AP50" s="539" t="s">
        <v>406</v>
      </c>
      <c r="AQ50" s="539"/>
      <c r="AR50" s="539"/>
      <c r="AS50" s="539"/>
      <c r="AT50" s="539"/>
      <c r="AU50" s="539"/>
      <c r="AV50" s="539"/>
      <c r="AW50" s="539"/>
      <c r="AX50" s="539"/>
      <c r="AY50" s="539"/>
      <c r="AZ50" s="539"/>
      <c r="BA50" s="539"/>
      <c r="BB50" s="539"/>
      <c r="BC50" s="539"/>
      <c r="BD50" s="539"/>
      <c r="BE50" s="539"/>
      <c r="BF50" s="539"/>
      <c r="BG50" s="539"/>
      <c r="BH50" s="539"/>
      <c r="BI50" s="539"/>
      <c r="BJ50" s="539"/>
      <c r="BK50" s="539"/>
      <c r="BL50" s="539"/>
      <c r="BM50" s="539"/>
      <c r="BN50" s="539"/>
      <c r="BO50" s="539"/>
    </row>
    <row r="51" spans="1:67" ht="33.6" customHeight="1">
      <c r="C51" s="336"/>
      <c r="J51" s="332"/>
      <c r="AI51" s="539"/>
      <c r="AJ51" s="539"/>
      <c r="AK51" s="539"/>
      <c r="AL51" s="539"/>
      <c r="AM51" s="539"/>
      <c r="AN51" s="539"/>
      <c r="AO51" s="539">
        <f>$AO$50/$AO$47</f>
        <v>16.531406037411998</v>
      </c>
      <c r="AP51" s="539" t="s">
        <v>407</v>
      </c>
      <c r="AQ51" s="539"/>
      <c r="AR51" s="539"/>
      <c r="AS51" s="539"/>
      <c r="AT51" s="539"/>
      <c r="AU51" s="539"/>
      <c r="AV51" s="539"/>
      <c r="AW51" s="539"/>
      <c r="AX51" s="539"/>
      <c r="AY51" s="539"/>
      <c r="AZ51" s="539"/>
      <c r="BA51" s="539"/>
      <c r="BB51" s="539"/>
      <c r="BC51" s="539"/>
      <c r="BD51" s="539"/>
      <c r="BE51" s="539"/>
      <c r="BF51" s="539"/>
      <c r="BG51" s="539"/>
      <c r="BH51" s="539"/>
      <c r="BI51" s="539"/>
      <c r="BJ51" s="539"/>
      <c r="BK51" s="539"/>
      <c r="BL51" s="539"/>
      <c r="BM51" s="539"/>
      <c r="BN51" s="539"/>
      <c r="BO51" s="539"/>
    </row>
    <row r="52" spans="1:67" ht="23.1" customHeight="1">
      <c r="C52" s="334"/>
      <c r="J52" s="332"/>
      <c r="AI52" s="539"/>
      <c r="AJ52" s="539"/>
      <c r="AK52" s="539"/>
      <c r="AL52" s="539"/>
      <c r="AM52" s="539"/>
      <c r="AN52" s="539"/>
      <c r="AO52" s="539">
        <f>CONVERT($AO$47,$AQ$47,"kg")</f>
        <v>7016947000</v>
      </c>
      <c r="AP52" s="539" t="s">
        <v>408</v>
      </c>
      <c r="AQ52" s="539" t="s">
        <v>409</v>
      </c>
      <c r="AR52" s="539"/>
      <c r="AS52" s="539"/>
      <c r="AT52" s="539"/>
      <c r="AU52" s="539"/>
      <c r="AV52" s="539"/>
      <c r="AW52" s="539"/>
      <c r="AX52" s="539"/>
      <c r="AY52" s="539"/>
      <c r="AZ52" s="539"/>
      <c r="BA52" s="539"/>
      <c r="BB52" s="539"/>
      <c r="BC52" s="539"/>
      <c r="BD52" s="539"/>
      <c r="BE52" s="539"/>
      <c r="BF52" s="539"/>
      <c r="BG52" s="539"/>
      <c r="BH52" s="539"/>
      <c r="BI52" s="539"/>
      <c r="BJ52" s="539"/>
      <c r="BK52" s="539"/>
      <c r="BL52" s="539"/>
      <c r="BM52" s="539"/>
      <c r="BN52" s="539"/>
      <c r="BO52" s="539"/>
    </row>
    <row r="53" spans="1:67" ht="22.05" customHeight="1">
      <c r="A53" s="333"/>
      <c r="C53" s="334"/>
      <c r="J53" s="332"/>
      <c r="AI53" s="539"/>
      <c r="AJ53" s="539"/>
      <c r="AK53" s="539"/>
      <c r="AL53" s="539"/>
      <c r="AM53" s="539"/>
      <c r="AN53" s="539"/>
      <c r="AO53" s="539">
        <f>$AO$50/$AO$52</f>
        <v>1.6531406037411996E-2</v>
      </c>
      <c r="AP53" s="539" t="s">
        <v>410</v>
      </c>
      <c r="AQ53" s="539"/>
      <c r="AR53" s="539"/>
      <c r="AS53" s="539"/>
      <c r="AT53" s="539"/>
      <c r="AU53" s="539"/>
      <c r="AV53" s="539"/>
      <c r="AW53" s="539"/>
      <c r="AX53" s="539"/>
      <c r="AY53" s="539"/>
      <c r="AZ53" s="539"/>
      <c r="BA53" s="539"/>
      <c r="BB53" s="539"/>
      <c r="BC53" s="539"/>
      <c r="BD53" s="539"/>
      <c r="BE53" s="539"/>
      <c r="BF53" s="539"/>
      <c r="BG53" s="539"/>
      <c r="BH53" s="539"/>
      <c r="BI53" s="539"/>
      <c r="BJ53" s="539"/>
      <c r="BK53" s="539"/>
      <c r="BL53" s="539"/>
      <c r="BM53" s="539"/>
      <c r="BN53" s="539"/>
      <c r="BO53" s="539"/>
    </row>
    <row r="54" spans="1:67" ht="32.549999999999997" customHeight="1">
      <c r="C54" s="332"/>
      <c r="J54" s="332"/>
      <c r="AI54" s="539"/>
      <c r="AJ54" s="539"/>
      <c r="AK54" s="539"/>
      <c r="AL54" s="539"/>
      <c r="AM54" s="539"/>
      <c r="AN54" s="539"/>
      <c r="AO54" s="539"/>
      <c r="AP54" s="539"/>
      <c r="AQ54" s="539"/>
      <c r="AR54" s="539"/>
      <c r="AS54" s="539"/>
      <c r="AT54" s="539"/>
      <c r="AU54" s="539"/>
      <c r="AV54" s="539"/>
      <c r="AW54" s="539"/>
      <c r="AX54" s="539"/>
      <c r="AY54" s="539"/>
      <c r="AZ54" s="539"/>
      <c r="BA54" s="539"/>
      <c r="BB54" s="539"/>
      <c r="BC54" s="539"/>
      <c r="BD54" s="539"/>
      <c r="BE54" s="539"/>
      <c r="BF54" s="539"/>
      <c r="BG54" s="539"/>
      <c r="BH54" s="539"/>
      <c r="BI54" s="539"/>
      <c r="BJ54" s="539"/>
      <c r="BK54" s="539"/>
      <c r="BL54" s="539"/>
      <c r="BM54" s="539"/>
      <c r="BN54" s="539"/>
      <c r="BO54" s="539"/>
    </row>
    <row r="55" spans="1:67" ht="25.5" customHeight="1">
      <c r="C55" s="332"/>
      <c r="J55" s="332"/>
      <c r="AI55" s="539"/>
      <c r="AJ55" s="539"/>
      <c r="AK55" s="539"/>
      <c r="AL55" s="539"/>
      <c r="AM55" s="539"/>
      <c r="AN55" s="539"/>
      <c r="AO55" s="539">
        <f>1/$AO$53</f>
        <v>60.490922413793108</v>
      </c>
      <c r="AP55" s="539" t="s">
        <v>411</v>
      </c>
      <c r="AQ55" s="539"/>
      <c r="AR55" s="539"/>
      <c r="AS55" s="539"/>
      <c r="AT55" s="539"/>
      <c r="AU55" s="539"/>
      <c r="AV55" s="539"/>
      <c r="AW55" s="539"/>
      <c r="AX55" s="539"/>
      <c r="AY55" s="539"/>
      <c r="AZ55" s="539"/>
      <c r="BA55" s="539"/>
      <c r="BB55" s="539"/>
      <c r="BC55" s="539"/>
      <c r="BD55" s="539"/>
      <c r="BE55" s="539"/>
      <c r="BF55" s="539"/>
      <c r="BG55" s="539"/>
      <c r="BH55" s="539"/>
      <c r="BI55" s="539"/>
      <c r="BJ55" s="539"/>
      <c r="BK55" s="539"/>
      <c r="BL55" s="539"/>
      <c r="BM55" s="539"/>
      <c r="BN55" s="539"/>
      <c r="BO55" s="539"/>
    </row>
    <row r="56" spans="1:67" ht="58.05" customHeight="1">
      <c r="AI56" s="539"/>
      <c r="AJ56" s="539"/>
      <c r="AK56" s="539"/>
      <c r="AL56" s="539"/>
      <c r="AM56" s="539"/>
      <c r="AN56" s="539"/>
      <c r="AO56" s="539"/>
      <c r="AP56" s="539"/>
      <c r="AQ56" s="539"/>
      <c r="AR56" s="539"/>
      <c r="AS56" s="539"/>
      <c r="AT56" s="539"/>
      <c r="AU56" s="539"/>
      <c r="AV56" s="539"/>
      <c r="AW56" s="539"/>
      <c r="AX56" s="539"/>
      <c r="AY56" s="539"/>
      <c r="AZ56" s="539"/>
      <c r="BA56" s="539"/>
      <c r="BB56" s="539"/>
      <c r="BC56" s="539"/>
      <c r="BD56" s="539"/>
      <c r="BE56" s="539"/>
      <c r="BF56" s="539"/>
      <c r="BG56" s="539"/>
      <c r="BH56" s="539"/>
      <c r="BI56" s="539"/>
      <c r="BJ56" s="539"/>
      <c r="BK56" s="539"/>
      <c r="BL56" s="539"/>
      <c r="BM56" s="539"/>
      <c r="BN56" s="539"/>
      <c r="BO56" s="539"/>
    </row>
    <row r="57" spans="1:67" ht="81" customHeight="1">
      <c r="AI57" s="539"/>
      <c r="AJ57" s="539"/>
      <c r="AK57" s="539"/>
      <c r="AL57" s="539"/>
      <c r="AM57" s="539"/>
      <c r="AN57" s="539"/>
      <c r="AO57" s="539">
        <f>$AO$55/1000</f>
        <v>6.0490922413793106E-2</v>
      </c>
      <c r="AP57" s="539" t="s">
        <v>412</v>
      </c>
      <c r="AQ57" s="539" t="s">
        <v>10141</v>
      </c>
      <c r="AR57" s="539"/>
      <c r="AS57" s="539"/>
      <c r="AT57" s="539"/>
      <c r="AU57" s="539"/>
      <c r="AV57" s="539"/>
      <c r="AW57" s="539"/>
      <c r="AX57" s="539"/>
      <c r="AY57" s="539"/>
      <c r="AZ57" s="539"/>
      <c r="BA57" s="539"/>
      <c r="BB57" s="539"/>
      <c r="BC57" s="539"/>
      <c r="BD57" s="539"/>
      <c r="BE57" s="539"/>
      <c r="BF57" s="539"/>
      <c r="BG57" s="539"/>
      <c r="BH57" s="539"/>
      <c r="BI57" s="539"/>
      <c r="BJ57" s="539"/>
      <c r="BK57" s="539"/>
      <c r="BL57" s="539"/>
      <c r="BM57" s="539"/>
      <c r="BN57" s="539"/>
      <c r="BO57" s="539"/>
    </row>
    <row r="58" spans="1:67" ht="37.049999999999997" customHeight="1">
      <c r="AI58" s="539"/>
      <c r="AJ58" s="539"/>
      <c r="AK58" s="539"/>
      <c r="AL58" s="539"/>
      <c r="AM58" s="539"/>
      <c r="AN58" s="539"/>
      <c r="AO58" s="539"/>
      <c r="AP58" s="539"/>
      <c r="AQ58" s="539"/>
      <c r="AR58" s="539"/>
      <c r="AS58" s="539"/>
      <c r="AT58" s="539"/>
      <c r="AU58" s="539"/>
      <c r="AV58" s="539"/>
      <c r="AW58" s="539"/>
      <c r="AX58" s="539"/>
      <c r="AY58" s="539"/>
      <c r="AZ58" s="539"/>
      <c r="BA58" s="539"/>
      <c r="BB58" s="539"/>
      <c r="BC58" s="539"/>
      <c r="BD58" s="539"/>
      <c r="BE58" s="539"/>
      <c r="BF58" s="539"/>
      <c r="BG58" s="539"/>
      <c r="BH58" s="539"/>
      <c r="BI58" s="539"/>
      <c r="BJ58" s="539"/>
      <c r="BK58" s="539"/>
      <c r="BL58" s="539"/>
      <c r="BM58" s="539"/>
      <c r="BN58" s="539"/>
      <c r="BO58" s="539"/>
    </row>
    <row r="59" spans="1:67" ht="17.55" customHeight="1">
      <c r="AI59" s="539"/>
      <c r="AJ59" s="539"/>
      <c r="AK59" s="539"/>
      <c r="AL59" s="539"/>
      <c r="AM59" s="539"/>
      <c r="AN59" s="539"/>
      <c r="AO59" s="539"/>
      <c r="AP59" s="539"/>
      <c r="AQ59" s="539"/>
      <c r="AR59" s="539"/>
      <c r="AS59" s="539"/>
      <c r="AT59" s="539"/>
      <c r="AU59" s="539"/>
      <c r="AV59" s="539"/>
      <c r="AW59" s="539"/>
      <c r="AX59" s="539"/>
      <c r="AY59" s="539"/>
      <c r="AZ59" s="539"/>
      <c r="BA59" s="539"/>
      <c r="BB59" s="539"/>
      <c r="BC59" s="539"/>
      <c r="BD59" s="539"/>
      <c r="BE59" s="539"/>
      <c r="BF59" s="539"/>
      <c r="BG59" s="539"/>
      <c r="BH59" s="539"/>
      <c r="BI59" s="539"/>
      <c r="BJ59" s="539"/>
      <c r="BK59" s="539"/>
      <c r="BL59" s="539"/>
      <c r="BM59" s="539"/>
      <c r="BN59" s="539"/>
      <c r="BO59" s="539"/>
    </row>
    <row r="60" spans="1:67" ht="92.1" customHeight="1">
      <c r="AI60" s="539"/>
      <c r="AJ60" s="539"/>
      <c r="AK60" s="539"/>
      <c r="AL60" s="539"/>
      <c r="AM60" s="539"/>
      <c r="AN60" s="539"/>
      <c r="AO60" s="539"/>
      <c r="AP60" s="539"/>
      <c r="AQ60" s="539"/>
      <c r="AR60" s="539"/>
      <c r="AS60" s="539"/>
      <c r="AT60" s="539"/>
      <c r="AU60" s="539"/>
      <c r="AV60" s="539"/>
      <c r="AW60" s="539"/>
      <c r="AX60" s="539"/>
      <c r="AY60" s="539"/>
      <c r="AZ60" s="539"/>
      <c r="BA60" s="539"/>
      <c r="BB60" s="539"/>
      <c r="BC60" s="539"/>
      <c r="BD60" s="539"/>
      <c r="BE60" s="539"/>
      <c r="BF60" s="539"/>
      <c r="BG60" s="539"/>
      <c r="BH60" s="539"/>
      <c r="BI60" s="539"/>
      <c r="BJ60" s="539"/>
      <c r="BK60" s="539"/>
      <c r="BL60" s="539"/>
      <c r="BM60" s="539"/>
      <c r="BN60" s="539"/>
      <c r="BO60" s="539"/>
    </row>
    <row r="61" spans="1:67" ht="104.1" customHeight="1">
      <c r="AI61" s="539"/>
      <c r="AJ61" s="539"/>
      <c r="AK61" s="539"/>
      <c r="AL61" s="539"/>
      <c r="AM61" s="539"/>
      <c r="AN61" s="539"/>
      <c r="AO61" s="539">
        <v>0.06</v>
      </c>
      <c r="AP61" s="539" t="s">
        <v>412</v>
      </c>
      <c r="AQ61" s="556" t="s">
        <v>413</v>
      </c>
      <c r="AR61" s="539"/>
      <c r="AS61" s="539"/>
      <c r="AT61" s="539"/>
      <c r="AU61" s="539"/>
      <c r="AV61" s="539"/>
      <c r="AW61" s="539"/>
      <c r="AX61" s="539"/>
      <c r="AY61" s="539"/>
      <c r="AZ61" s="539"/>
      <c r="BA61" s="539"/>
      <c r="BB61" s="539"/>
      <c r="BC61" s="539"/>
      <c r="BD61" s="539"/>
      <c r="BE61" s="539"/>
      <c r="BF61" s="539"/>
      <c r="BG61" s="539"/>
      <c r="BH61" s="539"/>
      <c r="BI61" s="539"/>
      <c r="BJ61" s="539"/>
      <c r="BK61" s="539"/>
      <c r="BL61" s="539"/>
      <c r="BM61" s="539"/>
      <c r="BN61" s="539"/>
      <c r="BO61" s="539"/>
    </row>
    <row r="62" spans="1:67" ht="70.5" customHeight="1">
      <c r="AI62" s="539"/>
      <c r="AJ62" s="539"/>
      <c r="AK62" s="539"/>
      <c r="AL62" s="539"/>
      <c r="AM62" s="539"/>
      <c r="AN62" s="539"/>
      <c r="AO62" s="539">
        <f>CONVERT($AO$61,"Mg","kg")</f>
        <v>60</v>
      </c>
      <c r="AP62" s="539" t="s">
        <v>411</v>
      </c>
      <c r="AQ62" s="539" t="s">
        <v>414</v>
      </c>
      <c r="AR62" s="539"/>
      <c r="AS62" s="539"/>
      <c r="AT62" s="539"/>
      <c r="AU62" s="539"/>
      <c r="AV62" s="539"/>
      <c r="AW62" s="539"/>
      <c r="AX62" s="539"/>
      <c r="AY62" s="539"/>
      <c r="AZ62" s="539"/>
      <c r="BA62" s="539"/>
      <c r="BB62" s="539"/>
      <c r="BC62" s="539"/>
      <c r="BD62" s="539"/>
      <c r="BE62" s="539"/>
      <c r="BF62" s="539"/>
      <c r="BG62" s="539"/>
      <c r="BH62" s="539"/>
      <c r="BI62" s="539"/>
      <c r="BJ62" s="539"/>
      <c r="BK62" s="539"/>
      <c r="BL62" s="539"/>
      <c r="BM62" s="539"/>
      <c r="BN62" s="539"/>
      <c r="BO62" s="539"/>
    </row>
    <row r="63" spans="1:67" ht="18.600000000000001" customHeight="1">
      <c r="AI63" s="539"/>
      <c r="AJ63" s="539"/>
      <c r="AK63" s="539"/>
      <c r="AL63" s="539"/>
      <c r="AM63" s="539"/>
      <c r="AN63" s="539"/>
      <c r="AO63" s="557">
        <f>'Data output'!$G$137</f>
        <v>0</v>
      </c>
      <c r="AP63" s="539" t="s">
        <v>415</v>
      </c>
      <c r="AQ63" s="539" t="s">
        <v>416</v>
      </c>
      <c r="AR63" s="539"/>
      <c r="AS63" s="539"/>
      <c r="AT63" s="539"/>
      <c r="AU63" s="539"/>
      <c r="AV63" s="539"/>
      <c r="AW63" s="539"/>
      <c r="AX63" s="539"/>
      <c r="AY63" s="539"/>
      <c r="AZ63" s="539"/>
      <c r="BA63" s="539"/>
      <c r="BB63" s="539"/>
      <c r="BC63" s="539"/>
      <c r="BD63" s="539"/>
      <c r="BE63" s="539"/>
      <c r="BF63" s="539"/>
      <c r="BG63" s="539"/>
      <c r="BH63" s="539"/>
      <c r="BI63" s="539"/>
      <c r="BJ63" s="539"/>
      <c r="BK63" s="539"/>
      <c r="BL63" s="539"/>
      <c r="BM63" s="539"/>
      <c r="BN63" s="539"/>
      <c r="BO63" s="539"/>
    </row>
    <row r="64" spans="1:67" ht="28.5" customHeight="1">
      <c r="AI64" s="539"/>
      <c r="AJ64" s="539"/>
      <c r="AK64" s="539"/>
      <c r="AL64" s="539"/>
      <c r="AM64" s="539"/>
      <c r="AN64" s="539"/>
      <c r="AO64" s="558">
        <f>ABS($AO$63/$AO$62)</f>
        <v>0</v>
      </c>
      <c r="AP64" s="539" t="s">
        <v>417</v>
      </c>
      <c r="AQ64" s="539" t="s">
        <v>10137</v>
      </c>
      <c r="AR64" s="539"/>
      <c r="AS64" s="539"/>
      <c r="AT64" s="539"/>
      <c r="AU64" s="539"/>
      <c r="AV64" s="539"/>
      <c r="AW64" s="539"/>
      <c r="AX64" s="539"/>
      <c r="AY64" s="539"/>
      <c r="AZ64" s="539"/>
      <c r="BA64" s="539"/>
      <c r="BB64" s="539"/>
      <c r="BC64" s="539"/>
      <c r="BD64" s="539"/>
      <c r="BE64" s="539"/>
      <c r="BF64" s="539"/>
      <c r="BG64" s="539"/>
      <c r="BH64" s="539"/>
      <c r="BI64" s="539"/>
      <c r="BJ64" s="539"/>
      <c r="BK64" s="539"/>
      <c r="BL64" s="539"/>
      <c r="BM64" s="539"/>
      <c r="BN64" s="539"/>
      <c r="BO64" s="539"/>
    </row>
    <row r="65" spans="35:67">
      <c r="AI65" s="539"/>
      <c r="AJ65" s="539"/>
      <c r="AK65" s="539"/>
      <c r="AL65" s="539"/>
      <c r="AM65" s="539"/>
      <c r="AN65" s="539"/>
      <c r="AO65" s="539"/>
      <c r="AP65" s="539"/>
      <c r="AQ65" s="539"/>
      <c r="AR65" s="539"/>
      <c r="AS65" s="539"/>
      <c r="AT65" s="539"/>
      <c r="AU65" s="539"/>
      <c r="AV65" s="539"/>
      <c r="AW65" s="539"/>
      <c r="AX65" s="539"/>
      <c r="AY65" s="539"/>
      <c r="AZ65" s="539"/>
      <c r="BA65" s="539"/>
      <c r="BB65" s="539"/>
      <c r="BC65" s="539"/>
      <c r="BD65" s="539"/>
      <c r="BE65" s="539"/>
      <c r="BF65" s="539"/>
      <c r="BG65" s="539"/>
      <c r="BH65" s="539"/>
      <c r="BI65" s="539"/>
      <c r="BJ65" s="539"/>
      <c r="BK65" s="539"/>
      <c r="BL65" s="539"/>
      <c r="BM65" s="539"/>
      <c r="BN65" s="539"/>
      <c r="BO65" s="539"/>
    </row>
    <row r="66" spans="35:67" ht="34.35" customHeight="1">
      <c r="AI66" s="539"/>
      <c r="AJ66" s="539"/>
      <c r="AK66" s="539"/>
      <c r="AL66" s="539"/>
      <c r="AM66" s="539"/>
      <c r="AN66" s="539"/>
      <c r="AO66" s="539">
        <v>4.29</v>
      </c>
      <c r="AP66" s="539" t="s">
        <v>418</v>
      </c>
      <c r="AQ66" s="539"/>
      <c r="AR66" s="539"/>
      <c r="AS66" s="539"/>
      <c r="AT66" s="539"/>
      <c r="AU66" s="539"/>
      <c r="AV66" s="539"/>
      <c r="AW66" s="539"/>
      <c r="AX66" s="539"/>
      <c r="AY66" s="539"/>
      <c r="AZ66" s="539"/>
      <c r="BA66" s="539"/>
      <c r="BB66" s="539"/>
      <c r="BC66" s="539"/>
      <c r="BD66" s="539"/>
      <c r="BE66" s="539"/>
      <c r="BF66" s="539"/>
      <c r="BG66" s="539"/>
      <c r="BH66" s="539"/>
      <c r="BI66" s="539"/>
      <c r="BJ66" s="539"/>
      <c r="BK66" s="539"/>
      <c r="BL66" s="539"/>
      <c r="BM66" s="539"/>
      <c r="BN66" s="539"/>
      <c r="BO66" s="539"/>
    </row>
    <row r="67" spans="35:67" ht="34.35" customHeight="1">
      <c r="AI67" s="539"/>
      <c r="AJ67" s="539"/>
      <c r="AK67" s="539"/>
      <c r="AL67" s="539"/>
      <c r="AM67" s="539"/>
      <c r="AN67" s="539"/>
      <c r="AO67" s="539">
        <f>CONVERT($AO$66,"Mg","kg")</f>
        <v>4290</v>
      </c>
      <c r="AP67" s="539" t="s">
        <v>419</v>
      </c>
      <c r="AQ67" s="539"/>
      <c r="AR67" s="539"/>
      <c r="AS67" s="539"/>
      <c r="AT67" s="539"/>
      <c r="AU67" s="539"/>
      <c r="AV67" s="539"/>
      <c r="AW67" s="539"/>
      <c r="AX67" s="539"/>
      <c r="AY67" s="539"/>
      <c r="AZ67" s="539"/>
      <c r="BA67" s="539"/>
      <c r="BB67" s="539"/>
      <c r="BC67" s="539"/>
      <c r="BD67" s="539"/>
      <c r="BE67" s="539"/>
      <c r="BF67" s="539"/>
      <c r="BG67" s="539"/>
      <c r="BH67" s="539"/>
      <c r="BI67" s="539"/>
      <c r="BJ67" s="539"/>
      <c r="BK67" s="539"/>
      <c r="BL67" s="539"/>
      <c r="BM67" s="539"/>
      <c r="BN67" s="539"/>
      <c r="BO67" s="539"/>
    </row>
    <row r="68" spans="35:67" ht="50.85" customHeight="1">
      <c r="AI68" s="539"/>
      <c r="AJ68" s="539"/>
      <c r="AK68" s="539"/>
      <c r="AL68" s="539"/>
      <c r="AM68" s="539"/>
      <c r="AN68" s="539"/>
      <c r="AO68" s="559">
        <f>ABS($AO$63/$AO$67)</f>
        <v>0</v>
      </c>
      <c r="AP68" s="539" t="s">
        <v>420</v>
      </c>
      <c r="AQ68" s="539" t="s">
        <v>10137</v>
      </c>
      <c r="AR68" s="539"/>
      <c r="AS68" s="539"/>
      <c r="AT68" s="539"/>
      <c r="AU68" s="539"/>
      <c r="AV68" s="539"/>
      <c r="AW68" s="539"/>
      <c r="AX68" s="539"/>
      <c r="AY68" s="539"/>
      <c r="AZ68" s="539"/>
      <c r="BA68" s="539"/>
      <c r="BB68" s="539"/>
      <c r="BC68" s="539"/>
      <c r="BD68" s="539"/>
      <c r="BE68" s="539"/>
      <c r="BF68" s="539"/>
      <c r="BG68" s="539"/>
      <c r="BH68" s="539"/>
      <c r="BI68" s="539"/>
      <c r="BJ68" s="539"/>
      <c r="BK68" s="539"/>
      <c r="BL68" s="539"/>
      <c r="BM68" s="539"/>
      <c r="BN68" s="539"/>
      <c r="BO68" s="539"/>
    </row>
    <row r="69" spans="35:67" ht="35.1" customHeight="1">
      <c r="AI69" s="539"/>
      <c r="AJ69" s="539"/>
      <c r="AK69" s="539"/>
      <c r="AL69" s="539"/>
      <c r="AM69" s="539"/>
      <c r="AN69" s="539"/>
      <c r="AO69" s="539"/>
      <c r="AP69" s="539"/>
      <c r="AQ69" s="539"/>
      <c r="AR69" s="539"/>
      <c r="AS69" s="539"/>
      <c r="AT69" s="539"/>
      <c r="AU69" s="539"/>
      <c r="AV69" s="539"/>
      <c r="AW69" s="539"/>
      <c r="AX69" s="539"/>
      <c r="AY69" s="539"/>
      <c r="AZ69" s="539"/>
      <c r="BA69" s="539"/>
      <c r="BB69" s="539"/>
      <c r="BC69" s="539"/>
      <c r="BD69" s="539"/>
      <c r="BE69" s="539"/>
      <c r="BF69" s="539"/>
      <c r="BG69" s="539"/>
      <c r="BH69" s="539"/>
      <c r="BI69" s="539"/>
      <c r="BJ69" s="539"/>
      <c r="BK69" s="539"/>
      <c r="BL69" s="539"/>
      <c r="BM69" s="539"/>
      <c r="BN69" s="539"/>
      <c r="BO69" s="539"/>
    </row>
    <row r="70" spans="35:67">
      <c r="AI70" s="539"/>
      <c r="AJ70" s="539"/>
      <c r="AK70" s="539"/>
      <c r="AL70" s="539"/>
      <c r="AM70" s="539"/>
      <c r="AN70" s="539"/>
      <c r="AO70" s="539">
        <v>4.798</v>
      </c>
      <c r="AP70" s="539" t="s">
        <v>10133</v>
      </c>
      <c r="AQ70" s="556" t="s">
        <v>10134</v>
      </c>
      <c r="AR70" s="539"/>
      <c r="AS70" s="539"/>
      <c r="AT70" s="539"/>
      <c r="AU70" s="539"/>
      <c r="AV70" s="539"/>
      <c r="AW70" s="539"/>
      <c r="AX70" s="539"/>
      <c r="AY70" s="539"/>
      <c r="AZ70" s="539"/>
      <c r="BA70" s="539"/>
      <c r="BB70" s="539"/>
      <c r="BC70" s="539"/>
      <c r="BD70" s="539"/>
      <c r="BE70" s="539"/>
      <c r="BF70" s="539"/>
      <c r="BG70" s="539"/>
      <c r="BH70" s="539"/>
      <c r="BI70" s="539"/>
      <c r="BJ70" s="539"/>
      <c r="BK70" s="539"/>
      <c r="BL70" s="539"/>
      <c r="BM70" s="539"/>
      <c r="BN70" s="539"/>
      <c r="BO70" s="539"/>
    </row>
    <row r="71" spans="35:67" ht="57" customHeight="1">
      <c r="AI71" s="539"/>
      <c r="AJ71" s="539"/>
      <c r="AK71" s="539"/>
      <c r="AL71" s="539"/>
      <c r="AM71" s="539"/>
      <c r="AN71" s="539"/>
      <c r="AO71" s="539">
        <f>$AO$70*1000</f>
        <v>4798</v>
      </c>
      <c r="AP71" s="539" t="s">
        <v>10136</v>
      </c>
      <c r="AQ71" s="539"/>
      <c r="AR71" s="539"/>
      <c r="AS71" s="539"/>
      <c r="AT71" s="539"/>
      <c r="AU71" s="539"/>
      <c r="AV71" s="539"/>
      <c r="AW71" s="539"/>
      <c r="AX71" s="539"/>
      <c r="AY71" s="539"/>
      <c r="AZ71" s="539"/>
      <c r="BA71" s="539"/>
      <c r="BB71" s="539"/>
      <c r="BC71" s="539"/>
      <c r="BD71" s="539"/>
      <c r="BE71" s="539"/>
      <c r="BF71" s="539"/>
      <c r="BG71" s="539"/>
      <c r="BH71" s="539"/>
      <c r="BI71" s="539"/>
      <c r="BJ71" s="539"/>
      <c r="BK71" s="539"/>
      <c r="BL71" s="539"/>
      <c r="BM71" s="539"/>
      <c r="BN71" s="539"/>
      <c r="BO71" s="539"/>
    </row>
    <row r="72" spans="35:67">
      <c r="AI72" s="539"/>
      <c r="AJ72" s="539"/>
      <c r="AK72" s="539"/>
      <c r="AL72" s="539"/>
      <c r="AM72" s="539"/>
      <c r="AN72" s="539"/>
      <c r="AO72" s="559">
        <f>ABS($AO$63/$AO$71)</f>
        <v>0</v>
      </c>
      <c r="AP72" s="539" t="s">
        <v>10135</v>
      </c>
      <c r="AQ72" s="539" t="s">
        <v>10137</v>
      </c>
      <c r="AR72" s="539"/>
      <c r="AS72" s="539"/>
      <c r="AT72" s="539"/>
      <c r="AU72" s="539"/>
      <c r="AV72" s="539"/>
      <c r="AW72" s="539"/>
      <c r="AX72" s="539"/>
      <c r="AY72" s="539"/>
      <c r="AZ72" s="539"/>
      <c r="BA72" s="539"/>
      <c r="BB72" s="539"/>
      <c r="BC72" s="539"/>
      <c r="BD72" s="539"/>
      <c r="BE72" s="539"/>
      <c r="BF72" s="539"/>
      <c r="BG72" s="539"/>
      <c r="BH72" s="539"/>
      <c r="BI72" s="539"/>
      <c r="BJ72" s="539"/>
      <c r="BK72" s="539"/>
      <c r="BL72" s="539"/>
      <c r="BM72" s="539"/>
      <c r="BN72" s="539"/>
      <c r="BO72" s="539"/>
    </row>
    <row r="73" spans="35:67">
      <c r="AI73" s="539"/>
      <c r="AJ73" s="539"/>
      <c r="AK73" s="539"/>
      <c r="AL73" s="539"/>
      <c r="AM73" s="539"/>
      <c r="AN73" s="539"/>
      <c r="AO73" s="539"/>
      <c r="AP73" s="539"/>
      <c r="AQ73" s="539"/>
      <c r="AR73" s="539"/>
      <c r="AS73" s="539"/>
      <c r="AT73" s="539"/>
      <c r="AU73" s="539"/>
      <c r="AV73" s="539"/>
      <c r="AW73" s="539"/>
      <c r="AX73" s="539"/>
      <c r="AY73" s="539"/>
      <c r="AZ73" s="539"/>
      <c r="BA73" s="539"/>
      <c r="BB73" s="539"/>
      <c r="BC73" s="539"/>
      <c r="BD73" s="539"/>
      <c r="BE73" s="539"/>
      <c r="BF73" s="539"/>
      <c r="BG73" s="539"/>
      <c r="BH73" s="539"/>
      <c r="BI73" s="539"/>
      <c r="BJ73" s="539"/>
      <c r="BK73" s="539"/>
      <c r="BL73" s="539"/>
      <c r="BM73" s="539"/>
      <c r="BN73" s="539"/>
      <c r="BO73" s="539"/>
    </row>
    <row r="74" spans="35:67" ht="35.85" customHeight="1">
      <c r="AI74" s="539"/>
      <c r="AJ74" s="539"/>
      <c r="AK74" s="539"/>
      <c r="AL74" s="539"/>
      <c r="AM74" s="539"/>
      <c r="AN74" s="539"/>
      <c r="AO74" s="539"/>
      <c r="AP74" s="539"/>
      <c r="AQ74" s="539"/>
      <c r="AR74" s="539"/>
      <c r="AS74" s="539"/>
      <c r="AT74" s="539"/>
      <c r="AU74" s="539"/>
      <c r="AV74" s="539"/>
      <c r="AW74" s="539"/>
      <c r="AX74" s="539"/>
      <c r="AY74" s="539"/>
      <c r="AZ74" s="539"/>
      <c r="BA74" s="539"/>
      <c r="BB74" s="539"/>
      <c r="BC74" s="539"/>
      <c r="BD74" s="539"/>
      <c r="BE74" s="539"/>
      <c r="BF74" s="539"/>
      <c r="BG74" s="539"/>
      <c r="BH74" s="539"/>
      <c r="BI74" s="539"/>
      <c r="BJ74" s="539"/>
      <c r="BK74" s="539"/>
      <c r="BL74" s="539"/>
      <c r="BM74" s="539"/>
      <c r="BN74" s="539"/>
      <c r="BO74" s="539"/>
    </row>
    <row r="75" spans="35:67" ht="38.1" customHeight="1">
      <c r="AI75" s="539"/>
      <c r="AJ75" s="539"/>
      <c r="AK75" s="539"/>
      <c r="AL75" s="539"/>
      <c r="AM75" s="539"/>
      <c r="AN75" s="539"/>
      <c r="AO75" s="539"/>
      <c r="AP75" s="539"/>
      <c r="AQ75" s="539"/>
      <c r="AR75" s="539"/>
      <c r="AS75" s="539"/>
      <c r="AT75" s="539"/>
      <c r="AU75" s="539"/>
      <c r="AV75" s="539"/>
      <c r="AW75" s="539"/>
      <c r="AX75" s="539"/>
      <c r="AY75" s="539"/>
      <c r="AZ75" s="539"/>
      <c r="BA75" s="539"/>
      <c r="BB75" s="539"/>
      <c r="BC75" s="539"/>
      <c r="BD75" s="539"/>
      <c r="BE75" s="539"/>
      <c r="BF75" s="539"/>
      <c r="BG75" s="539"/>
      <c r="BH75" s="539"/>
      <c r="BI75" s="539"/>
      <c r="BJ75" s="539"/>
      <c r="BK75" s="539"/>
      <c r="BL75" s="539"/>
      <c r="BM75" s="539"/>
      <c r="BN75" s="539"/>
      <c r="BO75" s="539"/>
    </row>
    <row r="76" spans="35:67" ht="70.5" customHeight="1">
      <c r="AI76" s="539"/>
      <c r="AJ76" s="539"/>
      <c r="AK76" s="539"/>
      <c r="AL76" s="539"/>
      <c r="AM76" s="539"/>
      <c r="AN76" s="539"/>
      <c r="AO76" s="539"/>
      <c r="AP76" s="539"/>
      <c r="AQ76" s="539"/>
      <c r="AR76" s="539"/>
      <c r="AS76" s="539"/>
      <c r="AT76" s="539"/>
      <c r="AU76" s="539"/>
      <c r="AV76" s="539"/>
      <c r="AW76" s="539"/>
      <c r="AX76" s="539"/>
      <c r="AY76" s="539"/>
      <c r="AZ76" s="539"/>
      <c r="BA76" s="539"/>
      <c r="BB76" s="539"/>
      <c r="BC76" s="539"/>
      <c r="BD76" s="539"/>
      <c r="BE76" s="539"/>
      <c r="BF76" s="539"/>
      <c r="BG76" s="539"/>
      <c r="BH76" s="539"/>
      <c r="BI76" s="539"/>
      <c r="BJ76" s="539"/>
      <c r="BK76" s="539"/>
      <c r="BL76" s="539"/>
      <c r="BM76" s="539"/>
      <c r="BN76" s="539"/>
      <c r="BO76" s="539"/>
    </row>
    <row r="77" spans="35:67" ht="35.1" customHeight="1">
      <c r="AI77" s="539"/>
      <c r="AJ77" s="539"/>
      <c r="AK77" s="539"/>
      <c r="AL77" s="539"/>
      <c r="AM77" s="539"/>
      <c r="AN77" s="539"/>
      <c r="AO77" s="539"/>
      <c r="AP77" s="539"/>
      <c r="AQ77" s="539"/>
      <c r="AR77" s="539"/>
      <c r="AS77" s="539"/>
      <c r="AT77" s="539"/>
      <c r="AU77" s="539"/>
      <c r="AV77" s="539"/>
      <c r="AW77" s="539"/>
      <c r="AX77" s="539"/>
      <c r="AY77" s="539"/>
      <c r="AZ77" s="539"/>
      <c r="BA77" s="539"/>
      <c r="BB77" s="539"/>
      <c r="BC77" s="539"/>
      <c r="BD77" s="539"/>
      <c r="BE77" s="539"/>
      <c r="BF77" s="539"/>
      <c r="BG77" s="539"/>
      <c r="BH77" s="539"/>
      <c r="BI77" s="539"/>
      <c r="BJ77" s="539"/>
      <c r="BK77" s="539"/>
      <c r="BL77" s="539"/>
      <c r="BM77" s="539"/>
      <c r="BN77" s="539"/>
      <c r="BO77" s="539"/>
    </row>
    <row r="78" spans="35:67" ht="35.1" customHeight="1">
      <c r="AI78" s="539"/>
      <c r="AJ78" s="539"/>
      <c r="AK78" s="539"/>
      <c r="AL78" s="539"/>
      <c r="AM78" s="539"/>
      <c r="AN78" s="539"/>
      <c r="AO78" s="539"/>
      <c r="AP78" s="539"/>
      <c r="AQ78" s="539"/>
      <c r="AR78" s="539"/>
      <c r="AS78" s="539"/>
      <c r="AT78" s="539"/>
      <c r="AU78" s="539"/>
      <c r="AV78" s="539"/>
      <c r="AW78" s="539"/>
      <c r="AX78" s="539"/>
      <c r="AY78" s="539"/>
      <c r="AZ78" s="539"/>
      <c r="BA78" s="539"/>
      <c r="BB78" s="539"/>
      <c r="BC78" s="539"/>
      <c r="BD78" s="539"/>
      <c r="BE78" s="539"/>
      <c r="BF78" s="539"/>
      <c r="BG78" s="539"/>
      <c r="BH78" s="539"/>
      <c r="BI78" s="539"/>
      <c r="BJ78" s="539"/>
      <c r="BK78" s="539"/>
      <c r="BL78" s="539"/>
      <c r="BM78" s="539"/>
      <c r="BN78" s="539"/>
      <c r="BO78" s="539"/>
    </row>
    <row r="79" spans="35:67" ht="35.1" customHeight="1">
      <c r="AI79" s="539"/>
      <c r="AJ79" s="539"/>
      <c r="AK79" s="539"/>
      <c r="AL79" s="539"/>
      <c r="AM79" s="539"/>
      <c r="AN79" s="539"/>
      <c r="AO79" s="539"/>
      <c r="AP79" s="539"/>
      <c r="AQ79" s="539"/>
      <c r="AR79" s="539"/>
      <c r="AS79" s="539"/>
      <c r="AT79" s="539"/>
      <c r="AU79" s="539"/>
      <c r="AV79" s="539"/>
      <c r="AW79" s="539"/>
      <c r="AX79" s="539"/>
      <c r="AY79" s="539"/>
      <c r="AZ79" s="539"/>
      <c r="BA79" s="539"/>
      <c r="BB79" s="539"/>
      <c r="BC79" s="539"/>
      <c r="BD79" s="539"/>
      <c r="BE79" s="539"/>
      <c r="BF79" s="539"/>
      <c r="BG79" s="539"/>
      <c r="BH79" s="539"/>
      <c r="BI79" s="539"/>
      <c r="BJ79" s="539"/>
      <c r="BK79" s="539"/>
      <c r="BL79" s="539"/>
      <c r="BM79" s="539"/>
      <c r="BN79" s="539"/>
      <c r="BO79" s="539"/>
    </row>
    <row r="80" spans="35:67" ht="35.1" customHeight="1">
      <c r="AI80" s="539"/>
      <c r="AJ80" s="539"/>
      <c r="AK80" s="539"/>
      <c r="AL80" s="539"/>
      <c r="AM80" s="539"/>
      <c r="AN80" s="539"/>
      <c r="AO80" s="539"/>
      <c r="AP80" s="539"/>
      <c r="AQ80" s="539"/>
      <c r="AR80" s="539"/>
      <c r="AS80" s="539"/>
      <c r="AT80" s="539"/>
      <c r="AU80" s="539"/>
      <c r="AV80" s="539"/>
      <c r="AW80" s="539"/>
      <c r="AX80" s="539"/>
      <c r="AY80" s="539"/>
      <c r="AZ80" s="539"/>
      <c r="BA80" s="539"/>
      <c r="BB80" s="539"/>
      <c r="BC80" s="539"/>
      <c r="BD80" s="539"/>
      <c r="BE80" s="539"/>
      <c r="BF80" s="539"/>
      <c r="BG80" s="539"/>
      <c r="BH80" s="539"/>
      <c r="BI80" s="539"/>
      <c r="BJ80" s="539"/>
      <c r="BK80" s="539"/>
      <c r="BL80" s="539"/>
      <c r="BM80" s="539"/>
      <c r="BN80" s="539"/>
      <c r="BO80" s="539"/>
    </row>
    <row r="81" spans="35:67" ht="35.1" customHeight="1">
      <c r="AI81" s="539"/>
      <c r="AJ81" s="539"/>
      <c r="AK81" s="539"/>
      <c r="AL81" s="539"/>
      <c r="AM81" s="539"/>
      <c r="AN81" s="539"/>
      <c r="AO81" s="539"/>
      <c r="AP81" s="539"/>
      <c r="AQ81" s="539"/>
      <c r="AR81" s="539"/>
      <c r="AS81" s="539"/>
      <c r="AT81" s="539"/>
      <c r="AU81" s="539"/>
      <c r="AV81" s="539"/>
      <c r="AW81" s="539"/>
      <c r="AX81" s="539"/>
      <c r="AY81" s="539"/>
      <c r="AZ81" s="539"/>
      <c r="BA81" s="539"/>
      <c r="BB81" s="539"/>
      <c r="BC81" s="539"/>
      <c r="BD81" s="539"/>
      <c r="BE81" s="539"/>
      <c r="BF81" s="539"/>
      <c r="BG81" s="539"/>
      <c r="BH81" s="539"/>
      <c r="BI81" s="539"/>
      <c r="BJ81" s="539"/>
      <c r="BK81" s="539"/>
      <c r="BL81" s="539"/>
      <c r="BM81" s="539"/>
      <c r="BN81" s="539"/>
      <c r="BO81" s="539"/>
    </row>
    <row r="82" spans="35:67" ht="35.1" customHeight="1">
      <c r="AI82" s="539"/>
      <c r="AJ82" s="539"/>
      <c r="AK82" s="539"/>
      <c r="AL82" s="539"/>
      <c r="AM82" s="539"/>
      <c r="AN82" s="539"/>
      <c r="AO82" s="539"/>
      <c r="AP82" s="539"/>
      <c r="AQ82" s="539"/>
      <c r="AR82" s="539"/>
      <c r="AS82" s="539"/>
      <c r="AT82" s="539"/>
      <c r="AU82" s="539"/>
      <c r="AV82" s="539"/>
      <c r="AW82" s="539"/>
      <c r="AX82" s="539"/>
      <c r="AY82" s="539"/>
      <c r="AZ82" s="539"/>
      <c r="BA82" s="539"/>
      <c r="BB82" s="539"/>
      <c r="BC82" s="539"/>
      <c r="BD82" s="539"/>
      <c r="BE82" s="539"/>
      <c r="BF82" s="539"/>
      <c r="BG82" s="539"/>
      <c r="BH82" s="539"/>
      <c r="BI82" s="539"/>
      <c r="BJ82" s="539"/>
      <c r="BK82" s="539"/>
      <c r="BL82" s="539"/>
      <c r="BM82" s="539"/>
      <c r="BN82" s="539"/>
      <c r="BO82" s="539"/>
    </row>
    <row r="83" spans="35:67" ht="35.1" customHeight="1">
      <c r="AI83" s="539"/>
      <c r="AJ83" s="539"/>
      <c r="AK83" s="539"/>
      <c r="AL83" s="539"/>
      <c r="AM83" s="539"/>
      <c r="AN83" s="539"/>
      <c r="AO83" s="539"/>
      <c r="AP83" s="539"/>
      <c r="AQ83" s="539"/>
      <c r="AR83" s="539"/>
      <c r="AS83" s="539"/>
      <c r="AT83" s="539"/>
      <c r="AU83" s="539"/>
      <c r="AV83" s="539"/>
      <c r="AW83" s="539"/>
      <c r="AX83" s="539"/>
      <c r="AY83" s="539"/>
      <c r="AZ83" s="539"/>
      <c r="BA83" s="539"/>
      <c r="BB83" s="539"/>
      <c r="BC83" s="539"/>
      <c r="BD83" s="539"/>
      <c r="BE83" s="539"/>
      <c r="BF83" s="539"/>
      <c r="BG83" s="539"/>
      <c r="BH83" s="539"/>
      <c r="BI83" s="539"/>
      <c r="BJ83" s="539"/>
      <c r="BK83" s="539"/>
      <c r="BL83" s="539"/>
      <c r="BM83" s="539"/>
      <c r="BN83" s="539"/>
      <c r="BO83" s="539"/>
    </row>
    <row r="84" spans="35:67" ht="35.1" customHeight="1">
      <c r="AI84" s="539"/>
      <c r="AJ84" s="539"/>
      <c r="AK84" s="539"/>
      <c r="AL84" s="539"/>
      <c r="AM84" s="539"/>
      <c r="AN84" s="539"/>
      <c r="AO84" s="539"/>
      <c r="AP84" s="539"/>
      <c r="AQ84" s="539"/>
      <c r="AR84" s="539"/>
      <c r="AS84" s="539"/>
      <c r="AT84" s="539"/>
      <c r="AU84" s="539"/>
      <c r="AV84" s="539"/>
      <c r="AW84" s="539"/>
      <c r="AX84" s="539"/>
      <c r="AY84" s="539"/>
      <c r="AZ84" s="539"/>
      <c r="BA84" s="539"/>
      <c r="BB84" s="539"/>
      <c r="BC84" s="539"/>
      <c r="BD84" s="539"/>
      <c r="BE84" s="539"/>
      <c r="BF84" s="539"/>
      <c r="BG84" s="539"/>
      <c r="BH84" s="539"/>
      <c r="BI84" s="539"/>
      <c r="BJ84" s="539"/>
      <c r="BK84" s="539"/>
      <c r="BL84" s="539"/>
      <c r="BM84" s="539"/>
      <c r="BN84" s="539"/>
      <c r="BO84" s="539"/>
    </row>
    <row r="85" spans="35:67" ht="35.1" customHeight="1">
      <c r="AI85" s="539"/>
      <c r="AJ85" s="539"/>
      <c r="AK85" s="539"/>
      <c r="AL85" s="539"/>
      <c r="AM85" s="539"/>
      <c r="AN85" s="539"/>
      <c r="AO85" s="539"/>
      <c r="AP85" s="539"/>
      <c r="AQ85" s="539"/>
      <c r="AR85" s="539"/>
      <c r="AS85" s="539"/>
      <c r="AT85" s="539"/>
      <c r="AU85" s="539"/>
      <c r="AV85" s="539"/>
      <c r="AW85" s="539"/>
      <c r="AX85" s="539"/>
      <c r="AY85" s="539"/>
      <c r="AZ85" s="539"/>
      <c r="BA85" s="539"/>
      <c r="BB85" s="539"/>
      <c r="BC85" s="539"/>
      <c r="BD85" s="539"/>
      <c r="BE85" s="539"/>
      <c r="BF85" s="539"/>
      <c r="BG85" s="539"/>
      <c r="BH85" s="539"/>
      <c r="BI85" s="539"/>
      <c r="BJ85" s="539"/>
      <c r="BK85" s="539"/>
      <c r="BL85" s="539"/>
      <c r="BM85" s="539"/>
      <c r="BN85" s="539"/>
      <c r="BO85" s="539"/>
    </row>
    <row r="86" spans="35:67" ht="35.1" customHeight="1">
      <c r="AI86" s="539"/>
      <c r="AJ86" s="539"/>
      <c r="AK86" s="539"/>
      <c r="AL86" s="539"/>
      <c r="AM86" s="539"/>
      <c r="AN86" s="539"/>
      <c r="AO86" s="539"/>
      <c r="AP86" s="539"/>
      <c r="AQ86" s="539"/>
      <c r="AR86" s="539"/>
      <c r="AS86" s="539"/>
      <c r="AT86" s="539"/>
      <c r="AU86" s="539"/>
      <c r="AV86" s="539"/>
      <c r="AW86" s="539"/>
      <c r="AX86" s="539"/>
      <c r="AY86" s="539"/>
      <c r="AZ86" s="539"/>
      <c r="BA86" s="539"/>
      <c r="BB86" s="539"/>
      <c r="BC86" s="539"/>
      <c r="BD86" s="539"/>
      <c r="BE86" s="539"/>
      <c r="BF86" s="539"/>
      <c r="BG86" s="539"/>
      <c r="BH86" s="539"/>
      <c r="BI86" s="539"/>
      <c r="BJ86" s="539"/>
      <c r="BK86" s="539"/>
      <c r="BL86" s="539"/>
      <c r="BM86" s="539"/>
      <c r="BN86" s="539"/>
      <c r="BO86" s="539"/>
    </row>
    <row r="87" spans="35:67" ht="35.1" customHeight="1"/>
    <row r="88" spans="35:67" ht="35.1" customHeight="1"/>
    <row r="89" spans="35:67" ht="35.1" customHeight="1"/>
    <row r="90" spans="35:67" ht="35.1" customHeight="1"/>
    <row r="91" spans="35:67" ht="35.1" customHeight="1"/>
    <row r="92" spans="35:67" ht="51" customHeight="1"/>
    <row r="93" spans="35:67" ht="41.1" customHeight="1"/>
    <row r="94" spans="35:67" ht="9.6" customHeight="1"/>
    <row r="96" spans="35:67" ht="9.6" customHeight="1"/>
    <row r="97" spans="26:26" ht="35.1" customHeight="1"/>
    <row r="98" spans="26:26" ht="35.1" customHeight="1"/>
    <row r="99" spans="26:26" ht="35.1" customHeight="1"/>
    <row r="100" spans="26:26" ht="35.1" customHeight="1"/>
    <row r="101" spans="26:26" ht="35.1" customHeight="1">
      <c r="Z101" s="335"/>
    </row>
    <row r="102" spans="26:26" ht="35.1" customHeight="1"/>
    <row r="103" spans="26:26" ht="35.1" customHeight="1"/>
    <row r="104" spans="26:26" ht="35.1" customHeight="1"/>
    <row r="105" spans="26:26" ht="35.1" customHeight="1"/>
    <row r="106" spans="26:26" ht="35.1" customHeight="1"/>
    <row r="107" spans="26:26" ht="35.1" customHeight="1"/>
  </sheetData>
  <sheetProtection algorithmName="SHA-512" hashValue="UgmTtQjejTDB2u8MUQ6jZnriyZD6m3Tj16HaRr+uCabZorpDcPWxkc0TLZLE9QQSZtG9NSJfo57nHOzbkZDvqw==" saltValue="F2cH1ko9KlVDbFGWrhd0Gg==" spinCount="100000" sheet="1" selectLockedCells="1"/>
  <mergeCells count="2">
    <mergeCell ref="C5:U5"/>
    <mergeCell ref="C50:J50"/>
  </mergeCells>
  <conditionalFormatting sqref="C8">
    <cfRule type="containsText" dxfId="42" priority="1" operator="containsText" text="See Error Tab">
      <formula>NOT(ISERROR(SEARCH("See Error Tab",C8)))</formula>
    </cfRule>
    <cfRule type="containsText" dxfId="41" priority="3" operator="containsText" text="Not certified">
      <formula>NOT(ISERROR(SEARCH("Not certified",C8)))</formula>
    </cfRule>
    <cfRule type="containsText" dxfId="40" priority="4" operator="containsText" text="Platinum">
      <formula>NOT(ISERROR(SEARCH("Platinum",C8)))</formula>
    </cfRule>
    <cfRule type="containsText" dxfId="39" priority="5" operator="containsText" text="Gold">
      <formula>NOT(ISERROR(SEARCH("Gold",C8)))</formula>
    </cfRule>
    <cfRule type="containsText" dxfId="38" priority="6" operator="containsText" text="Certified">
      <formula>NOT(ISERROR(SEARCH("Certified",C8)))</formula>
    </cfRule>
    <cfRule type="containsText" dxfId="37" priority="7" operator="containsText" text="Silver">
      <formula>NOT(ISERROR(SEARCH("Silver",C8)))</formula>
    </cfRule>
  </conditionalFormatting>
  <hyperlinks>
    <hyperlink ref="AQ61" r:id="rId1" location="seedlings" display="https://www.epa.gov/energy/greenhouse-gas-equivalencies-calculator-calculations-and-references - seedlings" xr:uid="{4FEEC938-531B-4847-A0B8-C5A6D568075F}"/>
    <hyperlink ref="AQ70" r:id="rId2" location="seedlings:~:text=Home%20electricity%20use" xr:uid="{F81C365E-935E-4832-8A84-9713C77128E5}"/>
    <hyperlink ref="C50" r:id="rId3" xr:uid="{883C98A0-B078-42A9-A560-E3ED5FAE31C1}"/>
    <hyperlink ref="C50:J50" r:id="rId4" display="https://www.epa.gov/energy/greenhouse-gas-equivalencies-calculator-calculations-and-references" xr:uid="{BB03731C-3F4A-437A-AF74-4B05009E6CD9}"/>
  </hyperlinks>
  <pageMargins left="0.7" right="0.7" top="0.75" bottom="0.75" header="0.3" footer="0.3"/>
  <pageSetup scale="21" orientation="portrait" horizontalDpi="300" verticalDpi="300" r:id="rId5"/>
  <ignoredErrors>
    <ignoredError sqref="AO22:AO24 AP22:AP24 AQ22:AQ24 AR22:AR24 AS22:AS24 AU23 AW23 AY25:AY27" evalError="1"/>
  </ignoredErrors>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00020-39D7-427F-B05E-BB4591EE94B5}">
  <sheetPr>
    <tabColor rgb="FF0F2663"/>
  </sheetPr>
  <dimension ref="A1:DF66"/>
  <sheetViews>
    <sheetView showGridLines="0" zoomScaleNormal="100" workbookViewId="0">
      <selection activeCell="B48" sqref="B48"/>
    </sheetView>
  </sheetViews>
  <sheetFormatPr defaultRowHeight="14.4"/>
  <cols>
    <col min="2" max="2" width="28.21875" customWidth="1"/>
    <col min="3" max="3" width="31.77734375" bestFit="1" customWidth="1"/>
    <col min="4" max="4" width="25.5546875" customWidth="1"/>
    <col min="5" max="5" width="31.77734375" bestFit="1" customWidth="1"/>
    <col min="6" max="6" width="10.5546875" customWidth="1"/>
    <col min="7" max="9" width="12.5546875" customWidth="1"/>
    <col min="10" max="10" width="15.44140625" customWidth="1"/>
    <col min="11" max="13" width="12.5546875" customWidth="1"/>
    <col min="14" max="14" width="80.77734375" customWidth="1"/>
    <col min="15" max="15" width="10.77734375" customWidth="1"/>
    <col min="16" max="23" width="12.5546875" customWidth="1"/>
    <col min="53" max="103" width="0" hidden="1" customWidth="1"/>
    <col min="104" max="105" width="11.77734375" hidden="1" customWidth="1"/>
    <col min="106" max="106" width="68.21875" hidden="1" customWidth="1"/>
    <col min="107" max="107" width="0" hidden="1" customWidth="1"/>
    <col min="108" max="110" width="15.77734375" hidden="1" customWidth="1"/>
    <col min="111" max="131" width="0" hidden="1" customWidth="1"/>
  </cols>
  <sheetData>
    <row r="1" spans="1:105" ht="21">
      <c r="A1" s="530" t="str">
        <f>_xlfn.CONCAT("Project Name: ",'Project Inputs'!$D$10)</f>
        <v xml:space="preserve">Project Name: </v>
      </c>
      <c r="B1" s="174"/>
      <c r="C1" s="174"/>
      <c r="D1" s="174"/>
      <c r="E1" s="174"/>
      <c r="F1" s="174"/>
      <c r="G1" s="174"/>
      <c r="H1" s="174"/>
      <c r="I1" s="174"/>
      <c r="J1" s="174"/>
      <c r="K1" s="174"/>
      <c r="L1" s="174"/>
      <c r="M1" s="174"/>
      <c r="N1" s="174"/>
      <c r="O1" s="174"/>
      <c r="P1" s="174"/>
      <c r="Q1" s="174"/>
      <c r="R1" s="174"/>
      <c r="S1" s="174"/>
      <c r="T1" s="174"/>
      <c r="U1" s="174"/>
      <c r="V1" s="174"/>
      <c r="W1" s="174"/>
      <c r="X1" s="174"/>
      <c r="Y1" s="174"/>
      <c r="Z1" s="174"/>
      <c r="AA1" s="174"/>
    </row>
    <row r="2" spans="1:105" ht="70.05" customHeight="1" thickBot="1">
      <c r="A2" s="520" t="s">
        <v>494</v>
      </c>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CZ2" s="384" t="s">
        <v>10219</v>
      </c>
      <c r="DA2" s="124">
        <f>COUNTIF(A2:A975,1)</f>
        <v>0</v>
      </c>
    </row>
    <row r="3" spans="1:105" ht="25.8">
      <c r="A3" s="187" t="s">
        <v>10159</v>
      </c>
      <c r="B3" s="187"/>
      <c r="C3" s="30"/>
      <c r="D3" s="30"/>
      <c r="E3" s="30"/>
      <c r="F3" s="30"/>
      <c r="G3" s="30"/>
      <c r="H3" s="30"/>
      <c r="I3" s="30"/>
      <c r="J3" s="30"/>
      <c r="K3" s="30"/>
      <c r="L3" s="30"/>
      <c r="M3" s="30"/>
      <c r="N3" s="30"/>
      <c r="O3" s="30"/>
      <c r="P3" s="30"/>
      <c r="Q3" s="30"/>
      <c r="R3" s="30"/>
      <c r="S3" s="30"/>
      <c r="T3" s="30"/>
      <c r="U3" s="30"/>
      <c r="V3" s="30"/>
      <c r="W3" s="30"/>
      <c r="X3" s="30"/>
      <c r="Y3" s="30"/>
      <c r="Z3" s="30"/>
      <c r="AA3" s="30"/>
    </row>
    <row r="4" spans="1:105" ht="18.600000000000001" customHeight="1"/>
    <row r="5" spans="1:105" ht="63" customHeight="1">
      <c r="B5" s="619" t="s">
        <v>10160</v>
      </c>
      <c r="C5" s="620"/>
      <c r="D5" s="620"/>
      <c r="E5" s="620"/>
      <c r="F5" s="620"/>
      <c r="G5" s="620"/>
      <c r="H5" s="620"/>
      <c r="I5" s="620"/>
      <c r="J5" s="620"/>
      <c r="K5" s="620"/>
      <c r="L5" s="620"/>
      <c r="M5" s="621"/>
    </row>
    <row r="6" spans="1:105" ht="18.600000000000001" customHeight="1"/>
    <row r="7" spans="1:105" ht="18.600000000000001" customHeight="1">
      <c r="B7" s="38" t="s">
        <v>223</v>
      </c>
      <c r="C7" s="38" t="s">
        <v>296</v>
      </c>
      <c r="E7" s="38" t="s">
        <v>223</v>
      </c>
      <c r="F7" s="622" t="s">
        <v>296</v>
      </c>
      <c r="G7" s="623"/>
    </row>
    <row r="8" spans="1:105" ht="18.600000000000001" customHeight="1">
      <c r="B8" s="3" t="s">
        <v>10158</v>
      </c>
      <c r="C8" s="3" t="s">
        <v>10316</v>
      </c>
      <c r="E8" s="3" t="s">
        <v>239</v>
      </c>
      <c r="F8" s="624" t="s">
        <v>239</v>
      </c>
      <c r="G8" s="624"/>
    </row>
    <row r="9" spans="1:105" ht="18.600000000000001" customHeight="1">
      <c r="B9" s="3" t="s">
        <v>242</v>
      </c>
      <c r="C9" s="3" t="s">
        <v>251</v>
      </c>
      <c r="E9" s="3" t="s">
        <v>239</v>
      </c>
      <c r="F9" s="624" t="s">
        <v>272</v>
      </c>
      <c r="G9" s="624"/>
    </row>
    <row r="10" spans="1:105" ht="18.600000000000001" customHeight="1">
      <c r="B10" s="3" t="s">
        <v>242</v>
      </c>
      <c r="C10" s="3" t="s">
        <v>534</v>
      </c>
      <c r="E10" s="3" t="s">
        <v>239</v>
      </c>
      <c r="F10" s="624" t="s">
        <v>259</v>
      </c>
      <c r="G10" s="624"/>
    </row>
    <row r="11" spans="1:105" ht="18.600000000000001" customHeight="1">
      <c r="B11" s="3" t="s">
        <v>242</v>
      </c>
      <c r="C11" s="3" t="s">
        <v>274</v>
      </c>
      <c r="E11" s="3" t="s">
        <v>239</v>
      </c>
      <c r="F11" s="624" t="s">
        <v>271</v>
      </c>
      <c r="G11" s="624"/>
    </row>
    <row r="12" spans="1:105" ht="18.600000000000001" customHeight="1">
      <c r="B12" s="3" t="s">
        <v>242</v>
      </c>
      <c r="C12" s="3" t="s">
        <v>242</v>
      </c>
      <c r="E12" s="3" t="s">
        <v>239</v>
      </c>
      <c r="F12" s="624" t="s">
        <v>542</v>
      </c>
      <c r="G12" s="624"/>
    </row>
    <row r="13" spans="1:105" ht="18.600000000000001" customHeight="1">
      <c r="B13" s="3" t="s">
        <v>242</v>
      </c>
      <c r="C13" s="3" t="s">
        <v>10317</v>
      </c>
      <c r="E13" s="3" t="s">
        <v>239</v>
      </c>
      <c r="F13" s="624" t="s">
        <v>324</v>
      </c>
      <c r="G13" s="624"/>
    </row>
    <row r="14" spans="1:105" ht="18.600000000000001" customHeight="1">
      <c r="B14" s="3" t="s">
        <v>261</v>
      </c>
      <c r="C14" s="3" t="s">
        <v>261</v>
      </c>
      <c r="E14" s="3" t="s">
        <v>239</v>
      </c>
      <c r="F14" s="624" t="s">
        <v>329</v>
      </c>
      <c r="G14" s="624"/>
    </row>
    <row r="15" spans="1:105" ht="18.600000000000001" customHeight="1">
      <c r="B15" s="3" t="s">
        <v>261</v>
      </c>
      <c r="C15" s="3" t="s">
        <v>269</v>
      </c>
      <c r="E15" s="3" t="s">
        <v>239</v>
      </c>
      <c r="F15" s="624" t="s">
        <v>334</v>
      </c>
      <c r="G15" s="624"/>
    </row>
    <row r="16" spans="1:105" ht="18.600000000000001" customHeight="1">
      <c r="B16" s="3" t="s">
        <v>261</v>
      </c>
      <c r="C16" s="3" t="s">
        <v>530</v>
      </c>
      <c r="E16" s="3" t="s">
        <v>239</v>
      </c>
      <c r="F16" s="624" t="s">
        <v>240</v>
      </c>
      <c r="G16" s="624"/>
    </row>
    <row r="17" spans="2:7" ht="18.600000000000001" customHeight="1">
      <c r="B17" s="3" t="s">
        <v>261</v>
      </c>
      <c r="C17" s="3" t="s">
        <v>260</v>
      </c>
      <c r="E17" s="3" t="s">
        <v>239</v>
      </c>
      <c r="F17" s="624" t="s">
        <v>535</v>
      </c>
      <c r="G17" s="624"/>
    </row>
    <row r="18" spans="2:7" ht="18.600000000000001" customHeight="1">
      <c r="B18" s="3" t="s">
        <v>261</v>
      </c>
      <c r="C18" s="3" t="s">
        <v>262</v>
      </c>
      <c r="E18" s="3" t="s">
        <v>252</v>
      </c>
      <c r="F18" s="624" t="s">
        <v>252</v>
      </c>
      <c r="G18" s="624"/>
    </row>
    <row r="19" spans="2:7" ht="18.600000000000001" customHeight="1">
      <c r="B19" s="3" t="s">
        <v>264</v>
      </c>
      <c r="C19" s="3" t="s">
        <v>336</v>
      </c>
      <c r="E19" s="3" t="s">
        <v>252</v>
      </c>
      <c r="F19" s="624" t="s">
        <v>253</v>
      </c>
      <c r="G19" s="624"/>
    </row>
    <row r="20" spans="2:7" ht="18.600000000000001" customHeight="1">
      <c r="B20" s="3" t="s">
        <v>264</v>
      </c>
      <c r="C20" s="3" t="s">
        <v>264</v>
      </c>
      <c r="E20" s="3" t="s">
        <v>252</v>
      </c>
      <c r="F20" s="624" t="s">
        <v>328</v>
      </c>
      <c r="G20" s="624"/>
    </row>
    <row r="21" spans="2:7" ht="18.600000000000001" customHeight="1">
      <c r="B21" s="3" t="s">
        <v>264</v>
      </c>
      <c r="C21" s="3" t="s">
        <v>544</v>
      </c>
      <c r="E21" s="3" t="s">
        <v>252</v>
      </c>
      <c r="F21" s="624" t="s">
        <v>532</v>
      </c>
      <c r="G21" s="624"/>
    </row>
    <row r="22" spans="2:7" ht="18.600000000000001" customHeight="1">
      <c r="B22" s="3" t="s">
        <v>247</v>
      </c>
      <c r="C22" s="3" t="s">
        <v>247</v>
      </c>
      <c r="E22" s="3" t="s">
        <v>252</v>
      </c>
      <c r="F22" s="624" t="s">
        <v>254</v>
      </c>
      <c r="G22" s="624"/>
    </row>
    <row r="23" spans="2:7" ht="18.600000000000001" customHeight="1">
      <c r="B23" s="3" t="s">
        <v>247</v>
      </c>
      <c r="C23" s="3" t="s">
        <v>248</v>
      </c>
      <c r="E23" s="3" t="s">
        <v>252</v>
      </c>
      <c r="F23" s="624" t="s">
        <v>245</v>
      </c>
      <c r="G23" s="624"/>
    </row>
    <row r="24" spans="2:7" ht="18.600000000000001" customHeight="1">
      <c r="B24" s="3" t="s">
        <v>247</v>
      </c>
      <c r="C24" s="3" t="s">
        <v>539</v>
      </c>
      <c r="E24" s="3" t="s">
        <v>252</v>
      </c>
      <c r="F24" s="624" t="s">
        <v>533</v>
      </c>
      <c r="G24" s="624"/>
    </row>
    <row r="25" spans="2:7" ht="18.600000000000001" customHeight="1">
      <c r="B25" s="3" t="s">
        <v>247</v>
      </c>
      <c r="C25" s="3" t="s">
        <v>263</v>
      </c>
      <c r="E25" s="3" t="s">
        <v>252</v>
      </c>
      <c r="F25" s="624" t="s">
        <v>333</v>
      </c>
      <c r="G25" s="624"/>
    </row>
    <row r="26" spans="2:7" ht="18.600000000000001" customHeight="1">
      <c r="B26" s="3" t="s">
        <v>247</v>
      </c>
      <c r="C26" s="3" t="s">
        <v>540</v>
      </c>
      <c r="E26" s="3" t="s">
        <v>233</v>
      </c>
      <c r="F26" s="624" t="s">
        <v>233</v>
      </c>
      <c r="G26" s="624"/>
    </row>
    <row r="27" spans="2:7" ht="18.600000000000001" customHeight="1">
      <c r="B27" s="3" t="s">
        <v>247</v>
      </c>
      <c r="C27" s="3" t="s">
        <v>270</v>
      </c>
      <c r="E27" s="3" t="s">
        <v>233</v>
      </c>
      <c r="F27" s="624" t="s">
        <v>335</v>
      </c>
      <c r="G27" s="624"/>
    </row>
    <row r="28" spans="2:7" ht="18.600000000000001" customHeight="1">
      <c r="B28" s="3" t="s">
        <v>256</v>
      </c>
      <c r="C28" s="3" t="s">
        <v>256</v>
      </c>
      <c r="E28" s="3" t="s">
        <v>233</v>
      </c>
      <c r="F28" s="624" t="s">
        <v>330</v>
      </c>
      <c r="G28" s="624"/>
    </row>
    <row r="29" spans="2:7" ht="18.600000000000001" customHeight="1">
      <c r="B29" s="3" t="s">
        <v>256</v>
      </c>
      <c r="C29" s="3" t="s">
        <v>537</v>
      </c>
      <c r="E29" s="3" t="s">
        <v>233</v>
      </c>
      <c r="F29" s="624" t="s">
        <v>326</v>
      </c>
      <c r="G29" s="624"/>
    </row>
    <row r="30" spans="2:7" ht="18.600000000000001" customHeight="1">
      <c r="B30" s="3" t="s">
        <v>256</v>
      </c>
      <c r="C30" s="3" t="s">
        <v>538</v>
      </c>
      <c r="E30" s="3" t="s">
        <v>233</v>
      </c>
      <c r="F30" s="624" t="s">
        <v>250</v>
      </c>
      <c r="G30" s="624"/>
    </row>
    <row r="31" spans="2:7" ht="18.600000000000001" customHeight="1">
      <c r="B31" s="3" t="s">
        <v>256</v>
      </c>
      <c r="C31" s="3" t="s">
        <v>258</v>
      </c>
      <c r="E31" s="3" t="s">
        <v>233</v>
      </c>
      <c r="F31" s="624" t="s">
        <v>249</v>
      </c>
      <c r="G31" s="624"/>
    </row>
    <row r="32" spans="2:7" ht="18.600000000000001" customHeight="1">
      <c r="B32" s="3" t="s">
        <v>256</v>
      </c>
      <c r="C32" s="222" t="s">
        <v>536</v>
      </c>
      <c r="E32" s="3" t="s">
        <v>233</v>
      </c>
      <c r="F32" s="624" t="s">
        <v>273</v>
      </c>
      <c r="G32" s="624"/>
    </row>
    <row r="33" spans="1:110" ht="18.600000000000001" customHeight="1">
      <c r="B33" s="3" t="s">
        <v>256</v>
      </c>
      <c r="C33" s="222" t="s">
        <v>257</v>
      </c>
    </row>
    <row r="34" spans="1:110" ht="18.600000000000001" customHeight="1">
      <c r="B34" s="3" t="s">
        <v>10157</v>
      </c>
      <c r="C34" s="3" t="s">
        <v>10157</v>
      </c>
    </row>
    <row r="35" spans="1:110" ht="18.600000000000001" customHeight="1">
      <c r="B35" s="3" t="s">
        <v>10157</v>
      </c>
      <c r="C35" s="3" t="s">
        <v>246</v>
      </c>
    </row>
    <row r="36" spans="1:110" ht="18.600000000000001" customHeight="1">
      <c r="B36" s="3" t="s">
        <v>10157</v>
      </c>
      <c r="C36" s="3" t="s">
        <v>243</v>
      </c>
    </row>
    <row r="37" spans="1:110" ht="18.600000000000001" customHeight="1">
      <c r="B37" s="3" t="s">
        <v>10157</v>
      </c>
      <c r="C37" s="3" t="s">
        <v>238</v>
      </c>
    </row>
    <row r="38" spans="1:110" ht="18.600000000000001" customHeight="1"/>
    <row r="39" spans="1:110" ht="18.600000000000001" customHeight="1"/>
    <row r="40" spans="1:110" ht="18.600000000000001" customHeight="1" thickBot="1"/>
    <row r="41" spans="1:110" ht="25.8">
      <c r="A41" s="187" t="s">
        <v>200</v>
      </c>
      <c r="B41" s="187"/>
      <c r="C41" s="30"/>
      <c r="D41" s="30"/>
      <c r="E41" s="30"/>
      <c r="F41" s="30"/>
      <c r="G41" s="30"/>
      <c r="H41" s="30"/>
      <c r="I41" s="30"/>
      <c r="J41" s="30"/>
      <c r="K41" s="30"/>
      <c r="L41" s="30"/>
      <c r="M41" s="30"/>
      <c r="N41" s="30"/>
      <c r="O41" s="30"/>
      <c r="P41" s="30"/>
      <c r="Q41" s="30"/>
      <c r="R41" s="30"/>
      <c r="S41" s="30"/>
      <c r="T41" s="30"/>
      <c r="U41" s="30"/>
      <c r="V41" s="30"/>
      <c r="W41" s="30"/>
      <c r="X41" s="30"/>
      <c r="Y41" s="30"/>
      <c r="Z41" s="30"/>
      <c r="AA41" s="30"/>
    </row>
    <row r="42" spans="1:110" ht="18.600000000000001" customHeight="1"/>
    <row r="43" spans="1:110" ht="187.05" customHeight="1">
      <c r="B43" s="619" t="s">
        <v>10289</v>
      </c>
      <c r="C43" s="620"/>
      <c r="D43" s="620"/>
      <c r="E43" s="620"/>
      <c r="F43" s="620"/>
      <c r="G43" s="620"/>
      <c r="H43" s="620"/>
      <c r="I43" s="620"/>
      <c r="J43" s="620"/>
      <c r="K43" s="620"/>
      <c r="L43" s="620"/>
      <c r="M43" s="621"/>
    </row>
    <row r="45" spans="1:110">
      <c r="F45" s="39"/>
      <c r="DB45" s="383" t="s">
        <v>10206</v>
      </c>
    </row>
    <row r="46" spans="1:110" s="10" customFormat="1">
      <c r="A46" s="9"/>
      <c r="B46" s="9"/>
      <c r="C46" s="9"/>
      <c r="D46" s="9"/>
      <c r="F46" s="616" t="s">
        <v>10185</v>
      </c>
      <c r="G46" s="617"/>
      <c r="H46" s="617"/>
      <c r="I46" s="617"/>
      <c r="J46" s="617"/>
      <c r="K46" s="617"/>
      <c r="L46" s="617"/>
      <c r="M46" s="618"/>
      <c r="N46"/>
      <c r="P46"/>
      <c r="Q46"/>
      <c r="R46"/>
      <c r="S46"/>
      <c r="T46"/>
      <c r="U46"/>
      <c r="V46"/>
      <c r="W46"/>
      <c r="DB46" s="384" t="s">
        <v>10207</v>
      </c>
    </row>
    <row r="47" spans="1:110" s="10" customFormat="1" ht="27.6">
      <c r="A47" s="9"/>
      <c r="B47" s="203" t="s">
        <v>10201</v>
      </c>
      <c r="C47" s="203" t="s">
        <v>10288</v>
      </c>
      <c r="D47" s="203" t="s">
        <v>201</v>
      </c>
      <c r="E47" s="203" t="s">
        <v>202</v>
      </c>
      <c r="F47" s="204" t="str" cm="1">
        <f t="array" ref="F47:M47">TRANSPOSE(ls_WHM)</f>
        <v>Reduce</v>
      </c>
      <c r="G47" s="204" t="str">
        <v>Reuse</v>
      </c>
      <c r="H47" s="204" t="str">
        <v>Recycle</v>
      </c>
      <c r="I47" s="204" t="str">
        <v>Composting</v>
      </c>
      <c r="J47" s="204" t="str">
        <v>Anaerobic Digestion</v>
      </c>
      <c r="K47" s="204" t="str">
        <v>Landfill</v>
      </c>
      <c r="L47" s="204" t="str">
        <v>Waste-to-Energy</v>
      </c>
      <c r="M47" s="204" t="str">
        <v>Incineration</v>
      </c>
      <c r="N47" s="204" t="s">
        <v>10202</v>
      </c>
      <c r="P47" s="39"/>
      <c r="Q47"/>
      <c r="R47"/>
      <c r="S47"/>
      <c r="T47"/>
      <c r="U47"/>
      <c r="V47"/>
      <c r="W47"/>
      <c r="DA47" s="10" t="s">
        <v>10208</v>
      </c>
      <c r="DB47" s="10" t="s">
        <v>10214</v>
      </c>
      <c r="DD47" s="385" t="s">
        <v>10205</v>
      </c>
      <c r="DE47" s="385" t="s">
        <v>10208</v>
      </c>
      <c r="DF47" s="386" t="s">
        <v>10210</v>
      </c>
    </row>
    <row r="48" spans="1:110" s="10" customFormat="1">
      <c r="A48" s="22" t="str">
        <f>IF(DD48=0,"",1)</f>
        <v/>
      </c>
      <c r="B48" s="415"/>
      <c r="C48" s="415"/>
      <c r="D48" s="415"/>
      <c r="E48" s="415"/>
      <c r="F48" s="562"/>
      <c r="G48" s="562"/>
      <c r="H48" s="562"/>
      <c r="I48" s="562"/>
      <c r="J48" s="562"/>
      <c r="K48" s="562"/>
      <c r="L48" s="562"/>
      <c r="M48" s="562"/>
      <c r="N48" s="415"/>
      <c r="P48"/>
      <c r="Q48"/>
      <c r="R48"/>
      <c r="S48"/>
      <c r="T48"/>
      <c r="U48"/>
      <c r="V48"/>
      <c r="W48"/>
      <c r="DA48" s="10" t="s">
        <v>10210</v>
      </c>
      <c r="DB48" s="10" t="s">
        <v>10209</v>
      </c>
      <c r="DD48" s="385">
        <f>SUM(DE48:DF48)</f>
        <v>0</v>
      </c>
      <c r="DE48" s="385">
        <f>SUM(IF(OR(ISNUMBER(F48),LEN(F48)=0),0,1),IF(OR(ISNUMBER(G48),LEN(G48)=0),0,1),
IF(OR(ISNUMBER(H48),LEN(H48)=0),0,1),IF(OR(ISNUMBER(I48),LEN(I48)=0),0,1),
IF(OR(ISNUMBER(J48),LEN(J48)=0),0,1),IF(OR(ISNUMBER(K48),LEN(K48)=0),0,1),
IF(OR(ISNUMBER(L48),LEN(L48)=0),0,1),IF(OR(ISNUMBER(M48),LEN(M48)=0),0,1))</f>
        <v>0</v>
      </c>
      <c r="DF48" s="385">
        <f>IF(OR(COUNTBLANK(B48:N48)=13,
AND(COUNTBLANK(F48:M48)&lt;8,NOT(ISBLANK(C48)))),0,1)</f>
        <v>0</v>
      </c>
    </row>
    <row r="49" spans="1:110" s="10" customFormat="1">
      <c r="A49" s="22" t="str">
        <f t="shared" ref="A49:A62" si="0">IF(DD49=0,"",1)</f>
        <v/>
      </c>
      <c r="B49" s="415"/>
      <c r="C49" s="415"/>
      <c r="D49" s="415"/>
      <c r="E49" s="415"/>
      <c r="F49" s="562"/>
      <c r="G49" s="562"/>
      <c r="H49" s="562"/>
      <c r="I49" s="562"/>
      <c r="J49" s="562"/>
      <c r="K49" s="562"/>
      <c r="L49" s="562"/>
      <c r="M49" s="562"/>
      <c r="N49" s="415"/>
      <c r="P49"/>
      <c r="Q49"/>
      <c r="R49"/>
      <c r="S49"/>
      <c r="T49"/>
      <c r="U49"/>
      <c r="V49"/>
      <c r="W49"/>
      <c r="DD49" s="385">
        <f t="shared" ref="DD49:DD62" si="1">SUM(DE49:DF49)</f>
        <v>0</v>
      </c>
      <c r="DE49" s="385">
        <f t="shared" ref="DE49:DE62" si="2">SUM(IF(OR(ISNUMBER(F49),LEN(F49)=0),0,1),IF(OR(ISNUMBER(G49),LEN(G49)=0),0,1),
IF(OR(ISNUMBER(H49),LEN(H49)=0),0,1),IF(OR(ISNUMBER(I49),LEN(I49)=0),0,1),
IF(OR(ISNUMBER(J49),LEN(J49)=0),0,1),IF(OR(ISNUMBER(K49),LEN(K49)=0),0,1),
IF(OR(ISNUMBER(L49),LEN(L49)=0),0,1),IF(OR(ISNUMBER(M49),LEN(M49)=0),0,1))</f>
        <v>0</v>
      </c>
      <c r="DF49" s="385">
        <f t="shared" ref="DF49:DF62" si="3">IF(OR(COUNTBLANK(B49:N49)=13,
AND(COUNTBLANK(F49:M49)&lt;8,NOT(ISBLANK(C49)))),0,1)</f>
        <v>0</v>
      </c>
    </row>
    <row r="50" spans="1:110" s="10" customFormat="1">
      <c r="A50" s="22" t="str">
        <f t="shared" si="0"/>
        <v/>
      </c>
      <c r="B50" s="415"/>
      <c r="C50" s="415"/>
      <c r="D50" s="415"/>
      <c r="E50" s="415"/>
      <c r="F50" s="562"/>
      <c r="G50" s="562"/>
      <c r="H50" s="562"/>
      <c r="I50" s="562"/>
      <c r="J50" s="562"/>
      <c r="K50" s="562"/>
      <c r="L50" s="562"/>
      <c r="M50" s="562"/>
      <c r="N50" s="415"/>
      <c r="P50"/>
      <c r="Q50"/>
      <c r="R50"/>
      <c r="S50"/>
      <c r="T50"/>
      <c r="U50"/>
      <c r="V50"/>
      <c r="W50"/>
      <c r="DD50" s="385">
        <f t="shared" si="1"/>
        <v>0</v>
      </c>
      <c r="DE50" s="385">
        <f t="shared" si="2"/>
        <v>0</v>
      </c>
      <c r="DF50" s="385">
        <f t="shared" si="3"/>
        <v>0</v>
      </c>
    </row>
    <row r="51" spans="1:110" s="10" customFormat="1">
      <c r="A51" s="22" t="str">
        <f t="shared" si="0"/>
        <v/>
      </c>
      <c r="B51" s="415"/>
      <c r="C51" s="415"/>
      <c r="D51" s="415"/>
      <c r="E51" s="415"/>
      <c r="F51" s="562"/>
      <c r="G51" s="562"/>
      <c r="H51" s="562"/>
      <c r="I51" s="562"/>
      <c r="J51" s="562"/>
      <c r="K51" s="562"/>
      <c r="L51" s="562"/>
      <c r="M51" s="562"/>
      <c r="N51" s="415"/>
      <c r="P51"/>
      <c r="Q51"/>
      <c r="R51"/>
      <c r="S51"/>
      <c r="T51"/>
      <c r="U51"/>
      <c r="V51"/>
      <c r="W51"/>
      <c r="DD51" s="385">
        <f t="shared" si="1"/>
        <v>0</v>
      </c>
      <c r="DE51" s="385">
        <f t="shared" si="2"/>
        <v>0</v>
      </c>
      <c r="DF51" s="385">
        <f t="shared" si="3"/>
        <v>0</v>
      </c>
    </row>
    <row r="52" spans="1:110" s="10" customFormat="1">
      <c r="A52" s="22" t="str">
        <f t="shared" si="0"/>
        <v/>
      </c>
      <c r="B52" s="415"/>
      <c r="C52" s="415"/>
      <c r="D52" s="415"/>
      <c r="E52" s="415"/>
      <c r="F52" s="562"/>
      <c r="G52" s="562"/>
      <c r="H52" s="562"/>
      <c r="I52" s="562"/>
      <c r="J52" s="562"/>
      <c r="K52" s="562"/>
      <c r="L52" s="562"/>
      <c r="M52" s="562"/>
      <c r="N52" s="415"/>
      <c r="P52"/>
      <c r="Q52"/>
      <c r="R52"/>
      <c r="S52"/>
      <c r="T52"/>
      <c r="U52"/>
      <c r="V52"/>
      <c r="W52"/>
      <c r="DD52" s="385">
        <f t="shared" si="1"/>
        <v>0</v>
      </c>
      <c r="DE52" s="385">
        <f t="shared" si="2"/>
        <v>0</v>
      </c>
      <c r="DF52" s="385">
        <f t="shared" si="3"/>
        <v>0</v>
      </c>
    </row>
    <row r="53" spans="1:110" s="10" customFormat="1">
      <c r="A53" s="22" t="str">
        <f t="shared" si="0"/>
        <v/>
      </c>
      <c r="B53" s="415"/>
      <c r="C53" s="415"/>
      <c r="D53" s="415"/>
      <c r="E53" s="415"/>
      <c r="F53" s="562"/>
      <c r="G53" s="562"/>
      <c r="H53" s="562"/>
      <c r="I53" s="562"/>
      <c r="J53" s="562"/>
      <c r="K53" s="562"/>
      <c r="L53" s="562"/>
      <c r="M53" s="562"/>
      <c r="N53" s="415"/>
      <c r="P53"/>
      <c r="Q53"/>
      <c r="R53"/>
      <c r="S53"/>
      <c r="T53"/>
      <c r="U53"/>
      <c r="V53"/>
      <c r="W53"/>
      <c r="DD53" s="385">
        <f t="shared" si="1"/>
        <v>0</v>
      </c>
      <c r="DE53" s="385">
        <f t="shared" si="2"/>
        <v>0</v>
      </c>
      <c r="DF53" s="385">
        <f t="shared" si="3"/>
        <v>0</v>
      </c>
    </row>
    <row r="54" spans="1:110" s="10" customFormat="1">
      <c r="A54" s="22" t="str">
        <f t="shared" si="0"/>
        <v/>
      </c>
      <c r="B54" s="415"/>
      <c r="C54" s="415"/>
      <c r="D54" s="415"/>
      <c r="E54" s="415"/>
      <c r="F54" s="562"/>
      <c r="G54" s="562"/>
      <c r="H54" s="562"/>
      <c r="I54" s="562"/>
      <c r="J54" s="562"/>
      <c r="K54" s="562"/>
      <c r="L54" s="562"/>
      <c r="M54" s="562"/>
      <c r="N54" s="415"/>
      <c r="P54"/>
      <c r="Q54"/>
      <c r="R54"/>
      <c r="S54"/>
      <c r="T54"/>
      <c r="U54"/>
      <c r="V54"/>
      <c r="W54"/>
      <c r="DD54" s="385">
        <f t="shared" si="1"/>
        <v>0</v>
      </c>
      <c r="DE54" s="385">
        <f t="shared" si="2"/>
        <v>0</v>
      </c>
      <c r="DF54" s="385">
        <f t="shared" si="3"/>
        <v>0</v>
      </c>
    </row>
    <row r="55" spans="1:110" s="10" customFormat="1">
      <c r="A55" s="22" t="str">
        <f t="shared" si="0"/>
        <v/>
      </c>
      <c r="B55" s="415"/>
      <c r="C55" s="415"/>
      <c r="D55" s="415"/>
      <c r="E55" s="415"/>
      <c r="F55" s="562"/>
      <c r="G55" s="562"/>
      <c r="H55" s="562"/>
      <c r="I55" s="562"/>
      <c r="J55" s="562"/>
      <c r="K55" s="562"/>
      <c r="L55" s="562"/>
      <c r="M55" s="562"/>
      <c r="N55" s="415"/>
      <c r="P55"/>
      <c r="Q55"/>
      <c r="R55"/>
      <c r="S55"/>
      <c r="T55"/>
      <c r="U55"/>
      <c r="V55"/>
      <c r="W55"/>
      <c r="DD55" s="385">
        <f t="shared" si="1"/>
        <v>0</v>
      </c>
      <c r="DE55" s="385">
        <f t="shared" si="2"/>
        <v>0</v>
      </c>
      <c r="DF55" s="385">
        <f t="shared" si="3"/>
        <v>0</v>
      </c>
    </row>
    <row r="56" spans="1:110" s="10" customFormat="1">
      <c r="A56" s="22" t="str">
        <f t="shared" si="0"/>
        <v/>
      </c>
      <c r="B56" s="415"/>
      <c r="C56" s="415"/>
      <c r="D56" s="415"/>
      <c r="E56" s="415"/>
      <c r="F56" s="562"/>
      <c r="G56" s="562"/>
      <c r="H56" s="562"/>
      <c r="I56" s="562"/>
      <c r="J56" s="562"/>
      <c r="K56" s="562"/>
      <c r="L56" s="562"/>
      <c r="M56" s="562"/>
      <c r="N56" s="415"/>
      <c r="P56"/>
      <c r="Q56"/>
      <c r="R56"/>
      <c r="S56"/>
      <c r="T56"/>
      <c r="U56"/>
      <c r="V56"/>
      <c r="W56"/>
      <c r="DD56" s="385">
        <f t="shared" si="1"/>
        <v>0</v>
      </c>
      <c r="DE56" s="385">
        <f t="shared" si="2"/>
        <v>0</v>
      </c>
      <c r="DF56" s="385">
        <f t="shared" si="3"/>
        <v>0</v>
      </c>
    </row>
    <row r="57" spans="1:110" s="10" customFormat="1">
      <c r="A57" s="22" t="str">
        <f t="shared" si="0"/>
        <v/>
      </c>
      <c r="B57" s="415"/>
      <c r="C57" s="415"/>
      <c r="D57" s="415"/>
      <c r="E57" s="415"/>
      <c r="F57" s="562"/>
      <c r="G57" s="562"/>
      <c r="H57" s="562"/>
      <c r="I57" s="562"/>
      <c r="J57" s="562"/>
      <c r="K57" s="562"/>
      <c r="L57" s="562"/>
      <c r="M57" s="562"/>
      <c r="N57" s="415"/>
      <c r="P57"/>
      <c r="Q57"/>
      <c r="R57"/>
      <c r="S57"/>
      <c r="T57"/>
      <c r="U57"/>
      <c r="V57"/>
      <c r="W57"/>
      <c r="DD57" s="385">
        <f t="shared" si="1"/>
        <v>0</v>
      </c>
      <c r="DE57" s="385">
        <f t="shared" si="2"/>
        <v>0</v>
      </c>
      <c r="DF57" s="385">
        <f t="shared" si="3"/>
        <v>0</v>
      </c>
    </row>
    <row r="58" spans="1:110" s="10" customFormat="1">
      <c r="A58" s="22" t="str">
        <f t="shared" si="0"/>
        <v/>
      </c>
      <c r="B58" s="415"/>
      <c r="C58" s="415"/>
      <c r="D58" s="415"/>
      <c r="E58" s="415"/>
      <c r="F58" s="562"/>
      <c r="G58" s="562"/>
      <c r="H58" s="562"/>
      <c r="I58" s="562"/>
      <c r="J58" s="562"/>
      <c r="K58" s="562"/>
      <c r="L58" s="562"/>
      <c r="M58" s="562"/>
      <c r="N58" s="415"/>
      <c r="P58"/>
      <c r="Q58"/>
      <c r="R58"/>
      <c r="S58"/>
      <c r="T58"/>
      <c r="U58"/>
      <c r="V58"/>
      <c r="W58"/>
      <c r="DD58" s="385">
        <f t="shared" si="1"/>
        <v>0</v>
      </c>
      <c r="DE58" s="385">
        <f t="shared" si="2"/>
        <v>0</v>
      </c>
      <c r="DF58" s="385">
        <f t="shared" si="3"/>
        <v>0</v>
      </c>
    </row>
    <row r="59" spans="1:110" s="10" customFormat="1">
      <c r="A59" s="22" t="str">
        <f t="shared" si="0"/>
        <v/>
      </c>
      <c r="B59" s="415"/>
      <c r="C59" s="415"/>
      <c r="D59" s="415"/>
      <c r="E59" s="415"/>
      <c r="F59" s="562"/>
      <c r="G59" s="562"/>
      <c r="H59" s="562"/>
      <c r="I59" s="562"/>
      <c r="J59" s="562"/>
      <c r="K59" s="562"/>
      <c r="L59" s="562"/>
      <c r="M59" s="562"/>
      <c r="N59" s="415"/>
      <c r="P59"/>
      <c r="Q59"/>
      <c r="R59"/>
      <c r="S59"/>
      <c r="T59"/>
      <c r="U59"/>
      <c r="V59"/>
      <c r="W59"/>
      <c r="DD59" s="385">
        <f t="shared" si="1"/>
        <v>0</v>
      </c>
      <c r="DE59" s="385">
        <f t="shared" si="2"/>
        <v>0</v>
      </c>
      <c r="DF59" s="385">
        <f t="shared" si="3"/>
        <v>0</v>
      </c>
    </row>
    <row r="60" spans="1:110" s="10" customFormat="1">
      <c r="A60" s="22" t="str">
        <f t="shared" si="0"/>
        <v/>
      </c>
      <c r="B60" s="415"/>
      <c r="C60" s="415"/>
      <c r="D60" s="415"/>
      <c r="E60" s="415"/>
      <c r="F60" s="562"/>
      <c r="G60" s="562"/>
      <c r="H60" s="562"/>
      <c r="I60" s="562"/>
      <c r="J60" s="562"/>
      <c r="K60" s="562"/>
      <c r="L60" s="562"/>
      <c r="M60" s="562"/>
      <c r="N60" s="415"/>
      <c r="P60"/>
      <c r="Q60"/>
      <c r="R60"/>
      <c r="S60"/>
      <c r="T60"/>
      <c r="U60"/>
      <c r="V60"/>
      <c r="W60"/>
      <c r="DD60" s="385">
        <f t="shared" si="1"/>
        <v>0</v>
      </c>
      <c r="DE60" s="385">
        <f t="shared" si="2"/>
        <v>0</v>
      </c>
      <c r="DF60" s="385">
        <f t="shared" si="3"/>
        <v>0</v>
      </c>
    </row>
    <row r="61" spans="1:110" s="10" customFormat="1">
      <c r="A61" s="22" t="str">
        <f t="shared" si="0"/>
        <v/>
      </c>
      <c r="B61" s="415"/>
      <c r="C61" s="415"/>
      <c r="D61" s="415"/>
      <c r="E61" s="415"/>
      <c r="F61" s="562"/>
      <c r="G61" s="562"/>
      <c r="H61" s="562"/>
      <c r="I61" s="562"/>
      <c r="J61" s="562"/>
      <c r="K61" s="563"/>
      <c r="L61" s="562"/>
      <c r="M61" s="562"/>
      <c r="N61" s="415"/>
      <c r="P61"/>
      <c r="Q61"/>
      <c r="R61"/>
      <c r="S61"/>
      <c r="T61"/>
      <c r="U61"/>
      <c r="V61"/>
      <c r="W61"/>
      <c r="DD61" s="385">
        <f t="shared" si="1"/>
        <v>0</v>
      </c>
      <c r="DE61" s="385">
        <f t="shared" si="2"/>
        <v>0</v>
      </c>
      <c r="DF61" s="385">
        <f t="shared" si="3"/>
        <v>0</v>
      </c>
    </row>
    <row r="62" spans="1:110" s="10" customFormat="1">
      <c r="A62" s="22" t="str">
        <f t="shared" si="0"/>
        <v/>
      </c>
      <c r="B62" s="415"/>
      <c r="C62" s="415"/>
      <c r="D62" s="415"/>
      <c r="E62" s="415"/>
      <c r="F62" s="562"/>
      <c r="G62" s="562"/>
      <c r="H62" s="562"/>
      <c r="I62" s="562"/>
      <c r="J62" s="564"/>
      <c r="K62" s="562"/>
      <c r="L62" s="562"/>
      <c r="M62" s="562"/>
      <c r="N62" s="415"/>
      <c r="P62"/>
      <c r="Q62"/>
      <c r="R62"/>
      <c r="S62"/>
      <c r="T62"/>
      <c r="U62"/>
      <c r="V62"/>
      <c r="W62"/>
      <c r="DD62" s="385">
        <f t="shared" si="1"/>
        <v>0</v>
      </c>
      <c r="DE62" s="385">
        <f t="shared" si="2"/>
        <v>0</v>
      </c>
      <c r="DF62" s="385">
        <f t="shared" si="3"/>
        <v>0</v>
      </c>
    </row>
    <row r="63" spans="1:110" s="10" customFormat="1">
      <c r="A63" s="9"/>
      <c r="B63" s="9"/>
      <c r="C63" s="9"/>
      <c r="D63" s="9"/>
      <c r="E63" s="9"/>
      <c r="F63" s="9"/>
      <c r="G63" s="9"/>
      <c r="H63" s="9"/>
      <c r="I63" s="9"/>
      <c r="J63" s="9"/>
      <c r="K63" s="9"/>
      <c r="L63" s="9"/>
      <c r="M63" s="9"/>
      <c r="N63" s="9"/>
      <c r="O63" s="9"/>
      <c r="P63" s="9"/>
      <c r="Q63" s="9"/>
      <c r="R63" s="9"/>
      <c r="S63" s="9"/>
      <c r="T63" s="9"/>
      <c r="U63" s="9"/>
      <c r="V63" s="9"/>
      <c r="W63" s="15"/>
      <c r="X63" s="14"/>
      <c r="Y63" s="14"/>
      <c r="Z63" s="14"/>
      <c r="AA63" s="14"/>
      <c r="AB63" s="14"/>
      <c r="AC63" s="14"/>
      <c r="AD63" s="14"/>
      <c r="AE63" s="14"/>
      <c r="AF63" s="14"/>
      <c r="AG63" s="14"/>
    </row>
    <row r="64" spans="1:110" s="10" customFormat="1">
      <c r="A64" s="9"/>
      <c r="B64"/>
      <c r="C64" s="189"/>
      <c r="D64" s="9"/>
      <c r="E64" s="9"/>
      <c r="F64" s="9"/>
      <c r="G64" s="9"/>
      <c r="H64" s="9"/>
      <c r="I64" s="9"/>
      <c r="J64" s="9"/>
      <c r="K64" s="9"/>
      <c r="L64" s="9"/>
      <c r="M64" s="9"/>
      <c r="N64" s="9"/>
      <c r="O64" s="9"/>
      <c r="P64" s="9"/>
      <c r="Q64" s="9"/>
      <c r="R64" s="9"/>
      <c r="S64" s="9"/>
      <c r="T64" s="9"/>
      <c r="U64" s="9"/>
      <c r="V64" s="9"/>
      <c r="W64" s="15"/>
      <c r="X64" s="14"/>
      <c r="Y64" s="14"/>
      <c r="Z64" s="14"/>
      <c r="AA64" s="14"/>
      <c r="AB64" s="14"/>
      <c r="AC64" s="14"/>
      <c r="AD64" s="14"/>
      <c r="AE64" s="14"/>
      <c r="AF64" s="14"/>
      <c r="AG64" s="14"/>
    </row>
    <row r="66" spans="2:2">
      <c r="B66" s="382"/>
    </row>
  </sheetData>
  <sheetProtection algorithmName="SHA-512" hashValue="G9+ITVplzFM+ub3a6bViqvIpMyDRwFnA4Fh03KFbprFIgbUQP229LVb079kzWVbrJ9TxRMC6Gm4BwCM8I/Nq3g==" saltValue="1qUUWPQAVvmPvqKnfX0RkA==" spinCount="100000" sheet="1" selectLockedCells="1"/>
  <mergeCells count="29">
    <mergeCell ref="F30:G30"/>
    <mergeCell ref="F31:G31"/>
    <mergeCell ref="F32:G32"/>
    <mergeCell ref="F25:G25"/>
    <mergeCell ref="F26:G26"/>
    <mergeCell ref="F27:G27"/>
    <mergeCell ref="F28:G28"/>
    <mergeCell ref="F29:G29"/>
    <mergeCell ref="F20:G20"/>
    <mergeCell ref="F21:G21"/>
    <mergeCell ref="F22:G22"/>
    <mergeCell ref="F23:G23"/>
    <mergeCell ref="F24:G24"/>
    <mergeCell ref="F46:M46"/>
    <mergeCell ref="B5:M5"/>
    <mergeCell ref="B43:M43"/>
    <mergeCell ref="F7:G7"/>
    <mergeCell ref="F8:G8"/>
    <mergeCell ref="F9:G9"/>
    <mergeCell ref="F10:G10"/>
    <mergeCell ref="F11:G11"/>
    <mergeCell ref="F12:G12"/>
    <mergeCell ref="F13:G13"/>
    <mergeCell ref="F14:G14"/>
    <mergeCell ref="F15:G15"/>
    <mergeCell ref="F16:G16"/>
    <mergeCell ref="F17:G17"/>
    <mergeCell ref="F18:G18"/>
    <mergeCell ref="F19:G19"/>
  </mergeCells>
  <conditionalFormatting sqref="B48:N62">
    <cfRule type="notContainsBlanks" dxfId="36" priority="2">
      <formula>LEN(TRIM(B48))&gt;0</formula>
    </cfRule>
  </conditionalFormatting>
  <dataValidations count="2">
    <dataValidation type="list" allowBlank="1" showInputMessage="1" showErrorMessage="1" sqref="E48:E62" xr:uid="{04D271E1-CFA5-4820-876B-BF89420D2C92}">
      <formula1>ls_country</formula1>
    </dataValidation>
    <dataValidation type="decimal" allowBlank="1" showInputMessage="1" showErrorMessage="1" sqref="F48:M62" xr:uid="{75506BB1-F84C-43EA-A817-F85B544137D4}">
      <formula1>-100000000</formula1>
      <formula2>100000000</formula2>
    </dataValidation>
  </dataValidations>
  <pageMargins left="0.7" right="0.7" top="0.75" bottom="0.75" header="0.3" footer="0.3"/>
  <pageSetup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iconSet" priority="1" id="{6F06235E-6326-4BD1-A7C6-147732D0C369}">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A48:A62</xm:sqref>
        </x14:conditionalFormatting>
        <x14:conditionalFormatting xmlns:xm="http://schemas.microsoft.com/office/excel/2006/main">
          <x14:cfRule type="iconSet" priority="4" id="{7F7E5227-2291-4BFC-92FD-01D6EDED3717}">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A49:A62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52280-B327-4F8A-AEB1-CAC59935B719}">
  <sheetPr>
    <tabColor rgb="FF0F2663"/>
  </sheetPr>
  <dimension ref="A1:DJ302"/>
  <sheetViews>
    <sheetView showGridLines="0" zoomScale="85" zoomScaleNormal="85" workbookViewId="0">
      <selection activeCell="C14" sqref="C14"/>
    </sheetView>
  </sheetViews>
  <sheetFormatPr defaultRowHeight="14.4" outlineLevelRow="1"/>
  <cols>
    <col min="1" max="1" width="8.77734375" customWidth="1"/>
    <col min="2" max="2" width="21.77734375" bestFit="1" customWidth="1"/>
    <col min="3" max="3" width="21.77734375" customWidth="1"/>
    <col min="4" max="4" width="20.77734375" bestFit="1" customWidth="1"/>
    <col min="5" max="5" width="24.5546875" style="41" bestFit="1" customWidth="1"/>
    <col min="6" max="6" width="25.5546875" style="41" customWidth="1"/>
    <col min="7" max="7" width="19" style="41" bestFit="1" customWidth="1"/>
    <col min="8" max="20" width="14.5546875" customWidth="1"/>
    <col min="21" max="21" width="24.5546875" customWidth="1"/>
    <col min="22" max="24" width="25.5546875" customWidth="1"/>
    <col min="53" max="53" width="9.21875" customWidth="1"/>
    <col min="54" max="54" width="9.21875" hidden="1" customWidth="1"/>
    <col min="55" max="55" width="17.77734375" hidden="1" customWidth="1"/>
    <col min="56" max="57" width="20.77734375" hidden="1" customWidth="1"/>
    <col min="58" max="59" width="25.5546875" hidden="1" customWidth="1"/>
    <col min="60" max="73" width="12.5546875" hidden="1" customWidth="1"/>
    <col min="74" max="74" width="18.5546875" hidden="1" customWidth="1"/>
    <col min="75" max="86" width="12.5546875" hidden="1" customWidth="1"/>
    <col min="87" max="87" width="21" hidden="1" customWidth="1"/>
    <col min="88" max="88" width="14" hidden="1" customWidth="1"/>
    <col min="89" max="90" width="12.5546875" hidden="1" customWidth="1"/>
    <col min="91" max="91" width="34.5546875" hidden="1" customWidth="1"/>
    <col min="92" max="94" width="18.5546875" hidden="1" customWidth="1"/>
    <col min="95" max="99" width="12.5546875" hidden="1" customWidth="1"/>
    <col min="100" max="100" width="13.5546875" hidden="1" customWidth="1"/>
    <col min="101" max="101" width="29.5546875" hidden="1" customWidth="1"/>
    <col min="102" max="102" width="22.5546875" hidden="1" customWidth="1"/>
    <col min="103" max="103" width="9.21875" hidden="1" customWidth="1"/>
    <col min="104" max="104" width="18.44140625" hidden="1" customWidth="1"/>
    <col min="105" max="105" width="12.44140625" hidden="1" customWidth="1"/>
    <col min="106" max="106" width="74.21875" hidden="1" customWidth="1"/>
    <col min="107" max="107" width="12.44140625" hidden="1" customWidth="1"/>
    <col min="108" max="108" width="15.44140625" hidden="1" customWidth="1"/>
    <col min="109" max="113" width="12.77734375" hidden="1" customWidth="1"/>
    <col min="114" max="114" width="9.21875" hidden="1" customWidth="1"/>
    <col min="115" max="115" width="9.21875" customWidth="1"/>
    <col min="116" max="116" width="12.44140625" customWidth="1"/>
    <col min="117" max="117" width="15.5546875" customWidth="1"/>
    <col min="118" max="118" width="7.5546875" customWidth="1"/>
    <col min="119" max="119" width="25.5546875" customWidth="1"/>
    <col min="120" max="120" width="10.5546875" customWidth="1"/>
    <col min="121" max="122" width="13.5546875" customWidth="1"/>
    <col min="123" max="123" width="11.5546875" customWidth="1"/>
    <col min="124" max="124" width="14.5546875" customWidth="1"/>
    <col min="125" max="125" width="12.44140625" customWidth="1"/>
    <col min="126" max="126" width="27.5546875" customWidth="1"/>
    <col min="127" max="127" width="12.5546875" customWidth="1"/>
    <col min="128" max="128" width="13.5546875" customWidth="1"/>
    <col min="129" max="131" width="9.21875" customWidth="1"/>
  </cols>
  <sheetData>
    <row r="1" spans="1:113" ht="21">
      <c r="A1" s="531" t="str">
        <f>_xlfn.CONCAT("Project Name: ",'Project Inputs'!$D$10)</f>
        <v xml:space="preserve">Project Name: </v>
      </c>
      <c r="B1" s="174"/>
      <c r="C1" s="174"/>
      <c r="D1" s="174"/>
      <c r="E1" s="179"/>
      <c r="F1" s="179"/>
      <c r="G1" s="179"/>
      <c r="H1" s="174"/>
      <c r="I1" s="174"/>
      <c r="J1" s="174"/>
      <c r="K1" s="174"/>
      <c r="L1" s="174"/>
      <c r="M1" s="174"/>
      <c r="N1" s="174"/>
      <c r="O1" s="174"/>
      <c r="P1" s="174"/>
      <c r="Q1" s="174"/>
      <c r="R1" s="174"/>
      <c r="S1" s="174"/>
      <c r="T1" s="174"/>
      <c r="U1" s="174"/>
      <c r="V1" s="174"/>
      <c r="W1" s="174"/>
      <c r="X1" s="174"/>
      <c r="Y1" s="174"/>
      <c r="Z1" s="174"/>
      <c r="AA1" s="174"/>
      <c r="AB1" s="174"/>
      <c r="AC1" s="174"/>
    </row>
    <row r="2" spans="1:113" ht="70.05" customHeight="1">
      <c r="A2" s="186" t="s">
        <v>10197</v>
      </c>
      <c r="B2" s="174"/>
      <c r="C2" s="174"/>
      <c r="D2" s="174"/>
      <c r="E2" s="179"/>
      <c r="F2" s="179"/>
      <c r="G2" s="179"/>
      <c r="H2" s="174"/>
      <c r="I2" s="174"/>
      <c r="J2" s="174"/>
      <c r="K2" s="174"/>
      <c r="L2" s="174"/>
      <c r="M2" s="174"/>
      <c r="N2" s="174"/>
      <c r="O2" s="174"/>
      <c r="P2" s="174"/>
      <c r="Q2" s="174"/>
      <c r="R2" s="174"/>
      <c r="S2" s="174"/>
      <c r="T2" s="174"/>
      <c r="U2" s="174"/>
      <c r="V2" s="174"/>
      <c r="W2" s="174"/>
      <c r="X2" s="174"/>
      <c r="Y2" s="174"/>
      <c r="Z2" s="174"/>
      <c r="AA2" s="174"/>
      <c r="AB2" s="174"/>
      <c r="AC2" s="174"/>
      <c r="CZ2" s="384" t="s">
        <v>10219</v>
      </c>
      <c r="DA2" s="124">
        <f>COUNTIF(A2:A1001,1)</f>
        <v>0</v>
      </c>
    </row>
    <row r="3" spans="1:113" ht="19.5" customHeight="1"/>
    <row r="4" spans="1:113" ht="294" customHeight="1">
      <c r="B4" s="602" t="s">
        <v>10295</v>
      </c>
      <c r="C4" s="603"/>
      <c r="D4" s="603"/>
      <c r="E4" s="603"/>
      <c r="F4" s="603"/>
      <c r="G4" s="603"/>
      <c r="H4" s="603"/>
      <c r="I4" s="603"/>
      <c r="J4" s="603"/>
      <c r="K4" s="603"/>
      <c r="L4" s="603"/>
      <c r="M4" s="604"/>
      <c r="N4" s="416"/>
      <c r="O4" s="416"/>
      <c r="P4" s="416"/>
      <c r="Q4" s="416"/>
      <c r="R4" s="416"/>
    </row>
    <row r="5" spans="1:113" ht="15" thickBot="1"/>
    <row r="6" spans="1:113" ht="25.8">
      <c r="A6" s="30" t="s">
        <v>213</v>
      </c>
      <c r="B6" s="30"/>
      <c r="C6" s="30"/>
      <c r="D6" s="122"/>
      <c r="E6" s="122"/>
      <c r="F6" s="122"/>
      <c r="G6" s="122"/>
      <c r="H6" s="30"/>
      <c r="I6" s="30"/>
      <c r="J6" s="30"/>
      <c r="K6" s="30"/>
      <c r="L6" s="30"/>
      <c r="M6" s="30"/>
      <c r="N6" s="30"/>
      <c r="O6" s="30"/>
      <c r="P6" s="30"/>
      <c r="Q6" s="30"/>
      <c r="R6" s="30"/>
      <c r="S6" s="30"/>
      <c r="T6" s="30"/>
      <c r="U6" s="30"/>
      <c r="V6" s="30"/>
      <c r="W6" s="30"/>
      <c r="X6" s="30"/>
      <c r="Y6" s="30"/>
      <c r="Z6" s="30"/>
      <c r="AA6" s="30"/>
      <c r="DB6" s="24" t="s">
        <v>10206</v>
      </c>
    </row>
    <row r="7" spans="1:113">
      <c r="BG7" s="3" t="s">
        <v>214</v>
      </c>
      <c r="BH7" s="3" t="e">
        <f>INDEX(ls_weight_units,MATCH(I9,_xlfn.CHOOSECOLS(ls_weight_units,2),0),1)</f>
        <v>#N/A</v>
      </c>
    </row>
    <row r="8" spans="1:113">
      <c r="DD8" s="22" t="s">
        <v>10205</v>
      </c>
      <c r="DE8" s="22" t="s">
        <v>10212</v>
      </c>
    </row>
    <row r="9" spans="1:113" ht="15.6">
      <c r="A9" s="22" t="str">
        <f t="shared" ref="A9" si="0">IF(DD9=0,"",1)</f>
        <v/>
      </c>
      <c r="H9" s="417" t="s">
        <v>215</v>
      </c>
      <c r="I9" s="528"/>
      <c r="DA9" t="s">
        <v>10212</v>
      </c>
      <c r="DB9" t="s">
        <v>10211</v>
      </c>
      <c r="DD9" s="22">
        <f>DE9</f>
        <v>0</v>
      </c>
      <c r="DE9" s="22">
        <f>IF(OR(LEN(I9)&gt;0,SUM(BT14:BT33)=0),0,1)</f>
        <v>0</v>
      </c>
    </row>
    <row r="10" spans="1:113" ht="15.6">
      <c r="A10" s="39"/>
      <c r="H10" s="417"/>
    </row>
    <row r="11" spans="1:113" ht="18">
      <c r="E11" s="418"/>
      <c r="F11" s="507"/>
      <c r="G11"/>
      <c r="H11" s="419"/>
    </row>
    <row r="12" spans="1:113" ht="30" customHeight="1">
      <c r="B12" s="420"/>
      <c r="C12" s="420"/>
      <c r="E12" s="421"/>
      <c r="G12" s="422" t="s">
        <v>218</v>
      </c>
      <c r="H12" s="423" t="str">
        <f>IFERROR(_xlfn.CONCAT(IF(OR(LEN('Project Inputs'!$D$15)=0,LEN('Project Inputs'!$D$16)=0),"",
INDEX(ls_Month_2,MONTH(EDATE(DATE('Project Inputs'!$D$15,MATCH('Project Inputs'!$D$16,ls_Month_2,0),1),0)))),CHAR(10),IF(OR(LEN('Project Inputs'!$D$15)=0,LEN('Project Inputs'!$D$16)=0),"",
YEAR(EDATE(DATE('Project Inputs'!$D$15,MATCH('Project Inputs'!$D$16,ls_Month_2,0),1),0)))),"Check Inputs")</f>
        <v xml:space="preserve">
</v>
      </c>
      <c r="I12" s="423" t="str">
        <f>IFERROR(_xlfn.CONCAT(IF(OR(LEN('Project Inputs'!$D$15)=0,LEN('Project Inputs'!$D$16)=0),"",
INDEX(ls_Month_2,MONTH(EDATE(DATE('Project Inputs'!$D$15,MATCH('Project Inputs'!$D$16,ls_Month_2,0),1),1)))),CHAR(10),IF(OR(LEN('Project Inputs'!$D$15)=0,LEN('Project Inputs'!$D$16)=0),"",
YEAR(EDATE(DATE('Project Inputs'!$D$15,MATCH('Project Inputs'!$D$16,ls_Month_2,0),1),1)))),"Check Inputs")</f>
        <v xml:space="preserve">
</v>
      </c>
      <c r="J12" s="423" t="str">
        <f>IFERROR(_xlfn.CONCAT(IF(OR(LEN('Project Inputs'!$D$15)=0,LEN('Project Inputs'!$D$16)=0),"",
INDEX(ls_Month_2,MONTH(EDATE(DATE('Project Inputs'!$D$15,MATCH('Project Inputs'!$D$16,ls_Month_2,0),1),2)))),CHAR(10),IF(OR(LEN('Project Inputs'!$D$15)=0,LEN('Project Inputs'!$D$16)=0),"",
YEAR(EDATE(DATE('Project Inputs'!$D$15,MATCH('Project Inputs'!$D$16,ls_Month_2,0),1),2)))),"Check Inputs")</f>
        <v xml:space="preserve">
</v>
      </c>
      <c r="K12" s="423" t="str">
        <f>IFERROR(_xlfn.CONCAT(IF(OR(LEN('Project Inputs'!$D$15)=0,LEN('Project Inputs'!$D$16)=0),"",
INDEX(ls_Month_2,MONTH(EDATE(DATE('Project Inputs'!$D$15,MATCH('Project Inputs'!$D$16,ls_Month_2,0),1),3)))),CHAR(10),IF(OR(LEN('Project Inputs'!$D$15)=0,LEN('Project Inputs'!$D$16)=0),"",
YEAR(EDATE(DATE('Project Inputs'!$D$15,MATCH('Project Inputs'!$D$16,ls_Month_2,0),1),3)))),"Check Inputs")</f>
        <v xml:space="preserve">
</v>
      </c>
      <c r="L12" s="423" t="str">
        <f>IFERROR(_xlfn.CONCAT(IF(OR(LEN('Project Inputs'!$D$15)=0,LEN('Project Inputs'!$D$16)=0),"",
INDEX(ls_Month_2,MONTH(EDATE(DATE('Project Inputs'!$D$15,MATCH('Project Inputs'!$D$16,ls_Month_2,0),1),4)))),CHAR(10),IF(OR(LEN('Project Inputs'!$D$15)=0,LEN('Project Inputs'!$D$16)=0),"",
YEAR(EDATE(DATE('Project Inputs'!$D$15,MATCH('Project Inputs'!$D$16,ls_Month_2,0),1),4)))),"Check Inputs")</f>
        <v xml:space="preserve">
</v>
      </c>
      <c r="M12" s="423" t="str">
        <f>IFERROR(_xlfn.CONCAT(IF(OR(LEN('Project Inputs'!$D$15)=0,LEN('Project Inputs'!$D$16)=0),"",
INDEX(ls_Month_2,MONTH(EDATE(DATE('Project Inputs'!$D$15,MATCH('Project Inputs'!$D$16,ls_Month_2,0),1),5)))),CHAR(10),IF(OR(LEN('Project Inputs'!$D$15)=0,LEN('Project Inputs'!$D$16)=0),"",
YEAR(EDATE(DATE('Project Inputs'!$D$15,MATCH('Project Inputs'!$D$16,ls_Month_2,0),1),5)))),"Check Inputs")</f>
        <v xml:space="preserve">
</v>
      </c>
      <c r="N12" s="423" t="str">
        <f>IFERROR(_xlfn.CONCAT(IF(OR(LEN('Project Inputs'!$D$15)=0,LEN('Project Inputs'!$D$16)=0),"",
INDEX(ls_Month_2,MONTH(EDATE(DATE('Project Inputs'!$D$15,MATCH('Project Inputs'!$D$16,ls_Month_2,0),1),6)))),CHAR(10),IF(OR(LEN('Project Inputs'!$D$15)=0,LEN('Project Inputs'!$D$16)=0),"",
YEAR(EDATE(DATE('Project Inputs'!$D$15,MATCH('Project Inputs'!$D$16,ls_Month_2,0),1),6)))),"Check Inputs")</f>
        <v xml:space="preserve">
</v>
      </c>
      <c r="O12" s="423" t="str">
        <f>IFERROR(_xlfn.CONCAT(IF(OR(LEN('Project Inputs'!$D$15)=0,LEN('Project Inputs'!$D$16)=0),"",
INDEX(ls_Month_2,MONTH(EDATE(DATE('Project Inputs'!$D$15,MATCH('Project Inputs'!$D$16,ls_Month_2,0),1),7)))),CHAR(10),IF(OR(LEN('Project Inputs'!$D$15)=0,LEN('Project Inputs'!$D$16)=0),"",
YEAR(EDATE(DATE('Project Inputs'!$D$15,MATCH('Project Inputs'!$D$16,ls_Month_2,0),1),7)))),"Check Inputs")</f>
        <v xml:space="preserve">
</v>
      </c>
      <c r="P12" s="423" t="str">
        <f>IFERROR(_xlfn.CONCAT(IF(OR(LEN('Project Inputs'!$D$15)=0,LEN('Project Inputs'!$D$16)=0),"",
INDEX(ls_Month_2,MONTH(EDATE(DATE('Project Inputs'!$D$15,MATCH('Project Inputs'!$D$16,ls_Month_2,0),1),8)))),CHAR(10),IF(OR(LEN('Project Inputs'!$D$15)=0,LEN('Project Inputs'!$D$16)=0),"",
YEAR(EDATE(DATE('Project Inputs'!$D$15,MATCH('Project Inputs'!$D$16,ls_Month_2,0),1),8)))),"Check Inputs")</f>
        <v xml:space="preserve">
</v>
      </c>
      <c r="Q12" s="423" t="str">
        <f>IFERROR(_xlfn.CONCAT(IF(OR(LEN('Project Inputs'!$D$15)=0,LEN('Project Inputs'!$D$16)=0),"",
INDEX(ls_Month_2,MONTH(EDATE(DATE('Project Inputs'!$D$15,MATCH('Project Inputs'!$D$16,ls_Month_2,0),1),9)))),CHAR(10),IF(OR(LEN('Project Inputs'!$D$15)=0,LEN('Project Inputs'!$D$16)=0),"",
YEAR(EDATE(DATE('Project Inputs'!$D$15,MATCH('Project Inputs'!$D$16,ls_Month_2,0),1),9)))),"Check Inputs")</f>
        <v xml:space="preserve">
</v>
      </c>
      <c r="R12" s="423" t="str">
        <f>IFERROR(_xlfn.CONCAT(IF(OR(LEN('Project Inputs'!$D$15)=0,LEN('Project Inputs'!$D$16)=0),"",
INDEX(ls_Month_2,MONTH(EDATE(DATE('Project Inputs'!$D$15,MATCH('Project Inputs'!$D$16,ls_Month_2,0),1),10)))),CHAR(10),IF(OR(LEN('Project Inputs'!$D$15)=0,LEN('Project Inputs'!$D$16)=0),"",
YEAR(EDATE(DATE('Project Inputs'!$D$15,MATCH('Project Inputs'!$D$16,ls_Month_2,0),1),10)))),"Check Inputs")</f>
        <v xml:space="preserve">
</v>
      </c>
      <c r="S12" s="423" t="str">
        <f>IFERROR(_xlfn.CONCAT(IF(OR(LEN('Project Inputs'!$D$15)=0,LEN('Project Inputs'!$D$16)=0),"",
INDEX(ls_Month_2,MONTH(EDATE(DATE('Project Inputs'!$D$15,MATCH('Project Inputs'!$D$16,ls_Month_2,0),1),11)))),CHAR(10),IF(OR(LEN('Project Inputs'!$D$15)=0,LEN('Project Inputs'!$D$16)=0),"",
YEAR(EDATE(DATE('Project Inputs'!$D$15,MATCH('Project Inputs'!$D$16,ls_Month_2,0),1),11)))),"Check Inputs")</f>
        <v xml:space="preserve">
</v>
      </c>
      <c r="T12" s="9"/>
      <c r="U12" s="9"/>
      <c r="V12" s="9"/>
      <c r="BH12" s="56" t="str">
        <f t="shared" ref="BH12:BS12" si="1">H12</f>
        <v xml:space="preserve">
</v>
      </c>
      <c r="BI12" s="56" t="str">
        <f t="shared" si="1"/>
        <v xml:space="preserve">
</v>
      </c>
      <c r="BJ12" s="56" t="str">
        <f t="shared" si="1"/>
        <v xml:space="preserve">
</v>
      </c>
      <c r="BK12" s="56" t="str">
        <f t="shared" si="1"/>
        <v xml:space="preserve">
</v>
      </c>
      <c r="BL12" s="56" t="str">
        <f t="shared" si="1"/>
        <v xml:space="preserve">
</v>
      </c>
      <c r="BM12" s="56" t="str">
        <f t="shared" si="1"/>
        <v xml:space="preserve">
</v>
      </c>
      <c r="BN12" s="56" t="str">
        <f t="shared" si="1"/>
        <v xml:space="preserve">
</v>
      </c>
      <c r="BO12" s="56" t="str">
        <f t="shared" si="1"/>
        <v xml:space="preserve">
</v>
      </c>
      <c r="BP12" s="56" t="str">
        <f t="shared" si="1"/>
        <v xml:space="preserve">
</v>
      </c>
      <c r="BQ12" s="56" t="str">
        <f t="shared" si="1"/>
        <v xml:space="preserve">
</v>
      </c>
      <c r="BR12" s="56" t="str">
        <f t="shared" si="1"/>
        <v xml:space="preserve">
</v>
      </c>
      <c r="BS12" s="56" t="str">
        <f t="shared" si="1"/>
        <v xml:space="preserve">
</v>
      </c>
      <c r="BT12" s="56" t="s">
        <v>219</v>
      </c>
      <c r="BU12" s="89"/>
      <c r="BV12" s="57"/>
      <c r="BW12" s="56" t="str">
        <f t="shared" ref="BW12:CH12" si="2">H12</f>
        <v xml:space="preserve">
</v>
      </c>
      <c r="BX12" s="56" t="str">
        <f t="shared" si="2"/>
        <v xml:space="preserve">
</v>
      </c>
      <c r="BY12" s="56" t="str">
        <f t="shared" si="2"/>
        <v xml:space="preserve">
</v>
      </c>
      <c r="BZ12" s="56" t="str">
        <f t="shared" si="2"/>
        <v xml:space="preserve">
</v>
      </c>
      <c r="CA12" s="56" t="str">
        <f t="shared" si="2"/>
        <v xml:space="preserve">
</v>
      </c>
      <c r="CB12" s="56" t="str">
        <f t="shared" si="2"/>
        <v xml:space="preserve">
</v>
      </c>
      <c r="CC12" s="56" t="str">
        <f t="shared" si="2"/>
        <v xml:space="preserve">
</v>
      </c>
      <c r="CD12" s="56" t="str">
        <f t="shared" si="2"/>
        <v xml:space="preserve">
</v>
      </c>
      <c r="CE12" s="56" t="str">
        <f t="shared" si="2"/>
        <v xml:space="preserve">
</v>
      </c>
      <c r="CF12" s="56" t="str">
        <f t="shared" si="2"/>
        <v xml:space="preserve">
</v>
      </c>
      <c r="CG12" s="56" t="str">
        <f t="shared" si="2"/>
        <v xml:space="preserve">
</v>
      </c>
      <c r="CH12" s="56" t="str">
        <f t="shared" si="2"/>
        <v xml:space="preserve">
</v>
      </c>
      <c r="CI12" s="56" t="s">
        <v>219</v>
      </c>
      <c r="CM12" s="1" t="s">
        <v>220</v>
      </c>
    </row>
    <row r="13" spans="1:113" ht="30" customHeight="1">
      <c r="B13" s="270" t="s">
        <v>221</v>
      </c>
      <c r="C13" s="271" t="s">
        <v>226</v>
      </c>
      <c r="D13" s="270" t="s">
        <v>222</v>
      </c>
      <c r="E13" s="270" t="s">
        <v>223</v>
      </c>
      <c r="F13" s="270" t="s">
        <v>224</v>
      </c>
      <c r="G13" s="271" t="s">
        <v>10243</v>
      </c>
      <c r="H13" s="625" t="str">
        <f>_xlfn.CONCAT("Weight (",'Diversion and Disposal'!I9,,")")</f>
        <v>Weight ()</v>
      </c>
      <c r="I13" s="625"/>
      <c r="J13" s="625"/>
      <c r="K13" s="625"/>
      <c r="L13" s="625"/>
      <c r="M13" s="625"/>
      <c r="N13" s="625"/>
      <c r="O13" s="625"/>
      <c r="P13" s="625"/>
      <c r="Q13" s="625"/>
      <c r="R13" s="625"/>
      <c r="S13" s="625"/>
      <c r="T13" s="271" t="s">
        <v>219</v>
      </c>
      <c r="U13" s="271" t="s">
        <v>67</v>
      </c>
      <c r="BC13" s="425" t="s">
        <v>221</v>
      </c>
      <c r="BD13" s="426" t="s">
        <v>222</v>
      </c>
      <c r="BE13" s="426" t="s">
        <v>223</v>
      </c>
      <c r="BF13" s="426" t="s">
        <v>224</v>
      </c>
      <c r="BG13" s="427" t="s">
        <v>225</v>
      </c>
      <c r="BH13" s="626" t="s">
        <v>227</v>
      </c>
      <c r="BI13" s="627"/>
      <c r="BJ13" s="627"/>
      <c r="BK13" s="627"/>
      <c r="BL13" s="627"/>
      <c r="BM13" s="627"/>
      <c r="BN13" s="627"/>
      <c r="BO13" s="627"/>
      <c r="BP13" s="627"/>
      <c r="BQ13" s="627"/>
      <c r="BR13" s="627"/>
      <c r="BS13" s="627"/>
      <c r="BT13" s="628"/>
      <c r="BU13" s="428" t="s">
        <v>205</v>
      </c>
      <c r="BV13" s="429" t="s">
        <v>228</v>
      </c>
      <c r="BW13" s="626" t="s">
        <v>229</v>
      </c>
      <c r="BX13" s="627"/>
      <c r="BY13" s="627"/>
      <c r="BZ13" s="627"/>
      <c r="CA13" s="627"/>
      <c r="CB13" s="627"/>
      <c r="CC13" s="627"/>
      <c r="CD13" s="627"/>
      <c r="CE13" s="627"/>
      <c r="CF13" s="627"/>
      <c r="CG13" s="627"/>
      <c r="CH13" s="627"/>
      <c r="CI13" s="628"/>
      <c r="CK13" s="430" t="s">
        <v>230</v>
      </c>
      <c r="CM13" s="429" t="s">
        <v>231</v>
      </c>
      <c r="CN13" s="429" t="s">
        <v>225</v>
      </c>
      <c r="CO13" s="429" t="s">
        <v>228</v>
      </c>
      <c r="CP13" s="429" t="s">
        <v>232</v>
      </c>
      <c r="DD13" s="22" t="s">
        <v>10205</v>
      </c>
      <c r="DE13" s="185" t="s">
        <v>10216</v>
      </c>
      <c r="DF13" s="185" t="s">
        <v>10208</v>
      </c>
      <c r="DG13" s="185" t="s">
        <v>10210</v>
      </c>
      <c r="DH13" s="185" t="s">
        <v>10222</v>
      </c>
      <c r="DI13" s="185" t="s">
        <v>10239</v>
      </c>
    </row>
    <row r="14" spans="1:113" ht="30" customHeight="1">
      <c r="A14" s="22" t="str">
        <f>IF(DD14=0,"",1)</f>
        <v/>
      </c>
      <c r="B14" s="272"/>
      <c r="C14" s="491"/>
      <c r="D14" s="272"/>
      <c r="E14" s="400"/>
      <c r="F14" s="400"/>
      <c r="G14" s="401"/>
      <c r="H14" s="376"/>
      <c r="I14" s="376"/>
      <c r="J14" s="376"/>
      <c r="K14" s="376"/>
      <c r="L14" s="376"/>
      <c r="M14" s="376"/>
      <c r="N14" s="376"/>
      <c r="O14" s="376"/>
      <c r="P14" s="376"/>
      <c r="Q14" s="376"/>
      <c r="R14" s="376"/>
      <c r="S14" s="376"/>
      <c r="T14" s="431">
        <f t="shared" ref="T14:T45" si="3">SUM(H14:S14)</f>
        <v>0</v>
      </c>
      <c r="U14" s="272"/>
      <c r="BC14" s="432" t="str">
        <f t="shared" ref="BC14:BC45" si="4">_xlfn.LET(_xlpm.x,B14,IF(OR(LEN(_xlpm.x)&lt;1,_xlpm.x=0),"",_xlpm.x))</f>
        <v/>
      </c>
      <c r="BD14" s="432" t="str">
        <f t="shared" ref="BD14:BD45" si="5">_xlfn.LET(_xlpm.x,D14,IF(OR(LEN(_xlpm.x)&lt;1,_xlpm.x=0),"",_xlpm.x))</f>
        <v/>
      </c>
      <c r="BE14" s="432" t="str">
        <f t="shared" ref="BE14:BE45" si="6">_xlfn.LET(_xlpm.x,E14,IF(OR(LEN(_xlpm.x)&lt;1,_xlpm.x=0),"",_xlpm.x))</f>
        <v/>
      </c>
      <c r="BF14" s="432" t="str">
        <f t="shared" ref="BF14:BF45" si="7">_xlfn.LET(_xlpm.x,F14,IF(OR(LEN(_xlpm.x)&lt;1,_xlpm.x=0),"",_xlpm.x))</f>
        <v/>
      </c>
      <c r="BG14" s="432" t="str">
        <f t="shared" ref="BG14:BG45" si="8">_xlfn.LET(_xlpm.x,G14,IF(OR(LEN(_xlpm.x)&lt;1,_xlpm.x=0),"",_xlpm.x))</f>
        <v/>
      </c>
      <c r="BH14" s="432" t="str">
        <f>_xlfn.LET(_xlpm.x,H14,IF(OR(LEN(_xlpm.x)&lt;1,_xlpm.x=0),"",CONVERT(_xlpm.x,BH7,"kg")))</f>
        <v/>
      </c>
      <c r="BI14" s="432" t="str">
        <f>_xlfn.LET(_xlpm.x,I14,IF(OR(LEN(_xlpm.x)&lt;1,_xlpm.x=0),"",CONVERT(_xlpm.x,BH7,"kg")))</f>
        <v/>
      </c>
      <c r="BJ14" s="432" t="str">
        <f>_xlfn.LET(_xlpm.x,J14,IF(OR(LEN(_xlpm.x)&lt;1,_xlpm.x=0),"",CONVERT(_xlpm.x,BH7,"kg")))</f>
        <v/>
      </c>
      <c r="BK14" s="432" t="str">
        <f>_xlfn.LET(_xlpm.x,K14,IF(OR(LEN(_xlpm.x)&lt;1,_xlpm.x=0),"",CONVERT(_xlpm.x,BH7,"kg")))</f>
        <v/>
      </c>
      <c r="BL14" s="432" t="str">
        <f>_xlfn.LET(_xlpm.x,L14,IF(OR(LEN(_xlpm.x)&lt;1,_xlpm.x=0),"",CONVERT(_xlpm.x,BH7,"kg")))</f>
        <v/>
      </c>
      <c r="BM14" s="432" t="str">
        <f>_xlfn.LET(_xlpm.x,M14,IF(OR(LEN(_xlpm.x)&lt;1,_xlpm.x=0),"",CONVERT(_xlpm.x,BH7,"kg")))</f>
        <v/>
      </c>
      <c r="BN14" s="432" t="str">
        <f>_xlfn.LET(_xlpm.x,N14,IF(OR(LEN(_xlpm.x)&lt;1,_xlpm.x=0),"",CONVERT(_xlpm.x,BH7,"kg")))</f>
        <v/>
      </c>
      <c r="BO14" s="432" t="str">
        <f>_xlfn.LET(_xlpm.x,O14,IF(OR(LEN(_xlpm.x)&lt;1,_xlpm.x=0),"",CONVERT(_xlpm.x,BH7,"kg")))</f>
        <v/>
      </c>
      <c r="BP14" s="432" t="str">
        <f>_xlfn.LET(_xlpm.x,P14,IF(OR(LEN(_xlpm.x)&lt;1,_xlpm.x=0),"",CONVERT(_xlpm.x,BH7,"kg")))</f>
        <v/>
      </c>
      <c r="BQ14" s="432" t="str">
        <f>_xlfn.LET(_xlpm.x,Q14,IF(OR(LEN(_xlpm.x)&lt;1,_xlpm.x=0),"",CONVERT(_xlpm.x,BH7,"kg")))</f>
        <v/>
      </c>
      <c r="BR14" s="432" t="str">
        <f>_xlfn.LET(_xlpm.x,R14,IF(OR(LEN(_xlpm.x)&lt;1,_xlpm.x=0),"",CONVERT(_xlpm.x,BH7,"kg")))</f>
        <v/>
      </c>
      <c r="BS14" s="432" t="str">
        <f>_xlfn.LET(_xlpm.x,S14,IF(OR(LEN(_xlpm.x)&lt;1,_xlpm.x=0),"",CONVERT(_xlpm.x,BH7,"kg")))</f>
        <v/>
      </c>
      <c r="BT14" s="433">
        <f t="shared" ref="BT14:BT45" si="9">SUM(BH14:BS14)</f>
        <v>0</v>
      </c>
      <c r="BU14" s="433" t="str">
        <f>_xlfn.LET(_xlpm.x,BF14,IF(LEN(_xlpm.x)&lt;1,"",IF(ISNUMBER(MATCH(_xlpm.x,ls_Mat_def,0)),'Project Inputs'!$BF$14,99)))</f>
        <v/>
      </c>
      <c r="BV14" s="432" t="str" cm="1">
        <f t="array" ref="BV14">IFERROR(INDEX(tblGWP[],MATCH(1,(tblGWP[Dataset ID]=BU14)*(tblGWP[Material Subcategory]=BF14),0),MATCH(BG14,ls_WHM,0)+5),"confirm")</f>
        <v>confirm</v>
      </c>
      <c r="BW14" s="434" t="str">
        <f t="shared" ref="BW14:BW45" si="10">IFERROR(BH14*$BV14,"No data")</f>
        <v>No data</v>
      </c>
      <c r="BX14" s="434" t="str">
        <f t="shared" ref="BX14:BX45" si="11">IFERROR(BI14*$BV14,"No data")</f>
        <v>No data</v>
      </c>
      <c r="BY14" s="434" t="str">
        <f t="shared" ref="BY14:BY45" si="12">IFERROR(BJ14*$BV14,"No data")</f>
        <v>No data</v>
      </c>
      <c r="BZ14" s="434" t="str">
        <f t="shared" ref="BZ14:BZ45" si="13">IFERROR(BK14*$BV14,"No data")</f>
        <v>No data</v>
      </c>
      <c r="CA14" s="434" t="str">
        <f t="shared" ref="CA14:CA45" si="14">IFERROR(BL14*$BV14,"No data")</f>
        <v>No data</v>
      </c>
      <c r="CB14" s="434" t="str">
        <f t="shared" ref="CB14:CB45" si="15">IFERROR(BM14*$BV14,"No data")</f>
        <v>No data</v>
      </c>
      <c r="CC14" s="434" t="str">
        <f t="shared" ref="CC14:CC45" si="16">IFERROR(BN14*$BV14,"No data")</f>
        <v>No data</v>
      </c>
      <c r="CD14" s="434" t="str">
        <f t="shared" ref="CD14:CD45" si="17">IFERROR(BO14*$BV14,"No data")</f>
        <v>No data</v>
      </c>
      <c r="CE14" s="434" t="str">
        <f t="shared" ref="CE14:CE45" si="18">IFERROR(BP14*$BV14,"No data")</f>
        <v>No data</v>
      </c>
      <c r="CF14" s="434" t="str">
        <f t="shared" ref="CF14:CF45" si="19">IFERROR(BQ14*$BV14,"No data")</f>
        <v>No data</v>
      </c>
      <c r="CG14" s="434" t="str">
        <f t="shared" ref="CG14:CG45" si="20">IFERROR(BR14*$BV14,"No data")</f>
        <v>No data</v>
      </c>
      <c r="CH14" s="434" t="str">
        <f t="shared" ref="CH14:CH45" si="21">IFERROR(BS14*$BV14,"No data")</f>
        <v>No data</v>
      </c>
      <c r="CI14" s="435">
        <f t="shared" ref="CI14:CI45" si="22">SUM(BW14:CH14)</f>
        <v>0</v>
      </c>
      <c r="CK14" s="3" t="str">
        <f>_xlfn.LET(_xlpm.x,INDEX(tbl_Mat_def[],MATCH(BF14,ls_Mat_def,0),2),IFERROR(IF(_xlpm.x=0,"No","Yes"),"No"))</f>
        <v>No</v>
      </c>
      <c r="CM14" s="60" t="str">
        <f t="shared" ref="CM14:CM45" si="23">BF14</f>
        <v/>
      </c>
      <c r="CN14" s="60" t="s">
        <v>235</v>
      </c>
      <c r="CO14" s="432" t="str">
        <f>_xlfn.XLOOKUP(CM14,tblGWP[Material Subcategory],tblGWP[Landfill],0)</f>
        <v/>
      </c>
      <c r="CP14" s="436" t="str">
        <f t="shared" ref="CP14:CP45" si="24">IFERROR($BT14*CO14,"")</f>
        <v/>
      </c>
      <c r="DA14" t="s">
        <v>10213</v>
      </c>
      <c r="DB14" t="s">
        <v>10217</v>
      </c>
      <c r="DD14" s="388">
        <f>IF(DE14=19,0,SUM(DF14:DI14))</f>
        <v>0</v>
      </c>
      <c r="DE14" s="22">
        <f t="shared" ref="DE14:DE45" si="25">COUNTBLANK(B14:U14)</f>
        <v>19</v>
      </c>
      <c r="DF14" s="387">
        <f>SUM(IF(OR(ISNUMBER(H14),LEN(H14)=0),0,1),IF(OR(ISNUMBER(I14),LEN(I14)=0),0,1),
IF(OR(ISNUMBER(J14),LEN(J14)=0),0,1),IF(OR(ISNUMBER(K14),LEN(K14)=0),0,1),
IF(OR(ISNUMBER(L14),LEN(L14)=0),0,1),IF(OR(ISNUMBER(M14),LEN(M14)=0),0,1),
IF(OR(ISNUMBER(N14),LEN(N14)=0),0,1),IF(OR(ISNUMBER(O14),LEN(O14)=0),0,1),
IF(OR(ISNUMBER(P14),LEN(P14)=0),0,1),IF(OR(ISNUMBER(Q14),LEN(Q14)=0),0,1),
IF(OR(ISNUMBER(R14),LEN(R14)=0),0,1),IF(OR(ISNUMBER(S14),LEN(S14)=0),0,1))+
IF(MIN(H14:R14)&gt;=0,0,1)</f>
        <v>0</v>
      </c>
      <c r="DG14" s="387">
        <f>_xlfn.LET(_xlpm.x,DE14,_xlpm.y,B14,_xlpm.z,E14,_xlpm.m,F14,_xlpm.n,G14,_xlpm.o,COUNTBLANK(H14:S14),_xlpm.p,C14,IF(_xlpm.x=19,0,
IF(AND(LEN(_xlpm.y)&gt;0,LEN(_xlpm.z)&gt;0,LEN(_xlpm.m)&gt;0,LEN(_xlpm.n)&gt;0,LEN(_xlpm.p)&gt;0,_xlpm.o&lt;12),0,1)))</f>
        <v>0</v>
      </c>
      <c r="DH14" s="22">
        <f t="shared" ref="DH14:DH45" ca="1" si="26">IF(DE14=19,0,IF(ISNUMBER(MATCH(F14,INDIRECT(INDEX(ls_Subcat_options,MATCH(E14,ls_Mat_Cat,0))),0)),0,1))</f>
        <v>0</v>
      </c>
      <c r="DI14">
        <f t="shared" ref="DI14:DI45" ca="1" si="27">IF(DE14=19,0,IF(ISNUMBER(MATCH(G14,INDIRECT(INDEX(ls_WHM_options,MATCH(F14,ls_Mat,0))),0)),0,1))</f>
        <v>0</v>
      </c>
    </row>
    <row r="15" spans="1:113" ht="30" customHeight="1">
      <c r="A15" s="22" t="str">
        <f t="shared" ref="A15:A78" si="28">IF(DD15=0,"",1)</f>
        <v/>
      </c>
      <c r="B15" s="272"/>
      <c r="C15" s="491"/>
      <c r="D15" s="272"/>
      <c r="E15" s="400"/>
      <c r="F15" s="400"/>
      <c r="G15" s="401"/>
      <c r="H15" s="376"/>
      <c r="I15" s="376"/>
      <c r="J15" s="376"/>
      <c r="K15" s="376"/>
      <c r="L15" s="376"/>
      <c r="M15" s="376"/>
      <c r="N15" s="376"/>
      <c r="O15" s="376"/>
      <c r="P15" s="376"/>
      <c r="Q15" s="376"/>
      <c r="R15" s="376"/>
      <c r="S15" s="376"/>
      <c r="T15" s="431">
        <f t="shared" si="3"/>
        <v>0</v>
      </c>
      <c r="U15" s="272"/>
      <c r="BC15" s="432" t="str">
        <f t="shared" si="4"/>
        <v/>
      </c>
      <c r="BD15" s="432" t="str">
        <f t="shared" si="5"/>
        <v/>
      </c>
      <c r="BE15" s="432" t="str">
        <f t="shared" si="6"/>
        <v/>
      </c>
      <c r="BF15" s="432" t="str">
        <f>_xlfn.LET(_xlpm.x,F15,IF(OR(LEN(_xlpm.x)&lt;1,_xlpm.x=0),"",_xlpm.x))</f>
        <v/>
      </c>
      <c r="BG15" s="432" t="str">
        <f t="shared" si="8"/>
        <v/>
      </c>
      <c r="BH15" s="432" t="str">
        <f>_xlfn.LET(_xlpm.x,H15,IF(OR(LEN(_xlpm.x)&lt;1,_xlpm.x=0),"",CONVERT(_xlpm.x,BH7,"kg")))</f>
        <v/>
      </c>
      <c r="BI15" s="432" t="str">
        <f>_xlfn.LET(_xlpm.x,I15,IF(OR(LEN(_xlpm.x)&lt;1,_xlpm.x=0),"",CONVERT(_xlpm.x,BH7,"kg")))</f>
        <v/>
      </c>
      <c r="BJ15" s="432" t="str">
        <f>_xlfn.LET(_xlpm.x,J15,IF(OR(LEN(_xlpm.x)&lt;1,_xlpm.x=0),"",CONVERT(_xlpm.x,BH7,"kg")))</f>
        <v/>
      </c>
      <c r="BK15" s="432" t="str">
        <f>_xlfn.LET(_xlpm.x,K15,IF(OR(LEN(_xlpm.x)&lt;1,_xlpm.x=0),"",CONVERT(_xlpm.x,BH7,"kg")))</f>
        <v/>
      </c>
      <c r="BL15" s="432" t="str">
        <f>_xlfn.LET(_xlpm.x,L15,IF(OR(LEN(_xlpm.x)&lt;1,_xlpm.x=0),"",CONVERT(_xlpm.x,BH7,"kg")))</f>
        <v/>
      </c>
      <c r="BM15" s="432" t="str">
        <f>_xlfn.LET(_xlpm.x,M15,IF(OR(LEN(_xlpm.x)&lt;1,_xlpm.x=0),"",CONVERT(_xlpm.x,BH7,"kg")))</f>
        <v/>
      </c>
      <c r="BN15" s="432" t="str">
        <f>_xlfn.LET(_xlpm.x,N15,IF(OR(LEN(_xlpm.x)&lt;1,_xlpm.x=0),"",CONVERT(_xlpm.x,BH7,"kg")))</f>
        <v/>
      </c>
      <c r="BO15" s="432" t="str">
        <f>_xlfn.LET(_xlpm.x,O15,IF(OR(LEN(_xlpm.x)&lt;1,_xlpm.x=0),"",CONVERT(_xlpm.x,BH7,"kg")))</f>
        <v/>
      </c>
      <c r="BP15" s="432" t="str">
        <f>_xlfn.LET(_xlpm.x,P15,IF(OR(LEN(_xlpm.x)&lt;1,_xlpm.x=0),"",CONVERT(_xlpm.x,BH7,"kg")))</f>
        <v/>
      </c>
      <c r="BQ15" s="432" t="str">
        <f>_xlfn.LET(_xlpm.x,Q15,IF(OR(LEN(_xlpm.x)&lt;1,_xlpm.x=0),"",CONVERT(_xlpm.x,BH7,"kg")))</f>
        <v/>
      </c>
      <c r="BR15" s="432" t="str">
        <f>_xlfn.LET(_xlpm.x,R15,IF(OR(LEN(_xlpm.x)&lt;1,_xlpm.x=0),"",CONVERT(_xlpm.x,BH7,"kg")))</f>
        <v/>
      </c>
      <c r="BS15" s="432" t="str">
        <f>_xlfn.LET(_xlpm.x,S15,IF(OR(LEN(_xlpm.x)&lt;1,_xlpm.x=0),"",CONVERT(_xlpm.x,BH7,"kg")))</f>
        <v/>
      </c>
      <c r="BT15" s="433">
        <f t="shared" si="9"/>
        <v>0</v>
      </c>
      <c r="BU15" s="433" t="str">
        <f>_xlfn.LET(_xlpm.x,BF15,IF(LEN(_xlpm.x)&lt;1,"",IF(ISNUMBER(MATCH(_xlpm.x,ls_Mat_def,0)),'Project Inputs'!$BF$14,99)))</f>
        <v/>
      </c>
      <c r="BV15" s="432" t="str" cm="1">
        <f t="array" ref="BV15">IFERROR(INDEX(tblGWP[],MATCH(1,(tblGWP[Dataset ID]=BU15)*(tblGWP[Material Subcategory]=BF15),0),MATCH(BG15,ls_WHM,0)+5),"confirm")</f>
        <v>confirm</v>
      </c>
      <c r="BW15" s="434" t="str">
        <f t="shared" si="10"/>
        <v>No data</v>
      </c>
      <c r="BX15" s="434" t="str">
        <f t="shared" si="11"/>
        <v>No data</v>
      </c>
      <c r="BY15" s="434" t="str">
        <f t="shared" si="12"/>
        <v>No data</v>
      </c>
      <c r="BZ15" s="434" t="str">
        <f t="shared" si="13"/>
        <v>No data</v>
      </c>
      <c r="CA15" s="434" t="str">
        <f t="shared" si="14"/>
        <v>No data</v>
      </c>
      <c r="CB15" s="434" t="str">
        <f t="shared" si="15"/>
        <v>No data</v>
      </c>
      <c r="CC15" s="434" t="str">
        <f t="shared" si="16"/>
        <v>No data</v>
      </c>
      <c r="CD15" s="434" t="str">
        <f t="shared" si="17"/>
        <v>No data</v>
      </c>
      <c r="CE15" s="434" t="str">
        <f t="shared" si="18"/>
        <v>No data</v>
      </c>
      <c r="CF15" s="434" t="str">
        <f t="shared" si="19"/>
        <v>No data</v>
      </c>
      <c r="CG15" s="434" t="str">
        <f t="shared" si="20"/>
        <v>No data</v>
      </c>
      <c r="CH15" s="434" t="str">
        <f t="shared" si="21"/>
        <v>No data</v>
      </c>
      <c r="CI15" s="435">
        <f t="shared" si="22"/>
        <v>0</v>
      </c>
      <c r="CK15" s="3" t="str">
        <f>_xlfn.LET(_xlpm.x,INDEX(tbl_Mat_def[],MATCH(BF15,ls_Mat_def,0),2),IFERROR(IF(_xlpm.x=0,"No","Yes"),"No"))</f>
        <v>No</v>
      </c>
      <c r="CM15" s="60" t="str">
        <f t="shared" si="23"/>
        <v/>
      </c>
      <c r="CN15" s="60" t="s">
        <v>235</v>
      </c>
      <c r="CO15" s="566" t="str">
        <f>_xlfn.XLOOKUP(CM15,tblGWP[Material Subcategory],tblGWP[Landfill],0)</f>
        <v/>
      </c>
      <c r="CP15" s="436" t="str">
        <f t="shared" si="24"/>
        <v/>
      </c>
      <c r="DA15" t="s">
        <v>10208</v>
      </c>
      <c r="DB15" t="s">
        <v>10215</v>
      </c>
      <c r="DD15" s="388">
        <f t="shared" ref="DD15:DD78" si="29">IF(DE15=19,0,SUM(DF15:DI15))</f>
        <v>0</v>
      </c>
      <c r="DE15" s="22">
        <f t="shared" si="25"/>
        <v>19</v>
      </c>
      <c r="DF15" s="387">
        <f t="shared" ref="DF15:DF78" si="30">SUM(IF(OR(ISNUMBER(H15),LEN(H15)=0),0,1),IF(OR(ISNUMBER(I15),LEN(I15)=0),0,1),
IF(OR(ISNUMBER(J15),LEN(J15)=0),0,1),IF(OR(ISNUMBER(K15),LEN(K15)=0),0,1),
IF(OR(ISNUMBER(L15),LEN(L15)=0),0,1),IF(OR(ISNUMBER(M15),LEN(M15)=0),0,1),
IF(OR(ISNUMBER(N15),LEN(N15)=0),0,1),IF(OR(ISNUMBER(O15),LEN(O15)=0),0,1),
IF(OR(ISNUMBER(P15),LEN(P15)=0),0,1),IF(OR(ISNUMBER(Q15),LEN(Q15)=0),0,1),
IF(OR(ISNUMBER(R15),LEN(R15)=0),0,1),IF(OR(ISNUMBER(S15),LEN(S15)=0),0,1))+
IF(MIN(H15:R15)&gt;=0,0,1)</f>
        <v>0</v>
      </c>
      <c r="DG15" s="387">
        <f>_xlfn.LET(_xlpm.x,DE15,_xlpm.y,B15,_xlpm.z,E15,_xlpm.m,F15,_xlpm.n,G15,_xlpm.o,COUNTBLANK(H15:S15),_xlpm.p,C15,IF(_xlpm.x=19,0,
IF(AND(LEN(_xlpm.y)&gt;0,LEN(_xlpm.z)&gt;0,LEN(_xlpm.m)&gt;0,LEN(_xlpm.n)&gt;0,LEN(_xlpm.p)&gt;0,_xlpm.o&lt;12),0,1)))</f>
        <v>0</v>
      </c>
      <c r="DH15" s="22">
        <f ca="1">IF(DE15=19,0,IF(ISNUMBER(MATCH(F15,INDIRECT(INDEX(ls_Subcat_options,MATCH(E15,ls_Mat_Cat,0))),0)),0,1))</f>
        <v>0</v>
      </c>
      <c r="DI15">
        <f ca="1">IF(DE15=19,0,IF(ISNUMBER(MATCH(G15,INDIRECT(INDEX(ls_WHM_options,MATCH(F15,ls_Mat,0))),0)),0,1))</f>
        <v>0</v>
      </c>
    </row>
    <row r="16" spans="1:113" ht="41.55" customHeight="1">
      <c r="A16" s="22" t="str">
        <f t="shared" si="28"/>
        <v/>
      </c>
      <c r="B16" s="272"/>
      <c r="C16" s="491"/>
      <c r="D16" s="272"/>
      <c r="E16" s="400"/>
      <c r="F16" s="400"/>
      <c r="G16" s="401"/>
      <c r="H16" s="376"/>
      <c r="I16" s="376"/>
      <c r="J16" s="376"/>
      <c r="K16" s="376"/>
      <c r="L16" s="376"/>
      <c r="M16" s="376"/>
      <c r="N16" s="376"/>
      <c r="O16" s="376"/>
      <c r="P16" s="376"/>
      <c r="Q16" s="376"/>
      <c r="R16" s="376"/>
      <c r="S16" s="376"/>
      <c r="T16" s="431">
        <f t="shared" si="3"/>
        <v>0</v>
      </c>
      <c r="U16" s="272"/>
      <c r="BC16" s="432" t="str">
        <f t="shared" si="4"/>
        <v/>
      </c>
      <c r="BD16" s="432" t="str">
        <f t="shared" si="5"/>
        <v/>
      </c>
      <c r="BE16" s="432" t="str">
        <f t="shared" si="6"/>
        <v/>
      </c>
      <c r="BF16" s="432" t="str">
        <f t="shared" si="7"/>
        <v/>
      </c>
      <c r="BG16" s="432" t="str">
        <f>_xlfn.LET(_xlpm.x,G16,IF(OR(LEN(_xlpm.x)&lt;1,_xlpm.x=0),"",_xlpm.x))</f>
        <v/>
      </c>
      <c r="BH16" s="432" t="str">
        <f>_xlfn.LET(_xlpm.x,H16,IF(OR(LEN(_xlpm.x)&lt;1,_xlpm.x=0),"",CONVERT(_xlpm.x,BH7,"kg")))</f>
        <v/>
      </c>
      <c r="BI16" s="432" t="str">
        <f>_xlfn.LET(_xlpm.x,I16,IF(OR(LEN(_xlpm.x)&lt;1,_xlpm.x=0),"",CONVERT(_xlpm.x,BH7,"kg")))</f>
        <v/>
      </c>
      <c r="BJ16" s="432" t="str">
        <f>_xlfn.LET(_xlpm.x,J16,IF(OR(LEN(_xlpm.x)&lt;1,_xlpm.x=0),"",CONVERT(_xlpm.x,BH7,"kg")))</f>
        <v/>
      </c>
      <c r="BK16" s="432" t="str">
        <f>_xlfn.LET(_xlpm.x,K16,IF(OR(LEN(_xlpm.x)&lt;1,_xlpm.x=0),"",CONVERT(_xlpm.x,BH7,"kg")))</f>
        <v/>
      </c>
      <c r="BL16" s="432" t="str">
        <f>_xlfn.LET(_xlpm.x,L16,IF(OR(LEN(_xlpm.x)&lt;1,_xlpm.x=0),"",CONVERT(_xlpm.x,BH7,"kg")))</f>
        <v/>
      </c>
      <c r="BM16" s="432" t="str">
        <f>_xlfn.LET(_xlpm.x,M16,IF(OR(LEN(_xlpm.x)&lt;1,_xlpm.x=0),"",CONVERT(_xlpm.x,BH7,"kg")))</f>
        <v/>
      </c>
      <c r="BN16" s="432" t="str">
        <f>_xlfn.LET(_xlpm.x,N16,IF(OR(LEN(_xlpm.x)&lt;1,_xlpm.x=0),"",CONVERT(_xlpm.x,BH7,"kg")))</f>
        <v/>
      </c>
      <c r="BO16" s="432" t="str">
        <f>_xlfn.LET(_xlpm.x,O16,IF(OR(LEN(_xlpm.x)&lt;1,_xlpm.x=0),"",CONVERT(_xlpm.x,BH7,"kg")))</f>
        <v/>
      </c>
      <c r="BP16" s="432" t="str">
        <f>_xlfn.LET(_xlpm.x,P16,IF(OR(LEN(_xlpm.x)&lt;1,_xlpm.x=0),"",CONVERT(_xlpm.x,BH7,"kg")))</f>
        <v/>
      </c>
      <c r="BQ16" s="432" t="str">
        <f>_xlfn.LET(_xlpm.x,Q16,IF(OR(LEN(_xlpm.x)&lt;1,_xlpm.x=0),"",CONVERT(_xlpm.x,BH7,"kg")))</f>
        <v/>
      </c>
      <c r="BR16" s="432" t="str">
        <f>_xlfn.LET(_xlpm.x,R16,IF(OR(LEN(_xlpm.x)&lt;1,_xlpm.x=0),"",CONVERT(_xlpm.x,BH7,"kg")))</f>
        <v/>
      </c>
      <c r="BS16" s="432" t="str">
        <f>_xlfn.LET(_xlpm.x,S16,IF(OR(LEN(_xlpm.x)&lt;1,_xlpm.x=0),"",CONVERT(_xlpm.x,BH7,"kg")))</f>
        <v/>
      </c>
      <c r="BT16" s="433">
        <f t="shared" si="9"/>
        <v>0</v>
      </c>
      <c r="BU16" s="433" t="str">
        <f>_xlfn.LET(_xlpm.x,BF16,IF(LEN(_xlpm.x)&lt;1,"",IF(ISNUMBER(MATCH(_xlpm.x,ls_Mat_def,0)),'Project Inputs'!$BF$14,99)))</f>
        <v/>
      </c>
      <c r="BV16" s="432" t="str" cm="1">
        <f t="array" ref="BV16">IFERROR(INDEX(tblGWP[],MATCH(1,(tblGWP[Dataset ID]=BU16)*(tblGWP[Material Subcategory]=BF16),0),MATCH(BG16,ls_WHM,0)+5),"confirm")</f>
        <v>confirm</v>
      </c>
      <c r="BW16" s="434" t="str">
        <f t="shared" si="10"/>
        <v>No data</v>
      </c>
      <c r="BX16" s="434" t="str">
        <f t="shared" si="11"/>
        <v>No data</v>
      </c>
      <c r="BY16" s="434" t="str">
        <f t="shared" si="12"/>
        <v>No data</v>
      </c>
      <c r="BZ16" s="434" t="str">
        <f t="shared" si="13"/>
        <v>No data</v>
      </c>
      <c r="CA16" s="434" t="str">
        <f t="shared" si="14"/>
        <v>No data</v>
      </c>
      <c r="CB16" s="434" t="str">
        <f t="shared" si="15"/>
        <v>No data</v>
      </c>
      <c r="CC16" s="434" t="str">
        <f t="shared" si="16"/>
        <v>No data</v>
      </c>
      <c r="CD16" s="434" t="str">
        <f t="shared" si="17"/>
        <v>No data</v>
      </c>
      <c r="CE16" s="434" t="str">
        <f t="shared" si="18"/>
        <v>No data</v>
      </c>
      <c r="CF16" s="434" t="str">
        <f t="shared" si="19"/>
        <v>No data</v>
      </c>
      <c r="CG16" s="434" t="str">
        <f t="shared" si="20"/>
        <v>No data</v>
      </c>
      <c r="CH16" s="434" t="str">
        <f t="shared" si="21"/>
        <v>No data</v>
      </c>
      <c r="CI16" s="435">
        <f t="shared" si="22"/>
        <v>0</v>
      </c>
      <c r="CK16" s="3" t="str">
        <f>_xlfn.LET(_xlpm.x,INDEX(tbl_Mat_def[],MATCH(BF16,ls_Mat_def,0),2),IFERROR(IF(_xlpm.x=0,"No","Yes"),"No"))</f>
        <v>No</v>
      </c>
      <c r="CM16" s="60" t="str">
        <f t="shared" si="23"/>
        <v/>
      </c>
      <c r="CN16" s="60" t="s">
        <v>235</v>
      </c>
      <c r="CO16" s="432" t="str">
        <f>_xlfn.XLOOKUP(CM16,tblGWP[Material Subcategory],tblGWP[Landfill],0)</f>
        <v/>
      </c>
      <c r="CP16" s="436" t="str">
        <f>IFERROR($BT16*CO16,"")</f>
        <v/>
      </c>
      <c r="DA16" t="s">
        <v>10210</v>
      </c>
      <c r="DB16" s="44" t="s">
        <v>10218</v>
      </c>
      <c r="DD16" s="388">
        <f t="shared" si="29"/>
        <v>0</v>
      </c>
      <c r="DE16" s="22">
        <f t="shared" si="25"/>
        <v>19</v>
      </c>
      <c r="DF16" s="387">
        <f t="shared" si="30"/>
        <v>0</v>
      </c>
      <c r="DG16" s="387">
        <f>_xlfn.LET(_xlpm.x,DE16,_xlpm.y,B16,_xlpm.z,E16,_xlpm.m,F16,_xlpm.n,G16,_xlpm.o,COUNTBLANK(H16:S16),_xlpm.p,C16,IF(_xlpm.x=19,0,
IF(AND(LEN(_xlpm.y)&gt;0,LEN(_xlpm.z)&gt;0,LEN(_xlpm.m)&gt;0,LEN(_xlpm.n)&gt;0,LEN(_xlpm.p)&gt;0,_xlpm.o&lt;12),0,1)))</f>
        <v>0</v>
      </c>
      <c r="DH16" s="22">
        <f t="shared" ca="1" si="26"/>
        <v>0</v>
      </c>
      <c r="DI16">
        <f ca="1">IF(DE16=19,0,IF(ISNUMBER(MATCH(G16,INDIRECT(INDEX(ls_WHM_options,MATCH(F16,ls_Mat,0))),0)),0,1))</f>
        <v>0</v>
      </c>
    </row>
    <row r="17" spans="1:113" ht="30" customHeight="1">
      <c r="A17" s="22" t="str">
        <f t="shared" si="28"/>
        <v/>
      </c>
      <c r="B17" s="272"/>
      <c r="C17" s="491"/>
      <c r="D17" s="272"/>
      <c r="E17" s="400"/>
      <c r="F17" s="400"/>
      <c r="G17" s="401"/>
      <c r="H17" s="376"/>
      <c r="I17" s="376"/>
      <c r="J17" s="376"/>
      <c r="K17" s="376"/>
      <c r="L17" s="376"/>
      <c r="M17" s="376"/>
      <c r="N17" s="376"/>
      <c r="O17" s="376"/>
      <c r="P17" s="376"/>
      <c r="Q17" s="376"/>
      <c r="R17" s="376"/>
      <c r="S17" s="376"/>
      <c r="T17" s="431">
        <f t="shared" si="3"/>
        <v>0</v>
      </c>
      <c r="U17" s="272"/>
      <c r="BC17" s="432" t="str">
        <f t="shared" si="4"/>
        <v/>
      </c>
      <c r="BD17" s="432" t="str">
        <f t="shared" si="5"/>
        <v/>
      </c>
      <c r="BE17" s="432" t="str">
        <f t="shared" si="6"/>
        <v/>
      </c>
      <c r="BF17" s="432" t="str">
        <f t="shared" si="7"/>
        <v/>
      </c>
      <c r="BG17" s="432" t="str">
        <f t="shared" si="8"/>
        <v/>
      </c>
      <c r="BH17" s="432" t="str">
        <f>_xlfn.LET(_xlpm.x,H17,IF(OR(LEN(_xlpm.x)&lt;1,_xlpm.x=0),"",CONVERT(_xlpm.x,BH7,"kg")))</f>
        <v/>
      </c>
      <c r="BI17" s="432" t="str">
        <f>_xlfn.LET(_xlpm.x,I17,IF(OR(LEN(_xlpm.x)&lt;1,_xlpm.x=0),"",CONVERT(_xlpm.x,BH7,"kg")))</f>
        <v/>
      </c>
      <c r="BJ17" s="432" t="str">
        <f>_xlfn.LET(_xlpm.x,J17,IF(OR(LEN(_xlpm.x)&lt;1,_xlpm.x=0),"",CONVERT(_xlpm.x,BH7,"kg")))</f>
        <v/>
      </c>
      <c r="BK17" s="432" t="str">
        <f>_xlfn.LET(_xlpm.x,K17,IF(OR(LEN(_xlpm.x)&lt;1,_xlpm.x=0),"",CONVERT(_xlpm.x,BH7,"kg")))</f>
        <v/>
      </c>
      <c r="BL17" s="432" t="str">
        <f>_xlfn.LET(_xlpm.x,L17,IF(OR(LEN(_xlpm.x)&lt;1,_xlpm.x=0),"",CONVERT(_xlpm.x,BH7,"kg")))</f>
        <v/>
      </c>
      <c r="BM17" s="432" t="str">
        <f>_xlfn.LET(_xlpm.x,M17,IF(OR(LEN(_xlpm.x)&lt;1,_xlpm.x=0),"",CONVERT(_xlpm.x,BH7,"kg")))</f>
        <v/>
      </c>
      <c r="BN17" s="432" t="str">
        <f>_xlfn.LET(_xlpm.x,N17,IF(OR(LEN(_xlpm.x)&lt;1,_xlpm.x=0),"",CONVERT(_xlpm.x,BH7,"kg")))</f>
        <v/>
      </c>
      <c r="BO17" s="432" t="str">
        <f>_xlfn.LET(_xlpm.x,O17,IF(OR(LEN(_xlpm.x)&lt;1,_xlpm.x=0),"",CONVERT(_xlpm.x,BH7,"kg")))</f>
        <v/>
      </c>
      <c r="BP17" s="432" t="str">
        <f>_xlfn.LET(_xlpm.x,P17,IF(OR(LEN(_xlpm.x)&lt;1,_xlpm.x=0),"",CONVERT(_xlpm.x,BH7,"kg")))</f>
        <v/>
      </c>
      <c r="BQ17" s="432" t="str">
        <f>_xlfn.LET(_xlpm.x,Q17,IF(OR(LEN(_xlpm.x)&lt;1,_xlpm.x=0),"",CONVERT(_xlpm.x,BH7,"kg")))</f>
        <v/>
      </c>
      <c r="BR17" s="432" t="str">
        <f>_xlfn.LET(_xlpm.x,R17,IF(OR(LEN(_xlpm.x)&lt;1,_xlpm.x=0),"",CONVERT(_xlpm.x,BH7,"kg")))</f>
        <v/>
      </c>
      <c r="BS17" s="432" t="str">
        <f>_xlfn.LET(_xlpm.x,S17,IF(OR(LEN(_xlpm.x)&lt;1,_xlpm.x=0),"",CONVERT(_xlpm.x,BH7,"kg")))</f>
        <v/>
      </c>
      <c r="BT17" s="433">
        <f t="shared" si="9"/>
        <v>0</v>
      </c>
      <c r="BU17" s="433" t="str">
        <f>_xlfn.LET(_xlpm.x,BF17,IF(LEN(_xlpm.x)&lt;1,"",IF(ISNUMBER(MATCH(_xlpm.x,ls_Mat_def,0)),'Project Inputs'!$BF$14,99)))</f>
        <v/>
      </c>
      <c r="BV17" s="432" t="str" cm="1">
        <f t="array" ref="BV17">IFERROR(INDEX(tblGWP[],MATCH(1,(tblGWP[Dataset ID]=BU17)*(tblGWP[Material Subcategory]=BF17),0),MATCH(BG17,ls_WHM,0)+5),"confirm")</f>
        <v>confirm</v>
      </c>
      <c r="BW17" s="434" t="str">
        <f t="shared" si="10"/>
        <v>No data</v>
      </c>
      <c r="BX17" s="434" t="str">
        <f t="shared" si="11"/>
        <v>No data</v>
      </c>
      <c r="BY17" s="434" t="str">
        <f t="shared" si="12"/>
        <v>No data</v>
      </c>
      <c r="BZ17" s="434" t="str">
        <f t="shared" si="13"/>
        <v>No data</v>
      </c>
      <c r="CA17" s="434" t="str">
        <f t="shared" si="14"/>
        <v>No data</v>
      </c>
      <c r="CB17" s="434" t="str">
        <f t="shared" si="15"/>
        <v>No data</v>
      </c>
      <c r="CC17" s="434" t="str">
        <f t="shared" si="16"/>
        <v>No data</v>
      </c>
      <c r="CD17" s="434" t="str">
        <f t="shared" si="17"/>
        <v>No data</v>
      </c>
      <c r="CE17" s="434" t="str">
        <f t="shared" si="18"/>
        <v>No data</v>
      </c>
      <c r="CF17" s="434" t="str">
        <f t="shared" si="19"/>
        <v>No data</v>
      </c>
      <c r="CG17" s="434" t="str">
        <f t="shared" si="20"/>
        <v>No data</v>
      </c>
      <c r="CH17" s="434" t="str">
        <f t="shared" si="21"/>
        <v>No data</v>
      </c>
      <c r="CI17" s="435">
        <f t="shared" si="22"/>
        <v>0</v>
      </c>
      <c r="CK17" s="3" t="str">
        <f>_xlfn.LET(_xlpm.x,INDEX(tbl_Mat_def[],MATCH(BF17,ls_Mat_def,0),2),IFERROR(IF(_xlpm.x=0,"No","Yes"),"No"))</f>
        <v>No</v>
      </c>
      <c r="CM17" s="60" t="str">
        <f t="shared" si="23"/>
        <v/>
      </c>
      <c r="CN17" s="60" t="s">
        <v>235</v>
      </c>
      <c r="CO17" s="566" t="str">
        <f>_xlfn.XLOOKUP(CM17,tblGWP[Material Subcategory],tblGWP[Landfill],0)</f>
        <v/>
      </c>
      <c r="CP17" s="436" t="str">
        <f t="shared" si="24"/>
        <v/>
      </c>
      <c r="DA17" t="s">
        <v>10222</v>
      </c>
      <c r="DB17" t="s">
        <v>10240</v>
      </c>
      <c r="DD17" s="388">
        <f t="shared" si="29"/>
        <v>0</v>
      </c>
      <c r="DE17" s="22">
        <f t="shared" si="25"/>
        <v>19</v>
      </c>
      <c r="DF17" s="387">
        <f t="shared" si="30"/>
        <v>0</v>
      </c>
      <c r="DG17" s="387">
        <f t="shared" ref="DG17:DG33" si="31">_xlfn.LET(_xlpm.x,DE17,_xlpm.y,B17,_xlpm.z,E17,_xlpm.m,F17,_xlpm.n,G17,_xlpm.o,COUNTBLANK(H17:S17),_xlpm.p,C17,IF(_xlpm.x=19,0,
IF(AND(LEN(_xlpm.y)&gt;0,LEN(_xlpm.z)&gt;0,LEN(_xlpm.m)&gt;0,LEN(_xlpm.n)&gt;0,LEN(_xlpm.p)&gt;0,_xlpm.o&lt;12),0,1)))</f>
        <v>0</v>
      </c>
      <c r="DH17" s="22">
        <f t="shared" ca="1" si="26"/>
        <v>0</v>
      </c>
      <c r="DI17">
        <f t="shared" ca="1" si="27"/>
        <v>0</v>
      </c>
    </row>
    <row r="18" spans="1:113" ht="30" customHeight="1">
      <c r="A18" s="22" t="str">
        <f t="shared" si="28"/>
        <v/>
      </c>
      <c r="B18" s="272"/>
      <c r="C18" s="491"/>
      <c r="D18" s="272"/>
      <c r="E18" s="400"/>
      <c r="F18" s="400"/>
      <c r="G18" s="401"/>
      <c r="H18" s="376"/>
      <c r="I18" s="376"/>
      <c r="J18" s="376"/>
      <c r="K18" s="376"/>
      <c r="L18" s="376"/>
      <c r="M18" s="376"/>
      <c r="N18" s="376"/>
      <c r="O18" s="376"/>
      <c r="P18" s="376"/>
      <c r="Q18" s="376"/>
      <c r="R18" s="376"/>
      <c r="S18" s="376"/>
      <c r="T18" s="431">
        <f t="shared" si="3"/>
        <v>0</v>
      </c>
      <c r="U18" s="272"/>
      <c r="BC18" s="432" t="str">
        <f t="shared" si="4"/>
        <v/>
      </c>
      <c r="BD18" s="432" t="str">
        <f t="shared" si="5"/>
        <v/>
      </c>
      <c r="BE18" s="432" t="str">
        <f t="shared" si="6"/>
        <v/>
      </c>
      <c r="BF18" s="432" t="str">
        <f t="shared" si="7"/>
        <v/>
      </c>
      <c r="BG18" s="432" t="str">
        <f t="shared" si="8"/>
        <v/>
      </c>
      <c r="BH18" s="432" t="str">
        <f>_xlfn.LET(_xlpm.x,H18,IF(OR(LEN(_xlpm.x)&lt;1,_xlpm.x=0),"",CONVERT(_xlpm.x,BH7,"kg")))</f>
        <v/>
      </c>
      <c r="BI18" s="432" t="str">
        <f>_xlfn.LET(_xlpm.x,I18,IF(OR(LEN(_xlpm.x)&lt;1,_xlpm.x=0),"",CONVERT(_xlpm.x,BH7,"kg")))</f>
        <v/>
      </c>
      <c r="BJ18" s="432" t="str">
        <f>_xlfn.LET(_xlpm.x,J18,IF(OR(LEN(_xlpm.x)&lt;1,_xlpm.x=0),"",CONVERT(_xlpm.x,BH7,"kg")))</f>
        <v/>
      </c>
      <c r="BK18" s="432" t="str">
        <f>_xlfn.LET(_xlpm.x,K18,IF(OR(LEN(_xlpm.x)&lt;1,_xlpm.x=0),"",CONVERT(_xlpm.x,BH7,"kg")))</f>
        <v/>
      </c>
      <c r="BL18" s="432" t="str">
        <f>_xlfn.LET(_xlpm.x,L18,IF(OR(LEN(_xlpm.x)&lt;1,_xlpm.x=0),"",CONVERT(_xlpm.x,BH7,"kg")))</f>
        <v/>
      </c>
      <c r="BM18" s="432" t="str">
        <f>_xlfn.LET(_xlpm.x,M18,IF(OR(LEN(_xlpm.x)&lt;1,_xlpm.x=0),"",CONVERT(_xlpm.x,BH7,"kg")))</f>
        <v/>
      </c>
      <c r="BN18" s="432" t="str">
        <f>_xlfn.LET(_xlpm.x,N18,IF(OR(LEN(_xlpm.x)&lt;1,_xlpm.x=0),"",CONVERT(_xlpm.x,BH7,"kg")))</f>
        <v/>
      </c>
      <c r="BO18" s="432" t="str">
        <f>_xlfn.LET(_xlpm.x,O18,IF(OR(LEN(_xlpm.x)&lt;1,_xlpm.x=0),"",CONVERT(_xlpm.x,BH7,"kg")))</f>
        <v/>
      </c>
      <c r="BP18" s="432" t="str">
        <f>_xlfn.LET(_xlpm.x,P18,IF(OR(LEN(_xlpm.x)&lt;1,_xlpm.x=0),"",CONVERT(_xlpm.x,BH7,"kg")))</f>
        <v/>
      </c>
      <c r="BQ18" s="432" t="str">
        <f>_xlfn.LET(_xlpm.x,Q18,IF(OR(LEN(_xlpm.x)&lt;1,_xlpm.x=0),"",CONVERT(_xlpm.x,BH7,"kg")))</f>
        <v/>
      </c>
      <c r="BR18" s="432" t="str">
        <f>_xlfn.LET(_xlpm.x,R18,IF(OR(LEN(_xlpm.x)&lt;1,_xlpm.x=0),"",CONVERT(_xlpm.x,BH7,"kg")))</f>
        <v/>
      </c>
      <c r="BS18" s="432" t="str">
        <f>_xlfn.LET(_xlpm.x,S18,IF(OR(LEN(_xlpm.x)&lt;1,_xlpm.x=0),"",CONVERT(_xlpm.x,BH7,"kg")))</f>
        <v/>
      </c>
      <c r="BT18" s="433">
        <f t="shared" si="9"/>
        <v>0</v>
      </c>
      <c r="BU18" s="433" t="str">
        <f>_xlfn.LET(_xlpm.x,BF18,IF(LEN(_xlpm.x)&lt;1,"",IF(ISNUMBER(MATCH(_xlpm.x,ls_Mat_def,0)),'Project Inputs'!$BF$14,99)))</f>
        <v/>
      </c>
      <c r="BV18" s="432" t="str" cm="1">
        <f t="array" ref="BV18">IFERROR(INDEX(tblGWP[],MATCH(1,(tblGWP[Dataset ID]=BU18)*(tblGWP[Material Subcategory]=BF18),0),MATCH(BG18,ls_WHM,0)+5),"confirm")</f>
        <v>confirm</v>
      </c>
      <c r="BW18" s="434" t="str">
        <f t="shared" si="10"/>
        <v>No data</v>
      </c>
      <c r="BX18" s="434" t="str">
        <f t="shared" si="11"/>
        <v>No data</v>
      </c>
      <c r="BY18" s="434" t="str">
        <f t="shared" si="12"/>
        <v>No data</v>
      </c>
      <c r="BZ18" s="434" t="str">
        <f t="shared" si="13"/>
        <v>No data</v>
      </c>
      <c r="CA18" s="434" t="str">
        <f t="shared" si="14"/>
        <v>No data</v>
      </c>
      <c r="CB18" s="434" t="str">
        <f t="shared" si="15"/>
        <v>No data</v>
      </c>
      <c r="CC18" s="434" t="str">
        <f t="shared" si="16"/>
        <v>No data</v>
      </c>
      <c r="CD18" s="434" t="str">
        <f t="shared" si="17"/>
        <v>No data</v>
      </c>
      <c r="CE18" s="434" t="str">
        <f t="shared" si="18"/>
        <v>No data</v>
      </c>
      <c r="CF18" s="434" t="str">
        <f t="shared" si="19"/>
        <v>No data</v>
      </c>
      <c r="CG18" s="434" t="str">
        <f t="shared" si="20"/>
        <v>No data</v>
      </c>
      <c r="CH18" s="434" t="str">
        <f t="shared" si="21"/>
        <v>No data</v>
      </c>
      <c r="CI18" s="435">
        <f t="shared" si="22"/>
        <v>0</v>
      </c>
      <c r="CK18" s="3" t="str">
        <f>_xlfn.LET(_xlpm.x,INDEX(tbl_Mat_def[],MATCH(BF18,ls_Mat_def,0),2),IFERROR(IF(_xlpm.x=0,"No","Yes"),"No"))</f>
        <v>No</v>
      </c>
      <c r="CM18" s="60" t="str">
        <f t="shared" si="23"/>
        <v/>
      </c>
      <c r="CN18" s="60" t="s">
        <v>235</v>
      </c>
      <c r="CO18" s="566" t="str">
        <f>_xlfn.XLOOKUP(CM18,tblGWP[Material Subcategory],tblGWP[Landfill],0)</f>
        <v/>
      </c>
      <c r="CP18" s="436" t="str">
        <f t="shared" si="24"/>
        <v/>
      </c>
      <c r="DA18" t="s">
        <v>10239</v>
      </c>
      <c r="DB18" t="s">
        <v>10241</v>
      </c>
      <c r="DD18" s="388">
        <f t="shared" si="29"/>
        <v>0</v>
      </c>
      <c r="DE18" s="22">
        <f t="shared" si="25"/>
        <v>19</v>
      </c>
      <c r="DF18" s="387">
        <f t="shared" si="30"/>
        <v>0</v>
      </c>
      <c r="DG18" s="387">
        <f t="shared" si="31"/>
        <v>0</v>
      </c>
      <c r="DH18" s="22">
        <f t="shared" ca="1" si="26"/>
        <v>0</v>
      </c>
      <c r="DI18">
        <f t="shared" ca="1" si="27"/>
        <v>0</v>
      </c>
    </row>
    <row r="19" spans="1:113" ht="30" customHeight="1">
      <c r="A19" s="22" t="str">
        <f t="shared" si="28"/>
        <v/>
      </c>
      <c r="B19" s="272"/>
      <c r="C19" s="491"/>
      <c r="D19" s="272"/>
      <c r="E19" s="400"/>
      <c r="F19" s="400"/>
      <c r="G19" s="401"/>
      <c r="H19" s="376"/>
      <c r="I19" s="376"/>
      <c r="J19" s="376"/>
      <c r="K19" s="376"/>
      <c r="L19" s="376"/>
      <c r="M19" s="376"/>
      <c r="N19" s="376"/>
      <c r="O19" s="376"/>
      <c r="P19" s="376"/>
      <c r="Q19" s="376"/>
      <c r="R19" s="376"/>
      <c r="S19" s="376"/>
      <c r="T19" s="431">
        <f t="shared" si="3"/>
        <v>0</v>
      </c>
      <c r="U19" s="272"/>
      <c r="BC19" s="432" t="str">
        <f t="shared" si="4"/>
        <v/>
      </c>
      <c r="BD19" s="432" t="str">
        <f t="shared" si="5"/>
        <v/>
      </c>
      <c r="BE19" s="432" t="str">
        <f t="shared" si="6"/>
        <v/>
      </c>
      <c r="BF19" s="432" t="str">
        <f t="shared" si="7"/>
        <v/>
      </c>
      <c r="BG19" s="432" t="str">
        <f t="shared" si="8"/>
        <v/>
      </c>
      <c r="BH19" s="432" t="str">
        <f>_xlfn.LET(_xlpm.x,H19,IF(OR(LEN(_xlpm.x)&lt;1,_xlpm.x=0),"",CONVERT(_xlpm.x,BH7,"kg")))</f>
        <v/>
      </c>
      <c r="BI19" s="432" t="str">
        <f>_xlfn.LET(_xlpm.x,I19,IF(OR(LEN(_xlpm.x)&lt;1,_xlpm.x=0),"",CONVERT(_xlpm.x,BH7,"kg")))</f>
        <v/>
      </c>
      <c r="BJ19" s="432" t="str">
        <f>_xlfn.LET(_xlpm.x,J19,IF(OR(LEN(_xlpm.x)&lt;1,_xlpm.x=0),"",CONVERT(_xlpm.x,BH7,"kg")))</f>
        <v/>
      </c>
      <c r="BK19" s="432" t="str">
        <f>_xlfn.LET(_xlpm.x,K19,IF(OR(LEN(_xlpm.x)&lt;1,_xlpm.x=0),"",CONVERT(_xlpm.x,BH7,"kg")))</f>
        <v/>
      </c>
      <c r="BL19" s="432" t="str">
        <f>_xlfn.LET(_xlpm.x,L19,IF(OR(LEN(_xlpm.x)&lt;1,_xlpm.x=0),"",CONVERT(_xlpm.x,BH7,"kg")))</f>
        <v/>
      </c>
      <c r="BM19" s="432" t="str">
        <f>_xlfn.LET(_xlpm.x,M19,IF(OR(LEN(_xlpm.x)&lt;1,_xlpm.x=0),"",CONVERT(_xlpm.x,BH7,"kg")))</f>
        <v/>
      </c>
      <c r="BN19" s="432" t="str">
        <f>_xlfn.LET(_xlpm.x,N19,IF(OR(LEN(_xlpm.x)&lt;1,_xlpm.x=0),"",CONVERT(_xlpm.x,BH7,"kg")))</f>
        <v/>
      </c>
      <c r="BO19" s="432" t="str">
        <f>_xlfn.LET(_xlpm.x,O19,IF(OR(LEN(_xlpm.x)&lt;1,_xlpm.x=0),"",CONVERT(_xlpm.x,BH7,"kg")))</f>
        <v/>
      </c>
      <c r="BP19" s="432" t="str">
        <f>_xlfn.LET(_xlpm.x,P19,IF(OR(LEN(_xlpm.x)&lt;1,_xlpm.x=0),"",CONVERT(_xlpm.x,BH7,"kg")))</f>
        <v/>
      </c>
      <c r="BQ19" s="432" t="str">
        <f>_xlfn.LET(_xlpm.x,Q19,IF(OR(LEN(_xlpm.x)&lt;1,_xlpm.x=0),"",CONVERT(_xlpm.x,BH7,"kg")))</f>
        <v/>
      </c>
      <c r="BR19" s="432" t="str">
        <f>_xlfn.LET(_xlpm.x,R19,IF(OR(LEN(_xlpm.x)&lt;1,_xlpm.x=0),"",CONVERT(_xlpm.x,BH7,"kg")))</f>
        <v/>
      </c>
      <c r="BS19" s="432" t="str">
        <f>_xlfn.LET(_xlpm.x,S19,IF(OR(LEN(_xlpm.x)&lt;1,_xlpm.x=0),"",CONVERT(_xlpm.x,BH7,"kg")))</f>
        <v/>
      </c>
      <c r="BT19" s="433">
        <f t="shared" si="9"/>
        <v>0</v>
      </c>
      <c r="BU19" s="433" t="str">
        <f>_xlfn.LET(_xlpm.x,BF19,IF(LEN(_xlpm.x)&lt;1,"",IF(ISNUMBER(MATCH(_xlpm.x,ls_Mat_def,0)),'Project Inputs'!$BF$14,99)))</f>
        <v/>
      </c>
      <c r="BV19" s="432" t="str" cm="1">
        <f t="array" ref="BV19">IFERROR(INDEX(tblGWP[],MATCH(1,(tblGWP[Dataset ID]=BU19)*(tblGWP[Material Subcategory]=BF19),0),MATCH(BG19,ls_WHM,0)+5),"confirm")</f>
        <v>confirm</v>
      </c>
      <c r="BW19" s="434" t="str">
        <f t="shared" si="10"/>
        <v>No data</v>
      </c>
      <c r="BX19" s="434" t="str">
        <f t="shared" si="11"/>
        <v>No data</v>
      </c>
      <c r="BY19" s="434" t="str">
        <f t="shared" si="12"/>
        <v>No data</v>
      </c>
      <c r="BZ19" s="434" t="str">
        <f t="shared" si="13"/>
        <v>No data</v>
      </c>
      <c r="CA19" s="434" t="str">
        <f t="shared" si="14"/>
        <v>No data</v>
      </c>
      <c r="CB19" s="434" t="str">
        <f t="shared" si="15"/>
        <v>No data</v>
      </c>
      <c r="CC19" s="434" t="str">
        <f t="shared" si="16"/>
        <v>No data</v>
      </c>
      <c r="CD19" s="434" t="str">
        <f t="shared" si="17"/>
        <v>No data</v>
      </c>
      <c r="CE19" s="434" t="str">
        <f t="shared" si="18"/>
        <v>No data</v>
      </c>
      <c r="CF19" s="434" t="str">
        <f t="shared" si="19"/>
        <v>No data</v>
      </c>
      <c r="CG19" s="434" t="str">
        <f t="shared" si="20"/>
        <v>No data</v>
      </c>
      <c r="CH19" s="434" t="str">
        <f t="shared" si="21"/>
        <v>No data</v>
      </c>
      <c r="CI19" s="435">
        <f t="shared" si="22"/>
        <v>0</v>
      </c>
      <c r="CK19" s="3" t="str">
        <f>_xlfn.LET(_xlpm.x,INDEX(tbl_Mat_def[],MATCH(BF19,ls_Mat_def,0),2),IFERROR(IF(_xlpm.x=0,"No","Yes"),"No"))</f>
        <v>No</v>
      </c>
      <c r="CM19" s="60" t="str">
        <f t="shared" si="23"/>
        <v/>
      </c>
      <c r="CN19" s="60" t="s">
        <v>235</v>
      </c>
      <c r="CO19" s="566" t="str">
        <f>_xlfn.XLOOKUP(CM19,tblGWP[Material Subcategory],tblGWP[Landfill],0)</f>
        <v/>
      </c>
      <c r="CP19" s="436" t="str">
        <f t="shared" si="24"/>
        <v/>
      </c>
      <c r="DD19" s="388">
        <f t="shared" si="29"/>
        <v>0</v>
      </c>
      <c r="DE19" s="22">
        <f t="shared" si="25"/>
        <v>19</v>
      </c>
      <c r="DF19" s="387">
        <f t="shared" si="30"/>
        <v>0</v>
      </c>
      <c r="DG19" s="387">
        <f t="shared" si="31"/>
        <v>0</v>
      </c>
      <c r="DH19" s="22">
        <f t="shared" ca="1" si="26"/>
        <v>0</v>
      </c>
      <c r="DI19">
        <f t="shared" ca="1" si="27"/>
        <v>0</v>
      </c>
    </row>
    <row r="20" spans="1:113" ht="30" customHeight="1">
      <c r="A20" s="22" t="str">
        <f t="shared" si="28"/>
        <v/>
      </c>
      <c r="B20" s="272"/>
      <c r="C20" s="491"/>
      <c r="D20" s="272"/>
      <c r="E20" s="400"/>
      <c r="F20" s="400"/>
      <c r="G20" s="401"/>
      <c r="H20" s="376"/>
      <c r="I20" s="376"/>
      <c r="J20" s="376"/>
      <c r="K20" s="376"/>
      <c r="L20" s="376"/>
      <c r="M20" s="376"/>
      <c r="N20" s="376"/>
      <c r="O20" s="376"/>
      <c r="P20" s="376"/>
      <c r="Q20" s="376"/>
      <c r="R20" s="376"/>
      <c r="S20" s="376"/>
      <c r="T20" s="431">
        <f t="shared" si="3"/>
        <v>0</v>
      </c>
      <c r="U20" s="272"/>
      <c r="BC20" s="432" t="str">
        <f t="shared" si="4"/>
        <v/>
      </c>
      <c r="BD20" s="432" t="str">
        <f t="shared" si="5"/>
        <v/>
      </c>
      <c r="BE20" s="432" t="str">
        <f t="shared" si="6"/>
        <v/>
      </c>
      <c r="BF20" s="432" t="str">
        <f t="shared" si="7"/>
        <v/>
      </c>
      <c r="BG20" s="432" t="str">
        <f t="shared" si="8"/>
        <v/>
      </c>
      <c r="BH20" s="432" t="str">
        <f>_xlfn.LET(_xlpm.x,H20,IF(OR(LEN(_xlpm.x)&lt;1,_xlpm.x=0),"",CONVERT(_xlpm.x,BH7,"kg")))</f>
        <v/>
      </c>
      <c r="BI20" s="432" t="str">
        <f>_xlfn.LET(_xlpm.x,I20,IF(OR(LEN(_xlpm.x)&lt;1,_xlpm.x=0),"",CONVERT(_xlpm.x,BH7,"kg")))</f>
        <v/>
      </c>
      <c r="BJ20" s="432" t="str">
        <f>_xlfn.LET(_xlpm.x,J20,IF(OR(LEN(_xlpm.x)&lt;1,_xlpm.x=0),"",CONVERT(_xlpm.x,BH7,"kg")))</f>
        <v/>
      </c>
      <c r="BK20" s="432" t="str">
        <f>_xlfn.LET(_xlpm.x,K20,IF(OR(LEN(_xlpm.x)&lt;1,_xlpm.x=0),"",CONVERT(_xlpm.x,BH7,"kg")))</f>
        <v/>
      </c>
      <c r="BL20" s="432" t="str">
        <f>_xlfn.LET(_xlpm.x,L20,IF(OR(LEN(_xlpm.x)&lt;1,_xlpm.x=0),"",CONVERT(_xlpm.x,BH7,"kg")))</f>
        <v/>
      </c>
      <c r="BM20" s="432" t="str">
        <f>_xlfn.LET(_xlpm.x,M20,IF(OR(LEN(_xlpm.x)&lt;1,_xlpm.x=0),"",CONVERT(_xlpm.x,BH7,"kg")))</f>
        <v/>
      </c>
      <c r="BN20" s="432" t="str">
        <f>_xlfn.LET(_xlpm.x,N20,IF(OR(LEN(_xlpm.x)&lt;1,_xlpm.x=0),"",CONVERT(_xlpm.x,BH7,"kg")))</f>
        <v/>
      </c>
      <c r="BO20" s="432" t="str">
        <f>_xlfn.LET(_xlpm.x,O20,IF(OR(LEN(_xlpm.x)&lt;1,_xlpm.x=0),"",CONVERT(_xlpm.x,BH7,"kg")))</f>
        <v/>
      </c>
      <c r="BP20" s="432" t="str">
        <f>_xlfn.LET(_xlpm.x,P20,IF(OR(LEN(_xlpm.x)&lt;1,_xlpm.x=0),"",CONVERT(_xlpm.x,BH7,"kg")))</f>
        <v/>
      </c>
      <c r="BQ20" s="432" t="str">
        <f>_xlfn.LET(_xlpm.x,Q20,IF(OR(LEN(_xlpm.x)&lt;1,_xlpm.x=0),"",CONVERT(_xlpm.x,BH7,"kg")))</f>
        <v/>
      </c>
      <c r="BR20" s="432" t="str">
        <f>_xlfn.LET(_xlpm.x,R20,IF(OR(LEN(_xlpm.x)&lt;1,_xlpm.x=0),"",CONVERT(_xlpm.x,BH7,"kg")))</f>
        <v/>
      </c>
      <c r="BS20" s="432" t="str">
        <f>_xlfn.LET(_xlpm.x,S20,IF(OR(LEN(_xlpm.x)&lt;1,_xlpm.x=0),"",CONVERT(_xlpm.x,BH7,"kg")))</f>
        <v/>
      </c>
      <c r="BT20" s="433">
        <f t="shared" si="9"/>
        <v>0</v>
      </c>
      <c r="BU20" s="433" t="str">
        <f>_xlfn.LET(_xlpm.x,BF20,IF(LEN(_xlpm.x)&lt;1,"",IF(ISNUMBER(MATCH(_xlpm.x,ls_Mat_def,0)),'Project Inputs'!$BF$14,99)))</f>
        <v/>
      </c>
      <c r="BV20" s="432" t="str" cm="1">
        <f t="array" ref="BV20">IFERROR(INDEX(tblGWP[],MATCH(1,(tblGWP[Dataset ID]=BU20)*(tblGWP[Material Subcategory]=BF20),0),MATCH(BG20,ls_WHM,0)+5),"confirm")</f>
        <v>confirm</v>
      </c>
      <c r="BW20" s="434" t="str">
        <f t="shared" si="10"/>
        <v>No data</v>
      </c>
      <c r="BX20" s="434" t="str">
        <f t="shared" si="11"/>
        <v>No data</v>
      </c>
      <c r="BY20" s="434" t="str">
        <f t="shared" si="12"/>
        <v>No data</v>
      </c>
      <c r="BZ20" s="434" t="str">
        <f t="shared" si="13"/>
        <v>No data</v>
      </c>
      <c r="CA20" s="434" t="str">
        <f t="shared" si="14"/>
        <v>No data</v>
      </c>
      <c r="CB20" s="434" t="str">
        <f t="shared" si="15"/>
        <v>No data</v>
      </c>
      <c r="CC20" s="434" t="str">
        <f t="shared" si="16"/>
        <v>No data</v>
      </c>
      <c r="CD20" s="434" t="str">
        <f t="shared" si="17"/>
        <v>No data</v>
      </c>
      <c r="CE20" s="434" t="str">
        <f t="shared" si="18"/>
        <v>No data</v>
      </c>
      <c r="CF20" s="434" t="str">
        <f t="shared" si="19"/>
        <v>No data</v>
      </c>
      <c r="CG20" s="434" t="str">
        <f t="shared" si="20"/>
        <v>No data</v>
      </c>
      <c r="CH20" s="434" t="str">
        <f t="shared" si="21"/>
        <v>No data</v>
      </c>
      <c r="CI20" s="435">
        <f t="shared" si="22"/>
        <v>0</v>
      </c>
      <c r="CK20" s="3" t="str">
        <f>_xlfn.LET(_xlpm.x,INDEX(tbl_Mat_def[],MATCH(BF20,ls_Mat_def,0),2),IFERROR(IF(_xlpm.x=0,"No","Yes"),"No"))</f>
        <v>No</v>
      </c>
      <c r="CM20" s="60" t="str">
        <f t="shared" si="23"/>
        <v/>
      </c>
      <c r="CN20" s="60" t="s">
        <v>235</v>
      </c>
      <c r="CO20" s="566" t="str">
        <f>_xlfn.XLOOKUP(CM20,tblGWP[Material Subcategory],tblGWP[Landfill],0)</f>
        <v/>
      </c>
      <c r="CP20" s="436" t="str">
        <f t="shared" si="24"/>
        <v/>
      </c>
      <c r="DD20" s="388">
        <f t="shared" si="29"/>
        <v>0</v>
      </c>
      <c r="DE20" s="22">
        <f t="shared" si="25"/>
        <v>19</v>
      </c>
      <c r="DF20" s="387">
        <f t="shared" si="30"/>
        <v>0</v>
      </c>
      <c r="DG20" s="387">
        <f t="shared" si="31"/>
        <v>0</v>
      </c>
      <c r="DH20" s="22">
        <f t="shared" ca="1" si="26"/>
        <v>0</v>
      </c>
      <c r="DI20">
        <f t="shared" ca="1" si="27"/>
        <v>0</v>
      </c>
    </row>
    <row r="21" spans="1:113" ht="30" customHeight="1">
      <c r="A21" s="22" t="str">
        <f t="shared" si="28"/>
        <v/>
      </c>
      <c r="B21" s="272"/>
      <c r="C21" s="491"/>
      <c r="D21" s="272"/>
      <c r="E21" s="400"/>
      <c r="F21" s="400"/>
      <c r="G21" s="401"/>
      <c r="H21" s="376"/>
      <c r="I21" s="376"/>
      <c r="J21" s="376"/>
      <c r="K21" s="376"/>
      <c r="L21" s="376"/>
      <c r="M21" s="376"/>
      <c r="N21" s="376"/>
      <c r="O21" s="376"/>
      <c r="P21" s="376"/>
      <c r="Q21" s="376"/>
      <c r="R21" s="376"/>
      <c r="S21" s="376"/>
      <c r="T21" s="431">
        <f t="shared" si="3"/>
        <v>0</v>
      </c>
      <c r="U21" s="272"/>
      <c r="BC21" s="432" t="str">
        <f t="shared" si="4"/>
        <v/>
      </c>
      <c r="BD21" s="432" t="str">
        <f t="shared" si="5"/>
        <v/>
      </c>
      <c r="BE21" s="432" t="str">
        <f t="shared" si="6"/>
        <v/>
      </c>
      <c r="BF21" s="432" t="str">
        <f t="shared" si="7"/>
        <v/>
      </c>
      <c r="BG21" s="432" t="str">
        <f t="shared" si="8"/>
        <v/>
      </c>
      <c r="BH21" s="432" t="str">
        <f>_xlfn.LET(_xlpm.x,H21,IF(OR(LEN(_xlpm.x)&lt;1,_xlpm.x=0),"",CONVERT(_xlpm.x,BH7,"kg")))</f>
        <v/>
      </c>
      <c r="BI21" s="432" t="str">
        <f>_xlfn.LET(_xlpm.x,I21,IF(OR(LEN(_xlpm.x)&lt;1,_xlpm.x=0),"",CONVERT(_xlpm.x,BH7,"kg")))</f>
        <v/>
      </c>
      <c r="BJ21" s="432" t="str">
        <f>_xlfn.LET(_xlpm.x,J21,IF(OR(LEN(_xlpm.x)&lt;1,_xlpm.x=0),"",CONVERT(_xlpm.x,BH7,"kg")))</f>
        <v/>
      </c>
      <c r="BK21" s="432" t="str">
        <f>_xlfn.LET(_xlpm.x,K21,IF(OR(LEN(_xlpm.x)&lt;1,_xlpm.x=0),"",CONVERT(_xlpm.x,BH7,"kg")))</f>
        <v/>
      </c>
      <c r="BL21" s="432" t="str">
        <f>_xlfn.LET(_xlpm.x,L21,IF(OR(LEN(_xlpm.x)&lt;1,_xlpm.x=0),"",CONVERT(_xlpm.x,BH7,"kg")))</f>
        <v/>
      </c>
      <c r="BM21" s="432" t="str">
        <f>_xlfn.LET(_xlpm.x,M21,IF(OR(LEN(_xlpm.x)&lt;1,_xlpm.x=0),"",CONVERT(_xlpm.x,BH7,"kg")))</f>
        <v/>
      </c>
      <c r="BN21" s="432" t="str">
        <f>_xlfn.LET(_xlpm.x,N21,IF(OR(LEN(_xlpm.x)&lt;1,_xlpm.x=0),"",CONVERT(_xlpm.x,BH7,"kg")))</f>
        <v/>
      </c>
      <c r="BO21" s="432" t="str">
        <f>_xlfn.LET(_xlpm.x,O21,IF(OR(LEN(_xlpm.x)&lt;1,_xlpm.x=0),"",CONVERT(_xlpm.x,BH7,"kg")))</f>
        <v/>
      </c>
      <c r="BP21" s="432" t="str">
        <f>_xlfn.LET(_xlpm.x,P21,IF(OR(LEN(_xlpm.x)&lt;1,_xlpm.x=0),"",CONVERT(_xlpm.x,BH7,"kg")))</f>
        <v/>
      </c>
      <c r="BQ21" s="432" t="str">
        <f>_xlfn.LET(_xlpm.x,Q21,IF(OR(LEN(_xlpm.x)&lt;1,_xlpm.x=0),"",CONVERT(_xlpm.x,BH7,"kg")))</f>
        <v/>
      </c>
      <c r="BR21" s="432" t="str">
        <f>_xlfn.LET(_xlpm.x,R21,IF(OR(LEN(_xlpm.x)&lt;1,_xlpm.x=0),"",CONVERT(_xlpm.x,BH7,"kg")))</f>
        <v/>
      </c>
      <c r="BS21" s="432" t="str">
        <f>_xlfn.LET(_xlpm.x,S21,IF(OR(LEN(_xlpm.x)&lt;1,_xlpm.x=0),"",CONVERT(_xlpm.x,BH7,"kg")))</f>
        <v/>
      </c>
      <c r="BT21" s="433">
        <f t="shared" si="9"/>
        <v>0</v>
      </c>
      <c r="BU21" s="433" t="str">
        <f>_xlfn.LET(_xlpm.x,BF21,IF(LEN(_xlpm.x)&lt;1,"",IF(ISNUMBER(MATCH(_xlpm.x,ls_Mat_def,0)),'Project Inputs'!$BF$14,99)))</f>
        <v/>
      </c>
      <c r="BV21" s="432" t="str" cm="1">
        <f t="array" ref="BV21">IFERROR(INDEX(tblGWP[],MATCH(1,(tblGWP[Dataset ID]=BU21)*(tblGWP[Material Subcategory]=BF21),0),MATCH(BG21,ls_WHM,0)+5),"confirm")</f>
        <v>confirm</v>
      </c>
      <c r="BW21" s="434" t="str">
        <f t="shared" si="10"/>
        <v>No data</v>
      </c>
      <c r="BX21" s="434" t="str">
        <f t="shared" si="11"/>
        <v>No data</v>
      </c>
      <c r="BY21" s="434" t="str">
        <f t="shared" si="12"/>
        <v>No data</v>
      </c>
      <c r="BZ21" s="434" t="str">
        <f t="shared" si="13"/>
        <v>No data</v>
      </c>
      <c r="CA21" s="434" t="str">
        <f t="shared" si="14"/>
        <v>No data</v>
      </c>
      <c r="CB21" s="434" t="str">
        <f t="shared" si="15"/>
        <v>No data</v>
      </c>
      <c r="CC21" s="434" t="str">
        <f t="shared" si="16"/>
        <v>No data</v>
      </c>
      <c r="CD21" s="434" t="str">
        <f t="shared" si="17"/>
        <v>No data</v>
      </c>
      <c r="CE21" s="434" t="str">
        <f t="shared" si="18"/>
        <v>No data</v>
      </c>
      <c r="CF21" s="434" t="str">
        <f t="shared" si="19"/>
        <v>No data</v>
      </c>
      <c r="CG21" s="434" t="str">
        <f t="shared" si="20"/>
        <v>No data</v>
      </c>
      <c r="CH21" s="434" t="str">
        <f t="shared" si="21"/>
        <v>No data</v>
      </c>
      <c r="CI21" s="435">
        <f t="shared" si="22"/>
        <v>0</v>
      </c>
      <c r="CK21" s="3" t="str">
        <f>_xlfn.LET(_xlpm.x,INDEX(tbl_Mat_def[],MATCH(BF21,ls_Mat_def,0),2),IFERROR(IF(_xlpm.x=0,"No","Yes"),"No"))</f>
        <v>No</v>
      </c>
      <c r="CM21" s="60" t="str">
        <f t="shared" si="23"/>
        <v/>
      </c>
      <c r="CN21" s="60" t="s">
        <v>235</v>
      </c>
      <c r="CO21" s="566" t="str">
        <f>_xlfn.XLOOKUP(CM21,tblGWP[Material Subcategory],tblGWP[Landfill],0)</f>
        <v/>
      </c>
      <c r="CP21" s="436" t="str">
        <f t="shared" si="24"/>
        <v/>
      </c>
      <c r="DD21" s="388">
        <f t="shared" si="29"/>
        <v>0</v>
      </c>
      <c r="DE21" s="22">
        <f t="shared" si="25"/>
        <v>19</v>
      </c>
      <c r="DF21" s="387">
        <f t="shared" si="30"/>
        <v>0</v>
      </c>
      <c r="DG21" s="387">
        <f t="shared" si="31"/>
        <v>0</v>
      </c>
      <c r="DH21" s="22">
        <f t="shared" ca="1" si="26"/>
        <v>0</v>
      </c>
      <c r="DI21">
        <f t="shared" ca="1" si="27"/>
        <v>0</v>
      </c>
    </row>
    <row r="22" spans="1:113" ht="30" customHeight="1">
      <c r="A22" s="22" t="str">
        <f t="shared" si="28"/>
        <v/>
      </c>
      <c r="B22" s="272"/>
      <c r="C22" s="491"/>
      <c r="D22" s="272"/>
      <c r="E22" s="400"/>
      <c r="F22" s="400"/>
      <c r="G22" s="401"/>
      <c r="H22" s="376"/>
      <c r="I22" s="376"/>
      <c r="J22" s="376"/>
      <c r="K22" s="376"/>
      <c r="L22" s="376"/>
      <c r="M22" s="376"/>
      <c r="N22" s="376"/>
      <c r="O22" s="376"/>
      <c r="P22" s="376"/>
      <c r="Q22" s="376"/>
      <c r="R22" s="376"/>
      <c r="S22" s="376"/>
      <c r="T22" s="431">
        <f t="shared" si="3"/>
        <v>0</v>
      </c>
      <c r="U22" s="272"/>
      <c r="BC22" s="432" t="str">
        <f t="shared" si="4"/>
        <v/>
      </c>
      <c r="BD22" s="432" t="str">
        <f t="shared" si="5"/>
        <v/>
      </c>
      <c r="BE22" s="432" t="str">
        <f t="shared" si="6"/>
        <v/>
      </c>
      <c r="BF22" s="432" t="str">
        <f t="shared" si="7"/>
        <v/>
      </c>
      <c r="BG22" s="432" t="str">
        <f t="shared" si="8"/>
        <v/>
      </c>
      <c r="BH22" s="432" t="str">
        <f>_xlfn.LET(_xlpm.x,H22,IF(OR(LEN(_xlpm.x)&lt;1,_xlpm.x=0),"",CONVERT(_xlpm.x,BH7,"kg")))</f>
        <v/>
      </c>
      <c r="BI22" s="432" t="str">
        <f>_xlfn.LET(_xlpm.x,I22,IF(OR(LEN(_xlpm.x)&lt;1,_xlpm.x=0),"",CONVERT(_xlpm.x,BH7,"kg")))</f>
        <v/>
      </c>
      <c r="BJ22" s="432" t="str">
        <f>_xlfn.LET(_xlpm.x,J22,IF(OR(LEN(_xlpm.x)&lt;1,_xlpm.x=0),"",CONVERT(_xlpm.x,BH7,"kg")))</f>
        <v/>
      </c>
      <c r="BK22" s="432" t="str">
        <f>_xlfn.LET(_xlpm.x,K22,IF(OR(LEN(_xlpm.x)&lt;1,_xlpm.x=0),"",CONVERT(_xlpm.x,BH7,"kg")))</f>
        <v/>
      </c>
      <c r="BL22" s="432" t="str">
        <f>_xlfn.LET(_xlpm.x,L22,IF(OR(LEN(_xlpm.x)&lt;1,_xlpm.x=0),"",CONVERT(_xlpm.x,BH7,"kg")))</f>
        <v/>
      </c>
      <c r="BM22" s="432" t="str">
        <f>_xlfn.LET(_xlpm.x,M22,IF(OR(LEN(_xlpm.x)&lt;1,_xlpm.x=0),"",CONVERT(_xlpm.x,BH7,"kg")))</f>
        <v/>
      </c>
      <c r="BN22" s="432" t="str">
        <f>_xlfn.LET(_xlpm.x,N22,IF(OR(LEN(_xlpm.x)&lt;1,_xlpm.x=0),"",CONVERT(_xlpm.x,BH7,"kg")))</f>
        <v/>
      </c>
      <c r="BO22" s="432" t="str">
        <f>_xlfn.LET(_xlpm.x,O22,IF(OR(LEN(_xlpm.x)&lt;1,_xlpm.x=0),"",CONVERT(_xlpm.x,BH7,"kg")))</f>
        <v/>
      </c>
      <c r="BP22" s="432" t="str">
        <f>_xlfn.LET(_xlpm.x,P22,IF(OR(LEN(_xlpm.x)&lt;1,_xlpm.x=0),"",CONVERT(_xlpm.x,BH7,"kg")))</f>
        <v/>
      </c>
      <c r="BQ22" s="432" t="str">
        <f>_xlfn.LET(_xlpm.x,Q22,IF(OR(LEN(_xlpm.x)&lt;1,_xlpm.x=0),"",CONVERT(_xlpm.x,BH7,"kg")))</f>
        <v/>
      </c>
      <c r="BR22" s="432" t="str">
        <f>_xlfn.LET(_xlpm.x,R22,IF(OR(LEN(_xlpm.x)&lt;1,_xlpm.x=0),"",CONVERT(_xlpm.x,BH7,"kg")))</f>
        <v/>
      </c>
      <c r="BS22" s="432" t="str">
        <f>_xlfn.LET(_xlpm.x,S22,IF(OR(LEN(_xlpm.x)&lt;1,_xlpm.x=0),"",CONVERT(_xlpm.x,BH7,"kg")))</f>
        <v/>
      </c>
      <c r="BT22" s="433">
        <f t="shared" si="9"/>
        <v>0</v>
      </c>
      <c r="BU22" s="433" t="str">
        <f>_xlfn.LET(_xlpm.x,BF22,IF(LEN(_xlpm.x)&lt;1,"",IF(ISNUMBER(MATCH(_xlpm.x,ls_Mat_def,0)),'Project Inputs'!$BF$14,99)))</f>
        <v/>
      </c>
      <c r="BV22" s="432" t="str" cm="1">
        <f t="array" ref="BV22">IFERROR(INDEX(tblGWP[],MATCH(1,(tblGWP[Dataset ID]=BU22)*(tblGWP[Material Subcategory]=BF22),0),MATCH(BG22,ls_WHM,0)+5),"confirm")</f>
        <v>confirm</v>
      </c>
      <c r="BW22" s="434" t="str">
        <f t="shared" si="10"/>
        <v>No data</v>
      </c>
      <c r="BX22" s="434" t="str">
        <f t="shared" si="11"/>
        <v>No data</v>
      </c>
      <c r="BY22" s="434" t="str">
        <f t="shared" si="12"/>
        <v>No data</v>
      </c>
      <c r="BZ22" s="434" t="str">
        <f t="shared" si="13"/>
        <v>No data</v>
      </c>
      <c r="CA22" s="434" t="str">
        <f t="shared" si="14"/>
        <v>No data</v>
      </c>
      <c r="CB22" s="434" t="str">
        <f t="shared" si="15"/>
        <v>No data</v>
      </c>
      <c r="CC22" s="434" t="str">
        <f t="shared" si="16"/>
        <v>No data</v>
      </c>
      <c r="CD22" s="434" t="str">
        <f t="shared" si="17"/>
        <v>No data</v>
      </c>
      <c r="CE22" s="434" t="str">
        <f t="shared" si="18"/>
        <v>No data</v>
      </c>
      <c r="CF22" s="434" t="str">
        <f t="shared" si="19"/>
        <v>No data</v>
      </c>
      <c r="CG22" s="434" t="str">
        <f t="shared" si="20"/>
        <v>No data</v>
      </c>
      <c r="CH22" s="434" t="str">
        <f t="shared" si="21"/>
        <v>No data</v>
      </c>
      <c r="CI22" s="435">
        <f t="shared" si="22"/>
        <v>0</v>
      </c>
      <c r="CK22" s="3" t="str">
        <f>_xlfn.LET(_xlpm.x,INDEX(tbl_Mat_def[],MATCH(BF22,ls_Mat_def,0),2),IFERROR(IF(_xlpm.x=0,"No","Yes"),"No"))</f>
        <v>No</v>
      </c>
      <c r="CM22" s="60" t="str">
        <f t="shared" si="23"/>
        <v/>
      </c>
      <c r="CN22" s="60" t="s">
        <v>235</v>
      </c>
      <c r="CO22" s="566" t="str">
        <f>_xlfn.XLOOKUP(CM22,tblGWP[Material Subcategory],tblGWP[Landfill],0)</f>
        <v/>
      </c>
      <c r="CP22" s="436" t="str">
        <f t="shared" si="24"/>
        <v/>
      </c>
      <c r="DD22" s="388">
        <f t="shared" si="29"/>
        <v>0</v>
      </c>
      <c r="DE22" s="22">
        <f t="shared" si="25"/>
        <v>19</v>
      </c>
      <c r="DF22" s="387">
        <f t="shared" si="30"/>
        <v>0</v>
      </c>
      <c r="DG22" s="387">
        <f t="shared" si="31"/>
        <v>0</v>
      </c>
      <c r="DH22" s="22">
        <f t="shared" ca="1" si="26"/>
        <v>0</v>
      </c>
      <c r="DI22">
        <f t="shared" ca="1" si="27"/>
        <v>0</v>
      </c>
    </row>
    <row r="23" spans="1:113" ht="30" customHeight="1">
      <c r="A23" s="22" t="str">
        <f t="shared" si="28"/>
        <v/>
      </c>
      <c r="B23" s="272"/>
      <c r="C23" s="491"/>
      <c r="D23" s="272"/>
      <c r="E23" s="400"/>
      <c r="F23" s="400"/>
      <c r="G23" s="401"/>
      <c r="H23" s="376"/>
      <c r="I23" s="376"/>
      <c r="J23" s="376"/>
      <c r="K23" s="376"/>
      <c r="L23" s="376"/>
      <c r="M23" s="376"/>
      <c r="N23" s="376"/>
      <c r="O23" s="376"/>
      <c r="P23" s="376"/>
      <c r="Q23" s="376"/>
      <c r="R23" s="376"/>
      <c r="S23" s="376"/>
      <c r="T23" s="431">
        <f t="shared" si="3"/>
        <v>0</v>
      </c>
      <c r="U23" s="272"/>
      <c r="BC23" s="432" t="str">
        <f t="shared" si="4"/>
        <v/>
      </c>
      <c r="BD23" s="432" t="str">
        <f t="shared" si="5"/>
        <v/>
      </c>
      <c r="BE23" s="432" t="str">
        <f t="shared" si="6"/>
        <v/>
      </c>
      <c r="BF23" s="432" t="str">
        <f t="shared" si="7"/>
        <v/>
      </c>
      <c r="BG23" s="432" t="str">
        <f t="shared" si="8"/>
        <v/>
      </c>
      <c r="BH23" s="432" t="str">
        <f>_xlfn.LET(_xlpm.x,H23,IF(OR(LEN(_xlpm.x)&lt;1,_xlpm.x=0),"",CONVERT(_xlpm.x,BH7,"kg")))</f>
        <v/>
      </c>
      <c r="BI23" s="432" t="str">
        <f>_xlfn.LET(_xlpm.x,I23,IF(OR(LEN(_xlpm.x)&lt;1,_xlpm.x=0),"",CONVERT(_xlpm.x,BH7,"kg")))</f>
        <v/>
      </c>
      <c r="BJ23" s="432" t="str">
        <f>_xlfn.LET(_xlpm.x,J23,IF(OR(LEN(_xlpm.x)&lt;1,_xlpm.x=0),"",CONVERT(_xlpm.x,BH7,"kg")))</f>
        <v/>
      </c>
      <c r="BK23" s="432" t="str">
        <f>_xlfn.LET(_xlpm.x,K23,IF(OR(LEN(_xlpm.x)&lt;1,_xlpm.x=0),"",CONVERT(_xlpm.x,BH7,"kg")))</f>
        <v/>
      </c>
      <c r="BL23" s="432" t="str">
        <f>_xlfn.LET(_xlpm.x,L23,IF(OR(LEN(_xlpm.x)&lt;1,_xlpm.x=0),"",CONVERT(_xlpm.x,BH7,"kg")))</f>
        <v/>
      </c>
      <c r="BM23" s="432" t="str">
        <f>_xlfn.LET(_xlpm.x,M23,IF(OR(LEN(_xlpm.x)&lt;1,_xlpm.x=0),"",CONVERT(_xlpm.x,BH7,"kg")))</f>
        <v/>
      </c>
      <c r="BN23" s="432" t="str">
        <f>_xlfn.LET(_xlpm.x,N23,IF(OR(LEN(_xlpm.x)&lt;1,_xlpm.x=0),"",CONVERT(_xlpm.x,BH7,"kg")))</f>
        <v/>
      </c>
      <c r="BO23" s="432" t="str">
        <f>_xlfn.LET(_xlpm.x,O23,IF(OR(LEN(_xlpm.x)&lt;1,_xlpm.x=0),"",CONVERT(_xlpm.x,BH7,"kg")))</f>
        <v/>
      </c>
      <c r="BP23" s="432" t="str">
        <f>_xlfn.LET(_xlpm.x,P23,IF(OR(LEN(_xlpm.x)&lt;1,_xlpm.x=0),"",CONVERT(_xlpm.x,BH7,"kg")))</f>
        <v/>
      </c>
      <c r="BQ23" s="432" t="str">
        <f>_xlfn.LET(_xlpm.x,Q23,IF(OR(LEN(_xlpm.x)&lt;1,_xlpm.x=0),"",CONVERT(_xlpm.x,BH7,"kg")))</f>
        <v/>
      </c>
      <c r="BR23" s="432" t="str">
        <f>_xlfn.LET(_xlpm.x,R23,IF(OR(LEN(_xlpm.x)&lt;1,_xlpm.x=0),"",CONVERT(_xlpm.x,BH7,"kg")))</f>
        <v/>
      </c>
      <c r="BS23" s="432" t="str">
        <f>_xlfn.LET(_xlpm.x,S23,IF(OR(LEN(_xlpm.x)&lt;1,_xlpm.x=0),"",CONVERT(_xlpm.x,BH7,"kg")))</f>
        <v/>
      </c>
      <c r="BT23" s="433">
        <f t="shared" si="9"/>
        <v>0</v>
      </c>
      <c r="BU23" s="433" t="str">
        <f>_xlfn.LET(_xlpm.x,BF23,IF(LEN(_xlpm.x)&lt;1,"",IF(ISNUMBER(MATCH(_xlpm.x,ls_Mat_def,0)),'Project Inputs'!$BF$14,99)))</f>
        <v/>
      </c>
      <c r="BV23" s="432" t="str" cm="1">
        <f t="array" ref="BV23">IFERROR(INDEX(tblGWP[],MATCH(1,(tblGWP[Dataset ID]=BU23)*(tblGWP[Material Subcategory]=BF23),0),MATCH(BG23,ls_WHM,0)+5),"confirm")</f>
        <v>confirm</v>
      </c>
      <c r="BW23" s="434" t="str">
        <f t="shared" si="10"/>
        <v>No data</v>
      </c>
      <c r="BX23" s="434" t="str">
        <f t="shared" si="11"/>
        <v>No data</v>
      </c>
      <c r="BY23" s="434" t="str">
        <f t="shared" si="12"/>
        <v>No data</v>
      </c>
      <c r="BZ23" s="434" t="str">
        <f t="shared" si="13"/>
        <v>No data</v>
      </c>
      <c r="CA23" s="434" t="str">
        <f t="shared" si="14"/>
        <v>No data</v>
      </c>
      <c r="CB23" s="434" t="str">
        <f t="shared" si="15"/>
        <v>No data</v>
      </c>
      <c r="CC23" s="434" t="str">
        <f t="shared" si="16"/>
        <v>No data</v>
      </c>
      <c r="CD23" s="434" t="str">
        <f t="shared" si="17"/>
        <v>No data</v>
      </c>
      <c r="CE23" s="434" t="str">
        <f t="shared" si="18"/>
        <v>No data</v>
      </c>
      <c r="CF23" s="434" t="str">
        <f t="shared" si="19"/>
        <v>No data</v>
      </c>
      <c r="CG23" s="434" t="str">
        <f t="shared" si="20"/>
        <v>No data</v>
      </c>
      <c r="CH23" s="434" t="str">
        <f t="shared" si="21"/>
        <v>No data</v>
      </c>
      <c r="CI23" s="435">
        <f t="shared" si="22"/>
        <v>0</v>
      </c>
      <c r="CK23" s="3" t="str">
        <f>_xlfn.LET(_xlpm.x,INDEX(tbl_Mat_def[],MATCH(BF23,ls_Mat_def,0),2),IFERROR(IF(_xlpm.x=0,"No","Yes"),"No"))</f>
        <v>No</v>
      </c>
      <c r="CM23" s="60" t="str">
        <f t="shared" si="23"/>
        <v/>
      </c>
      <c r="CN23" s="60" t="s">
        <v>235</v>
      </c>
      <c r="CO23" s="566" t="str">
        <f>_xlfn.XLOOKUP(CM23,tblGWP[Material Subcategory],tblGWP[Landfill],0)</f>
        <v/>
      </c>
      <c r="CP23" s="436" t="str">
        <f t="shared" si="24"/>
        <v/>
      </c>
      <c r="DD23" s="388">
        <f t="shared" si="29"/>
        <v>0</v>
      </c>
      <c r="DE23" s="22">
        <f t="shared" si="25"/>
        <v>19</v>
      </c>
      <c r="DF23" s="387">
        <f t="shared" si="30"/>
        <v>0</v>
      </c>
      <c r="DG23" s="387">
        <f t="shared" si="31"/>
        <v>0</v>
      </c>
      <c r="DH23" s="22">
        <f t="shared" ca="1" si="26"/>
        <v>0</v>
      </c>
      <c r="DI23">
        <f t="shared" ca="1" si="27"/>
        <v>0</v>
      </c>
    </row>
    <row r="24" spans="1:113" ht="30" customHeight="1">
      <c r="A24" s="22" t="str">
        <f t="shared" si="28"/>
        <v/>
      </c>
      <c r="B24" s="272"/>
      <c r="C24" s="491"/>
      <c r="D24" s="272"/>
      <c r="E24" s="400"/>
      <c r="F24" s="400"/>
      <c r="G24" s="401"/>
      <c r="H24" s="376"/>
      <c r="I24" s="376"/>
      <c r="J24" s="376"/>
      <c r="K24" s="376"/>
      <c r="L24" s="376"/>
      <c r="M24" s="376"/>
      <c r="N24" s="376"/>
      <c r="O24" s="376"/>
      <c r="P24" s="376"/>
      <c r="Q24" s="376"/>
      <c r="R24" s="376"/>
      <c r="S24" s="376"/>
      <c r="T24" s="431">
        <f t="shared" si="3"/>
        <v>0</v>
      </c>
      <c r="U24" s="272"/>
      <c r="BC24" s="432" t="str">
        <f t="shared" si="4"/>
        <v/>
      </c>
      <c r="BD24" s="432" t="str">
        <f t="shared" si="5"/>
        <v/>
      </c>
      <c r="BE24" s="432" t="str">
        <f t="shared" si="6"/>
        <v/>
      </c>
      <c r="BF24" s="432" t="str">
        <f t="shared" si="7"/>
        <v/>
      </c>
      <c r="BG24" s="432" t="str">
        <f t="shared" si="8"/>
        <v/>
      </c>
      <c r="BH24" s="432" t="str">
        <f>_xlfn.LET(_xlpm.x,H24,IF(OR(LEN(_xlpm.x)&lt;1,_xlpm.x=0),"",CONVERT(_xlpm.x,BH7,"kg")))</f>
        <v/>
      </c>
      <c r="BI24" s="432" t="str">
        <f>_xlfn.LET(_xlpm.x,I24,IF(OR(LEN(_xlpm.x)&lt;1,_xlpm.x=0),"",CONVERT(_xlpm.x,BH7,"kg")))</f>
        <v/>
      </c>
      <c r="BJ24" s="432" t="str">
        <f>_xlfn.LET(_xlpm.x,J24,IF(OR(LEN(_xlpm.x)&lt;1,_xlpm.x=0),"",CONVERT(_xlpm.x,BH7,"kg")))</f>
        <v/>
      </c>
      <c r="BK24" s="432" t="str">
        <f>_xlfn.LET(_xlpm.x,K24,IF(OR(LEN(_xlpm.x)&lt;1,_xlpm.x=0),"",CONVERT(_xlpm.x,BH7,"kg")))</f>
        <v/>
      </c>
      <c r="BL24" s="432" t="str">
        <f>_xlfn.LET(_xlpm.x,L24,IF(OR(LEN(_xlpm.x)&lt;1,_xlpm.x=0),"",CONVERT(_xlpm.x,BH7,"kg")))</f>
        <v/>
      </c>
      <c r="BM24" s="432" t="str">
        <f>_xlfn.LET(_xlpm.x,M24,IF(OR(LEN(_xlpm.x)&lt;1,_xlpm.x=0),"",CONVERT(_xlpm.x,BH7,"kg")))</f>
        <v/>
      </c>
      <c r="BN24" s="432" t="str">
        <f>_xlfn.LET(_xlpm.x,N24,IF(OR(LEN(_xlpm.x)&lt;1,_xlpm.x=0),"",CONVERT(_xlpm.x,BH7,"kg")))</f>
        <v/>
      </c>
      <c r="BO24" s="432" t="str">
        <f>_xlfn.LET(_xlpm.x,O24,IF(OR(LEN(_xlpm.x)&lt;1,_xlpm.x=0),"",CONVERT(_xlpm.x,BH7,"kg")))</f>
        <v/>
      </c>
      <c r="BP24" s="432" t="str">
        <f>_xlfn.LET(_xlpm.x,P24,IF(OR(LEN(_xlpm.x)&lt;1,_xlpm.x=0),"",CONVERT(_xlpm.x,BH7,"kg")))</f>
        <v/>
      </c>
      <c r="BQ24" s="432" t="str">
        <f>_xlfn.LET(_xlpm.x,Q24,IF(OR(LEN(_xlpm.x)&lt;1,_xlpm.x=0),"",CONVERT(_xlpm.x,BH7,"kg")))</f>
        <v/>
      </c>
      <c r="BR24" s="432" t="str">
        <f>_xlfn.LET(_xlpm.x,R24,IF(OR(LEN(_xlpm.x)&lt;1,_xlpm.x=0),"",CONVERT(_xlpm.x,BH7,"kg")))</f>
        <v/>
      </c>
      <c r="BS24" s="432" t="str">
        <f>_xlfn.LET(_xlpm.x,S24,IF(OR(LEN(_xlpm.x)&lt;1,_xlpm.x=0),"",CONVERT(_xlpm.x,BH7,"kg")))</f>
        <v/>
      </c>
      <c r="BT24" s="433">
        <f t="shared" si="9"/>
        <v>0</v>
      </c>
      <c r="BU24" s="433" t="str">
        <f>_xlfn.LET(_xlpm.x,BF24,IF(LEN(_xlpm.x)&lt;1,"",IF(ISNUMBER(MATCH(_xlpm.x,ls_Mat_def,0)),'Project Inputs'!$BF$14,99)))</f>
        <v/>
      </c>
      <c r="BV24" s="432" t="str" cm="1">
        <f t="array" ref="BV24">IFERROR(INDEX(tblGWP[],MATCH(1,(tblGWP[Dataset ID]=BU24)*(tblGWP[Material Subcategory]=BF24),0),MATCH(BG24,ls_WHM,0)+5),"confirm")</f>
        <v>confirm</v>
      </c>
      <c r="BW24" s="434" t="str">
        <f t="shared" si="10"/>
        <v>No data</v>
      </c>
      <c r="BX24" s="434" t="str">
        <f t="shared" si="11"/>
        <v>No data</v>
      </c>
      <c r="BY24" s="434" t="str">
        <f t="shared" si="12"/>
        <v>No data</v>
      </c>
      <c r="BZ24" s="434" t="str">
        <f t="shared" si="13"/>
        <v>No data</v>
      </c>
      <c r="CA24" s="434" t="str">
        <f t="shared" si="14"/>
        <v>No data</v>
      </c>
      <c r="CB24" s="434" t="str">
        <f t="shared" si="15"/>
        <v>No data</v>
      </c>
      <c r="CC24" s="434" t="str">
        <f t="shared" si="16"/>
        <v>No data</v>
      </c>
      <c r="CD24" s="434" t="str">
        <f t="shared" si="17"/>
        <v>No data</v>
      </c>
      <c r="CE24" s="434" t="str">
        <f t="shared" si="18"/>
        <v>No data</v>
      </c>
      <c r="CF24" s="434" t="str">
        <f t="shared" si="19"/>
        <v>No data</v>
      </c>
      <c r="CG24" s="434" t="str">
        <f t="shared" si="20"/>
        <v>No data</v>
      </c>
      <c r="CH24" s="434" t="str">
        <f t="shared" si="21"/>
        <v>No data</v>
      </c>
      <c r="CI24" s="435">
        <f t="shared" si="22"/>
        <v>0</v>
      </c>
      <c r="CK24" s="3" t="str">
        <f>_xlfn.LET(_xlpm.x,INDEX(tbl_Mat_def[],MATCH(BF24,ls_Mat_def,0),2),IFERROR(IF(_xlpm.x=0,"No","Yes"),"No"))</f>
        <v>No</v>
      </c>
      <c r="CM24" s="60" t="str">
        <f t="shared" si="23"/>
        <v/>
      </c>
      <c r="CN24" s="60" t="s">
        <v>235</v>
      </c>
      <c r="CO24" s="566" t="str">
        <f>_xlfn.XLOOKUP(CM24,tblGWP[Material Subcategory],tblGWP[Landfill],0)</f>
        <v/>
      </c>
      <c r="CP24" s="436" t="str">
        <f t="shared" si="24"/>
        <v/>
      </c>
      <c r="DD24" s="388">
        <f t="shared" si="29"/>
        <v>0</v>
      </c>
      <c r="DE24" s="22">
        <f t="shared" si="25"/>
        <v>19</v>
      </c>
      <c r="DF24" s="387">
        <f t="shared" si="30"/>
        <v>0</v>
      </c>
      <c r="DG24" s="387">
        <f t="shared" si="31"/>
        <v>0</v>
      </c>
      <c r="DH24" s="22">
        <f t="shared" ca="1" si="26"/>
        <v>0</v>
      </c>
      <c r="DI24">
        <f t="shared" ca="1" si="27"/>
        <v>0</v>
      </c>
    </row>
    <row r="25" spans="1:113" ht="30" customHeight="1">
      <c r="A25" s="22" t="str">
        <f t="shared" si="28"/>
        <v/>
      </c>
      <c r="B25" s="272"/>
      <c r="C25" s="491"/>
      <c r="D25" s="272"/>
      <c r="E25" s="400"/>
      <c r="F25" s="400"/>
      <c r="G25" s="401"/>
      <c r="H25" s="376"/>
      <c r="I25" s="376"/>
      <c r="J25" s="376"/>
      <c r="K25" s="376"/>
      <c r="L25" s="376"/>
      <c r="M25" s="376"/>
      <c r="N25" s="376"/>
      <c r="O25" s="376"/>
      <c r="P25" s="376"/>
      <c r="Q25" s="376"/>
      <c r="R25" s="376"/>
      <c r="S25" s="376"/>
      <c r="T25" s="431">
        <f t="shared" si="3"/>
        <v>0</v>
      </c>
      <c r="U25" s="272"/>
      <c r="BC25" s="432" t="str">
        <f t="shared" si="4"/>
        <v/>
      </c>
      <c r="BD25" s="432" t="str">
        <f t="shared" si="5"/>
        <v/>
      </c>
      <c r="BE25" s="432" t="str">
        <f t="shared" si="6"/>
        <v/>
      </c>
      <c r="BF25" s="432" t="str">
        <f t="shared" si="7"/>
        <v/>
      </c>
      <c r="BG25" s="432" t="str">
        <f t="shared" si="8"/>
        <v/>
      </c>
      <c r="BH25" s="432" t="str">
        <f>_xlfn.LET(_xlpm.x,H25,IF(OR(LEN(_xlpm.x)&lt;1,_xlpm.x=0),"",CONVERT(_xlpm.x,BH7,"kg")))</f>
        <v/>
      </c>
      <c r="BI25" s="432" t="str">
        <f>_xlfn.LET(_xlpm.x,I25,IF(OR(LEN(_xlpm.x)&lt;1,_xlpm.x=0),"",CONVERT(_xlpm.x,BH7,"kg")))</f>
        <v/>
      </c>
      <c r="BJ25" s="432" t="str">
        <f>_xlfn.LET(_xlpm.x,J25,IF(OR(LEN(_xlpm.x)&lt;1,_xlpm.x=0),"",CONVERT(_xlpm.x,BH7,"kg")))</f>
        <v/>
      </c>
      <c r="BK25" s="432" t="str">
        <f>_xlfn.LET(_xlpm.x,K25,IF(OR(LEN(_xlpm.x)&lt;1,_xlpm.x=0),"",CONVERT(_xlpm.x,BH7,"kg")))</f>
        <v/>
      </c>
      <c r="BL25" s="432" t="str">
        <f>_xlfn.LET(_xlpm.x,L25,IF(OR(LEN(_xlpm.x)&lt;1,_xlpm.x=0),"",CONVERT(_xlpm.x,BH7,"kg")))</f>
        <v/>
      </c>
      <c r="BM25" s="432" t="str">
        <f>_xlfn.LET(_xlpm.x,M25,IF(OR(LEN(_xlpm.x)&lt;1,_xlpm.x=0),"",CONVERT(_xlpm.x,BH7,"kg")))</f>
        <v/>
      </c>
      <c r="BN25" s="432" t="str">
        <f>_xlfn.LET(_xlpm.x,N25,IF(OR(LEN(_xlpm.x)&lt;1,_xlpm.x=0),"",CONVERT(_xlpm.x,BH7,"kg")))</f>
        <v/>
      </c>
      <c r="BO25" s="432" t="str">
        <f>_xlfn.LET(_xlpm.x,O25,IF(OR(LEN(_xlpm.x)&lt;1,_xlpm.x=0),"",CONVERT(_xlpm.x,BH7,"kg")))</f>
        <v/>
      </c>
      <c r="BP25" s="432" t="str">
        <f>_xlfn.LET(_xlpm.x,P25,IF(OR(LEN(_xlpm.x)&lt;1,_xlpm.x=0),"",CONVERT(_xlpm.x,BH7,"kg")))</f>
        <v/>
      </c>
      <c r="BQ25" s="432" t="str">
        <f>_xlfn.LET(_xlpm.x,Q25,IF(OR(LEN(_xlpm.x)&lt;1,_xlpm.x=0),"",CONVERT(_xlpm.x,BH7,"kg")))</f>
        <v/>
      </c>
      <c r="BR25" s="432" t="str">
        <f>_xlfn.LET(_xlpm.x,R25,IF(OR(LEN(_xlpm.x)&lt;1,_xlpm.x=0),"",CONVERT(_xlpm.x,BH7,"kg")))</f>
        <v/>
      </c>
      <c r="BS25" s="432" t="str">
        <f>_xlfn.LET(_xlpm.x,S25,IF(OR(LEN(_xlpm.x)&lt;1,_xlpm.x=0),"",CONVERT(_xlpm.x,BH7,"kg")))</f>
        <v/>
      </c>
      <c r="BT25" s="433">
        <f t="shared" si="9"/>
        <v>0</v>
      </c>
      <c r="BU25" s="433" t="str">
        <f>_xlfn.LET(_xlpm.x,BF25,IF(LEN(_xlpm.x)&lt;1,"",IF(ISNUMBER(MATCH(_xlpm.x,ls_Mat_def,0)),'Project Inputs'!$BF$14,99)))</f>
        <v/>
      </c>
      <c r="BV25" s="432" t="str" cm="1">
        <f t="array" ref="BV25">IFERROR(INDEX(tblGWP[],MATCH(1,(tblGWP[Dataset ID]=BU25)*(tblGWP[Material Subcategory]=BF25),0),MATCH(BG25,ls_WHM,0)+5),"confirm")</f>
        <v>confirm</v>
      </c>
      <c r="BW25" s="434" t="str">
        <f t="shared" si="10"/>
        <v>No data</v>
      </c>
      <c r="BX25" s="434" t="str">
        <f t="shared" si="11"/>
        <v>No data</v>
      </c>
      <c r="BY25" s="434" t="str">
        <f t="shared" si="12"/>
        <v>No data</v>
      </c>
      <c r="BZ25" s="434" t="str">
        <f t="shared" si="13"/>
        <v>No data</v>
      </c>
      <c r="CA25" s="434" t="str">
        <f t="shared" si="14"/>
        <v>No data</v>
      </c>
      <c r="CB25" s="434" t="str">
        <f t="shared" si="15"/>
        <v>No data</v>
      </c>
      <c r="CC25" s="434" t="str">
        <f t="shared" si="16"/>
        <v>No data</v>
      </c>
      <c r="CD25" s="434" t="str">
        <f t="shared" si="17"/>
        <v>No data</v>
      </c>
      <c r="CE25" s="434" t="str">
        <f t="shared" si="18"/>
        <v>No data</v>
      </c>
      <c r="CF25" s="434" t="str">
        <f t="shared" si="19"/>
        <v>No data</v>
      </c>
      <c r="CG25" s="434" t="str">
        <f t="shared" si="20"/>
        <v>No data</v>
      </c>
      <c r="CH25" s="434" t="str">
        <f t="shared" si="21"/>
        <v>No data</v>
      </c>
      <c r="CI25" s="435">
        <f t="shared" si="22"/>
        <v>0</v>
      </c>
      <c r="CK25" s="3" t="str">
        <f>_xlfn.LET(_xlpm.x,INDEX(tbl_Mat_def[],MATCH(BF25,ls_Mat_def,0),2),IFERROR(IF(_xlpm.x=0,"No","Yes"),"No"))</f>
        <v>No</v>
      </c>
      <c r="CM25" s="60" t="str">
        <f t="shared" si="23"/>
        <v/>
      </c>
      <c r="CN25" s="60" t="s">
        <v>235</v>
      </c>
      <c r="CO25" s="566" t="str">
        <f>_xlfn.XLOOKUP(CM25,tblGWP[Material Subcategory],tblGWP[Landfill],0)</f>
        <v/>
      </c>
      <c r="CP25" s="436" t="str">
        <f t="shared" si="24"/>
        <v/>
      </c>
      <c r="DD25" s="388">
        <f t="shared" si="29"/>
        <v>0</v>
      </c>
      <c r="DE25" s="22">
        <f t="shared" si="25"/>
        <v>19</v>
      </c>
      <c r="DF25" s="387">
        <f t="shared" si="30"/>
        <v>0</v>
      </c>
      <c r="DG25" s="387">
        <f t="shared" si="31"/>
        <v>0</v>
      </c>
      <c r="DH25" s="22">
        <f t="shared" ca="1" si="26"/>
        <v>0</v>
      </c>
      <c r="DI25">
        <f t="shared" ca="1" si="27"/>
        <v>0</v>
      </c>
    </row>
    <row r="26" spans="1:113" ht="30" customHeight="1">
      <c r="A26" s="22" t="str">
        <f t="shared" si="28"/>
        <v/>
      </c>
      <c r="B26" s="272"/>
      <c r="C26" s="491"/>
      <c r="D26" s="272"/>
      <c r="E26" s="400"/>
      <c r="F26" s="400"/>
      <c r="G26" s="401"/>
      <c r="H26" s="376"/>
      <c r="I26" s="376"/>
      <c r="J26" s="376"/>
      <c r="K26" s="376"/>
      <c r="L26" s="376"/>
      <c r="M26" s="376"/>
      <c r="N26" s="376"/>
      <c r="O26" s="376"/>
      <c r="P26" s="376"/>
      <c r="Q26" s="376"/>
      <c r="R26" s="376"/>
      <c r="S26" s="376"/>
      <c r="T26" s="431">
        <f t="shared" si="3"/>
        <v>0</v>
      </c>
      <c r="U26" s="272"/>
      <c r="BC26" s="432" t="str">
        <f t="shared" si="4"/>
        <v/>
      </c>
      <c r="BD26" s="432" t="str">
        <f t="shared" si="5"/>
        <v/>
      </c>
      <c r="BE26" s="432" t="str">
        <f t="shared" si="6"/>
        <v/>
      </c>
      <c r="BF26" s="432" t="str">
        <f t="shared" si="7"/>
        <v/>
      </c>
      <c r="BG26" s="432" t="str">
        <f t="shared" si="8"/>
        <v/>
      </c>
      <c r="BH26" s="432" t="str">
        <f>_xlfn.LET(_xlpm.x,H26,IF(OR(LEN(_xlpm.x)&lt;1,_xlpm.x=0),"",CONVERT(_xlpm.x,BH7,"kg")))</f>
        <v/>
      </c>
      <c r="BI26" s="432" t="str">
        <f>_xlfn.LET(_xlpm.x,I26,IF(OR(LEN(_xlpm.x)&lt;1,_xlpm.x=0),"",CONVERT(_xlpm.x,BH7,"kg")))</f>
        <v/>
      </c>
      <c r="BJ26" s="432" t="str">
        <f>_xlfn.LET(_xlpm.x,J26,IF(OR(LEN(_xlpm.x)&lt;1,_xlpm.x=0),"",CONVERT(_xlpm.x,BH7,"kg")))</f>
        <v/>
      </c>
      <c r="BK26" s="432" t="str">
        <f>_xlfn.LET(_xlpm.x,K26,IF(OR(LEN(_xlpm.x)&lt;1,_xlpm.x=0),"",CONVERT(_xlpm.x,BH7,"kg")))</f>
        <v/>
      </c>
      <c r="BL26" s="432" t="str">
        <f>_xlfn.LET(_xlpm.x,L26,IF(OR(LEN(_xlpm.x)&lt;1,_xlpm.x=0),"",CONVERT(_xlpm.x,BH7,"kg")))</f>
        <v/>
      </c>
      <c r="BM26" s="432" t="str">
        <f>_xlfn.LET(_xlpm.x,M26,IF(OR(LEN(_xlpm.x)&lt;1,_xlpm.x=0),"",CONVERT(_xlpm.x,BH7,"kg")))</f>
        <v/>
      </c>
      <c r="BN26" s="432" t="str">
        <f>_xlfn.LET(_xlpm.x,N26,IF(OR(LEN(_xlpm.x)&lt;1,_xlpm.x=0),"",CONVERT(_xlpm.x,BH7,"kg")))</f>
        <v/>
      </c>
      <c r="BO26" s="432" t="str">
        <f>_xlfn.LET(_xlpm.x,O26,IF(OR(LEN(_xlpm.x)&lt;1,_xlpm.x=0),"",CONVERT(_xlpm.x,BH7,"kg")))</f>
        <v/>
      </c>
      <c r="BP26" s="432" t="str">
        <f>_xlfn.LET(_xlpm.x,P26,IF(OR(LEN(_xlpm.x)&lt;1,_xlpm.x=0),"",CONVERT(_xlpm.x,BH7,"kg")))</f>
        <v/>
      </c>
      <c r="BQ26" s="432" t="str">
        <f>_xlfn.LET(_xlpm.x,Q26,IF(OR(LEN(_xlpm.x)&lt;1,_xlpm.x=0),"",CONVERT(_xlpm.x,BH7,"kg")))</f>
        <v/>
      </c>
      <c r="BR26" s="432" t="str">
        <f>_xlfn.LET(_xlpm.x,R26,IF(OR(LEN(_xlpm.x)&lt;1,_xlpm.x=0),"",CONVERT(_xlpm.x,BH7,"kg")))</f>
        <v/>
      </c>
      <c r="BS26" s="432" t="str">
        <f>_xlfn.LET(_xlpm.x,S26,IF(OR(LEN(_xlpm.x)&lt;1,_xlpm.x=0),"",CONVERT(_xlpm.x,BH7,"kg")))</f>
        <v/>
      </c>
      <c r="BT26" s="433">
        <f t="shared" si="9"/>
        <v>0</v>
      </c>
      <c r="BU26" s="433" t="str">
        <f>_xlfn.LET(_xlpm.x,BF26,IF(LEN(_xlpm.x)&lt;1,"",IF(ISNUMBER(MATCH(_xlpm.x,ls_Mat_def,0)),'Project Inputs'!$BF$14,99)))</f>
        <v/>
      </c>
      <c r="BV26" s="432" t="str" cm="1">
        <f t="array" ref="BV26">IFERROR(INDEX(tblGWP[],MATCH(1,(tblGWP[Dataset ID]=BU26)*(tblGWP[Material Subcategory]=BF26),0),MATCH(BG26,ls_WHM,0)+5),"confirm")</f>
        <v>confirm</v>
      </c>
      <c r="BW26" s="434" t="str">
        <f t="shared" si="10"/>
        <v>No data</v>
      </c>
      <c r="BX26" s="434" t="str">
        <f t="shared" si="11"/>
        <v>No data</v>
      </c>
      <c r="BY26" s="434" t="str">
        <f t="shared" si="12"/>
        <v>No data</v>
      </c>
      <c r="BZ26" s="434" t="str">
        <f t="shared" si="13"/>
        <v>No data</v>
      </c>
      <c r="CA26" s="434" t="str">
        <f t="shared" si="14"/>
        <v>No data</v>
      </c>
      <c r="CB26" s="434" t="str">
        <f t="shared" si="15"/>
        <v>No data</v>
      </c>
      <c r="CC26" s="434" t="str">
        <f t="shared" si="16"/>
        <v>No data</v>
      </c>
      <c r="CD26" s="434" t="str">
        <f t="shared" si="17"/>
        <v>No data</v>
      </c>
      <c r="CE26" s="434" t="str">
        <f t="shared" si="18"/>
        <v>No data</v>
      </c>
      <c r="CF26" s="434" t="str">
        <f t="shared" si="19"/>
        <v>No data</v>
      </c>
      <c r="CG26" s="434" t="str">
        <f t="shared" si="20"/>
        <v>No data</v>
      </c>
      <c r="CH26" s="434" t="str">
        <f t="shared" si="21"/>
        <v>No data</v>
      </c>
      <c r="CI26" s="435">
        <f t="shared" si="22"/>
        <v>0</v>
      </c>
      <c r="CK26" s="3" t="str">
        <f>_xlfn.LET(_xlpm.x,INDEX(tbl_Mat_def[],MATCH(BF26,ls_Mat_def,0),2),IFERROR(IF(_xlpm.x=0,"No","Yes"),"No"))</f>
        <v>No</v>
      </c>
      <c r="CM26" s="60" t="str">
        <f t="shared" si="23"/>
        <v/>
      </c>
      <c r="CN26" s="60" t="s">
        <v>235</v>
      </c>
      <c r="CO26" s="566" t="str">
        <f>_xlfn.XLOOKUP(CM26,tblGWP[Material Subcategory],tblGWP[Landfill],0)</f>
        <v/>
      </c>
      <c r="CP26" s="436" t="str">
        <f t="shared" si="24"/>
        <v/>
      </c>
      <c r="DD26" s="388">
        <f t="shared" si="29"/>
        <v>0</v>
      </c>
      <c r="DE26" s="22">
        <f t="shared" si="25"/>
        <v>19</v>
      </c>
      <c r="DF26" s="387">
        <f t="shared" si="30"/>
        <v>0</v>
      </c>
      <c r="DG26" s="387">
        <f t="shared" si="31"/>
        <v>0</v>
      </c>
      <c r="DH26" s="22">
        <f t="shared" ca="1" si="26"/>
        <v>0</v>
      </c>
      <c r="DI26">
        <f t="shared" ca="1" si="27"/>
        <v>0</v>
      </c>
    </row>
    <row r="27" spans="1:113" ht="30" customHeight="1">
      <c r="A27" s="22" t="str">
        <f t="shared" si="28"/>
        <v/>
      </c>
      <c r="B27" s="272"/>
      <c r="C27" s="491"/>
      <c r="D27" s="272"/>
      <c r="E27" s="400"/>
      <c r="F27" s="400"/>
      <c r="G27" s="401"/>
      <c r="H27" s="376"/>
      <c r="I27" s="376"/>
      <c r="J27" s="376"/>
      <c r="K27" s="376"/>
      <c r="L27" s="376"/>
      <c r="M27" s="376"/>
      <c r="N27" s="376"/>
      <c r="O27" s="376"/>
      <c r="P27" s="376"/>
      <c r="Q27" s="376"/>
      <c r="R27" s="376"/>
      <c r="S27" s="376"/>
      <c r="T27" s="431">
        <f t="shared" si="3"/>
        <v>0</v>
      </c>
      <c r="U27" s="272"/>
      <c r="BC27" s="432" t="str">
        <f t="shared" si="4"/>
        <v/>
      </c>
      <c r="BD27" s="432" t="str">
        <f t="shared" si="5"/>
        <v/>
      </c>
      <c r="BE27" s="432" t="str">
        <f t="shared" si="6"/>
        <v/>
      </c>
      <c r="BF27" s="432" t="str">
        <f t="shared" si="7"/>
        <v/>
      </c>
      <c r="BG27" s="432" t="str">
        <f t="shared" si="8"/>
        <v/>
      </c>
      <c r="BH27" s="432" t="str">
        <f>_xlfn.LET(_xlpm.x,H27,IF(OR(LEN(_xlpm.x)&lt;1,_xlpm.x=0),"",CONVERT(_xlpm.x,BH7,"kg")))</f>
        <v/>
      </c>
      <c r="BI27" s="432" t="str">
        <f>_xlfn.LET(_xlpm.x,I27,IF(OR(LEN(_xlpm.x)&lt;1,_xlpm.x=0),"",CONVERT(_xlpm.x,BH7,"kg")))</f>
        <v/>
      </c>
      <c r="BJ27" s="432" t="str">
        <f>_xlfn.LET(_xlpm.x,J27,IF(OR(LEN(_xlpm.x)&lt;1,_xlpm.x=0),"",CONVERT(_xlpm.x,BH7,"kg")))</f>
        <v/>
      </c>
      <c r="BK27" s="432" t="str">
        <f>_xlfn.LET(_xlpm.x,K27,IF(OR(LEN(_xlpm.x)&lt;1,_xlpm.x=0),"",CONVERT(_xlpm.x,BH7,"kg")))</f>
        <v/>
      </c>
      <c r="BL27" s="432" t="str">
        <f>_xlfn.LET(_xlpm.x,L27,IF(OR(LEN(_xlpm.x)&lt;1,_xlpm.x=0),"",CONVERT(_xlpm.x,BH7,"kg")))</f>
        <v/>
      </c>
      <c r="BM27" s="432" t="str">
        <f>_xlfn.LET(_xlpm.x,M27,IF(OR(LEN(_xlpm.x)&lt;1,_xlpm.x=0),"",CONVERT(_xlpm.x,BH7,"kg")))</f>
        <v/>
      </c>
      <c r="BN27" s="432" t="str">
        <f>_xlfn.LET(_xlpm.x,N27,IF(OR(LEN(_xlpm.x)&lt;1,_xlpm.x=0),"",CONVERT(_xlpm.x,BH7,"kg")))</f>
        <v/>
      </c>
      <c r="BO27" s="432" t="str">
        <f>_xlfn.LET(_xlpm.x,O27,IF(OR(LEN(_xlpm.x)&lt;1,_xlpm.x=0),"",CONVERT(_xlpm.x,BH7,"kg")))</f>
        <v/>
      </c>
      <c r="BP27" s="432" t="str">
        <f>_xlfn.LET(_xlpm.x,P27,IF(OR(LEN(_xlpm.x)&lt;1,_xlpm.x=0),"",CONVERT(_xlpm.x,BH7,"kg")))</f>
        <v/>
      </c>
      <c r="BQ27" s="432" t="str">
        <f>_xlfn.LET(_xlpm.x,Q27,IF(OR(LEN(_xlpm.x)&lt;1,_xlpm.x=0),"",CONVERT(_xlpm.x,BH7,"kg")))</f>
        <v/>
      </c>
      <c r="BR27" s="432" t="str">
        <f>_xlfn.LET(_xlpm.x,R27,IF(OR(LEN(_xlpm.x)&lt;1,_xlpm.x=0),"",CONVERT(_xlpm.x,BH7,"kg")))</f>
        <v/>
      </c>
      <c r="BS27" s="432" t="str">
        <f>_xlfn.LET(_xlpm.x,S27,IF(OR(LEN(_xlpm.x)&lt;1,_xlpm.x=0),"",CONVERT(_xlpm.x,BH7,"kg")))</f>
        <v/>
      </c>
      <c r="BT27" s="433">
        <f t="shared" si="9"/>
        <v>0</v>
      </c>
      <c r="BU27" s="433" t="str">
        <f>_xlfn.LET(_xlpm.x,BF27,IF(LEN(_xlpm.x)&lt;1,"",IF(ISNUMBER(MATCH(_xlpm.x,ls_Mat_def,0)),'Project Inputs'!$BF$14,99)))</f>
        <v/>
      </c>
      <c r="BV27" s="432" t="str" cm="1">
        <f t="array" ref="BV27">IFERROR(INDEX(tblGWP[],MATCH(1,(tblGWP[Dataset ID]=BU27)*(tblGWP[Material Subcategory]=BF27),0),MATCH(BG27,ls_WHM,0)+5),"confirm")</f>
        <v>confirm</v>
      </c>
      <c r="BW27" s="434" t="str">
        <f t="shared" si="10"/>
        <v>No data</v>
      </c>
      <c r="BX27" s="434" t="str">
        <f t="shared" si="11"/>
        <v>No data</v>
      </c>
      <c r="BY27" s="434" t="str">
        <f t="shared" si="12"/>
        <v>No data</v>
      </c>
      <c r="BZ27" s="434" t="str">
        <f t="shared" si="13"/>
        <v>No data</v>
      </c>
      <c r="CA27" s="434" t="str">
        <f t="shared" si="14"/>
        <v>No data</v>
      </c>
      <c r="CB27" s="434" t="str">
        <f t="shared" si="15"/>
        <v>No data</v>
      </c>
      <c r="CC27" s="434" t="str">
        <f t="shared" si="16"/>
        <v>No data</v>
      </c>
      <c r="CD27" s="434" t="str">
        <f t="shared" si="17"/>
        <v>No data</v>
      </c>
      <c r="CE27" s="434" t="str">
        <f t="shared" si="18"/>
        <v>No data</v>
      </c>
      <c r="CF27" s="434" t="str">
        <f t="shared" si="19"/>
        <v>No data</v>
      </c>
      <c r="CG27" s="434" t="str">
        <f t="shared" si="20"/>
        <v>No data</v>
      </c>
      <c r="CH27" s="434" t="str">
        <f t="shared" si="21"/>
        <v>No data</v>
      </c>
      <c r="CI27" s="435">
        <f t="shared" si="22"/>
        <v>0</v>
      </c>
      <c r="CK27" s="3" t="str">
        <f>_xlfn.LET(_xlpm.x,INDEX(tbl_Mat_def[],MATCH(BF27,ls_Mat_def,0),2),IFERROR(IF(_xlpm.x=0,"No","Yes"),"No"))</f>
        <v>No</v>
      </c>
      <c r="CM27" s="60" t="str">
        <f t="shared" si="23"/>
        <v/>
      </c>
      <c r="CN27" s="60" t="s">
        <v>235</v>
      </c>
      <c r="CO27" s="566" t="str">
        <f>_xlfn.XLOOKUP(CM27,tblGWP[Material Subcategory],tblGWP[Landfill],0)</f>
        <v/>
      </c>
      <c r="CP27" s="436" t="str">
        <f t="shared" si="24"/>
        <v/>
      </c>
      <c r="DD27" s="388">
        <f t="shared" si="29"/>
        <v>0</v>
      </c>
      <c r="DE27" s="22">
        <f t="shared" si="25"/>
        <v>19</v>
      </c>
      <c r="DF27" s="387">
        <f t="shared" si="30"/>
        <v>0</v>
      </c>
      <c r="DG27" s="387">
        <f t="shared" si="31"/>
        <v>0</v>
      </c>
      <c r="DH27" s="22">
        <f t="shared" ca="1" si="26"/>
        <v>0</v>
      </c>
      <c r="DI27">
        <f t="shared" ca="1" si="27"/>
        <v>0</v>
      </c>
    </row>
    <row r="28" spans="1:113" ht="30" customHeight="1">
      <c r="A28" s="22" t="str">
        <f t="shared" si="28"/>
        <v/>
      </c>
      <c r="B28" s="272"/>
      <c r="C28" s="491"/>
      <c r="D28" s="272"/>
      <c r="E28" s="400"/>
      <c r="F28" s="400"/>
      <c r="G28" s="401"/>
      <c r="H28" s="376"/>
      <c r="I28" s="376"/>
      <c r="J28" s="376"/>
      <c r="K28" s="376"/>
      <c r="L28" s="376"/>
      <c r="M28" s="376"/>
      <c r="N28" s="376"/>
      <c r="O28" s="376"/>
      <c r="P28" s="376"/>
      <c r="Q28" s="376"/>
      <c r="R28" s="376"/>
      <c r="S28" s="376"/>
      <c r="T28" s="431">
        <f t="shared" si="3"/>
        <v>0</v>
      </c>
      <c r="U28" s="272"/>
      <c r="BC28" s="432" t="str">
        <f t="shared" si="4"/>
        <v/>
      </c>
      <c r="BD28" s="432" t="str">
        <f t="shared" si="5"/>
        <v/>
      </c>
      <c r="BE28" s="432" t="str">
        <f t="shared" si="6"/>
        <v/>
      </c>
      <c r="BF28" s="432" t="str">
        <f t="shared" si="7"/>
        <v/>
      </c>
      <c r="BG28" s="432" t="str">
        <f t="shared" si="8"/>
        <v/>
      </c>
      <c r="BH28" s="432" t="str">
        <f>_xlfn.LET(_xlpm.x,H28,IF(OR(LEN(_xlpm.x)&lt;1,_xlpm.x=0),"",CONVERT(_xlpm.x,BH7,"kg")))</f>
        <v/>
      </c>
      <c r="BI28" s="432" t="str">
        <f>_xlfn.LET(_xlpm.x,I28,IF(OR(LEN(_xlpm.x)&lt;1,_xlpm.x=0),"",CONVERT(_xlpm.x,BH7,"kg")))</f>
        <v/>
      </c>
      <c r="BJ28" s="432" t="str">
        <f>_xlfn.LET(_xlpm.x,J28,IF(OR(LEN(_xlpm.x)&lt;1,_xlpm.x=0),"",CONVERT(_xlpm.x,BH7,"kg")))</f>
        <v/>
      </c>
      <c r="BK28" s="432" t="str">
        <f>_xlfn.LET(_xlpm.x,K28,IF(OR(LEN(_xlpm.x)&lt;1,_xlpm.x=0),"",CONVERT(_xlpm.x,BH7,"kg")))</f>
        <v/>
      </c>
      <c r="BL28" s="432" t="str">
        <f>_xlfn.LET(_xlpm.x,L28,IF(OR(LEN(_xlpm.x)&lt;1,_xlpm.x=0),"",CONVERT(_xlpm.x,BH7,"kg")))</f>
        <v/>
      </c>
      <c r="BM28" s="432" t="str">
        <f>_xlfn.LET(_xlpm.x,M28,IF(OR(LEN(_xlpm.x)&lt;1,_xlpm.x=0),"",CONVERT(_xlpm.x,BH7,"kg")))</f>
        <v/>
      </c>
      <c r="BN28" s="432" t="str">
        <f>_xlfn.LET(_xlpm.x,N28,IF(OR(LEN(_xlpm.x)&lt;1,_xlpm.x=0),"",CONVERT(_xlpm.x,BH7,"kg")))</f>
        <v/>
      </c>
      <c r="BO28" s="432" t="str">
        <f>_xlfn.LET(_xlpm.x,O28,IF(OR(LEN(_xlpm.x)&lt;1,_xlpm.x=0),"",CONVERT(_xlpm.x,BH7,"kg")))</f>
        <v/>
      </c>
      <c r="BP28" s="432" t="str">
        <f>_xlfn.LET(_xlpm.x,P28,IF(OR(LEN(_xlpm.x)&lt;1,_xlpm.x=0),"",CONVERT(_xlpm.x,BH7,"kg")))</f>
        <v/>
      </c>
      <c r="BQ28" s="432" t="str">
        <f>_xlfn.LET(_xlpm.x,Q28,IF(OR(LEN(_xlpm.x)&lt;1,_xlpm.x=0),"",CONVERT(_xlpm.x,BH7,"kg")))</f>
        <v/>
      </c>
      <c r="BR28" s="432" t="str">
        <f>_xlfn.LET(_xlpm.x,R28,IF(OR(LEN(_xlpm.x)&lt;1,_xlpm.x=0),"",CONVERT(_xlpm.x,BH7,"kg")))</f>
        <v/>
      </c>
      <c r="BS28" s="432" t="str">
        <f>_xlfn.LET(_xlpm.x,S28,IF(OR(LEN(_xlpm.x)&lt;1,_xlpm.x=0),"",CONVERT(_xlpm.x,BH7,"kg")))</f>
        <v/>
      </c>
      <c r="BT28" s="433">
        <f t="shared" si="9"/>
        <v>0</v>
      </c>
      <c r="BU28" s="433" t="str">
        <f>_xlfn.LET(_xlpm.x,BF28,IF(LEN(_xlpm.x)&lt;1,"",IF(ISNUMBER(MATCH(_xlpm.x,ls_Mat_def,0)),'Project Inputs'!$BF$14,99)))</f>
        <v/>
      </c>
      <c r="BV28" s="432" t="str" cm="1">
        <f t="array" ref="BV28">IFERROR(INDEX(tblGWP[],MATCH(1,(tblGWP[Dataset ID]=BU28)*(tblGWP[Material Subcategory]=BF28),0),MATCH(BG28,ls_WHM,0)+5),"confirm")</f>
        <v>confirm</v>
      </c>
      <c r="BW28" s="434" t="str">
        <f t="shared" si="10"/>
        <v>No data</v>
      </c>
      <c r="BX28" s="434" t="str">
        <f t="shared" si="11"/>
        <v>No data</v>
      </c>
      <c r="BY28" s="434" t="str">
        <f t="shared" si="12"/>
        <v>No data</v>
      </c>
      <c r="BZ28" s="434" t="str">
        <f t="shared" si="13"/>
        <v>No data</v>
      </c>
      <c r="CA28" s="434" t="str">
        <f t="shared" si="14"/>
        <v>No data</v>
      </c>
      <c r="CB28" s="434" t="str">
        <f t="shared" si="15"/>
        <v>No data</v>
      </c>
      <c r="CC28" s="434" t="str">
        <f t="shared" si="16"/>
        <v>No data</v>
      </c>
      <c r="CD28" s="434" t="str">
        <f t="shared" si="17"/>
        <v>No data</v>
      </c>
      <c r="CE28" s="434" t="str">
        <f t="shared" si="18"/>
        <v>No data</v>
      </c>
      <c r="CF28" s="434" t="str">
        <f t="shared" si="19"/>
        <v>No data</v>
      </c>
      <c r="CG28" s="434" t="str">
        <f t="shared" si="20"/>
        <v>No data</v>
      </c>
      <c r="CH28" s="434" t="str">
        <f t="shared" si="21"/>
        <v>No data</v>
      </c>
      <c r="CI28" s="435">
        <f t="shared" si="22"/>
        <v>0</v>
      </c>
      <c r="CK28" s="3" t="str">
        <f>_xlfn.LET(_xlpm.x,INDEX(tbl_Mat_def[],MATCH(BF28,ls_Mat_def,0),2),IFERROR(IF(_xlpm.x=0,"No","Yes"),"No"))</f>
        <v>No</v>
      </c>
      <c r="CM28" s="60" t="str">
        <f t="shared" si="23"/>
        <v/>
      </c>
      <c r="CN28" s="60" t="s">
        <v>235</v>
      </c>
      <c r="CO28" s="566" t="str">
        <f>_xlfn.XLOOKUP(CM28,tblGWP[Material Subcategory],tblGWP[Landfill],0)</f>
        <v/>
      </c>
      <c r="CP28" s="436" t="str">
        <f t="shared" si="24"/>
        <v/>
      </c>
      <c r="DD28" s="388">
        <f t="shared" si="29"/>
        <v>0</v>
      </c>
      <c r="DE28" s="22">
        <f t="shared" si="25"/>
        <v>19</v>
      </c>
      <c r="DF28" s="387">
        <f t="shared" si="30"/>
        <v>0</v>
      </c>
      <c r="DG28" s="387">
        <f t="shared" si="31"/>
        <v>0</v>
      </c>
      <c r="DH28" s="22">
        <f t="shared" ca="1" si="26"/>
        <v>0</v>
      </c>
      <c r="DI28">
        <f t="shared" ca="1" si="27"/>
        <v>0</v>
      </c>
    </row>
    <row r="29" spans="1:113" ht="30" customHeight="1">
      <c r="A29" s="22" t="str">
        <f t="shared" si="28"/>
        <v/>
      </c>
      <c r="B29" s="272"/>
      <c r="C29" s="491"/>
      <c r="D29" s="272"/>
      <c r="E29" s="400"/>
      <c r="F29" s="400"/>
      <c r="G29" s="401"/>
      <c r="H29" s="376"/>
      <c r="I29" s="376"/>
      <c r="J29" s="376"/>
      <c r="K29" s="376"/>
      <c r="L29" s="376"/>
      <c r="M29" s="376"/>
      <c r="N29" s="376"/>
      <c r="O29" s="376"/>
      <c r="P29" s="376"/>
      <c r="Q29" s="376"/>
      <c r="R29" s="376"/>
      <c r="S29" s="376"/>
      <c r="T29" s="431">
        <f t="shared" si="3"/>
        <v>0</v>
      </c>
      <c r="U29" s="272"/>
      <c r="BC29" s="432" t="str">
        <f t="shared" si="4"/>
        <v/>
      </c>
      <c r="BD29" s="432" t="str">
        <f t="shared" si="5"/>
        <v/>
      </c>
      <c r="BE29" s="432" t="str">
        <f t="shared" si="6"/>
        <v/>
      </c>
      <c r="BF29" s="432" t="str">
        <f t="shared" si="7"/>
        <v/>
      </c>
      <c r="BG29" s="432" t="str">
        <f t="shared" si="8"/>
        <v/>
      </c>
      <c r="BH29" s="432" t="str">
        <f>_xlfn.LET(_xlpm.x,H29,IF(OR(LEN(_xlpm.x)&lt;1,_xlpm.x=0),"",CONVERT(_xlpm.x,BH7,"kg")))</f>
        <v/>
      </c>
      <c r="BI29" s="432" t="str">
        <f>_xlfn.LET(_xlpm.x,I29,IF(OR(LEN(_xlpm.x)&lt;1,_xlpm.x=0),"",CONVERT(_xlpm.x,BH7,"kg")))</f>
        <v/>
      </c>
      <c r="BJ29" s="432" t="str">
        <f>_xlfn.LET(_xlpm.x,J29,IF(OR(LEN(_xlpm.x)&lt;1,_xlpm.x=0),"",CONVERT(_xlpm.x,BH7,"kg")))</f>
        <v/>
      </c>
      <c r="BK29" s="432" t="str">
        <f>_xlfn.LET(_xlpm.x,K29,IF(OR(LEN(_xlpm.x)&lt;1,_xlpm.x=0),"",CONVERT(_xlpm.x,BH7,"kg")))</f>
        <v/>
      </c>
      <c r="BL29" s="432" t="str">
        <f>_xlfn.LET(_xlpm.x,L29,IF(OR(LEN(_xlpm.x)&lt;1,_xlpm.x=0),"",CONVERT(_xlpm.x,BH7,"kg")))</f>
        <v/>
      </c>
      <c r="BM29" s="432" t="str">
        <f>_xlfn.LET(_xlpm.x,M29,IF(OR(LEN(_xlpm.x)&lt;1,_xlpm.x=0),"",CONVERT(_xlpm.x,BH7,"kg")))</f>
        <v/>
      </c>
      <c r="BN29" s="432" t="str">
        <f>_xlfn.LET(_xlpm.x,N29,IF(OR(LEN(_xlpm.x)&lt;1,_xlpm.x=0),"",CONVERT(_xlpm.x,BH7,"kg")))</f>
        <v/>
      </c>
      <c r="BO29" s="432" t="str">
        <f>_xlfn.LET(_xlpm.x,O29,IF(OR(LEN(_xlpm.x)&lt;1,_xlpm.x=0),"",CONVERT(_xlpm.x,BH7,"kg")))</f>
        <v/>
      </c>
      <c r="BP29" s="432" t="str">
        <f>_xlfn.LET(_xlpm.x,P29,IF(OR(LEN(_xlpm.x)&lt;1,_xlpm.x=0),"",CONVERT(_xlpm.x,BH7,"kg")))</f>
        <v/>
      </c>
      <c r="BQ29" s="432" t="str">
        <f>_xlfn.LET(_xlpm.x,Q29,IF(OR(LEN(_xlpm.x)&lt;1,_xlpm.x=0),"",CONVERT(_xlpm.x,BH7,"kg")))</f>
        <v/>
      </c>
      <c r="BR29" s="432" t="str">
        <f>_xlfn.LET(_xlpm.x,R29,IF(OR(LEN(_xlpm.x)&lt;1,_xlpm.x=0),"",CONVERT(_xlpm.x,BH7,"kg")))</f>
        <v/>
      </c>
      <c r="BS29" s="432" t="str">
        <f>_xlfn.LET(_xlpm.x,S29,IF(OR(LEN(_xlpm.x)&lt;1,_xlpm.x=0),"",CONVERT(_xlpm.x,BH7,"kg")))</f>
        <v/>
      </c>
      <c r="BT29" s="433">
        <f t="shared" si="9"/>
        <v>0</v>
      </c>
      <c r="BU29" s="433" t="str">
        <f>_xlfn.LET(_xlpm.x,BF29,IF(LEN(_xlpm.x)&lt;1,"",IF(ISNUMBER(MATCH(_xlpm.x,ls_Mat_def,0)),'Project Inputs'!$BF$14,99)))</f>
        <v/>
      </c>
      <c r="BV29" s="432" t="str" cm="1">
        <f t="array" ref="BV29">IFERROR(INDEX(tblGWP[],MATCH(1,(tblGWP[Dataset ID]=BU29)*(tblGWP[Material Subcategory]=BF29),0),MATCH(BG29,ls_WHM,0)+5),"confirm")</f>
        <v>confirm</v>
      </c>
      <c r="BW29" s="434" t="str">
        <f t="shared" si="10"/>
        <v>No data</v>
      </c>
      <c r="BX29" s="434" t="str">
        <f t="shared" si="11"/>
        <v>No data</v>
      </c>
      <c r="BY29" s="434" t="str">
        <f t="shared" si="12"/>
        <v>No data</v>
      </c>
      <c r="BZ29" s="434" t="str">
        <f t="shared" si="13"/>
        <v>No data</v>
      </c>
      <c r="CA29" s="434" t="str">
        <f t="shared" si="14"/>
        <v>No data</v>
      </c>
      <c r="CB29" s="434" t="str">
        <f t="shared" si="15"/>
        <v>No data</v>
      </c>
      <c r="CC29" s="434" t="str">
        <f t="shared" si="16"/>
        <v>No data</v>
      </c>
      <c r="CD29" s="434" t="str">
        <f t="shared" si="17"/>
        <v>No data</v>
      </c>
      <c r="CE29" s="434" t="str">
        <f t="shared" si="18"/>
        <v>No data</v>
      </c>
      <c r="CF29" s="434" t="str">
        <f t="shared" si="19"/>
        <v>No data</v>
      </c>
      <c r="CG29" s="434" t="str">
        <f t="shared" si="20"/>
        <v>No data</v>
      </c>
      <c r="CH29" s="434" t="str">
        <f t="shared" si="21"/>
        <v>No data</v>
      </c>
      <c r="CI29" s="435">
        <f t="shared" si="22"/>
        <v>0</v>
      </c>
      <c r="CK29" s="3" t="str">
        <f>_xlfn.LET(_xlpm.x,INDEX(tbl_Mat_def[],MATCH(BF29,ls_Mat_def,0),2),IFERROR(IF(_xlpm.x=0,"No","Yes"),"No"))</f>
        <v>No</v>
      </c>
      <c r="CM29" s="60" t="str">
        <f t="shared" si="23"/>
        <v/>
      </c>
      <c r="CN29" s="60" t="s">
        <v>235</v>
      </c>
      <c r="CO29" s="566" t="str">
        <f>_xlfn.XLOOKUP(CM29,tblGWP[Material Subcategory],tblGWP[Landfill],0)</f>
        <v/>
      </c>
      <c r="CP29" s="436" t="str">
        <f t="shared" si="24"/>
        <v/>
      </c>
      <c r="DD29" s="388">
        <f t="shared" si="29"/>
        <v>0</v>
      </c>
      <c r="DE29" s="22">
        <f t="shared" si="25"/>
        <v>19</v>
      </c>
      <c r="DF29" s="387">
        <f t="shared" si="30"/>
        <v>0</v>
      </c>
      <c r="DG29" s="387">
        <f t="shared" si="31"/>
        <v>0</v>
      </c>
      <c r="DH29" s="22">
        <f t="shared" ca="1" si="26"/>
        <v>0</v>
      </c>
      <c r="DI29">
        <f t="shared" ca="1" si="27"/>
        <v>0</v>
      </c>
    </row>
    <row r="30" spans="1:113" ht="30" customHeight="1">
      <c r="A30" s="22" t="str">
        <f t="shared" si="28"/>
        <v/>
      </c>
      <c r="B30" s="272"/>
      <c r="C30" s="491"/>
      <c r="D30" s="272"/>
      <c r="E30" s="400"/>
      <c r="F30" s="400"/>
      <c r="G30" s="401"/>
      <c r="H30" s="376"/>
      <c r="I30" s="376"/>
      <c r="J30" s="376"/>
      <c r="K30" s="376"/>
      <c r="L30" s="376"/>
      <c r="M30" s="376"/>
      <c r="N30" s="376"/>
      <c r="O30" s="376"/>
      <c r="P30" s="376"/>
      <c r="Q30" s="376"/>
      <c r="R30" s="376"/>
      <c r="S30" s="376"/>
      <c r="T30" s="431">
        <f t="shared" si="3"/>
        <v>0</v>
      </c>
      <c r="U30" s="272"/>
      <c r="BC30" s="432" t="str">
        <f t="shared" si="4"/>
        <v/>
      </c>
      <c r="BD30" s="432" t="str">
        <f t="shared" si="5"/>
        <v/>
      </c>
      <c r="BE30" s="432" t="str">
        <f t="shared" si="6"/>
        <v/>
      </c>
      <c r="BF30" s="432" t="str">
        <f t="shared" si="7"/>
        <v/>
      </c>
      <c r="BG30" s="432" t="str">
        <f t="shared" si="8"/>
        <v/>
      </c>
      <c r="BH30" s="432" t="str">
        <f>_xlfn.LET(_xlpm.x,H30,IF(OR(LEN(_xlpm.x)&lt;1,_xlpm.x=0),"",CONVERT(_xlpm.x,BH7,"kg")))</f>
        <v/>
      </c>
      <c r="BI30" s="432" t="str">
        <f>_xlfn.LET(_xlpm.x,I30,IF(OR(LEN(_xlpm.x)&lt;1,_xlpm.x=0),"",CONVERT(_xlpm.x,BH7,"kg")))</f>
        <v/>
      </c>
      <c r="BJ30" s="432" t="str">
        <f>_xlfn.LET(_xlpm.x,J30,IF(OR(LEN(_xlpm.x)&lt;1,_xlpm.x=0),"",CONVERT(_xlpm.x,BH7,"kg")))</f>
        <v/>
      </c>
      <c r="BK30" s="432" t="str">
        <f>_xlfn.LET(_xlpm.x,K30,IF(OR(LEN(_xlpm.x)&lt;1,_xlpm.x=0),"",CONVERT(_xlpm.x,BH7,"kg")))</f>
        <v/>
      </c>
      <c r="BL30" s="432" t="str">
        <f>_xlfn.LET(_xlpm.x,L30,IF(OR(LEN(_xlpm.x)&lt;1,_xlpm.x=0),"",CONVERT(_xlpm.x,BH7,"kg")))</f>
        <v/>
      </c>
      <c r="BM30" s="432" t="str">
        <f>_xlfn.LET(_xlpm.x,M30,IF(OR(LEN(_xlpm.x)&lt;1,_xlpm.x=0),"",CONVERT(_xlpm.x,BH7,"kg")))</f>
        <v/>
      </c>
      <c r="BN30" s="432" t="str">
        <f>_xlfn.LET(_xlpm.x,N30,IF(OR(LEN(_xlpm.x)&lt;1,_xlpm.x=0),"",CONVERT(_xlpm.x,BH7,"kg")))</f>
        <v/>
      </c>
      <c r="BO30" s="432" t="str">
        <f>_xlfn.LET(_xlpm.x,O30,IF(OR(LEN(_xlpm.x)&lt;1,_xlpm.x=0),"",CONVERT(_xlpm.x,BH7,"kg")))</f>
        <v/>
      </c>
      <c r="BP30" s="432" t="str">
        <f>_xlfn.LET(_xlpm.x,P30,IF(OR(LEN(_xlpm.x)&lt;1,_xlpm.x=0),"",CONVERT(_xlpm.x,BH7,"kg")))</f>
        <v/>
      </c>
      <c r="BQ30" s="432" t="str">
        <f>_xlfn.LET(_xlpm.x,Q30,IF(OR(LEN(_xlpm.x)&lt;1,_xlpm.x=0),"",CONVERT(_xlpm.x,BH7,"kg")))</f>
        <v/>
      </c>
      <c r="BR30" s="432" t="str">
        <f>_xlfn.LET(_xlpm.x,R30,IF(OR(LEN(_xlpm.x)&lt;1,_xlpm.x=0),"",CONVERT(_xlpm.x,BH7,"kg")))</f>
        <v/>
      </c>
      <c r="BS30" s="432" t="str">
        <f>_xlfn.LET(_xlpm.x,S30,IF(OR(LEN(_xlpm.x)&lt;1,_xlpm.x=0),"",CONVERT(_xlpm.x,BH7,"kg")))</f>
        <v/>
      </c>
      <c r="BT30" s="433">
        <f t="shared" si="9"/>
        <v>0</v>
      </c>
      <c r="BU30" s="433" t="str">
        <f>_xlfn.LET(_xlpm.x,BF30,IF(LEN(_xlpm.x)&lt;1,"",IF(ISNUMBER(MATCH(_xlpm.x,ls_Mat_def,0)),'Project Inputs'!$BF$14,99)))</f>
        <v/>
      </c>
      <c r="BV30" s="432" t="str" cm="1">
        <f t="array" ref="BV30">IFERROR(INDEX(tblGWP[],MATCH(1,(tblGWP[Dataset ID]=BU30)*(tblGWP[Material Subcategory]=BF30),0),MATCH(BG30,ls_WHM,0)+5),"confirm")</f>
        <v>confirm</v>
      </c>
      <c r="BW30" s="434" t="str">
        <f t="shared" si="10"/>
        <v>No data</v>
      </c>
      <c r="BX30" s="434" t="str">
        <f t="shared" si="11"/>
        <v>No data</v>
      </c>
      <c r="BY30" s="434" t="str">
        <f t="shared" si="12"/>
        <v>No data</v>
      </c>
      <c r="BZ30" s="434" t="str">
        <f t="shared" si="13"/>
        <v>No data</v>
      </c>
      <c r="CA30" s="434" t="str">
        <f t="shared" si="14"/>
        <v>No data</v>
      </c>
      <c r="CB30" s="434" t="str">
        <f t="shared" si="15"/>
        <v>No data</v>
      </c>
      <c r="CC30" s="434" t="str">
        <f t="shared" si="16"/>
        <v>No data</v>
      </c>
      <c r="CD30" s="434" t="str">
        <f t="shared" si="17"/>
        <v>No data</v>
      </c>
      <c r="CE30" s="434" t="str">
        <f t="shared" si="18"/>
        <v>No data</v>
      </c>
      <c r="CF30" s="434" t="str">
        <f t="shared" si="19"/>
        <v>No data</v>
      </c>
      <c r="CG30" s="434" t="str">
        <f t="shared" si="20"/>
        <v>No data</v>
      </c>
      <c r="CH30" s="434" t="str">
        <f t="shared" si="21"/>
        <v>No data</v>
      </c>
      <c r="CI30" s="435">
        <f t="shared" si="22"/>
        <v>0</v>
      </c>
      <c r="CK30" s="3" t="str">
        <f>_xlfn.LET(_xlpm.x,INDEX(tbl_Mat_def[],MATCH(BF30,ls_Mat_def,0),2),IFERROR(IF(_xlpm.x=0,"No","Yes"),"No"))</f>
        <v>No</v>
      </c>
      <c r="CM30" s="60" t="str">
        <f t="shared" si="23"/>
        <v/>
      </c>
      <c r="CN30" s="60" t="s">
        <v>235</v>
      </c>
      <c r="CO30" s="566" t="str">
        <f>_xlfn.XLOOKUP(CM30,tblGWP[Material Subcategory],tblGWP[Landfill],0)</f>
        <v/>
      </c>
      <c r="CP30" s="436" t="str">
        <f t="shared" si="24"/>
        <v/>
      </c>
      <c r="DD30" s="388">
        <f t="shared" si="29"/>
        <v>0</v>
      </c>
      <c r="DE30" s="22">
        <f t="shared" si="25"/>
        <v>19</v>
      </c>
      <c r="DF30" s="387">
        <f t="shared" si="30"/>
        <v>0</v>
      </c>
      <c r="DG30" s="387">
        <f t="shared" si="31"/>
        <v>0</v>
      </c>
      <c r="DH30" s="22">
        <f t="shared" ca="1" si="26"/>
        <v>0</v>
      </c>
      <c r="DI30">
        <f t="shared" ca="1" si="27"/>
        <v>0</v>
      </c>
    </row>
    <row r="31" spans="1:113" ht="30" customHeight="1">
      <c r="A31" s="22" t="str">
        <f t="shared" si="28"/>
        <v/>
      </c>
      <c r="B31" s="272"/>
      <c r="C31" s="491"/>
      <c r="D31" s="272"/>
      <c r="E31" s="400"/>
      <c r="F31" s="400"/>
      <c r="G31" s="401"/>
      <c r="H31" s="376"/>
      <c r="I31" s="376"/>
      <c r="J31" s="376"/>
      <c r="K31" s="376"/>
      <c r="L31" s="376"/>
      <c r="M31" s="376"/>
      <c r="N31" s="376"/>
      <c r="O31" s="376"/>
      <c r="P31" s="376"/>
      <c r="Q31" s="376"/>
      <c r="R31" s="376"/>
      <c r="S31" s="376"/>
      <c r="T31" s="431">
        <f t="shared" si="3"/>
        <v>0</v>
      </c>
      <c r="U31" s="272"/>
      <c r="BC31" s="432" t="str">
        <f t="shared" si="4"/>
        <v/>
      </c>
      <c r="BD31" s="432" t="str">
        <f t="shared" si="5"/>
        <v/>
      </c>
      <c r="BE31" s="432" t="str">
        <f t="shared" si="6"/>
        <v/>
      </c>
      <c r="BF31" s="432" t="str">
        <f t="shared" si="7"/>
        <v/>
      </c>
      <c r="BG31" s="432" t="str">
        <f t="shared" si="8"/>
        <v/>
      </c>
      <c r="BH31" s="432" t="str">
        <f>_xlfn.LET(_xlpm.x,H31,IF(OR(LEN(_xlpm.x)&lt;1,_xlpm.x=0),"",CONVERT(_xlpm.x,BH7,"kg")))</f>
        <v/>
      </c>
      <c r="BI31" s="432" t="str">
        <f>_xlfn.LET(_xlpm.x,I31,IF(OR(LEN(_xlpm.x)&lt;1,_xlpm.x=0),"",CONVERT(_xlpm.x,BH7,"kg")))</f>
        <v/>
      </c>
      <c r="BJ31" s="432" t="str">
        <f>_xlfn.LET(_xlpm.x,J31,IF(OR(LEN(_xlpm.x)&lt;1,_xlpm.x=0),"",CONVERT(_xlpm.x,BH7,"kg")))</f>
        <v/>
      </c>
      <c r="BK31" s="432" t="str">
        <f>_xlfn.LET(_xlpm.x,K31,IF(OR(LEN(_xlpm.x)&lt;1,_xlpm.x=0),"",CONVERT(_xlpm.x,BH7,"kg")))</f>
        <v/>
      </c>
      <c r="BL31" s="432" t="str">
        <f>_xlfn.LET(_xlpm.x,L31,IF(OR(LEN(_xlpm.x)&lt;1,_xlpm.x=0),"",CONVERT(_xlpm.x,BH7,"kg")))</f>
        <v/>
      </c>
      <c r="BM31" s="432" t="str">
        <f>_xlfn.LET(_xlpm.x,M31,IF(OR(LEN(_xlpm.x)&lt;1,_xlpm.x=0),"",CONVERT(_xlpm.x,BH7,"kg")))</f>
        <v/>
      </c>
      <c r="BN31" s="432" t="str">
        <f>_xlfn.LET(_xlpm.x,N31,IF(OR(LEN(_xlpm.x)&lt;1,_xlpm.x=0),"",CONVERT(_xlpm.x,BH7,"kg")))</f>
        <v/>
      </c>
      <c r="BO31" s="432" t="str">
        <f>_xlfn.LET(_xlpm.x,O31,IF(OR(LEN(_xlpm.x)&lt;1,_xlpm.x=0),"",CONVERT(_xlpm.x,BH7,"kg")))</f>
        <v/>
      </c>
      <c r="BP31" s="432" t="str">
        <f>_xlfn.LET(_xlpm.x,P31,IF(OR(LEN(_xlpm.x)&lt;1,_xlpm.x=0),"",CONVERT(_xlpm.x,BH7,"kg")))</f>
        <v/>
      </c>
      <c r="BQ31" s="432" t="str">
        <f>_xlfn.LET(_xlpm.x,Q31,IF(OR(LEN(_xlpm.x)&lt;1,_xlpm.x=0),"",CONVERT(_xlpm.x,BH7,"kg")))</f>
        <v/>
      </c>
      <c r="BR31" s="432" t="str">
        <f>_xlfn.LET(_xlpm.x,R31,IF(OR(LEN(_xlpm.x)&lt;1,_xlpm.x=0),"",CONVERT(_xlpm.x,BH7,"kg")))</f>
        <v/>
      </c>
      <c r="BS31" s="432" t="str">
        <f>_xlfn.LET(_xlpm.x,S31,IF(OR(LEN(_xlpm.x)&lt;1,_xlpm.x=0),"",CONVERT(_xlpm.x,BH7,"kg")))</f>
        <v/>
      </c>
      <c r="BT31" s="433">
        <f t="shared" si="9"/>
        <v>0</v>
      </c>
      <c r="BU31" s="433" t="str">
        <f>_xlfn.LET(_xlpm.x,BF31,IF(LEN(_xlpm.x)&lt;1,"",IF(ISNUMBER(MATCH(_xlpm.x,ls_Mat_def,0)),'Project Inputs'!$BF$14,99)))</f>
        <v/>
      </c>
      <c r="BV31" s="432" t="str" cm="1">
        <f t="array" ref="BV31">IFERROR(INDEX(tblGWP[],MATCH(1,(tblGWP[Dataset ID]=BU31)*(tblGWP[Material Subcategory]=BF31),0),MATCH(BG31,ls_WHM,0)+5),"confirm")</f>
        <v>confirm</v>
      </c>
      <c r="BW31" s="434" t="str">
        <f t="shared" si="10"/>
        <v>No data</v>
      </c>
      <c r="BX31" s="434" t="str">
        <f t="shared" si="11"/>
        <v>No data</v>
      </c>
      <c r="BY31" s="434" t="str">
        <f t="shared" si="12"/>
        <v>No data</v>
      </c>
      <c r="BZ31" s="434" t="str">
        <f t="shared" si="13"/>
        <v>No data</v>
      </c>
      <c r="CA31" s="434" t="str">
        <f t="shared" si="14"/>
        <v>No data</v>
      </c>
      <c r="CB31" s="434" t="str">
        <f t="shared" si="15"/>
        <v>No data</v>
      </c>
      <c r="CC31" s="434" t="str">
        <f t="shared" si="16"/>
        <v>No data</v>
      </c>
      <c r="CD31" s="434" t="str">
        <f t="shared" si="17"/>
        <v>No data</v>
      </c>
      <c r="CE31" s="434" t="str">
        <f t="shared" si="18"/>
        <v>No data</v>
      </c>
      <c r="CF31" s="434" t="str">
        <f t="shared" si="19"/>
        <v>No data</v>
      </c>
      <c r="CG31" s="434" t="str">
        <f t="shared" si="20"/>
        <v>No data</v>
      </c>
      <c r="CH31" s="434" t="str">
        <f t="shared" si="21"/>
        <v>No data</v>
      </c>
      <c r="CI31" s="435">
        <f t="shared" si="22"/>
        <v>0</v>
      </c>
      <c r="CK31" s="3" t="str">
        <f>_xlfn.LET(_xlpm.x,INDEX(tbl_Mat_def[],MATCH(BF31,ls_Mat_def,0),2),IFERROR(IF(_xlpm.x=0,"No","Yes"),"No"))</f>
        <v>No</v>
      </c>
      <c r="CM31" s="60" t="str">
        <f t="shared" si="23"/>
        <v/>
      </c>
      <c r="CN31" s="60" t="s">
        <v>235</v>
      </c>
      <c r="CO31" s="566" t="str">
        <f>_xlfn.XLOOKUP(CM31,tblGWP[Material Subcategory],tblGWP[Landfill],0)</f>
        <v/>
      </c>
      <c r="CP31" s="436" t="str">
        <f t="shared" si="24"/>
        <v/>
      </c>
      <c r="DD31" s="388">
        <f t="shared" si="29"/>
        <v>0</v>
      </c>
      <c r="DE31" s="22">
        <f t="shared" si="25"/>
        <v>19</v>
      </c>
      <c r="DF31" s="387">
        <f t="shared" si="30"/>
        <v>0</v>
      </c>
      <c r="DG31" s="387">
        <f t="shared" si="31"/>
        <v>0</v>
      </c>
      <c r="DH31" s="22">
        <f t="shared" ca="1" si="26"/>
        <v>0</v>
      </c>
      <c r="DI31">
        <f t="shared" ca="1" si="27"/>
        <v>0</v>
      </c>
    </row>
    <row r="32" spans="1:113" ht="30" customHeight="1">
      <c r="A32" s="22" t="str">
        <f t="shared" si="28"/>
        <v/>
      </c>
      <c r="B32" s="272"/>
      <c r="C32" s="491"/>
      <c r="D32" s="272"/>
      <c r="E32" s="400"/>
      <c r="F32" s="400"/>
      <c r="G32" s="401"/>
      <c r="H32" s="376"/>
      <c r="I32" s="376"/>
      <c r="J32" s="376"/>
      <c r="K32" s="376"/>
      <c r="L32" s="376"/>
      <c r="M32" s="376"/>
      <c r="N32" s="376"/>
      <c r="O32" s="376"/>
      <c r="P32" s="376"/>
      <c r="Q32" s="376"/>
      <c r="R32" s="376"/>
      <c r="S32" s="376"/>
      <c r="T32" s="431">
        <f t="shared" si="3"/>
        <v>0</v>
      </c>
      <c r="U32" s="272"/>
      <c r="BC32" s="432" t="str">
        <f t="shared" si="4"/>
        <v/>
      </c>
      <c r="BD32" s="432" t="str">
        <f t="shared" si="5"/>
        <v/>
      </c>
      <c r="BE32" s="432" t="str">
        <f t="shared" si="6"/>
        <v/>
      </c>
      <c r="BF32" s="432" t="str">
        <f t="shared" si="7"/>
        <v/>
      </c>
      <c r="BG32" s="432" t="str">
        <f t="shared" si="8"/>
        <v/>
      </c>
      <c r="BH32" s="432" t="str">
        <f>_xlfn.LET(_xlpm.x,H32,IF(OR(LEN(_xlpm.x)&lt;1,_xlpm.x=0),"",CONVERT(_xlpm.x,BH7,"kg")))</f>
        <v/>
      </c>
      <c r="BI32" s="432" t="str">
        <f>_xlfn.LET(_xlpm.x,I32,IF(OR(LEN(_xlpm.x)&lt;1,_xlpm.x=0),"",CONVERT(_xlpm.x,BH7,"kg")))</f>
        <v/>
      </c>
      <c r="BJ32" s="432" t="str">
        <f>_xlfn.LET(_xlpm.x,J32,IF(OR(LEN(_xlpm.x)&lt;1,_xlpm.x=0),"",CONVERT(_xlpm.x,BH7,"kg")))</f>
        <v/>
      </c>
      <c r="BK32" s="432" t="str">
        <f>_xlfn.LET(_xlpm.x,K32,IF(OR(LEN(_xlpm.x)&lt;1,_xlpm.x=0),"",CONVERT(_xlpm.x,BH7,"kg")))</f>
        <v/>
      </c>
      <c r="BL32" s="432" t="str">
        <f>_xlfn.LET(_xlpm.x,L32,IF(OR(LEN(_xlpm.x)&lt;1,_xlpm.x=0),"",CONVERT(_xlpm.x,BH7,"kg")))</f>
        <v/>
      </c>
      <c r="BM32" s="432" t="str">
        <f>_xlfn.LET(_xlpm.x,M32,IF(OR(LEN(_xlpm.x)&lt;1,_xlpm.x=0),"",CONVERT(_xlpm.x,BH7,"kg")))</f>
        <v/>
      </c>
      <c r="BN32" s="432" t="str">
        <f>_xlfn.LET(_xlpm.x,N32,IF(OR(LEN(_xlpm.x)&lt;1,_xlpm.x=0),"",CONVERT(_xlpm.x,BH7,"kg")))</f>
        <v/>
      </c>
      <c r="BO32" s="432" t="str">
        <f>_xlfn.LET(_xlpm.x,O32,IF(OR(LEN(_xlpm.x)&lt;1,_xlpm.x=0),"",CONVERT(_xlpm.x,BH7,"kg")))</f>
        <v/>
      </c>
      <c r="BP32" s="432" t="str">
        <f>_xlfn.LET(_xlpm.x,P32,IF(OR(LEN(_xlpm.x)&lt;1,_xlpm.x=0),"",CONVERT(_xlpm.x,BH7,"kg")))</f>
        <v/>
      </c>
      <c r="BQ32" s="432" t="str">
        <f>_xlfn.LET(_xlpm.x,Q32,IF(OR(LEN(_xlpm.x)&lt;1,_xlpm.x=0),"",CONVERT(_xlpm.x,BH7,"kg")))</f>
        <v/>
      </c>
      <c r="BR32" s="432" t="str">
        <f>_xlfn.LET(_xlpm.x,R32,IF(OR(LEN(_xlpm.x)&lt;1,_xlpm.x=0),"",CONVERT(_xlpm.x,BH7,"kg")))</f>
        <v/>
      </c>
      <c r="BS32" s="432" t="str">
        <f>_xlfn.LET(_xlpm.x,S32,IF(OR(LEN(_xlpm.x)&lt;1,_xlpm.x=0),"",CONVERT(_xlpm.x,BH7,"kg")))</f>
        <v/>
      </c>
      <c r="BT32" s="433">
        <f t="shared" si="9"/>
        <v>0</v>
      </c>
      <c r="BU32" s="433" t="str">
        <f>_xlfn.LET(_xlpm.x,BF32,IF(LEN(_xlpm.x)&lt;1,"",IF(ISNUMBER(MATCH(_xlpm.x,ls_Mat_def,0)),'Project Inputs'!$BF$14,99)))</f>
        <v/>
      </c>
      <c r="BV32" s="432" t="str" cm="1">
        <f t="array" ref="BV32">IFERROR(INDEX(tblGWP[],MATCH(1,(tblGWP[Dataset ID]=BU32)*(tblGWP[Material Subcategory]=BF32),0),MATCH(BG32,ls_WHM,0)+5),"confirm")</f>
        <v>confirm</v>
      </c>
      <c r="BW32" s="434" t="str">
        <f t="shared" si="10"/>
        <v>No data</v>
      </c>
      <c r="BX32" s="434" t="str">
        <f t="shared" si="11"/>
        <v>No data</v>
      </c>
      <c r="BY32" s="434" t="str">
        <f t="shared" si="12"/>
        <v>No data</v>
      </c>
      <c r="BZ32" s="434" t="str">
        <f t="shared" si="13"/>
        <v>No data</v>
      </c>
      <c r="CA32" s="434" t="str">
        <f t="shared" si="14"/>
        <v>No data</v>
      </c>
      <c r="CB32" s="434" t="str">
        <f t="shared" si="15"/>
        <v>No data</v>
      </c>
      <c r="CC32" s="434" t="str">
        <f t="shared" si="16"/>
        <v>No data</v>
      </c>
      <c r="CD32" s="434" t="str">
        <f t="shared" si="17"/>
        <v>No data</v>
      </c>
      <c r="CE32" s="434" t="str">
        <f t="shared" si="18"/>
        <v>No data</v>
      </c>
      <c r="CF32" s="434" t="str">
        <f t="shared" si="19"/>
        <v>No data</v>
      </c>
      <c r="CG32" s="434" t="str">
        <f t="shared" si="20"/>
        <v>No data</v>
      </c>
      <c r="CH32" s="434" t="str">
        <f t="shared" si="21"/>
        <v>No data</v>
      </c>
      <c r="CI32" s="435">
        <f t="shared" si="22"/>
        <v>0</v>
      </c>
      <c r="CK32" s="3" t="str">
        <f>_xlfn.LET(_xlpm.x,INDEX(tbl_Mat_def[],MATCH(BF32,ls_Mat_def,0),2),IFERROR(IF(_xlpm.x=0,"No","Yes"),"No"))</f>
        <v>No</v>
      </c>
      <c r="CM32" s="60" t="str">
        <f t="shared" si="23"/>
        <v/>
      </c>
      <c r="CN32" s="60" t="s">
        <v>235</v>
      </c>
      <c r="CO32" s="566" t="str">
        <f>_xlfn.XLOOKUP(CM32,tblGWP[Material Subcategory],tblGWP[Landfill],0)</f>
        <v/>
      </c>
      <c r="CP32" s="436" t="str">
        <f t="shared" si="24"/>
        <v/>
      </c>
      <c r="DD32" s="388">
        <f t="shared" si="29"/>
        <v>0</v>
      </c>
      <c r="DE32" s="22">
        <f t="shared" si="25"/>
        <v>19</v>
      </c>
      <c r="DF32" s="387">
        <f t="shared" si="30"/>
        <v>0</v>
      </c>
      <c r="DG32" s="387">
        <f t="shared" si="31"/>
        <v>0</v>
      </c>
      <c r="DH32" s="22">
        <f t="shared" ca="1" si="26"/>
        <v>0</v>
      </c>
      <c r="DI32">
        <f t="shared" ca="1" si="27"/>
        <v>0</v>
      </c>
    </row>
    <row r="33" spans="1:113" ht="30" customHeight="1">
      <c r="A33" s="22" t="str">
        <f t="shared" si="28"/>
        <v/>
      </c>
      <c r="B33" s="272"/>
      <c r="C33" s="491"/>
      <c r="D33" s="272"/>
      <c r="E33" s="400"/>
      <c r="F33" s="400"/>
      <c r="G33" s="401"/>
      <c r="H33" s="376"/>
      <c r="I33" s="376"/>
      <c r="J33" s="376"/>
      <c r="K33" s="376"/>
      <c r="L33" s="376"/>
      <c r="M33" s="376"/>
      <c r="N33" s="376"/>
      <c r="O33" s="376"/>
      <c r="P33" s="376"/>
      <c r="Q33" s="376"/>
      <c r="R33" s="376"/>
      <c r="S33" s="376"/>
      <c r="T33" s="431">
        <f t="shared" si="3"/>
        <v>0</v>
      </c>
      <c r="U33" s="272"/>
      <c r="BC33" s="432" t="str">
        <f t="shared" si="4"/>
        <v/>
      </c>
      <c r="BD33" s="432" t="str">
        <f t="shared" si="5"/>
        <v/>
      </c>
      <c r="BE33" s="432" t="str">
        <f t="shared" si="6"/>
        <v/>
      </c>
      <c r="BF33" s="432" t="str">
        <f t="shared" si="7"/>
        <v/>
      </c>
      <c r="BG33" s="432" t="str">
        <f t="shared" si="8"/>
        <v/>
      </c>
      <c r="BH33" s="432" t="str">
        <f>_xlfn.LET(_xlpm.x,H33,IF(OR(LEN(_xlpm.x)&lt;1,_xlpm.x=0),"",CONVERT(_xlpm.x,BH7,"kg")))</f>
        <v/>
      </c>
      <c r="BI33" s="432" t="str">
        <f>_xlfn.LET(_xlpm.x,I33,IF(OR(LEN(_xlpm.x)&lt;1,_xlpm.x=0),"",CONVERT(_xlpm.x,BH7,"kg")))</f>
        <v/>
      </c>
      <c r="BJ33" s="432" t="str">
        <f>_xlfn.LET(_xlpm.x,J33,IF(OR(LEN(_xlpm.x)&lt;1,_xlpm.x=0),"",CONVERT(_xlpm.x,BH7,"kg")))</f>
        <v/>
      </c>
      <c r="BK33" s="432" t="str">
        <f>_xlfn.LET(_xlpm.x,K33,IF(OR(LEN(_xlpm.x)&lt;1,_xlpm.x=0),"",CONVERT(_xlpm.x,BH7,"kg")))</f>
        <v/>
      </c>
      <c r="BL33" s="432" t="str">
        <f>_xlfn.LET(_xlpm.x,L33,IF(OR(LEN(_xlpm.x)&lt;1,_xlpm.x=0),"",CONVERT(_xlpm.x,BH7,"kg")))</f>
        <v/>
      </c>
      <c r="BM33" s="432" t="str">
        <f>_xlfn.LET(_xlpm.x,M33,IF(OR(LEN(_xlpm.x)&lt;1,_xlpm.x=0),"",CONVERT(_xlpm.x,BH7,"kg")))</f>
        <v/>
      </c>
      <c r="BN33" s="432" t="str">
        <f>_xlfn.LET(_xlpm.x,N33,IF(OR(LEN(_xlpm.x)&lt;1,_xlpm.x=0),"",CONVERT(_xlpm.x,BH7,"kg")))</f>
        <v/>
      </c>
      <c r="BO33" s="432" t="str">
        <f>_xlfn.LET(_xlpm.x,O33,IF(OR(LEN(_xlpm.x)&lt;1,_xlpm.x=0),"",CONVERT(_xlpm.x,BH7,"kg")))</f>
        <v/>
      </c>
      <c r="BP33" s="432" t="str">
        <f>_xlfn.LET(_xlpm.x,P33,IF(OR(LEN(_xlpm.x)&lt;1,_xlpm.x=0),"",CONVERT(_xlpm.x,BH7,"kg")))</f>
        <v/>
      </c>
      <c r="BQ33" s="432" t="str">
        <f>_xlfn.LET(_xlpm.x,Q33,IF(OR(LEN(_xlpm.x)&lt;1,_xlpm.x=0),"",CONVERT(_xlpm.x,BH7,"kg")))</f>
        <v/>
      </c>
      <c r="BR33" s="432" t="str">
        <f>_xlfn.LET(_xlpm.x,R33,IF(OR(LEN(_xlpm.x)&lt;1,_xlpm.x=0),"",CONVERT(_xlpm.x,BH7,"kg")))</f>
        <v/>
      </c>
      <c r="BS33" s="432" t="str">
        <f>_xlfn.LET(_xlpm.x,S33,IF(OR(LEN(_xlpm.x)&lt;1,_xlpm.x=0),"",CONVERT(_xlpm.x,BH7,"kg")))</f>
        <v/>
      </c>
      <c r="BT33" s="433">
        <f t="shared" si="9"/>
        <v>0</v>
      </c>
      <c r="BU33" s="433" t="str">
        <f>_xlfn.LET(_xlpm.x,BF33,IF(LEN(_xlpm.x)&lt;1,"",IF(ISNUMBER(MATCH(_xlpm.x,ls_Mat_def,0)),'Project Inputs'!$BF$14,99)))</f>
        <v/>
      </c>
      <c r="BV33" s="432" t="str" cm="1">
        <f t="array" ref="BV33">IFERROR(INDEX(tblGWP[],MATCH(1,(tblGWP[Dataset ID]=BU33)*(tblGWP[Material Subcategory]=BF33),0),MATCH(BG33,ls_WHM,0)+5),"confirm")</f>
        <v>confirm</v>
      </c>
      <c r="BW33" s="434" t="str">
        <f t="shared" si="10"/>
        <v>No data</v>
      </c>
      <c r="BX33" s="434" t="str">
        <f t="shared" si="11"/>
        <v>No data</v>
      </c>
      <c r="BY33" s="434" t="str">
        <f t="shared" si="12"/>
        <v>No data</v>
      </c>
      <c r="BZ33" s="434" t="str">
        <f t="shared" si="13"/>
        <v>No data</v>
      </c>
      <c r="CA33" s="434" t="str">
        <f t="shared" si="14"/>
        <v>No data</v>
      </c>
      <c r="CB33" s="434" t="str">
        <f t="shared" si="15"/>
        <v>No data</v>
      </c>
      <c r="CC33" s="434" t="str">
        <f t="shared" si="16"/>
        <v>No data</v>
      </c>
      <c r="CD33" s="434" t="str">
        <f t="shared" si="17"/>
        <v>No data</v>
      </c>
      <c r="CE33" s="434" t="str">
        <f t="shared" si="18"/>
        <v>No data</v>
      </c>
      <c r="CF33" s="434" t="str">
        <f t="shared" si="19"/>
        <v>No data</v>
      </c>
      <c r="CG33" s="434" t="str">
        <f t="shared" si="20"/>
        <v>No data</v>
      </c>
      <c r="CH33" s="434" t="str">
        <f t="shared" si="21"/>
        <v>No data</v>
      </c>
      <c r="CI33" s="435">
        <f t="shared" si="22"/>
        <v>0</v>
      </c>
      <c r="CK33" s="3" t="str">
        <f>_xlfn.LET(_xlpm.x,INDEX(tbl_Mat_def[],MATCH(BF33,ls_Mat_def,0),2),IFERROR(IF(_xlpm.x=0,"No","Yes"),"No"))</f>
        <v>No</v>
      </c>
      <c r="CM33" s="60" t="str">
        <f t="shared" si="23"/>
        <v/>
      </c>
      <c r="CN33" s="60" t="s">
        <v>235</v>
      </c>
      <c r="CO33" s="566" t="str">
        <f>_xlfn.XLOOKUP(CM33,tblGWP[Material Subcategory],tblGWP[Landfill],0)</f>
        <v/>
      </c>
      <c r="CP33" s="436" t="str">
        <f t="shared" si="24"/>
        <v/>
      </c>
      <c r="DD33" s="388">
        <f t="shared" si="29"/>
        <v>0</v>
      </c>
      <c r="DE33" s="22">
        <f t="shared" si="25"/>
        <v>19</v>
      </c>
      <c r="DF33" s="387">
        <f t="shared" si="30"/>
        <v>0</v>
      </c>
      <c r="DG33" s="387">
        <f t="shared" si="31"/>
        <v>0</v>
      </c>
      <c r="DH33" s="22">
        <f t="shared" ca="1" si="26"/>
        <v>0</v>
      </c>
      <c r="DI33">
        <f t="shared" ca="1" si="27"/>
        <v>0</v>
      </c>
    </row>
    <row r="34" spans="1:113" ht="30" hidden="1" customHeight="1" outlineLevel="1">
      <c r="A34" s="22" t="str">
        <f t="shared" si="28"/>
        <v/>
      </c>
      <c r="B34" s="272"/>
      <c r="C34" s="491"/>
      <c r="D34" s="272"/>
      <c r="E34" s="400"/>
      <c r="F34" s="400"/>
      <c r="G34" s="401"/>
      <c r="H34" s="376"/>
      <c r="I34" s="376"/>
      <c r="J34" s="376"/>
      <c r="K34" s="376"/>
      <c r="L34" s="376"/>
      <c r="M34" s="376"/>
      <c r="N34" s="376"/>
      <c r="O34" s="376"/>
      <c r="P34" s="376"/>
      <c r="Q34" s="376"/>
      <c r="R34" s="376"/>
      <c r="S34" s="376"/>
      <c r="T34" s="431">
        <f t="shared" si="3"/>
        <v>0</v>
      </c>
      <c r="U34" s="272"/>
      <c r="BC34" s="432" t="str">
        <f t="shared" si="4"/>
        <v/>
      </c>
      <c r="BD34" s="432" t="str">
        <f t="shared" si="5"/>
        <v/>
      </c>
      <c r="BE34" s="432" t="str">
        <f t="shared" si="6"/>
        <v/>
      </c>
      <c r="BF34" s="432" t="str">
        <f t="shared" si="7"/>
        <v/>
      </c>
      <c r="BG34" s="432" t="str">
        <f t="shared" si="8"/>
        <v/>
      </c>
      <c r="BH34" s="432" t="str">
        <f>_xlfn.LET(_xlpm.x,H34,IF(OR(LEN(_xlpm.x)&lt;1,_xlpm.x=0),"",CONVERT(_xlpm.x,BH7,"kg")))</f>
        <v/>
      </c>
      <c r="BI34" s="432" t="str">
        <f>_xlfn.LET(_xlpm.x,I34,IF(OR(LEN(_xlpm.x)&lt;1,_xlpm.x=0),"",CONVERT(_xlpm.x,BH7,"kg")))</f>
        <v/>
      </c>
      <c r="BJ34" s="432" t="str">
        <f>_xlfn.LET(_xlpm.x,J34,IF(OR(LEN(_xlpm.x)&lt;1,_xlpm.x=0),"",CONVERT(_xlpm.x,BH7,"kg")))</f>
        <v/>
      </c>
      <c r="BK34" s="432" t="str">
        <f>_xlfn.LET(_xlpm.x,K34,IF(OR(LEN(_xlpm.x)&lt;1,_xlpm.x=0),"",CONVERT(_xlpm.x,BH7,"kg")))</f>
        <v/>
      </c>
      <c r="BL34" s="432" t="str">
        <f>_xlfn.LET(_xlpm.x,L34,IF(OR(LEN(_xlpm.x)&lt;1,_xlpm.x=0),"",CONVERT(_xlpm.x,BH7,"kg")))</f>
        <v/>
      </c>
      <c r="BM34" s="432" t="str">
        <f>_xlfn.LET(_xlpm.x,M34,IF(OR(LEN(_xlpm.x)&lt;1,_xlpm.x=0),"",CONVERT(_xlpm.x,BH7,"kg")))</f>
        <v/>
      </c>
      <c r="BN34" s="432" t="str">
        <f>_xlfn.LET(_xlpm.x,N34,IF(OR(LEN(_xlpm.x)&lt;1,_xlpm.x=0),"",CONVERT(_xlpm.x,BH7,"kg")))</f>
        <v/>
      </c>
      <c r="BO34" s="432" t="str">
        <f>_xlfn.LET(_xlpm.x,O34,IF(OR(LEN(_xlpm.x)&lt;1,_xlpm.x=0),"",CONVERT(_xlpm.x,BH7,"kg")))</f>
        <v/>
      </c>
      <c r="BP34" s="432" t="str">
        <f>_xlfn.LET(_xlpm.x,P34,IF(OR(LEN(_xlpm.x)&lt;1,_xlpm.x=0),"",CONVERT(_xlpm.x,BH7,"kg")))</f>
        <v/>
      </c>
      <c r="BQ34" s="432" t="str">
        <f>_xlfn.LET(_xlpm.x,Q34,IF(OR(LEN(_xlpm.x)&lt;1,_xlpm.x=0),"",CONVERT(_xlpm.x,BH7,"kg")))</f>
        <v/>
      </c>
      <c r="BR34" s="432" t="str">
        <f>_xlfn.LET(_xlpm.x,R34,IF(OR(LEN(_xlpm.x)&lt;1,_xlpm.x=0),"",CONVERT(_xlpm.x,BH7,"kg")))</f>
        <v/>
      </c>
      <c r="BS34" s="432" t="str">
        <f>_xlfn.LET(_xlpm.x,S34,IF(OR(LEN(_xlpm.x)&lt;1,_xlpm.x=0),"",CONVERT(_xlpm.x,BH7,"kg")))</f>
        <v/>
      </c>
      <c r="BT34" s="433">
        <f t="shared" si="9"/>
        <v>0</v>
      </c>
      <c r="BU34" s="433" t="str">
        <f>_xlfn.LET(_xlpm.x,BF34,IF(LEN(_xlpm.x)&lt;1,"",IF(ISNUMBER(MATCH(_xlpm.x,ls_Mat_def,0)),'Project Inputs'!$BF$14,99)))</f>
        <v/>
      </c>
      <c r="BV34" s="432" t="str" cm="1">
        <f t="array" ref="BV34">IFERROR(INDEX(tblGWP[],MATCH(1,(tblGWP[Dataset ID]=BU34)*(tblGWP[Material Subcategory]=BF34),0),MATCH(BG34,ls_WHM,0)+5),"confirm")</f>
        <v>confirm</v>
      </c>
      <c r="BW34" s="434" t="str">
        <f t="shared" si="10"/>
        <v>No data</v>
      </c>
      <c r="BX34" s="434" t="str">
        <f t="shared" si="11"/>
        <v>No data</v>
      </c>
      <c r="BY34" s="434" t="str">
        <f t="shared" si="12"/>
        <v>No data</v>
      </c>
      <c r="BZ34" s="434" t="str">
        <f t="shared" si="13"/>
        <v>No data</v>
      </c>
      <c r="CA34" s="434" t="str">
        <f t="shared" si="14"/>
        <v>No data</v>
      </c>
      <c r="CB34" s="434" t="str">
        <f t="shared" si="15"/>
        <v>No data</v>
      </c>
      <c r="CC34" s="434" t="str">
        <f t="shared" si="16"/>
        <v>No data</v>
      </c>
      <c r="CD34" s="434" t="str">
        <f t="shared" si="17"/>
        <v>No data</v>
      </c>
      <c r="CE34" s="434" t="str">
        <f t="shared" si="18"/>
        <v>No data</v>
      </c>
      <c r="CF34" s="434" t="str">
        <f t="shared" si="19"/>
        <v>No data</v>
      </c>
      <c r="CG34" s="434" t="str">
        <f t="shared" si="20"/>
        <v>No data</v>
      </c>
      <c r="CH34" s="434" t="str">
        <f t="shared" si="21"/>
        <v>No data</v>
      </c>
      <c r="CI34" s="435">
        <f t="shared" si="22"/>
        <v>0</v>
      </c>
      <c r="CK34" s="3" t="str">
        <f>_xlfn.LET(_xlpm.x,INDEX(tbl_Mat_def[],MATCH(BF34,ls_Mat_def,0),2),IFERROR(IF(_xlpm.x=0,"No","Yes"),"No"))</f>
        <v>No</v>
      </c>
      <c r="CM34" s="60" t="str">
        <f t="shared" si="23"/>
        <v/>
      </c>
      <c r="CN34" s="60" t="s">
        <v>235</v>
      </c>
      <c r="CO34" s="566" t="str">
        <f>_xlfn.XLOOKUP(CM34,tblGWP[Material Subcategory],tblGWP[Landfill],0)</f>
        <v/>
      </c>
      <c r="CP34" s="436" t="str">
        <f t="shared" si="24"/>
        <v/>
      </c>
      <c r="DD34" s="388">
        <f t="shared" si="29"/>
        <v>0</v>
      </c>
      <c r="DE34" s="22">
        <f t="shared" si="25"/>
        <v>19</v>
      </c>
      <c r="DF34" s="387">
        <f t="shared" si="30"/>
        <v>0</v>
      </c>
      <c r="DG34" s="387">
        <f t="shared" ref="DG34:DG45" si="32">_xlfn.LET(_xlpm.x,DE34,_xlpm.y,B34,_xlpm.z,E34,_xlpm.m,F34,_xlpm.n,G34,_xlpm.o,COUNTBLANK(H34:S34),_xlpm.p,C34,IF(_xlpm.x=19,0,
IF(AND(LEN(_xlpm.y)&gt;0,LEN(_xlpm.z)&gt;0,LEN(_xlpm.m)&gt;0,LEN(_xlpm.n)&gt;0,_xlpm.o&lt;12),0,1)))</f>
        <v>0</v>
      </c>
      <c r="DH34" s="22">
        <f t="shared" ca="1" si="26"/>
        <v>0</v>
      </c>
      <c r="DI34">
        <f t="shared" ca="1" si="27"/>
        <v>0</v>
      </c>
    </row>
    <row r="35" spans="1:113" ht="30" hidden="1" customHeight="1" outlineLevel="1">
      <c r="A35" s="22" t="str">
        <f t="shared" si="28"/>
        <v/>
      </c>
      <c r="B35" s="272"/>
      <c r="C35" s="491"/>
      <c r="D35" s="272"/>
      <c r="E35" s="400"/>
      <c r="F35" s="400"/>
      <c r="G35" s="401"/>
      <c r="H35" s="376"/>
      <c r="I35" s="376"/>
      <c r="J35" s="376"/>
      <c r="K35" s="376"/>
      <c r="L35" s="376"/>
      <c r="M35" s="376"/>
      <c r="N35" s="376"/>
      <c r="O35" s="376"/>
      <c r="P35" s="376"/>
      <c r="Q35" s="376"/>
      <c r="R35" s="376"/>
      <c r="S35" s="376"/>
      <c r="T35" s="431">
        <f t="shared" si="3"/>
        <v>0</v>
      </c>
      <c r="U35" s="272"/>
      <c r="BC35" s="432" t="str">
        <f t="shared" si="4"/>
        <v/>
      </c>
      <c r="BD35" s="432" t="str">
        <f t="shared" si="5"/>
        <v/>
      </c>
      <c r="BE35" s="432" t="str">
        <f t="shared" si="6"/>
        <v/>
      </c>
      <c r="BF35" s="432" t="str">
        <f t="shared" si="7"/>
        <v/>
      </c>
      <c r="BG35" s="432" t="str">
        <f t="shared" si="8"/>
        <v/>
      </c>
      <c r="BH35" s="432" t="str">
        <f>_xlfn.LET(_xlpm.x,H35,IF(OR(LEN(_xlpm.x)&lt;1,_xlpm.x=0),"",CONVERT(_xlpm.x,BH7,"kg")))</f>
        <v/>
      </c>
      <c r="BI35" s="432" t="str">
        <f>_xlfn.LET(_xlpm.x,I35,IF(OR(LEN(_xlpm.x)&lt;1,_xlpm.x=0),"",CONVERT(_xlpm.x,BH7,"kg")))</f>
        <v/>
      </c>
      <c r="BJ35" s="432" t="str">
        <f>_xlfn.LET(_xlpm.x,J35,IF(OR(LEN(_xlpm.x)&lt;1,_xlpm.x=0),"",CONVERT(_xlpm.x,BH7,"kg")))</f>
        <v/>
      </c>
      <c r="BK35" s="432" t="str">
        <f>_xlfn.LET(_xlpm.x,K35,IF(OR(LEN(_xlpm.x)&lt;1,_xlpm.x=0),"",CONVERT(_xlpm.x,BH7,"kg")))</f>
        <v/>
      </c>
      <c r="BL35" s="432" t="str">
        <f>_xlfn.LET(_xlpm.x,L35,IF(OR(LEN(_xlpm.x)&lt;1,_xlpm.x=0),"",CONVERT(_xlpm.x,BH7,"kg")))</f>
        <v/>
      </c>
      <c r="BM35" s="432" t="str">
        <f>_xlfn.LET(_xlpm.x,M35,IF(OR(LEN(_xlpm.x)&lt;1,_xlpm.x=0),"",CONVERT(_xlpm.x,BH7,"kg")))</f>
        <v/>
      </c>
      <c r="BN35" s="432" t="str">
        <f>_xlfn.LET(_xlpm.x,N35,IF(OR(LEN(_xlpm.x)&lt;1,_xlpm.x=0),"",CONVERT(_xlpm.x,BH7,"kg")))</f>
        <v/>
      </c>
      <c r="BO35" s="432" t="str">
        <f>_xlfn.LET(_xlpm.x,O35,IF(OR(LEN(_xlpm.x)&lt;1,_xlpm.x=0),"",CONVERT(_xlpm.x,BH7,"kg")))</f>
        <v/>
      </c>
      <c r="BP35" s="432" t="str">
        <f>_xlfn.LET(_xlpm.x,P35,IF(OR(LEN(_xlpm.x)&lt;1,_xlpm.x=0),"",CONVERT(_xlpm.x,BH7,"kg")))</f>
        <v/>
      </c>
      <c r="BQ35" s="432" t="str">
        <f>_xlfn.LET(_xlpm.x,Q35,IF(OR(LEN(_xlpm.x)&lt;1,_xlpm.x=0),"",CONVERT(_xlpm.x,BH7,"kg")))</f>
        <v/>
      </c>
      <c r="BR35" s="432" t="str">
        <f>_xlfn.LET(_xlpm.x,R35,IF(OR(LEN(_xlpm.x)&lt;1,_xlpm.x=0),"",CONVERT(_xlpm.x,BH7,"kg")))</f>
        <v/>
      </c>
      <c r="BS35" s="432" t="str">
        <f>_xlfn.LET(_xlpm.x,S35,IF(OR(LEN(_xlpm.x)&lt;1,_xlpm.x=0),"",CONVERT(_xlpm.x,BH7,"kg")))</f>
        <v/>
      </c>
      <c r="BT35" s="433">
        <f t="shared" si="9"/>
        <v>0</v>
      </c>
      <c r="BU35" s="433" t="str">
        <f>_xlfn.LET(_xlpm.x,BF35,IF(LEN(_xlpm.x)&lt;1,"",IF(ISNUMBER(MATCH(_xlpm.x,ls_Mat_def,0)),'Project Inputs'!$BF$14,99)))</f>
        <v/>
      </c>
      <c r="BV35" s="432" t="str" cm="1">
        <f t="array" ref="BV35">IFERROR(INDEX(tblGWP[],MATCH(1,(tblGWP[Dataset ID]=BU35)*(tblGWP[Material Subcategory]=BF35),0),MATCH(BG35,ls_WHM,0)+5),"confirm")</f>
        <v>confirm</v>
      </c>
      <c r="BW35" s="434" t="str">
        <f t="shared" si="10"/>
        <v>No data</v>
      </c>
      <c r="BX35" s="434" t="str">
        <f t="shared" si="11"/>
        <v>No data</v>
      </c>
      <c r="BY35" s="434" t="str">
        <f t="shared" si="12"/>
        <v>No data</v>
      </c>
      <c r="BZ35" s="434" t="str">
        <f t="shared" si="13"/>
        <v>No data</v>
      </c>
      <c r="CA35" s="434" t="str">
        <f t="shared" si="14"/>
        <v>No data</v>
      </c>
      <c r="CB35" s="434" t="str">
        <f t="shared" si="15"/>
        <v>No data</v>
      </c>
      <c r="CC35" s="434" t="str">
        <f t="shared" si="16"/>
        <v>No data</v>
      </c>
      <c r="CD35" s="434" t="str">
        <f t="shared" si="17"/>
        <v>No data</v>
      </c>
      <c r="CE35" s="434" t="str">
        <f t="shared" si="18"/>
        <v>No data</v>
      </c>
      <c r="CF35" s="434" t="str">
        <f t="shared" si="19"/>
        <v>No data</v>
      </c>
      <c r="CG35" s="434" t="str">
        <f t="shared" si="20"/>
        <v>No data</v>
      </c>
      <c r="CH35" s="434" t="str">
        <f t="shared" si="21"/>
        <v>No data</v>
      </c>
      <c r="CI35" s="435">
        <f t="shared" si="22"/>
        <v>0</v>
      </c>
      <c r="CK35" s="3" t="str">
        <f>_xlfn.LET(_xlpm.x,INDEX(tbl_Mat_def[],MATCH(BF35,ls_Mat_def,0),2),IFERROR(IF(_xlpm.x=0,"No","Yes"),"No"))</f>
        <v>No</v>
      </c>
      <c r="CM35" s="60" t="str">
        <f t="shared" si="23"/>
        <v/>
      </c>
      <c r="CN35" s="60" t="s">
        <v>235</v>
      </c>
      <c r="CO35" s="566" t="str">
        <f>_xlfn.XLOOKUP(CM35,tblGWP[Material Subcategory],tblGWP[Landfill],0)</f>
        <v/>
      </c>
      <c r="CP35" s="436" t="str">
        <f t="shared" si="24"/>
        <v/>
      </c>
      <c r="DD35" s="388">
        <f t="shared" si="29"/>
        <v>0</v>
      </c>
      <c r="DE35" s="22">
        <f t="shared" si="25"/>
        <v>19</v>
      </c>
      <c r="DF35" s="387">
        <f t="shared" si="30"/>
        <v>0</v>
      </c>
      <c r="DG35" s="387">
        <f t="shared" si="32"/>
        <v>0</v>
      </c>
      <c r="DH35" s="22">
        <f t="shared" ca="1" si="26"/>
        <v>0</v>
      </c>
      <c r="DI35">
        <f t="shared" ca="1" si="27"/>
        <v>0</v>
      </c>
    </row>
    <row r="36" spans="1:113" ht="30" hidden="1" customHeight="1" outlineLevel="1">
      <c r="A36" s="22" t="str">
        <f t="shared" si="28"/>
        <v/>
      </c>
      <c r="B36" s="272"/>
      <c r="C36" s="491"/>
      <c r="D36" s="272"/>
      <c r="E36" s="400"/>
      <c r="F36" s="400"/>
      <c r="G36" s="401"/>
      <c r="H36" s="376"/>
      <c r="I36" s="376"/>
      <c r="J36" s="376"/>
      <c r="K36" s="376"/>
      <c r="L36" s="376"/>
      <c r="M36" s="376"/>
      <c r="N36" s="376"/>
      <c r="O36" s="376"/>
      <c r="P36" s="376"/>
      <c r="Q36" s="376"/>
      <c r="R36" s="376"/>
      <c r="S36" s="376"/>
      <c r="T36" s="431">
        <f t="shared" si="3"/>
        <v>0</v>
      </c>
      <c r="U36" s="272"/>
      <c r="BC36" s="432" t="str">
        <f t="shared" si="4"/>
        <v/>
      </c>
      <c r="BD36" s="432" t="str">
        <f t="shared" si="5"/>
        <v/>
      </c>
      <c r="BE36" s="432" t="str">
        <f t="shared" si="6"/>
        <v/>
      </c>
      <c r="BF36" s="432" t="str">
        <f t="shared" si="7"/>
        <v/>
      </c>
      <c r="BG36" s="432" t="str">
        <f t="shared" si="8"/>
        <v/>
      </c>
      <c r="BH36" s="432" t="str">
        <f>_xlfn.LET(_xlpm.x,H36,IF(OR(LEN(_xlpm.x)&lt;1,_xlpm.x=0),"",CONVERT(_xlpm.x,BH7,"kg")))</f>
        <v/>
      </c>
      <c r="BI36" s="432" t="str">
        <f>_xlfn.LET(_xlpm.x,I36,IF(OR(LEN(_xlpm.x)&lt;1,_xlpm.x=0),"",CONVERT(_xlpm.x,BH7,"kg")))</f>
        <v/>
      </c>
      <c r="BJ36" s="432" t="str">
        <f>_xlfn.LET(_xlpm.x,J36,IF(OR(LEN(_xlpm.x)&lt;1,_xlpm.x=0),"",CONVERT(_xlpm.x,BH7,"kg")))</f>
        <v/>
      </c>
      <c r="BK36" s="432" t="str">
        <f>_xlfn.LET(_xlpm.x,K36,IF(OR(LEN(_xlpm.x)&lt;1,_xlpm.x=0),"",CONVERT(_xlpm.x,BH7,"kg")))</f>
        <v/>
      </c>
      <c r="BL36" s="432" t="str">
        <f>_xlfn.LET(_xlpm.x,L36,IF(OR(LEN(_xlpm.x)&lt;1,_xlpm.x=0),"",CONVERT(_xlpm.x,BH7,"kg")))</f>
        <v/>
      </c>
      <c r="BM36" s="432" t="str">
        <f>_xlfn.LET(_xlpm.x,M36,IF(OR(LEN(_xlpm.x)&lt;1,_xlpm.x=0),"",CONVERT(_xlpm.x,BH7,"kg")))</f>
        <v/>
      </c>
      <c r="BN36" s="432" t="str">
        <f>_xlfn.LET(_xlpm.x,N36,IF(OR(LEN(_xlpm.x)&lt;1,_xlpm.x=0),"",CONVERT(_xlpm.x,BH7,"kg")))</f>
        <v/>
      </c>
      <c r="BO36" s="432" t="str">
        <f>_xlfn.LET(_xlpm.x,O36,IF(OR(LEN(_xlpm.x)&lt;1,_xlpm.x=0),"",CONVERT(_xlpm.x,BH7,"kg")))</f>
        <v/>
      </c>
      <c r="BP36" s="432" t="str">
        <f>_xlfn.LET(_xlpm.x,P36,IF(OR(LEN(_xlpm.x)&lt;1,_xlpm.x=0),"",CONVERT(_xlpm.x,BH7,"kg")))</f>
        <v/>
      </c>
      <c r="BQ36" s="432" t="str">
        <f>_xlfn.LET(_xlpm.x,Q36,IF(OR(LEN(_xlpm.x)&lt;1,_xlpm.x=0),"",CONVERT(_xlpm.x,BH7,"kg")))</f>
        <v/>
      </c>
      <c r="BR36" s="432" t="str">
        <f>_xlfn.LET(_xlpm.x,R36,IF(OR(LEN(_xlpm.x)&lt;1,_xlpm.x=0),"",CONVERT(_xlpm.x,BH7,"kg")))</f>
        <v/>
      </c>
      <c r="BS36" s="432" t="str">
        <f>_xlfn.LET(_xlpm.x,S36,IF(OR(LEN(_xlpm.x)&lt;1,_xlpm.x=0),"",CONVERT(_xlpm.x,BH7,"kg")))</f>
        <v/>
      </c>
      <c r="BT36" s="433">
        <f t="shared" si="9"/>
        <v>0</v>
      </c>
      <c r="BU36" s="433" t="str">
        <f>_xlfn.LET(_xlpm.x,BF36,IF(LEN(_xlpm.x)&lt;1,"",IF(ISNUMBER(MATCH(_xlpm.x,ls_Mat_def,0)),'Project Inputs'!$BF$14,99)))</f>
        <v/>
      </c>
      <c r="BV36" s="432" t="str" cm="1">
        <f t="array" ref="BV36">IFERROR(INDEX(tblGWP[],MATCH(1,(tblGWP[Dataset ID]=BU36)*(tblGWP[Material Subcategory]=BF36),0),MATCH(BG36,ls_WHM,0)+5),"confirm")</f>
        <v>confirm</v>
      </c>
      <c r="BW36" s="434" t="str">
        <f t="shared" si="10"/>
        <v>No data</v>
      </c>
      <c r="BX36" s="434" t="str">
        <f t="shared" si="11"/>
        <v>No data</v>
      </c>
      <c r="BY36" s="434" t="str">
        <f t="shared" si="12"/>
        <v>No data</v>
      </c>
      <c r="BZ36" s="434" t="str">
        <f t="shared" si="13"/>
        <v>No data</v>
      </c>
      <c r="CA36" s="434" t="str">
        <f t="shared" si="14"/>
        <v>No data</v>
      </c>
      <c r="CB36" s="434" t="str">
        <f t="shared" si="15"/>
        <v>No data</v>
      </c>
      <c r="CC36" s="434" t="str">
        <f t="shared" si="16"/>
        <v>No data</v>
      </c>
      <c r="CD36" s="434" t="str">
        <f t="shared" si="17"/>
        <v>No data</v>
      </c>
      <c r="CE36" s="434" t="str">
        <f t="shared" si="18"/>
        <v>No data</v>
      </c>
      <c r="CF36" s="434" t="str">
        <f t="shared" si="19"/>
        <v>No data</v>
      </c>
      <c r="CG36" s="434" t="str">
        <f t="shared" si="20"/>
        <v>No data</v>
      </c>
      <c r="CH36" s="434" t="str">
        <f t="shared" si="21"/>
        <v>No data</v>
      </c>
      <c r="CI36" s="435">
        <f t="shared" si="22"/>
        <v>0</v>
      </c>
      <c r="CK36" s="3" t="str">
        <f>_xlfn.LET(_xlpm.x,INDEX(tbl_Mat_def[],MATCH(BF36,ls_Mat_def,0),2),IFERROR(IF(_xlpm.x=0,"No","Yes"),"No"))</f>
        <v>No</v>
      </c>
      <c r="CM36" s="60" t="str">
        <f t="shared" si="23"/>
        <v/>
      </c>
      <c r="CN36" s="60" t="s">
        <v>235</v>
      </c>
      <c r="CO36" s="566" t="str">
        <f>_xlfn.XLOOKUP(CM36,tblGWP[Material Subcategory],tblGWP[Landfill],0)</f>
        <v/>
      </c>
      <c r="CP36" s="436" t="str">
        <f t="shared" si="24"/>
        <v/>
      </c>
      <c r="DD36" s="388">
        <f t="shared" si="29"/>
        <v>0</v>
      </c>
      <c r="DE36" s="22">
        <f t="shared" si="25"/>
        <v>19</v>
      </c>
      <c r="DF36" s="387">
        <f t="shared" si="30"/>
        <v>0</v>
      </c>
      <c r="DG36" s="387">
        <f t="shared" si="32"/>
        <v>0</v>
      </c>
      <c r="DH36" s="22">
        <f t="shared" ca="1" si="26"/>
        <v>0</v>
      </c>
      <c r="DI36">
        <f t="shared" ca="1" si="27"/>
        <v>0</v>
      </c>
    </row>
    <row r="37" spans="1:113" ht="30" hidden="1" customHeight="1" outlineLevel="1">
      <c r="A37" s="22" t="str">
        <f t="shared" si="28"/>
        <v/>
      </c>
      <c r="B37" s="272"/>
      <c r="C37" s="491"/>
      <c r="D37" s="272"/>
      <c r="E37" s="400"/>
      <c r="F37" s="400"/>
      <c r="G37" s="401"/>
      <c r="H37" s="376"/>
      <c r="I37" s="376"/>
      <c r="J37" s="376"/>
      <c r="K37" s="376"/>
      <c r="L37" s="376"/>
      <c r="M37" s="376"/>
      <c r="N37" s="376"/>
      <c r="O37" s="376"/>
      <c r="P37" s="376"/>
      <c r="Q37" s="376"/>
      <c r="R37" s="376"/>
      <c r="S37" s="376"/>
      <c r="T37" s="431">
        <f t="shared" si="3"/>
        <v>0</v>
      </c>
      <c r="U37" s="272"/>
      <c r="BC37" s="432" t="str">
        <f t="shared" si="4"/>
        <v/>
      </c>
      <c r="BD37" s="432" t="str">
        <f t="shared" si="5"/>
        <v/>
      </c>
      <c r="BE37" s="432" t="str">
        <f t="shared" si="6"/>
        <v/>
      </c>
      <c r="BF37" s="432" t="str">
        <f t="shared" si="7"/>
        <v/>
      </c>
      <c r="BG37" s="432" t="str">
        <f t="shared" si="8"/>
        <v/>
      </c>
      <c r="BH37" s="432" t="str">
        <f>_xlfn.LET(_xlpm.x,H37,IF(OR(LEN(_xlpm.x)&lt;1,_xlpm.x=0),"",CONVERT(_xlpm.x,BH7,"kg")))</f>
        <v/>
      </c>
      <c r="BI37" s="432" t="str">
        <f>_xlfn.LET(_xlpm.x,I37,IF(OR(LEN(_xlpm.x)&lt;1,_xlpm.x=0),"",CONVERT(_xlpm.x,BH7,"kg")))</f>
        <v/>
      </c>
      <c r="BJ37" s="432" t="str">
        <f>_xlfn.LET(_xlpm.x,J37,IF(OR(LEN(_xlpm.x)&lt;1,_xlpm.x=0),"",CONVERT(_xlpm.x,BH7,"kg")))</f>
        <v/>
      </c>
      <c r="BK37" s="432" t="str">
        <f>_xlfn.LET(_xlpm.x,K37,IF(OR(LEN(_xlpm.x)&lt;1,_xlpm.x=0),"",CONVERT(_xlpm.x,BH7,"kg")))</f>
        <v/>
      </c>
      <c r="BL37" s="432" t="str">
        <f>_xlfn.LET(_xlpm.x,L37,IF(OR(LEN(_xlpm.x)&lt;1,_xlpm.x=0),"",CONVERT(_xlpm.x,BH7,"kg")))</f>
        <v/>
      </c>
      <c r="BM37" s="432" t="str">
        <f>_xlfn.LET(_xlpm.x,M37,IF(OR(LEN(_xlpm.x)&lt;1,_xlpm.x=0),"",CONVERT(_xlpm.x,BH7,"kg")))</f>
        <v/>
      </c>
      <c r="BN37" s="432" t="str">
        <f>_xlfn.LET(_xlpm.x,N37,IF(OR(LEN(_xlpm.x)&lt;1,_xlpm.x=0),"",CONVERT(_xlpm.x,BH7,"kg")))</f>
        <v/>
      </c>
      <c r="BO37" s="432" t="str">
        <f>_xlfn.LET(_xlpm.x,O37,IF(OR(LEN(_xlpm.x)&lt;1,_xlpm.x=0),"",CONVERT(_xlpm.x,BH7,"kg")))</f>
        <v/>
      </c>
      <c r="BP37" s="432" t="str">
        <f>_xlfn.LET(_xlpm.x,P37,IF(OR(LEN(_xlpm.x)&lt;1,_xlpm.x=0),"",CONVERT(_xlpm.x,BH7,"kg")))</f>
        <v/>
      </c>
      <c r="BQ37" s="432" t="str">
        <f>_xlfn.LET(_xlpm.x,Q37,IF(OR(LEN(_xlpm.x)&lt;1,_xlpm.x=0),"",CONVERT(_xlpm.x,BH7,"kg")))</f>
        <v/>
      </c>
      <c r="BR37" s="432" t="str">
        <f>_xlfn.LET(_xlpm.x,R37,IF(OR(LEN(_xlpm.x)&lt;1,_xlpm.x=0),"",CONVERT(_xlpm.x,BH7,"kg")))</f>
        <v/>
      </c>
      <c r="BS37" s="432" t="str">
        <f>_xlfn.LET(_xlpm.x,S37,IF(OR(LEN(_xlpm.x)&lt;1,_xlpm.x=0),"",CONVERT(_xlpm.x,BH7,"kg")))</f>
        <v/>
      </c>
      <c r="BT37" s="433">
        <f t="shared" si="9"/>
        <v>0</v>
      </c>
      <c r="BU37" s="433" t="str">
        <f>_xlfn.LET(_xlpm.x,BF37,IF(LEN(_xlpm.x)&lt;1,"",IF(ISNUMBER(MATCH(_xlpm.x,ls_Mat_def,0)),'Project Inputs'!$BF$14,99)))</f>
        <v/>
      </c>
      <c r="BV37" s="432" t="str" cm="1">
        <f t="array" ref="BV37">IFERROR(INDEX(tblGWP[],MATCH(1,(tblGWP[Dataset ID]=BU37)*(tblGWP[Material Subcategory]=BF37),0),MATCH(BG37,ls_WHM,0)+5),"confirm")</f>
        <v>confirm</v>
      </c>
      <c r="BW37" s="434" t="str">
        <f t="shared" si="10"/>
        <v>No data</v>
      </c>
      <c r="BX37" s="434" t="str">
        <f t="shared" si="11"/>
        <v>No data</v>
      </c>
      <c r="BY37" s="434" t="str">
        <f t="shared" si="12"/>
        <v>No data</v>
      </c>
      <c r="BZ37" s="434" t="str">
        <f t="shared" si="13"/>
        <v>No data</v>
      </c>
      <c r="CA37" s="434" t="str">
        <f t="shared" si="14"/>
        <v>No data</v>
      </c>
      <c r="CB37" s="434" t="str">
        <f t="shared" si="15"/>
        <v>No data</v>
      </c>
      <c r="CC37" s="434" t="str">
        <f t="shared" si="16"/>
        <v>No data</v>
      </c>
      <c r="CD37" s="434" t="str">
        <f t="shared" si="17"/>
        <v>No data</v>
      </c>
      <c r="CE37" s="434" t="str">
        <f t="shared" si="18"/>
        <v>No data</v>
      </c>
      <c r="CF37" s="434" t="str">
        <f t="shared" si="19"/>
        <v>No data</v>
      </c>
      <c r="CG37" s="434" t="str">
        <f t="shared" si="20"/>
        <v>No data</v>
      </c>
      <c r="CH37" s="434" t="str">
        <f t="shared" si="21"/>
        <v>No data</v>
      </c>
      <c r="CI37" s="435">
        <f t="shared" si="22"/>
        <v>0</v>
      </c>
      <c r="CK37" s="3" t="str">
        <f>_xlfn.LET(_xlpm.x,INDEX(tbl_Mat_def[],MATCH(BF37,ls_Mat_def,0),2),IFERROR(IF(_xlpm.x=0,"No","Yes"),"No"))</f>
        <v>No</v>
      </c>
      <c r="CM37" s="60" t="str">
        <f t="shared" si="23"/>
        <v/>
      </c>
      <c r="CN37" s="60" t="s">
        <v>235</v>
      </c>
      <c r="CO37" s="566" t="str">
        <f>_xlfn.XLOOKUP(CM37,tblGWP[Material Subcategory],tblGWP[Landfill],0)</f>
        <v/>
      </c>
      <c r="CP37" s="436" t="str">
        <f t="shared" si="24"/>
        <v/>
      </c>
      <c r="DD37" s="388">
        <f t="shared" si="29"/>
        <v>0</v>
      </c>
      <c r="DE37" s="22">
        <f t="shared" si="25"/>
        <v>19</v>
      </c>
      <c r="DF37" s="387">
        <f t="shared" si="30"/>
        <v>0</v>
      </c>
      <c r="DG37" s="387">
        <f t="shared" si="32"/>
        <v>0</v>
      </c>
      <c r="DH37" s="22">
        <f t="shared" ca="1" si="26"/>
        <v>0</v>
      </c>
      <c r="DI37">
        <f t="shared" ca="1" si="27"/>
        <v>0</v>
      </c>
    </row>
    <row r="38" spans="1:113" ht="30" hidden="1" customHeight="1" outlineLevel="1">
      <c r="A38" s="22" t="str">
        <f t="shared" si="28"/>
        <v/>
      </c>
      <c r="B38" s="272"/>
      <c r="C38" s="491"/>
      <c r="D38" s="272"/>
      <c r="E38" s="400"/>
      <c r="F38" s="400"/>
      <c r="G38" s="401"/>
      <c r="H38" s="376"/>
      <c r="I38" s="376"/>
      <c r="J38" s="376"/>
      <c r="K38" s="376"/>
      <c r="L38" s="376"/>
      <c r="M38" s="376"/>
      <c r="N38" s="376"/>
      <c r="O38" s="376"/>
      <c r="P38" s="376"/>
      <c r="Q38" s="376"/>
      <c r="R38" s="376"/>
      <c r="S38" s="376"/>
      <c r="T38" s="431">
        <f t="shared" si="3"/>
        <v>0</v>
      </c>
      <c r="U38" s="272"/>
      <c r="BC38" s="432" t="str">
        <f t="shared" si="4"/>
        <v/>
      </c>
      <c r="BD38" s="432" t="str">
        <f t="shared" si="5"/>
        <v/>
      </c>
      <c r="BE38" s="432" t="str">
        <f t="shared" si="6"/>
        <v/>
      </c>
      <c r="BF38" s="432" t="str">
        <f t="shared" si="7"/>
        <v/>
      </c>
      <c r="BG38" s="432" t="str">
        <f t="shared" si="8"/>
        <v/>
      </c>
      <c r="BH38" s="432" t="str">
        <f>_xlfn.LET(_xlpm.x,H38,IF(OR(LEN(_xlpm.x)&lt;1,_xlpm.x=0),"",CONVERT(_xlpm.x,BH7,"kg")))</f>
        <v/>
      </c>
      <c r="BI38" s="432" t="str">
        <f>_xlfn.LET(_xlpm.x,I38,IF(OR(LEN(_xlpm.x)&lt;1,_xlpm.x=0),"",CONVERT(_xlpm.x,BH7,"kg")))</f>
        <v/>
      </c>
      <c r="BJ38" s="432" t="str">
        <f>_xlfn.LET(_xlpm.x,J38,IF(OR(LEN(_xlpm.x)&lt;1,_xlpm.x=0),"",CONVERT(_xlpm.x,BH7,"kg")))</f>
        <v/>
      </c>
      <c r="BK38" s="432" t="str">
        <f>_xlfn.LET(_xlpm.x,K38,IF(OR(LEN(_xlpm.x)&lt;1,_xlpm.x=0),"",CONVERT(_xlpm.x,BH7,"kg")))</f>
        <v/>
      </c>
      <c r="BL38" s="432" t="str">
        <f>_xlfn.LET(_xlpm.x,L38,IF(OR(LEN(_xlpm.x)&lt;1,_xlpm.x=0),"",CONVERT(_xlpm.x,BH7,"kg")))</f>
        <v/>
      </c>
      <c r="BM38" s="432" t="str">
        <f>_xlfn.LET(_xlpm.x,M38,IF(OR(LEN(_xlpm.x)&lt;1,_xlpm.x=0),"",CONVERT(_xlpm.x,BH7,"kg")))</f>
        <v/>
      </c>
      <c r="BN38" s="432" t="str">
        <f>_xlfn.LET(_xlpm.x,N38,IF(OR(LEN(_xlpm.x)&lt;1,_xlpm.x=0),"",CONVERT(_xlpm.x,BH7,"kg")))</f>
        <v/>
      </c>
      <c r="BO38" s="432" t="str">
        <f>_xlfn.LET(_xlpm.x,O38,IF(OR(LEN(_xlpm.x)&lt;1,_xlpm.x=0),"",CONVERT(_xlpm.x,BH7,"kg")))</f>
        <v/>
      </c>
      <c r="BP38" s="432" t="str">
        <f>_xlfn.LET(_xlpm.x,P38,IF(OR(LEN(_xlpm.x)&lt;1,_xlpm.x=0),"",CONVERT(_xlpm.x,BH7,"kg")))</f>
        <v/>
      </c>
      <c r="BQ38" s="432" t="str">
        <f>_xlfn.LET(_xlpm.x,Q38,IF(OR(LEN(_xlpm.x)&lt;1,_xlpm.x=0),"",CONVERT(_xlpm.x,BH7,"kg")))</f>
        <v/>
      </c>
      <c r="BR38" s="432" t="str">
        <f>_xlfn.LET(_xlpm.x,R38,IF(OR(LEN(_xlpm.x)&lt;1,_xlpm.x=0),"",CONVERT(_xlpm.x,BH7,"kg")))</f>
        <v/>
      </c>
      <c r="BS38" s="432" t="str">
        <f>_xlfn.LET(_xlpm.x,S38,IF(OR(LEN(_xlpm.x)&lt;1,_xlpm.x=0),"",CONVERT(_xlpm.x,BH7,"kg")))</f>
        <v/>
      </c>
      <c r="BT38" s="433">
        <f t="shared" si="9"/>
        <v>0</v>
      </c>
      <c r="BU38" s="433" t="str">
        <f>_xlfn.LET(_xlpm.x,BF38,IF(LEN(_xlpm.x)&lt;1,"",IF(ISNUMBER(MATCH(_xlpm.x,ls_Mat_def,0)),'Project Inputs'!$BF$14,99)))</f>
        <v/>
      </c>
      <c r="BV38" s="432" t="str" cm="1">
        <f t="array" ref="BV38">IFERROR(INDEX(tblGWP[],MATCH(1,(tblGWP[Dataset ID]=BU38)*(tblGWP[Material Subcategory]=BF38),0),MATCH(BG38,ls_WHM,0)+5),"confirm")</f>
        <v>confirm</v>
      </c>
      <c r="BW38" s="434" t="str">
        <f t="shared" si="10"/>
        <v>No data</v>
      </c>
      <c r="BX38" s="434" t="str">
        <f t="shared" si="11"/>
        <v>No data</v>
      </c>
      <c r="BY38" s="434" t="str">
        <f t="shared" si="12"/>
        <v>No data</v>
      </c>
      <c r="BZ38" s="434" t="str">
        <f t="shared" si="13"/>
        <v>No data</v>
      </c>
      <c r="CA38" s="434" t="str">
        <f t="shared" si="14"/>
        <v>No data</v>
      </c>
      <c r="CB38" s="434" t="str">
        <f t="shared" si="15"/>
        <v>No data</v>
      </c>
      <c r="CC38" s="434" t="str">
        <f t="shared" si="16"/>
        <v>No data</v>
      </c>
      <c r="CD38" s="434" t="str">
        <f t="shared" si="17"/>
        <v>No data</v>
      </c>
      <c r="CE38" s="434" t="str">
        <f t="shared" si="18"/>
        <v>No data</v>
      </c>
      <c r="CF38" s="434" t="str">
        <f t="shared" si="19"/>
        <v>No data</v>
      </c>
      <c r="CG38" s="434" t="str">
        <f t="shared" si="20"/>
        <v>No data</v>
      </c>
      <c r="CH38" s="434" t="str">
        <f t="shared" si="21"/>
        <v>No data</v>
      </c>
      <c r="CI38" s="435">
        <f t="shared" si="22"/>
        <v>0</v>
      </c>
      <c r="CK38" s="3" t="str">
        <f>_xlfn.LET(_xlpm.x,INDEX(tbl_Mat_def[],MATCH(BF38,ls_Mat_def,0),2),IFERROR(IF(_xlpm.x=0,"No","Yes"),"No"))</f>
        <v>No</v>
      </c>
      <c r="CM38" s="60" t="str">
        <f t="shared" si="23"/>
        <v/>
      </c>
      <c r="CN38" s="60" t="s">
        <v>235</v>
      </c>
      <c r="CO38" s="566" t="str">
        <f>_xlfn.XLOOKUP(CM38,tblGWP[Material Subcategory],tblGWP[Landfill],0)</f>
        <v/>
      </c>
      <c r="CP38" s="436" t="str">
        <f t="shared" si="24"/>
        <v/>
      </c>
      <c r="DD38" s="388">
        <f t="shared" si="29"/>
        <v>0</v>
      </c>
      <c r="DE38" s="22">
        <f t="shared" si="25"/>
        <v>19</v>
      </c>
      <c r="DF38" s="387">
        <f t="shared" si="30"/>
        <v>0</v>
      </c>
      <c r="DG38" s="387">
        <f t="shared" si="32"/>
        <v>0</v>
      </c>
      <c r="DH38" s="22">
        <f t="shared" ca="1" si="26"/>
        <v>0</v>
      </c>
      <c r="DI38">
        <f t="shared" ca="1" si="27"/>
        <v>0</v>
      </c>
    </row>
    <row r="39" spans="1:113" ht="30" hidden="1" customHeight="1" outlineLevel="1">
      <c r="A39" s="22" t="str">
        <f t="shared" si="28"/>
        <v/>
      </c>
      <c r="B39" s="272"/>
      <c r="C39" s="491"/>
      <c r="D39" s="272"/>
      <c r="E39" s="400"/>
      <c r="F39" s="400"/>
      <c r="G39" s="401"/>
      <c r="H39" s="376"/>
      <c r="I39" s="376"/>
      <c r="J39" s="376"/>
      <c r="K39" s="376"/>
      <c r="L39" s="376"/>
      <c r="M39" s="376"/>
      <c r="N39" s="376"/>
      <c r="O39" s="376"/>
      <c r="P39" s="376"/>
      <c r="Q39" s="376"/>
      <c r="R39" s="376"/>
      <c r="S39" s="376"/>
      <c r="T39" s="431">
        <f t="shared" si="3"/>
        <v>0</v>
      </c>
      <c r="U39" s="272"/>
      <c r="BC39" s="432" t="str">
        <f t="shared" si="4"/>
        <v/>
      </c>
      <c r="BD39" s="432" t="str">
        <f t="shared" si="5"/>
        <v/>
      </c>
      <c r="BE39" s="432" t="str">
        <f t="shared" si="6"/>
        <v/>
      </c>
      <c r="BF39" s="432" t="str">
        <f t="shared" si="7"/>
        <v/>
      </c>
      <c r="BG39" s="432" t="str">
        <f t="shared" si="8"/>
        <v/>
      </c>
      <c r="BH39" s="432" t="str">
        <f>_xlfn.LET(_xlpm.x,H39,IF(OR(LEN(_xlpm.x)&lt;1,_xlpm.x=0),"",CONVERT(_xlpm.x,BH7,"kg")))</f>
        <v/>
      </c>
      <c r="BI39" s="432" t="str">
        <f>_xlfn.LET(_xlpm.x,I39,IF(OR(LEN(_xlpm.x)&lt;1,_xlpm.x=0),"",CONVERT(_xlpm.x,BH7,"kg")))</f>
        <v/>
      </c>
      <c r="BJ39" s="432" t="str">
        <f>_xlfn.LET(_xlpm.x,J39,IF(OR(LEN(_xlpm.x)&lt;1,_xlpm.x=0),"",CONVERT(_xlpm.x,BH7,"kg")))</f>
        <v/>
      </c>
      <c r="BK39" s="432" t="str">
        <f>_xlfn.LET(_xlpm.x,K39,IF(OR(LEN(_xlpm.x)&lt;1,_xlpm.x=0),"",CONVERT(_xlpm.x,BH7,"kg")))</f>
        <v/>
      </c>
      <c r="BL39" s="432" t="str">
        <f>_xlfn.LET(_xlpm.x,L39,IF(OR(LEN(_xlpm.x)&lt;1,_xlpm.x=0),"",CONVERT(_xlpm.x,BH7,"kg")))</f>
        <v/>
      </c>
      <c r="BM39" s="432" t="str">
        <f>_xlfn.LET(_xlpm.x,M39,IF(OR(LEN(_xlpm.x)&lt;1,_xlpm.x=0),"",CONVERT(_xlpm.x,BH7,"kg")))</f>
        <v/>
      </c>
      <c r="BN39" s="432" t="str">
        <f>_xlfn.LET(_xlpm.x,N39,IF(OR(LEN(_xlpm.x)&lt;1,_xlpm.x=0),"",CONVERT(_xlpm.x,BH7,"kg")))</f>
        <v/>
      </c>
      <c r="BO39" s="432" t="str">
        <f>_xlfn.LET(_xlpm.x,O39,IF(OR(LEN(_xlpm.x)&lt;1,_xlpm.x=0),"",CONVERT(_xlpm.x,BH7,"kg")))</f>
        <v/>
      </c>
      <c r="BP39" s="432" t="str">
        <f>_xlfn.LET(_xlpm.x,P39,IF(OR(LEN(_xlpm.x)&lt;1,_xlpm.x=0),"",CONVERT(_xlpm.x,BH7,"kg")))</f>
        <v/>
      </c>
      <c r="BQ39" s="432" t="str">
        <f>_xlfn.LET(_xlpm.x,Q39,IF(OR(LEN(_xlpm.x)&lt;1,_xlpm.x=0),"",CONVERT(_xlpm.x,BH7,"kg")))</f>
        <v/>
      </c>
      <c r="BR39" s="432" t="str">
        <f>_xlfn.LET(_xlpm.x,R39,IF(OR(LEN(_xlpm.x)&lt;1,_xlpm.x=0),"",CONVERT(_xlpm.x,BH7,"kg")))</f>
        <v/>
      </c>
      <c r="BS39" s="432" t="str">
        <f>_xlfn.LET(_xlpm.x,S39,IF(OR(LEN(_xlpm.x)&lt;1,_xlpm.x=0),"",CONVERT(_xlpm.x,BH7,"kg")))</f>
        <v/>
      </c>
      <c r="BT39" s="433">
        <f t="shared" si="9"/>
        <v>0</v>
      </c>
      <c r="BU39" s="433" t="str">
        <f>_xlfn.LET(_xlpm.x,BF39,IF(LEN(_xlpm.x)&lt;1,"",IF(ISNUMBER(MATCH(_xlpm.x,ls_Mat_def,0)),'Project Inputs'!$BF$14,99)))</f>
        <v/>
      </c>
      <c r="BV39" s="432" t="str" cm="1">
        <f t="array" ref="BV39">IFERROR(INDEX(tblGWP[],MATCH(1,(tblGWP[Dataset ID]=BU39)*(tblGWP[Material Subcategory]=BF39),0),MATCH(BG39,ls_WHM,0)+5),"confirm")</f>
        <v>confirm</v>
      </c>
      <c r="BW39" s="434" t="str">
        <f t="shared" si="10"/>
        <v>No data</v>
      </c>
      <c r="BX39" s="434" t="str">
        <f t="shared" si="11"/>
        <v>No data</v>
      </c>
      <c r="BY39" s="434" t="str">
        <f t="shared" si="12"/>
        <v>No data</v>
      </c>
      <c r="BZ39" s="434" t="str">
        <f t="shared" si="13"/>
        <v>No data</v>
      </c>
      <c r="CA39" s="434" t="str">
        <f t="shared" si="14"/>
        <v>No data</v>
      </c>
      <c r="CB39" s="434" t="str">
        <f t="shared" si="15"/>
        <v>No data</v>
      </c>
      <c r="CC39" s="434" t="str">
        <f t="shared" si="16"/>
        <v>No data</v>
      </c>
      <c r="CD39" s="434" t="str">
        <f t="shared" si="17"/>
        <v>No data</v>
      </c>
      <c r="CE39" s="434" t="str">
        <f t="shared" si="18"/>
        <v>No data</v>
      </c>
      <c r="CF39" s="434" t="str">
        <f t="shared" si="19"/>
        <v>No data</v>
      </c>
      <c r="CG39" s="434" t="str">
        <f t="shared" si="20"/>
        <v>No data</v>
      </c>
      <c r="CH39" s="434" t="str">
        <f t="shared" si="21"/>
        <v>No data</v>
      </c>
      <c r="CI39" s="435">
        <f t="shared" si="22"/>
        <v>0</v>
      </c>
      <c r="CK39" s="3" t="str">
        <f>_xlfn.LET(_xlpm.x,INDEX(tbl_Mat_def[],MATCH(BF39,ls_Mat_def,0),2),IFERROR(IF(_xlpm.x=0,"No","Yes"),"No"))</f>
        <v>No</v>
      </c>
      <c r="CM39" s="60" t="str">
        <f t="shared" si="23"/>
        <v/>
      </c>
      <c r="CN39" s="60" t="s">
        <v>235</v>
      </c>
      <c r="CO39" s="566" t="str">
        <f>_xlfn.XLOOKUP(CM39,tblGWP[Material Subcategory],tblGWP[Landfill],0)</f>
        <v/>
      </c>
      <c r="CP39" s="436" t="str">
        <f t="shared" si="24"/>
        <v/>
      </c>
      <c r="DD39" s="388">
        <f t="shared" si="29"/>
        <v>0</v>
      </c>
      <c r="DE39" s="22">
        <f t="shared" si="25"/>
        <v>19</v>
      </c>
      <c r="DF39" s="387">
        <f t="shared" si="30"/>
        <v>0</v>
      </c>
      <c r="DG39" s="387">
        <f t="shared" si="32"/>
        <v>0</v>
      </c>
      <c r="DH39" s="22">
        <f t="shared" ca="1" si="26"/>
        <v>0</v>
      </c>
      <c r="DI39">
        <f t="shared" ca="1" si="27"/>
        <v>0</v>
      </c>
    </row>
    <row r="40" spans="1:113" ht="30" hidden="1" customHeight="1" outlineLevel="1">
      <c r="A40" s="22" t="str">
        <f t="shared" si="28"/>
        <v/>
      </c>
      <c r="B40" s="272"/>
      <c r="C40" s="491"/>
      <c r="D40" s="272"/>
      <c r="E40" s="400"/>
      <c r="F40" s="400"/>
      <c r="G40" s="401"/>
      <c r="H40" s="376"/>
      <c r="I40" s="376"/>
      <c r="J40" s="376"/>
      <c r="K40" s="376"/>
      <c r="L40" s="376"/>
      <c r="M40" s="376"/>
      <c r="N40" s="376"/>
      <c r="O40" s="376"/>
      <c r="P40" s="376"/>
      <c r="Q40" s="376"/>
      <c r="R40" s="376"/>
      <c r="S40" s="376"/>
      <c r="T40" s="431">
        <f t="shared" si="3"/>
        <v>0</v>
      </c>
      <c r="U40" s="272"/>
      <c r="BC40" s="432" t="str">
        <f t="shared" si="4"/>
        <v/>
      </c>
      <c r="BD40" s="432" t="str">
        <f t="shared" si="5"/>
        <v/>
      </c>
      <c r="BE40" s="432" t="str">
        <f t="shared" si="6"/>
        <v/>
      </c>
      <c r="BF40" s="432" t="str">
        <f t="shared" si="7"/>
        <v/>
      </c>
      <c r="BG40" s="432" t="str">
        <f t="shared" si="8"/>
        <v/>
      </c>
      <c r="BH40" s="432" t="str">
        <f>_xlfn.LET(_xlpm.x,H40,IF(OR(LEN(_xlpm.x)&lt;1,_xlpm.x=0),"",CONVERT(_xlpm.x,BH7,"kg")))</f>
        <v/>
      </c>
      <c r="BI40" s="432" t="str">
        <f>_xlfn.LET(_xlpm.x,I40,IF(OR(LEN(_xlpm.x)&lt;1,_xlpm.x=0),"",CONVERT(_xlpm.x,BH7,"kg")))</f>
        <v/>
      </c>
      <c r="BJ40" s="432" t="str">
        <f>_xlfn.LET(_xlpm.x,J40,IF(OR(LEN(_xlpm.x)&lt;1,_xlpm.x=0),"",CONVERT(_xlpm.x,BH7,"kg")))</f>
        <v/>
      </c>
      <c r="BK40" s="432" t="str">
        <f>_xlfn.LET(_xlpm.x,K40,IF(OR(LEN(_xlpm.x)&lt;1,_xlpm.x=0),"",CONVERT(_xlpm.x,BH7,"kg")))</f>
        <v/>
      </c>
      <c r="BL40" s="432" t="str">
        <f>_xlfn.LET(_xlpm.x,L40,IF(OR(LEN(_xlpm.x)&lt;1,_xlpm.x=0),"",CONVERT(_xlpm.x,BH7,"kg")))</f>
        <v/>
      </c>
      <c r="BM40" s="432" t="str">
        <f>_xlfn.LET(_xlpm.x,M40,IF(OR(LEN(_xlpm.x)&lt;1,_xlpm.x=0),"",CONVERT(_xlpm.x,BH7,"kg")))</f>
        <v/>
      </c>
      <c r="BN40" s="432" t="str">
        <f>_xlfn.LET(_xlpm.x,N40,IF(OR(LEN(_xlpm.x)&lt;1,_xlpm.x=0),"",CONVERT(_xlpm.x,BH7,"kg")))</f>
        <v/>
      </c>
      <c r="BO40" s="432" t="str">
        <f>_xlfn.LET(_xlpm.x,O40,IF(OR(LEN(_xlpm.x)&lt;1,_xlpm.x=0),"",CONVERT(_xlpm.x,BH7,"kg")))</f>
        <v/>
      </c>
      <c r="BP40" s="432" t="str">
        <f>_xlfn.LET(_xlpm.x,P40,IF(OR(LEN(_xlpm.x)&lt;1,_xlpm.x=0),"",CONVERT(_xlpm.x,BH7,"kg")))</f>
        <v/>
      </c>
      <c r="BQ40" s="432" t="str">
        <f>_xlfn.LET(_xlpm.x,Q40,IF(OR(LEN(_xlpm.x)&lt;1,_xlpm.x=0),"",CONVERT(_xlpm.x,BH7,"kg")))</f>
        <v/>
      </c>
      <c r="BR40" s="432" t="str">
        <f>_xlfn.LET(_xlpm.x,R40,IF(OR(LEN(_xlpm.x)&lt;1,_xlpm.x=0),"",CONVERT(_xlpm.x,BH7,"kg")))</f>
        <v/>
      </c>
      <c r="BS40" s="432" t="str">
        <f>_xlfn.LET(_xlpm.x,S40,IF(OR(LEN(_xlpm.x)&lt;1,_xlpm.x=0),"",CONVERT(_xlpm.x,BH7,"kg")))</f>
        <v/>
      </c>
      <c r="BT40" s="433">
        <f t="shared" si="9"/>
        <v>0</v>
      </c>
      <c r="BU40" s="433" t="str">
        <f>_xlfn.LET(_xlpm.x,BF40,IF(LEN(_xlpm.x)&lt;1,"",IF(ISNUMBER(MATCH(_xlpm.x,ls_Mat_def,0)),'Project Inputs'!$BF$14,99)))</f>
        <v/>
      </c>
      <c r="BV40" s="432" t="str" cm="1">
        <f t="array" ref="BV40">IFERROR(INDEX(tblGWP[],MATCH(1,(tblGWP[Dataset ID]=BU40)*(tblGWP[Material Subcategory]=BF40),0),MATCH(BG40,ls_WHM,0)+5),"confirm")</f>
        <v>confirm</v>
      </c>
      <c r="BW40" s="434" t="str">
        <f t="shared" si="10"/>
        <v>No data</v>
      </c>
      <c r="BX40" s="434" t="str">
        <f t="shared" si="11"/>
        <v>No data</v>
      </c>
      <c r="BY40" s="434" t="str">
        <f t="shared" si="12"/>
        <v>No data</v>
      </c>
      <c r="BZ40" s="434" t="str">
        <f t="shared" si="13"/>
        <v>No data</v>
      </c>
      <c r="CA40" s="434" t="str">
        <f t="shared" si="14"/>
        <v>No data</v>
      </c>
      <c r="CB40" s="434" t="str">
        <f t="shared" si="15"/>
        <v>No data</v>
      </c>
      <c r="CC40" s="434" t="str">
        <f t="shared" si="16"/>
        <v>No data</v>
      </c>
      <c r="CD40" s="434" t="str">
        <f t="shared" si="17"/>
        <v>No data</v>
      </c>
      <c r="CE40" s="434" t="str">
        <f t="shared" si="18"/>
        <v>No data</v>
      </c>
      <c r="CF40" s="434" t="str">
        <f t="shared" si="19"/>
        <v>No data</v>
      </c>
      <c r="CG40" s="434" t="str">
        <f t="shared" si="20"/>
        <v>No data</v>
      </c>
      <c r="CH40" s="434" t="str">
        <f t="shared" si="21"/>
        <v>No data</v>
      </c>
      <c r="CI40" s="435">
        <f t="shared" si="22"/>
        <v>0</v>
      </c>
      <c r="CK40" s="3" t="str">
        <f>_xlfn.LET(_xlpm.x,INDEX(tbl_Mat_def[],MATCH(BF40,ls_Mat_def,0),2),IFERROR(IF(_xlpm.x=0,"No","Yes"),"No"))</f>
        <v>No</v>
      </c>
      <c r="CM40" s="60" t="str">
        <f t="shared" si="23"/>
        <v/>
      </c>
      <c r="CN40" s="60" t="s">
        <v>235</v>
      </c>
      <c r="CO40" s="566" t="str">
        <f>_xlfn.XLOOKUP(CM40,tblGWP[Material Subcategory],tblGWP[Landfill],0)</f>
        <v/>
      </c>
      <c r="CP40" s="436" t="str">
        <f t="shared" si="24"/>
        <v/>
      </c>
      <c r="DD40" s="388">
        <f t="shared" si="29"/>
        <v>0</v>
      </c>
      <c r="DE40" s="22">
        <f t="shared" si="25"/>
        <v>19</v>
      </c>
      <c r="DF40" s="387">
        <f t="shared" si="30"/>
        <v>0</v>
      </c>
      <c r="DG40" s="387">
        <f t="shared" si="32"/>
        <v>0</v>
      </c>
      <c r="DH40" s="22">
        <f t="shared" ca="1" si="26"/>
        <v>0</v>
      </c>
      <c r="DI40">
        <f t="shared" ca="1" si="27"/>
        <v>0</v>
      </c>
    </row>
    <row r="41" spans="1:113" ht="30" hidden="1" customHeight="1" outlineLevel="1">
      <c r="A41" s="22" t="str">
        <f t="shared" si="28"/>
        <v/>
      </c>
      <c r="B41" s="272"/>
      <c r="C41" s="491"/>
      <c r="D41" s="272"/>
      <c r="E41" s="400"/>
      <c r="F41" s="400"/>
      <c r="G41" s="401"/>
      <c r="H41" s="376"/>
      <c r="I41" s="376"/>
      <c r="J41" s="376"/>
      <c r="K41" s="376"/>
      <c r="L41" s="376"/>
      <c r="M41" s="376"/>
      <c r="N41" s="376"/>
      <c r="O41" s="376"/>
      <c r="P41" s="376"/>
      <c r="Q41" s="376"/>
      <c r="R41" s="376"/>
      <c r="S41" s="376"/>
      <c r="T41" s="431">
        <f t="shared" si="3"/>
        <v>0</v>
      </c>
      <c r="U41" s="272"/>
      <c r="BC41" s="432" t="str">
        <f t="shared" si="4"/>
        <v/>
      </c>
      <c r="BD41" s="432" t="str">
        <f t="shared" si="5"/>
        <v/>
      </c>
      <c r="BE41" s="432" t="str">
        <f t="shared" si="6"/>
        <v/>
      </c>
      <c r="BF41" s="432" t="str">
        <f t="shared" si="7"/>
        <v/>
      </c>
      <c r="BG41" s="432" t="str">
        <f t="shared" si="8"/>
        <v/>
      </c>
      <c r="BH41" s="432" t="str">
        <f>_xlfn.LET(_xlpm.x,H41,IF(OR(LEN(_xlpm.x)&lt;1,_xlpm.x=0),"",CONVERT(_xlpm.x,BH7,"kg")))</f>
        <v/>
      </c>
      <c r="BI41" s="432" t="str">
        <f>_xlfn.LET(_xlpm.x,I41,IF(OR(LEN(_xlpm.x)&lt;1,_xlpm.x=0),"",CONVERT(_xlpm.x,BH7,"kg")))</f>
        <v/>
      </c>
      <c r="BJ41" s="432" t="str">
        <f>_xlfn.LET(_xlpm.x,J41,IF(OR(LEN(_xlpm.x)&lt;1,_xlpm.x=0),"",CONVERT(_xlpm.x,BH7,"kg")))</f>
        <v/>
      </c>
      <c r="BK41" s="432" t="str">
        <f>_xlfn.LET(_xlpm.x,K41,IF(OR(LEN(_xlpm.x)&lt;1,_xlpm.x=0),"",CONVERT(_xlpm.x,BH7,"kg")))</f>
        <v/>
      </c>
      <c r="BL41" s="432" t="str">
        <f>_xlfn.LET(_xlpm.x,L41,IF(OR(LEN(_xlpm.x)&lt;1,_xlpm.x=0),"",CONVERT(_xlpm.x,BH7,"kg")))</f>
        <v/>
      </c>
      <c r="BM41" s="432" t="str">
        <f>_xlfn.LET(_xlpm.x,M41,IF(OR(LEN(_xlpm.x)&lt;1,_xlpm.x=0),"",CONVERT(_xlpm.x,BH7,"kg")))</f>
        <v/>
      </c>
      <c r="BN41" s="432" t="str">
        <f>_xlfn.LET(_xlpm.x,N41,IF(OR(LEN(_xlpm.x)&lt;1,_xlpm.x=0),"",CONVERT(_xlpm.x,BH7,"kg")))</f>
        <v/>
      </c>
      <c r="BO41" s="432" t="str">
        <f>_xlfn.LET(_xlpm.x,O41,IF(OR(LEN(_xlpm.x)&lt;1,_xlpm.x=0),"",CONVERT(_xlpm.x,BH7,"kg")))</f>
        <v/>
      </c>
      <c r="BP41" s="432" t="str">
        <f>_xlfn.LET(_xlpm.x,P41,IF(OR(LEN(_xlpm.x)&lt;1,_xlpm.x=0),"",CONVERT(_xlpm.x,BH7,"kg")))</f>
        <v/>
      </c>
      <c r="BQ41" s="432" t="str">
        <f>_xlfn.LET(_xlpm.x,Q41,IF(OR(LEN(_xlpm.x)&lt;1,_xlpm.x=0),"",CONVERT(_xlpm.x,BH7,"kg")))</f>
        <v/>
      </c>
      <c r="BR41" s="432" t="str">
        <f>_xlfn.LET(_xlpm.x,R41,IF(OR(LEN(_xlpm.x)&lt;1,_xlpm.x=0),"",CONVERT(_xlpm.x,BH7,"kg")))</f>
        <v/>
      </c>
      <c r="BS41" s="432" t="str">
        <f>_xlfn.LET(_xlpm.x,S41,IF(OR(LEN(_xlpm.x)&lt;1,_xlpm.x=0),"",CONVERT(_xlpm.x,BH7,"kg")))</f>
        <v/>
      </c>
      <c r="BT41" s="433">
        <f t="shared" si="9"/>
        <v>0</v>
      </c>
      <c r="BU41" s="433" t="str">
        <f>_xlfn.LET(_xlpm.x,BF41,IF(LEN(_xlpm.x)&lt;1,"",IF(ISNUMBER(MATCH(_xlpm.x,ls_Mat_def,0)),'Project Inputs'!$BF$14,99)))</f>
        <v/>
      </c>
      <c r="BV41" s="432" t="str" cm="1">
        <f t="array" ref="BV41">IFERROR(INDEX(tblGWP[],MATCH(1,(tblGWP[Dataset ID]=BU41)*(tblGWP[Material Subcategory]=BF41),0),MATCH(BG41,ls_WHM,0)+5),"confirm")</f>
        <v>confirm</v>
      </c>
      <c r="BW41" s="434" t="str">
        <f t="shared" si="10"/>
        <v>No data</v>
      </c>
      <c r="BX41" s="434" t="str">
        <f t="shared" si="11"/>
        <v>No data</v>
      </c>
      <c r="BY41" s="434" t="str">
        <f t="shared" si="12"/>
        <v>No data</v>
      </c>
      <c r="BZ41" s="434" t="str">
        <f t="shared" si="13"/>
        <v>No data</v>
      </c>
      <c r="CA41" s="434" t="str">
        <f t="shared" si="14"/>
        <v>No data</v>
      </c>
      <c r="CB41" s="434" t="str">
        <f t="shared" si="15"/>
        <v>No data</v>
      </c>
      <c r="CC41" s="434" t="str">
        <f t="shared" si="16"/>
        <v>No data</v>
      </c>
      <c r="CD41" s="434" t="str">
        <f t="shared" si="17"/>
        <v>No data</v>
      </c>
      <c r="CE41" s="434" t="str">
        <f t="shared" si="18"/>
        <v>No data</v>
      </c>
      <c r="CF41" s="434" t="str">
        <f t="shared" si="19"/>
        <v>No data</v>
      </c>
      <c r="CG41" s="434" t="str">
        <f t="shared" si="20"/>
        <v>No data</v>
      </c>
      <c r="CH41" s="434" t="str">
        <f t="shared" si="21"/>
        <v>No data</v>
      </c>
      <c r="CI41" s="435">
        <f t="shared" si="22"/>
        <v>0</v>
      </c>
      <c r="CK41" s="3" t="str">
        <f>_xlfn.LET(_xlpm.x,INDEX(tbl_Mat_def[],MATCH(BF41,ls_Mat_def,0),2),IFERROR(IF(_xlpm.x=0,"No","Yes"),"No"))</f>
        <v>No</v>
      </c>
      <c r="CM41" s="60" t="str">
        <f t="shared" si="23"/>
        <v/>
      </c>
      <c r="CN41" s="60" t="s">
        <v>235</v>
      </c>
      <c r="CO41" s="566" t="str">
        <f>_xlfn.XLOOKUP(CM41,tblGWP[Material Subcategory],tblGWP[Landfill],0)</f>
        <v/>
      </c>
      <c r="CP41" s="436" t="str">
        <f t="shared" si="24"/>
        <v/>
      </c>
      <c r="DD41" s="388">
        <f t="shared" si="29"/>
        <v>0</v>
      </c>
      <c r="DE41" s="22">
        <f t="shared" si="25"/>
        <v>19</v>
      </c>
      <c r="DF41" s="387">
        <f t="shared" si="30"/>
        <v>0</v>
      </c>
      <c r="DG41" s="387">
        <f t="shared" si="32"/>
        <v>0</v>
      </c>
      <c r="DH41" s="22">
        <f t="shared" ca="1" si="26"/>
        <v>0</v>
      </c>
      <c r="DI41">
        <f t="shared" ca="1" si="27"/>
        <v>0</v>
      </c>
    </row>
    <row r="42" spans="1:113" ht="30" hidden="1" customHeight="1" outlineLevel="1">
      <c r="A42" s="22" t="str">
        <f t="shared" si="28"/>
        <v/>
      </c>
      <c r="B42" s="272"/>
      <c r="C42" s="491"/>
      <c r="D42" s="272"/>
      <c r="E42" s="400"/>
      <c r="F42" s="400"/>
      <c r="G42" s="401"/>
      <c r="H42" s="376"/>
      <c r="I42" s="376"/>
      <c r="J42" s="376"/>
      <c r="K42" s="376"/>
      <c r="L42" s="376"/>
      <c r="M42" s="376"/>
      <c r="N42" s="376"/>
      <c r="O42" s="376"/>
      <c r="P42" s="376"/>
      <c r="Q42" s="376"/>
      <c r="R42" s="376"/>
      <c r="S42" s="376"/>
      <c r="T42" s="431">
        <f t="shared" si="3"/>
        <v>0</v>
      </c>
      <c r="U42" s="272"/>
      <c r="BC42" s="432" t="str">
        <f t="shared" si="4"/>
        <v/>
      </c>
      <c r="BD42" s="432" t="str">
        <f t="shared" si="5"/>
        <v/>
      </c>
      <c r="BE42" s="432" t="str">
        <f t="shared" si="6"/>
        <v/>
      </c>
      <c r="BF42" s="432" t="str">
        <f t="shared" si="7"/>
        <v/>
      </c>
      <c r="BG42" s="432" t="str">
        <f t="shared" si="8"/>
        <v/>
      </c>
      <c r="BH42" s="432" t="str">
        <f>_xlfn.LET(_xlpm.x,H42,IF(OR(LEN(_xlpm.x)&lt;1,_xlpm.x=0),"",CONVERT(_xlpm.x,BH7,"kg")))</f>
        <v/>
      </c>
      <c r="BI42" s="432" t="str">
        <f>_xlfn.LET(_xlpm.x,I42,IF(OR(LEN(_xlpm.x)&lt;1,_xlpm.x=0),"",CONVERT(_xlpm.x,BH7,"kg")))</f>
        <v/>
      </c>
      <c r="BJ42" s="432" t="str">
        <f>_xlfn.LET(_xlpm.x,J42,IF(OR(LEN(_xlpm.x)&lt;1,_xlpm.x=0),"",CONVERT(_xlpm.x,BH7,"kg")))</f>
        <v/>
      </c>
      <c r="BK42" s="432" t="str">
        <f>_xlfn.LET(_xlpm.x,K42,IF(OR(LEN(_xlpm.x)&lt;1,_xlpm.x=0),"",CONVERT(_xlpm.x,BH7,"kg")))</f>
        <v/>
      </c>
      <c r="BL42" s="432" t="str">
        <f>_xlfn.LET(_xlpm.x,L42,IF(OR(LEN(_xlpm.x)&lt;1,_xlpm.x=0),"",CONVERT(_xlpm.x,BH7,"kg")))</f>
        <v/>
      </c>
      <c r="BM42" s="432" t="str">
        <f>_xlfn.LET(_xlpm.x,M42,IF(OR(LEN(_xlpm.x)&lt;1,_xlpm.x=0),"",CONVERT(_xlpm.x,BH7,"kg")))</f>
        <v/>
      </c>
      <c r="BN42" s="432" t="str">
        <f>_xlfn.LET(_xlpm.x,N42,IF(OR(LEN(_xlpm.x)&lt;1,_xlpm.x=0),"",CONVERT(_xlpm.x,BH7,"kg")))</f>
        <v/>
      </c>
      <c r="BO42" s="432" t="str">
        <f>_xlfn.LET(_xlpm.x,O42,IF(OR(LEN(_xlpm.x)&lt;1,_xlpm.x=0),"",CONVERT(_xlpm.x,BH7,"kg")))</f>
        <v/>
      </c>
      <c r="BP42" s="432" t="str">
        <f>_xlfn.LET(_xlpm.x,P42,IF(OR(LEN(_xlpm.x)&lt;1,_xlpm.x=0),"",CONVERT(_xlpm.x,BH7,"kg")))</f>
        <v/>
      </c>
      <c r="BQ42" s="432" t="str">
        <f>_xlfn.LET(_xlpm.x,Q42,IF(OR(LEN(_xlpm.x)&lt;1,_xlpm.x=0),"",CONVERT(_xlpm.x,BH7,"kg")))</f>
        <v/>
      </c>
      <c r="BR42" s="432" t="str">
        <f>_xlfn.LET(_xlpm.x,R42,IF(OR(LEN(_xlpm.x)&lt;1,_xlpm.x=0),"",CONVERT(_xlpm.x,BH7,"kg")))</f>
        <v/>
      </c>
      <c r="BS42" s="432" t="str">
        <f>_xlfn.LET(_xlpm.x,S42,IF(OR(LEN(_xlpm.x)&lt;1,_xlpm.x=0),"",CONVERT(_xlpm.x,BH7,"kg")))</f>
        <v/>
      </c>
      <c r="BT42" s="433">
        <f t="shared" si="9"/>
        <v>0</v>
      </c>
      <c r="BU42" s="433" t="str">
        <f>_xlfn.LET(_xlpm.x,BF42,IF(LEN(_xlpm.x)&lt;1,"",IF(ISNUMBER(MATCH(_xlpm.x,ls_Mat_def,0)),'Project Inputs'!$BF$14,99)))</f>
        <v/>
      </c>
      <c r="BV42" s="432" t="str" cm="1">
        <f t="array" ref="BV42">IFERROR(INDEX(tblGWP[],MATCH(1,(tblGWP[Dataset ID]=BU42)*(tblGWP[Material Subcategory]=BF42),0),MATCH(BG42,ls_WHM,0)+5),"confirm")</f>
        <v>confirm</v>
      </c>
      <c r="BW42" s="434" t="str">
        <f t="shared" si="10"/>
        <v>No data</v>
      </c>
      <c r="BX42" s="434" t="str">
        <f t="shared" si="11"/>
        <v>No data</v>
      </c>
      <c r="BY42" s="434" t="str">
        <f t="shared" si="12"/>
        <v>No data</v>
      </c>
      <c r="BZ42" s="434" t="str">
        <f t="shared" si="13"/>
        <v>No data</v>
      </c>
      <c r="CA42" s="434" t="str">
        <f t="shared" si="14"/>
        <v>No data</v>
      </c>
      <c r="CB42" s="434" t="str">
        <f t="shared" si="15"/>
        <v>No data</v>
      </c>
      <c r="CC42" s="434" t="str">
        <f t="shared" si="16"/>
        <v>No data</v>
      </c>
      <c r="CD42" s="434" t="str">
        <f t="shared" si="17"/>
        <v>No data</v>
      </c>
      <c r="CE42" s="434" t="str">
        <f t="shared" si="18"/>
        <v>No data</v>
      </c>
      <c r="CF42" s="434" t="str">
        <f t="shared" si="19"/>
        <v>No data</v>
      </c>
      <c r="CG42" s="434" t="str">
        <f t="shared" si="20"/>
        <v>No data</v>
      </c>
      <c r="CH42" s="434" t="str">
        <f t="shared" si="21"/>
        <v>No data</v>
      </c>
      <c r="CI42" s="435">
        <f t="shared" si="22"/>
        <v>0</v>
      </c>
      <c r="CK42" s="3" t="str">
        <f>_xlfn.LET(_xlpm.x,INDEX(tbl_Mat_def[],MATCH(BF42,ls_Mat_def,0),2),IFERROR(IF(_xlpm.x=0,"No","Yes"),"No"))</f>
        <v>No</v>
      </c>
      <c r="CM42" s="60" t="str">
        <f t="shared" si="23"/>
        <v/>
      </c>
      <c r="CN42" s="60" t="s">
        <v>235</v>
      </c>
      <c r="CO42" s="566" t="str">
        <f>_xlfn.XLOOKUP(CM42,tblGWP[Material Subcategory],tblGWP[Landfill],0)</f>
        <v/>
      </c>
      <c r="CP42" s="436" t="str">
        <f t="shared" si="24"/>
        <v/>
      </c>
      <c r="DD42" s="388">
        <f t="shared" si="29"/>
        <v>0</v>
      </c>
      <c r="DE42" s="22">
        <f t="shared" si="25"/>
        <v>19</v>
      </c>
      <c r="DF42" s="387">
        <f t="shared" si="30"/>
        <v>0</v>
      </c>
      <c r="DG42" s="387">
        <f t="shared" si="32"/>
        <v>0</v>
      </c>
      <c r="DH42" s="22">
        <f t="shared" ca="1" si="26"/>
        <v>0</v>
      </c>
      <c r="DI42">
        <f t="shared" ca="1" si="27"/>
        <v>0</v>
      </c>
    </row>
    <row r="43" spans="1:113" ht="30" hidden="1" customHeight="1" outlineLevel="1">
      <c r="A43" s="22" t="str">
        <f t="shared" si="28"/>
        <v/>
      </c>
      <c r="B43" s="272"/>
      <c r="C43" s="491"/>
      <c r="D43" s="272"/>
      <c r="E43" s="400"/>
      <c r="F43" s="400"/>
      <c r="G43" s="401"/>
      <c r="H43" s="376"/>
      <c r="I43" s="376"/>
      <c r="J43" s="376"/>
      <c r="K43" s="376"/>
      <c r="L43" s="376"/>
      <c r="M43" s="376"/>
      <c r="N43" s="376"/>
      <c r="O43" s="376"/>
      <c r="P43" s="376"/>
      <c r="Q43" s="376"/>
      <c r="R43" s="376"/>
      <c r="S43" s="376"/>
      <c r="T43" s="431">
        <f t="shared" si="3"/>
        <v>0</v>
      </c>
      <c r="U43" s="272"/>
      <c r="BC43" s="432" t="str">
        <f t="shared" si="4"/>
        <v/>
      </c>
      <c r="BD43" s="432" t="str">
        <f t="shared" si="5"/>
        <v/>
      </c>
      <c r="BE43" s="432" t="str">
        <f t="shared" si="6"/>
        <v/>
      </c>
      <c r="BF43" s="432" t="str">
        <f t="shared" si="7"/>
        <v/>
      </c>
      <c r="BG43" s="432" t="str">
        <f t="shared" si="8"/>
        <v/>
      </c>
      <c r="BH43" s="432" t="str">
        <f>_xlfn.LET(_xlpm.x,H43,IF(OR(LEN(_xlpm.x)&lt;1,_xlpm.x=0),"",CONVERT(_xlpm.x,BH7,"kg")))</f>
        <v/>
      </c>
      <c r="BI43" s="432" t="str">
        <f>_xlfn.LET(_xlpm.x,I43,IF(OR(LEN(_xlpm.x)&lt;1,_xlpm.x=0),"",CONVERT(_xlpm.x,BH7,"kg")))</f>
        <v/>
      </c>
      <c r="BJ43" s="432" t="str">
        <f>_xlfn.LET(_xlpm.x,J43,IF(OR(LEN(_xlpm.x)&lt;1,_xlpm.x=0),"",CONVERT(_xlpm.x,BH7,"kg")))</f>
        <v/>
      </c>
      <c r="BK43" s="432" t="str">
        <f>_xlfn.LET(_xlpm.x,K43,IF(OR(LEN(_xlpm.x)&lt;1,_xlpm.x=0),"",CONVERT(_xlpm.x,BH7,"kg")))</f>
        <v/>
      </c>
      <c r="BL43" s="432" t="str">
        <f>_xlfn.LET(_xlpm.x,L43,IF(OR(LEN(_xlpm.x)&lt;1,_xlpm.x=0),"",CONVERT(_xlpm.x,BH7,"kg")))</f>
        <v/>
      </c>
      <c r="BM43" s="432" t="str">
        <f>_xlfn.LET(_xlpm.x,M43,IF(OR(LEN(_xlpm.x)&lt;1,_xlpm.x=0),"",CONVERT(_xlpm.x,BH7,"kg")))</f>
        <v/>
      </c>
      <c r="BN43" s="432" t="str">
        <f>_xlfn.LET(_xlpm.x,N43,IF(OR(LEN(_xlpm.x)&lt;1,_xlpm.x=0),"",CONVERT(_xlpm.x,BH7,"kg")))</f>
        <v/>
      </c>
      <c r="BO43" s="432" t="str">
        <f>_xlfn.LET(_xlpm.x,O43,IF(OR(LEN(_xlpm.x)&lt;1,_xlpm.x=0),"",CONVERT(_xlpm.x,BH7,"kg")))</f>
        <v/>
      </c>
      <c r="BP43" s="432" t="str">
        <f>_xlfn.LET(_xlpm.x,P43,IF(OR(LEN(_xlpm.x)&lt;1,_xlpm.x=0),"",CONVERT(_xlpm.x,BH7,"kg")))</f>
        <v/>
      </c>
      <c r="BQ43" s="432" t="str">
        <f>_xlfn.LET(_xlpm.x,Q43,IF(OR(LEN(_xlpm.x)&lt;1,_xlpm.x=0),"",CONVERT(_xlpm.x,BH7,"kg")))</f>
        <v/>
      </c>
      <c r="BR43" s="432" t="str">
        <f>_xlfn.LET(_xlpm.x,R43,IF(OR(LEN(_xlpm.x)&lt;1,_xlpm.x=0),"",CONVERT(_xlpm.x,BH7,"kg")))</f>
        <v/>
      </c>
      <c r="BS43" s="432" t="str">
        <f>_xlfn.LET(_xlpm.x,S43,IF(OR(LEN(_xlpm.x)&lt;1,_xlpm.x=0),"",CONVERT(_xlpm.x,BH7,"kg")))</f>
        <v/>
      </c>
      <c r="BT43" s="433">
        <f t="shared" si="9"/>
        <v>0</v>
      </c>
      <c r="BU43" s="433" t="str">
        <f>_xlfn.LET(_xlpm.x,BF43,IF(LEN(_xlpm.x)&lt;1,"",IF(ISNUMBER(MATCH(_xlpm.x,ls_Mat_def,0)),'Project Inputs'!$BF$14,99)))</f>
        <v/>
      </c>
      <c r="BV43" s="432" t="str" cm="1">
        <f t="array" ref="BV43">IFERROR(INDEX(tblGWP[],MATCH(1,(tblGWP[Dataset ID]=BU43)*(tblGWP[Material Subcategory]=BF43),0),MATCH(BG43,ls_WHM,0)+5),"confirm")</f>
        <v>confirm</v>
      </c>
      <c r="BW43" s="434" t="str">
        <f t="shared" si="10"/>
        <v>No data</v>
      </c>
      <c r="BX43" s="434" t="str">
        <f t="shared" si="11"/>
        <v>No data</v>
      </c>
      <c r="BY43" s="434" t="str">
        <f t="shared" si="12"/>
        <v>No data</v>
      </c>
      <c r="BZ43" s="434" t="str">
        <f t="shared" si="13"/>
        <v>No data</v>
      </c>
      <c r="CA43" s="434" t="str">
        <f t="shared" si="14"/>
        <v>No data</v>
      </c>
      <c r="CB43" s="434" t="str">
        <f t="shared" si="15"/>
        <v>No data</v>
      </c>
      <c r="CC43" s="434" t="str">
        <f t="shared" si="16"/>
        <v>No data</v>
      </c>
      <c r="CD43" s="434" t="str">
        <f t="shared" si="17"/>
        <v>No data</v>
      </c>
      <c r="CE43" s="434" t="str">
        <f t="shared" si="18"/>
        <v>No data</v>
      </c>
      <c r="CF43" s="434" t="str">
        <f t="shared" si="19"/>
        <v>No data</v>
      </c>
      <c r="CG43" s="434" t="str">
        <f t="shared" si="20"/>
        <v>No data</v>
      </c>
      <c r="CH43" s="434" t="str">
        <f t="shared" si="21"/>
        <v>No data</v>
      </c>
      <c r="CI43" s="435">
        <f t="shared" si="22"/>
        <v>0</v>
      </c>
      <c r="CK43" s="3" t="str">
        <f>_xlfn.LET(_xlpm.x,INDEX(tbl_Mat_def[],MATCH(BF43,ls_Mat_def,0),2),IFERROR(IF(_xlpm.x=0,"No","Yes"),"No"))</f>
        <v>No</v>
      </c>
      <c r="CM43" s="60" t="str">
        <f t="shared" si="23"/>
        <v/>
      </c>
      <c r="CN43" s="60" t="s">
        <v>235</v>
      </c>
      <c r="CO43" s="566" t="str">
        <f>_xlfn.XLOOKUP(CM43,tblGWP[Material Subcategory],tblGWP[Landfill],0)</f>
        <v/>
      </c>
      <c r="CP43" s="436" t="str">
        <f t="shared" si="24"/>
        <v/>
      </c>
      <c r="DD43" s="388">
        <f t="shared" si="29"/>
        <v>0</v>
      </c>
      <c r="DE43" s="22">
        <f t="shared" si="25"/>
        <v>19</v>
      </c>
      <c r="DF43" s="387">
        <f t="shared" si="30"/>
        <v>0</v>
      </c>
      <c r="DG43" s="387">
        <f t="shared" si="32"/>
        <v>0</v>
      </c>
      <c r="DH43" s="22">
        <f t="shared" ca="1" si="26"/>
        <v>0</v>
      </c>
      <c r="DI43">
        <f t="shared" ca="1" si="27"/>
        <v>0</v>
      </c>
    </row>
    <row r="44" spans="1:113" ht="30" hidden="1" customHeight="1" outlineLevel="1">
      <c r="A44" s="22" t="str">
        <f t="shared" si="28"/>
        <v/>
      </c>
      <c r="B44" s="272"/>
      <c r="C44" s="491"/>
      <c r="D44" s="272"/>
      <c r="E44" s="400"/>
      <c r="F44" s="400"/>
      <c r="G44" s="401"/>
      <c r="H44" s="376"/>
      <c r="I44" s="376"/>
      <c r="J44" s="376"/>
      <c r="K44" s="376"/>
      <c r="L44" s="376"/>
      <c r="M44" s="376"/>
      <c r="N44" s="376"/>
      <c r="O44" s="376"/>
      <c r="P44" s="376"/>
      <c r="Q44" s="376"/>
      <c r="R44" s="376"/>
      <c r="S44" s="376"/>
      <c r="T44" s="431">
        <f t="shared" si="3"/>
        <v>0</v>
      </c>
      <c r="U44" s="272"/>
      <c r="BC44" s="432" t="str">
        <f t="shared" si="4"/>
        <v/>
      </c>
      <c r="BD44" s="432" t="str">
        <f t="shared" si="5"/>
        <v/>
      </c>
      <c r="BE44" s="432" t="str">
        <f t="shared" si="6"/>
        <v/>
      </c>
      <c r="BF44" s="432" t="str">
        <f t="shared" si="7"/>
        <v/>
      </c>
      <c r="BG44" s="432" t="str">
        <f t="shared" si="8"/>
        <v/>
      </c>
      <c r="BH44" s="432" t="str">
        <f>_xlfn.LET(_xlpm.x,H44,IF(OR(LEN(_xlpm.x)&lt;1,_xlpm.x=0),"",CONVERT(_xlpm.x,BH7,"kg")))</f>
        <v/>
      </c>
      <c r="BI44" s="432" t="str">
        <f>_xlfn.LET(_xlpm.x,I44,IF(OR(LEN(_xlpm.x)&lt;1,_xlpm.x=0),"",CONVERT(_xlpm.x,BH7,"kg")))</f>
        <v/>
      </c>
      <c r="BJ44" s="432" t="str">
        <f>_xlfn.LET(_xlpm.x,J44,IF(OR(LEN(_xlpm.x)&lt;1,_xlpm.x=0),"",CONVERT(_xlpm.x,BH7,"kg")))</f>
        <v/>
      </c>
      <c r="BK44" s="432" t="str">
        <f>_xlfn.LET(_xlpm.x,K44,IF(OR(LEN(_xlpm.x)&lt;1,_xlpm.x=0),"",CONVERT(_xlpm.x,BH7,"kg")))</f>
        <v/>
      </c>
      <c r="BL44" s="432" t="str">
        <f>_xlfn.LET(_xlpm.x,L44,IF(OR(LEN(_xlpm.x)&lt;1,_xlpm.x=0),"",CONVERT(_xlpm.x,BH7,"kg")))</f>
        <v/>
      </c>
      <c r="BM44" s="432" t="str">
        <f>_xlfn.LET(_xlpm.x,M44,IF(OR(LEN(_xlpm.x)&lt;1,_xlpm.x=0),"",CONVERT(_xlpm.x,BH7,"kg")))</f>
        <v/>
      </c>
      <c r="BN44" s="432" t="str">
        <f>_xlfn.LET(_xlpm.x,N44,IF(OR(LEN(_xlpm.x)&lt;1,_xlpm.x=0),"",CONVERT(_xlpm.x,BH7,"kg")))</f>
        <v/>
      </c>
      <c r="BO44" s="432" t="str">
        <f>_xlfn.LET(_xlpm.x,O44,IF(OR(LEN(_xlpm.x)&lt;1,_xlpm.x=0),"",CONVERT(_xlpm.x,BH7,"kg")))</f>
        <v/>
      </c>
      <c r="BP44" s="432" t="str">
        <f>_xlfn.LET(_xlpm.x,P44,IF(OR(LEN(_xlpm.x)&lt;1,_xlpm.x=0),"",CONVERT(_xlpm.x,BH7,"kg")))</f>
        <v/>
      </c>
      <c r="BQ44" s="432" t="str">
        <f>_xlfn.LET(_xlpm.x,Q44,IF(OR(LEN(_xlpm.x)&lt;1,_xlpm.x=0),"",CONVERT(_xlpm.x,BH7,"kg")))</f>
        <v/>
      </c>
      <c r="BR44" s="432" t="str">
        <f>_xlfn.LET(_xlpm.x,R44,IF(OR(LEN(_xlpm.x)&lt;1,_xlpm.x=0),"",CONVERT(_xlpm.x,BH7,"kg")))</f>
        <v/>
      </c>
      <c r="BS44" s="432" t="str">
        <f>_xlfn.LET(_xlpm.x,S44,IF(OR(LEN(_xlpm.x)&lt;1,_xlpm.x=0),"",CONVERT(_xlpm.x,BH7,"kg")))</f>
        <v/>
      </c>
      <c r="BT44" s="433">
        <f t="shared" si="9"/>
        <v>0</v>
      </c>
      <c r="BU44" s="433" t="str">
        <f>_xlfn.LET(_xlpm.x,BF44,IF(LEN(_xlpm.x)&lt;1,"",IF(ISNUMBER(MATCH(_xlpm.x,ls_Mat_def,0)),'Project Inputs'!$BF$14,99)))</f>
        <v/>
      </c>
      <c r="BV44" s="432" t="str" cm="1">
        <f t="array" ref="BV44">IFERROR(INDEX(tblGWP[],MATCH(1,(tblGWP[Dataset ID]=BU44)*(tblGWP[Material Subcategory]=BF44),0),MATCH(BG44,ls_WHM,0)+5),"confirm")</f>
        <v>confirm</v>
      </c>
      <c r="BW44" s="434" t="str">
        <f t="shared" si="10"/>
        <v>No data</v>
      </c>
      <c r="BX44" s="434" t="str">
        <f t="shared" si="11"/>
        <v>No data</v>
      </c>
      <c r="BY44" s="434" t="str">
        <f t="shared" si="12"/>
        <v>No data</v>
      </c>
      <c r="BZ44" s="434" t="str">
        <f t="shared" si="13"/>
        <v>No data</v>
      </c>
      <c r="CA44" s="434" t="str">
        <f t="shared" si="14"/>
        <v>No data</v>
      </c>
      <c r="CB44" s="434" t="str">
        <f t="shared" si="15"/>
        <v>No data</v>
      </c>
      <c r="CC44" s="434" t="str">
        <f t="shared" si="16"/>
        <v>No data</v>
      </c>
      <c r="CD44" s="434" t="str">
        <f t="shared" si="17"/>
        <v>No data</v>
      </c>
      <c r="CE44" s="434" t="str">
        <f t="shared" si="18"/>
        <v>No data</v>
      </c>
      <c r="CF44" s="434" t="str">
        <f t="shared" si="19"/>
        <v>No data</v>
      </c>
      <c r="CG44" s="434" t="str">
        <f t="shared" si="20"/>
        <v>No data</v>
      </c>
      <c r="CH44" s="434" t="str">
        <f t="shared" si="21"/>
        <v>No data</v>
      </c>
      <c r="CI44" s="435">
        <f t="shared" si="22"/>
        <v>0</v>
      </c>
      <c r="CK44" s="3" t="str">
        <f>_xlfn.LET(_xlpm.x,INDEX(tbl_Mat_def[],MATCH(BF44,ls_Mat_def,0),2),IFERROR(IF(_xlpm.x=0,"No","Yes"),"No"))</f>
        <v>No</v>
      </c>
      <c r="CM44" s="60" t="str">
        <f t="shared" si="23"/>
        <v/>
      </c>
      <c r="CN44" s="60" t="s">
        <v>235</v>
      </c>
      <c r="CO44" s="566" t="str">
        <f>_xlfn.XLOOKUP(CM44,tblGWP[Material Subcategory],tblGWP[Landfill],0)</f>
        <v/>
      </c>
      <c r="CP44" s="436" t="str">
        <f t="shared" si="24"/>
        <v/>
      </c>
      <c r="DD44" s="388">
        <f t="shared" si="29"/>
        <v>0</v>
      </c>
      <c r="DE44" s="22">
        <f t="shared" si="25"/>
        <v>19</v>
      </c>
      <c r="DF44" s="387">
        <f t="shared" si="30"/>
        <v>0</v>
      </c>
      <c r="DG44" s="387">
        <f t="shared" si="32"/>
        <v>0</v>
      </c>
      <c r="DH44" s="22">
        <f t="shared" ca="1" si="26"/>
        <v>0</v>
      </c>
      <c r="DI44">
        <f t="shared" ca="1" si="27"/>
        <v>0</v>
      </c>
    </row>
    <row r="45" spans="1:113" ht="30" hidden="1" customHeight="1" outlineLevel="1">
      <c r="A45" s="22" t="str">
        <f t="shared" si="28"/>
        <v/>
      </c>
      <c r="B45" s="272"/>
      <c r="C45" s="491"/>
      <c r="D45" s="272"/>
      <c r="E45" s="400"/>
      <c r="F45" s="400"/>
      <c r="G45" s="401"/>
      <c r="H45" s="376"/>
      <c r="I45" s="376"/>
      <c r="J45" s="376"/>
      <c r="K45" s="376"/>
      <c r="L45" s="376"/>
      <c r="M45" s="376"/>
      <c r="N45" s="376"/>
      <c r="O45" s="376"/>
      <c r="P45" s="376"/>
      <c r="Q45" s="376"/>
      <c r="R45" s="376"/>
      <c r="S45" s="376"/>
      <c r="T45" s="431">
        <f t="shared" si="3"/>
        <v>0</v>
      </c>
      <c r="U45" s="272"/>
      <c r="BC45" s="432" t="str">
        <f t="shared" si="4"/>
        <v/>
      </c>
      <c r="BD45" s="432" t="str">
        <f t="shared" si="5"/>
        <v/>
      </c>
      <c r="BE45" s="432" t="str">
        <f t="shared" si="6"/>
        <v/>
      </c>
      <c r="BF45" s="432" t="str">
        <f t="shared" si="7"/>
        <v/>
      </c>
      <c r="BG45" s="432" t="str">
        <f t="shared" si="8"/>
        <v/>
      </c>
      <c r="BH45" s="432" t="str">
        <f>_xlfn.LET(_xlpm.x,H45,IF(OR(LEN(_xlpm.x)&lt;1,_xlpm.x=0),"",CONVERT(_xlpm.x,BH7,"kg")))</f>
        <v/>
      </c>
      <c r="BI45" s="432" t="str">
        <f>_xlfn.LET(_xlpm.x,I45,IF(OR(LEN(_xlpm.x)&lt;1,_xlpm.x=0),"",CONVERT(_xlpm.x,BH7,"kg")))</f>
        <v/>
      </c>
      <c r="BJ45" s="432" t="str">
        <f>_xlfn.LET(_xlpm.x,J45,IF(OR(LEN(_xlpm.x)&lt;1,_xlpm.x=0),"",CONVERT(_xlpm.x,BH7,"kg")))</f>
        <v/>
      </c>
      <c r="BK45" s="432" t="str">
        <f>_xlfn.LET(_xlpm.x,K45,IF(OR(LEN(_xlpm.x)&lt;1,_xlpm.x=0),"",CONVERT(_xlpm.x,BH7,"kg")))</f>
        <v/>
      </c>
      <c r="BL45" s="432" t="str">
        <f>_xlfn.LET(_xlpm.x,L45,IF(OR(LEN(_xlpm.x)&lt;1,_xlpm.x=0),"",CONVERT(_xlpm.x,BH7,"kg")))</f>
        <v/>
      </c>
      <c r="BM45" s="432" t="str">
        <f>_xlfn.LET(_xlpm.x,M45,IF(OR(LEN(_xlpm.x)&lt;1,_xlpm.x=0),"",CONVERT(_xlpm.x,BH7,"kg")))</f>
        <v/>
      </c>
      <c r="BN45" s="432" t="str">
        <f>_xlfn.LET(_xlpm.x,N45,IF(OR(LEN(_xlpm.x)&lt;1,_xlpm.x=0),"",CONVERT(_xlpm.x,BH7,"kg")))</f>
        <v/>
      </c>
      <c r="BO45" s="432" t="str">
        <f>_xlfn.LET(_xlpm.x,O45,IF(OR(LEN(_xlpm.x)&lt;1,_xlpm.x=0),"",CONVERT(_xlpm.x,BH7,"kg")))</f>
        <v/>
      </c>
      <c r="BP45" s="432" t="str">
        <f>_xlfn.LET(_xlpm.x,P45,IF(OR(LEN(_xlpm.x)&lt;1,_xlpm.x=0),"",CONVERT(_xlpm.x,BH7,"kg")))</f>
        <v/>
      </c>
      <c r="BQ45" s="432" t="str">
        <f>_xlfn.LET(_xlpm.x,Q45,IF(OR(LEN(_xlpm.x)&lt;1,_xlpm.x=0),"",CONVERT(_xlpm.x,BH7,"kg")))</f>
        <v/>
      </c>
      <c r="BR45" s="432" t="str">
        <f>_xlfn.LET(_xlpm.x,R45,IF(OR(LEN(_xlpm.x)&lt;1,_xlpm.x=0),"",CONVERT(_xlpm.x,BH7,"kg")))</f>
        <v/>
      </c>
      <c r="BS45" s="432" t="str">
        <f>_xlfn.LET(_xlpm.x,S45,IF(OR(LEN(_xlpm.x)&lt;1,_xlpm.x=0),"",CONVERT(_xlpm.x,BH7,"kg")))</f>
        <v/>
      </c>
      <c r="BT45" s="433">
        <f t="shared" si="9"/>
        <v>0</v>
      </c>
      <c r="BU45" s="433" t="str">
        <f>_xlfn.LET(_xlpm.x,BF45,IF(LEN(_xlpm.x)&lt;1,"",IF(ISNUMBER(MATCH(_xlpm.x,ls_Mat_def,0)),'Project Inputs'!$BF$14,99)))</f>
        <v/>
      </c>
      <c r="BV45" s="432" t="str" cm="1">
        <f t="array" ref="BV45">IFERROR(INDEX(tblGWP[],MATCH(1,(tblGWP[Dataset ID]=BU45)*(tblGWP[Material Subcategory]=BF45),0),MATCH(BG45,ls_WHM,0)+5),"confirm")</f>
        <v>confirm</v>
      </c>
      <c r="BW45" s="434" t="str">
        <f t="shared" si="10"/>
        <v>No data</v>
      </c>
      <c r="BX45" s="434" t="str">
        <f t="shared" si="11"/>
        <v>No data</v>
      </c>
      <c r="BY45" s="434" t="str">
        <f t="shared" si="12"/>
        <v>No data</v>
      </c>
      <c r="BZ45" s="434" t="str">
        <f t="shared" si="13"/>
        <v>No data</v>
      </c>
      <c r="CA45" s="434" t="str">
        <f t="shared" si="14"/>
        <v>No data</v>
      </c>
      <c r="CB45" s="434" t="str">
        <f t="shared" si="15"/>
        <v>No data</v>
      </c>
      <c r="CC45" s="434" t="str">
        <f t="shared" si="16"/>
        <v>No data</v>
      </c>
      <c r="CD45" s="434" t="str">
        <f t="shared" si="17"/>
        <v>No data</v>
      </c>
      <c r="CE45" s="434" t="str">
        <f t="shared" si="18"/>
        <v>No data</v>
      </c>
      <c r="CF45" s="434" t="str">
        <f t="shared" si="19"/>
        <v>No data</v>
      </c>
      <c r="CG45" s="434" t="str">
        <f t="shared" si="20"/>
        <v>No data</v>
      </c>
      <c r="CH45" s="434" t="str">
        <f t="shared" si="21"/>
        <v>No data</v>
      </c>
      <c r="CI45" s="435">
        <f t="shared" si="22"/>
        <v>0</v>
      </c>
      <c r="CK45" s="3" t="str">
        <f>_xlfn.LET(_xlpm.x,INDEX(tbl_Mat_def[],MATCH(BF45,ls_Mat_def,0),2),IFERROR(IF(_xlpm.x=0,"No","Yes"),"No"))</f>
        <v>No</v>
      </c>
      <c r="CM45" s="60" t="str">
        <f t="shared" si="23"/>
        <v/>
      </c>
      <c r="CN45" s="60" t="s">
        <v>235</v>
      </c>
      <c r="CO45" s="566" t="str">
        <f>_xlfn.XLOOKUP(CM45,tblGWP[Material Subcategory],tblGWP[Landfill],0)</f>
        <v/>
      </c>
      <c r="CP45" s="436" t="str">
        <f t="shared" si="24"/>
        <v/>
      </c>
      <c r="DD45" s="388">
        <f t="shared" si="29"/>
        <v>0</v>
      </c>
      <c r="DE45" s="22">
        <f t="shared" si="25"/>
        <v>19</v>
      </c>
      <c r="DF45" s="387">
        <f t="shared" si="30"/>
        <v>0</v>
      </c>
      <c r="DG45" s="387">
        <f t="shared" si="32"/>
        <v>0</v>
      </c>
      <c r="DH45" s="22">
        <f t="shared" ca="1" si="26"/>
        <v>0</v>
      </c>
      <c r="DI45">
        <f t="shared" ca="1" si="27"/>
        <v>0</v>
      </c>
    </row>
    <row r="46" spans="1:113" ht="30" hidden="1" customHeight="1" outlineLevel="1">
      <c r="A46" s="22" t="str">
        <f t="shared" si="28"/>
        <v/>
      </c>
      <c r="B46" s="272"/>
      <c r="C46" s="491"/>
      <c r="D46" s="272"/>
      <c r="E46" s="400"/>
      <c r="F46" s="400"/>
      <c r="G46" s="401"/>
      <c r="H46" s="376"/>
      <c r="I46" s="376"/>
      <c r="J46" s="376"/>
      <c r="K46" s="376"/>
      <c r="L46" s="376"/>
      <c r="M46" s="376"/>
      <c r="N46" s="376"/>
      <c r="O46" s="376"/>
      <c r="P46" s="376"/>
      <c r="Q46" s="376"/>
      <c r="R46" s="376"/>
      <c r="S46" s="376"/>
      <c r="T46" s="431">
        <f t="shared" ref="T46:T77" si="33">SUM(H46:S46)</f>
        <v>0</v>
      </c>
      <c r="U46" s="272"/>
      <c r="BC46" s="432" t="str">
        <f t="shared" ref="BC46:BC77" si="34">_xlfn.LET(_xlpm.x,B46,IF(OR(LEN(_xlpm.x)&lt;1,_xlpm.x=0),"",_xlpm.x))</f>
        <v/>
      </c>
      <c r="BD46" s="432" t="str">
        <f t="shared" ref="BD46:BD77" si="35">_xlfn.LET(_xlpm.x,D46,IF(OR(LEN(_xlpm.x)&lt;1,_xlpm.x=0),"",_xlpm.x))</f>
        <v/>
      </c>
      <c r="BE46" s="432" t="str">
        <f t="shared" ref="BE46:BE77" si="36">_xlfn.LET(_xlpm.x,E46,IF(OR(LEN(_xlpm.x)&lt;1,_xlpm.x=0),"",_xlpm.x))</f>
        <v/>
      </c>
      <c r="BF46" s="432" t="str">
        <f t="shared" ref="BF46:BF77" si="37">_xlfn.LET(_xlpm.x,F46,IF(OR(LEN(_xlpm.x)&lt;1,_xlpm.x=0),"",_xlpm.x))</f>
        <v/>
      </c>
      <c r="BG46" s="432" t="str">
        <f t="shared" ref="BG46:BG77" si="38">_xlfn.LET(_xlpm.x,G46,IF(OR(LEN(_xlpm.x)&lt;1,_xlpm.x=0),"",_xlpm.x))</f>
        <v/>
      </c>
      <c r="BH46" s="432" t="str">
        <f>_xlfn.LET(_xlpm.x,H46,IF(OR(LEN(_xlpm.x)&lt;1,_xlpm.x=0),"",CONVERT(_xlpm.x,BH7,"kg")))</f>
        <v/>
      </c>
      <c r="BI46" s="432" t="str">
        <f>_xlfn.LET(_xlpm.x,I46,IF(OR(LEN(_xlpm.x)&lt;1,_xlpm.x=0),"",CONVERT(_xlpm.x,BH7,"kg")))</f>
        <v/>
      </c>
      <c r="BJ46" s="432" t="str">
        <f>_xlfn.LET(_xlpm.x,J46,IF(OR(LEN(_xlpm.x)&lt;1,_xlpm.x=0),"",CONVERT(_xlpm.x,BH7,"kg")))</f>
        <v/>
      </c>
      <c r="BK46" s="432" t="str">
        <f>_xlfn.LET(_xlpm.x,K46,IF(OR(LEN(_xlpm.x)&lt;1,_xlpm.x=0),"",CONVERT(_xlpm.x,BH7,"kg")))</f>
        <v/>
      </c>
      <c r="BL46" s="432" t="str">
        <f>_xlfn.LET(_xlpm.x,L46,IF(OR(LEN(_xlpm.x)&lt;1,_xlpm.x=0),"",CONVERT(_xlpm.x,BH7,"kg")))</f>
        <v/>
      </c>
      <c r="BM46" s="432" t="str">
        <f>_xlfn.LET(_xlpm.x,M46,IF(OR(LEN(_xlpm.x)&lt;1,_xlpm.x=0),"",CONVERT(_xlpm.x,BH7,"kg")))</f>
        <v/>
      </c>
      <c r="BN46" s="432" t="str">
        <f>_xlfn.LET(_xlpm.x,N46,IF(OR(LEN(_xlpm.x)&lt;1,_xlpm.x=0),"",CONVERT(_xlpm.x,BH7,"kg")))</f>
        <v/>
      </c>
      <c r="BO46" s="432" t="str">
        <f>_xlfn.LET(_xlpm.x,O46,IF(OR(LEN(_xlpm.x)&lt;1,_xlpm.x=0),"",CONVERT(_xlpm.x,BH7,"kg")))</f>
        <v/>
      </c>
      <c r="BP46" s="432" t="str">
        <f>_xlfn.LET(_xlpm.x,P46,IF(OR(LEN(_xlpm.x)&lt;1,_xlpm.x=0),"",CONVERT(_xlpm.x,BH7,"kg")))</f>
        <v/>
      </c>
      <c r="BQ46" s="432" t="str">
        <f>_xlfn.LET(_xlpm.x,Q46,IF(OR(LEN(_xlpm.x)&lt;1,_xlpm.x=0),"",CONVERT(_xlpm.x,BH7,"kg")))</f>
        <v/>
      </c>
      <c r="BR46" s="432" t="str">
        <f>_xlfn.LET(_xlpm.x,R46,IF(OR(LEN(_xlpm.x)&lt;1,_xlpm.x=0),"",CONVERT(_xlpm.x,BH7,"kg")))</f>
        <v/>
      </c>
      <c r="BS46" s="432" t="str">
        <f>_xlfn.LET(_xlpm.x,S46,IF(OR(LEN(_xlpm.x)&lt;1,_xlpm.x=0),"",CONVERT(_xlpm.x,BH7,"kg")))</f>
        <v/>
      </c>
      <c r="BT46" s="433">
        <f t="shared" ref="BT46:BT77" si="39">SUM(BH46:BS46)</f>
        <v>0</v>
      </c>
      <c r="BU46" s="433" t="str">
        <f>_xlfn.LET(_xlpm.x,BF46,IF(LEN(_xlpm.x)&lt;1,"",IF(ISNUMBER(MATCH(_xlpm.x,ls_Mat_def,0)),'Project Inputs'!$BF$14,99)))</f>
        <v/>
      </c>
      <c r="BV46" s="432" t="str" cm="1">
        <f t="array" ref="BV46">IFERROR(INDEX(tblGWP[],MATCH(1,(tblGWP[Dataset ID]=BU46)*(tblGWP[Material Subcategory]=BF46),0),MATCH(BG46,ls_WHM,0)+5),"confirm")</f>
        <v>confirm</v>
      </c>
      <c r="BW46" s="434" t="str">
        <f t="shared" ref="BW46:BW70" si="40">IFERROR(BH46*$BV46,"No data")</f>
        <v>No data</v>
      </c>
      <c r="BX46" s="434" t="str">
        <f t="shared" ref="BX46:BX70" si="41">IFERROR(BI46*$BV46,"No data")</f>
        <v>No data</v>
      </c>
      <c r="BY46" s="434" t="str">
        <f t="shared" ref="BY46:BY70" si="42">IFERROR(BJ46*$BV46,"No data")</f>
        <v>No data</v>
      </c>
      <c r="BZ46" s="434" t="str">
        <f t="shared" ref="BZ46:BZ70" si="43">IFERROR(BK46*$BV46,"No data")</f>
        <v>No data</v>
      </c>
      <c r="CA46" s="434" t="str">
        <f t="shared" ref="CA46:CA70" si="44">IFERROR(BL46*$BV46,"No data")</f>
        <v>No data</v>
      </c>
      <c r="CB46" s="434" t="str">
        <f t="shared" ref="CB46:CB70" si="45">IFERROR(BM46*$BV46,"No data")</f>
        <v>No data</v>
      </c>
      <c r="CC46" s="434" t="str">
        <f t="shared" ref="CC46:CC70" si="46">IFERROR(BN46*$BV46,"No data")</f>
        <v>No data</v>
      </c>
      <c r="CD46" s="434" t="str">
        <f t="shared" ref="CD46:CD70" si="47">IFERROR(BO46*$BV46,"No data")</f>
        <v>No data</v>
      </c>
      <c r="CE46" s="434" t="str">
        <f t="shared" ref="CE46:CE70" si="48">IFERROR(BP46*$BV46,"No data")</f>
        <v>No data</v>
      </c>
      <c r="CF46" s="434" t="str">
        <f t="shared" ref="CF46:CF70" si="49">IFERROR(BQ46*$BV46,"No data")</f>
        <v>No data</v>
      </c>
      <c r="CG46" s="434" t="str">
        <f t="shared" ref="CG46:CG70" si="50">IFERROR(BR46*$BV46,"No data")</f>
        <v>No data</v>
      </c>
      <c r="CH46" s="434" t="str">
        <f t="shared" ref="CH46:CH70" si="51">IFERROR(BS46*$BV46,"No data")</f>
        <v>No data</v>
      </c>
      <c r="CI46" s="435">
        <f t="shared" ref="CI46:CI77" si="52">SUM(BW46:CH46)</f>
        <v>0</v>
      </c>
      <c r="CK46" s="3" t="str">
        <f>_xlfn.LET(_xlpm.x,INDEX(tbl_Mat_def[],MATCH(BF46,ls_Mat_def,0),2),IFERROR(IF(_xlpm.x=0,"No","Yes"),"No"))</f>
        <v>No</v>
      </c>
      <c r="CM46" s="60" t="str">
        <f t="shared" ref="CM46:CM77" si="53">BF46</f>
        <v/>
      </c>
      <c r="CN46" s="60" t="s">
        <v>235</v>
      </c>
      <c r="CO46" s="566" t="str">
        <f>_xlfn.XLOOKUP(CM46,tblGWP[Material Subcategory],tblGWP[Landfill],0)</f>
        <v/>
      </c>
      <c r="CP46" s="436" t="str">
        <f t="shared" ref="CP46:CP77" si="54">IFERROR($BT46*CO46,"")</f>
        <v/>
      </c>
      <c r="DD46" s="388">
        <f t="shared" si="29"/>
        <v>0</v>
      </c>
      <c r="DE46" s="22">
        <f t="shared" ref="DE46:DE77" si="55">COUNTBLANK(B46:U46)</f>
        <v>19</v>
      </c>
      <c r="DF46" s="387">
        <f t="shared" si="30"/>
        <v>0</v>
      </c>
      <c r="DG46" s="387">
        <f t="shared" ref="DG46:DG77" si="56">_xlfn.LET(_xlpm.x,DE46,_xlpm.y,B46,_xlpm.z,E46,_xlpm.m,F46,_xlpm.n,G46,_xlpm.o,COUNTBLANK(H46:S46),_xlpm.p,C46,IF(_xlpm.x=19,0,
IF(AND(LEN(_xlpm.y)&gt;0,LEN(_xlpm.z)&gt;0,LEN(_xlpm.m)&gt;0,LEN(_xlpm.n)&gt;0,_xlpm.o&lt;12),0,1)))</f>
        <v>0</v>
      </c>
      <c r="DH46" s="22">
        <f t="shared" ref="DH46:DH77" ca="1" si="57">IF(DE46=19,0,IF(ISNUMBER(MATCH(F46,INDIRECT(INDEX(ls_Subcat_options,MATCH(E46,ls_Mat_Cat,0))),0)),0,1))</f>
        <v>0</v>
      </c>
      <c r="DI46">
        <f t="shared" ref="DI46:DI77" ca="1" si="58">IF(DE46=19,0,IF(ISNUMBER(MATCH(G46,INDIRECT(INDEX(ls_WHM_options,MATCH(F46,ls_Mat,0))),0)),0,1))</f>
        <v>0</v>
      </c>
    </row>
    <row r="47" spans="1:113" ht="30" hidden="1" customHeight="1" outlineLevel="1">
      <c r="A47" s="22" t="str">
        <f t="shared" si="28"/>
        <v/>
      </c>
      <c r="B47" s="272"/>
      <c r="C47" s="491"/>
      <c r="D47" s="272"/>
      <c r="E47" s="400"/>
      <c r="F47" s="400"/>
      <c r="G47" s="401"/>
      <c r="H47" s="376"/>
      <c r="I47" s="376"/>
      <c r="J47" s="376"/>
      <c r="K47" s="376"/>
      <c r="L47" s="376"/>
      <c r="M47" s="376"/>
      <c r="N47" s="376"/>
      <c r="O47" s="376"/>
      <c r="P47" s="376"/>
      <c r="Q47" s="376"/>
      <c r="R47" s="376"/>
      <c r="S47" s="376"/>
      <c r="T47" s="431">
        <f t="shared" si="33"/>
        <v>0</v>
      </c>
      <c r="U47" s="272"/>
      <c r="BC47" s="432" t="str">
        <f t="shared" si="34"/>
        <v/>
      </c>
      <c r="BD47" s="432" t="str">
        <f t="shared" si="35"/>
        <v/>
      </c>
      <c r="BE47" s="432" t="str">
        <f t="shared" si="36"/>
        <v/>
      </c>
      <c r="BF47" s="432" t="str">
        <f t="shared" si="37"/>
        <v/>
      </c>
      <c r="BG47" s="432" t="str">
        <f t="shared" si="38"/>
        <v/>
      </c>
      <c r="BH47" s="432" t="str">
        <f>_xlfn.LET(_xlpm.x,H47,IF(OR(LEN(_xlpm.x)&lt;1,_xlpm.x=0),"",CONVERT(_xlpm.x,BH7,"kg")))</f>
        <v/>
      </c>
      <c r="BI47" s="432" t="str">
        <f>_xlfn.LET(_xlpm.x,I47,IF(OR(LEN(_xlpm.x)&lt;1,_xlpm.x=0),"",CONVERT(_xlpm.x,BH7,"kg")))</f>
        <v/>
      </c>
      <c r="BJ47" s="432" t="str">
        <f>_xlfn.LET(_xlpm.x,J47,IF(OR(LEN(_xlpm.x)&lt;1,_xlpm.x=0),"",CONVERT(_xlpm.x,BH7,"kg")))</f>
        <v/>
      </c>
      <c r="BK47" s="432" t="str">
        <f>_xlfn.LET(_xlpm.x,K47,IF(OR(LEN(_xlpm.x)&lt;1,_xlpm.x=0),"",CONVERT(_xlpm.x,BH7,"kg")))</f>
        <v/>
      </c>
      <c r="BL47" s="432" t="str">
        <f>_xlfn.LET(_xlpm.x,L47,IF(OR(LEN(_xlpm.x)&lt;1,_xlpm.x=0),"",CONVERT(_xlpm.x,BH7,"kg")))</f>
        <v/>
      </c>
      <c r="BM47" s="432" t="str">
        <f>_xlfn.LET(_xlpm.x,M47,IF(OR(LEN(_xlpm.x)&lt;1,_xlpm.x=0),"",CONVERT(_xlpm.x,BH7,"kg")))</f>
        <v/>
      </c>
      <c r="BN47" s="432" t="str">
        <f>_xlfn.LET(_xlpm.x,N47,IF(OR(LEN(_xlpm.x)&lt;1,_xlpm.x=0),"",CONVERT(_xlpm.x,BH7,"kg")))</f>
        <v/>
      </c>
      <c r="BO47" s="432" t="str">
        <f>_xlfn.LET(_xlpm.x,O47,IF(OR(LEN(_xlpm.x)&lt;1,_xlpm.x=0),"",CONVERT(_xlpm.x,BH7,"kg")))</f>
        <v/>
      </c>
      <c r="BP47" s="432" t="str">
        <f>_xlfn.LET(_xlpm.x,P47,IF(OR(LEN(_xlpm.x)&lt;1,_xlpm.x=0),"",CONVERT(_xlpm.x,BH7,"kg")))</f>
        <v/>
      </c>
      <c r="BQ47" s="432" t="str">
        <f>_xlfn.LET(_xlpm.x,Q47,IF(OR(LEN(_xlpm.x)&lt;1,_xlpm.x=0),"",CONVERT(_xlpm.x,BH7,"kg")))</f>
        <v/>
      </c>
      <c r="BR47" s="432" t="str">
        <f>_xlfn.LET(_xlpm.x,R47,IF(OR(LEN(_xlpm.x)&lt;1,_xlpm.x=0),"",CONVERT(_xlpm.x,BH7,"kg")))</f>
        <v/>
      </c>
      <c r="BS47" s="432" t="str">
        <f>_xlfn.LET(_xlpm.x,S47,IF(OR(LEN(_xlpm.x)&lt;1,_xlpm.x=0),"",CONVERT(_xlpm.x,BH7,"kg")))</f>
        <v/>
      </c>
      <c r="BT47" s="433">
        <f t="shared" si="39"/>
        <v>0</v>
      </c>
      <c r="BU47" s="433" t="str">
        <f>_xlfn.LET(_xlpm.x,BF47,IF(LEN(_xlpm.x)&lt;1,"",IF(ISNUMBER(MATCH(_xlpm.x,ls_Mat_def,0)),'Project Inputs'!$BF$14,99)))</f>
        <v/>
      </c>
      <c r="BV47" s="432" t="str" cm="1">
        <f t="array" ref="BV47">IFERROR(INDEX(tblGWP[],MATCH(1,(tblGWP[Dataset ID]=BU47)*(tblGWP[Material Subcategory]=BF47),0),MATCH(BG47,ls_WHM,0)+5),"confirm")</f>
        <v>confirm</v>
      </c>
      <c r="BW47" s="434" t="str">
        <f t="shared" si="40"/>
        <v>No data</v>
      </c>
      <c r="BX47" s="434" t="str">
        <f t="shared" si="41"/>
        <v>No data</v>
      </c>
      <c r="BY47" s="434" t="str">
        <f t="shared" si="42"/>
        <v>No data</v>
      </c>
      <c r="BZ47" s="434" t="str">
        <f t="shared" si="43"/>
        <v>No data</v>
      </c>
      <c r="CA47" s="434" t="str">
        <f t="shared" si="44"/>
        <v>No data</v>
      </c>
      <c r="CB47" s="434" t="str">
        <f t="shared" si="45"/>
        <v>No data</v>
      </c>
      <c r="CC47" s="434" t="str">
        <f t="shared" si="46"/>
        <v>No data</v>
      </c>
      <c r="CD47" s="434" t="str">
        <f t="shared" si="47"/>
        <v>No data</v>
      </c>
      <c r="CE47" s="434" t="str">
        <f t="shared" si="48"/>
        <v>No data</v>
      </c>
      <c r="CF47" s="434" t="str">
        <f t="shared" si="49"/>
        <v>No data</v>
      </c>
      <c r="CG47" s="434" t="str">
        <f t="shared" si="50"/>
        <v>No data</v>
      </c>
      <c r="CH47" s="434" t="str">
        <f t="shared" si="51"/>
        <v>No data</v>
      </c>
      <c r="CI47" s="435">
        <f t="shared" si="52"/>
        <v>0</v>
      </c>
      <c r="CK47" s="3" t="str">
        <f>_xlfn.LET(_xlpm.x,INDEX(tbl_Mat_def[],MATCH(BF47,ls_Mat_def,0),2),IFERROR(IF(_xlpm.x=0,"No","Yes"),"No"))</f>
        <v>No</v>
      </c>
      <c r="CM47" s="60" t="str">
        <f t="shared" si="53"/>
        <v/>
      </c>
      <c r="CN47" s="60" t="s">
        <v>235</v>
      </c>
      <c r="CO47" s="566" t="str">
        <f>_xlfn.XLOOKUP(CM47,tblGWP[Material Subcategory],tblGWP[Landfill],0)</f>
        <v/>
      </c>
      <c r="CP47" s="436" t="str">
        <f t="shared" si="54"/>
        <v/>
      </c>
      <c r="DD47" s="388">
        <f t="shared" si="29"/>
        <v>0</v>
      </c>
      <c r="DE47" s="22">
        <f t="shared" si="55"/>
        <v>19</v>
      </c>
      <c r="DF47" s="387">
        <f t="shared" si="30"/>
        <v>0</v>
      </c>
      <c r="DG47" s="387">
        <f t="shared" si="56"/>
        <v>0</v>
      </c>
      <c r="DH47" s="22">
        <f t="shared" ca="1" si="57"/>
        <v>0</v>
      </c>
      <c r="DI47">
        <f t="shared" ca="1" si="58"/>
        <v>0</v>
      </c>
    </row>
    <row r="48" spans="1:113" ht="30" hidden="1" customHeight="1" outlineLevel="1">
      <c r="A48" s="22" t="str">
        <f t="shared" si="28"/>
        <v/>
      </c>
      <c r="B48" s="272"/>
      <c r="C48" s="491"/>
      <c r="D48" s="272"/>
      <c r="E48" s="400"/>
      <c r="F48" s="400"/>
      <c r="G48" s="401"/>
      <c r="H48" s="376"/>
      <c r="I48" s="376"/>
      <c r="J48" s="376"/>
      <c r="K48" s="376"/>
      <c r="L48" s="376"/>
      <c r="M48" s="376"/>
      <c r="N48" s="376"/>
      <c r="O48" s="376"/>
      <c r="P48" s="376"/>
      <c r="Q48" s="376"/>
      <c r="R48" s="376"/>
      <c r="S48" s="376"/>
      <c r="T48" s="431">
        <f t="shared" si="33"/>
        <v>0</v>
      </c>
      <c r="U48" s="272"/>
      <c r="BC48" s="432" t="str">
        <f t="shared" si="34"/>
        <v/>
      </c>
      <c r="BD48" s="432" t="str">
        <f t="shared" si="35"/>
        <v/>
      </c>
      <c r="BE48" s="432" t="str">
        <f t="shared" si="36"/>
        <v/>
      </c>
      <c r="BF48" s="432" t="str">
        <f t="shared" si="37"/>
        <v/>
      </c>
      <c r="BG48" s="432" t="str">
        <f t="shared" si="38"/>
        <v/>
      </c>
      <c r="BH48" s="432" t="str">
        <f>_xlfn.LET(_xlpm.x,H48,IF(OR(LEN(_xlpm.x)&lt;1,_xlpm.x=0),"",CONVERT(_xlpm.x,BH7,"kg")))</f>
        <v/>
      </c>
      <c r="BI48" s="432" t="str">
        <f>_xlfn.LET(_xlpm.x,I48,IF(OR(LEN(_xlpm.x)&lt;1,_xlpm.x=0),"",CONVERT(_xlpm.x,BH7,"kg")))</f>
        <v/>
      </c>
      <c r="BJ48" s="432" t="str">
        <f>_xlfn.LET(_xlpm.x,J48,IF(OR(LEN(_xlpm.x)&lt;1,_xlpm.x=0),"",CONVERT(_xlpm.x,BH7,"kg")))</f>
        <v/>
      </c>
      <c r="BK48" s="432" t="str">
        <f>_xlfn.LET(_xlpm.x,K48,IF(OR(LEN(_xlpm.x)&lt;1,_xlpm.x=0),"",CONVERT(_xlpm.x,BH7,"kg")))</f>
        <v/>
      </c>
      <c r="BL48" s="432" t="str">
        <f>_xlfn.LET(_xlpm.x,L48,IF(OR(LEN(_xlpm.x)&lt;1,_xlpm.x=0),"",CONVERT(_xlpm.x,BH7,"kg")))</f>
        <v/>
      </c>
      <c r="BM48" s="432" t="str">
        <f>_xlfn.LET(_xlpm.x,M48,IF(OR(LEN(_xlpm.x)&lt;1,_xlpm.x=0),"",CONVERT(_xlpm.x,BH7,"kg")))</f>
        <v/>
      </c>
      <c r="BN48" s="432" t="str">
        <f>_xlfn.LET(_xlpm.x,N48,IF(OR(LEN(_xlpm.x)&lt;1,_xlpm.x=0),"",CONVERT(_xlpm.x,BH7,"kg")))</f>
        <v/>
      </c>
      <c r="BO48" s="432" t="str">
        <f>_xlfn.LET(_xlpm.x,O48,IF(OR(LEN(_xlpm.x)&lt;1,_xlpm.x=0),"",CONVERT(_xlpm.x,BH7,"kg")))</f>
        <v/>
      </c>
      <c r="BP48" s="432" t="str">
        <f>_xlfn.LET(_xlpm.x,P48,IF(OR(LEN(_xlpm.x)&lt;1,_xlpm.x=0),"",CONVERT(_xlpm.x,BH7,"kg")))</f>
        <v/>
      </c>
      <c r="BQ48" s="432" t="str">
        <f>_xlfn.LET(_xlpm.x,Q48,IF(OR(LEN(_xlpm.x)&lt;1,_xlpm.x=0),"",CONVERT(_xlpm.x,BH7,"kg")))</f>
        <v/>
      </c>
      <c r="BR48" s="432" t="str">
        <f>_xlfn.LET(_xlpm.x,R48,IF(OR(LEN(_xlpm.x)&lt;1,_xlpm.x=0),"",CONVERT(_xlpm.x,BH7,"kg")))</f>
        <v/>
      </c>
      <c r="BS48" s="432" t="str">
        <f>_xlfn.LET(_xlpm.x,S48,IF(OR(LEN(_xlpm.x)&lt;1,_xlpm.x=0),"",CONVERT(_xlpm.x,BH7,"kg")))</f>
        <v/>
      </c>
      <c r="BT48" s="433">
        <f t="shared" si="39"/>
        <v>0</v>
      </c>
      <c r="BU48" s="433" t="str">
        <f>_xlfn.LET(_xlpm.x,BF48,IF(LEN(_xlpm.x)&lt;1,"",IF(ISNUMBER(MATCH(_xlpm.x,ls_Mat_def,0)),'Project Inputs'!$BF$14,99)))</f>
        <v/>
      </c>
      <c r="BV48" s="432" t="str" cm="1">
        <f t="array" ref="BV48">IFERROR(INDEX(tblGWP[],MATCH(1,(tblGWP[Dataset ID]=BU48)*(tblGWP[Material Subcategory]=BF48),0),MATCH(BG48,ls_WHM,0)+5),"confirm")</f>
        <v>confirm</v>
      </c>
      <c r="BW48" s="434" t="str">
        <f t="shared" si="40"/>
        <v>No data</v>
      </c>
      <c r="BX48" s="434" t="str">
        <f t="shared" si="41"/>
        <v>No data</v>
      </c>
      <c r="BY48" s="434" t="str">
        <f t="shared" si="42"/>
        <v>No data</v>
      </c>
      <c r="BZ48" s="434" t="str">
        <f t="shared" si="43"/>
        <v>No data</v>
      </c>
      <c r="CA48" s="434" t="str">
        <f t="shared" si="44"/>
        <v>No data</v>
      </c>
      <c r="CB48" s="434" t="str">
        <f t="shared" si="45"/>
        <v>No data</v>
      </c>
      <c r="CC48" s="434" t="str">
        <f t="shared" si="46"/>
        <v>No data</v>
      </c>
      <c r="CD48" s="434" t="str">
        <f t="shared" si="47"/>
        <v>No data</v>
      </c>
      <c r="CE48" s="434" t="str">
        <f t="shared" si="48"/>
        <v>No data</v>
      </c>
      <c r="CF48" s="434" t="str">
        <f t="shared" si="49"/>
        <v>No data</v>
      </c>
      <c r="CG48" s="434" t="str">
        <f t="shared" si="50"/>
        <v>No data</v>
      </c>
      <c r="CH48" s="434" t="str">
        <f t="shared" si="51"/>
        <v>No data</v>
      </c>
      <c r="CI48" s="435">
        <f t="shared" si="52"/>
        <v>0</v>
      </c>
      <c r="CK48" s="3" t="str">
        <f>_xlfn.LET(_xlpm.x,INDEX(tbl_Mat_def[],MATCH(BF48,ls_Mat_def,0),2),IFERROR(IF(_xlpm.x=0,"No","Yes"),"No"))</f>
        <v>No</v>
      </c>
      <c r="CM48" s="60" t="str">
        <f t="shared" si="53"/>
        <v/>
      </c>
      <c r="CN48" s="60" t="s">
        <v>235</v>
      </c>
      <c r="CO48" s="566" t="str">
        <f>_xlfn.XLOOKUP(CM48,tblGWP[Material Subcategory],tblGWP[Landfill],0)</f>
        <v/>
      </c>
      <c r="CP48" s="436" t="str">
        <f t="shared" si="54"/>
        <v/>
      </c>
      <c r="DD48" s="388">
        <f t="shared" si="29"/>
        <v>0</v>
      </c>
      <c r="DE48" s="22">
        <f t="shared" si="55"/>
        <v>19</v>
      </c>
      <c r="DF48" s="387">
        <f t="shared" si="30"/>
        <v>0</v>
      </c>
      <c r="DG48" s="387">
        <f t="shared" si="56"/>
        <v>0</v>
      </c>
      <c r="DH48" s="22">
        <f t="shared" ca="1" si="57"/>
        <v>0</v>
      </c>
      <c r="DI48">
        <f t="shared" ca="1" si="58"/>
        <v>0</v>
      </c>
    </row>
    <row r="49" spans="1:113" ht="30" hidden="1" customHeight="1" outlineLevel="1">
      <c r="A49" s="22" t="str">
        <f t="shared" si="28"/>
        <v/>
      </c>
      <c r="B49" s="272"/>
      <c r="C49" s="491"/>
      <c r="D49" s="272"/>
      <c r="E49" s="400"/>
      <c r="F49" s="400"/>
      <c r="G49" s="401"/>
      <c r="H49" s="376"/>
      <c r="I49" s="376"/>
      <c r="J49" s="376"/>
      <c r="K49" s="376"/>
      <c r="L49" s="376"/>
      <c r="M49" s="376"/>
      <c r="N49" s="376"/>
      <c r="O49" s="376"/>
      <c r="P49" s="376"/>
      <c r="Q49" s="376"/>
      <c r="R49" s="376"/>
      <c r="S49" s="376"/>
      <c r="T49" s="431">
        <f t="shared" si="33"/>
        <v>0</v>
      </c>
      <c r="U49" s="272"/>
      <c r="BC49" s="432" t="str">
        <f t="shared" si="34"/>
        <v/>
      </c>
      <c r="BD49" s="432" t="str">
        <f t="shared" si="35"/>
        <v/>
      </c>
      <c r="BE49" s="432" t="str">
        <f t="shared" si="36"/>
        <v/>
      </c>
      <c r="BF49" s="432" t="str">
        <f t="shared" si="37"/>
        <v/>
      </c>
      <c r="BG49" s="432" t="str">
        <f t="shared" si="38"/>
        <v/>
      </c>
      <c r="BH49" s="432" t="str">
        <f>_xlfn.LET(_xlpm.x,H49,IF(OR(LEN(_xlpm.x)&lt;1,_xlpm.x=0),"",CONVERT(_xlpm.x,BH7,"kg")))</f>
        <v/>
      </c>
      <c r="BI49" s="432" t="str">
        <f>_xlfn.LET(_xlpm.x,I49,IF(OR(LEN(_xlpm.x)&lt;1,_xlpm.x=0),"",CONVERT(_xlpm.x,BH7,"kg")))</f>
        <v/>
      </c>
      <c r="BJ49" s="432" t="str">
        <f>_xlfn.LET(_xlpm.x,J49,IF(OR(LEN(_xlpm.x)&lt;1,_xlpm.x=0),"",CONVERT(_xlpm.x,BH7,"kg")))</f>
        <v/>
      </c>
      <c r="BK49" s="432" t="str">
        <f>_xlfn.LET(_xlpm.x,K49,IF(OR(LEN(_xlpm.x)&lt;1,_xlpm.x=0),"",CONVERT(_xlpm.x,BH7,"kg")))</f>
        <v/>
      </c>
      <c r="BL49" s="432" t="str">
        <f>_xlfn.LET(_xlpm.x,L49,IF(OR(LEN(_xlpm.x)&lt;1,_xlpm.x=0),"",CONVERT(_xlpm.x,BH7,"kg")))</f>
        <v/>
      </c>
      <c r="BM49" s="432" t="str">
        <f>_xlfn.LET(_xlpm.x,M49,IF(OR(LEN(_xlpm.x)&lt;1,_xlpm.x=0),"",CONVERT(_xlpm.x,BH7,"kg")))</f>
        <v/>
      </c>
      <c r="BN49" s="432" t="str">
        <f>_xlfn.LET(_xlpm.x,N49,IF(OR(LEN(_xlpm.x)&lt;1,_xlpm.x=0),"",CONVERT(_xlpm.x,BH7,"kg")))</f>
        <v/>
      </c>
      <c r="BO49" s="432" t="str">
        <f>_xlfn.LET(_xlpm.x,O49,IF(OR(LEN(_xlpm.x)&lt;1,_xlpm.x=0),"",CONVERT(_xlpm.x,BH7,"kg")))</f>
        <v/>
      </c>
      <c r="BP49" s="432" t="str">
        <f>_xlfn.LET(_xlpm.x,P49,IF(OR(LEN(_xlpm.x)&lt;1,_xlpm.x=0),"",CONVERT(_xlpm.x,BH7,"kg")))</f>
        <v/>
      </c>
      <c r="BQ49" s="432" t="str">
        <f>_xlfn.LET(_xlpm.x,Q49,IF(OR(LEN(_xlpm.x)&lt;1,_xlpm.x=0),"",CONVERT(_xlpm.x,BH7,"kg")))</f>
        <v/>
      </c>
      <c r="BR49" s="432" t="str">
        <f>_xlfn.LET(_xlpm.x,R49,IF(OR(LEN(_xlpm.x)&lt;1,_xlpm.x=0),"",CONVERT(_xlpm.x,BH7,"kg")))</f>
        <v/>
      </c>
      <c r="BS49" s="432" t="str">
        <f>_xlfn.LET(_xlpm.x,S49,IF(OR(LEN(_xlpm.x)&lt;1,_xlpm.x=0),"",CONVERT(_xlpm.x,BH7,"kg")))</f>
        <v/>
      </c>
      <c r="BT49" s="433">
        <f t="shared" si="39"/>
        <v>0</v>
      </c>
      <c r="BU49" s="433" t="str">
        <f>_xlfn.LET(_xlpm.x,BF49,IF(LEN(_xlpm.x)&lt;1,"",IF(ISNUMBER(MATCH(_xlpm.x,ls_Mat_def,0)),'Project Inputs'!$BF$14,99)))</f>
        <v/>
      </c>
      <c r="BV49" s="432" t="str" cm="1">
        <f t="array" ref="BV49">IFERROR(INDEX(tblGWP[],MATCH(1,(tblGWP[Dataset ID]=BU49)*(tblGWP[Material Subcategory]=BF49),0),MATCH(BG49,ls_WHM,0)+5),"confirm")</f>
        <v>confirm</v>
      </c>
      <c r="BW49" s="434" t="str">
        <f t="shared" si="40"/>
        <v>No data</v>
      </c>
      <c r="BX49" s="434" t="str">
        <f t="shared" si="41"/>
        <v>No data</v>
      </c>
      <c r="BY49" s="434" t="str">
        <f t="shared" si="42"/>
        <v>No data</v>
      </c>
      <c r="BZ49" s="434" t="str">
        <f t="shared" si="43"/>
        <v>No data</v>
      </c>
      <c r="CA49" s="434" t="str">
        <f t="shared" si="44"/>
        <v>No data</v>
      </c>
      <c r="CB49" s="434" t="str">
        <f t="shared" si="45"/>
        <v>No data</v>
      </c>
      <c r="CC49" s="434" t="str">
        <f t="shared" si="46"/>
        <v>No data</v>
      </c>
      <c r="CD49" s="434" t="str">
        <f t="shared" si="47"/>
        <v>No data</v>
      </c>
      <c r="CE49" s="434" t="str">
        <f t="shared" si="48"/>
        <v>No data</v>
      </c>
      <c r="CF49" s="434" t="str">
        <f t="shared" si="49"/>
        <v>No data</v>
      </c>
      <c r="CG49" s="434" t="str">
        <f t="shared" si="50"/>
        <v>No data</v>
      </c>
      <c r="CH49" s="434" t="str">
        <f t="shared" si="51"/>
        <v>No data</v>
      </c>
      <c r="CI49" s="435">
        <f t="shared" si="52"/>
        <v>0</v>
      </c>
      <c r="CK49" s="3" t="str">
        <f>_xlfn.LET(_xlpm.x,INDEX(tbl_Mat_def[],MATCH(BF49,ls_Mat_def,0),2),IFERROR(IF(_xlpm.x=0,"No","Yes"),"No"))</f>
        <v>No</v>
      </c>
      <c r="CM49" s="60" t="str">
        <f t="shared" si="53"/>
        <v/>
      </c>
      <c r="CN49" s="60" t="s">
        <v>235</v>
      </c>
      <c r="CO49" s="566" t="str">
        <f>_xlfn.XLOOKUP(CM49,tblGWP[Material Subcategory],tblGWP[Landfill],0)</f>
        <v/>
      </c>
      <c r="CP49" s="436" t="str">
        <f t="shared" si="54"/>
        <v/>
      </c>
      <c r="DD49" s="388">
        <f t="shared" si="29"/>
        <v>0</v>
      </c>
      <c r="DE49" s="22">
        <f t="shared" si="55"/>
        <v>19</v>
      </c>
      <c r="DF49" s="387">
        <f t="shared" si="30"/>
        <v>0</v>
      </c>
      <c r="DG49" s="387">
        <f t="shared" si="56"/>
        <v>0</v>
      </c>
      <c r="DH49" s="22">
        <f t="shared" ca="1" si="57"/>
        <v>0</v>
      </c>
      <c r="DI49">
        <f t="shared" ca="1" si="58"/>
        <v>0</v>
      </c>
    </row>
    <row r="50" spans="1:113" ht="30" hidden="1" customHeight="1" outlineLevel="1">
      <c r="A50" s="22" t="str">
        <f t="shared" si="28"/>
        <v/>
      </c>
      <c r="B50" s="272"/>
      <c r="C50" s="491"/>
      <c r="D50" s="272"/>
      <c r="E50" s="400"/>
      <c r="F50" s="400"/>
      <c r="G50" s="401"/>
      <c r="H50" s="376"/>
      <c r="I50" s="376"/>
      <c r="J50" s="376"/>
      <c r="K50" s="376"/>
      <c r="L50" s="376"/>
      <c r="M50" s="376"/>
      <c r="N50" s="376"/>
      <c r="O50" s="376"/>
      <c r="P50" s="376"/>
      <c r="Q50" s="376"/>
      <c r="R50" s="376"/>
      <c r="S50" s="376"/>
      <c r="T50" s="431">
        <f t="shared" si="33"/>
        <v>0</v>
      </c>
      <c r="U50" s="272"/>
      <c r="BC50" s="432" t="str">
        <f t="shared" si="34"/>
        <v/>
      </c>
      <c r="BD50" s="432" t="str">
        <f t="shared" si="35"/>
        <v/>
      </c>
      <c r="BE50" s="432" t="str">
        <f t="shared" si="36"/>
        <v/>
      </c>
      <c r="BF50" s="432" t="str">
        <f t="shared" si="37"/>
        <v/>
      </c>
      <c r="BG50" s="432" t="str">
        <f t="shared" si="38"/>
        <v/>
      </c>
      <c r="BH50" s="432" t="str">
        <f>_xlfn.LET(_xlpm.x,H50,IF(OR(LEN(_xlpm.x)&lt;1,_xlpm.x=0),"",CONVERT(_xlpm.x,BH7,"kg")))</f>
        <v/>
      </c>
      <c r="BI50" s="432" t="str">
        <f>_xlfn.LET(_xlpm.x,I50,IF(OR(LEN(_xlpm.x)&lt;1,_xlpm.x=0),"",CONVERT(_xlpm.x,BH7,"kg")))</f>
        <v/>
      </c>
      <c r="BJ50" s="432" t="str">
        <f>_xlfn.LET(_xlpm.x,J50,IF(OR(LEN(_xlpm.x)&lt;1,_xlpm.x=0),"",CONVERT(_xlpm.x,BH7,"kg")))</f>
        <v/>
      </c>
      <c r="BK50" s="432" t="str">
        <f>_xlfn.LET(_xlpm.x,K50,IF(OR(LEN(_xlpm.x)&lt;1,_xlpm.x=0),"",CONVERT(_xlpm.x,BH7,"kg")))</f>
        <v/>
      </c>
      <c r="BL50" s="432" t="str">
        <f>_xlfn.LET(_xlpm.x,L50,IF(OR(LEN(_xlpm.x)&lt;1,_xlpm.x=0),"",CONVERT(_xlpm.x,BH7,"kg")))</f>
        <v/>
      </c>
      <c r="BM50" s="432" t="str">
        <f>_xlfn.LET(_xlpm.x,M50,IF(OR(LEN(_xlpm.x)&lt;1,_xlpm.x=0),"",CONVERT(_xlpm.x,BH7,"kg")))</f>
        <v/>
      </c>
      <c r="BN50" s="432" t="str">
        <f>_xlfn.LET(_xlpm.x,N50,IF(OR(LEN(_xlpm.x)&lt;1,_xlpm.x=0),"",CONVERT(_xlpm.x,BH7,"kg")))</f>
        <v/>
      </c>
      <c r="BO50" s="432" t="str">
        <f>_xlfn.LET(_xlpm.x,O50,IF(OR(LEN(_xlpm.x)&lt;1,_xlpm.x=0),"",CONVERT(_xlpm.x,BH7,"kg")))</f>
        <v/>
      </c>
      <c r="BP50" s="432" t="str">
        <f>_xlfn.LET(_xlpm.x,P50,IF(OR(LEN(_xlpm.x)&lt;1,_xlpm.x=0),"",CONVERT(_xlpm.x,BH7,"kg")))</f>
        <v/>
      </c>
      <c r="BQ50" s="432" t="str">
        <f>_xlfn.LET(_xlpm.x,Q50,IF(OR(LEN(_xlpm.x)&lt;1,_xlpm.x=0),"",CONVERT(_xlpm.x,BH7,"kg")))</f>
        <v/>
      </c>
      <c r="BR50" s="432" t="str">
        <f>_xlfn.LET(_xlpm.x,R50,IF(OR(LEN(_xlpm.x)&lt;1,_xlpm.x=0),"",CONVERT(_xlpm.x,BH7,"kg")))</f>
        <v/>
      </c>
      <c r="BS50" s="432" t="str">
        <f>_xlfn.LET(_xlpm.x,S50,IF(OR(LEN(_xlpm.x)&lt;1,_xlpm.x=0),"",CONVERT(_xlpm.x,BH7,"kg")))</f>
        <v/>
      </c>
      <c r="BT50" s="433">
        <f t="shared" si="39"/>
        <v>0</v>
      </c>
      <c r="BU50" s="433" t="str">
        <f>_xlfn.LET(_xlpm.x,BF50,IF(LEN(_xlpm.x)&lt;1,"",IF(ISNUMBER(MATCH(_xlpm.x,ls_Mat_def,0)),'Project Inputs'!$BF$14,99)))</f>
        <v/>
      </c>
      <c r="BV50" s="432" t="str" cm="1">
        <f t="array" ref="BV50">IFERROR(INDEX(tblGWP[],MATCH(1,(tblGWP[Dataset ID]=BU50)*(tblGWP[Material Subcategory]=BF50),0),MATCH(BG50,ls_WHM,0)+5),"confirm")</f>
        <v>confirm</v>
      </c>
      <c r="BW50" s="434" t="str">
        <f t="shared" si="40"/>
        <v>No data</v>
      </c>
      <c r="BX50" s="434" t="str">
        <f t="shared" si="41"/>
        <v>No data</v>
      </c>
      <c r="BY50" s="434" t="str">
        <f t="shared" si="42"/>
        <v>No data</v>
      </c>
      <c r="BZ50" s="434" t="str">
        <f t="shared" si="43"/>
        <v>No data</v>
      </c>
      <c r="CA50" s="434" t="str">
        <f t="shared" si="44"/>
        <v>No data</v>
      </c>
      <c r="CB50" s="434" t="str">
        <f t="shared" si="45"/>
        <v>No data</v>
      </c>
      <c r="CC50" s="434" t="str">
        <f t="shared" si="46"/>
        <v>No data</v>
      </c>
      <c r="CD50" s="434" t="str">
        <f t="shared" si="47"/>
        <v>No data</v>
      </c>
      <c r="CE50" s="434" t="str">
        <f t="shared" si="48"/>
        <v>No data</v>
      </c>
      <c r="CF50" s="434" t="str">
        <f t="shared" si="49"/>
        <v>No data</v>
      </c>
      <c r="CG50" s="434" t="str">
        <f t="shared" si="50"/>
        <v>No data</v>
      </c>
      <c r="CH50" s="434" t="str">
        <f t="shared" si="51"/>
        <v>No data</v>
      </c>
      <c r="CI50" s="435">
        <f t="shared" si="52"/>
        <v>0</v>
      </c>
      <c r="CK50" s="3" t="str">
        <f>_xlfn.LET(_xlpm.x,INDEX(tbl_Mat_def[],MATCH(BF50,ls_Mat_def,0),2),IFERROR(IF(_xlpm.x=0,"No","Yes"),"No"))</f>
        <v>No</v>
      </c>
      <c r="CM50" s="60" t="str">
        <f t="shared" si="53"/>
        <v/>
      </c>
      <c r="CN50" s="60" t="s">
        <v>235</v>
      </c>
      <c r="CO50" s="566" t="str">
        <f>_xlfn.XLOOKUP(CM50,tblGWP[Material Subcategory],tblGWP[Landfill],0)</f>
        <v/>
      </c>
      <c r="CP50" s="436" t="str">
        <f t="shared" si="54"/>
        <v/>
      </c>
      <c r="DD50" s="388">
        <f t="shared" si="29"/>
        <v>0</v>
      </c>
      <c r="DE50" s="22">
        <f t="shared" si="55"/>
        <v>19</v>
      </c>
      <c r="DF50" s="387">
        <f t="shared" si="30"/>
        <v>0</v>
      </c>
      <c r="DG50" s="387">
        <f t="shared" si="56"/>
        <v>0</v>
      </c>
      <c r="DH50" s="22">
        <f t="shared" ca="1" si="57"/>
        <v>0</v>
      </c>
      <c r="DI50">
        <f t="shared" ca="1" si="58"/>
        <v>0</v>
      </c>
    </row>
    <row r="51" spans="1:113" ht="30" hidden="1" customHeight="1" outlineLevel="1">
      <c r="A51" s="22" t="str">
        <f t="shared" si="28"/>
        <v/>
      </c>
      <c r="B51" s="272"/>
      <c r="C51" s="491"/>
      <c r="D51" s="272"/>
      <c r="E51" s="400"/>
      <c r="F51" s="400"/>
      <c r="G51" s="401"/>
      <c r="H51" s="376"/>
      <c r="I51" s="376"/>
      <c r="J51" s="376"/>
      <c r="K51" s="376"/>
      <c r="L51" s="376"/>
      <c r="M51" s="376"/>
      <c r="N51" s="376"/>
      <c r="O51" s="376"/>
      <c r="P51" s="376"/>
      <c r="Q51" s="376"/>
      <c r="R51" s="376"/>
      <c r="S51" s="376"/>
      <c r="T51" s="431">
        <f t="shared" si="33"/>
        <v>0</v>
      </c>
      <c r="U51" s="272"/>
      <c r="BC51" s="432" t="str">
        <f t="shared" si="34"/>
        <v/>
      </c>
      <c r="BD51" s="432" t="str">
        <f t="shared" si="35"/>
        <v/>
      </c>
      <c r="BE51" s="432" t="str">
        <f t="shared" si="36"/>
        <v/>
      </c>
      <c r="BF51" s="432" t="str">
        <f t="shared" si="37"/>
        <v/>
      </c>
      <c r="BG51" s="432" t="str">
        <f t="shared" si="38"/>
        <v/>
      </c>
      <c r="BH51" s="432" t="str">
        <f>_xlfn.LET(_xlpm.x,H51,IF(OR(LEN(_xlpm.x)&lt;1,_xlpm.x=0),"",CONVERT(_xlpm.x,BH7,"kg")))</f>
        <v/>
      </c>
      <c r="BI51" s="432" t="str">
        <f>_xlfn.LET(_xlpm.x,I51,IF(OR(LEN(_xlpm.x)&lt;1,_xlpm.x=0),"",CONVERT(_xlpm.x,BH7,"kg")))</f>
        <v/>
      </c>
      <c r="BJ51" s="432" t="str">
        <f>_xlfn.LET(_xlpm.x,J51,IF(OR(LEN(_xlpm.x)&lt;1,_xlpm.x=0),"",CONVERT(_xlpm.x,BH7,"kg")))</f>
        <v/>
      </c>
      <c r="BK51" s="432" t="str">
        <f>_xlfn.LET(_xlpm.x,K51,IF(OR(LEN(_xlpm.x)&lt;1,_xlpm.x=0),"",CONVERT(_xlpm.x,BH7,"kg")))</f>
        <v/>
      </c>
      <c r="BL51" s="432" t="str">
        <f>_xlfn.LET(_xlpm.x,L51,IF(OR(LEN(_xlpm.x)&lt;1,_xlpm.x=0),"",CONVERT(_xlpm.x,BH7,"kg")))</f>
        <v/>
      </c>
      <c r="BM51" s="432" t="str">
        <f>_xlfn.LET(_xlpm.x,M51,IF(OR(LEN(_xlpm.x)&lt;1,_xlpm.x=0),"",CONVERT(_xlpm.x,BH7,"kg")))</f>
        <v/>
      </c>
      <c r="BN51" s="432" t="str">
        <f>_xlfn.LET(_xlpm.x,N51,IF(OR(LEN(_xlpm.x)&lt;1,_xlpm.x=0),"",CONVERT(_xlpm.x,BH7,"kg")))</f>
        <v/>
      </c>
      <c r="BO51" s="432" t="str">
        <f>_xlfn.LET(_xlpm.x,O51,IF(OR(LEN(_xlpm.x)&lt;1,_xlpm.x=0),"",CONVERT(_xlpm.x,BH7,"kg")))</f>
        <v/>
      </c>
      <c r="BP51" s="432" t="str">
        <f>_xlfn.LET(_xlpm.x,P51,IF(OR(LEN(_xlpm.x)&lt;1,_xlpm.x=0),"",CONVERT(_xlpm.x,BH7,"kg")))</f>
        <v/>
      </c>
      <c r="BQ51" s="432" t="str">
        <f>_xlfn.LET(_xlpm.x,Q51,IF(OR(LEN(_xlpm.x)&lt;1,_xlpm.x=0),"",CONVERT(_xlpm.x,BH7,"kg")))</f>
        <v/>
      </c>
      <c r="BR51" s="432" t="str">
        <f>_xlfn.LET(_xlpm.x,R51,IF(OR(LEN(_xlpm.x)&lt;1,_xlpm.x=0),"",CONVERT(_xlpm.x,BH7,"kg")))</f>
        <v/>
      </c>
      <c r="BS51" s="432" t="str">
        <f>_xlfn.LET(_xlpm.x,S51,IF(OR(LEN(_xlpm.x)&lt;1,_xlpm.x=0),"",CONVERT(_xlpm.x,BH7,"kg")))</f>
        <v/>
      </c>
      <c r="BT51" s="433">
        <f t="shared" si="39"/>
        <v>0</v>
      </c>
      <c r="BU51" s="433" t="str">
        <f>_xlfn.LET(_xlpm.x,BF51,IF(LEN(_xlpm.x)&lt;1,"",IF(ISNUMBER(MATCH(_xlpm.x,ls_Mat_def,0)),'Project Inputs'!$BF$14,99)))</f>
        <v/>
      </c>
      <c r="BV51" s="432" t="str" cm="1">
        <f t="array" ref="BV51">IFERROR(INDEX(tblGWP[],MATCH(1,(tblGWP[Dataset ID]=BU51)*(tblGWP[Material Subcategory]=BF51),0),MATCH(BG51,ls_WHM,0)+5),"confirm")</f>
        <v>confirm</v>
      </c>
      <c r="BW51" s="434" t="str">
        <f t="shared" si="40"/>
        <v>No data</v>
      </c>
      <c r="BX51" s="434" t="str">
        <f t="shared" si="41"/>
        <v>No data</v>
      </c>
      <c r="BY51" s="434" t="str">
        <f t="shared" si="42"/>
        <v>No data</v>
      </c>
      <c r="BZ51" s="434" t="str">
        <f t="shared" si="43"/>
        <v>No data</v>
      </c>
      <c r="CA51" s="434" t="str">
        <f t="shared" si="44"/>
        <v>No data</v>
      </c>
      <c r="CB51" s="434" t="str">
        <f t="shared" si="45"/>
        <v>No data</v>
      </c>
      <c r="CC51" s="434" t="str">
        <f t="shared" si="46"/>
        <v>No data</v>
      </c>
      <c r="CD51" s="434" t="str">
        <f t="shared" si="47"/>
        <v>No data</v>
      </c>
      <c r="CE51" s="434" t="str">
        <f t="shared" si="48"/>
        <v>No data</v>
      </c>
      <c r="CF51" s="434" t="str">
        <f t="shared" si="49"/>
        <v>No data</v>
      </c>
      <c r="CG51" s="434" t="str">
        <f t="shared" si="50"/>
        <v>No data</v>
      </c>
      <c r="CH51" s="434" t="str">
        <f t="shared" si="51"/>
        <v>No data</v>
      </c>
      <c r="CI51" s="435">
        <f t="shared" si="52"/>
        <v>0</v>
      </c>
      <c r="CK51" s="3" t="str">
        <f>_xlfn.LET(_xlpm.x,INDEX(tbl_Mat_def[],MATCH(BF51,ls_Mat_def,0),2),IFERROR(IF(_xlpm.x=0,"No","Yes"),"No"))</f>
        <v>No</v>
      </c>
      <c r="CM51" s="60" t="str">
        <f t="shared" si="53"/>
        <v/>
      </c>
      <c r="CN51" s="60" t="s">
        <v>235</v>
      </c>
      <c r="CO51" s="566" t="str">
        <f>_xlfn.XLOOKUP(CM51,tblGWP[Material Subcategory],tblGWP[Landfill],0)</f>
        <v/>
      </c>
      <c r="CP51" s="436" t="str">
        <f t="shared" si="54"/>
        <v/>
      </c>
      <c r="DD51" s="388">
        <f t="shared" si="29"/>
        <v>0</v>
      </c>
      <c r="DE51" s="22">
        <f t="shared" si="55"/>
        <v>19</v>
      </c>
      <c r="DF51" s="387">
        <f t="shared" si="30"/>
        <v>0</v>
      </c>
      <c r="DG51" s="387">
        <f t="shared" si="56"/>
        <v>0</v>
      </c>
      <c r="DH51" s="22">
        <f t="shared" ca="1" si="57"/>
        <v>0</v>
      </c>
      <c r="DI51">
        <f t="shared" ca="1" si="58"/>
        <v>0</v>
      </c>
    </row>
    <row r="52" spans="1:113" ht="30" hidden="1" customHeight="1" outlineLevel="1">
      <c r="A52" s="22" t="str">
        <f t="shared" si="28"/>
        <v/>
      </c>
      <c r="B52" s="272"/>
      <c r="C52" s="491"/>
      <c r="D52" s="272"/>
      <c r="E52" s="400"/>
      <c r="F52" s="400"/>
      <c r="G52" s="401"/>
      <c r="H52" s="376"/>
      <c r="I52" s="376"/>
      <c r="J52" s="376"/>
      <c r="K52" s="376"/>
      <c r="L52" s="376"/>
      <c r="M52" s="376"/>
      <c r="N52" s="376"/>
      <c r="O52" s="376"/>
      <c r="P52" s="376"/>
      <c r="Q52" s="376"/>
      <c r="R52" s="376"/>
      <c r="S52" s="376"/>
      <c r="T52" s="431">
        <f t="shared" si="33"/>
        <v>0</v>
      </c>
      <c r="U52" s="272"/>
      <c r="BC52" s="432" t="str">
        <f t="shared" si="34"/>
        <v/>
      </c>
      <c r="BD52" s="432" t="str">
        <f t="shared" si="35"/>
        <v/>
      </c>
      <c r="BE52" s="432" t="str">
        <f t="shared" si="36"/>
        <v/>
      </c>
      <c r="BF52" s="432" t="str">
        <f t="shared" si="37"/>
        <v/>
      </c>
      <c r="BG52" s="432" t="str">
        <f t="shared" si="38"/>
        <v/>
      </c>
      <c r="BH52" s="432" t="str">
        <f>_xlfn.LET(_xlpm.x,H52,IF(OR(LEN(_xlpm.x)&lt;1,_xlpm.x=0),"",CONVERT(_xlpm.x,BH7,"kg")))</f>
        <v/>
      </c>
      <c r="BI52" s="432" t="str">
        <f>_xlfn.LET(_xlpm.x,I52,IF(OR(LEN(_xlpm.x)&lt;1,_xlpm.x=0),"",CONVERT(_xlpm.x,BH7,"kg")))</f>
        <v/>
      </c>
      <c r="BJ52" s="432" t="str">
        <f>_xlfn.LET(_xlpm.x,J52,IF(OR(LEN(_xlpm.x)&lt;1,_xlpm.x=0),"",CONVERT(_xlpm.x,BH7,"kg")))</f>
        <v/>
      </c>
      <c r="BK52" s="432" t="str">
        <f>_xlfn.LET(_xlpm.x,K52,IF(OR(LEN(_xlpm.x)&lt;1,_xlpm.x=0),"",CONVERT(_xlpm.x,BH7,"kg")))</f>
        <v/>
      </c>
      <c r="BL52" s="432" t="str">
        <f>_xlfn.LET(_xlpm.x,L52,IF(OR(LEN(_xlpm.x)&lt;1,_xlpm.x=0),"",CONVERT(_xlpm.x,BH7,"kg")))</f>
        <v/>
      </c>
      <c r="BM52" s="432" t="str">
        <f>_xlfn.LET(_xlpm.x,M52,IF(OR(LEN(_xlpm.x)&lt;1,_xlpm.x=0),"",CONVERT(_xlpm.x,BH7,"kg")))</f>
        <v/>
      </c>
      <c r="BN52" s="432" t="str">
        <f>_xlfn.LET(_xlpm.x,N52,IF(OR(LEN(_xlpm.x)&lt;1,_xlpm.x=0),"",CONVERT(_xlpm.x,BH7,"kg")))</f>
        <v/>
      </c>
      <c r="BO52" s="432" t="str">
        <f>_xlfn.LET(_xlpm.x,O52,IF(OR(LEN(_xlpm.x)&lt;1,_xlpm.x=0),"",CONVERT(_xlpm.x,BH7,"kg")))</f>
        <v/>
      </c>
      <c r="BP52" s="432" t="str">
        <f>_xlfn.LET(_xlpm.x,P52,IF(OR(LEN(_xlpm.x)&lt;1,_xlpm.x=0),"",CONVERT(_xlpm.x,BH7,"kg")))</f>
        <v/>
      </c>
      <c r="BQ52" s="432" t="str">
        <f>_xlfn.LET(_xlpm.x,Q52,IF(OR(LEN(_xlpm.x)&lt;1,_xlpm.x=0),"",CONVERT(_xlpm.x,BH7,"kg")))</f>
        <v/>
      </c>
      <c r="BR52" s="432" t="str">
        <f>_xlfn.LET(_xlpm.x,R52,IF(OR(LEN(_xlpm.x)&lt;1,_xlpm.x=0),"",CONVERT(_xlpm.x,BH7,"kg")))</f>
        <v/>
      </c>
      <c r="BS52" s="432" t="str">
        <f>_xlfn.LET(_xlpm.x,S52,IF(OR(LEN(_xlpm.x)&lt;1,_xlpm.x=0),"",CONVERT(_xlpm.x,BH7,"kg")))</f>
        <v/>
      </c>
      <c r="BT52" s="433">
        <f t="shared" si="39"/>
        <v>0</v>
      </c>
      <c r="BU52" s="433" t="str">
        <f>_xlfn.LET(_xlpm.x,BF52,IF(LEN(_xlpm.x)&lt;1,"",IF(ISNUMBER(MATCH(_xlpm.x,ls_Mat_def,0)),'Project Inputs'!$BF$14,99)))</f>
        <v/>
      </c>
      <c r="BV52" s="432" t="str" cm="1">
        <f t="array" ref="BV52">IFERROR(INDEX(tblGWP[],MATCH(1,(tblGWP[Dataset ID]=BU52)*(tblGWP[Material Subcategory]=BF52),0),MATCH(BG52,ls_WHM,0)+5),"confirm")</f>
        <v>confirm</v>
      </c>
      <c r="BW52" s="434" t="str">
        <f t="shared" si="40"/>
        <v>No data</v>
      </c>
      <c r="BX52" s="434" t="str">
        <f t="shared" si="41"/>
        <v>No data</v>
      </c>
      <c r="BY52" s="434" t="str">
        <f t="shared" si="42"/>
        <v>No data</v>
      </c>
      <c r="BZ52" s="434" t="str">
        <f t="shared" si="43"/>
        <v>No data</v>
      </c>
      <c r="CA52" s="434" t="str">
        <f t="shared" si="44"/>
        <v>No data</v>
      </c>
      <c r="CB52" s="434" t="str">
        <f t="shared" si="45"/>
        <v>No data</v>
      </c>
      <c r="CC52" s="434" t="str">
        <f t="shared" si="46"/>
        <v>No data</v>
      </c>
      <c r="CD52" s="434" t="str">
        <f t="shared" si="47"/>
        <v>No data</v>
      </c>
      <c r="CE52" s="434" t="str">
        <f t="shared" si="48"/>
        <v>No data</v>
      </c>
      <c r="CF52" s="434" t="str">
        <f t="shared" si="49"/>
        <v>No data</v>
      </c>
      <c r="CG52" s="434" t="str">
        <f t="shared" si="50"/>
        <v>No data</v>
      </c>
      <c r="CH52" s="434" t="str">
        <f t="shared" si="51"/>
        <v>No data</v>
      </c>
      <c r="CI52" s="435">
        <f t="shared" si="52"/>
        <v>0</v>
      </c>
      <c r="CK52" s="3" t="str">
        <f>_xlfn.LET(_xlpm.x,INDEX(tbl_Mat_def[],MATCH(BF52,ls_Mat_def,0),2),IFERROR(IF(_xlpm.x=0,"No","Yes"),"No"))</f>
        <v>No</v>
      </c>
      <c r="CM52" s="60" t="str">
        <f t="shared" si="53"/>
        <v/>
      </c>
      <c r="CN52" s="60" t="s">
        <v>235</v>
      </c>
      <c r="CO52" s="566" t="str">
        <f>_xlfn.XLOOKUP(CM52,tblGWP[Material Subcategory],tblGWP[Landfill],0)</f>
        <v/>
      </c>
      <c r="CP52" s="436" t="str">
        <f t="shared" si="54"/>
        <v/>
      </c>
      <c r="DD52" s="388">
        <f t="shared" si="29"/>
        <v>0</v>
      </c>
      <c r="DE52" s="22">
        <f t="shared" si="55"/>
        <v>19</v>
      </c>
      <c r="DF52" s="387">
        <f t="shared" si="30"/>
        <v>0</v>
      </c>
      <c r="DG52" s="387">
        <f t="shared" si="56"/>
        <v>0</v>
      </c>
      <c r="DH52" s="22">
        <f t="shared" ca="1" si="57"/>
        <v>0</v>
      </c>
      <c r="DI52">
        <f t="shared" ca="1" si="58"/>
        <v>0</v>
      </c>
    </row>
    <row r="53" spans="1:113" ht="30" hidden="1" customHeight="1" outlineLevel="1">
      <c r="A53" s="22" t="str">
        <f t="shared" si="28"/>
        <v/>
      </c>
      <c r="B53" s="272"/>
      <c r="C53" s="491"/>
      <c r="D53" s="272"/>
      <c r="E53" s="400"/>
      <c r="F53" s="400"/>
      <c r="G53" s="401"/>
      <c r="H53" s="376"/>
      <c r="I53" s="376"/>
      <c r="J53" s="376"/>
      <c r="K53" s="376"/>
      <c r="L53" s="376"/>
      <c r="M53" s="376"/>
      <c r="N53" s="376"/>
      <c r="O53" s="376"/>
      <c r="P53" s="376"/>
      <c r="Q53" s="376"/>
      <c r="R53" s="376"/>
      <c r="S53" s="376"/>
      <c r="T53" s="431">
        <f t="shared" si="33"/>
        <v>0</v>
      </c>
      <c r="U53" s="272"/>
      <c r="BC53" s="432" t="str">
        <f t="shared" si="34"/>
        <v/>
      </c>
      <c r="BD53" s="432" t="str">
        <f t="shared" si="35"/>
        <v/>
      </c>
      <c r="BE53" s="432" t="str">
        <f t="shared" si="36"/>
        <v/>
      </c>
      <c r="BF53" s="432" t="str">
        <f t="shared" si="37"/>
        <v/>
      </c>
      <c r="BG53" s="432" t="str">
        <f t="shared" si="38"/>
        <v/>
      </c>
      <c r="BH53" s="432" t="str">
        <f>_xlfn.LET(_xlpm.x,H53,IF(OR(LEN(_xlpm.x)&lt;1,_xlpm.x=0),"",CONVERT(_xlpm.x,BH7,"kg")))</f>
        <v/>
      </c>
      <c r="BI53" s="432" t="str">
        <f>_xlfn.LET(_xlpm.x,I53,IF(OR(LEN(_xlpm.x)&lt;1,_xlpm.x=0),"",CONVERT(_xlpm.x,BH7,"kg")))</f>
        <v/>
      </c>
      <c r="BJ53" s="432" t="str">
        <f>_xlfn.LET(_xlpm.x,J53,IF(OR(LEN(_xlpm.x)&lt;1,_xlpm.x=0),"",CONVERT(_xlpm.x,BH7,"kg")))</f>
        <v/>
      </c>
      <c r="BK53" s="432" t="str">
        <f>_xlfn.LET(_xlpm.x,K53,IF(OR(LEN(_xlpm.x)&lt;1,_xlpm.x=0),"",CONVERT(_xlpm.x,BH7,"kg")))</f>
        <v/>
      </c>
      <c r="BL53" s="432" t="str">
        <f>_xlfn.LET(_xlpm.x,L53,IF(OR(LEN(_xlpm.x)&lt;1,_xlpm.x=0),"",CONVERT(_xlpm.x,BH7,"kg")))</f>
        <v/>
      </c>
      <c r="BM53" s="432" t="str">
        <f>_xlfn.LET(_xlpm.x,M53,IF(OR(LEN(_xlpm.x)&lt;1,_xlpm.x=0),"",CONVERT(_xlpm.x,BH7,"kg")))</f>
        <v/>
      </c>
      <c r="BN53" s="432" t="str">
        <f>_xlfn.LET(_xlpm.x,N53,IF(OR(LEN(_xlpm.x)&lt;1,_xlpm.x=0),"",CONVERT(_xlpm.x,BH7,"kg")))</f>
        <v/>
      </c>
      <c r="BO53" s="432" t="str">
        <f>_xlfn.LET(_xlpm.x,O53,IF(OR(LEN(_xlpm.x)&lt;1,_xlpm.x=0),"",CONVERT(_xlpm.x,BH7,"kg")))</f>
        <v/>
      </c>
      <c r="BP53" s="432" t="str">
        <f>_xlfn.LET(_xlpm.x,P53,IF(OR(LEN(_xlpm.x)&lt;1,_xlpm.x=0),"",CONVERT(_xlpm.x,BH7,"kg")))</f>
        <v/>
      </c>
      <c r="BQ53" s="432" t="str">
        <f>_xlfn.LET(_xlpm.x,Q53,IF(OR(LEN(_xlpm.x)&lt;1,_xlpm.x=0),"",CONVERT(_xlpm.x,BH7,"kg")))</f>
        <v/>
      </c>
      <c r="BR53" s="432" t="str">
        <f>_xlfn.LET(_xlpm.x,R53,IF(OR(LEN(_xlpm.x)&lt;1,_xlpm.x=0),"",CONVERT(_xlpm.x,BH7,"kg")))</f>
        <v/>
      </c>
      <c r="BS53" s="432" t="str">
        <f>_xlfn.LET(_xlpm.x,S53,IF(OR(LEN(_xlpm.x)&lt;1,_xlpm.x=0),"",CONVERT(_xlpm.x,BH7,"kg")))</f>
        <v/>
      </c>
      <c r="BT53" s="433">
        <f t="shared" si="39"/>
        <v>0</v>
      </c>
      <c r="BU53" s="433" t="str">
        <f>_xlfn.LET(_xlpm.x,BF53,IF(LEN(_xlpm.x)&lt;1,"",IF(ISNUMBER(MATCH(_xlpm.x,ls_Mat_def,0)),'Project Inputs'!$BF$14,99)))</f>
        <v/>
      </c>
      <c r="BV53" s="432" t="str" cm="1">
        <f t="array" ref="BV53">IFERROR(INDEX(tblGWP[],MATCH(1,(tblGWP[Dataset ID]=BU53)*(tblGWP[Material Subcategory]=BF53),0),MATCH(BG53,ls_WHM,0)+5),"confirm")</f>
        <v>confirm</v>
      </c>
      <c r="BW53" s="434" t="str">
        <f t="shared" si="40"/>
        <v>No data</v>
      </c>
      <c r="BX53" s="434" t="str">
        <f t="shared" si="41"/>
        <v>No data</v>
      </c>
      <c r="BY53" s="434" t="str">
        <f t="shared" si="42"/>
        <v>No data</v>
      </c>
      <c r="BZ53" s="434" t="str">
        <f t="shared" si="43"/>
        <v>No data</v>
      </c>
      <c r="CA53" s="434" t="str">
        <f t="shared" si="44"/>
        <v>No data</v>
      </c>
      <c r="CB53" s="434" t="str">
        <f t="shared" si="45"/>
        <v>No data</v>
      </c>
      <c r="CC53" s="434" t="str">
        <f t="shared" si="46"/>
        <v>No data</v>
      </c>
      <c r="CD53" s="434" t="str">
        <f t="shared" si="47"/>
        <v>No data</v>
      </c>
      <c r="CE53" s="434" t="str">
        <f t="shared" si="48"/>
        <v>No data</v>
      </c>
      <c r="CF53" s="434" t="str">
        <f t="shared" si="49"/>
        <v>No data</v>
      </c>
      <c r="CG53" s="434" t="str">
        <f t="shared" si="50"/>
        <v>No data</v>
      </c>
      <c r="CH53" s="434" t="str">
        <f t="shared" si="51"/>
        <v>No data</v>
      </c>
      <c r="CI53" s="435">
        <f t="shared" si="52"/>
        <v>0</v>
      </c>
      <c r="CK53" s="3" t="str">
        <f>_xlfn.LET(_xlpm.x,INDEX(tbl_Mat_def[],MATCH(BF53,ls_Mat_def,0),2),IFERROR(IF(_xlpm.x=0,"No","Yes"),"No"))</f>
        <v>No</v>
      </c>
      <c r="CM53" s="60" t="str">
        <f t="shared" si="53"/>
        <v/>
      </c>
      <c r="CN53" s="60" t="s">
        <v>235</v>
      </c>
      <c r="CO53" s="566" t="str">
        <f>_xlfn.XLOOKUP(CM53,tblGWP[Material Subcategory],tblGWP[Landfill],0)</f>
        <v/>
      </c>
      <c r="CP53" s="436" t="str">
        <f t="shared" si="54"/>
        <v/>
      </c>
      <c r="DD53" s="388">
        <f t="shared" si="29"/>
        <v>0</v>
      </c>
      <c r="DE53" s="22">
        <f t="shared" si="55"/>
        <v>19</v>
      </c>
      <c r="DF53" s="387">
        <f t="shared" si="30"/>
        <v>0</v>
      </c>
      <c r="DG53" s="387">
        <f t="shared" si="56"/>
        <v>0</v>
      </c>
      <c r="DH53" s="22">
        <f t="shared" ca="1" si="57"/>
        <v>0</v>
      </c>
      <c r="DI53">
        <f t="shared" ca="1" si="58"/>
        <v>0</v>
      </c>
    </row>
    <row r="54" spans="1:113" ht="30" hidden="1" customHeight="1" outlineLevel="1">
      <c r="A54" s="22" t="str">
        <f t="shared" si="28"/>
        <v/>
      </c>
      <c r="B54" s="272"/>
      <c r="C54" s="491"/>
      <c r="D54" s="272"/>
      <c r="E54" s="400"/>
      <c r="F54" s="400"/>
      <c r="G54" s="401"/>
      <c r="H54" s="376"/>
      <c r="I54" s="376"/>
      <c r="J54" s="376"/>
      <c r="K54" s="376"/>
      <c r="L54" s="376"/>
      <c r="M54" s="376"/>
      <c r="N54" s="376"/>
      <c r="O54" s="376"/>
      <c r="P54" s="376"/>
      <c r="Q54" s="376"/>
      <c r="R54" s="376"/>
      <c r="S54" s="376"/>
      <c r="T54" s="431">
        <f t="shared" si="33"/>
        <v>0</v>
      </c>
      <c r="U54" s="272"/>
      <c r="BC54" s="432" t="str">
        <f t="shared" si="34"/>
        <v/>
      </c>
      <c r="BD54" s="432" t="str">
        <f t="shared" si="35"/>
        <v/>
      </c>
      <c r="BE54" s="432" t="str">
        <f t="shared" si="36"/>
        <v/>
      </c>
      <c r="BF54" s="432" t="str">
        <f t="shared" si="37"/>
        <v/>
      </c>
      <c r="BG54" s="432" t="str">
        <f t="shared" si="38"/>
        <v/>
      </c>
      <c r="BH54" s="432" t="str">
        <f>_xlfn.LET(_xlpm.x,H54,IF(OR(LEN(_xlpm.x)&lt;1,_xlpm.x=0),"",CONVERT(_xlpm.x,BH7,"kg")))</f>
        <v/>
      </c>
      <c r="BI54" s="432" t="str">
        <f>_xlfn.LET(_xlpm.x,I54,IF(OR(LEN(_xlpm.x)&lt;1,_xlpm.x=0),"",CONVERT(_xlpm.x,BH7,"kg")))</f>
        <v/>
      </c>
      <c r="BJ54" s="432" t="str">
        <f>_xlfn.LET(_xlpm.x,J54,IF(OR(LEN(_xlpm.x)&lt;1,_xlpm.x=0),"",CONVERT(_xlpm.x,BH7,"kg")))</f>
        <v/>
      </c>
      <c r="BK54" s="432" t="str">
        <f>_xlfn.LET(_xlpm.x,K54,IF(OR(LEN(_xlpm.x)&lt;1,_xlpm.x=0),"",CONVERT(_xlpm.x,BH7,"kg")))</f>
        <v/>
      </c>
      <c r="BL54" s="432" t="str">
        <f>_xlfn.LET(_xlpm.x,L54,IF(OR(LEN(_xlpm.x)&lt;1,_xlpm.x=0),"",CONVERT(_xlpm.x,BH7,"kg")))</f>
        <v/>
      </c>
      <c r="BM54" s="432" t="str">
        <f>_xlfn.LET(_xlpm.x,M54,IF(OR(LEN(_xlpm.x)&lt;1,_xlpm.x=0),"",CONVERT(_xlpm.x,BH7,"kg")))</f>
        <v/>
      </c>
      <c r="BN54" s="432" t="str">
        <f>_xlfn.LET(_xlpm.x,N54,IF(OR(LEN(_xlpm.x)&lt;1,_xlpm.x=0),"",CONVERT(_xlpm.x,BH7,"kg")))</f>
        <v/>
      </c>
      <c r="BO54" s="432" t="str">
        <f>_xlfn.LET(_xlpm.x,O54,IF(OR(LEN(_xlpm.x)&lt;1,_xlpm.x=0),"",CONVERT(_xlpm.x,BH7,"kg")))</f>
        <v/>
      </c>
      <c r="BP54" s="432" t="str">
        <f>_xlfn.LET(_xlpm.x,P54,IF(OR(LEN(_xlpm.x)&lt;1,_xlpm.x=0),"",CONVERT(_xlpm.x,BH7,"kg")))</f>
        <v/>
      </c>
      <c r="BQ54" s="432" t="str">
        <f>_xlfn.LET(_xlpm.x,Q54,IF(OR(LEN(_xlpm.x)&lt;1,_xlpm.x=0),"",CONVERT(_xlpm.x,BH7,"kg")))</f>
        <v/>
      </c>
      <c r="BR54" s="432" t="str">
        <f>_xlfn.LET(_xlpm.x,R54,IF(OR(LEN(_xlpm.x)&lt;1,_xlpm.x=0),"",CONVERT(_xlpm.x,BH7,"kg")))</f>
        <v/>
      </c>
      <c r="BS54" s="432" t="str">
        <f>_xlfn.LET(_xlpm.x,S54,IF(OR(LEN(_xlpm.x)&lt;1,_xlpm.x=0),"",CONVERT(_xlpm.x,BH7,"kg")))</f>
        <v/>
      </c>
      <c r="BT54" s="433">
        <f t="shared" si="39"/>
        <v>0</v>
      </c>
      <c r="BU54" s="433" t="str">
        <f>_xlfn.LET(_xlpm.x,BF54,IF(LEN(_xlpm.x)&lt;1,"",IF(ISNUMBER(MATCH(_xlpm.x,ls_Mat_def,0)),'Project Inputs'!$BF$14,99)))</f>
        <v/>
      </c>
      <c r="BV54" s="432" t="str" cm="1">
        <f t="array" ref="BV54">IFERROR(INDEX(tblGWP[],MATCH(1,(tblGWP[Dataset ID]=BU54)*(tblGWP[Material Subcategory]=BF54),0),MATCH(BG54,ls_WHM,0)+5),"confirm")</f>
        <v>confirm</v>
      </c>
      <c r="BW54" s="434" t="str">
        <f t="shared" si="40"/>
        <v>No data</v>
      </c>
      <c r="BX54" s="434" t="str">
        <f t="shared" si="41"/>
        <v>No data</v>
      </c>
      <c r="BY54" s="434" t="str">
        <f t="shared" si="42"/>
        <v>No data</v>
      </c>
      <c r="BZ54" s="434" t="str">
        <f t="shared" si="43"/>
        <v>No data</v>
      </c>
      <c r="CA54" s="434" t="str">
        <f t="shared" si="44"/>
        <v>No data</v>
      </c>
      <c r="CB54" s="434" t="str">
        <f t="shared" si="45"/>
        <v>No data</v>
      </c>
      <c r="CC54" s="434" t="str">
        <f t="shared" si="46"/>
        <v>No data</v>
      </c>
      <c r="CD54" s="434" t="str">
        <f t="shared" si="47"/>
        <v>No data</v>
      </c>
      <c r="CE54" s="434" t="str">
        <f t="shared" si="48"/>
        <v>No data</v>
      </c>
      <c r="CF54" s="434" t="str">
        <f t="shared" si="49"/>
        <v>No data</v>
      </c>
      <c r="CG54" s="434" t="str">
        <f t="shared" si="50"/>
        <v>No data</v>
      </c>
      <c r="CH54" s="434" t="str">
        <f t="shared" si="51"/>
        <v>No data</v>
      </c>
      <c r="CI54" s="435">
        <f t="shared" si="52"/>
        <v>0</v>
      </c>
      <c r="CK54" s="3" t="str">
        <f>_xlfn.LET(_xlpm.x,INDEX(tbl_Mat_def[],MATCH(BF54,ls_Mat_def,0),2),IFERROR(IF(_xlpm.x=0,"No","Yes"),"No"))</f>
        <v>No</v>
      </c>
      <c r="CM54" s="60" t="str">
        <f t="shared" si="53"/>
        <v/>
      </c>
      <c r="CN54" s="60" t="s">
        <v>235</v>
      </c>
      <c r="CO54" s="566" t="str">
        <f>_xlfn.XLOOKUP(CM54,tblGWP[Material Subcategory],tblGWP[Landfill],0)</f>
        <v/>
      </c>
      <c r="CP54" s="436" t="str">
        <f t="shared" si="54"/>
        <v/>
      </c>
      <c r="DD54" s="388">
        <f t="shared" si="29"/>
        <v>0</v>
      </c>
      <c r="DE54" s="22">
        <f t="shared" si="55"/>
        <v>19</v>
      </c>
      <c r="DF54" s="387">
        <f t="shared" si="30"/>
        <v>0</v>
      </c>
      <c r="DG54" s="387">
        <f t="shared" si="56"/>
        <v>0</v>
      </c>
      <c r="DH54" s="22">
        <f t="shared" ca="1" si="57"/>
        <v>0</v>
      </c>
      <c r="DI54">
        <f t="shared" ca="1" si="58"/>
        <v>0</v>
      </c>
    </row>
    <row r="55" spans="1:113" ht="30" hidden="1" customHeight="1" outlineLevel="1">
      <c r="A55" s="22" t="str">
        <f t="shared" si="28"/>
        <v/>
      </c>
      <c r="B55" s="272"/>
      <c r="C55" s="491"/>
      <c r="D55" s="272"/>
      <c r="E55" s="400"/>
      <c r="F55" s="400"/>
      <c r="G55" s="401"/>
      <c r="H55" s="376"/>
      <c r="I55" s="376"/>
      <c r="J55" s="376"/>
      <c r="K55" s="376"/>
      <c r="L55" s="376"/>
      <c r="M55" s="376"/>
      <c r="N55" s="376"/>
      <c r="O55" s="376"/>
      <c r="P55" s="376"/>
      <c r="Q55" s="376"/>
      <c r="R55" s="376"/>
      <c r="S55" s="376"/>
      <c r="T55" s="431">
        <f t="shared" si="33"/>
        <v>0</v>
      </c>
      <c r="U55" s="272"/>
      <c r="BC55" s="432" t="str">
        <f t="shared" si="34"/>
        <v/>
      </c>
      <c r="BD55" s="432" t="str">
        <f t="shared" si="35"/>
        <v/>
      </c>
      <c r="BE55" s="432" t="str">
        <f t="shared" si="36"/>
        <v/>
      </c>
      <c r="BF55" s="432" t="str">
        <f t="shared" si="37"/>
        <v/>
      </c>
      <c r="BG55" s="432" t="str">
        <f t="shared" si="38"/>
        <v/>
      </c>
      <c r="BH55" s="432" t="str">
        <f>_xlfn.LET(_xlpm.x,H55,IF(OR(LEN(_xlpm.x)&lt;1,_xlpm.x=0),"",CONVERT(_xlpm.x,BH7,"kg")))</f>
        <v/>
      </c>
      <c r="BI55" s="432" t="str">
        <f>_xlfn.LET(_xlpm.x,I55,IF(OR(LEN(_xlpm.x)&lt;1,_xlpm.x=0),"",CONVERT(_xlpm.x,BH7,"kg")))</f>
        <v/>
      </c>
      <c r="BJ55" s="432" t="str">
        <f>_xlfn.LET(_xlpm.x,J55,IF(OR(LEN(_xlpm.x)&lt;1,_xlpm.x=0),"",CONVERT(_xlpm.x,BH7,"kg")))</f>
        <v/>
      </c>
      <c r="BK55" s="432" t="str">
        <f>_xlfn.LET(_xlpm.x,K55,IF(OR(LEN(_xlpm.x)&lt;1,_xlpm.x=0),"",CONVERT(_xlpm.x,BH7,"kg")))</f>
        <v/>
      </c>
      <c r="BL55" s="432" t="str">
        <f>_xlfn.LET(_xlpm.x,L55,IF(OR(LEN(_xlpm.x)&lt;1,_xlpm.x=0),"",CONVERT(_xlpm.x,BH7,"kg")))</f>
        <v/>
      </c>
      <c r="BM55" s="432" t="str">
        <f>_xlfn.LET(_xlpm.x,M55,IF(OR(LEN(_xlpm.x)&lt;1,_xlpm.x=0),"",CONVERT(_xlpm.x,BH7,"kg")))</f>
        <v/>
      </c>
      <c r="BN55" s="432" t="str">
        <f>_xlfn.LET(_xlpm.x,N55,IF(OR(LEN(_xlpm.x)&lt;1,_xlpm.x=0),"",CONVERT(_xlpm.x,BH7,"kg")))</f>
        <v/>
      </c>
      <c r="BO55" s="432" t="str">
        <f>_xlfn.LET(_xlpm.x,O55,IF(OR(LEN(_xlpm.x)&lt;1,_xlpm.x=0),"",CONVERT(_xlpm.x,BH7,"kg")))</f>
        <v/>
      </c>
      <c r="BP55" s="432" t="str">
        <f>_xlfn.LET(_xlpm.x,P55,IF(OR(LEN(_xlpm.x)&lt;1,_xlpm.x=0),"",CONVERT(_xlpm.x,BH7,"kg")))</f>
        <v/>
      </c>
      <c r="BQ55" s="432" t="str">
        <f>_xlfn.LET(_xlpm.x,Q55,IF(OR(LEN(_xlpm.x)&lt;1,_xlpm.x=0),"",CONVERT(_xlpm.x,BH7,"kg")))</f>
        <v/>
      </c>
      <c r="BR55" s="432" t="str">
        <f>_xlfn.LET(_xlpm.x,R55,IF(OR(LEN(_xlpm.x)&lt;1,_xlpm.x=0),"",CONVERT(_xlpm.x,BH7,"kg")))</f>
        <v/>
      </c>
      <c r="BS55" s="432" t="str">
        <f>_xlfn.LET(_xlpm.x,S55,IF(OR(LEN(_xlpm.x)&lt;1,_xlpm.x=0),"",CONVERT(_xlpm.x,BH7,"kg")))</f>
        <v/>
      </c>
      <c r="BT55" s="433">
        <f t="shared" si="39"/>
        <v>0</v>
      </c>
      <c r="BU55" s="433" t="str">
        <f>_xlfn.LET(_xlpm.x,BF55,IF(LEN(_xlpm.x)&lt;1,"",IF(ISNUMBER(MATCH(_xlpm.x,ls_Mat_def,0)),'Project Inputs'!$BF$14,99)))</f>
        <v/>
      </c>
      <c r="BV55" s="432" t="str" cm="1">
        <f t="array" ref="BV55">IFERROR(INDEX(tblGWP[],MATCH(1,(tblGWP[Dataset ID]=BU55)*(tblGWP[Material Subcategory]=BF55),0),MATCH(BG55,ls_WHM,0)+5),"confirm")</f>
        <v>confirm</v>
      </c>
      <c r="BW55" s="434" t="str">
        <f t="shared" si="40"/>
        <v>No data</v>
      </c>
      <c r="BX55" s="434" t="str">
        <f t="shared" si="41"/>
        <v>No data</v>
      </c>
      <c r="BY55" s="434" t="str">
        <f t="shared" si="42"/>
        <v>No data</v>
      </c>
      <c r="BZ55" s="434" t="str">
        <f t="shared" si="43"/>
        <v>No data</v>
      </c>
      <c r="CA55" s="434" t="str">
        <f t="shared" si="44"/>
        <v>No data</v>
      </c>
      <c r="CB55" s="434" t="str">
        <f t="shared" si="45"/>
        <v>No data</v>
      </c>
      <c r="CC55" s="434" t="str">
        <f t="shared" si="46"/>
        <v>No data</v>
      </c>
      <c r="CD55" s="434" t="str">
        <f t="shared" si="47"/>
        <v>No data</v>
      </c>
      <c r="CE55" s="434" t="str">
        <f t="shared" si="48"/>
        <v>No data</v>
      </c>
      <c r="CF55" s="434" t="str">
        <f t="shared" si="49"/>
        <v>No data</v>
      </c>
      <c r="CG55" s="434" t="str">
        <f t="shared" si="50"/>
        <v>No data</v>
      </c>
      <c r="CH55" s="434" t="str">
        <f t="shared" si="51"/>
        <v>No data</v>
      </c>
      <c r="CI55" s="435">
        <f t="shared" si="52"/>
        <v>0</v>
      </c>
      <c r="CK55" s="3" t="str">
        <f>_xlfn.LET(_xlpm.x,INDEX(tbl_Mat_def[],MATCH(BF55,ls_Mat_def,0),2),IFERROR(IF(_xlpm.x=0,"No","Yes"),"No"))</f>
        <v>No</v>
      </c>
      <c r="CM55" s="60" t="str">
        <f t="shared" si="53"/>
        <v/>
      </c>
      <c r="CN55" s="60" t="s">
        <v>235</v>
      </c>
      <c r="CO55" s="566" t="str">
        <f>_xlfn.XLOOKUP(CM55,tblGWP[Material Subcategory],tblGWP[Landfill],0)</f>
        <v/>
      </c>
      <c r="CP55" s="436" t="str">
        <f t="shared" si="54"/>
        <v/>
      </c>
      <c r="DD55" s="388">
        <f t="shared" si="29"/>
        <v>0</v>
      </c>
      <c r="DE55" s="22">
        <f t="shared" si="55"/>
        <v>19</v>
      </c>
      <c r="DF55" s="387">
        <f t="shared" si="30"/>
        <v>0</v>
      </c>
      <c r="DG55" s="387">
        <f t="shared" si="56"/>
        <v>0</v>
      </c>
      <c r="DH55" s="22">
        <f t="shared" ca="1" si="57"/>
        <v>0</v>
      </c>
      <c r="DI55">
        <f t="shared" ca="1" si="58"/>
        <v>0</v>
      </c>
    </row>
    <row r="56" spans="1:113" ht="30" hidden="1" customHeight="1" outlineLevel="1">
      <c r="A56" s="22" t="str">
        <f t="shared" si="28"/>
        <v/>
      </c>
      <c r="B56" s="272"/>
      <c r="C56" s="491"/>
      <c r="D56" s="272"/>
      <c r="E56" s="400"/>
      <c r="F56" s="400"/>
      <c r="G56" s="401"/>
      <c r="H56" s="376"/>
      <c r="I56" s="376"/>
      <c r="J56" s="376"/>
      <c r="K56" s="376"/>
      <c r="L56" s="376"/>
      <c r="M56" s="376"/>
      <c r="N56" s="376"/>
      <c r="O56" s="376"/>
      <c r="P56" s="376"/>
      <c r="Q56" s="376"/>
      <c r="R56" s="376"/>
      <c r="S56" s="376"/>
      <c r="T56" s="431">
        <f t="shared" si="33"/>
        <v>0</v>
      </c>
      <c r="U56" s="272"/>
      <c r="BC56" s="432" t="str">
        <f t="shared" si="34"/>
        <v/>
      </c>
      <c r="BD56" s="432" t="str">
        <f t="shared" si="35"/>
        <v/>
      </c>
      <c r="BE56" s="432" t="str">
        <f t="shared" si="36"/>
        <v/>
      </c>
      <c r="BF56" s="432" t="str">
        <f t="shared" si="37"/>
        <v/>
      </c>
      <c r="BG56" s="432" t="str">
        <f t="shared" si="38"/>
        <v/>
      </c>
      <c r="BH56" s="432" t="str">
        <f>_xlfn.LET(_xlpm.x,H56,IF(OR(LEN(_xlpm.x)&lt;1,_xlpm.x=0),"",CONVERT(_xlpm.x,BH7,"kg")))</f>
        <v/>
      </c>
      <c r="BI56" s="432" t="str">
        <f>_xlfn.LET(_xlpm.x,I56,IF(OR(LEN(_xlpm.x)&lt;1,_xlpm.x=0),"",CONVERT(_xlpm.x,BH7,"kg")))</f>
        <v/>
      </c>
      <c r="BJ56" s="432" t="str">
        <f>_xlfn.LET(_xlpm.x,J56,IF(OR(LEN(_xlpm.x)&lt;1,_xlpm.x=0),"",CONVERT(_xlpm.x,BH7,"kg")))</f>
        <v/>
      </c>
      <c r="BK56" s="432" t="str">
        <f>_xlfn.LET(_xlpm.x,K56,IF(OR(LEN(_xlpm.x)&lt;1,_xlpm.x=0),"",CONVERT(_xlpm.x,BH7,"kg")))</f>
        <v/>
      </c>
      <c r="BL56" s="432" t="str">
        <f>_xlfn.LET(_xlpm.x,L56,IF(OR(LEN(_xlpm.x)&lt;1,_xlpm.x=0),"",CONVERT(_xlpm.x,BH7,"kg")))</f>
        <v/>
      </c>
      <c r="BM56" s="432" t="str">
        <f>_xlfn.LET(_xlpm.x,M56,IF(OR(LEN(_xlpm.x)&lt;1,_xlpm.x=0),"",CONVERT(_xlpm.x,BH7,"kg")))</f>
        <v/>
      </c>
      <c r="BN56" s="432" t="str">
        <f>_xlfn.LET(_xlpm.x,N56,IF(OR(LEN(_xlpm.x)&lt;1,_xlpm.x=0),"",CONVERT(_xlpm.x,BH7,"kg")))</f>
        <v/>
      </c>
      <c r="BO56" s="432" t="str">
        <f>_xlfn.LET(_xlpm.x,O56,IF(OR(LEN(_xlpm.x)&lt;1,_xlpm.x=0),"",CONVERT(_xlpm.x,BH7,"kg")))</f>
        <v/>
      </c>
      <c r="BP56" s="432" t="str">
        <f>_xlfn.LET(_xlpm.x,P56,IF(OR(LEN(_xlpm.x)&lt;1,_xlpm.x=0),"",CONVERT(_xlpm.x,BH7,"kg")))</f>
        <v/>
      </c>
      <c r="BQ56" s="432" t="str">
        <f>_xlfn.LET(_xlpm.x,Q56,IF(OR(LEN(_xlpm.x)&lt;1,_xlpm.x=0),"",CONVERT(_xlpm.x,BH7,"kg")))</f>
        <v/>
      </c>
      <c r="BR56" s="432" t="str">
        <f>_xlfn.LET(_xlpm.x,R56,IF(OR(LEN(_xlpm.x)&lt;1,_xlpm.x=0),"",CONVERT(_xlpm.x,BH7,"kg")))</f>
        <v/>
      </c>
      <c r="BS56" s="432" t="str">
        <f>_xlfn.LET(_xlpm.x,S56,IF(OR(LEN(_xlpm.x)&lt;1,_xlpm.x=0),"",CONVERT(_xlpm.x,BH7,"kg")))</f>
        <v/>
      </c>
      <c r="BT56" s="433">
        <f t="shared" si="39"/>
        <v>0</v>
      </c>
      <c r="BU56" s="433" t="str">
        <f>_xlfn.LET(_xlpm.x,BF56,IF(LEN(_xlpm.x)&lt;1,"",IF(ISNUMBER(MATCH(_xlpm.x,ls_Mat_def,0)),'Project Inputs'!$BF$14,99)))</f>
        <v/>
      </c>
      <c r="BV56" s="432" t="str" cm="1">
        <f t="array" ref="BV56">IFERROR(INDEX(tblGWP[],MATCH(1,(tblGWP[Dataset ID]=BU56)*(tblGWP[Material Subcategory]=BF56),0),MATCH(BG56,ls_WHM,0)+5),"confirm")</f>
        <v>confirm</v>
      </c>
      <c r="BW56" s="434" t="str">
        <f t="shared" si="40"/>
        <v>No data</v>
      </c>
      <c r="BX56" s="434" t="str">
        <f t="shared" si="41"/>
        <v>No data</v>
      </c>
      <c r="BY56" s="434" t="str">
        <f t="shared" si="42"/>
        <v>No data</v>
      </c>
      <c r="BZ56" s="434" t="str">
        <f t="shared" si="43"/>
        <v>No data</v>
      </c>
      <c r="CA56" s="434" t="str">
        <f t="shared" si="44"/>
        <v>No data</v>
      </c>
      <c r="CB56" s="434" t="str">
        <f t="shared" si="45"/>
        <v>No data</v>
      </c>
      <c r="CC56" s="434" t="str">
        <f t="shared" si="46"/>
        <v>No data</v>
      </c>
      <c r="CD56" s="434" t="str">
        <f t="shared" si="47"/>
        <v>No data</v>
      </c>
      <c r="CE56" s="434" t="str">
        <f t="shared" si="48"/>
        <v>No data</v>
      </c>
      <c r="CF56" s="434" t="str">
        <f t="shared" si="49"/>
        <v>No data</v>
      </c>
      <c r="CG56" s="434" t="str">
        <f t="shared" si="50"/>
        <v>No data</v>
      </c>
      <c r="CH56" s="434" t="str">
        <f t="shared" si="51"/>
        <v>No data</v>
      </c>
      <c r="CI56" s="435">
        <f t="shared" si="52"/>
        <v>0</v>
      </c>
      <c r="CK56" s="3" t="str">
        <f>_xlfn.LET(_xlpm.x,INDEX(tbl_Mat_def[],MATCH(BF56,ls_Mat_def,0),2),IFERROR(IF(_xlpm.x=0,"No","Yes"),"No"))</f>
        <v>No</v>
      </c>
      <c r="CM56" s="60" t="str">
        <f t="shared" si="53"/>
        <v/>
      </c>
      <c r="CN56" s="60" t="s">
        <v>235</v>
      </c>
      <c r="CO56" s="566" t="str">
        <f>_xlfn.XLOOKUP(CM56,tblGWP[Material Subcategory],tblGWP[Landfill],0)</f>
        <v/>
      </c>
      <c r="CP56" s="436" t="str">
        <f t="shared" si="54"/>
        <v/>
      </c>
      <c r="DD56" s="388">
        <f t="shared" si="29"/>
        <v>0</v>
      </c>
      <c r="DE56" s="22">
        <f t="shared" si="55"/>
        <v>19</v>
      </c>
      <c r="DF56" s="387">
        <f t="shared" si="30"/>
        <v>0</v>
      </c>
      <c r="DG56" s="387">
        <f t="shared" si="56"/>
        <v>0</v>
      </c>
      <c r="DH56" s="22">
        <f t="shared" ca="1" si="57"/>
        <v>0</v>
      </c>
      <c r="DI56">
        <f t="shared" ca="1" si="58"/>
        <v>0</v>
      </c>
    </row>
    <row r="57" spans="1:113" ht="30" hidden="1" customHeight="1" outlineLevel="1">
      <c r="A57" s="22" t="str">
        <f t="shared" si="28"/>
        <v/>
      </c>
      <c r="B57" s="272"/>
      <c r="C57" s="491"/>
      <c r="D57" s="272"/>
      <c r="E57" s="400"/>
      <c r="F57" s="400"/>
      <c r="G57" s="401"/>
      <c r="H57" s="376"/>
      <c r="I57" s="376"/>
      <c r="J57" s="376"/>
      <c r="K57" s="376"/>
      <c r="L57" s="376"/>
      <c r="M57" s="376"/>
      <c r="N57" s="376"/>
      <c r="O57" s="376"/>
      <c r="P57" s="376"/>
      <c r="Q57" s="376"/>
      <c r="R57" s="376"/>
      <c r="S57" s="376"/>
      <c r="T57" s="431">
        <f t="shared" si="33"/>
        <v>0</v>
      </c>
      <c r="U57" s="272"/>
      <c r="BC57" s="432" t="str">
        <f t="shared" si="34"/>
        <v/>
      </c>
      <c r="BD57" s="432" t="str">
        <f t="shared" si="35"/>
        <v/>
      </c>
      <c r="BE57" s="432" t="str">
        <f t="shared" si="36"/>
        <v/>
      </c>
      <c r="BF57" s="432" t="str">
        <f t="shared" si="37"/>
        <v/>
      </c>
      <c r="BG57" s="432" t="str">
        <f t="shared" si="38"/>
        <v/>
      </c>
      <c r="BH57" s="432" t="str">
        <f>_xlfn.LET(_xlpm.x,H57,IF(OR(LEN(_xlpm.x)&lt;1,_xlpm.x=0),"",CONVERT(_xlpm.x,BH7,"kg")))</f>
        <v/>
      </c>
      <c r="BI57" s="432" t="str">
        <f>_xlfn.LET(_xlpm.x,I57,IF(OR(LEN(_xlpm.x)&lt;1,_xlpm.x=0),"",CONVERT(_xlpm.x,BH7,"kg")))</f>
        <v/>
      </c>
      <c r="BJ57" s="432" t="str">
        <f>_xlfn.LET(_xlpm.x,J57,IF(OR(LEN(_xlpm.x)&lt;1,_xlpm.x=0),"",CONVERT(_xlpm.x,BH7,"kg")))</f>
        <v/>
      </c>
      <c r="BK57" s="432" t="str">
        <f>_xlfn.LET(_xlpm.x,K57,IF(OR(LEN(_xlpm.x)&lt;1,_xlpm.x=0),"",CONVERT(_xlpm.x,BH7,"kg")))</f>
        <v/>
      </c>
      <c r="BL57" s="432" t="str">
        <f>_xlfn.LET(_xlpm.x,L57,IF(OR(LEN(_xlpm.x)&lt;1,_xlpm.x=0),"",CONVERT(_xlpm.x,BH7,"kg")))</f>
        <v/>
      </c>
      <c r="BM57" s="432" t="str">
        <f>_xlfn.LET(_xlpm.x,M57,IF(OR(LEN(_xlpm.x)&lt;1,_xlpm.x=0),"",CONVERT(_xlpm.x,BH7,"kg")))</f>
        <v/>
      </c>
      <c r="BN57" s="432" t="str">
        <f>_xlfn.LET(_xlpm.x,N57,IF(OR(LEN(_xlpm.x)&lt;1,_xlpm.x=0),"",CONVERT(_xlpm.x,BH7,"kg")))</f>
        <v/>
      </c>
      <c r="BO57" s="432" t="str">
        <f>_xlfn.LET(_xlpm.x,O57,IF(OR(LEN(_xlpm.x)&lt;1,_xlpm.x=0),"",CONVERT(_xlpm.x,BH7,"kg")))</f>
        <v/>
      </c>
      <c r="BP57" s="432" t="str">
        <f>_xlfn.LET(_xlpm.x,P57,IF(OR(LEN(_xlpm.x)&lt;1,_xlpm.x=0),"",CONVERT(_xlpm.x,BH7,"kg")))</f>
        <v/>
      </c>
      <c r="BQ57" s="432" t="str">
        <f>_xlfn.LET(_xlpm.x,Q57,IF(OR(LEN(_xlpm.x)&lt;1,_xlpm.x=0),"",CONVERT(_xlpm.x,BH7,"kg")))</f>
        <v/>
      </c>
      <c r="BR57" s="432" t="str">
        <f>_xlfn.LET(_xlpm.x,R57,IF(OR(LEN(_xlpm.x)&lt;1,_xlpm.x=0),"",CONVERT(_xlpm.x,BH7,"kg")))</f>
        <v/>
      </c>
      <c r="BS57" s="432" t="str">
        <f>_xlfn.LET(_xlpm.x,S57,IF(OR(LEN(_xlpm.x)&lt;1,_xlpm.x=0),"",CONVERT(_xlpm.x,BH7,"kg")))</f>
        <v/>
      </c>
      <c r="BT57" s="433">
        <f t="shared" si="39"/>
        <v>0</v>
      </c>
      <c r="BU57" s="433" t="str">
        <f>_xlfn.LET(_xlpm.x,BF57,IF(LEN(_xlpm.x)&lt;1,"",IF(ISNUMBER(MATCH(_xlpm.x,ls_Mat_def,0)),'Project Inputs'!$BF$14,99)))</f>
        <v/>
      </c>
      <c r="BV57" s="432" t="str" cm="1">
        <f t="array" ref="BV57">IFERROR(INDEX(tblGWP[],MATCH(1,(tblGWP[Dataset ID]=BU57)*(tblGWP[Material Subcategory]=BF57),0),MATCH(BG57,ls_WHM,0)+5),"confirm")</f>
        <v>confirm</v>
      </c>
      <c r="BW57" s="434" t="str">
        <f t="shared" si="40"/>
        <v>No data</v>
      </c>
      <c r="BX57" s="434" t="str">
        <f t="shared" si="41"/>
        <v>No data</v>
      </c>
      <c r="BY57" s="434" t="str">
        <f t="shared" si="42"/>
        <v>No data</v>
      </c>
      <c r="BZ57" s="434" t="str">
        <f t="shared" si="43"/>
        <v>No data</v>
      </c>
      <c r="CA57" s="434" t="str">
        <f t="shared" si="44"/>
        <v>No data</v>
      </c>
      <c r="CB57" s="434" t="str">
        <f t="shared" si="45"/>
        <v>No data</v>
      </c>
      <c r="CC57" s="434" t="str">
        <f t="shared" si="46"/>
        <v>No data</v>
      </c>
      <c r="CD57" s="434" t="str">
        <f t="shared" si="47"/>
        <v>No data</v>
      </c>
      <c r="CE57" s="434" t="str">
        <f t="shared" si="48"/>
        <v>No data</v>
      </c>
      <c r="CF57" s="434" t="str">
        <f t="shared" si="49"/>
        <v>No data</v>
      </c>
      <c r="CG57" s="434" t="str">
        <f t="shared" si="50"/>
        <v>No data</v>
      </c>
      <c r="CH57" s="434" t="str">
        <f t="shared" si="51"/>
        <v>No data</v>
      </c>
      <c r="CI57" s="435">
        <f t="shared" si="52"/>
        <v>0</v>
      </c>
      <c r="CK57" s="3" t="str">
        <f>_xlfn.LET(_xlpm.x,INDEX(tbl_Mat_def[],MATCH(BF57,ls_Mat_def,0),2),IFERROR(IF(_xlpm.x=0,"No","Yes"),"No"))</f>
        <v>No</v>
      </c>
      <c r="CM57" s="60" t="str">
        <f t="shared" si="53"/>
        <v/>
      </c>
      <c r="CN57" s="60" t="s">
        <v>235</v>
      </c>
      <c r="CO57" s="566" t="str">
        <f>_xlfn.XLOOKUP(CM57,tblGWP[Material Subcategory],tblGWP[Landfill],0)</f>
        <v/>
      </c>
      <c r="CP57" s="436" t="str">
        <f t="shared" si="54"/>
        <v/>
      </c>
      <c r="DD57" s="388">
        <f t="shared" si="29"/>
        <v>0</v>
      </c>
      <c r="DE57" s="22">
        <f t="shared" si="55"/>
        <v>19</v>
      </c>
      <c r="DF57" s="387">
        <f t="shared" si="30"/>
        <v>0</v>
      </c>
      <c r="DG57" s="387">
        <f t="shared" si="56"/>
        <v>0</v>
      </c>
      <c r="DH57" s="22">
        <f t="shared" ca="1" si="57"/>
        <v>0</v>
      </c>
      <c r="DI57">
        <f t="shared" ca="1" si="58"/>
        <v>0</v>
      </c>
    </row>
    <row r="58" spans="1:113" ht="30" hidden="1" customHeight="1" outlineLevel="1">
      <c r="A58" s="22" t="str">
        <f t="shared" si="28"/>
        <v/>
      </c>
      <c r="B58" s="272"/>
      <c r="C58" s="491"/>
      <c r="D58" s="272"/>
      <c r="E58" s="400"/>
      <c r="F58" s="400"/>
      <c r="G58" s="401"/>
      <c r="H58" s="376"/>
      <c r="I58" s="376"/>
      <c r="J58" s="376"/>
      <c r="K58" s="376"/>
      <c r="L58" s="376"/>
      <c r="M58" s="376"/>
      <c r="N58" s="376"/>
      <c r="O58" s="376"/>
      <c r="P58" s="376"/>
      <c r="Q58" s="376"/>
      <c r="R58" s="376"/>
      <c r="S58" s="376"/>
      <c r="T58" s="431">
        <f t="shared" si="33"/>
        <v>0</v>
      </c>
      <c r="U58" s="272"/>
      <c r="BC58" s="432" t="str">
        <f t="shared" si="34"/>
        <v/>
      </c>
      <c r="BD58" s="432" t="str">
        <f t="shared" si="35"/>
        <v/>
      </c>
      <c r="BE58" s="432" t="str">
        <f t="shared" si="36"/>
        <v/>
      </c>
      <c r="BF58" s="432" t="str">
        <f t="shared" si="37"/>
        <v/>
      </c>
      <c r="BG58" s="432" t="str">
        <f t="shared" si="38"/>
        <v/>
      </c>
      <c r="BH58" s="432" t="str">
        <f>_xlfn.LET(_xlpm.x,H58,IF(OR(LEN(_xlpm.x)&lt;1,_xlpm.x=0),"",CONVERT(_xlpm.x,BH7,"kg")))</f>
        <v/>
      </c>
      <c r="BI58" s="432" t="str">
        <f>_xlfn.LET(_xlpm.x,I58,IF(OR(LEN(_xlpm.x)&lt;1,_xlpm.x=0),"",CONVERT(_xlpm.x,BH7,"kg")))</f>
        <v/>
      </c>
      <c r="BJ58" s="432" t="str">
        <f>_xlfn.LET(_xlpm.x,J58,IF(OR(LEN(_xlpm.x)&lt;1,_xlpm.x=0),"",CONVERT(_xlpm.x,BH7,"kg")))</f>
        <v/>
      </c>
      <c r="BK58" s="432" t="str">
        <f>_xlfn.LET(_xlpm.x,K58,IF(OR(LEN(_xlpm.x)&lt;1,_xlpm.x=0),"",CONVERT(_xlpm.x,BH7,"kg")))</f>
        <v/>
      </c>
      <c r="BL58" s="432" t="str">
        <f>_xlfn.LET(_xlpm.x,L58,IF(OR(LEN(_xlpm.x)&lt;1,_xlpm.x=0),"",CONVERT(_xlpm.x,BH7,"kg")))</f>
        <v/>
      </c>
      <c r="BM58" s="432" t="str">
        <f>_xlfn.LET(_xlpm.x,M58,IF(OR(LEN(_xlpm.x)&lt;1,_xlpm.x=0),"",CONVERT(_xlpm.x,BH7,"kg")))</f>
        <v/>
      </c>
      <c r="BN58" s="432" t="str">
        <f>_xlfn.LET(_xlpm.x,N58,IF(OR(LEN(_xlpm.x)&lt;1,_xlpm.x=0),"",CONVERT(_xlpm.x,BH7,"kg")))</f>
        <v/>
      </c>
      <c r="BO58" s="432" t="str">
        <f>_xlfn.LET(_xlpm.x,O58,IF(OR(LEN(_xlpm.x)&lt;1,_xlpm.x=0),"",CONVERT(_xlpm.x,BH7,"kg")))</f>
        <v/>
      </c>
      <c r="BP58" s="432" t="str">
        <f>_xlfn.LET(_xlpm.x,P58,IF(OR(LEN(_xlpm.x)&lt;1,_xlpm.x=0),"",CONVERT(_xlpm.x,BH7,"kg")))</f>
        <v/>
      </c>
      <c r="BQ58" s="432" t="str">
        <f>_xlfn.LET(_xlpm.x,Q58,IF(OR(LEN(_xlpm.x)&lt;1,_xlpm.x=0),"",CONVERT(_xlpm.x,BH7,"kg")))</f>
        <v/>
      </c>
      <c r="BR58" s="432" t="str">
        <f>_xlfn.LET(_xlpm.x,R58,IF(OR(LEN(_xlpm.x)&lt;1,_xlpm.x=0),"",CONVERT(_xlpm.x,BH7,"kg")))</f>
        <v/>
      </c>
      <c r="BS58" s="432" t="str">
        <f>_xlfn.LET(_xlpm.x,S58,IF(OR(LEN(_xlpm.x)&lt;1,_xlpm.x=0),"",CONVERT(_xlpm.x,BH7,"kg")))</f>
        <v/>
      </c>
      <c r="BT58" s="433">
        <f t="shared" si="39"/>
        <v>0</v>
      </c>
      <c r="BU58" s="433" t="str">
        <f>_xlfn.LET(_xlpm.x,BF58,IF(LEN(_xlpm.x)&lt;1,"",IF(ISNUMBER(MATCH(_xlpm.x,ls_Mat_def,0)),'Project Inputs'!$BF$14,99)))</f>
        <v/>
      </c>
      <c r="BV58" s="432" t="str" cm="1">
        <f t="array" ref="BV58">IFERROR(INDEX(tblGWP[],MATCH(1,(tblGWP[Dataset ID]=BU58)*(tblGWP[Material Subcategory]=BF58),0),MATCH(BG58,ls_WHM,0)+5),"confirm")</f>
        <v>confirm</v>
      </c>
      <c r="BW58" s="434" t="str">
        <f t="shared" si="40"/>
        <v>No data</v>
      </c>
      <c r="BX58" s="434" t="str">
        <f t="shared" si="41"/>
        <v>No data</v>
      </c>
      <c r="BY58" s="434" t="str">
        <f t="shared" si="42"/>
        <v>No data</v>
      </c>
      <c r="BZ58" s="434" t="str">
        <f t="shared" si="43"/>
        <v>No data</v>
      </c>
      <c r="CA58" s="434" t="str">
        <f t="shared" si="44"/>
        <v>No data</v>
      </c>
      <c r="CB58" s="434" t="str">
        <f t="shared" si="45"/>
        <v>No data</v>
      </c>
      <c r="CC58" s="434" t="str">
        <f t="shared" si="46"/>
        <v>No data</v>
      </c>
      <c r="CD58" s="434" t="str">
        <f t="shared" si="47"/>
        <v>No data</v>
      </c>
      <c r="CE58" s="434" t="str">
        <f t="shared" si="48"/>
        <v>No data</v>
      </c>
      <c r="CF58" s="434" t="str">
        <f t="shared" si="49"/>
        <v>No data</v>
      </c>
      <c r="CG58" s="434" t="str">
        <f t="shared" si="50"/>
        <v>No data</v>
      </c>
      <c r="CH58" s="434" t="str">
        <f t="shared" si="51"/>
        <v>No data</v>
      </c>
      <c r="CI58" s="435">
        <f t="shared" si="52"/>
        <v>0</v>
      </c>
      <c r="CK58" s="3" t="str">
        <f>_xlfn.LET(_xlpm.x,INDEX(tbl_Mat_def[],MATCH(BF58,ls_Mat_def,0),2),IFERROR(IF(_xlpm.x=0,"No","Yes"),"No"))</f>
        <v>No</v>
      </c>
      <c r="CM58" s="60" t="str">
        <f t="shared" si="53"/>
        <v/>
      </c>
      <c r="CN58" s="60" t="s">
        <v>235</v>
      </c>
      <c r="CO58" s="566" t="str">
        <f>_xlfn.XLOOKUP(CM58,tblGWP[Material Subcategory],tblGWP[Landfill],0)</f>
        <v/>
      </c>
      <c r="CP58" s="436" t="str">
        <f t="shared" si="54"/>
        <v/>
      </c>
      <c r="DD58" s="388">
        <f t="shared" si="29"/>
        <v>0</v>
      </c>
      <c r="DE58" s="22">
        <f t="shared" si="55"/>
        <v>19</v>
      </c>
      <c r="DF58" s="387">
        <f t="shared" si="30"/>
        <v>0</v>
      </c>
      <c r="DG58" s="387">
        <f t="shared" si="56"/>
        <v>0</v>
      </c>
      <c r="DH58" s="22">
        <f t="shared" ca="1" si="57"/>
        <v>0</v>
      </c>
      <c r="DI58">
        <f t="shared" ca="1" si="58"/>
        <v>0</v>
      </c>
    </row>
    <row r="59" spans="1:113" ht="30" hidden="1" customHeight="1" outlineLevel="1">
      <c r="A59" s="22" t="str">
        <f t="shared" si="28"/>
        <v/>
      </c>
      <c r="B59" s="272"/>
      <c r="C59" s="491"/>
      <c r="D59" s="272"/>
      <c r="E59" s="400"/>
      <c r="F59" s="400"/>
      <c r="G59" s="401"/>
      <c r="H59" s="376"/>
      <c r="I59" s="376"/>
      <c r="J59" s="376"/>
      <c r="K59" s="376"/>
      <c r="L59" s="376"/>
      <c r="M59" s="376"/>
      <c r="N59" s="376"/>
      <c r="O59" s="376"/>
      <c r="P59" s="376"/>
      <c r="Q59" s="376"/>
      <c r="R59" s="376"/>
      <c r="S59" s="376"/>
      <c r="T59" s="431">
        <f t="shared" si="33"/>
        <v>0</v>
      </c>
      <c r="U59" s="272"/>
      <c r="BC59" s="432" t="str">
        <f t="shared" si="34"/>
        <v/>
      </c>
      <c r="BD59" s="432" t="str">
        <f t="shared" si="35"/>
        <v/>
      </c>
      <c r="BE59" s="432" t="str">
        <f t="shared" si="36"/>
        <v/>
      </c>
      <c r="BF59" s="432" t="str">
        <f t="shared" si="37"/>
        <v/>
      </c>
      <c r="BG59" s="432" t="str">
        <f t="shared" si="38"/>
        <v/>
      </c>
      <c r="BH59" s="432" t="str">
        <f>_xlfn.LET(_xlpm.x,H59,IF(OR(LEN(_xlpm.x)&lt;1,_xlpm.x=0),"",CONVERT(_xlpm.x,BH7,"kg")))</f>
        <v/>
      </c>
      <c r="BI59" s="432" t="str">
        <f>_xlfn.LET(_xlpm.x,I59,IF(OR(LEN(_xlpm.x)&lt;1,_xlpm.x=0),"",CONVERT(_xlpm.x,BH7,"kg")))</f>
        <v/>
      </c>
      <c r="BJ59" s="432" t="str">
        <f>_xlfn.LET(_xlpm.x,J59,IF(OR(LEN(_xlpm.x)&lt;1,_xlpm.x=0),"",CONVERT(_xlpm.x,BH7,"kg")))</f>
        <v/>
      </c>
      <c r="BK59" s="432" t="str">
        <f>_xlfn.LET(_xlpm.x,K59,IF(OR(LEN(_xlpm.x)&lt;1,_xlpm.x=0),"",CONVERT(_xlpm.x,BH7,"kg")))</f>
        <v/>
      </c>
      <c r="BL59" s="432" t="str">
        <f>_xlfn.LET(_xlpm.x,L59,IF(OR(LEN(_xlpm.x)&lt;1,_xlpm.x=0),"",CONVERT(_xlpm.x,BH7,"kg")))</f>
        <v/>
      </c>
      <c r="BM59" s="432" t="str">
        <f>_xlfn.LET(_xlpm.x,M59,IF(OR(LEN(_xlpm.x)&lt;1,_xlpm.x=0),"",CONVERT(_xlpm.x,BH7,"kg")))</f>
        <v/>
      </c>
      <c r="BN59" s="432" t="str">
        <f>_xlfn.LET(_xlpm.x,N59,IF(OR(LEN(_xlpm.x)&lt;1,_xlpm.x=0),"",CONVERT(_xlpm.x,BH7,"kg")))</f>
        <v/>
      </c>
      <c r="BO59" s="432" t="str">
        <f>_xlfn.LET(_xlpm.x,O59,IF(OR(LEN(_xlpm.x)&lt;1,_xlpm.x=0),"",CONVERT(_xlpm.x,BH7,"kg")))</f>
        <v/>
      </c>
      <c r="BP59" s="432" t="str">
        <f>_xlfn.LET(_xlpm.x,P59,IF(OR(LEN(_xlpm.x)&lt;1,_xlpm.x=0),"",CONVERT(_xlpm.x,BH7,"kg")))</f>
        <v/>
      </c>
      <c r="BQ59" s="432" t="str">
        <f>_xlfn.LET(_xlpm.x,Q59,IF(OR(LEN(_xlpm.x)&lt;1,_xlpm.x=0),"",CONVERT(_xlpm.x,BH7,"kg")))</f>
        <v/>
      </c>
      <c r="BR59" s="432" t="str">
        <f>_xlfn.LET(_xlpm.x,R59,IF(OR(LEN(_xlpm.x)&lt;1,_xlpm.x=0),"",CONVERT(_xlpm.x,BH7,"kg")))</f>
        <v/>
      </c>
      <c r="BS59" s="432" t="str">
        <f>_xlfn.LET(_xlpm.x,S59,IF(OR(LEN(_xlpm.x)&lt;1,_xlpm.x=0),"",CONVERT(_xlpm.x,BH7,"kg")))</f>
        <v/>
      </c>
      <c r="BT59" s="433">
        <f t="shared" si="39"/>
        <v>0</v>
      </c>
      <c r="BU59" s="433" t="str">
        <f>_xlfn.LET(_xlpm.x,BF59,IF(LEN(_xlpm.x)&lt;1,"",IF(ISNUMBER(MATCH(_xlpm.x,ls_Mat_def,0)),'Project Inputs'!$BF$14,99)))</f>
        <v/>
      </c>
      <c r="BV59" s="432" t="str" cm="1">
        <f t="array" ref="BV59">IFERROR(INDEX(tblGWP[],MATCH(1,(tblGWP[Dataset ID]=BU59)*(tblGWP[Material Subcategory]=BF59),0),MATCH(BG59,ls_WHM,0)+5),"confirm")</f>
        <v>confirm</v>
      </c>
      <c r="BW59" s="434" t="str">
        <f t="shared" si="40"/>
        <v>No data</v>
      </c>
      <c r="BX59" s="434" t="str">
        <f t="shared" si="41"/>
        <v>No data</v>
      </c>
      <c r="BY59" s="434" t="str">
        <f t="shared" si="42"/>
        <v>No data</v>
      </c>
      <c r="BZ59" s="434" t="str">
        <f t="shared" si="43"/>
        <v>No data</v>
      </c>
      <c r="CA59" s="434" t="str">
        <f t="shared" si="44"/>
        <v>No data</v>
      </c>
      <c r="CB59" s="434" t="str">
        <f t="shared" si="45"/>
        <v>No data</v>
      </c>
      <c r="CC59" s="434" t="str">
        <f t="shared" si="46"/>
        <v>No data</v>
      </c>
      <c r="CD59" s="434" t="str">
        <f t="shared" si="47"/>
        <v>No data</v>
      </c>
      <c r="CE59" s="434" t="str">
        <f t="shared" si="48"/>
        <v>No data</v>
      </c>
      <c r="CF59" s="434" t="str">
        <f t="shared" si="49"/>
        <v>No data</v>
      </c>
      <c r="CG59" s="434" t="str">
        <f t="shared" si="50"/>
        <v>No data</v>
      </c>
      <c r="CH59" s="434" t="str">
        <f t="shared" si="51"/>
        <v>No data</v>
      </c>
      <c r="CI59" s="435">
        <f t="shared" si="52"/>
        <v>0</v>
      </c>
      <c r="CK59" s="3" t="str">
        <f>_xlfn.LET(_xlpm.x,INDEX(tbl_Mat_def[],MATCH(BF59,ls_Mat_def,0),2),IFERROR(IF(_xlpm.x=0,"No","Yes"),"No"))</f>
        <v>No</v>
      </c>
      <c r="CM59" s="60" t="str">
        <f t="shared" si="53"/>
        <v/>
      </c>
      <c r="CN59" s="60" t="s">
        <v>235</v>
      </c>
      <c r="CO59" s="566" t="str">
        <f>_xlfn.XLOOKUP(CM59,tblGWP[Material Subcategory],tblGWP[Landfill],0)</f>
        <v/>
      </c>
      <c r="CP59" s="436" t="str">
        <f t="shared" si="54"/>
        <v/>
      </c>
      <c r="DD59" s="388">
        <f t="shared" si="29"/>
        <v>0</v>
      </c>
      <c r="DE59" s="22">
        <f t="shared" si="55"/>
        <v>19</v>
      </c>
      <c r="DF59" s="387">
        <f t="shared" si="30"/>
        <v>0</v>
      </c>
      <c r="DG59" s="387">
        <f t="shared" si="56"/>
        <v>0</v>
      </c>
      <c r="DH59" s="22">
        <f t="shared" ca="1" si="57"/>
        <v>0</v>
      </c>
      <c r="DI59">
        <f t="shared" ca="1" si="58"/>
        <v>0</v>
      </c>
    </row>
    <row r="60" spans="1:113" ht="30" hidden="1" customHeight="1" outlineLevel="1">
      <c r="A60" s="22" t="str">
        <f t="shared" si="28"/>
        <v/>
      </c>
      <c r="B60" s="272"/>
      <c r="C60" s="491"/>
      <c r="D60" s="272"/>
      <c r="E60" s="400"/>
      <c r="F60" s="400"/>
      <c r="G60" s="401"/>
      <c r="H60" s="376"/>
      <c r="I60" s="376"/>
      <c r="J60" s="376"/>
      <c r="K60" s="376"/>
      <c r="L60" s="376"/>
      <c r="M60" s="376"/>
      <c r="N60" s="376"/>
      <c r="O60" s="376"/>
      <c r="P60" s="376"/>
      <c r="Q60" s="376"/>
      <c r="R60" s="376"/>
      <c r="S60" s="376"/>
      <c r="T60" s="431">
        <f t="shared" si="33"/>
        <v>0</v>
      </c>
      <c r="U60" s="272"/>
      <c r="BC60" s="432" t="str">
        <f t="shared" si="34"/>
        <v/>
      </c>
      <c r="BD60" s="432" t="str">
        <f t="shared" si="35"/>
        <v/>
      </c>
      <c r="BE60" s="432" t="str">
        <f t="shared" si="36"/>
        <v/>
      </c>
      <c r="BF60" s="432" t="str">
        <f t="shared" si="37"/>
        <v/>
      </c>
      <c r="BG60" s="432" t="str">
        <f t="shared" si="38"/>
        <v/>
      </c>
      <c r="BH60" s="432" t="str">
        <f>_xlfn.LET(_xlpm.x,H60,IF(OR(LEN(_xlpm.x)&lt;1,_xlpm.x=0),"",CONVERT(_xlpm.x,BH7,"kg")))</f>
        <v/>
      </c>
      <c r="BI60" s="432" t="str">
        <f>_xlfn.LET(_xlpm.x,I60,IF(OR(LEN(_xlpm.x)&lt;1,_xlpm.x=0),"",CONVERT(_xlpm.x,BH7,"kg")))</f>
        <v/>
      </c>
      <c r="BJ60" s="432" t="str">
        <f>_xlfn.LET(_xlpm.x,J60,IF(OR(LEN(_xlpm.x)&lt;1,_xlpm.x=0),"",CONVERT(_xlpm.x,BH7,"kg")))</f>
        <v/>
      </c>
      <c r="BK60" s="432" t="str">
        <f>_xlfn.LET(_xlpm.x,K60,IF(OR(LEN(_xlpm.x)&lt;1,_xlpm.x=0),"",CONVERT(_xlpm.x,BH7,"kg")))</f>
        <v/>
      </c>
      <c r="BL60" s="432" t="str">
        <f>_xlfn.LET(_xlpm.x,L60,IF(OR(LEN(_xlpm.x)&lt;1,_xlpm.x=0),"",CONVERT(_xlpm.x,BH7,"kg")))</f>
        <v/>
      </c>
      <c r="BM60" s="432" t="str">
        <f>_xlfn.LET(_xlpm.x,M60,IF(OR(LEN(_xlpm.x)&lt;1,_xlpm.x=0),"",CONVERT(_xlpm.x,BH7,"kg")))</f>
        <v/>
      </c>
      <c r="BN60" s="432" t="str">
        <f>_xlfn.LET(_xlpm.x,N60,IF(OR(LEN(_xlpm.x)&lt;1,_xlpm.x=0),"",CONVERT(_xlpm.x,BH7,"kg")))</f>
        <v/>
      </c>
      <c r="BO60" s="432" t="str">
        <f>_xlfn.LET(_xlpm.x,O60,IF(OR(LEN(_xlpm.x)&lt;1,_xlpm.x=0),"",CONVERT(_xlpm.x,BH7,"kg")))</f>
        <v/>
      </c>
      <c r="BP60" s="432" t="str">
        <f>_xlfn.LET(_xlpm.x,P60,IF(OR(LEN(_xlpm.x)&lt;1,_xlpm.x=0),"",CONVERT(_xlpm.x,BH7,"kg")))</f>
        <v/>
      </c>
      <c r="BQ60" s="432" t="str">
        <f>_xlfn.LET(_xlpm.x,Q60,IF(OR(LEN(_xlpm.x)&lt;1,_xlpm.x=0),"",CONVERT(_xlpm.x,BH7,"kg")))</f>
        <v/>
      </c>
      <c r="BR60" s="432" t="str">
        <f>_xlfn.LET(_xlpm.x,R60,IF(OR(LEN(_xlpm.x)&lt;1,_xlpm.x=0),"",CONVERT(_xlpm.x,BH7,"kg")))</f>
        <v/>
      </c>
      <c r="BS60" s="432" t="str">
        <f>_xlfn.LET(_xlpm.x,S60,IF(OR(LEN(_xlpm.x)&lt;1,_xlpm.x=0),"",CONVERT(_xlpm.x,BH7,"kg")))</f>
        <v/>
      </c>
      <c r="BT60" s="433">
        <f t="shared" si="39"/>
        <v>0</v>
      </c>
      <c r="BU60" s="433" t="str">
        <f>_xlfn.LET(_xlpm.x,BF60,IF(LEN(_xlpm.x)&lt;1,"",IF(ISNUMBER(MATCH(_xlpm.x,ls_Mat_def,0)),'Project Inputs'!$BF$14,99)))</f>
        <v/>
      </c>
      <c r="BV60" s="432" t="str" cm="1">
        <f t="array" ref="BV60">IFERROR(INDEX(tblGWP[],MATCH(1,(tblGWP[Dataset ID]=BU60)*(tblGWP[Material Subcategory]=BF60),0),MATCH(BG60,ls_WHM,0)+5),"confirm")</f>
        <v>confirm</v>
      </c>
      <c r="BW60" s="434" t="str">
        <f t="shared" si="40"/>
        <v>No data</v>
      </c>
      <c r="BX60" s="434" t="str">
        <f t="shared" si="41"/>
        <v>No data</v>
      </c>
      <c r="BY60" s="434" t="str">
        <f t="shared" si="42"/>
        <v>No data</v>
      </c>
      <c r="BZ60" s="434" t="str">
        <f t="shared" si="43"/>
        <v>No data</v>
      </c>
      <c r="CA60" s="434" t="str">
        <f t="shared" si="44"/>
        <v>No data</v>
      </c>
      <c r="CB60" s="434" t="str">
        <f t="shared" si="45"/>
        <v>No data</v>
      </c>
      <c r="CC60" s="434" t="str">
        <f t="shared" si="46"/>
        <v>No data</v>
      </c>
      <c r="CD60" s="434" t="str">
        <f t="shared" si="47"/>
        <v>No data</v>
      </c>
      <c r="CE60" s="434" t="str">
        <f t="shared" si="48"/>
        <v>No data</v>
      </c>
      <c r="CF60" s="434" t="str">
        <f t="shared" si="49"/>
        <v>No data</v>
      </c>
      <c r="CG60" s="434" t="str">
        <f t="shared" si="50"/>
        <v>No data</v>
      </c>
      <c r="CH60" s="434" t="str">
        <f t="shared" si="51"/>
        <v>No data</v>
      </c>
      <c r="CI60" s="435">
        <f t="shared" si="52"/>
        <v>0</v>
      </c>
      <c r="CK60" s="3" t="str">
        <f>_xlfn.LET(_xlpm.x,INDEX(tbl_Mat_def[],MATCH(BF60,ls_Mat_def,0),2),IFERROR(IF(_xlpm.x=0,"No","Yes"),"No"))</f>
        <v>No</v>
      </c>
      <c r="CM60" s="60" t="str">
        <f t="shared" si="53"/>
        <v/>
      </c>
      <c r="CN60" s="60" t="s">
        <v>235</v>
      </c>
      <c r="CO60" s="566" t="str">
        <f>_xlfn.XLOOKUP(CM60,tblGWP[Material Subcategory],tblGWP[Landfill],0)</f>
        <v/>
      </c>
      <c r="CP60" s="436" t="str">
        <f t="shared" si="54"/>
        <v/>
      </c>
      <c r="DD60" s="388">
        <f t="shared" si="29"/>
        <v>0</v>
      </c>
      <c r="DE60" s="22">
        <f t="shared" si="55"/>
        <v>19</v>
      </c>
      <c r="DF60" s="387">
        <f t="shared" si="30"/>
        <v>0</v>
      </c>
      <c r="DG60" s="387">
        <f t="shared" si="56"/>
        <v>0</v>
      </c>
      <c r="DH60" s="22">
        <f t="shared" ca="1" si="57"/>
        <v>0</v>
      </c>
      <c r="DI60">
        <f t="shared" ca="1" si="58"/>
        <v>0</v>
      </c>
    </row>
    <row r="61" spans="1:113" ht="30" hidden="1" customHeight="1" outlineLevel="1">
      <c r="A61" s="22" t="str">
        <f t="shared" si="28"/>
        <v/>
      </c>
      <c r="B61" s="272"/>
      <c r="C61" s="491"/>
      <c r="D61" s="272"/>
      <c r="E61" s="400"/>
      <c r="F61" s="400"/>
      <c r="G61" s="401"/>
      <c r="H61" s="376"/>
      <c r="I61" s="376"/>
      <c r="J61" s="376"/>
      <c r="K61" s="376"/>
      <c r="L61" s="376"/>
      <c r="M61" s="376"/>
      <c r="N61" s="376"/>
      <c r="O61" s="376"/>
      <c r="P61" s="376"/>
      <c r="Q61" s="376"/>
      <c r="R61" s="376"/>
      <c r="S61" s="376"/>
      <c r="T61" s="431">
        <f t="shared" si="33"/>
        <v>0</v>
      </c>
      <c r="U61" s="272"/>
      <c r="BC61" s="432" t="str">
        <f t="shared" si="34"/>
        <v/>
      </c>
      <c r="BD61" s="432" t="str">
        <f t="shared" si="35"/>
        <v/>
      </c>
      <c r="BE61" s="432" t="str">
        <f t="shared" si="36"/>
        <v/>
      </c>
      <c r="BF61" s="432" t="str">
        <f t="shared" si="37"/>
        <v/>
      </c>
      <c r="BG61" s="432" t="str">
        <f t="shared" si="38"/>
        <v/>
      </c>
      <c r="BH61" s="432" t="str">
        <f>_xlfn.LET(_xlpm.x,H61,IF(OR(LEN(_xlpm.x)&lt;1,_xlpm.x=0),"",CONVERT(_xlpm.x,BH7,"kg")))</f>
        <v/>
      </c>
      <c r="BI61" s="432" t="str">
        <f>_xlfn.LET(_xlpm.x,I61,IF(OR(LEN(_xlpm.x)&lt;1,_xlpm.x=0),"",CONVERT(_xlpm.x,BH7,"kg")))</f>
        <v/>
      </c>
      <c r="BJ61" s="432" t="str">
        <f>_xlfn.LET(_xlpm.x,J61,IF(OR(LEN(_xlpm.x)&lt;1,_xlpm.x=0),"",CONVERT(_xlpm.x,BH7,"kg")))</f>
        <v/>
      </c>
      <c r="BK61" s="432" t="str">
        <f>_xlfn.LET(_xlpm.x,K61,IF(OR(LEN(_xlpm.x)&lt;1,_xlpm.x=0),"",CONVERT(_xlpm.x,BH7,"kg")))</f>
        <v/>
      </c>
      <c r="BL61" s="432" t="str">
        <f>_xlfn.LET(_xlpm.x,L61,IF(OR(LEN(_xlpm.x)&lt;1,_xlpm.x=0),"",CONVERT(_xlpm.x,BH7,"kg")))</f>
        <v/>
      </c>
      <c r="BM61" s="432" t="str">
        <f>_xlfn.LET(_xlpm.x,M61,IF(OR(LEN(_xlpm.x)&lt;1,_xlpm.x=0),"",CONVERT(_xlpm.x,BH7,"kg")))</f>
        <v/>
      </c>
      <c r="BN61" s="432" t="str">
        <f>_xlfn.LET(_xlpm.x,N61,IF(OR(LEN(_xlpm.x)&lt;1,_xlpm.x=0),"",CONVERT(_xlpm.x,BH7,"kg")))</f>
        <v/>
      </c>
      <c r="BO61" s="432" t="str">
        <f>_xlfn.LET(_xlpm.x,O61,IF(OR(LEN(_xlpm.x)&lt;1,_xlpm.x=0),"",CONVERT(_xlpm.x,BH7,"kg")))</f>
        <v/>
      </c>
      <c r="BP61" s="432" t="str">
        <f>_xlfn.LET(_xlpm.x,P61,IF(OR(LEN(_xlpm.x)&lt;1,_xlpm.x=0),"",CONVERT(_xlpm.x,BH7,"kg")))</f>
        <v/>
      </c>
      <c r="BQ61" s="432" t="str">
        <f>_xlfn.LET(_xlpm.x,Q61,IF(OR(LEN(_xlpm.x)&lt;1,_xlpm.x=0),"",CONVERT(_xlpm.x,BH7,"kg")))</f>
        <v/>
      </c>
      <c r="BR61" s="432" t="str">
        <f>_xlfn.LET(_xlpm.x,R61,IF(OR(LEN(_xlpm.x)&lt;1,_xlpm.x=0),"",CONVERT(_xlpm.x,BH7,"kg")))</f>
        <v/>
      </c>
      <c r="BS61" s="432" t="str">
        <f>_xlfn.LET(_xlpm.x,S61,IF(OR(LEN(_xlpm.x)&lt;1,_xlpm.x=0),"",CONVERT(_xlpm.x,BH7,"kg")))</f>
        <v/>
      </c>
      <c r="BT61" s="433">
        <f t="shared" si="39"/>
        <v>0</v>
      </c>
      <c r="BU61" s="433" t="str">
        <f>_xlfn.LET(_xlpm.x,BF61,IF(LEN(_xlpm.x)&lt;1,"",IF(ISNUMBER(MATCH(_xlpm.x,ls_Mat_def,0)),'Project Inputs'!$BF$14,99)))</f>
        <v/>
      </c>
      <c r="BV61" s="432" t="str" cm="1">
        <f t="array" ref="BV61">IFERROR(INDEX(tblGWP[],MATCH(1,(tblGWP[Dataset ID]=BU61)*(tblGWP[Material Subcategory]=BF61),0),MATCH(BG61,ls_WHM,0)+5),"confirm")</f>
        <v>confirm</v>
      </c>
      <c r="BW61" s="434" t="str">
        <f t="shared" si="40"/>
        <v>No data</v>
      </c>
      <c r="BX61" s="434" t="str">
        <f t="shared" si="41"/>
        <v>No data</v>
      </c>
      <c r="BY61" s="434" t="str">
        <f t="shared" si="42"/>
        <v>No data</v>
      </c>
      <c r="BZ61" s="434" t="str">
        <f t="shared" si="43"/>
        <v>No data</v>
      </c>
      <c r="CA61" s="434" t="str">
        <f t="shared" si="44"/>
        <v>No data</v>
      </c>
      <c r="CB61" s="434" t="str">
        <f t="shared" si="45"/>
        <v>No data</v>
      </c>
      <c r="CC61" s="434" t="str">
        <f t="shared" si="46"/>
        <v>No data</v>
      </c>
      <c r="CD61" s="434" t="str">
        <f t="shared" si="47"/>
        <v>No data</v>
      </c>
      <c r="CE61" s="434" t="str">
        <f t="shared" si="48"/>
        <v>No data</v>
      </c>
      <c r="CF61" s="434" t="str">
        <f t="shared" si="49"/>
        <v>No data</v>
      </c>
      <c r="CG61" s="434" t="str">
        <f t="shared" si="50"/>
        <v>No data</v>
      </c>
      <c r="CH61" s="434" t="str">
        <f t="shared" si="51"/>
        <v>No data</v>
      </c>
      <c r="CI61" s="435">
        <f t="shared" si="52"/>
        <v>0</v>
      </c>
      <c r="CK61" s="3" t="str">
        <f>_xlfn.LET(_xlpm.x,INDEX(tbl_Mat_def[],MATCH(BF61,ls_Mat_def,0),2),IFERROR(IF(_xlpm.x=0,"No","Yes"),"No"))</f>
        <v>No</v>
      </c>
      <c r="CM61" s="60" t="str">
        <f t="shared" si="53"/>
        <v/>
      </c>
      <c r="CN61" s="60" t="s">
        <v>235</v>
      </c>
      <c r="CO61" s="566" t="str">
        <f>_xlfn.XLOOKUP(CM61,tblGWP[Material Subcategory],tblGWP[Landfill],0)</f>
        <v/>
      </c>
      <c r="CP61" s="436" t="str">
        <f t="shared" si="54"/>
        <v/>
      </c>
      <c r="DD61" s="388">
        <f t="shared" si="29"/>
        <v>0</v>
      </c>
      <c r="DE61" s="22">
        <f t="shared" si="55"/>
        <v>19</v>
      </c>
      <c r="DF61" s="387">
        <f t="shared" si="30"/>
        <v>0</v>
      </c>
      <c r="DG61" s="387">
        <f t="shared" si="56"/>
        <v>0</v>
      </c>
      <c r="DH61" s="22">
        <f t="shared" ca="1" si="57"/>
        <v>0</v>
      </c>
      <c r="DI61">
        <f t="shared" ca="1" si="58"/>
        <v>0</v>
      </c>
    </row>
    <row r="62" spans="1:113" ht="30" hidden="1" customHeight="1" outlineLevel="1">
      <c r="A62" s="22" t="str">
        <f t="shared" si="28"/>
        <v/>
      </c>
      <c r="B62" s="272"/>
      <c r="C62" s="491"/>
      <c r="D62" s="272"/>
      <c r="E62" s="400"/>
      <c r="F62" s="400"/>
      <c r="G62" s="401"/>
      <c r="H62" s="376"/>
      <c r="I62" s="376"/>
      <c r="J62" s="376"/>
      <c r="K62" s="376"/>
      <c r="L62" s="376"/>
      <c r="M62" s="376"/>
      <c r="N62" s="376"/>
      <c r="O62" s="376"/>
      <c r="P62" s="376"/>
      <c r="Q62" s="376"/>
      <c r="R62" s="376"/>
      <c r="S62" s="376"/>
      <c r="T62" s="431">
        <f t="shared" si="33"/>
        <v>0</v>
      </c>
      <c r="U62" s="272"/>
      <c r="BC62" s="432" t="str">
        <f t="shared" si="34"/>
        <v/>
      </c>
      <c r="BD62" s="432" t="str">
        <f t="shared" si="35"/>
        <v/>
      </c>
      <c r="BE62" s="432" t="str">
        <f t="shared" si="36"/>
        <v/>
      </c>
      <c r="BF62" s="432" t="str">
        <f t="shared" si="37"/>
        <v/>
      </c>
      <c r="BG62" s="432" t="str">
        <f t="shared" si="38"/>
        <v/>
      </c>
      <c r="BH62" s="432" t="str">
        <f>_xlfn.LET(_xlpm.x,H62,IF(OR(LEN(_xlpm.x)&lt;1,_xlpm.x=0),"",CONVERT(_xlpm.x,BH7,"kg")))</f>
        <v/>
      </c>
      <c r="BI62" s="432" t="str">
        <f>_xlfn.LET(_xlpm.x,I62,IF(OR(LEN(_xlpm.x)&lt;1,_xlpm.x=0),"",CONVERT(_xlpm.x,BH7,"kg")))</f>
        <v/>
      </c>
      <c r="BJ62" s="432" t="str">
        <f>_xlfn.LET(_xlpm.x,J62,IF(OR(LEN(_xlpm.x)&lt;1,_xlpm.x=0),"",CONVERT(_xlpm.x,BH7,"kg")))</f>
        <v/>
      </c>
      <c r="BK62" s="432" t="str">
        <f>_xlfn.LET(_xlpm.x,K62,IF(OR(LEN(_xlpm.x)&lt;1,_xlpm.x=0),"",CONVERT(_xlpm.x,BH7,"kg")))</f>
        <v/>
      </c>
      <c r="BL62" s="432" t="str">
        <f>_xlfn.LET(_xlpm.x,L62,IF(OR(LEN(_xlpm.x)&lt;1,_xlpm.x=0),"",CONVERT(_xlpm.x,BH7,"kg")))</f>
        <v/>
      </c>
      <c r="BM62" s="432" t="str">
        <f>_xlfn.LET(_xlpm.x,M62,IF(OR(LEN(_xlpm.x)&lt;1,_xlpm.x=0),"",CONVERT(_xlpm.x,BH7,"kg")))</f>
        <v/>
      </c>
      <c r="BN62" s="432" t="str">
        <f>_xlfn.LET(_xlpm.x,N62,IF(OR(LEN(_xlpm.x)&lt;1,_xlpm.x=0),"",CONVERT(_xlpm.x,BH7,"kg")))</f>
        <v/>
      </c>
      <c r="BO62" s="432" t="str">
        <f>_xlfn.LET(_xlpm.x,O62,IF(OR(LEN(_xlpm.x)&lt;1,_xlpm.x=0),"",CONVERT(_xlpm.x,BH7,"kg")))</f>
        <v/>
      </c>
      <c r="BP62" s="432" t="str">
        <f>_xlfn.LET(_xlpm.x,P62,IF(OR(LEN(_xlpm.x)&lt;1,_xlpm.x=0),"",CONVERT(_xlpm.x,BH7,"kg")))</f>
        <v/>
      </c>
      <c r="BQ62" s="432" t="str">
        <f>_xlfn.LET(_xlpm.x,Q62,IF(OR(LEN(_xlpm.x)&lt;1,_xlpm.x=0),"",CONVERT(_xlpm.x,BH7,"kg")))</f>
        <v/>
      </c>
      <c r="BR62" s="432" t="str">
        <f>_xlfn.LET(_xlpm.x,R62,IF(OR(LEN(_xlpm.x)&lt;1,_xlpm.x=0),"",CONVERT(_xlpm.x,BH7,"kg")))</f>
        <v/>
      </c>
      <c r="BS62" s="432" t="str">
        <f>_xlfn.LET(_xlpm.x,S62,IF(OR(LEN(_xlpm.x)&lt;1,_xlpm.x=0),"",CONVERT(_xlpm.x,BH7,"kg")))</f>
        <v/>
      </c>
      <c r="BT62" s="433">
        <f t="shared" si="39"/>
        <v>0</v>
      </c>
      <c r="BU62" s="433" t="str">
        <f>_xlfn.LET(_xlpm.x,BF62,IF(LEN(_xlpm.x)&lt;1,"",IF(ISNUMBER(MATCH(_xlpm.x,ls_Mat_def,0)),'Project Inputs'!$BF$14,99)))</f>
        <v/>
      </c>
      <c r="BV62" s="432" t="str" cm="1">
        <f t="array" ref="BV62">IFERROR(INDEX(tblGWP[],MATCH(1,(tblGWP[Dataset ID]=BU62)*(tblGWP[Material Subcategory]=BF62),0),MATCH(BG62,ls_WHM,0)+5),"confirm")</f>
        <v>confirm</v>
      </c>
      <c r="BW62" s="434" t="str">
        <f t="shared" si="40"/>
        <v>No data</v>
      </c>
      <c r="BX62" s="434" t="str">
        <f t="shared" si="41"/>
        <v>No data</v>
      </c>
      <c r="BY62" s="434" t="str">
        <f t="shared" si="42"/>
        <v>No data</v>
      </c>
      <c r="BZ62" s="434" t="str">
        <f t="shared" si="43"/>
        <v>No data</v>
      </c>
      <c r="CA62" s="434" t="str">
        <f t="shared" si="44"/>
        <v>No data</v>
      </c>
      <c r="CB62" s="434" t="str">
        <f t="shared" si="45"/>
        <v>No data</v>
      </c>
      <c r="CC62" s="434" t="str">
        <f t="shared" si="46"/>
        <v>No data</v>
      </c>
      <c r="CD62" s="434" t="str">
        <f t="shared" si="47"/>
        <v>No data</v>
      </c>
      <c r="CE62" s="434" t="str">
        <f t="shared" si="48"/>
        <v>No data</v>
      </c>
      <c r="CF62" s="434" t="str">
        <f t="shared" si="49"/>
        <v>No data</v>
      </c>
      <c r="CG62" s="434" t="str">
        <f t="shared" si="50"/>
        <v>No data</v>
      </c>
      <c r="CH62" s="434" t="str">
        <f t="shared" si="51"/>
        <v>No data</v>
      </c>
      <c r="CI62" s="435">
        <f t="shared" si="52"/>
        <v>0</v>
      </c>
      <c r="CK62" s="3" t="str">
        <f>_xlfn.LET(_xlpm.x,INDEX(tbl_Mat_def[],MATCH(BF62,ls_Mat_def,0),2),IFERROR(IF(_xlpm.x=0,"No","Yes"),"No"))</f>
        <v>No</v>
      </c>
      <c r="CM62" s="60" t="str">
        <f t="shared" si="53"/>
        <v/>
      </c>
      <c r="CN62" s="60" t="s">
        <v>235</v>
      </c>
      <c r="CO62" s="566" t="str">
        <f>_xlfn.XLOOKUP(CM62,tblGWP[Material Subcategory],tblGWP[Landfill],0)</f>
        <v/>
      </c>
      <c r="CP62" s="436" t="str">
        <f t="shared" si="54"/>
        <v/>
      </c>
      <c r="DD62" s="388">
        <f t="shared" si="29"/>
        <v>0</v>
      </c>
      <c r="DE62" s="22">
        <f t="shared" si="55"/>
        <v>19</v>
      </c>
      <c r="DF62" s="387">
        <f t="shared" si="30"/>
        <v>0</v>
      </c>
      <c r="DG62" s="387">
        <f t="shared" si="56"/>
        <v>0</v>
      </c>
      <c r="DH62" s="22">
        <f t="shared" ca="1" si="57"/>
        <v>0</v>
      </c>
      <c r="DI62">
        <f t="shared" ca="1" si="58"/>
        <v>0</v>
      </c>
    </row>
    <row r="63" spans="1:113" ht="30" hidden="1" customHeight="1" outlineLevel="1">
      <c r="A63" s="22" t="str">
        <f t="shared" si="28"/>
        <v/>
      </c>
      <c r="B63" s="272"/>
      <c r="C63" s="491"/>
      <c r="D63" s="272"/>
      <c r="E63" s="400"/>
      <c r="F63" s="400"/>
      <c r="G63" s="401"/>
      <c r="H63" s="376"/>
      <c r="I63" s="376"/>
      <c r="J63" s="376"/>
      <c r="K63" s="376"/>
      <c r="L63" s="376"/>
      <c r="M63" s="376"/>
      <c r="N63" s="376"/>
      <c r="O63" s="376"/>
      <c r="P63" s="376"/>
      <c r="Q63" s="376"/>
      <c r="R63" s="376"/>
      <c r="S63" s="376"/>
      <c r="T63" s="431">
        <f t="shared" si="33"/>
        <v>0</v>
      </c>
      <c r="U63" s="272"/>
      <c r="BC63" s="432" t="str">
        <f t="shared" si="34"/>
        <v/>
      </c>
      <c r="BD63" s="432" t="str">
        <f t="shared" si="35"/>
        <v/>
      </c>
      <c r="BE63" s="432" t="str">
        <f t="shared" si="36"/>
        <v/>
      </c>
      <c r="BF63" s="432" t="str">
        <f t="shared" si="37"/>
        <v/>
      </c>
      <c r="BG63" s="432" t="str">
        <f t="shared" si="38"/>
        <v/>
      </c>
      <c r="BH63" s="432" t="str">
        <f>_xlfn.LET(_xlpm.x,H63,IF(OR(LEN(_xlpm.x)&lt;1,_xlpm.x=0),"",CONVERT(_xlpm.x,BH7,"kg")))</f>
        <v/>
      </c>
      <c r="BI63" s="432" t="str">
        <f>_xlfn.LET(_xlpm.x,I63,IF(OR(LEN(_xlpm.x)&lt;1,_xlpm.x=0),"",CONVERT(_xlpm.x,BH7,"kg")))</f>
        <v/>
      </c>
      <c r="BJ63" s="432" t="str">
        <f>_xlfn.LET(_xlpm.x,J63,IF(OR(LEN(_xlpm.x)&lt;1,_xlpm.x=0),"",CONVERT(_xlpm.x,BH7,"kg")))</f>
        <v/>
      </c>
      <c r="BK63" s="432" t="str">
        <f>_xlfn.LET(_xlpm.x,K63,IF(OR(LEN(_xlpm.x)&lt;1,_xlpm.x=0),"",CONVERT(_xlpm.x,BH7,"kg")))</f>
        <v/>
      </c>
      <c r="BL63" s="432" t="str">
        <f>_xlfn.LET(_xlpm.x,L63,IF(OR(LEN(_xlpm.x)&lt;1,_xlpm.x=0),"",CONVERT(_xlpm.x,BH7,"kg")))</f>
        <v/>
      </c>
      <c r="BM63" s="432" t="str">
        <f>_xlfn.LET(_xlpm.x,M63,IF(OR(LEN(_xlpm.x)&lt;1,_xlpm.x=0),"",CONVERT(_xlpm.x,BH7,"kg")))</f>
        <v/>
      </c>
      <c r="BN63" s="432" t="str">
        <f>_xlfn.LET(_xlpm.x,N63,IF(OR(LEN(_xlpm.x)&lt;1,_xlpm.x=0),"",CONVERT(_xlpm.x,BH7,"kg")))</f>
        <v/>
      </c>
      <c r="BO63" s="432" t="str">
        <f>_xlfn.LET(_xlpm.x,O63,IF(OR(LEN(_xlpm.x)&lt;1,_xlpm.x=0),"",CONVERT(_xlpm.x,BH7,"kg")))</f>
        <v/>
      </c>
      <c r="BP63" s="432" t="str">
        <f>_xlfn.LET(_xlpm.x,P63,IF(OR(LEN(_xlpm.x)&lt;1,_xlpm.x=0),"",CONVERT(_xlpm.x,BH7,"kg")))</f>
        <v/>
      </c>
      <c r="BQ63" s="432" t="str">
        <f>_xlfn.LET(_xlpm.x,Q63,IF(OR(LEN(_xlpm.x)&lt;1,_xlpm.x=0),"",CONVERT(_xlpm.x,BH7,"kg")))</f>
        <v/>
      </c>
      <c r="BR63" s="432" t="str">
        <f>_xlfn.LET(_xlpm.x,R63,IF(OR(LEN(_xlpm.x)&lt;1,_xlpm.x=0),"",CONVERT(_xlpm.x,BH7,"kg")))</f>
        <v/>
      </c>
      <c r="BS63" s="432" t="str">
        <f>_xlfn.LET(_xlpm.x,S63,IF(OR(LEN(_xlpm.x)&lt;1,_xlpm.x=0),"",CONVERT(_xlpm.x,BH7,"kg")))</f>
        <v/>
      </c>
      <c r="BT63" s="433">
        <f t="shared" si="39"/>
        <v>0</v>
      </c>
      <c r="BU63" s="433" t="str">
        <f>_xlfn.LET(_xlpm.x,BF63,IF(LEN(_xlpm.x)&lt;1,"",IF(ISNUMBER(MATCH(_xlpm.x,ls_Mat_def,0)),'Project Inputs'!$BF$14,99)))</f>
        <v/>
      </c>
      <c r="BV63" s="432" t="str" cm="1">
        <f t="array" ref="BV63">IFERROR(INDEX(tblGWP[],MATCH(1,(tblGWP[Dataset ID]=BU63)*(tblGWP[Material Subcategory]=BF63),0),MATCH(BG63,ls_WHM,0)+5),"confirm")</f>
        <v>confirm</v>
      </c>
      <c r="BW63" s="434" t="str">
        <f t="shared" si="40"/>
        <v>No data</v>
      </c>
      <c r="BX63" s="434" t="str">
        <f t="shared" si="41"/>
        <v>No data</v>
      </c>
      <c r="BY63" s="434" t="str">
        <f t="shared" si="42"/>
        <v>No data</v>
      </c>
      <c r="BZ63" s="434" t="str">
        <f t="shared" si="43"/>
        <v>No data</v>
      </c>
      <c r="CA63" s="434" t="str">
        <f t="shared" si="44"/>
        <v>No data</v>
      </c>
      <c r="CB63" s="434" t="str">
        <f t="shared" si="45"/>
        <v>No data</v>
      </c>
      <c r="CC63" s="434" t="str">
        <f t="shared" si="46"/>
        <v>No data</v>
      </c>
      <c r="CD63" s="434" t="str">
        <f t="shared" si="47"/>
        <v>No data</v>
      </c>
      <c r="CE63" s="434" t="str">
        <f t="shared" si="48"/>
        <v>No data</v>
      </c>
      <c r="CF63" s="434" t="str">
        <f t="shared" si="49"/>
        <v>No data</v>
      </c>
      <c r="CG63" s="434" t="str">
        <f t="shared" si="50"/>
        <v>No data</v>
      </c>
      <c r="CH63" s="434" t="str">
        <f t="shared" si="51"/>
        <v>No data</v>
      </c>
      <c r="CI63" s="435">
        <f t="shared" si="52"/>
        <v>0</v>
      </c>
      <c r="CK63" s="3" t="str">
        <f>_xlfn.LET(_xlpm.x,INDEX(tbl_Mat_def[],MATCH(BF63,ls_Mat_def,0),2),IFERROR(IF(_xlpm.x=0,"No","Yes"),"No"))</f>
        <v>No</v>
      </c>
      <c r="CM63" s="60" t="str">
        <f t="shared" si="53"/>
        <v/>
      </c>
      <c r="CN63" s="60" t="s">
        <v>235</v>
      </c>
      <c r="CO63" s="566" t="str">
        <f>_xlfn.XLOOKUP(CM63,tblGWP[Material Subcategory],tblGWP[Landfill],0)</f>
        <v/>
      </c>
      <c r="CP63" s="436" t="str">
        <f t="shared" si="54"/>
        <v/>
      </c>
      <c r="DD63" s="388">
        <f t="shared" si="29"/>
        <v>0</v>
      </c>
      <c r="DE63" s="22">
        <f t="shared" si="55"/>
        <v>19</v>
      </c>
      <c r="DF63" s="387">
        <f t="shared" si="30"/>
        <v>0</v>
      </c>
      <c r="DG63" s="387">
        <f t="shared" si="56"/>
        <v>0</v>
      </c>
      <c r="DH63" s="22">
        <f t="shared" ca="1" si="57"/>
        <v>0</v>
      </c>
      <c r="DI63">
        <f t="shared" ca="1" si="58"/>
        <v>0</v>
      </c>
    </row>
    <row r="64" spans="1:113" ht="30" hidden="1" customHeight="1" outlineLevel="1">
      <c r="A64" s="22" t="str">
        <f t="shared" si="28"/>
        <v/>
      </c>
      <c r="B64" s="272"/>
      <c r="C64" s="491"/>
      <c r="D64" s="272"/>
      <c r="E64" s="400"/>
      <c r="F64" s="400"/>
      <c r="G64" s="401"/>
      <c r="H64" s="376"/>
      <c r="I64" s="376"/>
      <c r="J64" s="376"/>
      <c r="K64" s="376"/>
      <c r="L64" s="376"/>
      <c r="M64" s="376"/>
      <c r="N64" s="376"/>
      <c r="O64" s="376"/>
      <c r="P64" s="376"/>
      <c r="Q64" s="376"/>
      <c r="R64" s="376"/>
      <c r="S64" s="376"/>
      <c r="T64" s="431">
        <f t="shared" si="33"/>
        <v>0</v>
      </c>
      <c r="U64" s="272"/>
      <c r="BC64" s="432" t="str">
        <f t="shared" si="34"/>
        <v/>
      </c>
      <c r="BD64" s="432" t="str">
        <f t="shared" si="35"/>
        <v/>
      </c>
      <c r="BE64" s="432" t="str">
        <f t="shared" si="36"/>
        <v/>
      </c>
      <c r="BF64" s="432" t="str">
        <f t="shared" si="37"/>
        <v/>
      </c>
      <c r="BG64" s="432" t="str">
        <f t="shared" si="38"/>
        <v/>
      </c>
      <c r="BH64" s="432" t="str">
        <f>_xlfn.LET(_xlpm.x,H64,IF(OR(LEN(_xlpm.x)&lt;1,_xlpm.x=0),"",CONVERT(_xlpm.x,BH7,"kg")))</f>
        <v/>
      </c>
      <c r="BI64" s="432" t="str">
        <f>_xlfn.LET(_xlpm.x,I64,IF(OR(LEN(_xlpm.x)&lt;1,_xlpm.x=0),"",CONVERT(_xlpm.x,BH7,"kg")))</f>
        <v/>
      </c>
      <c r="BJ64" s="432" t="str">
        <f>_xlfn.LET(_xlpm.x,J64,IF(OR(LEN(_xlpm.x)&lt;1,_xlpm.x=0),"",CONVERT(_xlpm.x,BH7,"kg")))</f>
        <v/>
      </c>
      <c r="BK64" s="432" t="str">
        <f>_xlfn.LET(_xlpm.x,K64,IF(OR(LEN(_xlpm.x)&lt;1,_xlpm.x=0),"",CONVERT(_xlpm.x,BH7,"kg")))</f>
        <v/>
      </c>
      <c r="BL64" s="432" t="str">
        <f>_xlfn.LET(_xlpm.x,L64,IF(OR(LEN(_xlpm.x)&lt;1,_xlpm.x=0),"",CONVERT(_xlpm.x,BH7,"kg")))</f>
        <v/>
      </c>
      <c r="BM64" s="432" t="str">
        <f>_xlfn.LET(_xlpm.x,M64,IF(OR(LEN(_xlpm.x)&lt;1,_xlpm.x=0),"",CONVERT(_xlpm.x,BH7,"kg")))</f>
        <v/>
      </c>
      <c r="BN64" s="432" t="str">
        <f>_xlfn.LET(_xlpm.x,N64,IF(OR(LEN(_xlpm.x)&lt;1,_xlpm.x=0),"",CONVERT(_xlpm.x,BH7,"kg")))</f>
        <v/>
      </c>
      <c r="BO64" s="432" t="str">
        <f>_xlfn.LET(_xlpm.x,O64,IF(OR(LEN(_xlpm.x)&lt;1,_xlpm.x=0),"",CONVERT(_xlpm.x,BH7,"kg")))</f>
        <v/>
      </c>
      <c r="BP64" s="432" t="str">
        <f>_xlfn.LET(_xlpm.x,P64,IF(OR(LEN(_xlpm.x)&lt;1,_xlpm.x=0),"",CONVERT(_xlpm.x,BH7,"kg")))</f>
        <v/>
      </c>
      <c r="BQ64" s="432" t="str">
        <f>_xlfn.LET(_xlpm.x,Q64,IF(OR(LEN(_xlpm.x)&lt;1,_xlpm.x=0),"",CONVERT(_xlpm.x,BH7,"kg")))</f>
        <v/>
      </c>
      <c r="BR64" s="432" t="str">
        <f>_xlfn.LET(_xlpm.x,R64,IF(OR(LEN(_xlpm.x)&lt;1,_xlpm.x=0),"",CONVERT(_xlpm.x,BH7,"kg")))</f>
        <v/>
      </c>
      <c r="BS64" s="432" t="str">
        <f>_xlfn.LET(_xlpm.x,S64,IF(OR(LEN(_xlpm.x)&lt;1,_xlpm.x=0),"",CONVERT(_xlpm.x,BH7,"kg")))</f>
        <v/>
      </c>
      <c r="BT64" s="433">
        <f t="shared" si="39"/>
        <v>0</v>
      </c>
      <c r="BU64" s="433" t="str">
        <f>_xlfn.LET(_xlpm.x,BF64,IF(LEN(_xlpm.x)&lt;1,"",IF(ISNUMBER(MATCH(_xlpm.x,ls_Mat_def,0)),'Project Inputs'!$BF$14,99)))</f>
        <v/>
      </c>
      <c r="BV64" s="432" t="str" cm="1">
        <f t="array" ref="BV64">IFERROR(INDEX(tblGWP[],MATCH(1,(tblGWP[Dataset ID]=BU64)*(tblGWP[Material Subcategory]=BF64),0),MATCH(BG64,ls_WHM,0)+5),"confirm")</f>
        <v>confirm</v>
      </c>
      <c r="BW64" s="434" t="str">
        <f t="shared" si="40"/>
        <v>No data</v>
      </c>
      <c r="BX64" s="434" t="str">
        <f t="shared" si="41"/>
        <v>No data</v>
      </c>
      <c r="BY64" s="434" t="str">
        <f t="shared" si="42"/>
        <v>No data</v>
      </c>
      <c r="BZ64" s="434" t="str">
        <f t="shared" si="43"/>
        <v>No data</v>
      </c>
      <c r="CA64" s="434" t="str">
        <f t="shared" si="44"/>
        <v>No data</v>
      </c>
      <c r="CB64" s="434" t="str">
        <f t="shared" si="45"/>
        <v>No data</v>
      </c>
      <c r="CC64" s="434" t="str">
        <f t="shared" si="46"/>
        <v>No data</v>
      </c>
      <c r="CD64" s="434" t="str">
        <f t="shared" si="47"/>
        <v>No data</v>
      </c>
      <c r="CE64" s="434" t="str">
        <f t="shared" si="48"/>
        <v>No data</v>
      </c>
      <c r="CF64" s="434" t="str">
        <f t="shared" si="49"/>
        <v>No data</v>
      </c>
      <c r="CG64" s="434" t="str">
        <f t="shared" si="50"/>
        <v>No data</v>
      </c>
      <c r="CH64" s="434" t="str">
        <f t="shared" si="51"/>
        <v>No data</v>
      </c>
      <c r="CI64" s="435">
        <f t="shared" si="52"/>
        <v>0</v>
      </c>
      <c r="CK64" s="3" t="str">
        <f>_xlfn.LET(_xlpm.x,INDEX(tbl_Mat_def[],MATCH(BF64,ls_Mat_def,0),2),IFERROR(IF(_xlpm.x=0,"No","Yes"),"No"))</f>
        <v>No</v>
      </c>
      <c r="CM64" s="60" t="str">
        <f t="shared" si="53"/>
        <v/>
      </c>
      <c r="CN64" s="60" t="s">
        <v>235</v>
      </c>
      <c r="CO64" s="566" t="str">
        <f>_xlfn.XLOOKUP(CM64,tblGWP[Material Subcategory],tblGWP[Landfill],0)</f>
        <v/>
      </c>
      <c r="CP64" s="436" t="str">
        <f t="shared" si="54"/>
        <v/>
      </c>
      <c r="DD64" s="388">
        <f t="shared" si="29"/>
        <v>0</v>
      </c>
      <c r="DE64" s="22">
        <f t="shared" si="55"/>
        <v>19</v>
      </c>
      <c r="DF64" s="387">
        <f t="shared" si="30"/>
        <v>0</v>
      </c>
      <c r="DG64" s="387">
        <f t="shared" si="56"/>
        <v>0</v>
      </c>
      <c r="DH64" s="22">
        <f t="shared" ca="1" si="57"/>
        <v>0</v>
      </c>
      <c r="DI64">
        <f t="shared" ca="1" si="58"/>
        <v>0</v>
      </c>
    </row>
    <row r="65" spans="1:113" ht="30" hidden="1" customHeight="1" outlineLevel="1">
      <c r="A65" s="22" t="str">
        <f t="shared" si="28"/>
        <v/>
      </c>
      <c r="B65" s="272"/>
      <c r="C65" s="491"/>
      <c r="D65" s="272"/>
      <c r="E65" s="400"/>
      <c r="F65" s="400"/>
      <c r="G65" s="401"/>
      <c r="H65" s="376"/>
      <c r="I65" s="376"/>
      <c r="J65" s="376"/>
      <c r="K65" s="376"/>
      <c r="L65" s="376"/>
      <c r="M65" s="376"/>
      <c r="N65" s="376"/>
      <c r="O65" s="376"/>
      <c r="P65" s="376"/>
      <c r="Q65" s="376"/>
      <c r="R65" s="376"/>
      <c r="S65" s="376"/>
      <c r="T65" s="431">
        <f t="shared" si="33"/>
        <v>0</v>
      </c>
      <c r="U65" s="272"/>
      <c r="BC65" s="432" t="str">
        <f t="shared" si="34"/>
        <v/>
      </c>
      <c r="BD65" s="432" t="str">
        <f t="shared" si="35"/>
        <v/>
      </c>
      <c r="BE65" s="432" t="str">
        <f t="shared" si="36"/>
        <v/>
      </c>
      <c r="BF65" s="432" t="str">
        <f t="shared" si="37"/>
        <v/>
      </c>
      <c r="BG65" s="432" t="str">
        <f t="shared" si="38"/>
        <v/>
      </c>
      <c r="BH65" s="432" t="str">
        <f>_xlfn.LET(_xlpm.x,H65,IF(OR(LEN(_xlpm.x)&lt;1,_xlpm.x=0),"",CONVERT(_xlpm.x,BH7,"kg")))</f>
        <v/>
      </c>
      <c r="BI65" s="432" t="str">
        <f>_xlfn.LET(_xlpm.x,I65,IF(OR(LEN(_xlpm.x)&lt;1,_xlpm.x=0),"",CONVERT(_xlpm.x,BH7,"kg")))</f>
        <v/>
      </c>
      <c r="BJ65" s="432" t="str">
        <f>_xlfn.LET(_xlpm.x,J65,IF(OR(LEN(_xlpm.x)&lt;1,_xlpm.x=0),"",CONVERT(_xlpm.x,BH7,"kg")))</f>
        <v/>
      </c>
      <c r="BK65" s="432" t="str">
        <f>_xlfn.LET(_xlpm.x,K65,IF(OR(LEN(_xlpm.x)&lt;1,_xlpm.x=0),"",CONVERT(_xlpm.x,BH7,"kg")))</f>
        <v/>
      </c>
      <c r="BL65" s="432" t="str">
        <f>_xlfn.LET(_xlpm.x,L65,IF(OR(LEN(_xlpm.x)&lt;1,_xlpm.x=0),"",CONVERT(_xlpm.x,BH7,"kg")))</f>
        <v/>
      </c>
      <c r="BM65" s="432" t="str">
        <f>_xlfn.LET(_xlpm.x,M65,IF(OR(LEN(_xlpm.x)&lt;1,_xlpm.x=0),"",CONVERT(_xlpm.x,BH7,"kg")))</f>
        <v/>
      </c>
      <c r="BN65" s="432" t="str">
        <f>_xlfn.LET(_xlpm.x,N65,IF(OR(LEN(_xlpm.x)&lt;1,_xlpm.x=0),"",CONVERT(_xlpm.x,BH7,"kg")))</f>
        <v/>
      </c>
      <c r="BO65" s="432" t="str">
        <f>_xlfn.LET(_xlpm.x,O65,IF(OR(LEN(_xlpm.x)&lt;1,_xlpm.x=0),"",CONVERT(_xlpm.x,BH7,"kg")))</f>
        <v/>
      </c>
      <c r="BP65" s="432" t="str">
        <f>_xlfn.LET(_xlpm.x,P65,IF(OR(LEN(_xlpm.x)&lt;1,_xlpm.x=0),"",CONVERT(_xlpm.x,BH7,"kg")))</f>
        <v/>
      </c>
      <c r="BQ65" s="432" t="str">
        <f>_xlfn.LET(_xlpm.x,Q65,IF(OR(LEN(_xlpm.x)&lt;1,_xlpm.x=0),"",CONVERT(_xlpm.x,BH7,"kg")))</f>
        <v/>
      </c>
      <c r="BR65" s="432" t="str">
        <f>_xlfn.LET(_xlpm.x,R65,IF(OR(LEN(_xlpm.x)&lt;1,_xlpm.x=0),"",CONVERT(_xlpm.x,BH7,"kg")))</f>
        <v/>
      </c>
      <c r="BS65" s="432" t="str">
        <f>_xlfn.LET(_xlpm.x,S65,IF(OR(LEN(_xlpm.x)&lt;1,_xlpm.x=0),"",CONVERT(_xlpm.x,BH7,"kg")))</f>
        <v/>
      </c>
      <c r="BT65" s="433">
        <f t="shared" si="39"/>
        <v>0</v>
      </c>
      <c r="BU65" s="433" t="str">
        <f>_xlfn.LET(_xlpm.x,BF65,IF(LEN(_xlpm.x)&lt;1,"",IF(ISNUMBER(MATCH(_xlpm.x,ls_Mat_def,0)),'Project Inputs'!$BF$14,99)))</f>
        <v/>
      </c>
      <c r="BV65" s="432" t="str" cm="1">
        <f t="array" ref="BV65">IFERROR(INDEX(tblGWP[],MATCH(1,(tblGWP[Dataset ID]=BU65)*(tblGWP[Material Subcategory]=BF65),0),MATCH(BG65,ls_WHM,0)+5),"confirm")</f>
        <v>confirm</v>
      </c>
      <c r="BW65" s="434" t="str">
        <f t="shared" si="40"/>
        <v>No data</v>
      </c>
      <c r="BX65" s="434" t="str">
        <f t="shared" si="41"/>
        <v>No data</v>
      </c>
      <c r="BY65" s="434" t="str">
        <f t="shared" si="42"/>
        <v>No data</v>
      </c>
      <c r="BZ65" s="434" t="str">
        <f t="shared" si="43"/>
        <v>No data</v>
      </c>
      <c r="CA65" s="434" t="str">
        <f t="shared" si="44"/>
        <v>No data</v>
      </c>
      <c r="CB65" s="434" t="str">
        <f t="shared" si="45"/>
        <v>No data</v>
      </c>
      <c r="CC65" s="434" t="str">
        <f t="shared" si="46"/>
        <v>No data</v>
      </c>
      <c r="CD65" s="434" t="str">
        <f t="shared" si="47"/>
        <v>No data</v>
      </c>
      <c r="CE65" s="434" t="str">
        <f t="shared" si="48"/>
        <v>No data</v>
      </c>
      <c r="CF65" s="434" t="str">
        <f t="shared" si="49"/>
        <v>No data</v>
      </c>
      <c r="CG65" s="434" t="str">
        <f t="shared" si="50"/>
        <v>No data</v>
      </c>
      <c r="CH65" s="434" t="str">
        <f t="shared" si="51"/>
        <v>No data</v>
      </c>
      <c r="CI65" s="435">
        <f t="shared" si="52"/>
        <v>0</v>
      </c>
      <c r="CK65" s="3" t="str">
        <f>_xlfn.LET(_xlpm.x,INDEX(tbl_Mat_def[],MATCH(BF65,ls_Mat_def,0),2),IFERROR(IF(_xlpm.x=0,"No","Yes"),"No"))</f>
        <v>No</v>
      </c>
      <c r="CM65" s="60" t="str">
        <f t="shared" si="53"/>
        <v/>
      </c>
      <c r="CN65" s="60" t="s">
        <v>235</v>
      </c>
      <c r="CO65" s="566" t="str">
        <f>_xlfn.XLOOKUP(CM65,tblGWP[Material Subcategory],tblGWP[Landfill],0)</f>
        <v/>
      </c>
      <c r="CP65" s="436" t="str">
        <f t="shared" si="54"/>
        <v/>
      </c>
      <c r="DD65" s="388">
        <f t="shared" si="29"/>
        <v>0</v>
      </c>
      <c r="DE65" s="22">
        <f t="shared" si="55"/>
        <v>19</v>
      </c>
      <c r="DF65" s="387">
        <f t="shared" si="30"/>
        <v>0</v>
      </c>
      <c r="DG65" s="387">
        <f t="shared" si="56"/>
        <v>0</v>
      </c>
      <c r="DH65" s="22">
        <f t="shared" ca="1" si="57"/>
        <v>0</v>
      </c>
      <c r="DI65">
        <f t="shared" ca="1" si="58"/>
        <v>0</v>
      </c>
    </row>
    <row r="66" spans="1:113" ht="30" hidden="1" customHeight="1" outlineLevel="1">
      <c r="A66" s="22" t="str">
        <f t="shared" si="28"/>
        <v/>
      </c>
      <c r="B66" s="272"/>
      <c r="C66" s="491"/>
      <c r="D66" s="272"/>
      <c r="E66" s="400"/>
      <c r="F66" s="400"/>
      <c r="G66" s="401"/>
      <c r="H66" s="376"/>
      <c r="I66" s="376"/>
      <c r="J66" s="376"/>
      <c r="K66" s="376"/>
      <c r="L66" s="376"/>
      <c r="M66" s="376"/>
      <c r="N66" s="376"/>
      <c r="O66" s="376"/>
      <c r="P66" s="376"/>
      <c r="Q66" s="376"/>
      <c r="R66" s="376"/>
      <c r="S66" s="376"/>
      <c r="T66" s="431">
        <f t="shared" si="33"/>
        <v>0</v>
      </c>
      <c r="U66" s="272"/>
      <c r="BC66" s="432" t="str">
        <f t="shared" si="34"/>
        <v/>
      </c>
      <c r="BD66" s="432" t="str">
        <f t="shared" si="35"/>
        <v/>
      </c>
      <c r="BE66" s="432" t="str">
        <f t="shared" si="36"/>
        <v/>
      </c>
      <c r="BF66" s="432" t="str">
        <f t="shared" si="37"/>
        <v/>
      </c>
      <c r="BG66" s="432" t="str">
        <f t="shared" si="38"/>
        <v/>
      </c>
      <c r="BH66" s="432" t="str">
        <f>_xlfn.LET(_xlpm.x,H66,IF(OR(LEN(_xlpm.x)&lt;1,_xlpm.x=0),"",CONVERT(_xlpm.x,BH7,"kg")))</f>
        <v/>
      </c>
      <c r="BI66" s="432" t="str">
        <f>_xlfn.LET(_xlpm.x,I66,IF(OR(LEN(_xlpm.x)&lt;1,_xlpm.x=0),"",CONVERT(_xlpm.x,BH7,"kg")))</f>
        <v/>
      </c>
      <c r="BJ66" s="432" t="str">
        <f>_xlfn.LET(_xlpm.x,J66,IF(OR(LEN(_xlpm.x)&lt;1,_xlpm.x=0),"",CONVERT(_xlpm.x,BH7,"kg")))</f>
        <v/>
      </c>
      <c r="BK66" s="432" t="str">
        <f>_xlfn.LET(_xlpm.x,K66,IF(OR(LEN(_xlpm.x)&lt;1,_xlpm.x=0),"",CONVERT(_xlpm.x,BH7,"kg")))</f>
        <v/>
      </c>
      <c r="BL66" s="432" t="str">
        <f>_xlfn.LET(_xlpm.x,L66,IF(OR(LEN(_xlpm.x)&lt;1,_xlpm.x=0),"",CONVERT(_xlpm.x,BH7,"kg")))</f>
        <v/>
      </c>
      <c r="BM66" s="432" t="str">
        <f>_xlfn.LET(_xlpm.x,M66,IF(OR(LEN(_xlpm.x)&lt;1,_xlpm.x=0),"",CONVERT(_xlpm.x,BH7,"kg")))</f>
        <v/>
      </c>
      <c r="BN66" s="432" t="str">
        <f>_xlfn.LET(_xlpm.x,N66,IF(OR(LEN(_xlpm.x)&lt;1,_xlpm.x=0),"",CONVERT(_xlpm.x,BH7,"kg")))</f>
        <v/>
      </c>
      <c r="BO66" s="432" t="str">
        <f>_xlfn.LET(_xlpm.x,O66,IF(OR(LEN(_xlpm.x)&lt;1,_xlpm.x=0),"",CONVERT(_xlpm.x,BH7,"kg")))</f>
        <v/>
      </c>
      <c r="BP66" s="432" t="str">
        <f>_xlfn.LET(_xlpm.x,P66,IF(OR(LEN(_xlpm.x)&lt;1,_xlpm.x=0),"",CONVERT(_xlpm.x,BH7,"kg")))</f>
        <v/>
      </c>
      <c r="BQ66" s="432" t="str">
        <f>_xlfn.LET(_xlpm.x,Q66,IF(OR(LEN(_xlpm.x)&lt;1,_xlpm.x=0),"",CONVERT(_xlpm.x,BH7,"kg")))</f>
        <v/>
      </c>
      <c r="BR66" s="432" t="str">
        <f>_xlfn.LET(_xlpm.x,R66,IF(OR(LEN(_xlpm.x)&lt;1,_xlpm.x=0),"",CONVERT(_xlpm.x,BH7,"kg")))</f>
        <v/>
      </c>
      <c r="BS66" s="432" t="str">
        <f>_xlfn.LET(_xlpm.x,S66,IF(OR(LEN(_xlpm.x)&lt;1,_xlpm.x=0),"",CONVERT(_xlpm.x,BH7,"kg")))</f>
        <v/>
      </c>
      <c r="BT66" s="433">
        <f t="shared" si="39"/>
        <v>0</v>
      </c>
      <c r="BU66" s="433" t="str">
        <f>_xlfn.LET(_xlpm.x,BF66,IF(LEN(_xlpm.x)&lt;1,"",IF(ISNUMBER(MATCH(_xlpm.x,ls_Mat_def,0)),'Project Inputs'!$BF$14,99)))</f>
        <v/>
      </c>
      <c r="BV66" s="432" t="str" cm="1">
        <f t="array" ref="BV66">IFERROR(INDEX(tblGWP[],MATCH(1,(tblGWP[Dataset ID]=BU66)*(tblGWP[Material Subcategory]=BF66),0),MATCH(BG66,ls_WHM,0)+5),"confirm")</f>
        <v>confirm</v>
      </c>
      <c r="BW66" s="434" t="str">
        <f t="shared" si="40"/>
        <v>No data</v>
      </c>
      <c r="BX66" s="434" t="str">
        <f t="shared" si="41"/>
        <v>No data</v>
      </c>
      <c r="BY66" s="434" t="str">
        <f t="shared" si="42"/>
        <v>No data</v>
      </c>
      <c r="BZ66" s="434" t="str">
        <f t="shared" si="43"/>
        <v>No data</v>
      </c>
      <c r="CA66" s="434" t="str">
        <f t="shared" si="44"/>
        <v>No data</v>
      </c>
      <c r="CB66" s="434" t="str">
        <f t="shared" si="45"/>
        <v>No data</v>
      </c>
      <c r="CC66" s="434" t="str">
        <f t="shared" si="46"/>
        <v>No data</v>
      </c>
      <c r="CD66" s="434" t="str">
        <f t="shared" si="47"/>
        <v>No data</v>
      </c>
      <c r="CE66" s="434" t="str">
        <f t="shared" si="48"/>
        <v>No data</v>
      </c>
      <c r="CF66" s="434" t="str">
        <f t="shared" si="49"/>
        <v>No data</v>
      </c>
      <c r="CG66" s="434" t="str">
        <f t="shared" si="50"/>
        <v>No data</v>
      </c>
      <c r="CH66" s="434" t="str">
        <f t="shared" si="51"/>
        <v>No data</v>
      </c>
      <c r="CI66" s="435">
        <f t="shared" si="52"/>
        <v>0</v>
      </c>
      <c r="CK66" s="3" t="str">
        <f>_xlfn.LET(_xlpm.x,INDEX(tbl_Mat_def[],MATCH(BF66,ls_Mat_def,0),2),IFERROR(IF(_xlpm.x=0,"No","Yes"),"No"))</f>
        <v>No</v>
      </c>
      <c r="CM66" s="60" t="str">
        <f t="shared" si="53"/>
        <v/>
      </c>
      <c r="CN66" s="60" t="s">
        <v>235</v>
      </c>
      <c r="CO66" s="566" t="str">
        <f>_xlfn.XLOOKUP(CM66,tblGWP[Material Subcategory],tblGWP[Landfill],0)</f>
        <v/>
      </c>
      <c r="CP66" s="436" t="str">
        <f t="shared" si="54"/>
        <v/>
      </c>
      <c r="DD66" s="388">
        <f t="shared" si="29"/>
        <v>0</v>
      </c>
      <c r="DE66" s="22">
        <f t="shared" si="55"/>
        <v>19</v>
      </c>
      <c r="DF66" s="387">
        <f t="shared" si="30"/>
        <v>0</v>
      </c>
      <c r="DG66" s="387">
        <f t="shared" si="56"/>
        <v>0</v>
      </c>
      <c r="DH66" s="22">
        <f t="shared" ca="1" si="57"/>
        <v>0</v>
      </c>
      <c r="DI66">
        <f t="shared" ca="1" si="58"/>
        <v>0</v>
      </c>
    </row>
    <row r="67" spans="1:113" ht="30" hidden="1" customHeight="1" outlineLevel="1">
      <c r="A67" s="22" t="str">
        <f t="shared" si="28"/>
        <v/>
      </c>
      <c r="B67" s="272"/>
      <c r="C67" s="491"/>
      <c r="D67" s="272"/>
      <c r="E67" s="400"/>
      <c r="F67" s="400"/>
      <c r="G67" s="401"/>
      <c r="H67" s="376"/>
      <c r="I67" s="376"/>
      <c r="J67" s="376"/>
      <c r="K67" s="376"/>
      <c r="L67" s="376"/>
      <c r="M67" s="376"/>
      <c r="N67" s="376"/>
      <c r="O67" s="376"/>
      <c r="P67" s="376"/>
      <c r="Q67" s="376"/>
      <c r="R67" s="376"/>
      <c r="S67" s="376"/>
      <c r="T67" s="431">
        <f t="shared" si="33"/>
        <v>0</v>
      </c>
      <c r="U67" s="272"/>
      <c r="BC67" s="432" t="str">
        <f t="shared" si="34"/>
        <v/>
      </c>
      <c r="BD67" s="432" t="str">
        <f t="shared" si="35"/>
        <v/>
      </c>
      <c r="BE67" s="432" t="str">
        <f t="shared" si="36"/>
        <v/>
      </c>
      <c r="BF67" s="432" t="str">
        <f t="shared" si="37"/>
        <v/>
      </c>
      <c r="BG67" s="432" t="str">
        <f t="shared" si="38"/>
        <v/>
      </c>
      <c r="BH67" s="432" t="str">
        <f>_xlfn.LET(_xlpm.x,H67,IF(OR(LEN(_xlpm.x)&lt;1,_xlpm.x=0),"",CONVERT(_xlpm.x,BH7,"kg")))</f>
        <v/>
      </c>
      <c r="BI67" s="432" t="str">
        <f>_xlfn.LET(_xlpm.x,I67,IF(OR(LEN(_xlpm.x)&lt;1,_xlpm.x=0),"",CONVERT(_xlpm.x,BH7,"kg")))</f>
        <v/>
      </c>
      <c r="BJ67" s="432" t="str">
        <f>_xlfn.LET(_xlpm.x,J67,IF(OR(LEN(_xlpm.x)&lt;1,_xlpm.x=0),"",CONVERT(_xlpm.x,BH7,"kg")))</f>
        <v/>
      </c>
      <c r="BK67" s="432" t="str">
        <f>_xlfn.LET(_xlpm.x,K67,IF(OR(LEN(_xlpm.x)&lt;1,_xlpm.x=0),"",CONVERT(_xlpm.x,BH7,"kg")))</f>
        <v/>
      </c>
      <c r="BL67" s="432" t="str">
        <f>_xlfn.LET(_xlpm.x,L67,IF(OR(LEN(_xlpm.x)&lt;1,_xlpm.x=0),"",CONVERT(_xlpm.x,BH7,"kg")))</f>
        <v/>
      </c>
      <c r="BM67" s="432" t="str">
        <f>_xlfn.LET(_xlpm.x,M67,IF(OR(LEN(_xlpm.x)&lt;1,_xlpm.x=0),"",CONVERT(_xlpm.x,BH7,"kg")))</f>
        <v/>
      </c>
      <c r="BN67" s="432" t="str">
        <f>_xlfn.LET(_xlpm.x,N67,IF(OR(LEN(_xlpm.x)&lt;1,_xlpm.x=0),"",CONVERT(_xlpm.x,BH7,"kg")))</f>
        <v/>
      </c>
      <c r="BO67" s="432" t="str">
        <f>_xlfn.LET(_xlpm.x,O67,IF(OR(LEN(_xlpm.x)&lt;1,_xlpm.x=0),"",CONVERT(_xlpm.x,BH7,"kg")))</f>
        <v/>
      </c>
      <c r="BP67" s="432" t="str">
        <f>_xlfn.LET(_xlpm.x,P67,IF(OR(LEN(_xlpm.x)&lt;1,_xlpm.x=0),"",CONVERT(_xlpm.x,BH7,"kg")))</f>
        <v/>
      </c>
      <c r="BQ67" s="432" t="str">
        <f>_xlfn.LET(_xlpm.x,Q67,IF(OR(LEN(_xlpm.x)&lt;1,_xlpm.x=0),"",CONVERT(_xlpm.x,BH7,"kg")))</f>
        <v/>
      </c>
      <c r="BR67" s="432" t="str">
        <f>_xlfn.LET(_xlpm.x,R67,IF(OR(LEN(_xlpm.x)&lt;1,_xlpm.x=0),"",CONVERT(_xlpm.x,BH7,"kg")))</f>
        <v/>
      </c>
      <c r="BS67" s="432" t="str">
        <f>_xlfn.LET(_xlpm.x,S67,IF(OR(LEN(_xlpm.x)&lt;1,_xlpm.x=0),"",CONVERT(_xlpm.x,BH7,"kg")))</f>
        <v/>
      </c>
      <c r="BT67" s="433">
        <f t="shared" si="39"/>
        <v>0</v>
      </c>
      <c r="BU67" s="433" t="str">
        <f>_xlfn.LET(_xlpm.x,BF67,IF(LEN(_xlpm.x)&lt;1,"",IF(ISNUMBER(MATCH(_xlpm.x,ls_Mat_def,0)),'Project Inputs'!$BF$14,99)))</f>
        <v/>
      </c>
      <c r="BV67" s="432" t="str" cm="1">
        <f t="array" ref="BV67">IFERROR(INDEX(tblGWP[],MATCH(1,(tblGWP[Dataset ID]=BU67)*(tblGWP[Material Subcategory]=BF67),0),MATCH(BG67,ls_WHM,0)+5),"confirm")</f>
        <v>confirm</v>
      </c>
      <c r="BW67" s="434" t="str">
        <f t="shared" si="40"/>
        <v>No data</v>
      </c>
      <c r="BX67" s="434" t="str">
        <f t="shared" si="41"/>
        <v>No data</v>
      </c>
      <c r="BY67" s="434" t="str">
        <f t="shared" si="42"/>
        <v>No data</v>
      </c>
      <c r="BZ67" s="434" t="str">
        <f t="shared" si="43"/>
        <v>No data</v>
      </c>
      <c r="CA67" s="434" t="str">
        <f t="shared" si="44"/>
        <v>No data</v>
      </c>
      <c r="CB67" s="434" t="str">
        <f t="shared" si="45"/>
        <v>No data</v>
      </c>
      <c r="CC67" s="434" t="str">
        <f t="shared" si="46"/>
        <v>No data</v>
      </c>
      <c r="CD67" s="434" t="str">
        <f t="shared" si="47"/>
        <v>No data</v>
      </c>
      <c r="CE67" s="434" t="str">
        <f t="shared" si="48"/>
        <v>No data</v>
      </c>
      <c r="CF67" s="434" t="str">
        <f t="shared" si="49"/>
        <v>No data</v>
      </c>
      <c r="CG67" s="434" t="str">
        <f t="shared" si="50"/>
        <v>No data</v>
      </c>
      <c r="CH67" s="434" t="str">
        <f t="shared" si="51"/>
        <v>No data</v>
      </c>
      <c r="CI67" s="435">
        <f t="shared" si="52"/>
        <v>0</v>
      </c>
      <c r="CK67" s="3" t="str">
        <f>_xlfn.LET(_xlpm.x,INDEX(tbl_Mat_def[],MATCH(BF67,ls_Mat_def,0),2),IFERROR(IF(_xlpm.x=0,"No","Yes"),"No"))</f>
        <v>No</v>
      </c>
      <c r="CM67" s="60" t="str">
        <f t="shared" si="53"/>
        <v/>
      </c>
      <c r="CN67" s="60" t="s">
        <v>235</v>
      </c>
      <c r="CO67" s="566" t="str">
        <f>_xlfn.XLOOKUP(CM67,tblGWP[Material Subcategory],tblGWP[Landfill],0)</f>
        <v/>
      </c>
      <c r="CP67" s="436" t="str">
        <f t="shared" si="54"/>
        <v/>
      </c>
      <c r="DD67" s="388">
        <f t="shared" si="29"/>
        <v>0</v>
      </c>
      <c r="DE67" s="22">
        <f t="shared" si="55"/>
        <v>19</v>
      </c>
      <c r="DF67" s="387">
        <f t="shared" si="30"/>
        <v>0</v>
      </c>
      <c r="DG67" s="387">
        <f t="shared" si="56"/>
        <v>0</v>
      </c>
      <c r="DH67" s="22">
        <f t="shared" ca="1" si="57"/>
        <v>0</v>
      </c>
      <c r="DI67">
        <f t="shared" ca="1" si="58"/>
        <v>0</v>
      </c>
    </row>
    <row r="68" spans="1:113" ht="30" hidden="1" customHeight="1" outlineLevel="1">
      <c r="A68" s="22" t="str">
        <f t="shared" si="28"/>
        <v/>
      </c>
      <c r="B68" s="272"/>
      <c r="C68" s="491"/>
      <c r="D68" s="272"/>
      <c r="E68" s="400"/>
      <c r="F68" s="400"/>
      <c r="G68" s="401"/>
      <c r="H68" s="376"/>
      <c r="I68" s="376"/>
      <c r="J68" s="376"/>
      <c r="K68" s="376"/>
      <c r="L68" s="376"/>
      <c r="M68" s="376"/>
      <c r="N68" s="376"/>
      <c r="O68" s="376"/>
      <c r="P68" s="376"/>
      <c r="Q68" s="376"/>
      <c r="R68" s="376"/>
      <c r="S68" s="376"/>
      <c r="T68" s="431">
        <f t="shared" si="33"/>
        <v>0</v>
      </c>
      <c r="U68" s="272"/>
      <c r="BC68" s="432" t="str">
        <f t="shared" si="34"/>
        <v/>
      </c>
      <c r="BD68" s="432" t="str">
        <f t="shared" si="35"/>
        <v/>
      </c>
      <c r="BE68" s="432" t="str">
        <f t="shared" si="36"/>
        <v/>
      </c>
      <c r="BF68" s="432" t="str">
        <f t="shared" si="37"/>
        <v/>
      </c>
      <c r="BG68" s="432" t="str">
        <f t="shared" si="38"/>
        <v/>
      </c>
      <c r="BH68" s="432" t="str">
        <f>_xlfn.LET(_xlpm.x,H68,IF(OR(LEN(_xlpm.x)&lt;1,_xlpm.x=0),"",CONVERT(_xlpm.x,BH7,"kg")))</f>
        <v/>
      </c>
      <c r="BI68" s="432" t="str">
        <f>_xlfn.LET(_xlpm.x,I68,IF(OR(LEN(_xlpm.x)&lt;1,_xlpm.x=0),"",CONVERT(_xlpm.x,BH7,"kg")))</f>
        <v/>
      </c>
      <c r="BJ68" s="432" t="str">
        <f>_xlfn.LET(_xlpm.x,J68,IF(OR(LEN(_xlpm.x)&lt;1,_xlpm.x=0),"",CONVERT(_xlpm.x,BH7,"kg")))</f>
        <v/>
      </c>
      <c r="BK68" s="432" t="str">
        <f>_xlfn.LET(_xlpm.x,K68,IF(OR(LEN(_xlpm.x)&lt;1,_xlpm.x=0),"",CONVERT(_xlpm.x,BH7,"kg")))</f>
        <v/>
      </c>
      <c r="BL68" s="432" t="str">
        <f>_xlfn.LET(_xlpm.x,L68,IF(OR(LEN(_xlpm.x)&lt;1,_xlpm.x=0),"",CONVERT(_xlpm.x,BH7,"kg")))</f>
        <v/>
      </c>
      <c r="BM68" s="432" t="str">
        <f>_xlfn.LET(_xlpm.x,M68,IF(OR(LEN(_xlpm.x)&lt;1,_xlpm.x=0),"",CONVERT(_xlpm.x,BH7,"kg")))</f>
        <v/>
      </c>
      <c r="BN68" s="432" t="str">
        <f>_xlfn.LET(_xlpm.x,N68,IF(OR(LEN(_xlpm.x)&lt;1,_xlpm.x=0),"",CONVERT(_xlpm.x,BH7,"kg")))</f>
        <v/>
      </c>
      <c r="BO68" s="432" t="str">
        <f>_xlfn.LET(_xlpm.x,O68,IF(OR(LEN(_xlpm.x)&lt;1,_xlpm.x=0),"",CONVERT(_xlpm.x,BH7,"kg")))</f>
        <v/>
      </c>
      <c r="BP68" s="432" t="str">
        <f>_xlfn.LET(_xlpm.x,P68,IF(OR(LEN(_xlpm.x)&lt;1,_xlpm.x=0),"",CONVERT(_xlpm.x,BH7,"kg")))</f>
        <v/>
      </c>
      <c r="BQ68" s="432" t="str">
        <f>_xlfn.LET(_xlpm.x,Q68,IF(OR(LEN(_xlpm.x)&lt;1,_xlpm.x=0),"",CONVERT(_xlpm.x,BH7,"kg")))</f>
        <v/>
      </c>
      <c r="BR68" s="432" t="str">
        <f>_xlfn.LET(_xlpm.x,R68,IF(OR(LEN(_xlpm.x)&lt;1,_xlpm.x=0),"",CONVERT(_xlpm.x,BH7,"kg")))</f>
        <v/>
      </c>
      <c r="BS68" s="432" t="str">
        <f>_xlfn.LET(_xlpm.x,S68,IF(OR(LEN(_xlpm.x)&lt;1,_xlpm.x=0),"",CONVERT(_xlpm.x,BH7,"kg")))</f>
        <v/>
      </c>
      <c r="BT68" s="433">
        <f t="shared" si="39"/>
        <v>0</v>
      </c>
      <c r="BU68" s="433" t="str">
        <f>_xlfn.LET(_xlpm.x,BF68,IF(LEN(_xlpm.x)&lt;1,"",IF(ISNUMBER(MATCH(_xlpm.x,ls_Mat_def,0)),'Project Inputs'!$BF$14,99)))</f>
        <v/>
      </c>
      <c r="BV68" s="432" t="str" cm="1">
        <f t="array" ref="BV68">IFERROR(INDEX(tblGWP[],MATCH(1,(tblGWP[Dataset ID]=BU68)*(tblGWP[Material Subcategory]=BF68),0),MATCH(BG68,ls_WHM,0)+5),"confirm")</f>
        <v>confirm</v>
      </c>
      <c r="BW68" s="434" t="str">
        <f t="shared" si="40"/>
        <v>No data</v>
      </c>
      <c r="BX68" s="434" t="str">
        <f t="shared" si="41"/>
        <v>No data</v>
      </c>
      <c r="BY68" s="434" t="str">
        <f t="shared" si="42"/>
        <v>No data</v>
      </c>
      <c r="BZ68" s="434" t="str">
        <f t="shared" si="43"/>
        <v>No data</v>
      </c>
      <c r="CA68" s="434" t="str">
        <f t="shared" si="44"/>
        <v>No data</v>
      </c>
      <c r="CB68" s="434" t="str">
        <f t="shared" si="45"/>
        <v>No data</v>
      </c>
      <c r="CC68" s="434" t="str">
        <f t="shared" si="46"/>
        <v>No data</v>
      </c>
      <c r="CD68" s="434" t="str">
        <f t="shared" si="47"/>
        <v>No data</v>
      </c>
      <c r="CE68" s="434" t="str">
        <f t="shared" si="48"/>
        <v>No data</v>
      </c>
      <c r="CF68" s="434" t="str">
        <f t="shared" si="49"/>
        <v>No data</v>
      </c>
      <c r="CG68" s="434" t="str">
        <f t="shared" si="50"/>
        <v>No data</v>
      </c>
      <c r="CH68" s="434" t="str">
        <f t="shared" si="51"/>
        <v>No data</v>
      </c>
      <c r="CI68" s="435">
        <f t="shared" si="52"/>
        <v>0</v>
      </c>
      <c r="CK68" s="3" t="str">
        <f>_xlfn.LET(_xlpm.x,INDEX(tbl_Mat_def[],MATCH(BF68,ls_Mat_def,0),2),IFERROR(IF(_xlpm.x=0,"No","Yes"),"No"))</f>
        <v>No</v>
      </c>
      <c r="CM68" s="60" t="str">
        <f t="shared" si="53"/>
        <v/>
      </c>
      <c r="CN68" s="60" t="s">
        <v>235</v>
      </c>
      <c r="CO68" s="566" t="str">
        <f>_xlfn.XLOOKUP(CM68,tblGWP[Material Subcategory],tblGWP[Landfill],0)</f>
        <v/>
      </c>
      <c r="CP68" s="436" t="str">
        <f t="shared" si="54"/>
        <v/>
      </c>
      <c r="DD68" s="388">
        <f t="shared" si="29"/>
        <v>0</v>
      </c>
      <c r="DE68" s="22">
        <f t="shared" si="55"/>
        <v>19</v>
      </c>
      <c r="DF68" s="387">
        <f t="shared" si="30"/>
        <v>0</v>
      </c>
      <c r="DG68" s="387">
        <f t="shared" si="56"/>
        <v>0</v>
      </c>
      <c r="DH68" s="22">
        <f t="shared" ca="1" si="57"/>
        <v>0</v>
      </c>
      <c r="DI68">
        <f t="shared" ca="1" si="58"/>
        <v>0</v>
      </c>
    </row>
    <row r="69" spans="1:113" ht="30" hidden="1" customHeight="1" outlineLevel="1">
      <c r="A69" s="22" t="str">
        <f t="shared" si="28"/>
        <v/>
      </c>
      <c r="B69" s="272"/>
      <c r="C69" s="491"/>
      <c r="D69" s="272"/>
      <c r="E69" s="400"/>
      <c r="F69" s="400"/>
      <c r="G69" s="401"/>
      <c r="H69" s="376"/>
      <c r="I69" s="376"/>
      <c r="J69" s="376"/>
      <c r="K69" s="376"/>
      <c r="L69" s="376"/>
      <c r="M69" s="376"/>
      <c r="N69" s="376"/>
      <c r="O69" s="376"/>
      <c r="P69" s="376"/>
      <c r="Q69" s="376"/>
      <c r="R69" s="376"/>
      <c r="S69" s="376"/>
      <c r="T69" s="431">
        <f t="shared" si="33"/>
        <v>0</v>
      </c>
      <c r="U69" s="272"/>
      <c r="BC69" s="432" t="str">
        <f t="shared" si="34"/>
        <v/>
      </c>
      <c r="BD69" s="432" t="str">
        <f t="shared" si="35"/>
        <v/>
      </c>
      <c r="BE69" s="432" t="str">
        <f t="shared" si="36"/>
        <v/>
      </c>
      <c r="BF69" s="432" t="str">
        <f t="shared" si="37"/>
        <v/>
      </c>
      <c r="BG69" s="432" t="str">
        <f t="shared" si="38"/>
        <v/>
      </c>
      <c r="BH69" s="432" t="str">
        <f>_xlfn.LET(_xlpm.x,H69,IF(OR(LEN(_xlpm.x)&lt;1,_xlpm.x=0),"",CONVERT(_xlpm.x,BH7,"kg")))</f>
        <v/>
      </c>
      <c r="BI69" s="432" t="str">
        <f>_xlfn.LET(_xlpm.x,I69,IF(OR(LEN(_xlpm.x)&lt;1,_xlpm.x=0),"",CONVERT(_xlpm.x,BH7,"kg")))</f>
        <v/>
      </c>
      <c r="BJ69" s="432" t="str">
        <f>_xlfn.LET(_xlpm.x,J69,IF(OR(LEN(_xlpm.x)&lt;1,_xlpm.x=0),"",CONVERT(_xlpm.x,BH7,"kg")))</f>
        <v/>
      </c>
      <c r="BK69" s="432" t="str">
        <f>_xlfn.LET(_xlpm.x,K69,IF(OR(LEN(_xlpm.x)&lt;1,_xlpm.x=0),"",CONVERT(_xlpm.x,BH7,"kg")))</f>
        <v/>
      </c>
      <c r="BL69" s="432" t="str">
        <f>_xlfn.LET(_xlpm.x,L69,IF(OR(LEN(_xlpm.x)&lt;1,_xlpm.x=0),"",CONVERT(_xlpm.x,BH7,"kg")))</f>
        <v/>
      </c>
      <c r="BM69" s="432" t="str">
        <f>_xlfn.LET(_xlpm.x,M69,IF(OR(LEN(_xlpm.x)&lt;1,_xlpm.x=0),"",CONVERT(_xlpm.x,BH7,"kg")))</f>
        <v/>
      </c>
      <c r="BN69" s="432" t="str">
        <f>_xlfn.LET(_xlpm.x,N69,IF(OR(LEN(_xlpm.x)&lt;1,_xlpm.x=0),"",CONVERT(_xlpm.x,BH7,"kg")))</f>
        <v/>
      </c>
      <c r="BO69" s="432" t="str">
        <f>_xlfn.LET(_xlpm.x,O69,IF(OR(LEN(_xlpm.x)&lt;1,_xlpm.x=0),"",CONVERT(_xlpm.x,BH7,"kg")))</f>
        <v/>
      </c>
      <c r="BP69" s="432" t="str">
        <f>_xlfn.LET(_xlpm.x,P69,IF(OR(LEN(_xlpm.x)&lt;1,_xlpm.x=0),"",CONVERT(_xlpm.x,BH7,"kg")))</f>
        <v/>
      </c>
      <c r="BQ69" s="432" t="str">
        <f>_xlfn.LET(_xlpm.x,Q69,IF(OR(LEN(_xlpm.x)&lt;1,_xlpm.x=0),"",CONVERT(_xlpm.x,BH7,"kg")))</f>
        <v/>
      </c>
      <c r="BR69" s="432" t="str">
        <f>_xlfn.LET(_xlpm.x,R69,IF(OR(LEN(_xlpm.x)&lt;1,_xlpm.x=0),"",CONVERT(_xlpm.x,BH7,"kg")))</f>
        <v/>
      </c>
      <c r="BS69" s="432" t="str">
        <f>_xlfn.LET(_xlpm.x,S69,IF(OR(LEN(_xlpm.x)&lt;1,_xlpm.x=0),"",CONVERT(_xlpm.x,BH7,"kg")))</f>
        <v/>
      </c>
      <c r="BT69" s="433">
        <f t="shared" si="39"/>
        <v>0</v>
      </c>
      <c r="BU69" s="433" t="str">
        <f>_xlfn.LET(_xlpm.x,BF69,IF(LEN(_xlpm.x)&lt;1,"",IF(ISNUMBER(MATCH(_xlpm.x,ls_Mat_def,0)),'Project Inputs'!$BF$14,99)))</f>
        <v/>
      </c>
      <c r="BV69" s="432" t="str" cm="1">
        <f t="array" ref="BV69">IFERROR(INDEX(tblGWP[],MATCH(1,(tblGWP[Dataset ID]=BU69)*(tblGWP[Material Subcategory]=BF69),0),MATCH(BG69,ls_WHM,0)+5),"confirm")</f>
        <v>confirm</v>
      </c>
      <c r="BW69" s="434" t="str">
        <f t="shared" si="40"/>
        <v>No data</v>
      </c>
      <c r="BX69" s="434" t="str">
        <f t="shared" si="41"/>
        <v>No data</v>
      </c>
      <c r="BY69" s="434" t="str">
        <f t="shared" si="42"/>
        <v>No data</v>
      </c>
      <c r="BZ69" s="434" t="str">
        <f t="shared" si="43"/>
        <v>No data</v>
      </c>
      <c r="CA69" s="434" t="str">
        <f t="shared" si="44"/>
        <v>No data</v>
      </c>
      <c r="CB69" s="434" t="str">
        <f t="shared" si="45"/>
        <v>No data</v>
      </c>
      <c r="CC69" s="434" t="str">
        <f t="shared" si="46"/>
        <v>No data</v>
      </c>
      <c r="CD69" s="434" t="str">
        <f t="shared" si="47"/>
        <v>No data</v>
      </c>
      <c r="CE69" s="434" t="str">
        <f t="shared" si="48"/>
        <v>No data</v>
      </c>
      <c r="CF69" s="434" t="str">
        <f t="shared" si="49"/>
        <v>No data</v>
      </c>
      <c r="CG69" s="434" t="str">
        <f t="shared" si="50"/>
        <v>No data</v>
      </c>
      <c r="CH69" s="434" t="str">
        <f t="shared" si="51"/>
        <v>No data</v>
      </c>
      <c r="CI69" s="435">
        <f t="shared" si="52"/>
        <v>0</v>
      </c>
      <c r="CK69" s="3" t="str">
        <f>_xlfn.LET(_xlpm.x,INDEX(tbl_Mat_def[],MATCH(BF69,ls_Mat_def,0),2),IFERROR(IF(_xlpm.x=0,"No","Yes"),"No"))</f>
        <v>No</v>
      </c>
      <c r="CM69" s="60" t="str">
        <f t="shared" si="53"/>
        <v/>
      </c>
      <c r="CN69" s="60" t="s">
        <v>235</v>
      </c>
      <c r="CO69" s="566" t="str">
        <f>_xlfn.XLOOKUP(CM69,tblGWP[Material Subcategory],tblGWP[Landfill],0)</f>
        <v/>
      </c>
      <c r="CP69" s="436" t="str">
        <f t="shared" si="54"/>
        <v/>
      </c>
      <c r="DD69" s="388">
        <f t="shared" si="29"/>
        <v>0</v>
      </c>
      <c r="DE69" s="22">
        <f t="shared" si="55"/>
        <v>19</v>
      </c>
      <c r="DF69" s="387">
        <f t="shared" si="30"/>
        <v>0</v>
      </c>
      <c r="DG69" s="387">
        <f t="shared" si="56"/>
        <v>0</v>
      </c>
      <c r="DH69" s="22">
        <f t="shared" ca="1" si="57"/>
        <v>0</v>
      </c>
      <c r="DI69">
        <f t="shared" ca="1" si="58"/>
        <v>0</v>
      </c>
    </row>
    <row r="70" spans="1:113" ht="30" hidden="1" customHeight="1" outlineLevel="1">
      <c r="A70" s="22" t="str">
        <f t="shared" si="28"/>
        <v/>
      </c>
      <c r="B70" s="272"/>
      <c r="C70" s="491"/>
      <c r="D70" s="272"/>
      <c r="E70" s="400"/>
      <c r="F70" s="400"/>
      <c r="G70" s="401"/>
      <c r="H70" s="376"/>
      <c r="I70" s="376"/>
      <c r="J70" s="376"/>
      <c r="K70" s="376"/>
      <c r="L70" s="376"/>
      <c r="M70" s="376"/>
      <c r="N70" s="376"/>
      <c r="O70" s="376"/>
      <c r="P70" s="376"/>
      <c r="Q70" s="376"/>
      <c r="R70" s="376"/>
      <c r="S70" s="376"/>
      <c r="T70" s="431">
        <f t="shared" si="33"/>
        <v>0</v>
      </c>
      <c r="U70" s="272"/>
      <c r="BC70" s="432" t="str">
        <f t="shared" si="34"/>
        <v/>
      </c>
      <c r="BD70" s="432" t="str">
        <f t="shared" si="35"/>
        <v/>
      </c>
      <c r="BE70" s="432" t="str">
        <f t="shared" si="36"/>
        <v/>
      </c>
      <c r="BF70" s="432" t="str">
        <f t="shared" si="37"/>
        <v/>
      </c>
      <c r="BG70" s="432" t="str">
        <f t="shared" si="38"/>
        <v/>
      </c>
      <c r="BH70" s="432" t="str">
        <f>_xlfn.LET(_xlpm.x,H70,IF(OR(LEN(_xlpm.x)&lt;1,_xlpm.x=0),"",CONVERT(_xlpm.x,BH7,"kg")))</f>
        <v/>
      </c>
      <c r="BI70" s="432" t="str">
        <f>_xlfn.LET(_xlpm.x,I70,IF(OR(LEN(_xlpm.x)&lt;1,_xlpm.x=0),"",CONVERT(_xlpm.x,BH7,"kg")))</f>
        <v/>
      </c>
      <c r="BJ70" s="432" t="str">
        <f>_xlfn.LET(_xlpm.x,J70,IF(OR(LEN(_xlpm.x)&lt;1,_xlpm.x=0),"",CONVERT(_xlpm.x,BH7,"kg")))</f>
        <v/>
      </c>
      <c r="BK70" s="432" t="str">
        <f>_xlfn.LET(_xlpm.x,K70,IF(OR(LEN(_xlpm.x)&lt;1,_xlpm.x=0),"",CONVERT(_xlpm.x,BH7,"kg")))</f>
        <v/>
      </c>
      <c r="BL70" s="432" t="str">
        <f>_xlfn.LET(_xlpm.x,L70,IF(OR(LEN(_xlpm.x)&lt;1,_xlpm.x=0),"",CONVERT(_xlpm.x,BH7,"kg")))</f>
        <v/>
      </c>
      <c r="BM70" s="432" t="str">
        <f>_xlfn.LET(_xlpm.x,M70,IF(OR(LEN(_xlpm.x)&lt;1,_xlpm.x=0),"",CONVERT(_xlpm.x,BH7,"kg")))</f>
        <v/>
      </c>
      <c r="BN70" s="432" t="str">
        <f>_xlfn.LET(_xlpm.x,N70,IF(OR(LEN(_xlpm.x)&lt;1,_xlpm.x=0),"",CONVERT(_xlpm.x,BH7,"kg")))</f>
        <v/>
      </c>
      <c r="BO70" s="432" t="str">
        <f>_xlfn.LET(_xlpm.x,O70,IF(OR(LEN(_xlpm.x)&lt;1,_xlpm.x=0),"",CONVERT(_xlpm.x,BH7,"kg")))</f>
        <v/>
      </c>
      <c r="BP70" s="432" t="str">
        <f>_xlfn.LET(_xlpm.x,P70,IF(OR(LEN(_xlpm.x)&lt;1,_xlpm.x=0),"",CONVERT(_xlpm.x,BH7,"kg")))</f>
        <v/>
      </c>
      <c r="BQ70" s="432" t="str">
        <f>_xlfn.LET(_xlpm.x,Q70,IF(OR(LEN(_xlpm.x)&lt;1,_xlpm.x=0),"",CONVERT(_xlpm.x,BH7,"kg")))</f>
        <v/>
      </c>
      <c r="BR70" s="432" t="str">
        <f>_xlfn.LET(_xlpm.x,R70,IF(OR(LEN(_xlpm.x)&lt;1,_xlpm.x=0),"",CONVERT(_xlpm.x,BH7,"kg")))</f>
        <v/>
      </c>
      <c r="BS70" s="432" t="str">
        <f>_xlfn.LET(_xlpm.x,S70,IF(OR(LEN(_xlpm.x)&lt;1,_xlpm.x=0),"",CONVERT(_xlpm.x,BH7,"kg")))</f>
        <v/>
      </c>
      <c r="BT70" s="433">
        <f t="shared" si="39"/>
        <v>0</v>
      </c>
      <c r="BU70" s="433" t="str">
        <f>_xlfn.LET(_xlpm.x,BF70,IF(LEN(_xlpm.x)&lt;1,"",IF(ISNUMBER(MATCH(_xlpm.x,ls_Mat_def,0)),'Project Inputs'!$BF$14,99)))</f>
        <v/>
      </c>
      <c r="BV70" s="432" t="str" cm="1">
        <f t="array" ref="BV70">IFERROR(INDEX(tblGWP[],MATCH(1,(tblGWP[Dataset ID]=BU70)*(tblGWP[Material Subcategory]=BF70),0),MATCH(BG70,ls_WHM,0)+5),"confirm")</f>
        <v>confirm</v>
      </c>
      <c r="BW70" s="434" t="str">
        <f t="shared" si="40"/>
        <v>No data</v>
      </c>
      <c r="BX70" s="434" t="str">
        <f t="shared" si="41"/>
        <v>No data</v>
      </c>
      <c r="BY70" s="434" t="str">
        <f t="shared" si="42"/>
        <v>No data</v>
      </c>
      <c r="BZ70" s="434" t="str">
        <f t="shared" si="43"/>
        <v>No data</v>
      </c>
      <c r="CA70" s="434" t="str">
        <f t="shared" si="44"/>
        <v>No data</v>
      </c>
      <c r="CB70" s="434" t="str">
        <f t="shared" si="45"/>
        <v>No data</v>
      </c>
      <c r="CC70" s="434" t="str">
        <f t="shared" si="46"/>
        <v>No data</v>
      </c>
      <c r="CD70" s="434" t="str">
        <f t="shared" si="47"/>
        <v>No data</v>
      </c>
      <c r="CE70" s="434" t="str">
        <f t="shared" si="48"/>
        <v>No data</v>
      </c>
      <c r="CF70" s="434" t="str">
        <f t="shared" si="49"/>
        <v>No data</v>
      </c>
      <c r="CG70" s="434" t="str">
        <f t="shared" si="50"/>
        <v>No data</v>
      </c>
      <c r="CH70" s="434" t="str">
        <f t="shared" si="51"/>
        <v>No data</v>
      </c>
      <c r="CI70" s="435">
        <f t="shared" si="52"/>
        <v>0</v>
      </c>
      <c r="CK70" s="3" t="str">
        <f>_xlfn.LET(_xlpm.x,INDEX(tbl_Mat_def[],MATCH(BF70,ls_Mat_def,0),2),IFERROR(IF(_xlpm.x=0,"No","Yes"),"No"))</f>
        <v>No</v>
      </c>
      <c r="CM70" s="60" t="str">
        <f t="shared" si="53"/>
        <v/>
      </c>
      <c r="CN70" s="60" t="s">
        <v>235</v>
      </c>
      <c r="CO70" s="566" t="str">
        <f>_xlfn.XLOOKUP(CM70,tblGWP[Material Subcategory],tblGWP[Landfill],0)</f>
        <v/>
      </c>
      <c r="CP70" s="436" t="str">
        <f t="shared" si="54"/>
        <v/>
      </c>
      <c r="DD70" s="388">
        <f t="shared" si="29"/>
        <v>0</v>
      </c>
      <c r="DE70" s="22">
        <f t="shared" si="55"/>
        <v>19</v>
      </c>
      <c r="DF70" s="387">
        <f t="shared" si="30"/>
        <v>0</v>
      </c>
      <c r="DG70" s="387">
        <f t="shared" si="56"/>
        <v>0</v>
      </c>
      <c r="DH70" s="22">
        <f t="shared" ca="1" si="57"/>
        <v>0</v>
      </c>
      <c r="DI70">
        <f t="shared" ca="1" si="58"/>
        <v>0</v>
      </c>
    </row>
    <row r="71" spans="1:113" ht="30" hidden="1" customHeight="1" outlineLevel="1">
      <c r="A71" s="22" t="str">
        <f t="shared" si="28"/>
        <v/>
      </c>
      <c r="B71" s="272"/>
      <c r="C71" s="491"/>
      <c r="D71" s="272"/>
      <c r="E71" s="400"/>
      <c r="F71" s="400"/>
      <c r="G71" s="401"/>
      <c r="H71" s="376"/>
      <c r="I71" s="376"/>
      <c r="J71" s="376"/>
      <c r="K71" s="376"/>
      <c r="L71" s="376"/>
      <c r="M71" s="376"/>
      <c r="N71" s="376"/>
      <c r="O71" s="376"/>
      <c r="P71" s="376"/>
      <c r="Q71" s="376"/>
      <c r="R71" s="376"/>
      <c r="S71" s="376"/>
      <c r="T71" s="431">
        <f t="shared" si="33"/>
        <v>0</v>
      </c>
      <c r="U71" s="272"/>
      <c r="BC71" s="432" t="str">
        <f t="shared" si="34"/>
        <v/>
      </c>
      <c r="BD71" s="432" t="str">
        <f t="shared" si="35"/>
        <v/>
      </c>
      <c r="BE71" s="432" t="str">
        <f t="shared" si="36"/>
        <v/>
      </c>
      <c r="BF71" s="432" t="str">
        <f t="shared" si="37"/>
        <v/>
      </c>
      <c r="BG71" s="432" t="str">
        <f t="shared" si="38"/>
        <v/>
      </c>
      <c r="BH71" s="432" t="str">
        <f>_xlfn.LET(_xlpm.x,H71,IF(OR(LEN(_xlpm.x)&lt;1,_xlpm.x=0),"",CONVERT(_xlpm.x,BH7,"kg")))</f>
        <v/>
      </c>
      <c r="BI71" s="432" t="str">
        <f>_xlfn.LET(_xlpm.x,I55,IF(OR(LEN(_xlpm.x)&lt;1,_xlpm.x=0),"",CONVERT(_xlpm.x,BH7,"kg")))</f>
        <v/>
      </c>
      <c r="BJ71" s="432" t="str">
        <f>_xlfn.LET(_xlpm.x,J71,IF(OR(LEN(_xlpm.x)&lt;1,_xlpm.x=0),"",CONVERT(_xlpm.x,BH7,"kg")))</f>
        <v/>
      </c>
      <c r="BK71" s="432" t="str">
        <f>_xlfn.LET(_xlpm.x,K71,IF(OR(LEN(_xlpm.x)&lt;1,_xlpm.x=0),"",CONVERT(_xlpm.x,BH7,"kg")))</f>
        <v/>
      </c>
      <c r="BL71" s="432" t="str">
        <f>_xlfn.LET(_xlpm.x,L71,IF(OR(LEN(_xlpm.x)&lt;1,_xlpm.x=0),"",CONVERT(_xlpm.x,BH7,"kg")))</f>
        <v/>
      </c>
      <c r="BM71" s="432" t="str">
        <f>_xlfn.LET(_xlpm.x,M71,IF(OR(LEN(_xlpm.x)&lt;1,_xlpm.x=0),"",CONVERT(_xlpm.x,BH7,"kg")))</f>
        <v/>
      </c>
      <c r="BN71" s="432" t="str">
        <f>_xlfn.LET(_xlpm.x,N71,IF(OR(LEN(_xlpm.x)&lt;1,_xlpm.x=0),"",CONVERT(_xlpm.x,BH7,"kg")))</f>
        <v/>
      </c>
      <c r="BO71" s="432" t="str">
        <f>_xlfn.LET(_xlpm.x,O71,IF(OR(LEN(_xlpm.x)&lt;1,_xlpm.x=0),"",CONVERT(_xlpm.x,BH7,"kg")))</f>
        <v/>
      </c>
      <c r="BP71" s="432" t="str">
        <f>_xlfn.LET(_xlpm.x,P71,IF(OR(LEN(_xlpm.x)&lt;1,_xlpm.x=0),"",CONVERT(_xlpm.x,BH7,"kg")))</f>
        <v/>
      </c>
      <c r="BQ71" s="432" t="str">
        <f>_xlfn.LET(_xlpm.x,Q71,IF(OR(LEN(_xlpm.x)&lt;1,_xlpm.x=0),"",CONVERT(_xlpm.x,BH7,"kg")))</f>
        <v/>
      </c>
      <c r="BR71" s="432" t="str">
        <f>_xlfn.LET(_xlpm.x,R71,IF(OR(LEN(_xlpm.x)&lt;1,_xlpm.x=0),"",CONVERT(_xlpm.x,BH7,"kg")))</f>
        <v/>
      </c>
      <c r="BS71" s="432" t="str">
        <f>_xlfn.LET(_xlpm.x,S71,IF(OR(LEN(_xlpm.x)&lt;1,_xlpm.x=0),"",CONVERT(_xlpm.x,BH7,"kg")))</f>
        <v/>
      </c>
      <c r="BT71" s="433">
        <f t="shared" si="39"/>
        <v>0</v>
      </c>
      <c r="BU71" s="433" t="str">
        <f>_xlfn.LET(_xlpm.x,BF71,IF(LEN(_xlpm.x)&lt;1,"",IF(ISNUMBER(MATCH(_xlpm.x,ls_Mat_def,0)),'Project Inputs'!$BF$14,99)))</f>
        <v/>
      </c>
      <c r="BV71" s="432" t="str" cm="1">
        <f t="array" ref="BV71">IFERROR(INDEX(tblGWP[],MATCH(1,(tblGWP[Dataset ID]=BU71)*(tblGWP[Material Subcategory]=BF71),0),MATCH(BG71,ls_WHM,0)+5),"confirm")</f>
        <v>confirm</v>
      </c>
      <c r="BW71" s="434" t="str">
        <f t="shared" ref="BW71:BW113" si="59">IFERROR(BH71*$BV71,"No data")</f>
        <v>No data</v>
      </c>
      <c r="BX71" s="434" t="str">
        <f t="shared" ref="BX71:BX113" si="60">IFERROR(BI71*$BV71,"No data")</f>
        <v>No data</v>
      </c>
      <c r="BY71" s="434" t="str">
        <f t="shared" ref="BY71:BY78" si="61">IFERROR(BJ55*$BV71,"No data")</f>
        <v>No data</v>
      </c>
      <c r="BZ71" s="434" t="str">
        <f t="shared" ref="BZ71:BZ113" si="62">IFERROR(BK71*$BV71,"No data")</f>
        <v>No data</v>
      </c>
      <c r="CA71" s="434" t="str">
        <f t="shared" ref="CA71:CA113" si="63">IFERROR(BL71*$BV71,"No data")</f>
        <v>No data</v>
      </c>
      <c r="CB71" s="434" t="str">
        <f t="shared" ref="CB71:CB113" si="64">IFERROR(BM71*$BV71,"No data")</f>
        <v>No data</v>
      </c>
      <c r="CC71" s="434" t="str">
        <f t="shared" ref="CC71:CC113" si="65">IFERROR(BN71*$BV71,"No data")</f>
        <v>No data</v>
      </c>
      <c r="CD71" s="434" t="str">
        <f t="shared" ref="CD71:CD113" si="66">IFERROR(BO71*$BV71,"No data")</f>
        <v>No data</v>
      </c>
      <c r="CE71" s="434" t="str">
        <f t="shared" ref="CE71:CE113" si="67">IFERROR(BP71*$BV71,"No data")</f>
        <v>No data</v>
      </c>
      <c r="CF71" s="434" t="str">
        <f t="shared" ref="CF71:CF113" si="68">IFERROR(BQ71*$BV71,"No data")</f>
        <v>No data</v>
      </c>
      <c r="CG71" s="434" t="str">
        <f t="shared" ref="CG71:CG113" si="69">IFERROR(BR71*$BV71,"No data")</f>
        <v>No data</v>
      </c>
      <c r="CH71" s="434" t="str">
        <f t="shared" ref="CH71:CH113" si="70">IFERROR(BS71*$BV71,"No data")</f>
        <v>No data</v>
      </c>
      <c r="CI71" s="435">
        <f t="shared" si="52"/>
        <v>0</v>
      </c>
      <c r="CK71" s="3" t="str">
        <f>_xlfn.LET(_xlpm.x,INDEX(tbl_Mat_def[],MATCH(BF71,ls_Mat_def,0),2),IFERROR(IF(_xlpm.x=0,"No","Yes"),"No"))</f>
        <v>No</v>
      </c>
      <c r="CM71" s="60" t="str">
        <f t="shared" si="53"/>
        <v/>
      </c>
      <c r="CN71" s="60" t="s">
        <v>235</v>
      </c>
      <c r="CO71" s="566" t="str">
        <f>_xlfn.XLOOKUP(CM71,tblGWP[Material Subcategory],tblGWP[Landfill],0)</f>
        <v/>
      </c>
      <c r="CP71" s="436" t="str">
        <f t="shared" si="54"/>
        <v/>
      </c>
      <c r="DD71" s="388">
        <f t="shared" si="29"/>
        <v>0</v>
      </c>
      <c r="DE71" s="22">
        <f t="shared" si="55"/>
        <v>19</v>
      </c>
      <c r="DF71" s="387">
        <f t="shared" si="30"/>
        <v>0</v>
      </c>
      <c r="DG71" s="387">
        <f t="shared" si="56"/>
        <v>0</v>
      </c>
      <c r="DH71" s="22">
        <f t="shared" ca="1" si="57"/>
        <v>0</v>
      </c>
      <c r="DI71">
        <f t="shared" ca="1" si="58"/>
        <v>0</v>
      </c>
    </row>
    <row r="72" spans="1:113" ht="30" hidden="1" customHeight="1" outlineLevel="1">
      <c r="A72" s="22" t="str">
        <f t="shared" si="28"/>
        <v/>
      </c>
      <c r="B72" s="272"/>
      <c r="C72" s="491"/>
      <c r="D72" s="272"/>
      <c r="E72" s="400"/>
      <c r="F72" s="400"/>
      <c r="G72" s="401"/>
      <c r="H72" s="376"/>
      <c r="I72" s="376"/>
      <c r="J72" s="376"/>
      <c r="K72" s="376"/>
      <c r="L72" s="376"/>
      <c r="M72" s="376"/>
      <c r="N72" s="376"/>
      <c r="O72" s="376"/>
      <c r="P72" s="376"/>
      <c r="Q72" s="376"/>
      <c r="R72" s="376"/>
      <c r="S72" s="376"/>
      <c r="T72" s="431">
        <f t="shared" si="33"/>
        <v>0</v>
      </c>
      <c r="U72" s="272"/>
      <c r="BC72" s="432" t="str">
        <f t="shared" si="34"/>
        <v/>
      </c>
      <c r="BD72" s="432" t="str">
        <f t="shared" si="35"/>
        <v/>
      </c>
      <c r="BE72" s="432" t="str">
        <f t="shared" si="36"/>
        <v/>
      </c>
      <c r="BF72" s="432" t="str">
        <f t="shared" si="37"/>
        <v/>
      </c>
      <c r="BG72" s="432" t="str">
        <f t="shared" si="38"/>
        <v/>
      </c>
      <c r="BH72" s="432" t="str">
        <f>_xlfn.LET(_xlpm.x,H72,IF(OR(LEN(_xlpm.x)&lt;1,_xlpm.x=0),"",CONVERT(_xlpm.x,BH7,"kg")))</f>
        <v/>
      </c>
      <c r="BI72" s="432" t="str">
        <f>_xlfn.LET(_xlpm.x,I56,IF(OR(LEN(_xlpm.x)&lt;1,_xlpm.x=0),"",CONVERT(_xlpm.x,BH7,"kg")))</f>
        <v/>
      </c>
      <c r="BJ72" s="432" t="str">
        <f>_xlfn.LET(_xlpm.x,J72,IF(OR(LEN(_xlpm.x)&lt;1,_xlpm.x=0),"",CONVERT(_xlpm.x,BH7,"kg")))</f>
        <v/>
      </c>
      <c r="BK72" s="432" t="str">
        <f>_xlfn.LET(_xlpm.x,K72,IF(OR(LEN(_xlpm.x)&lt;1,_xlpm.x=0),"",CONVERT(_xlpm.x,BH7,"kg")))</f>
        <v/>
      </c>
      <c r="BL72" s="432" t="str">
        <f>_xlfn.LET(_xlpm.x,L72,IF(OR(LEN(_xlpm.x)&lt;1,_xlpm.x=0),"",CONVERT(_xlpm.x,BH7,"kg")))</f>
        <v/>
      </c>
      <c r="BM72" s="432" t="str">
        <f>_xlfn.LET(_xlpm.x,M72,IF(OR(LEN(_xlpm.x)&lt;1,_xlpm.x=0),"",CONVERT(_xlpm.x,BH7,"kg")))</f>
        <v/>
      </c>
      <c r="BN72" s="432" t="str">
        <f>_xlfn.LET(_xlpm.x,N72,IF(OR(LEN(_xlpm.x)&lt;1,_xlpm.x=0),"",CONVERT(_xlpm.x,BH7,"kg")))</f>
        <v/>
      </c>
      <c r="BO72" s="432" t="str">
        <f>_xlfn.LET(_xlpm.x,O72,IF(OR(LEN(_xlpm.x)&lt;1,_xlpm.x=0),"",CONVERT(_xlpm.x,BH7,"kg")))</f>
        <v/>
      </c>
      <c r="BP72" s="432" t="str">
        <f>_xlfn.LET(_xlpm.x,P72,IF(OR(LEN(_xlpm.x)&lt;1,_xlpm.x=0),"",CONVERT(_xlpm.x,BH7,"kg")))</f>
        <v/>
      </c>
      <c r="BQ72" s="432" t="str">
        <f>_xlfn.LET(_xlpm.x,Q72,IF(OR(LEN(_xlpm.x)&lt;1,_xlpm.x=0),"",CONVERT(_xlpm.x,BH7,"kg")))</f>
        <v/>
      </c>
      <c r="BR72" s="432" t="str">
        <f>_xlfn.LET(_xlpm.x,R72,IF(OR(LEN(_xlpm.x)&lt;1,_xlpm.x=0),"",CONVERT(_xlpm.x,BH7,"kg")))</f>
        <v/>
      </c>
      <c r="BS72" s="432" t="str">
        <f>_xlfn.LET(_xlpm.x,S72,IF(OR(LEN(_xlpm.x)&lt;1,_xlpm.x=0),"",CONVERT(_xlpm.x,BH7,"kg")))</f>
        <v/>
      </c>
      <c r="BT72" s="433">
        <f t="shared" si="39"/>
        <v>0</v>
      </c>
      <c r="BU72" s="433" t="str">
        <f>_xlfn.LET(_xlpm.x,BF72,IF(LEN(_xlpm.x)&lt;1,"",IF(ISNUMBER(MATCH(_xlpm.x,ls_Mat_def,0)),'Project Inputs'!$BF$14,99)))</f>
        <v/>
      </c>
      <c r="BV72" s="432" t="str" cm="1">
        <f t="array" ref="BV72">IFERROR(INDEX(tblGWP[],MATCH(1,(tblGWP[Dataset ID]=BU72)*(tblGWP[Material Subcategory]=BF72),0),MATCH(BG72,ls_WHM,0)+5),"confirm")</f>
        <v>confirm</v>
      </c>
      <c r="BW72" s="434" t="str">
        <f t="shared" si="59"/>
        <v>No data</v>
      </c>
      <c r="BX72" s="434" t="str">
        <f t="shared" si="60"/>
        <v>No data</v>
      </c>
      <c r="BY72" s="434" t="str">
        <f t="shared" si="61"/>
        <v>No data</v>
      </c>
      <c r="BZ72" s="434" t="str">
        <f t="shared" si="62"/>
        <v>No data</v>
      </c>
      <c r="CA72" s="434" t="str">
        <f t="shared" si="63"/>
        <v>No data</v>
      </c>
      <c r="CB72" s="434" t="str">
        <f t="shared" si="64"/>
        <v>No data</v>
      </c>
      <c r="CC72" s="434" t="str">
        <f t="shared" si="65"/>
        <v>No data</v>
      </c>
      <c r="CD72" s="434" t="str">
        <f t="shared" si="66"/>
        <v>No data</v>
      </c>
      <c r="CE72" s="434" t="str">
        <f t="shared" si="67"/>
        <v>No data</v>
      </c>
      <c r="CF72" s="434" t="str">
        <f t="shared" si="68"/>
        <v>No data</v>
      </c>
      <c r="CG72" s="434" t="str">
        <f t="shared" si="69"/>
        <v>No data</v>
      </c>
      <c r="CH72" s="434" t="str">
        <f t="shared" si="70"/>
        <v>No data</v>
      </c>
      <c r="CI72" s="435">
        <f t="shared" si="52"/>
        <v>0</v>
      </c>
      <c r="CK72" s="3" t="str">
        <f>_xlfn.LET(_xlpm.x,INDEX(tbl_Mat_def[],MATCH(BF72,ls_Mat_def,0),2),IFERROR(IF(_xlpm.x=0,"No","Yes"),"No"))</f>
        <v>No</v>
      </c>
      <c r="CM72" s="60" t="str">
        <f t="shared" si="53"/>
        <v/>
      </c>
      <c r="CN72" s="60" t="s">
        <v>235</v>
      </c>
      <c r="CO72" s="566" t="str">
        <f>_xlfn.XLOOKUP(CM72,tblGWP[Material Subcategory],tblGWP[Landfill],0)</f>
        <v/>
      </c>
      <c r="CP72" s="436" t="str">
        <f t="shared" si="54"/>
        <v/>
      </c>
      <c r="DD72" s="388">
        <f t="shared" si="29"/>
        <v>0</v>
      </c>
      <c r="DE72" s="22">
        <f t="shared" si="55"/>
        <v>19</v>
      </c>
      <c r="DF72" s="387">
        <f t="shared" si="30"/>
        <v>0</v>
      </c>
      <c r="DG72" s="387">
        <f t="shared" si="56"/>
        <v>0</v>
      </c>
      <c r="DH72" s="22">
        <f t="shared" ca="1" si="57"/>
        <v>0</v>
      </c>
      <c r="DI72">
        <f t="shared" ca="1" si="58"/>
        <v>0</v>
      </c>
    </row>
    <row r="73" spans="1:113" ht="30" hidden="1" customHeight="1" outlineLevel="1">
      <c r="A73" s="22" t="str">
        <f t="shared" si="28"/>
        <v/>
      </c>
      <c r="B73" s="272"/>
      <c r="C73" s="491"/>
      <c r="D73" s="272"/>
      <c r="E73" s="400"/>
      <c r="F73" s="400"/>
      <c r="G73" s="401"/>
      <c r="H73" s="376"/>
      <c r="I73" s="376"/>
      <c r="J73" s="376"/>
      <c r="K73" s="376"/>
      <c r="L73" s="376"/>
      <c r="M73" s="376"/>
      <c r="N73" s="376"/>
      <c r="O73" s="376"/>
      <c r="P73" s="376"/>
      <c r="Q73" s="376"/>
      <c r="R73" s="376"/>
      <c r="S73" s="376"/>
      <c r="T73" s="431">
        <f t="shared" si="33"/>
        <v>0</v>
      </c>
      <c r="U73" s="272"/>
      <c r="BC73" s="432" t="str">
        <f t="shared" si="34"/>
        <v/>
      </c>
      <c r="BD73" s="432" t="str">
        <f t="shared" si="35"/>
        <v/>
      </c>
      <c r="BE73" s="432" t="str">
        <f t="shared" si="36"/>
        <v/>
      </c>
      <c r="BF73" s="432" t="str">
        <f t="shared" si="37"/>
        <v/>
      </c>
      <c r="BG73" s="432" t="str">
        <f t="shared" si="38"/>
        <v/>
      </c>
      <c r="BH73" s="432" t="str">
        <f>_xlfn.LET(_xlpm.x,H73,IF(OR(LEN(_xlpm.x)&lt;1,_xlpm.x=0),"",CONVERT(_xlpm.x,BH7,"kg")))</f>
        <v/>
      </c>
      <c r="BI73" s="432" t="str">
        <f>_xlfn.LET(_xlpm.x,I57,IF(OR(LEN(_xlpm.x)&lt;1,_xlpm.x=0),"",CONVERT(_xlpm.x,BH7,"kg")))</f>
        <v/>
      </c>
      <c r="BJ73" s="432" t="str">
        <f>_xlfn.LET(_xlpm.x,J73,IF(OR(LEN(_xlpm.x)&lt;1,_xlpm.x=0),"",CONVERT(_xlpm.x,BH7,"kg")))</f>
        <v/>
      </c>
      <c r="BK73" s="432" t="str">
        <f>_xlfn.LET(_xlpm.x,K73,IF(OR(LEN(_xlpm.x)&lt;1,_xlpm.x=0),"",CONVERT(_xlpm.x,BH7,"kg")))</f>
        <v/>
      </c>
      <c r="BL73" s="432" t="str">
        <f>_xlfn.LET(_xlpm.x,L73,IF(OR(LEN(_xlpm.x)&lt;1,_xlpm.x=0),"",CONVERT(_xlpm.x,BH7,"kg")))</f>
        <v/>
      </c>
      <c r="BM73" s="432" t="str">
        <f>_xlfn.LET(_xlpm.x,M73,IF(OR(LEN(_xlpm.x)&lt;1,_xlpm.x=0),"",CONVERT(_xlpm.x,BH7,"kg")))</f>
        <v/>
      </c>
      <c r="BN73" s="432" t="str">
        <f>_xlfn.LET(_xlpm.x,N73,IF(OR(LEN(_xlpm.x)&lt;1,_xlpm.x=0),"",CONVERT(_xlpm.x,BH7,"kg")))</f>
        <v/>
      </c>
      <c r="BO73" s="432" t="str">
        <f>_xlfn.LET(_xlpm.x,O73,IF(OR(LEN(_xlpm.x)&lt;1,_xlpm.x=0),"",CONVERT(_xlpm.x,BH7,"kg")))</f>
        <v/>
      </c>
      <c r="BP73" s="432" t="str">
        <f>_xlfn.LET(_xlpm.x,P73,IF(OR(LEN(_xlpm.x)&lt;1,_xlpm.x=0),"",CONVERT(_xlpm.x,BH7,"kg")))</f>
        <v/>
      </c>
      <c r="BQ73" s="432" t="str">
        <f>_xlfn.LET(_xlpm.x,Q73,IF(OR(LEN(_xlpm.x)&lt;1,_xlpm.x=0),"",CONVERT(_xlpm.x,BH7,"kg")))</f>
        <v/>
      </c>
      <c r="BR73" s="432" t="str">
        <f>_xlfn.LET(_xlpm.x,R73,IF(OR(LEN(_xlpm.x)&lt;1,_xlpm.x=0),"",CONVERT(_xlpm.x,BH7,"kg")))</f>
        <v/>
      </c>
      <c r="BS73" s="432" t="str">
        <f>_xlfn.LET(_xlpm.x,S73,IF(OR(LEN(_xlpm.x)&lt;1,_xlpm.x=0),"",CONVERT(_xlpm.x,BH7,"kg")))</f>
        <v/>
      </c>
      <c r="BT73" s="433">
        <f t="shared" si="39"/>
        <v>0</v>
      </c>
      <c r="BU73" s="433" t="str">
        <f>_xlfn.LET(_xlpm.x,BF73,IF(LEN(_xlpm.x)&lt;1,"",IF(ISNUMBER(MATCH(_xlpm.x,ls_Mat_def,0)),'Project Inputs'!$BF$14,99)))</f>
        <v/>
      </c>
      <c r="BV73" s="432" t="str" cm="1">
        <f t="array" ref="BV73">IFERROR(INDEX(tblGWP[],MATCH(1,(tblGWP[Dataset ID]=BU73)*(tblGWP[Material Subcategory]=BF73),0),MATCH(BG73,ls_WHM,0)+5),"confirm")</f>
        <v>confirm</v>
      </c>
      <c r="BW73" s="434" t="str">
        <f t="shared" si="59"/>
        <v>No data</v>
      </c>
      <c r="BX73" s="434" t="str">
        <f t="shared" si="60"/>
        <v>No data</v>
      </c>
      <c r="BY73" s="434" t="str">
        <f t="shared" si="61"/>
        <v>No data</v>
      </c>
      <c r="BZ73" s="434" t="str">
        <f t="shared" si="62"/>
        <v>No data</v>
      </c>
      <c r="CA73" s="434" t="str">
        <f t="shared" si="63"/>
        <v>No data</v>
      </c>
      <c r="CB73" s="434" t="str">
        <f t="shared" si="64"/>
        <v>No data</v>
      </c>
      <c r="CC73" s="434" t="str">
        <f t="shared" si="65"/>
        <v>No data</v>
      </c>
      <c r="CD73" s="434" t="str">
        <f t="shared" si="66"/>
        <v>No data</v>
      </c>
      <c r="CE73" s="434" t="str">
        <f t="shared" si="67"/>
        <v>No data</v>
      </c>
      <c r="CF73" s="434" t="str">
        <f t="shared" si="68"/>
        <v>No data</v>
      </c>
      <c r="CG73" s="434" t="str">
        <f t="shared" si="69"/>
        <v>No data</v>
      </c>
      <c r="CH73" s="434" t="str">
        <f t="shared" si="70"/>
        <v>No data</v>
      </c>
      <c r="CI73" s="435">
        <f t="shared" si="52"/>
        <v>0</v>
      </c>
      <c r="CK73" s="3" t="str">
        <f>_xlfn.LET(_xlpm.x,INDEX(tbl_Mat_def[],MATCH(BF73,ls_Mat_def,0),2),IFERROR(IF(_xlpm.x=0,"No","Yes"),"No"))</f>
        <v>No</v>
      </c>
      <c r="CM73" s="60" t="str">
        <f t="shared" si="53"/>
        <v/>
      </c>
      <c r="CN73" s="60" t="s">
        <v>235</v>
      </c>
      <c r="CO73" s="566" t="str">
        <f>_xlfn.XLOOKUP(CM73,tblGWP[Material Subcategory],tblGWP[Landfill],0)</f>
        <v/>
      </c>
      <c r="CP73" s="436" t="str">
        <f t="shared" si="54"/>
        <v/>
      </c>
      <c r="DD73" s="388">
        <f t="shared" si="29"/>
        <v>0</v>
      </c>
      <c r="DE73" s="22">
        <f t="shared" si="55"/>
        <v>19</v>
      </c>
      <c r="DF73" s="387">
        <f t="shared" si="30"/>
        <v>0</v>
      </c>
      <c r="DG73" s="387">
        <f t="shared" si="56"/>
        <v>0</v>
      </c>
      <c r="DH73" s="22">
        <f t="shared" ca="1" si="57"/>
        <v>0</v>
      </c>
      <c r="DI73">
        <f t="shared" ca="1" si="58"/>
        <v>0</v>
      </c>
    </row>
    <row r="74" spans="1:113" ht="30" hidden="1" customHeight="1" outlineLevel="1">
      <c r="A74" s="22" t="str">
        <f t="shared" si="28"/>
        <v/>
      </c>
      <c r="B74" s="272"/>
      <c r="C74" s="491"/>
      <c r="D74" s="272"/>
      <c r="E74" s="400"/>
      <c r="F74" s="400"/>
      <c r="G74" s="401"/>
      <c r="H74" s="376"/>
      <c r="I74" s="376"/>
      <c r="J74" s="376"/>
      <c r="K74" s="376"/>
      <c r="L74" s="376"/>
      <c r="M74" s="376"/>
      <c r="N74" s="376"/>
      <c r="O74" s="376"/>
      <c r="P74" s="376"/>
      <c r="Q74" s="376"/>
      <c r="R74" s="376"/>
      <c r="S74" s="376"/>
      <c r="T74" s="431">
        <f t="shared" si="33"/>
        <v>0</v>
      </c>
      <c r="U74" s="272"/>
      <c r="BC74" s="432" t="str">
        <f t="shared" si="34"/>
        <v/>
      </c>
      <c r="BD74" s="432" t="str">
        <f t="shared" si="35"/>
        <v/>
      </c>
      <c r="BE74" s="432" t="str">
        <f t="shared" si="36"/>
        <v/>
      </c>
      <c r="BF74" s="432" t="str">
        <f t="shared" si="37"/>
        <v/>
      </c>
      <c r="BG74" s="432" t="str">
        <f t="shared" si="38"/>
        <v/>
      </c>
      <c r="BH74" s="432" t="str">
        <f>_xlfn.LET(_xlpm.x,H74,IF(OR(LEN(_xlpm.x)&lt;1,_xlpm.x=0),"",CONVERT(_xlpm.x,BH7,"kg")))</f>
        <v/>
      </c>
      <c r="BI74" s="432" t="str">
        <f>_xlfn.LET(_xlpm.x,I58,IF(OR(LEN(_xlpm.x)&lt;1,_xlpm.x=0),"",CONVERT(_xlpm.x,BH7,"kg")))</f>
        <v/>
      </c>
      <c r="BJ74" s="432" t="str">
        <f>_xlfn.LET(_xlpm.x,J74,IF(OR(LEN(_xlpm.x)&lt;1,_xlpm.x=0),"",CONVERT(_xlpm.x,BH7,"kg")))</f>
        <v/>
      </c>
      <c r="BK74" s="432" t="str">
        <f>_xlfn.LET(_xlpm.x,K74,IF(OR(LEN(_xlpm.x)&lt;1,_xlpm.x=0),"",CONVERT(_xlpm.x,BH7,"kg")))</f>
        <v/>
      </c>
      <c r="BL74" s="432" t="str">
        <f>_xlfn.LET(_xlpm.x,L74,IF(OR(LEN(_xlpm.x)&lt;1,_xlpm.x=0),"",CONVERT(_xlpm.x,BH7,"kg")))</f>
        <v/>
      </c>
      <c r="BM74" s="432" t="str">
        <f>_xlfn.LET(_xlpm.x,M74,IF(OR(LEN(_xlpm.x)&lt;1,_xlpm.x=0),"",CONVERT(_xlpm.x,BH7,"kg")))</f>
        <v/>
      </c>
      <c r="BN74" s="432" t="str">
        <f>_xlfn.LET(_xlpm.x,N74,IF(OR(LEN(_xlpm.x)&lt;1,_xlpm.x=0),"",CONVERT(_xlpm.x,BH7,"kg")))</f>
        <v/>
      </c>
      <c r="BO74" s="432" t="str">
        <f>_xlfn.LET(_xlpm.x,O74,IF(OR(LEN(_xlpm.x)&lt;1,_xlpm.x=0),"",CONVERT(_xlpm.x,BH7,"kg")))</f>
        <v/>
      </c>
      <c r="BP74" s="432" t="str">
        <f>_xlfn.LET(_xlpm.x,P74,IF(OR(LEN(_xlpm.x)&lt;1,_xlpm.x=0),"",CONVERT(_xlpm.x,BH7,"kg")))</f>
        <v/>
      </c>
      <c r="BQ74" s="432" t="str">
        <f>_xlfn.LET(_xlpm.x,Q74,IF(OR(LEN(_xlpm.x)&lt;1,_xlpm.x=0),"",CONVERT(_xlpm.x,BH7,"kg")))</f>
        <v/>
      </c>
      <c r="BR74" s="432" t="str">
        <f>_xlfn.LET(_xlpm.x,R74,IF(OR(LEN(_xlpm.x)&lt;1,_xlpm.x=0),"",CONVERT(_xlpm.x,BH7,"kg")))</f>
        <v/>
      </c>
      <c r="BS74" s="432" t="str">
        <f>_xlfn.LET(_xlpm.x,S74,IF(OR(LEN(_xlpm.x)&lt;1,_xlpm.x=0),"",CONVERT(_xlpm.x,BH7,"kg")))</f>
        <v/>
      </c>
      <c r="BT74" s="433">
        <f t="shared" si="39"/>
        <v>0</v>
      </c>
      <c r="BU74" s="433" t="str">
        <f>_xlfn.LET(_xlpm.x,BF74,IF(LEN(_xlpm.x)&lt;1,"",IF(ISNUMBER(MATCH(_xlpm.x,ls_Mat_def,0)),'Project Inputs'!$BF$14,99)))</f>
        <v/>
      </c>
      <c r="BV74" s="432" t="str" cm="1">
        <f t="array" ref="BV74">IFERROR(INDEX(tblGWP[],MATCH(1,(tblGWP[Dataset ID]=BU74)*(tblGWP[Material Subcategory]=BF74),0),MATCH(BG74,ls_WHM,0)+5),"confirm")</f>
        <v>confirm</v>
      </c>
      <c r="BW74" s="434" t="str">
        <f t="shared" si="59"/>
        <v>No data</v>
      </c>
      <c r="BX74" s="434" t="str">
        <f t="shared" si="60"/>
        <v>No data</v>
      </c>
      <c r="BY74" s="434" t="str">
        <f t="shared" si="61"/>
        <v>No data</v>
      </c>
      <c r="BZ74" s="434" t="str">
        <f t="shared" si="62"/>
        <v>No data</v>
      </c>
      <c r="CA74" s="434" t="str">
        <f t="shared" si="63"/>
        <v>No data</v>
      </c>
      <c r="CB74" s="434" t="str">
        <f t="shared" si="64"/>
        <v>No data</v>
      </c>
      <c r="CC74" s="434" t="str">
        <f t="shared" si="65"/>
        <v>No data</v>
      </c>
      <c r="CD74" s="434" t="str">
        <f t="shared" si="66"/>
        <v>No data</v>
      </c>
      <c r="CE74" s="434" t="str">
        <f t="shared" si="67"/>
        <v>No data</v>
      </c>
      <c r="CF74" s="434" t="str">
        <f t="shared" si="68"/>
        <v>No data</v>
      </c>
      <c r="CG74" s="434" t="str">
        <f t="shared" si="69"/>
        <v>No data</v>
      </c>
      <c r="CH74" s="434" t="str">
        <f t="shared" si="70"/>
        <v>No data</v>
      </c>
      <c r="CI74" s="435">
        <f t="shared" si="52"/>
        <v>0</v>
      </c>
      <c r="CK74" s="3" t="str">
        <f>_xlfn.LET(_xlpm.x,INDEX(tbl_Mat_def[],MATCH(BF74,ls_Mat_def,0),2),IFERROR(IF(_xlpm.x=0,"No","Yes"),"No"))</f>
        <v>No</v>
      </c>
      <c r="CM74" s="60" t="str">
        <f t="shared" si="53"/>
        <v/>
      </c>
      <c r="CN74" s="60" t="s">
        <v>235</v>
      </c>
      <c r="CO74" s="566" t="str">
        <f>_xlfn.XLOOKUP(CM74,tblGWP[Material Subcategory],tblGWP[Landfill],0)</f>
        <v/>
      </c>
      <c r="CP74" s="436" t="str">
        <f t="shared" si="54"/>
        <v/>
      </c>
      <c r="DD74" s="388">
        <f t="shared" si="29"/>
        <v>0</v>
      </c>
      <c r="DE74" s="22">
        <f t="shared" si="55"/>
        <v>19</v>
      </c>
      <c r="DF74" s="387">
        <f t="shared" si="30"/>
        <v>0</v>
      </c>
      <c r="DG74" s="387">
        <f t="shared" si="56"/>
        <v>0</v>
      </c>
      <c r="DH74" s="22">
        <f t="shared" ca="1" si="57"/>
        <v>0</v>
      </c>
      <c r="DI74">
        <f t="shared" ca="1" si="58"/>
        <v>0</v>
      </c>
    </row>
    <row r="75" spans="1:113" ht="30" hidden="1" customHeight="1" outlineLevel="1">
      <c r="A75" s="22" t="str">
        <f t="shared" si="28"/>
        <v/>
      </c>
      <c r="B75" s="272"/>
      <c r="C75" s="491"/>
      <c r="D75" s="272"/>
      <c r="E75" s="400"/>
      <c r="F75" s="400"/>
      <c r="G75" s="401"/>
      <c r="H75" s="376"/>
      <c r="I75" s="376"/>
      <c r="J75" s="376"/>
      <c r="K75" s="376"/>
      <c r="L75" s="376"/>
      <c r="M75" s="376"/>
      <c r="N75" s="376"/>
      <c r="O75" s="376"/>
      <c r="P75" s="376"/>
      <c r="Q75" s="376"/>
      <c r="R75" s="376"/>
      <c r="S75" s="376"/>
      <c r="T75" s="431">
        <f t="shared" si="33"/>
        <v>0</v>
      </c>
      <c r="U75" s="272"/>
      <c r="BC75" s="432" t="str">
        <f t="shared" si="34"/>
        <v/>
      </c>
      <c r="BD75" s="432" t="str">
        <f t="shared" si="35"/>
        <v/>
      </c>
      <c r="BE75" s="432" t="str">
        <f t="shared" si="36"/>
        <v/>
      </c>
      <c r="BF75" s="432" t="str">
        <f t="shared" si="37"/>
        <v/>
      </c>
      <c r="BG75" s="432" t="str">
        <f t="shared" si="38"/>
        <v/>
      </c>
      <c r="BH75" s="432" t="str">
        <f>_xlfn.LET(_xlpm.x,H75,IF(OR(LEN(_xlpm.x)&lt;1,_xlpm.x=0),"",CONVERT(_xlpm.x,BH7,"kg")))</f>
        <v/>
      </c>
      <c r="BI75" s="432" t="str">
        <f>_xlfn.LET(_xlpm.x,I59,IF(OR(LEN(_xlpm.x)&lt;1,_xlpm.x=0),"",CONVERT(_xlpm.x,BH7,"kg")))</f>
        <v/>
      </c>
      <c r="BJ75" s="432" t="str">
        <f>_xlfn.LET(_xlpm.x,J75,IF(OR(LEN(_xlpm.x)&lt;1,_xlpm.x=0),"",CONVERT(_xlpm.x,BH7,"kg")))</f>
        <v/>
      </c>
      <c r="BK75" s="432" t="str">
        <f>_xlfn.LET(_xlpm.x,K75,IF(OR(LEN(_xlpm.x)&lt;1,_xlpm.x=0),"",CONVERT(_xlpm.x,BH7,"kg")))</f>
        <v/>
      </c>
      <c r="BL75" s="432" t="str">
        <f>_xlfn.LET(_xlpm.x,L75,IF(OR(LEN(_xlpm.x)&lt;1,_xlpm.x=0),"",CONVERT(_xlpm.x,BH7,"kg")))</f>
        <v/>
      </c>
      <c r="BM75" s="432" t="str">
        <f>_xlfn.LET(_xlpm.x,M75,IF(OR(LEN(_xlpm.x)&lt;1,_xlpm.x=0),"",CONVERT(_xlpm.x,BH7,"kg")))</f>
        <v/>
      </c>
      <c r="BN75" s="432" t="str">
        <f>_xlfn.LET(_xlpm.x,N75,IF(OR(LEN(_xlpm.x)&lt;1,_xlpm.x=0),"",CONVERT(_xlpm.x,BH7,"kg")))</f>
        <v/>
      </c>
      <c r="BO75" s="432" t="str">
        <f>_xlfn.LET(_xlpm.x,O75,IF(OR(LEN(_xlpm.x)&lt;1,_xlpm.x=0),"",CONVERT(_xlpm.x,BH7,"kg")))</f>
        <v/>
      </c>
      <c r="BP75" s="432" t="str">
        <f>_xlfn.LET(_xlpm.x,P75,IF(OR(LEN(_xlpm.x)&lt;1,_xlpm.x=0),"",CONVERT(_xlpm.x,BH7,"kg")))</f>
        <v/>
      </c>
      <c r="BQ75" s="432" t="str">
        <f>_xlfn.LET(_xlpm.x,Q75,IF(OR(LEN(_xlpm.x)&lt;1,_xlpm.x=0),"",CONVERT(_xlpm.x,BH7,"kg")))</f>
        <v/>
      </c>
      <c r="BR75" s="432" t="str">
        <f>_xlfn.LET(_xlpm.x,R75,IF(OR(LEN(_xlpm.x)&lt;1,_xlpm.x=0),"",CONVERT(_xlpm.x,BH7,"kg")))</f>
        <v/>
      </c>
      <c r="BS75" s="432" t="str">
        <f>_xlfn.LET(_xlpm.x,S75,IF(OR(LEN(_xlpm.x)&lt;1,_xlpm.x=0),"",CONVERT(_xlpm.x,BH7,"kg")))</f>
        <v/>
      </c>
      <c r="BT75" s="433">
        <f t="shared" si="39"/>
        <v>0</v>
      </c>
      <c r="BU75" s="433" t="str">
        <f>_xlfn.LET(_xlpm.x,BF75,IF(LEN(_xlpm.x)&lt;1,"",IF(ISNUMBER(MATCH(_xlpm.x,ls_Mat_def,0)),'Project Inputs'!$BF$14,99)))</f>
        <v/>
      </c>
      <c r="BV75" s="432" t="str" cm="1">
        <f t="array" ref="BV75">IFERROR(INDEX(tblGWP[],MATCH(1,(tblGWP[Dataset ID]=BU75)*(tblGWP[Material Subcategory]=BF75),0),MATCH(BG75,ls_WHM,0)+5),"confirm")</f>
        <v>confirm</v>
      </c>
      <c r="BW75" s="434" t="str">
        <f t="shared" si="59"/>
        <v>No data</v>
      </c>
      <c r="BX75" s="434" t="str">
        <f t="shared" si="60"/>
        <v>No data</v>
      </c>
      <c r="BY75" s="434" t="str">
        <f t="shared" si="61"/>
        <v>No data</v>
      </c>
      <c r="BZ75" s="434" t="str">
        <f t="shared" si="62"/>
        <v>No data</v>
      </c>
      <c r="CA75" s="434" t="str">
        <f t="shared" si="63"/>
        <v>No data</v>
      </c>
      <c r="CB75" s="434" t="str">
        <f t="shared" si="64"/>
        <v>No data</v>
      </c>
      <c r="CC75" s="434" t="str">
        <f t="shared" si="65"/>
        <v>No data</v>
      </c>
      <c r="CD75" s="434" t="str">
        <f t="shared" si="66"/>
        <v>No data</v>
      </c>
      <c r="CE75" s="434" t="str">
        <f t="shared" si="67"/>
        <v>No data</v>
      </c>
      <c r="CF75" s="434" t="str">
        <f t="shared" si="68"/>
        <v>No data</v>
      </c>
      <c r="CG75" s="434" t="str">
        <f t="shared" si="69"/>
        <v>No data</v>
      </c>
      <c r="CH75" s="434" t="str">
        <f t="shared" si="70"/>
        <v>No data</v>
      </c>
      <c r="CI75" s="435">
        <f t="shared" si="52"/>
        <v>0</v>
      </c>
      <c r="CK75" s="3" t="str">
        <f>_xlfn.LET(_xlpm.x,INDEX(tbl_Mat_def[],MATCH(BF75,ls_Mat_def,0),2),IFERROR(IF(_xlpm.x=0,"No","Yes"),"No"))</f>
        <v>No</v>
      </c>
      <c r="CM75" s="60" t="str">
        <f t="shared" si="53"/>
        <v/>
      </c>
      <c r="CN75" s="60" t="s">
        <v>235</v>
      </c>
      <c r="CO75" s="566" t="str">
        <f>_xlfn.XLOOKUP(CM75,tblGWP[Material Subcategory],tblGWP[Landfill],0)</f>
        <v/>
      </c>
      <c r="CP75" s="436" t="str">
        <f t="shared" si="54"/>
        <v/>
      </c>
      <c r="DD75" s="388">
        <f t="shared" si="29"/>
        <v>0</v>
      </c>
      <c r="DE75" s="22">
        <f t="shared" si="55"/>
        <v>19</v>
      </c>
      <c r="DF75" s="387">
        <f t="shared" si="30"/>
        <v>0</v>
      </c>
      <c r="DG75" s="387">
        <f t="shared" si="56"/>
        <v>0</v>
      </c>
      <c r="DH75" s="22">
        <f t="shared" ca="1" si="57"/>
        <v>0</v>
      </c>
      <c r="DI75">
        <f t="shared" ca="1" si="58"/>
        <v>0</v>
      </c>
    </row>
    <row r="76" spans="1:113" ht="30" hidden="1" customHeight="1" outlineLevel="1">
      <c r="A76" s="22" t="str">
        <f t="shared" si="28"/>
        <v/>
      </c>
      <c r="B76" s="272"/>
      <c r="C76" s="491"/>
      <c r="D76" s="272"/>
      <c r="E76" s="400"/>
      <c r="F76" s="400"/>
      <c r="G76" s="401"/>
      <c r="H76" s="376"/>
      <c r="I76" s="376"/>
      <c r="J76" s="376"/>
      <c r="K76" s="376"/>
      <c r="L76" s="376"/>
      <c r="M76" s="376"/>
      <c r="N76" s="376"/>
      <c r="O76" s="376"/>
      <c r="P76" s="376"/>
      <c r="Q76" s="376"/>
      <c r="R76" s="376"/>
      <c r="S76" s="376"/>
      <c r="T76" s="431">
        <f t="shared" si="33"/>
        <v>0</v>
      </c>
      <c r="U76" s="272"/>
      <c r="BC76" s="432" t="str">
        <f t="shared" si="34"/>
        <v/>
      </c>
      <c r="BD76" s="432" t="str">
        <f t="shared" si="35"/>
        <v/>
      </c>
      <c r="BE76" s="432" t="str">
        <f t="shared" si="36"/>
        <v/>
      </c>
      <c r="BF76" s="432" t="str">
        <f t="shared" si="37"/>
        <v/>
      </c>
      <c r="BG76" s="432" t="str">
        <f t="shared" si="38"/>
        <v/>
      </c>
      <c r="BH76" s="432" t="str">
        <f>_xlfn.LET(_xlpm.x,H76,IF(OR(LEN(_xlpm.x)&lt;1,_xlpm.x=0),"",CONVERT(_xlpm.x,BH7,"kg")))</f>
        <v/>
      </c>
      <c r="BI76" s="432" t="str">
        <f>_xlfn.LET(_xlpm.x,I60,IF(OR(LEN(_xlpm.x)&lt;1,_xlpm.x=0),"",CONVERT(_xlpm.x,BH7,"kg")))</f>
        <v/>
      </c>
      <c r="BJ76" s="432" t="str">
        <f>_xlfn.LET(_xlpm.x,J76,IF(OR(LEN(_xlpm.x)&lt;1,_xlpm.x=0),"",CONVERT(_xlpm.x,BH7,"kg")))</f>
        <v/>
      </c>
      <c r="BK76" s="432" t="str">
        <f>_xlfn.LET(_xlpm.x,K76,IF(OR(LEN(_xlpm.x)&lt;1,_xlpm.x=0),"",CONVERT(_xlpm.x,BH7,"kg")))</f>
        <v/>
      </c>
      <c r="BL76" s="432" t="str">
        <f>_xlfn.LET(_xlpm.x,L76,IF(OR(LEN(_xlpm.x)&lt;1,_xlpm.x=0),"",CONVERT(_xlpm.x,BH7,"kg")))</f>
        <v/>
      </c>
      <c r="BM76" s="432" t="str">
        <f>_xlfn.LET(_xlpm.x,M76,IF(OR(LEN(_xlpm.x)&lt;1,_xlpm.x=0),"",CONVERT(_xlpm.x,BH7,"kg")))</f>
        <v/>
      </c>
      <c r="BN76" s="432" t="str">
        <f>_xlfn.LET(_xlpm.x,N76,IF(OR(LEN(_xlpm.x)&lt;1,_xlpm.x=0),"",CONVERT(_xlpm.x,BH7,"kg")))</f>
        <v/>
      </c>
      <c r="BO76" s="432" t="str">
        <f>_xlfn.LET(_xlpm.x,O76,IF(OR(LEN(_xlpm.x)&lt;1,_xlpm.x=0),"",CONVERT(_xlpm.x,BH7,"kg")))</f>
        <v/>
      </c>
      <c r="BP76" s="432" t="str">
        <f>_xlfn.LET(_xlpm.x,P76,IF(OR(LEN(_xlpm.x)&lt;1,_xlpm.x=0),"",CONVERT(_xlpm.x,BH7,"kg")))</f>
        <v/>
      </c>
      <c r="BQ76" s="432" t="str">
        <f>_xlfn.LET(_xlpm.x,Q76,IF(OR(LEN(_xlpm.x)&lt;1,_xlpm.x=0),"",CONVERT(_xlpm.x,BH7,"kg")))</f>
        <v/>
      </c>
      <c r="BR76" s="432" t="str">
        <f>_xlfn.LET(_xlpm.x,R76,IF(OR(LEN(_xlpm.x)&lt;1,_xlpm.x=0),"",CONVERT(_xlpm.x,BH7,"kg")))</f>
        <v/>
      </c>
      <c r="BS76" s="432" t="str">
        <f>_xlfn.LET(_xlpm.x,S76,IF(OR(LEN(_xlpm.x)&lt;1,_xlpm.x=0),"",CONVERT(_xlpm.x,BH7,"kg")))</f>
        <v/>
      </c>
      <c r="BT76" s="433">
        <f t="shared" si="39"/>
        <v>0</v>
      </c>
      <c r="BU76" s="433" t="str">
        <f>_xlfn.LET(_xlpm.x,BF76,IF(LEN(_xlpm.x)&lt;1,"",IF(ISNUMBER(MATCH(_xlpm.x,ls_Mat_def,0)),'Project Inputs'!$BF$14,99)))</f>
        <v/>
      </c>
      <c r="BV76" s="432" t="str" cm="1">
        <f t="array" ref="BV76">IFERROR(INDEX(tblGWP[],MATCH(1,(tblGWP[Dataset ID]=BU76)*(tblGWP[Material Subcategory]=BF76),0),MATCH(BG76,ls_WHM,0)+5),"confirm")</f>
        <v>confirm</v>
      </c>
      <c r="BW76" s="434" t="str">
        <f t="shared" si="59"/>
        <v>No data</v>
      </c>
      <c r="BX76" s="434" t="str">
        <f t="shared" si="60"/>
        <v>No data</v>
      </c>
      <c r="BY76" s="434" t="str">
        <f t="shared" si="61"/>
        <v>No data</v>
      </c>
      <c r="BZ76" s="434" t="str">
        <f t="shared" si="62"/>
        <v>No data</v>
      </c>
      <c r="CA76" s="434" t="str">
        <f t="shared" si="63"/>
        <v>No data</v>
      </c>
      <c r="CB76" s="434" t="str">
        <f t="shared" si="64"/>
        <v>No data</v>
      </c>
      <c r="CC76" s="434" t="str">
        <f t="shared" si="65"/>
        <v>No data</v>
      </c>
      <c r="CD76" s="434" t="str">
        <f t="shared" si="66"/>
        <v>No data</v>
      </c>
      <c r="CE76" s="434" t="str">
        <f t="shared" si="67"/>
        <v>No data</v>
      </c>
      <c r="CF76" s="434" t="str">
        <f t="shared" si="68"/>
        <v>No data</v>
      </c>
      <c r="CG76" s="434" t="str">
        <f t="shared" si="69"/>
        <v>No data</v>
      </c>
      <c r="CH76" s="434" t="str">
        <f t="shared" si="70"/>
        <v>No data</v>
      </c>
      <c r="CI76" s="435">
        <f t="shared" si="52"/>
        <v>0</v>
      </c>
      <c r="CK76" s="3" t="str">
        <f>_xlfn.LET(_xlpm.x,INDEX(tbl_Mat_def[],MATCH(BF76,ls_Mat_def,0),2),IFERROR(IF(_xlpm.x=0,"No","Yes"),"No"))</f>
        <v>No</v>
      </c>
      <c r="CM76" s="60" t="str">
        <f t="shared" si="53"/>
        <v/>
      </c>
      <c r="CN76" s="60" t="s">
        <v>235</v>
      </c>
      <c r="CO76" s="566" t="str">
        <f>_xlfn.XLOOKUP(CM76,tblGWP[Material Subcategory],tblGWP[Landfill],0)</f>
        <v/>
      </c>
      <c r="CP76" s="436" t="str">
        <f t="shared" si="54"/>
        <v/>
      </c>
      <c r="DD76" s="388">
        <f t="shared" si="29"/>
        <v>0</v>
      </c>
      <c r="DE76" s="22">
        <f t="shared" si="55"/>
        <v>19</v>
      </c>
      <c r="DF76" s="387">
        <f t="shared" si="30"/>
        <v>0</v>
      </c>
      <c r="DG76" s="387">
        <f t="shared" si="56"/>
        <v>0</v>
      </c>
      <c r="DH76" s="22">
        <f t="shared" ca="1" si="57"/>
        <v>0</v>
      </c>
      <c r="DI76">
        <f t="shared" ca="1" si="58"/>
        <v>0</v>
      </c>
    </row>
    <row r="77" spans="1:113" ht="30" hidden="1" customHeight="1" outlineLevel="1">
      <c r="A77" s="22" t="str">
        <f t="shared" si="28"/>
        <v/>
      </c>
      <c r="B77" s="272"/>
      <c r="C77" s="491"/>
      <c r="D77" s="272"/>
      <c r="E77" s="400"/>
      <c r="F77" s="400"/>
      <c r="G77" s="401"/>
      <c r="H77" s="376"/>
      <c r="I77" s="376"/>
      <c r="J77" s="376"/>
      <c r="K77" s="376"/>
      <c r="L77" s="376"/>
      <c r="M77" s="376"/>
      <c r="N77" s="376"/>
      <c r="O77" s="376"/>
      <c r="P77" s="376"/>
      <c r="Q77" s="376"/>
      <c r="R77" s="376"/>
      <c r="S77" s="376"/>
      <c r="T77" s="431">
        <f t="shared" si="33"/>
        <v>0</v>
      </c>
      <c r="U77" s="272"/>
      <c r="BC77" s="432" t="str">
        <f t="shared" si="34"/>
        <v/>
      </c>
      <c r="BD77" s="432" t="str">
        <f t="shared" si="35"/>
        <v/>
      </c>
      <c r="BE77" s="432" t="str">
        <f t="shared" si="36"/>
        <v/>
      </c>
      <c r="BF77" s="432" t="str">
        <f t="shared" si="37"/>
        <v/>
      </c>
      <c r="BG77" s="432" t="str">
        <f t="shared" si="38"/>
        <v/>
      </c>
      <c r="BH77" s="432" t="str">
        <f>_xlfn.LET(_xlpm.x,H77,IF(OR(LEN(_xlpm.x)&lt;1,_xlpm.x=0),"",CONVERT(_xlpm.x,BH7,"kg")))</f>
        <v/>
      </c>
      <c r="BI77" s="432" t="str">
        <f>_xlfn.LET(_xlpm.x,I61,IF(OR(LEN(_xlpm.x)&lt;1,_xlpm.x=0),"",CONVERT(_xlpm.x,BH7,"kg")))</f>
        <v/>
      </c>
      <c r="BJ77" s="432" t="str">
        <f>_xlfn.LET(_xlpm.x,J77,IF(OR(LEN(_xlpm.x)&lt;1,_xlpm.x=0),"",CONVERT(_xlpm.x,BH7,"kg")))</f>
        <v/>
      </c>
      <c r="BK77" s="432" t="str">
        <f>_xlfn.LET(_xlpm.x,K77,IF(OR(LEN(_xlpm.x)&lt;1,_xlpm.x=0),"",CONVERT(_xlpm.x,BH7,"kg")))</f>
        <v/>
      </c>
      <c r="BL77" s="432" t="str">
        <f>_xlfn.LET(_xlpm.x,L77,IF(OR(LEN(_xlpm.x)&lt;1,_xlpm.x=0),"",CONVERT(_xlpm.x,BH7,"kg")))</f>
        <v/>
      </c>
      <c r="BM77" s="432" t="str">
        <f>_xlfn.LET(_xlpm.x,M77,IF(OR(LEN(_xlpm.x)&lt;1,_xlpm.x=0),"",CONVERT(_xlpm.x,BH7,"kg")))</f>
        <v/>
      </c>
      <c r="BN77" s="432" t="str">
        <f>_xlfn.LET(_xlpm.x,N77,IF(OR(LEN(_xlpm.x)&lt;1,_xlpm.x=0),"",CONVERT(_xlpm.x,BH7,"kg")))</f>
        <v/>
      </c>
      <c r="BO77" s="432" t="str">
        <f>_xlfn.LET(_xlpm.x,O77,IF(OR(LEN(_xlpm.x)&lt;1,_xlpm.x=0),"",CONVERT(_xlpm.x,BH7,"kg")))</f>
        <v/>
      </c>
      <c r="BP77" s="432" t="str">
        <f>_xlfn.LET(_xlpm.x,P77,IF(OR(LEN(_xlpm.x)&lt;1,_xlpm.x=0),"",CONVERT(_xlpm.x,BH7,"kg")))</f>
        <v/>
      </c>
      <c r="BQ77" s="432" t="str">
        <f>_xlfn.LET(_xlpm.x,Q77,IF(OR(LEN(_xlpm.x)&lt;1,_xlpm.x=0),"",CONVERT(_xlpm.x,BH7,"kg")))</f>
        <v/>
      </c>
      <c r="BR77" s="432" t="str">
        <f>_xlfn.LET(_xlpm.x,R77,IF(OR(LEN(_xlpm.x)&lt;1,_xlpm.x=0),"",CONVERT(_xlpm.x,BH7,"kg")))</f>
        <v/>
      </c>
      <c r="BS77" s="432" t="str">
        <f>_xlfn.LET(_xlpm.x,S77,IF(OR(LEN(_xlpm.x)&lt;1,_xlpm.x=0),"",CONVERT(_xlpm.x,BH7,"kg")))</f>
        <v/>
      </c>
      <c r="BT77" s="433">
        <f t="shared" si="39"/>
        <v>0</v>
      </c>
      <c r="BU77" s="433" t="str">
        <f>_xlfn.LET(_xlpm.x,BF77,IF(LEN(_xlpm.x)&lt;1,"",IF(ISNUMBER(MATCH(_xlpm.x,ls_Mat_def,0)),'Project Inputs'!$BF$14,99)))</f>
        <v/>
      </c>
      <c r="BV77" s="432" t="str" cm="1">
        <f t="array" ref="BV77">IFERROR(INDEX(tblGWP[],MATCH(1,(tblGWP[Dataset ID]=BU77)*(tblGWP[Material Subcategory]=BF77),0),MATCH(BG77,ls_WHM,0)+5),"confirm")</f>
        <v>confirm</v>
      </c>
      <c r="BW77" s="434" t="str">
        <f t="shared" si="59"/>
        <v>No data</v>
      </c>
      <c r="BX77" s="434" t="str">
        <f t="shared" si="60"/>
        <v>No data</v>
      </c>
      <c r="BY77" s="434" t="str">
        <f t="shared" si="61"/>
        <v>No data</v>
      </c>
      <c r="BZ77" s="434" t="str">
        <f t="shared" si="62"/>
        <v>No data</v>
      </c>
      <c r="CA77" s="434" t="str">
        <f t="shared" si="63"/>
        <v>No data</v>
      </c>
      <c r="CB77" s="434" t="str">
        <f t="shared" si="64"/>
        <v>No data</v>
      </c>
      <c r="CC77" s="434" t="str">
        <f t="shared" si="65"/>
        <v>No data</v>
      </c>
      <c r="CD77" s="434" t="str">
        <f t="shared" si="66"/>
        <v>No data</v>
      </c>
      <c r="CE77" s="434" t="str">
        <f t="shared" si="67"/>
        <v>No data</v>
      </c>
      <c r="CF77" s="434" t="str">
        <f t="shared" si="68"/>
        <v>No data</v>
      </c>
      <c r="CG77" s="434" t="str">
        <f t="shared" si="69"/>
        <v>No data</v>
      </c>
      <c r="CH77" s="434" t="str">
        <f t="shared" si="70"/>
        <v>No data</v>
      </c>
      <c r="CI77" s="435">
        <f t="shared" si="52"/>
        <v>0</v>
      </c>
      <c r="CK77" s="3" t="str">
        <f>_xlfn.LET(_xlpm.x,INDEX(tbl_Mat_def[],MATCH(BF77,ls_Mat_def,0),2),IFERROR(IF(_xlpm.x=0,"No","Yes"),"No"))</f>
        <v>No</v>
      </c>
      <c r="CM77" s="60" t="str">
        <f t="shared" si="53"/>
        <v/>
      </c>
      <c r="CN77" s="60" t="s">
        <v>235</v>
      </c>
      <c r="CO77" s="566" t="str">
        <f>_xlfn.XLOOKUP(CM77,tblGWP[Material Subcategory],tblGWP[Landfill],0)</f>
        <v/>
      </c>
      <c r="CP77" s="436" t="str">
        <f t="shared" si="54"/>
        <v/>
      </c>
      <c r="DD77" s="388">
        <f t="shared" si="29"/>
        <v>0</v>
      </c>
      <c r="DE77" s="22">
        <f t="shared" si="55"/>
        <v>19</v>
      </c>
      <c r="DF77" s="387">
        <f t="shared" si="30"/>
        <v>0</v>
      </c>
      <c r="DG77" s="387">
        <f t="shared" si="56"/>
        <v>0</v>
      </c>
      <c r="DH77" s="22">
        <f t="shared" ca="1" si="57"/>
        <v>0</v>
      </c>
      <c r="DI77">
        <f t="shared" ca="1" si="58"/>
        <v>0</v>
      </c>
    </row>
    <row r="78" spans="1:113" ht="30" hidden="1" customHeight="1" outlineLevel="1">
      <c r="A78" s="22" t="str">
        <f t="shared" si="28"/>
        <v/>
      </c>
      <c r="B78" s="272"/>
      <c r="C78" s="491"/>
      <c r="D78" s="272"/>
      <c r="E78" s="400"/>
      <c r="F78" s="400"/>
      <c r="G78" s="401"/>
      <c r="H78" s="376"/>
      <c r="I78" s="376"/>
      <c r="J78" s="376"/>
      <c r="K78" s="376"/>
      <c r="L78" s="376"/>
      <c r="M78" s="376"/>
      <c r="N78" s="376"/>
      <c r="O78" s="376"/>
      <c r="P78" s="376"/>
      <c r="Q78" s="376"/>
      <c r="R78" s="376"/>
      <c r="S78" s="376"/>
      <c r="T78" s="431">
        <f t="shared" ref="T78:T109" si="71">SUM(H78:S78)</f>
        <v>0</v>
      </c>
      <c r="U78" s="272"/>
      <c r="BC78" s="432" t="str">
        <f t="shared" ref="BC78:BC113" si="72">_xlfn.LET(_xlpm.x,B78,IF(OR(LEN(_xlpm.x)&lt;1,_xlpm.x=0),"",_xlpm.x))</f>
        <v/>
      </c>
      <c r="BD78" s="432" t="str">
        <f t="shared" ref="BD78:BD113" si="73">_xlfn.LET(_xlpm.x,D78,IF(OR(LEN(_xlpm.x)&lt;1,_xlpm.x=0),"",_xlpm.x))</f>
        <v/>
      </c>
      <c r="BE78" s="432" t="str">
        <f t="shared" ref="BE78:BE113" si="74">_xlfn.LET(_xlpm.x,E78,IF(OR(LEN(_xlpm.x)&lt;1,_xlpm.x=0),"",_xlpm.x))</f>
        <v/>
      </c>
      <c r="BF78" s="432" t="str">
        <f t="shared" ref="BF78:BF113" si="75">_xlfn.LET(_xlpm.x,F78,IF(OR(LEN(_xlpm.x)&lt;1,_xlpm.x=0),"",_xlpm.x))</f>
        <v/>
      </c>
      <c r="BG78" s="432" t="str">
        <f t="shared" ref="BG78:BG113" si="76">_xlfn.LET(_xlpm.x,G78,IF(OR(LEN(_xlpm.x)&lt;1,_xlpm.x=0),"",_xlpm.x))</f>
        <v/>
      </c>
      <c r="BH78" s="432" t="str">
        <f>_xlfn.LET(_xlpm.x,H78,IF(OR(LEN(_xlpm.x)&lt;1,_xlpm.x=0),"",CONVERT(_xlpm.x,BH7,"kg")))</f>
        <v/>
      </c>
      <c r="BI78" s="432" t="str">
        <f>_xlfn.LET(_xlpm.x,I62,IF(OR(LEN(_xlpm.x)&lt;1,_xlpm.x=0),"",CONVERT(_xlpm.x,BH7,"kg")))</f>
        <v/>
      </c>
      <c r="BJ78" s="432" t="str">
        <f>_xlfn.LET(_xlpm.x,J78,IF(OR(LEN(_xlpm.x)&lt;1,_xlpm.x=0),"",CONVERT(_xlpm.x,BH7,"kg")))</f>
        <v/>
      </c>
      <c r="BK78" s="432" t="str">
        <f>_xlfn.LET(_xlpm.x,K78,IF(OR(LEN(_xlpm.x)&lt;1,_xlpm.x=0),"",CONVERT(_xlpm.x,BH7,"kg")))</f>
        <v/>
      </c>
      <c r="BL78" s="432" t="str">
        <f>_xlfn.LET(_xlpm.x,L78,IF(OR(LEN(_xlpm.x)&lt;1,_xlpm.x=0),"",CONVERT(_xlpm.x,BH7,"kg")))</f>
        <v/>
      </c>
      <c r="BM78" s="432" t="str">
        <f>_xlfn.LET(_xlpm.x,M78,IF(OR(LEN(_xlpm.x)&lt;1,_xlpm.x=0),"",CONVERT(_xlpm.x,BH7,"kg")))</f>
        <v/>
      </c>
      <c r="BN78" s="432" t="str">
        <f>_xlfn.LET(_xlpm.x,N78,IF(OR(LEN(_xlpm.x)&lt;1,_xlpm.x=0),"",CONVERT(_xlpm.x,BH7,"kg")))</f>
        <v/>
      </c>
      <c r="BO78" s="432" t="str">
        <f>_xlfn.LET(_xlpm.x,O78,IF(OR(LEN(_xlpm.x)&lt;1,_xlpm.x=0),"",CONVERT(_xlpm.x,BH7,"kg")))</f>
        <v/>
      </c>
      <c r="BP78" s="432" t="str">
        <f>_xlfn.LET(_xlpm.x,P78,IF(OR(LEN(_xlpm.x)&lt;1,_xlpm.x=0),"",CONVERT(_xlpm.x,BH7,"kg")))</f>
        <v/>
      </c>
      <c r="BQ78" s="432" t="str">
        <f>_xlfn.LET(_xlpm.x,Q78,IF(OR(LEN(_xlpm.x)&lt;1,_xlpm.x=0),"",CONVERT(_xlpm.x,BH7,"kg")))</f>
        <v/>
      </c>
      <c r="BR78" s="432" t="str">
        <f>_xlfn.LET(_xlpm.x,R78,IF(OR(LEN(_xlpm.x)&lt;1,_xlpm.x=0),"",CONVERT(_xlpm.x,BH7,"kg")))</f>
        <v/>
      </c>
      <c r="BS78" s="432" t="str">
        <f>_xlfn.LET(_xlpm.x,S78,IF(OR(LEN(_xlpm.x)&lt;1,_xlpm.x=0),"",CONVERT(_xlpm.x,BH7,"kg")))</f>
        <v/>
      </c>
      <c r="BT78" s="433">
        <f t="shared" ref="BT78:BT109" si="77">SUM(BH78:BS78)</f>
        <v>0</v>
      </c>
      <c r="BU78" s="433" t="str">
        <f>_xlfn.LET(_xlpm.x,BF78,IF(LEN(_xlpm.x)&lt;1,"",IF(ISNUMBER(MATCH(_xlpm.x,ls_Mat_def,0)),'Project Inputs'!$BF$14,99)))</f>
        <v/>
      </c>
      <c r="BV78" s="432" t="str" cm="1">
        <f t="array" ref="BV78">IFERROR(INDEX(tblGWP[],MATCH(1,(tblGWP[Dataset ID]=BU78)*(tblGWP[Material Subcategory]=BF78),0),MATCH(BG78,ls_WHM,0)+5),"confirm")</f>
        <v>confirm</v>
      </c>
      <c r="BW78" s="434" t="str">
        <f t="shared" si="59"/>
        <v>No data</v>
      </c>
      <c r="BX78" s="434" t="str">
        <f t="shared" si="60"/>
        <v>No data</v>
      </c>
      <c r="BY78" s="434" t="str">
        <f t="shared" si="61"/>
        <v>No data</v>
      </c>
      <c r="BZ78" s="434" t="str">
        <f t="shared" si="62"/>
        <v>No data</v>
      </c>
      <c r="CA78" s="434" t="str">
        <f t="shared" si="63"/>
        <v>No data</v>
      </c>
      <c r="CB78" s="434" t="str">
        <f t="shared" si="64"/>
        <v>No data</v>
      </c>
      <c r="CC78" s="434" t="str">
        <f t="shared" si="65"/>
        <v>No data</v>
      </c>
      <c r="CD78" s="434" t="str">
        <f t="shared" si="66"/>
        <v>No data</v>
      </c>
      <c r="CE78" s="434" t="str">
        <f t="shared" si="67"/>
        <v>No data</v>
      </c>
      <c r="CF78" s="434" t="str">
        <f t="shared" si="68"/>
        <v>No data</v>
      </c>
      <c r="CG78" s="434" t="str">
        <f t="shared" si="69"/>
        <v>No data</v>
      </c>
      <c r="CH78" s="434" t="str">
        <f t="shared" si="70"/>
        <v>No data</v>
      </c>
      <c r="CI78" s="435">
        <f t="shared" ref="CI78:CI109" si="78">SUM(BW78:CH78)</f>
        <v>0</v>
      </c>
      <c r="CK78" s="3" t="str">
        <f>_xlfn.LET(_xlpm.x,INDEX(tbl_Mat_def[],MATCH(BF78,ls_Mat_def,0),2),IFERROR(IF(_xlpm.x=0,"No","Yes"),"No"))</f>
        <v>No</v>
      </c>
      <c r="CM78" s="60" t="str">
        <f t="shared" ref="CM78:CM113" si="79">BF78</f>
        <v/>
      </c>
      <c r="CN78" s="60" t="s">
        <v>235</v>
      </c>
      <c r="CO78" s="566" t="str">
        <f>_xlfn.XLOOKUP(CM78,tblGWP[Material Subcategory],tblGWP[Landfill],0)</f>
        <v/>
      </c>
      <c r="CP78" s="436" t="str">
        <f t="shared" ref="CP78:CP109" si="80">IFERROR($BT78*CO78,"")</f>
        <v/>
      </c>
      <c r="DD78" s="388">
        <f t="shared" si="29"/>
        <v>0</v>
      </c>
      <c r="DE78" s="22">
        <f t="shared" ref="DE78:DE113" si="81">COUNTBLANK(B78:U78)</f>
        <v>19</v>
      </c>
      <c r="DF78" s="387">
        <f t="shared" si="30"/>
        <v>0</v>
      </c>
      <c r="DG78" s="387">
        <f t="shared" ref="DG78:DG113" si="82">_xlfn.LET(_xlpm.x,DE78,_xlpm.y,B78,_xlpm.z,E78,_xlpm.m,F78,_xlpm.n,G78,_xlpm.o,COUNTBLANK(H78:S78),_xlpm.p,C78,IF(_xlpm.x=19,0,
IF(AND(LEN(_xlpm.y)&gt;0,LEN(_xlpm.z)&gt;0,LEN(_xlpm.m)&gt;0,LEN(_xlpm.n)&gt;0,_xlpm.o&lt;12),0,1)))</f>
        <v>0</v>
      </c>
      <c r="DH78" s="22">
        <f t="shared" ref="DH78:DH113" ca="1" si="83">IF(DE78=19,0,IF(ISNUMBER(MATCH(F78,INDIRECT(INDEX(ls_Subcat_options,MATCH(E78,ls_Mat_Cat,0))),0)),0,1))</f>
        <v>0</v>
      </c>
      <c r="DI78">
        <f t="shared" ref="DI78:DI113" ca="1" si="84">IF(DE78=19,0,IF(ISNUMBER(MATCH(G78,INDIRECT(INDEX(ls_WHM_options,MATCH(F78,ls_Mat,0))),0)),0,1))</f>
        <v>0</v>
      </c>
    </row>
    <row r="79" spans="1:113" ht="30" hidden="1" customHeight="1" outlineLevel="1">
      <c r="A79" s="22" t="str">
        <f t="shared" ref="A79:A113" si="85">IF(DD79=0,"",1)</f>
        <v/>
      </c>
      <c r="B79" s="272"/>
      <c r="C79" s="491"/>
      <c r="D79" s="272"/>
      <c r="E79" s="400"/>
      <c r="F79" s="400"/>
      <c r="G79" s="401"/>
      <c r="H79" s="376"/>
      <c r="I79" s="376"/>
      <c r="J79" s="376"/>
      <c r="K79" s="376"/>
      <c r="L79" s="376"/>
      <c r="M79" s="376"/>
      <c r="N79" s="376"/>
      <c r="O79" s="376"/>
      <c r="P79" s="376"/>
      <c r="Q79" s="376"/>
      <c r="R79" s="376"/>
      <c r="S79" s="376"/>
      <c r="T79" s="431">
        <f t="shared" si="71"/>
        <v>0</v>
      </c>
      <c r="U79" s="272"/>
      <c r="BC79" s="432" t="str">
        <f t="shared" si="72"/>
        <v/>
      </c>
      <c r="BD79" s="432" t="str">
        <f t="shared" si="73"/>
        <v/>
      </c>
      <c r="BE79" s="432" t="str">
        <f t="shared" si="74"/>
        <v/>
      </c>
      <c r="BF79" s="432" t="str">
        <f t="shared" si="75"/>
        <v/>
      </c>
      <c r="BG79" s="432" t="str">
        <f t="shared" si="76"/>
        <v/>
      </c>
      <c r="BH79" s="432" t="str">
        <f>_xlfn.LET(_xlpm.x,H79,IF(OR(LEN(_xlpm.x)&lt;1,_xlpm.x=0),"",CONVERT(_xlpm.x,BH7,"kg")))</f>
        <v/>
      </c>
      <c r="BI79" s="432" t="str">
        <f>_xlfn.LET(_xlpm.x,I79,IF(OR(LEN(_xlpm.x)&lt;1,_xlpm.x=0),"",CONVERT(_xlpm.x,BH7,"kg")))</f>
        <v/>
      </c>
      <c r="BJ79" s="432" t="str">
        <f>_xlfn.LET(_xlpm.x,J79,IF(OR(LEN(_xlpm.x)&lt;1,_xlpm.x=0),"",CONVERT(_xlpm.x,BH7,"kg")))</f>
        <v/>
      </c>
      <c r="BK79" s="432" t="str">
        <f>_xlfn.LET(_xlpm.x,K79,IF(OR(LEN(_xlpm.x)&lt;1,_xlpm.x=0),"",CONVERT(_xlpm.x,BH7,"kg")))</f>
        <v/>
      </c>
      <c r="BL79" s="432" t="str">
        <f>_xlfn.LET(_xlpm.x,L79,IF(OR(LEN(_xlpm.x)&lt;1,_xlpm.x=0),"",CONVERT(_xlpm.x,BH7,"kg")))</f>
        <v/>
      </c>
      <c r="BM79" s="432" t="str">
        <f>_xlfn.LET(_xlpm.x,M79,IF(OR(LEN(_xlpm.x)&lt;1,_xlpm.x=0),"",CONVERT(_xlpm.x,BH7,"kg")))</f>
        <v/>
      </c>
      <c r="BN79" s="432" t="str">
        <f>_xlfn.LET(_xlpm.x,N79,IF(OR(LEN(_xlpm.x)&lt;1,_xlpm.x=0),"",CONVERT(_xlpm.x,BH7,"kg")))</f>
        <v/>
      </c>
      <c r="BO79" s="432" t="str">
        <f>_xlfn.LET(_xlpm.x,O79,IF(OR(LEN(_xlpm.x)&lt;1,_xlpm.x=0),"",CONVERT(_xlpm.x,BH7,"kg")))</f>
        <v/>
      </c>
      <c r="BP79" s="432" t="str">
        <f>_xlfn.LET(_xlpm.x,P79,IF(OR(LEN(_xlpm.x)&lt;1,_xlpm.x=0),"",CONVERT(_xlpm.x,BH7,"kg")))</f>
        <v/>
      </c>
      <c r="BQ79" s="432" t="str">
        <f>_xlfn.LET(_xlpm.x,Q79,IF(OR(LEN(_xlpm.x)&lt;1,_xlpm.x=0),"",CONVERT(_xlpm.x,BH7,"kg")))</f>
        <v/>
      </c>
      <c r="BR79" s="432" t="str">
        <f>_xlfn.LET(_xlpm.x,R79,IF(OR(LEN(_xlpm.x)&lt;1,_xlpm.x=0),"",CONVERT(_xlpm.x,BH7,"kg")))</f>
        <v/>
      </c>
      <c r="BS79" s="432" t="str">
        <f>_xlfn.LET(_xlpm.x,S79,IF(OR(LEN(_xlpm.x)&lt;1,_xlpm.x=0),"",CONVERT(_xlpm.x,BH7,"kg")))</f>
        <v/>
      </c>
      <c r="BT79" s="433">
        <f t="shared" si="77"/>
        <v>0</v>
      </c>
      <c r="BU79" s="433" t="str">
        <f>_xlfn.LET(_xlpm.x,BF79,IF(LEN(_xlpm.x)&lt;1,"",IF(ISNUMBER(MATCH(_xlpm.x,ls_Mat_def,0)),'Project Inputs'!$BF$14,99)))</f>
        <v/>
      </c>
      <c r="BV79" s="432" t="str" cm="1">
        <f t="array" ref="BV79">IFERROR(INDEX(tblGWP[],MATCH(1,(tblGWP[Dataset ID]=BU79)*(tblGWP[Material Subcategory]=BF79),0),MATCH(BG79,ls_WHM,0)+5),"confirm")</f>
        <v>confirm</v>
      </c>
      <c r="BW79" s="434" t="str">
        <f t="shared" si="59"/>
        <v>No data</v>
      </c>
      <c r="BX79" s="434" t="str">
        <f t="shared" si="60"/>
        <v>No data</v>
      </c>
      <c r="BY79" s="434" t="str">
        <f t="shared" ref="BY79:BY113" si="86">IFERROR(BJ79*$BV79,"No data")</f>
        <v>No data</v>
      </c>
      <c r="BZ79" s="434" t="str">
        <f t="shared" si="62"/>
        <v>No data</v>
      </c>
      <c r="CA79" s="434" t="str">
        <f t="shared" si="63"/>
        <v>No data</v>
      </c>
      <c r="CB79" s="434" t="str">
        <f t="shared" si="64"/>
        <v>No data</v>
      </c>
      <c r="CC79" s="434" t="str">
        <f t="shared" si="65"/>
        <v>No data</v>
      </c>
      <c r="CD79" s="434" t="str">
        <f t="shared" si="66"/>
        <v>No data</v>
      </c>
      <c r="CE79" s="434" t="str">
        <f t="shared" si="67"/>
        <v>No data</v>
      </c>
      <c r="CF79" s="434" t="str">
        <f t="shared" si="68"/>
        <v>No data</v>
      </c>
      <c r="CG79" s="434" t="str">
        <f t="shared" si="69"/>
        <v>No data</v>
      </c>
      <c r="CH79" s="434" t="str">
        <f t="shared" si="70"/>
        <v>No data</v>
      </c>
      <c r="CI79" s="435">
        <f t="shared" si="78"/>
        <v>0</v>
      </c>
      <c r="CK79" s="3" t="str">
        <f>_xlfn.LET(_xlpm.x,INDEX(tbl_Mat_def[],MATCH(BF79,ls_Mat_def,0),2),IFERROR(IF(_xlpm.x=0,"No","Yes"),"No"))</f>
        <v>No</v>
      </c>
      <c r="CM79" s="60" t="str">
        <f t="shared" si="79"/>
        <v/>
      </c>
      <c r="CN79" s="60" t="s">
        <v>235</v>
      </c>
      <c r="CO79" s="566" t="str">
        <f>_xlfn.XLOOKUP(CM79,tblGWP[Material Subcategory],tblGWP[Landfill],0)</f>
        <v/>
      </c>
      <c r="CP79" s="436" t="str">
        <f t="shared" si="80"/>
        <v/>
      </c>
      <c r="DD79" s="388">
        <f t="shared" ref="DD79:DD113" si="87">IF(DE79=19,0,SUM(DF79:DI79))</f>
        <v>0</v>
      </c>
      <c r="DE79" s="22">
        <f t="shared" si="81"/>
        <v>19</v>
      </c>
      <c r="DF79" s="387">
        <f t="shared" ref="DF79:DF113" si="88">SUM(IF(OR(ISNUMBER(H79),LEN(H79)=0),0,1),IF(OR(ISNUMBER(I79),LEN(I79)=0),0,1),
IF(OR(ISNUMBER(J79),LEN(J79)=0),0,1),IF(OR(ISNUMBER(K79),LEN(K79)=0),0,1),
IF(OR(ISNUMBER(L79),LEN(L79)=0),0,1),IF(OR(ISNUMBER(M79),LEN(M79)=0),0,1),
IF(OR(ISNUMBER(N79),LEN(N79)=0),0,1),IF(OR(ISNUMBER(O79),LEN(O79)=0),0,1),
IF(OR(ISNUMBER(P79),LEN(P79)=0),0,1),IF(OR(ISNUMBER(Q79),LEN(Q79)=0),0,1),
IF(OR(ISNUMBER(R79),LEN(R79)=0),0,1),IF(OR(ISNUMBER(S79),LEN(S79)=0),0,1))+
IF(MIN(H79:R79)&gt;=0,0,1)</f>
        <v>0</v>
      </c>
      <c r="DG79" s="387">
        <f t="shared" si="82"/>
        <v>0</v>
      </c>
      <c r="DH79" s="22">
        <f t="shared" ca="1" si="83"/>
        <v>0</v>
      </c>
      <c r="DI79">
        <f t="shared" ca="1" si="84"/>
        <v>0</v>
      </c>
    </row>
    <row r="80" spans="1:113" ht="30" hidden="1" customHeight="1" outlineLevel="1">
      <c r="A80" s="22" t="str">
        <f t="shared" si="85"/>
        <v/>
      </c>
      <c r="B80" s="272"/>
      <c r="C80" s="491"/>
      <c r="D80" s="272"/>
      <c r="E80" s="400"/>
      <c r="F80" s="400"/>
      <c r="G80" s="401"/>
      <c r="H80" s="376"/>
      <c r="I80" s="376"/>
      <c r="J80" s="376"/>
      <c r="K80" s="376"/>
      <c r="L80" s="376"/>
      <c r="M80" s="376"/>
      <c r="N80" s="376"/>
      <c r="O80" s="376"/>
      <c r="P80" s="376"/>
      <c r="Q80" s="376"/>
      <c r="R80" s="376"/>
      <c r="S80" s="376"/>
      <c r="T80" s="431">
        <f t="shared" si="71"/>
        <v>0</v>
      </c>
      <c r="U80" s="272"/>
      <c r="BC80" s="432" t="str">
        <f t="shared" si="72"/>
        <v/>
      </c>
      <c r="BD80" s="432" t="str">
        <f t="shared" si="73"/>
        <v/>
      </c>
      <c r="BE80" s="432" t="str">
        <f t="shared" si="74"/>
        <v/>
      </c>
      <c r="BF80" s="432" t="str">
        <f t="shared" si="75"/>
        <v/>
      </c>
      <c r="BG80" s="432" t="str">
        <f t="shared" si="76"/>
        <v/>
      </c>
      <c r="BH80" s="432" t="str">
        <f>_xlfn.LET(_xlpm.x,H80,IF(OR(LEN(_xlpm.x)&lt;1,_xlpm.x=0),"",CONVERT(_xlpm.x,BH7,"kg")))</f>
        <v/>
      </c>
      <c r="BI80" s="432" t="str">
        <f>_xlfn.LET(_xlpm.x,I80,IF(OR(LEN(_xlpm.x)&lt;1,_xlpm.x=0),"",CONVERT(_xlpm.x,BH7,"kg")))</f>
        <v/>
      </c>
      <c r="BJ80" s="432" t="str">
        <f>_xlfn.LET(_xlpm.x,J80,IF(OR(LEN(_xlpm.x)&lt;1,_xlpm.x=0),"",CONVERT(_xlpm.x,BH7,"kg")))</f>
        <v/>
      </c>
      <c r="BK80" s="432" t="str">
        <f>_xlfn.LET(_xlpm.x,K80,IF(OR(LEN(_xlpm.x)&lt;1,_xlpm.x=0),"",CONVERT(_xlpm.x,BH7,"kg")))</f>
        <v/>
      </c>
      <c r="BL80" s="432" t="str">
        <f>_xlfn.LET(_xlpm.x,L80,IF(OR(LEN(_xlpm.x)&lt;1,_xlpm.x=0),"",CONVERT(_xlpm.x,BH7,"kg")))</f>
        <v/>
      </c>
      <c r="BM80" s="432" t="str">
        <f>_xlfn.LET(_xlpm.x,M80,IF(OR(LEN(_xlpm.x)&lt;1,_xlpm.x=0),"",CONVERT(_xlpm.x,BH7,"kg")))</f>
        <v/>
      </c>
      <c r="BN80" s="432" t="str">
        <f>_xlfn.LET(_xlpm.x,N80,IF(OR(LEN(_xlpm.x)&lt;1,_xlpm.x=0),"",CONVERT(_xlpm.x,BH7,"kg")))</f>
        <v/>
      </c>
      <c r="BO80" s="432" t="str">
        <f>_xlfn.LET(_xlpm.x,O80,IF(OR(LEN(_xlpm.x)&lt;1,_xlpm.x=0),"",CONVERT(_xlpm.x,BH7,"kg")))</f>
        <v/>
      </c>
      <c r="BP80" s="432" t="str">
        <f>_xlfn.LET(_xlpm.x,P80,IF(OR(LEN(_xlpm.x)&lt;1,_xlpm.x=0),"",CONVERT(_xlpm.x,BH7,"kg")))</f>
        <v/>
      </c>
      <c r="BQ80" s="432" t="str">
        <f>_xlfn.LET(_xlpm.x,Q80,IF(OR(LEN(_xlpm.x)&lt;1,_xlpm.x=0),"",CONVERT(_xlpm.x,BH7,"kg")))</f>
        <v/>
      </c>
      <c r="BR80" s="432" t="str">
        <f>_xlfn.LET(_xlpm.x,R80,IF(OR(LEN(_xlpm.x)&lt;1,_xlpm.x=0),"",CONVERT(_xlpm.x,BH7,"kg")))</f>
        <v/>
      </c>
      <c r="BS80" s="432" t="str">
        <f>_xlfn.LET(_xlpm.x,S80,IF(OR(LEN(_xlpm.x)&lt;1,_xlpm.x=0),"",CONVERT(_xlpm.x,BH7,"kg")))</f>
        <v/>
      </c>
      <c r="BT80" s="433">
        <f t="shared" si="77"/>
        <v>0</v>
      </c>
      <c r="BU80" s="433" t="str">
        <f>_xlfn.LET(_xlpm.x,BF80,IF(LEN(_xlpm.x)&lt;1,"",IF(ISNUMBER(MATCH(_xlpm.x,ls_Mat_def,0)),'Project Inputs'!$BF$14,99)))</f>
        <v/>
      </c>
      <c r="BV80" s="432" t="str" cm="1">
        <f t="array" ref="BV80">IFERROR(INDEX(tblGWP[],MATCH(1,(tblGWP[Dataset ID]=BU80)*(tblGWP[Material Subcategory]=BF80),0),MATCH(BG80,ls_WHM,0)+5),"confirm")</f>
        <v>confirm</v>
      </c>
      <c r="BW80" s="434" t="str">
        <f t="shared" si="59"/>
        <v>No data</v>
      </c>
      <c r="BX80" s="434" t="str">
        <f t="shared" si="60"/>
        <v>No data</v>
      </c>
      <c r="BY80" s="434" t="str">
        <f t="shared" si="86"/>
        <v>No data</v>
      </c>
      <c r="BZ80" s="434" t="str">
        <f t="shared" si="62"/>
        <v>No data</v>
      </c>
      <c r="CA80" s="434" t="str">
        <f t="shared" si="63"/>
        <v>No data</v>
      </c>
      <c r="CB80" s="434" t="str">
        <f t="shared" si="64"/>
        <v>No data</v>
      </c>
      <c r="CC80" s="434" t="str">
        <f t="shared" si="65"/>
        <v>No data</v>
      </c>
      <c r="CD80" s="434" t="str">
        <f t="shared" si="66"/>
        <v>No data</v>
      </c>
      <c r="CE80" s="434" t="str">
        <f t="shared" si="67"/>
        <v>No data</v>
      </c>
      <c r="CF80" s="434" t="str">
        <f t="shared" si="68"/>
        <v>No data</v>
      </c>
      <c r="CG80" s="434" t="str">
        <f t="shared" si="69"/>
        <v>No data</v>
      </c>
      <c r="CH80" s="434" t="str">
        <f t="shared" si="70"/>
        <v>No data</v>
      </c>
      <c r="CI80" s="435">
        <f t="shared" si="78"/>
        <v>0</v>
      </c>
      <c r="CK80" s="3" t="str">
        <f>_xlfn.LET(_xlpm.x,INDEX(tbl_Mat_def[],MATCH(BF80,ls_Mat_def,0),2),IFERROR(IF(_xlpm.x=0,"No","Yes"),"No"))</f>
        <v>No</v>
      </c>
      <c r="CM80" s="60" t="str">
        <f t="shared" si="79"/>
        <v/>
      </c>
      <c r="CN80" s="60" t="s">
        <v>235</v>
      </c>
      <c r="CO80" s="566" t="str">
        <f>_xlfn.XLOOKUP(CM80,tblGWP[Material Subcategory],tblGWP[Landfill],0)</f>
        <v/>
      </c>
      <c r="CP80" s="436" t="str">
        <f t="shared" si="80"/>
        <v/>
      </c>
      <c r="DD80" s="388">
        <f t="shared" si="87"/>
        <v>0</v>
      </c>
      <c r="DE80" s="22">
        <f t="shared" si="81"/>
        <v>19</v>
      </c>
      <c r="DF80" s="387">
        <f t="shared" si="88"/>
        <v>0</v>
      </c>
      <c r="DG80" s="387">
        <f t="shared" si="82"/>
        <v>0</v>
      </c>
      <c r="DH80" s="22">
        <f t="shared" ca="1" si="83"/>
        <v>0</v>
      </c>
      <c r="DI80">
        <f t="shared" ca="1" si="84"/>
        <v>0</v>
      </c>
    </row>
    <row r="81" spans="1:113" ht="30" hidden="1" customHeight="1" outlineLevel="1">
      <c r="A81" s="22" t="str">
        <f t="shared" si="85"/>
        <v/>
      </c>
      <c r="B81" s="272"/>
      <c r="C81" s="491"/>
      <c r="D81" s="272"/>
      <c r="E81" s="400"/>
      <c r="F81" s="400"/>
      <c r="G81" s="401"/>
      <c r="H81" s="376"/>
      <c r="I81" s="376"/>
      <c r="J81" s="376"/>
      <c r="K81" s="376"/>
      <c r="L81" s="376"/>
      <c r="M81" s="376"/>
      <c r="N81" s="376"/>
      <c r="O81" s="376"/>
      <c r="P81" s="376"/>
      <c r="Q81" s="376"/>
      <c r="R81" s="376"/>
      <c r="S81" s="376"/>
      <c r="T81" s="431">
        <f t="shared" si="71"/>
        <v>0</v>
      </c>
      <c r="U81" s="272"/>
      <c r="BC81" s="432" t="str">
        <f t="shared" si="72"/>
        <v/>
      </c>
      <c r="BD81" s="432" t="str">
        <f t="shared" si="73"/>
        <v/>
      </c>
      <c r="BE81" s="432" t="str">
        <f t="shared" si="74"/>
        <v/>
      </c>
      <c r="BF81" s="432" t="str">
        <f t="shared" si="75"/>
        <v/>
      </c>
      <c r="BG81" s="432" t="str">
        <f t="shared" si="76"/>
        <v/>
      </c>
      <c r="BH81" s="432" t="str">
        <f>_xlfn.LET(_xlpm.x,H81,IF(OR(LEN(_xlpm.x)&lt;1,_xlpm.x=0),"",CONVERT(_xlpm.x,BH7,"kg")))</f>
        <v/>
      </c>
      <c r="BI81" s="432" t="str">
        <f>_xlfn.LET(_xlpm.x,I81,IF(OR(LEN(_xlpm.x)&lt;1,_xlpm.x=0),"",CONVERT(_xlpm.x,BH7,"kg")))</f>
        <v/>
      </c>
      <c r="BJ81" s="432" t="str">
        <f>_xlfn.LET(_xlpm.x,J81,IF(OR(LEN(_xlpm.x)&lt;1,_xlpm.x=0),"",CONVERT(_xlpm.x,BH7,"kg")))</f>
        <v/>
      </c>
      <c r="BK81" s="432" t="str">
        <f>_xlfn.LET(_xlpm.x,K81,IF(OR(LEN(_xlpm.x)&lt;1,_xlpm.x=0),"",CONVERT(_xlpm.x,BH7,"kg")))</f>
        <v/>
      </c>
      <c r="BL81" s="432" t="str">
        <f>_xlfn.LET(_xlpm.x,L81,IF(OR(LEN(_xlpm.x)&lt;1,_xlpm.x=0),"",CONVERT(_xlpm.x,BH7,"kg")))</f>
        <v/>
      </c>
      <c r="BM81" s="432" t="str">
        <f>_xlfn.LET(_xlpm.x,M81,IF(OR(LEN(_xlpm.x)&lt;1,_xlpm.x=0),"",CONVERT(_xlpm.x,BH7,"kg")))</f>
        <v/>
      </c>
      <c r="BN81" s="432" t="str">
        <f>_xlfn.LET(_xlpm.x,N81,IF(OR(LEN(_xlpm.x)&lt;1,_xlpm.x=0),"",CONVERT(_xlpm.x,BH7,"kg")))</f>
        <v/>
      </c>
      <c r="BO81" s="432" t="str">
        <f>_xlfn.LET(_xlpm.x,O81,IF(OR(LEN(_xlpm.x)&lt;1,_xlpm.x=0),"",CONVERT(_xlpm.x,BH7,"kg")))</f>
        <v/>
      </c>
      <c r="BP81" s="432" t="str">
        <f>_xlfn.LET(_xlpm.x,P81,IF(OR(LEN(_xlpm.x)&lt;1,_xlpm.x=0),"",CONVERT(_xlpm.x,BH7,"kg")))</f>
        <v/>
      </c>
      <c r="BQ81" s="432" t="str">
        <f>_xlfn.LET(_xlpm.x,Q81,IF(OR(LEN(_xlpm.x)&lt;1,_xlpm.x=0),"",CONVERT(_xlpm.x,BH7,"kg")))</f>
        <v/>
      </c>
      <c r="BR81" s="432" t="str">
        <f>_xlfn.LET(_xlpm.x,R81,IF(OR(LEN(_xlpm.x)&lt;1,_xlpm.x=0),"",CONVERT(_xlpm.x,BH7,"kg")))</f>
        <v/>
      </c>
      <c r="BS81" s="432" t="str">
        <f>_xlfn.LET(_xlpm.x,S81,IF(OR(LEN(_xlpm.x)&lt;1,_xlpm.x=0),"",CONVERT(_xlpm.x,BH7,"kg")))</f>
        <v/>
      </c>
      <c r="BT81" s="433">
        <f t="shared" si="77"/>
        <v>0</v>
      </c>
      <c r="BU81" s="433" t="str">
        <f>_xlfn.LET(_xlpm.x,BF81,IF(LEN(_xlpm.x)&lt;1,"",IF(ISNUMBER(MATCH(_xlpm.x,ls_Mat_def,0)),'Project Inputs'!$BF$14,99)))</f>
        <v/>
      </c>
      <c r="BV81" s="432" t="str" cm="1">
        <f t="array" ref="BV81">IFERROR(INDEX(tblGWP[],MATCH(1,(tblGWP[Dataset ID]=BU81)*(tblGWP[Material Subcategory]=BF81),0),MATCH(BG81,ls_WHM,0)+5),"confirm")</f>
        <v>confirm</v>
      </c>
      <c r="BW81" s="434" t="str">
        <f t="shared" si="59"/>
        <v>No data</v>
      </c>
      <c r="BX81" s="434" t="str">
        <f t="shared" si="60"/>
        <v>No data</v>
      </c>
      <c r="BY81" s="434" t="str">
        <f t="shared" si="86"/>
        <v>No data</v>
      </c>
      <c r="BZ81" s="434" t="str">
        <f t="shared" si="62"/>
        <v>No data</v>
      </c>
      <c r="CA81" s="434" t="str">
        <f t="shared" si="63"/>
        <v>No data</v>
      </c>
      <c r="CB81" s="434" t="str">
        <f t="shared" si="64"/>
        <v>No data</v>
      </c>
      <c r="CC81" s="434" t="str">
        <f t="shared" si="65"/>
        <v>No data</v>
      </c>
      <c r="CD81" s="434" t="str">
        <f t="shared" si="66"/>
        <v>No data</v>
      </c>
      <c r="CE81" s="434" t="str">
        <f t="shared" si="67"/>
        <v>No data</v>
      </c>
      <c r="CF81" s="434" t="str">
        <f t="shared" si="68"/>
        <v>No data</v>
      </c>
      <c r="CG81" s="434" t="str">
        <f t="shared" si="69"/>
        <v>No data</v>
      </c>
      <c r="CH81" s="434" t="str">
        <f t="shared" si="70"/>
        <v>No data</v>
      </c>
      <c r="CI81" s="435">
        <f t="shared" si="78"/>
        <v>0</v>
      </c>
      <c r="CK81" s="3" t="str">
        <f>_xlfn.LET(_xlpm.x,INDEX(tbl_Mat_def[],MATCH(BF81,ls_Mat_def,0),2),IFERROR(IF(_xlpm.x=0,"No","Yes"),"No"))</f>
        <v>No</v>
      </c>
      <c r="CM81" s="60" t="str">
        <f t="shared" si="79"/>
        <v/>
      </c>
      <c r="CN81" s="60" t="s">
        <v>235</v>
      </c>
      <c r="CO81" s="566" t="str">
        <f>_xlfn.XLOOKUP(CM81,tblGWP[Material Subcategory],tblGWP[Landfill],0)</f>
        <v/>
      </c>
      <c r="CP81" s="436" t="str">
        <f t="shared" si="80"/>
        <v/>
      </c>
      <c r="DD81" s="388">
        <f t="shared" si="87"/>
        <v>0</v>
      </c>
      <c r="DE81" s="22">
        <f t="shared" si="81"/>
        <v>19</v>
      </c>
      <c r="DF81" s="387">
        <f t="shared" si="88"/>
        <v>0</v>
      </c>
      <c r="DG81" s="387">
        <f t="shared" si="82"/>
        <v>0</v>
      </c>
      <c r="DH81" s="22">
        <f t="shared" ca="1" si="83"/>
        <v>0</v>
      </c>
      <c r="DI81">
        <f t="shared" ca="1" si="84"/>
        <v>0</v>
      </c>
    </row>
    <row r="82" spans="1:113" ht="30" hidden="1" customHeight="1" outlineLevel="1">
      <c r="A82" s="22" t="str">
        <f t="shared" si="85"/>
        <v/>
      </c>
      <c r="B82" s="272"/>
      <c r="C82" s="491"/>
      <c r="D82" s="272"/>
      <c r="E82" s="400"/>
      <c r="F82" s="400"/>
      <c r="G82" s="401"/>
      <c r="H82" s="376"/>
      <c r="I82" s="376"/>
      <c r="J82" s="376"/>
      <c r="K82" s="376"/>
      <c r="L82" s="376"/>
      <c r="M82" s="376"/>
      <c r="N82" s="376"/>
      <c r="O82" s="376"/>
      <c r="P82" s="376"/>
      <c r="Q82" s="376"/>
      <c r="R82" s="376"/>
      <c r="S82" s="376"/>
      <c r="T82" s="431">
        <f t="shared" si="71"/>
        <v>0</v>
      </c>
      <c r="U82" s="272"/>
      <c r="BC82" s="432" t="str">
        <f t="shared" si="72"/>
        <v/>
      </c>
      <c r="BD82" s="432" t="str">
        <f t="shared" si="73"/>
        <v/>
      </c>
      <c r="BE82" s="432" t="str">
        <f t="shared" si="74"/>
        <v/>
      </c>
      <c r="BF82" s="432" t="str">
        <f t="shared" si="75"/>
        <v/>
      </c>
      <c r="BG82" s="432" t="str">
        <f t="shared" si="76"/>
        <v/>
      </c>
      <c r="BH82" s="432" t="str">
        <f>_xlfn.LET(_xlpm.x,H82,IF(OR(LEN(_xlpm.x)&lt;1,_xlpm.x=0),"",CONVERT(_xlpm.x,BH7,"kg")))</f>
        <v/>
      </c>
      <c r="BI82" s="432" t="str">
        <f>_xlfn.LET(_xlpm.x,I82,IF(OR(LEN(_xlpm.x)&lt;1,_xlpm.x=0),"",CONVERT(_xlpm.x,BH7,"kg")))</f>
        <v/>
      </c>
      <c r="BJ82" s="432" t="str">
        <f>_xlfn.LET(_xlpm.x,J82,IF(OR(LEN(_xlpm.x)&lt;1,_xlpm.x=0),"",CONVERT(_xlpm.x,BH7,"kg")))</f>
        <v/>
      </c>
      <c r="BK82" s="432" t="str">
        <f>_xlfn.LET(_xlpm.x,K82,IF(OR(LEN(_xlpm.x)&lt;1,_xlpm.x=0),"",CONVERT(_xlpm.x,BH7,"kg")))</f>
        <v/>
      </c>
      <c r="BL82" s="432" t="str">
        <f>_xlfn.LET(_xlpm.x,L82,IF(OR(LEN(_xlpm.x)&lt;1,_xlpm.x=0),"",CONVERT(_xlpm.x,BH7,"kg")))</f>
        <v/>
      </c>
      <c r="BM82" s="432" t="str">
        <f>_xlfn.LET(_xlpm.x,M82,IF(OR(LEN(_xlpm.x)&lt;1,_xlpm.x=0),"",CONVERT(_xlpm.x,BH7,"kg")))</f>
        <v/>
      </c>
      <c r="BN82" s="432" t="str">
        <f>_xlfn.LET(_xlpm.x,N82,IF(OR(LEN(_xlpm.x)&lt;1,_xlpm.x=0),"",CONVERT(_xlpm.x,BH7,"kg")))</f>
        <v/>
      </c>
      <c r="BO82" s="432" t="str">
        <f>_xlfn.LET(_xlpm.x,O82,IF(OR(LEN(_xlpm.x)&lt;1,_xlpm.x=0),"",CONVERT(_xlpm.x,BH7,"kg")))</f>
        <v/>
      </c>
      <c r="BP82" s="432" t="str">
        <f>_xlfn.LET(_xlpm.x,P82,IF(OR(LEN(_xlpm.x)&lt;1,_xlpm.x=0),"",CONVERT(_xlpm.x,BH7,"kg")))</f>
        <v/>
      </c>
      <c r="BQ82" s="432" t="str">
        <f>_xlfn.LET(_xlpm.x,Q82,IF(OR(LEN(_xlpm.x)&lt;1,_xlpm.x=0),"",CONVERT(_xlpm.x,BH7,"kg")))</f>
        <v/>
      </c>
      <c r="BR82" s="432" t="str">
        <f>_xlfn.LET(_xlpm.x,R82,IF(OR(LEN(_xlpm.x)&lt;1,_xlpm.x=0),"",CONVERT(_xlpm.x,BH7,"kg")))</f>
        <v/>
      </c>
      <c r="BS82" s="432" t="str">
        <f>_xlfn.LET(_xlpm.x,S82,IF(OR(LEN(_xlpm.x)&lt;1,_xlpm.x=0),"",CONVERT(_xlpm.x,BH7,"kg")))</f>
        <v/>
      </c>
      <c r="BT82" s="433">
        <f t="shared" si="77"/>
        <v>0</v>
      </c>
      <c r="BU82" s="433" t="str">
        <f>_xlfn.LET(_xlpm.x,BF82,IF(LEN(_xlpm.x)&lt;1,"",IF(ISNUMBER(MATCH(_xlpm.x,ls_Mat_def,0)),'Project Inputs'!$BF$14,99)))</f>
        <v/>
      </c>
      <c r="BV82" s="432" t="str" cm="1">
        <f t="array" ref="BV82">IFERROR(INDEX(tblGWP[],MATCH(1,(tblGWP[Dataset ID]=BU82)*(tblGWP[Material Subcategory]=BF82),0),MATCH(BG82,ls_WHM,0)+5),"confirm")</f>
        <v>confirm</v>
      </c>
      <c r="BW82" s="434" t="str">
        <f t="shared" si="59"/>
        <v>No data</v>
      </c>
      <c r="BX82" s="434" t="str">
        <f t="shared" si="60"/>
        <v>No data</v>
      </c>
      <c r="BY82" s="434" t="str">
        <f t="shared" si="86"/>
        <v>No data</v>
      </c>
      <c r="BZ82" s="434" t="str">
        <f t="shared" si="62"/>
        <v>No data</v>
      </c>
      <c r="CA82" s="434" t="str">
        <f t="shared" si="63"/>
        <v>No data</v>
      </c>
      <c r="CB82" s="434" t="str">
        <f t="shared" si="64"/>
        <v>No data</v>
      </c>
      <c r="CC82" s="434" t="str">
        <f t="shared" si="65"/>
        <v>No data</v>
      </c>
      <c r="CD82" s="434" t="str">
        <f t="shared" si="66"/>
        <v>No data</v>
      </c>
      <c r="CE82" s="434" t="str">
        <f t="shared" si="67"/>
        <v>No data</v>
      </c>
      <c r="CF82" s="434" t="str">
        <f t="shared" si="68"/>
        <v>No data</v>
      </c>
      <c r="CG82" s="434" t="str">
        <f t="shared" si="69"/>
        <v>No data</v>
      </c>
      <c r="CH82" s="434" t="str">
        <f t="shared" si="70"/>
        <v>No data</v>
      </c>
      <c r="CI82" s="435">
        <f t="shared" si="78"/>
        <v>0</v>
      </c>
      <c r="CK82" s="3" t="str">
        <f>_xlfn.LET(_xlpm.x,INDEX(tbl_Mat_def[],MATCH(BF82,ls_Mat_def,0),2),IFERROR(IF(_xlpm.x=0,"No","Yes"),"No"))</f>
        <v>No</v>
      </c>
      <c r="CM82" s="60" t="str">
        <f t="shared" si="79"/>
        <v/>
      </c>
      <c r="CN82" s="60" t="s">
        <v>235</v>
      </c>
      <c r="CO82" s="566" t="str">
        <f>_xlfn.XLOOKUP(CM82,tblGWP[Material Subcategory],tblGWP[Landfill],0)</f>
        <v/>
      </c>
      <c r="CP82" s="436" t="str">
        <f t="shared" si="80"/>
        <v/>
      </c>
      <c r="DD82" s="388">
        <f t="shared" si="87"/>
        <v>0</v>
      </c>
      <c r="DE82" s="22">
        <f t="shared" si="81"/>
        <v>19</v>
      </c>
      <c r="DF82" s="387">
        <f t="shared" si="88"/>
        <v>0</v>
      </c>
      <c r="DG82" s="387">
        <f t="shared" si="82"/>
        <v>0</v>
      </c>
      <c r="DH82" s="22">
        <f t="shared" ca="1" si="83"/>
        <v>0</v>
      </c>
      <c r="DI82">
        <f t="shared" ca="1" si="84"/>
        <v>0</v>
      </c>
    </row>
    <row r="83" spans="1:113" ht="30" hidden="1" customHeight="1" outlineLevel="1">
      <c r="A83" s="22" t="str">
        <f t="shared" si="85"/>
        <v/>
      </c>
      <c r="B83" s="272"/>
      <c r="C83" s="491"/>
      <c r="D83" s="272"/>
      <c r="E83" s="400"/>
      <c r="F83" s="400"/>
      <c r="G83" s="401"/>
      <c r="H83" s="376"/>
      <c r="I83" s="376"/>
      <c r="J83" s="376"/>
      <c r="K83" s="376"/>
      <c r="L83" s="376"/>
      <c r="M83" s="376"/>
      <c r="N83" s="376"/>
      <c r="O83" s="376"/>
      <c r="P83" s="376"/>
      <c r="Q83" s="376"/>
      <c r="R83" s="376"/>
      <c r="S83" s="376"/>
      <c r="T83" s="431">
        <f t="shared" si="71"/>
        <v>0</v>
      </c>
      <c r="U83" s="272"/>
      <c r="BC83" s="432" t="str">
        <f t="shared" si="72"/>
        <v/>
      </c>
      <c r="BD83" s="432" t="str">
        <f t="shared" si="73"/>
        <v/>
      </c>
      <c r="BE83" s="432" t="str">
        <f t="shared" si="74"/>
        <v/>
      </c>
      <c r="BF83" s="432" t="str">
        <f t="shared" si="75"/>
        <v/>
      </c>
      <c r="BG83" s="432" t="str">
        <f t="shared" si="76"/>
        <v/>
      </c>
      <c r="BH83" s="432" t="str">
        <f>_xlfn.LET(_xlpm.x,H83,IF(OR(LEN(_xlpm.x)&lt;1,_xlpm.x=0),"",CONVERT(_xlpm.x,BH7,"kg")))</f>
        <v/>
      </c>
      <c r="BI83" s="432" t="str">
        <f>_xlfn.LET(_xlpm.x,I83,IF(OR(LEN(_xlpm.x)&lt;1,_xlpm.x=0),"",CONVERT(_xlpm.x,BH7,"kg")))</f>
        <v/>
      </c>
      <c r="BJ83" s="432" t="str">
        <f>_xlfn.LET(_xlpm.x,J83,IF(OR(LEN(_xlpm.x)&lt;1,_xlpm.x=0),"",CONVERT(_xlpm.x,BH7,"kg")))</f>
        <v/>
      </c>
      <c r="BK83" s="432" t="str">
        <f>_xlfn.LET(_xlpm.x,K83,IF(OR(LEN(_xlpm.x)&lt;1,_xlpm.x=0),"",CONVERT(_xlpm.x,BH7,"kg")))</f>
        <v/>
      </c>
      <c r="BL83" s="432" t="str">
        <f>_xlfn.LET(_xlpm.x,L83,IF(OR(LEN(_xlpm.x)&lt;1,_xlpm.x=0),"",CONVERT(_xlpm.x,BH7,"kg")))</f>
        <v/>
      </c>
      <c r="BM83" s="432" t="str">
        <f>_xlfn.LET(_xlpm.x,M83,IF(OR(LEN(_xlpm.x)&lt;1,_xlpm.x=0),"",CONVERT(_xlpm.x,BH7,"kg")))</f>
        <v/>
      </c>
      <c r="BN83" s="432" t="str">
        <f>_xlfn.LET(_xlpm.x,N83,IF(OR(LEN(_xlpm.x)&lt;1,_xlpm.x=0),"",CONVERT(_xlpm.x,BH7,"kg")))</f>
        <v/>
      </c>
      <c r="BO83" s="432" t="str">
        <f>_xlfn.LET(_xlpm.x,O83,IF(OR(LEN(_xlpm.x)&lt;1,_xlpm.x=0),"",CONVERT(_xlpm.x,BH7,"kg")))</f>
        <v/>
      </c>
      <c r="BP83" s="432" t="str">
        <f>_xlfn.LET(_xlpm.x,P83,IF(OR(LEN(_xlpm.x)&lt;1,_xlpm.x=0),"",CONVERT(_xlpm.x,BH7,"kg")))</f>
        <v/>
      </c>
      <c r="BQ83" s="432" t="str">
        <f>_xlfn.LET(_xlpm.x,Q83,IF(OR(LEN(_xlpm.x)&lt;1,_xlpm.x=0),"",CONVERT(_xlpm.x,BH7,"kg")))</f>
        <v/>
      </c>
      <c r="BR83" s="432" t="str">
        <f>_xlfn.LET(_xlpm.x,R83,IF(OR(LEN(_xlpm.x)&lt;1,_xlpm.x=0),"",CONVERT(_xlpm.x,BH7,"kg")))</f>
        <v/>
      </c>
      <c r="BS83" s="432" t="str">
        <f>_xlfn.LET(_xlpm.x,S83,IF(OR(LEN(_xlpm.x)&lt;1,_xlpm.x=0),"",CONVERT(_xlpm.x,BH7,"kg")))</f>
        <v/>
      </c>
      <c r="BT83" s="433">
        <f t="shared" si="77"/>
        <v>0</v>
      </c>
      <c r="BU83" s="433" t="str">
        <f>_xlfn.LET(_xlpm.x,BF83,IF(LEN(_xlpm.x)&lt;1,"",IF(ISNUMBER(MATCH(_xlpm.x,ls_Mat_def,0)),'Project Inputs'!$BF$14,99)))</f>
        <v/>
      </c>
      <c r="BV83" s="432" t="str" cm="1">
        <f t="array" ref="BV83">IFERROR(INDEX(tblGWP[],MATCH(1,(tblGWP[Dataset ID]=BU83)*(tblGWP[Material Subcategory]=BF83),0),MATCH(BG83,ls_WHM,0)+5),"confirm")</f>
        <v>confirm</v>
      </c>
      <c r="BW83" s="434" t="str">
        <f t="shared" si="59"/>
        <v>No data</v>
      </c>
      <c r="BX83" s="434" t="str">
        <f t="shared" si="60"/>
        <v>No data</v>
      </c>
      <c r="BY83" s="434" t="str">
        <f t="shared" si="86"/>
        <v>No data</v>
      </c>
      <c r="BZ83" s="434" t="str">
        <f t="shared" si="62"/>
        <v>No data</v>
      </c>
      <c r="CA83" s="434" t="str">
        <f t="shared" si="63"/>
        <v>No data</v>
      </c>
      <c r="CB83" s="434" t="str">
        <f t="shared" si="64"/>
        <v>No data</v>
      </c>
      <c r="CC83" s="434" t="str">
        <f t="shared" si="65"/>
        <v>No data</v>
      </c>
      <c r="CD83" s="434" t="str">
        <f t="shared" si="66"/>
        <v>No data</v>
      </c>
      <c r="CE83" s="434" t="str">
        <f t="shared" si="67"/>
        <v>No data</v>
      </c>
      <c r="CF83" s="434" t="str">
        <f t="shared" si="68"/>
        <v>No data</v>
      </c>
      <c r="CG83" s="434" t="str">
        <f t="shared" si="69"/>
        <v>No data</v>
      </c>
      <c r="CH83" s="434" t="str">
        <f t="shared" si="70"/>
        <v>No data</v>
      </c>
      <c r="CI83" s="435">
        <f t="shared" si="78"/>
        <v>0</v>
      </c>
      <c r="CK83" s="3" t="str">
        <f>_xlfn.LET(_xlpm.x,INDEX(tbl_Mat_def[],MATCH(BF83,ls_Mat_def,0),2),IFERROR(IF(_xlpm.x=0,"No","Yes"),"No"))</f>
        <v>No</v>
      </c>
      <c r="CM83" s="60" t="str">
        <f t="shared" si="79"/>
        <v/>
      </c>
      <c r="CN83" s="60" t="s">
        <v>235</v>
      </c>
      <c r="CO83" s="566" t="str">
        <f>_xlfn.XLOOKUP(CM83,tblGWP[Material Subcategory],tblGWP[Landfill],0)</f>
        <v/>
      </c>
      <c r="CP83" s="436" t="str">
        <f t="shared" si="80"/>
        <v/>
      </c>
      <c r="DD83" s="388">
        <f t="shared" si="87"/>
        <v>0</v>
      </c>
      <c r="DE83" s="22">
        <f t="shared" si="81"/>
        <v>19</v>
      </c>
      <c r="DF83" s="387">
        <f t="shared" si="88"/>
        <v>0</v>
      </c>
      <c r="DG83" s="387">
        <f t="shared" si="82"/>
        <v>0</v>
      </c>
      <c r="DH83" s="22">
        <f t="shared" ca="1" si="83"/>
        <v>0</v>
      </c>
      <c r="DI83">
        <f t="shared" ca="1" si="84"/>
        <v>0</v>
      </c>
    </row>
    <row r="84" spans="1:113" ht="30" hidden="1" customHeight="1" outlineLevel="1">
      <c r="A84" s="22" t="str">
        <f t="shared" si="85"/>
        <v/>
      </c>
      <c r="B84" s="272"/>
      <c r="C84" s="491"/>
      <c r="D84" s="272"/>
      <c r="E84" s="400"/>
      <c r="F84" s="400"/>
      <c r="G84" s="401"/>
      <c r="H84" s="376"/>
      <c r="I84" s="376"/>
      <c r="J84" s="376"/>
      <c r="K84" s="376"/>
      <c r="L84" s="376"/>
      <c r="M84" s="376"/>
      <c r="N84" s="376"/>
      <c r="O84" s="376"/>
      <c r="P84" s="376"/>
      <c r="Q84" s="376"/>
      <c r="R84" s="376"/>
      <c r="S84" s="376"/>
      <c r="T84" s="431">
        <f t="shared" si="71"/>
        <v>0</v>
      </c>
      <c r="U84" s="272"/>
      <c r="BC84" s="432" t="str">
        <f t="shared" si="72"/>
        <v/>
      </c>
      <c r="BD84" s="432" t="str">
        <f t="shared" si="73"/>
        <v/>
      </c>
      <c r="BE84" s="432" t="str">
        <f t="shared" si="74"/>
        <v/>
      </c>
      <c r="BF84" s="432" t="str">
        <f t="shared" si="75"/>
        <v/>
      </c>
      <c r="BG84" s="432" t="str">
        <f t="shared" si="76"/>
        <v/>
      </c>
      <c r="BH84" s="432" t="str">
        <f>_xlfn.LET(_xlpm.x,H84,IF(OR(LEN(_xlpm.x)&lt;1,_xlpm.x=0),"",CONVERT(_xlpm.x,BH7,"kg")))</f>
        <v/>
      </c>
      <c r="BI84" s="432" t="str">
        <f>_xlfn.LET(_xlpm.x,I84,IF(OR(LEN(_xlpm.x)&lt;1,_xlpm.x=0),"",CONVERT(_xlpm.x,BH7,"kg")))</f>
        <v/>
      </c>
      <c r="BJ84" s="432" t="str">
        <f>_xlfn.LET(_xlpm.x,J84,IF(OR(LEN(_xlpm.x)&lt;1,_xlpm.x=0),"",CONVERT(_xlpm.x,BH7,"kg")))</f>
        <v/>
      </c>
      <c r="BK84" s="432" t="str">
        <f>_xlfn.LET(_xlpm.x,K84,IF(OR(LEN(_xlpm.x)&lt;1,_xlpm.x=0),"",CONVERT(_xlpm.x,BH7,"kg")))</f>
        <v/>
      </c>
      <c r="BL84" s="432" t="str">
        <f>_xlfn.LET(_xlpm.x,L84,IF(OR(LEN(_xlpm.x)&lt;1,_xlpm.x=0),"",CONVERT(_xlpm.x,BH7,"kg")))</f>
        <v/>
      </c>
      <c r="BM84" s="432" t="str">
        <f>_xlfn.LET(_xlpm.x,M84,IF(OR(LEN(_xlpm.x)&lt;1,_xlpm.x=0),"",CONVERT(_xlpm.x,BH7,"kg")))</f>
        <v/>
      </c>
      <c r="BN84" s="432" t="str">
        <f>_xlfn.LET(_xlpm.x,N84,IF(OR(LEN(_xlpm.x)&lt;1,_xlpm.x=0),"",CONVERT(_xlpm.x,BH7,"kg")))</f>
        <v/>
      </c>
      <c r="BO84" s="432" t="str">
        <f>_xlfn.LET(_xlpm.x,O84,IF(OR(LEN(_xlpm.x)&lt;1,_xlpm.x=0),"",CONVERT(_xlpm.x,BH7,"kg")))</f>
        <v/>
      </c>
      <c r="BP84" s="432" t="str">
        <f>_xlfn.LET(_xlpm.x,P84,IF(OR(LEN(_xlpm.x)&lt;1,_xlpm.x=0),"",CONVERT(_xlpm.x,BH7,"kg")))</f>
        <v/>
      </c>
      <c r="BQ84" s="432" t="str">
        <f>_xlfn.LET(_xlpm.x,Q84,IF(OR(LEN(_xlpm.x)&lt;1,_xlpm.x=0),"",CONVERT(_xlpm.x,BH7,"kg")))</f>
        <v/>
      </c>
      <c r="BR84" s="432" t="str">
        <f>_xlfn.LET(_xlpm.x,R84,IF(OR(LEN(_xlpm.x)&lt;1,_xlpm.x=0),"",CONVERT(_xlpm.x,BH7,"kg")))</f>
        <v/>
      </c>
      <c r="BS84" s="432" t="str">
        <f>_xlfn.LET(_xlpm.x,S84,IF(OR(LEN(_xlpm.x)&lt;1,_xlpm.x=0),"",CONVERT(_xlpm.x,BH7,"kg")))</f>
        <v/>
      </c>
      <c r="BT84" s="433">
        <f t="shared" si="77"/>
        <v>0</v>
      </c>
      <c r="BU84" s="433" t="str">
        <f>_xlfn.LET(_xlpm.x,BF84,IF(LEN(_xlpm.x)&lt;1,"",IF(ISNUMBER(MATCH(_xlpm.x,ls_Mat_def,0)),'Project Inputs'!$BF$14,99)))</f>
        <v/>
      </c>
      <c r="BV84" s="432" t="str" cm="1">
        <f t="array" ref="BV84">IFERROR(INDEX(tblGWP[],MATCH(1,(tblGWP[Dataset ID]=BU84)*(tblGWP[Material Subcategory]=BF84),0),MATCH(BG84,ls_WHM,0)+5),"confirm")</f>
        <v>confirm</v>
      </c>
      <c r="BW84" s="434" t="str">
        <f t="shared" si="59"/>
        <v>No data</v>
      </c>
      <c r="BX84" s="434" t="str">
        <f t="shared" si="60"/>
        <v>No data</v>
      </c>
      <c r="BY84" s="434" t="str">
        <f t="shared" si="86"/>
        <v>No data</v>
      </c>
      <c r="BZ84" s="434" t="str">
        <f t="shared" si="62"/>
        <v>No data</v>
      </c>
      <c r="CA84" s="434" t="str">
        <f t="shared" si="63"/>
        <v>No data</v>
      </c>
      <c r="CB84" s="434" t="str">
        <f t="shared" si="64"/>
        <v>No data</v>
      </c>
      <c r="CC84" s="434" t="str">
        <f t="shared" si="65"/>
        <v>No data</v>
      </c>
      <c r="CD84" s="434" t="str">
        <f t="shared" si="66"/>
        <v>No data</v>
      </c>
      <c r="CE84" s="434" t="str">
        <f t="shared" si="67"/>
        <v>No data</v>
      </c>
      <c r="CF84" s="434" t="str">
        <f t="shared" si="68"/>
        <v>No data</v>
      </c>
      <c r="CG84" s="434" t="str">
        <f t="shared" si="69"/>
        <v>No data</v>
      </c>
      <c r="CH84" s="434" t="str">
        <f t="shared" si="70"/>
        <v>No data</v>
      </c>
      <c r="CI84" s="435">
        <f t="shared" si="78"/>
        <v>0</v>
      </c>
      <c r="CK84" s="3" t="str">
        <f>_xlfn.LET(_xlpm.x,INDEX(tbl_Mat_def[],MATCH(BF84,ls_Mat_def,0),2),IFERROR(IF(_xlpm.x=0,"No","Yes"),"No"))</f>
        <v>No</v>
      </c>
      <c r="CM84" s="60" t="str">
        <f t="shared" si="79"/>
        <v/>
      </c>
      <c r="CN84" s="60" t="s">
        <v>235</v>
      </c>
      <c r="CO84" s="566" t="str">
        <f>_xlfn.XLOOKUP(CM84,tblGWP[Material Subcategory],tblGWP[Landfill],0)</f>
        <v/>
      </c>
      <c r="CP84" s="436" t="str">
        <f t="shared" si="80"/>
        <v/>
      </c>
      <c r="DD84" s="388">
        <f t="shared" si="87"/>
        <v>0</v>
      </c>
      <c r="DE84" s="22">
        <f t="shared" si="81"/>
        <v>19</v>
      </c>
      <c r="DF84" s="387">
        <f t="shared" si="88"/>
        <v>0</v>
      </c>
      <c r="DG84" s="387">
        <f t="shared" si="82"/>
        <v>0</v>
      </c>
      <c r="DH84" s="22">
        <f t="shared" ca="1" si="83"/>
        <v>0</v>
      </c>
      <c r="DI84">
        <f t="shared" ca="1" si="84"/>
        <v>0</v>
      </c>
    </row>
    <row r="85" spans="1:113" ht="30" hidden="1" customHeight="1" outlineLevel="1">
      <c r="A85" s="22" t="str">
        <f t="shared" si="85"/>
        <v/>
      </c>
      <c r="B85" s="272"/>
      <c r="C85" s="491"/>
      <c r="D85" s="272"/>
      <c r="E85" s="400"/>
      <c r="F85" s="400"/>
      <c r="G85" s="401"/>
      <c r="H85" s="376"/>
      <c r="I85" s="376"/>
      <c r="J85" s="376"/>
      <c r="K85" s="376"/>
      <c r="L85" s="376"/>
      <c r="M85" s="376"/>
      <c r="N85" s="376"/>
      <c r="O85" s="376"/>
      <c r="P85" s="376"/>
      <c r="Q85" s="376"/>
      <c r="R85" s="376"/>
      <c r="S85" s="376"/>
      <c r="T85" s="431">
        <f t="shared" si="71"/>
        <v>0</v>
      </c>
      <c r="U85" s="272"/>
      <c r="BC85" s="432" t="str">
        <f t="shared" si="72"/>
        <v/>
      </c>
      <c r="BD85" s="432" t="str">
        <f t="shared" si="73"/>
        <v/>
      </c>
      <c r="BE85" s="432" t="str">
        <f t="shared" si="74"/>
        <v/>
      </c>
      <c r="BF85" s="432" t="str">
        <f t="shared" si="75"/>
        <v/>
      </c>
      <c r="BG85" s="432" t="str">
        <f t="shared" si="76"/>
        <v/>
      </c>
      <c r="BH85" s="432" t="str">
        <f>_xlfn.LET(_xlpm.x,H85,IF(OR(LEN(_xlpm.x)&lt;1,_xlpm.x=0),"",CONVERT(_xlpm.x,BH7,"kg")))</f>
        <v/>
      </c>
      <c r="BI85" s="432" t="str">
        <f>_xlfn.LET(_xlpm.x,I85,IF(OR(LEN(_xlpm.x)&lt;1,_xlpm.x=0),"",CONVERT(_xlpm.x,BH7,"kg")))</f>
        <v/>
      </c>
      <c r="BJ85" s="432" t="str">
        <f>_xlfn.LET(_xlpm.x,J85,IF(OR(LEN(_xlpm.x)&lt;1,_xlpm.x=0),"",CONVERT(_xlpm.x,BH7,"kg")))</f>
        <v/>
      </c>
      <c r="BK85" s="432" t="str">
        <f>_xlfn.LET(_xlpm.x,K85,IF(OR(LEN(_xlpm.x)&lt;1,_xlpm.x=0),"",CONVERT(_xlpm.x,BH7,"kg")))</f>
        <v/>
      </c>
      <c r="BL85" s="432" t="str">
        <f>_xlfn.LET(_xlpm.x,L85,IF(OR(LEN(_xlpm.x)&lt;1,_xlpm.x=0),"",CONVERT(_xlpm.x,BH7,"kg")))</f>
        <v/>
      </c>
      <c r="BM85" s="432" t="str">
        <f>_xlfn.LET(_xlpm.x,M85,IF(OR(LEN(_xlpm.x)&lt;1,_xlpm.x=0),"",CONVERT(_xlpm.x,BH7,"kg")))</f>
        <v/>
      </c>
      <c r="BN85" s="432" t="str">
        <f>_xlfn.LET(_xlpm.x,N85,IF(OR(LEN(_xlpm.x)&lt;1,_xlpm.x=0),"",CONVERT(_xlpm.x,BH7,"kg")))</f>
        <v/>
      </c>
      <c r="BO85" s="432" t="str">
        <f>_xlfn.LET(_xlpm.x,O85,IF(OR(LEN(_xlpm.x)&lt;1,_xlpm.x=0),"",CONVERT(_xlpm.x,BH7,"kg")))</f>
        <v/>
      </c>
      <c r="BP85" s="432" t="str">
        <f>_xlfn.LET(_xlpm.x,P85,IF(OR(LEN(_xlpm.x)&lt;1,_xlpm.x=0),"",CONVERT(_xlpm.x,BH7,"kg")))</f>
        <v/>
      </c>
      <c r="BQ85" s="432" t="str">
        <f>_xlfn.LET(_xlpm.x,Q85,IF(OR(LEN(_xlpm.x)&lt;1,_xlpm.x=0),"",CONVERT(_xlpm.x,BH7,"kg")))</f>
        <v/>
      </c>
      <c r="BR85" s="432" t="str">
        <f>_xlfn.LET(_xlpm.x,R85,IF(OR(LEN(_xlpm.x)&lt;1,_xlpm.x=0),"",CONVERT(_xlpm.x,BH7,"kg")))</f>
        <v/>
      </c>
      <c r="BS85" s="432" t="str">
        <f>_xlfn.LET(_xlpm.x,S85,IF(OR(LEN(_xlpm.x)&lt;1,_xlpm.x=0),"",CONVERT(_xlpm.x,BH7,"kg")))</f>
        <v/>
      </c>
      <c r="BT85" s="433">
        <f t="shared" si="77"/>
        <v>0</v>
      </c>
      <c r="BU85" s="433" t="str">
        <f>_xlfn.LET(_xlpm.x,BF85,IF(LEN(_xlpm.x)&lt;1,"",IF(ISNUMBER(MATCH(_xlpm.x,ls_Mat_def,0)),'Project Inputs'!$BF$14,99)))</f>
        <v/>
      </c>
      <c r="BV85" s="432" t="str" cm="1">
        <f t="array" ref="BV85">IFERROR(INDEX(tblGWP[],MATCH(1,(tblGWP[Dataset ID]=BU85)*(tblGWP[Material Subcategory]=BF85),0),MATCH(BG85,ls_WHM,0)+5),"confirm")</f>
        <v>confirm</v>
      </c>
      <c r="BW85" s="434" t="str">
        <f t="shared" si="59"/>
        <v>No data</v>
      </c>
      <c r="BX85" s="434" t="str">
        <f t="shared" si="60"/>
        <v>No data</v>
      </c>
      <c r="BY85" s="434" t="str">
        <f t="shared" si="86"/>
        <v>No data</v>
      </c>
      <c r="BZ85" s="434" t="str">
        <f t="shared" si="62"/>
        <v>No data</v>
      </c>
      <c r="CA85" s="434" t="str">
        <f t="shared" si="63"/>
        <v>No data</v>
      </c>
      <c r="CB85" s="434" t="str">
        <f t="shared" si="64"/>
        <v>No data</v>
      </c>
      <c r="CC85" s="434" t="str">
        <f t="shared" si="65"/>
        <v>No data</v>
      </c>
      <c r="CD85" s="434" t="str">
        <f t="shared" si="66"/>
        <v>No data</v>
      </c>
      <c r="CE85" s="434" t="str">
        <f t="shared" si="67"/>
        <v>No data</v>
      </c>
      <c r="CF85" s="434" t="str">
        <f t="shared" si="68"/>
        <v>No data</v>
      </c>
      <c r="CG85" s="434" t="str">
        <f t="shared" si="69"/>
        <v>No data</v>
      </c>
      <c r="CH85" s="434" t="str">
        <f t="shared" si="70"/>
        <v>No data</v>
      </c>
      <c r="CI85" s="435">
        <f t="shared" si="78"/>
        <v>0</v>
      </c>
      <c r="CK85" s="3" t="str">
        <f>_xlfn.LET(_xlpm.x,INDEX(tbl_Mat_def[],MATCH(BF85,ls_Mat_def,0),2),IFERROR(IF(_xlpm.x=0,"No","Yes"),"No"))</f>
        <v>No</v>
      </c>
      <c r="CM85" s="60" t="str">
        <f t="shared" si="79"/>
        <v/>
      </c>
      <c r="CN85" s="60" t="s">
        <v>235</v>
      </c>
      <c r="CO85" s="566" t="str">
        <f>_xlfn.XLOOKUP(CM85,tblGWP[Material Subcategory],tblGWP[Landfill],0)</f>
        <v/>
      </c>
      <c r="CP85" s="436" t="str">
        <f t="shared" si="80"/>
        <v/>
      </c>
      <c r="DD85" s="388">
        <f t="shared" si="87"/>
        <v>0</v>
      </c>
      <c r="DE85" s="22">
        <f t="shared" si="81"/>
        <v>19</v>
      </c>
      <c r="DF85" s="387">
        <f t="shared" si="88"/>
        <v>0</v>
      </c>
      <c r="DG85" s="387">
        <f t="shared" si="82"/>
        <v>0</v>
      </c>
      <c r="DH85" s="22">
        <f t="shared" ca="1" si="83"/>
        <v>0</v>
      </c>
      <c r="DI85">
        <f t="shared" ca="1" si="84"/>
        <v>0</v>
      </c>
    </row>
    <row r="86" spans="1:113" ht="30" hidden="1" customHeight="1" outlineLevel="1">
      <c r="A86" s="22" t="str">
        <f t="shared" si="85"/>
        <v/>
      </c>
      <c r="B86" s="272"/>
      <c r="C86" s="491"/>
      <c r="D86" s="272"/>
      <c r="E86" s="400"/>
      <c r="F86" s="400"/>
      <c r="G86" s="401"/>
      <c r="H86" s="376"/>
      <c r="I86" s="376"/>
      <c r="J86" s="376"/>
      <c r="K86" s="376"/>
      <c r="L86" s="376"/>
      <c r="M86" s="376"/>
      <c r="N86" s="376"/>
      <c r="O86" s="376"/>
      <c r="P86" s="376"/>
      <c r="Q86" s="376"/>
      <c r="R86" s="376"/>
      <c r="S86" s="376"/>
      <c r="T86" s="431">
        <f t="shared" si="71"/>
        <v>0</v>
      </c>
      <c r="U86" s="272"/>
      <c r="BC86" s="432" t="str">
        <f t="shared" si="72"/>
        <v/>
      </c>
      <c r="BD86" s="432" t="str">
        <f t="shared" si="73"/>
        <v/>
      </c>
      <c r="BE86" s="432" t="str">
        <f t="shared" si="74"/>
        <v/>
      </c>
      <c r="BF86" s="432" t="str">
        <f t="shared" si="75"/>
        <v/>
      </c>
      <c r="BG86" s="432" t="str">
        <f t="shared" si="76"/>
        <v/>
      </c>
      <c r="BH86" s="432" t="str">
        <f>_xlfn.LET(_xlpm.x,H86,IF(OR(LEN(_xlpm.x)&lt;1,_xlpm.x=0),"",CONVERT(_xlpm.x,BH7,"kg")))</f>
        <v/>
      </c>
      <c r="BI86" s="432" t="str">
        <f>_xlfn.LET(_xlpm.x,I86,IF(OR(LEN(_xlpm.x)&lt;1,_xlpm.x=0),"",CONVERT(_xlpm.x,BH7,"kg")))</f>
        <v/>
      </c>
      <c r="BJ86" s="432" t="str">
        <f>_xlfn.LET(_xlpm.x,J86,IF(OR(LEN(_xlpm.x)&lt;1,_xlpm.x=0),"",CONVERT(_xlpm.x,BH7,"kg")))</f>
        <v/>
      </c>
      <c r="BK86" s="432" t="str">
        <f>_xlfn.LET(_xlpm.x,K86,IF(OR(LEN(_xlpm.x)&lt;1,_xlpm.x=0),"",CONVERT(_xlpm.x,BH7,"kg")))</f>
        <v/>
      </c>
      <c r="BL86" s="432" t="str">
        <f>_xlfn.LET(_xlpm.x,L86,IF(OR(LEN(_xlpm.x)&lt;1,_xlpm.x=0),"",CONVERT(_xlpm.x,BH7,"kg")))</f>
        <v/>
      </c>
      <c r="BM86" s="432" t="str">
        <f>_xlfn.LET(_xlpm.x,M86,IF(OR(LEN(_xlpm.x)&lt;1,_xlpm.x=0),"",CONVERT(_xlpm.x,BH7,"kg")))</f>
        <v/>
      </c>
      <c r="BN86" s="432" t="str">
        <f>_xlfn.LET(_xlpm.x,N86,IF(OR(LEN(_xlpm.x)&lt;1,_xlpm.x=0),"",CONVERT(_xlpm.x,BH7,"kg")))</f>
        <v/>
      </c>
      <c r="BO86" s="432" t="str">
        <f>_xlfn.LET(_xlpm.x,O86,IF(OR(LEN(_xlpm.x)&lt;1,_xlpm.x=0),"",CONVERT(_xlpm.x,BH7,"kg")))</f>
        <v/>
      </c>
      <c r="BP86" s="432" t="str">
        <f>_xlfn.LET(_xlpm.x,P86,IF(OR(LEN(_xlpm.x)&lt;1,_xlpm.x=0),"",CONVERT(_xlpm.x,BH7,"kg")))</f>
        <v/>
      </c>
      <c r="BQ86" s="432" t="str">
        <f>_xlfn.LET(_xlpm.x,Q86,IF(OR(LEN(_xlpm.x)&lt;1,_xlpm.x=0),"",CONVERT(_xlpm.x,BH7,"kg")))</f>
        <v/>
      </c>
      <c r="BR86" s="432" t="str">
        <f>_xlfn.LET(_xlpm.x,R86,IF(OR(LEN(_xlpm.x)&lt;1,_xlpm.x=0),"",CONVERT(_xlpm.x,BH7,"kg")))</f>
        <v/>
      </c>
      <c r="BS86" s="432" t="str">
        <f>_xlfn.LET(_xlpm.x,S86,IF(OR(LEN(_xlpm.x)&lt;1,_xlpm.x=0),"",CONVERT(_xlpm.x,BH7,"kg")))</f>
        <v/>
      </c>
      <c r="BT86" s="433">
        <f t="shared" si="77"/>
        <v>0</v>
      </c>
      <c r="BU86" s="433" t="str">
        <f>_xlfn.LET(_xlpm.x,BF86,IF(LEN(_xlpm.x)&lt;1,"",IF(ISNUMBER(MATCH(_xlpm.x,ls_Mat_def,0)),'Project Inputs'!$BF$14,99)))</f>
        <v/>
      </c>
      <c r="BV86" s="432" t="str" cm="1">
        <f t="array" ref="BV86">IFERROR(INDEX(tblGWP[],MATCH(1,(tblGWP[Dataset ID]=BU86)*(tblGWP[Material Subcategory]=BF86),0),MATCH(BG86,ls_WHM,0)+5),"confirm")</f>
        <v>confirm</v>
      </c>
      <c r="BW86" s="434" t="str">
        <f t="shared" si="59"/>
        <v>No data</v>
      </c>
      <c r="BX86" s="434" t="str">
        <f t="shared" si="60"/>
        <v>No data</v>
      </c>
      <c r="BY86" s="434" t="str">
        <f t="shared" si="86"/>
        <v>No data</v>
      </c>
      <c r="BZ86" s="434" t="str">
        <f t="shared" si="62"/>
        <v>No data</v>
      </c>
      <c r="CA86" s="434" t="str">
        <f t="shared" si="63"/>
        <v>No data</v>
      </c>
      <c r="CB86" s="434" t="str">
        <f t="shared" si="64"/>
        <v>No data</v>
      </c>
      <c r="CC86" s="434" t="str">
        <f t="shared" si="65"/>
        <v>No data</v>
      </c>
      <c r="CD86" s="434" t="str">
        <f t="shared" si="66"/>
        <v>No data</v>
      </c>
      <c r="CE86" s="434" t="str">
        <f t="shared" si="67"/>
        <v>No data</v>
      </c>
      <c r="CF86" s="434" t="str">
        <f t="shared" si="68"/>
        <v>No data</v>
      </c>
      <c r="CG86" s="434" t="str">
        <f t="shared" si="69"/>
        <v>No data</v>
      </c>
      <c r="CH86" s="434" t="str">
        <f t="shared" si="70"/>
        <v>No data</v>
      </c>
      <c r="CI86" s="435">
        <f t="shared" si="78"/>
        <v>0</v>
      </c>
      <c r="CK86" s="3" t="str">
        <f>_xlfn.LET(_xlpm.x,INDEX(tbl_Mat_def[],MATCH(BF86,ls_Mat_def,0),2),IFERROR(IF(_xlpm.x=0,"No","Yes"),"No"))</f>
        <v>No</v>
      </c>
      <c r="CM86" s="60" t="str">
        <f t="shared" si="79"/>
        <v/>
      </c>
      <c r="CN86" s="60" t="s">
        <v>235</v>
      </c>
      <c r="CO86" s="566" t="str">
        <f>_xlfn.XLOOKUP(CM86,tblGWP[Material Subcategory],tblGWP[Landfill],0)</f>
        <v/>
      </c>
      <c r="CP86" s="436" t="str">
        <f t="shared" si="80"/>
        <v/>
      </c>
      <c r="DD86" s="388">
        <f t="shared" si="87"/>
        <v>0</v>
      </c>
      <c r="DE86" s="22">
        <f t="shared" si="81"/>
        <v>19</v>
      </c>
      <c r="DF86" s="387">
        <f t="shared" si="88"/>
        <v>0</v>
      </c>
      <c r="DG86" s="387">
        <f t="shared" si="82"/>
        <v>0</v>
      </c>
      <c r="DH86" s="22">
        <f t="shared" ca="1" si="83"/>
        <v>0</v>
      </c>
      <c r="DI86">
        <f t="shared" ca="1" si="84"/>
        <v>0</v>
      </c>
    </row>
    <row r="87" spans="1:113" ht="30" hidden="1" customHeight="1" outlineLevel="1">
      <c r="A87" s="22" t="str">
        <f t="shared" si="85"/>
        <v/>
      </c>
      <c r="B87" s="272"/>
      <c r="C87" s="491"/>
      <c r="D87" s="272"/>
      <c r="E87" s="400"/>
      <c r="F87" s="400"/>
      <c r="G87" s="401"/>
      <c r="H87" s="376"/>
      <c r="I87" s="376"/>
      <c r="J87" s="376"/>
      <c r="K87" s="376"/>
      <c r="L87" s="376"/>
      <c r="M87" s="376"/>
      <c r="N87" s="376"/>
      <c r="O87" s="376"/>
      <c r="P87" s="376"/>
      <c r="Q87" s="376"/>
      <c r="R87" s="376"/>
      <c r="S87" s="376"/>
      <c r="T87" s="431">
        <f t="shared" si="71"/>
        <v>0</v>
      </c>
      <c r="U87" s="272"/>
      <c r="BC87" s="432" t="str">
        <f t="shared" si="72"/>
        <v/>
      </c>
      <c r="BD87" s="432" t="str">
        <f t="shared" si="73"/>
        <v/>
      </c>
      <c r="BE87" s="432" t="str">
        <f t="shared" si="74"/>
        <v/>
      </c>
      <c r="BF87" s="432" t="str">
        <f t="shared" si="75"/>
        <v/>
      </c>
      <c r="BG87" s="432" t="str">
        <f t="shared" si="76"/>
        <v/>
      </c>
      <c r="BH87" s="432" t="str">
        <f>_xlfn.LET(_xlpm.x,H87,IF(OR(LEN(_xlpm.x)&lt;1,_xlpm.x=0),"",CONVERT(_xlpm.x,BH7,"kg")))</f>
        <v/>
      </c>
      <c r="BI87" s="432" t="str">
        <f>_xlfn.LET(_xlpm.x,I87,IF(OR(LEN(_xlpm.x)&lt;1,_xlpm.x=0),"",CONVERT(_xlpm.x,BH7,"kg")))</f>
        <v/>
      </c>
      <c r="BJ87" s="432" t="str">
        <f>_xlfn.LET(_xlpm.x,J87,IF(OR(LEN(_xlpm.x)&lt;1,_xlpm.x=0),"",CONVERT(_xlpm.x,BH7,"kg")))</f>
        <v/>
      </c>
      <c r="BK87" s="432" t="str">
        <f>_xlfn.LET(_xlpm.x,K87,IF(OR(LEN(_xlpm.x)&lt;1,_xlpm.x=0),"",CONVERT(_xlpm.x,BH7,"kg")))</f>
        <v/>
      </c>
      <c r="BL87" s="432" t="str">
        <f>_xlfn.LET(_xlpm.x,L87,IF(OR(LEN(_xlpm.x)&lt;1,_xlpm.x=0),"",CONVERT(_xlpm.x,BH7,"kg")))</f>
        <v/>
      </c>
      <c r="BM87" s="432" t="str">
        <f>_xlfn.LET(_xlpm.x,M87,IF(OR(LEN(_xlpm.x)&lt;1,_xlpm.x=0),"",CONVERT(_xlpm.x,BH7,"kg")))</f>
        <v/>
      </c>
      <c r="BN87" s="432" t="str">
        <f>_xlfn.LET(_xlpm.x,N87,IF(OR(LEN(_xlpm.x)&lt;1,_xlpm.x=0),"",CONVERT(_xlpm.x,BH7,"kg")))</f>
        <v/>
      </c>
      <c r="BO87" s="432" t="str">
        <f>_xlfn.LET(_xlpm.x,O87,IF(OR(LEN(_xlpm.x)&lt;1,_xlpm.x=0),"",CONVERT(_xlpm.x,BH7,"kg")))</f>
        <v/>
      </c>
      <c r="BP87" s="432" t="str">
        <f>_xlfn.LET(_xlpm.x,P87,IF(OR(LEN(_xlpm.x)&lt;1,_xlpm.x=0),"",CONVERT(_xlpm.x,BH7,"kg")))</f>
        <v/>
      </c>
      <c r="BQ87" s="432" t="str">
        <f>_xlfn.LET(_xlpm.x,Q87,IF(OR(LEN(_xlpm.x)&lt;1,_xlpm.x=0),"",CONVERT(_xlpm.x,BH7,"kg")))</f>
        <v/>
      </c>
      <c r="BR87" s="432" t="str">
        <f>_xlfn.LET(_xlpm.x,R87,IF(OR(LEN(_xlpm.x)&lt;1,_xlpm.x=0),"",CONVERT(_xlpm.x,BH7,"kg")))</f>
        <v/>
      </c>
      <c r="BS87" s="432" t="str">
        <f>_xlfn.LET(_xlpm.x,S87,IF(OR(LEN(_xlpm.x)&lt;1,_xlpm.x=0),"",CONVERT(_xlpm.x,BH7,"kg")))</f>
        <v/>
      </c>
      <c r="BT87" s="433">
        <f t="shared" si="77"/>
        <v>0</v>
      </c>
      <c r="BU87" s="433" t="str">
        <f>_xlfn.LET(_xlpm.x,BF87,IF(LEN(_xlpm.x)&lt;1,"",IF(ISNUMBER(MATCH(_xlpm.x,ls_Mat_def,0)),'Project Inputs'!$BF$14,99)))</f>
        <v/>
      </c>
      <c r="BV87" s="432" t="str" cm="1">
        <f t="array" ref="BV87">IFERROR(INDEX(tblGWP[],MATCH(1,(tblGWP[Dataset ID]=BU87)*(tblGWP[Material Subcategory]=BF87),0),MATCH(BG87,ls_WHM,0)+5),"confirm")</f>
        <v>confirm</v>
      </c>
      <c r="BW87" s="434" t="str">
        <f t="shared" si="59"/>
        <v>No data</v>
      </c>
      <c r="BX87" s="434" t="str">
        <f t="shared" si="60"/>
        <v>No data</v>
      </c>
      <c r="BY87" s="434" t="str">
        <f t="shared" si="86"/>
        <v>No data</v>
      </c>
      <c r="BZ87" s="434" t="str">
        <f t="shared" si="62"/>
        <v>No data</v>
      </c>
      <c r="CA87" s="434" t="str">
        <f t="shared" si="63"/>
        <v>No data</v>
      </c>
      <c r="CB87" s="434" t="str">
        <f t="shared" si="64"/>
        <v>No data</v>
      </c>
      <c r="CC87" s="434" t="str">
        <f t="shared" si="65"/>
        <v>No data</v>
      </c>
      <c r="CD87" s="434" t="str">
        <f t="shared" si="66"/>
        <v>No data</v>
      </c>
      <c r="CE87" s="434" t="str">
        <f t="shared" si="67"/>
        <v>No data</v>
      </c>
      <c r="CF87" s="434" t="str">
        <f t="shared" si="68"/>
        <v>No data</v>
      </c>
      <c r="CG87" s="434" t="str">
        <f t="shared" si="69"/>
        <v>No data</v>
      </c>
      <c r="CH87" s="434" t="str">
        <f t="shared" si="70"/>
        <v>No data</v>
      </c>
      <c r="CI87" s="435">
        <f t="shared" si="78"/>
        <v>0</v>
      </c>
      <c r="CK87" s="3" t="str">
        <f>_xlfn.LET(_xlpm.x,INDEX(tbl_Mat_def[],MATCH(BF87,ls_Mat_def,0),2),IFERROR(IF(_xlpm.x=0,"No","Yes"),"No"))</f>
        <v>No</v>
      </c>
      <c r="CM87" s="60" t="str">
        <f t="shared" si="79"/>
        <v/>
      </c>
      <c r="CN87" s="60" t="s">
        <v>235</v>
      </c>
      <c r="CO87" s="566" t="str">
        <f>_xlfn.XLOOKUP(CM87,tblGWP[Material Subcategory],tblGWP[Landfill],0)</f>
        <v/>
      </c>
      <c r="CP87" s="436" t="str">
        <f t="shared" si="80"/>
        <v/>
      </c>
      <c r="DD87" s="388">
        <f t="shared" si="87"/>
        <v>0</v>
      </c>
      <c r="DE87" s="22">
        <f t="shared" si="81"/>
        <v>19</v>
      </c>
      <c r="DF87" s="387">
        <f t="shared" si="88"/>
        <v>0</v>
      </c>
      <c r="DG87" s="387">
        <f t="shared" si="82"/>
        <v>0</v>
      </c>
      <c r="DH87" s="22">
        <f t="shared" ca="1" si="83"/>
        <v>0</v>
      </c>
      <c r="DI87">
        <f t="shared" ca="1" si="84"/>
        <v>0</v>
      </c>
    </row>
    <row r="88" spans="1:113" ht="30" hidden="1" customHeight="1" outlineLevel="1">
      <c r="A88" s="22" t="str">
        <f t="shared" si="85"/>
        <v/>
      </c>
      <c r="B88" s="272"/>
      <c r="C88" s="491"/>
      <c r="D88" s="272"/>
      <c r="E88" s="400"/>
      <c r="F88" s="400"/>
      <c r="G88" s="401"/>
      <c r="H88" s="376"/>
      <c r="I88" s="376"/>
      <c r="J88" s="376"/>
      <c r="K88" s="376"/>
      <c r="L88" s="376"/>
      <c r="M88" s="376"/>
      <c r="N88" s="376"/>
      <c r="O88" s="376"/>
      <c r="P88" s="376"/>
      <c r="Q88" s="376"/>
      <c r="R88" s="376"/>
      <c r="S88" s="376"/>
      <c r="T88" s="431">
        <f t="shared" si="71"/>
        <v>0</v>
      </c>
      <c r="U88" s="272"/>
      <c r="BC88" s="432" t="str">
        <f t="shared" si="72"/>
        <v/>
      </c>
      <c r="BD88" s="432" t="str">
        <f t="shared" si="73"/>
        <v/>
      </c>
      <c r="BE88" s="432" t="str">
        <f t="shared" si="74"/>
        <v/>
      </c>
      <c r="BF88" s="432" t="str">
        <f t="shared" si="75"/>
        <v/>
      </c>
      <c r="BG88" s="432" t="str">
        <f t="shared" si="76"/>
        <v/>
      </c>
      <c r="BH88" s="432" t="str">
        <f>_xlfn.LET(_xlpm.x,H88,IF(OR(LEN(_xlpm.x)&lt;1,_xlpm.x=0),"",CONVERT(_xlpm.x,BH7,"kg")))</f>
        <v/>
      </c>
      <c r="BI88" s="432" t="str">
        <f>_xlfn.LET(_xlpm.x,I88,IF(OR(LEN(_xlpm.x)&lt;1,_xlpm.x=0),"",CONVERT(_xlpm.x,BH7,"kg")))</f>
        <v/>
      </c>
      <c r="BJ88" s="432" t="str">
        <f>_xlfn.LET(_xlpm.x,J88,IF(OR(LEN(_xlpm.x)&lt;1,_xlpm.x=0),"",CONVERT(_xlpm.x,BH7,"kg")))</f>
        <v/>
      </c>
      <c r="BK88" s="432" t="str">
        <f>_xlfn.LET(_xlpm.x,K88,IF(OR(LEN(_xlpm.x)&lt;1,_xlpm.x=0),"",CONVERT(_xlpm.x,BH7,"kg")))</f>
        <v/>
      </c>
      <c r="BL88" s="432" t="str">
        <f>_xlfn.LET(_xlpm.x,L88,IF(OR(LEN(_xlpm.x)&lt;1,_xlpm.x=0),"",CONVERT(_xlpm.x,BH7,"kg")))</f>
        <v/>
      </c>
      <c r="BM88" s="432" t="str">
        <f>_xlfn.LET(_xlpm.x,M88,IF(OR(LEN(_xlpm.x)&lt;1,_xlpm.x=0),"",CONVERT(_xlpm.x,BH7,"kg")))</f>
        <v/>
      </c>
      <c r="BN88" s="432" t="str">
        <f>_xlfn.LET(_xlpm.x,N88,IF(OR(LEN(_xlpm.x)&lt;1,_xlpm.x=0),"",CONVERT(_xlpm.x,BH7,"kg")))</f>
        <v/>
      </c>
      <c r="BO88" s="432" t="str">
        <f>_xlfn.LET(_xlpm.x,O88,IF(OR(LEN(_xlpm.x)&lt;1,_xlpm.x=0),"",CONVERT(_xlpm.x,BH7,"kg")))</f>
        <v/>
      </c>
      <c r="BP88" s="432" t="str">
        <f>_xlfn.LET(_xlpm.x,P88,IF(OR(LEN(_xlpm.x)&lt;1,_xlpm.x=0),"",CONVERT(_xlpm.x,BH7,"kg")))</f>
        <v/>
      </c>
      <c r="BQ88" s="432" t="str">
        <f>_xlfn.LET(_xlpm.x,Q88,IF(OR(LEN(_xlpm.x)&lt;1,_xlpm.x=0),"",CONVERT(_xlpm.x,BH7,"kg")))</f>
        <v/>
      </c>
      <c r="BR88" s="432" t="str">
        <f>_xlfn.LET(_xlpm.x,R88,IF(OR(LEN(_xlpm.x)&lt;1,_xlpm.x=0),"",CONVERT(_xlpm.x,BH7,"kg")))</f>
        <v/>
      </c>
      <c r="BS88" s="432" t="str">
        <f>_xlfn.LET(_xlpm.x,S88,IF(OR(LEN(_xlpm.x)&lt;1,_xlpm.x=0),"",CONVERT(_xlpm.x,BH7,"kg")))</f>
        <v/>
      </c>
      <c r="BT88" s="433">
        <f t="shared" si="77"/>
        <v>0</v>
      </c>
      <c r="BU88" s="433" t="str">
        <f>_xlfn.LET(_xlpm.x,BF88,IF(LEN(_xlpm.x)&lt;1,"",IF(ISNUMBER(MATCH(_xlpm.x,ls_Mat_def,0)),'Project Inputs'!$BF$14,99)))</f>
        <v/>
      </c>
      <c r="BV88" s="432" t="str" cm="1">
        <f t="array" ref="BV88">IFERROR(INDEX(tblGWP[],MATCH(1,(tblGWP[Dataset ID]=BU88)*(tblGWP[Material Subcategory]=BF88),0),MATCH(BG88,ls_WHM,0)+5),"confirm")</f>
        <v>confirm</v>
      </c>
      <c r="BW88" s="434" t="str">
        <f t="shared" si="59"/>
        <v>No data</v>
      </c>
      <c r="BX88" s="434" t="str">
        <f t="shared" si="60"/>
        <v>No data</v>
      </c>
      <c r="BY88" s="434" t="str">
        <f t="shared" si="86"/>
        <v>No data</v>
      </c>
      <c r="BZ88" s="434" t="str">
        <f t="shared" si="62"/>
        <v>No data</v>
      </c>
      <c r="CA88" s="434" t="str">
        <f t="shared" si="63"/>
        <v>No data</v>
      </c>
      <c r="CB88" s="434" t="str">
        <f t="shared" si="64"/>
        <v>No data</v>
      </c>
      <c r="CC88" s="434" t="str">
        <f t="shared" si="65"/>
        <v>No data</v>
      </c>
      <c r="CD88" s="434" t="str">
        <f t="shared" si="66"/>
        <v>No data</v>
      </c>
      <c r="CE88" s="434" t="str">
        <f t="shared" si="67"/>
        <v>No data</v>
      </c>
      <c r="CF88" s="434" t="str">
        <f t="shared" si="68"/>
        <v>No data</v>
      </c>
      <c r="CG88" s="434" t="str">
        <f t="shared" si="69"/>
        <v>No data</v>
      </c>
      <c r="CH88" s="434" t="str">
        <f t="shared" si="70"/>
        <v>No data</v>
      </c>
      <c r="CI88" s="435">
        <f t="shared" si="78"/>
        <v>0</v>
      </c>
      <c r="CK88" s="3" t="str">
        <f>_xlfn.LET(_xlpm.x,INDEX(tbl_Mat_def[],MATCH(BF88,ls_Mat_def,0),2),IFERROR(IF(_xlpm.x=0,"No","Yes"),"No"))</f>
        <v>No</v>
      </c>
      <c r="CM88" s="60" t="str">
        <f t="shared" si="79"/>
        <v/>
      </c>
      <c r="CN88" s="60" t="s">
        <v>235</v>
      </c>
      <c r="CO88" s="566" t="str">
        <f>_xlfn.XLOOKUP(CM88,tblGWP[Material Subcategory],tblGWP[Landfill],0)</f>
        <v/>
      </c>
      <c r="CP88" s="436" t="str">
        <f t="shared" si="80"/>
        <v/>
      </c>
      <c r="DD88" s="388">
        <f t="shared" si="87"/>
        <v>0</v>
      </c>
      <c r="DE88" s="22">
        <f t="shared" si="81"/>
        <v>19</v>
      </c>
      <c r="DF88" s="387">
        <f t="shared" si="88"/>
        <v>0</v>
      </c>
      <c r="DG88" s="387">
        <f t="shared" si="82"/>
        <v>0</v>
      </c>
      <c r="DH88" s="22">
        <f t="shared" ca="1" si="83"/>
        <v>0</v>
      </c>
      <c r="DI88">
        <f t="shared" ca="1" si="84"/>
        <v>0</v>
      </c>
    </row>
    <row r="89" spans="1:113" ht="30" hidden="1" customHeight="1" outlineLevel="1">
      <c r="A89" s="22" t="str">
        <f t="shared" si="85"/>
        <v/>
      </c>
      <c r="B89" s="272"/>
      <c r="C89" s="491"/>
      <c r="D89" s="272"/>
      <c r="E89" s="400"/>
      <c r="F89" s="400"/>
      <c r="G89" s="401"/>
      <c r="H89" s="376"/>
      <c r="I89" s="376"/>
      <c r="J89" s="376"/>
      <c r="K89" s="376"/>
      <c r="L89" s="376"/>
      <c r="M89" s="376"/>
      <c r="N89" s="376"/>
      <c r="O89" s="376"/>
      <c r="P89" s="376"/>
      <c r="Q89" s="376"/>
      <c r="R89" s="376"/>
      <c r="S89" s="376"/>
      <c r="T89" s="431">
        <f t="shared" si="71"/>
        <v>0</v>
      </c>
      <c r="U89" s="272"/>
      <c r="BC89" s="432" t="str">
        <f t="shared" si="72"/>
        <v/>
      </c>
      <c r="BD89" s="432" t="str">
        <f t="shared" si="73"/>
        <v/>
      </c>
      <c r="BE89" s="432" t="str">
        <f t="shared" si="74"/>
        <v/>
      </c>
      <c r="BF89" s="432" t="str">
        <f t="shared" si="75"/>
        <v/>
      </c>
      <c r="BG89" s="432" t="str">
        <f t="shared" si="76"/>
        <v/>
      </c>
      <c r="BH89" s="432" t="str">
        <f>_xlfn.LET(_xlpm.x,H89,IF(OR(LEN(_xlpm.x)&lt;1,_xlpm.x=0),"",CONVERT(_xlpm.x,BH7,"kg")))</f>
        <v/>
      </c>
      <c r="BI89" s="432" t="str">
        <f>_xlfn.LET(_xlpm.x,I89,IF(OR(LEN(_xlpm.x)&lt;1,_xlpm.x=0),"",CONVERT(_xlpm.x,BH7,"kg")))</f>
        <v/>
      </c>
      <c r="BJ89" s="432" t="str">
        <f>_xlfn.LET(_xlpm.x,J89,IF(OR(LEN(_xlpm.x)&lt;1,_xlpm.x=0),"",CONVERT(_xlpm.x,BH7,"kg")))</f>
        <v/>
      </c>
      <c r="BK89" s="432" t="str">
        <f>_xlfn.LET(_xlpm.x,K89,IF(OR(LEN(_xlpm.x)&lt;1,_xlpm.x=0),"",CONVERT(_xlpm.x,BH7,"kg")))</f>
        <v/>
      </c>
      <c r="BL89" s="432" t="str">
        <f>_xlfn.LET(_xlpm.x,L89,IF(OR(LEN(_xlpm.x)&lt;1,_xlpm.x=0),"",CONVERT(_xlpm.x,BH7,"kg")))</f>
        <v/>
      </c>
      <c r="BM89" s="432" t="str">
        <f>_xlfn.LET(_xlpm.x,M89,IF(OR(LEN(_xlpm.x)&lt;1,_xlpm.x=0),"",CONVERT(_xlpm.x,BH7,"kg")))</f>
        <v/>
      </c>
      <c r="BN89" s="432" t="str">
        <f>_xlfn.LET(_xlpm.x,N89,IF(OR(LEN(_xlpm.x)&lt;1,_xlpm.x=0),"",CONVERT(_xlpm.x,BH7,"kg")))</f>
        <v/>
      </c>
      <c r="BO89" s="432" t="str">
        <f>_xlfn.LET(_xlpm.x,O89,IF(OR(LEN(_xlpm.x)&lt;1,_xlpm.x=0),"",CONVERT(_xlpm.x,BH7,"kg")))</f>
        <v/>
      </c>
      <c r="BP89" s="432" t="str">
        <f>_xlfn.LET(_xlpm.x,P89,IF(OR(LEN(_xlpm.x)&lt;1,_xlpm.x=0),"",CONVERT(_xlpm.x,BH7,"kg")))</f>
        <v/>
      </c>
      <c r="BQ89" s="432" t="str">
        <f>_xlfn.LET(_xlpm.x,Q89,IF(OR(LEN(_xlpm.x)&lt;1,_xlpm.x=0),"",CONVERT(_xlpm.x,BH7,"kg")))</f>
        <v/>
      </c>
      <c r="BR89" s="432" t="str">
        <f>_xlfn.LET(_xlpm.x,R89,IF(OR(LEN(_xlpm.x)&lt;1,_xlpm.x=0),"",CONVERT(_xlpm.x,BH7,"kg")))</f>
        <v/>
      </c>
      <c r="BS89" s="432" t="str">
        <f>_xlfn.LET(_xlpm.x,S89,IF(OR(LEN(_xlpm.x)&lt;1,_xlpm.x=0),"",CONVERT(_xlpm.x,BH7,"kg")))</f>
        <v/>
      </c>
      <c r="BT89" s="433">
        <f t="shared" si="77"/>
        <v>0</v>
      </c>
      <c r="BU89" s="433" t="str">
        <f>_xlfn.LET(_xlpm.x,BF89,IF(LEN(_xlpm.x)&lt;1,"",IF(ISNUMBER(MATCH(_xlpm.x,ls_Mat_def,0)),'Project Inputs'!$BF$14,99)))</f>
        <v/>
      </c>
      <c r="BV89" s="432" t="str" cm="1">
        <f t="array" ref="BV89">IFERROR(INDEX(tblGWP[],MATCH(1,(tblGWP[Dataset ID]=BU89)*(tblGWP[Material Subcategory]=BF89),0),MATCH(BG89,ls_WHM,0)+5),"confirm")</f>
        <v>confirm</v>
      </c>
      <c r="BW89" s="434" t="str">
        <f t="shared" si="59"/>
        <v>No data</v>
      </c>
      <c r="BX89" s="434" t="str">
        <f t="shared" si="60"/>
        <v>No data</v>
      </c>
      <c r="BY89" s="434" t="str">
        <f t="shared" si="86"/>
        <v>No data</v>
      </c>
      <c r="BZ89" s="434" t="str">
        <f t="shared" si="62"/>
        <v>No data</v>
      </c>
      <c r="CA89" s="434" t="str">
        <f t="shared" si="63"/>
        <v>No data</v>
      </c>
      <c r="CB89" s="434" t="str">
        <f t="shared" si="64"/>
        <v>No data</v>
      </c>
      <c r="CC89" s="434" t="str">
        <f t="shared" si="65"/>
        <v>No data</v>
      </c>
      <c r="CD89" s="434" t="str">
        <f t="shared" si="66"/>
        <v>No data</v>
      </c>
      <c r="CE89" s="434" t="str">
        <f t="shared" si="67"/>
        <v>No data</v>
      </c>
      <c r="CF89" s="434" t="str">
        <f t="shared" si="68"/>
        <v>No data</v>
      </c>
      <c r="CG89" s="434" t="str">
        <f t="shared" si="69"/>
        <v>No data</v>
      </c>
      <c r="CH89" s="434" t="str">
        <f t="shared" si="70"/>
        <v>No data</v>
      </c>
      <c r="CI89" s="435">
        <f t="shared" si="78"/>
        <v>0</v>
      </c>
      <c r="CK89" s="3" t="str">
        <f>_xlfn.LET(_xlpm.x,INDEX(tbl_Mat_def[],MATCH(BF89,ls_Mat_def,0),2),IFERROR(IF(_xlpm.x=0,"No","Yes"),"No"))</f>
        <v>No</v>
      </c>
      <c r="CM89" s="60" t="str">
        <f t="shared" si="79"/>
        <v/>
      </c>
      <c r="CN89" s="60" t="s">
        <v>235</v>
      </c>
      <c r="CO89" s="566" t="str">
        <f>_xlfn.XLOOKUP(CM89,tblGWP[Material Subcategory],tblGWP[Landfill],0)</f>
        <v/>
      </c>
      <c r="CP89" s="436" t="str">
        <f t="shared" si="80"/>
        <v/>
      </c>
      <c r="DD89" s="388">
        <f t="shared" si="87"/>
        <v>0</v>
      </c>
      <c r="DE89" s="22">
        <f t="shared" si="81"/>
        <v>19</v>
      </c>
      <c r="DF89" s="387">
        <f t="shared" si="88"/>
        <v>0</v>
      </c>
      <c r="DG89" s="387">
        <f t="shared" si="82"/>
        <v>0</v>
      </c>
      <c r="DH89" s="22">
        <f t="shared" ca="1" si="83"/>
        <v>0</v>
      </c>
      <c r="DI89">
        <f t="shared" ca="1" si="84"/>
        <v>0</v>
      </c>
    </row>
    <row r="90" spans="1:113" ht="30" hidden="1" customHeight="1" outlineLevel="1">
      <c r="A90" s="22" t="str">
        <f t="shared" si="85"/>
        <v/>
      </c>
      <c r="B90" s="272"/>
      <c r="C90" s="491"/>
      <c r="D90" s="272"/>
      <c r="E90" s="400"/>
      <c r="F90" s="400"/>
      <c r="G90" s="401"/>
      <c r="H90" s="376"/>
      <c r="I90" s="376"/>
      <c r="J90" s="376"/>
      <c r="K90" s="376"/>
      <c r="L90" s="376"/>
      <c r="M90" s="376"/>
      <c r="N90" s="376"/>
      <c r="O90" s="376"/>
      <c r="P90" s="376"/>
      <c r="Q90" s="376"/>
      <c r="R90" s="376"/>
      <c r="S90" s="376"/>
      <c r="T90" s="431">
        <f t="shared" si="71"/>
        <v>0</v>
      </c>
      <c r="U90" s="272"/>
      <c r="BC90" s="432" t="str">
        <f t="shared" si="72"/>
        <v/>
      </c>
      <c r="BD90" s="432" t="str">
        <f t="shared" si="73"/>
        <v/>
      </c>
      <c r="BE90" s="432" t="str">
        <f t="shared" si="74"/>
        <v/>
      </c>
      <c r="BF90" s="432" t="str">
        <f t="shared" si="75"/>
        <v/>
      </c>
      <c r="BG90" s="432" t="str">
        <f t="shared" si="76"/>
        <v/>
      </c>
      <c r="BH90" s="432" t="str">
        <f>_xlfn.LET(_xlpm.x,H90,IF(OR(LEN(_xlpm.x)&lt;1,_xlpm.x=0),"",CONVERT(_xlpm.x,BH7,"kg")))</f>
        <v/>
      </c>
      <c r="BI90" s="432" t="str">
        <f>_xlfn.LET(_xlpm.x,I90,IF(OR(LEN(_xlpm.x)&lt;1,_xlpm.x=0),"",CONVERT(_xlpm.x,BH7,"kg")))</f>
        <v/>
      </c>
      <c r="BJ90" s="432" t="str">
        <f>_xlfn.LET(_xlpm.x,J90,IF(OR(LEN(_xlpm.x)&lt;1,_xlpm.x=0),"",CONVERT(_xlpm.x,BH7,"kg")))</f>
        <v/>
      </c>
      <c r="BK90" s="432" t="str">
        <f>_xlfn.LET(_xlpm.x,K90,IF(OR(LEN(_xlpm.x)&lt;1,_xlpm.x=0),"",CONVERT(_xlpm.x,BH7,"kg")))</f>
        <v/>
      </c>
      <c r="BL90" s="432" t="str">
        <f>_xlfn.LET(_xlpm.x,L90,IF(OR(LEN(_xlpm.x)&lt;1,_xlpm.x=0),"",CONVERT(_xlpm.x,BH7,"kg")))</f>
        <v/>
      </c>
      <c r="BM90" s="432" t="str">
        <f>_xlfn.LET(_xlpm.x,M90,IF(OR(LEN(_xlpm.x)&lt;1,_xlpm.x=0),"",CONVERT(_xlpm.x,BH7,"kg")))</f>
        <v/>
      </c>
      <c r="BN90" s="432" t="str">
        <f>_xlfn.LET(_xlpm.x,N90,IF(OR(LEN(_xlpm.x)&lt;1,_xlpm.x=0),"",CONVERT(_xlpm.x,BH7,"kg")))</f>
        <v/>
      </c>
      <c r="BO90" s="432" t="str">
        <f>_xlfn.LET(_xlpm.x,O90,IF(OR(LEN(_xlpm.x)&lt;1,_xlpm.x=0),"",CONVERT(_xlpm.x,BH7,"kg")))</f>
        <v/>
      </c>
      <c r="BP90" s="432" t="str">
        <f>_xlfn.LET(_xlpm.x,P90,IF(OR(LEN(_xlpm.x)&lt;1,_xlpm.x=0),"",CONVERT(_xlpm.x,BH7,"kg")))</f>
        <v/>
      </c>
      <c r="BQ90" s="432" t="str">
        <f>_xlfn.LET(_xlpm.x,Q90,IF(OR(LEN(_xlpm.x)&lt;1,_xlpm.x=0),"",CONVERT(_xlpm.x,BH7,"kg")))</f>
        <v/>
      </c>
      <c r="BR90" s="432" t="str">
        <f>_xlfn.LET(_xlpm.x,R90,IF(OR(LEN(_xlpm.x)&lt;1,_xlpm.x=0),"",CONVERT(_xlpm.x,BH7,"kg")))</f>
        <v/>
      </c>
      <c r="BS90" s="432" t="str">
        <f>_xlfn.LET(_xlpm.x,S90,IF(OR(LEN(_xlpm.x)&lt;1,_xlpm.x=0),"",CONVERT(_xlpm.x,BH7,"kg")))</f>
        <v/>
      </c>
      <c r="BT90" s="433">
        <f t="shared" si="77"/>
        <v>0</v>
      </c>
      <c r="BU90" s="433" t="str">
        <f>_xlfn.LET(_xlpm.x,BF90,IF(LEN(_xlpm.x)&lt;1,"",IF(ISNUMBER(MATCH(_xlpm.x,ls_Mat_def,0)),'Project Inputs'!$BF$14,99)))</f>
        <v/>
      </c>
      <c r="BV90" s="432" t="str" cm="1">
        <f t="array" ref="BV90">IFERROR(INDEX(tblGWP[],MATCH(1,(tblGWP[Dataset ID]=BU90)*(tblGWP[Material Subcategory]=BF90),0),MATCH(BG90,ls_WHM,0)+5),"confirm")</f>
        <v>confirm</v>
      </c>
      <c r="BW90" s="434" t="str">
        <f t="shared" si="59"/>
        <v>No data</v>
      </c>
      <c r="BX90" s="434" t="str">
        <f t="shared" si="60"/>
        <v>No data</v>
      </c>
      <c r="BY90" s="434" t="str">
        <f t="shared" si="86"/>
        <v>No data</v>
      </c>
      <c r="BZ90" s="434" t="str">
        <f t="shared" si="62"/>
        <v>No data</v>
      </c>
      <c r="CA90" s="434" t="str">
        <f t="shared" si="63"/>
        <v>No data</v>
      </c>
      <c r="CB90" s="434" t="str">
        <f t="shared" si="64"/>
        <v>No data</v>
      </c>
      <c r="CC90" s="434" t="str">
        <f t="shared" si="65"/>
        <v>No data</v>
      </c>
      <c r="CD90" s="434" t="str">
        <f t="shared" si="66"/>
        <v>No data</v>
      </c>
      <c r="CE90" s="434" t="str">
        <f t="shared" si="67"/>
        <v>No data</v>
      </c>
      <c r="CF90" s="434" t="str">
        <f t="shared" si="68"/>
        <v>No data</v>
      </c>
      <c r="CG90" s="434" t="str">
        <f t="shared" si="69"/>
        <v>No data</v>
      </c>
      <c r="CH90" s="434" t="str">
        <f t="shared" si="70"/>
        <v>No data</v>
      </c>
      <c r="CI90" s="435">
        <f t="shared" si="78"/>
        <v>0</v>
      </c>
      <c r="CK90" s="3" t="str">
        <f>_xlfn.LET(_xlpm.x,INDEX(tbl_Mat_def[],MATCH(BF90,ls_Mat_def,0),2),IFERROR(IF(_xlpm.x=0,"No","Yes"),"No"))</f>
        <v>No</v>
      </c>
      <c r="CM90" s="60" t="str">
        <f t="shared" si="79"/>
        <v/>
      </c>
      <c r="CN90" s="60" t="s">
        <v>235</v>
      </c>
      <c r="CO90" s="566" t="str">
        <f>_xlfn.XLOOKUP(CM90,tblGWP[Material Subcategory],tblGWP[Landfill],0)</f>
        <v/>
      </c>
      <c r="CP90" s="436" t="str">
        <f t="shared" si="80"/>
        <v/>
      </c>
      <c r="DD90" s="388">
        <f t="shared" si="87"/>
        <v>0</v>
      </c>
      <c r="DE90" s="22">
        <f t="shared" si="81"/>
        <v>19</v>
      </c>
      <c r="DF90" s="387">
        <f t="shared" si="88"/>
        <v>0</v>
      </c>
      <c r="DG90" s="387">
        <f t="shared" si="82"/>
        <v>0</v>
      </c>
      <c r="DH90" s="22">
        <f t="shared" ca="1" si="83"/>
        <v>0</v>
      </c>
      <c r="DI90">
        <f t="shared" ca="1" si="84"/>
        <v>0</v>
      </c>
    </row>
    <row r="91" spans="1:113" ht="30" hidden="1" customHeight="1" outlineLevel="1">
      <c r="A91" s="22" t="str">
        <f t="shared" si="85"/>
        <v/>
      </c>
      <c r="B91" s="272"/>
      <c r="C91" s="491"/>
      <c r="D91" s="272"/>
      <c r="E91" s="400"/>
      <c r="F91" s="400"/>
      <c r="G91" s="401"/>
      <c r="H91" s="376"/>
      <c r="I91" s="376"/>
      <c r="J91" s="376"/>
      <c r="K91" s="376"/>
      <c r="L91" s="376"/>
      <c r="M91" s="376"/>
      <c r="N91" s="376"/>
      <c r="O91" s="376"/>
      <c r="P91" s="376"/>
      <c r="Q91" s="376"/>
      <c r="R91" s="376"/>
      <c r="S91" s="376"/>
      <c r="T91" s="431">
        <f t="shared" si="71"/>
        <v>0</v>
      </c>
      <c r="U91" s="272"/>
      <c r="BC91" s="432" t="str">
        <f t="shared" si="72"/>
        <v/>
      </c>
      <c r="BD91" s="432" t="str">
        <f t="shared" si="73"/>
        <v/>
      </c>
      <c r="BE91" s="432" t="str">
        <f t="shared" si="74"/>
        <v/>
      </c>
      <c r="BF91" s="432" t="str">
        <f t="shared" si="75"/>
        <v/>
      </c>
      <c r="BG91" s="432" t="str">
        <f t="shared" si="76"/>
        <v/>
      </c>
      <c r="BH91" s="432" t="str">
        <f>_xlfn.LET(_xlpm.x,H91,IF(OR(LEN(_xlpm.x)&lt;1,_xlpm.x=0),"",CONVERT(_xlpm.x,BH7,"kg")))</f>
        <v/>
      </c>
      <c r="BI91" s="432" t="str">
        <f>_xlfn.LET(_xlpm.x,I91,IF(OR(LEN(_xlpm.x)&lt;1,_xlpm.x=0),"",CONVERT(_xlpm.x,BH7,"kg")))</f>
        <v/>
      </c>
      <c r="BJ91" s="432" t="str">
        <f>_xlfn.LET(_xlpm.x,J91,IF(OR(LEN(_xlpm.x)&lt;1,_xlpm.x=0),"",CONVERT(_xlpm.x,BH7,"kg")))</f>
        <v/>
      </c>
      <c r="BK91" s="432" t="str">
        <f>_xlfn.LET(_xlpm.x,K91,IF(OR(LEN(_xlpm.x)&lt;1,_xlpm.x=0),"",CONVERT(_xlpm.x,BH7,"kg")))</f>
        <v/>
      </c>
      <c r="BL91" s="432" t="str">
        <f>_xlfn.LET(_xlpm.x,L91,IF(OR(LEN(_xlpm.x)&lt;1,_xlpm.x=0),"",CONVERT(_xlpm.x,BH7,"kg")))</f>
        <v/>
      </c>
      <c r="BM91" s="432" t="str">
        <f>_xlfn.LET(_xlpm.x,M91,IF(OR(LEN(_xlpm.x)&lt;1,_xlpm.x=0),"",CONVERT(_xlpm.x,BH7,"kg")))</f>
        <v/>
      </c>
      <c r="BN91" s="432" t="str">
        <f>_xlfn.LET(_xlpm.x,N91,IF(OR(LEN(_xlpm.x)&lt;1,_xlpm.x=0),"",CONVERT(_xlpm.x,BH7,"kg")))</f>
        <v/>
      </c>
      <c r="BO91" s="432" t="str">
        <f>_xlfn.LET(_xlpm.x,O91,IF(OR(LEN(_xlpm.x)&lt;1,_xlpm.x=0),"",CONVERT(_xlpm.x,BH7,"kg")))</f>
        <v/>
      </c>
      <c r="BP91" s="432" t="str">
        <f>_xlfn.LET(_xlpm.x,P91,IF(OR(LEN(_xlpm.x)&lt;1,_xlpm.x=0),"",CONVERT(_xlpm.x,BH7,"kg")))</f>
        <v/>
      </c>
      <c r="BQ91" s="432" t="str">
        <f>_xlfn.LET(_xlpm.x,Q91,IF(OR(LEN(_xlpm.x)&lt;1,_xlpm.x=0),"",CONVERT(_xlpm.x,BH7,"kg")))</f>
        <v/>
      </c>
      <c r="BR91" s="432" t="str">
        <f>_xlfn.LET(_xlpm.x,R91,IF(OR(LEN(_xlpm.x)&lt;1,_xlpm.x=0),"",CONVERT(_xlpm.x,BH7,"kg")))</f>
        <v/>
      </c>
      <c r="BS91" s="432" t="str">
        <f>_xlfn.LET(_xlpm.x,S91,IF(OR(LEN(_xlpm.x)&lt;1,_xlpm.x=0),"",CONVERT(_xlpm.x,BH7,"kg")))</f>
        <v/>
      </c>
      <c r="BT91" s="433">
        <f t="shared" si="77"/>
        <v>0</v>
      </c>
      <c r="BU91" s="433" t="str">
        <f>_xlfn.LET(_xlpm.x,BF91,IF(LEN(_xlpm.x)&lt;1,"",IF(ISNUMBER(MATCH(_xlpm.x,ls_Mat_def,0)),'Project Inputs'!$BF$14,99)))</f>
        <v/>
      </c>
      <c r="BV91" s="432" t="str" cm="1">
        <f t="array" ref="BV91">IFERROR(INDEX(tblGWP[],MATCH(1,(tblGWP[Dataset ID]=BU91)*(tblGWP[Material Subcategory]=BF91),0),MATCH(BG91,ls_WHM,0)+5),"confirm")</f>
        <v>confirm</v>
      </c>
      <c r="BW91" s="434" t="str">
        <f t="shared" si="59"/>
        <v>No data</v>
      </c>
      <c r="BX91" s="434" t="str">
        <f t="shared" si="60"/>
        <v>No data</v>
      </c>
      <c r="BY91" s="434" t="str">
        <f t="shared" si="86"/>
        <v>No data</v>
      </c>
      <c r="BZ91" s="434" t="str">
        <f t="shared" si="62"/>
        <v>No data</v>
      </c>
      <c r="CA91" s="434" t="str">
        <f t="shared" si="63"/>
        <v>No data</v>
      </c>
      <c r="CB91" s="434" t="str">
        <f t="shared" si="64"/>
        <v>No data</v>
      </c>
      <c r="CC91" s="434" t="str">
        <f t="shared" si="65"/>
        <v>No data</v>
      </c>
      <c r="CD91" s="434" t="str">
        <f t="shared" si="66"/>
        <v>No data</v>
      </c>
      <c r="CE91" s="434" t="str">
        <f t="shared" si="67"/>
        <v>No data</v>
      </c>
      <c r="CF91" s="434" t="str">
        <f t="shared" si="68"/>
        <v>No data</v>
      </c>
      <c r="CG91" s="434" t="str">
        <f t="shared" si="69"/>
        <v>No data</v>
      </c>
      <c r="CH91" s="434" t="str">
        <f t="shared" si="70"/>
        <v>No data</v>
      </c>
      <c r="CI91" s="435">
        <f t="shared" si="78"/>
        <v>0</v>
      </c>
      <c r="CK91" s="3" t="str">
        <f>_xlfn.LET(_xlpm.x,INDEX(tbl_Mat_def[],MATCH(BF91,ls_Mat_def,0),2),IFERROR(IF(_xlpm.x=0,"No","Yes"),"No"))</f>
        <v>No</v>
      </c>
      <c r="CM91" s="60" t="str">
        <f t="shared" si="79"/>
        <v/>
      </c>
      <c r="CN91" s="60" t="s">
        <v>235</v>
      </c>
      <c r="CO91" s="566" t="str">
        <f>_xlfn.XLOOKUP(CM91,tblGWP[Material Subcategory],tblGWP[Landfill],0)</f>
        <v/>
      </c>
      <c r="CP91" s="436" t="str">
        <f t="shared" si="80"/>
        <v/>
      </c>
      <c r="DD91" s="388">
        <f t="shared" si="87"/>
        <v>0</v>
      </c>
      <c r="DE91" s="22">
        <f t="shared" si="81"/>
        <v>19</v>
      </c>
      <c r="DF91" s="387">
        <f t="shared" si="88"/>
        <v>0</v>
      </c>
      <c r="DG91" s="387">
        <f t="shared" si="82"/>
        <v>0</v>
      </c>
      <c r="DH91" s="22">
        <f t="shared" ca="1" si="83"/>
        <v>0</v>
      </c>
      <c r="DI91">
        <f t="shared" ca="1" si="84"/>
        <v>0</v>
      </c>
    </row>
    <row r="92" spans="1:113" ht="30" hidden="1" customHeight="1" outlineLevel="1">
      <c r="A92" s="22" t="str">
        <f t="shared" si="85"/>
        <v/>
      </c>
      <c r="B92" s="272"/>
      <c r="C92" s="491"/>
      <c r="D92" s="272"/>
      <c r="E92" s="400"/>
      <c r="F92" s="400"/>
      <c r="G92" s="401"/>
      <c r="H92" s="376"/>
      <c r="I92" s="376"/>
      <c r="J92" s="376"/>
      <c r="K92" s="376"/>
      <c r="L92" s="376"/>
      <c r="M92" s="376"/>
      <c r="N92" s="376"/>
      <c r="O92" s="376"/>
      <c r="P92" s="376"/>
      <c r="Q92" s="376"/>
      <c r="R92" s="376"/>
      <c r="S92" s="376"/>
      <c r="T92" s="431">
        <f t="shared" si="71"/>
        <v>0</v>
      </c>
      <c r="U92" s="272"/>
      <c r="BC92" s="432" t="str">
        <f t="shared" si="72"/>
        <v/>
      </c>
      <c r="BD92" s="432" t="str">
        <f t="shared" si="73"/>
        <v/>
      </c>
      <c r="BE92" s="432" t="str">
        <f t="shared" si="74"/>
        <v/>
      </c>
      <c r="BF92" s="432" t="str">
        <f t="shared" si="75"/>
        <v/>
      </c>
      <c r="BG92" s="432" t="str">
        <f t="shared" si="76"/>
        <v/>
      </c>
      <c r="BH92" s="432" t="str">
        <f>_xlfn.LET(_xlpm.x,H92,IF(OR(LEN(_xlpm.x)&lt;1,_xlpm.x=0),"",CONVERT(_xlpm.x,BH7,"kg")))</f>
        <v/>
      </c>
      <c r="BI92" s="432" t="str">
        <f>_xlfn.LET(_xlpm.x,I92,IF(OR(LEN(_xlpm.x)&lt;1,_xlpm.x=0),"",CONVERT(_xlpm.x,BH7,"kg")))</f>
        <v/>
      </c>
      <c r="BJ92" s="432" t="str">
        <f>_xlfn.LET(_xlpm.x,J92,IF(OR(LEN(_xlpm.x)&lt;1,_xlpm.x=0),"",CONVERT(_xlpm.x,BH7,"kg")))</f>
        <v/>
      </c>
      <c r="BK92" s="432" t="str">
        <f>_xlfn.LET(_xlpm.x,K92,IF(OR(LEN(_xlpm.x)&lt;1,_xlpm.x=0),"",CONVERT(_xlpm.x,BH7,"kg")))</f>
        <v/>
      </c>
      <c r="BL92" s="432" t="str">
        <f>_xlfn.LET(_xlpm.x,L92,IF(OR(LEN(_xlpm.x)&lt;1,_xlpm.x=0),"",CONVERT(_xlpm.x,BH7,"kg")))</f>
        <v/>
      </c>
      <c r="BM92" s="432" t="str">
        <f>_xlfn.LET(_xlpm.x,M92,IF(OR(LEN(_xlpm.x)&lt;1,_xlpm.x=0),"",CONVERT(_xlpm.x,BH7,"kg")))</f>
        <v/>
      </c>
      <c r="BN92" s="432" t="str">
        <f>_xlfn.LET(_xlpm.x,N92,IF(OR(LEN(_xlpm.x)&lt;1,_xlpm.x=0),"",CONVERT(_xlpm.x,BH7,"kg")))</f>
        <v/>
      </c>
      <c r="BO92" s="432" t="str">
        <f>_xlfn.LET(_xlpm.x,O92,IF(OR(LEN(_xlpm.x)&lt;1,_xlpm.x=0),"",CONVERT(_xlpm.x,BH7,"kg")))</f>
        <v/>
      </c>
      <c r="BP92" s="432" t="str">
        <f>_xlfn.LET(_xlpm.x,P92,IF(OR(LEN(_xlpm.x)&lt;1,_xlpm.x=0),"",CONVERT(_xlpm.x,BH7,"kg")))</f>
        <v/>
      </c>
      <c r="BQ92" s="432" t="str">
        <f>_xlfn.LET(_xlpm.x,Q92,IF(OR(LEN(_xlpm.x)&lt;1,_xlpm.x=0),"",CONVERT(_xlpm.x,BH7,"kg")))</f>
        <v/>
      </c>
      <c r="BR92" s="432" t="str">
        <f>_xlfn.LET(_xlpm.x,R92,IF(OR(LEN(_xlpm.x)&lt;1,_xlpm.x=0),"",CONVERT(_xlpm.x,BH7,"kg")))</f>
        <v/>
      </c>
      <c r="BS92" s="432" t="str">
        <f>_xlfn.LET(_xlpm.x,S92,IF(OR(LEN(_xlpm.x)&lt;1,_xlpm.x=0),"",CONVERT(_xlpm.x,BH7,"kg")))</f>
        <v/>
      </c>
      <c r="BT92" s="433">
        <f t="shared" si="77"/>
        <v>0</v>
      </c>
      <c r="BU92" s="433" t="str">
        <f>_xlfn.LET(_xlpm.x,BF92,IF(LEN(_xlpm.x)&lt;1,"",IF(ISNUMBER(MATCH(_xlpm.x,ls_Mat_def,0)),'Project Inputs'!$BF$14,99)))</f>
        <v/>
      </c>
      <c r="BV92" s="432" t="str" cm="1">
        <f t="array" ref="BV92">IFERROR(INDEX(tblGWP[],MATCH(1,(tblGWP[Dataset ID]=BU92)*(tblGWP[Material Subcategory]=BF92),0),MATCH(BG92,ls_WHM,0)+5),"confirm")</f>
        <v>confirm</v>
      </c>
      <c r="BW92" s="434" t="str">
        <f t="shared" si="59"/>
        <v>No data</v>
      </c>
      <c r="BX92" s="434" t="str">
        <f t="shared" si="60"/>
        <v>No data</v>
      </c>
      <c r="BY92" s="434" t="str">
        <f t="shared" si="86"/>
        <v>No data</v>
      </c>
      <c r="BZ92" s="434" t="str">
        <f t="shared" si="62"/>
        <v>No data</v>
      </c>
      <c r="CA92" s="434" t="str">
        <f t="shared" si="63"/>
        <v>No data</v>
      </c>
      <c r="CB92" s="434" t="str">
        <f t="shared" si="64"/>
        <v>No data</v>
      </c>
      <c r="CC92" s="434" t="str">
        <f t="shared" si="65"/>
        <v>No data</v>
      </c>
      <c r="CD92" s="434" t="str">
        <f t="shared" si="66"/>
        <v>No data</v>
      </c>
      <c r="CE92" s="434" t="str">
        <f t="shared" si="67"/>
        <v>No data</v>
      </c>
      <c r="CF92" s="434" t="str">
        <f t="shared" si="68"/>
        <v>No data</v>
      </c>
      <c r="CG92" s="434" t="str">
        <f t="shared" si="69"/>
        <v>No data</v>
      </c>
      <c r="CH92" s="434" t="str">
        <f t="shared" si="70"/>
        <v>No data</v>
      </c>
      <c r="CI92" s="435">
        <f t="shared" si="78"/>
        <v>0</v>
      </c>
      <c r="CK92" s="3" t="str">
        <f>_xlfn.LET(_xlpm.x,INDEX(tbl_Mat_def[],MATCH(BF92,ls_Mat_def,0),2),IFERROR(IF(_xlpm.x=0,"No","Yes"),"No"))</f>
        <v>No</v>
      </c>
      <c r="CM92" s="60" t="str">
        <f t="shared" si="79"/>
        <v/>
      </c>
      <c r="CN92" s="60" t="s">
        <v>235</v>
      </c>
      <c r="CO92" s="566" t="str">
        <f>_xlfn.XLOOKUP(CM92,tblGWP[Material Subcategory],tblGWP[Landfill],0)</f>
        <v/>
      </c>
      <c r="CP92" s="436" t="str">
        <f t="shared" si="80"/>
        <v/>
      </c>
      <c r="DD92" s="388">
        <f t="shared" si="87"/>
        <v>0</v>
      </c>
      <c r="DE92" s="22">
        <f t="shared" si="81"/>
        <v>19</v>
      </c>
      <c r="DF92" s="387">
        <f t="shared" si="88"/>
        <v>0</v>
      </c>
      <c r="DG92" s="387">
        <f t="shared" si="82"/>
        <v>0</v>
      </c>
      <c r="DH92" s="22">
        <f t="shared" ca="1" si="83"/>
        <v>0</v>
      </c>
      <c r="DI92">
        <f t="shared" ca="1" si="84"/>
        <v>0</v>
      </c>
    </row>
    <row r="93" spans="1:113" ht="30" hidden="1" customHeight="1" outlineLevel="1">
      <c r="A93" s="22" t="str">
        <f t="shared" si="85"/>
        <v/>
      </c>
      <c r="B93" s="272"/>
      <c r="C93" s="491"/>
      <c r="D93" s="272"/>
      <c r="E93" s="400"/>
      <c r="F93" s="400"/>
      <c r="G93" s="401"/>
      <c r="H93" s="376"/>
      <c r="I93" s="376"/>
      <c r="J93" s="376"/>
      <c r="K93" s="376"/>
      <c r="L93" s="376"/>
      <c r="M93" s="376"/>
      <c r="N93" s="376"/>
      <c r="O93" s="376"/>
      <c r="P93" s="376"/>
      <c r="Q93" s="376"/>
      <c r="R93" s="376"/>
      <c r="S93" s="376"/>
      <c r="T93" s="431">
        <f t="shared" si="71"/>
        <v>0</v>
      </c>
      <c r="U93" s="272"/>
      <c r="BC93" s="432" t="str">
        <f t="shared" si="72"/>
        <v/>
      </c>
      <c r="BD93" s="432" t="str">
        <f t="shared" si="73"/>
        <v/>
      </c>
      <c r="BE93" s="432" t="str">
        <f t="shared" si="74"/>
        <v/>
      </c>
      <c r="BF93" s="432" t="str">
        <f t="shared" si="75"/>
        <v/>
      </c>
      <c r="BG93" s="432" t="str">
        <f t="shared" si="76"/>
        <v/>
      </c>
      <c r="BH93" s="432" t="str">
        <f>_xlfn.LET(_xlpm.x,H93,IF(OR(LEN(_xlpm.x)&lt;1,_xlpm.x=0),"",CONVERT(_xlpm.x,BH7,"kg")))</f>
        <v/>
      </c>
      <c r="BI93" s="432" t="str">
        <f>_xlfn.LET(_xlpm.x,I93,IF(OR(LEN(_xlpm.x)&lt;1,_xlpm.x=0),"",CONVERT(_xlpm.x,BH7,"kg")))</f>
        <v/>
      </c>
      <c r="BJ93" s="432" t="str">
        <f>_xlfn.LET(_xlpm.x,J93,IF(OR(LEN(_xlpm.x)&lt;1,_xlpm.x=0),"",CONVERT(_xlpm.x,BH7,"kg")))</f>
        <v/>
      </c>
      <c r="BK93" s="432" t="str">
        <f>_xlfn.LET(_xlpm.x,K93,IF(OR(LEN(_xlpm.x)&lt;1,_xlpm.x=0),"",CONVERT(_xlpm.x,BH7,"kg")))</f>
        <v/>
      </c>
      <c r="BL93" s="432" t="str">
        <f>_xlfn.LET(_xlpm.x,L93,IF(OR(LEN(_xlpm.x)&lt;1,_xlpm.x=0),"",CONVERT(_xlpm.x,BH7,"kg")))</f>
        <v/>
      </c>
      <c r="BM93" s="432" t="str">
        <f>_xlfn.LET(_xlpm.x,M93,IF(OR(LEN(_xlpm.x)&lt;1,_xlpm.x=0),"",CONVERT(_xlpm.x,BH7,"kg")))</f>
        <v/>
      </c>
      <c r="BN93" s="432" t="str">
        <f>_xlfn.LET(_xlpm.x,N93,IF(OR(LEN(_xlpm.x)&lt;1,_xlpm.x=0),"",CONVERT(_xlpm.x,BH7,"kg")))</f>
        <v/>
      </c>
      <c r="BO93" s="432" t="str">
        <f>_xlfn.LET(_xlpm.x,O93,IF(OR(LEN(_xlpm.x)&lt;1,_xlpm.x=0),"",CONVERT(_xlpm.x,BH7,"kg")))</f>
        <v/>
      </c>
      <c r="BP93" s="432" t="str">
        <f>_xlfn.LET(_xlpm.x,P93,IF(OR(LEN(_xlpm.x)&lt;1,_xlpm.x=0),"",CONVERT(_xlpm.x,BH7,"kg")))</f>
        <v/>
      </c>
      <c r="BQ93" s="432" t="str">
        <f>_xlfn.LET(_xlpm.x,Q93,IF(OR(LEN(_xlpm.x)&lt;1,_xlpm.x=0),"",CONVERT(_xlpm.x,BH7,"kg")))</f>
        <v/>
      </c>
      <c r="BR93" s="432" t="str">
        <f>_xlfn.LET(_xlpm.x,R93,IF(OR(LEN(_xlpm.x)&lt;1,_xlpm.x=0),"",CONVERT(_xlpm.x,BH7,"kg")))</f>
        <v/>
      </c>
      <c r="BS93" s="432" t="str">
        <f>_xlfn.LET(_xlpm.x,S93,IF(OR(LEN(_xlpm.x)&lt;1,_xlpm.x=0),"",CONVERT(_xlpm.x,BH7,"kg")))</f>
        <v/>
      </c>
      <c r="BT93" s="433">
        <f t="shared" si="77"/>
        <v>0</v>
      </c>
      <c r="BU93" s="433" t="str">
        <f>_xlfn.LET(_xlpm.x,BF93,IF(LEN(_xlpm.x)&lt;1,"",IF(ISNUMBER(MATCH(_xlpm.x,ls_Mat_def,0)),'Project Inputs'!$BF$14,99)))</f>
        <v/>
      </c>
      <c r="BV93" s="432" t="str" cm="1">
        <f t="array" ref="BV93">IFERROR(INDEX(tblGWP[],MATCH(1,(tblGWP[Dataset ID]=BU93)*(tblGWP[Material Subcategory]=BF93),0),MATCH(BG93,ls_WHM,0)+5),"confirm")</f>
        <v>confirm</v>
      </c>
      <c r="BW93" s="434" t="str">
        <f t="shared" si="59"/>
        <v>No data</v>
      </c>
      <c r="BX93" s="434" t="str">
        <f t="shared" si="60"/>
        <v>No data</v>
      </c>
      <c r="BY93" s="434" t="str">
        <f t="shared" si="86"/>
        <v>No data</v>
      </c>
      <c r="BZ93" s="434" t="str">
        <f t="shared" si="62"/>
        <v>No data</v>
      </c>
      <c r="CA93" s="434" t="str">
        <f t="shared" si="63"/>
        <v>No data</v>
      </c>
      <c r="CB93" s="434" t="str">
        <f t="shared" si="64"/>
        <v>No data</v>
      </c>
      <c r="CC93" s="434" t="str">
        <f t="shared" si="65"/>
        <v>No data</v>
      </c>
      <c r="CD93" s="434" t="str">
        <f t="shared" si="66"/>
        <v>No data</v>
      </c>
      <c r="CE93" s="434" t="str">
        <f t="shared" si="67"/>
        <v>No data</v>
      </c>
      <c r="CF93" s="434" t="str">
        <f t="shared" si="68"/>
        <v>No data</v>
      </c>
      <c r="CG93" s="434" t="str">
        <f t="shared" si="69"/>
        <v>No data</v>
      </c>
      <c r="CH93" s="434" t="str">
        <f t="shared" si="70"/>
        <v>No data</v>
      </c>
      <c r="CI93" s="435">
        <f t="shared" si="78"/>
        <v>0</v>
      </c>
      <c r="CK93" s="3" t="str">
        <f>_xlfn.LET(_xlpm.x,INDEX(tbl_Mat_def[],MATCH(BF93,ls_Mat_def,0),2),IFERROR(IF(_xlpm.x=0,"No","Yes"),"No"))</f>
        <v>No</v>
      </c>
      <c r="CM93" s="60" t="str">
        <f t="shared" si="79"/>
        <v/>
      </c>
      <c r="CN93" s="60" t="s">
        <v>235</v>
      </c>
      <c r="CO93" s="566" t="str">
        <f>_xlfn.XLOOKUP(CM93,tblGWP[Material Subcategory],tblGWP[Landfill],0)</f>
        <v/>
      </c>
      <c r="CP93" s="436" t="str">
        <f t="shared" si="80"/>
        <v/>
      </c>
      <c r="DD93" s="388">
        <f t="shared" si="87"/>
        <v>0</v>
      </c>
      <c r="DE93" s="22">
        <f t="shared" si="81"/>
        <v>19</v>
      </c>
      <c r="DF93" s="387">
        <f t="shared" si="88"/>
        <v>0</v>
      </c>
      <c r="DG93" s="387">
        <f t="shared" si="82"/>
        <v>0</v>
      </c>
      <c r="DH93" s="22">
        <f t="shared" ca="1" si="83"/>
        <v>0</v>
      </c>
      <c r="DI93">
        <f t="shared" ca="1" si="84"/>
        <v>0</v>
      </c>
    </row>
    <row r="94" spans="1:113" ht="30" hidden="1" customHeight="1" outlineLevel="1">
      <c r="A94" s="22" t="str">
        <f t="shared" si="85"/>
        <v/>
      </c>
      <c r="B94" s="272"/>
      <c r="C94" s="491"/>
      <c r="D94" s="272"/>
      <c r="E94" s="400"/>
      <c r="F94" s="400"/>
      <c r="G94" s="401"/>
      <c r="H94" s="376"/>
      <c r="I94" s="376"/>
      <c r="J94" s="376"/>
      <c r="K94" s="376"/>
      <c r="L94" s="376"/>
      <c r="M94" s="376"/>
      <c r="N94" s="376"/>
      <c r="O94" s="376"/>
      <c r="P94" s="376"/>
      <c r="Q94" s="376"/>
      <c r="R94" s="376"/>
      <c r="S94" s="376"/>
      <c r="T94" s="431">
        <f t="shared" si="71"/>
        <v>0</v>
      </c>
      <c r="U94" s="272"/>
      <c r="BC94" s="432" t="str">
        <f t="shared" si="72"/>
        <v/>
      </c>
      <c r="BD94" s="432" t="str">
        <f t="shared" si="73"/>
        <v/>
      </c>
      <c r="BE94" s="432" t="str">
        <f t="shared" si="74"/>
        <v/>
      </c>
      <c r="BF94" s="432" t="str">
        <f t="shared" si="75"/>
        <v/>
      </c>
      <c r="BG94" s="432" t="str">
        <f t="shared" si="76"/>
        <v/>
      </c>
      <c r="BH94" s="432" t="str">
        <f>_xlfn.LET(_xlpm.x,H94,IF(OR(LEN(_xlpm.x)&lt;1,_xlpm.x=0),"",CONVERT(_xlpm.x,BH7,"kg")))</f>
        <v/>
      </c>
      <c r="BI94" s="432" t="str">
        <f>_xlfn.LET(_xlpm.x,I94,IF(OR(LEN(_xlpm.x)&lt;1,_xlpm.x=0),"",CONVERT(_xlpm.x,BH7,"kg")))</f>
        <v/>
      </c>
      <c r="BJ94" s="432" t="str">
        <f>_xlfn.LET(_xlpm.x,J94,IF(OR(LEN(_xlpm.x)&lt;1,_xlpm.x=0),"",CONVERT(_xlpm.x,BH7,"kg")))</f>
        <v/>
      </c>
      <c r="BK94" s="432" t="str">
        <f>_xlfn.LET(_xlpm.x,K94,IF(OR(LEN(_xlpm.x)&lt;1,_xlpm.x=0),"",CONVERT(_xlpm.x,BH7,"kg")))</f>
        <v/>
      </c>
      <c r="BL94" s="432" t="str">
        <f>_xlfn.LET(_xlpm.x,L94,IF(OR(LEN(_xlpm.x)&lt;1,_xlpm.x=0),"",CONVERT(_xlpm.x,BH7,"kg")))</f>
        <v/>
      </c>
      <c r="BM94" s="432" t="str">
        <f>_xlfn.LET(_xlpm.x,M94,IF(OR(LEN(_xlpm.x)&lt;1,_xlpm.x=0),"",CONVERT(_xlpm.x,BH7,"kg")))</f>
        <v/>
      </c>
      <c r="BN94" s="432" t="str">
        <f>_xlfn.LET(_xlpm.x,N94,IF(OR(LEN(_xlpm.x)&lt;1,_xlpm.x=0),"",CONVERT(_xlpm.x,BH7,"kg")))</f>
        <v/>
      </c>
      <c r="BO94" s="432" t="str">
        <f>_xlfn.LET(_xlpm.x,O94,IF(OR(LEN(_xlpm.x)&lt;1,_xlpm.x=0),"",CONVERT(_xlpm.x,BH7,"kg")))</f>
        <v/>
      </c>
      <c r="BP94" s="432" t="str">
        <f>_xlfn.LET(_xlpm.x,P94,IF(OR(LEN(_xlpm.x)&lt;1,_xlpm.x=0),"",CONVERT(_xlpm.x,BH7,"kg")))</f>
        <v/>
      </c>
      <c r="BQ94" s="432" t="str">
        <f>_xlfn.LET(_xlpm.x,Q94,IF(OR(LEN(_xlpm.x)&lt;1,_xlpm.x=0),"",CONVERT(_xlpm.x,BH7,"kg")))</f>
        <v/>
      </c>
      <c r="BR94" s="432" t="str">
        <f>_xlfn.LET(_xlpm.x,R94,IF(OR(LEN(_xlpm.x)&lt;1,_xlpm.x=0),"",CONVERT(_xlpm.x,BH7,"kg")))</f>
        <v/>
      </c>
      <c r="BS94" s="432" t="str">
        <f>_xlfn.LET(_xlpm.x,S94,IF(OR(LEN(_xlpm.x)&lt;1,_xlpm.x=0),"",CONVERT(_xlpm.x,BH7,"kg")))</f>
        <v/>
      </c>
      <c r="BT94" s="433">
        <f t="shared" si="77"/>
        <v>0</v>
      </c>
      <c r="BU94" s="433" t="str">
        <f>_xlfn.LET(_xlpm.x,BF94,IF(LEN(_xlpm.x)&lt;1,"",IF(ISNUMBER(MATCH(_xlpm.x,ls_Mat_def,0)),'Project Inputs'!$BF$14,99)))</f>
        <v/>
      </c>
      <c r="BV94" s="432" t="str" cm="1">
        <f t="array" ref="BV94">IFERROR(INDEX(tblGWP[],MATCH(1,(tblGWP[Dataset ID]=BU94)*(tblGWP[Material Subcategory]=BF94),0),MATCH(BG94,ls_WHM,0)+5),"confirm")</f>
        <v>confirm</v>
      </c>
      <c r="BW94" s="434" t="str">
        <f t="shared" si="59"/>
        <v>No data</v>
      </c>
      <c r="BX94" s="434" t="str">
        <f t="shared" si="60"/>
        <v>No data</v>
      </c>
      <c r="BY94" s="434" t="str">
        <f t="shared" si="86"/>
        <v>No data</v>
      </c>
      <c r="BZ94" s="434" t="str">
        <f t="shared" si="62"/>
        <v>No data</v>
      </c>
      <c r="CA94" s="434" t="str">
        <f t="shared" si="63"/>
        <v>No data</v>
      </c>
      <c r="CB94" s="434" t="str">
        <f t="shared" si="64"/>
        <v>No data</v>
      </c>
      <c r="CC94" s="434" t="str">
        <f t="shared" si="65"/>
        <v>No data</v>
      </c>
      <c r="CD94" s="434" t="str">
        <f t="shared" si="66"/>
        <v>No data</v>
      </c>
      <c r="CE94" s="434" t="str">
        <f t="shared" si="67"/>
        <v>No data</v>
      </c>
      <c r="CF94" s="434" t="str">
        <f t="shared" si="68"/>
        <v>No data</v>
      </c>
      <c r="CG94" s="434" t="str">
        <f t="shared" si="69"/>
        <v>No data</v>
      </c>
      <c r="CH94" s="434" t="str">
        <f t="shared" si="70"/>
        <v>No data</v>
      </c>
      <c r="CI94" s="435">
        <f t="shared" si="78"/>
        <v>0</v>
      </c>
      <c r="CK94" s="3" t="str">
        <f>_xlfn.LET(_xlpm.x,INDEX(tbl_Mat_def[],MATCH(BF94,ls_Mat_def,0),2),IFERROR(IF(_xlpm.x=0,"No","Yes"),"No"))</f>
        <v>No</v>
      </c>
      <c r="CM94" s="60" t="str">
        <f t="shared" si="79"/>
        <v/>
      </c>
      <c r="CN94" s="60" t="s">
        <v>235</v>
      </c>
      <c r="CO94" s="566" t="str">
        <f>_xlfn.XLOOKUP(CM94,tblGWP[Material Subcategory],tblGWP[Landfill],0)</f>
        <v/>
      </c>
      <c r="CP94" s="436" t="str">
        <f t="shared" si="80"/>
        <v/>
      </c>
      <c r="DD94" s="388">
        <f t="shared" si="87"/>
        <v>0</v>
      </c>
      <c r="DE94" s="22">
        <f t="shared" si="81"/>
        <v>19</v>
      </c>
      <c r="DF94" s="387">
        <f t="shared" si="88"/>
        <v>0</v>
      </c>
      <c r="DG94" s="387">
        <f t="shared" si="82"/>
        <v>0</v>
      </c>
      <c r="DH94" s="22">
        <f t="shared" ca="1" si="83"/>
        <v>0</v>
      </c>
      <c r="DI94">
        <f t="shared" ca="1" si="84"/>
        <v>0</v>
      </c>
    </row>
    <row r="95" spans="1:113" ht="30" hidden="1" customHeight="1" outlineLevel="1">
      <c r="A95" s="22" t="str">
        <f t="shared" si="85"/>
        <v/>
      </c>
      <c r="B95" s="272"/>
      <c r="C95" s="491"/>
      <c r="D95" s="272"/>
      <c r="E95" s="400"/>
      <c r="F95" s="400"/>
      <c r="G95" s="401"/>
      <c r="H95" s="376"/>
      <c r="I95" s="376"/>
      <c r="J95" s="376"/>
      <c r="K95" s="376"/>
      <c r="L95" s="376"/>
      <c r="M95" s="376"/>
      <c r="N95" s="376"/>
      <c r="O95" s="376"/>
      <c r="P95" s="376"/>
      <c r="Q95" s="376"/>
      <c r="R95" s="376"/>
      <c r="S95" s="376"/>
      <c r="T95" s="431">
        <f t="shared" si="71"/>
        <v>0</v>
      </c>
      <c r="U95" s="272"/>
      <c r="BC95" s="432" t="str">
        <f t="shared" si="72"/>
        <v/>
      </c>
      <c r="BD95" s="432" t="str">
        <f t="shared" si="73"/>
        <v/>
      </c>
      <c r="BE95" s="432" t="str">
        <f t="shared" si="74"/>
        <v/>
      </c>
      <c r="BF95" s="432" t="str">
        <f t="shared" si="75"/>
        <v/>
      </c>
      <c r="BG95" s="432" t="str">
        <f t="shared" si="76"/>
        <v/>
      </c>
      <c r="BH95" s="432" t="str">
        <f>_xlfn.LET(_xlpm.x,H95,IF(OR(LEN(_xlpm.x)&lt;1,_xlpm.x=0),"",CONVERT(_xlpm.x,BH7,"kg")))</f>
        <v/>
      </c>
      <c r="BI95" s="432" t="str">
        <f>_xlfn.LET(_xlpm.x,I95,IF(OR(LEN(_xlpm.x)&lt;1,_xlpm.x=0),"",CONVERT(_xlpm.x,BH7,"kg")))</f>
        <v/>
      </c>
      <c r="BJ95" s="432" t="str">
        <f>_xlfn.LET(_xlpm.x,J95,IF(OR(LEN(_xlpm.x)&lt;1,_xlpm.x=0),"",CONVERT(_xlpm.x,BH7,"kg")))</f>
        <v/>
      </c>
      <c r="BK95" s="432" t="str">
        <f>_xlfn.LET(_xlpm.x,K95,IF(OR(LEN(_xlpm.x)&lt;1,_xlpm.x=0),"",CONVERT(_xlpm.x,BH7,"kg")))</f>
        <v/>
      </c>
      <c r="BL95" s="432" t="str">
        <f>_xlfn.LET(_xlpm.x,L95,IF(OR(LEN(_xlpm.x)&lt;1,_xlpm.x=0),"",CONVERT(_xlpm.x,BH7,"kg")))</f>
        <v/>
      </c>
      <c r="BM95" s="432" t="str">
        <f>_xlfn.LET(_xlpm.x,M95,IF(OR(LEN(_xlpm.x)&lt;1,_xlpm.x=0),"",CONVERT(_xlpm.x,BH7,"kg")))</f>
        <v/>
      </c>
      <c r="BN95" s="432" t="str">
        <f>_xlfn.LET(_xlpm.x,N95,IF(OR(LEN(_xlpm.x)&lt;1,_xlpm.x=0),"",CONVERT(_xlpm.x,BH7,"kg")))</f>
        <v/>
      </c>
      <c r="BO95" s="432" t="str">
        <f>_xlfn.LET(_xlpm.x,O95,IF(OR(LEN(_xlpm.x)&lt;1,_xlpm.x=0),"",CONVERT(_xlpm.x,BH7,"kg")))</f>
        <v/>
      </c>
      <c r="BP95" s="432" t="str">
        <f>_xlfn.LET(_xlpm.x,P95,IF(OR(LEN(_xlpm.x)&lt;1,_xlpm.x=0),"",CONVERT(_xlpm.x,BH7,"kg")))</f>
        <v/>
      </c>
      <c r="BQ95" s="432" t="str">
        <f>_xlfn.LET(_xlpm.x,Q95,IF(OR(LEN(_xlpm.x)&lt;1,_xlpm.x=0),"",CONVERT(_xlpm.x,BH7,"kg")))</f>
        <v/>
      </c>
      <c r="BR95" s="432" t="str">
        <f>_xlfn.LET(_xlpm.x,R95,IF(OR(LEN(_xlpm.x)&lt;1,_xlpm.x=0),"",CONVERT(_xlpm.x,BH7,"kg")))</f>
        <v/>
      </c>
      <c r="BS95" s="432" t="str">
        <f>_xlfn.LET(_xlpm.x,S95,IF(OR(LEN(_xlpm.x)&lt;1,_xlpm.x=0),"",CONVERT(_xlpm.x,BH7,"kg")))</f>
        <v/>
      </c>
      <c r="BT95" s="433">
        <f t="shared" si="77"/>
        <v>0</v>
      </c>
      <c r="BU95" s="433" t="str">
        <f>_xlfn.LET(_xlpm.x,BF95,IF(LEN(_xlpm.x)&lt;1,"",IF(ISNUMBER(MATCH(_xlpm.x,ls_Mat_def,0)),'Project Inputs'!$BF$14,99)))</f>
        <v/>
      </c>
      <c r="BV95" s="432" t="str" cm="1">
        <f t="array" ref="BV95">IFERROR(INDEX(tblGWP[],MATCH(1,(tblGWP[Dataset ID]=BU95)*(tblGWP[Material Subcategory]=BF95),0),MATCH(BG95,ls_WHM,0)+5),"confirm")</f>
        <v>confirm</v>
      </c>
      <c r="BW95" s="434" t="str">
        <f t="shared" si="59"/>
        <v>No data</v>
      </c>
      <c r="BX95" s="434" t="str">
        <f t="shared" si="60"/>
        <v>No data</v>
      </c>
      <c r="BY95" s="434" t="str">
        <f t="shared" si="86"/>
        <v>No data</v>
      </c>
      <c r="BZ95" s="434" t="str">
        <f t="shared" si="62"/>
        <v>No data</v>
      </c>
      <c r="CA95" s="434" t="str">
        <f t="shared" si="63"/>
        <v>No data</v>
      </c>
      <c r="CB95" s="434" t="str">
        <f t="shared" si="64"/>
        <v>No data</v>
      </c>
      <c r="CC95" s="434" t="str">
        <f t="shared" si="65"/>
        <v>No data</v>
      </c>
      <c r="CD95" s="434" t="str">
        <f t="shared" si="66"/>
        <v>No data</v>
      </c>
      <c r="CE95" s="434" t="str">
        <f t="shared" si="67"/>
        <v>No data</v>
      </c>
      <c r="CF95" s="434" t="str">
        <f t="shared" si="68"/>
        <v>No data</v>
      </c>
      <c r="CG95" s="434" t="str">
        <f t="shared" si="69"/>
        <v>No data</v>
      </c>
      <c r="CH95" s="434" t="str">
        <f t="shared" si="70"/>
        <v>No data</v>
      </c>
      <c r="CI95" s="435">
        <f t="shared" si="78"/>
        <v>0</v>
      </c>
      <c r="CK95" s="3" t="str">
        <f>_xlfn.LET(_xlpm.x,INDEX(tbl_Mat_def[],MATCH(BF95,ls_Mat_def,0),2),IFERROR(IF(_xlpm.x=0,"No","Yes"),"No"))</f>
        <v>No</v>
      </c>
      <c r="CM95" s="60" t="str">
        <f t="shared" si="79"/>
        <v/>
      </c>
      <c r="CN95" s="60" t="s">
        <v>235</v>
      </c>
      <c r="CO95" s="566" t="str">
        <f>_xlfn.XLOOKUP(CM95,tblGWP[Material Subcategory],tblGWP[Landfill],0)</f>
        <v/>
      </c>
      <c r="CP95" s="436" t="str">
        <f t="shared" si="80"/>
        <v/>
      </c>
      <c r="DD95" s="388">
        <f t="shared" si="87"/>
        <v>0</v>
      </c>
      <c r="DE95" s="22">
        <f t="shared" si="81"/>
        <v>19</v>
      </c>
      <c r="DF95" s="387">
        <f t="shared" si="88"/>
        <v>0</v>
      </c>
      <c r="DG95" s="387">
        <f t="shared" si="82"/>
        <v>0</v>
      </c>
      <c r="DH95" s="22">
        <f t="shared" ca="1" si="83"/>
        <v>0</v>
      </c>
      <c r="DI95">
        <f t="shared" ca="1" si="84"/>
        <v>0</v>
      </c>
    </row>
    <row r="96" spans="1:113" ht="30" hidden="1" customHeight="1" outlineLevel="1">
      <c r="A96" s="22" t="str">
        <f t="shared" si="85"/>
        <v/>
      </c>
      <c r="B96" s="272"/>
      <c r="C96" s="491"/>
      <c r="D96" s="272"/>
      <c r="E96" s="400"/>
      <c r="F96" s="400"/>
      <c r="G96" s="401"/>
      <c r="H96" s="376"/>
      <c r="I96" s="376"/>
      <c r="J96" s="376"/>
      <c r="K96" s="376"/>
      <c r="L96" s="376"/>
      <c r="M96" s="376"/>
      <c r="N96" s="376"/>
      <c r="O96" s="376"/>
      <c r="P96" s="376"/>
      <c r="Q96" s="376"/>
      <c r="R96" s="376"/>
      <c r="S96" s="376"/>
      <c r="T96" s="431">
        <f t="shared" si="71"/>
        <v>0</v>
      </c>
      <c r="U96" s="272"/>
      <c r="BC96" s="432" t="str">
        <f t="shared" si="72"/>
        <v/>
      </c>
      <c r="BD96" s="432" t="str">
        <f t="shared" si="73"/>
        <v/>
      </c>
      <c r="BE96" s="432" t="str">
        <f t="shared" si="74"/>
        <v/>
      </c>
      <c r="BF96" s="432" t="str">
        <f t="shared" si="75"/>
        <v/>
      </c>
      <c r="BG96" s="432" t="str">
        <f t="shared" si="76"/>
        <v/>
      </c>
      <c r="BH96" s="432" t="str">
        <f>_xlfn.LET(_xlpm.x,H96,IF(OR(LEN(_xlpm.x)&lt;1,_xlpm.x=0),"",CONVERT(_xlpm.x,BH7,"kg")))</f>
        <v/>
      </c>
      <c r="BI96" s="432" t="str">
        <f>_xlfn.LET(_xlpm.x,I96,IF(OR(LEN(_xlpm.x)&lt;1,_xlpm.x=0),"",CONVERT(_xlpm.x,BH7,"kg")))</f>
        <v/>
      </c>
      <c r="BJ96" s="432" t="str">
        <f>_xlfn.LET(_xlpm.x,J96,IF(OR(LEN(_xlpm.x)&lt;1,_xlpm.x=0),"",CONVERT(_xlpm.x,BH7,"kg")))</f>
        <v/>
      </c>
      <c r="BK96" s="432" t="str">
        <f>_xlfn.LET(_xlpm.x,K96,IF(OR(LEN(_xlpm.x)&lt;1,_xlpm.x=0),"",CONVERT(_xlpm.x,BH7,"kg")))</f>
        <v/>
      </c>
      <c r="BL96" s="432" t="str">
        <f>_xlfn.LET(_xlpm.x,L96,IF(OR(LEN(_xlpm.x)&lt;1,_xlpm.x=0),"",CONVERT(_xlpm.x,BH7,"kg")))</f>
        <v/>
      </c>
      <c r="BM96" s="432" t="str">
        <f>_xlfn.LET(_xlpm.x,M96,IF(OR(LEN(_xlpm.x)&lt;1,_xlpm.x=0),"",CONVERT(_xlpm.x,BH7,"kg")))</f>
        <v/>
      </c>
      <c r="BN96" s="432" t="str">
        <f>_xlfn.LET(_xlpm.x,N96,IF(OR(LEN(_xlpm.x)&lt;1,_xlpm.x=0),"",CONVERT(_xlpm.x,BH7,"kg")))</f>
        <v/>
      </c>
      <c r="BO96" s="432" t="str">
        <f>_xlfn.LET(_xlpm.x,O96,IF(OR(LEN(_xlpm.x)&lt;1,_xlpm.x=0),"",CONVERT(_xlpm.x,BH7,"kg")))</f>
        <v/>
      </c>
      <c r="BP96" s="432" t="str">
        <f>_xlfn.LET(_xlpm.x,P96,IF(OR(LEN(_xlpm.x)&lt;1,_xlpm.x=0),"",CONVERT(_xlpm.x,BH7,"kg")))</f>
        <v/>
      </c>
      <c r="BQ96" s="432" t="str">
        <f>_xlfn.LET(_xlpm.x,Q96,IF(OR(LEN(_xlpm.x)&lt;1,_xlpm.x=0),"",CONVERT(_xlpm.x,BH7,"kg")))</f>
        <v/>
      </c>
      <c r="BR96" s="432" t="str">
        <f>_xlfn.LET(_xlpm.x,R96,IF(OR(LEN(_xlpm.x)&lt;1,_xlpm.x=0),"",CONVERT(_xlpm.x,BH7,"kg")))</f>
        <v/>
      </c>
      <c r="BS96" s="432" t="str">
        <f>_xlfn.LET(_xlpm.x,S96,IF(OR(LEN(_xlpm.x)&lt;1,_xlpm.x=0),"",CONVERT(_xlpm.x,BH7,"kg")))</f>
        <v/>
      </c>
      <c r="BT96" s="433">
        <f t="shared" si="77"/>
        <v>0</v>
      </c>
      <c r="BU96" s="433" t="str">
        <f>_xlfn.LET(_xlpm.x,BF96,IF(LEN(_xlpm.x)&lt;1,"",IF(ISNUMBER(MATCH(_xlpm.x,ls_Mat_def,0)),'Project Inputs'!$BF$14,99)))</f>
        <v/>
      </c>
      <c r="BV96" s="432" t="str" cm="1">
        <f t="array" ref="BV96">IFERROR(INDEX(tblGWP[],MATCH(1,(tblGWP[Dataset ID]=BU96)*(tblGWP[Material Subcategory]=BF96),0),MATCH(BG96,ls_WHM,0)+5),"confirm")</f>
        <v>confirm</v>
      </c>
      <c r="BW96" s="434" t="str">
        <f t="shared" si="59"/>
        <v>No data</v>
      </c>
      <c r="BX96" s="434" t="str">
        <f t="shared" si="60"/>
        <v>No data</v>
      </c>
      <c r="BY96" s="434" t="str">
        <f t="shared" si="86"/>
        <v>No data</v>
      </c>
      <c r="BZ96" s="434" t="str">
        <f t="shared" si="62"/>
        <v>No data</v>
      </c>
      <c r="CA96" s="434" t="str">
        <f t="shared" si="63"/>
        <v>No data</v>
      </c>
      <c r="CB96" s="434" t="str">
        <f t="shared" si="64"/>
        <v>No data</v>
      </c>
      <c r="CC96" s="434" t="str">
        <f t="shared" si="65"/>
        <v>No data</v>
      </c>
      <c r="CD96" s="434" t="str">
        <f t="shared" si="66"/>
        <v>No data</v>
      </c>
      <c r="CE96" s="434" t="str">
        <f t="shared" si="67"/>
        <v>No data</v>
      </c>
      <c r="CF96" s="434" t="str">
        <f t="shared" si="68"/>
        <v>No data</v>
      </c>
      <c r="CG96" s="434" t="str">
        <f t="shared" si="69"/>
        <v>No data</v>
      </c>
      <c r="CH96" s="434" t="str">
        <f t="shared" si="70"/>
        <v>No data</v>
      </c>
      <c r="CI96" s="435">
        <f t="shared" si="78"/>
        <v>0</v>
      </c>
      <c r="CK96" s="3" t="str">
        <f>_xlfn.LET(_xlpm.x,INDEX(tbl_Mat_def[],MATCH(BF96,ls_Mat_def,0),2),IFERROR(IF(_xlpm.x=0,"No","Yes"),"No"))</f>
        <v>No</v>
      </c>
      <c r="CM96" s="60" t="str">
        <f t="shared" si="79"/>
        <v/>
      </c>
      <c r="CN96" s="60" t="s">
        <v>235</v>
      </c>
      <c r="CO96" s="566" t="str">
        <f>_xlfn.XLOOKUP(CM96,tblGWP[Material Subcategory],tblGWP[Landfill],0)</f>
        <v/>
      </c>
      <c r="CP96" s="436" t="str">
        <f t="shared" si="80"/>
        <v/>
      </c>
      <c r="DD96" s="388">
        <f t="shared" si="87"/>
        <v>0</v>
      </c>
      <c r="DE96" s="22">
        <f t="shared" si="81"/>
        <v>19</v>
      </c>
      <c r="DF96" s="387">
        <f t="shared" si="88"/>
        <v>0</v>
      </c>
      <c r="DG96" s="387">
        <f t="shared" si="82"/>
        <v>0</v>
      </c>
      <c r="DH96" s="22">
        <f t="shared" ca="1" si="83"/>
        <v>0</v>
      </c>
      <c r="DI96">
        <f t="shared" ca="1" si="84"/>
        <v>0</v>
      </c>
    </row>
    <row r="97" spans="1:113" ht="30" hidden="1" customHeight="1" outlineLevel="1">
      <c r="A97" s="22" t="str">
        <f t="shared" si="85"/>
        <v/>
      </c>
      <c r="B97" s="272"/>
      <c r="C97" s="491"/>
      <c r="D97" s="272"/>
      <c r="E97" s="400"/>
      <c r="F97" s="400"/>
      <c r="G97" s="401"/>
      <c r="H97" s="376"/>
      <c r="I97" s="376"/>
      <c r="J97" s="376"/>
      <c r="K97" s="376"/>
      <c r="L97" s="376"/>
      <c r="M97" s="376"/>
      <c r="N97" s="376"/>
      <c r="O97" s="376"/>
      <c r="P97" s="376"/>
      <c r="Q97" s="376"/>
      <c r="R97" s="376"/>
      <c r="S97" s="376"/>
      <c r="T97" s="431">
        <f t="shared" si="71"/>
        <v>0</v>
      </c>
      <c r="U97" s="272"/>
      <c r="BC97" s="432" t="str">
        <f t="shared" si="72"/>
        <v/>
      </c>
      <c r="BD97" s="432" t="str">
        <f t="shared" si="73"/>
        <v/>
      </c>
      <c r="BE97" s="432" t="str">
        <f t="shared" si="74"/>
        <v/>
      </c>
      <c r="BF97" s="432" t="str">
        <f t="shared" si="75"/>
        <v/>
      </c>
      <c r="BG97" s="432" t="str">
        <f t="shared" si="76"/>
        <v/>
      </c>
      <c r="BH97" s="432" t="str">
        <f>_xlfn.LET(_xlpm.x,H97,IF(OR(LEN(_xlpm.x)&lt;1,_xlpm.x=0),"",CONVERT(_xlpm.x,BH7,"kg")))</f>
        <v/>
      </c>
      <c r="BI97" s="432" t="str">
        <f>_xlfn.LET(_xlpm.x,I97,IF(OR(LEN(_xlpm.x)&lt;1,_xlpm.x=0),"",CONVERT(_xlpm.x,BH7,"kg")))</f>
        <v/>
      </c>
      <c r="BJ97" s="432" t="str">
        <f>_xlfn.LET(_xlpm.x,J97,IF(OR(LEN(_xlpm.x)&lt;1,_xlpm.x=0),"",CONVERT(_xlpm.x,BH7,"kg")))</f>
        <v/>
      </c>
      <c r="BK97" s="432" t="str">
        <f>_xlfn.LET(_xlpm.x,K97,IF(OR(LEN(_xlpm.x)&lt;1,_xlpm.x=0),"",CONVERT(_xlpm.x,BH7,"kg")))</f>
        <v/>
      </c>
      <c r="BL97" s="432" t="str">
        <f>_xlfn.LET(_xlpm.x,L97,IF(OR(LEN(_xlpm.x)&lt;1,_xlpm.x=0),"",CONVERT(_xlpm.x,BH7,"kg")))</f>
        <v/>
      </c>
      <c r="BM97" s="432" t="str">
        <f>_xlfn.LET(_xlpm.x,M97,IF(OR(LEN(_xlpm.x)&lt;1,_xlpm.x=0),"",CONVERT(_xlpm.x,BH7,"kg")))</f>
        <v/>
      </c>
      <c r="BN97" s="432" t="str">
        <f>_xlfn.LET(_xlpm.x,N97,IF(OR(LEN(_xlpm.x)&lt;1,_xlpm.x=0),"",CONVERT(_xlpm.x,BH7,"kg")))</f>
        <v/>
      </c>
      <c r="BO97" s="432" t="str">
        <f>_xlfn.LET(_xlpm.x,O97,IF(OR(LEN(_xlpm.x)&lt;1,_xlpm.x=0),"",CONVERT(_xlpm.x,BH7,"kg")))</f>
        <v/>
      </c>
      <c r="BP97" s="432" t="str">
        <f>_xlfn.LET(_xlpm.x,P97,IF(OR(LEN(_xlpm.x)&lt;1,_xlpm.x=0),"",CONVERT(_xlpm.x,BH7,"kg")))</f>
        <v/>
      </c>
      <c r="BQ97" s="432" t="str">
        <f>_xlfn.LET(_xlpm.x,Q97,IF(OR(LEN(_xlpm.x)&lt;1,_xlpm.x=0),"",CONVERT(_xlpm.x,BH7,"kg")))</f>
        <v/>
      </c>
      <c r="BR97" s="432" t="str">
        <f>_xlfn.LET(_xlpm.x,R97,IF(OR(LEN(_xlpm.x)&lt;1,_xlpm.x=0),"",CONVERT(_xlpm.x,BH7,"kg")))</f>
        <v/>
      </c>
      <c r="BS97" s="432" t="str">
        <f>_xlfn.LET(_xlpm.x,S97,IF(OR(LEN(_xlpm.x)&lt;1,_xlpm.x=0),"",CONVERT(_xlpm.x,BH7,"kg")))</f>
        <v/>
      </c>
      <c r="BT97" s="433">
        <f t="shared" si="77"/>
        <v>0</v>
      </c>
      <c r="BU97" s="433" t="str">
        <f>_xlfn.LET(_xlpm.x,BF97,IF(LEN(_xlpm.x)&lt;1,"",IF(ISNUMBER(MATCH(_xlpm.x,ls_Mat_def,0)),'Project Inputs'!$BF$14,99)))</f>
        <v/>
      </c>
      <c r="BV97" s="432" t="str" cm="1">
        <f t="array" ref="BV97">IFERROR(INDEX(tblGWP[],MATCH(1,(tblGWP[Dataset ID]=BU97)*(tblGWP[Material Subcategory]=BF97),0),MATCH(BG97,ls_WHM,0)+5),"confirm")</f>
        <v>confirm</v>
      </c>
      <c r="BW97" s="434" t="str">
        <f t="shared" si="59"/>
        <v>No data</v>
      </c>
      <c r="BX97" s="434" t="str">
        <f t="shared" si="60"/>
        <v>No data</v>
      </c>
      <c r="BY97" s="434" t="str">
        <f t="shared" si="86"/>
        <v>No data</v>
      </c>
      <c r="BZ97" s="434" t="str">
        <f t="shared" si="62"/>
        <v>No data</v>
      </c>
      <c r="CA97" s="434" t="str">
        <f t="shared" si="63"/>
        <v>No data</v>
      </c>
      <c r="CB97" s="434" t="str">
        <f t="shared" si="64"/>
        <v>No data</v>
      </c>
      <c r="CC97" s="434" t="str">
        <f t="shared" si="65"/>
        <v>No data</v>
      </c>
      <c r="CD97" s="434" t="str">
        <f t="shared" si="66"/>
        <v>No data</v>
      </c>
      <c r="CE97" s="434" t="str">
        <f t="shared" si="67"/>
        <v>No data</v>
      </c>
      <c r="CF97" s="434" t="str">
        <f t="shared" si="68"/>
        <v>No data</v>
      </c>
      <c r="CG97" s="434" t="str">
        <f t="shared" si="69"/>
        <v>No data</v>
      </c>
      <c r="CH97" s="434" t="str">
        <f t="shared" si="70"/>
        <v>No data</v>
      </c>
      <c r="CI97" s="435">
        <f t="shared" si="78"/>
        <v>0</v>
      </c>
      <c r="CK97" s="3" t="str">
        <f>_xlfn.LET(_xlpm.x,INDEX(tbl_Mat_def[],MATCH(BF97,ls_Mat_def,0),2),IFERROR(IF(_xlpm.x=0,"No","Yes"),"No"))</f>
        <v>No</v>
      </c>
      <c r="CM97" s="60" t="str">
        <f t="shared" si="79"/>
        <v/>
      </c>
      <c r="CN97" s="60" t="s">
        <v>235</v>
      </c>
      <c r="CO97" s="566" t="str">
        <f>_xlfn.XLOOKUP(CM97,tblGWP[Material Subcategory],tblGWP[Landfill],0)</f>
        <v/>
      </c>
      <c r="CP97" s="436" t="str">
        <f t="shared" si="80"/>
        <v/>
      </c>
      <c r="DD97" s="388">
        <f t="shared" si="87"/>
        <v>0</v>
      </c>
      <c r="DE97" s="22">
        <f t="shared" si="81"/>
        <v>19</v>
      </c>
      <c r="DF97" s="387">
        <f t="shared" si="88"/>
        <v>0</v>
      </c>
      <c r="DG97" s="387">
        <f t="shared" si="82"/>
        <v>0</v>
      </c>
      <c r="DH97" s="22">
        <f t="shared" ca="1" si="83"/>
        <v>0</v>
      </c>
      <c r="DI97">
        <f t="shared" ca="1" si="84"/>
        <v>0</v>
      </c>
    </row>
    <row r="98" spans="1:113" ht="30" hidden="1" customHeight="1" outlineLevel="1">
      <c r="A98" s="22" t="str">
        <f t="shared" si="85"/>
        <v/>
      </c>
      <c r="B98" s="272"/>
      <c r="C98" s="491"/>
      <c r="D98" s="272"/>
      <c r="E98" s="400"/>
      <c r="F98" s="400"/>
      <c r="G98" s="401"/>
      <c r="H98" s="376"/>
      <c r="I98" s="376"/>
      <c r="J98" s="376"/>
      <c r="K98" s="376"/>
      <c r="L98" s="376"/>
      <c r="M98" s="376"/>
      <c r="N98" s="376"/>
      <c r="O98" s="376"/>
      <c r="P98" s="376"/>
      <c r="Q98" s="376"/>
      <c r="R98" s="376"/>
      <c r="S98" s="376"/>
      <c r="T98" s="431">
        <f t="shared" si="71"/>
        <v>0</v>
      </c>
      <c r="U98" s="272"/>
      <c r="BC98" s="432" t="str">
        <f t="shared" si="72"/>
        <v/>
      </c>
      <c r="BD98" s="432" t="str">
        <f t="shared" si="73"/>
        <v/>
      </c>
      <c r="BE98" s="432" t="str">
        <f t="shared" si="74"/>
        <v/>
      </c>
      <c r="BF98" s="432" t="str">
        <f t="shared" si="75"/>
        <v/>
      </c>
      <c r="BG98" s="432" t="str">
        <f t="shared" si="76"/>
        <v/>
      </c>
      <c r="BH98" s="432" t="str">
        <f>_xlfn.LET(_xlpm.x,H98,IF(OR(LEN(_xlpm.x)&lt;1,_xlpm.x=0),"",CONVERT(_xlpm.x,BH7,"kg")))</f>
        <v/>
      </c>
      <c r="BI98" s="432" t="str">
        <f>_xlfn.LET(_xlpm.x,I98,IF(OR(LEN(_xlpm.x)&lt;1,_xlpm.x=0),"",CONVERT(_xlpm.x,BH7,"kg")))</f>
        <v/>
      </c>
      <c r="BJ98" s="432" t="str">
        <f>_xlfn.LET(_xlpm.x,J98,IF(OR(LEN(_xlpm.x)&lt;1,_xlpm.x=0),"",CONVERT(_xlpm.x,BH7,"kg")))</f>
        <v/>
      </c>
      <c r="BK98" s="432" t="str">
        <f>_xlfn.LET(_xlpm.x,K98,IF(OR(LEN(_xlpm.x)&lt;1,_xlpm.x=0),"",CONVERT(_xlpm.x,BH7,"kg")))</f>
        <v/>
      </c>
      <c r="BL98" s="432" t="str">
        <f>_xlfn.LET(_xlpm.x,L98,IF(OR(LEN(_xlpm.x)&lt;1,_xlpm.x=0),"",CONVERT(_xlpm.x,BH7,"kg")))</f>
        <v/>
      </c>
      <c r="BM98" s="432" t="str">
        <f>_xlfn.LET(_xlpm.x,M98,IF(OR(LEN(_xlpm.x)&lt;1,_xlpm.x=0),"",CONVERT(_xlpm.x,BH7,"kg")))</f>
        <v/>
      </c>
      <c r="BN98" s="432" t="str">
        <f>_xlfn.LET(_xlpm.x,N98,IF(OR(LEN(_xlpm.x)&lt;1,_xlpm.x=0),"",CONVERT(_xlpm.x,BH7,"kg")))</f>
        <v/>
      </c>
      <c r="BO98" s="432" t="str">
        <f>_xlfn.LET(_xlpm.x,O98,IF(OR(LEN(_xlpm.x)&lt;1,_xlpm.x=0),"",CONVERT(_xlpm.x,BH7,"kg")))</f>
        <v/>
      </c>
      <c r="BP98" s="432" t="str">
        <f>_xlfn.LET(_xlpm.x,P98,IF(OR(LEN(_xlpm.x)&lt;1,_xlpm.x=0),"",CONVERT(_xlpm.x,BH7,"kg")))</f>
        <v/>
      </c>
      <c r="BQ98" s="432" t="str">
        <f>_xlfn.LET(_xlpm.x,Q98,IF(OR(LEN(_xlpm.x)&lt;1,_xlpm.x=0),"",CONVERT(_xlpm.x,BH7,"kg")))</f>
        <v/>
      </c>
      <c r="BR98" s="432" t="str">
        <f>_xlfn.LET(_xlpm.x,R98,IF(OR(LEN(_xlpm.x)&lt;1,_xlpm.x=0),"",CONVERT(_xlpm.x,BH7,"kg")))</f>
        <v/>
      </c>
      <c r="BS98" s="432" t="str">
        <f>_xlfn.LET(_xlpm.x,S98,IF(OR(LEN(_xlpm.x)&lt;1,_xlpm.x=0),"",CONVERT(_xlpm.x,BH7,"kg")))</f>
        <v/>
      </c>
      <c r="BT98" s="433">
        <f t="shared" si="77"/>
        <v>0</v>
      </c>
      <c r="BU98" s="433" t="str">
        <f>_xlfn.LET(_xlpm.x,BF98,IF(LEN(_xlpm.x)&lt;1,"",IF(ISNUMBER(MATCH(_xlpm.x,ls_Mat_def,0)),'Project Inputs'!$BF$14,99)))</f>
        <v/>
      </c>
      <c r="BV98" s="432" t="str" cm="1">
        <f t="array" ref="BV98">IFERROR(INDEX(tblGWP[],MATCH(1,(tblGWP[Dataset ID]=BU98)*(tblGWP[Material Subcategory]=BF98),0),MATCH(BG98,ls_WHM,0)+5),"confirm")</f>
        <v>confirm</v>
      </c>
      <c r="BW98" s="434" t="str">
        <f t="shared" si="59"/>
        <v>No data</v>
      </c>
      <c r="BX98" s="434" t="str">
        <f t="shared" si="60"/>
        <v>No data</v>
      </c>
      <c r="BY98" s="434" t="str">
        <f t="shared" si="86"/>
        <v>No data</v>
      </c>
      <c r="BZ98" s="434" t="str">
        <f t="shared" si="62"/>
        <v>No data</v>
      </c>
      <c r="CA98" s="434" t="str">
        <f t="shared" si="63"/>
        <v>No data</v>
      </c>
      <c r="CB98" s="434" t="str">
        <f t="shared" si="64"/>
        <v>No data</v>
      </c>
      <c r="CC98" s="434" t="str">
        <f t="shared" si="65"/>
        <v>No data</v>
      </c>
      <c r="CD98" s="434" t="str">
        <f t="shared" si="66"/>
        <v>No data</v>
      </c>
      <c r="CE98" s="434" t="str">
        <f t="shared" si="67"/>
        <v>No data</v>
      </c>
      <c r="CF98" s="434" t="str">
        <f t="shared" si="68"/>
        <v>No data</v>
      </c>
      <c r="CG98" s="434" t="str">
        <f t="shared" si="69"/>
        <v>No data</v>
      </c>
      <c r="CH98" s="434" t="str">
        <f t="shared" si="70"/>
        <v>No data</v>
      </c>
      <c r="CI98" s="435">
        <f t="shared" si="78"/>
        <v>0</v>
      </c>
      <c r="CK98" s="3" t="str">
        <f>_xlfn.LET(_xlpm.x,INDEX(tbl_Mat_def[],MATCH(BF98,ls_Mat_def,0),2),IFERROR(IF(_xlpm.x=0,"No","Yes"),"No"))</f>
        <v>No</v>
      </c>
      <c r="CM98" s="60" t="str">
        <f t="shared" si="79"/>
        <v/>
      </c>
      <c r="CN98" s="60" t="s">
        <v>235</v>
      </c>
      <c r="CO98" s="566" t="str">
        <f>_xlfn.XLOOKUP(CM98,tblGWP[Material Subcategory],tblGWP[Landfill],0)</f>
        <v/>
      </c>
      <c r="CP98" s="436" t="str">
        <f t="shared" si="80"/>
        <v/>
      </c>
      <c r="DD98" s="388">
        <f t="shared" si="87"/>
        <v>0</v>
      </c>
      <c r="DE98" s="22">
        <f t="shared" si="81"/>
        <v>19</v>
      </c>
      <c r="DF98" s="387">
        <f t="shared" si="88"/>
        <v>0</v>
      </c>
      <c r="DG98" s="387">
        <f t="shared" si="82"/>
        <v>0</v>
      </c>
      <c r="DH98" s="22">
        <f t="shared" ca="1" si="83"/>
        <v>0</v>
      </c>
      <c r="DI98">
        <f t="shared" ca="1" si="84"/>
        <v>0</v>
      </c>
    </row>
    <row r="99" spans="1:113" ht="30" hidden="1" customHeight="1" outlineLevel="1">
      <c r="A99" s="22" t="str">
        <f t="shared" si="85"/>
        <v/>
      </c>
      <c r="B99" s="272"/>
      <c r="C99" s="491"/>
      <c r="D99" s="272"/>
      <c r="E99" s="400"/>
      <c r="F99" s="400"/>
      <c r="G99" s="401"/>
      <c r="H99" s="376"/>
      <c r="I99" s="376"/>
      <c r="J99" s="376"/>
      <c r="K99" s="376"/>
      <c r="L99" s="376"/>
      <c r="M99" s="376"/>
      <c r="N99" s="376"/>
      <c r="O99" s="376"/>
      <c r="P99" s="376"/>
      <c r="Q99" s="376"/>
      <c r="R99" s="376"/>
      <c r="S99" s="376"/>
      <c r="T99" s="431">
        <f t="shared" si="71"/>
        <v>0</v>
      </c>
      <c r="U99" s="272"/>
      <c r="BC99" s="432" t="str">
        <f t="shared" si="72"/>
        <v/>
      </c>
      <c r="BD99" s="432" t="str">
        <f t="shared" si="73"/>
        <v/>
      </c>
      <c r="BE99" s="432" t="str">
        <f t="shared" si="74"/>
        <v/>
      </c>
      <c r="BF99" s="432" t="str">
        <f t="shared" si="75"/>
        <v/>
      </c>
      <c r="BG99" s="432" t="str">
        <f t="shared" si="76"/>
        <v/>
      </c>
      <c r="BH99" s="432" t="str">
        <f>_xlfn.LET(_xlpm.x,H99,IF(OR(LEN(_xlpm.x)&lt;1,_xlpm.x=0),"",CONVERT(_xlpm.x,BH7,"kg")))</f>
        <v/>
      </c>
      <c r="BI99" s="432" t="str">
        <f>_xlfn.LET(_xlpm.x,I99,IF(OR(LEN(_xlpm.x)&lt;1,_xlpm.x=0),"",CONVERT(_xlpm.x,BH7,"kg")))</f>
        <v/>
      </c>
      <c r="BJ99" s="432" t="str">
        <f>_xlfn.LET(_xlpm.x,J99,IF(OR(LEN(_xlpm.x)&lt;1,_xlpm.x=0),"",CONVERT(_xlpm.x,BH7,"kg")))</f>
        <v/>
      </c>
      <c r="BK99" s="432" t="str">
        <f>_xlfn.LET(_xlpm.x,K99,IF(OR(LEN(_xlpm.x)&lt;1,_xlpm.x=0),"",CONVERT(_xlpm.x,BH7,"kg")))</f>
        <v/>
      </c>
      <c r="BL99" s="432" t="str">
        <f>_xlfn.LET(_xlpm.x,L99,IF(OR(LEN(_xlpm.x)&lt;1,_xlpm.x=0),"",CONVERT(_xlpm.x,BH7,"kg")))</f>
        <v/>
      </c>
      <c r="BM99" s="432" t="str">
        <f>_xlfn.LET(_xlpm.x,M99,IF(OR(LEN(_xlpm.x)&lt;1,_xlpm.x=0),"",CONVERT(_xlpm.x,BH7,"kg")))</f>
        <v/>
      </c>
      <c r="BN99" s="432" t="str">
        <f>_xlfn.LET(_xlpm.x,N99,IF(OR(LEN(_xlpm.x)&lt;1,_xlpm.x=0),"",CONVERT(_xlpm.x,BH7,"kg")))</f>
        <v/>
      </c>
      <c r="BO99" s="432" t="str">
        <f>_xlfn.LET(_xlpm.x,O99,IF(OR(LEN(_xlpm.x)&lt;1,_xlpm.x=0),"",CONVERT(_xlpm.x,BH7,"kg")))</f>
        <v/>
      </c>
      <c r="BP99" s="432" t="str">
        <f>_xlfn.LET(_xlpm.x,P99,IF(OR(LEN(_xlpm.x)&lt;1,_xlpm.x=0),"",CONVERT(_xlpm.x,BH7,"kg")))</f>
        <v/>
      </c>
      <c r="BQ99" s="432" t="str">
        <f>_xlfn.LET(_xlpm.x,Q99,IF(OR(LEN(_xlpm.x)&lt;1,_xlpm.x=0),"",CONVERT(_xlpm.x,BH7,"kg")))</f>
        <v/>
      </c>
      <c r="BR99" s="432" t="str">
        <f>_xlfn.LET(_xlpm.x,R99,IF(OR(LEN(_xlpm.x)&lt;1,_xlpm.x=0),"",CONVERT(_xlpm.x,BH7,"kg")))</f>
        <v/>
      </c>
      <c r="BS99" s="432" t="str">
        <f>_xlfn.LET(_xlpm.x,S99,IF(OR(LEN(_xlpm.x)&lt;1,_xlpm.x=0),"",CONVERT(_xlpm.x,BH7,"kg")))</f>
        <v/>
      </c>
      <c r="BT99" s="433">
        <f t="shared" si="77"/>
        <v>0</v>
      </c>
      <c r="BU99" s="433" t="str">
        <f>_xlfn.LET(_xlpm.x,BF99,IF(LEN(_xlpm.x)&lt;1,"",IF(ISNUMBER(MATCH(_xlpm.x,ls_Mat_def,0)),'Project Inputs'!$BF$14,99)))</f>
        <v/>
      </c>
      <c r="BV99" s="432" t="str" cm="1">
        <f t="array" ref="BV99">IFERROR(INDEX(tblGWP[],MATCH(1,(tblGWP[Dataset ID]=BU99)*(tblGWP[Material Subcategory]=BF99),0),MATCH(BG99,ls_WHM,0)+5),"confirm")</f>
        <v>confirm</v>
      </c>
      <c r="BW99" s="434" t="str">
        <f t="shared" si="59"/>
        <v>No data</v>
      </c>
      <c r="BX99" s="434" t="str">
        <f t="shared" si="60"/>
        <v>No data</v>
      </c>
      <c r="BY99" s="434" t="str">
        <f t="shared" si="86"/>
        <v>No data</v>
      </c>
      <c r="BZ99" s="434" t="str">
        <f t="shared" si="62"/>
        <v>No data</v>
      </c>
      <c r="CA99" s="434" t="str">
        <f t="shared" si="63"/>
        <v>No data</v>
      </c>
      <c r="CB99" s="434" t="str">
        <f t="shared" si="64"/>
        <v>No data</v>
      </c>
      <c r="CC99" s="434" t="str">
        <f t="shared" si="65"/>
        <v>No data</v>
      </c>
      <c r="CD99" s="434" t="str">
        <f t="shared" si="66"/>
        <v>No data</v>
      </c>
      <c r="CE99" s="434" t="str">
        <f t="shared" si="67"/>
        <v>No data</v>
      </c>
      <c r="CF99" s="434" t="str">
        <f t="shared" si="68"/>
        <v>No data</v>
      </c>
      <c r="CG99" s="434" t="str">
        <f t="shared" si="69"/>
        <v>No data</v>
      </c>
      <c r="CH99" s="434" t="str">
        <f t="shared" si="70"/>
        <v>No data</v>
      </c>
      <c r="CI99" s="435">
        <f t="shared" si="78"/>
        <v>0</v>
      </c>
      <c r="CK99" s="3" t="str">
        <f>_xlfn.LET(_xlpm.x,INDEX(tbl_Mat_def[],MATCH(BF99,ls_Mat_def,0),2),IFERROR(IF(_xlpm.x=0,"No","Yes"),"No"))</f>
        <v>No</v>
      </c>
      <c r="CM99" s="60" t="str">
        <f t="shared" si="79"/>
        <v/>
      </c>
      <c r="CN99" s="60" t="s">
        <v>235</v>
      </c>
      <c r="CO99" s="566" t="str">
        <f>_xlfn.XLOOKUP(CM99,tblGWP[Material Subcategory],tblGWP[Landfill],0)</f>
        <v/>
      </c>
      <c r="CP99" s="436" t="str">
        <f t="shared" si="80"/>
        <v/>
      </c>
      <c r="DD99" s="388">
        <f t="shared" si="87"/>
        <v>0</v>
      </c>
      <c r="DE99" s="22">
        <f t="shared" si="81"/>
        <v>19</v>
      </c>
      <c r="DF99" s="387">
        <f t="shared" si="88"/>
        <v>0</v>
      </c>
      <c r="DG99" s="387">
        <f t="shared" si="82"/>
        <v>0</v>
      </c>
      <c r="DH99" s="22">
        <f t="shared" ca="1" si="83"/>
        <v>0</v>
      </c>
      <c r="DI99">
        <f t="shared" ca="1" si="84"/>
        <v>0</v>
      </c>
    </row>
    <row r="100" spans="1:113" ht="30" hidden="1" customHeight="1" outlineLevel="1">
      <c r="A100" s="22" t="str">
        <f t="shared" si="85"/>
        <v/>
      </c>
      <c r="B100" s="272"/>
      <c r="C100" s="491"/>
      <c r="D100" s="272"/>
      <c r="E100" s="400"/>
      <c r="F100" s="400"/>
      <c r="G100" s="401"/>
      <c r="H100" s="376"/>
      <c r="I100" s="376"/>
      <c r="J100" s="376"/>
      <c r="K100" s="376"/>
      <c r="L100" s="376"/>
      <c r="M100" s="376"/>
      <c r="N100" s="376"/>
      <c r="O100" s="376"/>
      <c r="P100" s="376"/>
      <c r="Q100" s="376"/>
      <c r="R100" s="376"/>
      <c r="S100" s="376"/>
      <c r="T100" s="431">
        <f t="shared" si="71"/>
        <v>0</v>
      </c>
      <c r="U100" s="272"/>
      <c r="BC100" s="432" t="str">
        <f t="shared" si="72"/>
        <v/>
      </c>
      <c r="BD100" s="432" t="str">
        <f t="shared" si="73"/>
        <v/>
      </c>
      <c r="BE100" s="432" t="str">
        <f t="shared" si="74"/>
        <v/>
      </c>
      <c r="BF100" s="432" t="str">
        <f t="shared" si="75"/>
        <v/>
      </c>
      <c r="BG100" s="432" t="str">
        <f t="shared" si="76"/>
        <v/>
      </c>
      <c r="BH100" s="432" t="str">
        <f>_xlfn.LET(_xlpm.x,H100,IF(OR(LEN(_xlpm.x)&lt;1,_xlpm.x=0),"",CONVERT(_xlpm.x,BH7,"kg")))</f>
        <v/>
      </c>
      <c r="BI100" s="432" t="str">
        <f>_xlfn.LET(_xlpm.x,I100,IF(OR(LEN(_xlpm.x)&lt;1,_xlpm.x=0),"",CONVERT(_xlpm.x,BH7,"kg")))</f>
        <v/>
      </c>
      <c r="BJ100" s="432" t="str">
        <f>_xlfn.LET(_xlpm.x,J100,IF(OR(LEN(_xlpm.x)&lt;1,_xlpm.x=0),"",CONVERT(_xlpm.x,BH7,"kg")))</f>
        <v/>
      </c>
      <c r="BK100" s="432" t="str">
        <f>_xlfn.LET(_xlpm.x,K100,IF(OR(LEN(_xlpm.x)&lt;1,_xlpm.x=0),"",CONVERT(_xlpm.x,BH7,"kg")))</f>
        <v/>
      </c>
      <c r="BL100" s="432" t="str">
        <f>_xlfn.LET(_xlpm.x,L100,IF(OR(LEN(_xlpm.x)&lt;1,_xlpm.x=0),"",CONVERT(_xlpm.x,BH7,"kg")))</f>
        <v/>
      </c>
      <c r="BM100" s="432" t="str">
        <f>_xlfn.LET(_xlpm.x,M100,IF(OR(LEN(_xlpm.x)&lt;1,_xlpm.x=0),"",CONVERT(_xlpm.x,BH7,"kg")))</f>
        <v/>
      </c>
      <c r="BN100" s="432" t="str">
        <f>_xlfn.LET(_xlpm.x,N100,IF(OR(LEN(_xlpm.x)&lt;1,_xlpm.x=0),"",CONVERT(_xlpm.x,BH7,"kg")))</f>
        <v/>
      </c>
      <c r="BO100" s="432" t="str">
        <f>_xlfn.LET(_xlpm.x,O100,IF(OR(LEN(_xlpm.x)&lt;1,_xlpm.x=0),"",CONVERT(_xlpm.x,BH7,"kg")))</f>
        <v/>
      </c>
      <c r="BP100" s="432" t="str">
        <f>_xlfn.LET(_xlpm.x,P100,IF(OR(LEN(_xlpm.x)&lt;1,_xlpm.x=0),"",CONVERT(_xlpm.x,BH7,"kg")))</f>
        <v/>
      </c>
      <c r="BQ100" s="432" t="str">
        <f>_xlfn.LET(_xlpm.x,Q100,IF(OR(LEN(_xlpm.x)&lt;1,_xlpm.x=0),"",CONVERT(_xlpm.x,BH7,"kg")))</f>
        <v/>
      </c>
      <c r="BR100" s="432" t="str">
        <f>_xlfn.LET(_xlpm.x,R100,IF(OR(LEN(_xlpm.x)&lt;1,_xlpm.x=0),"",CONVERT(_xlpm.x,BH7,"kg")))</f>
        <v/>
      </c>
      <c r="BS100" s="432" t="str">
        <f>_xlfn.LET(_xlpm.x,S100,IF(OR(LEN(_xlpm.x)&lt;1,_xlpm.x=0),"",CONVERT(_xlpm.x,BH7,"kg")))</f>
        <v/>
      </c>
      <c r="BT100" s="433">
        <f t="shared" si="77"/>
        <v>0</v>
      </c>
      <c r="BU100" s="433" t="str">
        <f>_xlfn.LET(_xlpm.x,BF100,IF(LEN(_xlpm.x)&lt;1,"",IF(ISNUMBER(MATCH(_xlpm.x,ls_Mat_def,0)),'Project Inputs'!$BF$14,99)))</f>
        <v/>
      </c>
      <c r="BV100" s="432" t="str" cm="1">
        <f t="array" ref="BV100">IFERROR(INDEX(tblGWP[],MATCH(1,(tblGWP[Dataset ID]=BU100)*(tblGWP[Material Subcategory]=BF100),0),MATCH(BG100,ls_WHM,0)+5),"confirm")</f>
        <v>confirm</v>
      </c>
      <c r="BW100" s="434" t="str">
        <f t="shared" si="59"/>
        <v>No data</v>
      </c>
      <c r="BX100" s="434" t="str">
        <f t="shared" si="60"/>
        <v>No data</v>
      </c>
      <c r="BY100" s="434" t="str">
        <f t="shared" si="86"/>
        <v>No data</v>
      </c>
      <c r="BZ100" s="434" t="str">
        <f t="shared" si="62"/>
        <v>No data</v>
      </c>
      <c r="CA100" s="434" t="str">
        <f t="shared" si="63"/>
        <v>No data</v>
      </c>
      <c r="CB100" s="434" t="str">
        <f t="shared" si="64"/>
        <v>No data</v>
      </c>
      <c r="CC100" s="434" t="str">
        <f t="shared" si="65"/>
        <v>No data</v>
      </c>
      <c r="CD100" s="434" t="str">
        <f t="shared" si="66"/>
        <v>No data</v>
      </c>
      <c r="CE100" s="434" t="str">
        <f t="shared" si="67"/>
        <v>No data</v>
      </c>
      <c r="CF100" s="434" t="str">
        <f t="shared" si="68"/>
        <v>No data</v>
      </c>
      <c r="CG100" s="434" t="str">
        <f t="shared" si="69"/>
        <v>No data</v>
      </c>
      <c r="CH100" s="434" t="str">
        <f t="shared" si="70"/>
        <v>No data</v>
      </c>
      <c r="CI100" s="435">
        <f t="shared" si="78"/>
        <v>0</v>
      </c>
      <c r="CK100" s="3" t="str">
        <f>_xlfn.LET(_xlpm.x,INDEX(tbl_Mat_def[],MATCH(BF100,ls_Mat_def,0),2),IFERROR(IF(_xlpm.x=0,"No","Yes"),"No"))</f>
        <v>No</v>
      </c>
      <c r="CM100" s="60" t="str">
        <f t="shared" si="79"/>
        <v/>
      </c>
      <c r="CN100" s="60" t="s">
        <v>235</v>
      </c>
      <c r="CO100" s="566" t="str">
        <f>_xlfn.XLOOKUP(CM100,tblGWP[Material Subcategory],tblGWP[Landfill],0)</f>
        <v/>
      </c>
      <c r="CP100" s="436" t="str">
        <f t="shared" si="80"/>
        <v/>
      </c>
      <c r="DD100" s="388">
        <f t="shared" si="87"/>
        <v>0</v>
      </c>
      <c r="DE100" s="22">
        <f t="shared" si="81"/>
        <v>19</v>
      </c>
      <c r="DF100" s="387">
        <f t="shared" si="88"/>
        <v>0</v>
      </c>
      <c r="DG100" s="387">
        <f t="shared" si="82"/>
        <v>0</v>
      </c>
      <c r="DH100" s="22">
        <f t="shared" ca="1" si="83"/>
        <v>0</v>
      </c>
      <c r="DI100">
        <f t="shared" ca="1" si="84"/>
        <v>0</v>
      </c>
    </row>
    <row r="101" spans="1:113" ht="30" hidden="1" customHeight="1" outlineLevel="1">
      <c r="A101" s="22" t="str">
        <f t="shared" si="85"/>
        <v/>
      </c>
      <c r="B101" s="272"/>
      <c r="C101" s="491"/>
      <c r="D101" s="272"/>
      <c r="E101" s="400"/>
      <c r="F101" s="400"/>
      <c r="G101" s="401"/>
      <c r="H101" s="376"/>
      <c r="I101" s="376"/>
      <c r="J101" s="376"/>
      <c r="K101" s="376"/>
      <c r="L101" s="376"/>
      <c r="M101" s="376"/>
      <c r="N101" s="376"/>
      <c r="O101" s="376"/>
      <c r="P101" s="376"/>
      <c r="Q101" s="376"/>
      <c r="R101" s="376"/>
      <c r="S101" s="376"/>
      <c r="T101" s="431">
        <f t="shared" si="71"/>
        <v>0</v>
      </c>
      <c r="U101" s="272"/>
      <c r="BC101" s="432" t="str">
        <f t="shared" si="72"/>
        <v/>
      </c>
      <c r="BD101" s="432" t="str">
        <f t="shared" si="73"/>
        <v/>
      </c>
      <c r="BE101" s="432" t="str">
        <f t="shared" si="74"/>
        <v/>
      </c>
      <c r="BF101" s="432" t="str">
        <f t="shared" si="75"/>
        <v/>
      </c>
      <c r="BG101" s="432" t="str">
        <f t="shared" si="76"/>
        <v/>
      </c>
      <c r="BH101" s="432" t="str">
        <f>_xlfn.LET(_xlpm.x,H101,IF(OR(LEN(_xlpm.x)&lt;1,_xlpm.x=0),"",CONVERT(_xlpm.x,BH7,"kg")))</f>
        <v/>
      </c>
      <c r="BI101" s="432" t="str">
        <f>_xlfn.LET(_xlpm.x,I101,IF(OR(LEN(_xlpm.x)&lt;1,_xlpm.x=0),"",CONVERT(_xlpm.x,BH7,"kg")))</f>
        <v/>
      </c>
      <c r="BJ101" s="432" t="str">
        <f>_xlfn.LET(_xlpm.x,J101,IF(OR(LEN(_xlpm.x)&lt;1,_xlpm.x=0),"",CONVERT(_xlpm.x,BH7,"kg")))</f>
        <v/>
      </c>
      <c r="BK101" s="432" t="str">
        <f>_xlfn.LET(_xlpm.x,K101,IF(OR(LEN(_xlpm.x)&lt;1,_xlpm.x=0),"",CONVERT(_xlpm.x,BH7,"kg")))</f>
        <v/>
      </c>
      <c r="BL101" s="432" t="str">
        <f>_xlfn.LET(_xlpm.x,L101,IF(OR(LEN(_xlpm.x)&lt;1,_xlpm.x=0),"",CONVERT(_xlpm.x,BH7,"kg")))</f>
        <v/>
      </c>
      <c r="BM101" s="432" t="str">
        <f>_xlfn.LET(_xlpm.x,M101,IF(OR(LEN(_xlpm.x)&lt;1,_xlpm.x=0),"",CONVERT(_xlpm.x,BH7,"kg")))</f>
        <v/>
      </c>
      <c r="BN101" s="432" t="str">
        <f>_xlfn.LET(_xlpm.x,N101,IF(OR(LEN(_xlpm.x)&lt;1,_xlpm.x=0),"",CONVERT(_xlpm.x,BH7,"kg")))</f>
        <v/>
      </c>
      <c r="BO101" s="432" t="str">
        <f>_xlfn.LET(_xlpm.x,O101,IF(OR(LEN(_xlpm.x)&lt;1,_xlpm.x=0),"",CONVERT(_xlpm.x,BH7,"kg")))</f>
        <v/>
      </c>
      <c r="BP101" s="432" t="str">
        <f>_xlfn.LET(_xlpm.x,P101,IF(OR(LEN(_xlpm.x)&lt;1,_xlpm.x=0),"",CONVERT(_xlpm.x,BH7,"kg")))</f>
        <v/>
      </c>
      <c r="BQ101" s="432" t="str">
        <f>_xlfn.LET(_xlpm.x,Q101,IF(OR(LEN(_xlpm.x)&lt;1,_xlpm.x=0),"",CONVERT(_xlpm.x,BH7,"kg")))</f>
        <v/>
      </c>
      <c r="BR101" s="432" t="str">
        <f>_xlfn.LET(_xlpm.x,R101,IF(OR(LEN(_xlpm.x)&lt;1,_xlpm.x=0),"",CONVERT(_xlpm.x,BH7,"kg")))</f>
        <v/>
      </c>
      <c r="BS101" s="432" t="str">
        <f>_xlfn.LET(_xlpm.x,S101,IF(OR(LEN(_xlpm.x)&lt;1,_xlpm.x=0),"",CONVERT(_xlpm.x,BH7,"kg")))</f>
        <v/>
      </c>
      <c r="BT101" s="433">
        <f t="shared" si="77"/>
        <v>0</v>
      </c>
      <c r="BU101" s="433" t="str">
        <f>_xlfn.LET(_xlpm.x,BF101,IF(LEN(_xlpm.x)&lt;1,"",IF(ISNUMBER(MATCH(_xlpm.x,ls_Mat_def,0)),'Project Inputs'!$BF$14,99)))</f>
        <v/>
      </c>
      <c r="BV101" s="432" t="str" cm="1">
        <f t="array" ref="BV101">IFERROR(INDEX(tblGWP[],MATCH(1,(tblGWP[Dataset ID]=BU101)*(tblGWP[Material Subcategory]=BF101),0),MATCH(BG101,ls_WHM,0)+5),"confirm")</f>
        <v>confirm</v>
      </c>
      <c r="BW101" s="434" t="str">
        <f t="shared" si="59"/>
        <v>No data</v>
      </c>
      <c r="BX101" s="434" t="str">
        <f t="shared" si="60"/>
        <v>No data</v>
      </c>
      <c r="BY101" s="434" t="str">
        <f t="shared" si="86"/>
        <v>No data</v>
      </c>
      <c r="BZ101" s="434" t="str">
        <f t="shared" si="62"/>
        <v>No data</v>
      </c>
      <c r="CA101" s="434" t="str">
        <f t="shared" si="63"/>
        <v>No data</v>
      </c>
      <c r="CB101" s="434" t="str">
        <f t="shared" si="64"/>
        <v>No data</v>
      </c>
      <c r="CC101" s="434" t="str">
        <f t="shared" si="65"/>
        <v>No data</v>
      </c>
      <c r="CD101" s="434" t="str">
        <f t="shared" si="66"/>
        <v>No data</v>
      </c>
      <c r="CE101" s="434" t="str">
        <f t="shared" si="67"/>
        <v>No data</v>
      </c>
      <c r="CF101" s="434" t="str">
        <f t="shared" si="68"/>
        <v>No data</v>
      </c>
      <c r="CG101" s="434" t="str">
        <f t="shared" si="69"/>
        <v>No data</v>
      </c>
      <c r="CH101" s="434" t="str">
        <f t="shared" si="70"/>
        <v>No data</v>
      </c>
      <c r="CI101" s="435">
        <f t="shared" si="78"/>
        <v>0</v>
      </c>
      <c r="CK101" s="3" t="str">
        <f>_xlfn.LET(_xlpm.x,INDEX(tbl_Mat_def[],MATCH(BF101,ls_Mat_def,0),2),IFERROR(IF(_xlpm.x=0,"No","Yes"),"No"))</f>
        <v>No</v>
      </c>
      <c r="CM101" s="60" t="str">
        <f t="shared" si="79"/>
        <v/>
      </c>
      <c r="CN101" s="60" t="s">
        <v>235</v>
      </c>
      <c r="CO101" s="566" t="str">
        <f>_xlfn.XLOOKUP(CM101,tblGWP[Material Subcategory],tblGWP[Landfill],0)</f>
        <v/>
      </c>
      <c r="CP101" s="436" t="str">
        <f t="shared" si="80"/>
        <v/>
      </c>
      <c r="DD101" s="388">
        <f t="shared" si="87"/>
        <v>0</v>
      </c>
      <c r="DE101" s="22">
        <f t="shared" si="81"/>
        <v>19</v>
      </c>
      <c r="DF101" s="387">
        <f t="shared" si="88"/>
        <v>0</v>
      </c>
      <c r="DG101" s="387">
        <f t="shared" si="82"/>
        <v>0</v>
      </c>
      <c r="DH101" s="22">
        <f t="shared" ca="1" si="83"/>
        <v>0</v>
      </c>
      <c r="DI101">
        <f t="shared" ca="1" si="84"/>
        <v>0</v>
      </c>
    </row>
    <row r="102" spans="1:113" ht="30" hidden="1" customHeight="1" outlineLevel="1">
      <c r="A102" s="22" t="str">
        <f t="shared" si="85"/>
        <v/>
      </c>
      <c r="B102" s="272"/>
      <c r="C102" s="491"/>
      <c r="D102" s="272"/>
      <c r="E102" s="400"/>
      <c r="F102" s="400"/>
      <c r="G102" s="401"/>
      <c r="H102" s="376"/>
      <c r="I102" s="376"/>
      <c r="J102" s="376"/>
      <c r="K102" s="376"/>
      <c r="L102" s="376"/>
      <c r="M102" s="376"/>
      <c r="N102" s="376"/>
      <c r="O102" s="376"/>
      <c r="P102" s="376"/>
      <c r="Q102" s="376"/>
      <c r="R102" s="376"/>
      <c r="S102" s="376"/>
      <c r="T102" s="431">
        <f t="shared" si="71"/>
        <v>0</v>
      </c>
      <c r="U102" s="272"/>
      <c r="BC102" s="432" t="str">
        <f t="shared" si="72"/>
        <v/>
      </c>
      <c r="BD102" s="432" t="str">
        <f t="shared" si="73"/>
        <v/>
      </c>
      <c r="BE102" s="432" t="str">
        <f t="shared" si="74"/>
        <v/>
      </c>
      <c r="BF102" s="432" t="str">
        <f t="shared" si="75"/>
        <v/>
      </c>
      <c r="BG102" s="432" t="str">
        <f t="shared" si="76"/>
        <v/>
      </c>
      <c r="BH102" s="432" t="str">
        <f>_xlfn.LET(_xlpm.x,H102,IF(OR(LEN(_xlpm.x)&lt;1,_xlpm.x=0),"",CONVERT(_xlpm.x,BH7,"kg")))</f>
        <v/>
      </c>
      <c r="BI102" s="432" t="str">
        <f>_xlfn.LET(_xlpm.x,I102,IF(OR(LEN(_xlpm.x)&lt;1,_xlpm.x=0),"",CONVERT(_xlpm.x,BH7,"kg")))</f>
        <v/>
      </c>
      <c r="BJ102" s="432" t="str">
        <f>_xlfn.LET(_xlpm.x,J102,IF(OR(LEN(_xlpm.x)&lt;1,_xlpm.x=0),"",CONVERT(_xlpm.x,BH7,"kg")))</f>
        <v/>
      </c>
      <c r="BK102" s="432" t="str">
        <f>_xlfn.LET(_xlpm.x,K102,IF(OR(LEN(_xlpm.x)&lt;1,_xlpm.x=0),"",CONVERT(_xlpm.x,BH7,"kg")))</f>
        <v/>
      </c>
      <c r="BL102" s="432" t="str">
        <f>_xlfn.LET(_xlpm.x,L102,IF(OR(LEN(_xlpm.x)&lt;1,_xlpm.x=0),"",CONVERT(_xlpm.x,BH7,"kg")))</f>
        <v/>
      </c>
      <c r="BM102" s="432" t="str">
        <f>_xlfn.LET(_xlpm.x,M102,IF(OR(LEN(_xlpm.x)&lt;1,_xlpm.x=0),"",CONVERT(_xlpm.x,BH7,"kg")))</f>
        <v/>
      </c>
      <c r="BN102" s="432" t="str">
        <f>_xlfn.LET(_xlpm.x,N102,IF(OR(LEN(_xlpm.x)&lt;1,_xlpm.x=0),"",CONVERT(_xlpm.x,BH7,"kg")))</f>
        <v/>
      </c>
      <c r="BO102" s="432" t="str">
        <f>_xlfn.LET(_xlpm.x,O102,IF(OR(LEN(_xlpm.x)&lt;1,_xlpm.x=0),"",CONVERT(_xlpm.x,BH7,"kg")))</f>
        <v/>
      </c>
      <c r="BP102" s="432" t="str">
        <f>_xlfn.LET(_xlpm.x,P102,IF(OR(LEN(_xlpm.x)&lt;1,_xlpm.x=0),"",CONVERT(_xlpm.x,BH7,"kg")))</f>
        <v/>
      </c>
      <c r="BQ102" s="432" t="str">
        <f>_xlfn.LET(_xlpm.x,Q102,IF(OR(LEN(_xlpm.x)&lt;1,_xlpm.x=0),"",CONVERT(_xlpm.x,BH7,"kg")))</f>
        <v/>
      </c>
      <c r="BR102" s="432" t="str">
        <f>_xlfn.LET(_xlpm.x,R102,IF(OR(LEN(_xlpm.x)&lt;1,_xlpm.x=0),"",CONVERT(_xlpm.x,BH7,"kg")))</f>
        <v/>
      </c>
      <c r="BS102" s="432" t="str">
        <f>_xlfn.LET(_xlpm.x,S102,IF(OR(LEN(_xlpm.x)&lt;1,_xlpm.x=0),"",CONVERT(_xlpm.x,BH7,"kg")))</f>
        <v/>
      </c>
      <c r="BT102" s="433">
        <f t="shared" si="77"/>
        <v>0</v>
      </c>
      <c r="BU102" s="433" t="str">
        <f>_xlfn.LET(_xlpm.x,BF102,IF(LEN(_xlpm.x)&lt;1,"",IF(ISNUMBER(MATCH(_xlpm.x,ls_Mat_def,0)),'Project Inputs'!$BF$14,99)))</f>
        <v/>
      </c>
      <c r="BV102" s="432" t="str" cm="1">
        <f t="array" ref="BV102">IFERROR(INDEX(tblGWP[],MATCH(1,(tblGWP[Dataset ID]=BU102)*(tblGWP[Material Subcategory]=BF102),0),MATCH(BG102,ls_WHM,0)+5),"confirm")</f>
        <v>confirm</v>
      </c>
      <c r="BW102" s="434" t="str">
        <f t="shared" si="59"/>
        <v>No data</v>
      </c>
      <c r="BX102" s="434" t="str">
        <f t="shared" si="60"/>
        <v>No data</v>
      </c>
      <c r="BY102" s="434" t="str">
        <f t="shared" si="86"/>
        <v>No data</v>
      </c>
      <c r="BZ102" s="434" t="str">
        <f t="shared" si="62"/>
        <v>No data</v>
      </c>
      <c r="CA102" s="434" t="str">
        <f t="shared" si="63"/>
        <v>No data</v>
      </c>
      <c r="CB102" s="434" t="str">
        <f t="shared" si="64"/>
        <v>No data</v>
      </c>
      <c r="CC102" s="434" t="str">
        <f t="shared" si="65"/>
        <v>No data</v>
      </c>
      <c r="CD102" s="434" t="str">
        <f t="shared" si="66"/>
        <v>No data</v>
      </c>
      <c r="CE102" s="434" t="str">
        <f t="shared" si="67"/>
        <v>No data</v>
      </c>
      <c r="CF102" s="434" t="str">
        <f t="shared" si="68"/>
        <v>No data</v>
      </c>
      <c r="CG102" s="434" t="str">
        <f t="shared" si="69"/>
        <v>No data</v>
      </c>
      <c r="CH102" s="434" t="str">
        <f t="shared" si="70"/>
        <v>No data</v>
      </c>
      <c r="CI102" s="435">
        <f t="shared" si="78"/>
        <v>0</v>
      </c>
      <c r="CK102" s="3" t="str">
        <f>_xlfn.LET(_xlpm.x,INDEX(tbl_Mat_def[],MATCH(BF102,ls_Mat_def,0),2),IFERROR(IF(_xlpm.x=0,"No","Yes"),"No"))</f>
        <v>No</v>
      </c>
      <c r="CM102" s="60" t="str">
        <f t="shared" si="79"/>
        <v/>
      </c>
      <c r="CN102" s="60" t="s">
        <v>235</v>
      </c>
      <c r="CO102" s="566" t="str">
        <f>_xlfn.XLOOKUP(CM102,tblGWP[Material Subcategory],tblGWP[Landfill],0)</f>
        <v/>
      </c>
      <c r="CP102" s="436" t="str">
        <f t="shared" si="80"/>
        <v/>
      </c>
      <c r="DD102" s="388">
        <f t="shared" si="87"/>
        <v>0</v>
      </c>
      <c r="DE102" s="22">
        <f t="shared" si="81"/>
        <v>19</v>
      </c>
      <c r="DF102" s="387">
        <f t="shared" si="88"/>
        <v>0</v>
      </c>
      <c r="DG102" s="387">
        <f t="shared" si="82"/>
        <v>0</v>
      </c>
      <c r="DH102" s="22">
        <f t="shared" ca="1" si="83"/>
        <v>0</v>
      </c>
      <c r="DI102">
        <f t="shared" ca="1" si="84"/>
        <v>0</v>
      </c>
    </row>
    <row r="103" spans="1:113" ht="30" hidden="1" customHeight="1" outlineLevel="1">
      <c r="A103" s="22" t="str">
        <f t="shared" si="85"/>
        <v/>
      </c>
      <c r="B103" s="272"/>
      <c r="C103" s="491"/>
      <c r="D103" s="272"/>
      <c r="E103" s="400"/>
      <c r="F103" s="400"/>
      <c r="G103" s="401"/>
      <c r="H103" s="376"/>
      <c r="I103" s="376"/>
      <c r="J103" s="376"/>
      <c r="K103" s="376"/>
      <c r="L103" s="376"/>
      <c r="M103" s="376"/>
      <c r="N103" s="376"/>
      <c r="O103" s="376"/>
      <c r="P103" s="376"/>
      <c r="Q103" s="376"/>
      <c r="R103" s="376"/>
      <c r="S103" s="376"/>
      <c r="T103" s="431">
        <f t="shared" si="71"/>
        <v>0</v>
      </c>
      <c r="U103" s="272"/>
      <c r="BC103" s="432" t="str">
        <f t="shared" si="72"/>
        <v/>
      </c>
      <c r="BD103" s="432" t="str">
        <f t="shared" si="73"/>
        <v/>
      </c>
      <c r="BE103" s="432" t="str">
        <f t="shared" si="74"/>
        <v/>
      </c>
      <c r="BF103" s="432" t="str">
        <f t="shared" si="75"/>
        <v/>
      </c>
      <c r="BG103" s="432" t="str">
        <f t="shared" si="76"/>
        <v/>
      </c>
      <c r="BH103" s="432" t="str">
        <f>_xlfn.LET(_xlpm.x,H103,IF(OR(LEN(_xlpm.x)&lt;1,_xlpm.x=0),"",CONVERT(_xlpm.x,BH7,"kg")))</f>
        <v/>
      </c>
      <c r="BI103" s="432" t="str">
        <f>_xlfn.LET(_xlpm.x,I103,IF(OR(LEN(_xlpm.x)&lt;1,_xlpm.x=0),"",CONVERT(_xlpm.x,BH7,"kg")))</f>
        <v/>
      </c>
      <c r="BJ103" s="432" t="str">
        <f>_xlfn.LET(_xlpm.x,J103,IF(OR(LEN(_xlpm.x)&lt;1,_xlpm.x=0),"",CONVERT(_xlpm.x,BH7,"kg")))</f>
        <v/>
      </c>
      <c r="BK103" s="432" t="str">
        <f>_xlfn.LET(_xlpm.x,K103,IF(OR(LEN(_xlpm.x)&lt;1,_xlpm.x=0),"",CONVERT(_xlpm.x,BH7,"kg")))</f>
        <v/>
      </c>
      <c r="BL103" s="432" t="str">
        <f>_xlfn.LET(_xlpm.x,L103,IF(OR(LEN(_xlpm.x)&lt;1,_xlpm.x=0),"",CONVERT(_xlpm.x,BH7,"kg")))</f>
        <v/>
      </c>
      <c r="BM103" s="432" t="str">
        <f>_xlfn.LET(_xlpm.x,M103,IF(OR(LEN(_xlpm.x)&lt;1,_xlpm.x=0),"",CONVERT(_xlpm.x,BH7,"kg")))</f>
        <v/>
      </c>
      <c r="BN103" s="432" t="str">
        <f>_xlfn.LET(_xlpm.x,N103,IF(OR(LEN(_xlpm.x)&lt;1,_xlpm.x=0),"",CONVERT(_xlpm.x,BH7,"kg")))</f>
        <v/>
      </c>
      <c r="BO103" s="432" t="str">
        <f>_xlfn.LET(_xlpm.x,O103,IF(OR(LEN(_xlpm.x)&lt;1,_xlpm.x=0),"",CONVERT(_xlpm.x,BH7,"kg")))</f>
        <v/>
      </c>
      <c r="BP103" s="432" t="str">
        <f>_xlfn.LET(_xlpm.x,P103,IF(OR(LEN(_xlpm.x)&lt;1,_xlpm.x=0),"",CONVERT(_xlpm.x,BH7,"kg")))</f>
        <v/>
      </c>
      <c r="BQ103" s="432" t="str">
        <f>_xlfn.LET(_xlpm.x,Q103,IF(OR(LEN(_xlpm.x)&lt;1,_xlpm.x=0),"",CONVERT(_xlpm.x,BH7,"kg")))</f>
        <v/>
      </c>
      <c r="BR103" s="432" t="str">
        <f>_xlfn.LET(_xlpm.x,R103,IF(OR(LEN(_xlpm.x)&lt;1,_xlpm.x=0),"",CONVERT(_xlpm.x,BH7,"kg")))</f>
        <v/>
      </c>
      <c r="BS103" s="432" t="str">
        <f>_xlfn.LET(_xlpm.x,S103,IF(OR(LEN(_xlpm.x)&lt;1,_xlpm.x=0),"",CONVERT(_xlpm.x,BH7,"kg")))</f>
        <v/>
      </c>
      <c r="BT103" s="433">
        <f t="shared" si="77"/>
        <v>0</v>
      </c>
      <c r="BU103" s="433" t="str">
        <f>_xlfn.LET(_xlpm.x,BF103,IF(LEN(_xlpm.x)&lt;1,"",IF(ISNUMBER(MATCH(_xlpm.x,ls_Mat_def,0)),'Project Inputs'!$BF$14,99)))</f>
        <v/>
      </c>
      <c r="BV103" s="432" t="str" cm="1">
        <f t="array" ref="BV103">IFERROR(INDEX(tblGWP[],MATCH(1,(tblGWP[Dataset ID]=BU103)*(tblGWP[Material Subcategory]=BF103),0),MATCH(BG103,ls_WHM,0)+5),"confirm")</f>
        <v>confirm</v>
      </c>
      <c r="BW103" s="434" t="str">
        <f t="shared" si="59"/>
        <v>No data</v>
      </c>
      <c r="BX103" s="434" t="str">
        <f t="shared" si="60"/>
        <v>No data</v>
      </c>
      <c r="BY103" s="434" t="str">
        <f t="shared" si="86"/>
        <v>No data</v>
      </c>
      <c r="BZ103" s="434" t="str">
        <f t="shared" si="62"/>
        <v>No data</v>
      </c>
      <c r="CA103" s="434" t="str">
        <f t="shared" si="63"/>
        <v>No data</v>
      </c>
      <c r="CB103" s="434" t="str">
        <f t="shared" si="64"/>
        <v>No data</v>
      </c>
      <c r="CC103" s="434" t="str">
        <f t="shared" si="65"/>
        <v>No data</v>
      </c>
      <c r="CD103" s="434" t="str">
        <f t="shared" si="66"/>
        <v>No data</v>
      </c>
      <c r="CE103" s="434" t="str">
        <f t="shared" si="67"/>
        <v>No data</v>
      </c>
      <c r="CF103" s="434" t="str">
        <f t="shared" si="68"/>
        <v>No data</v>
      </c>
      <c r="CG103" s="434" t="str">
        <f t="shared" si="69"/>
        <v>No data</v>
      </c>
      <c r="CH103" s="434" t="str">
        <f t="shared" si="70"/>
        <v>No data</v>
      </c>
      <c r="CI103" s="435">
        <f t="shared" si="78"/>
        <v>0</v>
      </c>
      <c r="CK103" s="3" t="str">
        <f>_xlfn.LET(_xlpm.x,INDEX(tbl_Mat_def[],MATCH(BF103,ls_Mat_def,0),2),IFERROR(IF(_xlpm.x=0,"No","Yes"),"No"))</f>
        <v>No</v>
      </c>
      <c r="CM103" s="60" t="str">
        <f t="shared" si="79"/>
        <v/>
      </c>
      <c r="CN103" s="60" t="s">
        <v>235</v>
      </c>
      <c r="CO103" s="566" t="str">
        <f>_xlfn.XLOOKUP(CM103,tblGWP[Material Subcategory],tblGWP[Landfill],0)</f>
        <v/>
      </c>
      <c r="CP103" s="436" t="str">
        <f t="shared" si="80"/>
        <v/>
      </c>
      <c r="DD103" s="388">
        <f t="shared" si="87"/>
        <v>0</v>
      </c>
      <c r="DE103" s="22">
        <f t="shared" si="81"/>
        <v>19</v>
      </c>
      <c r="DF103" s="387">
        <f t="shared" si="88"/>
        <v>0</v>
      </c>
      <c r="DG103" s="387">
        <f t="shared" si="82"/>
        <v>0</v>
      </c>
      <c r="DH103" s="22">
        <f t="shared" ca="1" si="83"/>
        <v>0</v>
      </c>
      <c r="DI103">
        <f t="shared" ca="1" si="84"/>
        <v>0</v>
      </c>
    </row>
    <row r="104" spans="1:113" ht="30" hidden="1" customHeight="1" outlineLevel="1">
      <c r="A104" s="22" t="str">
        <f t="shared" si="85"/>
        <v/>
      </c>
      <c r="B104" s="272"/>
      <c r="C104" s="491"/>
      <c r="D104" s="272"/>
      <c r="E104" s="400"/>
      <c r="F104" s="400"/>
      <c r="G104" s="401"/>
      <c r="H104" s="376"/>
      <c r="I104" s="376"/>
      <c r="J104" s="376"/>
      <c r="K104" s="376"/>
      <c r="L104" s="376"/>
      <c r="M104" s="376"/>
      <c r="N104" s="376"/>
      <c r="O104" s="376"/>
      <c r="P104" s="376"/>
      <c r="Q104" s="376"/>
      <c r="R104" s="376"/>
      <c r="S104" s="376"/>
      <c r="T104" s="431">
        <f t="shared" si="71"/>
        <v>0</v>
      </c>
      <c r="U104" s="272"/>
      <c r="BC104" s="432" t="str">
        <f t="shared" si="72"/>
        <v/>
      </c>
      <c r="BD104" s="432" t="str">
        <f t="shared" si="73"/>
        <v/>
      </c>
      <c r="BE104" s="432" t="str">
        <f t="shared" si="74"/>
        <v/>
      </c>
      <c r="BF104" s="432" t="str">
        <f t="shared" si="75"/>
        <v/>
      </c>
      <c r="BG104" s="432" t="str">
        <f t="shared" si="76"/>
        <v/>
      </c>
      <c r="BH104" s="432" t="str">
        <f>_xlfn.LET(_xlpm.x,H104,IF(OR(LEN(_xlpm.x)&lt;1,_xlpm.x=0),"",CONVERT(_xlpm.x,BH7,"kg")))</f>
        <v/>
      </c>
      <c r="BI104" s="432" t="str">
        <f>_xlfn.LET(_xlpm.x,I104,IF(OR(LEN(_xlpm.x)&lt;1,_xlpm.x=0),"",CONVERT(_xlpm.x,BH7,"kg")))</f>
        <v/>
      </c>
      <c r="BJ104" s="432" t="str">
        <f>_xlfn.LET(_xlpm.x,J104,IF(OR(LEN(_xlpm.x)&lt;1,_xlpm.x=0),"",CONVERT(_xlpm.x,BH7,"kg")))</f>
        <v/>
      </c>
      <c r="BK104" s="432" t="str">
        <f>_xlfn.LET(_xlpm.x,K104,IF(OR(LEN(_xlpm.x)&lt;1,_xlpm.x=0),"",CONVERT(_xlpm.x,BH7,"kg")))</f>
        <v/>
      </c>
      <c r="BL104" s="432" t="str">
        <f>_xlfn.LET(_xlpm.x,L104,IF(OR(LEN(_xlpm.x)&lt;1,_xlpm.x=0),"",CONVERT(_xlpm.x,BH7,"kg")))</f>
        <v/>
      </c>
      <c r="BM104" s="432" t="str">
        <f>_xlfn.LET(_xlpm.x,M104,IF(OR(LEN(_xlpm.x)&lt;1,_xlpm.x=0),"",CONVERT(_xlpm.x,BH7,"kg")))</f>
        <v/>
      </c>
      <c r="BN104" s="432" t="str">
        <f>_xlfn.LET(_xlpm.x,N104,IF(OR(LEN(_xlpm.x)&lt;1,_xlpm.x=0),"",CONVERT(_xlpm.x,BH7,"kg")))</f>
        <v/>
      </c>
      <c r="BO104" s="432" t="str">
        <f>_xlfn.LET(_xlpm.x,O104,IF(OR(LEN(_xlpm.x)&lt;1,_xlpm.x=0),"",CONVERT(_xlpm.x,BH7,"kg")))</f>
        <v/>
      </c>
      <c r="BP104" s="432" t="str">
        <f>_xlfn.LET(_xlpm.x,P104,IF(OR(LEN(_xlpm.x)&lt;1,_xlpm.x=0),"",CONVERT(_xlpm.x,BH7,"kg")))</f>
        <v/>
      </c>
      <c r="BQ104" s="432" t="str">
        <f>_xlfn.LET(_xlpm.x,Q104,IF(OR(LEN(_xlpm.x)&lt;1,_xlpm.x=0),"",CONVERT(_xlpm.x,BH7,"kg")))</f>
        <v/>
      </c>
      <c r="BR104" s="432" t="str">
        <f>_xlfn.LET(_xlpm.x,R104,IF(OR(LEN(_xlpm.x)&lt;1,_xlpm.x=0),"",CONVERT(_xlpm.x,BH7,"kg")))</f>
        <v/>
      </c>
      <c r="BS104" s="432" t="str">
        <f>_xlfn.LET(_xlpm.x,S104,IF(OR(LEN(_xlpm.x)&lt;1,_xlpm.x=0),"",CONVERT(_xlpm.x,BH7,"kg")))</f>
        <v/>
      </c>
      <c r="BT104" s="433">
        <f t="shared" si="77"/>
        <v>0</v>
      </c>
      <c r="BU104" s="433" t="str">
        <f>_xlfn.LET(_xlpm.x,BF104,IF(LEN(_xlpm.x)&lt;1,"",IF(ISNUMBER(MATCH(_xlpm.x,ls_Mat_def,0)),'Project Inputs'!$BF$14,99)))</f>
        <v/>
      </c>
      <c r="BV104" s="432" t="str" cm="1">
        <f t="array" ref="BV104">IFERROR(INDEX(tblGWP[],MATCH(1,(tblGWP[Dataset ID]=BU104)*(tblGWP[Material Subcategory]=BF104),0),MATCH(BG104,ls_WHM,0)+5),"confirm")</f>
        <v>confirm</v>
      </c>
      <c r="BW104" s="434" t="str">
        <f t="shared" si="59"/>
        <v>No data</v>
      </c>
      <c r="BX104" s="434" t="str">
        <f t="shared" si="60"/>
        <v>No data</v>
      </c>
      <c r="BY104" s="434" t="str">
        <f t="shared" si="86"/>
        <v>No data</v>
      </c>
      <c r="BZ104" s="434" t="str">
        <f t="shared" si="62"/>
        <v>No data</v>
      </c>
      <c r="CA104" s="434" t="str">
        <f t="shared" si="63"/>
        <v>No data</v>
      </c>
      <c r="CB104" s="434" t="str">
        <f t="shared" si="64"/>
        <v>No data</v>
      </c>
      <c r="CC104" s="434" t="str">
        <f t="shared" si="65"/>
        <v>No data</v>
      </c>
      <c r="CD104" s="434" t="str">
        <f t="shared" si="66"/>
        <v>No data</v>
      </c>
      <c r="CE104" s="434" t="str">
        <f t="shared" si="67"/>
        <v>No data</v>
      </c>
      <c r="CF104" s="434" t="str">
        <f t="shared" si="68"/>
        <v>No data</v>
      </c>
      <c r="CG104" s="434" t="str">
        <f t="shared" si="69"/>
        <v>No data</v>
      </c>
      <c r="CH104" s="434" t="str">
        <f t="shared" si="70"/>
        <v>No data</v>
      </c>
      <c r="CI104" s="435">
        <f t="shared" si="78"/>
        <v>0</v>
      </c>
      <c r="CK104" s="3" t="str">
        <f>_xlfn.LET(_xlpm.x,INDEX(tbl_Mat_def[],MATCH(BF104,ls_Mat_def,0),2),IFERROR(IF(_xlpm.x=0,"No","Yes"),"No"))</f>
        <v>No</v>
      </c>
      <c r="CM104" s="60" t="str">
        <f t="shared" si="79"/>
        <v/>
      </c>
      <c r="CN104" s="60" t="s">
        <v>235</v>
      </c>
      <c r="CO104" s="566" t="str">
        <f>_xlfn.XLOOKUP(CM104,tblGWP[Material Subcategory],tblGWP[Landfill],0)</f>
        <v/>
      </c>
      <c r="CP104" s="436" t="str">
        <f t="shared" si="80"/>
        <v/>
      </c>
      <c r="DD104" s="388">
        <f t="shared" si="87"/>
        <v>0</v>
      </c>
      <c r="DE104" s="22">
        <f t="shared" si="81"/>
        <v>19</v>
      </c>
      <c r="DF104" s="387">
        <f t="shared" si="88"/>
        <v>0</v>
      </c>
      <c r="DG104" s="387">
        <f t="shared" si="82"/>
        <v>0</v>
      </c>
      <c r="DH104" s="22">
        <f t="shared" ca="1" si="83"/>
        <v>0</v>
      </c>
      <c r="DI104">
        <f t="shared" ca="1" si="84"/>
        <v>0</v>
      </c>
    </row>
    <row r="105" spans="1:113" ht="30" hidden="1" customHeight="1" outlineLevel="1">
      <c r="A105" s="22" t="str">
        <f t="shared" si="85"/>
        <v/>
      </c>
      <c r="B105" s="272"/>
      <c r="C105" s="491"/>
      <c r="D105" s="272"/>
      <c r="E105" s="400"/>
      <c r="F105" s="400"/>
      <c r="G105" s="401"/>
      <c r="H105" s="376"/>
      <c r="I105" s="376"/>
      <c r="J105" s="376"/>
      <c r="K105" s="376"/>
      <c r="L105" s="376"/>
      <c r="M105" s="376"/>
      <c r="N105" s="376"/>
      <c r="O105" s="376"/>
      <c r="P105" s="376"/>
      <c r="Q105" s="376"/>
      <c r="R105" s="376"/>
      <c r="S105" s="376"/>
      <c r="T105" s="431">
        <f t="shared" si="71"/>
        <v>0</v>
      </c>
      <c r="U105" s="272"/>
      <c r="BC105" s="432" t="str">
        <f t="shared" si="72"/>
        <v/>
      </c>
      <c r="BD105" s="432" t="str">
        <f t="shared" si="73"/>
        <v/>
      </c>
      <c r="BE105" s="432" t="str">
        <f t="shared" si="74"/>
        <v/>
      </c>
      <c r="BF105" s="432" t="str">
        <f t="shared" si="75"/>
        <v/>
      </c>
      <c r="BG105" s="432" t="str">
        <f t="shared" si="76"/>
        <v/>
      </c>
      <c r="BH105" s="432" t="str">
        <f>_xlfn.LET(_xlpm.x,H105,IF(OR(LEN(_xlpm.x)&lt;1,_xlpm.x=0),"",CONVERT(_xlpm.x,BH7,"kg")))</f>
        <v/>
      </c>
      <c r="BI105" s="432" t="str">
        <f>_xlfn.LET(_xlpm.x,I105,IF(OR(LEN(_xlpm.x)&lt;1,_xlpm.x=0),"",CONVERT(_xlpm.x,BH7,"kg")))</f>
        <v/>
      </c>
      <c r="BJ105" s="432" t="str">
        <f>_xlfn.LET(_xlpm.x,J105,IF(OR(LEN(_xlpm.x)&lt;1,_xlpm.x=0),"",CONVERT(_xlpm.x,BH7,"kg")))</f>
        <v/>
      </c>
      <c r="BK105" s="432" t="str">
        <f>_xlfn.LET(_xlpm.x,K105,IF(OR(LEN(_xlpm.x)&lt;1,_xlpm.x=0),"",CONVERT(_xlpm.x,BH7,"kg")))</f>
        <v/>
      </c>
      <c r="BL105" s="432" t="str">
        <f>_xlfn.LET(_xlpm.x,L105,IF(OR(LEN(_xlpm.x)&lt;1,_xlpm.x=0),"",CONVERT(_xlpm.x,BH7,"kg")))</f>
        <v/>
      </c>
      <c r="BM105" s="432" t="str">
        <f>_xlfn.LET(_xlpm.x,M105,IF(OR(LEN(_xlpm.x)&lt;1,_xlpm.x=0),"",CONVERT(_xlpm.x,BH7,"kg")))</f>
        <v/>
      </c>
      <c r="BN105" s="432" t="str">
        <f>_xlfn.LET(_xlpm.x,N105,IF(OR(LEN(_xlpm.x)&lt;1,_xlpm.x=0),"",CONVERT(_xlpm.x,BH7,"kg")))</f>
        <v/>
      </c>
      <c r="BO105" s="432" t="str">
        <f>_xlfn.LET(_xlpm.x,O105,IF(OR(LEN(_xlpm.x)&lt;1,_xlpm.x=0),"",CONVERT(_xlpm.x,BH7,"kg")))</f>
        <v/>
      </c>
      <c r="BP105" s="432" t="str">
        <f>_xlfn.LET(_xlpm.x,P105,IF(OR(LEN(_xlpm.x)&lt;1,_xlpm.x=0),"",CONVERT(_xlpm.x,BH7,"kg")))</f>
        <v/>
      </c>
      <c r="BQ105" s="432" t="str">
        <f>_xlfn.LET(_xlpm.x,Q105,IF(OR(LEN(_xlpm.x)&lt;1,_xlpm.x=0),"",CONVERT(_xlpm.x,BH7,"kg")))</f>
        <v/>
      </c>
      <c r="BR105" s="432" t="str">
        <f>_xlfn.LET(_xlpm.x,R105,IF(OR(LEN(_xlpm.x)&lt;1,_xlpm.x=0),"",CONVERT(_xlpm.x,BH7,"kg")))</f>
        <v/>
      </c>
      <c r="BS105" s="432" t="str">
        <f>_xlfn.LET(_xlpm.x,S105,IF(OR(LEN(_xlpm.x)&lt;1,_xlpm.x=0),"",CONVERT(_xlpm.x,BH7,"kg")))</f>
        <v/>
      </c>
      <c r="BT105" s="433">
        <f t="shared" si="77"/>
        <v>0</v>
      </c>
      <c r="BU105" s="433" t="str">
        <f>_xlfn.LET(_xlpm.x,BF105,IF(LEN(_xlpm.x)&lt;1,"",IF(ISNUMBER(MATCH(_xlpm.x,ls_Mat_def,0)),'Project Inputs'!$BF$14,99)))</f>
        <v/>
      </c>
      <c r="BV105" s="432" t="str" cm="1">
        <f t="array" ref="BV105">IFERROR(INDEX(tblGWP[],MATCH(1,(tblGWP[Dataset ID]=BU105)*(tblGWP[Material Subcategory]=BF105),0),MATCH(BG105,ls_WHM,0)+5),"confirm")</f>
        <v>confirm</v>
      </c>
      <c r="BW105" s="434" t="str">
        <f t="shared" si="59"/>
        <v>No data</v>
      </c>
      <c r="BX105" s="434" t="str">
        <f t="shared" si="60"/>
        <v>No data</v>
      </c>
      <c r="BY105" s="434" t="str">
        <f t="shared" si="86"/>
        <v>No data</v>
      </c>
      <c r="BZ105" s="434" t="str">
        <f t="shared" si="62"/>
        <v>No data</v>
      </c>
      <c r="CA105" s="434" t="str">
        <f t="shared" si="63"/>
        <v>No data</v>
      </c>
      <c r="CB105" s="434" t="str">
        <f t="shared" si="64"/>
        <v>No data</v>
      </c>
      <c r="CC105" s="434" t="str">
        <f t="shared" si="65"/>
        <v>No data</v>
      </c>
      <c r="CD105" s="434" t="str">
        <f t="shared" si="66"/>
        <v>No data</v>
      </c>
      <c r="CE105" s="434" t="str">
        <f t="shared" si="67"/>
        <v>No data</v>
      </c>
      <c r="CF105" s="434" t="str">
        <f t="shared" si="68"/>
        <v>No data</v>
      </c>
      <c r="CG105" s="434" t="str">
        <f t="shared" si="69"/>
        <v>No data</v>
      </c>
      <c r="CH105" s="434" t="str">
        <f t="shared" si="70"/>
        <v>No data</v>
      </c>
      <c r="CI105" s="435">
        <f t="shared" si="78"/>
        <v>0</v>
      </c>
      <c r="CK105" s="3" t="str">
        <f>_xlfn.LET(_xlpm.x,INDEX(tbl_Mat_def[],MATCH(BF105,ls_Mat_def,0),2),IFERROR(IF(_xlpm.x=0,"No","Yes"),"No"))</f>
        <v>No</v>
      </c>
      <c r="CM105" s="60" t="str">
        <f t="shared" si="79"/>
        <v/>
      </c>
      <c r="CN105" s="60" t="s">
        <v>235</v>
      </c>
      <c r="CO105" s="566" t="str">
        <f>_xlfn.XLOOKUP(CM105,tblGWP[Material Subcategory],tblGWP[Landfill],0)</f>
        <v/>
      </c>
      <c r="CP105" s="436" t="str">
        <f t="shared" si="80"/>
        <v/>
      </c>
      <c r="DD105" s="388">
        <f t="shared" si="87"/>
        <v>0</v>
      </c>
      <c r="DE105" s="22">
        <f t="shared" si="81"/>
        <v>19</v>
      </c>
      <c r="DF105" s="387">
        <f t="shared" si="88"/>
        <v>0</v>
      </c>
      <c r="DG105" s="387">
        <f t="shared" si="82"/>
        <v>0</v>
      </c>
      <c r="DH105" s="22">
        <f t="shared" ca="1" si="83"/>
        <v>0</v>
      </c>
      <c r="DI105">
        <f t="shared" ca="1" si="84"/>
        <v>0</v>
      </c>
    </row>
    <row r="106" spans="1:113" ht="30" hidden="1" customHeight="1" outlineLevel="1">
      <c r="A106" s="22" t="str">
        <f t="shared" si="85"/>
        <v/>
      </c>
      <c r="B106" s="272"/>
      <c r="C106" s="491"/>
      <c r="D106" s="272"/>
      <c r="E106" s="400"/>
      <c r="F106" s="400"/>
      <c r="G106" s="401"/>
      <c r="H106" s="376"/>
      <c r="I106" s="376"/>
      <c r="J106" s="376"/>
      <c r="K106" s="376"/>
      <c r="L106" s="376"/>
      <c r="M106" s="376"/>
      <c r="N106" s="376"/>
      <c r="O106" s="376"/>
      <c r="P106" s="376"/>
      <c r="Q106" s="376"/>
      <c r="R106" s="376"/>
      <c r="S106" s="376"/>
      <c r="T106" s="431">
        <f t="shared" si="71"/>
        <v>0</v>
      </c>
      <c r="U106" s="272"/>
      <c r="BC106" s="432" t="str">
        <f t="shared" si="72"/>
        <v/>
      </c>
      <c r="BD106" s="432" t="str">
        <f t="shared" si="73"/>
        <v/>
      </c>
      <c r="BE106" s="432" t="str">
        <f t="shared" si="74"/>
        <v/>
      </c>
      <c r="BF106" s="432" t="str">
        <f t="shared" si="75"/>
        <v/>
      </c>
      <c r="BG106" s="432" t="str">
        <f t="shared" si="76"/>
        <v/>
      </c>
      <c r="BH106" s="432" t="str">
        <f>_xlfn.LET(_xlpm.x,H106,IF(OR(LEN(_xlpm.x)&lt;1,_xlpm.x=0),"",CONVERT(_xlpm.x,BH7,"kg")))</f>
        <v/>
      </c>
      <c r="BI106" s="432" t="str">
        <f>_xlfn.LET(_xlpm.x,I106,IF(OR(LEN(_xlpm.x)&lt;1,_xlpm.x=0),"",CONVERT(_xlpm.x,BH7,"kg")))</f>
        <v/>
      </c>
      <c r="BJ106" s="432" t="str">
        <f>_xlfn.LET(_xlpm.x,J106,IF(OR(LEN(_xlpm.x)&lt;1,_xlpm.x=0),"",CONVERT(_xlpm.x,BH7,"kg")))</f>
        <v/>
      </c>
      <c r="BK106" s="432" t="str">
        <f>_xlfn.LET(_xlpm.x,K106,IF(OR(LEN(_xlpm.x)&lt;1,_xlpm.x=0),"",CONVERT(_xlpm.x,BH7,"kg")))</f>
        <v/>
      </c>
      <c r="BL106" s="432" t="str">
        <f>_xlfn.LET(_xlpm.x,L106,IF(OR(LEN(_xlpm.x)&lt;1,_xlpm.x=0),"",CONVERT(_xlpm.x,BH7,"kg")))</f>
        <v/>
      </c>
      <c r="BM106" s="432" t="str">
        <f>_xlfn.LET(_xlpm.x,M106,IF(OR(LEN(_xlpm.x)&lt;1,_xlpm.x=0),"",CONVERT(_xlpm.x,BH7,"kg")))</f>
        <v/>
      </c>
      <c r="BN106" s="432" t="str">
        <f>_xlfn.LET(_xlpm.x,N106,IF(OR(LEN(_xlpm.x)&lt;1,_xlpm.x=0),"",CONVERT(_xlpm.x,BH7,"kg")))</f>
        <v/>
      </c>
      <c r="BO106" s="432" t="str">
        <f>_xlfn.LET(_xlpm.x,O106,IF(OR(LEN(_xlpm.x)&lt;1,_xlpm.x=0),"",CONVERT(_xlpm.x,BH7,"kg")))</f>
        <v/>
      </c>
      <c r="BP106" s="432" t="str">
        <f>_xlfn.LET(_xlpm.x,P106,IF(OR(LEN(_xlpm.x)&lt;1,_xlpm.x=0),"",CONVERT(_xlpm.x,BH7,"kg")))</f>
        <v/>
      </c>
      <c r="BQ106" s="432" t="str">
        <f>_xlfn.LET(_xlpm.x,Q106,IF(OR(LEN(_xlpm.x)&lt;1,_xlpm.x=0),"",CONVERT(_xlpm.x,BH7,"kg")))</f>
        <v/>
      </c>
      <c r="BR106" s="432" t="str">
        <f>_xlfn.LET(_xlpm.x,R106,IF(OR(LEN(_xlpm.x)&lt;1,_xlpm.x=0),"",CONVERT(_xlpm.x,BH7,"kg")))</f>
        <v/>
      </c>
      <c r="BS106" s="432" t="str">
        <f>_xlfn.LET(_xlpm.x,S106,IF(OR(LEN(_xlpm.x)&lt;1,_xlpm.x=0),"",CONVERT(_xlpm.x,BH7,"kg")))</f>
        <v/>
      </c>
      <c r="BT106" s="433">
        <f t="shared" si="77"/>
        <v>0</v>
      </c>
      <c r="BU106" s="433" t="str">
        <f>_xlfn.LET(_xlpm.x,BF106,IF(LEN(_xlpm.x)&lt;1,"",IF(ISNUMBER(MATCH(_xlpm.x,ls_Mat_def,0)),'Project Inputs'!$BF$14,99)))</f>
        <v/>
      </c>
      <c r="BV106" s="432" t="str" cm="1">
        <f t="array" ref="BV106">IFERROR(INDEX(tblGWP[],MATCH(1,(tblGWP[Dataset ID]=BU106)*(tblGWP[Material Subcategory]=BF106),0),MATCH(BG106,ls_WHM,0)+5),"confirm")</f>
        <v>confirm</v>
      </c>
      <c r="BW106" s="434" t="str">
        <f t="shared" si="59"/>
        <v>No data</v>
      </c>
      <c r="BX106" s="434" t="str">
        <f t="shared" si="60"/>
        <v>No data</v>
      </c>
      <c r="BY106" s="434" t="str">
        <f t="shared" si="86"/>
        <v>No data</v>
      </c>
      <c r="BZ106" s="434" t="str">
        <f t="shared" si="62"/>
        <v>No data</v>
      </c>
      <c r="CA106" s="434" t="str">
        <f t="shared" si="63"/>
        <v>No data</v>
      </c>
      <c r="CB106" s="434" t="str">
        <f t="shared" si="64"/>
        <v>No data</v>
      </c>
      <c r="CC106" s="434" t="str">
        <f t="shared" si="65"/>
        <v>No data</v>
      </c>
      <c r="CD106" s="434" t="str">
        <f t="shared" si="66"/>
        <v>No data</v>
      </c>
      <c r="CE106" s="434" t="str">
        <f t="shared" si="67"/>
        <v>No data</v>
      </c>
      <c r="CF106" s="434" t="str">
        <f t="shared" si="68"/>
        <v>No data</v>
      </c>
      <c r="CG106" s="434" t="str">
        <f t="shared" si="69"/>
        <v>No data</v>
      </c>
      <c r="CH106" s="434" t="str">
        <f t="shared" si="70"/>
        <v>No data</v>
      </c>
      <c r="CI106" s="435">
        <f t="shared" si="78"/>
        <v>0</v>
      </c>
      <c r="CK106" s="3" t="str">
        <f>_xlfn.LET(_xlpm.x,INDEX(tbl_Mat_def[],MATCH(BF106,ls_Mat_def,0),2),IFERROR(IF(_xlpm.x=0,"No","Yes"),"No"))</f>
        <v>No</v>
      </c>
      <c r="CM106" s="60" t="str">
        <f t="shared" si="79"/>
        <v/>
      </c>
      <c r="CN106" s="60" t="s">
        <v>235</v>
      </c>
      <c r="CO106" s="566" t="str">
        <f>_xlfn.XLOOKUP(CM106,tblGWP[Material Subcategory],tblGWP[Landfill],0)</f>
        <v/>
      </c>
      <c r="CP106" s="436" t="str">
        <f t="shared" si="80"/>
        <v/>
      </c>
      <c r="DD106" s="388">
        <f t="shared" si="87"/>
        <v>0</v>
      </c>
      <c r="DE106" s="22">
        <f t="shared" si="81"/>
        <v>19</v>
      </c>
      <c r="DF106" s="387">
        <f t="shared" si="88"/>
        <v>0</v>
      </c>
      <c r="DG106" s="387">
        <f t="shared" si="82"/>
        <v>0</v>
      </c>
      <c r="DH106" s="22">
        <f t="shared" ca="1" si="83"/>
        <v>0</v>
      </c>
      <c r="DI106">
        <f t="shared" ca="1" si="84"/>
        <v>0</v>
      </c>
    </row>
    <row r="107" spans="1:113" ht="30" hidden="1" customHeight="1" outlineLevel="1">
      <c r="A107" s="22" t="str">
        <f t="shared" si="85"/>
        <v/>
      </c>
      <c r="B107" s="272"/>
      <c r="C107" s="491"/>
      <c r="D107" s="272"/>
      <c r="E107" s="400"/>
      <c r="F107" s="400"/>
      <c r="G107" s="401"/>
      <c r="H107" s="376"/>
      <c r="I107" s="376"/>
      <c r="J107" s="376"/>
      <c r="K107" s="376"/>
      <c r="L107" s="376"/>
      <c r="M107" s="376"/>
      <c r="N107" s="376"/>
      <c r="O107" s="376"/>
      <c r="P107" s="376"/>
      <c r="Q107" s="376"/>
      <c r="R107" s="376"/>
      <c r="S107" s="376"/>
      <c r="T107" s="431">
        <f t="shared" si="71"/>
        <v>0</v>
      </c>
      <c r="U107" s="272"/>
      <c r="BC107" s="432" t="str">
        <f t="shared" si="72"/>
        <v/>
      </c>
      <c r="BD107" s="432" t="str">
        <f t="shared" si="73"/>
        <v/>
      </c>
      <c r="BE107" s="432" t="str">
        <f t="shared" si="74"/>
        <v/>
      </c>
      <c r="BF107" s="432" t="str">
        <f t="shared" si="75"/>
        <v/>
      </c>
      <c r="BG107" s="432" t="str">
        <f t="shared" si="76"/>
        <v/>
      </c>
      <c r="BH107" s="432" t="str">
        <f>_xlfn.LET(_xlpm.x,H107,IF(OR(LEN(_xlpm.x)&lt;1,_xlpm.x=0),"",CONVERT(_xlpm.x,BH7,"kg")))</f>
        <v/>
      </c>
      <c r="BI107" s="432" t="str">
        <f>_xlfn.LET(_xlpm.x,I107,IF(OR(LEN(_xlpm.x)&lt;1,_xlpm.x=0),"",CONVERT(_xlpm.x,BH7,"kg")))</f>
        <v/>
      </c>
      <c r="BJ107" s="432" t="str">
        <f>_xlfn.LET(_xlpm.x,J107,IF(OR(LEN(_xlpm.x)&lt;1,_xlpm.x=0),"",CONVERT(_xlpm.x,BH7,"kg")))</f>
        <v/>
      </c>
      <c r="BK107" s="432" t="str">
        <f>_xlfn.LET(_xlpm.x,K107,IF(OR(LEN(_xlpm.x)&lt;1,_xlpm.x=0),"",CONVERT(_xlpm.x,BH7,"kg")))</f>
        <v/>
      </c>
      <c r="BL107" s="432" t="str">
        <f>_xlfn.LET(_xlpm.x,L107,IF(OR(LEN(_xlpm.x)&lt;1,_xlpm.x=0),"",CONVERT(_xlpm.x,BH7,"kg")))</f>
        <v/>
      </c>
      <c r="BM107" s="432" t="str">
        <f>_xlfn.LET(_xlpm.x,M107,IF(OR(LEN(_xlpm.x)&lt;1,_xlpm.x=0),"",CONVERT(_xlpm.x,BH7,"kg")))</f>
        <v/>
      </c>
      <c r="BN107" s="432" t="str">
        <f>_xlfn.LET(_xlpm.x,N107,IF(OR(LEN(_xlpm.x)&lt;1,_xlpm.x=0),"",CONVERT(_xlpm.x,BH7,"kg")))</f>
        <v/>
      </c>
      <c r="BO107" s="432" t="str">
        <f>_xlfn.LET(_xlpm.x,O107,IF(OR(LEN(_xlpm.x)&lt;1,_xlpm.x=0),"",CONVERT(_xlpm.x,BH7,"kg")))</f>
        <v/>
      </c>
      <c r="BP107" s="432" t="str">
        <f>_xlfn.LET(_xlpm.x,P107,IF(OR(LEN(_xlpm.x)&lt;1,_xlpm.x=0),"",CONVERT(_xlpm.x,BH7,"kg")))</f>
        <v/>
      </c>
      <c r="BQ107" s="432" t="str">
        <f>_xlfn.LET(_xlpm.x,Q107,IF(OR(LEN(_xlpm.x)&lt;1,_xlpm.x=0),"",CONVERT(_xlpm.x,BH7,"kg")))</f>
        <v/>
      </c>
      <c r="BR107" s="432" t="str">
        <f>_xlfn.LET(_xlpm.x,R107,IF(OR(LEN(_xlpm.x)&lt;1,_xlpm.x=0),"",CONVERT(_xlpm.x,BH7,"kg")))</f>
        <v/>
      </c>
      <c r="BS107" s="432" t="str">
        <f>_xlfn.LET(_xlpm.x,S107,IF(OR(LEN(_xlpm.x)&lt;1,_xlpm.x=0),"",CONVERT(_xlpm.x,BH7,"kg")))</f>
        <v/>
      </c>
      <c r="BT107" s="433">
        <f t="shared" si="77"/>
        <v>0</v>
      </c>
      <c r="BU107" s="433" t="str">
        <f>_xlfn.LET(_xlpm.x,BF107,IF(LEN(_xlpm.x)&lt;1,"",IF(ISNUMBER(MATCH(_xlpm.x,ls_Mat_def,0)),'Project Inputs'!$BF$14,99)))</f>
        <v/>
      </c>
      <c r="BV107" s="432" t="str" cm="1">
        <f t="array" ref="BV107">IFERROR(INDEX(tblGWP[],MATCH(1,(tblGWP[Dataset ID]=BU107)*(tblGWP[Material Subcategory]=BF107),0),MATCH(BG107,ls_WHM,0)+5),"confirm")</f>
        <v>confirm</v>
      </c>
      <c r="BW107" s="434" t="str">
        <f t="shared" si="59"/>
        <v>No data</v>
      </c>
      <c r="BX107" s="434" t="str">
        <f t="shared" si="60"/>
        <v>No data</v>
      </c>
      <c r="BY107" s="434" t="str">
        <f t="shared" si="86"/>
        <v>No data</v>
      </c>
      <c r="BZ107" s="434" t="str">
        <f t="shared" si="62"/>
        <v>No data</v>
      </c>
      <c r="CA107" s="434" t="str">
        <f t="shared" si="63"/>
        <v>No data</v>
      </c>
      <c r="CB107" s="434" t="str">
        <f t="shared" si="64"/>
        <v>No data</v>
      </c>
      <c r="CC107" s="434" t="str">
        <f t="shared" si="65"/>
        <v>No data</v>
      </c>
      <c r="CD107" s="434" t="str">
        <f t="shared" si="66"/>
        <v>No data</v>
      </c>
      <c r="CE107" s="434" t="str">
        <f t="shared" si="67"/>
        <v>No data</v>
      </c>
      <c r="CF107" s="434" t="str">
        <f t="shared" si="68"/>
        <v>No data</v>
      </c>
      <c r="CG107" s="434" t="str">
        <f t="shared" si="69"/>
        <v>No data</v>
      </c>
      <c r="CH107" s="434" t="str">
        <f t="shared" si="70"/>
        <v>No data</v>
      </c>
      <c r="CI107" s="435">
        <f t="shared" si="78"/>
        <v>0</v>
      </c>
      <c r="CK107" s="3" t="str">
        <f>_xlfn.LET(_xlpm.x,INDEX(tbl_Mat_def[],MATCH(BF107,ls_Mat_def,0),2),IFERROR(IF(_xlpm.x=0,"No","Yes"),"No"))</f>
        <v>No</v>
      </c>
      <c r="CM107" s="60" t="str">
        <f t="shared" si="79"/>
        <v/>
      </c>
      <c r="CN107" s="60" t="s">
        <v>235</v>
      </c>
      <c r="CO107" s="566" t="str">
        <f>_xlfn.XLOOKUP(CM107,tblGWP[Material Subcategory],tblGWP[Landfill],0)</f>
        <v/>
      </c>
      <c r="CP107" s="436" t="str">
        <f t="shared" si="80"/>
        <v/>
      </c>
      <c r="DD107" s="388">
        <f t="shared" si="87"/>
        <v>0</v>
      </c>
      <c r="DE107" s="22">
        <f t="shared" si="81"/>
        <v>19</v>
      </c>
      <c r="DF107" s="387">
        <f t="shared" si="88"/>
        <v>0</v>
      </c>
      <c r="DG107" s="387">
        <f t="shared" si="82"/>
        <v>0</v>
      </c>
      <c r="DH107" s="22">
        <f t="shared" ca="1" si="83"/>
        <v>0</v>
      </c>
      <c r="DI107">
        <f t="shared" ca="1" si="84"/>
        <v>0</v>
      </c>
    </row>
    <row r="108" spans="1:113" ht="30" hidden="1" customHeight="1" outlineLevel="1">
      <c r="A108" s="22" t="str">
        <f t="shared" si="85"/>
        <v/>
      </c>
      <c r="B108" s="272"/>
      <c r="C108" s="491"/>
      <c r="D108" s="272"/>
      <c r="E108" s="400"/>
      <c r="F108" s="400"/>
      <c r="G108" s="401"/>
      <c r="H108" s="376"/>
      <c r="I108" s="376"/>
      <c r="J108" s="376"/>
      <c r="K108" s="376"/>
      <c r="L108" s="376"/>
      <c r="M108" s="376"/>
      <c r="N108" s="376"/>
      <c r="O108" s="376"/>
      <c r="P108" s="376"/>
      <c r="Q108" s="376"/>
      <c r="R108" s="376"/>
      <c r="S108" s="376"/>
      <c r="T108" s="431">
        <f t="shared" si="71"/>
        <v>0</v>
      </c>
      <c r="U108" s="272"/>
      <c r="BC108" s="432" t="str">
        <f t="shared" si="72"/>
        <v/>
      </c>
      <c r="BD108" s="432" t="str">
        <f t="shared" si="73"/>
        <v/>
      </c>
      <c r="BE108" s="432" t="str">
        <f t="shared" si="74"/>
        <v/>
      </c>
      <c r="BF108" s="432" t="str">
        <f t="shared" si="75"/>
        <v/>
      </c>
      <c r="BG108" s="432" t="str">
        <f t="shared" si="76"/>
        <v/>
      </c>
      <c r="BH108" s="432" t="str">
        <f>_xlfn.LET(_xlpm.x,H108,IF(OR(LEN(_xlpm.x)&lt;1,_xlpm.x=0),"",CONVERT(_xlpm.x,BH7,"kg")))</f>
        <v/>
      </c>
      <c r="BI108" s="432" t="str">
        <f>_xlfn.LET(_xlpm.x,I108,IF(OR(LEN(_xlpm.x)&lt;1,_xlpm.x=0),"",CONVERT(_xlpm.x,BH7,"kg")))</f>
        <v/>
      </c>
      <c r="BJ108" s="432" t="str">
        <f>_xlfn.LET(_xlpm.x,J108,IF(OR(LEN(_xlpm.x)&lt;1,_xlpm.x=0),"",CONVERT(_xlpm.x,BH7,"kg")))</f>
        <v/>
      </c>
      <c r="BK108" s="432" t="str">
        <f>_xlfn.LET(_xlpm.x,K108,IF(OR(LEN(_xlpm.x)&lt;1,_xlpm.x=0),"",CONVERT(_xlpm.x,BH7,"kg")))</f>
        <v/>
      </c>
      <c r="BL108" s="432" t="str">
        <f>_xlfn.LET(_xlpm.x,L108,IF(OR(LEN(_xlpm.x)&lt;1,_xlpm.x=0),"",CONVERT(_xlpm.x,BH7,"kg")))</f>
        <v/>
      </c>
      <c r="BM108" s="432" t="str">
        <f>_xlfn.LET(_xlpm.x,M108,IF(OR(LEN(_xlpm.x)&lt;1,_xlpm.x=0),"",CONVERT(_xlpm.x,BH7,"kg")))</f>
        <v/>
      </c>
      <c r="BN108" s="432" t="str">
        <f>_xlfn.LET(_xlpm.x,N108,IF(OR(LEN(_xlpm.x)&lt;1,_xlpm.x=0),"",CONVERT(_xlpm.x,BH7,"kg")))</f>
        <v/>
      </c>
      <c r="BO108" s="432" t="str">
        <f>_xlfn.LET(_xlpm.x,O108,IF(OR(LEN(_xlpm.x)&lt;1,_xlpm.x=0),"",CONVERT(_xlpm.x,BH7,"kg")))</f>
        <v/>
      </c>
      <c r="BP108" s="432" t="str">
        <f>_xlfn.LET(_xlpm.x,P108,IF(OR(LEN(_xlpm.x)&lt;1,_xlpm.x=0),"",CONVERT(_xlpm.x,BH7,"kg")))</f>
        <v/>
      </c>
      <c r="BQ108" s="432" t="str">
        <f>_xlfn.LET(_xlpm.x,Q108,IF(OR(LEN(_xlpm.x)&lt;1,_xlpm.x=0),"",CONVERT(_xlpm.x,BH7,"kg")))</f>
        <v/>
      </c>
      <c r="BR108" s="432" t="str">
        <f>_xlfn.LET(_xlpm.x,R108,IF(OR(LEN(_xlpm.x)&lt;1,_xlpm.x=0),"",CONVERT(_xlpm.x,BH7,"kg")))</f>
        <v/>
      </c>
      <c r="BS108" s="432" t="str">
        <f>_xlfn.LET(_xlpm.x,S108,IF(OR(LEN(_xlpm.x)&lt;1,_xlpm.x=0),"",CONVERT(_xlpm.x,BH7,"kg")))</f>
        <v/>
      </c>
      <c r="BT108" s="433">
        <f t="shared" si="77"/>
        <v>0</v>
      </c>
      <c r="BU108" s="433" t="str">
        <f>_xlfn.LET(_xlpm.x,BF108,IF(LEN(_xlpm.x)&lt;1,"",IF(ISNUMBER(MATCH(_xlpm.x,ls_Mat_def,0)),'Project Inputs'!$BF$14,99)))</f>
        <v/>
      </c>
      <c r="BV108" s="432" t="str" cm="1">
        <f t="array" ref="BV108">IFERROR(INDEX(tblGWP[],MATCH(1,(tblGWP[Dataset ID]=BU108)*(tblGWP[Material Subcategory]=BF108),0),MATCH(BG108,ls_WHM,0)+5),"confirm")</f>
        <v>confirm</v>
      </c>
      <c r="BW108" s="434" t="str">
        <f t="shared" si="59"/>
        <v>No data</v>
      </c>
      <c r="BX108" s="434" t="str">
        <f t="shared" si="60"/>
        <v>No data</v>
      </c>
      <c r="BY108" s="434" t="str">
        <f t="shared" si="86"/>
        <v>No data</v>
      </c>
      <c r="BZ108" s="434" t="str">
        <f t="shared" si="62"/>
        <v>No data</v>
      </c>
      <c r="CA108" s="434" t="str">
        <f t="shared" si="63"/>
        <v>No data</v>
      </c>
      <c r="CB108" s="434" t="str">
        <f t="shared" si="64"/>
        <v>No data</v>
      </c>
      <c r="CC108" s="434" t="str">
        <f t="shared" si="65"/>
        <v>No data</v>
      </c>
      <c r="CD108" s="434" t="str">
        <f t="shared" si="66"/>
        <v>No data</v>
      </c>
      <c r="CE108" s="434" t="str">
        <f t="shared" si="67"/>
        <v>No data</v>
      </c>
      <c r="CF108" s="434" t="str">
        <f t="shared" si="68"/>
        <v>No data</v>
      </c>
      <c r="CG108" s="434" t="str">
        <f t="shared" si="69"/>
        <v>No data</v>
      </c>
      <c r="CH108" s="434" t="str">
        <f t="shared" si="70"/>
        <v>No data</v>
      </c>
      <c r="CI108" s="435">
        <f t="shared" si="78"/>
        <v>0</v>
      </c>
      <c r="CK108" s="3" t="str">
        <f>_xlfn.LET(_xlpm.x,INDEX(tbl_Mat_def[],MATCH(BF108,ls_Mat_def,0),2),IFERROR(IF(_xlpm.x=0,"No","Yes"),"No"))</f>
        <v>No</v>
      </c>
      <c r="CM108" s="60" t="str">
        <f t="shared" si="79"/>
        <v/>
      </c>
      <c r="CN108" s="60" t="s">
        <v>235</v>
      </c>
      <c r="CO108" s="566" t="str">
        <f>_xlfn.XLOOKUP(CM108,tblGWP[Material Subcategory],tblGWP[Landfill],0)</f>
        <v/>
      </c>
      <c r="CP108" s="436" t="str">
        <f t="shared" si="80"/>
        <v/>
      </c>
      <c r="DD108" s="388">
        <f t="shared" si="87"/>
        <v>0</v>
      </c>
      <c r="DE108" s="22">
        <f t="shared" si="81"/>
        <v>19</v>
      </c>
      <c r="DF108" s="387">
        <f t="shared" si="88"/>
        <v>0</v>
      </c>
      <c r="DG108" s="387">
        <f t="shared" si="82"/>
        <v>0</v>
      </c>
      <c r="DH108" s="22">
        <f t="shared" ca="1" si="83"/>
        <v>0</v>
      </c>
      <c r="DI108">
        <f t="shared" ca="1" si="84"/>
        <v>0</v>
      </c>
    </row>
    <row r="109" spans="1:113" ht="30" hidden="1" customHeight="1" outlineLevel="1">
      <c r="A109" s="22" t="str">
        <f t="shared" si="85"/>
        <v/>
      </c>
      <c r="B109" s="272"/>
      <c r="C109" s="491"/>
      <c r="D109" s="272"/>
      <c r="E109" s="400"/>
      <c r="F109" s="400"/>
      <c r="G109" s="401"/>
      <c r="H109" s="376"/>
      <c r="I109" s="376"/>
      <c r="J109" s="376"/>
      <c r="K109" s="376"/>
      <c r="L109" s="376"/>
      <c r="M109" s="376"/>
      <c r="N109" s="376"/>
      <c r="O109" s="376"/>
      <c r="P109" s="376"/>
      <c r="Q109" s="376"/>
      <c r="R109" s="376"/>
      <c r="S109" s="376"/>
      <c r="T109" s="431">
        <f t="shared" si="71"/>
        <v>0</v>
      </c>
      <c r="U109" s="272"/>
      <c r="BC109" s="432" t="str">
        <f t="shared" si="72"/>
        <v/>
      </c>
      <c r="BD109" s="432" t="str">
        <f t="shared" si="73"/>
        <v/>
      </c>
      <c r="BE109" s="432" t="str">
        <f t="shared" si="74"/>
        <v/>
      </c>
      <c r="BF109" s="432" t="str">
        <f t="shared" si="75"/>
        <v/>
      </c>
      <c r="BG109" s="432" t="str">
        <f t="shared" si="76"/>
        <v/>
      </c>
      <c r="BH109" s="432" t="str">
        <f>_xlfn.LET(_xlpm.x,H109,IF(OR(LEN(_xlpm.x)&lt;1,_xlpm.x=0),"",CONVERT(_xlpm.x,BH7,"kg")))</f>
        <v/>
      </c>
      <c r="BI109" s="432" t="str">
        <f>_xlfn.LET(_xlpm.x,I109,IF(OR(LEN(_xlpm.x)&lt;1,_xlpm.x=0),"",CONVERT(_xlpm.x,BH7,"kg")))</f>
        <v/>
      </c>
      <c r="BJ109" s="432" t="str">
        <f>_xlfn.LET(_xlpm.x,J109,IF(OR(LEN(_xlpm.x)&lt;1,_xlpm.x=0),"",CONVERT(_xlpm.x,BH7,"kg")))</f>
        <v/>
      </c>
      <c r="BK109" s="432" t="str">
        <f>_xlfn.LET(_xlpm.x,K109,IF(OR(LEN(_xlpm.x)&lt;1,_xlpm.x=0),"",CONVERT(_xlpm.x,BH7,"kg")))</f>
        <v/>
      </c>
      <c r="BL109" s="432" t="str">
        <f>_xlfn.LET(_xlpm.x,L109,IF(OR(LEN(_xlpm.x)&lt;1,_xlpm.x=0),"",CONVERT(_xlpm.x,BH7,"kg")))</f>
        <v/>
      </c>
      <c r="BM109" s="432" t="str">
        <f>_xlfn.LET(_xlpm.x,M109,IF(OR(LEN(_xlpm.x)&lt;1,_xlpm.x=0),"",CONVERT(_xlpm.x,BH7,"kg")))</f>
        <v/>
      </c>
      <c r="BN109" s="432" t="str">
        <f>_xlfn.LET(_xlpm.x,N109,IF(OR(LEN(_xlpm.x)&lt;1,_xlpm.x=0),"",CONVERT(_xlpm.x,BH7,"kg")))</f>
        <v/>
      </c>
      <c r="BO109" s="432" t="str">
        <f>_xlfn.LET(_xlpm.x,O109,IF(OR(LEN(_xlpm.x)&lt;1,_xlpm.x=0),"",CONVERT(_xlpm.x,BH7,"kg")))</f>
        <v/>
      </c>
      <c r="BP109" s="432" t="str">
        <f>_xlfn.LET(_xlpm.x,P109,IF(OR(LEN(_xlpm.x)&lt;1,_xlpm.x=0),"",CONVERT(_xlpm.x,BH7,"kg")))</f>
        <v/>
      </c>
      <c r="BQ109" s="432" t="str">
        <f>_xlfn.LET(_xlpm.x,Q109,IF(OR(LEN(_xlpm.x)&lt;1,_xlpm.x=0),"",CONVERT(_xlpm.x,BH7,"kg")))</f>
        <v/>
      </c>
      <c r="BR109" s="432" t="str">
        <f>_xlfn.LET(_xlpm.x,R109,IF(OR(LEN(_xlpm.x)&lt;1,_xlpm.x=0),"",CONVERT(_xlpm.x,BH7,"kg")))</f>
        <v/>
      </c>
      <c r="BS109" s="432" t="str">
        <f>_xlfn.LET(_xlpm.x,S109,IF(OR(LEN(_xlpm.x)&lt;1,_xlpm.x=0),"",CONVERT(_xlpm.x,BH7,"kg")))</f>
        <v/>
      </c>
      <c r="BT109" s="433">
        <f t="shared" si="77"/>
        <v>0</v>
      </c>
      <c r="BU109" s="433" t="str">
        <f>_xlfn.LET(_xlpm.x,BF109,IF(LEN(_xlpm.x)&lt;1,"",IF(ISNUMBER(MATCH(_xlpm.x,ls_Mat_def,0)),'Project Inputs'!$BF$14,99)))</f>
        <v/>
      </c>
      <c r="BV109" s="432" t="str" cm="1">
        <f t="array" ref="BV109">IFERROR(INDEX(tblGWP[],MATCH(1,(tblGWP[Dataset ID]=BU109)*(tblGWP[Material Subcategory]=BF109),0),MATCH(BG109,ls_WHM,0)+5),"confirm")</f>
        <v>confirm</v>
      </c>
      <c r="BW109" s="434" t="str">
        <f t="shared" si="59"/>
        <v>No data</v>
      </c>
      <c r="BX109" s="434" t="str">
        <f t="shared" si="60"/>
        <v>No data</v>
      </c>
      <c r="BY109" s="434" t="str">
        <f t="shared" si="86"/>
        <v>No data</v>
      </c>
      <c r="BZ109" s="434" t="str">
        <f t="shared" si="62"/>
        <v>No data</v>
      </c>
      <c r="CA109" s="434" t="str">
        <f t="shared" si="63"/>
        <v>No data</v>
      </c>
      <c r="CB109" s="434" t="str">
        <f t="shared" si="64"/>
        <v>No data</v>
      </c>
      <c r="CC109" s="434" t="str">
        <f t="shared" si="65"/>
        <v>No data</v>
      </c>
      <c r="CD109" s="434" t="str">
        <f t="shared" si="66"/>
        <v>No data</v>
      </c>
      <c r="CE109" s="434" t="str">
        <f t="shared" si="67"/>
        <v>No data</v>
      </c>
      <c r="CF109" s="434" t="str">
        <f t="shared" si="68"/>
        <v>No data</v>
      </c>
      <c r="CG109" s="434" t="str">
        <f t="shared" si="69"/>
        <v>No data</v>
      </c>
      <c r="CH109" s="434" t="str">
        <f t="shared" si="70"/>
        <v>No data</v>
      </c>
      <c r="CI109" s="435">
        <f t="shared" si="78"/>
        <v>0</v>
      </c>
      <c r="CK109" s="3" t="str">
        <f>_xlfn.LET(_xlpm.x,INDEX(tbl_Mat_def[],MATCH(BF109,ls_Mat_def,0),2),IFERROR(IF(_xlpm.x=0,"No","Yes"),"No"))</f>
        <v>No</v>
      </c>
      <c r="CM109" s="60" t="str">
        <f t="shared" si="79"/>
        <v/>
      </c>
      <c r="CN109" s="60" t="s">
        <v>235</v>
      </c>
      <c r="CO109" s="566" t="str">
        <f>_xlfn.XLOOKUP(CM109,tblGWP[Material Subcategory],tblGWP[Landfill],0)</f>
        <v/>
      </c>
      <c r="CP109" s="436" t="str">
        <f t="shared" si="80"/>
        <v/>
      </c>
      <c r="DD109" s="388">
        <f t="shared" si="87"/>
        <v>0</v>
      </c>
      <c r="DE109" s="22">
        <f t="shared" si="81"/>
        <v>19</v>
      </c>
      <c r="DF109" s="387">
        <f t="shared" si="88"/>
        <v>0</v>
      </c>
      <c r="DG109" s="387">
        <f t="shared" si="82"/>
        <v>0</v>
      </c>
      <c r="DH109" s="22">
        <f t="shared" ca="1" si="83"/>
        <v>0</v>
      </c>
      <c r="DI109">
        <f t="shared" ca="1" si="84"/>
        <v>0</v>
      </c>
    </row>
    <row r="110" spans="1:113" ht="30" hidden="1" customHeight="1" outlineLevel="1">
      <c r="A110" s="22" t="str">
        <f t="shared" si="85"/>
        <v/>
      </c>
      <c r="B110" s="272"/>
      <c r="C110" s="491"/>
      <c r="D110" s="272"/>
      <c r="E110" s="400"/>
      <c r="F110" s="400"/>
      <c r="G110" s="401"/>
      <c r="H110" s="376"/>
      <c r="I110" s="376"/>
      <c r="J110" s="376"/>
      <c r="K110" s="376"/>
      <c r="L110" s="376"/>
      <c r="M110" s="376"/>
      <c r="N110" s="376"/>
      <c r="O110" s="376"/>
      <c r="P110" s="376"/>
      <c r="Q110" s="376"/>
      <c r="R110" s="376"/>
      <c r="S110" s="376"/>
      <c r="T110" s="431">
        <f t="shared" ref="T110:T113" si="89">SUM(H110:S110)</f>
        <v>0</v>
      </c>
      <c r="U110" s="272"/>
      <c r="BC110" s="432" t="str">
        <f t="shared" si="72"/>
        <v/>
      </c>
      <c r="BD110" s="432" t="str">
        <f t="shared" si="73"/>
        <v/>
      </c>
      <c r="BE110" s="432" t="str">
        <f t="shared" si="74"/>
        <v/>
      </c>
      <c r="BF110" s="432" t="str">
        <f t="shared" si="75"/>
        <v/>
      </c>
      <c r="BG110" s="432" t="str">
        <f t="shared" si="76"/>
        <v/>
      </c>
      <c r="BH110" s="432" t="str">
        <f>_xlfn.LET(_xlpm.x,H110,IF(OR(LEN(_xlpm.x)&lt;1,_xlpm.x=0),"",CONVERT(_xlpm.x,BH7,"kg")))</f>
        <v/>
      </c>
      <c r="BI110" s="432" t="str">
        <f>_xlfn.LET(_xlpm.x,I110,IF(OR(LEN(_xlpm.x)&lt;1,_xlpm.x=0),"",CONVERT(_xlpm.x,BH7,"kg")))</f>
        <v/>
      </c>
      <c r="BJ110" s="432" t="str">
        <f>_xlfn.LET(_xlpm.x,J110,IF(OR(LEN(_xlpm.x)&lt;1,_xlpm.x=0),"",CONVERT(_xlpm.x,BH7,"kg")))</f>
        <v/>
      </c>
      <c r="BK110" s="432" t="str">
        <f>_xlfn.LET(_xlpm.x,K110,IF(OR(LEN(_xlpm.x)&lt;1,_xlpm.x=0),"",CONVERT(_xlpm.x,BH7,"kg")))</f>
        <v/>
      </c>
      <c r="BL110" s="432" t="str">
        <f>_xlfn.LET(_xlpm.x,L110,IF(OR(LEN(_xlpm.x)&lt;1,_xlpm.x=0),"",CONVERT(_xlpm.x,BH7,"kg")))</f>
        <v/>
      </c>
      <c r="BM110" s="432" t="str">
        <f>_xlfn.LET(_xlpm.x,M110,IF(OR(LEN(_xlpm.x)&lt;1,_xlpm.x=0),"",CONVERT(_xlpm.x,BH7,"kg")))</f>
        <v/>
      </c>
      <c r="BN110" s="432" t="str">
        <f>_xlfn.LET(_xlpm.x,N110,IF(OR(LEN(_xlpm.x)&lt;1,_xlpm.x=0),"",CONVERT(_xlpm.x,BH7,"kg")))</f>
        <v/>
      </c>
      <c r="BO110" s="432" t="str">
        <f>_xlfn.LET(_xlpm.x,O110,IF(OR(LEN(_xlpm.x)&lt;1,_xlpm.x=0),"",CONVERT(_xlpm.x,BH7,"kg")))</f>
        <v/>
      </c>
      <c r="BP110" s="432" t="str">
        <f>_xlfn.LET(_xlpm.x,P110,IF(OR(LEN(_xlpm.x)&lt;1,_xlpm.x=0),"",CONVERT(_xlpm.x,BH7,"kg")))</f>
        <v/>
      </c>
      <c r="BQ110" s="432" t="str">
        <f>_xlfn.LET(_xlpm.x,Q110,IF(OR(LEN(_xlpm.x)&lt;1,_xlpm.x=0),"",CONVERT(_xlpm.x,BH7,"kg")))</f>
        <v/>
      </c>
      <c r="BR110" s="432" t="str">
        <f>_xlfn.LET(_xlpm.x,R110,IF(OR(LEN(_xlpm.x)&lt;1,_xlpm.x=0),"",CONVERT(_xlpm.x,BH7,"kg")))</f>
        <v/>
      </c>
      <c r="BS110" s="432" t="str">
        <f>_xlfn.LET(_xlpm.x,S110,IF(OR(LEN(_xlpm.x)&lt;1,_xlpm.x=0),"",CONVERT(_xlpm.x,BH7,"kg")))</f>
        <v/>
      </c>
      <c r="BT110" s="433">
        <f t="shared" ref="BT110:BT113" si="90">SUM(BH110:BS110)</f>
        <v>0</v>
      </c>
      <c r="BU110" s="433" t="str">
        <f>_xlfn.LET(_xlpm.x,BF110,IF(LEN(_xlpm.x)&lt;1,"",IF(ISNUMBER(MATCH(_xlpm.x,ls_Mat_def,0)),'Project Inputs'!$BF$14,99)))</f>
        <v/>
      </c>
      <c r="BV110" s="432" t="str" cm="1">
        <f t="array" ref="BV110">IFERROR(INDEX(tblGWP[],MATCH(1,(tblGWP[Dataset ID]=BU110)*(tblGWP[Material Subcategory]=BF110),0),MATCH(BG110,ls_WHM,0)+5),"confirm")</f>
        <v>confirm</v>
      </c>
      <c r="BW110" s="434" t="str">
        <f t="shared" si="59"/>
        <v>No data</v>
      </c>
      <c r="BX110" s="434" t="str">
        <f t="shared" si="60"/>
        <v>No data</v>
      </c>
      <c r="BY110" s="434" t="str">
        <f t="shared" si="86"/>
        <v>No data</v>
      </c>
      <c r="BZ110" s="434" t="str">
        <f t="shared" si="62"/>
        <v>No data</v>
      </c>
      <c r="CA110" s="434" t="str">
        <f t="shared" si="63"/>
        <v>No data</v>
      </c>
      <c r="CB110" s="434" t="str">
        <f t="shared" si="64"/>
        <v>No data</v>
      </c>
      <c r="CC110" s="434" t="str">
        <f t="shared" si="65"/>
        <v>No data</v>
      </c>
      <c r="CD110" s="434" t="str">
        <f t="shared" si="66"/>
        <v>No data</v>
      </c>
      <c r="CE110" s="434" t="str">
        <f t="shared" si="67"/>
        <v>No data</v>
      </c>
      <c r="CF110" s="434" t="str">
        <f t="shared" si="68"/>
        <v>No data</v>
      </c>
      <c r="CG110" s="434" t="str">
        <f t="shared" si="69"/>
        <v>No data</v>
      </c>
      <c r="CH110" s="434" t="str">
        <f t="shared" si="70"/>
        <v>No data</v>
      </c>
      <c r="CI110" s="435">
        <f t="shared" ref="CI110:CI113" si="91">SUM(BW110:CH110)</f>
        <v>0</v>
      </c>
      <c r="CK110" s="3" t="str">
        <f>_xlfn.LET(_xlpm.x,INDEX(tbl_Mat_def[],MATCH(BF110,ls_Mat_def,0),2),IFERROR(IF(_xlpm.x=0,"No","Yes"),"No"))</f>
        <v>No</v>
      </c>
      <c r="CM110" s="60" t="str">
        <f t="shared" si="79"/>
        <v/>
      </c>
      <c r="CN110" s="60" t="s">
        <v>235</v>
      </c>
      <c r="CO110" s="566" t="str">
        <f>_xlfn.XLOOKUP(CM110,tblGWP[Material Subcategory],tblGWP[Landfill],0)</f>
        <v/>
      </c>
      <c r="CP110" s="436" t="str">
        <f t="shared" ref="CP110:CP113" si="92">IFERROR($BT110*CO110,"")</f>
        <v/>
      </c>
      <c r="DD110" s="388">
        <f t="shared" si="87"/>
        <v>0</v>
      </c>
      <c r="DE110" s="22">
        <f t="shared" si="81"/>
        <v>19</v>
      </c>
      <c r="DF110" s="387">
        <f t="shared" si="88"/>
        <v>0</v>
      </c>
      <c r="DG110" s="387">
        <f t="shared" si="82"/>
        <v>0</v>
      </c>
      <c r="DH110" s="22">
        <f t="shared" ca="1" si="83"/>
        <v>0</v>
      </c>
      <c r="DI110">
        <f t="shared" ca="1" si="84"/>
        <v>0</v>
      </c>
    </row>
    <row r="111" spans="1:113" ht="30" hidden="1" customHeight="1" outlineLevel="1">
      <c r="A111" s="22" t="str">
        <f t="shared" si="85"/>
        <v/>
      </c>
      <c r="B111" s="272"/>
      <c r="C111" s="491"/>
      <c r="D111" s="272"/>
      <c r="E111" s="400"/>
      <c r="F111" s="400"/>
      <c r="G111" s="401"/>
      <c r="H111" s="376"/>
      <c r="I111" s="376"/>
      <c r="J111" s="376"/>
      <c r="K111" s="376"/>
      <c r="L111" s="376"/>
      <c r="M111" s="376"/>
      <c r="N111" s="376"/>
      <c r="O111" s="376"/>
      <c r="P111" s="376"/>
      <c r="Q111" s="376"/>
      <c r="R111" s="376"/>
      <c r="S111" s="376"/>
      <c r="T111" s="431">
        <f t="shared" si="89"/>
        <v>0</v>
      </c>
      <c r="U111" s="272"/>
      <c r="BC111" s="432" t="str">
        <f t="shared" si="72"/>
        <v/>
      </c>
      <c r="BD111" s="432" t="str">
        <f t="shared" si="73"/>
        <v/>
      </c>
      <c r="BE111" s="432" t="str">
        <f t="shared" si="74"/>
        <v/>
      </c>
      <c r="BF111" s="432" t="str">
        <f t="shared" si="75"/>
        <v/>
      </c>
      <c r="BG111" s="432" t="str">
        <f t="shared" si="76"/>
        <v/>
      </c>
      <c r="BH111" s="432" t="str">
        <f>_xlfn.LET(_xlpm.x,H111,IF(OR(LEN(_xlpm.x)&lt;1,_xlpm.x=0),"",CONVERT(_xlpm.x,BH7,"kg")))</f>
        <v/>
      </c>
      <c r="BI111" s="432" t="str">
        <f>_xlfn.LET(_xlpm.x,I111,IF(OR(LEN(_xlpm.x)&lt;1,_xlpm.x=0),"",CONVERT(_xlpm.x,BH7,"kg")))</f>
        <v/>
      </c>
      <c r="BJ111" s="432" t="str">
        <f>_xlfn.LET(_xlpm.x,J111,IF(OR(LEN(_xlpm.x)&lt;1,_xlpm.x=0),"",CONVERT(_xlpm.x,BH7,"kg")))</f>
        <v/>
      </c>
      <c r="BK111" s="432" t="str">
        <f>_xlfn.LET(_xlpm.x,K111,IF(OR(LEN(_xlpm.x)&lt;1,_xlpm.x=0),"",CONVERT(_xlpm.x,BH7,"kg")))</f>
        <v/>
      </c>
      <c r="BL111" s="432" t="str">
        <f>_xlfn.LET(_xlpm.x,L111,IF(OR(LEN(_xlpm.x)&lt;1,_xlpm.x=0),"",CONVERT(_xlpm.x,BH7,"kg")))</f>
        <v/>
      </c>
      <c r="BM111" s="432" t="str">
        <f>_xlfn.LET(_xlpm.x,M111,IF(OR(LEN(_xlpm.x)&lt;1,_xlpm.x=0),"",CONVERT(_xlpm.x,BH7,"kg")))</f>
        <v/>
      </c>
      <c r="BN111" s="432" t="str">
        <f>_xlfn.LET(_xlpm.x,N111,IF(OR(LEN(_xlpm.x)&lt;1,_xlpm.x=0),"",CONVERT(_xlpm.x,BH7,"kg")))</f>
        <v/>
      </c>
      <c r="BO111" s="432" t="str">
        <f>_xlfn.LET(_xlpm.x,O111,IF(OR(LEN(_xlpm.x)&lt;1,_xlpm.x=0),"",CONVERT(_xlpm.x,BH7,"kg")))</f>
        <v/>
      </c>
      <c r="BP111" s="432" t="str">
        <f>_xlfn.LET(_xlpm.x,P111,IF(OR(LEN(_xlpm.x)&lt;1,_xlpm.x=0),"",CONVERT(_xlpm.x,BH7,"kg")))</f>
        <v/>
      </c>
      <c r="BQ111" s="432" t="str">
        <f>_xlfn.LET(_xlpm.x,Q111,IF(OR(LEN(_xlpm.x)&lt;1,_xlpm.x=0),"",CONVERT(_xlpm.x,BH7,"kg")))</f>
        <v/>
      </c>
      <c r="BR111" s="432" t="str">
        <f>_xlfn.LET(_xlpm.x,R111,IF(OR(LEN(_xlpm.x)&lt;1,_xlpm.x=0),"",CONVERT(_xlpm.x,BH7,"kg")))</f>
        <v/>
      </c>
      <c r="BS111" s="432" t="str">
        <f>_xlfn.LET(_xlpm.x,S111,IF(OR(LEN(_xlpm.x)&lt;1,_xlpm.x=0),"",CONVERT(_xlpm.x,BH7,"kg")))</f>
        <v/>
      </c>
      <c r="BT111" s="433">
        <f t="shared" si="90"/>
        <v>0</v>
      </c>
      <c r="BU111" s="433" t="str">
        <f>_xlfn.LET(_xlpm.x,BF111,IF(LEN(_xlpm.x)&lt;1,"",IF(ISNUMBER(MATCH(_xlpm.x,ls_Mat_def,0)),'Project Inputs'!$BF$14,99)))</f>
        <v/>
      </c>
      <c r="BV111" s="432" t="str" cm="1">
        <f t="array" ref="BV111">IFERROR(INDEX(tblGWP[],MATCH(1,(tblGWP[Dataset ID]=BU111)*(tblGWP[Material Subcategory]=BF111),0),MATCH(BG111,ls_WHM,0)+5),"confirm")</f>
        <v>confirm</v>
      </c>
      <c r="BW111" s="434" t="str">
        <f t="shared" si="59"/>
        <v>No data</v>
      </c>
      <c r="BX111" s="434" t="str">
        <f t="shared" si="60"/>
        <v>No data</v>
      </c>
      <c r="BY111" s="434" t="str">
        <f t="shared" si="86"/>
        <v>No data</v>
      </c>
      <c r="BZ111" s="434" t="str">
        <f t="shared" si="62"/>
        <v>No data</v>
      </c>
      <c r="CA111" s="434" t="str">
        <f t="shared" si="63"/>
        <v>No data</v>
      </c>
      <c r="CB111" s="434" t="str">
        <f t="shared" si="64"/>
        <v>No data</v>
      </c>
      <c r="CC111" s="434" t="str">
        <f t="shared" si="65"/>
        <v>No data</v>
      </c>
      <c r="CD111" s="434" t="str">
        <f t="shared" si="66"/>
        <v>No data</v>
      </c>
      <c r="CE111" s="434" t="str">
        <f t="shared" si="67"/>
        <v>No data</v>
      </c>
      <c r="CF111" s="434" t="str">
        <f t="shared" si="68"/>
        <v>No data</v>
      </c>
      <c r="CG111" s="434" t="str">
        <f t="shared" si="69"/>
        <v>No data</v>
      </c>
      <c r="CH111" s="434" t="str">
        <f t="shared" si="70"/>
        <v>No data</v>
      </c>
      <c r="CI111" s="435">
        <f t="shared" si="91"/>
        <v>0</v>
      </c>
      <c r="CK111" s="3" t="str">
        <f>_xlfn.LET(_xlpm.x,INDEX(tbl_Mat_def[],MATCH(BF111,ls_Mat_def,0),2),IFERROR(IF(_xlpm.x=0,"No","Yes"),"No"))</f>
        <v>No</v>
      </c>
      <c r="CM111" s="60" t="str">
        <f t="shared" si="79"/>
        <v/>
      </c>
      <c r="CN111" s="60" t="s">
        <v>235</v>
      </c>
      <c r="CO111" s="566" t="str">
        <f>_xlfn.XLOOKUP(CM111,tblGWP[Material Subcategory],tblGWP[Landfill],0)</f>
        <v/>
      </c>
      <c r="CP111" s="436" t="str">
        <f t="shared" si="92"/>
        <v/>
      </c>
      <c r="DD111" s="388">
        <f t="shared" si="87"/>
        <v>0</v>
      </c>
      <c r="DE111" s="22">
        <f t="shared" si="81"/>
        <v>19</v>
      </c>
      <c r="DF111" s="387">
        <f t="shared" si="88"/>
        <v>0</v>
      </c>
      <c r="DG111" s="387">
        <f t="shared" si="82"/>
        <v>0</v>
      </c>
      <c r="DH111" s="22">
        <f t="shared" ca="1" si="83"/>
        <v>0</v>
      </c>
      <c r="DI111">
        <f t="shared" ca="1" si="84"/>
        <v>0</v>
      </c>
    </row>
    <row r="112" spans="1:113" ht="30" hidden="1" customHeight="1" outlineLevel="1">
      <c r="A112" s="22" t="str">
        <f t="shared" si="85"/>
        <v/>
      </c>
      <c r="B112" s="272"/>
      <c r="C112" s="491"/>
      <c r="D112" s="272"/>
      <c r="E112" s="400"/>
      <c r="F112" s="400"/>
      <c r="G112" s="401"/>
      <c r="H112" s="376"/>
      <c r="I112" s="376"/>
      <c r="J112" s="376"/>
      <c r="K112" s="376"/>
      <c r="L112" s="376"/>
      <c r="M112" s="376"/>
      <c r="N112" s="376"/>
      <c r="O112" s="376"/>
      <c r="P112" s="376"/>
      <c r="Q112" s="376"/>
      <c r="R112" s="376"/>
      <c r="S112" s="376"/>
      <c r="T112" s="431">
        <f t="shared" si="89"/>
        <v>0</v>
      </c>
      <c r="U112" s="272"/>
      <c r="BC112" s="432" t="str">
        <f t="shared" si="72"/>
        <v/>
      </c>
      <c r="BD112" s="432" t="str">
        <f t="shared" si="73"/>
        <v/>
      </c>
      <c r="BE112" s="432" t="str">
        <f t="shared" si="74"/>
        <v/>
      </c>
      <c r="BF112" s="432" t="str">
        <f t="shared" si="75"/>
        <v/>
      </c>
      <c r="BG112" s="432" t="str">
        <f t="shared" si="76"/>
        <v/>
      </c>
      <c r="BH112" s="432" t="str">
        <f>_xlfn.LET(_xlpm.x,H112,IF(OR(LEN(_xlpm.x)&lt;1,_xlpm.x=0),"",CONVERT(_xlpm.x,BH7,"kg")))</f>
        <v/>
      </c>
      <c r="BI112" s="432" t="str">
        <f>_xlfn.LET(_xlpm.x,I112,IF(OR(LEN(_xlpm.x)&lt;1,_xlpm.x=0),"",CONVERT(_xlpm.x,BH7,"kg")))</f>
        <v/>
      </c>
      <c r="BJ112" s="432" t="str">
        <f>_xlfn.LET(_xlpm.x,J112,IF(OR(LEN(_xlpm.x)&lt;1,_xlpm.x=0),"",CONVERT(_xlpm.x,BH7,"kg")))</f>
        <v/>
      </c>
      <c r="BK112" s="432" t="str">
        <f>_xlfn.LET(_xlpm.x,K112,IF(OR(LEN(_xlpm.x)&lt;1,_xlpm.x=0),"",CONVERT(_xlpm.x,BH7,"kg")))</f>
        <v/>
      </c>
      <c r="BL112" s="432" t="str">
        <f>_xlfn.LET(_xlpm.x,L112,IF(OR(LEN(_xlpm.x)&lt;1,_xlpm.x=0),"",CONVERT(_xlpm.x,BH7,"kg")))</f>
        <v/>
      </c>
      <c r="BM112" s="432" t="str">
        <f>_xlfn.LET(_xlpm.x,M112,IF(OR(LEN(_xlpm.x)&lt;1,_xlpm.x=0),"",CONVERT(_xlpm.x,BH7,"kg")))</f>
        <v/>
      </c>
      <c r="BN112" s="432" t="str">
        <f>_xlfn.LET(_xlpm.x,N112,IF(OR(LEN(_xlpm.x)&lt;1,_xlpm.x=0),"",CONVERT(_xlpm.x,BH7,"kg")))</f>
        <v/>
      </c>
      <c r="BO112" s="432" t="str">
        <f>_xlfn.LET(_xlpm.x,O112,IF(OR(LEN(_xlpm.x)&lt;1,_xlpm.x=0),"",CONVERT(_xlpm.x,BH7,"kg")))</f>
        <v/>
      </c>
      <c r="BP112" s="432" t="str">
        <f>_xlfn.LET(_xlpm.x,P112,IF(OR(LEN(_xlpm.x)&lt;1,_xlpm.x=0),"",CONVERT(_xlpm.x,BH7,"kg")))</f>
        <v/>
      </c>
      <c r="BQ112" s="432" t="str">
        <f>_xlfn.LET(_xlpm.x,Q112,IF(OR(LEN(_xlpm.x)&lt;1,_xlpm.x=0),"",CONVERT(_xlpm.x,BH7,"kg")))</f>
        <v/>
      </c>
      <c r="BR112" s="432" t="str">
        <f>_xlfn.LET(_xlpm.x,R112,IF(OR(LEN(_xlpm.x)&lt;1,_xlpm.x=0),"",CONVERT(_xlpm.x,BH7,"kg")))</f>
        <v/>
      </c>
      <c r="BS112" s="432" t="str">
        <f>_xlfn.LET(_xlpm.x,S112,IF(OR(LEN(_xlpm.x)&lt;1,_xlpm.x=0),"",CONVERT(_xlpm.x,BH7,"kg")))</f>
        <v/>
      </c>
      <c r="BT112" s="433">
        <f t="shared" si="90"/>
        <v>0</v>
      </c>
      <c r="BU112" s="433" t="str">
        <f>_xlfn.LET(_xlpm.x,BF112,IF(LEN(_xlpm.x)&lt;1,"",IF(ISNUMBER(MATCH(_xlpm.x,ls_Mat_def,0)),'Project Inputs'!$BF$14,99)))</f>
        <v/>
      </c>
      <c r="BV112" s="432" t="str" cm="1">
        <f t="array" ref="BV112">IFERROR(INDEX(tblGWP[],MATCH(1,(tblGWP[Dataset ID]=BU112)*(tblGWP[Material Subcategory]=BF112),0),MATCH(BG112,ls_WHM,0)+5),"confirm")</f>
        <v>confirm</v>
      </c>
      <c r="BW112" s="434" t="str">
        <f t="shared" si="59"/>
        <v>No data</v>
      </c>
      <c r="BX112" s="434" t="str">
        <f t="shared" si="60"/>
        <v>No data</v>
      </c>
      <c r="BY112" s="434" t="str">
        <f t="shared" si="86"/>
        <v>No data</v>
      </c>
      <c r="BZ112" s="434" t="str">
        <f t="shared" si="62"/>
        <v>No data</v>
      </c>
      <c r="CA112" s="434" t="str">
        <f t="shared" si="63"/>
        <v>No data</v>
      </c>
      <c r="CB112" s="434" t="str">
        <f t="shared" si="64"/>
        <v>No data</v>
      </c>
      <c r="CC112" s="434" t="str">
        <f t="shared" si="65"/>
        <v>No data</v>
      </c>
      <c r="CD112" s="434" t="str">
        <f t="shared" si="66"/>
        <v>No data</v>
      </c>
      <c r="CE112" s="434" t="str">
        <f t="shared" si="67"/>
        <v>No data</v>
      </c>
      <c r="CF112" s="434" t="str">
        <f t="shared" si="68"/>
        <v>No data</v>
      </c>
      <c r="CG112" s="434" t="str">
        <f t="shared" si="69"/>
        <v>No data</v>
      </c>
      <c r="CH112" s="434" t="str">
        <f t="shared" si="70"/>
        <v>No data</v>
      </c>
      <c r="CI112" s="435">
        <f t="shared" si="91"/>
        <v>0</v>
      </c>
      <c r="CK112" s="3" t="str">
        <f>_xlfn.LET(_xlpm.x,INDEX(tbl_Mat_def[],MATCH(BF112,ls_Mat_def,0),2),IFERROR(IF(_xlpm.x=0,"No","Yes"),"No"))</f>
        <v>No</v>
      </c>
      <c r="CM112" s="60" t="str">
        <f t="shared" si="79"/>
        <v/>
      </c>
      <c r="CN112" s="60" t="s">
        <v>235</v>
      </c>
      <c r="CO112" s="566" t="str">
        <f>_xlfn.XLOOKUP(CM112,tblGWP[Material Subcategory],tblGWP[Landfill],0)</f>
        <v/>
      </c>
      <c r="CP112" s="436" t="str">
        <f t="shared" si="92"/>
        <v/>
      </c>
      <c r="DD112" s="388">
        <f t="shared" si="87"/>
        <v>0</v>
      </c>
      <c r="DE112" s="22">
        <f t="shared" si="81"/>
        <v>19</v>
      </c>
      <c r="DF112" s="387">
        <f t="shared" si="88"/>
        <v>0</v>
      </c>
      <c r="DG112" s="387">
        <f t="shared" si="82"/>
        <v>0</v>
      </c>
      <c r="DH112" s="22">
        <f t="shared" ca="1" si="83"/>
        <v>0</v>
      </c>
      <c r="DI112">
        <f t="shared" ca="1" si="84"/>
        <v>0</v>
      </c>
    </row>
    <row r="113" spans="1:113" ht="30" hidden="1" customHeight="1" outlineLevel="1">
      <c r="A113" s="22" t="str">
        <f t="shared" si="85"/>
        <v/>
      </c>
      <c r="B113" s="272"/>
      <c r="C113" s="491"/>
      <c r="D113" s="272"/>
      <c r="E113" s="400"/>
      <c r="F113" s="400"/>
      <c r="G113" s="401"/>
      <c r="H113" s="376"/>
      <c r="I113" s="376"/>
      <c r="J113" s="376"/>
      <c r="K113" s="376"/>
      <c r="L113" s="376"/>
      <c r="M113" s="376"/>
      <c r="N113" s="376"/>
      <c r="O113" s="376"/>
      <c r="P113" s="376"/>
      <c r="Q113" s="376"/>
      <c r="R113" s="376"/>
      <c r="S113" s="376"/>
      <c r="T113" s="431">
        <f t="shared" si="89"/>
        <v>0</v>
      </c>
      <c r="U113" s="272"/>
      <c r="BC113" s="432" t="str">
        <f t="shared" si="72"/>
        <v/>
      </c>
      <c r="BD113" s="432" t="str">
        <f t="shared" si="73"/>
        <v/>
      </c>
      <c r="BE113" s="432" t="str">
        <f t="shared" si="74"/>
        <v/>
      </c>
      <c r="BF113" s="432" t="str">
        <f t="shared" si="75"/>
        <v/>
      </c>
      <c r="BG113" s="432" t="str">
        <f t="shared" si="76"/>
        <v/>
      </c>
      <c r="BH113" s="432" t="str">
        <f>_xlfn.LET(_xlpm.x,H113,IF(OR(LEN(_xlpm.x)&lt;1,_xlpm.x=0),"",CONVERT(_xlpm.x,BH7,"kg")))</f>
        <v/>
      </c>
      <c r="BI113" s="432" t="str">
        <f>_xlfn.LET(_xlpm.x,I113,IF(OR(LEN(_xlpm.x)&lt;1,_xlpm.x=0),"",CONVERT(_xlpm.x,BH7,"kg")))</f>
        <v/>
      </c>
      <c r="BJ113" s="432" t="str">
        <f>_xlfn.LET(_xlpm.x,J113,IF(OR(LEN(_xlpm.x)&lt;1,_xlpm.x=0),"",CONVERT(_xlpm.x,BH7,"kg")))</f>
        <v/>
      </c>
      <c r="BK113" s="432" t="str">
        <f>_xlfn.LET(_xlpm.x,K113,IF(OR(LEN(_xlpm.x)&lt;1,_xlpm.x=0),"",CONVERT(_xlpm.x,BH7,"kg")))</f>
        <v/>
      </c>
      <c r="BL113" s="432" t="str">
        <f>_xlfn.LET(_xlpm.x,L113,IF(OR(LEN(_xlpm.x)&lt;1,_xlpm.x=0),"",CONVERT(_xlpm.x,BH7,"kg")))</f>
        <v/>
      </c>
      <c r="BM113" s="432" t="str">
        <f>_xlfn.LET(_xlpm.x,M113,IF(OR(LEN(_xlpm.x)&lt;1,_xlpm.x=0),"",CONVERT(_xlpm.x,BH7,"kg")))</f>
        <v/>
      </c>
      <c r="BN113" s="432" t="str">
        <f>_xlfn.LET(_xlpm.x,N113,IF(OR(LEN(_xlpm.x)&lt;1,_xlpm.x=0),"",CONVERT(_xlpm.x,BH7,"kg")))</f>
        <v/>
      </c>
      <c r="BO113" s="432" t="str">
        <f>_xlfn.LET(_xlpm.x,O113,IF(OR(LEN(_xlpm.x)&lt;1,_xlpm.x=0),"",CONVERT(_xlpm.x,BH7,"kg")))</f>
        <v/>
      </c>
      <c r="BP113" s="432" t="str">
        <f>_xlfn.LET(_xlpm.x,P113,IF(OR(LEN(_xlpm.x)&lt;1,_xlpm.x=0),"",CONVERT(_xlpm.x,BH7,"kg")))</f>
        <v/>
      </c>
      <c r="BQ113" s="432" t="str">
        <f>_xlfn.LET(_xlpm.x,Q113,IF(OR(LEN(_xlpm.x)&lt;1,_xlpm.x=0),"",CONVERT(_xlpm.x,BH7,"kg")))</f>
        <v/>
      </c>
      <c r="BR113" s="432" t="str">
        <f>_xlfn.LET(_xlpm.x,R113,IF(OR(LEN(_xlpm.x)&lt;1,_xlpm.x=0),"",CONVERT(_xlpm.x,BH7,"kg")))</f>
        <v/>
      </c>
      <c r="BS113" s="432" t="str">
        <f>_xlfn.LET(_xlpm.x,S113,IF(OR(LEN(_xlpm.x)&lt;1,_xlpm.x=0),"",CONVERT(_xlpm.x,BH7,"kg")))</f>
        <v/>
      </c>
      <c r="BT113" s="433">
        <f t="shared" si="90"/>
        <v>0</v>
      </c>
      <c r="BU113" s="433" t="str">
        <f>_xlfn.LET(_xlpm.x,BF113,IF(LEN(_xlpm.x)&lt;1,"",IF(ISNUMBER(MATCH(_xlpm.x,ls_Mat_def,0)),'Project Inputs'!$BF$14,99)))</f>
        <v/>
      </c>
      <c r="BV113" s="432" t="str" cm="1">
        <f t="array" ref="BV113">IFERROR(INDEX(tblGWP[],MATCH(1,(tblGWP[Dataset ID]=BU113)*(tblGWP[Material Subcategory]=BF113),0),MATCH(BG113,ls_WHM,0)+5),"confirm")</f>
        <v>confirm</v>
      </c>
      <c r="BW113" s="434" t="str">
        <f t="shared" si="59"/>
        <v>No data</v>
      </c>
      <c r="BX113" s="434" t="str">
        <f t="shared" si="60"/>
        <v>No data</v>
      </c>
      <c r="BY113" s="434" t="str">
        <f t="shared" si="86"/>
        <v>No data</v>
      </c>
      <c r="BZ113" s="434" t="str">
        <f t="shared" si="62"/>
        <v>No data</v>
      </c>
      <c r="CA113" s="434" t="str">
        <f t="shared" si="63"/>
        <v>No data</v>
      </c>
      <c r="CB113" s="434" t="str">
        <f t="shared" si="64"/>
        <v>No data</v>
      </c>
      <c r="CC113" s="434" t="str">
        <f t="shared" si="65"/>
        <v>No data</v>
      </c>
      <c r="CD113" s="434" t="str">
        <f t="shared" si="66"/>
        <v>No data</v>
      </c>
      <c r="CE113" s="434" t="str">
        <f t="shared" si="67"/>
        <v>No data</v>
      </c>
      <c r="CF113" s="434" t="str">
        <f t="shared" si="68"/>
        <v>No data</v>
      </c>
      <c r="CG113" s="434" t="str">
        <f t="shared" si="69"/>
        <v>No data</v>
      </c>
      <c r="CH113" s="434" t="str">
        <f t="shared" si="70"/>
        <v>No data</v>
      </c>
      <c r="CI113" s="435">
        <f t="shared" si="91"/>
        <v>0</v>
      </c>
      <c r="CK113" s="3" t="str">
        <f>_xlfn.LET(_xlpm.x,INDEX(tbl_Mat_def[],MATCH(BF113,ls_Mat_def,0),2),IFERROR(IF(_xlpm.x=0,"No","Yes"),"No"))</f>
        <v>No</v>
      </c>
      <c r="CM113" s="60" t="str">
        <f t="shared" si="79"/>
        <v/>
      </c>
      <c r="CN113" s="60" t="s">
        <v>235</v>
      </c>
      <c r="CO113" s="566" t="str">
        <f>_xlfn.XLOOKUP(CM113,tblGWP[Material Subcategory],tblGWP[Landfill],0)</f>
        <v/>
      </c>
      <c r="CP113" s="436" t="str">
        <f t="shared" si="92"/>
        <v/>
      </c>
      <c r="DD113" s="388">
        <f t="shared" si="87"/>
        <v>0</v>
      </c>
      <c r="DE113" s="22">
        <f t="shared" si="81"/>
        <v>19</v>
      </c>
      <c r="DF113" s="387">
        <f t="shared" si="88"/>
        <v>0</v>
      </c>
      <c r="DG113" s="387">
        <f t="shared" si="82"/>
        <v>0</v>
      </c>
      <c r="DH113" s="22">
        <f t="shared" ca="1" si="83"/>
        <v>0</v>
      </c>
      <c r="DI113">
        <f t="shared" ca="1" si="84"/>
        <v>0</v>
      </c>
    </row>
    <row r="114" spans="1:113" ht="15.6" collapsed="1">
      <c r="B114" t="str">
        <f>IF(COUNTIF($F$14:$F$113,Factors!$G$1061)&gt;0,_xlfn._LONGTEXT("*Note: The materials marked in red (Batteries) in the above table may be considered hazardous materials. If a material is considered hazardous by the project's local jurisdiction, state, or country, then it must be properly disposed of according to regula","tions and excluded from credit calculations."),"")</f>
        <v/>
      </c>
      <c r="D114" s="10"/>
      <c r="E114" s="437"/>
      <c r="F114" s="437"/>
      <c r="G114" s="437"/>
      <c r="H114" s="438"/>
      <c r="I114" s="439"/>
      <c r="J114" s="439"/>
      <c r="K114" s="439"/>
      <c r="L114" s="439"/>
      <c r="M114" s="439"/>
      <c r="N114" s="439"/>
      <c r="O114" s="439"/>
      <c r="P114" s="439"/>
      <c r="Q114" s="439"/>
      <c r="R114" s="439"/>
      <c r="S114" s="439"/>
      <c r="T114" s="439"/>
      <c r="U114" s="439"/>
      <c r="V114" s="439"/>
      <c r="W114" s="439"/>
      <c r="DD114" s="388"/>
      <c r="DE114" s="22"/>
      <c r="DF114" s="387"/>
      <c r="DG114" s="387"/>
    </row>
    <row r="115" spans="1:113">
      <c r="D115" s="440"/>
      <c r="E115" s="124"/>
      <c r="F115" s="124"/>
      <c r="G115" s="124"/>
      <c r="H115" s="10"/>
      <c r="I115" s="438"/>
      <c r="J115" s="441"/>
      <c r="K115" s="441"/>
      <c r="L115" s="441"/>
      <c r="M115" s="441"/>
      <c r="N115" s="441"/>
      <c r="O115" s="441"/>
      <c r="P115" s="441"/>
      <c r="Q115" s="441"/>
      <c r="R115" s="441"/>
      <c r="S115" s="441"/>
      <c r="T115" s="441"/>
      <c r="U115" s="442"/>
      <c r="V115" s="10"/>
      <c r="W115" s="442"/>
      <c r="X115" s="443"/>
    </row>
    <row r="116" spans="1:113">
      <c r="D116" s="440"/>
      <c r="E116" s="124"/>
      <c r="F116" s="124"/>
      <c r="G116" s="124"/>
      <c r="H116" s="10"/>
      <c r="I116" s="438"/>
      <c r="J116" s="441"/>
      <c r="K116" s="441"/>
      <c r="L116" s="441"/>
      <c r="M116" s="441"/>
      <c r="N116" s="441"/>
      <c r="O116" s="441"/>
      <c r="P116" s="441"/>
      <c r="Q116" s="441"/>
      <c r="R116" s="441"/>
      <c r="S116" s="441"/>
      <c r="T116" s="441"/>
      <c r="U116" s="442"/>
      <c r="V116" s="10"/>
      <c r="W116" s="442"/>
      <c r="X116" s="443"/>
    </row>
    <row r="232" spans="4:24">
      <c r="D232" s="440"/>
      <c r="E232" s="124"/>
      <c r="F232" s="124"/>
      <c r="G232" s="124"/>
      <c r="H232" s="10"/>
      <c r="I232" s="438"/>
      <c r="J232" s="441"/>
      <c r="K232" s="441"/>
      <c r="L232" s="441"/>
      <c r="M232" s="441"/>
      <c r="N232" s="441"/>
      <c r="O232" s="441"/>
      <c r="P232" s="441"/>
      <c r="Q232" s="441"/>
      <c r="R232" s="441"/>
      <c r="S232" s="441"/>
      <c r="T232" s="441"/>
      <c r="U232" s="442"/>
      <c r="V232" s="10"/>
      <c r="W232" s="442"/>
      <c r="X232" s="443"/>
    </row>
    <row r="260" spans="2:7">
      <c r="B260" s="35"/>
      <c r="C260" s="35"/>
      <c r="D260" s="444"/>
    </row>
    <row r="261" spans="2:7">
      <c r="E261"/>
      <c r="F261"/>
      <c r="G261"/>
    </row>
    <row r="263" spans="2:7">
      <c r="E263"/>
    </row>
    <row r="264" spans="2:7">
      <c r="E264"/>
    </row>
    <row r="265" spans="2:7">
      <c r="E265"/>
    </row>
    <row r="267" spans="2:7">
      <c r="B267" s="1"/>
      <c r="C267" s="1"/>
      <c r="D267" s="1"/>
      <c r="E267" s="1"/>
    </row>
    <row r="268" spans="2:7" ht="45" customHeight="1">
      <c r="E268"/>
      <c r="F268"/>
      <c r="G268"/>
    </row>
    <row r="269" spans="2:7" ht="45" customHeight="1">
      <c r="E269"/>
      <c r="F269"/>
      <c r="G269"/>
    </row>
    <row r="270" spans="2:7">
      <c r="E270"/>
      <c r="F270"/>
      <c r="G270"/>
    </row>
    <row r="271" spans="2:7">
      <c r="E271"/>
      <c r="F271"/>
      <c r="G271"/>
    </row>
    <row r="272" spans="2:7">
      <c r="E272"/>
      <c r="F272"/>
      <c r="G272"/>
    </row>
    <row r="273" customFormat="1"/>
    <row r="274" customFormat="1"/>
    <row r="275" customFormat="1"/>
    <row r="295" spans="4:7">
      <c r="D295" s="112"/>
    </row>
    <row r="296" spans="4:7">
      <c r="D296" s="445"/>
      <c r="E296" s="112"/>
      <c r="F296" s="112"/>
      <c r="G296" s="112"/>
    </row>
    <row r="297" spans="4:7">
      <c r="D297" s="445"/>
      <c r="E297" s="112"/>
      <c r="F297" s="112"/>
      <c r="G297" s="112"/>
    </row>
    <row r="300" spans="4:7">
      <c r="D300" s="1"/>
    </row>
    <row r="301" spans="4:7">
      <c r="D301" s="445"/>
      <c r="E301" s="112"/>
      <c r="F301" s="112"/>
      <c r="G301" s="112"/>
    </row>
    <row r="302" spans="4:7">
      <c r="D302" s="445"/>
      <c r="E302" s="112"/>
      <c r="F302" s="112"/>
      <c r="G302" s="112"/>
    </row>
  </sheetData>
  <sheetProtection algorithmName="SHA-512" hashValue="GLO6bNCMC9lPGPWILlAsqrEfG0r1ZgBEtjtHAKAHp2TCT7nxgtR03AuI+od0UazTKKTie8WOOC4iXNHVVg6jTg==" saltValue="D6zFlmZGCZ13aL/jfk7EEg==" spinCount="100000" sheet="1" formatColumns="0" formatRows="0" selectLockedCells="1"/>
  <mergeCells count="4">
    <mergeCell ref="B4:M4"/>
    <mergeCell ref="H13:S13"/>
    <mergeCell ref="BH13:BT13"/>
    <mergeCell ref="BW13:CI13"/>
  </mergeCells>
  <conditionalFormatting sqref="B14:U113">
    <cfRule type="expression" dxfId="34" priority="42" stopIfTrue="1">
      <formula>LEN(B14)&gt;0</formula>
    </cfRule>
  </conditionalFormatting>
  <conditionalFormatting sqref="B114:V114">
    <cfRule type="expression" dxfId="33" priority="14">
      <formula>COUNTIF($F$14:$F$113,"*Batteries")&gt;0</formula>
    </cfRule>
  </conditionalFormatting>
  <conditionalFormatting sqref="F14:F113">
    <cfRule type="containsText" dxfId="32" priority="13" operator="containsText" text="Batteries">
      <formula>NOT(ISERROR(SEARCH("Batteries",F14)))</formula>
    </cfRule>
  </conditionalFormatting>
  <conditionalFormatting sqref="I9">
    <cfRule type="expression" dxfId="31" priority="1">
      <formula>LEN(I9)&gt;0</formula>
    </cfRule>
  </conditionalFormatting>
  <dataValidations count="9">
    <dataValidation type="decimal" allowBlank="1" showInputMessage="1" showErrorMessage="1" sqref="H14:S113" xr:uid="{673194C6-A294-436F-81F1-B46D3818BBA2}">
      <formula1>0</formula1>
      <formula2>1000000</formula2>
    </dataValidation>
    <dataValidation type="list" allowBlank="1" showInputMessage="1" showErrorMessage="1" sqref="I9" xr:uid="{936DC251-1703-49A1-9539-96A094064F24}">
      <formula1>ls_UOM_weight</formula1>
    </dataValidation>
    <dataValidation type="list" allowBlank="1" showInputMessage="1" showErrorMessage="1" sqref="C14:C113" xr:uid="{C33821F9-13B5-48EC-989E-54EF3B96313C}">
      <formula1>"Actual, Estimated"</formula1>
    </dataValidation>
    <dataValidation type="list" allowBlank="1" showInputMessage="1" showErrorMessage="1" sqref="D296:D297 D301" xr:uid="{6CDFCF26-3B80-4C35-8880-A1C1B3FE8409}">
      <formula1>ls_YN</formula1>
    </dataValidation>
    <dataValidation type="whole" allowBlank="1" showInputMessage="1" showErrorMessage="1" sqref="D302" xr:uid="{5CDE7781-8B8B-45DE-9C53-664B64B79D73}">
      <formula1>0</formula1>
      <formula2>100</formula2>
    </dataValidation>
    <dataValidation type="list" allowBlank="1" showInputMessage="1" showErrorMessage="1" sqref="E14:E113" xr:uid="{D6FBCE9F-44A9-4198-ABFF-9E6ED293C3A8}">
      <formula1>ls_Mat_Cat</formula1>
    </dataValidation>
    <dataValidation type="list" allowBlank="1" showInputMessage="1" showErrorMessage="1" sqref="B14:C113" xr:uid="{400D19F0-65F9-4A6D-BBA3-B5499D48BA44}">
      <formula1>"Regular Monthly Generation, Intermittent Generation"</formula1>
    </dataValidation>
    <dataValidation type="list" allowBlank="1" showInputMessage="1" showErrorMessage="1" sqref="F14:F113" xr:uid="{69E87F20-30BA-4687-888C-3E7896920BE8}">
      <formula1>INDIRECT(INDEX(ls_Subcat_options,MATCH(E14,ls_Mat_Cat,0)))</formula1>
    </dataValidation>
    <dataValidation type="list" allowBlank="1" showInputMessage="1" showErrorMessage="1" sqref="G14:G113" xr:uid="{7D38A88A-C60E-4D7C-8F1B-CBFC7B86B140}">
      <formula1>INDIRECT(INDEX(ls_WHM_options,MATCH(F14,ls_Mat,0)))</formula1>
    </dataValidation>
  </dataValidations>
  <pageMargins left="0.7" right="0.7" top="0.75" bottom="0.75" header="0.3" footer="0.3"/>
  <pageSetup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iconSet" priority="3" id="{2595C59E-4DD7-4E6E-A6D7-36C18B72B7B0}">
            <x14:iconSet iconSet="3Symbols2" showValue="0" custom="1">
              <x14:cfvo type="percent">
                <xm:f>0</xm:f>
              </x14:cfvo>
              <x14:cfvo type="num" gte="0">
                <xm:f>0</xm:f>
              </x14:cfvo>
              <x14:cfvo type="num">
                <xm:f>1</xm:f>
              </x14:cfvo>
              <x14:cfIcon iconSet="3Symbols2" iconId="2"/>
              <x14:cfIcon iconSet="NoIcons" iconId="0"/>
              <x14:cfIcon iconSet="3Symbols2" iconId="0"/>
            </x14:iconSet>
          </x14:cfRule>
          <x14:cfRule type="iconSet" priority="4" id="{2E6364B5-DD33-4C75-A5D9-1D70C6751A31}">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A9</xm:sqref>
        </x14:conditionalFormatting>
        <x14:conditionalFormatting xmlns:xm="http://schemas.microsoft.com/office/excel/2006/main">
          <x14:cfRule type="iconSet" priority="2" id="{5C6F7B8C-C9E6-4AB9-9DC9-2A5CCDF271F5}">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A14:A113</xm:sqref>
        </x14:conditionalFormatting>
        <x14:conditionalFormatting xmlns:xm="http://schemas.microsoft.com/office/excel/2006/main">
          <x14:cfRule type="expression" priority="5" stopIfTrue="1" id="{68319366-1BE3-4B15-BBEE-67A2D1FE151A}">
            <xm:f>'Project Inputs'!$F$157="No"</xm:f>
            <x14:dxf>
              <font>
                <strike val="0"/>
                <color theme="0" tint="-0.24994659260841701"/>
              </font>
              <fill>
                <patternFill patternType="solid">
                  <bgColor theme="0" tint="-0.24994659260841701"/>
                </patternFill>
              </fill>
              <border>
                <left/>
                <right/>
                <top/>
                <bottom/>
              </border>
            </x14:dxf>
          </x14:cfRule>
          <xm:sqref>A232:AB232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361BE-9A69-4B83-8063-84492F1EB9C3}">
  <sheetPr>
    <tabColor rgb="FF0F2663"/>
  </sheetPr>
  <dimension ref="A1:DI123"/>
  <sheetViews>
    <sheetView showGridLines="0" zoomScaleNormal="100" workbookViewId="0">
      <selection activeCell="C11" sqref="C11"/>
    </sheetView>
  </sheetViews>
  <sheetFormatPr defaultRowHeight="14.4" outlineLevelRow="1"/>
  <cols>
    <col min="2" max="2" width="23.21875" bestFit="1" customWidth="1"/>
    <col min="3" max="3" width="23.21875" customWidth="1"/>
    <col min="4" max="4" width="27.21875" bestFit="1" customWidth="1"/>
    <col min="5" max="5" width="18.77734375" bestFit="1" customWidth="1"/>
    <col min="6" max="6" width="22.5546875" bestFit="1" customWidth="1"/>
    <col min="7" max="7" width="25" bestFit="1" customWidth="1"/>
    <col min="8" max="19" width="12.77734375" customWidth="1"/>
    <col min="20" max="20" width="15" customWidth="1"/>
    <col min="21" max="21" width="18" customWidth="1"/>
    <col min="22" max="22" width="28.21875" customWidth="1"/>
    <col min="53" max="56" width="0" hidden="1" customWidth="1"/>
    <col min="57" max="57" width="18.77734375" hidden="1" customWidth="1"/>
    <col min="58" max="58" width="22.5546875" hidden="1" customWidth="1"/>
    <col min="59" max="59" width="25" hidden="1" customWidth="1"/>
    <col min="60" max="71" width="12.5546875" hidden="1" customWidth="1"/>
    <col min="72" max="72" width="15.21875" hidden="1" customWidth="1"/>
    <col min="73" max="73" width="0" hidden="1" customWidth="1"/>
    <col min="74" max="74" width="15" hidden="1" customWidth="1"/>
    <col min="75" max="86" width="13.77734375" hidden="1" customWidth="1"/>
    <col min="87" max="87" width="16.21875" hidden="1" customWidth="1"/>
    <col min="88" max="88" width="0" hidden="1" customWidth="1"/>
    <col min="89" max="89" width="10.77734375" hidden="1" customWidth="1"/>
    <col min="90" max="90" width="0" hidden="1" customWidth="1"/>
    <col min="91" max="91" width="33.44140625" hidden="1" customWidth="1"/>
    <col min="92" max="92" width="10.21875" hidden="1" customWidth="1"/>
    <col min="93" max="93" width="12.21875" hidden="1" customWidth="1"/>
    <col min="94" max="94" width="9.21875" hidden="1" customWidth="1"/>
    <col min="95" max="103" width="0" hidden="1" customWidth="1"/>
    <col min="104" max="104" width="11.77734375" hidden="1" customWidth="1"/>
    <col min="105" max="105" width="0" hidden="1" customWidth="1"/>
    <col min="106" max="106" width="44.5546875" hidden="1" customWidth="1"/>
    <col min="107" max="108" width="0" hidden="1" customWidth="1"/>
    <col min="109" max="109" width="11.77734375" hidden="1" customWidth="1"/>
    <col min="110" max="131" width="0" hidden="1" customWidth="1"/>
  </cols>
  <sheetData>
    <row r="1" spans="1:105" ht="21">
      <c r="A1" s="531" t="str">
        <f>_xlfn.CONCAT("Project Name: ",'Project Inputs'!$D$10)</f>
        <v xml:space="preserve">Project Name: </v>
      </c>
      <c r="B1" s="174"/>
      <c r="C1" s="174"/>
      <c r="D1" s="174"/>
      <c r="E1" s="179"/>
      <c r="F1" s="179"/>
      <c r="G1" s="179"/>
      <c r="H1" s="174"/>
      <c r="I1" s="174"/>
      <c r="J1" s="174"/>
      <c r="K1" s="174"/>
      <c r="L1" s="174"/>
      <c r="M1" s="174"/>
      <c r="N1" s="174"/>
      <c r="O1" s="174"/>
      <c r="P1" s="174"/>
      <c r="Q1" s="174"/>
      <c r="R1" s="174"/>
      <c r="S1" s="174"/>
      <c r="T1" s="174"/>
      <c r="U1" s="174"/>
      <c r="V1" s="174"/>
      <c r="W1" s="174"/>
      <c r="X1" s="174"/>
      <c r="Y1" s="174"/>
      <c r="Z1" s="174"/>
      <c r="AA1" s="174"/>
      <c r="AB1" s="174"/>
      <c r="AC1" s="174"/>
    </row>
    <row r="2" spans="1:105" ht="70.05" customHeight="1">
      <c r="A2" s="186" t="s">
        <v>10196</v>
      </c>
      <c r="B2" s="174"/>
      <c r="C2" s="174"/>
      <c r="D2" s="174"/>
      <c r="E2" s="179"/>
      <c r="F2" s="179"/>
      <c r="G2" s="179"/>
      <c r="H2" s="174"/>
      <c r="I2" s="174"/>
      <c r="J2" s="174"/>
      <c r="K2" s="174"/>
      <c r="L2" s="174"/>
      <c r="M2" s="174"/>
      <c r="N2" s="174"/>
      <c r="O2" s="174"/>
      <c r="P2" s="174"/>
      <c r="Q2" s="174"/>
      <c r="R2" s="174"/>
      <c r="S2" s="174"/>
      <c r="T2" s="174"/>
      <c r="U2" s="174"/>
      <c r="V2" s="174"/>
      <c r="W2" s="174"/>
      <c r="X2" s="174"/>
      <c r="Y2" s="174"/>
      <c r="Z2" s="174"/>
      <c r="AA2" s="174"/>
      <c r="AB2" s="174"/>
      <c r="AC2" s="174"/>
      <c r="CZ2" s="384" t="s">
        <v>10219</v>
      </c>
      <c r="DA2" s="124">
        <f>COUNTIF(A2:A1002,1)</f>
        <v>0</v>
      </c>
    </row>
    <row r="4" spans="1:105" ht="255" customHeight="1">
      <c r="B4" s="602" t="s">
        <v>10296</v>
      </c>
      <c r="C4" s="603"/>
      <c r="D4" s="603"/>
      <c r="E4" s="603"/>
      <c r="F4" s="603"/>
      <c r="G4" s="603"/>
      <c r="H4" s="603"/>
      <c r="I4" s="603"/>
      <c r="J4" s="603"/>
      <c r="K4" s="603"/>
      <c r="L4" s="603"/>
      <c r="M4" s="604"/>
    </row>
    <row r="6" spans="1:105" ht="31.2">
      <c r="B6" s="456" t="s">
        <v>63</v>
      </c>
      <c r="C6" s="457" t="s">
        <v>10287</v>
      </c>
    </row>
    <row r="7" spans="1:105" ht="28.8">
      <c r="B7" s="6" t="str">
        <f>_xlfn.CONCAT('Project Inputs'!B157,": ",'Project Inputs'!C157)</f>
        <v>PIc7: Minimize Waste Generation</v>
      </c>
      <c r="C7" s="5" t="str">
        <f>_xlfn.LET(_xlpm.x,'Project Inputs'!F157,IF(ISBLANK(_xlpm.x),"n/a",_xlpm.x))</f>
        <v>n/a</v>
      </c>
    </row>
    <row r="9" spans="1:105" ht="25.8">
      <c r="A9" s="446" t="s">
        <v>265</v>
      </c>
      <c r="B9" s="447"/>
      <c r="C9" s="447"/>
      <c r="D9" s="447"/>
      <c r="E9" s="447"/>
      <c r="F9" s="447"/>
      <c r="G9" s="447"/>
      <c r="H9" s="447"/>
      <c r="I9" s="447"/>
      <c r="J9" s="447"/>
      <c r="K9" s="447"/>
      <c r="L9" s="447"/>
      <c r="M9" s="447"/>
      <c r="N9" s="447"/>
      <c r="O9" s="447"/>
      <c r="P9" s="447"/>
      <c r="Q9" s="447"/>
      <c r="R9" s="447"/>
      <c r="S9" s="447"/>
      <c r="T9" s="447"/>
      <c r="U9" s="447"/>
      <c r="V9" s="447"/>
      <c r="W9" s="447"/>
      <c r="X9" s="447"/>
      <c r="Y9" s="447"/>
      <c r="Z9" s="447"/>
      <c r="AA9" s="448"/>
    </row>
    <row r="10" spans="1:105">
      <c r="D10" s="440"/>
      <c r="E10" s="124"/>
      <c r="F10" s="124"/>
      <c r="G10" s="124"/>
      <c r="H10" s="10"/>
      <c r="I10" s="438"/>
      <c r="J10" s="441"/>
      <c r="K10" s="441"/>
      <c r="L10" s="441"/>
      <c r="M10" s="441"/>
      <c r="N10" s="441"/>
      <c r="O10" s="441"/>
      <c r="P10" s="441"/>
      <c r="Q10" s="441"/>
      <c r="R10" s="441"/>
      <c r="S10" s="441"/>
      <c r="T10" s="441"/>
      <c r="U10" s="442"/>
      <c r="V10" s="10"/>
      <c r="W10" s="442"/>
      <c r="X10" s="443"/>
    </row>
    <row r="11" spans="1:105" ht="31.2">
      <c r="B11" s="134" t="s">
        <v>266</v>
      </c>
      <c r="C11" s="201"/>
      <c r="D11" s="527"/>
      <c r="F11" s="41"/>
      <c r="G11" s="124"/>
      <c r="H11" s="10"/>
      <c r="I11" s="438"/>
      <c r="J11" s="441"/>
      <c r="K11" s="441"/>
      <c r="L11" s="441"/>
      <c r="M11" s="441"/>
      <c r="N11" s="441"/>
      <c r="O11" s="441"/>
      <c r="P11" s="441"/>
      <c r="Q11" s="441"/>
      <c r="R11" s="441"/>
      <c r="S11" s="441"/>
      <c r="T11" s="441"/>
      <c r="U11" s="442"/>
      <c r="V11" s="10"/>
      <c r="W11" s="442"/>
      <c r="X11" s="443"/>
    </row>
    <row r="12" spans="1:105" ht="31.2">
      <c r="B12" s="134" t="s">
        <v>267</v>
      </c>
      <c r="C12" s="402"/>
      <c r="D12" s="527"/>
      <c r="F12" s="41"/>
      <c r="G12" s="124"/>
      <c r="H12" s="10"/>
      <c r="I12" s="438"/>
      <c r="J12" s="441"/>
      <c r="K12" s="441"/>
      <c r="L12" s="441"/>
      <c r="M12" s="441"/>
      <c r="N12" s="441"/>
      <c r="O12" s="441"/>
      <c r="P12" s="441"/>
      <c r="Q12" s="441"/>
      <c r="R12" s="441"/>
      <c r="S12" s="441"/>
      <c r="T12" s="441"/>
      <c r="U12" s="442"/>
      <c r="V12" s="10"/>
      <c r="W12" s="442"/>
      <c r="X12" s="443"/>
    </row>
    <row r="13" spans="1:105" ht="15.6">
      <c r="B13" s="42"/>
      <c r="C13" s="123"/>
      <c r="D13" s="527"/>
      <c r="F13" s="41"/>
      <c r="G13" s="124"/>
      <c r="H13" s="10"/>
      <c r="I13" s="438"/>
      <c r="J13" s="441"/>
      <c r="K13" s="441"/>
      <c r="L13" s="441"/>
      <c r="M13" s="441"/>
      <c r="N13" s="441"/>
      <c r="O13" s="441"/>
      <c r="P13" s="441"/>
      <c r="Q13" s="441"/>
      <c r="R13" s="441"/>
      <c r="S13" s="441"/>
      <c r="T13" s="441"/>
      <c r="U13" s="442"/>
      <c r="V13" s="10"/>
      <c r="W13" s="442"/>
      <c r="X13" s="443"/>
    </row>
    <row r="14" spans="1:105">
      <c r="C14" s="41"/>
      <c r="D14" s="527"/>
      <c r="F14" s="41"/>
      <c r="G14" s="124"/>
      <c r="H14" s="10"/>
      <c r="I14" s="438"/>
      <c r="J14" s="441"/>
      <c r="K14" s="441"/>
      <c r="L14" s="441"/>
      <c r="M14" s="441"/>
      <c r="N14" s="441"/>
      <c r="O14" s="441"/>
      <c r="P14" s="441"/>
      <c r="Q14" s="441"/>
      <c r="R14" s="441"/>
      <c r="S14" s="441"/>
      <c r="T14" s="441"/>
      <c r="U14" s="442"/>
      <c r="V14" s="10"/>
      <c r="W14" s="442"/>
      <c r="X14" s="443"/>
    </row>
    <row r="15" spans="1:105" ht="15.6">
      <c r="B15" s="202" t="s">
        <v>268</v>
      </c>
      <c r="C15" s="449">
        <f>'Project Inputs'!D19</f>
        <v>0</v>
      </c>
      <c r="D15" s="527"/>
      <c r="F15" s="41"/>
      <c r="G15" s="124"/>
      <c r="H15" s="10"/>
      <c r="I15" s="438"/>
      <c r="J15" s="441"/>
      <c r="K15" s="441"/>
      <c r="L15" s="441"/>
      <c r="M15" s="441"/>
      <c r="N15" s="441"/>
      <c r="O15" s="441"/>
      <c r="P15" s="441"/>
      <c r="Q15" s="441"/>
      <c r="R15" s="441"/>
      <c r="S15" s="441"/>
      <c r="T15" s="441"/>
      <c r="U15" s="442"/>
      <c r="V15" s="10"/>
      <c r="W15" s="442"/>
      <c r="X15" s="443"/>
    </row>
    <row r="16" spans="1:105" ht="31.2">
      <c r="B16" s="202" t="s">
        <v>210</v>
      </c>
      <c r="C16" s="450" t="str">
        <f>IF('Project Inputs'!D19="Other",'Project Inputs'!D20,"")</f>
        <v/>
      </c>
      <c r="D16" s="527"/>
      <c r="F16" s="41"/>
      <c r="G16" s="124"/>
      <c r="H16" s="10"/>
      <c r="I16" s="438"/>
      <c r="J16" s="441"/>
      <c r="K16" s="441"/>
      <c r="L16" s="441"/>
      <c r="M16" s="441"/>
      <c r="Q16" s="441"/>
      <c r="R16" s="441"/>
      <c r="S16" s="441"/>
      <c r="T16" s="441"/>
      <c r="U16" s="442"/>
      <c r="V16" s="10"/>
      <c r="W16" s="442"/>
      <c r="X16" s="443"/>
    </row>
    <row r="17" spans="1:113" ht="15.6">
      <c r="B17" s="202" t="s">
        <v>211</v>
      </c>
      <c r="C17" s="510" t="str">
        <f>_xlfn.LET(_xlpm.x,'Project Inputs'!D21,IF(LEN(_xlpm.x)&gt;0,_xlpm.x,""))</f>
        <v/>
      </c>
      <c r="D17" s="527"/>
      <c r="F17" s="41"/>
      <c r="G17" s="124"/>
      <c r="H17" s="10"/>
      <c r="I17" s="438"/>
      <c r="J17" s="441"/>
      <c r="K17" s="441"/>
      <c r="L17" s="441"/>
      <c r="M17" s="441"/>
      <c r="Q17" s="441"/>
      <c r="R17" s="441"/>
      <c r="S17" s="441"/>
      <c r="T17" s="441"/>
      <c r="U17" s="442"/>
      <c r="V17" s="10"/>
      <c r="W17" s="442"/>
      <c r="X17" s="443"/>
    </row>
    <row r="18" spans="1:113" ht="30" customHeight="1">
      <c r="B18" s="202" t="s">
        <v>212</v>
      </c>
      <c r="C18" s="495"/>
      <c r="D18" s="527"/>
      <c r="E18" s="39"/>
      <c r="F18" s="41"/>
      <c r="G18" s="124"/>
      <c r="H18" s="10"/>
      <c r="I18" s="438"/>
      <c r="J18" s="441"/>
      <c r="K18" s="441"/>
      <c r="L18" s="441"/>
      <c r="M18" s="441"/>
      <c r="Q18" s="451"/>
      <c r="S18" s="451"/>
      <c r="T18" s="451"/>
      <c r="U18" s="452"/>
      <c r="V18" s="453"/>
      <c r="W18" s="442"/>
      <c r="X18" s="443"/>
    </row>
    <row r="19" spans="1:113">
      <c r="D19" s="440"/>
      <c r="E19" s="124"/>
      <c r="F19" s="124"/>
      <c r="G19" s="124"/>
      <c r="H19" s="10"/>
      <c r="I19" s="438"/>
      <c r="J19" s="441"/>
      <c r="K19" s="441"/>
      <c r="L19" s="441"/>
      <c r="M19" s="441"/>
      <c r="N19" s="441"/>
      <c r="O19" s="441"/>
      <c r="P19" s="441"/>
      <c r="Q19" s="441"/>
      <c r="R19" s="441"/>
      <c r="S19" s="441"/>
      <c r="T19" s="441"/>
      <c r="U19" s="442"/>
      <c r="V19" s="10"/>
      <c r="W19" s="442"/>
      <c r="X19" s="443"/>
    </row>
    <row r="20" spans="1:113" ht="28.8">
      <c r="B20" s="420" t="s">
        <v>217</v>
      </c>
      <c r="C20" s="420"/>
      <c r="E20" s="124"/>
      <c r="F20" s="124"/>
      <c r="G20" s="41"/>
      <c r="H20" s="423" t="str">
        <f>IFERROR(_xlfn.CONCAT(IF(OR(LEN(Baseline!$C$11)=0,LEN(Baseline!$C$12)=0),"",
INDEX(ls_Month_2,MONTH(EDATE(DATE(Baseline!$C$11,MATCH(Baseline!$C$12,ls_Month_2,0),1),0)))),CHAR(10),IF(OR(LEN(Baseline!$C$11)=0,LEN(Baseline!$C$12)=0),"",
YEAR(EDATE(DATE(Baseline!$C$11,MATCH(Baseline!$C$12,ls_Month_2,0),1),0)))),"Check Inputs")</f>
        <v xml:space="preserve">
</v>
      </c>
      <c r="I20" s="423" t="str">
        <f>IFERROR(_xlfn.CONCAT(IF(OR(LEN(Baseline!$C$11)=0,LEN(Baseline!$C$12)=0),"",
INDEX(ls_Month_2,MONTH(EDATE(DATE(Baseline!$C$11,MATCH(Baseline!$C$12,ls_Month_2,0),1),1)))),CHAR(10),IF(OR(LEN(Baseline!$C$11)=0,LEN(Baseline!$C$12)=0),"",
YEAR(EDATE(DATE(Baseline!$C$11,MATCH(Baseline!$C$12,ls_Month_2,0),1),1)))),"Check Inputs")</f>
        <v xml:space="preserve">
</v>
      </c>
      <c r="J20" s="423" t="str">
        <f>IFERROR(_xlfn.CONCAT(IF(OR(LEN(Baseline!$C$11)=0,LEN(Baseline!$C$12)=0),"",
INDEX(ls_Month_2,MONTH(EDATE(DATE(Baseline!$C$11,MATCH(Baseline!$C$12,ls_Month_2,0),1),2)))),CHAR(10),IF(OR(LEN(Baseline!$C$11)=0,LEN(Baseline!$C$12)=0),"",
YEAR(EDATE(DATE(Baseline!$C$11,MATCH(Baseline!$C$12,ls_Month_2,0),1),2)))),"Check Inputs")</f>
        <v xml:space="preserve">
</v>
      </c>
      <c r="K20" s="423" t="str">
        <f>IFERROR(_xlfn.CONCAT(IF(OR(LEN(Baseline!$C$11)=0,LEN(Baseline!$C$12)=0),"",
INDEX(ls_Month_2,MONTH(EDATE(DATE(Baseline!$C$11,MATCH(Baseline!$C$12,ls_Month_2,0),1),3)))),CHAR(10),IF(OR(LEN(Baseline!$C$11)=0,LEN(Baseline!$C$12)=0),"",
YEAR(EDATE(DATE(Baseline!$C$11,MATCH(Baseline!$C$12,ls_Month_2,0),1),3)))),"Check Inputs")</f>
        <v xml:space="preserve">
</v>
      </c>
      <c r="L20" s="423" t="str">
        <f>IFERROR(_xlfn.CONCAT(IF(OR(LEN(Baseline!$C$11)=0,LEN(Baseline!$C$12)=0),"",
INDEX(ls_Month_2,MONTH(EDATE(DATE(Baseline!$C$11,MATCH(Baseline!$C$12,ls_Month_2,0),1),4)))),CHAR(10),IF(OR(LEN(Baseline!$C$11)=0,LEN(Baseline!$C$12)=0),"",
YEAR(EDATE(DATE(Baseline!$C$11,MATCH(Baseline!$C$12,ls_Month_2,0),1),4)))),"Check Inputs")</f>
        <v xml:space="preserve">
</v>
      </c>
      <c r="M20" s="423" t="str">
        <f>IFERROR(_xlfn.CONCAT(IF(OR(LEN(Baseline!$C$11)=0,LEN(Baseline!$C$12)=0),"",
INDEX(ls_Month_2,MONTH(EDATE(DATE(Baseline!$C$11,MATCH(Baseline!$C$12,ls_Month_2,0),1),5)))),CHAR(10),IF(OR(LEN(Baseline!$C$11)=0,LEN(Baseline!$C$12)=0),"",
YEAR(EDATE(DATE(Baseline!$C$11,MATCH(Baseline!$C$12,ls_Month_2,0),1),5)))),"Check Inputs")</f>
        <v xml:space="preserve">
</v>
      </c>
      <c r="N20" s="423" t="str">
        <f>IFERROR(_xlfn.CONCAT(IF(OR(LEN(Baseline!$C$11)=0,LEN(Baseline!$C$12)=0),"",
INDEX(ls_Month_2,MONTH(EDATE(DATE(Baseline!$C$11,MATCH(Baseline!$C$12,ls_Month_2,0),1),6)))),CHAR(10),IF(OR(LEN(Baseline!$C$11)=0,LEN(Baseline!$C$12)=0),"",
YEAR(EDATE(DATE(Baseline!$C$11,MATCH(Baseline!$C$12,ls_Month_2,0),1),6)))),"Check Inputs")</f>
        <v xml:space="preserve">
</v>
      </c>
      <c r="O20" s="423" t="str">
        <f>IFERROR(_xlfn.CONCAT(IF(OR(LEN(Baseline!$C$11)=0,LEN(Baseline!$C$12)=0),"",
INDEX(ls_Month_2,MONTH(EDATE(DATE(Baseline!$C$11,MATCH(Baseline!$C$12,ls_Month_2,0),1),7)))),CHAR(10),IF(OR(LEN(Baseline!$C$11)=0,LEN(Baseline!$C$12)=0),"",
YEAR(EDATE(DATE(Baseline!$C$11,MATCH(Baseline!$C$12,ls_Month_2,0),1),7)))),"Check Inputs")</f>
        <v xml:space="preserve">
</v>
      </c>
      <c r="P20" s="423" t="str">
        <f>IFERROR(_xlfn.CONCAT(IF(OR(LEN(Baseline!$C$11)=0,LEN(Baseline!$C$12)=0),"",
INDEX(ls_Month_2,MONTH(EDATE(DATE(Baseline!$C$11,MATCH(Baseline!$C$12,ls_Month_2,0),1),8)))),CHAR(10),IF(OR(LEN(Baseline!$C$11)=0,LEN(Baseline!$C$12)=0),"",
YEAR(EDATE(DATE(Baseline!$C$11,MATCH(Baseline!$C$12,ls_Month_2,0),1),8)))),"Check Inputs")</f>
        <v xml:space="preserve">
</v>
      </c>
      <c r="Q20" s="423" t="str">
        <f>IFERROR(_xlfn.CONCAT(IF(OR(LEN(Baseline!$C$11)=0,LEN(Baseline!$C$12)=0),"",
INDEX(ls_Month_2,MONTH(EDATE(DATE(Baseline!$C$11,MATCH(Baseline!$C$12,ls_Month_2,0),1),9)))),CHAR(10),IF(OR(LEN(Baseline!$C$11)=0,LEN(Baseline!$C$12)=0),"",
YEAR(EDATE(DATE(Baseline!$C$11,MATCH(Baseline!$C$12,ls_Month_2,0),1),9)))),"Check Inputs")</f>
        <v xml:space="preserve">
</v>
      </c>
      <c r="R20" s="423" t="str">
        <f>IFERROR(_xlfn.CONCAT(IF(OR(LEN(Baseline!$C$11)=0,LEN(Baseline!$C$12)=0),"",
INDEX(ls_Month_2,MONTH(EDATE(DATE(Baseline!$C$11,MATCH(Baseline!$C$12,ls_Month_2,0),1),10)))),CHAR(10),IF(OR(LEN(Baseline!$C$11)=0,LEN(Baseline!$C$12)=0),"",
YEAR(EDATE(DATE(Baseline!$C$11,MATCH(Baseline!$C$12,ls_Month_2,0),1),10)))),"Check Inputs")</f>
        <v xml:space="preserve">
</v>
      </c>
      <c r="S20" s="423" t="str">
        <f>IFERROR(_xlfn.CONCAT(IF(OR(LEN(Baseline!$C$11)=0,LEN(Baseline!$C$12)=0),"",
INDEX(ls_Month_2,MONTH(EDATE(DATE(Baseline!$C$11,MATCH(Baseline!$C$12,ls_Month_2,0),1),11)))),CHAR(10),IF(OR(LEN(Baseline!$C$11)=0,LEN(Baseline!$C$12)=0),"",
YEAR(EDATE(DATE(Baseline!$C$11,MATCH(Baseline!$C$12,ls_Month_2,0),1),11)))),"Check Inputs")</f>
        <v xml:space="preserve">
</v>
      </c>
      <c r="T20" s="441"/>
      <c r="U20" s="442"/>
      <c r="V20" s="10"/>
      <c r="W20" s="442"/>
      <c r="X20" s="443"/>
      <c r="BH20" s="56" t="str">
        <f t="shared" ref="BH20:BS20" si="0">H20</f>
        <v xml:space="preserve">
</v>
      </c>
      <c r="BI20" s="56" t="str">
        <f t="shared" si="0"/>
        <v xml:space="preserve">
</v>
      </c>
      <c r="BJ20" s="56" t="str">
        <f t="shared" si="0"/>
        <v xml:space="preserve">
</v>
      </c>
      <c r="BK20" s="56" t="str">
        <f t="shared" si="0"/>
        <v xml:space="preserve">
</v>
      </c>
      <c r="BL20" s="56" t="str">
        <f t="shared" si="0"/>
        <v xml:space="preserve">
</v>
      </c>
      <c r="BM20" s="56" t="str">
        <f t="shared" si="0"/>
        <v xml:space="preserve">
</v>
      </c>
      <c r="BN20" s="56" t="str">
        <f t="shared" si="0"/>
        <v xml:space="preserve">
</v>
      </c>
      <c r="BO20" s="56" t="str">
        <f t="shared" si="0"/>
        <v xml:space="preserve">
</v>
      </c>
      <c r="BP20" s="56" t="str">
        <f t="shared" si="0"/>
        <v xml:space="preserve">
</v>
      </c>
      <c r="BQ20" s="56" t="str">
        <f t="shared" si="0"/>
        <v xml:space="preserve">
</v>
      </c>
      <c r="BR20" s="56" t="str">
        <f t="shared" si="0"/>
        <v xml:space="preserve">
</v>
      </c>
      <c r="BS20" s="56" t="str">
        <f t="shared" si="0"/>
        <v xml:space="preserve">
</v>
      </c>
      <c r="BT20" s="56" t="s">
        <v>219</v>
      </c>
      <c r="BU20" s="89"/>
      <c r="BV20" s="57"/>
      <c r="BW20" s="56" t="str">
        <f t="shared" ref="BW20:CH20" si="1">H20</f>
        <v xml:space="preserve">
</v>
      </c>
      <c r="BX20" s="56" t="str">
        <f t="shared" si="1"/>
        <v xml:space="preserve">
</v>
      </c>
      <c r="BY20" s="56" t="str">
        <f t="shared" si="1"/>
        <v xml:space="preserve">
</v>
      </c>
      <c r="BZ20" s="56" t="str">
        <f t="shared" si="1"/>
        <v xml:space="preserve">
</v>
      </c>
      <c r="CA20" s="56" t="str">
        <f t="shared" si="1"/>
        <v xml:space="preserve">
</v>
      </c>
      <c r="CB20" s="56" t="str">
        <f t="shared" si="1"/>
        <v xml:space="preserve">
</v>
      </c>
      <c r="CC20" s="56" t="str">
        <f t="shared" si="1"/>
        <v xml:space="preserve">
</v>
      </c>
      <c r="CD20" s="56" t="str">
        <f t="shared" si="1"/>
        <v xml:space="preserve">
</v>
      </c>
      <c r="CE20" s="56" t="str">
        <f t="shared" si="1"/>
        <v xml:space="preserve">
</v>
      </c>
      <c r="CF20" s="56" t="str">
        <f t="shared" si="1"/>
        <v xml:space="preserve">
</v>
      </c>
      <c r="CG20" s="56" t="str">
        <f t="shared" si="1"/>
        <v xml:space="preserve">
</v>
      </c>
      <c r="CH20" s="56" t="str">
        <f t="shared" si="1"/>
        <v xml:space="preserve">
</v>
      </c>
      <c r="CI20" s="56" t="s">
        <v>219</v>
      </c>
      <c r="CM20" s="454" t="s">
        <v>220</v>
      </c>
    </row>
    <row r="21" spans="1:113" ht="46.8">
      <c r="B21" s="455" t="s">
        <v>221</v>
      </c>
      <c r="C21" s="457" t="s">
        <v>226</v>
      </c>
      <c r="D21" s="455" t="s">
        <v>10254</v>
      </c>
      <c r="E21" s="455" t="s">
        <v>223</v>
      </c>
      <c r="F21" s="455" t="s">
        <v>224</v>
      </c>
      <c r="G21" s="456" t="s">
        <v>225</v>
      </c>
      <c r="H21" s="629" t="str">
        <f>_xlfn.CONCAT("Weight (",'Diversion and Disposal'!I9,,")")</f>
        <v>Weight ()</v>
      </c>
      <c r="I21" s="629"/>
      <c r="J21" s="629"/>
      <c r="K21" s="629"/>
      <c r="L21" s="629"/>
      <c r="M21" s="629"/>
      <c r="N21" s="629"/>
      <c r="O21" s="629"/>
      <c r="P21" s="629"/>
      <c r="Q21" s="629"/>
      <c r="R21" s="629"/>
      <c r="S21" s="629"/>
      <c r="T21" s="457" t="s">
        <v>219</v>
      </c>
      <c r="U21" s="457" t="s">
        <v>67</v>
      </c>
      <c r="W21" s="442"/>
      <c r="X21" s="443"/>
      <c r="BC21" s="426" t="s">
        <v>221</v>
      </c>
      <c r="BD21" s="426" t="s">
        <v>222</v>
      </c>
      <c r="BE21" s="426" t="s">
        <v>223</v>
      </c>
      <c r="BF21" s="426" t="s">
        <v>224</v>
      </c>
      <c r="BG21" s="427" t="s">
        <v>225</v>
      </c>
      <c r="BH21" s="626" t="s">
        <v>227</v>
      </c>
      <c r="BI21" s="627"/>
      <c r="BJ21" s="627"/>
      <c r="BK21" s="627"/>
      <c r="BL21" s="627"/>
      <c r="BM21" s="627"/>
      <c r="BN21" s="627"/>
      <c r="BO21" s="627"/>
      <c r="BP21" s="627"/>
      <c r="BQ21" s="627"/>
      <c r="BR21" s="627"/>
      <c r="BS21" s="627"/>
      <c r="BT21" s="628"/>
      <c r="BU21" s="428" t="s">
        <v>205</v>
      </c>
      <c r="BV21" s="429" t="s">
        <v>228</v>
      </c>
      <c r="BW21" s="626" t="s">
        <v>229</v>
      </c>
      <c r="BX21" s="627"/>
      <c r="BY21" s="627"/>
      <c r="BZ21" s="627"/>
      <c r="CA21" s="627"/>
      <c r="CB21" s="627"/>
      <c r="CC21" s="627"/>
      <c r="CD21" s="627"/>
      <c r="CE21" s="627"/>
      <c r="CF21" s="627"/>
      <c r="CG21" s="627"/>
      <c r="CH21" s="627"/>
      <c r="CI21" s="628"/>
      <c r="CK21" s="430" t="s">
        <v>230</v>
      </c>
      <c r="CM21" s="429" t="s">
        <v>231</v>
      </c>
      <c r="CN21" s="429" t="s">
        <v>225</v>
      </c>
      <c r="CO21" s="429" t="s">
        <v>228</v>
      </c>
      <c r="CP21" s="429" t="s">
        <v>232</v>
      </c>
      <c r="DD21" s="22" t="s">
        <v>10205</v>
      </c>
      <c r="DE21" s="185" t="s">
        <v>10216</v>
      </c>
      <c r="DF21" s="185" t="s">
        <v>10208</v>
      </c>
      <c r="DG21" s="185" t="s">
        <v>10210</v>
      </c>
      <c r="DH21" s="22" t="s">
        <v>10222</v>
      </c>
      <c r="DI21" s="22" t="s">
        <v>10239</v>
      </c>
    </row>
    <row r="22" spans="1:113" ht="30" customHeight="1">
      <c r="A22" s="22" t="str">
        <f>IF(DD22=0,"",1)</f>
        <v/>
      </c>
      <c r="B22" s="199"/>
      <c r="C22" s="459"/>
      <c r="D22" s="199"/>
      <c r="E22" s="405"/>
      <c r="F22" s="405"/>
      <c r="G22" s="406"/>
      <c r="H22" s="377"/>
      <c r="I22" s="377"/>
      <c r="J22" s="377"/>
      <c r="K22" s="377"/>
      <c r="L22" s="377"/>
      <c r="M22" s="377"/>
      <c r="N22" s="377"/>
      <c r="O22" s="377"/>
      <c r="P22" s="377"/>
      <c r="Q22" s="377"/>
      <c r="R22" s="377"/>
      <c r="S22" s="377"/>
      <c r="T22" s="458">
        <f>SUM(H22:S22)</f>
        <v>0</v>
      </c>
      <c r="U22" s="200"/>
      <c r="W22" s="442"/>
      <c r="X22" s="443"/>
      <c r="BC22" s="3">
        <f>B22</f>
        <v>0</v>
      </c>
      <c r="BD22" s="3">
        <f>D22</f>
        <v>0</v>
      </c>
      <c r="BE22" s="432" t="str">
        <f>_xlfn.LET(_xlpm.x,E22,IF(OR(LEN(_xlpm.x)&lt;1,_xlpm.x=0),"",_xlpm.x))</f>
        <v/>
      </c>
      <c r="BF22" s="432" t="str">
        <f>_xlfn.LET(_xlpm.x,F22,IF(OR(LEN(_xlpm.x)&lt;1,_xlpm.x=0),"",_xlpm.x))</f>
        <v/>
      </c>
      <c r="BG22" s="432" t="str">
        <f>_xlfn.LET(_xlpm.x,G22,IF(OR(LEN(_xlpm.x)&lt;1,_xlpm.x=0),"",_xlpm.x))</f>
        <v/>
      </c>
      <c r="BH22" s="434" t="str">
        <f>_xlfn.LET(_xlpm.x,H22,IF(OR(LEN(_xlpm.x)&lt;1,_xlpm.x=0),"",CONVERT(_xlpm.x,'Diversion and Disposal'!$BH$7,"kg")))</f>
        <v/>
      </c>
      <c r="BI22" s="434" t="str">
        <f>_xlfn.LET(_xlpm.x,I22,IF(OR(LEN(_xlpm.x)&lt;1,_xlpm.x=0),"",CONVERT(_xlpm.x,'Diversion and Disposal'!$BH$7,"kg")))</f>
        <v/>
      </c>
      <c r="BJ22" s="434" t="str">
        <f>_xlfn.LET(_xlpm.x,J22,IF(OR(LEN(_xlpm.x)&lt;1,_xlpm.x=0),"",CONVERT(_xlpm.x,'Diversion and Disposal'!$BH$7,"kg")))</f>
        <v/>
      </c>
      <c r="BK22" s="434" t="str">
        <f>_xlfn.LET(_xlpm.x,K22,IF(OR(LEN(_xlpm.x)&lt;1,_xlpm.x=0),"",CONVERT(_xlpm.x,'Diversion and Disposal'!$BH$7,"kg")))</f>
        <v/>
      </c>
      <c r="BL22" s="434" t="str">
        <f>_xlfn.LET(_xlpm.x,L22,IF(OR(LEN(_xlpm.x)&lt;1,_xlpm.x=0),"",CONVERT(_xlpm.x,'Diversion and Disposal'!$BH$7,"kg")))</f>
        <v/>
      </c>
      <c r="BM22" s="434" t="str">
        <f>_xlfn.LET(_xlpm.x,M22,IF(OR(LEN(_xlpm.x)&lt;1,_xlpm.x=0),"",CONVERT(_xlpm.x,'Diversion and Disposal'!$BH$7,"kg")))</f>
        <v/>
      </c>
      <c r="BN22" s="434" t="str">
        <f>_xlfn.LET(_xlpm.x,N22,IF(OR(LEN(_xlpm.x)&lt;1,_xlpm.x=0),"",CONVERT(_xlpm.x,'Diversion and Disposal'!$BH$7,"kg")))</f>
        <v/>
      </c>
      <c r="BO22" s="434" t="str">
        <f>_xlfn.LET(_xlpm.x,O22,IF(OR(LEN(_xlpm.x)&lt;1,_xlpm.x=0),"",CONVERT(_xlpm.x,'Diversion and Disposal'!$BH$7,"kg")))</f>
        <v/>
      </c>
      <c r="BP22" s="434" t="str">
        <f>_xlfn.LET(_xlpm.x,P22,IF(OR(LEN(_xlpm.x)&lt;1,_xlpm.x=0),"",CONVERT(_xlpm.x,'Diversion and Disposal'!$BH$7,"kg")))</f>
        <v/>
      </c>
      <c r="BQ22" s="434" t="str">
        <f>_xlfn.LET(_xlpm.x,Q22,IF(OR(LEN(_xlpm.x)&lt;1,_xlpm.x=0),"",CONVERT(_xlpm.x,'Diversion and Disposal'!$BH$7,"kg")))</f>
        <v/>
      </c>
      <c r="BR22" s="434" t="str">
        <f>_xlfn.LET(_xlpm.x,R22,IF(OR(LEN(_xlpm.x)&lt;1,_xlpm.x=0),"",CONVERT(_xlpm.x,'Diversion and Disposal'!$BH$7,"kg")))</f>
        <v/>
      </c>
      <c r="BS22" s="434" t="str">
        <f>_xlfn.LET(_xlpm.x,S22,IF(OR(LEN(_xlpm.x)&lt;1,_xlpm.x=0),"",CONVERT(_xlpm.x,'Diversion and Disposal'!$BH$7,"kg")))</f>
        <v/>
      </c>
      <c r="BT22" s="435">
        <f t="shared" ref="BT22:BT53" si="2">SUM(BH22:BS22)</f>
        <v>0</v>
      </c>
      <c r="BU22" s="433" t="str">
        <f>_xlfn.LET(_xlpm.x,BF22,IF(LEN(_xlpm.x)&lt;1,"",IF(ISNUMBER(MATCH(_xlpm.x,ls_Mat_def,0)),'Project Inputs'!$BF$14,99)))</f>
        <v/>
      </c>
      <c r="BV22" s="432" t="str" cm="1">
        <f t="array" ref="BV22">IFERROR(INDEX(tblGWP[],MATCH(1,(tblGWP[Dataset ID]=BU22)*(tblGWP[Material Subcategory]=BF22),0),MATCH(BG22,ls_WHM,0)+5),"confirm")</f>
        <v>confirm</v>
      </c>
      <c r="BW22" s="434" t="str">
        <f t="shared" ref="BW22:BW53" si="3">IFERROR(BH22*$BV22,"No data")</f>
        <v>No data</v>
      </c>
      <c r="BX22" s="434" t="str">
        <f t="shared" ref="BX22:BX53" si="4">IFERROR(BI22*$BV22,"No data")</f>
        <v>No data</v>
      </c>
      <c r="BY22" s="434" t="str">
        <f t="shared" ref="BY22:BY53" si="5">IFERROR(BJ22*$BV22,"No data")</f>
        <v>No data</v>
      </c>
      <c r="BZ22" s="434" t="str">
        <f t="shared" ref="BZ22:BZ53" si="6">IFERROR(BK22*$BV22,"No data")</f>
        <v>No data</v>
      </c>
      <c r="CA22" s="434" t="str">
        <f t="shared" ref="CA22:CA53" si="7">IFERROR(BL22*$BV22,"No data")</f>
        <v>No data</v>
      </c>
      <c r="CB22" s="434" t="str">
        <f t="shared" ref="CB22:CB53" si="8">IFERROR(BM22*$BV22,"No data")</f>
        <v>No data</v>
      </c>
      <c r="CC22" s="434" t="str">
        <f t="shared" ref="CC22:CC53" si="9">IFERROR(BN22*$BV22,"No data")</f>
        <v>No data</v>
      </c>
      <c r="CD22" s="434" t="str">
        <f t="shared" ref="CD22:CD53" si="10">IFERROR(BO22*$BV22,"No data")</f>
        <v>No data</v>
      </c>
      <c r="CE22" s="434" t="str">
        <f t="shared" ref="CE22:CE53" si="11">IFERROR(BP22*$BV22,"No data")</f>
        <v>No data</v>
      </c>
      <c r="CF22" s="434" t="str">
        <f t="shared" ref="CF22:CF53" si="12">IFERROR(BQ22*$BV22,"No data")</f>
        <v>No data</v>
      </c>
      <c r="CG22" s="434" t="str">
        <f t="shared" ref="CG22:CG53" si="13">IFERROR(BR22*$BV22,"No data")</f>
        <v>No data</v>
      </c>
      <c r="CH22" s="434" t="str">
        <f t="shared" ref="CH22:CH53" si="14">IFERROR(BS22*$BV22,"No data")</f>
        <v>No data</v>
      </c>
      <c r="CI22" s="435">
        <f t="shared" ref="CI22:CI53" si="15">SUM(BW22:CH22)</f>
        <v>0</v>
      </c>
      <c r="CK22" s="3" t="str">
        <f>_xlfn.LET(_xlpm.x,INDEX(tbl_Mat_def[],MATCH(BF22,ls_Mat_def,0),2),IFERROR(IF(_xlpm.x=0,"No","Yes"),"No"))</f>
        <v>No</v>
      </c>
      <c r="CM22" s="60" t="str">
        <f t="shared" ref="CM22:CM53" si="16">BF22</f>
        <v/>
      </c>
      <c r="CN22" s="60" t="s">
        <v>235</v>
      </c>
      <c r="CO22" s="432" t="str" cm="1">
        <f t="array" ref="CO22">IFERROR(INDEX(tblGWP[],MATCH(1,(tblGWP[Dataset ID]=BU22)*(tblGWP[Material Subcategory]=CM22),0),MATCH(CN22,ls_WHM,0)+4),"confirm")</f>
        <v>confirm</v>
      </c>
      <c r="CP22" s="436" t="str">
        <f t="shared" ref="CP22:CP53" si="17">IFERROR($BT22*CO22,"")</f>
        <v/>
      </c>
      <c r="DA22" t="s">
        <v>10213</v>
      </c>
      <c r="DB22" t="s">
        <v>10217</v>
      </c>
      <c r="DD22" s="388">
        <f>IF(DE22=19,0,SUM(DF22:DI22))</f>
        <v>0</v>
      </c>
      <c r="DE22" s="22">
        <f t="shared" ref="DE22:DE53" si="18">COUNTBLANK(B22:U22)</f>
        <v>19</v>
      </c>
      <c r="DF22" s="387">
        <f>SUM(IF(OR(ISNUMBER(H22),LEN(H22)=0),0,1),IF(OR(ISNUMBER(I22),LEN(I22)=0),0,1),
IF(OR(ISNUMBER(J22),LEN(J22)=0),0,1),IF(OR(ISNUMBER(K22),LEN(K22)=0),0,1),
IF(OR(ISNUMBER(L22),LEN(L22)=0),0,1),IF(OR(ISNUMBER(M22),LEN(M22)=0),0,1),
IF(OR(ISNUMBER(N22),LEN(N22)=0),0,1),IF(OR(ISNUMBER(O22),LEN(O22)=0),0,1),
IF(OR(ISNUMBER(P22),LEN(P22)=0),0,1),IF(OR(ISNUMBER(Q22),LEN(Q22)=0),0,1),
IF(OR(ISNUMBER(R22),LEN(R22)=0),0,1),IF(OR(ISNUMBER(S22),LEN(S22)=0),0,1))+
IF(MIN(H22:R22)&gt;=0,0,1)</f>
        <v>0</v>
      </c>
      <c r="DG22" s="387">
        <f>_xlfn.LET(_xlpm.x,DE22,_xlpm.y,B22,_xlpm.z,E22,_xlpm.m,F22,_xlpm.n,G22,_xlpm.o,COUNTBLANK(H22:S22),_xlpm.p,C22,IF(_xlpm.x=19,0,
IF(AND(LEN(_xlpm.y)&gt;0,LEN(_xlpm.z)&gt;0,LEN(_xlpm.m)&gt;0,LEN(_xlpm.n)&gt;0,LEN(_xlpm.p)&gt;0,_xlpm.o&lt;12),0,1)))</f>
        <v>0</v>
      </c>
      <c r="DH22" s="22">
        <f t="shared" ref="DH22:DH53" ca="1" si="19">IF(DE22=19,0,IF(ISNUMBER(MATCH(F22,INDIRECT(INDEX(ls_Subcat_options,MATCH(E22,ls_Mat_Cat,0))),0)),0,1))</f>
        <v>0</v>
      </c>
      <c r="DI22">
        <f t="shared" ref="DI22:DI53" ca="1" si="20">IF(DE22=19,0,IF(ISNUMBER(MATCH(G22,INDIRECT(INDEX(ls_WHMB_options,MATCH(F22,ls_Mat,0))),0)),0,1))</f>
        <v>0</v>
      </c>
    </row>
    <row r="23" spans="1:113" ht="30" customHeight="1">
      <c r="A23" s="22" t="str">
        <f t="shared" ref="A23:A86" si="21">IF(DD23=0,"",1)</f>
        <v/>
      </c>
      <c r="B23" s="199"/>
      <c r="C23" s="459"/>
      <c r="D23" s="199"/>
      <c r="E23" s="405"/>
      <c r="F23" s="405"/>
      <c r="G23" s="406"/>
      <c r="H23" s="377"/>
      <c r="I23" s="377"/>
      <c r="J23" s="377"/>
      <c r="K23" s="377"/>
      <c r="L23" s="377"/>
      <c r="M23" s="377"/>
      <c r="N23" s="377"/>
      <c r="O23" s="377"/>
      <c r="P23" s="377"/>
      <c r="Q23" s="377"/>
      <c r="R23" s="377"/>
      <c r="S23" s="377"/>
      <c r="T23" s="458">
        <f>SUM(H23:S23)</f>
        <v>0</v>
      </c>
      <c r="U23" s="200"/>
      <c r="W23" s="442"/>
      <c r="X23" s="443"/>
      <c r="BC23" s="3">
        <f t="shared" ref="BC23:BC86" si="22">B23</f>
        <v>0</v>
      </c>
      <c r="BD23" s="3">
        <f t="shared" ref="BD23:BD86" si="23">D23</f>
        <v>0</v>
      </c>
      <c r="BE23" s="432" t="str">
        <f t="shared" ref="BE23:BE86" si="24">_xlfn.LET(_xlpm.x,E23,IF(OR(LEN(_xlpm.x)&lt;1,_xlpm.x=0),"",_xlpm.x))</f>
        <v/>
      </c>
      <c r="BF23" s="432" t="str">
        <f t="shared" ref="BF23:BF86" si="25">_xlfn.LET(_xlpm.x,F23,IF(OR(LEN(_xlpm.x)&lt;1,_xlpm.x=0),"",_xlpm.x))</f>
        <v/>
      </c>
      <c r="BG23" s="432" t="str">
        <f t="shared" ref="BG23:BG86" si="26">_xlfn.LET(_xlpm.x,G23,IF(OR(LEN(_xlpm.x)&lt;1,_xlpm.x=0),"",_xlpm.x))</f>
        <v/>
      </c>
      <c r="BH23" s="434" t="str">
        <f>_xlfn.LET(_xlpm.x,H23,IF(OR(LEN(_xlpm.x)&lt;1,_xlpm.x=0),"",CONVERT(_xlpm.x,'Diversion and Disposal'!$BH$7,"kg")))</f>
        <v/>
      </c>
      <c r="BI23" s="434" t="str">
        <f>_xlfn.LET(_xlpm.x,I23,IF(OR(LEN(_xlpm.x)&lt;1,_xlpm.x=0),"",CONVERT(_xlpm.x,'Diversion and Disposal'!$BH$7,"kg")))</f>
        <v/>
      </c>
      <c r="BJ23" s="434" t="str">
        <f>_xlfn.LET(_xlpm.x,J23,IF(OR(LEN(_xlpm.x)&lt;1,_xlpm.x=0),"",CONVERT(_xlpm.x,'Diversion and Disposal'!$BH$7,"kg")))</f>
        <v/>
      </c>
      <c r="BK23" s="434" t="str">
        <f>_xlfn.LET(_xlpm.x,K23,IF(OR(LEN(_xlpm.x)&lt;1,_xlpm.x=0),"",CONVERT(_xlpm.x,'Diversion and Disposal'!$BH$7,"kg")))</f>
        <v/>
      </c>
      <c r="BL23" s="434" t="str">
        <f>_xlfn.LET(_xlpm.x,L23,IF(OR(LEN(_xlpm.x)&lt;1,_xlpm.x=0),"",CONVERT(_xlpm.x,'Diversion and Disposal'!$BH$7,"kg")))</f>
        <v/>
      </c>
      <c r="BM23" s="434" t="str">
        <f>_xlfn.LET(_xlpm.x,M23,IF(OR(LEN(_xlpm.x)&lt;1,_xlpm.x=0),"",CONVERT(_xlpm.x,'Diversion and Disposal'!$BH$7,"kg")))</f>
        <v/>
      </c>
      <c r="BN23" s="434" t="str">
        <f>_xlfn.LET(_xlpm.x,N23,IF(OR(LEN(_xlpm.x)&lt;1,_xlpm.x=0),"",CONVERT(_xlpm.x,'Diversion and Disposal'!$BH$7,"kg")))</f>
        <v/>
      </c>
      <c r="BO23" s="434" t="str">
        <f>_xlfn.LET(_xlpm.x,O23,IF(OR(LEN(_xlpm.x)&lt;1,_xlpm.x=0),"",CONVERT(_xlpm.x,'Diversion and Disposal'!$BH$7,"kg")))</f>
        <v/>
      </c>
      <c r="BP23" s="434" t="str">
        <f>_xlfn.LET(_xlpm.x,P23,IF(OR(LEN(_xlpm.x)&lt;1,_xlpm.x=0),"",CONVERT(_xlpm.x,'Diversion and Disposal'!$BH$7,"kg")))</f>
        <v/>
      </c>
      <c r="BQ23" s="434" t="str">
        <f>_xlfn.LET(_xlpm.x,Q23,IF(OR(LEN(_xlpm.x)&lt;1,_xlpm.x=0),"",CONVERT(_xlpm.x,'Diversion and Disposal'!$BH$7,"kg")))</f>
        <v/>
      </c>
      <c r="BR23" s="434" t="str">
        <f>_xlfn.LET(_xlpm.x,R23,IF(OR(LEN(_xlpm.x)&lt;1,_xlpm.x=0),"",CONVERT(_xlpm.x,'Diversion and Disposal'!$BH$7,"kg")))</f>
        <v/>
      </c>
      <c r="BS23" s="434" t="str">
        <f>_xlfn.LET(_xlpm.x,S23,IF(OR(LEN(_xlpm.x)&lt;1,_xlpm.x=0),"",CONVERT(_xlpm.x,'Diversion and Disposal'!$BH$7,"kg")))</f>
        <v/>
      </c>
      <c r="BT23" s="435">
        <f t="shared" si="2"/>
        <v>0</v>
      </c>
      <c r="BU23" s="433" t="str">
        <f>_xlfn.LET(_xlpm.x,BF23,IF(LEN(_xlpm.x)&lt;1,"",IF(ISNUMBER(MATCH(_xlpm.x,ls_Mat_def,0)),'Project Inputs'!$BF$14,99)))</f>
        <v/>
      </c>
      <c r="BV23" s="432" t="str" cm="1">
        <f t="array" ref="BV23">IFERROR(INDEX(tblGWP[],MATCH(1,(tblGWP[Dataset ID]=BU23)*(tblGWP[Material Subcategory]=BF23),0),MATCH(BG23,ls_WHM,0)+5),"confirm")</f>
        <v>confirm</v>
      </c>
      <c r="BW23" s="434" t="str">
        <f t="shared" si="3"/>
        <v>No data</v>
      </c>
      <c r="BX23" s="434" t="str">
        <f t="shared" si="4"/>
        <v>No data</v>
      </c>
      <c r="BY23" s="434" t="str">
        <f t="shared" si="5"/>
        <v>No data</v>
      </c>
      <c r="BZ23" s="434" t="str">
        <f t="shared" si="6"/>
        <v>No data</v>
      </c>
      <c r="CA23" s="434" t="str">
        <f t="shared" si="7"/>
        <v>No data</v>
      </c>
      <c r="CB23" s="434" t="str">
        <f t="shared" si="8"/>
        <v>No data</v>
      </c>
      <c r="CC23" s="434" t="str">
        <f t="shared" si="9"/>
        <v>No data</v>
      </c>
      <c r="CD23" s="434" t="str">
        <f t="shared" si="10"/>
        <v>No data</v>
      </c>
      <c r="CE23" s="434" t="str">
        <f t="shared" si="11"/>
        <v>No data</v>
      </c>
      <c r="CF23" s="434" t="str">
        <f t="shared" si="12"/>
        <v>No data</v>
      </c>
      <c r="CG23" s="434" t="str">
        <f t="shared" si="13"/>
        <v>No data</v>
      </c>
      <c r="CH23" s="434" t="str">
        <f t="shared" si="14"/>
        <v>No data</v>
      </c>
      <c r="CI23" s="435">
        <f t="shared" si="15"/>
        <v>0</v>
      </c>
      <c r="CK23" s="3" t="str">
        <f>_xlfn.LET(_xlpm.x,INDEX(tbl_Mat_def[],MATCH(BF23,ls_Mat_def,0),2),IFERROR(IF(_xlpm.x=0,"No","Yes"),"No"))</f>
        <v>No</v>
      </c>
      <c r="CM23" s="60" t="str">
        <f t="shared" si="16"/>
        <v/>
      </c>
      <c r="CN23" s="60" t="s">
        <v>235</v>
      </c>
      <c r="CO23" s="432" t="str" cm="1">
        <f t="array" ref="CO23">IFERROR(INDEX(tblGWP[],MATCH(1,(tblGWP[Dataset ID]=BU23)*(tblGWP[Material Subcategory]=CM23),0),MATCH(CN23,ls_WHM,0)+4),"confirm")</f>
        <v>confirm</v>
      </c>
      <c r="CP23" s="436" t="str">
        <f t="shared" si="17"/>
        <v/>
      </c>
      <c r="DA23" t="s">
        <v>10208</v>
      </c>
      <c r="DB23" t="s">
        <v>10215</v>
      </c>
      <c r="DD23" s="388">
        <f t="shared" ref="DD23:DD86" si="27">IF(DE23=19,0,SUM(DF23:DI23))</f>
        <v>0</v>
      </c>
      <c r="DE23" s="22">
        <f t="shared" si="18"/>
        <v>19</v>
      </c>
      <c r="DF23" s="387">
        <f t="shared" ref="DF23:DF86" si="28">SUM(IF(OR(ISNUMBER(H23),LEN(H23)=0),0,1),IF(OR(ISNUMBER(I23),LEN(I23)=0),0,1),
IF(OR(ISNUMBER(J23),LEN(J23)=0),0,1),IF(OR(ISNUMBER(K23),LEN(K23)=0),0,1),
IF(OR(ISNUMBER(L23),LEN(L23)=0),0,1),IF(OR(ISNUMBER(M23),LEN(M23)=0),0,1),
IF(OR(ISNUMBER(N23),LEN(N23)=0),0,1),IF(OR(ISNUMBER(O23),LEN(O23)=0),0,1),
IF(OR(ISNUMBER(P23),LEN(P23)=0),0,1),IF(OR(ISNUMBER(Q23),LEN(Q23)=0),0,1),
IF(OR(ISNUMBER(R23),LEN(R23)=0),0,1),IF(OR(ISNUMBER(S23),LEN(S23)=0),0,1))+
IF(MIN(H23:R23)&gt;=0,0,1)</f>
        <v>0</v>
      </c>
      <c r="DG23" s="387">
        <f t="shared" ref="DG23:DG53" si="29">_xlfn.LET(_xlpm.x,DE23,_xlpm.y,B23,_xlpm.z,E23,_xlpm.m,F23,_xlpm.n,G23,_xlpm.o,COUNTBLANK(H23:S23),_xlpm.p,C23,IF(_xlpm.x=19,0,
IF(AND(LEN(_xlpm.y)&gt;0,LEN(_xlpm.z)&gt;0,LEN(_xlpm.m)&gt;0,LEN(_xlpm.n)&gt;0,_xlpm.o&lt;12),0,1)))</f>
        <v>0</v>
      </c>
      <c r="DH23" s="22">
        <f t="shared" ca="1" si="19"/>
        <v>0</v>
      </c>
      <c r="DI23">
        <f t="shared" ca="1" si="20"/>
        <v>0</v>
      </c>
    </row>
    <row r="24" spans="1:113" ht="30" customHeight="1">
      <c r="A24" s="22" t="str">
        <f t="shared" si="21"/>
        <v/>
      </c>
      <c r="B24" s="199"/>
      <c r="C24" s="459"/>
      <c r="D24" s="199"/>
      <c r="E24" s="405"/>
      <c r="F24" s="405"/>
      <c r="G24" s="406"/>
      <c r="H24" s="377"/>
      <c r="I24" s="377"/>
      <c r="J24" s="377"/>
      <c r="K24" s="377"/>
      <c r="L24" s="377"/>
      <c r="M24" s="377"/>
      <c r="N24" s="377"/>
      <c r="O24" s="377"/>
      <c r="P24" s="377"/>
      <c r="Q24" s="377"/>
      <c r="R24" s="377"/>
      <c r="S24" s="377"/>
      <c r="T24" s="458">
        <f>SUM(H24:S24)</f>
        <v>0</v>
      </c>
      <c r="U24" s="200"/>
      <c r="W24" s="442"/>
      <c r="X24" s="443"/>
      <c r="BC24" s="3">
        <f t="shared" si="22"/>
        <v>0</v>
      </c>
      <c r="BD24" s="3">
        <f t="shared" si="23"/>
        <v>0</v>
      </c>
      <c r="BE24" s="432" t="str">
        <f t="shared" si="24"/>
        <v/>
      </c>
      <c r="BF24" s="432" t="str">
        <f t="shared" si="25"/>
        <v/>
      </c>
      <c r="BG24" s="432" t="str">
        <f t="shared" si="26"/>
        <v/>
      </c>
      <c r="BH24" s="434" t="str">
        <f>_xlfn.LET(_xlpm.x,H24,IF(OR(LEN(_xlpm.x)&lt;1,_xlpm.x=0),"",CONVERT(_xlpm.x,'Diversion and Disposal'!$BH$7,"kg")))</f>
        <v/>
      </c>
      <c r="BI24" s="434" t="str">
        <f>_xlfn.LET(_xlpm.x,I24,IF(OR(LEN(_xlpm.x)&lt;1,_xlpm.x=0),"",CONVERT(_xlpm.x,'Diversion and Disposal'!$BH$7,"kg")))</f>
        <v/>
      </c>
      <c r="BJ24" s="434" t="str">
        <f>_xlfn.LET(_xlpm.x,J24,IF(OR(LEN(_xlpm.x)&lt;1,_xlpm.x=0),"",CONVERT(_xlpm.x,'Diversion and Disposal'!$BH$7,"kg")))</f>
        <v/>
      </c>
      <c r="BK24" s="434" t="str">
        <f>_xlfn.LET(_xlpm.x,K24,IF(OR(LEN(_xlpm.x)&lt;1,_xlpm.x=0),"",CONVERT(_xlpm.x,'Diversion and Disposal'!$BH$7,"kg")))</f>
        <v/>
      </c>
      <c r="BL24" s="434" t="str">
        <f>_xlfn.LET(_xlpm.x,L24,IF(OR(LEN(_xlpm.x)&lt;1,_xlpm.x=0),"",CONVERT(_xlpm.x,'Diversion and Disposal'!$BH$7,"kg")))</f>
        <v/>
      </c>
      <c r="BM24" s="434" t="str">
        <f>_xlfn.LET(_xlpm.x,M24,IF(OR(LEN(_xlpm.x)&lt;1,_xlpm.x=0),"",CONVERT(_xlpm.x,'Diversion and Disposal'!$BH$7,"kg")))</f>
        <v/>
      </c>
      <c r="BN24" s="434" t="str">
        <f>_xlfn.LET(_xlpm.x,N24,IF(OR(LEN(_xlpm.x)&lt;1,_xlpm.x=0),"",CONVERT(_xlpm.x,'Diversion and Disposal'!$BH$7,"kg")))</f>
        <v/>
      </c>
      <c r="BO24" s="434" t="str">
        <f>_xlfn.LET(_xlpm.x,O24,IF(OR(LEN(_xlpm.x)&lt;1,_xlpm.x=0),"",CONVERT(_xlpm.x,'Diversion and Disposal'!$BH$7,"kg")))</f>
        <v/>
      </c>
      <c r="BP24" s="434" t="str">
        <f>_xlfn.LET(_xlpm.x,P24,IF(OR(LEN(_xlpm.x)&lt;1,_xlpm.x=0),"",CONVERT(_xlpm.x,'Diversion and Disposal'!$BH$7,"kg")))</f>
        <v/>
      </c>
      <c r="BQ24" s="434" t="str">
        <f>_xlfn.LET(_xlpm.x,Q24,IF(OR(LEN(_xlpm.x)&lt;1,_xlpm.x=0),"",CONVERT(_xlpm.x,'Diversion and Disposal'!$BH$7,"kg")))</f>
        <v/>
      </c>
      <c r="BR24" s="434" t="str">
        <f>_xlfn.LET(_xlpm.x,R24,IF(OR(LEN(_xlpm.x)&lt;1,_xlpm.x=0),"",CONVERT(_xlpm.x,'Diversion and Disposal'!$BH$7,"kg")))</f>
        <v/>
      </c>
      <c r="BS24" s="434" t="str">
        <f>_xlfn.LET(_xlpm.x,S24,IF(OR(LEN(_xlpm.x)&lt;1,_xlpm.x=0),"",CONVERT(_xlpm.x,'Diversion and Disposal'!$BH$7,"kg")))</f>
        <v/>
      </c>
      <c r="BT24" s="435">
        <f t="shared" si="2"/>
        <v>0</v>
      </c>
      <c r="BU24" s="433" t="str">
        <f>_xlfn.LET(_xlpm.x,BF24,IF(LEN(_xlpm.x)&lt;1,"",IF(ISNUMBER(MATCH(_xlpm.x,ls_Mat_def,0)),'Project Inputs'!$BF$14,99)))</f>
        <v/>
      </c>
      <c r="BV24" s="432" t="str" cm="1">
        <f t="array" ref="BV24">IFERROR(INDEX(tblGWP[],MATCH(1,(tblGWP[Dataset ID]=BU24)*(tblGWP[Material Subcategory]=BF24),0),MATCH(BG24,ls_WHM,0)+5),"confirm")</f>
        <v>confirm</v>
      </c>
      <c r="BW24" s="434" t="str">
        <f t="shared" si="3"/>
        <v>No data</v>
      </c>
      <c r="BX24" s="434" t="str">
        <f t="shared" si="4"/>
        <v>No data</v>
      </c>
      <c r="BY24" s="434" t="str">
        <f t="shared" si="5"/>
        <v>No data</v>
      </c>
      <c r="BZ24" s="434" t="str">
        <f t="shared" si="6"/>
        <v>No data</v>
      </c>
      <c r="CA24" s="434" t="str">
        <f t="shared" si="7"/>
        <v>No data</v>
      </c>
      <c r="CB24" s="434" t="str">
        <f t="shared" si="8"/>
        <v>No data</v>
      </c>
      <c r="CC24" s="434" t="str">
        <f t="shared" si="9"/>
        <v>No data</v>
      </c>
      <c r="CD24" s="434" t="str">
        <f t="shared" si="10"/>
        <v>No data</v>
      </c>
      <c r="CE24" s="434" t="str">
        <f t="shared" si="11"/>
        <v>No data</v>
      </c>
      <c r="CF24" s="434" t="str">
        <f t="shared" si="12"/>
        <v>No data</v>
      </c>
      <c r="CG24" s="434" t="str">
        <f t="shared" si="13"/>
        <v>No data</v>
      </c>
      <c r="CH24" s="434" t="str">
        <f t="shared" si="14"/>
        <v>No data</v>
      </c>
      <c r="CI24" s="435">
        <f t="shared" si="15"/>
        <v>0</v>
      </c>
      <c r="CK24" s="3" t="str">
        <f>_xlfn.LET(_xlpm.x,INDEX(tbl_Mat_def[],MATCH(BF24,ls_Mat_def,0),2),IFERROR(IF(_xlpm.x=0,"No","Yes"),"No"))</f>
        <v>No</v>
      </c>
      <c r="CM24" s="60" t="str">
        <f t="shared" si="16"/>
        <v/>
      </c>
      <c r="CN24" s="60" t="s">
        <v>235</v>
      </c>
      <c r="CO24" s="432" t="str" cm="1">
        <f t="array" ref="CO24">IFERROR(INDEX(tblGWP[],MATCH(1,(tblGWP[Dataset ID]=BU24)*(tblGWP[Material Subcategory]=CM24),0),MATCH(CN24,ls_WHM,0)+4),"confirm")</f>
        <v>confirm</v>
      </c>
      <c r="CP24" s="436" t="str">
        <f t="shared" si="17"/>
        <v/>
      </c>
      <c r="DA24" t="s">
        <v>10210</v>
      </c>
      <c r="DB24" s="44" t="s">
        <v>10218</v>
      </c>
      <c r="DD24" s="388">
        <f t="shared" si="27"/>
        <v>0</v>
      </c>
      <c r="DE24" s="22">
        <f t="shared" si="18"/>
        <v>19</v>
      </c>
      <c r="DF24" s="387">
        <f t="shared" si="28"/>
        <v>0</v>
      </c>
      <c r="DG24" s="387">
        <f t="shared" si="29"/>
        <v>0</v>
      </c>
      <c r="DH24" s="22">
        <f t="shared" ca="1" si="19"/>
        <v>0</v>
      </c>
      <c r="DI24">
        <f t="shared" ca="1" si="20"/>
        <v>0</v>
      </c>
    </row>
    <row r="25" spans="1:113" ht="30" customHeight="1">
      <c r="A25" s="22" t="str">
        <f t="shared" si="21"/>
        <v/>
      </c>
      <c r="B25" s="199"/>
      <c r="C25" s="459"/>
      <c r="D25" s="199"/>
      <c r="E25" s="405"/>
      <c r="F25" s="405"/>
      <c r="G25" s="406"/>
      <c r="H25" s="377"/>
      <c r="I25" s="377"/>
      <c r="J25" s="377"/>
      <c r="K25" s="377"/>
      <c r="L25" s="377"/>
      <c r="M25" s="377"/>
      <c r="N25" s="377"/>
      <c r="O25" s="377"/>
      <c r="P25" s="377"/>
      <c r="Q25" s="377"/>
      <c r="R25" s="377"/>
      <c r="S25" s="377"/>
      <c r="T25" s="458">
        <f>SUM(H25:S25)</f>
        <v>0</v>
      </c>
      <c r="U25" s="200"/>
      <c r="W25" s="442"/>
      <c r="X25" s="443"/>
      <c r="BC25" s="3">
        <f t="shared" si="22"/>
        <v>0</v>
      </c>
      <c r="BD25" s="3">
        <f t="shared" si="23"/>
        <v>0</v>
      </c>
      <c r="BE25" s="432" t="str">
        <f t="shared" si="24"/>
        <v/>
      </c>
      <c r="BF25" s="432" t="str">
        <f t="shared" si="25"/>
        <v/>
      </c>
      <c r="BG25" s="432" t="str">
        <f t="shared" si="26"/>
        <v/>
      </c>
      <c r="BH25" s="434" t="str">
        <f>_xlfn.LET(_xlpm.x,H25,IF(OR(LEN(_xlpm.x)&lt;1,_xlpm.x=0),"",CONVERT(_xlpm.x,'Diversion and Disposal'!$BH$7,"kg")))</f>
        <v/>
      </c>
      <c r="BI25" s="434" t="str">
        <f>_xlfn.LET(_xlpm.x,I25,IF(OR(LEN(_xlpm.x)&lt;1,_xlpm.x=0),"",CONVERT(_xlpm.x,'Diversion and Disposal'!$BH$7,"kg")))</f>
        <v/>
      </c>
      <c r="BJ25" s="434" t="str">
        <f>_xlfn.LET(_xlpm.x,J25,IF(OR(LEN(_xlpm.x)&lt;1,_xlpm.x=0),"",CONVERT(_xlpm.x,'Diversion and Disposal'!$BH$7,"kg")))</f>
        <v/>
      </c>
      <c r="BK25" s="434" t="str">
        <f>_xlfn.LET(_xlpm.x,K25,IF(OR(LEN(_xlpm.x)&lt;1,_xlpm.x=0),"",CONVERT(_xlpm.x,'Diversion and Disposal'!$BH$7,"kg")))</f>
        <v/>
      </c>
      <c r="BL25" s="434" t="str">
        <f>_xlfn.LET(_xlpm.x,L25,IF(OR(LEN(_xlpm.x)&lt;1,_xlpm.x=0),"",CONVERT(_xlpm.x,'Diversion and Disposal'!$BH$7,"kg")))</f>
        <v/>
      </c>
      <c r="BM25" s="434" t="str">
        <f>_xlfn.LET(_xlpm.x,M25,IF(OR(LEN(_xlpm.x)&lt;1,_xlpm.x=0),"",CONVERT(_xlpm.x,'Diversion and Disposal'!$BH$7,"kg")))</f>
        <v/>
      </c>
      <c r="BN25" s="434" t="str">
        <f>_xlfn.LET(_xlpm.x,N25,IF(OR(LEN(_xlpm.x)&lt;1,_xlpm.x=0),"",CONVERT(_xlpm.x,'Diversion and Disposal'!$BH$7,"kg")))</f>
        <v/>
      </c>
      <c r="BO25" s="434" t="str">
        <f>_xlfn.LET(_xlpm.x,O25,IF(OR(LEN(_xlpm.x)&lt;1,_xlpm.x=0),"",CONVERT(_xlpm.x,'Diversion and Disposal'!$BH$7,"kg")))</f>
        <v/>
      </c>
      <c r="BP25" s="434" t="str">
        <f>_xlfn.LET(_xlpm.x,P25,IF(OR(LEN(_xlpm.x)&lt;1,_xlpm.x=0),"",CONVERT(_xlpm.x,'Diversion and Disposal'!$BH$7,"kg")))</f>
        <v/>
      </c>
      <c r="BQ25" s="434" t="str">
        <f>_xlfn.LET(_xlpm.x,Q25,IF(OR(LEN(_xlpm.x)&lt;1,_xlpm.x=0),"",CONVERT(_xlpm.x,'Diversion and Disposal'!$BH$7,"kg")))</f>
        <v/>
      </c>
      <c r="BR25" s="434" t="str">
        <f>_xlfn.LET(_xlpm.x,R25,IF(OR(LEN(_xlpm.x)&lt;1,_xlpm.x=0),"",CONVERT(_xlpm.x,'Diversion and Disposal'!$BH$7,"kg")))</f>
        <v/>
      </c>
      <c r="BS25" s="434" t="str">
        <f>_xlfn.LET(_xlpm.x,S25,IF(OR(LEN(_xlpm.x)&lt;1,_xlpm.x=0),"",CONVERT(_xlpm.x,'Diversion and Disposal'!$BH$7,"kg")))</f>
        <v/>
      </c>
      <c r="BT25" s="435">
        <f t="shared" si="2"/>
        <v>0</v>
      </c>
      <c r="BU25" s="433" t="str">
        <f>_xlfn.LET(_xlpm.x,BF25,IF(LEN(_xlpm.x)&lt;1,"",IF(ISNUMBER(MATCH(_xlpm.x,ls_Mat_def,0)),'Project Inputs'!$BF$14,99)))</f>
        <v/>
      </c>
      <c r="BV25" s="432" t="str" cm="1">
        <f t="array" ref="BV25">IFERROR(INDEX(tblGWP[],MATCH(1,(tblGWP[Dataset ID]=BU25)*(tblGWP[Material Subcategory]=BF25),0),MATCH(BG25,ls_WHM,0)+5),"confirm")</f>
        <v>confirm</v>
      </c>
      <c r="BW25" s="434" t="str">
        <f t="shared" si="3"/>
        <v>No data</v>
      </c>
      <c r="BX25" s="434" t="str">
        <f t="shared" si="4"/>
        <v>No data</v>
      </c>
      <c r="BY25" s="434" t="str">
        <f t="shared" si="5"/>
        <v>No data</v>
      </c>
      <c r="BZ25" s="434" t="str">
        <f t="shared" si="6"/>
        <v>No data</v>
      </c>
      <c r="CA25" s="434" t="str">
        <f t="shared" si="7"/>
        <v>No data</v>
      </c>
      <c r="CB25" s="434" t="str">
        <f t="shared" si="8"/>
        <v>No data</v>
      </c>
      <c r="CC25" s="434" t="str">
        <f t="shared" si="9"/>
        <v>No data</v>
      </c>
      <c r="CD25" s="434" t="str">
        <f t="shared" si="10"/>
        <v>No data</v>
      </c>
      <c r="CE25" s="434" t="str">
        <f t="shared" si="11"/>
        <v>No data</v>
      </c>
      <c r="CF25" s="434" t="str">
        <f t="shared" si="12"/>
        <v>No data</v>
      </c>
      <c r="CG25" s="434" t="str">
        <f t="shared" si="13"/>
        <v>No data</v>
      </c>
      <c r="CH25" s="434" t="str">
        <f t="shared" si="14"/>
        <v>No data</v>
      </c>
      <c r="CI25" s="435">
        <f t="shared" si="15"/>
        <v>0</v>
      </c>
      <c r="CK25" s="3" t="str">
        <f>_xlfn.LET(_xlpm.x,INDEX(tbl_Mat_def[],MATCH(BF25,ls_Mat_def,0),2),IFERROR(IF(_xlpm.x=0,"No","Yes"),"No"))</f>
        <v>No</v>
      </c>
      <c r="CM25" s="60" t="str">
        <f t="shared" si="16"/>
        <v/>
      </c>
      <c r="CN25" s="60" t="s">
        <v>235</v>
      </c>
      <c r="CO25" s="432" t="str" cm="1">
        <f t="array" ref="CO25">IFERROR(INDEX(tblGWP[],MATCH(1,(tblGWP[Dataset ID]=BU25)*(tblGWP[Material Subcategory]=CM25),0),MATCH(CN25,ls_WHM,0)+4),"confirm")</f>
        <v>confirm</v>
      </c>
      <c r="CP25" s="436" t="str">
        <f t="shared" si="17"/>
        <v/>
      </c>
      <c r="DA25" t="s">
        <v>10222</v>
      </c>
      <c r="DB25" t="s">
        <v>10240</v>
      </c>
      <c r="DD25" s="388">
        <f t="shared" si="27"/>
        <v>0</v>
      </c>
      <c r="DE25" s="22">
        <f t="shared" si="18"/>
        <v>19</v>
      </c>
      <c r="DF25" s="387">
        <f t="shared" si="28"/>
        <v>0</v>
      </c>
      <c r="DG25" s="387">
        <f t="shared" si="29"/>
        <v>0</v>
      </c>
      <c r="DH25" s="22">
        <f t="shared" ca="1" si="19"/>
        <v>0</v>
      </c>
      <c r="DI25">
        <f t="shared" ca="1" si="20"/>
        <v>0</v>
      </c>
    </row>
    <row r="26" spans="1:113" ht="30" customHeight="1">
      <c r="A26" s="22" t="str">
        <f t="shared" si="21"/>
        <v/>
      </c>
      <c r="B26" s="199"/>
      <c r="C26" s="459"/>
      <c r="D26" s="199"/>
      <c r="E26" s="405"/>
      <c r="F26" s="405"/>
      <c r="G26" s="406"/>
      <c r="H26" s="377"/>
      <c r="I26" s="377"/>
      <c r="J26" s="377"/>
      <c r="K26" s="377"/>
      <c r="L26" s="377"/>
      <c r="M26" s="377"/>
      <c r="N26" s="377"/>
      <c r="O26" s="377"/>
      <c r="P26" s="377"/>
      <c r="Q26" s="377"/>
      <c r="R26" s="377"/>
      <c r="S26" s="377"/>
      <c r="T26" s="458">
        <f>SUM(H26:S26)</f>
        <v>0</v>
      </c>
      <c r="U26" s="200"/>
      <c r="W26" s="442"/>
      <c r="X26" s="443"/>
      <c r="BC26" s="3">
        <f t="shared" si="22"/>
        <v>0</v>
      </c>
      <c r="BD26" s="3">
        <f t="shared" si="23"/>
        <v>0</v>
      </c>
      <c r="BE26" s="432" t="str">
        <f t="shared" si="24"/>
        <v/>
      </c>
      <c r="BF26" s="432" t="str">
        <f t="shared" si="25"/>
        <v/>
      </c>
      <c r="BG26" s="432" t="str">
        <f t="shared" si="26"/>
        <v/>
      </c>
      <c r="BH26" s="434" t="str">
        <f>_xlfn.LET(_xlpm.x,H26,IF(OR(LEN(_xlpm.x)&lt;1,_xlpm.x=0),"",CONVERT(_xlpm.x,'Diversion and Disposal'!$BH$7,"kg")))</f>
        <v/>
      </c>
      <c r="BI26" s="434" t="str">
        <f>_xlfn.LET(_xlpm.x,I26,IF(OR(LEN(_xlpm.x)&lt;1,_xlpm.x=0),"",CONVERT(_xlpm.x,'Diversion and Disposal'!$BH$7,"kg")))</f>
        <v/>
      </c>
      <c r="BJ26" s="434" t="str">
        <f>_xlfn.LET(_xlpm.x,J26,IF(OR(LEN(_xlpm.x)&lt;1,_xlpm.x=0),"",CONVERT(_xlpm.x,'Diversion and Disposal'!$BH$7,"kg")))</f>
        <v/>
      </c>
      <c r="BK26" s="434" t="str">
        <f>_xlfn.LET(_xlpm.x,K26,IF(OR(LEN(_xlpm.x)&lt;1,_xlpm.x=0),"",CONVERT(_xlpm.x,'Diversion and Disposal'!$BH$7,"kg")))</f>
        <v/>
      </c>
      <c r="BL26" s="434" t="str">
        <f>_xlfn.LET(_xlpm.x,L26,IF(OR(LEN(_xlpm.x)&lt;1,_xlpm.x=0),"",CONVERT(_xlpm.x,'Diversion and Disposal'!$BH$7,"kg")))</f>
        <v/>
      </c>
      <c r="BM26" s="434" t="str">
        <f>_xlfn.LET(_xlpm.x,M26,IF(OR(LEN(_xlpm.x)&lt;1,_xlpm.x=0),"",CONVERT(_xlpm.x,'Diversion and Disposal'!$BH$7,"kg")))</f>
        <v/>
      </c>
      <c r="BN26" s="434" t="str">
        <f>_xlfn.LET(_xlpm.x,N26,IF(OR(LEN(_xlpm.x)&lt;1,_xlpm.x=0),"",CONVERT(_xlpm.x,'Diversion and Disposal'!$BH$7,"kg")))</f>
        <v/>
      </c>
      <c r="BO26" s="434" t="str">
        <f>_xlfn.LET(_xlpm.x,O26,IF(OR(LEN(_xlpm.x)&lt;1,_xlpm.x=0),"",CONVERT(_xlpm.x,'Diversion and Disposal'!$BH$7,"kg")))</f>
        <v/>
      </c>
      <c r="BP26" s="434" t="str">
        <f>_xlfn.LET(_xlpm.x,P26,IF(OR(LEN(_xlpm.x)&lt;1,_xlpm.x=0),"",CONVERT(_xlpm.x,'Diversion and Disposal'!$BH$7,"kg")))</f>
        <v/>
      </c>
      <c r="BQ26" s="434" t="str">
        <f>_xlfn.LET(_xlpm.x,Q26,IF(OR(LEN(_xlpm.x)&lt;1,_xlpm.x=0),"",CONVERT(_xlpm.x,'Diversion and Disposal'!$BH$7,"kg")))</f>
        <v/>
      </c>
      <c r="BR26" s="434" t="str">
        <f>_xlfn.LET(_xlpm.x,R26,IF(OR(LEN(_xlpm.x)&lt;1,_xlpm.x=0),"",CONVERT(_xlpm.x,'Diversion and Disposal'!$BH$7,"kg")))</f>
        <v/>
      </c>
      <c r="BS26" s="434" t="str">
        <f>_xlfn.LET(_xlpm.x,S26,IF(OR(LEN(_xlpm.x)&lt;1,_xlpm.x=0),"",CONVERT(_xlpm.x,'Diversion and Disposal'!$BH$7,"kg")))</f>
        <v/>
      </c>
      <c r="BT26" s="435">
        <f t="shared" si="2"/>
        <v>0</v>
      </c>
      <c r="BU26" s="433" t="str">
        <f>_xlfn.LET(_xlpm.x,BF26,IF(LEN(_xlpm.x)&lt;1,"",IF(ISNUMBER(MATCH(_xlpm.x,ls_Mat_def,0)),'Project Inputs'!$BF$14,99)))</f>
        <v/>
      </c>
      <c r="BV26" s="432" t="str" cm="1">
        <f t="array" ref="BV26">IFERROR(INDEX(tblGWP[],MATCH(1,(tblGWP[Dataset ID]=BU26)*(tblGWP[Material Subcategory]=BF26),0),MATCH(BG26,ls_WHM,0)+5),"confirm")</f>
        <v>confirm</v>
      </c>
      <c r="BW26" s="434" t="str">
        <f t="shared" si="3"/>
        <v>No data</v>
      </c>
      <c r="BX26" s="434" t="str">
        <f t="shared" si="4"/>
        <v>No data</v>
      </c>
      <c r="BY26" s="434" t="str">
        <f t="shared" si="5"/>
        <v>No data</v>
      </c>
      <c r="BZ26" s="434" t="str">
        <f t="shared" si="6"/>
        <v>No data</v>
      </c>
      <c r="CA26" s="434" t="str">
        <f t="shared" si="7"/>
        <v>No data</v>
      </c>
      <c r="CB26" s="434" t="str">
        <f t="shared" si="8"/>
        <v>No data</v>
      </c>
      <c r="CC26" s="434" t="str">
        <f t="shared" si="9"/>
        <v>No data</v>
      </c>
      <c r="CD26" s="434" t="str">
        <f t="shared" si="10"/>
        <v>No data</v>
      </c>
      <c r="CE26" s="434" t="str">
        <f t="shared" si="11"/>
        <v>No data</v>
      </c>
      <c r="CF26" s="434" t="str">
        <f t="shared" si="12"/>
        <v>No data</v>
      </c>
      <c r="CG26" s="434" t="str">
        <f t="shared" si="13"/>
        <v>No data</v>
      </c>
      <c r="CH26" s="434" t="str">
        <f t="shared" si="14"/>
        <v>No data</v>
      </c>
      <c r="CI26" s="435">
        <f t="shared" si="15"/>
        <v>0</v>
      </c>
      <c r="CK26" s="3" t="str">
        <f>_xlfn.LET(_xlpm.x,INDEX(tbl_Mat_def[],MATCH(BF26,ls_Mat_def,0),2),IFERROR(IF(_xlpm.x=0,"No","Yes"),"No"))</f>
        <v>No</v>
      </c>
      <c r="CM26" s="60" t="str">
        <f t="shared" si="16"/>
        <v/>
      </c>
      <c r="CN26" s="60" t="s">
        <v>235</v>
      </c>
      <c r="CO26" s="432" t="str" cm="1">
        <f t="array" ref="CO26">IFERROR(INDEX(tblGWP[],MATCH(1,(tblGWP[Dataset ID]=BU26)*(tblGWP[Material Subcategory]=CM26),0),MATCH(CN26,ls_WHM,0)+4),"confirm")</f>
        <v>confirm</v>
      </c>
      <c r="CP26" s="436" t="str">
        <f t="shared" si="17"/>
        <v/>
      </c>
      <c r="DA26" t="s">
        <v>10239</v>
      </c>
      <c r="DB26" t="s">
        <v>10241</v>
      </c>
      <c r="DD26" s="388">
        <f t="shared" si="27"/>
        <v>0</v>
      </c>
      <c r="DE26" s="22">
        <f t="shared" si="18"/>
        <v>19</v>
      </c>
      <c r="DF26" s="387">
        <f t="shared" si="28"/>
        <v>0</v>
      </c>
      <c r="DG26" s="387">
        <f t="shared" si="29"/>
        <v>0</v>
      </c>
      <c r="DH26" s="22">
        <f t="shared" ca="1" si="19"/>
        <v>0</v>
      </c>
      <c r="DI26">
        <f t="shared" ca="1" si="20"/>
        <v>0</v>
      </c>
    </row>
    <row r="27" spans="1:113" ht="30" customHeight="1">
      <c r="A27" s="22" t="str">
        <f t="shared" si="21"/>
        <v/>
      </c>
      <c r="B27" s="199"/>
      <c r="C27" s="459"/>
      <c r="D27" s="199"/>
      <c r="E27" s="405"/>
      <c r="F27" s="405"/>
      <c r="G27" s="406"/>
      <c r="H27" s="377"/>
      <c r="I27" s="377"/>
      <c r="J27" s="377"/>
      <c r="K27" s="377"/>
      <c r="L27" s="377"/>
      <c r="M27" s="377"/>
      <c r="N27" s="377"/>
      <c r="O27" s="377"/>
      <c r="P27" s="377"/>
      <c r="Q27" s="377"/>
      <c r="R27" s="377"/>
      <c r="S27" s="377"/>
      <c r="T27" s="458">
        <f>SUM(H41:S41)</f>
        <v>0</v>
      </c>
      <c r="U27" s="200"/>
      <c r="W27" s="442"/>
      <c r="X27" s="443"/>
      <c r="BC27" s="3">
        <f t="shared" si="22"/>
        <v>0</v>
      </c>
      <c r="BD27" s="3">
        <f t="shared" si="23"/>
        <v>0</v>
      </c>
      <c r="BE27" s="432" t="str">
        <f t="shared" si="24"/>
        <v/>
      </c>
      <c r="BF27" s="432" t="str">
        <f t="shared" si="25"/>
        <v/>
      </c>
      <c r="BG27" s="432" t="str">
        <f t="shared" si="26"/>
        <v/>
      </c>
      <c r="BH27" s="434" t="str">
        <f>_xlfn.LET(_xlpm.x,H27,IF(OR(LEN(_xlpm.x)&lt;1,_xlpm.x=0),"",CONVERT(_xlpm.x,'Diversion and Disposal'!$BH$7,"kg")))</f>
        <v/>
      </c>
      <c r="BI27" s="434" t="str">
        <f>_xlfn.LET(_xlpm.x,I27,IF(OR(LEN(_xlpm.x)&lt;1,_xlpm.x=0),"",CONVERT(_xlpm.x,'Diversion and Disposal'!$BH$7,"kg")))</f>
        <v/>
      </c>
      <c r="BJ27" s="434" t="str">
        <f>_xlfn.LET(_xlpm.x,J27,IF(OR(LEN(_xlpm.x)&lt;1,_xlpm.x=0),"",CONVERT(_xlpm.x,'Diversion and Disposal'!$BH$7,"kg")))</f>
        <v/>
      </c>
      <c r="BK27" s="434" t="str">
        <f>_xlfn.LET(_xlpm.x,K27,IF(OR(LEN(_xlpm.x)&lt;1,_xlpm.x=0),"",CONVERT(_xlpm.x,'Diversion and Disposal'!$BH$7,"kg")))</f>
        <v/>
      </c>
      <c r="BL27" s="434" t="str">
        <f>_xlfn.LET(_xlpm.x,L27,IF(OR(LEN(_xlpm.x)&lt;1,_xlpm.x=0),"",CONVERT(_xlpm.x,'Diversion and Disposal'!$BH$7,"kg")))</f>
        <v/>
      </c>
      <c r="BM27" s="434" t="str">
        <f>_xlfn.LET(_xlpm.x,M27,IF(OR(LEN(_xlpm.x)&lt;1,_xlpm.x=0),"",CONVERT(_xlpm.x,'Diversion and Disposal'!$BH$7,"kg")))</f>
        <v/>
      </c>
      <c r="BN27" s="434" t="str">
        <f>_xlfn.LET(_xlpm.x,N27,IF(OR(LEN(_xlpm.x)&lt;1,_xlpm.x=0),"",CONVERT(_xlpm.x,'Diversion and Disposal'!$BH$7,"kg")))</f>
        <v/>
      </c>
      <c r="BO27" s="434" t="str">
        <f>_xlfn.LET(_xlpm.x,O27,IF(OR(LEN(_xlpm.x)&lt;1,_xlpm.x=0),"",CONVERT(_xlpm.x,'Diversion and Disposal'!$BH$7,"kg")))</f>
        <v/>
      </c>
      <c r="BP27" s="434" t="str">
        <f>_xlfn.LET(_xlpm.x,P27,IF(OR(LEN(_xlpm.x)&lt;1,_xlpm.x=0),"",CONVERT(_xlpm.x,'Diversion and Disposal'!$BH$7,"kg")))</f>
        <v/>
      </c>
      <c r="BQ27" s="434" t="str">
        <f>_xlfn.LET(_xlpm.x,Q27,IF(OR(LEN(_xlpm.x)&lt;1,_xlpm.x=0),"",CONVERT(_xlpm.x,'Diversion and Disposal'!$BH$7,"kg")))</f>
        <v/>
      </c>
      <c r="BR27" s="434" t="str">
        <f>_xlfn.LET(_xlpm.x,R27,IF(OR(LEN(_xlpm.x)&lt;1,_xlpm.x=0),"",CONVERT(_xlpm.x,'Diversion and Disposal'!$BH$7,"kg")))</f>
        <v/>
      </c>
      <c r="BS27" s="434" t="str">
        <f>_xlfn.LET(_xlpm.x,S27,IF(OR(LEN(_xlpm.x)&lt;1,_xlpm.x=0),"",CONVERT(_xlpm.x,'Diversion and Disposal'!$BH$7,"kg")))</f>
        <v/>
      </c>
      <c r="BT27" s="435">
        <f t="shared" si="2"/>
        <v>0</v>
      </c>
      <c r="BU27" s="433" t="str">
        <f>_xlfn.LET(_xlpm.x,BF27,IF(LEN(_xlpm.x)&lt;1,"",IF(ISNUMBER(MATCH(_xlpm.x,ls_Mat_def,0)),'Project Inputs'!$BF$14,99)))</f>
        <v/>
      </c>
      <c r="BV27" s="432" t="str" cm="1">
        <f t="array" ref="BV27">IFERROR(INDEX(tblGWP[],MATCH(1,(tblGWP[Dataset ID]=BU27)*(tblGWP[Material Subcategory]=BF27),0),MATCH(BG27,ls_WHM,0)+5),"confirm")</f>
        <v>confirm</v>
      </c>
      <c r="BW27" s="434" t="str">
        <f t="shared" si="3"/>
        <v>No data</v>
      </c>
      <c r="BX27" s="434" t="str">
        <f t="shared" si="4"/>
        <v>No data</v>
      </c>
      <c r="BY27" s="434" t="str">
        <f t="shared" si="5"/>
        <v>No data</v>
      </c>
      <c r="BZ27" s="434" t="str">
        <f t="shared" si="6"/>
        <v>No data</v>
      </c>
      <c r="CA27" s="434" t="str">
        <f t="shared" si="7"/>
        <v>No data</v>
      </c>
      <c r="CB27" s="434" t="str">
        <f t="shared" si="8"/>
        <v>No data</v>
      </c>
      <c r="CC27" s="434" t="str">
        <f t="shared" si="9"/>
        <v>No data</v>
      </c>
      <c r="CD27" s="434" t="str">
        <f t="shared" si="10"/>
        <v>No data</v>
      </c>
      <c r="CE27" s="434" t="str">
        <f t="shared" si="11"/>
        <v>No data</v>
      </c>
      <c r="CF27" s="434" t="str">
        <f t="shared" si="12"/>
        <v>No data</v>
      </c>
      <c r="CG27" s="434" t="str">
        <f t="shared" si="13"/>
        <v>No data</v>
      </c>
      <c r="CH27" s="434" t="str">
        <f t="shared" si="14"/>
        <v>No data</v>
      </c>
      <c r="CI27" s="435">
        <f t="shared" si="15"/>
        <v>0</v>
      </c>
      <c r="CK27" s="3" t="str">
        <f>_xlfn.LET(_xlpm.x,INDEX(tbl_Mat_def[],MATCH(BF27,ls_Mat_def,0),2),IFERROR(IF(_xlpm.x=0,"No","Yes"),"No"))</f>
        <v>No</v>
      </c>
      <c r="CM27" s="60" t="str">
        <f t="shared" si="16"/>
        <v/>
      </c>
      <c r="CN27" s="60" t="s">
        <v>235</v>
      </c>
      <c r="CO27" s="432" t="str" cm="1">
        <f t="array" ref="CO27">IFERROR(INDEX(tblGWP[],MATCH(1,(tblGWP[Dataset ID]=BU27)*(tblGWP[Material Subcategory]=CM27),0),MATCH(CN27,ls_WHM,0)+4),"confirm")</f>
        <v>confirm</v>
      </c>
      <c r="CP27" s="436" t="str">
        <f t="shared" si="17"/>
        <v/>
      </c>
      <c r="DD27" s="388">
        <f t="shared" si="27"/>
        <v>0</v>
      </c>
      <c r="DE27" s="22">
        <f t="shared" si="18"/>
        <v>19</v>
      </c>
      <c r="DF27" s="387">
        <f t="shared" si="28"/>
        <v>0</v>
      </c>
      <c r="DG27" s="387">
        <f t="shared" si="29"/>
        <v>0</v>
      </c>
      <c r="DH27" s="22">
        <f t="shared" ca="1" si="19"/>
        <v>0</v>
      </c>
      <c r="DI27">
        <f t="shared" ca="1" si="20"/>
        <v>0</v>
      </c>
    </row>
    <row r="28" spans="1:113" ht="30" customHeight="1">
      <c r="A28" s="22" t="str">
        <f t="shared" si="21"/>
        <v/>
      </c>
      <c r="B28" s="199"/>
      <c r="C28" s="459"/>
      <c r="D28" s="199"/>
      <c r="E28" s="405"/>
      <c r="F28" s="405"/>
      <c r="G28" s="406"/>
      <c r="H28" s="377"/>
      <c r="I28" s="377"/>
      <c r="J28" s="377"/>
      <c r="K28" s="377"/>
      <c r="L28" s="377"/>
      <c r="M28" s="377"/>
      <c r="N28" s="377"/>
      <c r="O28" s="377"/>
      <c r="P28" s="377"/>
      <c r="Q28" s="377"/>
      <c r="R28" s="377"/>
      <c r="S28" s="377"/>
      <c r="T28" s="458">
        <f t="shared" ref="T28:T59" si="30">SUM(H28:S28)</f>
        <v>0</v>
      </c>
      <c r="U28" s="200"/>
      <c r="W28" s="442"/>
      <c r="X28" s="443"/>
      <c r="BC28" s="3">
        <f t="shared" si="22"/>
        <v>0</v>
      </c>
      <c r="BD28" s="3">
        <f t="shared" si="23"/>
        <v>0</v>
      </c>
      <c r="BE28" s="432" t="str">
        <f t="shared" si="24"/>
        <v/>
      </c>
      <c r="BF28" s="432" t="str">
        <f t="shared" si="25"/>
        <v/>
      </c>
      <c r="BG28" s="432" t="str">
        <f t="shared" si="26"/>
        <v/>
      </c>
      <c r="BH28" s="434" t="str">
        <f>_xlfn.LET(_xlpm.x,H28,IF(OR(LEN(_xlpm.x)&lt;1,_xlpm.x=0),"",CONVERT(_xlpm.x,'Diversion and Disposal'!$BH$7,"kg")))</f>
        <v/>
      </c>
      <c r="BI28" s="434" t="str">
        <f>_xlfn.LET(_xlpm.x,I28,IF(OR(LEN(_xlpm.x)&lt;1,_xlpm.x=0),"",CONVERT(_xlpm.x,'Diversion and Disposal'!$BH$7,"kg")))</f>
        <v/>
      </c>
      <c r="BJ28" s="434" t="str">
        <f>_xlfn.LET(_xlpm.x,J28,IF(OR(LEN(_xlpm.x)&lt;1,_xlpm.x=0),"",CONVERT(_xlpm.x,'Diversion and Disposal'!$BH$7,"kg")))</f>
        <v/>
      </c>
      <c r="BK28" s="434" t="str">
        <f>_xlfn.LET(_xlpm.x,K28,IF(OR(LEN(_xlpm.x)&lt;1,_xlpm.x=0),"",CONVERT(_xlpm.x,'Diversion and Disposal'!$BH$7,"kg")))</f>
        <v/>
      </c>
      <c r="BL28" s="434" t="str">
        <f>_xlfn.LET(_xlpm.x,L28,IF(OR(LEN(_xlpm.x)&lt;1,_xlpm.x=0),"",CONVERT(_xlpm.x,'Diversion and Disposal'!$BH$7,"kg")))</f>
        <v/>
      </c>
      <c r="BM28" s="434" t="str">
        <f>_xlfn.LET(_xlpm.x,M28,IF(OR(LEN(_xlpm.x)&lt;1,_xlpm.x=0),"",CONVERT(_xlpm.x,'Diversion and Disposal'!$BH$7,"kg")))</f>
        <v/>
      </c>
      <c r="BN28" s="434" t="str">
        <f>_xlfn.LET(_xlpm.x,N28,IF(OR(LEN(_xlpm.x)&lt;1,_xlpm.x=0),"",CONVERT(_xlpm.x,'Diversion and Disposal'!$BH$7,"kg")))</f>
        <v/>
      </c>
      <c r="BO28" s="434" t="str">
        <f>_xlfn.LET(_xlpm.x,O28,IF(OR(LEN(_xlpm.x)&lt;1,_xlpm.x=0),"",CONVERT(_xlpm.x,'Diversion and Disposal'!$BH$7,"kg")))</f>
        <v/>
      </c>
      <c r="BP28" s="434" t="str">
        <f>_xlfn.LET(_xlpm.x,P28,IF(OR(LEN(_xlpm.x)&lt;1,_xlpm.x=0),"",CONVERT(_xlpm.x,'Diversion and Disposal'!$BH$7,"kg")))</f>
        <v/>
      </c>
      <c r="BQ28" s="434" t="str">
        <f>_xlfn.LET(_xlpm.x,Q28,IF(OR(LEN(_xlpm.x)&lt;1,_xlpm.x=0),"",CONVERT(_xlpm.x,'Diversion and Disposal'!$BH$7,"kg")))</f>
        <v/>
      </c>
      <c r="BR28" s="434" t="str">
        <f>_xlfn.LET(_xlpm.x,R28,IF(OR(LEN(_xlpm.x)&lt;1,_xlpm.x=0),"",CONVERT(_xlpm.x,'Diversion and Disposal'!$BH$7,"kg")))</f>
        <v/>
      </c>
      <c r="BS28" s="434" t="str">
        <f>_xlfn.LET(_xlpm.x,S28,IF(OR(LEN(_xlpm.x)&lt;1,_xlpm.x=0),"",CONVERT(_xlpm.x,'Diversion and Disposal'!$BH$7,"kg")))</f>
        <v/>
      </c>
      <c r="BT28" s="435">
        <f t="shared" si="2"/>
        <v>0</v>
      </c>
      <c r="BU28" s="433" t="str">
        <f>_xlfn.LET(_xlpm.x,BF28,IF(LEN(_xlpm.x)&lt;1,"",IF(ISNUMBER(MATCH(_xlpm.x,ls_Mat_def,0)),'Project Inputs'!$BF$14,99)))</f>
        <v/>
      </c>
      <c r="BV28" s="432" t="str" cm="1">
        <f t="array" ref="BV28">IFERROR(INDEX(tblGWP[],MATCH(1,(tblGWP[Dataset ID]=BU28)*(tblGWP[Material Subcategory]=BF28),0),MATCH(BG28,ls_WHM,0)+5),"confirm")</f>
        <v>confirm</v>
      </c>
      <c r="BW28" s="434" t="str">
        <f t="shared" si="3"/>
        <v>No data</v>
      </c>
      <c r="BX28" s="434" t="str">
        <f t="shared" si="4"/>
        <v>No data</v>
      </c>
      <c r="BY28" s="434" t="str">
        <f t="shared" si="5"/>
        <v>No data</v>
      </c>
      <c r="BZ28" s="434" t="str">
        <f t="shared" si="6"/>
        <v>No data</v>
      </c>
      <c r="CA28" s="434" t="str">
        <f t="shared" si="7"/>
        <v>No data</v>
      </c>
      <c r="CB28" s="434" t="str">
        <f t="shared" si="8"/>
        <v>No data</v>
      </c>
      <c r="CC28" s="434" t="str">
        <f t="shared" si="9"/>
        <v>No data</v>
      </c>
      <c r="CD28" s="434" t="str">
        <f t="shared" si="10"/>
        <v>No data</v>
      </c>
      <c r="CE28" s="434" t="str">
        <f t="shared" si="11"/>
        <v>No data</v>
      </c>
      <c r="CF28" s="434" t="str">
        <f t="shared" si="12"/>
        <v>No data</v>
      </c>
      <c r="CG28" s="434" t="str">
        <f t="shared" si="13"/>
        <v>No data</v>
      </c>
      <c r="CH28" s="434" t="str">
        <f t="shared" si="14"/>
        <v>No data</v>
      </c>
      <c r="CI28" s="435">
        <f t="shared" si="15"/>
        <v>0</v>
      </c>
      <c r="CK28" s="3" t="str">
        <f>_xlfn.LET(_xlpm.x,INDEX(tbl_Mat_def[],MATCH(BF28,ls_Mat_def,0),2),IFERROR(IF(_xlpm.x=0,"No","Yes"),"No"))</f>
        <v>No</v>
      </c>
      <c r="CM28" s="60" t="str">
        <f t="shared" si="16"/>
        <v/>
      </c>
      <c r="CN28" s="60" t="s">
        <v>235</v>
      </c>
      <c r="CO28" s="432" t="str" cm="1">
        <f t="array" ref="CO28">IFERROR(INDEX(tblGWP[],MATCH(1,(tblGWP[Dataset ID]=BU28)*(tblGWP[Material Subcategory]=CM28),0),MATCH(CN28,ls_WHM,0)+4),"confirm")</f>
        <v>confirm</v>
      </c>
      <c r="CP28" s="436" t="str">
        <f t="shared" si="17"/>
        <v/>
      </c>
      <c r="DD28" s="388">
        <f t="shared" si="27"/>
        <v>0</v>
      </c>
      <c r="DE28" s="22">
        <f t="shared" si="18"/>
        <v>19</v>
      </c>
      <c r="DF28" s="387">
        <f t="shared" si="28"/>
        <v>0</v>
      </c>
      <c r="DG28" s="387">
        <f t="shared" si="29"/>
        <v>0</v>
      </c>
      <c r="DH28" s="22">
        <f t="shared" ca="1" si="19"/>
        <v>0</v>
      </c>
      <c r="DI28">
        <f t="shared" ca="1" si="20"/>
        <v>0</v>
      </c>
    </row>
    <row r="29" spans="1:113" ht="30" customHeight="1">
      <c r="A29" s="22" t="str">
        <f t="shared" si="21"/>
        <v/>
      </c>
      <c r="B29" s="199"/>
      <c r="C29" s="459"/>
      <c r="D29" s="199"/>
      <c r="E29" s="405"/>
      <c r="F29" s="405"/>
      <c r="G29" s="406"/>
      <c r="H29" s="377"/>
      <c r="I29" s="377"/>
      <c r="J29" s="377"/>
      <c r="K29" s="377"/>
      <c r="L29" s="377"/>
      <c r="M29" s="377"/>
      <c r="N29" s="377"/>
      <c r="O29" s="377"/>
      <c r="P29" s="377"/>
      <c r="Q29" s="377"/>
      <c r="R29" s="377"/>
      <c r="S29" s="377"/>
      <c r="T29" s="458">
        <f t="shared" si="30"/>
        <v>0</v>
      </c>
      <c r="U29" s="200"/>
      <c r="W29" s="442"/>
      <c r="X29" s="443"/>
      <c r="BC29" s="3">
        <f t="shared" si="22"/>
        <v>0</v>
      </c>
      <c r="BD29" s="3">
        <f t="shared" si="23"/>
        <v>0</v>
      </c>
      <c r="BE29" s="432" t="str">
        <f t="shared" si="24"/>
        <v/>
      </c>
      <c r="BF29" s="432" t="str">
        <f t="shared" si="25"/>
        <v/>
      </c>
      <c r="BG29" s="432" t="str">
        <f t="shared" si="26"/>
        <v/>
      </c>
      <c r="BH29" s="434" t="str">
        <f>_xlfn.LET(_xlpm.x,H29,IF(OR(LEN(_xlpm.x)&lt;1,_xlpm.x=0),"",CONVERT(_xlpm.x,'Diversion and Disposal'!$BH$7,"kg")))</f>
        <v/>
      </c>
      <c r="BI29" s="434" t="str">
        <f>_xlfn.LET(_xlpm.x,I29,IF(OR(LEN(_xlpm.x)&lt;1,_xlpm.x=0),"",CONVERT(_xlpm.x,'Diversion and Disposal'!$BH$7,"kg")))</f>
        <v/>
      </c>
      <c r="BJ29" s="434" t="str">
        <f>_xlfn.LET(_xlpm.x,J29,IF(OR(LEN(_xlpm.x)&lt;1,_xlpm.x=0),"",CONVERT(_xlpm.x,'Diversion and Disposal'!$BH$7,"kg")))</f>
        <v/>
      </c>
      <c r="BK29" s="434" t="str">
        <f>_xlfn.LET(_xlpm.x,K29,IF(OR(LEN(_xlpm.x)&lt;1,_xlpm.x=0),"",CONVERT(_xlpm.x,'Diversion and Disposal'!$BH$7,"kg")))</f>
        <v/>
      </c>
      <c r="BL29" s="434" t="str">
        <f>_xlfn.LET(_xlpm.x,L29,IF(OR(LEN(_xlpm.x)&lt;1,_xlpm.x=0),"",CONVERT(_xlpm.x,'Diversion and Disposal'!$BH$7,"kg")))</f>
        <v/>
      </c>
      <c r="BM29" s="434" t="str">
        <f>_xlfn.LET(_xlpm.x,M29,IF(OR(LEN(_xlpm.x)&lt;1,_xlpm.x=0),"",CONVERT(_xlpm.x,'Diversion and Disposal'!$BH$7,"kg")))</f>
        <v/>
      </c>
      <c r="BN29" s="434" t="str">
        <f>_xlfn.LET(_xlpm.x,N29,IF(OR(LEN(_xlpm.x)&lt;1,_xlpm.x=0),"",CONVERT(_xlpm.x,'Diversion and Disposal'!$BH$7,"kg")))</f>
        <v/>
      </c>
      <c r="BO29" s="434" t="str">
        <f>_xlfn.LET(_xlpm.x,O29,IF(OR(LEN(_xlpm.x)&lt;1,_xlpm.x=0),"",CONVERT(_xlpm.x,'Diversion and Disposal'!$BH$7,"kg")))</f>
        <v/>
      </c>
      <c r="BP29" s="434" t="str">
        <f>_xlfn.LET(_xlpm.x,P29,IF(OR(LEN(_xlpm.x)&lt;1,_xlpm.x=0),"",CONVERT(_xlpm.x,'Diversion and Disposal'!$BH$7,"kg")))</f>
        <v/>
      </c>
      <c r="BQ29" s="434" t="str">
        <f>_xlfn.LET(_xlpm.x,Q29,IF(OR(LEN(_xlpm.x)&lt;1,_xlpm.x=0),"",CONVERT(_xlpm.x,'Diversion and Disposal'!$BH$7,"kg")))</f>
        <v/>
      </c>
      <c r="BR29" s="434" t="str">
        <f>_xlfn.LET(_xlpm.x,R29,IF(OR(LEN(_xlpm.x)&lt;1,_xlpm.x=0),"",CONVERT(_xlpm.x,'Diversion and Disposal'!$BH$7,"kg")))</f>
        <v/>
      </c>
      <c r="BS29" s="434" t="str">
        <f>_xlfn.LET(_xlpm.x,S29,IF(OR(LEN(_xlpm.x)&lt;1,_xlpm.x=0),"",CONVERT(_xlpm.x,'Diversion and Disposal'!$BH$7,"kg")))</f>
        <v/>
      </c>
      <c r="BT29" s="435">
        <f t="shared" si="2"/>
        <v>0</v>
      </c>
      <c r="BU29" s="433" t="str">
        <f>_xlfn.LET(_xlpm.x,BF29,IF(LEN(_xlpm.x)&lt;1,"",IF(ISNUMBER(MATCH(_xlpm.x,ls_Mat_def,0)),'Project Inputs'!$BF$14,99)))</f>
        <v/>
      </c>
      <c r="BV29" s="432" t="str" cm="1">
        <f t="array" ref="BV29">IFERROR(INDEX(tblGWP[],MATCH(1,(tblGWP[Dataset ID]=BU29)*(tblGWP[Material Subcategory]=BF29),0),MATCH(BG29,ls_WHM,0)+5),"confirm")</f>
        <v>confirm</v>
      </c>
      <c r="BW29" s="434" t="str">
        <f t="shared" si="3"/>
        <v>No data</v>
      </c>
      <c r="BX29" s="434" t="str">
        <f t="shared" si="4"/>
        <v>No data</v>
      </c>
      <c r="BY29" s="434" t="str">
        <f t="shared" si="5"/>
        <v>No data</v>
      </c>
      <c r="BZ29" s="434" t="str">
        <f t="shared" si="6"/>
        <v>No data</v>
      </c>
      <c r="CA29" s="434" t="str">
        <f t="shared" si="7"/>
        <v>No data</v>
      </c>
      <c r="CB29" s="434" t="str">
        <f t="shared" si="8"/>
        <v>No data</v>
      </c>
      <c r="CC29" s="434" t="str">
        <f t="shared" si="9"/>
        <v>No data</v>
      </c>
      <c r="CD29" s="434" t="str">
        <f t="shared" si="10"/>
        <v>No data</v>
      </c>
      <c r="CE29" s="434" t="str">
        <f t="shared" si="11"/>
        <v>No data</v>
      </c>
      <c r="CF29" s="434" t="str">
        <f t="shared" si="12"/>
        <v>No data</v>
      </c>
      <c r="CG29" s="434" t="str">
        <f t="shared" si="13"/>
        <v>No data</v>
      </c>
      <c r="CH29" s="434" t="str">
        <f t="shared" si="14"/>
        <v>No data</v>
      </c>
      <c r="CI29" s="435">
        <f t="shared" si="15"/>
        <v>0</v>
      </c>
      <c r="CK29" s="3" t="str">
        <f>_xlfn.LET(_xlpm.x,INDEX(tbl_Mat_def[],MATCH(BF29,ls_Mat_def,0),2),IFERROR(IF(_xlpm.x=0,"No","Yes"),"No"))</f>
        <v>No</v>
      </c>
      <c r="CM29" s="60" t="str">
        <f t="shared" si="16"/>
        <v/>
      </c>
      <c r="CN29" s="60" t="s">
        <v>235</v>
      </c>
      <c r="CO29" s="432" t="str" cm="1">
        <f t="array" ref="CO29">IFERROR(INDEX(tblGWP[],MATCH(1,(tblGWP[Dataset ID]=BU29)*(tblGWP[Material Subcategory]=CM29),0),MATCH(CN29,ls_WHM,0)+4),"confirm")</f>
        <v>confirm</v>
      </c>
      <c r="CP29" s="436" t="str">
        <f t="shared" si="17"/>
        <v/>
      </c>
      <c r="DD29" s="388">
        <f t="shared" si="27"/>
        <v>0</v>
      </c>
      <c r="DE29" s="22">
        <f t="shared" si="18"/>
        <v>19</v>
      </c>
      <c r="DF29" s="387">
        <f t="shared" si="28"/>
        <v>0</v>
      </c>
      <c r="DG29" s="387">
        <f t="shared" si="29"/>
        <v>0</v>
      </c>
      <c r="DH29" s="22">
        <f t="shared" ca="1" si="19"/>
        <v>0</v>
      </c>
      <c r="DI29">
        <f t="shared" ca="1" si="20"/>
        <v>0</v>
      </c>
    </row>
    <row r="30" spans="1:113" ht="30" customHeight="1">
      <c r="A30" s="22" t="str">
        <f t="shared" si="21"/>
        <v/>
      </c>
      <c r="B30" s="199"/>
      <c r="C30" s="459"/>
      <c r="D30" s="199"/>
      <c r="E30" s="405"/>
      <c r="F30" s="405"/>
      <c r="G30" s="406"/>
      <c r="H30" s="377"/>
      <c r="I30" s="377"/>
      <c r="J30" s="377"/>
      <c r="K30" s="377"/>
      <c r="L30" s="377"/>
      <c r="M30" s="377"/>
      <c r="N30" s="377"/>
      <c r="O30" s="377"/>
      <c r="P30" s="377"/>
      <c r="Q30" s="377"/>
      <c r="R30" s="377"/>
      <c r="S30" s="377"/>
      <c r="T30" s="458">
        <f t="shared" si="30"/>
        <v>0</v>
      </c>
      <c r="U30" s="200"/>
      <c r="W30" s="442"/>
      <c r="X30" s="443"/>
      <c r="BC30" s="3">
        <f t="shared" si="22"/>
        <v>0</v>
      </c>
      <c r="BD30" s="3">
        <f t="shared" si="23"/>
        <v>0</v>
      </c>
      <c r="BE30" s="432" t="str">
        <f t="shared" si="24"/>
        <v/>
      </c>
      <c r="BF30" s="432" t="str">
        <f t="shared" si="25"/>
        <v/>
      </c>
      <c r="BG30" s="432" t="str">
        <f t="shared" si="26"/>
        <v/>
      </c>
      <c r="BH30" s="434" t="str">
        <f>_xlfn.LET(_xlpm.x,H30,IF(OR(LEN(_xlpm.x)&lt;1,_xlpm.x=0),"",CONVERT(_xlpm.x,'Diversion and Disposal'!$BH$7,"kg")))</f>
        <v/>
      </c>
      <c r="BI30" s="434" t="str">
        <f>_xlfn.LET(_xlpm.x,I30,IF(OR(LEN(_xlpm.x)&lt;1,_xlpm.x=0),"",CONVERT(_xlpm.x,'Diversion and Disposal'!$BH$7,"kg")))</f>
        <v/>
      </c>
      <c r="BJ30" s="434" t="str">
        <f>_xlfn.LET(_xlpm.x,J30,IF(OR(LEN(_xlpm.x)&lt;1,_xlpm.x=0),"",CONVERT(_xlpm.x,'Diversion and Disposal'!$BH$7,"kg")))</f>
        <v/>
      </c>
      <c r="BK30" s="434" t="str">
        <f>_xlfn.LET(_xlpm.x,K30,IF(OR(LEN(_xlpm.x)&lt;1,_xlpm.x=0),"",CONVERT(_xlpm.x,'Diversion and Disposal'!$BH$7,"kg")))</f>
        <v/>
      </c>
      <c r="BL30" s="434" t="str">
        <f>_xlfn.LET(_xlpm.x,L30,IF(OR(LEN(_xlpm.x)&lt;1,_xlpm.x=0),"",CONVERT(_xlpm.x,'Diversion and Disposal'!$BH$7,"kg")))</f>
        <v/>
      </c>
      <c r="BM30" s="434" t="str">
        <f>_xlfn.LET(_xlpm.x,M30,IF(OR(LEN(_xlpm.x)&lt;1,_xlpm.x=0),"",CONVERT(_xlpm.x,'Diversion and Disposal'!$BH$7,"kg")))</f>
        <v/>
      </c>
      <c r="BN30" s="434" t="str">
        <f>_xlfn.LET(_xlpm.x,N30,IF(OR(LEN(_xlpm.x)&lt;1,_xlpm.x=0),"",CONVERT(_xlpm.x,'Diversion and Disposal'!$BH$7,"kg")))</f>
        <v/>
      </c>
      <c r="BO30" s="434" t="str">
        <f>_xlfn.LET(_xlpm.x,O30,IF(OR(LEN(_xlpm.x)&lt;1,_xlpm.x=0),"",CONVERT(_xlpm.x,'Diversion and Disposal'!$BH$7,"kg")))</f>
        <v/>
      </c>
      <c r="BP30" s="434" t="str">
        <f>_xlfn.LET(_xlpm.x,P30,IF(OR(LEN(_xlpm.x)&lt;1,_xlpm.x=0),"",CONVERT(_xlpm.x,'Diversion and Disposal'!$BH$7,"kg")))</f>
        <v/>
      </c>
      <c r="BQ30" s="434" t="str">
        <f>_xlfn.LET(_xlpm.x,Q30,IF(OR(LEN(_xlpm.x)&lt;1,_xlpm.x=0),"",CONVERT(_xlpm.x,'Diversion and Disposal'!$BH$7,"kg")))</f>
        <v/>
      </c>
      <c r="BR30" s="434" t="str">
        <f>_xlfn.LET(_xlpm.x,R30,IF(OR(LEN(_xlpm.x)&lt;1,_xlpm.x=0),"",CONVERT(_xlpm.x,'Diversion and Disposal'!$BH$7,"kg")))</f>
        <v/>
      </c>
      <c r="BS30" s="434" t="str">
        <f>_xlfn.LET(_xlpm.x,S30,IF(OR(LEN(_xlpm.x)&lt;1,_xlpm.x=0),"",CONVERT(_xlpm.x,'Diversion and Disposal'!$BH$7,"kg")))</f>
        <v/>
      </c>
      <c r="BT30" s="435">
        <f t="shared" si="2"/>
        <v>0</v>
      </c>
      <c r="BU30" s="433" t="str">
        <f>_xlfn.LET(_xlpm.x,BF30,IF(LEN(_xlpm.x)&lt;1,"",IF(ISNUMBER(MATCH(_xlpm.x,ls_Mat_def,0)),'Project Inputs'!$BF$14,99)))</f>
        <v/>
      </c>
      <c r="BV30" s="432" t="str" cm="1">
        <f t="array" ref="BV30">IFERROR(INDEX(tblGWP[],MATCH(1,(tblGWP[Dataset ID]=BU30)*(tblGWP[Material Subcategory]=BF30),0),MATCH(BG30,ls_WHM,0)+5),"confirm")</f>
        <v>confirm</v>
      </c>
      <c r="BW30" s="434" t="str">
        <f t="shared" si="3"/>
        <v>No data</v>
      </c>
      <c r="BX30" s="434" t="str">
        <f t="shared" si="4"/>
        <v>No data</v>
      </c>
      <c r="BY30" s="434" t="str">
        <f t="shared" si="5"/>
        <v>No data</v>
      </c>
      <c r="BZ30" s="434" t="str">
        <f t="shared" si="6"/>
        <v>No data</v>
      </c>
      <c r="CA30" s="434" t="str">
        <f t="shared" si="7"/>
        <v>No data</v>
      </c>
      <c r="CB30" s="434" t="str">
        <f t="shared" si="8"/>
        <v>No data</v>
      </c>
      <c r="CC30" s="434" t="str">
        <f t="shared" si="9"/>
        <v>No data</v>
      </c>
      <c r="CD30" s="434" t="str">
        <f t="shared" si="10"/>
        <v>No data</v>
      </c>
      <c r="CE30" s="434" t="str">
        <f t="shared" si="11"/>
        <v>No data</v>
      </c>
      <c r="CF30" s="434" t="str">
        <f t="shared" si="12"/>
        <v>No data</v>
      </c>
      <c r="CG30" s="434" t="str">
        <f t="shared" si="13"/>
        <v>No data</v>
      </c>
      <c r="CH30" s="434" t="str">
        <f t="shared" si="14"/>
        <v>No data</v>
      </c>
      <c r="CI30" s="435">
        <f t="shared" si="15"/>
        <v>0</v>
      </c>
      <c r="CK30" s="3" t="str">
        <f>_xlfn.LET(_xlpm.x,INDEX(tbl_Mat_def[],MATCH(BF30,ls_Mat_def,0),2),IFERROR(IF(_xlpm.x=0,"No","Yes"),"No"))</f>
        <v>No</v>
      </c>
      <c r="CM30" s="60" t="str">
        <f t="shared" si="16"/>
        <v/>
      </c>
      <c r="CN30" s="60" t="s">
        <v>235</v>
      </c>
      <c r="CO30" s="432" t="str" cm="1">
        <f t="array" ref="CO30">IFERROR(INDEX(tblGWP[],MATCH(1,(tblGWP[Dataset ID]=BU30)*(tblGWP[Material Subcategory]=CM30),0),MATCH(CN30,ls_WHM,0)+4),"confirm")</f>
        <v>confirm</v>
      </c>
      <c r="CP30" s="436" t="str">
        <f t="shared" si="17"/>
        <v/>
      </c>
      <c r="DD30" s="388">
        <f t="shared" si="27"/>
        <v>0</v>
      </c>
      <c r="DE30" s="22">
        <f t="shared" si="18"/>
        <v>19</v>
      </c>
      <c r="DF30" s="387">
        <f t="shared" si="28"/>
        <v>0</v>
      </c>
      <c r="DG30" s="387">
        <f t="shared" si="29"/>
        <v>0</v>
      </c>
      <c r="DH30" s="22">
        <f t="shared" ca="1" si="19"/>
        <v>0</v>
      </c>
      <c r="DI30">
        <f t="shared" ca="1" si="20"/>
        <v>0</v>
      </c>
    </row>
    <row r="31" spans="1:113" ht="30" customHeight="1">
      <c r="A31" s="22" t="str">
        <f t="shared" si="21"/>
        <v/>
      </c>
      <c r="B31" s="199"/>
      <c r="C31" s="459"/>
      <c r="D31" s="199"/>
      <c r="E31" s="405"/>
      <c r="F31" s="405"/>
      <c r="G31" s="406"/>
      <c r="H31" s="377"/>
      <c r="I31" s="377"/>
      <c r="J31" s="377"/>
      <c r="K31" s="377"/>
      <c r="L31" s="377"/>
      <c r="M31" s="377"/>
      <c r="N31" s="377"/>
      <c r="O31" s="377"/>
      <c r="P31" s="377"/>
      <c r="Q31" s="377"/>
      <c r="R31" s="377"/>
      <c r="S31" s="377"/>
      <c r="T31" s="458">
        <f t="shared" si="30"/>
        <v>0</v>
      </c>
      <c r="U31" s="200"/>
      <c r="W31" s="442"/>
      <c r="X31" s="443"/>
      <c r="BC31" s="3">
        <f t="shared" si="22"/>
        <v>0</v>
      </c>
      <c r="BD31" s="3">
        <f t="shared" si="23"/>
        <v>0</v>
      </c>
      <c r="BE31" s="432" t="str">
        <f t="shared" si="24"/>
        <v/>
      </c>
      <c r="BF31" s="432" t="str">
        <f t="shared" si="25"/>
        <v/>
      </c>
      <c r="BG31" s="432" t="str">
        <f t="shared" si="26"/>
        <v/>
      </c>
      <c r="BH31" s="434" t="str">
        <f>_xlfn.LET(_xlpm.x,H31,IF(OR(LEN(_xlpm.x)&lt;1,_xlpm.x=0),"",CONVERT(_xlpm.x,'Diversion and Disposal'!$BH$7,"kg")))</f>
        <v/>
      </c>
      <c r="BI31" s="434" t="str">
        <f>_xlfn.LET(_xlpm.x,I31,IF(OR(LEN(_xlpm.x)&lt;1,_xlpm.x=0),"",CONVERT(_xlpm.x,'Diversion and Disposal'!$BH$7,"kg")))</f>
        <v/>
      </c>
      <c r="BJ31" s="434" t="str">
        <f>_xlfn.LET(_xlpm.x,J31,IF(OR(LEN(_xlpm.x)&lt;1,_xlpm.x=0),"",CONVERT(_xlpm.x,'Diversion and Disposal'!$BH$7,"kg")))</f>
        <v/>
      </c>
      <c r="BK31" s="434" t="str">
        <f>_xlfn.LET(_xlpm.x,K31,IF(OR(LEN(_xlpm.x)&lt;1,_xlpm.x=0),"",CONVERT(_xlpm.x,'Diversion and Disposal'!$BH$7,"kg")))</f>
        <v/>
      </c>
      <c r="BL31" s="434" t="str">
        <f>_xlfn.LET(_xlpm.x,L31,IF(OR(LEN(_xlpm.x)&lt;1,_xlpm.x=0),"",CONVERT(_xlpm.x,'Diversion and Disposal'!$BH$7,"kg")))</f>
        <v/>
      </c>
      <c r="BM31" s="434" t="str">
        <f>_xlfn.LET(_xlpm.x,M31,IF(OR(LEN(_xlpm.x)&lt;1,_xlpm.x=0),"",CONVERT(_xlpm.x,'Diversion and Disposal'!$BH$7,"kg")))</f>
        <v/>
      </c>
      <c r="BN31" s="434" t="str">
        <f>_xlfn.LET(_xlpm.x,N31,IF(OR(LEN(_xlpm.x)&lt;1,_xlpm.x=0),"",CONVERT(_xlpm.x,'Diversion and Disposal'!$BH$7,"kg")))</f>
        <v/>
      </c>
      <c r="BO31" s="434" t="str">
        <f>_xlfn.LET(_xlpm.x,O31,IF(OR(LEN(_xlpm.x)&lt;1,_xlpm.x=0),"",CONVERT(_xlpm.x,'Diversion and Disposal'!$BH$7,"kg")))</f>
        <v/>
      </c>
      <c r="BP31" s="434" t="str">
        <f>_xlfn.LET(_xlpm.x,P31,IF(OR(LEN(_xlpm.x)&lt;1,_xlpm.x=0),"",CONVERT(_xlpm.x,'Diversion and Disposal'!$BH$7,"kg")))</f>
        <v/>
      </c>
      <c r="BQ31" s="434" t="str">
        <f>_xlfn.LET(_xlpm.x,Q31,IF(OR(LEN(_xlpm.x)&lt;1,_xlpm.x=0),"",CONVERT(_xlpm.x,'Diversion and Disposal'!$BH$7,"kg")))</f>
        <v/>
      </c>
      <c r="BR31" s="434" t="str">
        <f>_xlfn.LET(_xlpm.x,R31,IF(OR(LEN(_xlpm.x)&lt;1,_xlpm.x=0),"",CONVERT(_xlpm.x,'Diversion and Disposal'!$BH$7,"kg")))</f>
        <v/>
      </c>
      <c r="BS31" s="434" t="str">
        <f>_xlfn.LET(_xlpm.x,S31,IF(OR(LEN(_xlpm.x)&lt;1,_xlpm.x=0),"",CONVERT(_xlpm.x,'Diversion and Disposal'!$BH$7,"kg")))</f>
        <v/>
      </c>
      <c r="BT31" s="435">
        <f t="shared" si="2"/>
        <v>0</v>
      </c>
      <c r="BU31" s="433" t="str">
        <f>_xlfn.LET(_xlpm.x,BF31,IF(LEN(_xlpm.x)&lt;1,"",IF(ISNUMBER(MATCH(_xlpm.x,ls_Mat_def,0)),'Project Inputs'!$BF$14,99)))</f>
        <v/>
      </c>
      <c r="BV31" s="432" t="str" cm="1">
        <f t="array" ref="BV31">IFERROR(INDEX(tblGWP[],MATCH(1,(tblGWP[Dataset ID]=BU31)*(tblGWP[Material Subcategory]=BF31),0),MATCH(BG31,ls_WHM,0)+5),"confirm")</f>
        <v>confirm</v>
      </c>
      <c r="BW31" s="434" t="str">
        <f t="shared" si="3"/>
        <v>No data</v>
      </c>
      <c r="BX31" s="434" t="str">
        <f t="shared" si="4"/>
        <v>No data</v>
      </c>
      <c r="BY31" s="434" t="str">
        <f t="shared" si="5"/>
        <v>No data</v>
      </c>
      <c r="BZ31" s="434" t="str">
        <f t="shared" si="6"/>
        <v>No data</v>
      </c>
      <c r="CA31" s="434" t="str">
        <f t="shared" si="7"/>
        <v>No data</v>
      </c>
      <c r="CB31" s="434" t="str">
        <f t="shared" si="8"/>
        <v>No data</v>
      </c>
      <c r="CC31" s="434" t="str">
        <f t="shared" si="9"/>
        <v>No data</v>
      </c>
      <c r="CD31" s="434" t="str">
        <f t="shared" si="10"/>
        <v>No data</v>
      </c>
      <c r="CE31" s="434" t="str">
        <f t="shared" si="11"/>
        <v>No data</v>
      </c>
      <c r="CF31" s="434" t="str">
        <f t="shared" si="12"/>
        <v>No data</v>
      </c>
      <c r="CG31" s="434" t="str">
        <f t="shared" si="13"/>
        <v>No data</v>
      </c>
      <c r="CH31" s="434" t="str">
        <f t="shared" si="14"/>
        <v>No data</v>
      </c>
      <c r="CI31" s="435">
        <f t="shared" si="15"/>
        <v>0</v>
      </c>
      <c r="CK31" s="3" t="str">
        <f>_xlfn.LET(_xlpm.x,INDEX(tbl_Mat_def[],MATCH(BF31,ls_Mat_def,0),2),IFERROR(IF(_xlpm.x=0,"No","Yes"),"No"))</f>
        <v>No</v>
      </c>
      <c r="CM31" s="60" t="str">
        <f t="shared" si="16"/>
        <v/>
      </c>
      <c r="CN31" s="60" t="s">
        <v>235</v>
      </c>
      <c r="CO31" s="432" t="str" cm="1">
        <f t="array" ref="CO31">IFERROR(INDEX(tblGWP[],MATCH(1,(tblGWP[Dataset ID]=BU31)*(tblGWP[Material Subcategory]=CM31),0),MATCH(CN31,ls_WHM,0)+4),"confirm")</f>
        <v>confirm</v>
      </c>
      <c r="CP31" s="436" t="str">
        <f t="shared" si="17"/>
        <v/>
      </c>
      <c r="DD31" s="388">
        <f t="shared" si="27"/>
        <v>0</v>
      </c>
      <c r="DE31" s="22">
        <f t="shared" si="18"/>
        <v>19</v>
      </c>
      <c r="DF31" s="387">
        <f t="shared" si="28"/>
        <v>0</v>
      </c>
      <c r="DG31" s="387">
        <f t="shared" si="29"/>
        <v>0</v>
      </c>
      <c r="DH31" s="22">
        <f t="shared" ca="1" si="19"/>
        <v>0</v>
      </c>
      <c r="DI31">
        <f t="shared" ca="1" si="20"/>
        <v>0</v>
      </c>
    </row>
    <row r="32" spans="1:113" ht="30" customHeight="1">
      <c r="A32" s="22" t="str">
        <f t="shared" si="21"/>
        <v/>
      </c>
      <c r="B32" s="199"/>
      <c r="C32" s="459"/>
      <c r="D32" s="199"/>
      <c r="E32" s="405"/>
      <c r="F32" s="405"/>
      <c r="G32" s="406"/>
      <c r="H32" s="377"/>
      <c r="I32" s="377"/>
      <c r="J32" s="377"/>
      <c r="K32" s="377"/>
      <c r="L32" s="377"/>
      <c r="M32" s="377"/>
      <c r="N32" s="377"/>
      <c r="O32" s="377"/>
      <c r="P32" s="377"/>
      <c r="Q32" s="377"/>
      <c r="R32" s="377"/>
      <c r="S32" s="377"/>
      <c r="T32" s="458">
        <f t="shared" si="30"/>
        <v>0</v>
      </c>
      <c r="U32" s="200"/>
      <c r="W32" s="442"/>
      <c r="X32" s="443"/>
      <c r="BC32" s="3">
        <f t="shared" si="22"/>
        <v>0</v>
      </c>
      <c r="BD32" s="3">
        <f t="shared" si="23"/>
        <v>0</v>
      </c>
      <c r="BE32" s="432" t="str">
        <f t="shared" si="24"/>
        <v/>
      </c>
      <c r="BF32" s="432" t="str">
        <f t="shared" si="25"/>
        <v/>
      </c>
      <c r="BG32" s="432" t="str">
        <f t="shared" si="26"/>
        <v/>
      </c>
      <c r="BH32" s="434" t="str">
        <f>_xlfn.LET(_xlpm.x,H32,IF(OR(LEN(_xlpm.x)&lt;1,_xlpm.x=0),"",CONVERT(_xlpm.x,'Diversion and Disposal'!$BH$7,"kg")))</f>
        <v/>
      </c>
      <c r="BI32" s="434" t="str">
        <f>_xlfn.LET(_xlpm.x,I32,IF(OR(LEN(_xlpm.x)&lt;1,_xlpm.x=0),"",CONVERT(_xlpm.x,'Diversion and Disposal'!$BH$7,"kg")))</f>
        <v/>
      </c>
      <c r="BJ32" s="434" t="str">
        <f>_xlfn.LET(_xlpm.x,J32,IF(OR(LEN(_xlpm.x)&lt;1,_xlpm.x=0),"",CONVERT(_xlpm.x,'Diversion and Disposal'!$BH$7,"kg")))</f>
        <v/>
      </c>
      <c r="BK32" s="434" t="str">
        <f>_xlfn.LET(_xlpm.x,K32,IF(OR(LEN(_xlpm.x)&lt;1,_xlpm.x=0),"",CONVERT(_xlpm.x,'Diversion and Disposal'!$BH$7,"kg")))</f>
        <v/>
      </c>
      <c r="BL32" s="434" t="str">
        <f>_xlfn.LET(_xlpm.x,L32,IF(OR(LEN(_xlpm.x)&lt;1,_xlpm.x=0),"",CONVERT(_xlpm.x,'Diversion and Disposal'!$BH$7,"kg")))</f>
        <v/>
      </c>
      <c r="BM32" s="434" t="str">
        <f>_xlfn.LET(_xlpm.x,M32,IF(OR(LEN(_xlpm.x)&lt;1,_xlpm.x=0),"",CONVERT(_xlpm.x,'Diversion and Disposal'!$BH$7,"kg")))</f>
        <v/>
      </c>
      <c r="BN32" s="434" t="str">
        <f>_xlfn.LET(_xlpm.x,N32,IF(OR(LEN(_xlpm.x)&lt;1,_xlpm.x=0),"",CONVERT(_xlpm.x,'Diversion and Disposal'!$BH$7,"kg")))</f>
        <v/>
      </c>
      <c r="BO32" s="434" t="str">
        <f>_xlfn.LET(_xlpm.x,O32,IF(OR(LEN(_xlpm.x)&lt;1,_xlpm.x=0),"",CONVERT(_xlpm.x,'Diversion and Disposal'!$BH$7,"kg")))</f>
        <v/>
      </c>
      <c r="BP32" s="434" t="str">
        <f>_xlfn.LET(_xlpm.x,P32,IF(OR(LEN(_xlpm.x)&lt;1,_xlpm.x=0),"",CONVERT(_xlpm.x,'Diversion and Disposal'!$BH$7,"kg")))</f>
        <v/>
      </c>
      <c r="BQ32" s="434" t="str">
        <f>_xlfn.LET(_xlpm.x,Q32,IF(OR(LEN(_xlpm.x)&lt;1,_xlpm.x=0),"",CONVERT(_xlpm.x,'Diversion and Disposal'!$BH$7,"kg")))</f>
        <v/>
      </c>
      <c r="BR32" s="434" t="str">
        <f>_xlfn.LET(_xlpm.x,R32,IF(OR(LEN(_xlpm.x)&lt;1,_xlpm.x=0),"",CONVERT(_xlpm.x,'Diversion and Disposal'!$BH$7,"kg")))</f>
        <v/>
      </c>
      <c r="BS32" s="434" t="str">
        <f>_xlfn.LET(_xlpm.x,S32,IF(OR(LEN(_xlpm.x)&lt;1,_xlpm.x=0),"",CONVERT(_xlpm.x,'Diversion and Disposal'!$BH$7,"kg")))</f>
        <v/>
      </c>
      <c r="BT32" s="435">
        <f t="shared" si="2"/>
        <v>0</v>
      </c>
      <c r="BU32" s="433" t="str">
        <f>_xlfn.LET(_xlpm.x,BF32,IF(LEN(_xlpm.x)&lt;1,"",IF(ISNUMBER(MATCH(_xlpm.x,ls_Mat_def,0)),'Project Inputs'!$BF$14,99)))</f>
        <v/>
      </c>
      <c r="BV32" s="432" t="str" cm="1">
        <f t="array" ref="BV32">IFERROR(INDEX(tblGWP[],MATCH(1,(tblGWP[Dataset ID]=BU32)*(tblGWP[Material Subcategory]=BF32),0),MATCH(BG32,ls_WHM,0)+5),"confirm")</f>
        <v>confirm</v>
      </c>
      <c r="BW32" s="434" t="str">
        <f t="shared" si="3"/>
        <v>No data</v>
      </c>
      <c r="BX32" s="434" t="str">
        <f t="shared" si="4"/>
        <v>No data</v>
      </c>
      <c r="BY32" s="434" t="str">
        <f t="shared" si="5"/>
        <v>No data</v>
      </c>
      <c r="BZ32" s="434" t="str">
        <f t="shared" si="6"/>
        <v>No data</v>
      </c>
      <c r="CA32" s="434" t="str">
        <f t="shared" si="7"/>
        <v>No data</v>
      </c>
      <c r="CB32" s="434" t="str">
        <f t="shared" si="8"/>
        <v>No data</v>
      </c>
      <c r="CC32" s="434" t="str">
        <f t="shared" si="9"/>
        <v>No data</v>
      </c>
      <c r="CD32" s="434" t="str">
        <f t="shared" si="10"/>
        <v>No data</v>
      </c>
      <c r="CE32" s="434" t="str">
        <f t="shared" si="11"/>
        <v>No data</v>
      </c>
      <c r="CF32" s="434" t="str">
        <f t="shared" si="12"/>
        <v>No data</v>
      </c>
      <c r="CG32" s="434" t="str">
        <f t="shared" si="13"/>
        <v>No data</v>
      </c>
      <c r="CH32" s="434" t="str">
        <f t="shared" si="14"/>
        <v>No data</v>
      </c>
      <c r="CI32" s="435">
        <f t="shared" si="15"/>
        <v>0</v>
      </c>
      <c r="CK32" s="3" t="str">
        <f>_xlfn.LET(_xlpm.x,INDEX(tbl_Mat_def[],MATCH(BF32,ls_Mat_def,0),2),IFERROR(IF(_xlpm.x=0,"No","Yes"),"No"))</f>
        <v>No</v>
      </c>
      <c r="CM32" s="60" t="str">
        <f t="shared" si="16"/>
        <v/>
      </c>
      <c r="CN32" s="60" t="s">
        <v>235</v>
      </c>
      <c r="CO32" s="432" t="str" cm="1">
        <f t="array" ref="CO32">IFERROR(INDEX(tblGWP[],MATCH(1,(tblGWP[Dataset ID]=BU32)*(tblGWP[Material Subcategory]=CM32),0),MATCH(CN32,ls_WHM,0)+4),"confirm")</f>
        <v>confirm</v>
      </c>
      <c r="CP32" s="436" t="str">
        <f t="shared" si="17"/>
        <v/>
      </c>
      <c r="DD32" s="388">
        <f t="shared" si="27"/>
        <v>0</v>
      </c>
      <c r="DE32" s="22">
        <f t="shared" si="18"/>
        <v>19</v>
      </c>
      <c r="DF32" s="387">
        <f t="shared" si="28"/>
        <v>0</v>
      </c>
      <c r="DG32" s="387">
        <f t="shared" si="29"/>
        <v>0</v>
      </c>
      <c r="DH32" s="22">
        <f t="shared" ca="1" si="19"/>
        <v>0</v>
      </c>
      <c r="DI32">
        <f t="shared" ca="1" si="20"/>
        <v>0</v>
      </c>
    </row>
    <row r="33" spans="1:113" ht="30" customHeight="1">
      <c r="A33" s="22" t="str">
        <f t="shared" si="21"/>
        <v/>
      </c>
      <c r="B33" s="199"/>
      <c r="C33" s="459"/>
      <c r="D33" s="199"/>
      <c r="E33" s="405"/>
      <c r="F33" s="405"/>
      <c r="G33" s="406"/>
      <c r="H33" s="377"/>
      <c r="I33" s="377"/>
      <c r="J33" s="377"/>
      <c r="K33" s="377"/>
      <c r="L33" s="377"/>
      <c r="M33" s="377"/>
      <c r="N33" s="377"/>
      <c r="O33" s="377"/>
      <c r="P33" s="377"/>
      <c r="Q33" s="377"/>
      <c r="R33" s="377"/>
      <c r="S33" s="377"/>
      <c r="T33" s="458">
        <f t="shared" si="30"/>
        <v>0</v>
      </c>
      <c r="U33" s="200"/>
      <c r="W33" s="442"/>
      <c r="X33" s="443"/>
      <c r="BC33" s="3">
        <f t="shared" si="22"/>
        <v>0</v>
      </c>
      <c r="BD33" s="3">
        <f t="shared" si="23"/>
        <v>0</v>
      </c>
      <c r="BE33" s="432" t="str">
        <f t="shared" si="24"/>
        <v/>
      </c>
      <c r="BF33" s="432" t="str">
        <f t="shared" si="25"/>
        <v/>
      </c>
      <c r="BG33" s="432" t="str">
        <f t="shared" si="26"/>
        <v/>
      </c>
      <c r="BH33" s="434" t="str">
        <f>_xlfn.LET(_xlpm.x,H33,IF(OR(LEN(_xlpm.x)&lt;1,_xlpm.x=0),"",CONVERT(_xlpm.x,'Diversion and Disposal'!$BH$7,"kg")))</f>
        <v/>
      </c>
      <c r="BI33" s="434" t="str">
        <f>_xlfn.LET(_xlpm.x,I33,IF(OR(LEN(_xlpm.x)&lt;1,_xlpm.x=0),"",CONVERT(_xlpm.x,'Diversion and Disposal'!$BH$7,"kg")))</f>
        <v/>
      </c>
      <c r="BJ33" s="434" t="str">
        <f>_xlfn.LET(_xlpm.x,J33,IF(OR(LEN(_xlpm.x)&lt;1,_xlpm.x=0),"",CONVERT(_xlpm.x,'Diversion and Disposal'!$BH$7,"kg")))</f>
        <v/>
      </c>
      <c r="BK33" s="434" t="str">
        <f>_xlfn.LET(_xlpm.x,K33,IF(OR(LEN(_xlpm.x)&lt;1,_xlpm.x=0),"",CONVERT(_xlpm.x,'Diversion and Disposal'!$BH$7,"kg")))</f>
        <v/>
      </c>
      <c r="BL33" s="434" t="str">
        <f>_xlfn.LET(_xlpm.x,L33,IF(OR(LEN(_xlpm.x)&lt;1,_xlpm.x=0),"",CONVERT(_xlpm.x,'Diversion and Disposal'!$BH$7,"kg")))</f>
        <v/>
      </c>
      <c r="BM33" s="434" t="str">
        <f>_xlfn.LET(_xlpm.x,M33,IF(OR(LEN(_xlpm.x)&lt;1,_xlpm.x=0),"",CONVERT(_xlpm.x,'Diversion and Disposal'!$BH$7,"kg")))</f>
        <v/>
      </c>
      <c r="BN33" s="434" t="str">
        <f>_xlfn.LET(_xlpm.x,N33,IF(OR(LEN(_xlpm.x)&lt;1,_xlpm.x=0),"",CONVERT(_xlpm.x,'Diversion and Disposal'!$BH$7,"kg")))</f>
        <v/>
      </c>
      <c r="BO33" s="434" t="str">
        <f>_xlfn.LET(_xlpm.x,O33,IF(OR(LEN(_xlpm.x)&lt;1,_xlpm.x=0),"",CONVERT(_xlpm.x,'Diversion and Disposal'!$BH$7,"kg")))</f>
        <v/>
      </c>
      <c r="BP33" s="434" t="str">
        <f>_xlfn.LET(_xlpm.x,P33,IF(OR(LEN(_xlpm.x)&lt;1,_xlpm.x=0),"",CONVERT(_xlpm.x,'Diversion and Disposal'!$BH$7,"kg")))</f>
        <v/>
      </c>
      <c r="BQ33" s="434" t="str">
        <f>_xlfn.LET(_xlpm.x,Q33,IF(OR(LEN(_xlpm.x)&lt;1,_xlpm.x=0),"",CONVERT(_xlpm.x,'Diversion and Disposal'!$BH$7,"kg")))</f>
        <v/>
      </c>
      <c r="BR33" s="434" t="str">
        <f>_xlfn.LET(_xlpm.x,R33,IF(OR(LEN(_xlpm.x)&lt;1,_xlpm.x=0),"",CONVERT(_xlpm.x,'Diversion and Disposal'!$BH$7,"kg")))</f>
        <v/>
      </c>
      <c r="BS33" s="434" t="str">
        <f>_xlfn.LET(_xlpm.x,S33,IF(OR(LEN(_xlpm.x)&lt;1,_xlpm.x=0),"",CONVERT(_xlpm.x,'Diversion and Disposal'!$BH$7,"kg")))</f>
        <v/>
      </c>
      <c r="BT33" s="435">
        <f t="shared" si="2"/>
        <v>0</v>
      </c>
      <c r="BU33" s="433" t="str">
        <f>_xlfn.LET(_xlpm.x,BF33,IF(LEN(_xlpm.x)&lt;1,"",IF(ISNUMBER(MATCH(_xlpm.x,ls_Mat_def,0)),'Project Inputs'!$BF$14,99)))</f>
        <v/>
      </c>
      <c r="BV33" s="432" t="str" cm="1">
        <f t="array" ref="BV33">IFERROR(INDEX(tblGWP[],MATCH(1,(tblGWP[Dataset ID]=BU33)*(tblGWP[Material Subcategory]=BF33),0),MATCH(BG33,ls_WHM,0)+5),"confirm")</f>
        <v>confirm</v>
      </c>
      <c r="BW33" s="434" t="str">
        <f t="shared" si="3"/>
        <v>No data</v>
      </c>
      <c r="BX33" s="434" t="str">
        <f t="shared" si="4"/>
        <v>No data</v>
      </c>
      <c r="BY33" s="434" t="str">
        <f t="shared" si="5"/>
        <v>No data</v>
      </c>
      <c r="BZ33" s="434" t="str">
        <f t="shared" si="6"/>
        <v>No data</v>
      </c>
      <c r="CA33" s="434" t="str">
        <f t="shared" si="7"/>
        <v>No data</v>
      </c>
      <c r="CB33" s="434" t="str">
        <f t="shared" si="8"/>
        <v>No data</v>
      </c>
      <c r="CC33" s="434" t="str">
        <f t="shared" si="9"/>
        <v>No data</v>
      </c>
      <c r="CD33" s="434" t="str">
        <f t="shared" si="10"/>
        <v>No data</v>
      </c>
      <c r="CE33" s="434" t="str">
        <f t="shared" si="11"/>
        <v>No data</v>
      </c>
      <c r="CF33" s="434" t="str">
        <f t="shared" si="12"/>
        <v>No data</v>
      </c>
      <c r="CG33" s="434" t="str">
        <f t="shared" si="13"/>
        <v>No data</v>
      </c>
      <c r="CH33" s="434" t="str">
        <f t="shared" si="14"/>
        <v>No data</v>
      </c>
      <c r="CI33" s="435">
        <f t="shared" si="15"/>
        <v>0</v>
      </c>
      <c r="CK33" s="3" t="str">
        <f>_xlfn.LET(_xlpm.x,INDEX(tbl_Mat_def[],MATCH(BF33,ls_Mat_def,0),2),IFERROR(IF(_xlpm.x=0,"No","Yes"),"No"))</f>
        <v>No</v>
      </c>
      <c r="CM33" s="60" t="str">
        <f t="shared" si="16"/>
        <v/>
      </c>
      <c r="CN33" s="60" t="s">
        <v>235</v>
      </c>
      <c r="CO33" s="432" t="str" cm="1">
        <f t="array" ref="CO33">IFERROR(INDEX(tblGWP[],MATCH(1,(tblGWP[Dataset ID]=BU33)*(tblGWP[Material Subcategory]=CM33),0),MATCH(CN33,ls_WHM,0)+4),"confirm")</f>
        <v>confirm</v>
      </c>
      <c r="CP33" s="436" t="str">
        <f t="shared" si="17"/>
        <v/>
      </c>
      <c r="DD33" s="388">
        <f t="shared" si="27"/>
        <v>0</v>
      </c>
      <c r="DE33" s="22">
        <f t="shared" si="18"/>
        <v>19</v>
      </c>
      <c r="DF33" s="387">
        <f t="shared" si="28"/>
        <v>0</v>
      </c>
      <c r="DG33" s="387">
        <f t="shared" si="29"/>
        <v>0</v>
      </c>
      <c r="DH33" s="22">
        <f t="shared" ca="1" si="19"/>
        <v>0</v>
      </c>
      <c r="DI33">
        <f t="shared" ca="1" si="20"/>
        <v>0</v>
      </c>
    </row>
    <row r="34" spans="1:113" ht="30" customHeight="1">
      <c r="A34" s="22" t="str">
        <f t="shared" si="21"/>
        <v/>
      </c>
      <c r="B34" s="199"/>
      <c r="C34" s="459"/>
      <c r="D34" s="199"/>
      <c r="E34" s="405"/>
      <c r="F34" s="405"/>
      <c r="G34" s="406"/>
      <c r="H34" s="377"/>
      <c r="I34" s="377"/>
      <c r="J34" s="377"/>
      <c r="K34" s="377"/>
      <c r="L34" s="377"/>
      <c r="M34" s="377"/>
      <c r="N34" s="377"/>
      <c r="O34" s="377"/>
      <c r="P34" s="377"/>
      <c r="Q34" s="377"/>
      <c r="R34" s="377"/>
      <c r="S34" s="377"/>
      <c r="T34" s="458">
        <f t="shared" si="30"/>
        <v>0</v>
      </c>
      <c r="U34" s="200"/>
      <c r="W34" s="442"/>
      <c r="X34" s="443"/>
      <c r="BC34" s="3">
        <f t="shared" si="22"/>
        <v>0</v>
      </c>
      <c r="BD34" s="3">
        <f t="shared" si="23"/>
        <v>0</v>
      </c>
      <c r="BE34" s="432" t="str">
        <f t="shared" si="24"/>
        <v/>
      </c>
      <c r="BF34" s="432" t="str">
        <f t="shared" si="25"/>
        <v/>
      </c>
      <c r="BG34" s="432" t="str">
        <f t="shared" si="26"/>
        <v/>
      </c>
      <c r="BH34" s="434" t="str">
        <f>_xlfn.LET(_xlpm.x,H34,IF(OR(LEN(_xlpm.x)&lt;1,_xlpm.x=0),"",CONVERT(_xlpm.x,'Diversion and Disposal'!$BH$7,"kg")))</f>
        <v/>
      </c>
      <c r="BI34" s="434" t="str">
        <f>_xlfn.LET(_xlpm.x,I34,IF(OR(LEN(_xlpm.x)&lt;1,_xlpm.x=0),"",CONVERT(_xlpm.x,'Diversion and Disposal'!$BH$7,"kg")))</f>
        <v/>
      </c>
      <c r="BJ34" s="434" t="str">
        <f>_xlfn.LET(_xlpm.x,J34,IF(OR(LEN(_xlpm.x)&lt;1,_xlpm.x=0),"",CONVERT(_xlpm.x,'Diversion and Disposal'!$BH$7,"kg")))</f>
        <v/>
      </c>
      <c r="BK34" s="434" t="str">
        <f>_xlfn.LET(_xlpm.x,K34,IF(OR(LEN(_xlpm.x)&lt;1,_xlpm.x=0),"",CONVERT(_xlpm.x,'Diversion and Disposal'!$BH$7,"kg")))</f>
        <v/>
      </c>
      <c r="BL34" s="434" t="str">
        <f>_xlfn.LET(_xlpm.x,L34,IF(OR(LEN(_xlpm.x)&lt;1,_xlpm.x=0),"",CONVERT(_xlpm.x,'Diversion and Disposal'!$BH$7,"kg")))</f>
        <v/>
      </c>
      <c r="BM34" s="434" t="str">
        <f>_xlfn.LET(_xlpm.x,M34,IF(OR(LEN(_xlpm.x)&lt;1,_xlpm.x=0),"",CONVERT(_xlpm.x,'Diversion and Disposal'!$BH$7,"kg")))</f>
        <v/>
      </c>
      <c r="BN34" s="434" t="str">
        <f>_xlfn.LET(_xlpm.x,N34,IF(OR(LEN(_xlpm.x)&lt;1,_xlpm.x=0),"",CONVERT(_xlpm.x,'Diversion and Disposal'!$BH$7,"kg")))</f>
        <v/>
      </c>
      <c r="BO34" s="434" t="str">
        <f>_xlfn.LET(_xlpm.x,O34,IF(OR(LEN(_xlpm.x)&lt;1,_xlpm.x=0),"",CONVERT(_xlpm.x,'Diversion and Disposal'!$BH$7,"kg")))</f>
        <v/>
      </c>
      <c r="BP34" s="434" t="str">
        <f>_xlfn.LET(_xlpm.x,P34,IF(OR(LEN(_xlpm.x)&lt;1,_xlpm.x=0),"",CONVERT(_xlpm.x,'Diversion and Disposal'!$BH$7,"kg")))</f>
        <v/>
      </c>
      <c r="BQ34" s="434" t="str">
        <f>_xlfn.LET(_xlpm.x,Q34,IF(OR(LEN(_xlpm.x)&lt;1,_xlpm.x=0),"",CONVERT(_xlpm.x,'Diversion and Disposal'!$BH$7,"kg")))</f>
        <v/>
      </c>
      <c r="BR34" s="434" t="str">
        <f>_xlfn.LET(_xlpm.x,R34,IF(OR(LEN(_xlpm.x)&lt;1,_xlpm.x=0),"",CONVERT(_xlpm.x,'Diversion and Disposal'!$BH$7,"kg")))</f>
        <v/>
      </c>
      <c r="BS34" s="434" t="str">
        <f>_xlfn.LET(_xlpm.x,S34,IF(OR(LEN(_xlpm.x)&lt;1,_xlpm.x=0),"",CONVERT(_xlpm.x,'Diversion and Disposal'!$BH$7,"kg")))</f>
        <v/>
      </c>
      <c r="BT34" s="435">
        <f t="shared" si="2"/>
        <v>0</v>
      </c>
      <c r="BU34" s="433" t="str">
        <f>_xlfn.LET(_xlpm.x,BF34,IF(LEN(_xlpm.x)&lt;1,"",IF(ISNUMBER(MATCH(_xlpm.x,ls_Mat_def,0)),'Project Inputs'!$BF$14,99)))</f>
        <v/>
      </c>
      <c r="BV34" s="432" t="str" cm="1">
        <f t="array" ref="BV34">IFERROR(INDEX(tblGWP[],MATCH(1,(tblGWP[Dataset ID]=BU34)*(tblGWP[Material Subcategory]=BF34),0),MATCH(BG34,ls_WHM,0)+5),"confirm")</f>
        <v>confirm</v>
      </c>
      <c r="BW34" s="434" t="str">
        <f t="shared" si="3"/>
        <v>No data</v>
      </c>
      <c r="BX34" s="434" t="str">
        <f t="shared" si="4"/>
        <v>No data</v>
      </c>
      <c r="BY34" s="434" t="str">
        <f t="shared" si="5"/>
        <v>No data</v>
      </c>
      <c r="BZ34" s="434" t="str">
        <f t="shared" si="6"/>
        <v>No data</v>
      </c>
      <c r="CA34" s="434" t="str">
        <f t="shared" si="7"/>
        <v>No data</v>
      </c>
      <c r="CB34" s="434" t="str">
        <f t="shared" si="8"/>
        <v>No data</v>
      </c>
      <c r="CC34" s="434" t="str">
        <f t="shared" si="9"/>
        <v>No data</v>
      </c>
      <c r="CD34" s="434" t="str">
        <f t="shared" si="10"/>
        <v>No data</v>
      </c>
      <c r="CE34" s="434" t="str">
        <f t="shared" si="11"/>
        <v>No data</v>
      </c>
      <c r="CF34" s="434" t="str">
        <f t="shared" si="12"/>
        <v>No data</v>
      </c>
      <c r="CG34" s="434" t="str">
        <f t="shared" si="13"/>
        <v>No data</v>
      </c>
      <c r="CH34" s="434" t="str">
        <f t="shared" si="14"/>
        <v>No data</v>
      </c>
      <c r="CI34" s="435">
        <f t="shared" si="15"/>
        <v>0</v>
      </c>
      <c r="CK34" s="3" t="str">
        <f>_xlfn.LET(_xlpm.x,INDEX(tbl_Mat_def[],MATCH(BF34,ls_Mat_def,0),2),IFERROR(IF(_xlpm.x=0,"No","Yes"),"No"))</f>
        <v>No</v>
      </c>
      <c r="CM34" s="60" t="str">
        <f t="shared" si="16"/>
        <v/>
      </c>
      <c r="CN34" s="60" t="s">
        <v>235</v>
      </c>
      <c r="CO34" s="432" t="str" cm="1">
        <f t="array" ref="CO34">IFERROR(INDEX(tblGWP[],MATCH(1,(tblGWP[Dataset ID]=BU34)*(tblGWP[Material Subcategory]=CM34),0),MATCH(CN34,ls_WHM,0)+4),"confirm")</f>
        <v>confirm</v>
      </c>
      <c r="CP34" s="436" t="str">
        <f t="shared" si="17"/>
        <v/>
      </c>
      <c r="DD34" s="388">
        <f t="shared" si="27"/>
        <v>0</v>
      </c>
      <c r="DE34" s="22">
        <f t="shared" si="18"/>
        <v>19</v>
      </c>
      <c r="DF34" s="387">
        <f t="shared" si="28"/>
        <v>0</v>
      </c>
      <c r="DG34" s="387">
        <f t="shared" si="29"/>
        <v>0</v>
      </c>
      <c r="DH34" s="22">
        <f t="shared" ca="1" si="19"/>
        <v>0</v>
      </c>
      <c r="DI34">
        <f t="shared" ca="1" si="20"/>
        <v>0</v>
      </c>
    </row>
    <row r="35" spans="1:113" ht="30" customHeight="1">
      <c r="A35" s="22" t="str">
        <f t="shared" si="21"/>
        <v/>
      </c>
      <c r="B35" s="199"/>
      <c r="C35" s="459"/>
      <c r="D35" s="199"/>
      <c r="E35" s="405"/>
      <c r="F35" s="405"/>
      <c r="G35" s="406"/>
      <c r="H35" s="377"/>
      <c r="I35" s="377"/>
      <c r="J35" s="377"/>
      <c r="K35" s="377"/>
      <c r="L35" s="377"/>
      <c r="M35" s="377"/>
      <c r="N35" s="377"/>
      <c r="O35" s="377"/>
      <c r="P35" s="377"/>
      <c r="Q35" s="377"/>
      <c r="R35" s="377"/>
      <c r="S35" s="377"/>
      <c r="T35" s="458">
        <f t="shared" si="30"/>
        <v>0</v>
      </c>
      <c r="U35" s="200"/>
      <c r="W35" s="442"/>
      <c r="X35" s="443"/>
      <c r="BC35" s="3">
        <f t="shared" si="22"/>
        <v>0</v>
      </c>
      <c r="BD35" s="3">
        <f t="shared" si="23"/>
        <v>0</v>
      </c>
      <c r="BE35" s="432" t="str">
        <f t="shared" si="24"/>
        <v/>
      </c>
      <c r="BF35" s="432" t="str">
        <f t="shared" si="25"/>
        <v/>
      </c>
      <c r="BG35" s="432" t="str">
        <f t="shared" si="26"/>
        <v/>
      </c>
      <c r="BH35" s="434" t="str">
        <f>_xlfn.LET(_xlpm.x,H35,IF(OR(LEN(_xlpm.x)&lt;1,_xlpm.x=0),"",CONVERT(_xlpm.x,'Diversion and Disposal'!$BH$7,"kg")))</f>
        <v/>
      </c>
      <c r="BI35" s="434" t="str">
        <f>_xlfn.LET(_xlpm.x,I35,IF(OR(LEN(_xlpm.x)&lt;1,_xlpm.x=0),"",CONVERT(_xlpm.x,'Diversion and Disposal'!$BH$7,"kg")))</f>
        <v/>
      </c>
      <c r="BJ35" s="434" t="str">
        <f>_xlfn.LET(_xlpm.x,J35,IF(OR(LEN(_xlpm.x)&lt;1,_xlpm.x=0),"",CONVERT(_xlpm.x,'Diversion and Disposal'!$BH$7,"kg")))</f>
        <v/>
      </c>
      <c r="BK35" s="434" t="str">
        <f>_xlfn.LET(_xlpm.x,K35,IF(OR(LEN(_xlpm.x)&lt;1,_xlpm.x=0),"",CONVERT(_xlpm.x,'Diversion and Disposal'!$BH$7,"kg")))</f>
        <v/>
      </c>
      <c r="BL35" s="434" t="str">
        <f>_xlfn.LET(_xlpm.x,L35,IF(OR(LEN(_xlpm.x)&lt;1,_xlpm.x=0),"",CONVERT(_xlpm.x,'Diversion and Disposal'!$BH$7,"kg")))</f>
        <v/>
      </c>
      <c r="BM35" s="434" t="str">
        <f>_xlfn.LET(_xlpm.x,M35,IF(OR(LEN(_xlpm.x)&lt;1,_xlpm.x=0),"",CONVERT(_xlpm.x,'Diversion and Disposal'!$BH$7,"kg")))</f>
        <v/>
      </c>
      <c r="BN35" s="434" t="str">
        <f>_xlfn.LET(_xlpm.x,N35,IF(OR(LEN(_xlpm.x)&lt;1,_xlpm.x=0),"",CONVERT(_xlpm.x,'Diversion and Disposal'!$BH$7,"kg")))</f>
        <v/>
      </c>
      <c r="BO35" s="434" t="str">
        <f>_xlfn.LET(_xlpm.x,O35,IF(OR(LEN(_xlpm.x)&lt;1,_xlpm.x=0),"",CONVERT(_xlpm.x,'Diversion and Disposal'!$BH$7,"kg")))</f>
        <v/>
      </c>
      <c r="BP35" s="434" t="str">
        <f>_xlfn.LET(_xlpm.x,P35,IF(OR(LEN(_xlpm.x)&lt;1,_xlpm.x=0),"",CONVERT(_xlpm.x,'Diversion and Disposal'!$BH$7,"kg")))</f>
        <v/>
      </c>
      <c r="BQ35" s="434" t="str">
        <f>_xlfn.LET(_xlpm.x,Q35,IF(OR(LEN(_xlpm.x)&lt;1,_xlpm.x=0),"",CONVERT(_xlpm.x,'Diversion and Disposal'!$BH$7,"kg")))</f>
        <v/>
      </c>
      <c r="BR35" s="434" t="str">
        <f>_xlfn.LET(_xlpm.x,R35,IF(OR(LEN(_xlpm.x)&lt;1,_xlpm.x=0),"",CONVERT(_xlpm.x,'Diversion and Disposal'!$BH$7,"kg")))</f>
        <v/>
      </c>
      <c r="BS35" s="434" t="str">
        <f>_xlfn.LET(_xlpm.x,S35,IF(OR(LEN(_xlpm.x)&lt;1,_xlpm.x=0),"",CONVERT(_xlpm.x,'Diversion and Disposal'!$BH$7,"kg")))</f>
        <v/>
      </c>
      <c r="BT35" s="435">
        <f t="shared" si="2"/>
        <v>0</v>
      </c>
      <c r="BU35" s="433" t="str">
        <f>_xlfn.LET(_xlpm.x,BF35,IF(LEN(_xlpm.x)&lt;1,"",IF(ISNUMBER(MATCH(_xlpm.x,ls_Mat_def,0)),'Project Inputs'!$BF$14,99)))</f>
        <v/>
      </c>
      <c r="BV35" s="432" t="str" cm="1">
        <f t="array" ref="BV35">IFERROR(INDEX(tblGWP[],MATCH(1,(tblGWP[Dataset ID]=BU35)*(tblGWP[Material Subcategory]=BF35),0),MATCH(BG35,ls_WHM,0)+5),"confirm")</f>
        <v>confirm</v>
      </c>
      <c r="BW35" s="434" t="str">
        <f t="shared" si="3"/>
        <v>No data</v>
      </c>
      <c r="BX35" s="434" t="str">
        <f t="shared" si="4"/>
        <v>No data</v>
      </c>
      <c r="BY35" s="434" t="str">
        <f t="shared" si="5"/>
        <v>No data</v>
      </c>
      <c r="BZ35" s="434" t="str">
        <f t="shared" si="6"/>
        <v>No data</v>
      </c>
      <c r="CA35" s="434" t="str">
        <f t="shared" si="7"/>
        <v>No data</v>
      </c>
      <c r="CB35" s="434" t="str">
        <f t="shared" si="8"/>
        <v>No data</v>
      </c>
      <c r="CC35" s="434" t="str">
        <f t="shared" si="9"/>
        <v>No data</v>
      </c>
      <c r="CD35" s="434" t="str">
        <f t="shared" si="10"/>
        <v>No data</v>
      </c>
      <c r="CE35" s="434" t="str">
        <f t="shared" si="11"/>
        <v>No data</v>
      </c>
      <c r="CF35" s="434" t="str">
        <f t="shared" si="12"/>
        <v>No data</v>
      </c>
      <c r="CG35" s="434" t="str">
        <f t="shared" si="13"/>
        <v>No data</v>
      </c>
      <c r="CH35" s="434" t="str">
        <f t="shared" si="14"/>
        <v>No data</v>
      </c>
      <c r="CI35" s="435">
        <f t="shared" si="15"/>
        <v>0</v>
      </c>
      <c r="CK35" s="3" t="str">
        <f>_xlfn.LET(_xlpm.x,INDEX(tbl_Mat_def[],MATCH(BF35,ls_Mat_def,0),2),IFERROR(IF(_xlpm.x=0,"No","Yes"),"No"))</f>
        <v>No</v>
      </c>
      <c r="CM35" s="60" t="str">
        <f t="shared" si="16"/>
        <v/>
      </c>
      <c r="CN35" s="60" t="s">
        <v>235</v>
      </c>
      <c r="CO35" s="432" t="str" cm="1">
        <f t="array" ref="CO35">IFERROR(INDEX(tblGWP[],MATCH(1,(tblGWP[Dataset ID]=BU35)*(tblGWP[Material Subcategory]=CM35),0),MATCH(CN35,ls_WHM,0)+4),"confirm")</f>
        <v>confirm</v>
      </c>
      <c r="CP35" s="436" t="str">
        <f t="shared" si="17"/>
        <v/>
      </c>
      <c r="DD35" s="388">
        <f t="shared" si="27"/>
        <v>0</v>
      </c>
      <c r="DE35" s="22">
        <f t="shared" si="18"/>
        <v>19</v>
      </c>
      <c r="DF35" s="387">
        <f t="shared" si="28"/>
        <v>0</v>
      </c>
      <c r="DG35" s="387">
        <f t="shared" si="29"/>
        <v>0</v>
      </c>
      <c r="DH35" s="22">
        <f t="shared" ca="1" si="19"/>
        <v>0</v>
      </c>
      <c r="DI35">
        <f t="shared" ca="1" si="20"/>
        <v>0</v>
      </c>
    </row>
    <row r="36" spans="1:113" ht="30" customHeight="1">
      <c r="A36" s="22" t="str">
        <f t="shared" si="21"/>
        <v/>
      </c>
      <c r="B36" s="199"/>
      <c r="C36" s="459"/>
      <c r="D36" s="199"/>
      <c r="E36" s="405"/>
      <c r="F36" s="405"/>
      <c r="G36" s="406"/>
      <c r="H36" s="377"/>
      <c r="I36" s="377"/>
      <c r="J36" s="377"/>
      <c r="K36" s="377"/>
      <c r="L36" s="377"/>
      <c r="M36" s="377"/>
      <c r="N36" s="377"/>
      <c r="O36" s="377"/>
      <c r="P36" s="377"/>
      <c r="Q36" s="377"/>
      <c r="R36" s="377"/>
      <c r="S36" s="377"/>
      <c r="T36" s="458">
        <f t="shared" si="30"/>
        <v>0</v>
      </c>
      <c r="U36" s="200"/>
      <c r="W36" s="442"/>
      <c r="X36" s="443"/>
      <c r="BC36" s="3">
        <f t="shared" si="22"/>
        <v>0</v>
      </c>
      <c r="BD36" s="3">
        <f t="shared" si="23"/>
        <v>0</v>
      </c>
      <c r="BE36" s="432" t="str">
        <f t="shared" si="24"/>
        <v/>
      </c>
      <c r="BF36" s="432" t="str">
        <f t="shared" si="25"/>
        <v/>
      </c>
      <c r="BG36" s="432" t="str">
        <f t="shared" si="26"/>
        <v/>
      </c>
      <c r="BH36" s="434" t="str">
        <f>_xlfn.LET(_xlpm.x,H36,IF(OR(LEN(_xlpm.x)&lt;1,_xlpm.x=0),"",CONVERT(_xlpm.x,'Diversion and Disposal'!$BH$7,"kg")))</f>
        <v/>
      </c>
      <c r="BI36" s="434" t="str">
        <f>_xlfn.LET(_xlpm.x,I36,IF(OR(LEN(_xlpm.x)&lt;1,_xlpm.x=0),"",CONVERT(_xlpm.x,'Diversion and Disposal'!$BH$7,"kg")))</f>
        <v/>
      </c>
      <c r="BJ36" s="434" t="str">
        <f>_xlfn.LET(_xlpm.x,J36,IF(OR(LEN(_xlpm.x)&lt;1,_xlpm.x=0),"",CONVERT(_xlpm.x,'Diversion and Disposal'!$BH$7,"kg")))</f>
        <v/>
      </c>
      <c r="BK36" s="434" t="str">
        <f>_xlfn.LET(_xlpm.x,K36,IF(OR(LEN(_xlpm.x)&lt;1,_xlpm.x=0),"",CONVERT(_xlpm.x,'Diversion and Disposal'!$BH$7,"kg")))</f>
        <v/>
      </c>
      <c r="BL36" s="434" t="str">
        <f>_xlfn.LET(_xlpm.x,L36,IF(OR(LEN(_xlpm.x)&lt;1,_xlpm.x=0),"",CONVERT(_xlpm.x,'Diversion and Disposal'!$BH$7,"kg")))</f>
        <v/>
      </c>
      <c r="BM36" s="434" t="str">
        <f>_xlfn.LET(_xlpm.x,M36,IF(OR(LEN(_xlpm.x)&lt;1,_xlpm.x=0),"",CONVERT(_xlpm.x,'Diversion and Disposal'!$BH$7,"kg")))</f>
        <v/>
      </c>
      <c r="BN36" s="434" t="str">
        <f>_xlfn.LET(_xlpm.x,N36,IF(OR(LEN(_xlpm.x)&lt;1,_xlpm.x=0),"",CONVERT(_xlpm.x,'Diversion and Disposal'!$BH$7,"kg")))</f>
        <v/>
      </c>
      <c r="BO36" s="434" t="str">
        <f>_xlfn.LET(_xlpm.x,O36,IF(OR(LEN(_xlpm.x)&lt;1,_xlpm.x=0),"",CONVERT(_xlpm.x,'Diversion and Disposal'!$BH$7,"kg")))</f>
        <v/>
      </c>
      <c r="BP36" s="434" t="str">
        <f>_xlfn.LET(_xlpm.x,P36,IF(OR(LEN(_xlpm.x)&lt;1,_xlpm.x=0),"",CONVERT(_xlpm.x,'Diversion and Disposal'!$BH$7,"kg")))</f>
        <v/>
      </c>
      <c r="BQ36" s="434" t="str">
        <f>_xlfn.LET(_xlpm.x,Q36,IF(OR(LEN(_xlpm.x)&lt;1,_xlpm.x=0),"",CONVERT(_xlpm.x,'Diversion and Disposal'!$BH$7,"kg")))</f>
        <v/>
      </c>
      <c r="BR36" s="434" t="str">
        <f>_xlfn.LET(_xlpm.x,R36,IF(OR(LEN(_xlpm.x)&lt;1,_xlpm.x=0),"",CONVERT(_xlpm.x,'Diversion and Disposal'!$BH$7,"kg")))</f>
        <v/>
      </c>
      <c r="BS36" s="434" t="str">
        <f>_xlfn.LET(_xlpm.x,S36,IF(OR(LEN(_xlpm.x)&lt;1,_xlpm.x=0),"",CONVERT(_xlpm.x,'Diversion and Disposal'!$BH$7,"kg")))</f>
        <v/>
      </c>
      <c r="BT36" s="435">
        <f t="shared" si="2"/>
        <v>0</v>
      </c>
      <c r="BU36" s="433" t="str">
        <f>_xlfn.LET(_xlpm.x,BF36,IF(LEN(_xlpm.x)&lt;1,"",IF(ISNUMBER(MATCH(_xlpm.x,ls_Mat_def,0)),'Project Inputs'!$BF$14,99)))</f>
        <v/>
      </c>
      <c r="BV36" s="432" t="str" cm="1">
        <f t="array" ref="BV36">IFERROR(INDEX(tblGWP[],MATCH(1,(tblGWP[Dataset ID]=BU36)*(tblGWP[Material Subcategory]=BF36),0),MATCH(BG36,ls_WHM,0)+5),"confirm")</f>
        <v>confirm</v>
      </c>
      <c r="BW36" s="434" t="str">
        <f t="shared" si="3"/>
        <v>No data</v>
      </c>
      <c r="BX36" s="434" t="str">
        <f t="shared" si="4"/>
        <v>No data</v>
      </c>
      <c r="BY36" s="434" t="str">
        <f t="shared" si="5"/>
        <v>No data</v>
      </c>
      <c r="BZ36" s="434" t="str">
        <f t="shared" si="6"/>
        <v>No data</v>
      </c>
      <c r="CA36" s="434" t="str">
        <f t="shared" si="7"/>
        <v>No data</v>
      </c>
      <c r="CB36" s="434" t="str">
        <f t="shared" si="8"/>
        <v>No data</v>
      </c>
      <c r="CC36" s="434" t="str">
        <f t="shared" si="9"/>
        <v>No data</v>
      </c>
      <c r="CD36" s="434" t="str">
        <f t="shared" si="10"/>
        <v>No data</v>
      </c>
      <c r="CE36" s="434" t="str">
        <f t="shared" si="11"/>
        <v>No data</v>
      </c>
      <c r="CF36" s="434" t="str">
        <f t="shared" si="12"/>
        <v>No data</v>
      </c>
      <c r="CG36" s="434" t="str">
        <f t="shared" si="13"/>
        <v>No data</v>
      </c>
      <c r="CH36" s="434" t="str">
        <f t="shared" si="14"/>
        <v>No data</v>
      </c>
      <c r="CI36" s="435">
        <f t="shared" si="15"/>
        <v>0</v>
      </c>
      <c r="CK36" s="3" t="str">
        <f>_xlfn.LET(_xlpm.x,INDEX(tbl_Mat_def[],MATCH(BF36,ls_Mat_def,0),2),IFERROR(IF(_xlpm.x=0,"No","Yes"),"No"))</f>
        <v>No</v>
      </c>
      <c r="CM36" s="60" t="str">
        <f t="shared" si="16"/>
        <v/>
      </c>
      <c r="CN36" s="60" t="s">
        <v>235</v>
      </c>
      <c r="CO36" s="432" t="str" cm="1">
        <f t="array" ref="CO36">IFERROR(INDEX(tblGWP[],MATCH(1,(tblGWP[Dataset ID]=BU36)*(tblGWP[Material Subcategory]=CM36),0),MATCH(CN36,ls_WHM,0)+4),"confirm")</f>
        <v>confirm</v>
      </c>
      <c r="CP36" s="436" t="str">
        <f t="shared" si="17"/>
        <v/>
      </c>
      <c r="DD36" s="388">
        <f t="shared" si="27"/>
        <v>0</v>
      </c>
      <c r="DE36" s="22">
        <f t="shared" si="18"/>
        <v>19</v>
      </c>
      <c r="DF36" s="387">
        <f t="shared" si="28"/>
        <v>0</v>
      </c>
      <c r="DG36" s="387">
        <f t="shared" si="29"/>
        <v>0</v>
      </c>
      <c r="DH36" s="22">
        <f t="shared" ca="1" si="19"/>
        <v>0</v>
      </c>
      <c r="DI36">
        <f t="shared" ca="1" si="20"/>
        <v>0</v>
      </c>
    </row>
    <row r="37" spans="1:113" ht="30" customHeight="1">
      <c r="A37" s="22" t="str">
        <f t="shared" si="21"/>
        <v/>
      </c>
      <c r="B37" s="199"/>
      <c r="C37" s="459"/>
      <c r="D37" s="199"/>
      <c r="E37" s="405"/>
      <c r="F37" s="405"/>
      <c r="G37" s="406"/>
      <c r="H37" s="377"/>
      <c r="I37" s="377"/>
      <c r="J37" s="377"/>
      <c r="K37" s="377"/>
      <c r="L37" s="377"/>
      <c r="M37" s="377"/>
      <c r="N37" s="377"/>
      <c r="O37" s="377"/>
      <c r="P37" s="377"/>
      <c r="Q37" s="377"/>
      <c r="R37" s="377"/>
      <c r="S37" s="377"/>
      <c r="T37" s="458">
        <f t="shared" si="30"/>
        <v>0</v>
      </c>
      <c r="U37" s="200"/>
      <c r="W37" s="442"/>
      <c r="X37" s="443"/>
      <c r="BC37" s="3">
        <f t="shared" si="22"/>
        <v>0</v>
      </c>
      <c r="BD37" s="3">
        <f t="shared" si="23"/>
        <v>0</v>
      </c>
      <c r="BE37" s="432" t="str">
        <f t="shared" si="24"/>
        <v/>
      </c>
      <c r="BF37" s="432" t="str">
        <f t="shared" si="25"/>
        <v/>
      </c>
      <c r="BG37" s="432" t="str">
        <f t="shared" si="26"/>
        <v/>
      </c>
      <c r="BH37" s="434" t="str">
        <f>_xlfn.LET(_xlpm.x,H37,IF(OR(LEN(_xlpm.x)&lt;1,_xlpm.x=0),"",CONVERT(_xlpm.x,'Diversion and Disposal'!$BH$7,"kg")))</f>
        <v/>
      </c>
      <c r="BI37" s="434" t="str">
        <f>_xlfn.LET(_xlpm.x,I37,IF(OR(LEN(_xlpm.x)&lt;1,_xlpm.x=0),"",CONVERT(_xlpm.x,'Diversion and Disposal'!$BH$7,"kg")))</f>
        <v/>
      </c>
      <c r="BJ37" s="434" t="str">
        <f>_xlfn.LET(_xlpm.x,J37,IF(OR(LEN(_xlpm.x)&lt;1,_xlpm.x=0),"",CONVERT(_xlpm.x,'Diversion and Disposal'!$BH$7,"kg")))</f>
        <v/>
      </c>
      <c r="BK37" s="434" t="str">
        <f>_xlfn.LET(_xlpm.x,K37,IF(OR(LEN(_xlpm.x)&lt;1,_xlpm.x=0),"",CONVERT(_xlpm.x,'Diversion and Disposal'!$BH$7,"kg")))</f>
        <v/>
      </c>
      <c r="BL37" s="434" t="str">
        <f>_xlfn.LET(_xlpm.x,L37,IF(OR(LEN(_xlpm.x)&lt;1,_xlpm.x=0),"",CONVERT(_xlpm.x,'Diversion and Disposal'!$BH$7,"kg")))</f>
        <v/>
      </c>
      <c r="BM37" s="434" t="str">
        <f>_xlfn.LET(_xlpm.x,M37,IF(OR(LEN(_xlpm.x)&lt;1,_xlpm.x=0),"",CONVERT(_xlpm.x,'Diversion and Disposal'!$BH$7,"kg")))</f>
        <v/>
      </c>
      <c r="BN37" s="434" t="str">
        <f>_xlfn.LET(_xlpm.x,N37,IF(OR(LEN(_xlpm.x)&lt;1,_xlpm.x=0),"",CONVERT(_xlpm.x,'Diversion and Disposal'!$BH$7,"kg")))</f>
        <v/>
      </c>
      <c r="BO37" s="434" t="str">
        <f>_xlfn.LET(_xlpm.x,O37,IF(OR(LEN(_xlpm.x)&lt;1,_xlpm.x=0),"",CONVERT(_xlpm.x,'Diversion and Disposal'!$BH$7,"kg")))</f>
        <v/>
      </c>
      <c r="BP37" s="434" t="str">
        <f>_xlfn.LET(_xlpm.x,P37,IF(OR(LEN(_xlpm.x)&lt;1,_xlpm.x=0),"",CONVERT(_xlpm.x,'Diversion and Disposal'!$BH$7,"kg")))</f>
        <v/>
      </c>
      <c r="BQ37" s="434" t="str">
        <f>_xlfn.LET(_xlpm.x,Q37,IF(OR(LEN(_xlpm.x)&lt;1,_xlpm.x=0),"",CONVERT(_xlpm.x,'Diversion and Disposal'!$BH$7,"kg")))</f>
        <v/>
      </c>
      <c r="BR37" s="434" t="str">
        <f>_xlfn.LET(_xlpm.x,R37,IF(OR(LEN(_xlpm.x)&lt;1,_xlpm.x=0),"",CONVERT(_xlpm.x,'Diversion and Disposal'!$BH$7,"kg")))</f>
        <v/>
      </c>
      <c r="BS37" s="434" t="str">
        <f>_xlfn.LET(_xlpm.x,S37,IF(OR(LEN(_xlpm.x)&lt;1,_xlpm.x=0),"",CONVERT(_xlpm.x,'Diversion and Disposal'!$BH$7,"kg")))</f>
        <v/>
      </c>
      <c r="BT37" s="435">
        <f t="shared" si="2"/>
        <v>0</v>
      </c>
      <c r="BU37" s="433" t="str">
        <f>_xlfn.LET(_xlpm.x,BF37,IF(LEN(_xlpm.x)&lt;1,"",IF(ISNUMBER(MATCH(_xlpm.x,ls_Mat_def,0)),'Project Inputs'!$BF$14,99)))</f>
        <v/>
      </c>
      <c r="BV37" s="432" t="str" cm="1">
        <f t="array" ref="BV37">IFERROR(INDEX(tblGWP[],MATCH(1,(tblGWP[Dataset ID]=BU37)*(tblGWP[Material Subcategory]=BF37),0),MATCH(BG37,ls_WHM,0)+5),"confirm")</f>
        <v>confirm</v>
      </c>
      <c r="BW37" s="434" t="str">
        <f t="shared" si="3"/>
        <v>No data</v>
      </c>
      <c r="BX37" s="434" t="str">
        <f t="shared" si="4"/>
        <v>No data</v>
      </c>
      <c r="BY37" s="434" t="str">
        <f t="shared" si="5"/>
        <v>No data</v>
      </c>
      <c r="BZ37" s="434" t="str">
        <f t="shared" si="6"/>
        <v>No data</v>
      </c>
      <c r="CA37" s="434" t="str">
        <f t="shared" si="7"/>
        <v>No data</v>
      </c>
      <c r="CB37" s="434" t="str">
        <f t="shared" si="8"/>
        <v>No data</v>
      </c>
      <c r="CC37" s="434" t="str">
        <f t="shared" si="9"/>
        <v>No data</v>
      </c>
      <c r="CD37" s="434" t="str">
        <f t="shared" si="10"/>
        <v>No data</v>
      </c>
      <c r="CE37" s="434" t="str">
        <f t="shared" si="11"/>
        <v>No data</v>
      </c>
      <c r="CF37" s="434" t="str">
        <f t="shared" si="12"/>
        <v>No data</v>
      </c>
      <c r="CG37" s="434" t="str">
        <f t="shared" si="13"/>
        <v>No data</v>
      </c>
      <c r="CH37" s="434" t="str">
        <f t="shared" si="14"/>
        <v>No data</v>
      </c>
      <c r="CI37" s="435">
        <f t="shared" si="15"/>
        <v>0</v>
      </c>
      <c r="CK37" s="3" t="str">
        <f>_xlfn.LET(_xlpm.x,INDEX(tbl_Mat_def[],MATCH(BF37,ls_Mat_def,0),2),IFERROR(IF(_xlpm.x=0,"No","Yes"),"No"))</f>
        <v>No</v>
      </c>
      <c r="CM37" s="60" t="str">
        <f t="shared" si="16"/>
        <v/>
      </c>
      <c r="CN37" s="60" t="s">
        <v>235</v>
      </c>
      <c r="CO37" s="432" t="str" cm="1">
        <f t="array" ref="CO37">IFERROR(INDEX(tblGWP[],MATCH(1,(tblGWP[Dataset ID]=BU37)*(tblGWP[Material Subcategory]=CM37),0),MATCH(CN37,ls_WHM,0)+4),"confirm")</f>
        <v>confirm</v>
      </c>
      <c r="CP37" s="436" t="str">
        <f t="shared" si="17"/>
        <v/>
      </c>
      <c r="DD37" s="388">
        <f t="shared" si="27"/>
        <v>0</v>
      </c>
      <c r="DE37" s="22">
        <f t="shared" si="18"/>
        <v>19</v>
      </c>
      <c r="DF37" s="387">
        <f t="shared" si="28"/>
        <v>0</v>
      </c>
      <c r="DG37" s="387">
        <f t="shared" si="29"/>
        <v>0</v>
      </c>
      <c r="DH37" s="22">
        <f t="shared" ca="1" si="19"/>
        <v>0</v>
      </c>
      <c r="DI37">
        <f t="shared" ca="1" si="20"/>
        <v>0</v>
      </c>
    </row>
    <row r="38" spans="1:113" ht="30" customHeight="1">
      <c r="A38" s="22" t="str">
        <f t="shared" si="21"/>
        <v/>
      </c>
      <c r="B38" s="199"/>
      <c r="C38" s="459"/>
      <c r="D38" s="199"/>
      <c r="E38" s="405"/>
      <c r="F38" s="405"/>
      <c r="G38" s="406"/>
      <c r="H38" s="377"/>
      <c r="I38" s="377"/>
      <c r="J38" s="377"/>
      <c r="K38" s="377"/>
      <c r="L38" s="377"/>
      <c r="M38" s="377"/>
      <c r="N38" s="377"/>
      <c r="O38" s="377"/>
      <c r="P38" s="377"/>
      <c r="Q38" s="377"/>
      <c r="R38" s="377"/>
      <c r="S38" s="377"/>
      <c r="T38" s="458">
        <f t="shared" si="30"/>
        <v>0</v>
      </c>
      <c r="U38" s="200"/>
      <c r="W38" s="442"/>
      <c r="X38" s="443"/>
      <c r="BC38" s="3">
        <f t="shared" si="22"/>
        <v>0</v>
      </c>
      <c r="BD38" s="3">
        <f t="shared" si="23"/>
        <v>0</v>
      </c>
      <c r="BE38" s="432" t="str">
        <f t="shared" si="24"/>
        <v/>
      </c>
      <c r="BF38" s="432" t="str">
        <f t="shared" si="25"/>
        <v/>
      </c>
      <c r="BG38" s="432" t="str">
        <f t="shared" si="26"/>
        <v/>
      </c>
      <c r="BH38" s="434" t="str">
        <f>_xlfn.LET(_xlpm.x,H38,IF(OR(LEN(_xlpm.x)&lt;1,_xlpm.x=0),"",CONVERT(_xlpm.x,'Diversion and Disposal'!$BH$7,"kg")))</f>
        <v/>
      </c>
      <c r="BI38" s="434" t="str">
        <f>_xlfn.LET(_xlpm.x,I38,IF(OR(LEN(_xlpm.x)&lt;1,_xlpm.x=0),"",CONVERT(_xlpm.x,'Diversion and Disposal'!$BH$7,"kg")))</f>
        <v/>
      </c>
      <c r="BJ38" s="434" t="str">
        <f>_xlfn.LET(_xlpm.x,J38,IF(OR(LEN(_xlpm.x)&lt;1,_xlpm.x=0),"",CONVERT(_xlpm.x,'Diversion and Disposal'!$BH$7,"kg")))</f>
        <v/>
      </c>
      <c r="BK38" s="434" t="str">
        <f>_xlfn.LET(_xlpm.x,K38,IF(OR(LEN(_xlpm.x)&lt;1,_xlpm.x=0),"",CONVERT(_xlpm.x,'Diversion and Disposal'!$BH$7,"kg")))</f>
        <v/>
      </c>
      <c r="BL38" s="434" t="str">
        <f>_xlfn.LET(_xlpm.x,L38,IF(OR(LEN(_xlpm.x)&lt;1,_xlpm.x=0),"",CONVERT(_xlpm.x,'Diversion and Disposal'!$BH$7,"kg")))</f>
        <v/>
      </c>
      <c r="BM38" s="434" t="str">
        <f>_xlfn.LET(_xlpm.x,M38,IF(OR(LEN(_xlpm.x)&lt;1,_xlpm.x=0),"",CONVERT(_xlpm.x,'Diversion and Disposal'!$BH$7,"kg")))</f>
        <v/>
      </c>
      <c r="BN38" s="434" t="str">
        <f>_xlfn.LET(_xlpm.x,N38,IF(OR(LEN(_xlpm.x)&lt;1,_xlpm.x=0),"",CONVERT(_xlpm.x,'Diversion and Disposal'!$BH$7,"kg")))</f>
        <v/>
      </c>
      <c r="BO38" s="434" t="str">
        <f>_xlfn.LET(_xlpm.x,O38,IF(OR(LEN(_xlpm.x)&lt;1,_xlpm.x=0),"",CONVERT(_xlpm.x,'Diversion and Disposal'!$BH$7,"kg")))</f>
        <v/>
      </c>
      <c r="BP38" s="434" t="str">
        <f>_xlfn.LET(_xlpm.x,P38,IF(OR(LEN(_xlpm.x)&lt;1,_xlpm.x=0),"",CONVERT(_xlpm.x,'Diversion and Disposal'!$BH$7,"kg")))</f>
        <v/>
      </c>
      <c r="BQ38" s="434" t="str">
        <f>_xlfn.LET(_xlpm.x,Q38,IF(OR(LEN(_xlpm.x)&lt;1,_xlpm.x=0),"",CONVERT(_xlpm.x,'Diversion and Disposal'!$BH$7,"kg")))</f>
        <v/>
      </c>
      <c r="BR38" s="434" t="str">
        <f>_xlfn.LET(_xlpm.x,R38,IF(OR(LEN(_xlpm.x)&lt;1,_xlpm.x=0),"",CONVERT(_xlpm.x,'Diversion and Disposal'!$BH$7,"kg")))</f>
        <v/>
      </c>
      <c r="BS38" s="434" t="str">
        <f>_xlfn.LET(_xlpm.x,S38,IF(OR(LEN(_xlpm.x)&lt;1,_xlpm.x=0),"",CONVERT(_xlpm.x,'Diversion and Disposal'!$BH$7,"kg")))</f>
        <v/>
      </c>
      <c r="BT38" s="435">
        <f t="shared" si="2"/>
        <v>0</v>
      </c>
      <c r="BU38" s="433" t="str">
        <f>_xlfn.LET(_xlpm.x,BF38,IF(LEN(_xlpm.x)&lt;1,"",IF(ISNUMBER(MATCH(_xlpm.x,ls_Mat_def,0)),'Project Inputs'!$BF$14,99)))</f>
        <v/>
      </c>
      <c r="BV38" s="432" t="str" cm="1">
        <f t="array" ref="BV38">IFERROR(INDEX(tblGWP[],MATCH(1,(tblGWP[Dataset ID]=BU38)*(tblGWP[Material Subcategory]=BF38),0),MATCH(BG38,ls_WHM,0)+5),"confirm")</f>
        <v>confirm</v>
      </c>
      <c r="BW38" s="434" t="str">
        <f t="shared" si="3"/>
        <v>No data</v>
      </c>
      <c r="BX38" s="434" t="str">
        <f t="shared" si="4"/>
        <v>No data</v>
      </c>
      <c r="BY38" s="434" t="str">
        <f t="shared" si="5"/>
        <v>No data</v>
      </c>
      <c r="BZ38" s="434" t="str">
        <f t="shared" si="6"/>
        <v>No data</v>
      </c>
      <c r="CA38" s="434" t="str">
        <f t="shared" si="7"/>
        <v>No data</v>
      </c>
      <c r="CB38" s="434" t="str">
        <f t="shared" si="8"/>
        <v>No data</v>
      </c>
      <c r="CC38" s="434" t="str">
        <f t="shared" si="9"/>
        <v>No data</v>
      </c>
      <c r="CD38" s="434" t="str">
        <f t="shared" si="10"/>
        <v>No data</v>
      </c>
      <c r="CE38" s="434" t="str">
        <f t="shared" si="11"/>
        <v>No data</v>
      </c>
      <c r="CF38" s="434" t="str">
        <f t="shared" si="12"/>
        <v>No data</v>
      </c>
      <c r="CG38" s="434" t="str">
        <f t="shared" si="13"/>
        <v>No data</v>
      </c>
      <c r="CH38" s="434" t="str">
        <f t="shared" si="14"/>
        <v>No data</v>
      </c>
      <c r="CI38" s="435">
        <f t="shared" si="15"/>
        <v>0</v>
      </c>
      <c r="CK38" s="3" t="str">
        <f>_xlfn.LET(_xlpm.x,INDEX(tbl_Mat_def[],MATCH(BF38,ls_Mat_def,0),2),IFERROR(IF(_xlpm.x=0,"No","Yes"),"No"))</f>
        <v>No</v>
      </c>
      <c r="CM38" s="60" t="str">
        <f t="shared" si="16"/>
        <v/>
      </c>
      <c r="CN38" s="60" t="s">
        <v>235</v>
      </c>
      <c r="CO38" s="432" t="str" cm="1">
        <f t="array" ref="CO38">IFERROR(INDEX(tblGWP[],MATCH(1,(tblGWP[Dataset ID]=BU38)*(tblGWP[Material Subcategory]=CM38),0),MATCH(CN38,ls_WHM,0)+4),"confirm")</f>
        <v>confirm</v>
      </c>
      <c r="CP38" s="436" t="str">
        <f t="shared" si="17"/>
        <v/>
      </c>
      <c r="DD38" s="388">
        <f t="shared" si="27"/>
        <v>0</v>
      </c>
      <c r="DE38" s="22">
        <f t="shared" si="18"/>
        <v>19</v>
      </c>
      <c r="DF38" s="387">
        <f t="shared" si="28"/>
        <v>0</v>
      </c>
      <c r="DG38" s="387">
        <f t="shared" si="29"/>
        <v>0</v>
      </c>
      <c r="DH38" s="22">
        <f t="shared" ca="1" si="19"/>
        <v>0</v>
      </c>
      <c r="DI38">
        <f t="shared" ca="1" si="20"/>
        <v>0</v>
      </c>
    </row>
    <row r="39" spans="1:113" ht="30" customHeight="1">
      <c r="A39" s="22" t="str">
        <f t="shared" si="21"/>
        <v/>
      </c>
      <c r="B39" s="199"/>
      <c r="C39" s="459"/>
      <c r="D39" s="199"/>
      <c r="E39" s="405"/>
      <c r="F39" s="405"/>
      <c r="G39" s="406"/>
      <c r="H39" s="377"/>
      <c r="I39" s="377"/>
      <c r="J39" s="377"/>
      <c r="K39" s="377"/>
      <c r="L39" s="377"/>
      <c r="M39" s="377"/>
      <c r="N39" s="377"/>
      <c r="O39" s="377"/>
      <c r="P39" s="377"/>
      <c r="Q39" s="377"/>
      <c r="R39" s="377"/>
      <c r="S39" s="377"/>
      <c r="T39" s="458">
        <f t="shared" si="30"/>
        <v>0</v>
      </c>
      <c r="U39" s="200"/>
      <c r="W39" s="442"/>
      <c r="X39" s="443"/>
      <c r="BC39" s="3">
        <f t="shared" si="22"/>
        <v>0</v>
      </c>
      <c r="BD39" s="3">
        <f t="shared" si="23"/>
        <v>0</v>
      </c>
      <c r="BE39" s="432" t="str">
        <f t="shared" si="24"/>
        <v/>
      </c>
      <c r="BF39" s="432" t="str">
        <f t="shared" si="25"/>
        <v/>
      </c>
      <c r="BG39" s="432" t="str">
        <f t="shared" si="26"/>
        <v/>
      </c>
      <c r="BH39" s="434" t="str">
        <f>_xlfn.LET(_xlpm.x,H39,IF(OR(LEN(_xlpm.x)&lt;1,_xlpm.x=0),"",CONVERT(_xlpm.x,'Diversion and Disposal'!$BH$7,"kg")))</f>
        <v/>
      </c>
      <c r="BI39" s="434" t="str">
        <f>_xlfn.LET(_xlpm.x,I39,IF(OR(LEN(_xlpm.x)&lt;1,_xlpm.x=0),"",CONVERT(_xlpm.x,'Diversion and Disposal'!$BH$7,"kg")))</f>
        <v/>
      </c>
      <c r="BJ39" s="434" t="str">
        <f>_xlfn.LET(_xlpm.x,J39,IF(OR(LEN(_xlpm.x)&lt;1,_xlpm.x=0),"",CONVERT(_xlpm.x,'Diversion and Disposal'!$BH$7,"kg")))</f>
        <v/>
      </c>
      <c r="BK39" s="434" t="str">
        <f>_xlfn.LET(_xlpm.x,K39,IF(OR(LEN(_xlpm.x)&lt;1,_xlpm.x=0),"",CONVERT(_xlpm.x,'Diversion and Disposal'!$BH$7,"kg")))</f>
        <v/>
      </c>
      <c r="BL39" s="434" t="str">
        <f>_xlfn.LET(_xlpm.x,L39,IF(OR(LEN(_xlpm.x)&lt;1,_xlpm.x=0),"",CONVERT(_xlpm.x,'Diversion and Disposal'!$BH$7,"kg")))</f>
        <v/>
      </c>
      <c r="BM39" s="434" t="str">
        <f>_xlfn.LET(_xlpm.x,M39,IF(OR(LEN(_xlpm.x)&lt;1,_xlpm.x=0),"",CONVERT(_xlpm.x,'Diversion and Disposal'!$BH$7,"kg")))</f>
        <v/>
      </c>
      <c r="BN39" s="434" t="str">
        <f>_xlfn.LET(_xlpm.x,N39,IF(OR(LEN(_xlpm.x)&lt;1,_xlpm.x=0),"",CONVERT(_xlpm.x,'Diversion and Disposal'!$BH$7,"kg")))</f>
        <v/>
      </c>
      <c r="BO39" s="434" t="str">
        <f>_xlfn.LET(_xlpm.x,O39,IF(OR(LEN(_xlpm.x)&lt;1,_xlpm.x=0),"",CONVERT(_xlpm.x,'Diversion and Disposal'!$BH$7,"kg")))</f>
        <v/>
      </c>
      <c r="BP39" s="434" t="str">
        <f>_xlfn.LET(_xlpm.x,P39,IF(OR(LEN(_xlpm.x)&lt;1,_xlpm.x=0),"",CONVERT(_xlpm.x,'Diversion and Disposal'!$BH$7,"kg")))</f>
        <v/>
      </c>
      <c r="BQ39" s="434" t="str">
        <f>_xlfn.LET(_xlpm.x,Q39,IF(OR(LEN(_xlpm.x)&lt;1,_xlpm.x=0),"",CONVERT(_xlpm.x,'Diversion and Disposal'!$BH$7,"kg")))</f>
        <v/>
      </c>
      <c r="BR39" s="434" t="str">
        <f>_xlfn.LET(_xlpm.x,R39,IF(OR(LEN(_xlpm.x)&lt;1,_xlpm.x=0),"",CONVERT(_xlpm.x,'Diversion and Disposal'!$BH$7,"kg")))</f>
        <v/>
      </c>
      <c r="BS39" s="434" t="str">
        <f>_xlfn.LET(_xlpm.x,S39,IF(OR(LEN(_xlpm.x)&lt;1,_xlpm.x=0),"",CONVERT(_xlpm.x,'Diversion and Disposal'!$BH$7,"kg")))</f>
        <v/>
      </c>
      <c r="BT39" s="435">
        <f t="shared" si="2"/>
        <v>0</v>
      </c>
      <c r="BU39" s="433" t="str">
        <f>_xlfn.LET(_xlpm.x,BF39,IF(LEN(_xlpm.x)&lt;1,"",IF(ISNUMBER(MATCH(_xlpm.x,ls_Mat_def,0)),'Project Inputs'!$BF$14,99)))</f>
        <v/>
      </c>
      <c r="BV39" s="432" t="str" cm="1">
        <f t="array" ref="BV39">IFERROR(INDEX(tblGWP[],MATCH(1,(tblGWP[Dataset ID]=BU39)*(tblGWP[Material Subcategory]=BF39),0),MATCH(BG39,ls_WHM,0)+5),"confirm")</f>
        <v>confirm</v>
      </c>
      <c r="BW39" s="434" t="str">
        <f t="shared" si="3"/>
        <v>No data</v>
      </c>
      <c r="BX39" s="434" t="str">
        <f t="shared" si="4"/>
        <v>No data</v>
      </c>
      <c r="BY39" s="434" t="str">
        <f t="shared" si="5"/>
        <v>No data</v>
      </c>
      <c r="BZ39" s="434" t="str">
        <f t="shared" si="6"/>
        <v>No data</v>
      </c>
      <c r="CA39" s="434" t="str">
        <f t="shared" si="7"/>
        <v>No data</v>
      </c>
      <c r="CB39" s="434" t="str">
        <f t="shared" si="8"/>
        <v>No data</v>
      </c>
      <c r="CC39" s="434" t="str">
        <f t="shared" si="9"/>
        <v>No data</v>
      </c>
      <c r="CD39" s="434" t="str">
        <f t="shared" si="10"/>
        <v>No data</v>
      </c>
      <c r="CE39" s="434" t="str">
        <f t="shared" si="11"/>
        <v>No data</v>
      </c>
      <c r="CF39" s="434" t="str">
        <f t="shared" si="12"/>
        <v>No data</v>
      </c>
      <c r="CG39" s="434" t="str">
        <f t="shared" si="13"/>
        <v>No data</v>
      </c>
      <c r="CH39" s="434" t="str">
        <f t="shared" si="14"/>
        <v>No data</v>
      </c>
      <c r="CI39" s="435">
        <f t="shared" si="15"/>
        <v>0</v>
      </c>
      <c r="CK39" s="3" t="str">
        <f>_xlfn.LET(_xlpm.x,INDEX(tbl_Mat_def[],MATCH(BF39,ls_Mat_def,0),2),IFERROR(IF(_xlpm.x=0,"No","Yes"),"No"))</f>
        <v>No</v>
      </c>
      <c r="CM39" s="60" t="str">
        <f t="shared" si="16"/>
        <v/>
      </c>
      <c r="CN39" s="60" t="s">
        <v>235</v>
      </c>
      <c r="CO39" s="432" t="str" cm="1">
        <f t="array" ref="CO39">IFERROR(INDEX(tblGWP[],MATCH(1,(tblGWP[Dataset ID]=BU39)*(tblGWP[Material Subcategory]=CM39),0),MATCH(CN39,ls_WHM,0)+4),"confirm")</f>
        <v>confirm</v>
      </c>
      <c r="CP39" s="436" t="str">
        <f t="shared" si="17"/>
        <v/>
      </c>
      <c r="DD39" s="388">
        <f t="shared" si="27"/>
        <v>0</v>
      </c>
      <c r="DE39" s="22">
        <f t="shared" si="18"/>
        <v>19</v>
      </c>
      <c r="DF39" s="387">
        <f t="shared" si="28"/>
        <v>0</v>
      </c>
      <c r="DG39" s="387">
        <f t="shared" si="29"/>
        <v>0</v>
      </c>
      <c r="DH39" s="22">
        <f t="shared" ca="1" si="19"/>
        <v>0</v>
      </c>
      <c r="DI39">
        <f t="shared" ca="1" si="20"/>
        <v>0</v>
      </c>
    </row>
    <row r="40" spans="1:113" ht="30" customHeight="1">
      <c r="A40" s="22" t="str">
        <f t="shared" si="21"/>
        <v/>
      </c>
      <c r="B40" s="199"/>
      <c r="C40" s="459"/>
      <c r="D40" s="199"/>
      <c r="E40" s="405"/>
      <c r="F40" s="405"/>
      <c r="G40" s="406"/>
      <c r="H40" s="377"/>
      <c r="I40" s="377"/>
      <c r="J40" s="377"/>
      <c r="K40" s="377"/>
      <c r="L40" s="377"/>
      <c r="M40" s="377"/>
      <c r="N40" s="377"/>
      <c r="O40" s="377"/>
      <c r="P40" s="377"/>
      <c r="Q40" s="377"/>
      <c r="R40" s="377"/>
      <c r="S40" s="377"/>
      <c r="T40" s="458">
        <f t="shared" si="30"/>
        <v>0</v>
      </c>
      <c r="U40" s="200"/>
      <c r="W40" s="442"/>
      <c r="X40" s="443"/>
      <c r="BC40" s="3">
        <f t="shared" si="22"/>
        <v>0</v>
      </c>
      <c r="BD40" s="3">
        <f t="shared" si="23"/>
        <v>0</v>
      </c>
      <c r="BE40" s="432" t="str">
        <f t="shared" si="24"/>
        <v/>
      </c>
      <c r="BF40" s="432" t="str">
        <f t="shared" si="25"/>
        <v/>
      </c>
      <c r="BG40" s="432" t="str">
        <f t="shared" si="26"/>
        <v/>
      </c>
      <c r="BH40" s="434" t="str">
        <f>_xlfn.LET(_xlpm.x,H40,IF(OR(LEN(_xlpm.x)&lt;1,_xlpm.x=0),"",CONVERT(_xlpm.x,'Diversion and Disposal'!$BH$7,"kg")))</f>
        <v/>
      </c>
      <c r="BI40" s="434" t="str">
        <f>_xlfn.LET(_xlpm.x,I40,IF(OR(LEN(_xlpm.x)&lt;1,_xlpm.x=0),"",CONVERT(_xlpm.x,'Diversion and Disposal'!$BH$7,"kg")))</f>
        <v/>
      </c>
      <c r="BJ40" s="434" t="str">
        <f>_xlfn.LET(_xlpm.x,J40,IF(OR(LEN(_xlpm.x)&lt;1,_xlpm.x=0),"",CONVERT(_xlpm.x,'Diversion and Disposal'!$BH$7,"kg")))</f>
        <v/>
      </c>
      <c r="BK40" s="434" t="str">
        <f>_xlfn.LET(_xlpm.x,K40,IF(OR(LEN(_xlpm.x)&lt;1,_xlpm.x=0),"",CONVERT(_xlpm.x,'Diversion and Disposal'!$BH$7,"kg")))</f>
        <v/>
      </c>
      <c r="BL40" s="434" t="str">
        <f>_xlfn.LET(_xlpm.x,L40,IF(OR(LEN(_xlpm.x)&lt;1,_xlpm.x=0),"",CONVERT(_xlpm.x,'Diversion and Disposal'!$BH$7,"kg")))</f>
        <v/>
      </c>
      <c r="BM40" s="434" t="str">
        <f>_xlfn.LET(_xlpm.x,M40,IF(OR(LEN(_xlpm.x)&lt;1,_xlpm.x=0),"",CONVERT(_xlpm.x,'Diversion and Disposal'!$BH$7,"kg")))</f>
        <v/>
      </c>
      <c r="BN40" s="434" t="str">
        <f>_xlfn.LET(_xlpm.x,N40,IF(OR(LEN(_xlpm.x)&lt;1,_xlpm.x=0),"",CONVERT(_xlpm.x,'Diversion and Disposal'!$BH$7,"kg")))</f>
        <v/>
      </c>
      <c r="BO40" s="434" t="str">
        <f>_xlfn.LET(_xlpm.x,O40,IF(OR(LEN(_xlpm.x)&lt;1,_xlpm.x=0),"",CONVERT(_xlpm.x,'Diversion and Disposal'!$BH$7,"kg")))</f>
        <v/>
      </c>
      <c r="BP40" s="434" t="str">
        <f>_xlfn.LET(_xlpm.x,P40,IF(OR(LEN(_xlpm.x)&lt;1,_xlpm.x=0),"",CONVERT(_xlpm.x,'Diversion and Disposal'!$BH$7,"kg")))</f>
        <v/>
      </c>
      <c r="BQ40" s="434" t="str">
        <f>_xlfn.LET(_xlpm.x,Q40,IF(OR(LEN(_xlpm.x)&lt;1,_xlpm.x=0),"",CONVERT(_xlpm.x,'Diversion and Disposal'!$BH$7,"kg")))</f>
        <v/>
      </c>
      <c r="BR40" s="434" t="str">
        <f>_xlfn.LET(_xlpm.x,R40,IF(OR(LEN(_xlpm.x)&lt;1,_xlpm.x=0),"",CONVERT(_xlpm.x,'Diversion and Disposal'!$BH$7,"kg")))</f>
        <v/>
      </c>
      <c r="BS40" s="434" t="str">
        <f>_xlfn.LET(_xlpm.x,S40,IF(OR(LEN(_xlpm.x)&lt;1,_xlpm.x=0),"",CONVERT(_xlpm.x,'Diversion and Disposal'!$BH$7,"kg")))</f>
        <v/>
      </c>
      <c r="BT40" s="435">
        <f t="shared" si="2"/>
        <v>0</v>
      </c>
      <c r="BU40" s="433" t="str">
        <f>_xlfn.LET(_xlpm.x,BF40,IF(LEN(_xlpm.x)&lt;1,"",IF(ISNUMBER(MATCH(_xlpm.x,ls_Mat_def,0)),'Project Inputs'!$BF$14,99)))</f>
        <v/>
      </c>
      <c r="BV40" s="432" t="str" cm="1">
        <f t="array" ref="BV40">IFERROR(INDEX(tblGWP[],MATCH(1,(tblGWP[Dataset ID]=BU40)*(tblGWP[Material Subcategory]=BF40),0),MATCH(BG40,ls_WHM,0)+5),"confirm")</f>
        <v>confirm</v>
      </c>
      <c r="BW40" s="434" t="str">
        <f t="shared" si="3"/>
        <v>No data</v>
      </c>
      <c r="BX40" s="434" t="str">
        <f t="shared" si="4"/>
        <v>No data</v>
      </c>
      <c r="BY40" s="434" t="str">
        <f t="shared" si="5"/>
        <v>No data</v>
      </c>
      <c r="BZ40" s="434" t="str">
        <f t="shared" si="6"/>
        <v>No data</v>
      </c>
      <c r="CA40" s="434" t="str">
        <f t="shared" si="7"/>
        <v>No data</v>
      </c>
      <c r="CB40" s="434" t="str">
        <f t="shared" si="8"/>
        <v>No data</v>
      </c>
      <c r="CC40" s="434" t="str">
        <f t="shared" si="9"/>
        <v>No data</v>
      </c>
      <c r="CD40" s="434" t="str">
        <f t="shared" si="10"/>
        <v>No data</v>
      </c>
      <c r="CE40" s="434" t="str">
        <f t="shared" si="11"/>
        <v>No data</v>
      </c>
      <c r="CF40" s="434" t="str">
        <f t="shared" si="12"/>
        <v>No data</v>
      </c>
      <c r="CG40" s="434" t="str">
        <f t="shared" si="13"/>
        <v>No data</v>
      </c>
      <c r="CH40" s="434" t="str">
        <f t="shared" si="14"/>
        <v>No data</v>
      </c>
      <c r="CI40" s="435">
        <f t="shared" si="15"/>
        <v>0</v>
      </c>
      <c r="CK40" s="3" t="str">
        <f>_xlfn.LET(_xlpm.x,INDEX(tbl_Mat_def[],MATCH(BF40,ls_Mat_def,0),2),IFERROR(IF(_xlpm.x=0,"No","Yes"),"No"))</f>
        <v>No</v>
      </c>
      <c r="CM40" s="60" t="str">
        <f t="shared" si="16"/>
        <v/>
      </c>
      <c r="CN40" s="60" t="s">
        <v>235</v>
      </c>
      <c r="CO40" s="432" t="str" cm="1">
        <f t="array" ref="CO40">IFERROR(INDEX(tblGWP[],MATCH(1,(tblGWP[Dataset ID]=BU40)*(tblGWP[Material Subcategory]=CM40),0),MATCH(CN40,ls_WHM,0)+4),"confirm")</f>
        <v>confirm</v>
      </c>
      <c r="CP40" s="436" t="str">
        <f t="shared" si="17"/>
        <v/>
      </c>
      <c r="DD40" s="388">
        <f t="shared" si="27"/>
        <v>0</v>
      </c>
      <c r="DE40" s="22">
        <f t="shared" si="18"/>
        <v>19</v>
      </c>
      <c r="DF40" s="387">
        <f t="shared" si="28"/>
        <v>0</v>
      </c>
      <c r="DG40" s="387">
        <f t="shared" si="29"/>
        <v>0</v>
      </c>
      <c r="DH40" s="22">
        <f t="shared" ca="1" si="19"/>
        <v>0</v>
      </c>
      <c r="DI40">
        <f t="shared" ca="1" si="20"/>
        <v>0</v>
      </c>
    </row>
    <row r="41" spans="1:113" ht="30" customHeight="1">
      <c r="A41" s="22" t="str">
        <f t="shared" si="21"/>
        <v/>
      </c>
      <c r="B41" s="199"/>
      <c r="C41" s="459"/>
      <c r="D41" s="199"/>
      <c r="E41" s="405"/>
      <c r="F41" s="405"/>
      <c r="G41" s="406"/>
      <c r="H41" s="377"/>
      <c r="I41" s="377"/>
      <c r="J41" s="377"/>
      <c r="K41" s="377"/>
      <c r="L41" s="377"/>
      <c r="M41" s="377"/>
      <c r="N41" s="377"/>
      <c r="O41" s="377"/>
      <c r="P41" s="377"/>
      <c r="Q41" s="377"/>
      <c r="R41" s="377"/>
      <c r="S41" s="377"/>
      <c r="T41" s="458">
        <f t="shared" si="30"/>
        <v>0</v>
      </c>
      <c r="U41" s="200"/>
      <c r="W41" s="442"/>
      <c r="X41" s="443"/>
      <c r="BC41" s="3">
        <f t="shared" si="22"/>
        <v>0</v>
      </c>
      <c r="BD41" s="3">
        <f t="shared" si="23"/>
        <v>0</v>
      </c>
      <c r="BE41" s="432" t="str">
        <f t="shared" si="24"/>
        <v/>
      </c>
      <c r="BF41" s="432" t="str">
        <f t="shared" si="25"/>
        <v/>
      </c>
      <c r="BG41" s="432" t="str">
        <f t="shared" si="26"/>
        <v/>
      </c>
      <c r="BH41" s="434" t="str">
        <f>_xlfn.LET(_xlpm.x,H41,IF(OR(LEN(_xlpm.x)&lt;1,_xlpm.x=0),"",CONVERT(_xlpm.x,'Diversion and Disposal'!$BH$7,"kg")))</f>
        <v/>
      </c>
      <c r="BI41" s="434" t="str">
        <f>_xlfn.LET(_xlpm.x,I41,IF(OR(LEN(_xlpm.x)&lt;1,_xlpm.x=0),"",CONVERT(_xlpm.x,'Diversion and Disposal'!$BH$7,"kg")))</f>
        <v/>
      </c>
      <c r="BJ41" s="434" t="str">
        <f>_xlfn.LET(_xlpm.x,J41,IF(OR(LEN(_xlpm.x)&lt;1,_xlpm.x=0),"",CONVERT(_xlpm.x,'Diversion and Disposal'!$BH$7,"kg")))</f>
        <v/>
      </c>
      <c r="BK41" s="434" t="str">
        <f>_xlfn.LET(_xlpm.x,K41,IF(OR(LEN(_xlpm.x)&lt;1,_xlpm.x=0),"",CONVERT(_xlpm.x,'Diversion and Disposal'!$BH$7,"kg")))</f>
        <v/>
      </c>
      <c r="BL41" s="434" t="str">
        <f>_xlfn.LET(_xlpm.x,L41,IF(OR(LEN(_xlpm.x)&lt;1,_xlpm.x=0),"",CONVERT(_xlpm.x,'Diversion and Disposal'!$BH$7,"kg")))</f>
        <v/>
      </c>
      <c r="BM41" s="434" t="str">
        <f>_xlfn.LET(_xlpm.x,M41,IF(OR(LEN(_xlpm.x)&lt;1,_xlpm.x=0),"",CONVERT(_xlpm.x,'Diversion and Disposal'!$BH$7,"kg")))</f>
        <v/>
      </c>
      <c r="BN41" s="434" t="str">
        <f>_xlfn.LET(_xlpm.x,N41,IF(OR(LEN(_xlpm.x)&lt;1,_xlpm.x=0),"",CONVERT(_xlpm.x,'Diversion and Disposal'!$BH$7,"kg")))</f>
        <v/>
      </c>
      <c r="BO41" s="434" t="str">
        <f>_xlfn.LET(_xlpm.x,O41,IF(OR(LEN(_xlpm.x)&lt;1,_xlpm.x=0),"",CONVERT(_xlpm.x,'Diversion and Disposal'!$BH$7,"kg")))</f>
        <v/>
      </c>
      <c r="BP41" s="434" t="str">
        <f>_xlfn.LET(_xlpm.x,P41,IF(OR(LEN(_xlpm.x)&lt;1,_xlpm.x=0),"",CONVERT(_xlpm.x,'Diversion and Disposal'!$BH$7,"kg")))</f>
        <v/>
      </c>
      <c r="BQ41" s="434" t="str">
        <f>_xlfn.LET(_xlpm.x,Q41,IF(OR(LEN(_xlpm.x)&lt;1,_xlpm.x=0),"",CONVERT(_xlpm.x,'Diversion and Disposal'!$BH$7,"kg")))</f>
        <v/>
      </c>
      <c r="BR41" s="434" t="str">
        <f>_xlfn.LET(_xlpm.x,R41,IF(OR(LEN(_xlpm.x)&lt;1,_xlpm.x=0),"",CONVERT(_xlpm.x,'Diversion and Disposal'!$BH$7,"kg")))</f>
        <v/>
      </c>
      <c r="BS41" s="434" t="str">
        <f>_xlfn.LET(_xlpm.x,S41,IF(OR(LEN(_xlpm.x)&lt;1,_xlpm.x=0),"",CONVERT(_xlpm.x,'Diversion and Disposal'!$BH$7,"kg")))</f>
        <v/>
      </c>
      <c r="BT41" s="435">
        <f t="shared" si="2"/>
        <v>0</v>
      </c>
      <c r="BU41" s="433" t="str">
        <f>_xlfn.LET(_xlpm.x,BF41,IF(LEN(_xlpm.x)&lt;1,"",IF(ISNUMBER(MATCH(_xlpm.x,ls_Mat_def,0)),'Project Inputs'!$BF$14,99)))</f>
        <v/>
      </c>
      <c r="BV41" s="432" t="str" cm="1">
        <f t="array" ref="BV41">IFERROR(INDEX(tblGWP[],MATCH(1,(tblGWP[Dataset ID]=BU41)*(tblGWP[Material Subcategory]=BF41),0),MATCH(BG41,ls_WHM,0)+5),"confirm")</f>
        <v>confirm</v>
      </c>
      <c r="BW41" s="434" t="str">
        <f t="shared" si="3"/>
        <v>No data</v>
      </c>
      <c r="BX41" s="434" t="str">
        <f t="shared" si="4"/>
        <v>No data</v>
      </c>
      <c r="BY41" s="434" t="str">
        <f t="shared" si="5"/>
        <v>No data</v>
      </c>
      <c r="BZ41" s="434" t="str">
        <f t="shared" si="6"/>
        <v>No data</v>
      </c>
      <c r="CA41" s="434" t="str">
        <f t="shared" si="7"/>
        <v>No data</v>
      </c>
      <c r="CB41" s="434" t="str">
        <f t="shared" si="8"/>
        <v>No data</v>
      </c>
      <c r="CC41" s="434" t="str">
        <f t="shared" si="9"/>
        <v>No data</v>
      </c>
      <c r="CD41" s="434" t="str">
        <f t="shared" si="10"/>
        <v>No data</v>
      </c>
      <c r="CE41" s="434" t="str">
        <f t="shared" si="11"/>
        <v>No data</v>
      </c>
      <c r="CF41" s="434" t="str">
        <f t="shared" si="12"/>
        <v>No data</v>
      </c>
      <c r="CG41" s="434" t="str">
        <f t="shared" si="13"/>
        <v>No data</v>
      </c>
      <c r="CH41" s="434" t="str">
        <f t="shared" si="14"/>
        <v>No data</v>
      </c>
      <c r="CI41" s="435">
        <f t="shared" si="15"/>
        <v>0</v>
      </c>
      <c r="CK41" s="3" t="str">
        <f>_xlfn.LET(_xlpm.x,INDEX(tbl_Mat_def[],MATCH(BF41,ls_Mat_def,0),2),IFERROR(IF(_xlpm.x=0,"No","Yes"),"No"))</f>
        <v>No</v>
      </c>
      <c r="CM41" s="60" t="str">
        <f t="shared" si="16"/>
        <v/>
      </c>
      <c r="CN41" s="60" t="s">
        <v>235</v>
      </c>
      <c r="CO41" s="432" t="str" cm="1">
        <f t="array" ref="CO41">IFERROR(INDEX(tblGWP[],MATCH(1,(tblGWP[Dataset ID]=BU41)*(tblGWP[Material Subcategory]=CM41),0),MATCH(CN41,ls_WHM,0)+4),"confirm")</f>
        <v>confirm</v>
      </c>
      <c r="CP41" s="436" t="str">
        <f t="shared" si="17"/>
        <v/>
      </c>
      <c r="DD41" s="388">
        <f t="shared" si="27"/>
        <v>0</v>
      </c>
      <c r="DE41" s="22">
        <f t="shared" si="18"/>
        <v>19</v>
      </c>
      <c r="DF41" s="387">
        <f t="shared" si="28"/>
        <v>0</v>
      </c>
      <c r="DG41" s="387">
        <f t="shared" si="29"/>
        <v>0</v>
      </c>
      <c r="DH41" s="22">
        <f t="shared" ca="1" si="19"/>
        <v>0</v>
      </c>
      <c r="DI41">
        <f t="shared" ca="1" si="20"/>
        <v>0</v>
      </c>
    </row>
    <row r="42" spans="1:113" ht="30" hidden="1" customHeight="1" outlineLevel="1">
      <c r="A42" s="22" t="str">
        <f t="shared" si="21"/>
        <v/>
      </c>
      <c r="B42" s="199"/>
      <c r="C42" s="459"/>
      <c r="D42" s="199"/>
      <c r="E42" s="405"/>
      <c r="F42" s="405"/>
      <c r="G42" s="406"/>
      <c r="H42" s="377"/>
      <c r="I42" s="377"/>
      <c r="J42" s="377"/>
      <c r="K42" s="377"/>
      <c r="L42" s="377"/>
      <c r="M42" s="377"/>
      <c r="N42" s="377"/>
      <c r="O42" s="377"/>
      <c r="P42" s="377"/>
      <c r="Q42" s="377"/>
      <c r="R42" s="377"/>
      <c r="S42" s="377"/>
      <c r="T42" s="458">
        <f t="shared" si="30"/>
        <v>0</v>
      </c>
      <c r="U42" s="200"/>
      <c r="W42" s="442"/>
      <c r="X42" s="443"/>
      <c r="BC42" s="3">
        <f t="shared" si="22"/>
        <v>0</v>
      </c>
      <c r="BD42" s="3">
        <f t="shared" si="23"/>
        <v>0</v>
      </c>
      <c r="BE42" s="432" t="str">
        <f t="shared" si="24"/>
        <v/>
      </c>
      <c r="BF42" s="432" t="str">
        <f t="shared" si="25"/>
        <v/>
      </c>
      <c r="BG42" s="432" t="str">
        <f t="shared" si="26"/>
        <v/>
      </c>
      <c r="BH42" s="434" t="str">
        <f>_xlfn.LET(_xlpm.x,H42,IF(OR(LEN(_xlpm.x)&lt;1,_xlpm.x=0),"",CONVERT(_xlpm.x,'Diversion and Disposal'!$BH$7,"kg")))</f>
        <v/>
      </c>
      <c r="BI42" s="434" t="str">
        <f>_xlfn.LET(_xlpm.x,I42,IF(OR(LEN(_xlpm.x)&lt;1,_xlpm.x=0),"",CONVERT(_xlpm.x,'Diversion and Disposal'!$BH$7,"kg")))</f>
        <v/>
      </c>
      <c r="BJ42" s="434" t="str">
        <f>_xlfn.LET(_xlpm.x,J42,IF(OR(LEN(_xlpm.x)&lt;1,_xlpm.x=0),"",CONVERT(_xlpm.x,'Diversion and Disposal'!$BH$7,"kg")))</f>
        <v/>
      </c>
      <c r="BK42" s="434" t="str">
        <f>_xlfn.LET(_xlpm.x,K42,IF(OR(LEN(_xlpm.x)&lt;1,_xlpm.x=0),"",CONVERT(_xlpm.x,'Diversion and Disposal'!$BH$7,"kg")))</f>
        <v/>
      </c>
      <c r="BL42" s="434" t="str">
        <f>_xlfn.LET(_xlpm.x,L42,IF(OR(LEN(_xlpm.x)&lt;1,_xlpm.x=0),"",CONVERT(_xlpm.x,'Diversion and Disposal'!$BH$7,"kg")))</f>
        <v/>
      </c>
      <c r="BM42" s="434" t="str">
        <f>_xlfn.LET(_xlpm.x,M42,IF(OR(LEN(_xlpm.x)&lt;1,_xlpm.x=0),"",CONVERT(_xlpm.x,'Diversion and Disposal'!$BH$7,"kg")))</f>
        <v/>
      </c>
      <c r="BN42" s="434" t="str">
        <f>_xlfn.LET(_xlpm.x,N42,IF(OR(LEN(_xlpm.x)&lt;1,_xlpm.x=0),"",CONVERT(_xlpm.x,'Diversion and Disposal'!$BH$7,"kg")))</f>
        <v/>
      </c>
      <c r="BO42" s="434" t="str">
        <f>_xlfn.LET(_xlpm.x,O42,IF(OR(LEN(_xlpm.x)&lt;1,_xlpm.x=0),"",CONVERT(_xlpm.x,'Diversion and Disposal'!$BH$7,"kg")))</f>
        <v/>
      </c>
      <c r="BP42" s="434" t="str">
        <f>_xlfn.LET(_xlpm.x,P42,IF(OR(LEN(_xlpm.x)&lt;1,_xlpm.x=0),"",CONVERT(_xlpm.x,'Diversion and Disposal'!$BH$7,"kg")))</f>
        <v/>
      </c>
      <c r="BQ42" s="434" t="str">
        <f>_xlfn.LET(_xlpm.x,Q42,IF(OR(LEN(_xlpm.x)&lt;1,_xlpm.x=0),"",CONVERT(_xlpm.x,'Diversion and Disposal'!$BH$7,"kg")))</f>
        <v/>
      </c>
      <c r="BR42" s="434" t="str">
        <f>_xlfn.LET(_xlpm.x,R42,IF(OR(LEN(_xlpm.x)&lt;1,_xlpm.x=0),"",CONVERT(_xlpm.x,'Diversion and Disposal'!$BH$7,"kg")))</f>
        <v/>
      </c>
      <c r="BS42" s="434" t="str">
        <f>_xlfn.LET(_xlpm.x,S42,IF(OR(LEN(_xlpm.x)&lt;1,_xlpm.x=0),"",CONVERT(_xlpm.x,'Diversion and Disposal'!$BH$7,"kg")))</f>
        <v/>
      </c>
      <c r="BT42" s="435">
        <f t="shared" si="2"/>
        <v>0</v>
      </c>
      <c r="BU42" s="433" t="str">
        <f>_xlfn.LET(_xlpm.x,BF42,IF(LEN(_xlpm.x)&lt;1,"",IF(ISNUMBER(MATCH(_xlpm.x,ls_Mat_def,0)),'Project Inputs'!$BF$14,99)))</f>
        <v/>
      </c>
      <c r="BV42" s="432" t="str" cm="1">
        <f t="array" ref="BV42">IFERROR(INDEX(tblGWP[],MATCH(1,(tblGWP[Dataset ID]=BU42)*(tblGWP[Material Subcategory]=BF42),0),MATCH(BG42,ls_WHM,0)+5),"confirm")</f>
        <v>confirm</v>
      </c>
      <c r="BW42" s="434" t="str">
        <f t="shared" si="3"/>
        <v>No data</v>
      </c>
      <c r="BX42" s="434" t="str">
        <f t="shared" si="4"/>
        <v>No data</v>
      </c>
      <c r="BY42" s="434" t="str">
        <f t="shared" si="5"/>
        <v>No data</v>
      </c>
      <c r="BZ42" s="434" t="str">
        <f t="shared" si="6"/>
        <v>No data</v>
      </c>
      <c r="CA42" s="434" t="str">
        <f t="shared" si="7"/>
        <v>No data</v>
      </c>
      <c r="CB42" s="434" t="str">
        <f t="shared" si="8"/>
        <v>No data</v>
      </c>
      <c r="CC42" s="434" t="str">
        <f t="shared" si="9"/>
        <v>No data</v>
      </c>
      <c r="CD42" s="434" t="str">
        <f t="shared" si="10"/>
        <v>No data</v>
      </c>
      <c r="CE42" s="434" t="str">
        <f t="shared" si="11"/>
        <v>No data</v>
      </c>
      <c r="CF42" s="434" t="str">
        <f t="shared" si="12"/>
        <v>No data</v>
      </c>
      <c r="CG42" s="434" t="str">
        <f t="shared" si="13"/>
        <v>No data</v>
      </c>
      <c r="CH42" s="434" t="str">
        <f t="shared" si="14"/>
        <v>No data</v>
      </c>
      <c r="CI42" s="435">
        <f t="shared" si="15"/>
        <v>0</v>
      </c>
      <c r="CK42" s="3" t="str">
        <f>_xlfn.LET(_xlpm.x,INDEX(tbl_Mat_def[],MATCH(BF42,ls_Mat_def,0),2),IFERROR(IF(_xlpm.x=0,"No","Yes"),"No"))</f>
        <v>No</v>
      </c>
      <c r="CM42" s="60" t="str">
        <f t="shared" si="16"/>
        <v/>
      </c>
      <c r="CN42" s="60" t="s">
        <v>235</v>
      </c>
      <c r="CO42" s="432" t="str" cm="1">
        <f t="array" ref="CO42">IFERROR(INDEX(tblGWP[],MATCH(1,(tblGWP[Dataset ID]=BU42)*(tblGWP[Material Subcategory]=CM42),0),MATCH(CN42,ls_WHM,0)+4),"confirm")</f>
        <v>confirm</v>
      </c>
      <c r="CP42" s="436" t="str">
        <f t="shared" si="17"/>
        <v/>
      </c>
      <c r="DD42" s="388">
        <f t="shared" si="27"/>
        <v>0</v>
      </c>
      <c r="DE42" s="22">
        <f t="shared" si="18"/>
        <v>19</v>
      </c>
      <c r="DF42" s="387">
        <f t="shared" si="28"/>
        <v>0</v>
      </c>
      <c r="DG42" s="387">
        <f t="shared" si="29"/>
        <v>0</v>
      </c>
      <c r="DH42" s="22">
        <f t="shared" ca="1" si="19"/>
        <v>0</v>
      </c>
      <c r="DI42">
        <f t="shared" ca="1" si="20"/>
        <v>0</v>
      </c>
    </row>
    <row r="43" spans="1:113" ht="30" hidden="1" customHeight="1" outlineLevel="1">
      <c r="A43" s="22" t="str">
        <f t="shared" si="21"/>
        <v/>
      </c>
      <c r="B43" s="199"/>
      <c r="C43" s="459"/>
      <c r="D43" s="199"/>
      <c r="E43" s="405"/>
      <c r="F43" s="405"/>
      <c r="G43" s="406"/>
      <c r="H43" s="377"/>
      <c r="I43" s="377"/>
      <c r="J43" s="377"/>
      <c r="K43" s="377"/>
      <c r="L43" s="377"/>
      <c r="M43" s="377"/>
      <c r="N43" s="377"/>
      <c r="O43" s="377"/>
      <c r="P43" s="377"/>
      <c r="Q43" s="377"/>
      <c r="R43" s="377"/>
      <c r="S43" s="377"/>
      <c r="T43" s="458">
        <f t="shared" si="30"/>
        <v>0</v>
      </c>
      <c r="U43" s="200"/>
      <c r="W43" s="442"/>
      <c r="X43" s="443"/>
      <c r="BC43" s="3">
        <f t="shared" si="22"/>
        <v>0</v>
      </c>
      <c r="BD43" s="3">
        <f t="shared" si="23"/>
        <v>0</v>
      </c>
      <c r="BE43" s="432" t="str">
        <f t="shared" si="24"/>
        <v/>
      </c>
      <c r="BF43" s="432" t="str">
        <f t="shared" si="25"/>
        <v/>
      </c>
      <c r="BG43" s="432" t="str">
        <f t="shared" si="26"/>
        <v/>
      </c>
      <c r="BH43" s="434" t="str">
        <f>_xlfn.LET(_xlpm.x,H43,IF(OR(LEN(_xlpm.x)&lt;1,_xlpm.x=0),"",CONVERT(_xlpm.x,'Diversion and Disposal'!$BH$7,"kg")))</f>
        <v/>
      </c>
      <c r="BI43" s="434" t="str">
        <f>_xlfn.LET(_xlpm.x,I43,IF(OR(LEN(_xlpm.x)&lt;1,_xlpm.x=0),"",CONVERT(_xlpm.x,'Diversion and Disposal'!$BH$7,"kg")))</f>
        <v/>
      </c>
      <c r="BJ43" s="434" t="str">
        <f>_xlfn.LET(_xlpm.x,J43,IF(OR(LEN(_xlpm.x)&lt;1,_xlpm.x=0),"",CONVERT(_xlpm.x,'Diversion and Disposal'!$BH$7,"kg")))</f>
        <v/>
      </c>
      <c r="BK43" s="434" t="str">
        <f>_xlfn.LET(_xlpm.x,K43,IF(OR(LEN(_xlpm.x)&lt;1,_xlpm.x=0),"",CONVERT(_xlpm.x,'Diversion and Disposal'!$BH$7,"kg")))</f>
        <v/>
      </c>
      <c r="BL43" s="434" t="str">
        <f>_xlfn.LET(_xlpm.x,L43,IF(OR(LEN(_xlpm.x)&lt;1,_xlpm.x=0),"",CONVERT(_xlpm.x,'Diversion and Disposal'!$BH$7,"kg")))</f>
        <v/>
      </c>
      <c r="BM43" s="434" t="str">
        <f>_xlfn.LET(_xlpm.x,M43,IF(OR(LEN(_xlpm.x)&lt;1,_xlpm.x=0),"",CONVERT(_xlpm.x,'Diversion and Disposal'!$BH$7,"kg")))</f>
        <v/>
      </c>
      <c r="BN43" s="434" t="str">
        <f>_xlfn.LET(_xlpm.x,N43,IF(OR(LEN(_xlpm.x)&lt;1,_xlpm.x=0),"",CONVERT(_xlpm.x,'Diversion and Disposal'!$BH$7,"kg")))</f>
        <v/>
      </c>
      <c r="BO43" s="434" t="str">
        <f>_xlfn.LET(_xlpm.x,O43,IF(OR(LEN(_xlpm.x)&lt;1,_xlpm.x=0),"",CONVERT(_xlpm.x,'Diversion and Disposal'!$BH$7,"kg")))</f>
        <v/>
      </c>
      <c r="BP43" s="434" t="str">
        <f>_xlfn.LET(_xlpm.x,P43,IF(OR(LEN(_xlpm.x)&lt;1,_xlpm.x=0),"",CONVERT(_xlpm.x,'Diversion and Disposal'!$BH$7,"kg")))</f>
        <v/>
      </c>
      <c r="BQ43" s="434" t="str">
        <f>_xlfn.LET(_xlpm.x,Q43,IF(OR(LEN(_xlpm.x)&lt;1,_xlpm.x=0),"",CONVERT(_xlpm.x,'Diversion and Disposal'!$BH$7,"kg")))</f>
        <v/>
      </c>
      <c r="BR43" s="434" t="str">
        <f>_xlfn.LET(_xlpm.x,R43,IF(OR(LEN(_xlpm.x)&lt;1,_xlpm.x=0),"",CONVERT(_xlpm.x,'Diversion and Disposal'!$BH$7,"kg")))</f>
        <v/>
      </c>
      <c r="BS43" s="434" t="str">
        <f>_xlfn.LET(_xlpm.x,S43,IF(OR(LEN(_xlpm.x)&lt;1,_xlpm.x=0),"",CONVERT(_xlpm.x,'Diversion and Disposal'!$BH$7,"kg")))</f>
        <v/>
      </c>
      <c r="BT43" s="435">
        <f t="shared" si="2"/>
        <v>0</v>
      </c>
      <c r="BU43" s="433" t="str">
        <f>_xlfn.LET(_xlpm.x,BF43,IF(LEN(_xlpm.x)&lt;1,"",IF(ISNUMBER(MATCH(_xlpm.x,ls_Mat_def,0)),'Project Inputs'!$BF$14,99)))</f>
        <v/>
      </c>
      <c r="BV43" s="432" t="str" cm="1">
        <f t="array" ref="BV43">IFERROR(INDEX(tblGWP[],MATCH(1,(tblGWP[Dataset ID]=BU43)*(tblGWP[Material Subcategory]=BF43),0),MATCH(BG43,ls_WHM,0)+5),"confirm")</f>
        <v>confirm</v>
      </c>
      <c r="BW43" s="434" t="str">
        <f t="shared" si="3"/>
        <v>No data</v>
      </c>
      <c r="BX43" s="434" t="str">
        <f t="shared" si="4"/>
        <v>No data</v>
      </c>
      <c r="BY43" s="434" t="str">
        <f t="shared" si="5"/>
        <v>No data</v>
      </c>
      <c r="BZ43" s="434" t="str">
        <f t="shared" si="6"/>
        <v>No data</v>
      </c>
      <c r="CA43" s="434" t="str">
        <f t="shared" si="7"/>
        <v>No data</v>
      </c>
      <c r="CB43" s="434" t="str">
        <f t="shared" si="8"/>
        <v>No data</v>
      </c>
      <c r="CC43" s="434" t="str">
        <f t="shared" si="9"/>
        <v>No data</v>
      </c>
      <c r="CD43" s="434" t="str">
        <f t="shared" si="10"/>
        <v>No data</v>
      </c>
      <c r="CE43" s="434" t="str">
        <f t="shared" si="11"/>
        <v>No data</v>
      </c>
      <c r="CF43" s="434" t="str">
        <f t="shared" si="12"/>
        <v>No data</v>
      </c>
      <c r="CG43" s="434" t="str">
        <f t="shared" si="13"/>
        <v>No data</v>
      </c>
      <c r="CH43" s="434" t="str">
        <f t="shared" si="14"/>
        <v>No data</v>
      </c>
      <c r="CI43" s="435">
        <f t="shared" si="15"/>
        <v>0</v>
      </c>
      <c r="CK43" s="3" t="str">
        <f>_xlfn.LET(_xlpm.x,INDEX(tbl_Mat_def[],MATCH(BF43,ls_Mat_def,0),2),IFERROR(IF(_xlpm.x=0,"No","Yes"),"No"))</f>
        <v>No</v>
      </c>
      <c r="CM43" s="60" t="str">
        <f t="shared" si="16"/>
        <v/>
      </c>
      <c r="CN43" s="60" t="s">
        <v>235</v>
      </c>
      <c r="CO43" s="432" t="str" cm="1">
        <f t="array" ref="CO43">IFERROR(INDEX(tblGWP[],MATCH(1,(tblGWP[Dataset ID]=BU43)*(tblGWP[Material Subcategory]=CM43),0),MATCH(CN43,ls_WHM,0)+4),"confirm")</f>
        <v>confirm</v>
      </c>
      <c r="CP43" s="436" t="str">
        <f t="shared" si="17"/>
        <v/>
      </c>
      <c r="DD43" s="388">
        <f t="shared" si="27"/>
        <v>0</v>
      </c>
      <c r="DE43" s="22">
        <f t="shared" si="18"/>
        <v>19</v>
      </c>
      <c r="DF43" s="387">
        <f t="shared" si="28"/>
        <v>0</v>
      </c>
      <c r="DG43" s="387">
        <f t="shared" si="29"/>
        <v>0</v>
      </c>
      <c r="DH43" s="22">
        <f t="shared" ca="1" si="19"/>
        <v>0</v>
      </c>
      <c r="DI43">
        <f t="shared" ca="1" si="20"/>
        <v>0</v>
      </c>
    </row>
    <row r="44" spans="1:113" ht="30" hidden="1" customHeight="1" outlineLevel="1">
      <c r="A44" s="22" t="str">
        <f t="shared" si="21"/>
        <v/>
      </c>
      <c r="B44" s="199"/>
      <c r="C44" s="459"/>
      <c r="D44" s="199"/>
      <c r="E44" s="405"/>
      <c r="F44" s="405"/>
      <c r="G44" s="406"/>
      <c r="H44" s="377"/>
      <c r="I44" s="377"/>
      <c r="J44" s="377"/>
      <c r="K44" s="377"/>
      <c r="L44" s="377"/>
      <c r="M44" s="377"/>
      <c r="N44" s="377"/>
      <c r="O44" s="377"/>
      <c r="P44" s="377"/>
      <c r="Q44" s="377"/>
      <c r="R44" s="377"/>
      <c r="S44" s="377"/>
      <c r="T44" s="458">
        <f t="shared" si="30"/>
        <v>0</v>
      </c>
      <c r="U44" s="200"/>
      <c r="W44" s="442"/>
      <c r="X44" s="443"/>
      <c r="BC44" s="3">
        <f t="shared" si="22"/>
        <v>0</v>
      </c>
      <c r="BD44" s="3">
        <f t="shared" si="23"/>
        <v>0</v>
      </c>
      <c r="BE44" s="432" t="str">
        <f t="shared" si="24"/>
        <v/>
      </c>
      <c r="BF44" s="432" t="str">
        <f t="shared" si="25"/>
        <v/>
      </c>
      <c r="BG44" s="432" t="str">
        <f t="shared" si="26"/>
        <v/>
      </c>
      <c r="BH44" s="434" t="str">
        <f>_xlfn.LET(_xlpm.x,H44,IF(OR(LEN(_xlpm.x)&lt;1,_xlpm.x=0),"",CONVERT(_xlpm.x,'Diversion and Disposal'!$BH$7,"kg")))</f>
        <v/>
      </c>
      <c r="BI44" s="434" t="str">
        <f>_xlfn.LET(_xlpm.x,I44,IF(OR(LEN(_xlpm.x)&lt;1,_xlpm.x=0),"",CONVERT(_xlpm.x,'Diversion and Disposal'!$BH$7,"kg")))</f>
        <v/>
      </c>
      <c r="BJ44" s="434" t="str">
        <f>_xlfn.LET(_xlpm.x,J44,IF(OR(LEN(_xlpm.x)&lt;1,_xlpm.x=0),"",CONVERT(_xlpm.x,'Diversion and Disposal'!$BH$7,"kg")))</f>
        <v/>
      </c>
      <c r="BK44" s="434" t="str">
        <f>_xlfn.LET(_xlpm.x,K44,IF(OR(LEN(_xlpm.x)&lt;1,_xlpm.x=0),"",CONVERT(_xlpm.x,'Diversion and Disposal'!$BH$7,"kg")))</f>
        <v/>
      </c>
      <c r="BL44" s="434" t="str">
        <f>_xlfn.LET(_xlpm.x,L44,IF(OR(LEN(_xlpm.x)&lt;1,_xlpm.x=0),"",CONVERT(_xlpm.x,'Diversion and Disposal'!$BH$7,"kg")))</f>
        <v/>
      </c>
      <c r="BM44" s="434" t="str">
        <f>_xlfn.LET(_xlpm.x,M44,IF(OR(LEN(_xlpm.x)&lt;1,_xlpm.x=0),"",CONVERT(_xlpm.x,'Diversion and Disposal'!$BH$7,"kg")))</f>
        <v/>
      </c>
      <c r="BN44" s="434" t="str">
        <f>_xlfn.LET(_xlpm.x,N44,IF(OR(LEN(_xlpm.x)&lt;1,_xlpm.x=0),"",CONVERT(_xlpm.x,'Diversion and Disposal'!$BH$7,"kg")))</f>
        <v/>
      </c>
      <c r="BO44" s="434" t="str">
        <f>_xlfn.LET(_xlpm.x,O44,IF(OR(LEN(_xlpm.x)&lt;1,_xlpm.x=0),"",CONVERT(_xlpm.x,'Diversion and Disposal'!$BH$7,"kg")))</f>
        <v/>
      </c>
      <c r="BP44" s="434" t="str">
        <f>_xlfn.LET(_xlpm.x,P44,IF(OR(LEN(_xlpm.x)&lt;1,_xlpm.x=0),"",CONVERT(_xlpm.x,'Diversion and Disposal'!$BH$7,"kg")))</f>
        <v/>
      </c>
      <c r="BQ44" s="434" t="str">
        <f>_xlfn.LET(_xlpm.x,Q44,IF(OR(LEN(_xlpm.x)&lt;1,_xlpm.x=0),"",CONVERT(_xlpm.x,'Diversion and Disposal'!$BH$7,"kg")))</f>
        <v/>
      </c>
      <c r="BR44" s="434" t="str">
        <f>_xlfn.LET(_xlpm.x,R44,IF(OR(LEN(_xlpm.x)&lt;1,_xlpm.x=0),"",CONVERT(_xlpm.x,'Diversion and Disposal'!$BH$7,"kg")))</f>
        <v/>
      </c>
      <c r="BS44" s="434" t="str">
        <f>_xlfn.LET(_xlpm.x,S44,IF(OR(LEN(_xlpm.x)&lt;1,_xlpm.x=0),"",CONVERT(_xlpm.x,'Diversion and Disposal'!$BH$7,"kg")))</f>
        <v/>
      </c>
      <c r="BT44" s="435">
        <f t="shared" si="2"/>
        <v>0</v>
      </c>
      <c r="BU44" s="433" t="str">
        <f>_xlfn.LET(_xlpm.x,BF44,IF(LEN(_xlpm.x)&lt;1,"",IF(ISNUMBER(MATCH(_xlpm.x,ls_Mat_def,0)),'Project Inputs'!$BF$14,99)))</f>
        <v/>
      </c>
      <c r="BV44" s="432" t="str" cm="1">
        <f t="array" ref="BV44">IFERROR(INDEX(tblGWP[],MATCH(1,(tblGWP[Dataset ID]=BU44)*(tblGWP[Material Subcategory]=BF44),0),MATCH(BG44,ls_WHM,0)+5),"confirm")</f>
        <v>confirm</v>
      </c>
      <c r="BW44" s="434" t="str">
        <f t="shared" si="3"/>
        <v>No data</v>
      </c>
      <c r="BX44" s="434" t="str">
        <f t="shared" si="4"/>
        <v>No data</v>
      </c>
      <c r="BY44" s="434" t="str">
        <f t="shared" si="5"/>
        <v>No data</v>
      </c>
      <c r="BZ44" s="434" t="str">
        <f t="shared" si="6"/>
        <v>No data</v>
      </c>
      <c r="CA44" s="434" t="str">
        <f t="shared" si="7"/>
        <v>No data</v>
      </c>
      <c r="CB44" s="434" t="str">
        <f t="shared" si="8"/>
        <v>No data</v>
      </c>
      <c r="CC44" s="434" t="str">
        <f t="shared" si="9"/>
        <v>No data</v>
      </c>
      <c r="CD44" s="434" t="str">
        <f t="shared" si="10"/>
        <v>No data</v>
      </c>
      <c r="CE44" s="434" t="str">
        <f t="shared" si="11"/>
        <v>No data</v>
      </c>
      <c r="CF44" s="434" t="str">
        <f t="shared" si="12"/>
        <v>No data</v>
      </c>
      <c r="CG44" s="434" t="str">
        <f t="shared" si="13"/>
        <v>No data</v>
      </c>
      <c r="CH44" s="434" t="str">
        <f t="shared" si="14"/>
        <v>No data</v>
      </c>
      <c r="CI44" s="435">
        <f t="shared" si="15"/>
        <v>0</v>
      </c>
      <c r="CK44" s="3" t="str">
        <f>_xlfn.LET(_xlpm.x,INDEX(tbl_Mat_def[],MATCH(BF44,ls_Mat_def,0),2),IFERROR(IF(_xlpm.x=0,"No","Yes"),"No"))</f>
        <v>No</v>
      </c>
      <c r="CM44" s="60" t="str">
        <f t="shared" si="16"/>
        <v/>
      </c>
      <c r="CN44" s="60" t="s">
        <v>235</v>
      </c>
      <c r="CO44" s="432" t="str" cm="1">
        <f t="array" ref="CO44">IFERROR(INDEX(tblGWP[],MATCH(1,(tblGWP[Dataset ID]=BU44)*(tblGWP[Material Subcategory]=CM44),0),MATCH(CN44,ls_WHM,0)+4),"confirm")</f>
        <v>confirm</v>
      </c>
      <c r="CP44" s="436" t="str">
        <f t="shared" si="17"/>
        <v/>
      </c>
      <c r="DD44" s="388">
        <f t="shared" si="27"/>
        <v>0</v>
      </c>
      <c r="DE44" s="22">
        <f t="shared" si="18"/>
        <v>19</v>
      </c>
      <c r="DF44" s="387">
        <f t="shared" si="28"/>
        <v>0</v>
      </c>
      <c r="DG44" s="387">
        <f t="shared" si="29"/>
        <v>0</v>
      </c>
      <c r="DH44" s="22">
        <f t="shared" ca="1" si="19"/>
        <v>0</v>
      </c>
      <c r="DI44">
        <f t="shared" ca="1" si="20"/>
        <v>0</v>
      </c>
    </row>
    <row r="45" spans="1:113" ht="30" hidden="1" customHeight="1" outlineLevel="1">
      <c r="A45" s="22" t="str">
        <f t="shared" si="21"/>
        <v/>
      </c>
      <c r="B45" s="199"/>
      <c r="C45" s="459"/>
      <c r="D45" s="199"/>
      <c r="E45" s="405"/>
      <c r="F45" s="405"/>
      <c r="G45" s="406"/>
      <c r="H45" s="377"/>
      <c r="I45" s="377"/>
      <c r="J45" s="377"/>
      <c r="K45" s="377"/>
      <c r="L45" s="377"/>
      <c r="M45" s="377"/>
      <c r="N45" s="377"/>
      <c r="O45" s="377"/>
      <c r="P45" s="377"/>
      <c r="Q45" s="377"/>
      <c r="R45" s="377"/>
      <c r="S45" s="377"/>
      <c r="T45" s="458">
        <f t="shared" si="30"/>
        <v>0</v>
      </c>
      <c r="U45" s="200"/>
      <c r="W45" s="442"/>
      <c r="X45" s="443"/>
      <c r="BC45" s="3">
        <f t="shared" si="22"/>
        <v>0</v>
      </c>
      <c r="BD45" s="3">
        <f t="shared" si="23"/>
        <v>0</v>
      </c>
      <c r="BE45" s="432" t="str">
        <f t="shared" si="24"/>
        <v/>
      </c>
      <c r="BF45" s="432" t="str">
        <f t="shared" si="25"/>
        <v/>
      </c>
      <c r="BG45" s="432" t="str">
        <f t="shared" si="26"/>
        <v/>
      </c>
      <c r="BH45" s="434" t="str">
        <f>_xlfn.LET(_xlpm.x,H45,IF(OR(LEN(_xlpm.x)&lt;1,_xlpm.x=0),"",CONVERT(_xlpm.x,'Diversion and Disposal'!$BH$7,"kg")))</f>
        <v/>
      </c>
      <c r="BI45" s="434" t="str">
        <f>_xlfn.LET(_xlpm.x,I45,IF(OR(LEN(_xlpm.x)&lt;1,_xlpm.x=0),"",CONVERT(_xlpm.x,'Diversion and Disposal'!$BH$7,"kg")))</f>
        <v/>
      </c>
      <c r="BJ45" s="434" t="str">
        <f>_xlfn.LET(_xlpm.x,J45,IF(OR(LEN(_xlpm.x)&lt;1,_xlpm.x=0),"",CONVERT(_xlpm.x,'Diversion and Disposal'!$BH$7,"kg")))</f>
        <v/>
      </c>
      <c r="BK45" s="434" t="str">
        <f>_xlfn.LET(_xlpm.x,K45,IF(OR(LEN(_xlpm.x)&lt;1,_xlpm.x=0),"",CONVERT(_xlpm.x,'Diversion and Disposal'!$BH$7,"kg")))</f>
        <v/>
      </c>
      <c r="BL45" s="434" t="str">
        <f>_xlfn.LET(_xlpm.x,L45,IF(OR(LEN(_xlpm.x)&lt;1,_xlpm.x=0),"",CONVERT(_xlpm.x,'Diversion and Disposal'!$BH$7,"kg")))</f>
        <v/>
      </c>
      <c r="BM45" s="434" t="str">
        <f>_xlfn.LET(_xlpm.x,M45,IF(OR(LEN(_xlpm.x)&lt;1,_xlpm.x=0),"",CONVERT(_xlpm.x,'Diversion and Disposal'!$BH$7,"kg")))</f>
        <v/>
      </c>
      <c r="BN45" s="434" t="str">
        <f>_xlfn.LET(_xlpm.x,N45,IF(OR(LEN(_xlpm.x)&lt;1,_xlpm.x=0),"",CONVERT(_xlpm.x,'Diversion and Disposal'!$BH$7,"kg")))</f>
        <v/>
      </c>
      <c r="BO45" s="434" t="str">
        <f>_xlfn.LET(_xlpm.x,O45,IF(OR(LEN(_xlpm.x)&lt;1,_xlpm.x=0),"",CONVERT(_xlpm.x,'Diversion and Disposal'!$BH$7,"kg")))</f>
        <v/>
      </c>
      <c r="BP45" s="434" t="str">
        <f>_xlfn.LET(_xlpm.x,P45,IF(OR(LEN(_xlpm.x)&lt;1,_xlpm.x=0),"",CONVERT(_xlpm.x,'Diversion and Disposal'!$BH$7,"kg")))</f>
        <v/>
      </c>
      <c r="BQ45" s="434" t="str">
        <f>_xlfn.LET(_xlpm.x,Q45,IF(OR(LEN(_xlpm.x)&lt;1,_xlpm.x=0),"",CONVERT(_xlpm.x,'Diversion and Disposal'!$BH$7,"kg")))</f>
        <v/>
      </c>
      <c r="BR45" s="434" t="str">
        <f>_xlfn.LET(_xlpm.x,R45,IF(OR(LEN(_xlpm.x)&lt;1,_xlpm.x=0),"",CONVERT(_xlpm.x,'Diversion and Disposal'!$BH$7,"kg")))</f>
        <v/>
      </c>
      <c r="BS45" s="434" t="str">
        <f>_xlfn.LET(_xlpm.x,S45,IF(OR(LEN(_xlpm.x)&lt;1,_xlpm.x=0),"",CONVERT(_xlpm.x,'Diversion and Disposal'!$BH$7,"kg")))</f>
        <v/>
      </c>
      <c r="BT45" s="435">
        <f t="shared" si="2"/>
        <v>0</v>
      </c>
      <c r="BU45" s="433" t="str">
        <f>_xlfn.LET(_xlpm.x,BF45,IF(LEN(_xlpm.x)&lt;1,"",IF(ISNUMBER(MATCH(_xlpm.x,ls_Mat_def,0)),'Project Inputs'!$BF$14,99)))</f>
        <v/>
      </c>
      <c r="BV45" s="432" t="str" cm="1">
        <f t="array" ref="BV45">IFERROR(INDEX(tblGWP[],MATCH(1,(tblGWP[Dataset ID]=BU45)*(tblGWP[Material Subcategory]=BF45),0),MATCH(BG45,ls_WHM,0)+5),"confirm")</f>
        <v>confirm</v>
      </c>
      <c r="BW45" s="434" t="str">
        <f t="shared" si="3"/>
        <v>No data</v>
      </c>
      <c r="BX45" s="434" t="str">
        <f t="shared" si="4"/>
        <v>No data</v>
      </c>
      <c r="BY45" s="434" t="str">
        <f t="shared" si="5"/>
        <v>No data</v>
      </c>
      <c r="BZ45" s="434" t="str">
        <f t="shared" si="6"/>
        <v>No data</v>
      </c>
      <c r="CA45" s="434" t="str">
        <f t="shared" si="7"/>
        <v>No data</v>
      </c>
      <c r="CB45" s="434" t="str">
        <f t="shared" si="8"/>
        <v>No data</v>
      </c>
      <c r="CC45" s="434" t="str">
        <f t="shared" si="9"/>
        <v>No data</v>
      </c>
      <c r="CD45" s="434" t="str">
        <f t="shared" si="10"/>
        <v>No data</v>
      </c>
      <c r="CE45" s="434" t="str">
        <f t="shared" si="11"/>
        <v>No data</v>
      </c>
      <c r="CF45" s="434" t="str">
        <f t="shared" si="12"/>
        <v>No data</v>
      </c>
      <c r="CG45" s="434" t="str">
        <f t="shared" si="13"/>
        <v>No data</v>
      </c>
      <c r="CH45" s="434" t="str">
        <f t="shared" si="14"/>
        <v>No data</v>
      </c>
      <c r="CI45" s="435">
        <f t="shared" si="15"/>
        <v>0</v>
      </c>
      <c r="CK45" s="3" t="str">
        <f>_xlfn.LET(_xlpm.x,INDEX(tbl_Mat_def[],MATCH(BF45,ls_Mat_def,0),2),IFERROR(IF(_xlpm.x=0,"No","Yes"),"No"))</f>
        <v>No</v>
      </c>
      <c r="CM45" s="60" t="str">
        <f t="shared" si="16"/>
        <v/>
      </c>
      <c r="CN45" s="60" t="s">
        <v>235</v>
      </c>
      <c r="CO45" s="432" t="str" cm="1">
        <f t="array" ref="CO45">IFERROR(INDEX(tblGWP[],MATCH(1,(tblGWP[Dataset ID]=BU45)*(tblGWP[Material Subcategory]=CM45),0),MATCH(CN45,ls_WHM,0)+4),"confirm")</f>
        <v>confirm</v>
      </c>
      <c r="CP45" s="436" t="str">
        <f t="shared" si="17"/>
        <v/>
      </c>
      <c r="DD45" s="388">
        <f t="shared" si="27"/>
        <v>0</v>
      </c>
      <c r="DE45" s="22">
        <f t="shared" si="18"/>
        <v>19</v>
      </c>
      <c r="DF45" s="387">
        <f t="shared" si="28"/>
        <v>0</v>
      </c>
      <c r="DG45" s="387">
        <f t="shared" si="29"/>
        <v>0</v>
      </c>
      <c r="DH45" s="22">
        <f t="shared" ca="1" si="19"/>
        <v>0</v>
      </c>
      <c r="DI45">
        <f t="shared" ca="1" si="20"/>
        <v>0</v>
      </c>
    </row>
    <row r="46" spans="1:113" ht="30" hidden="1" customHeight="1" outlineLevel="1">
      <c r="A46" s="22" t="str">
        <f t="shared" si="21"/>
        <v/>
      </c>
      <c r="B46" s="199"/>
      <c r="C46" s="459"/>
      <c r="D46" s="199"/>
      <c r="E46" s="405"/>
      <c r="F46" s="405"/>
      <c r="G46" s="406"/>
      <c r="H46" s="377"/>
      <c r="I46" s="377"/>
      <c r="J46" s="377"/>
      <c r="K46" s="377"/>
      <c r="L46" s="377"/>
      <c r="M46" s="377"/>
      <c r="N46" s="377"/>
      <c r="O46" s="377"/>
      <c r="P46" s="377"/>
      <c r="Q46" s="377"/>
      <c r="R46" s="377"/>
      <c r="S46" s="377"/>
      <c r="T46" s="458">
        <f t="shared" si="30"/>
        <v>0</v>
      </c>
      <c r="U46" s="200"/>
      <c r="W46" s="442"/>
      <c r="X46" s="443"/>
      <c r="BC46" s="3">
        <f t="shared" si="22"/>
        <v>0</v>
      </c>
      <c r="BD46" s="3">
        <f t="shared" si="23"/>
        <v>0</v>
      </c>
      <c r="BE46" s="432" t="str">
        <f t="shared" si="24"/>
        <v/>
      </c>
      <c r="BF46" s="432" t="str">
        <f t="shared" si="25"/>
        <v/>
      </c>
      <c r="BG46" s="432" t="str">
        <f t="shared" si="26"/>
        <v/>
      </c>
      <c r="BH46" s="434" t="str">
        <f>_xlfn.LET(_xlpm.x,H46,IF(OR(LEN(_xlpm.x)&lt;1,_xlpm.x=0),"",CONVERT(_xlpm.x,'Diversion and Disposal'!$BH$7,"kg")))</f>
        <v/>
      </c>
      <c r="BI46" s="434" t="str">
        <f>_xlfn.LET(_xlpm.x,I46,IF(OR(LEN(_xlpm.x)&lt;1,_xlpm.x=0),"",CONVERT(_xlpm.x,'Diversion and Disposal'!$BH$7,"kg")))</f>
        <v/>
      </c>
      <c r="BJ46" s="434" t="str">
        <f>_xlfn.LET(_xlpm.x,J46,IF(OR(LEN(_xlpm.x)&lt;1,_xlpm.x=0),"",CONVERT(_xlpm.x,'Diversion and Disposal'!$BH$7,"kg")))</f>
        <v/>
      </c>
      <c r="BK46" s="434" t="str">
        <f>_xlfn.LET(_xlpm.x,K46,IF(OR(LEN(_xlpm.x)&lt;1,_xlpm.x=0),"",CONVERT(_xlpm.x,'Diversion and Disposal'!$BH$7,"kg")))</f>
        <v/>
      </c>
      <c r="BL46" s="434" t="str">
        <f>_xlfn.LET(_xlpm.x,L46,IF(OR(LEN(_xlpm.x)&lt;1,_xlpm.x=0),"",CONVERT(_xlpm.x,'Diversion and Disposal'!$BH$7,"kg")))</f>
        <v/>
      </c>
      <c r="BM46" s="434" t="str">
        <f>_xlfn.LET(_xlpm.x,M46,IF(OR(LEN(_xlpm.x)&lt;1,_xlpm.x=0),"",CONVERT(_xlpm.x,'Diversion and Disposal'!$BH$7,"kg")))</f>
        <v/>
      </c>
      <c r="BN46" s="434" t="str">
        <f>_xlfn.LET(_xlpm.x,N46,IF(OR(LEN(_xlpm.x)&lt;1,_xlpm.x=0),"",CONVERT(_xlpm.x,'Diversion and Disposal'!$BH$7,"kg")))</f>
        <v/>
      </c>
      <c r="BO46" s="434" t="str">
        <f>_xlfn.LET(_xlpm.x,O46,IF(OR(LEN(_xlpm.x)&lt;1,_xlpm.x=0),"",CONVERT(_xlpm.x,'Diversion and Disposal'!$BH$7,"kg")))</f>
        <v/>
      </c>
      <c r="BP46" s="434" t="str">
        <f>_xlfn.LET(_xlpm.x,P46,IF(OR(LEN(_xlpm.x)&lt;1,_xlpm.x=0),"",CONVERT(_xlpm.x,'Diversion and Disposal'!$BH$7,"kg")))</f>
        <v/>
      </c>
      <c r="BQ46" s="434" t="str">
        <f>_xlfn.LET(_xlpm.x,Q46,IF(OR(LEN(_xlpm.x)&lt;1,_xlpm.x=0),"",CONVERT(_xlpm.x,'Diversion and Disposal'!$BH$7,"kg")))</f>
        <v/>
      </c>
      <c r="BR46" s="434" t="str">
        <f>_xlfn.LET(_xlpm.x,R46,IF(OR(LEN(_xlpm.x)&lt;1,_xlpm.x=0),"",CONVERT(_xlpm.x,'Diversion and Disposal'!$BH$7,"kg")))</f>
        <v/>
      </c>
      <c r="BS46" s="434" t="str">
        <f>_xlfn.LET(_xlpm.x,S46,IF(OR(LEN(_xlpm.x)&lt;1,_xlpm.x=0),"",CONVERT(_xlpm.x,'Diversion and Disposal'!$BH$7,"kg")))</f>
        <v/>
      </c>
      <c r="BT46" s="435">
        <f t="shared" si="2"/>
        <v>0</v>
      </c>
      <c r="BU46" s="433" t="str">
        <f>_xlfn.LET(_xlpm.x,BF46,IF(LEN(_xlpm.x)&lt;1,"",IF(ISNUMBER(MATCH(_xlpm.x,ls_Mat_def,0)),'Project Inputs'!$BF$14,99)))</f>
        <v/>
      </c>
      <c r="BV46" s="432" t="str" cm="1">
        <f t="array" ref="BV46">IFERROR(INDEX(tblGWP[],MATCH(1,(tblGWP[Dataset ID]=BU46)*(tblGWP[Material Subcategory]=BF46),0),MATCH(BG46,ls_WHM,0)+5),"confirm")</f>
        <v>confirm</v>
      </c>
      <c r="BW46" s="434" t="str">
        <f t="shared" si="3"/>
        <v>No data</v>
      </c>
      <c r="BX46" s="434" t="str">
        <f t="shared" si="4"/>
        <v>No data</v>
      </c>
      <c r="BY46" s="434" t="str">
        <f t="shared" si="5"/>
        <v>No data</v>
      </c>
      <c r="BZ46" s="434" t="str">
        <f t="shared" si="6"/>
        <v>No data</v>
      </c>
      <c r="CA46" s="434" t="str">
        <f t="shared" si="7"/>
        <v>No data</v>
      </c>
      <c r="CB46" s="434" t="str">
        <f t="shared" si="8"/>
        <v>No data</v>
      </c>
      <c r="CC46" s="434" t="str">
        <f t="shared" si="9"/>
        <v>No data</v>
      </c>
      <c r="CD46" s="434" t="str">
        <f t="shared" si="10"/>
        <v>No data</v>
      </c>
      <c r="CE46" s="434" t="str">
        <f t="shared" si="11"/>
        <v>No data</v>
      </c>
      <c r="CF46" s="434" t="str">
        <f t="shared" si="12"/>
        <v>No data</v>
      </c>
      <c r="CG46" s="434" t="str">
        <f t="shared" si="13"/>
        <v>No data</v>
      </c>
      <c r="CH46" s="434" t="str">
        <f t="shared" si="14"/>
        <v>No data</v>
      </c>
      <c r="CI46" s="435">
        <f t="shared" si="15"/>
        <v>0</v>
      </c>
      <c r="CK46" s="3" t="str">
        <f>_xlfn.LET(_xlpm.x,INDEX(tbl_Mat_def[],MATCH(BF46,ls_Mat_def,0),2),IFERROR(IF(_xlpm.x=0,"No","Yes"),"No"))</f>
        <v>No</v>
      </c>
      <c r="CM46" s="60" t="str">
        <f t="shared" si="16"/>
        <v/>
      </c>
      <c r="CN46" s="60" t="s">
        <v>235</v>
      </c>
      <c r="CO46" s="432" t="str" cm="1">
        <f t="array" ref="CO46">IFERROR(INDEX(tblGWP[],MATCH(1,(tblGWP[Dataset ID]=BU46)*(tblGWP[Material Subcategory]=CM46),0),MATCH(CN46,ls_WHM,0)+4),"confirm")</f>
        <v>confirm</v>
      </c>
      <c r="CP46" s="436" t="str">
        <f t="shared" si="17"/>
        <v/>
      </c>
      <c r="DD46" s="388">
        <f t="shared" si="27"/>
        <v>0</v>
      </c>
      <c r="DE46" s="22">
        <f t="shared" si="18"/>
        <v>19</v>
      </c>
      <c r="DF46" s="387">
        <f t="shared" si="28"/>
        <v>0</v>
      </c>
      <c r="DG46" s="387">
        <f t="shared" si="29"/>
        <v>0</v>
      </c>
      <c r="DH46" s="22">
        <f t="shared" ca="1" si="19"/>
        <v>0</v>
      </c>
      <c r="DI46">
        <f t="shared" ca="1" si="20"/>
        <v>0</v>
      </c>
    </row>
    <row r="47" spans="1:113" ht="30" hidden="1" customHeight="1" outlineLevel="1">
      <c r="A47" s="22" t="str">
        <f t="shared" si="21"/>
        <v/>
      </c>
      <c r="B47" s="199"/>
      <c r="C47" s="459"/>
      <c r="D47" s="199"/>
      <c r="E47" s="405"/>
      <c r="F47" s="405"/>
      <c r="G47" s="406"/>
      <c r="H47" s="377"/>
      <c r="I47" s="377"/>
      <c r="J47" s="377"/>
      <c r="K47" s="377"/>
      <c r="L47" s="377"/>
      <c r="M47" s="377"/>
      <c r="N47" s="377"/>
      <c r="O47" s="377"/>
      <c r="P47" s="377"/>
      <c r="Q47" s="377"/>
      <c r="R47" s="377"/>
      <c r="S47" s="377"/>
      <c r="T47" s="458">
        <f t="shared" si="30"/>
        <v>0</v>
      </c>
      <c r="U47" s="200"/>
      <c r="W47" s="442"/>
      <c r="X47" s="443"/>
      <c r="BC47" s="3">
        <f t="shared" si="22"/>
        <v>0</v>
      </c>
      <c r="BD47" s="3">
        <f t="shared" si="23"/>
        <v>0</v>
      </c>
      <c r="BE47" s="432" t="str">
        <f t="shared" si="24"/>
        <v/>
      </c>
      <c r="BF47" s="432" t="str">
        <f t="shared" si="25"/>
        <v/>
      </c>
      <c r="BG47" s="432" t="str">
        <f t="shared" si="26"/>
        <v/>
      </c>
      <c r="BH47" s="434" t="str">
        <f>_xlfn.LET(_xlpm.x,H47,IF(OR(LEN(_xlpm.x)&lt;1,_xlpm.x=0),"",CONVERT(_xlpm.x,'Diversion and Disposal'!$BH$7,"kg")))</f>
        <v/>
      </c>
      <c r="BI47" s="434" t="str">
        <f>_xlfn.LET(_xlpm.x,I47,IF(OR(LEN(_xlpm.x)&lt;1,_xlpm.x=0),"",CONVERT(_xlpm.x,'Diversion and Disposal'!$BH$7,"kg")))</f>
        <v/>
      </c>
      <c r="BJ47" s="434" t="str">
        <f>_xlfn.LET(_xlpm.x,J47,IF(OR(LEN(_xlpm.x)&lt;1,_xlpm.x=0),"",CONVERT(_xlpm.x,'Diversion and Disposal'!$BH$7,"kg")))</f>
        <v/>
      </c>
      <c r="BK47" s="434" t="str">
        <f>_xlfn.LET(_xlpm.x,K47,IF(OR(LEN(_xlpm.x)&lt;1,_xlpm.x=0),"",CONVERT(_xlpm.x,'Diversion and Disposal'!$BH$7,"kg")))</f>
        <v/>
      </c>
      <c r="BL47" s="434" t="str">
        <f>_xlfn.LET(_xlpm.x,L47,IF(OR(LEN(_xlpm.x)&lt;1,_xlpm.x=0),"",CONVERT(_xlpm.x,'Diversion and Disposal'!$BH$7,"kg")))</f>
        <v/>
      </c>
      <c r="BM47" s="434" t="str">
        <f>_xlfn.LET(_xlpm.x,M47,IF(OR(LEN(_xlpm.x)&lt;1,_xlpm.x=0),"",CONVERT(_xlpm.x,'Diversion and Disposal'!$BH$7,"kg")))</f>
        <v/>
      </c>
      <c r="BN47" s="434" t="str">
        <f>_xlfn.LET(_xlpm.x,N47,IF(OR(LEN(_xlpm.x)&lt;1,_xlpm.x=0),"",CONVERT(_xlpm.x,'Diversion and Disposal'!$BH$7,"kg")))</f>
        <v/>
      </c>
      <c r="BO47" s="434" t="str">
        <f>_xlfn.LET(_xlpm.x,O47,IF(OR(LEN(_xlpm.x)&lt;1,_xlpm.x=0),"",CONVERT(_xlpm.x,'Diversion and Disposal'!$BH$7,"kg")))</f>
        <v/>
      </c>
      <c r="BP47" s="434" t="str">
        <f>_xlfn.LET(_xlpm.x,P47,IF(OR(LEN(_xlpm.x)&lt;1,_xlpm.x=0),"",CONVERT(_xlpm.x,'Diversion and Disposal'!$BH$7,"kg")))</f>
        <v/>
      </c>
      <c r="BQ47" s="434" t="str">
        <f>_xlfn.LET(_xlpm.x,Q47,IF(OR(LEN(_xlpm.x)&lt;1,_xlpm.x=0),"",CONVERT(_xlpm.x,'Diversion and Disposal'!$BH$7,"kg")))</f>
        <v/>
      </c>
      <c r="BR47" s="434" t="str">
        <f>_xlfn.LET(_xlpm.x,R47,IF(OR(LEN(_xlpm.x)&lt;1,_xlpm.x=0),"",CONVERT(_xlpm.x,'Diversion and Disposal'!$BH$7,"kg")))</f>
        <v/>
      </c>
      <c r="BS47" s="434" t="str">
        <f>_xlfn.LET(_xlpm.x,S47,IF(OR(LEN(_xlpm.x)&lt;1,_xlpm.x=0),"",CONVERT(_xlpm.x,'Diversion and Disposal'!$BH$7,"kg")))</f>
        <v/>
      </c>
      <c r="BT47" s="435">
        <f t="shared" si="2"/>
        <v>0</v>
      </c>
      <c r="BU47" s="433" t="str">
        <f>_xlfn.LET(_xlpm.x,BF47,IF(LEN(_xlpm.x)&lt;1,"",IF(ISNUMBER(MATCH(_xlpm.x,ls_Mat_def,0)),'Project Inputs'!$BF$14,99)))</f>
        <v/>
      </c>
      <c r="BV47" s="432" t="str" cm="1">
        <f t="array" ref="BV47">IFERROR(INDEX(tblGWP[],MATCH(1,(tblGWP[Dataset ID]=BU47)*(tblGWP[Material Subcategory]=BF47),0),MATCH(BG47,ls_WHM,0)+5),"confirm")</f>
        <v>confirm</v>
      </c>
      <c r="BW47" s="434" t="str">
        <f t="shared" si="3"/>
        <v>No data</v>
      </c>
      <c r="BX47" s="434" t="str">
        <f t="shared" si="4"/>
        <v>No data</v>
      </c>
      <c r="BY47" s="434" t="str">
        <f t="shared" si="5"/>
        <v>No data</v>
      </c>
      <c r="BZ47" s="434" t="str">
        <f t="shared" si="6"/>
        <v>No data</v>
      </c>
      <c r="CA47" s="434" t="str">
        <f t="shared" si="7"/>
        <v>No data</v>
      </c>
      <c r="CB47" s="434" t="str">
        <f t="shared" si="8"/>
        <v>No data</v>
      </c>
      <c r="CC47" s="434" t="str">
        <f t="shared" si="9"/>
        <v>No data</v>
      </c>
      <c r="CD47" s="434" t="str">
        <f t="shared" si="10"/>
        <v>No data</v>
      </c>
      <c r="CE47" s="434" t="str">
        <f t="shared" si="11"/>
        <v>No data</v>
      </c>
      <c r="CF47" s="434" t="str">
        <f t="shared" si="12"/>
        <v>No data</v>
      </c>
      <c r="CG47" s="434" t="str">
        <f t="shared" si="13"/>
        <v>No data</v>
      </c>
      <c r="CH47" s="434" t="str">
        <f t="shared" si="14"/>
        <v>No data</v>
      </c>
      <c r="CI47" s="435">
        <f t="shared" si="15"/>
        <v>0</v>
      </c>
      <c r="CK47" s="3" t="str">
        <f>_xlfn.LET(_xlpm.x,INDEX(tbl_Mat_def[],MATCH(BF47,ls_Mat_def,0),2),IFERROR(IF(_xlpm.x=0,"No","Yes"),"No"))</f>
        <v>No</v>
      </c>
      <c r="CM47" s="60" t="str">
        <f t="shared" si="16"/>
        <v/>
      </c>
      <c r="CN47" s="60" t="s">
        <v>235</v>
      </c>
      <c r="CO47" s="432" t="str" cm="1">
        <f t="array" ref="CO47">IFERROR(INDEX(tblGWP[],MATCH(1,(tblGWP[Dataset ID]=BU47)*(tblGWP[Material Subcategory]=CM47),0),MATCH(CN47,ls_WHM,0)+4),"confirm")</f>
        <v>confirm</v>
      </c>
      <c r="CP47" s="436" t="str">
        <f t="shared" si="17"/>
        <v/>
      </c>
      <c r="DD47" s="388">
        <f t="shared" si="27"/>
        <v>0</v>
      </c>
      <c r="DE47" s="22">
        <f t="shared" si="18"/>
        <v>19</v>
      </c>
      <c r="DF47" s="387">
        <f t="shared" si="28"/>
        <v>0</v>
      </c>
      <c r="DG47" s="387">
        <f t="shared" si="29"/>
        <v>0</v>
      </c>
      <c r="DH47" s="22">
        <f t="shared" ca="1" si="19"/>
        <v>0</v>
      </c>
      <c r="DI47">
        <f t="shared" ca="1" si="20"/>
        <v>0</v>
      </c>
    </row>
    <row r="48" spans="1:113" ht="30" hidden="1" customHeight="1" outlineLevel="1">
      <c r="A48" s="22" t="str">
        <f t="shared" si="21"/>
        <v/>
      </c>
      <c r="B48" s="199"/>
      <c r="C48" s="459"/>
      <c r="D48" s="199"/>
      <c r="E48" s="405"/>
      <c r="F48" s="405"/>
      <c r="G48" s="406"/>
      <c r="H48" s="377"/>
      <c r="I48" s="377"/>
      <c r="J48" s="377"/>
      <c r="K48" s="377"/>
      <c r="L48" s="377"/>
      <c r="M48" s="377"/>
      <c r="N48" s="377"/>
      <c r="O48" s="377"/>
      <c r="P48" s="377"/>
      <c r="Q48" s="377"/>
      <c r="R48" s="377"/>
      <c r="S48" s="377"/>
      <c r="T48" s="458">
        <f t="shared" si="30"/>
        <v>0</v>
      </c>
      <c r="U48" s="200"/>
      <c r="W48" s="442"/>
      <c r="X48" s="443"/>
      <c r="BC48" s="3">
        <f t="shared" si="22"/>
        <v>0</v>
      </c>
      <c r="BD48" s="3">
        <f t="shared" si="23"/>
        <v>0</v>
      </c>
      <c r="BE48" s="432" t="str">
        <f t="shared" si="24"/>
        <v/>
      </c>
      <c r="BF48" s="432" t="str">
        <f t="shared" si="25"/>
        <v/>
      </c>
      <c r="BG48" s="432" t="str">
        <f t="shared" si="26"/>
        <v/>
      </c>
      <c r="BH48" s="434" t="str">
        <f>_xlfn.LET(_xlpm.x,H48,IF(OR(LEN(_xlpm.x)&lt;1,_xlpm.x=0),"",CONVERT(_xlpm.x,'Diversion and Disposal'!$BH$7,"kg")))</f>
        <v/>
      </c>
      <c r="BI48" s="434" t="str">
        <f>_xlfn.LET(_xlpm.x,I48,IF(OR(LEN(_xlpm.x)&lt;1,_xlpm.x=0),"",CONVERT(_xlpm.x,'Diversion and Disposal'!$BH$7,"kg")))</f>
        <v/>
      </c>
      <c r="BJ48" s="434" t="str">
        <f>_xlfn.LET(_xlpm.x,J48,IF(OR(LEN(_xlpm.x)&lt;1,_xlpm.x=0),"",CONVERT(_xlpm.x,'Diversion and Disposal'!$BH$7,"kg")))</f>
        <v/>
      </c>
      <c r="BK48" s="434" t="str">
        <f>_xlfn.LET(_xlpm.x,K48,IF(OR(LEN(_xlpm.x)&lt;1,_xlpm.x=0),"",CONVERT(_xlpm.x,'Diversion and Disposal'!$BH$7,"kg")))</f>
        <v/>
      </c>
      <c r="BL48" s="434" t="str">
        <f>_xlfn.LET(_xlpm.x,L48,IF(OR(LEN(_xlpm.x)&lt;1,_xlpm.x=0),"",CONVERT(_xlpm.x,'Diversion and Disposal'!$BH$7,"kg")))</f>
        <v/>
      </c>
      <c r="BM48" s="434" t="str">
        <f>_xlfn.LET(_xlpm.x,M48,IF(OR(LEN(_xlpm.x)&lt;1,_xlpm.x=0),"",CONVERT(_xlpm.x,'Diversion and Disposal'!$BH$7,"kg")))</f>
        <v/>
      </c>
      <c r="BN48" s="434" t="str">
        <f>_xlfn.LET(_xlpm.x,N48,IF(OR(LEN(_xlpm.x)&lt;1,_xlpm.x=0),"",CONVERT(_xlpm.x,'Diversion and Disposal'!$BH$7,"kg")))</f>
        <v/>
      </c>
      <c r="BO48" s="434" t="str">
        <f>_xlfn.LET(_xlpm.x,O48,IF(OR(LEN(_xlpm.x)&lt;1,_xlpm.x=0),"",CONVERT(_xlpm.x,'Diversion and Disposal'!$BH$7,"kg")))</f>
        <v/>
      </c>
      <c r="BP48" s="434" t="str">
        <f>_xlfn.LET(_xlpm.x,P48,IF(OR(LEN(_xlpm.x)&lt;1,_xlpm.x=0),"",CONVERT(_xlpm.x,'Diversion and Disposal'!$BH$7,"kg")))</f>
        <v/>
      </c>
      <c r="BQ48" s="434" t="str">
        <f>_xlfn.LET(_xlpm.x,Q48,IF(OR(LEN(_xlpm.x)&lt;1,_xlpm.x=0),"",CONVERT(_xlpm.x,'Diversion and Disposal'!$BH$7,"kg")))</f>
        <v/>
      </c>
      <c r="BR48" s="434" t="str">
        <f>_xlfn.LET(_xlpm.x,R48,IF(OR(LEN(_xlpm.x)&lt;1,_xlpm.x=0),"",CONVERT(_xlpm.x,'Diversion and Disposal'!$BH$7,"kg")))</f>
        <v/>
      </c>
      <c r="BS48" s="434" t="str">
        <f>_xlfn.LET(_xlpm.x,S48,IF(OR(LEN(_xlpm.x)&lt;1,_xlpm.x=0),"",CONVERT(_xlpm.x,'Diversion and Disposal'!$BH$7,"kg")))</f>
        <v/>
      </c>
      <c r="BT48" s="435">
        <f t="shared" si="2"/>
        <v>0</v>
      </c>
      <c r="BU48" s="433" t="str">
        <f>_xlfn.LET(_xlpm.x,BF48,IF(LEN(_xlpm.x)&lt;1,"",IF(ISNUMBER(MATCH(_xlpm.x,ls_Mat_def,0)),'Project Inputs'!$BF$14,99)))</f>
        <v/>
      </c>
      <c r="BV48" s="432" t="str" cm="1">
        <f t="array" ref="BV48">IFERROR(INDEX(tblGWP[],MATCH(1,(tblGWP[Dataset ID]=BU48)*(tblGWP[Material Subcategory]=BF48),0),MATCH(BG48,ls_WHM,0)+5),"confirm")</f>
        <v>confirm</v>
      </c>
      <c r="BW48" s="434" t="str">
        <f t="shared" si="3"/>
        <v>No data</v>
      </c>
      <c r="BX48" s="434" t="str">
        <f t="shared" si="4"/>
        <v>No data</v>
      </c>
      <c r="BY48" s="434" t="str">
        <f t="shared" si="5"/>
        <v>No data</v>
      </c>
      <c r="BZ48" s="434" t="str">
        <f t="shared" si="6"/>
        <v>No data</v>
      </c>
      <c r="CA48" s="434" t="str">
        <f t="shared" si="7"/>
        <v>No data</v>
      </c>
      <c r="CB48" s="434" t="str">
        <f t="shared" si="8"/>
        <v>No data</v>
      </c>
      <c r="CC48" s="434" t="str">
        <f t="shared" si="9"/>
        <v>No data</v>
      </c>
      <c r="CD48" s="434" t="str">
        <f t="shared" si="10"/>
        <v>No data</v>
      </c>
      <c r="CE48" s="434" t="str">
        <f t="shared" si="11"/>
        <v>No data</v>
      </c>
      <c r="CF48" s="434" t="str">
        <f t="shared" si="12"/>
        <v>No data</v>
      </c>
      <c r="CG48" s="434" t="str">
        <f t="shared" si="13"/>
        <v>No data</v>
      </c>
      <c r="CH48" s="434" t="str">
        <f t="shared" si="14"/>
        <v>No data</v>
      </c>
      <c r="CI48" s="435">
        <f t="shared" si="15"/>
        <v>0</v>
      </c>
      <c r="CK48" s="3" t="str">
        <f>_xlfn.LET(_xlpm.x,INDEX(tbl_Mat_def[],MATCH(BF48,ls_Mat_def,0),2),IFERROR(IF(_xlpm.x=0,"No","Yes"),"No"))</f>
        <v>No</v>
      </c>
      <c r="CM48" s="60" t="str">
        <f t="shared" si="16"/>
        <v/>
      </c>
      <c r="CN48" s="60" t="s">
        <v>235</v>
      </c>
      <c r="CO48" s="432" t="str" cm="1">
        <f t="array" ref="CO48">IFERROR(INDEX(tblGWP[],MATCH(1,(tblGWP[Dataset ID]=BU48)*(tblGWP[Material Subcategory]=CM48),0),MATCH(CN48,ls_WHM,0)+4),"confirm")</f>
        <v>confirm</v>
      </c>
      <c r="CP48" s="436" t="str">
        <f t="shared" si="17"/>
        <v/>
      </c>
      <c r="DD48" s="388">
        <f t="shared" si="27"/>
        <v>0</v>
      </c>
      <c r="DE48" s="22">
        <f t="shared" si="18"/>
        <v>19</v>
      </c>
      <c r="DF48" s="387">
        <f t="shared" si="28"/>
        <v>0</v>
      </c>
      <c r="DG48" s="387">
        <f t="shared" si="29"/>
        <v>0</v>
      </c>
      <c r="DH48" s="22">
        <f t="shared" ca="1" si="19"/>
        <v>0</v>
      </c>
      <c r="DI48">
        <f t="shared" ca="1" si="20"/>
        <v>0</v>
      </c>
    </row>
    <row r="49" spans="1:113" ht="30" hidden="1" customHeight="1" outlineLevel="1">
      <c r="A49" s="22" t="str">
        <f t="shared" si="21"/>
        <v/>
      </c>
      <c r="B49" s="199"/>
      <c r="C49" s="459"/>
      <c r="D49" s="199"/>
      <c r="E49" s="405"/>
      <c r="F49" s="405"/>
      <c r="G49" s="406"/>
      <c r="H49" s="377"/>
      <c r="I49" s="377"/>
      <c r="J49" s="377"/>
      <c r="K49" s="377"/>
      <c r="L49" s="377"/>
      <c r="M49" s="377"/>
      <c r="N49" s="377"/>
      <c r="O49" s="377"/>
      <c r="P49" s="377"/>
      <c r="Q49" s="377"/>
      <c r="R49" s="377"/>
      <c r="S49" s="377"/>
      <c r="T49" s="458">
        <f t="shared" si="30"/>
        <v>0</v>
      </c>
      <c r="U49" s="200"/>
      <c r="W49" s="442"/>
      <c r="X49" s="443"/>
      <c r="BC49" s="3">
        <f t="shared" si="22"/>
        <v>0</v>
      </c>
      <c r="BD49" s="3">
        <f t="shared" si="23"/>
        <v>0</v>
      </c>
      <c r="BE49" s="432" t="str">
        <f t="shared" si="24"/>
        <v/>
      </c>
      <c r="BF49" s="432" t="str">
        <f t="shared" si="25"/>
        <v/>
      </c>
      <c r="BG49" s="432" t="str">
        <f t="shared" si="26"/>
        <v/>
      </c>
      <c r="BH49" s="434" t="str">
        <f>_xlfn.LET(_xlpm.x,H49,IF(OR(LEN(_xlpm.x)&lt;1,_xlpm.x=0),"",CONVERT(_xlpm.x,'Diversion and Disposal'!$BH$7,"kg")))</f>
        <v/>
      </c>
      <c r="BI49" s="434" t="str">
        <f>_xlfn.LET(_xlpm.x,I49,IF(OR(LEN(_xlpm.x)&lt;1,_xlpm.x=0),"",CONVERT(_xlpm.x,'Diversion and Disposal'!$BH$7,"kg")))</f>
        <v/>
      </c>
      <c r="BJ49" s="434" t="str">
        <f>_xlfn.LET(_xlpm.x,J49,IF(OR(LEN(_xlpm.x)&lt;1,_xlpm.x=0),"",CONVERT(_xlpm.x,'Diversion and Disposal'!$BH$7,"kg")))</f>
        <v/>
      </c>
      <c r="BK49" s="434" t="str">
        <f>_xlfn.LET(_xlpm.x,K49,IF(OR(LEN(_xlpm.x)&lt;1,_xlpm.x=0),"",CONVERT(_xlpm.x,'Diversion and Disposal'!$BH$7,"kg")))</f>
        <v/>
      </c>
      <c r="BL49" s="434" t="str">
        <f>_xlfn.LET(_xlpm.x,L49,IF(OR(LEN(_xlpm.x)&lt;1,_xlpm.x=0),"",CONVERT(_xlpm.x,'Diversion and Disposal'!$BH$7,"kg")))</f>
        <v/>
      </c>
      <c r="BM49" s="434" t="str">
        <f>_xlfn.LET(_xlpm.x,M49,IF(OR(LEN(_xlpm.x)&lt;1,_xlpm.x=0),"",CONVERT(_xlpm.x,'Diversion and Disposal'!$BH$7,"kg")))</f>
        <v/>
      </c>
      <c r="BN49" s="434" t="str">
        <f>_xlfn.LET(_xlpm.x,N49,IF(OR(LEN(_xlpm.x)&lt;1,_xlpm.x=0),"",CONVERT(_xlpm.x,'Diversion and Disposal'!$BH$7,"kg")))</f>
        <v/>
      </c>
      <c r="BO49" s="434" t="str">
        <f>_xlfn.LET(_xlpm.x,O49,IF(OR(LEN(_xlpm.x)&lt;1,_xlpm.x=0),"",CONVERT(_xlpm.x,'Diversion and Disposal'!$BH$7,"kg")))</f>
        <v/>
      </c>
      <c r="BP49" s="434" t="str">
        <f>_xlfn.LET(_xlpm.x,P49,IF(OR(LEN(_xlpm.x)&lt;1,_xlpm.x=0),"",CONVERT(_xlpm.x,'Diversion and Disposal'!$BH$7,"kg")))</f>
        <v/>
      </c>
      <c r="BQ49" s="434" t="str">
        <f>_xlfn.LET(_xlpm.x,Q49,IF(OR(LEN(_xlpm.x)&lt;1,_xlpm.x=0),"",CONVERT(_xlpm.x,'Diversion and Disposal'!$BH$7,"kg")))</f>
        <v/>
      </c>
      <c r="BR49" s="434" t="str">
        <f>_xlfn.LET(_xlpm.x,R49,IF(OR(LEN(_xlpm.x)&lt;1,_xlpm.x=0),"",CONVERT(_xlpm.x,'Diversion and Disposal'!$BH$7,"kg")))</f>
        <v/>
      </c>
      <c r="BS49" s="434" t="str">
        <f>_xlfn.LET(_xlpm.x,S49,IF(OR(LEN(_xlpm.x)&lt;1,_xlpm.x=0),"",CONVERT(_xlpm.x,'Diversion and Disposal'!$BH$7,"kg")))</f>
        <v/>
      </c>
      <c r="BT49" s="435">
        <f t="shared" si="2"/>
        <v>0</v>
      </c>
      <c r="BU49" s="433" t="str">
        <f>_xlfn.LET(_xlpm.x,BF49,IF(LEN(_xlpm.x)&lt;1,"",IF(ISNUMBER(MATCH(_xlpm.x,ls_Mat_def,0)),'Project Inputs'!$BF$14,99)))</f>
        <v/>
      </c>
      <c r="BV49" s="432" t="str" cm="1">
        <f t="array" ref="BV49">IFERROR(INDEX(tblGWP[],MATCH(1,(tblGWP[Dataset ID]=BU49)*(tblGWP[Material Subcategory]=BF49),0),MATCH(BG49,ls_WHM,0)+5),"confirm")</f>
        <v>confirm</v>
      </c>
      <c r="BW49" s="434" t="str">
        <f t="shared" si="3"/>
        <v>No data</v>
      </c>
      <c r="BX49" s="434" t="str">
        <f t="shared" si="4"/>
        <v>No data</v>
      </c>
      <c r="BY49" s="434" t="str">
        <f t="shared" si="5"/>
        <v>No data</v>
      </c>
      <c r="BZ49" s="434" t="str">
        <f t="shared" si="6"/>
        <v>No data</v>
      </c>
      <c r="CA49" s="434" t="str">
        <f t="shared" si="7"/>
        <v>No data</v>
      </c>
      <c r="CB49" s="434" t="str">
        <f t="shared" si="8"/>
        <v>No data</v>
      </c>
      <c r="CC49" s="434" t="str">
        <f t="shared" si="9"/>
        <v>No data</v>
      </c>
      <c r="CD49" s="434" t="str">
        <f t="shared" si="10"/>
        <v>No data</v>
      </c>
      <c r="CE49" s="434" t="str">
        <f t="shared" si="11"/>
        <v>No data</v>
      </c>
      <c r="CF49" s="434" t="str">
        <f t="shared" si="12"/>
        <v>No data</v>
      </c>
      <c r="CG49" s="434" t="str">
        <f t="shared" si="13"/>
        <v>No data</v>
      </c>
      <c r="CH49" s="434" t="str">
        <f t="shared" si="14"/>
        <v>No data</v>
      </c>
      <c r="CI49" s="435">
        <f t="shared" si="15"/>
        <v>0</v>
      </c>
      <c r="CK49" s="3" t="str">
        <f>_xlfn.LET(_xlpm.x,INDEX(tbl_Mat_def[],MATCH(BF49,ls_Mat_def,0),2),IFERROR(IF(_xlpm.x=0,"No","Yes"),"No"))</f>
        <v>No</v>
      </c>
      <c r="CM49" s="60" t="str">
        <f t="shared" si="16"/>
        <v/>
      </c>
      <c r="CN49" s="60" t="s">
        <v>235</v>
      </c>
      <c r="CO49" s="432" t="str" cm="1">
        <f t="array" ref="CO49">IFERROR(INDEX(tblGWP[],MATCH(1,(tblGWP[Dataset ID]=BU49)*(tblGWP[Material Subcategory]=CM49),0),MATCH(CN49,ls_WHM,0)+4),"confirm")</f>
        <v>confirm</v>
      </c>
      <c r="CP49" s="436" t="str">
        <f t="shared" si="17"/>
        <v/>
      </c>
      <c r="DD49" s="388">
        <f t="shared" si="27"/>
        <v>0</v>
      </c>
      <c r="DE49" s="22">
        <f t="shared" si="18"/>
        <v>19</v>
      </c>
      <c r="DF49" s="387">
        <f t="shared" si="28"/>
        <v>0</v>
      </c>
      <c r="DG49" s="387">
        <f t="shared" si="29"/>
        <v>0</v>
      </c>
      <c r="DH49" s="22">
        <f t="shared" ca="1" si="19"/>
        <v>0</v>
      </c>
      <c r="DI49">
        <f t="shared" ca="1" si="20"/>
        <v>0</v>
      </c>
    </row>
    <row r="50" spans="1:113" ht="30" hidden="1" customHeight="1" outlineLevel="1">
      <c r="A50" s="22" t="str">
        <f t="shared" si="21"/>
        <v/>
      </c>
      <c r="B50" s="199"/>
      <c r="C50" s="459"/>
      <c r="D50" s="199"/>
      <c r="E50" s="405"/>
      <c r="F50" s="405"/>
      <c r="G50" s="406"/>
      <c r="H50" s="377"/>
      <c r="I50" s="377"/>
      <c r="J50" s="377"/>
      <c r="K50" s="377"/>
      <c r="L50" s="377"/>
      <c r="M50" s="377"/>
      <c r="N50" s="377"/>
      <c r="O50" s="377"/>
      <c r="P50" s="377"/>
      <c r="Q50" s="377"/>
      <c r="R50" s="377"/>
      <c r="S50" s="377"/>
      <c r="T50" s="458">
        <f t="shared" si="30"/>
        <v>0</v>
      </c>
      <c r="U50" s="200"/>
      <c r="W50" s="442"/>
      <c r="X50" s="443"/>
      <c r="BC50" s="3">
        <f t="shared" si="22"/>
        <v>0</v>
      </c>
      <c r="BD50" s="3">
        <f t="shared" si="23"/>
        <v>0</v>
      </c>
      <c r="BE50" s="432" t="str">
        <f t="shared" si="24"/>
        <v/>
      </c>
      <c r="BF50" s="432" t="str">
        <f t="shared" si="25"/>
        <v/>
      </c>
      <c r="BG50" s="432" t="str">
        <f t="shared" si="26"/>
        <v/>
      </c>
      <c r="BH50" s="434" t="str">
        <f>_xlfn.LET(_xlpm.x,H50,IF(OR(LEN(_xlpm.x)&lt;1,_xlpm.x=0),"",CONVERT(_xlpm.x,'Diversion and Disposal'!$BH$7,"kg")))</f>
        <v/>
      </c>
      <c r="BI50" s="434" t="str">
        <f>_xlfn.LET(_xlpm.x,I50,IF(OR(LEN(_xlpm.x)&lt;1,_xlpm.x=0),"",CONVERT(_xlpm.x,'Diversion and Disposal'!$BH$7,"kg")))</f>
        <v/>
      </c>
      <c r="BJ50" s="434" t="str">
        <f>_xlfn.LET(_xlpm.x,J50,IF(OR(LEN(_xlpm.x)&lt;1,_xlpm.x=0),"",CONVERT(_xlpm.x,'Diversion and Disposal'!$BH$7,"kg")))</f>
        <v/>
      </c>
      <c r="BK50" s="434" t="str">
        <f>_xlfn.LET(_xlpm.x,K50,IF(OR(LEN(_xlpm.x)&lt;1,_xlpm.x=0),"",CONVERT(_xlpm.x,'Diversion and Disposal'!$BH$7,"kg")))</f>
        <v/>
      </c>
      <c r="BL50" s="434" t="str">
        <f>_xlfn.LET(_xlpm.x,L50,IF(OR(LEN(_xlpm.x)&lt;1,_xlpm.x=0),"",CONVERT(_xlpm.x,'Diversion and Disposal'!$BH$7,"kg")))</f>
        <v/>
      </c>
      <c r="BM50" s="434" t="str">
        <f>_xlfn.LET(_xlpm.x,M50,IF(OR(LEN(_xlpm.x)&lt;1,_xlpm.x=0),"",CONVERT(_xlpm.x,'Diversion and Disposal'!$BH$7,"kg")))</f>
        <v/>
      </c>
      <c r="BN50" s="434" t="str">
        <f>_xlfn.LET(_xlpm.x,N50,IF(OR(LEN(_xlpm.x)&lt;1,_xlpm.x=0),"",CONVERT(_xlpm.x,'Diversion and Disposal'!$BH$7,"kg")))</f>
        <v/>
      </c>
      <c r="BO50" s="434" t="str">
        <f>_xlfn.LET(_xlpm.x,O50,IF(OR(LEN(_xlpm.x)&lt;1,_xlpm.x=0),"",CONVERT(_xlpm.x,'Diversion and Disposal'!$BH$7,"kg")))</f>
        <v/>
      </c>
      <c r="BP50" s="434" t="str">
        <f>_xlfn.LET(_xlpm.x,P50,IF(OR(LEN(_xlpm.x)&lt;1,_xlpm.x=0),"",CONVERT(_xlpm.x,'Diversion and Disposal'!$BH$7,"kg")))</f>
        <v/>
      </c>
      <c r="BQ50" s="434" t="str">
        <f>_xlfn.LET(_xlpm.x,Q50,IF(OR(LEN(_xlpm.x)&lt;1,_xlpm.x=0),"",CONVERT(_xlpm.x,'Diversion and Disposal'!$BH$7,"kg")))</f>
        <v/>
      </c>
      <c r="BR50" s="434" t="str">
        <f>_xlfn.LET(_xlpm.x,R50,IF(OR(LEN(_xlpm.x)&lt;1,_xlpm.x=0),"",CONVERT(_xlpm.x,'Diversion and Disposal'!$BH$7,"kg")))</f>
        <v/>
      </c>
      <c r="BS50" s="434" t="str">
        <f>_xlfn.LET(_xlpm.x,S50,IF(OR(LEN(_xlpm.x)&lt;1,_xlpm.x=0),"",CONVERT(_xlpm.x,'Diversion and Disposal'!$BH$7,"kg")))</f>
        <v/>
      </c>
      <c r="BT50" s="435">
        <f t="shared" si="2"/>
        <v>0</v>
      </c>
      <c r="BU50" s="433" t="str">
        <f>_xlfn.LET(_xlpm.x,BF50,IF(LEN(_xlpm.x)&lt;1,"",IF(ISNUMBER(MATCH(_xlpm.x,ls_Mat_def,0)),'Project Inputs'!$BF$14,99)))</f>
        <v/>
      </c>
      <c r="BV50" s="432" t="str" cm="1">
        <f t="array" ref="BV50">IFERROR(INDEX(tblGWP[],MATCH(1,(tblGWP[Dataset ID]=BU50)*(tblGWP[Material Subcategory]=BF50),0),MATCH(BG50,ls_WHM,0)+5),"confirm")</f>
        <v>confirm</v>
      </c>
      <c r="BW50" s="434" t="str">
        <f t="shared" si="3"/>
        <v>No data</v>
      </c>
      <c r="BX50" s="434" t="str">
        <f t="shared" si="4"/>
        <v>No data</v>
      </c>
      <c r="BY50" s="434" t="str">
        <f t="shared" si="5"/>
        <v>No data</v>
      </c>
      <c r="BZ50" s="434" t="str">
        <f t="shared" si="6"/>
        <v>No data</v>
      </c>
      <c r="CA50" s="434" t="str">
        <f t="shared" si="7"/>
        <v>No data</v>
      </c>
      <c r="CB50" s="434" t="str">
        <f t="shared" si="8"/>
        <v>No data</v>
      </c>
      <c r="CC50" s="434" t="str">
        <f t="shared" si="9"/>
        <v>No data</v>
      </c>
      <c r="CD50" s="434" t="str">
        <f t="shared" si="10"/>
        <v>No data</v>
      </c>
      <c r="CE50" s="434" t="str">
        <f t="shared" si="11"/>
        <v>No data</v>
      </c>
      <c r="CF50" s="434" t="str">
        <f t="shared" si="12"/>
        <v>No data</v>
      </c>
      <c r="CG50" s="434" t="str">
        <f t="shared" si="13"/>
        <v>No data</v>
      </c>
      <c r="CH50" s="434" t="str">
        <f t="shared" si="14"/>
        <v>No data</v>
      </c>
      <c r="CI50" s="435">
        <f t="shared" si="15"/>
        <v>0</v>
      </c>
      <c r="CK50" s="3" t="str">
        <f>_xlfn.LET(_xlpm.x,INDEX(tbl_Mat_def[],MATCH(BF50,ls_Mat_def,0),2),IFERROR(IF(_xlpm.x=0,"No","Yes"),"No"))</f>
        <v>No</v>
      </c>
      <c r="CM50" s="60" t="str">
        <f t="shared" si="16"/>
        <v/>
      </c>
      <c r="CN50" s="60" t="s">
        <v>235</v>
      </c>
      <c r="CO50" s="432" t="str" cm="1">
        <f t="array" ref="CO50">IFERROR(INDEX(tblGWP[],MATCH(1,(tblGWP[Dataset ID]=BU50)*(tblGWP[Material Subcategory]=CM50),0),MATCH(CN50,ls_WHM,0)+4),"confirm")</f>
        <v>confirm</v>
      </c>
      <c r="CP50" s="436" t="str">
        <f t="shared" si="17"/>
        <v/>
      </c>
      <c r="DD50" s="388">
        <f t="shared" si="27"/>
        <v>0</v>
      </c>
      <c r="DE50" s="22">
        <f t="shared" si="18"/>
        <v>19</v>
      </c>
      <c r="DF50" s="387">
        <f t="shared" si="28"/>
        <v>0</v>
      </c>
      <c r="DG50" s="387">
        <f t="shared" si="29"/>
        <v>0</v>
      </c>
      <c r="DH50" s="22">
        <f t="shared" ca="1" si="19"/>
        <v>0</v>
      </c>
      <c r="DI50">
        <f t="shared" ca="1" si="20"/>
        <v>0</v>
      </c>
    </row>
    <row r="51" spans="1:113" ht="30" hidden="1" customHeight="1" outlineLevel="1">
      <c r="A51" s="22" t="str">
        <f t="shared" si="21"/>
        <v/>
      </c>
      <c r="B51" s="199"/>
      <c r="C51" s="459"/>
      <c r="D51" s="199"/>
      <c r="E51" s="405"/>
      <c r="F51" s="405"/>
      <c r="G51" s="406"/>
      <c r="H51" s="377"/>
      <c r="I51" s="377"/>
      <c r="J51" s="377"/>
      <c r="K51" s="377"/>
      <c r="L51" s="377"/>
      <c r="M51" s="377"/>
      <c r="N51" s="377"/>
      <c r="O51" s="377"/>
      <c r="P51" s="377"/>
      <c r="Q51" s="377"/>
      <c r="R51" s="377"/>
      <c r="S51" s="377"/>
      <c r="T51" s="458">
        <f t="shared" si="30"/>
        <v>0</v>
      </c>
      <c r="U51" s="200"/>
      <c r="W51" s="442"/>
      <c r="X51" s="443"/>
      <c r="BC51" s="3">
        <f t="shared" si="22"/>
        <v>0</v>
      </c>
      <c r="BD51" s="3">
        <f t="shared" si="23"/>
        <v>0</v>
      </c>
      <c r="BE51" s="432" t="str">
        <f t="shared" si="24"/>
        <v/>
      </c>
      <c r="BF51" s="432" t="str">
        <f t="shared" si="25"/>
        <v/>
      </c>
      <c r="BG51" s="432" t="str">
        <f t="shared" si="26"/>
        <v/>
      </c>
      <c r="BH51" s="434" t="str">
        <f>_xlfn.LET(_xlpm.x,H51,IF(OR(LEN(_xlpm.x)&lt;1,_xlpm.x=0),"",CONVERT(_xlpm.x,'Diversion and Disposal'!$BH$7,"kg")))</f>
        <v/>
      </c>
      <c r="BI51" s="434" t="str">
        <f>_xlfn.LET(_xlpm.x,I51,IF(OR(LEN(_xlpm.x)&lt;1,_xlpm.x=0),"",CONVERT(_xlpm.x,'Diversion and Disposal'!$BH$7,"kg")))</f>
        <v/>
      </c>
      <c r="BJ51" s="434" t="str">
        <f>_xlfn.LET(_xlpm.x,J51,IF(OR(LEN(_xlpm.x)&lt;1,_xlpm.x=0),"",CONVERT(_xlpm.x,'Diversion and Disposal'!$BH$7,"kg")))</f>
        <v/>
      </c>
      <c r="BK51" s="434" t="str">
        <f>_xlfn.LET(_xlpm.x,K51,IF(OR(LEN(_xlpm.x)&lt;1,_xlpm.x=0),"",CONVERT(_xlpm.x,'Diversion and Disposal'!$BH$7,"kg")))</f>
        <v/>
      </c>
      <c r="BL51" s="434" t="str">
        <f>_xlfn.LET(_xlpm.x,L51,IF(OR(LEN(_xlpm.x)&lt;1,_xlpm.x=0),"",CONVERT(_xlpm.x,'Diversion and Disposal'!$BH$7,"kg")))</f>
        <v/>
      </c>
      <c r="BM51" s="434" t="str">
        <f>_xlfn.LET(_xlpm.x,M51,IF(OR(LEN(_xlpm.x)&lt;1,_xlpm.x=0),"",CONVERT(_xlpm.x,'Diversion and Disposal'!$BH$7,"kg")))</f>
        <v/>
      </c>
      <c r="BN51" s="434" t="str">
        <f>_xlfn.LET(_xlpm.x,N51,IF(OR(LEN(_xlpm.x)&lt;1,_xlpm.x=0),"",CONVERT(_xlpm.x,'Diversion and Disposal'!$BH$7,"kg")))</f>
        <v/>
      </c>
      <c r="BO51" s="434" t="str">
        <f>_xlfn.LET(_xlpm.x,O51,IF(OR(LEN(_xlpm.x)&lt;1,_xlpm.x=0),"",CONVERT(_xlpm.x,'Diversion and Disposal'!$BH$7,"kg")))</f>
        <v/>
      </c>
      <c r="BP51" s="434" t="str">
        <f>_xlfn.LET(_xlpm.x,P51,IF(OR(LEN(_xlpm.x)&lt;1,_xlpm.x=0),"",CONVERT(_xlpm.x,'Diversion and Disposal'!$BH$7,"kg")))</f>
        <v/>
      </c>
      <c r="BQ51" s="434" t="str">
        <f>_xlfn.LET(_xlpm.x,Q51,IF(OR(LEN(_xlpm.x)&lt;1,_xlpm.x=0),"",CONVERT(_xlpm.x,'Diversion and Disposal'!$BH$7,"kg")))</f>
        <v/>
      </c>
      <c r="BR51" s="434" t="str">
        <f>_xlfn.LET(_xlpm.x,R51,IF(OR(LEN(_xlpm.x)&lt;1,_xlpm.x=0),"",CONVERT(_xlpm.x,'Diversion and Disposal'!$BH$7,"kg")))</f>
        <v/>
      </c>
      <c r="BS51" s="434" t="str">
        <f>_xlfn.LET(_xlpm.x,S51,IF(OR(LEN(_xlpm.x)&lt;1,_xlpm.x=0),"",CONVERT(_xlpm.x,'Diversion and Disposal'!$BH$7,"kg")))</f>
        <v/>
      </c>
      <c r="BT51" s="435">
        <f t="shared" si="2"/>
        <v>0</v>
      </c>
      <c r="BU51" s="433" t="str">
        <f>_xlfn.LET(_xlpm.x,BF51,IF(LEN(_xlpm.x)&lt;1,"",IF(ISNUMBER(MATCH(_xlpm.x,ls_Mat_def,0)),'Project Inputs'!$BF$14,99)))</f>
        <v/>
      </c>
      <c r="BV51" s="432" t="str" cm="1">
        <f t="array" ref="BV51">IFERROR(INDEX(tblGWP[],MATCH(1,(tblGWP[Dataset ID]=BU51)*(tblGWP[Material Subcategory]=BF51),0),MATCH(BG51,ls_WHM,0)+5),"confirm")</f>
        <v>confirm</v>
      </c>
      <c r="BW51" s="434" t="str">
        <f t="shared" si="3"/>
        <v>No data</v>
      </c>
      <c r="BX51" s="434" t="str">
        <f t="shared" si="4"/>
        <v>No data</v>
      </c>
      <c r="BY51" s="434" t="str">
        <f t="shared" si="5"/>
        <v>No data</v>
      </c>
      <c r="BZ51" s="434" t="str">
        <f t="shared" si="6"/>
        <v>No data</v>
      </c>
      <c r="CA51" s="434" t="str">
        <f t="shared" si="7"/>
        <v>No data</v>
      </c>
      <c r="CB51" s="434" t="str">
        <f t="shared" si="8"/>
        <v>No data</v>
      </c>
      <c r="CC51" s="434" t="str">
        <f t="shared" si="9"/>
        <v>No data</v>
      </c>
      <c r="CD51" s="434" t="str">
        <f t="shared" si="10"/>
        <v>No data</v>
      </c>
      <c r="CE51" s="434" t="str">
        <f t="shared" si="11"/>
        <v>No data</v>
      </c>
      <c r="CF51" s="434" t="str">
        <f t="shared" si="12"/>
        <v>No data</v>
      </c>
      <c r="CG51" s="434" t="str">
        <f t="shared" si="13"/>
        <v>No data</v>
      </c>
      <c r="CH51" s="434" t="str">
        <f t="shared" si="14"/>
        <v>No data</v>
      </c>
      <c r="CI51" s="435">
        <f t="shared" si="15"/>
        <v>0</v>
      </c>
      <c r="CK51" s="3" t="str">
        <f>_xlfn.LET(_xlpm.x,INDEX(tbl_Mat_def[],MATCH(BF51,ls_Mat_def,0),2),IFERROR(IF(_xlpm.x=0,"No","Yes"),"No"))</f>
        <v>No</v>
      </c>
      <c r="CM51" s="60" t="str">
        <f t="shared" si="16"/>
        <v/>
      </c>
      <c r="CN51" s="60" t="s">
        <v>235</v>
      </c>
      <c r="CO51" s="432" t="str" cm="1">
        <f t="array" ref="CO51">IFERROR(INDEX(tblGWP[],MATCH(1,(tblGWP[Dataset ID]=BU51)*(tblGWP[Material Subcategory]=CM51),0),MATCH(CN51,ls_WHM,0)+4),"confirm")</f>
        <v>confirm</v>
      </c>
      <c r="CP51" s="436" t="str">
        <f t="shared" si="17"/>
        <v/>
      </c>
      <c r="DD51" s="388">
        <f t="shared" si="27"/>
        <v>0</v>
      </c>
      <c r="DE51" s="22">
        <f t="shared" si="18"/>
        <v>19</v>
      </c>
      <c r="DF51" s="387">
        <f t="shared" si="28"/>
        <v>0</v>
      </c>
      <c r="DG51" s="387">
        <f t="shared" si="29"/>
        <v>0</v>
      </c>
      <c r="DH51" s="22">
        <f t="shared" ca="1" si="19"/>
        <v>0</v>
      </c>
      <c r="DI51">
        <f t="shared" ca="1" si="20"/>
        <v>0</v>
      </c>
    </row>
    <row r="52" spans="1:113" ht="30" hidden="1" customHeight="1" outlineLevel="1">
      <c r="A52" s="22" t="str">
        <f t="shared" si="21"/>
        <v/>
      </c>
      <c r="B52" s="199"/>
      <c r="C52" s="459"/>
      <c r="D52" s="199"/>
      <c r="E52" s="405"/>
      <c r="F52" s="405"/>
      <c r="G52" s="406"/>
      <c r="H52" s="377"/>
      <c r="I52" s="377"/>
      <c r="J52" s="377"/>
      <c r="K52" s="377"/>
      <c r="L52" s="377"/>
      <c r="M52" s="377"/>
      <c r="N52" s="377"/>
      <c r="O52" s="377"/>
      <c r="P52" s="377"/>
      <c r="Q52" s="377"/>
      <c r="R52" s="377"/>
      <c r="S52" s="377"/>
      <c r="T52" s="458">
        <f t="shared" si="30"/>
        <v>0</v>
      </c>
      <c r="U52" s="200"/>
      <c r="W52" s="442"/>
      <c r="X52" s="443"/>
      <c r="BC52" s="3">
        <f t="shared" si="22"/>
        <v>0</v>
      </c>
      <c r="BD52" s="3">
        <f t="shared" si="23"/>
        <v>0</v>
      </c>
      <c r="BE52" s="432" t="str">
        <f t="shared" si="24"/>
        <v/>
      </c>
      <c r="BF52" s="432" t="str">
        <f t="shared" si="25"/>
        <v/>
      </c>
      <c r="BG52" s="432" t="str">
        <f t="shared" si="26"/>
        <v/>
      </c>
      <c r="BH52" s="434" t="str">
        <f>_xlfn.LET(_xlpm.x,H52,IF(OR(LEN(_xlpm.x)&lt;1,_xlpm.x=0),"",CONVERT(_xlpm.x,'Diversion and Disposal'!$BH$7,"kg")))</f>
        <v/>
      </c>
      <c r="BI52" s="434" t="str">
        <f>_xlfn.LET(_xlpm.x,I52,IF(OR(LEN(_xlpm.x)&lt;1,_xlpm.x=0),"",CONVERT(_xlpm.x,'Diversion and Disposal'!$BH$7,"kg")))</f>
        <v/>
      </c>
      <c r="BJ52" s="434" t="str">
        <f>_xlfn.LET(_xlpm.x,J52,IF(OR(LEN(_xlpm.x)&lt;1,_xlpm.x=0),"",CONVERT(_xlpm.x,'Diversion and Disposal'!$BH$7,"kg")))</f>
        <v/>
      </c>
      <c r="BK52" s="434" t="str">
        <f>_xlfn.LET(_xlpm.x,K52,IF(OR(LEN(_xlpm.x)&lt;1,_xlpm.x=0),"",CONVERT(_xlpm.x,'Diversion and Disposal'!$BH$7,"kg")))</f>
        <v/>
      </c>
      <c r="BL52" s="434" t="str">
        <f>_xlfn.LET(_xlpm.x,L52,IF(OR(LEN(_xlpm.x)&lt;1,_xlpm.x=0),"",CONVERT(_xlpm.x,'Diversion and Disposal'!$BH$7,"kg")))</f>
        <v/>
      </c>
      <c r="BM52" s="434" t="str">
        <f>_xlfn.LET(_xlpm.x,M52,IF(OR(LEN(_xlpm.x)&lt;1,_xlpm.x=0),"",CONVERT(_xlpm.x,'Diversion and Disposal'!$BH$7,"kg")))</f>
        <v/>
      </c>
      <c r="BN52" s="434" t="str">
        <f>_xlfn.LET(_xlpm.x,N52,IF(OR(LEN(_xlpm.x)&lt;1,_xlpm.x=0),"",CONVERT(_xlpm.x,'Diversion and Disposal'!$BH$7,"kg")))</f>
        <v/>
      </c>
      <c r="BO52" s="434" t="str">
        <f>_xlfn.LET(_xlpm.x,O52,IF(OR(LEN(_xlpm.x)&lt;1,_xlpm.x=0),"",CONVERT(_xlpm.x,'Diversion and Disposal'!$BH$7,"kg")))</f>
        <v/>
      </c>
      <c r="BP52" s="434" t="str">
        <f>_xlfn.LET(_xlpm.x,P52,IF(OR(LEN(_xlpm.x)&lt;1,_xlpm.x=0),"",CONVERT(_xlpm.x,'Diversion and Disposal'!$BH$7,"kg")))</f>
        <v/>
      </c>
      <c r="BQ52" s="434" t="str">
        <f>_xlfn.LET(_xlpm.x,Q52,IF(OR(LEN(_xlpm.x)&lt;1,_xlpm.x=0),"",CONVERT(_xlpm.x,'Diversion and Disposal'!$BH$7,"kg")))</f>
        <v/>
      </c>
      <c r="BR52" s="434" t="str">
        <f>_xlfn.LET(_xlpm.x,R52,IF(OR(LEN(_xlpm.x)&lt;1,_xlpm.x=0),"",CONVERT(_xlpm.x,'Diversion and Disposal'!$BH$7,"kg")))</f>
        <v/>
      </c>
      <c r="BS52" s="434" t="str">
        <f>_xlfn.LET(_xlpm.x,S52,IF(OR(LEN(_xlpm.x)&lt;1,_xlpm.x=0),"",CONVERT(_xlpm.x,'Diversion and Disposal'!$BH$7,"kg")))</f>
        <v/>
      </c>
      <c r="BT52" s="435">
        <f t="shared" si="2"/>
        <v>0</v>
      </c>
      <c r="BU52" s="433" t="str">
        <f>_xlfn.LET(_xlpm.x,BF52,IF(LEN(_xlpm.x)&lt;1,"",IF(ISNUMBER(MATCH(_xlpm.x,ls_Mat_def,0)),'Project Inputs'!$BF$14,99)))</f>
        <v/>
      </c>
      <c r="BV52" s="432" t="str" cm="1">
        <f t="array" ref="BV52">IFERROR(INDEX(tblGWP[],MATCH(1,(tblGWP[Dataset ID]=BU52)*(tblGWP[Material Subcategory]=BF52),0),MATCH(BG52,ls_WHM,0)+5),"confirm")</f>
        <v>confirm</v>
      </c>
      <c r="BW52" s="434" t="str">
        <f t="shared" si="3"/>
        <v>No data</v>
      </c>
      <c r="BX52" s="434" t="str">
        <f t="shared" si="4"/>
        <v>No data</v>
      </c>
      <c r="BY52" s="434" t="str">
        <f t="shared" si="5"/>
        <v>No data</v>
      </c>
      <c r="BZ52" s="434" t="str">
        <f t="shared" si="6"/>
        <v>No data</v>
      </c>
      <c r="CA52" s="434" t="str">
        <f t="shared" si="7"/>
        <v>No data</v>
      </c>
      <c r="CB52" s="434" t="str">
        <f t="shared" si="8"/>
        <v>No data</v>
      </c>
      <c r="CC52" s="434" t="str">
        <f t="shared" si="9"/>
        <v>No data</v>
      </c>
      <c r="CD52" s="434" t="str">
        <f t="shared" si="10"/>
        <v>No data</v>
      </c>
      <c r="CE52" s="434" t="str">
        <f t="shared" si="11"/>
        <v>No data</v>
      </c>
      <c r="CF52" s="434" t="str">
        <f t="shared" si="12"/>
        <v>No data</v>
      </c>
      <c r="CG52" s="434" t="str">
        <f t="shared" si="13"/>
        <v>No data</v>
      </c>
      <c r="CH52" s="434" t="str">
        <f t="shared" si="14"/>
        <v>No data</v>
      </c>
      <c r="CI52" s="435">
        <f t="shared" si="15"/>
        <v>0</v>
      </c>
      <c r="CK52" s="3" t="str">
        <f>_xlfn.LET(_xlpm.x,INDEX(tbl_Mat_def[],MATCH(BF52,ls_Mat_def,0),2),IFERROR(IF(_xlpm.x=0,"No","Yes"),"No"))</f>
        <v>No</v>
      </c>
      <c r="CM52" s="60" t="str">
        <f t="shared" si="16"/>
        <v/>
      </c>
      <c r="CN52" s="60" t="s">
        <v>235</v>
      </c>
      <c r="CO52" s="432" t="str" cm="1">
        <f t="array" ref="CO52">IFERROR(INDEX(tblGWP[],MATCH(1,(tblGWP[Dataset ID]=BU52)*(tblGWP[Material Subcategory]=CM52),0),MATCH(CN52,ls_WHM,0)+4),"confirm")</f>
        <v>confirm</v>
      </c>
      <c r="CP52" s="436" t="str">
        <f t="shared" si="17"/>
        <v/>
      </c>
      <c r="DD52" s="388">
        <f t="shared" si="27"/>
        <v>0</v>
      </c>
      <c r="DE52" s="22">
        <f t="shared" si="18"/>
        <v>19</v>
      </c>
      <c r="DF52" s="387">
        <f t="shared" si="28"/>
        <v>0</v>
      </c>
      <c r="DG52" s="387">
        <f t="shared" si="29"/>
        <v>0</v>
      </c>
      <c r="DH52" s="22">
        <f t="shared" ca="1" si="19"/>
        <v>0</v>
      </c>
      <c r="DI52">
        <f t="shared" ca="1" si="20"/>
        <v>0</v>
      </c>
    </row>
    <row r="53" spans="1:113" ht="30" hidden="1" customHeight="1" outlineLevel="1">
      <c r="A53" s="22" t="str">
        <f t="shared" si="21"/>
        <v/>
      </c>
      <c r="B53" s="199"/>
      <c r="C53" s="459"/>
      <c r="D53" s="199"/>
      <c r="E53" s="405"/>
      <c r="F53" s="405"/>
      <c r="G53" s="406"/>
      <c r="H53" s="377"/>
      <c r="I53" s="377"/>
      <c r="J53" s="377"/>
      <c r="K53" s="377"/>
      <c r="L53" s="377"/>
      <c r="M53" s="377"/>
      <c r="N53" s="377"/>
      <c r="O53" s="377"/>
      <c r="P53" s="377"/>
      <c r="Q53" s="377"/>
      <c r="R53" s="377"/>
      <c r="S53" s="377"/>
      <c r="T53" s="458">
        <f t="shared" si="30"/>
        <v>0</v>
      </c>
      <c r="U53" s="200"/>
      <c r="W53" s="442"/>
      <c r="X53" s="443"/>
      <c r="BC53" s="3">
        <f t="shared" si="22"/>
        <v>0</v>
      </c>
      <c r="BD53" s="3">
        <f t="shared" si="23"/>
        <v>0</v>
      </c>
      <c r="BE53" s="432" t="str">
        <f t="shared" si="24"/>
        <v/>
      </c>
      <c r="BF53" s="432" t="str">
        <f t="shared" si="25"/>
        <v/>
      </c>
      <c r="BG53" s="432" t="str">
        <f t="shared" si="26"/>
        <v/>
      </c>
      <c r="BH53" s="434" t="str">
        <f>_xlfn.LET(_xlpm.x,H53,IF(OR(LEN(_xlpm.x)&lt;1,_xlpm.x=0),"",CONVERT(_xlpm.x,'Diversion and Disposal'!$BH$7,"kg")))</f>
        <v/>
      </c>
      <c r="BI53" s="434" t="str">
        <f>_xlfn.LET(_xlpm.x,I53,IF(OR(LEN(_xlpm.x)&lt;1,_xlpm.x=0),"",CONVERT(_xlpm.x,'Diversion and Disposal'!$BH$7,"kg")))</f>
        <v/>
      </c>
      <c r="BJ53" s="434" t="str">
        <f>_xlfn.LET(_xlpm.x,J53,IF(OR(LEN(_xlpm.x)&lt;1,_xlpm.x=0),"",CONVERT(_xlpm.x,'Diversion and Disposal'!$BH$7,"kg")))</f>
        <v/>
      </c>
      <c r="BK53" s="434" t="str">
        <f>_xlfn.LET(_xlpm.x,K53,IF(OR(LEN(_xlpm.x)&lt;1,_xlpm.x=0),"",CONVERT(_xlpm.x,'Diversion and Disposal'!$BH$7,"kg")))</f>
        <v/>
      </c>
      <c r="BL53" s="434" t="str">
        <f>_xlfn.LET(_xlpm.x,L53,IF(OR(LEN(_xlpm.x)&lt;1,_xlpm.x=0),"",CONVERT(_xlpm.x,'Diversion and Disposal'!$BH$7,"kg")))</f>
        <v/>
      </c>
      <c r="BM53" s="434" t="str">
        <f>_xlfn.LET(_xlpm.x,M53,IF(OR(LEN(_xlpm.x)&lt;1,_xlpm.x=0),"",CONVERT(_xlpm.x,'Diversion and Disposal'!$BH$7,"kg")))</f>
        <v/>
      </c>
      <c r="BN53" s="434" t="str">
        <f>_xlfn.LET(_xlpm.x,N53,IF(OR(LEN(_xlpm.x)&lt;1,_xlpm.x=0),"",CONVERT(_xlpm.x,'Diversion and Disposal'!$BH$7,"kg")))</f>
        <v/>
      </c>
      <c r="BO53" s="434" t="str">
        <f>_xlfn.LET(_xlpm.x,O53,IF(OR(LEN(_xlpm.x)&lt;1,_xlpm.x=0),"",CONVERT(_xlpm.x,'Diversion and Disposal'!$BH$7,"kg")))</f>
        <v/>
      </c>
      <c r="BP53" s="434" t="str">
        <f>_xlfn.LET(_xlpm.x,P53,IF(OR(LEN(_xlpm.x)&lt;1,_xlpm.x=0),"",CONVERT(_xlpm.x,'Diversion and Disposal'!$BH$7,"kg")))</f>
        <v/>
      </c>
      <c r="BQ53" s="434" t="str">
        <f>_xlfn.LET(_xlpm.x,Q53,IF(OR(LEN(_xlpm.x)&lt;1,_xlpm.x=0),"",CONVERT(_xlpm.x,'Diversion and Disposal'!$BH$7,"kg")))</f>
        <v/>
      </c>
      <c r="BR53" s="434" t="str">
        <f>_xlfn.LET(_xlpm.x,R53,IF(OR(LEN(_xlpm.x)&lt;1,_xlpm.x=0),"",CONVERT(_xlpm.x,'Diversion and Disposal'!$BH$7,"kg")))</f>
        <v/>
      </c>
      <c r="BS53" s="434" t="str">
        <f>_xlfn.LET(_xlpm.x,S53,IF(OR(LEN(_xlpm.x)&lt;1,_xlpm.x=0),"",CONVERT(_xlpm.x,'Diversion and Disposal'!$BH$7,"kg")))</f>
        <v/>
      </c>
      <c r="BT53" s="435">
        <f t="shared" si="2"/>
        <v>0</v>
      </c>
      <c r="BU53" s="433" t="str">
        <f>_xlfn.LET(_xlpm.x,BF53,IF(LEN(_xlpm.x)&lt;1,"",IF(ISNUMBER(MATCH(_xlpm.x,ls_Mat_def,0)),'Project Inputs'!$BF$14,99)))</f>
        <v/>
      </c>
      <c r="BV53" s="432" t="str" cm="1">
        <f t="array" ref="BV53">IFERROR(INDEX(tblGWP[],MATCH(1,(tblGWP[Dataset ID]=BU53)*(tblGWP[Material Subcategory]=BF53),0),MATCH(BG53,ls_WHM,0)+5),"confirm")</f>
        <v>confirm</v>
      </c>
      <c r="BW53" s="434" t="str">
        <f t="shared" si="3"/>
        <v>No data</v>
      </c>
      <c r="BX53" s="434" t="str">
        <f t="shared" si="4"/>
        <v>No data</v>
      </c>
      <c r="BY53" s="434" t="str">
        <f t="shared" si="5"/>
        <v>No data</v>
      </c>
      <c r="BZ53" s="434" t="str">
        <f t="shared" si="6"/>
        <v>No data</v>
      </c>
      <c r="CA53" s="434" t="str">
        <f t="shared" si="7"/>
        <v>No data</v>
      </c>
      <c r="CB53" s="434" t="str">
        <f t="shared" si="8"/>
        <v>No data</v>
      </c>
      <c r="CC53" s="434" t="str">
        <f t="shared" si="9"/>
        <v>No data</v>
      </c>
      <c r="CD53" s="434" t="str">
        <f t="shared" si="10"/>
        <v>No data</v>
      </c>
      <c r="CE53" s="434" t="str">
        <f t="shared" si="11"/>
        <v>No data</v>
      </c>
      <c r="CF53" s="434" t="str">
        <f t="shared" si="12"/>
        <v>No data</v>
      </c>
      <c r="CG53" s="434" t="str">
        <f t="shared" si="13"/>
        <v>No data</v>
      </c>
      <c r="CH53" s="434" t="str">
        <f t="shared" si="14"/>
        <v>No data</v>
      </c>
      <c r="CI53" s="435">
        <f t="shared" si="15"/>
        <v>0</v>
      </c>
      <c r="CK53" s="3" t="str">
        <f>_xlfn.LET(_xlpm.x,INDEX(tbl_Mat_def[],MATCH(BF53,ls_Mat_def,0),2),IFERROR(IF(_xlpm.x=0,"No","Yes"),"No"))</f>
        <v>No</v>
      </c>
      <c r="CM53" s="60" t="str">
        <f t="shared" si="16"/>
        <v/>
      </c>
      <c r="CN53" s="60" t="s">
        <v>235</v>
      </c>
      <c r="CO53" s="432" t="str" cm="1">
        <f t="array" ref="CO53">IFERROR(INDEX(tblGWP[],MATCH(1,(tblGWP[Dataset ID]=BU53)*(tblGWP[Material Subcategory]=CM53),0),MATCH(CN53,ls_WHM,0)+4),"confirm")</f>
        <v>confirm</v>
      </c>
      <c r="CP53" s="436" t="str">
        <f t="shared" si="17"/>
        <v/>
      </c>
      <c r="DD53" s="388">
        <f t="shared" si="27"/>
        <v>0</v>
      </c>
      <c r="DE53" s="22">
        <f t="shared" si="18"/>
        <v>19</v>
      </c>
      <c r="DF53" s="387">
        <f t="shared" si="28"/>
        <v>0</v>
      </c>
      <c r="DG53" s="387">
        <f t="shared" si="29"/>
        <v>0</v>
      </c>
      <c r="DH53" s="22">
        <f t="shared" ca="1" si="19"/>
        <v>0</v>
      </c>
      <c r="DI53">
        <f t="shared" ca="1" si="20"/>
        <v>0</v>
      </c>
    </row>
    <row r="54" spans="1:113" ht="30" hidden="1" customHeight="1" outlineLevel="1">
      <c r="A54" s="22" t="str">
        <f t="shared" si="21"/>
        <v/>
      </c>
      <c r="B54" s="199"/>
      <c r="C54" s="459"/>
      <c r="D54" s="199"/>
      <c r="E54" s="405"/>
      <c r="F54" s="405"/>
      <c r="G54" s="406"/>
      <c r="H54" s="377"/>
      <c r="I54" s="377"/>
      <c r="J54" s="377"/>
      <c r="K54" s="377"/>
      <c r="L54" s="377"/>
      <c r="M54" s="377"/>
      <c r="N54" s="377"/>
      <c r="O54" s="377"/>
      <c r="P54" s="377"/>
      <c r="Q54" s="377"/>
      <c r="R54" s="377"/>
      <c r="S54" s="377"/>
      <c r="T54" s="458">
        <f t="shared" si="30"/>
        <v>0</v>
      </c>
      <c r="U54" s="200"/>
      <c r="W54" s="442"/>
      <c r="X54" s="443"/>
      <c r="BC54" s="3">
        <f t="shared" si="22"/>
        <v>0</v>
      </c>
      <c r="BD54" s="3">
        <f t="shared" si="23"/>
        <v>0</v>
      </c>
      <c r="BE54" s="432" t="str">
        <f t="shared" si="24"/>
        <v/>
      </c>
      <c r="BF54" s="432" t="str">
        <f t="shared" si="25"/>
        <v/>
      </c>
      <c r="BG54" s="432" t="str">
        <f t="shared" si="26"/>
        <v/>
      </c>
      <c r="BH54" s="434" t="str">
        <f>_xlfn.LET(_xlpm.x,H54,IF(OR(LEN(_xlpm.x)&lt;1,_xlpm.x=0),"",CONVERT(_xlpm.x,'Diversion and Disposal'!$BH$7,"kg")))</f>
        <v/>
      </c>
      <c r="BI54" s="434" t="str">
        <f>_xlfn.LET(_xlpm.x,I54,IF(OR(LEN(_xlpm.x)&lt;1,_xlpm.x=0),"",CONVERT(_xlpm.x,'Diversion and Disposal'!$BH$7,"kg")))</f>
        <v/>
      </c>
      <c r="BJ54" s="434" t="str">
        <f>_xlfn.LET(_xlpm.x,J54,IF(OR(LEN(_xlpm.x)&lt;1,_xlpm.x=0),"",CONVERT(_xlpm.x,'Diversion and Disposal'!$BH$7,"kg")))</f>
        <v/>
      </c>
      <c r="BK54" s="434" t="str">
        <f>_xlfn.LET(_xlpm.x,K54,IF(OR(LEN(_xlpm.x)&lt;1,_xlpm.x=0),"",CONVERT(_xlpm.x,'Diversion and Disposal'!$BH$7,"kg")))</f>
        <v/>
      </c>
      <c r="BL54" s="434" t="str">
        <f>_xlfn.LET(_xlpm.x,L54,IF(OR(LEN(_xlpm.x)&lt;1,_xlpm.x=0),"",CONVERT(_xlpm.x,'Diversion and Disposal'!$BH$7,"kg")))</f>
        <v/>
      </c>
      <c r="BM54" s="434" t="str">
        <f>_xlfn.LET(_xlpm.x,M54,IF(OR(LEN(_xlpm.x)&lt;1,_xlpm.x=0),"",CONVERT(_xlpm.x,'Diversion and Disposal'!$BH$7,"kg")))</f>
        <v/>
      </c>
      <c r="BN54" s="434" t="str">
        <f>_xlfn.LET(_xlpm.x,N54,IF(OR(LEN(_xlpm.x)&lt;1,_xlpm.x=0),"",CONVERT(_xlpm.x,'Diversion and Disposal'!$BH$7,"kg")))</f>
        <v/>
      </c>
      <c r="BO54" s="434" t="str">
        <f>_xlfn.LET(_xlpm.x,O54,IF(OR(LEN(_xlpm.x)&lt;1,_xlpm.x=0),"",CONVERT(_xlpm.x,'Diversion and Disposal'!$BH$7,"kg")))</f>
        <v/>
      </c>
      <c r="BP54" s="434" t="str">
        <f>_xlfn.LET(_xlpm.x,P54,IF(OR(LEN(_xlpm.x)&lt;1,_xlpm.x=0),"",CONVERT(_xlpm.x,'Diversion and Disposal'!$BH$7,"kg")))</f>
        <v/>
      </c>
      <c r="BQ54" s="434" t="str">
        <f>_xlfn.LET(_xlpm.x,Q54,IF(OR(LEN(_xlpm.x)&lt;1,_xlpm.x=0),"",CONVERT(_xlpm.x,'Diversion and Disposal'!$BH$7,"kg")))</f>
        <v/>
      </c>
      <c r="BR54" s="434" t="str">
        <f>_xlfn.LET(_xlpm.x,R54,IF(OR(LEN(_xlpm.x)&lt;1,_xlpm.x=0),"",CONVERT(_xlpm.x,'Diversion and Disposal'!$BH$7,"kg")))</f>
        <v/>
      </c>
      <c r="BS54" s="434" t="str">
        <f>_xlfn.LET(_xlpm.x,S54,IF(OR(LEN(_xlpm.x)&lt;1,_xlpm.x=0),"",CONVERT(_xlpm.x,'Diversion and Disposal'!$BH$7,"kg")))</f>
        <v/>
      </c>
      <c r="BT54" s="435">
        <f t="shared" ref="BT54:BT85" si="31">SUM(BH54:BS54)</f>
        <v>0</v>
      </c>
      <c r="BU54" s="433" t="str">
        <f>_xlfn.LET(_xlpm.x,BF54,IF(LEN(_xlpm.x)&lt;1,"",IF(ISNUMBER(MATCH(_xlpm.x,ls_Mat_def,0)),'Project Inputs'!$BF$14,99)))</f>
        <v/>
      </c>
      <c r="BV54" s="432" t="str" cm="1">
        <f t="array" ref="BV54">IFERROR(INDEX(tblGWP[],MATCH(1,(tblGWP[Dataset ID]=BU54)*(tblGWP[Material Subcategory]=BF54),0),MATCH(BG54,ls_WHM,0)+5),"confirm")</f>
        <v>confirm</v>
      </c>
      <c r="BW54" s="434" t="str">
        <f t="shared" ref="BW54:BW78" si="32">IFERROR(BH54*$BV54,"No data")</f>
        <v>No data</v>
      </c>
      <c r="BX54" s="434" t="str">
        <f t="shared" ref="BX54:BX78" si="33">IFERROR(BI54*$BV54,"No data")</f>
        <v>No data</v>
      </c>
      <c r="BY54" s="434" t="str">
        <f t="shared" ref="BY54:BY78" si="34">IFERROR(BJ54*$BV54,"No data")</f>
        <v>No data</v>
      </c>
      <c r="BZ54" s="434" t="str">
        <f t="shared" ref="BZ54:BZ78" si="35">IFERROR(BK54*$BV54,"No data")</f>
        <v>No data</v>
      </c>
      <c r="CA54" s="434" t="str">
        <f t="shared" ref="CA54:CA78" si="36">IFERROR(BL54*$BV54,"No data")</f>
        <v>No data</v>
      </c>
      <c r="CB54" s="434" t="str">
        <f t="shared" ref="CB54:CB78" si="37">IFERROR(BM54*$BV54,"No data")</f>
        <v>No data</v>
      </c>
      <c r="CC54" s="434" t="str">
        <f t="shared" ref="CC54:CC78" si="38">IFERROR(BN54*$BV54,"No data")</f>
        <v>No data</v>
      </c>
      <c r="CD54" s="434" t="str">
        <f t="shared" ref="CD54:CD78" si="39">IFERROR(BO54*$BV54,"No data")</f>
        <v>No data</v>
      </c>
      <c r="CE54" s="434" t="str">
        <f t="shared" ref="CE54:CE78" si="40">IFERROR(BP54*$BV54,"No data")</f>
        <v>No data</v>
      </c>
      <c r="CF54" s="434" t="str">
        <f t="shared" ref="CF54:CF78" si="41">IFERROR(BQ54*$BV54,"No data")</f>
        <v>No data</v>
      </c>
      <c r="CG54" s="434" t="str">
        <f t="shared" ref="CG54:CG78" si="42">IFERROR(BR54*$BV54,"No data")</f>
        <v>No data</v>
      </c>
      <c r="CH54" s="434" t="str">
        <f t="shared" ref="CH54:CH78" si="43">IFERROR(BS54*$BV54,"No data")</f>
        <v>No data</v>
      </c>
      <c r="CI54" s="435">
        <f t="shared" ref="CI54:CI85" si="44">SUM(BW54:CH54)</f>
        <v>0</v>
      </c>
      <c r="CK54" s="3" t="str">
        <f>_xlfn.LET(_xlpm.x,INDEX(tbl_Mat_def[],MATCH(BF54,ls_Mat_def,0),2),IFERROR(IF(_xlpm.x=0,"No","Yes"),"No"))</f>
        <v>No</v>
      </c>
      <c r="CM54" s="60" t="str">
        <f t="shared" ref="CM54:CM85" si="45">BF54</f>
        <v/>
      </c>
      <c r="CN54" s="60" t="s">
        <v>235</v>
      </c>
      <c r="CO54" s="432" t="str" cm="1">
        <f t="array" ref="CO54">IFERROR(INDEX(tblGWP[],MATCH(1,(tblGWP[Dataset ID]=BU54)*(tblGWP[Material Subcategory]=CM54),0),MATCH(CN54,ls_WHM,0)+4),"confirm")</f>
        <v>confirm</v>
      </c>
      <c r="CP54" s="436" t="str">
        <f t="shared" ref="CP54:CP85" si="46">IFERROR($BT54*CO54,"")</f>
        <v/>
      </c>
      <c r="DD54" s="388">
        <f t="shared" si="27"/>
        <v>0</v>
      </c>
      <c r="DE54" s="22">
        <f t="shared" ref="DE54:DE85" si="47">COUNTBLANK(B54:U54)</f>
        <v>19</v>
      </c>
      <c r="DF54" s="387">
        <f t="shared" si="28"/>
        <v>0</v>
      </c>
      <c r="DG54" s="387">
        <f t="shared" ref="DG54:DG85" si="48">_xlfn.LET(_xlpm.x,DE54,_xlpm.y,B54,_xlpm.z,E54,_xlpm.m,F54,_xlpm.n,G54,_xlpm.o,COUNTBLANK(H54:S54),_xlpm.p,C54,IF(_xlpm.x=19,0,
IF(AND(LEN(_xlpm.y)&gt;0,LEN(_xlpm.z)&gt;0,LEN(_xlpm.m)&gt;0,LEN(_xlpm.n)&gt;0,_xlpm.o&lt;12),0,1)))</f>
        <v>0</v>
      </c>
      <c r="DH54" s="22">
        <f t="shared" ref="DH54:DH85" ca="1" si="49">IF(DE54=19,0,IF(ISNUMBER(MATCH(F54,INDIRECT(INDEX(ls_Subcat_options,MATCH(E54,ls_Mat_Cat,0))),0)),0,1))</f>
        <v>0</v>
      </c>
      <c r="DI54">
        <f t="shared" ref="DI54:DI85" ca="1" si="50">IF(DE54=19,0,IF(ISNUMBER(MATCH(G54,INDIRECT(INDEX(ls_WHMB_options,MATCH(F54,ls_Mat,0))),0)),0,1))</f>
        <v>0</v>
      </c>
    </row>
    <row r="55" spans="1:113" ht="30" hidden="1" customHeight="1" outlineLevel="1">
      <c r="A55" s="22" t="str">
        <f t="shared" si="21"/>
        <v/>
      </c>
      <c r="B55" s="199"/>
      <c r="C55" s="459"/>
      <c r="D55" s="199"/>
      <c r="E55" s="405"/>
      <c r="F55" s="405"/>
      <c r="G55" s="406"/>
      <c r="H55" s="377"/>
      <c r="I55" s="377"/>
      <c r="J55" s="377"/>
      <c r="K55" s="377"/>
      <c r="L55" s="377"/>
      <c r="M55" s="377"/>
      <c r="N55" s="377"/>
      <c r="O55" s="377"/>
      <c r="P55" s="377"/>
      <c r="Q55" s="377"/>
      <c r="R55" s="377"/>
      <c r="S55" s="377"/>
      <c r="T55" s="458">
        <f t="shared" si="30"/>
        <v>0</v>
      </c>
      <c r="U55" s="200"/>
      <c r="W55" s="442"/>
      <c r="X55" s="443"/>
      <c r="BC55" s="3">
        <f t="shared" si="22"/>
        <v>0</v>
      </c>
      <c r="BD55" s="3">
        <f t="shared" si="23"/>
        <v>0</v>
      </c>
      <c r="BE55" s="432" t="str">
        <f t="shared" si="24"/>
        <v/>
      </c>
      <c r="BF55" s="432" t="str">
        <f t="shared" si="25"/>
        <v/>
      </c>
      <c r="BG55" s="432" t="str">
        <f t="shared" si="26"/>
        <v/>
      </c>
      <c r="BH55" s="434" t="str">
        <f>_xlfn.LET(_xlpm.x,H55,IF(OR(LEN(_xlpm.x)&lt;1,_xlpm.x=0),"",CONVERT(_xlpm.x,'Diversion and Disposal'!$BH$7,"kg")))</f>
        <v/>
      </c>
      <c r="BI55" s="434" t="str">
        <f>_xlfn.LET(_xlpm.x,I55,IF(OR(LEN(_xlpm.x)&lt;1,_xlpm.x=0),"",CONVERT(_xlpm.x,'Diversion and Disposal'!$BH$7,"kg")))</f>
        <v/>
      </c>
      <c r="BJ55" s="434" t="str">
        <f>_xlfn.LET(_xlpm.x,J55,IF(OR(LEN(_xlpm.x)&lt;1,_xlpm.x=0),"",CONVERT(_xlpm.x,'Diversion and Disposal'!$BH$7,"kg")))</f>
        <v/>
      </c>
      <c r="BK55" s="434" t="str">
        <f>_xlfn.LET(_xlpm.x,K55,IF(OR(LEN(_xlpm.x)&lt;1,_xlpm.x=0),"",CONVERT(_xlpm.x,'Diversion and Disposal'!$BH$7,"kg")))</f>
        <v/>
      </c>
      <c r="BL55" s="434" t="str">
        <f>_xlfn.LET(_xlpm.x,L55,IF(OR(LEN(_xlpm.x)&lt;1,_xlpm.x=0),"",CONVERT(_xlpm.x,'Diversion and Disposal'!$BH$7,"kg")))</f>
        <v/>
      </c>
      <c r="BM55" s="434" t="str">
        <f>_xlfn.LET(_xlpm.x,M55,IF(OR(LEN(_xlpm.x)&lt;1,_xlpm.x=0),"",CONVERT(_xlpm.x,'Diversion and Disposal'!$BH$7,"kg")))</f>
        <v/>
      </c>
      <c r="BN55" s="434" t="str">
        <f>_xlfn.LET(_xlpm.x,N55,IF(OR(LEN(_xlpm.x)&lt;1,_xlpm.x=0),"",CONVERT(_xlpm.x,'Diversion and Disposal'!$BH$7,"kg")))</f>
        <v/>
      </c>
      <c r="BO55" s="434" t="str">
        <f>_xlfn.LET(_xlpm.x,O55,IF(OR(LEN(_xlpm.x)&lt;1,_xlpm.x=0),"",CONVERT(_xlpm.x,'Diversion and Disposal'!$BH$7,"kg")))</f>
        <v/>
      </c>
      <c r="BP55" s="434" t="str">
        <f>_xlfn.LET(_xlpm.x,P55,IF(OR(LEN(_xlpm.x)&lt;1,_xlpm.x=0),"",CONVERT(_xlpm.x,'Diversion and Disposal'!$BH$7,"kg")))</f>
        <v/>
      </c>
      <c r="BQ55" s="434" t="str">
        <f>_xlfn.LET(_xlpm.x,Q55,IF(OR(LEN(_xlpm.x)&lt;1,_xlpm.x=0),"",CONVERT(_xlpm.x,'Diversion and Disposal'!$BH$7,"kg")))</f>
        <v/>
      </c>
      <c r="BR55" s="434" t="str">
        <f>_xlfn.LET(_xlpm.x,R55,IF(OR(LEN(_xlpm.x)&lt;1,_xlpm.x=0),"",CONVERT(_xlpm.x,'Diversion and Disposal'!$BH$7,"kg")))</f>
        <v/>
      </c>
      <c r="BS55" s="434" t="str">
        <f>_xlfn.LET(_xlpm.x,S55,IF(OR(LEN(_xlpm.x)&lt;1,_xlpm.x=0),"",CONVERT(_xlpm.x,'Diversion and Disposal'!$BH$7,"kg")))</f>
        <v/>
      </c>
      <c r="BT55" s="435">
        <f t="shared" si="31"/>
        <v>0</v>
      </c>
      <c r="BU55" s="433" t="str">
        <f>_xlfn.LET(_xlpm.x,BF55,IF(LEN(_xlpm.x)&lt;1,"",IF(ISNUMBER(MATCH(_xlpm.x,ls_Mat_def,0)),'Project Inputs'!$BF$14,99)))</f>
        <v/>
      </c>
      <c r="BV55" s="432" t="str" cm="1">
        <f t="array" ref="BV55">IFERROR(INDEX(tblGWP[],MATCH(1,(tblGWP[Dataset ID]=BU55)*(tblGWP[Material Subcategory]=BF55),0),MATCH(BG55,ls_WHM,0)+5),"confirm")</f>
        <v>confirm</v>
      </c>
      <c r="BW55" s="434" t="str">
        <f t="shared" si="32"/>
        <v>No data</v>
      </c>
      <c r="BX55" s="434" t="str">
        <f t="shared" si="33"/>
        <v>No data</v>
      </c>
      <c r="BY55" s="434" t="str">
        <f t="shared" si="34"/>
        <v>No data</v>
      </c>
      <c r="BZ55" s="434" t="str">
        <f t="shared" si="35"/>
        <v>No data</v>
      </c>
      <c r="CA55" s="434" t="str">
        <f t="shared" si="36"/>
        <v>No data</v>
      </c>
      <c r="CB55" s="434" t="str">
        <f t="shared" si="37"/>
        <v>No data</v>
      </c>
      <c r="CC55" s="434" t="str">
        <f t="shared" si="38"/>
        <v>No data</v>
      </c>
      <c r="CD55" s="434" t="str">
        <f t="shared" si="39"/>
        <v>No data</v>
      </c>
      <c r="CE55" s="434" t="str">
        <f t="shared" si="40"/>
        <v>No data</v>
      </c>
      <c r="CF55" s="434" t="str">
        <f t="shared" si="41"/>
        <v>No data</v>
      </c>
      <c r="CG55" s="434" t="str">
        <f t="shared" si="42"/>
        <v>No data</v>
      </c>
      <c r="CH55" s="434" t="str">
        <f t="shared" si="43"/>
        <v>No data</v>
      </c>
      <c r="CI55" s="435">
        <f t="shared" si="44"/>
        <v>0</v>
      </c>
      <c r="CK55" s="3" t="str">
        <f>_xlfn.LET(_xlpm.x,INDEX(tbl_Mat_def[],MATCH(BF55,ls_Mat_def,0),2),IFERROR(IF(_xlpm.x=0,"No","Yes"),"No"))</f>
        <v>No</v>
      </c>
      <c r="CM55" s="60" t="str">
        <f t="shared" si="45"/>
        <v/>
      </c>
      <c r="CN55" s="60" t="s">
        <v>235</v>
      </c>
      <c r="CO55" s="432" t="str" cm="1">
        <f t="array" ref="CO55">IFERROR(INDEX(tblGWP[],MATCH(1,(tblGWP[Dataset ID]=BU55)*(tblGWP[Material Subcategory]=CM55),0),MATCH(CN55,ls_WHM,0)+4),"confirm")</f>
        <v>confirm</v>
      </c>
      <c r="CP55" s="436" t="str">
        <f t="shared" si="46"/>
        <v/>
      </c>
      <c r="DD55" s="388">
        <f t="shared" si="27"/>
        <v>0</v>
      </c>
      <c r="DE55" s="22">
        <f t="shared" si="47"/>
        <v>19</v>
      </c>
      <c r="DF55" s="387">
        <f t="shared" si="28"/>
        <v>0</v>
      </c>
      <c r="DG55" s="387">
        <f t="shared" si="48"/>
        <v>0</v>
      </c>
      <c r="DH55" s="22">
        <f t="shared" ca="1" si="49"/>
        <v>0</v>
      </c>
      <c r="DI55">
        <f t="shared" ca="1" si="50"/>
        <v>0</v>
      </c>
    </row>
    <row r="56" spans="1:113" ht="30" hidden="1" customHeight="1" outlineLevel="1">
      <c r="A56" s="22" t="str">
        <f t="shared" si="21"/>
        <v/>
      </c>
      <c r="B56" s="199"/>
      <c r="C56" s="459"/>
      <c r="D56" s="199"/>
      <c r="E56" s="405"/>
      <c r="F56" s="405"/>
      <c r="G56" s="406"/>
      <c r="H56" s="377"/>
      <c r="I56" s="377"/>
      <c r="J56" s="377"/>
      <c r="K56" s="377"/>
      <c r="L56" s="377"/>
      <c r="M56" s="377"/>
      <c r="N56" s="377"/>
      <c r="O56" s="377"/>
      <c r="P56" s="377"/>
      <c r="Q56" s="377"/>
      <c r="R56" s="377"/>
      <c r="S56" s="377"/>
      <c r="T56" s="458">
        <f t="shared" si="30"/>
        <v>0</v>
      </c>
      <c r="U56" s="200"/>
      <c r="W56" s="442"/>
      <c r="X56" s="443"/>
      <c r="BC56" s="3">
        <f t="shared" si="22"/>
        <v>0</v>
      </c>
      <c r="BD56" s="3">
        <f t="shared" si="23"/>
        <v>0</v>
      </c>
      <c r="BE56" s="432" t="str">
        <f t="shared" si="24"/>
        <v/>
      </c>
      <c r="BF56" s="432" t="str">
        <f t="shared" si="25"/>
        <v/>
      </c>
      <c r="BG56" s="432" t="str">
        <f t="shared" si="26"/>
        <v/>
      </c>
      <c r="BH56" s="434" t="str">
        <f>_xlfn.LET(_xlpm.x,H56,IF(OR(LEN(_xlpm.x)&lt;1,_xlpm.x=0),"",CONVERT(_xlpm.x,'Diversion and Disposal'!$BH$7,"kg")))</f>
        <v/>
      </c>
      <c r="BI56" s="434" t="str">
        <f>_xlfn.LET(_xlpm.x,I56,IF(OR(LEN(_xlpm.x)&lt;1,_xlpm.x=0),"",CONVERT(_xlpm.x,'Diversion and Disposal'!$BH$7,"kg")))</f>
        <v/>
      </c>
      <c r="BJ56" s="434" t="str">
        <f>_xlfn.LET(_xlpm.x,J56,IF(OR(LEN(_xlpm.x)&lt;1,_xlpm.x=0),"",CONVERT(_xlpm.x,'Diversion and Disposal'!$BH$7,"kg")))</f>
        <v/>
      </c>
      <c r="BK56" s="434" t="str">
        <f>_xlfn.LET(_xlpm.x,K56,IF(OR(LEN(_xlpm.x)&lt;1,_xlpm.x=0),"",CONVERT(_xlpm.x,'Diversion and Disposal'!$BH$7,"kg")))</f>
        <v/>
      </c>
      <c r="BL56" s="434" t="str">
        <f>_xlfn.LET(_xlpm.x,L56,IF(OR(LEN(_xlpm.x)&lt;1,_xlpm.x=0),"",CONVERT(_xlpm.x,'Diversion and Disposal'!$BH$7,"kg")))</f>
        <v/>
      </c>
      <c r="BM56" s="434" t="str">
        <f>_xlfn.LET(_xlpm.x,M56,IF(OR(LEN(_xlpm.x)&lt;1,_xlpm.x=0),"",CONVERT(_xlpm.x,'Diversion and Disposal'!$BH$7,"kg")))</f>
        <v/>
      </c>
      <c r="BN56" s="434" t="str">
        <f>_xlfn.LET(_xlpm.x,N56,IF(OR(LEN(_xlpm.x)&lt;1,_xlpm.x=0),"",CONVERT(_xlpm.x,'Diversion and Disposal'!$BH$7,"kg")))</f>
        <v/>
      </c>
      <c r="BO56" s="434" t="str">
        <f>_xlfn.LET(_xlpm.x,O56,IF(OR(LEN(_xlpm.x)&lt;1,_xlpm.x=0),"",CONVERT(_xlpm.x,'Diversion and Disposal'!$BH$7,"kg")))</f>
        <v/>
      </c>
      <c r="BP56" s="434" t="str">
        <f>_xlfn.LET(_xlpm.x,P56,IF(OR(LEN(_xlpm.x)&lt;1,_xlpm.x=0),"",CONVERT(_xlpm.x,'Diversion and Disposal'!$BH$7,"kg")))</f>
        <v/>
      </c>
      <c r="BQ56" s="434" t="str">
        <f>_xlfn.LET(_xlpm.x,Q56,IF(OR(LEN(_xlpm.x)&lt;1,_xlpm.x=0),"",CONVERT(_xlpm.x,'Diversion and Disposal'!$BH$7,"kg")))</f>
        <v/>
      </c>
      <c r="BR56" s="434" t="str">
        <f>_xlfn.LET(_xlpm.x,R56,IF(OR(LEN(_xlpm.x)&lt;1,_xlpm.x=0),"",CONVERT(_xlpm.x,'Diversion and Disposal'!$BH$7,"kg")))</f>
        <v/>
      </c>
      <c r="BS56" s="434" t="str">
        <f>_xlfn.LET(_xlpm.x,S56,IF(OR(LEN(_xlpm.x)&lt;1,_xlpm.x=0),"",CONVERT(_xlpm.x,'Diversion and Disposal'!$BH$7,"kg")))</f>
        <v/>
      </c>
      <c r="BT56" s="435">
        <f t="shared" si="31"/>
        <v>0</v>
      </c>
      <c r="BU56" s="433" t="str">
        <f>_xlfn.LET(_xlpm.x,BF56,IF(LEN(_xlpm.x)&lt;1,"",IF(ISNUMBER(MATCH(_xlpm.x,ls_Mat_def,0)),'Project Inputs'!$BF$14,99)))</f>
        <v/>
      </c>
      <c r="BV56" s="432" t="str" cm="1">
        <f t="array" ref="BV56">IFERROR(INDEX(tblGWP[],MATCH(1,(tblGWP[Dataset ID]=BU56)*(tblGWP[Material Subcategory]=BF56),0),MATCH(BG56,ls_WHM,0)+5),"confirm")</f>
        <v>confirm</v>
      </c>
      <c r="BW56" s="434" t="str">
        <f t="shared" si="32"/>
        <v>No data</v>
      </c>
      <c r="BX56" s="434" t="str">
        <f t="shared" si="33"/>
        <v>No data</v>
      </c>
      <c r="BY56" s="434" t="str">
        <f t="shared" si="34"/>
        <v>No data</v>
      </c>
      <c r="BZ56" s="434" t="str">
        <f t="shared" si="35"/>
        <v>No data</v>
      </c>
      <c r="CA56" s="434" t="str">
        <f t="shared" si="36"/>
        <v>No data</v>
      </c>
      <c r="CB56" s="434" t="str">
        <f t="shared" si="37"/>
        <v>No data</v>
      </c>
      <c r="CC56" s="434" t="str">
        <f t="shared" si="38"/>
        <v>No data</v>
      </c>
      <c r="CD56" s="434" t="str">
        <f t="shared" si="39"/>
        <v>No data</v>
      </c>
      <c r="CE56" s="434" t="str">
        <f t="shared" si="40"/>
        <v>No data</v>
      </c>
      <c r="CF56" s="434" t="str">
        <f t="shared" si="41"/>
        <v>No data</v>
      </c>
      <c r="CG56" s="434" t="str">
        <f t="shared" si="42"/>
        <v>No data</v>
      </c>
      <c r="CH56" s="434" t="str">
        <f t="shared" si="43"/>
        <v>No data</v>
      </c>
      <c r="CI56" s="435">
        <f t="shared" si="44"/>
        <v>0</v>
      </c>
      <c r="CK56" s="3" t="str">
        <f>_xlfn.LET(_xlpm.x,INDEX(tbl_Mat_def[],MATCH(BF56,ls_Mat_def,0),2),IFERROR(IF(_xlpm.x=0,"No","Yes"),"No"))</f>
        <v>No</v>
      </c>
      <c r="CM56" s="60" t="str">
        <f t="shared" si="45"/>
        <v/>
      </c>
      <c r="CN56" s="60" t="s">
        <v>235</v>
      </c>
      <c r="CO56" s="432" t="str" cm="1">
        <f t="array" ref="CO56">IFERROR(INDEX(tblGWP[],MATCH(1,(tblGWP[Dataset ID]=BU56)*(tblGWP[Material Subcategory]=CM56),0),MATCH(CN56,ls_WHM,0)+4),"confirm")</f>
        <v>confirm</v>
      </c>
      <c r="CP56" s="436" t="str">
        <f t="shared" si="46"/>
        <v/>
      </c>
      <c r="DD56" s="388">
        <f t="shared" si="27"/>
        <v>0</v>
      </c>
      <c r="DE56" s="22">
        <f t="shared" si="47"/>
        <v>19</v>
      </c>
      <c r="DF56" s="387">
        <f t="shared" si="28"/>
        <v>0</v>
      </c>
      <c r="DG56" s="387">
        <f t="shared" si="48"/>
        <v>0</v>
      </c>
      <c r="DH56" s="22">
        <f t="shared" ca="1" si="49"/>
        <v>0</v>
      </c>
      <c r="DI56">
        <f t="shared" ca="1" si="50"/>
        <v>0</v>
      </c>
    </row>
    <row r="57" spans="1:113" ht="30" hidden="1" customHeight="1" outlineLevel="1">
      <c r="A57" s="22" t="str">
        <f t="shared" si="21"/>
        <v/>
      </c>
      <c r="B57" s="199"/>
      <c r="C57" s="459"/>
      <c r="D57" s="199"/>
      <c r="E57" s="405"/>
      <c r="F57" s="405"/>
      <c r="G57" s="406"/>
      <c r="H57" s="377"/>
      <c r="I57" s="377"/>
      <c r="J57" s="377"/>
      <c r="K57" s="377"/>
      <c r="L57" s="377"/>
      <c r="M57" s="377"/>
      <c r="N57" s="377"/>
      <c r="O57" s="377"/>
      <c r="P57" s="377"/>
      <c r="Q57" s="377"/>
      <c r="R57" s="377"/>
      <c r="S57" s="377"/>
      <c r="T57" s="458">
        <f t="shared" si="30"/>
        <v>0</v>
      </c>
      <c r="U57" s="200"/>
      <c r="W57" s="442"/>
      <c r="X57" s="443"/>
      <c r="BC57" s="3">
        <f t="shared" si="22"/>
        <v>0</v>
      </c>
      <c r="BD57" s="3">
        <f t="shared" si="23"/>
        <v>0</v>
      </c>
      <c r="BE57" s="432" t="str">
        <f t="shared" si="24"/>
        <v/>
      </c>
      <c r="BF57" s="432" t="str">
        <f t="shared" si="25"/>
        <v/>
      </c>
      <c r="BG57" s="432" t="str">
        <f t="shared" si="26"/>
        <v/>
      </c>
      <c r="BH57" s="434" t="str">
        <f>_xlfn.LET(_xlpm.x,H57,IF(OR(LEN(_xlpm.x)&lt;1,_xlpm.x=0),"",CONVERT(_xlpm.x,'Diversion and Disposal'!$BH$7,"kg")))</f>
        <v/>
      </c>
      <c r="BI57" s="434" t="str">
        <f>_xlfn.LET(_xlpm.x,I57,IF(OR(LEN(_xlpm.x)&lt;1,_xlpm.x=0),"",CONVERT(_xlpm.x,'Diversion and Disposal'!$BH$7,"kg")))</f>
        <v/>
      </c>
      <c r="BJ57" s="434" t="str">
        <f>_xlfn.LET(_xlpm.x,J57,IF(OR(LEN(_xlpm.x)&lt;1,_xlpm.x=0),"",CONVERT(_xlpm.x,'Diversion and Disposal'!$BH$7,"kg")))</f>
        <v/>
      </c>
      <c r="BK57" s="434" t="str">
        <f>_xlfn.LET(_xlpm.x,K57,IF(OR(LEN(_xlpm.x)&lt;1,_xlpm.x=0),"",CONVERT(_xlpm.x,'Diversion and Disposal'!$BH$7,"kg")))</f>
        <v/>
      </c>
      <c r="BL57" s="434" t="str">
        <f>_xlfn.LET(_xlpm.x,L57,IF(OR(LEN(_xlpm.x)&lt;1,_xlpm.x=0),"",CONVERT(_xlpm.x,'Diversion and Disposal'!$BH$7,"kg")))</f>
        <v/>
      </c>
      <c r="BM57" s="434" t="str">
        <f>_xlfn.LET(_xlpm.x,M57,IF(OR(LEN(_xlpm.x)&lt;1,_xlpm.x=0),"",CONVERT(_xlpm.x,'Diversion and Disposal'!$BH$7,"kg")))</f>
        <v/>
      </c>
      <c r="BN57" s="434" t="str">
        <f>_xlfn.LET(_xlpm.x,N57,IF(OR(LEN(_xlpm.x)&lt;1,_xlpm.x=0),"",CONVERT(_xlpm.x,'Diversion and Disposal'!$BH$7,"kg")))</f>
        <v/>
      </c>
      <c r="BO57" s="434" t="str">
        <f>_xlfn.LET(_xlpm.x,O57,IF(OR(LEN(_xlpm.x)&lt;1,_xlpm.x=0),"",CONVERT(_xlpm.x,'Diversion and Disposal'!$BH$7,"kg")))</f>
        <v/>
      </c>
      <c r="BP57" s="434" t="str">
        <f>_xlfn.LET(_xlpm.x,P57,IF(OR(LEN(_xlpm.x)&lt;1,_xlpm.x=0),"",CONVERT(_xlpm.x,'Diversion and Disposal'!$BH$7,"kg")))</f>
        <v/>
      </c>
      <c r="BQ57" s="434" t="str">
        <f>_xlfn.LET(_xlpm.x,Q57,IF(OR(LEN(_xlpm.x)&lt;1,_xlpm.x=0),"",CONVERT(_xlpm.x,'Diversion and Disposal'!$BH$7,"kg")))</f>
        <v/>
      </c>
      <c r="BR57" s="434" t="str">
        <f>_xlfn.LET(_xlpm.x,R57,IF(OR(LEN(_xlpm.x)&lt;1,_xlpm.x=0),"",CONVERT(_xlpm.x,'Diversion and Disposal'!$BH$7,"kg")))</f>
        <v/>
      </c>
      <c r="BS57" s="434" t="str">
        <f>_xlfn.LET(_xlpm.x,S57,IF(OR(LEN(_xlpm.x)&lt;1,_xlpm.x=0),"",CONVERT(_xlpm.x,'Diversion and Disposal'!$BH$7,"kg")))</f>
        <v/>
      </c>
      <c r="BT57" s="435">
        <f t="shared" si="31"/>
        <v>0</v>
      </c>
      <c r="BU57" s="433" t="str">
        <f>_xlfn.LET(_xlpm.x,BF57,IF(LEN(_xlpm.x)&lt;1,"",IF(ISNUMBER(MATCH(_xlpm.x,ls_Mat_def,0)),'Project Inputs'!$BF$14,99)))</f>
        <v/>
      </c>
      <c r="BV57" s="432" t="str" cm="1">
        <f t="array" ref="BV57">IFERROR(INDEX(tblGWP[],MATCH(1,(tblGWP[Dataset ID]=BU57)*(tblGWP[Material Subcategory]=BF57),0),MATCH(BG57,ls_WHM,0)+5),"confirm")</f>
        <v>confirm</v>
      </c>
      <c r="BW57" s="434" t="str">
        <f t="shared" si="32"/>
        <v>No data</v>
      </c>
      <c r="BX57" s="434" t="str">
        <f t="shared" si="33"/>
        <v>No data</v>
      </c>
      <c r="BY57" s="434" t="str">
        <f t="shared" si="34"/>
        <v>No data</v>
      </c>
      <c r="BZ57" s="434" t="str">
        <f t="shared" si="35"/>
        <v>No data</v>
      </c>
      <c r="CA57" s="434" t="str">
        <f t="shared" si="36"/>
        <v>No data</v>
      </c>
      <c r="CB57" s="434" t="str">
        <f t="shared" si="37"/>
        <v>No data</v>
      </c>
      <c r="CC57" s="434" t="str">
        <f t="shared" si="38"/>
        <v>No data</v>
      </c>
      <c r="CD57" s="434" t="str">
        <f t="shared" si="39"/>
        <v>No data</v>
      </c>
      <c r="CE57" s="434" t="str">
        <f t="shared" si="40"/>
        <v>No data</v>
      </c>
      <c r="CF57" s="434" t="str">
        <f t="shared" si="41"/>
        <v>No data</v>
      </c>
      <c r="CG57" s="434" t="str">
        <f t="shared" si="42"/>
        <v>No data</v>
      </c>
      <c r="CH57" s="434" t="str">
        <f t="shared" si="43"/>
        <v>No data</v>
      </c>
      <c r="CI57" s="435">
        <f t="shared" si="44"/>
        <v>0</v>
      </c>
      <c r="CK57" s="3" t="str">
        <f>_xlfn.LET(_xlpm.x,INDEX(tbl_Mat_def[],MATCH(BF57,ls_Mat_def,0),2),IFERROR(IF(_xlpm.x=0,"No","Yes"),"No"))</f>
        <v>No</v>
      </c>
      <c r="CM57" s="60" t="str">
        <f t="shared" si="45"/>
        <v/>
      </c>
      <c r="CN57" s="60" t="s">
        <v>235</v>
      </c>
      <c r="CO57" s="432" t="str" cm="1">
        <f t="array" ref="CO57">IFERROR(INDEX(tblGWP[],MATCH(1,(tblGWP[Dataset ID]=BU57)*(tblGWP[Material Subcategory]=CM57),0),MATCH(CN57,ls_WHM,0)+4),"confirm")</f>
        <v>confirm</v>
      </c>
      <c r="CP57" s="436" t="str">
        <f t="shared" si="46"/>
        <v/>
      </c>
      <c r="DD57" s="388">
        <f t="shared" si="27"/>
        <v>0</v>
      </c>
      <c r="DE57" s="22">
        <f t="shared" si="47"/>
        <v>19</v>
      </c>
      <c r="DF57" s="387">
        <f t="shared" si="28"/>
        <v>0</v>
      </c>
      <c r="DG57" s="387">
        <f t="shared" si="48"/>
        <v>0</v>
      </c>
      <c r="DH57" s="22">
        <f t="shared" ca="1" si="49"/>
        <v>0</v>
      </c>
      <c r="DI57">
        <f t="shared" ca="1" si="50"/>
        <v>0</v>
      </c>
    </row>
    <row r="58" spans="1:113" ht="30" hidden="1" customHeight="1" outlineLevel="1">
      <c r="A58" s="22" t="str">
        <f t="shared" si="21"/>
        <v/>
      </c>
      <c r="B58" s="199"/>
      <c r="C58" s="459"/>
      <c r="D58" s="199"/>
      <c r="E58" s="405"/>
      <c r="F58" s="405"/>
      <c r="G58" s="406"/>
      <c r="H58" s="377"/>
      <c r="I58" s="377"/>
      <c r="J58" s="377"/>
      <c r="K58" s="377"/>
      <c r="L58" s="377"/>
      <c r="M58" s="377"/>
      <c r="N58" s="377"/>
      <c r="O58" s="377"/>
      <c r="P58" s="377"/>
      <c r="Q58" s="377"/>
      <c r="R58" s="377"/>
      <c r="S58" s="377"/>
      <c r="T58" s="458">
        <f t="shared" si="30"/>
        <v>0</v>
      </c>
      <c r="U58" s="200"/>
      <c r="W58" s="442"/>
      <c r="X58" s="443"/>
      <c r="BC58" s="3">
        <f t="shared" si="22"/>
        <v>0</v>
      </c>
      <c r="BD58" s="3">
        <f t="shared" si="23"/>
        <v>0</v>
      </c>
      <c r="BE58" s="432" t="str">
        <f t="shared" si="24"/>
        <v/>
      </c>
      <c r="BF58" s="432" t="str">
        <f t="shared" si="25"/>
        <v/>
      </c>
      <c r="BG58" s="432" t="str">
        <f t="shared" si="26"/>
        <v/>
      </c>
      <c r="BH58" s="434" t="str">
        <f>_xlfn.LET(_xlpm.x,H58,IF(OR(LEN(_xlpm.x)&lt;1,_xlpm.x=0),"",CONVERT(_xlpm.x,'Diversion and Disposal'!$BH$7,"kg")))</f>
        <v/>
      </c>
      <c r="BI58" s="434" t="str">
        <f>_xlfn.LET(_xlpm.x,I58,IF(OR(LEN(_xlpm.x)&lt;1,_xlpm.x=0),"",CONVERT(_xlpm.x,'Diversion and Disposal'!$BH$7,"kg")))</f>
        <v/>
      </c>
      <c r="BJ58" s="434" t="str">
        <f>_xlfn.LET(_xlpm.x,J58,IF(OR(LEN(_xlpm.x)&lt;1,_xlpm.x=0),"",CONVERT(_xlpm.x,'Diversion and Disposal'!$BH$7,"kg")))</f>
        <v/>
      </c>
      <c r="BK58" s="434" t="str">
        <f>_xlfn.LET(_xlpm.x,K58,IF(OR(LEN(_xlpm.x)&lt;1,_xlpm.x=0),"",CONVERT(_xlpm.x,'Diversion and Disposal'!$BH$7,"kg")))</f>
        <v/>
      </c>
      <c r="BL58" s="434" t="str">
        <f>_xlfn.LET(_xlpm.x,L58,IF(OR(LEN(_xlpm.x)&lt;1,_xlpm.x=0),"",CONVERT(_xlpm.x,'Diversion and Disposal'!$BH$7,"kg")))</f>
        <v/>
      </c>
      <c r="BM58" s="434" t="str">
        <f>_xlfn.LET(_xlpm.x,M58,IF(OR(LEN(_xlpm.x)&lt;1,_xlpm.x=0),"",CONVERT(_xlpm.x,'Diversion and Disposal'!$BH$7,"kg")))</f>
        <v/>
      </c>
      <c r="BN58" s="434" t="str">
        <f>_xlfn.LET(_xlpm.x,N58,IF(OR(LEN(_xlpm.x)&lt;1,_xlpm.x=0),"",CONVERT(_xlpm.x,'Diversion and Disposal'!$BH$7,"kg")))</f>
        <v/>
      </c>
      <c r="BO58" s="434" t="str">
        <f>_xlfn.LET(_xlpm.x,O58,IF(OR(LEN(_xlpm.x)&lt;1,_xlpm.x=0),"",CONVERT(_xlpm.x,'Diversion and Disposal'!$BH$7,"kg")))</f>
        <v/>
      </c>
      <c r="BP58" s="434" t="str">
        <f>_xlfn.LET(_xlpm.x,P58,IF(OR(LEN(_xlpm.x)&lt;1,_xlpm.x=0),"",CONVERT(_xlpm.x,'Diversion and Disposal'!$BH$7,"kg")))</f>
        <v/>
      </c>
      <c r="BQ58" s="434" t="str">
        <f>_xlfn.LET(_xlpm.x,Q58,IF(OR(LEN(_xlpm.x)&lt;1,_xlpm.x=0),"",CONVERT(_xlpm.x,'Diversion and Disposal'!$BH$7,"kg")))</f>
        <v/>
      </c>
      <c r="BR58" s="434" t="str">
        <f>_xlfn.LET(_xlpm.x,R58,IF(OR(LEN(_xlpm.x)&lt;1,_xlpm.x=0),"",CONVERT(_xlpm.x,'Diversion and Disposal'!$BH$7,"kg")))</f>
        <v/>
      </c>
      <c r="BS58" s="434" t="str">
        <f>_xlfn.LET(_xlpm.x,S58,IF(OR(LEN(_xlpm.x)&lt;1,_xlpm.x=0),"",CONVERT(_xlpm.x,'Diversion and Disposal'!$BH$7,"kg")))</f>
        <v/>
      </c>
      <c r="BT58" s="435">
        <f t="shared" si="31"/>
        <v>0</v>
      </c>
      <c r="BU58" s="433" t="str">
        <f>_xlfn.LET(_xlpm.x,BF58,IF(LEN(_xlpm.x)&lt;1,"",IF(ISNUMBER(MATCH(_xlpm.x,ls_Mat_def,0)),'Project Inputs'!$BF$14,99)))</f>
        <v/>
      </c>
      <c r="BV58" s="432" t="str" cm="1">
        <f t="array" ref="BV58">IFERROR(INDEX(tblGWP[],MATCH(1,(tblGWP[Dataset ID]=BU58)*(tblGWP[Material Subcategory]=BF58),0),MATCH(BG58,ls_WHM,0)+5),"confirm")</f>
        <v>confirm</v>
      </c>
      <c r="BW58" s="434" t="str">
        <f t="shared" si="32"/>
        <v>No data</v>
      </c>
      <c r="BX58" s="434" t="str">
        <f t="shared" si="33"/>
        <v>No data</v>
      </c>
      <c r="BY58" s="434" t="str">
        <f t="shared" si="34"/>
        <v>No data</v>
      </c>
      <c r="BZ58" s="434" t="str">
        <f t="shared" si="35"/>
        <v>No data</v>
      </c>
      <c r="CA58" s="434" t="str">
        <f t="shared" si="36"/>
        <v>No data</v>
      </c>
      <c r="CB58" s="434" t="str">
        <f t="shared" si="37"/>
        <v>No data</v>
      </c>
      <c r="CC58" s="434" t="str">
        <f t="shared" si="38"/>
        <v>No data</v>
      </c>
      <c r="CD58" s="434" t="str">
        <f t="shared" si="39"/>
        <v>No data</v>
      </c>
      <c r="CE58" s="434" t="str">
        <f t="shared" si="40"/>
        <v>No data</v>
      </c>
      <c r="CF58" s="434" t="str">
        <f t="shared" si="41"/>
        <v>No data</v>
      </c>
      <c r="CG58" s="434" t="str">
        <f t="shared" si="42"/>
        <v>No data</v>
      </c>
      <c r="CH58" s="434" t="str">
        <f t="shared" si="43"/>
        <v>No data</v>
      </c>
      <c r="CI58" s="435">
        <f t="shared" si="44"/>
        <v>0</v>
      </c>
      <c r="CK58" s="3" t="str">
        <f>_xlfn.LET(_xlpm.x,INDEX(tbl_Mat_def[],MATCH(BF58,ls_Mat_def,0),2),IFERROR(IF(_xlpm.x=0,"No","Yes"),"No"))</f>
        <v>No</v>
      </c>
      <c r="CM58" s="60" t="str">
        <f t="shared" si="45"/>
        <v/>
      </c>
      <c r="CN58" s="60" t="s">
        <v>235</v>
      </c>
      <c r="CO58" s="432" t="str" cm="1">
        <f t="array" ref="CO58">IFERROR(INDEX(tblGWP[],MATCH(1,(tblGWP[Dataset ID]=BU58)*(tblGWP[Material Subcategory]=CM58),0),MATCH(CN58,ls_WHM,0)+4),"confirm")</f>
        <v>confirm</v>
      </c>
      <c r="CP58" s="436" t="str">
        <f t="shared" si="46"/>
        <v/>
      </c>
      <c r="DD58" s="388">
        <f t="shared" si="27"/>
        <v>0</v>
      </c>
      <c r="DE58" s="22">
        <f t="shared" si="47"/>
        <v>19</v>
      </c>
      <c r="DF58" s="387">
        <f t="shared" si="28"/>
        <v>0</v>
      </c>
      <c r="DG58" s="387">
        <f t="shared" si="48"/>
        <v>0</v>
      </c>
      <c r="DH58" s="22">
        <f t="shared" ca="1" si="49"/>
        <v>0</v>
      </c>
      <c r="DI58">
        <f t="shared" ca="1" si="50"/>
        <v>0</v>
      </c>
    </row>
    <row r="59" spans="1:113" ht="30" hidden="1" customHeight="1" outlineLevel="1">
      <c r="A59" s="22" t="str">
        <f t="shared" si="21"/>
        <v/>
      </c>
      <c r="B59" s="199"/>
      <c r="C59" s="459"/>
      <c r="D59" s="199"/>
      <c r="E59" s="405"/>
      <c r="F59" s="405"/>
      <c r="G59" s="406"/>
      <c r="H59" s="377"/>
      <c r="I59" s="377"/>
      <c r="J59" s="377"/>
      <c r="K59" s="377"/>
      <c r="L59" s="377"/>
      <c r="M59" s="377"/>
      <c r="N59" s="377"/>
      <c r="O59" s="377"/>
      <c r="P59" s="377"/>
      <c r="Q59" s="377"/>
      <c r="R59" s="377"/>
      <c r="S59" s="377"/>
      <c r="T59" s="458">
        <f t="shared" si="30"/>
        <v>0</v>
      </c>
      <c r="U59" s="200"/>
      <c r="W59" s="442"/>
      <c r="X59" s="443"/>
      <c r="BC59" s="3">
        <f t="shared" si="22"/>
        <v>0</v>
      </c>
      <c r="BD59" s="3">
        <f t="shared" si="23"/>
        <v>0</v>
      </c>
      <c r="BE59" s="432" t="str">
        <f t="shared" si="24"/>
        <v/>
      </c>
      <c r="BF59" s="432" t="str">
        <f t="shared" si="25"/>
        <v/>
      </c>
      <c r="BG59" s="432" t="str">
        <f t="shared" si="26"/>
        <v/>
      </c>
      <c r="BH59" s="434" t="str">
        <f>_xlfn.LET(_xlpm.x,H59,IF(OR(LEN(_xlpm.x)&lt;1,_xlpm.x=0),"",CONVERT(_xlpm.x,'Diversion and Disposal'!$BH$7,"kg")))</f>
        <v/>
      </c>
      <c r="BI59" s="434" t="str">
        <f>_xlfn.LET(_xlpm.x,I59,IF(OR(LEN(_xlpm.x)&lt;1,_xlpm.x=0),"",CONVERT(_xlpm.x,'Diversion and Disposal'!$BH$7,"kg")))</f>
        <v/>
      </c>
      <c r="BJ59" s="434" t="str">
        <f>_xlfn.LET(_xlpm.x,J59,IF(OR(LEN(_xlpm.x)&lt;1,_xlpm.x=0),"",CONVERT(_xlpm.x,'Diversion and Disposal'!$BH$7,"kg")))</f>
        <v/>
      </c>
      <c r="BK59" s="434" t="str">
        <f>_xlfn.LET(_xlpm.x,K59,IF(OR(LEN(_xlpm.x)&lt;1,_xlpm.x=0),"",CONVERT(_xlpm.x,'Diversion and Disposal'!$BH$7,"kg")))</f>
        <v/>
      </c>
      <c r="BL59" s="434" t="str">
        <f>_xlfn.LET(_xlpm.x,L59,IF(OR(LEN(_xlpm.x)&lt;1,_xlpm.x=0),"",CONVERT(_xlpm.x,'Diversion and Disposal'!$BH$7,"kg")))</f>
        <v/>
      </c>
      <c r="BM59" s="434" t="str">
        <f>_xlfn.LET(_xlpm.x,M59,IF(OR(LEN(_xlpm.x)&lt;1,_xlpm.x=0),"",CONVERT(_xlpm.x,'Diversion and Disposal'!$BH$7,"kg")))</f>
        <v/>
      </c>
      <c r="BN59" s="434" t="str">
        <f>_xlfn.LET(_xlpm.x,N59,IF(OR(LEN(_xlpm.x)&lt;1,_xlpm.x=0),"",CONVERT(_xlpm.x,'Diversion and Disposal'!$BH$7,"kg")))</f>
        <v/>
      </c>
      <c r="BO59" s="434" t="str">
        <f>_xlfn.LET(_xlpm.x,O59,IF(OR(LEN(_xlpm.x)&lt;1,_xlpm.x=0),"",CONVERT(_xlpm.x,'Diversion and Disposal'!$BH$7,"kg")))</f>
        <v/>
      </c>
      <c r="BP59" s="434" t="str">
        <f>_xlfn.LET(_xlpm.x,P59,IF(OR(LEN(_xlpm.x)&lt;1,_xlpm.x=0),"",CONVERT(_xlpm.x,'Diversion and Disposal'!$BH$7,"kg")))</f>
        <v/>
      </c>
      <c r="BQ59" s="434" t="str">
        <f>_xlfn.LET(_xlpm.x,Q59,IF(OR(LEN(_xlpm.x)&lt;1,_xlpm.x=0),"",CONVERT(_xlpm.x,'Diversion and Disposal'!$BH$7,"kg")))</f>
        <v/>
      </c>
      <c r="BR59" s="434" t="str">
        <f>_xlfn.LET(_xlpm.x,R59,IF(OR(LEN(_xlpm.x)&lt;1,_xlpm.x=0),"",CONVERT(_xlpm.x,'Diversion and Disposal'!$BH$7,"kg")))</f>
        <v/>
      </c>
      <c r="BS59" s="434" t="str">
        <f>_xlfn.LET(_xlpm.x,S59,IF(OR(LEN(_xlpm.x)&lt;1,_xlpm.x=0),"",CONVERT(_xlpm.x,'Diversion and Disposal'!$BH$7,"kg")))</f>
        <v/>
      </c>
      <c r="BT59" s="435">
        <f t="shared" si="31"/>
        <v>0</v>
      </c>
      <c r="BU59" s="433" t="str">
        <f>_xlfn.LET(_xlpm.x,BF59,IF(LEN(_xlpm.x)&lt;1,"",IF(ISNUMBER(MATCH(_xlpm.x,ls_Mat_def,0)),'Project Inputs'!$BF$14,99)))</f>
        <v/>
      </c>
      <c r="BV59" s="432" t="str" cm="1">
        <f t="array" ref="BV59">IFERROR(INDEX(tblGWP[],MATCH(1,(tblGWP[Dataset ID]=BU59)*(tblGWP[Material Subcategory]=BF59),0),MATCH(BG59,ls_WHM,0)+5),"confirm")</f>
        <v>confirm</v>
      </c>
      <c r="BW59" s="434" t="str">
        <f t="shared" si="32"/>
        <v>No data</v>
      </c>
      <c r="BX59" s="434" t="str">
        <f t="shared" si="33"/>
        <v>No data</v>
      </c>
      <c r="BY59" s="434" t="str">
        <f t="shared" si="34"/>
        <v>No data</v>
      </c>
      <c r="BZ59" s="434" t="str">
        <f t="shared" si="35"/>
        <v>No data</v>
      </c>
      <c r="CA59" s="434" t="str">
        <f t="shared" si="36"/>
        <v>No data</v>
      </c>
      <c r="CB59" s="434" t="str">
        <f t="shared" si="37"/>
        <v>No data</v>
      </c>
      <c r="CC59" s="434" t="str">
        <f t="shared" si="38"/>
        <v>No data</v>
      </c>
      <c r="CD59" s="434" t="str">
        <f t="shared" si="39"/>
        <v>No data</v>
      </c>
      <c r="CE59" s="434" t="str">
        <f t="shared" si="40"/>
        <v>No data</v>
      </c>
      <c r="CF59" s="434" t="str">
        <f t="shared" si="41"/>
        <v>No data</v>
      </c>
      <c r="CG59" s="434" t="str">
        <f t="shared" si="42"/>
        <v>No data</v>
      </c>
      <c r="CH59" s="434" t="str">
        <f t="shared" si="43"/>
        <v>No data</v>
      </c>
      <c r="CI59" s="435">
        <f t="shared" si="44"/>
        <v>0</v>
      </c>
      <c r="CK59" s="3" t="str">
        <f>_xlfn.LET(_xlpm.x,INDEX(tbl_Mat_def[],MATCH(BF59,ls_Mat_def,0),2),IFERROR(IF(_xlpm.x=0,"No","Yes"),"No"))</f>
        <v>No</v>
      </c>
      <c r="CM59" s="60" t="str">
        <f t="shared" si="45"/>
        <v/>
      </c>
      <c r="CN59" s="60" t="s">
        <v>235</v>
      </c>
      <c r="CO59" s="432" t="str" cm="1">
        <f t="array" ref="CO59">IFERROR(INDEX(tblGWP[],MATCH(1,(tblGWP[Dataset ID]=BU59)*(tblGWP[Material Subcategory]=CM59),0),MATCH(CN59,ls_WHM,0)+4),"confirm")</f>
        <v>confirm</v>
      </c>
      <c r="CP59" s="436" t="str">
        <f t="shared" si="46"/>
        <v/>
      </c>
      <c r="DD59" s="388">
        <f t="shared" si="27"/>
        <v>0</v>
      </c>
      <c r="DE59" s="22">
        <f t="shared" si="47"/>
        <v>19</v>
      </c>
      <c r="DF59" s="387">
        <f t="shared" si="28"/>
        <v>0</v>
      </c>
      <c r="DG59" s="387">
        <f t="shared" si="48"/>
        <v>0</v>
      </c>
      <c r="DH59" s="22">
        <f t="shared" ca="1" si="49"/>
        <v>0</v>
      </c>
      <c r="DI59">
        <f t="shared" ca="1" si="50"/>
        <v>0</v>
      </c>
    </row>
    <row r="60" spans="1:113" ht="30" hidden="1" customHeight="1" outlineLevel="1">
      <c r="A60" s="22" t="str">
        <f t="shared" si="21"/>
        <v/>
      </c>
      <c r="B60" s="199"/>
      <c r="C60" s="459"/>
      <c r="D60" s="199"/>
      <c r="E60" s="405"/>
      <c r="F60" s="405"/>
      <c r="G60" s="406"/>
      <c r="H60" s="377"/>
      <c r="I60" s="377"/>
      <c r="J60" s="377"/>
      <c r="K60" s="377"/>
      <c r="L60" s="377"/>
      <c r="M60" s="377"/>
      <c r="N60" s="377"/>
      <c r="O60" s="377"/>
      <c r="P60" s="377"/>
      <c r="Q60" s="377"/>
      <c r="R60" s="377"/>
      <c r="S60" s="377"/>
      <c r="T60" s="458">
        <f t="shared" ref="T60:T91" si="51">SUM(H60:S60)</f>
        <v>0</v>
      </c>
      <c r="U60" s="200"/>
      <c r="W60" s="442"/>
      <c r="X60" s="443"/>
      <c r="BC60" s="3">
        <f t="shared" si="22"/>
        <v>0</v>
      </c>
      <c r="BD60" s="3">
        <f t="shared" si="23"/>
        <v>0</v>
      </c>
      <c r="BE60" s="432" t="str">
        <f t="shared" si="24"/>
        <v/>
      </c>
      <c r="BF60" s="432" t="str">
        <f t="shared" si="25"/>
        <v/>
      </c>
      <c r="BG60" s="432" t="str">
        <f t="shared" si="26"/>
        <v/>
      </c>
      <c r="BH60" s="434" t="str">
        <f>_xlfn.LET(_xlpm.x,H60,IF(OR(LEN(_xlpm.x)&lt;1,_xlpm.x=0),"",CONVERT(_xlpm.x,'Diversion and Disposal'!$BH$7,"kg")))</f>
        <v/>
      </c>
      <c r="BI60" s="434" t="str">
        <f>_xlfn.LET(_xlpm.x,I60,IF(OR(LEN(_xlpm.x)&lt;1,_xlpm.x=0),"",CONVERT(_xlpm.x,'Diversion and Disposal'!$BH$7,"kg")))</f>
        <v/>
      </c>
      <c r="BJ60" s="434" t="str">
        <f>_xlfn.LET(_xlpm.x,J60,IF(OR(LEN(_xlpm.x)&lt;1,_xlpm.x=0),"",CONVERT(_xlpm.x,'Diversion and Disposal'!$BH$7,"kg")))</f>
        <v/>
      </c>
      <c r="BK60" s="434" t="str">
        <f>_xlfn.LET(_xlpm.x,K60,IF(OR(LEN(_xlpm.x)&lt;1,_xlpm.x=0),"",CONVERT(_xlpm.x,'Diversion and Disposal'!$BH$7,"kg")))</f>
        <v/>
      </c>
      <c r="BL60" s="434" t="str">
        <f>_xlfn.LET(_xlpm.x,L60,IF(OR(LEN(_xlpm.x)&lt;1,_xlpm.x=0),"",CONVERT(_xlpm.x,'Diversion and Disposal'!$BH$7,"kg")))</f>
        <v/>
      </c>
      <c r="BM60" s="434" t="str">
        <f>_xlfn.LET(_xlpm.x,M60,IF(OR(LEN(_xlpm.x)&lt;1,_xlpm.x=0),"",CONVERT(_xlpm.x,'Diversion and Disposal'!$BH$7,"kg")))</f>
        <v/>
      </c>
      <c r="BN60" s="434" t="str">
        <f>_xlfn.LET(_xlpm.x,N60,IF(OR(LEN(_xlpm.x)&lt;1,_xlpm.x=0),"",CONVERT(_xlpm.x,'Diversion and Disposal'!$BH$7,"kg")))</f>
        <v/>
      </c>
      <c r="BO60" s="434" t="str">
        <f>_xlfn.LET(_xlpm.x,O60,IF(OR(LEN(_xlpm.x)&lt;1,_xlpm.x=0),"",CONVERT(_xlpm.x,'Diversion and Disposal'!$BH$7,"kg")))</f>
        <v/>
      </c>
      <c r="BP60" s="434" t="str">
        <f>_xlfn.LET(_xlpm.x,P60,IF(OR(LEN(_xlpm.x)&lt;1,_xlpm.x=0),"",CONVERT(_xlpm.x,'Diversion and Disposal'!$BH$7,"kg")))</f>
        <v/>
      </c>
      <c r="BQ60" s="434" t="str">
        <f>_xlfn.LET(_xlpm.x,Q60,IF(OR(LEN(_xlpm.x)&lt;1,_xlpm.x=0),"",CONVERT(_xlpm.x,'Diversion and Disposal'!$BH$7,"kg")))</f>
        <v/>
      </c>
      <c r="BR60" s="434" t="str">
        <f>_xlfn.LET(_xlpm.x,R60,IF(OR(LEN(_xlpm.x)&lt;1,_xlpm.x=0),"",CONVERT(_xlpm.x,'Diversion and Disposal'!$BH$7,"kg")))</f>
        <v/>
      </c>
      <c r="BS60" s="434" t="str">
        <f>_xlfn.LET(_xlpm.x,S60,IF(OR(LEN(_xlpm.x)&lt;1,_xlpm.x=0),"",CONVERT(_xlpm.x,'Diversion and Disposal'!$BH$7,"kg")))</f>
        <v/>
      </c>
      <c r="BT60" s="435">
        <f t="shared" si="31"/>
        <v>0</v>
      </c>
      <c r="BU60" s="433" t="str">
        <f>_xlfn.LET(_xlpm.x,BF60,IF(LEN(_xlpm.x)&lt;1,"",IF(ISNUMBER(MATCH(_xlpm.x,ls_Mat_def,0)),'Project Inputs'!$BF$14,99)))</f>
        <v/>
      </c>
      <c r="BV60" s="432" t="str" cm="1">
        <f t="array" ref="BV60">IFERROR(INDEX(tblGWP[],MATCH(1,(tblGWP[Dataset ID]=BU60)*(tblGWP[Material Subcategory]=BF60),0),MATCH(BG60,ls_WHM,0)+5),"confirm")</f>
        <v>confirm</v>
      </c>
      <c r="BW60" s="434" t="str">
        <f t="shared" si="32"/>
        <v>No data</v>
      </c>
      <c r="BX60" s="434" t="str">
        <f t="shared" si="33"/>
        <v>No data</v>
      </c>
      <c r="BY60" s="434" t="str">
        <f t="shared" si="34"/>
        <v>No data</v>
      </c>
      <c r="BZ60" s="434" t="str">
        <f t="shared" si="35"/>
        <v>No data</v>
      </c>
      <c r="CA60" s="434" t="str">
        <f t="shared" si="36"/>
        <v>No data</v>
      </c>
      <c r="CB60" s="434" t="str">
        <f t="shared" si="37"/>
        <v>No data</v>
      </c>
      <c r="CC60" s="434" t="str">
        <f t="shared" si="38"/>
        <v>No data</v>
      </c>
      <c r="CD60" s="434" t="str">
        <f t="shared" si="39"/>
        <v>No data</v>
      </c>
      <c r="CE60" s="434" t="str">
        <f t="shared" si="40"/>
        <v>No data</v>
      </c>
      <c r="CF60" s="434" t="str">
        <f t="shared" si="41"/>
        <v>No data</v>
      </c>
      <c r="CG60" s="434" t="str">
        <f t="shared" si="42"/>
        <v>No data</v>
      </c>
      <c r="CH60" s="434" t="str">
        <f t="shared" si="43"/>
        <v>No data</v>
      </c>
      <c r="CI60" s="435">
        <f t="shared" si="44"/>
        <v>0</v>
      </c>
      <c r="CK60" s="3" t="str">
        <f>_xlfn.LET(_xlpm.x,INDEX(tbl_Mat_def[],MATCH(BF60,ls_Mat_def,0),2),IFERROR(IF(_xlpm.x=0,"No","Yes"),"No"))</f>
        <v>No</v>
      </c>
      <c r="CM60" s="60" t="str">
        <f t="shared" si="45"/>
        <v/>
      </c>
      <c r="CN60" s="60" t="s">
        <v>235</v>
      </c>
      <c r="CO60" s="432" t="str" cm="1">
        <f t="array" ref="CO60">IFERROR(INDEX(tblGWP[],MATCH(1,(tblGWP[Dataset ID]=BU60)*(tblGWP[Material Subcategory]=CM60),0),MATCH(CN60,ls_WHM,0)+4),"confirm")</f>
        <v>confirm</v>
      </c>
      <c r="CP60" s="436" t="str">
        <f t="shared" si="46"/>
        <v/>
      </c>
      <c r="DD60" s="388">
        <f t="shared" si="27"/>
        <v>0</v>
      </c>
      <c r="DE60" s="22">
        <f t="shared" si="47"/>
        <v>19</v>
      </c>
      <c r="DF60" s="387">
        <f t="shared" si="28"/>
        <v>0</v>
      </c>
      <c r="DG60" s="387">
        <f t="shared" si="48"/>
        <v>0</v>
      </c>
      <c r="DH60" s="22">
        <f t="shared" ca="1" si="49"/>
        <v>0</v>
      </c>
      <c r="DI60">
        <f t="shared" ca="1" si="50"/>
        <v>0</v>
      </c>
    </row>
    <row r="61" spans="1:113" ht="30" hidden="1" customHeight="1" outlineLevel="1">
      <c r="A61" s="22" t="str">
        <f t="shared" si="21"/>
        <v/>
      </c>
      <c r="B61" s="199"/>
      <c r="C61" s="459"/>
      <c r="D61" s="199"/>
      <c r="E61" s="405"/>
      <c r="F61" s="405"/>
      <c r="G61" s="406"/>
      <c r="H61" s="377"/>
      <c r="I61" s="377"/>
      <c r="J61" s="377"/>
      <c r="K61" s="377"/>
      <c r="L61" s="377"/>
      <c r="M61" s="377"/>
      <c r="N61" s="377"/>
      <c r="O61" s="377"/>
      <c r="P61" s="377"/>
      <c r="Q61" s="377"/>
      <c r="R61" s="377"/>
      <c r="S61" s="377"/>
      <c r="T61" s="458">
        <f t="shared" si="51"/>
        <v>0</v>
      </c>
      <c r="U61" s="200"/>
      <c r="W61" s="442"/>
      <c r="X61" s="443"/>
      <c r="BC61" s="3">
        <f t="shared" si="22"/>
        <v>0</v>
      </c>
      <c r="BD61" s="3">
        <f t="shared" si="23"/>
        <v>0</v>
      </c>
      <c r="BE61" s="432" t="str">
        <f t="shared" si="24"/>
        <v/>
      </c>
      <c r="BF61" s="432" t="str">
        <f t="shared" si="25"/>
        <v/>
      </c>
      <c r="BG61" s="432" t="str">
        <f t="shared" si="26"/>
        <v/>
      </c>
      <c r="BH61" s="434" t="str">
        <f>_xlfn.LET(_xlpm.x,H61,IF(OR(LEN(_xlpm.x)&lt;1,_xlpm.x=0),"",CONVERT(_xlpm.x,'Diversion and Disposal'!$BH$7,"kg")))</f>
        <v/>
      </c>
      <c r="BI61" s="434" t="str">
        <f>_xlfn.LET(_xlpm.x,I61,IF(OR(LEN(_xlpm.x)&lt;1,_xlpm.x=0),"",CONVERT(_xlpm.x,'Diversion and Disposal'!$BH$7,"kg")))</f>
        <v/>
      </c>
      <c r="BJ61" s="434" t="str">
        <f>_xlfn.LET(_xlpm.x,J61,IF(OR(LEN(_xlpm.x)&lt;1,_xlpm.x=0),"",CONVERT(_xlpm.x,'Diversion and Disposal'!$BH$7,"kg")))</f>
        <v/>
      </c>
      <c r="BK61" s="434" t="str">
        <f>_xlfn.LET(_xlpm.x,K61,IF(OR(LEN(_xlpm.x)&lt;1,_xlpm.x=0),"",CONVERT(_xlpm.x,'Diversion and Disposal'!$BH$7,"kg")))</f>
        <v/>
      </c>
      <c r="BL61" s="434" t="str">
        <f>_xlfn.LET(_xlpm.x,L61,IF(OR(LEN(_xlpm.x)&lt;1,_xlpm.x=0),"",CONVERT(_xlpm.x,'Diversion and Disposal'!$BH$7,"kg")))</f>
        <v/>
      </c>
      <c r="BM61" s="434" t="str">
        <f>_xlfn.LET(_xlpm.x,M61,IF(OR(LEN(_xlpm.x)&lt;1,_xlpm.x=0),"",CONVERT(_xlpm.x,'Diversion and Disposal'!$BH$7,"kg")))</f>
        <v/>
      </c>
      <c r="BN61" s="434" t="str">
        <f>_xlfn.LET(_xlpm.x,N61,IF(OR(LEN(_xlpm.x)&lt;1,_xlpm.x=0),"",CONVERT(_xlpm.x,'Diversion and Disposal'!$BH$7,"kg")))</f>
        <v/>
      </c>
      <c r="BO61" s="434" t="str">
        <f>_xlfn.LET(_xlpm.x,O61,IF(OR(LEN(_xlpm.x)&lt;1,_xlpm.x=0),"",CONVERT(_xlpm.x,'Diversion and Disposal'!$BH$7,"kg")))</f>
        <v/>
      </c>
      <c r="BP61" s="434" t="str">
        <f>_xlfn.LET(_xlpm.x,P61,IF(OR(LEN(_xlpm.x)&lt;1,_xlpm.x=0),"",CONVERT(_xlpm.x,'Diversion and Disposal'!$BH$7,"kg")))</f>
        <v/>
      </c>
      <c r="BQ61" s="434" t="str">
        <f>_xlfn.LET(_xlpm.x,Q61,IF(OR(LEN(_xlpm.x)&lt;1,_xlpm.x=0),"",CONVERT(_xlpm.x,'Diversion and Disposal'!$BH$7,"kg")))</f>
        <v/>
      </c>
      <c r="BR61" s="434" t="str">
        <f>_xlfn.LET(_xlpm.x,R61,IF(OR(LEN(_xlpm.x)&lt;1,_xlpm.x=0),"",CONVERT(_xlpm.x,'Diversion and Disposal'!$BH$7,"kg")))</f>
        <v/>
      </c>
      <c r="BS61" s="434" t="str">
        <f>_xlfn.LET(_xlpm.x,S61,IF(OR(LEN(_xlpm.x)&lt;1,_xlpm.x=0),"",CONVERT(_xlpm.x,'Diversion and Disposal'!$BH$7,"kg")))</f>
        <v/>
      </c>
      <c r="BT61" s="435">
        <f t="shared" si="31"/>
        <v>0</v>
      </c>
      <c r="BU61" s="433" t="str">
        <f>_xlfn.LET(_xlpm.x,BF61,IF(LEN(_xlpm.x)&lt;1,"",IF(ISNUMBER(MATCH(_xlpm.x,ls_Mat_def,0)),'Project Inputs'!$BF$14,99)))</f>
        <v/>
      </c>
      <c r="BV61" s="432" t="str" cm="1">
        <f t="array" ref="BV61">IFERROR(INDEX(tblGWP[],MATCH(1,(tblGWP[Dataset ID]=BU61)*(tblGWP[Material Subcategory]=BF61),0),MATCH(BG61,ls_WHM,0)+5),"confirm")</f>
        <v>confirm</v>
      </c>
      <c r="BW61" s="434" t="str">
        <f t="shared" si="32"/>
        <v>No data</v>
      </c>
      <c r="BX61" s="434" t="str">
        <f t="shared" si="33"/>
        <v>No data</v>
      </c>
      <c r="BY61" s="434" t="str">
        <f t="shared" si="34"/>
        <v>No data</v>
      </c>
      <c r="BZ61" s="434" t="str">
        <f t="shared" si="35"/>
        <v>No data</v>
      </c>
      <c r="CA61" s="434" t="str">
        <f t="shared" si="36"/>
        <v>No data</v>
      </c>
      <c r="CB61" s="434" t="str">
        <f t="shared" si="37"/>
        <v>No data</v>
      </c>
      <c r="CC61" s="434" t="str">
        <f t="shared" si="38"/>
        <v>No data</v>
      </c>
      <c r="CD61" s="434" t="str">
        <f t="shared" si="39"/>
        <v>No data</v>
      </c>
      <c r="CE61" s="434" t="str">
        <f t="shared" si="40"/>
        <v>No data</v>
      </c>
      <c r="CF61" s="434" t="str">
        <f t="shared" si="41"/>
        <v>No data</v>
      </c>
      <c r="CG61" s="434" t="str">
        <f t="shared" si="42"/>
        <v>No data</v>
      </c>
      <c r="CH61" s="434" t="str">
        <f t="shared" si="43"/>
        <v>No data</v>
      </c>
      <c r="CI61" s="435">
        <f t="shared" si="44"/>
        <v>0</v>
      </c>
      <c r="CK61" s="3" t="str">
        <f>_xlfn.LET(_xlpm.x,INDEX(tbl_Mat_def[],MATCH(BF61,ls_Mat_def,0),2),IFERROR(IF(_xlpm.x=0,"No","Yes"),"No"))</f>
        <v>No</v>
      </c>
      <c r="CM61" s="60" t="str">
        <f t="shared" si="45"/>
        <v/>
      </c>
      <c r="CN61" s="60" t="s">
        <v>235</v>
      </c>
      <c r="CO61" s="432" t="str" cm="1">
        <f t="array" ref="CO61">IFERROR(INDEX(tblGWP[],MATCH(1,(tblGWP[Dataset ID]=BU61)*(tblGWP[Material Subcategory]=CM61),0),MATCH(CN61,ls_WHM,0)+4),"confirm")</f>
        <v>confirm</v>
      </c>
      <c r="CP61" s="436" t="str">
        <f t="shared" si="46"/>
        <v/>
      </c>
      <c r="DD61" s="388">
        <f t="shared" si="27"/>
        <v>0</v>
      </c>
      <c r="DE61" s="22">
        <f t="shared" si="47"/>
        <v>19</v>
      </c>
      <c r="DF61" s="387">
        <f t="shared" si="28"/>
        <v>0</v>
      </c>
      <c r="DG61" s="387">
        <f t="shared" si="48"/>
        <v>0</v>
      </c>
      <c r="DH61" s="22">
        <f t="shared" ca="1" si="49"/>
        <v>0</v>
      </c>
      <c r="DI61">
        <f t="shared" ca="1" si="50"/>
        <v>0</v>
      </c>
    </row>
    <row r="62" spans="1:113" ht="30" hidden="1" customHeight="1" outlineLevel="1">
      <c r="A62" s="22" t="str">
        <f t="shared" si="21"/>
        <v/>
      </c>
      <c r="B62" s="199"/>
      <c r="C62" s="459"/>
      <c r="D62" s="199"/>
      <c r="E62" s="405"/>
      <c r="F62" s="405"/>
      <c r="G62" s="406"/>
      <c r="H62" s="377"/>
      <c r="I62" s="377"/>
      <c r="J62" s="377"/>
      <c r="K62" s="377"/>
      <c r="L62" s="377"/>
      <c r="M62" s="377"/>
      <c r="N62" s="377"/>
      <c r="O62" s="377"/>
      <c r="P62" s="377"/>
      <c r="Q62" s="377"/>
      <c r="R62" s="377"/>
      <c r="S62" s="377"/>
      <c r="T62" s="458">
        <f t="shared" si="51"/>
        <v>0</v>
      </c>
      <c r="U62" s="200"/>
      <c r="W62" s="442"/>
      <c r="X62" s="443"/>
      <c r="BC62" s="3">
        <f t="shared" si="22"/>
        <v>0</v>
      </c>
      <c r="BD62" s="3">
        <f t="shared" si="23"/>
        <v>0</v>
      </c>
      <c r="BE62" s="432" t="str">
        <f t="shared" si="24"/>
        <v/>
      </c>
      <c r="BF62" s="432" t="str">
        <f t="shared" si="25"/>
        <v/>
      </c>
      <c r="BG62" s="432" t="str">
        <f t="shared" si="26"/>
        <v/>
      </c>
      <c r="BH62" s="434" t="str">
        <f>_xlfn.LET(_xlpm.x,H62,IF(OR(LEN(_xlpm.x)&lt;1,_xlpm.x=0),"",CONVERT(_xlpm.x,'Diversion and Disposal'!$BH$7,"kg")))</f>
        <v/>
      </c>
      <c r="BI62" s="434" t="str">
        <f>_xlfn.LET(_xlpm.x,I62,IF(OR(LEN(_xlpm.x)&lt;1,_xlpm.x=0),"",CONVERT(_xlpm.x,'Diversion and Disposal'!$BH$7,"kg")))</f>
        <v/>
      </c>
      <c r="BJ62" s="434" t="str">
        <f>_xlfn.LET(_xlpm.x,J62,IF(OR(LEN(_xlpm.x)&lt;1,_xlpm.x=0),"",CONVERT(_xlpm.x,'Diversion and Disposal'!$BH$7,"kg")))</f>
        <v/>
      </c>
      <c r="BK62" s="434" t="str">
        <f>_xlfn.LET(_xlpm.x,K62,IF(OR(LEN(_xlpm.x)&lt;1,_xlpm.x=0),"",CONVERT(_xlpm.x,'Diversion and Disposal'!$BH$7,"kg")))</f>
        <v/>
      </c>
      <c r="BL62" s="434" t="str">
        <f>_xlfn.LET(_xlpm.x,L62,IF(OR(LEN(_xlpm.x)&lt;1,_xlpm.x=0),"",CONVERT(_xlpm.x,'Diversion and Disposal'!$BH$7,"kg")))</f>
        <v/>
      </c>
      <c r="BM62" s="434" t="str">
        <f>_xlfn.LET(_xlpm.x,M62,IF(OR(LEN(_xlpm.x)&lt;1,_xlpm.x=0),"",CONVERT(_xlpm.x,'Diversion and Disposal'!$BH$7,"kg")))</f>
        <v/>
      </c>
      <c r="BN62" s="434" t="str">
        <f>_xlfn.LET(_xlpm.x,N62,IF(OR(LEN(_xlpm.x)&lt;1,_xlpm.x=0),"",CONVERT(_xlpm.x,'Diversion and Disposal'!$BH$7,"kg")))</f>
        <v/>
      </c>
      <c r="BO62" s="434" t="str">
        <f>_xlfn.LET(_xlpm.x,O62,IF(OR(LEN(_xlpm.x)&lt;1,_xlpm.x=0),"",CONVERT(_xlpm.x,'Diversion and Disposal'!$BH$7,"kg")))</f>
        <v/>
      </c>
      <c r="BP62" s="434" t="str">
        <f>_xlfn.LET(_xlpm.x,P62,IF(OR(LEN(_xlpm.x)&lt;1,_xlpm.x=0),"",CONVERT(_xlpm.x,'Diversion and Disposal'!$BH$7,"kg")))</f>
        <v/>
      </c>
      <c r="BQ62" s="434" t="str">
        <f>_xlfn.LET(_xlpm.x,Q62,IF(OR(LEN(_xlpm.x)&lt;1,_xlpm.x=0),"",CONVERT(_xlpm.x,'Diversion and Disposal'!$BH$7,"kg")))</f>
        <v/>
      </c>
      <c r="BR62" s="434" t="str">
        <f>_xlfn.LET(_xlpm.x,R62,IF(OR(LEN(_xlpm.x)&lt;1,_xlpm.x=0),"",CONVERT(_xlpm.x,'Diversion and Disposal'!$BH$7,"kg")))</f>
        <v/>
      </c>
      <c r="BS62" s="434" t="str">
        <f>_xlfn.LET(_xlpm.x,S62,IF(OR(LEN(_xlpm.x)&lt;1,_xlpm.x=0),"",CONVERT(_xlpm.x,'Diversion and Disposal'!$BH$7,"kg")))</f>
        <v/>
      </c>
      <c r="BT62" s="435">
        <f t="shared" si="31"/>
        <v>0</v>
      </c>
      <c r="BU62" s="433" t="str">
        <f>_xlfn.LET(_xlpm.x,BF62,IF(LEN(_xlpm.x)&lt;1,"",IF(ISNUMBER(MATCH(_xlpm.x,ls_Mat_def,0)),'Project Inputs'!$BF$14,99)))</f>
        <v/>
      </c>
      <c r="BV62" s="432" t="str" cm="1">
        <f t="array" ref="BV62">IFERROR(INDEX(tblGWP[],MATCH(1,(tblGWP[Dataset ID]=BU62)*(tblGWP[Material Subcategory]=BF62),0),MATCH(BG62,ls_WHM,0)+5),"confirm")</f>
        <v>confirm</v>
      </c>
      <c r="BW62" s="434" t="str">
        <f t="shared" si="32"/>
        <v>No data</v>
      </c>
      <c r="BX62" s="434" t="str">
        <f t="shared" si="33"/>
        <v>No data</v>
      </c>
      <c r="BY62" s="434" t="str">
        <f t="shared" si="34"/>
        <v>No data</v>
      </c>
      <c r="BZ62" s="434" t="str">
        <f t="shared" si="35"/>
        <v>No data</v>
      </c>
      <c r="CA62" s="434" t="str">
        <f t="shared" si="36"/>
        <v>No data</v>
      </c>
      <c r="CB62" s="434" t="str">
        <f t="shared" si="37"/>
        <v>No data</v>
      </c>
      <c r="CC62" s="434" t="str">
        <f t="shared" si="38"/>
        <v>No data</v>
      </c>
      <c r="CD62" s="434" t="str">
        <f t="shared" si="39"/>
        <v>No data</v>
      </c>
      <c r="CE62" s="434" t="str">
        <f t="shared" si="40"/>
        <v>No data</v>
      </c>
      <c r="CF62" s="434" t="str">
        <f t="shared" si="41"/>
        <v>No data</v>
      </c>
      <c r="CG62" s="434" t="str">
        <f t="shared" si="42"/>
        <v>No data</v>
      </c>
      <c r="CH62" s="434" t="str">
        <f t="shared" si="43"/>
        <v>No data</v>
      </c>
      <c r="CI62" s="435">
        <f t="shared" si="44"/>
        <v>0</v>
      </c>
      <c r="CK62" s="3" t="str">
        <f>_xlfn.LET(_xlpm.x,INDEX(tbl_Mat_def[],MATCH(BF62,ls_Mat_def,0),2),IFERROR(IF(_xlpm.x=0,"No","Yes"),"No"))</f>
        <v>No</v>
      </c>
      <c r="CM62" s="60" t="str">
        <f t="shared" si="45"/>
        <v/>
      </c>
      <c r="CN62" s="60" t="s">
        <v>235</v>
      </c>
      <c r="CO62" s="432" t="str" cm="1">
        <f t="array" ref="CO62">IFERROR(INDEX(tblGWP[],MATCH(1,(tblGWP[Dataset ID]=BU62)*(tblGWP[Material Subcategory]=CM62),0),MATCH(CN62,ls_WHM,0)+4),"confirm")</f>
        <v>confirm</v>
      </c>
      <c r="CP62" s="436" t="str">
        <f t="shared" si="46"/>
        <v/>
      </c>
      <c r="DD62" s="388">
        <f t="shared" si="27"/>
        <v>0</v>
      </c>
      <c r="DE62" s="22">
        <f t="shared" si="47"/>
        <v>19</v>
      </c>
      <c r="DF62" s="387">
        <f t="shared" si="28"/>
        <v>0</v>
      </c>
      <c r="DG62" s="387">
        <f t="shared" si="48"/>
        <v>0</v>
      </c>
      <c r="DH62" s="22">
        <f t="shared" ca="1" si="49"/>
        <v>0</v>
      </c>
      <c r="DI62">
        <f t="shared" ca="1" si="50"/>
        <v>0</v>
      </c>
    </row>
    <row r="63" spans="1:113" ht="30" hidden="1" customHeight="1" outlineLevel="1">
      <c r="A63" s="22" t="str">
        <f t="shared" si="21"/>
        <v/>
      </c>
      <c r="B63" s="199"/>
      <c r="C63" s="459"/>
      <c r="D63" s="199"/>
      <c r="E63" s="405"/>
      <c r="F63" s="405"/>
      <c r="G63" s="406"/>
      <c r="H63" s="377"/>
      <c r="I63" s="377"/>
      <c r="J63" s="377"/>
      <c r="K63" s="377"/>
      <c r="L63" s="377"/>
      <c r="M63" s="377"/>
      <c r="N63" s="377"/>
      <c r="O63" s="377"/>
      <c r="P63" s="377"/>
      <c r="Q63" s="377"/>
      <c r="R63" s="377"/>
      <c r="S63" s="377"/>
      <c r="T63" s="458">
        <f t="shared" si="51"/>
        <v>0</v>
      </c>
      <c r="U63" s="200"/>
      <c r="W63" s="442"/>
      <c r="X63" s="443"/>
      <c r="BC63" s="3">
        <f t="shared" si="22"/>
        <v>0</v>
      </c>
      <c r="BD63" s="3">
        <f t="shared" si="23"/>
        <v>0</v>
      </c>
      <c r="BE63" s="432" t="str">
        <f t="shared" si="24"/>
        <v/>
      </c>
      <c r="BF63" s="432" t="str">
        <f t="shared" si="25"/>
        <v/>
      </c>
      <c r="BG63" s="432" t="str">
        <f t="shared" si="26"/>
        <v/>
      </c>
      <c r="BH63" s="434" t="str">
        <f>_xlfn.LET(_xlpm.x,H63,IF(OR(LEN(_xlpm.x)&lt;1,_xlpm.x=0),"",CONVERT(_xlpm.x,'Diversion and Disposal'!$BH$7,"kg")))</f>
        <v/>
      </c>
      <c r="BI63" s="434" t="str">
        <f>_xlfn.LET(_xlpm.x,I63,IF(OR(LEN(_xlpm.x)&lt;1,_xlpm.x=0),"",CONVERT(_xlpm.x,'Diversion and Disposal'!$BH$7,"kg")))</f>
        <v/>
      </c>
      <c r="BJ63" s="434" t="str">
        <f>_xlfn.LET(_xlpm.x,J63,IF(OR(LEN(_xlpm.x)&lt;1,_xlpm.x=0),"",CONVERT(_xlpm.x,'Diversion and Disposal'!$BH$7,"kg")))</f>
        <v/>
      </c>
      <c r="BK63" s="434" t="str">
        <f>_xlfn.LET(_xlpm.x,K63,IF(OR(LEN(_xlpm.x)&lt;1,_xlpm.x=0),"",CONVERT(_xlpm.x,'Diversion and Disposal'!$BH$7,"kg")))</f>
        <v/>
      </c>
      <c r="BL63" s="434" t="str">
        <f>_xlfn.LET(_xlpm.x,L63,IF(OR(LEN(_xlpm.x)&lt;1,_xlpm.x=0),"",CONVERT(_xlpm.x,'Diversion and Disposal'!$BH$7,"kg")))</f>
        <v/>
      </c>
      <c r="BM63" s="434" t="str">
        <f>_xlfn.LET(_xlpm.x,M63,IF(OR(LEN(_xlpm.x)&lt;1,_xlpm.x=0),"",CONVERT(_xlpm.x,'Diversion and Disposal'!$BH$7,"kg")))</f>
        <v/>
      </c>
      <c r="BN63" s="434" t="str">
        <f>_xlfn.LET(_xlpm.x,N63,IF(OR(LEN(_xlpm.x)&lt;1,_xlpm.x=0),"",CONVERT(_xlpm.x,'Diversion and Disposal'!$BH$7,"kg")))</f>
        <v/>
      </c>
      <c r="BO63" s="434" t="str">
        <f>_xlfn.LET(_xlpm.x,O63,IF(OR(LEN(_xlpm.x)&lt;1,_xlpm.x=0),"",CONVERT(_xlpm.x,'Diversion and Disposal'!$BH$7,"kg")))</f>
        <v/>
      </c>
      <c r="BP63" s="434" t="str">
        <f>_xlfn.LET(_xlpm.x,P63,IF(OR(LEN(_xlpm.x)&lt;1,_xlpm.x=0),"",CONVERT(_xlpm.x,'Diversion and Disposal'!$BH$7,"kg")))</f>
        <v/>
      </c>
      <c r="BQ63" s="434" t="str">
        <f>_xlfn.LET(_xlpm.x,Q63,IF(OR(LEN(_xlpm.x)&lt;1,_xlpm.x=0),"",CONVERT(_xlpm.x,'Diversion and Disposal'!$BH$7,"kg")))</f>
        <v/>
      </c>
      <c r="BR63" s="434" t="str">
        <f>_xlfn.LET(_xlpm.x,R63,IF(OR(LEN(_xlpm.x)&lt;1,_xlpm.x=0),"",CONVERT(_xlpm.x,'Diversion and Disposal'!$BH$7,"kg")))</f>
        <v/>
      </c>
      <c r="BS63" s="434" t="str">
        <f>_xlfn.LET(_xlpm.x,S63,IF(OR(LEN(_xlpm.x)&lt;1,_xlpm.x=0),"",CONVERT(_xlpm.x,'Diversion and Disposal'!$BH$7,"kg")))</f>
        <v/>
      </c>
      <c r="BT63" s="435">
        <f t="shared" si="31"/>
        <v>0</v>
      </c>
      <c r="BU63" s="433" t="str">
        <f>_xlfn.LET(_xlpm.x,BF63,IF(LEN(_xlpm.x)&lt;1,"",IF(ISNUMBER(MATCH(_xlpm.x,ls_Mat_def,0)),'Project Inputs'!$BF$14,99)))</f>
        <v/>
      </c>
      <c r="BV63" s="432" t="str" cm="1">
        <f t="array" ref="BV63">IFERROR(INDEX(tblGWP[],MATCH(1,(tblGWP[Dataset ID]=BU63)*(tblGWP[Material Subcategory]=BF63),0),MATCH(BG63,ls_WHM,0)+5),"confirm")</f>
        <v>confirm</v>
      </c>
      <c r="BW63" s="434" t="str">
        <f t="shared" si="32"/>
        <v>No data</v>
      </c>
      <c r="BX63" s="434" t="str">
        <f t="shared" si="33"/>
        <v>No data</v>
      </c>
      <c r="BY63" s="434" t="str">
        <f t="shared" si="34"/>
        <v>No data</v>
      </c>
      <c r="BZ63" s="434" t="str">
        <f t="shared" si="35"/>
        <v>No data</v>
      </c>
      <c r="CA63" s="434" t="str">
        <f t="shared" si="36"/>
        <v>No data</v>
      </c>
      <c r="CB63" s="434" t="str">
        <f t="shared" si="37"/>
        <v>No data</v>
      </c>
      <c r="CC63" s="434" t="str">
        <f t="shared" si="38"/>
        <v>No data</v>
      </c>
      <c r="CD63" s="434" t="str">
        <f t="shared" si="39"/>
        <v>No data</v>
      </c>
      <c r="CE63" s="434" t="str">
        <f t="shared" si="40"/>
        <v>No data</v>
      </c>
      <c r="CF63" s="434" t="str">
        <f t="shared" si="41"/>
        <v>No data</v>
      </c>
      <c r="CG63" s="434" t="str">
        <f t="shared" si="42"/>
        <v>No data</v>
      </c>
      <c r="CH63" s="434" t="str">
        <f t="shared" si="43"/>
        <v>No data</v>
      </c>
      <c r="CI63" s="435">
        <f t="shared" si="44"/>
        <v>0</v>
      </c>
      <c r="CK63" s="3" t="str">
        <f>_xlfn.LET(_xlpm.x,INDEX(tbl_Mat_def[],MATCH(BF63,ls_Mat_def,0),2),IFERROR(IF(_xlpm.x=0,"No","Yes"),"No"))</f>
        <v>No</v>
      </c>
      <c r="CM63" s="60" t="str">
        <f t="shared" si="45"/>
        <v/>
      </c>
      <c r="CN63" s="60" t="s">
        <v>235</v>
      </c>
      <c r="CO63" s="432" t="str" cm="1">
        <f t="array" ref="CO63">IFERROR(INDEX(tblGWP[],MATCH(1,(tblGWP[Dataset ID]=BU63)*(tblGWP[Material Subcategory]=CM63),0),MATCH(CN63,ls_WHM,0)+4),"confirm")</f>
        <v>confirm</v>
      </c>
      <c r="CP63" s="436" t="str">
        <f t="shared" si="46"/>
        <v/>
      </c>
      <c r="DD63" s="388">
        <f t="shared" si="27"/>
        <v>0</v>
      </c>
      <c r="DE63" s="22">
        <f t="shared" si="47"/>
        <v>19</v>
      </c>
      <c r="DF63" s="387">
        <f t="shared" si="28"/>
        <v>0</v>
      </c>
      <c r="DG63" s="387">
        <f t="shared" si="48"/>
        <v>0</v>
      </c>
      <c r="DH63" s="22">
        <f t="shared" ca="1" si="49"/>
        <v>0</v>
      </c>
      <c r="DI63">
        <f t="shared" ca="1" si="50"/>
        <v>0</v>
      </c>
    </row>
    <row r="64" spans="1:113" ht="30" hidden="1" customHeight="1" outlineLevel="1">
      <c r="A64" s="22" t="str">
        <f t="shared" si="21"/>
        <v/>
      </c>
      <c r="B64" s="199"/>
      <c r="C64" s="459"/>
      <c r="D64" s="199"/>
      <c r="E64" s="405"/>
      <c r="F64" s="405"/>
      <c r="G64" s="406"/>
      <c r="H64" s="377"/>
      <c r="I64" s="377"/>
      <c r="J64" s="377"/>
      <c r="K64" s="377"/>
      <c r="L64" s="377"/>
      <c r="M64" s="377"/>
      <c r="N64" s="377"/>
      <c r="O64" s="377"/>
      <c r="P64" s="377"/>
      <c r="Q64" s="377"/>
      <c r="R64" s="377"/>
      <c r="S64" s="377"/>
      <c r="T64" s="458">
        <f t="shared" si="51"/>
        <v>0</v>
      </c>
      <c r="U64" s="200"/>
      <c r="W64" s="442"/>
      <c r="X64" s="443"/>
      <c r="BC64" s="3">
        <f t="shared" si="22"/>
        <v>0</v>
      </c>
      <c r="BD64" s="3">
        <f t="shared" si="23"/>
        <v>0</v>
      </c>
      <c r="BE64" s="432" t="str">
        <f t="shared" si="24"/>
        <v/>
      </c>
      <c r="BF64" s="432" t="str">
        <f t="shared" si="25"/>
        <v/>
      </c>
      <c r="BG64" s="432" t="str">
        <f t="shared" si="26"/>
        <v/>
      </c>
      <c r="BH64" s="434" t="str">
        <f>_xlfn.LET(_xlpm.x,H64,IF(OR(LEN(_xlpm.x)&lt;1,_xlpm.x=0),"",CONVERT(_xlpm.x,'Diversion and Disposal'!$BH$7,"kg")))</f>
        <v/>
      </c>
      <c r="BI64" s="434" t="str">
        <f>_xlfn.LET(_xlpm.x,I64,IF(OR(LEN(_xlpm.x)&lt;1,_xlpm.x=0),"",CONVERT(_xlpm.x,'Diversion and Disposal'!$BH$7,"kg")))</f>
        <v/>
      </c>
      <c r="BJ64" s="434" t="str">
        <f>_xlfn.LET(_xlpm.x,J64,IF(OR(LEN(_xlpm.x)&lt;1,_xlpm.x=0),"",CONVERT(_xlpm.x,'Diversion and Disposal'!$BH$7,"kg")))</f>
        <v/>
      </c>
      <c r="BK64" s="434" t="str">
        <f>_xlfn.LET(_xlpm.x,K64,IF(OR(LEN(_xlpm.x)&lt;1,_xlpm.x=0),"",CONVERT(_xlpm.x,'Diversion and Disposal'!$BH$7,"kg")))</f>
        <v/>
      </c>
      <c r="BL64" s="434" t="str">
        <f>_xlfn.LET(_xlpm.x,L64,IF(OR(LEN(_xlpm.x)&lt;1,_xlpm.x=0),"",CONVERT(_xlpm.x,'Diversion and Disposal'!$BH$7,"kg")))</f>
        <v/>
      </c>
      <c r="BM64" s="434" t="str">
        <f>_xlfn.LET(_xlpm.x,M64,IF(OR(LEN(_xlpm.x)&lt;1,_xlpm.x=0),"",CONVERT(_xlpm.x,'Diversion and Disposal'!$BH$7,"kg")))</f>
        <v/>
      </c>
      <c r="BN64" s="434" t="str">
        <f>_xlfn.LET(_xlpm.x,N64,IF(OR(LEN(_xlpm.x)&lt;1,_xlpm.x=0),"",CONVERT(_xlpm.x,'Diversion and Disposal'!$BH$7,"kg")))</f>
        <v/>
      </c>
      <c r="BO64" s="434" t="str">
        <f>_xlfn.LET(_xlpm.x,O64,IF(OR(LEN(_xlpm.x)&lt;1,_xlpm.x=0),"",CONVERT(_xlpm.x,'Diversion and Disposal'!$BH$7,"kg")))</f>
        <v/>
      </c>
      <c r="BP64" s="434" t="str">
        <f>_xlfn.LET(_xlpm.x,P64,IF(OR(LEN(_xlpm.x)&lt;1,_xlpm.x=0),"",CONVERT(_xlpm.x,'Diversion and Disposal'!$BH$7,"kg")))</f>
        <v/>
      </c>
      <c r="BQ64" s="434" t="str">
        <f>_xlfn.LET(_xlpm.x,Q64,IF(OR(LEN(_xlpm.x)&lt;1,_xlpm.x=0),"",CONVERT(_xlpm.x,'Diversion and Disposal'!$BH$7,"kg")))</f>
        <v/>
      </c>
      <c r="BR64" s="434" t="str">
        <f>_xlfn.LET(_xlpm.x,R64,IF(OR(LEN(_xlpm.x)&lt;1,_xlpm.x=0),"",CONVERT(_xlpm.x,'Diversion and Disposal'!$BH$7,"kg")))</f>
        <v/>
      </c>
      <c r="BS64" s="434" t="str">
        <f>_xlfn.LET(_xlpm.x,S64,IF(OR(LEN(_xlpm.x)&lt;1,_xlpm.x=0),"",CONVERT(_xlpm.x,'Diversion and Disposal'!$BH$7,"kg")))</f>
        <v/>
      </c>
      <c r="BT64" s="435">
        <f t="shared" si="31"/>
        <v>0</v>
      </c>
      <c r="BU64" s="433" t="str">
        <f>_xlfn.LET(_xlpm.x,BF64,IF(LEN(_xlpm.x)&lt;1,"",IF(ISNUMBER(MATCH(_xlpm.x,ls_Mat_def,0)),'Project Inputs'!$BF$14,99)))</f>
        <v/>
      </c>
      <c r="BV64" s="432" t="str" cm="1">
        <f t="array" ref="BV64">IFERROR(INDEX(tblGWP[],MATCH(1,(tblGWP[Dataset ID]=BU64)*(tblGWP[Material Subcategory]=BF64),0),MATCH(BG64,ls_WHM,0)+5),"confirm")</f>
        <v>confirm</v>
      </c>
      <c r="BW64" s="434" t="str">
        <f t="shared" si="32"/>
        <v>No data</v>
      </c>
      <c r="BX64" s="434" t="str">
        <f t="shared" si="33"/>
        <v>No data</v>
      </c>
      <c r="BY64" s="434" t="str">
        <f t="shared" si="34"/>
        <v>No data</v>
      </c>
      <c r="BZ64" s="434" t="str">
        <f t="shared" si="35"/>
        <v>No data</v>
      </c>
      <c r="CA64" s="434" t="str">
        <f t="shared" si="36"/>
        <v>No data</v>
      </c>
      <c r="CB64" s="434" t="str">
        <f t="shared" si="37"/>
        <v>No data</v>
      </c>
      <c r="CC64" s="434" t="str">
        <f t="shared" si="38"/>
        <v>No data</v>
      </c>
      <c r="CD64" s="434" t="str">
        <f t="shared" si="39"/>
        <v>No data</v>
      </c>
      <c r="CE64" s="434" t="str">
        <f t="shared" si="40"/>
        <v>No data</v>
      </c>
      <c r="CF64" s="434" t="str">
        <f t="shared" si="41"/>
        <v>No data</v>
      </c>
      <c r="CG64" s="434" t="str">
        <f t="shared" si="42"/>
        <v>No data</v>
      </c>
      <c r="CH64" s="434" t="str">
        <f t="shared" si="43"/>
        <v>No data</v>
      </c>
      <c r="CI64" s="435">
        <f t="shared" si="44"/>
        <v>0</v>
      </c>
      <c r="CK64" s="3" t="str">
        <f>_xlfn.LET(_xlpm.x,INDEX(tbl_Mat_def[],MATCH(BF64,ls_Mat_def,0),2),IFERROR(IF(_xlpm.x=0,"No","Yes"),"No"))</f>
        <v>No</v>
      </c>
      <c r="CM64" s="60" t="str">
        <f t="shared" si="45"/>
        <v/>
      </c>
      <c r="CN64" s="60" t="s">
        <v>235</v>
      </c>
      <c r="CO64" s="432" t="str" cm="1">
        <f t="array" ref="CO64">IFERROR(INDEX(tblGWP[],MATCH(1,(tblGWP[Dataset ID]=BU64)*(tblGWP[Material Subcategory]=CM64),0),MATCH(CN64,ls_WHM,0)+4),"confirm")</f>
        <v>confirm</v>
      </c>
      <c r="CP64" s="436" t="str">
        <f t="shared" si="46"/>
        <v/>
      </c>
      <c r="DD64" s="388">
        <f t="shared" si="27"/>
        <v>0</v>
      </c>
      <c r="DE64" s="22">
        <f t="shared" si="47"/>
        <v>19</v>
      </c>
      <c r="DF64" s="387">
        <f t="shared" si="28"/>
        <v>0</v>
      </c>
      <c r="DG64" s="387">
        <f t="shared" si="48"/>
        <v>0</v>
      </c>
      <c r="DH64" s="22">
        <f t="shared" ca="1" si="49"/>
        <v>0</v>
      </c>
      <c r="DI64">
        <f t="shared" ca="1" si="50"/>
        <v>0</v>
      </c>
    </row>
    <row r="65" spans="1:113" ht="30" hidden="1" customHeight="1" outlineLevel="1">
      <c r="A65" s="22" t="str">
        <f t="shared" si="21"/>
        <v/>
      </c>
      <c r="B65" s="199"/>
      <c r="C65" s="459"/>
      <c r="D65" s="199"/>
      <c r="E65" s="405"/>
      <c r="F65" s="405"/>
      <c r="G65" s="406"/>
      <c r="H65" s="377"/>
      <c r="I65" s="377"/>
      <c r="J65" s="377"/>
      <c r="K65" s="377"/>
      <c r="L65" s="377"/>
      <c r="M65" s="377"/>
      <c r="N65" s="377"/>
      <c r="O65" s="377"/>
      <c r="P65" s="377"/>
      <c r="Q65" s="377"/>
      <c r="R65" s="377"/>
      <c r="S65" s="377"/>
      <c r="T65" s="458">
        <f t="shared" si="51"/>
        <v>0</v>
      </c>
      <c r="U65" s="200"/>
      <c r="W65" s="442"/>
      <c r="X65" s="443"/>
      <c r="BC65" s="3">
        <f t="shared" si="22"/>
        <v>0</v>
      </c>
      <c r="BD65" s="3">
        <f t="shared" si="23"/>
        <v>0</v>
      </c>
      <c r="BE65" s="432" t="str">
        <f t="shared" si="24"/>
        <v/>
      </c>
      <c r="BF65" s="432" t="str">
        <f t="shared" si="25"/>
        <v/>
      </c>
      <c r="BG65" s="432" t="str">
        <f t="shared" si="26"/>
        <v/>
      </c>
      <c r="BH65" s="434" t="str">
        <f>_xlfn.LET(_xlpm.x,H65,IF(OR(LEN(_xlpm.x)&lt;1,_xlpm.x=0),"",CONVERT(_xlpm.x,'Diversion and Disposal'!$BH$7,"kg")))</f>
        <v/>
      </c>
      <c r="BI65" s="434" t="str">
        <f>_xlfn.LET(_xlpm.x,I65,IF(OR(LEN(_xlpm.x)&lt;1,_xlpm.x=0),"",CONVERT(_xlpm.x,'Diversion and Disposal'!$BH$7,"kg")))</f>
        <v/>
      </c>
      <c r="BJ65" s="434" t="str">
        <f>_xlfn.LET(_xlpm.x,J65,IF(OR(LEN(_xlpm.x)&lt;1,_xlpm.x=0),"",CONVERT(_xlpm.x,'Diversion and Disposal'!$BH$7,"kg")))</f>
        <v/>
      </c>
      <c r="BK65" s="434" t="str">
        <f>_xlfn.LET(_xlpm.x,K65,IF(OR(LEN(_xlpm.x)&lt;1,_xlpm.x=0),"",CONVERT(_xlpm.x,'Diversion and Disposal'!$BH$7,"kg")))</f>
        <v/>
      </c>
      <c r="BL65" s="434" t="str">
        <f>_xlfn.LET(_xlpm.x,L65,IF(OR(LEN(_xlpm.x)&lt;1,_xlpm.x=0),"",CONVERT(_xlpm.x,'Diversion and Disposal'!$BH$7,"kg")))</f>
        <v/>
      </c>
      <c r="BM65" s="434" t="str">
        <f>_xlfn.LET(_xlpm.x,M65,IF(OR(LEN(_xlpm.x)&lt;1,_xlpm.x=0),"",CONVERT(_xlpm.x,'Diversion and Disposal'!$BH$7,"kg")))</f>
        <v/>
      </c>
      <c r="BN65" s="434" t="str">
        <f>_xlfn.LET(_xlpm.x,N65,IF(OR(LEN(_xlpm.x)&lt;1,_xlpm.x=0),"",CONVERT(_xlpm.x,'Diversion and Disposal'!$BH$7,"kg")))</f>
        <v/>
      </c>
      <c r="BO65" s="434" t="str">
        <f>_xlfn.LET(_xlpm.x,O65,IF(OR(LEN(_xlpm.x)&lt;1,_xlpm.x=0),"",CONVERT(_xlpm.x,'Diversion and Disposal'!$BH$7,"kg")))</f>
        <v/>
      </c>
      <c r="BP65" s="434" t="str">
        <f>_xlfn.LET(_xlpm.x,P65,IF(OR(LEN(_xlpm.x)&lt;1,_xlpm.x=0),"",CONVERT(_xlpm.x,'Diversion and Disposal'!$BH$7,"kg")))</f>
        <v/>
      </c>
      <c r="BQ65" s="434" t="str">
        <f>_xlfn.LET(_xlpm.x,Q65,IF(OR(LEN(_xlpm.x)&lt;1,_xlpm.x=0),"",CONVERT(_xlpm.x,'Diversion and Disposal'!$BH$7,"kg")))</f>
        <v/>
      </c>
      <c r="BR65" s="434" t="str">
        <f>_xlfn.LET(_xlpm.x,R65,IF(OR(LEN(_xlpm.x)&lt;1,_xlpm.x=0),"",CONVERT(_xlpm.x,'Diversion and Disposal'!$BH$7,"kg")))</f>
        <v/>
      </c>
      <c r="BS65" s="434" t="str">
        <f>_xlfn.LET(_xlpm.x,S65,IF(OR(LEN(_xlpm.x)&lt;1,_xlpm.x=0),"",CONVERT(_xlpm.x,'Diversion and Disposal'!$BH$7,"kg")))</f>
        <v/>
      </c>
      <c r="BT65" s="435">
        <f t="shared" si="31"/>
        <v>0</v>
      </c>
      <c r="BU65" s="433" t="str">
        <f>_xlfn.LET(_xlpm.x,BF65,IF(LEN(_xlpm.x)&lt;1,"",IF(ISNUMBER(MATCH(_xlpm.x,ls_Mat_def,0)),'Project Inputs'!$BF$14,99)))</f>
        <v/>
      </c>
      <c r="BV65" s="432" t="str" cm="1">
        <f t="array" ref="BV65">IFERROR(INDEX(tblGWP[],MATCH(1,(tblGWP[Dataset ID]=BU65)*(tblGWP[Material Subcategory]=BF65),0),MATCH(BG65,ls_WHM,0)+5),"confirm")</f>
        <v>confirm</v>
      </c>
      <c r="BW65" s="434" t="str">
        <f t="shared" si="32"/>
        <v>No data</v>
      </c>
      <c r="BX65" s="434" t="str">
        <f t="shared" si="33"/>
        <v>No data</v>
      </c>
      <c r="BY65" s="434" t="str">
        <f t="shared" si="34"/>
        <v>No data</v>
      </c>
      <c r="BZ65" s="434" t="str">
        <f t="shared" si="35"/>
        <v>No data</v>
      </c>
      <c r="CA65" s="434" t="str">
        <f t="shared" si="36"/>
        <v>No data</v>
      </c>
      <c r="CB65" s="434" t="str">
        <f t="shared" si="37"/>
        <v>No data</v>
      </c>
      <c r="CC65" s="434" t="str">
        <f t="shared" si="38"/>
        <v>No data</v>
      </c>
      <c r="CD65" s="434" t="str">
        <f t="shared" si="39"/>
        <v>No data</v>
      </c>
      <c r="CE65" s="434" t="str">
        <f t="shared" si="40"/>
        <v>No data</v>
      </c>
      <c r="CF65" s="434" t="str">
        <f t="shared" si="41"/>
        <v>No data</v>
      </c>
      <c r="CG65" s="434" t="str">
        <f t="shared" si="42"/>
        <v>No data</v>
      </c>
      <c r="CH65" s="434" t="str">
        <f t="shared" si="43"/>
        <v>No data</v>
      </c>
      <c r="CI65" s="435">
        <f t="shared" si="44"/>
        <v>0</v>
      </c>
      <c r="CK65" s="3" t="str">
        <f>_xlfn.LET(_xlpm.x,INDEX(tbl_Mat_def[],MATCH(BF65,ls_Mat_def,0),2),IFERROR(IF(_xlpm.x=0,"No","Yes"),"No"))</f>
        <v>No</v>
      </c>
      <c r="CM65" s="60" t="str">
        <f t="shared" si="45"/>
        <v/>
      </c>
      <c r="CN65" s="60" t="s">
        <v>235</v>
      </c>
      <c r="CO65" s="432" t="str" cm="1">
        <f t="array" ref="CO65">IFERROR(INDEX(tblGWP[],MATCH(1,(tblGWP[Dataset ID]=BU65)*(tblGWP[Material Subcategory]=CM65),0),MATCH(CN65,ls_WHM,0)+4),"confirm")</f>
        <v>confirm</v>
      </c>
      <c r="CP65" s="436" t="str">
        <f t="shared" si="46"/>
        <v/>
      </c>
      <c r="DD65" s="388">
        <f t="shared" si="27"/>
        <v>0</v>
      </c>
      <c r="DE65" s="22">
        <f t="shared" si="47"/>
        <v>19</v>
      </c>
      <c r="DF65" s="387">
        <f t="shared" si="28"/>
        <v>0</v>
      </c>
      <c r="DG65" s="387">
        <f t="shared" si="48"/>
        <v>0</v>
      </c>
      <c r="DH65" s="22">
        <f t="shared" ca="1" si="49"/>
        <v>0</v>
      </c>
      <c r="DI65">
        <f t="shared" ca="1" si="50"/>
        <v>0</v>
      </c>
    </row>
    <row r="66" spans="1:113" ht="30" hidden="1" customHeight="1" outlineLevel="1">
      <c r="A66" s="22" t="str">
        <f t="shared" si="21"/>
        <v/>
      </c>
      <c r="B66" s="199"/>
      <c r="C66" s="459"/>
      <c r="D66" s="199"/>
      <c r="E66" s="405"/>
      <c r="F66" s="405"/>
      <c r="G66" s="406"/>
      <c r="H66" s="377"/>
      <c r="I66" s="377"/>
      <c r="J66" s="377"/>
      <c r="K66" s="377"/>
      <c r="L66" s="377"/>
      <c r="M66" s="377"/>
      <c r="N66" s="377"/>
      <c r="O66" s="377"/>
      <c r="P66" s="377"/>
      <c r="Q66" s="377"/>
      <c r="R66" s="377"/>
      <c r="S66" s="377"/>
      <c r="T66" s="458">
        <f t="shared" si="51"/>
        <v>0</v>
      </c>
      <c r="U66" s="200"/>
      <c r="W66" s="442"/>
      <c r="X66" s="443"/>
      <c r="BC66" s="3">
        <f t="shared" si="22"/>
        <v>0</v>
      </c>
      <c r="BD66" s="3">
        <f t="shared" si="23"/>
        <v>0</v>
      </c>
      <c r="BE66" s="432" t="str">
        <f t="shared" si="24"/>
        <v/>
      </c>
      <c r="BF66" s="432" t="str">
        <f t="shared" si="25"/>
        <v/>
      </c>
      <c r="BG66" s="432" t="str">
        <f t="shared" si="26"/>
        <v/>
      </c>
      <c r="BH66" s="434" t="str">
        <f>_xlfn.LET(_xlpm.x,H66,IF(OR(LEN(_xlpm.x)&lt;1,_xlpm.x=0),"",CONVERT(_xlpm.x,'Diversion and Disposal'!$BH$7,"kg")))</f>
        <v/>
      </c>
      <c r="BI66" s="434" t="str">
        <f>_xlfn.LET(_xlpm.x,I66,IF(OR(LEN(_xlpm.x)&lt;1,_xlpm.x=0),"",CONVERT(_xlpm.x,'Diversion and Disposal'!$BH$7,"kg")))</f>
        <v/>
      </c>
      <c r="BJ66" s="434" t="str">
        <f>_xlfn.LET(_xlpm.x,J66,IF(OR(LEN(_xlpm.x)&lt;1,_xlpm.x=0),"",CONVERT(_xlpm.x,'Diversion and Disposal'!$BH$7,"kg")))</f>
        <v/>
      </c>
      <c r="BK66" s="434" t="str">
        <f>_xlfn.LET(_xlpm.x,K66,IF(OR(LEN(_xlpm.x)&lt;1,_xlpm.x=0),"",CONVERT(_xlpm.x,'Diversion and Disposal'!$BH$7,"kg")))</f>
        <v/>
      </c>
      <c r="BL66" s="434" t="str">
        <f>_xlfn.LET(_xlpm.x,L66,IF(OR(LEN(_xlpm.x)&lt;1,_xlpm.x=0),"",CONVERT(_xlpm.x,'Diversion and Disposal'!$BH$7,"kg")))</f>
        <v/>
      </c>
      <c r="BM66" s="434" t="str">
        <f>_xlfn.LET(_xlpm.x,M66,IF(OR(LEN(_xlpm.x)&lt;1,_xlpm.x=0),"",CONVERT(_xlpm.x,'Diversion and Disposal'!$BH$7,"kg")))</f>
        <v/>
      </c>
      <c r="BN66" s="434" t="str">
        <f>_xlfn.LET(_xlpm.x,N66,IF(OR(LEN(_xlpm.x)&lt;1,_xlpm.x=0),"",CONVERT(_xlpm.x,'Diversion and Disposal'!$BH$7,"kg")))</f>
        <v/>
      </c>
      <c r="BO66" s="434" t="str">
        <f>_xlfn.LET(_xlpm.x,O66,IF(OR(LEN(_xlpm.x)&lt;1,_xlpm.x=0),"",CONVERT(_xlpm.x,'Diversion and Disposal'!$BH$7,"kg")))</f>
        <v/>
      </c>
      <c r="BP66" s="434" t="str">
        <f>_xlfn.LET(_xlpm.x,P66,IF(OR(LEN(_xlpm.x)&lt;1,_xlpm.x=0),"",CONVERT(_xlpm.x,'Diversion and Disposal'!$BH$7,"kg")))</f>
        <v/>
      </c>
      <c r="BQ66" s="434" t="str">
        <f>_xlfn.LET(_xlpm.x,Q66,IF(OR(LEN(_xlpm.x)&lt;1,_xlpm.x=0),"",CONVERT(_xlpm.x,'Diversion and Disposal'!$BH$7,"kg")))</f>
        <v/>
      </c>
      <c r="BR66" s="434" t="str">
        <f>_xlfn.LET(_xlpm.x,R66,IF(OR(LEN(_xlpm.x)&lt;1,_xlpm.x=0),"",CONVERT(_xlpm.x,'Diversion and Disposal'!$BH$7,"kg")))</f>
        <v/>
      </c>
      <c r="BS66" s="434" t="str">
        <f>_xlfn.LET(_xlpm.x,S66,IF(OR(LEN(_xlpm.x)&lt;1,_xlpm.x=0),"",CONVERT(_xlpm.x,'Diversion and Disposal'!$BH$7,"kg")))</f>
        <v/>
      </c>
      <c r="BT66" s="435">
        <f t="shared" si="31"/>
        <v>0</v>
      </c>
      <c r="BU66" s="433" t="str">
        <f>_xlfn.LET(_xlpm.x,BF66,IF(LEN(_xlpm.x)&lt;1,"",IF(ISNUMBER(MATCH(_xlpm.x,ls_Mat_def,0)),'Project Inputs'!$BF$14,99)))</f>
        <v/>
      </c>
      <c r="BV66" s="432" t="str" cm="1">
        <f t="array" ref="BV66">IFERROR(INDEX(tblGWP[],MATCH(1,(tblGWP[Dataset ID]=BU66)*(tblGWP[Material Subcategory]=BF66),0),MATCH(BG66,ls_WHM,0)+5),"confirm")</f>
        <v>confirm</v>
      </c>
      <c r="BW66" s="434" t="str">
        <f t="shared" si="32"/>
        <v>No data</v>
      </c>
      <c r="BX66" s="434" t="str">
        <f t="shared" si="33"/>
        <v>No data</v>
      </c>
      <c r="BY66" s="434" t="str">
        <f t="shared" si="34"/>
        <v>No data</v>
      </c>
      <c r="BZ66" s="434" t="str">
        <f t="shared" si="35"/>
        <v>No data</v>
      </c>
      <c r="CA66" s="434" t="str">
        <f t="shared" si="36"/>
        <v>No data</v>
      </c>
      <c r="CB66" s="434" t="str">
        <f t="shared" si="37"/>
        <v>No data</v>
      </c>
      <c r="CC66" s="434" t="str">
        <f t="shared" si="38"/>
        <v>No data</v>
      </c>
      <c r="CD66" s="434" t="str">
        <f t="shared" si="39"/>
        <v>No data</v>
      </c>
      <c r="CE66" s="434" t="str">
        <f t="shared" si="40"/>
        <v>No data</v>
      </c>
      <c r="CF66" s="434" t="str">
        <f t="shared" si="41"/>
        <v>No data</v>
      </c>
      <c r="CG66" s="434" t="str">
        <f t="shared" si="42"/>
        <v>No data</v>
      </c>
      <c r="CH66" s="434" t="str">
        <f t="shared" si="43"/>
        <v>No data</v>
      </c>
      <c r="CI66" s="435">
        <f t="shared" si="44"/>
        <v>0</v>
      </c>
      <c r="CK66" s="3" t="str">
        <f>_xlfn.LET(_xlpm.x,INDEX(tbl_Mat_def[],MATCH(BF66,ls_Mat_def,0),2),IFERROR(IF(_xlpm.x=0,"No","Yes"),"No"))</f>
        <v>No</v>
      </c>
      <c r="CM66" s="60" t="str">
        <f t="shared" si="45"/>
        <v/>
      </c>
      <c r="CN66" s="60" t="s">
        <v>235</v>
      </c>
      <c r="CO66" s="432" t="str" cm="1">
        <f t="array" ref="CO66">IFERROR(INDEX(tblGWP[],MATCH(1,(tblGWP[Dataset ID]=BU66)*(tblGWP[Material Subcategory]=CM66),0),MATCH(CN66,ls_WHM,0)+4),"confirm")</f>
        <v>confirm</v>
      </c>
      <c r="CP66" s="436" t="str">
        <f t="shared" si="46"/>
        <v/>
      </c>
      <c r="DD66" s="388">
        <f t="shared" si="27"/>
        <v>0</v>
      </c>
      <c r="DE66" s="22">
        <f t="shared" si="47"/>
        <v>19</v>
      </c>
      <c r="DF66" s="387">
        <f t="shared" si="28"/>
        <v>0</v>
      </c>
      <c r="DG66" s="387">
        <f t="shared" si="48"/>
        <v>0</v>
      </c>
      <c r="DH66" s="22">
        <f t="shared" ca="1" si="49"/>
        <v>0</v>
      </c>
      <c r="DI66">
        <f t="shared" ca="1" si="50"/>
        <v>0</v>
      </c>
    </row>
    <row r="67" spans="1:113" ht="30" hidden="1" customHeight="1" outlineLevel="1">
      <c r="A67" s="22" t="str">
        <f t="shared" si="21"/>
        <v/>
      </c>
      <c r="B67" s="199"/>
      <c r="C67" s="459"/>
      <c r="D67" s="199"/>
      <c r="E67" s="405"/>
      <c r="F67" s="405"/>
      <c r="G67" s="406"/>
      <c r="H67" s="377"/>
      <c r="I67" s="377"/>
      <c r="J67" s="377"/>
      <c r="K67" s="377"/>
      <c r="L67" s="377"/>
      <c r="M67" s="377"/>
      <c r="N67" s="377"/>
      <c r="O67" s="377"/>
      <c r="P67" s="377"/>
      <c r="Q67" s="377"/>
      <c r="R67" s="377"/>
      <c r="S67" s="377"/>
      <c r="T67" s="458">
        <f t="shared" si="51"/>
        <v>0</v>
      </c>
      <c r="U67" s="200"/>
      <c r="W67" s="442"/>
      <c r="X67" s="443"/>
      <c r="BC67" s="3">
        <f t="shared" si="22"/>
        <v>0</v>
      </c>
      <c r="BD67" s="3">
        <f t="shared" si="23"/>
        <v>0</v>
      </c>
      <c r="BE67" s="432" t="str">
        <f t="shared" si="24"/>
        <v/>
      </c>
      <c r="BF67" s="432" t="str">
        <f t="shared" si="25"/>
        <v/>
      </c>
      <c r="BG67" s="432" t="str">
        <f t="shared" si="26"/>
        <v/>
      </c>
      <c r="BH67" s="434" t="str">
        <f>_xlfn.LET(_xlpm.x,H67,IF(OR(LEN(_xlpm.x)&lt;1,_xlpm.x=0),"",CONVERT(_xlpm.x,'Diversion and Disposal'!$BH$7,"kg")))</f>
        <v/>
      </c>
      <c r="BI67" s="434" t="str">
        <f>_xlfn.LET(_xlpm.x,I67,IF(OR(LEN(_xlpm.x)&lt;1,_xlpm.x=0),"",CONVERT(_xlpm.x,'Diversion and Disposal'!$BH$7,"kg")))</f>
        <v/>
      </c>
      <c r="BJ67" s="434" t="str">
        <f>_xlfn.LET(_xlpm.x,J67,IF(OR(LEN(_xlpm.x)&lt;1,_xlpm.x=0),"",CONVERT(_xlpm.x,'Diversion and Disposal'!$BH$7,"kg")))</f>
        <v/>
      </c>
      <c r="BK67" s="434" t="str">
        <f>_xlfn.LET(_xlpm.x,K67,IF(OR(LEN(_xlpm.x)&lt;1,_xlpm.x=0),"",CONVERT(_xlpm.x,'Diversion and Disposal'!$BH$7,"kg")))</f>
        <v/>
      </c>
      <c r="BL67" s="434" t="str">
        <f>_xlfn.LET(_xlpm.x,L67,IF(OR(LEN(_xlpm.x)&lt;1,_xlpm.x=0),"",CONVERT(_xlpm.x,'Diversion and Disposal'!$BH$7,"kg")))</f>
        <v/>
      </c>
      <c r="BM67" s="434" t="str">
        <f>_xlfn.LET(_xlpm.x,M67,IF(OR(LEN(_xlpm.x)&lt;1,_xlpm.x=0),"",CONVERT(_xlpm.x,'Diversion and Disposal'!$BH$7,"kg")))</f>
        <v/>
      </c>
      <c r="BN67" s="434" t="str">
        <f>_xlfn.LET(_xlpm.x,N67,IF(OR(LEN(_xlpm.x)&lt;1,_xlpm.x=0),"",CONVERT(_xlpm.x,'Diversion and Disposal'!$BH$7,"kg")))</f>
        <v/>
      </c>
      <c r="BO67" s="434" t="str">
        <f>_xlfn.LET(_xlpm.x,O67,IF(OR(LEN(_xlpm.x)&lt;1,_xlpm.x=0),"",CONVERT(_xlpm.x,'Diversion and Disposal'!$BH$7,"kg")))</f>
        <v/>
      </c>
      <c r="BP67" s="434" t="str">
        <f>_xlfn.LET(_xlpm.x,P67,IF(OR(LEN(_xlpm.x)&lt;1,_xlpm.x=0),"",CONVERT(_xlpm.x,'Diversion and Disposal'!$BH$7,"kg")))</f>
        <v/>
      </c>
      <c r="BQ67" s="434" t="str">
        <f>_xlfn.LET(_xlpm.x,Q67,IF(OR(LEN(_xlpm.x)&lt;1,_xlpm.x=0),"",CONVERT(_xlpm.x,'Diversion and Disposal'!$BH$7,"kg")))</f>
        <v/>
      </c>
      <c r="BR67" s="434" t="str">
        <f>_xlfn.LET(_xlpm.x,R67,IF(OR(LEN(_xlpm.x)&lt;1,_xlpm.x=0),"",CONVERT(_xlpm.x,'Diversion and Disposal'!$BH$7,"kg")))</f>
        <v/>
      </c>
      <c r="BS67" s="434" t="str">
        <f>_xlfn.LET(_xlpm.x,S67,IF(OR(LEN(_xlpm.x)&lt;1,_xlpm.x=0),"",CONVERT(_xlpm.x,'Diversion and Disposal'!$BH$7,"kg")))</f>
        <v/>
      </c>
      <c r="BT67" s="435">
        <f t="shared" si="31"/>
        <v>0</v>
      </c>
      <c r="BU67" s="433" t="str">
        <f>_xlfn.LET(_xlpm.x,BF67,IF(LEN(_xlpm.x)&lt;1,"",IF(ISNUMBER(MATCH(_xlpm.x,ls_Mat_def,0)),'Project Inputs'!$BF$14,99)))</f>
        <v/>
      </c>
      <c r="BV67" s="432" t="str" cm="1">
        <f t="array" ref="BV67">IFERROR(INDEX(tblGWP[],MATCH(1,(tblGWP[Dataset ID]=BU67)*(tblGWP[Material Subcategory]=BF67),0),MATCH(BG67,ls_WHM,0)+5),"confirm")</f>
        <v>confirm</v>
      </c>
      <c r="BW67" s="434" t="str">
        <f t="shared" si="32"/>
        <v>No data</v>
      </c>
      <c r="BX67" s="434" t="str">
        <f t="shared" si="33"/>
        <v>No data</v>
      </c>
      <c r="BY67" s="434" t="str">
        <f t="shared" si="34"/>
        <v>No data</v>
      </c>
      <c r="BZ67" s="434" t="str">
        <f t="shared" si="35"/>
        <v>No data</v>
      </c>
      <c r="CA67" s="434" t="str">
        <f t="shared" si="36"/>
        <v>No data</v>
      </c>
      <c r="CB67" s="434" t="str">
        <f t="shared" si="37"/>
        <v>No data</v>
      </c>
      <c r="CC67" s="434" t="str">
        <f t="shared" si="38"/>
        <v>No data</v>
      </c>
      <c r="CD67" s="434" t="str">
        <f t="shared" si="39"/>
        <v>No data</v>
      </c>
      <c r="CE67" s="434" t="str">
        <f t="shared" si="40"/>
        <v>No data</v>
      </c>
      <c r="CF67" s="434" t="str">
        <f t="shared" si="41"/>
        <v>No data</v>
      </c>
      <c r="CG67" s="434" t="str">
        <f t="shared" si="42"/>
        <v>No data</v>
      </c>
      <c r="CH67" s="434" t="str">
        <f t="shared" si="43"/>
        <v>No data</v>
      </c>
      <c r="CI67" s="435">
        <f t="shared" si="44"/>
        <v>0</v>
      </c>
      <c r="CK67" s="3" t="str">
        <f>_xlfn.LET(_xlpm.x,INDEX(tbl_Mat_def[],MATCH(BF67,ls_Mat_def,0),2),IFERROR(IF(_xlpm.x=0,"No","Yes"),"No"))</f>
        <v>No</v>
      </c>
      <c r="CM67" s="60" t="str">
        <f t="shared" si="45"/>
        <v/>
      </c>
      <c r="CN67" s="60" t="s">
        <v>235</v>
      </c>
      <c r="CO67" s="432" t="str" cm="1">
        <f t="array" ref="CO67">IFERROR(INDEX(tblGWP[],MATCH(1,(tblGWP[Dataset ID]=BU67)*(tblGWP[Material Subcategory]=CM67),0),MATCH(CN67,ls_WHM,0)+4),"confirm")</f>
        <v>confirm</v>
      </c>
      <c r="CP67" s="436" t="str">
        <f t="shared" si="46"/>
        <v/>
      </c>
      <c r="DD67" s="388">
        <f t="shared" si="27"/>
        <v>0</v>
      </c>
      <c r="DE67" s="22">
        <f t="shared" si="47"/>
        <v>19</v>
      </c>
      <c r="DF67" s="387">
        <f t="shared" si="28"/>
        <v>0</v>
      </c>
      <c r="DG67" s="387">
        <f t="shared" si="48"/>
        <v>0</v>
      </c>
      <c r="DH67" s="22">
        <f t="shared" ca="1" si="49"/>
        <v>0</v>
      </c>
      <c r="DI67">
        <f t="shared" ca="1" si="50"/>
        <v>0</v>
      </c>
    </row>
    <row r="68" spans="1:113" ht="30" hidden="1" customHeight="1" outlineLevel="1">
      <c r="A68" s="22" t="str">
        <f t="shared" si="21"/>
        <v/>
      </c>
      <c r="B68" s="199"/>
      <c r="C68" s="459"/>
      <c r="D68" s="199"/>
      <c r="E68" s="405"/>
      <c r="F68" s="405"/>
      <c r="G68" s="406"/>
      <c r="H68" s="377"/>
      <c r="I68" s="377"/>
      <c r="J68" s="377"/>
      <c r="K68" s="377"/>
      <c r="L68" s="377"/>
      <c r="M68" s="377"/>
      <c r="N68" s="377"/>
      <c r="O68" s="377"/>
      <c r="P68" s="377"/>
      <c r="Q68" s="377"/>
      <c r="R68" s="377"/>
      <c r="S68" s="377"/>
      <c r="T68" s="458">
        <f t="shared" si="51"/>
        <v>0</v>
      </c>
      <c r="U68" s="200"/>
      <c r="W68" s="442"/>
      <c r="X68" s="443"/>
      <c r="BC68" s="3">
        <f t="shared" si="22"/>
        <v>0</v>
      </c>
      <c r="BD68" s="3">
        <f t="shared" si="23"/>
        <v>0</v>
      </c>
      <c r="BE68" s="432" t="str">
        <f t="shared" si="24"/>
        <v/>
      </c>
      <c r="BF68" s="432" t="str">
        <f t="shared" si="25"/>
        <v/>
      </c>
      <c r="BG68" s="432" t="str">
        <f t="shared" si="26"/>
        <v/>
      </c>
      <c r="BH68" s="434" t="str">
        <f>_xlfn.LET(_xlpm.x,H68,IF(OR(LEN(_xlpm.x)&lt;1,_xlpm.x=0),"",CONVERT(_xlpm.x,'Diversion and Disposal'!$BH$7,"kg")))</f>
        <v/>
      </c>
      <c r="BI68" s="434" t="str">
        <f>_xlfn.LET(_xlpm.x,I68,IF(OR(LEN(_xlpm.x)&lt;1,_xlpm.x=0),"",CONVERT(_xlpm.x,'Diversion and Disposal'!$BH$7,"kg")))</f>
        <v/>
      </c>
      <c r="BJ68" s="434" t="str">
        <f>_xlfn.LET(_xlpm.x,J68,IF(OR(LEN(_xlpm.x)&lt;1,_xlpm.x=0),"",CONVERT(_xlpm.x,'Diversion and Disposal'!$BH$7,"kg")))</f>
        <v/>
      </c>
      <c r="BK68" s="434" t="str">
        <f>_xlfn.LET(_xlpm.x,K68,IF(OR(LEN(_xlpm.x)&lt;1,_xlpm.x=0),"",CONVERT(_xlpm.x,'Diversion and Disposal'!$BH$7,"kg")))</f>
        <v/>
      </c>
      <c r="BL68" s="434" t="str">
        <f>_xlfn.LET(_xlpm.x,L68,IF(OR(LEN(_xlpm.x)&lt;1,_xlpm.x=0),"",CONVERT(_xlpm.x,'Diversion and Disposal'!$BH$7,"kg")))</f>
        <v/>
      </c>
      <c r="BM68" s="434" t="str">
        <f>_xlfn.LET(_xlpm.x,M68,IF(OR(LEN(_xlpm.x)&lt;1,_xlpm.x=0),"",CONVERT(_xlpm.x,'Diversion and Disposal'!$BH$7,"kg")))</f>
        <v/>
      </c>
      <c r="BN68" s="434" t="str">
        <f>_xlfn.LET(_xlpm.x,N68,IF(OR(LEN(_xlpm.x)&lt;1,_xlpm.x=0),"",CONVERT(_xlpm.x,'Diversion and Disposal'!$BH$7,"kg")))</f>
        <v/>
      </c>
      <c r="BO68" s="434" t="str">
        <f>_xlfn.LET(_xlpm.x,O68,IF(OR(LEN(_xlpm.x)&lt;1,_xlpm.x=0),"",CONVERT(_xlpm.x,'Diversion and Disposal'!$BH$7,"kg")))</f>
        <v/>
      </c>
      <c r="BP68" s="434" t="str">
        <f>_xlfn.LET(_xlpm.x,P68,IF(OR(LEN(_xlpm.x)&lt;1,_xlpm.x=0),"",CONVERT(_xlpm.x,'Diversion and Disposal'!$BH$7,"kg")))</f>
        <v/>
      </c>
      <c r="BQ68" s="434" t="str">
        <f>_xlfn.LET(_xlpm.x,Q68,IF(OR(LEN(_xlpm.x)&lt;1,_xlpm.x=0),"",CONVERT(_xlpm.x,'Diversion and Disposal'!$BH$7,"kg")))</f>
        <v/>
      </c>
      <c r="BR68" s="434" t="str">
        <f>_xlfn.LET(_xlpm.x,R68,IF(OR(LEN(_xlpm.x)&lt;1,_xlpm.x=0),"",CONVERT(_xlpm.x,'Diversion and Disposal'!$BH$7,"kg")))</f>
        <v/>
      </c>
      <c r="BS68" s="434" t="str">
        <f>_xlfn.LET(_xlpm.x,S68,IF(OR(LEN(_xlpm.x)&lt;1,_xlpm.x=0),"",CONVERT(_xlpm.x,'Diversion and Disposal'!$BH$7,"kg")))</f>
        <v/>
      </c>
      <c r="BT68" s="435">
        <f t="shared" si="31"/>
        <v>0</v>
      </c>
      <c r="BU68" s="433" t="str">
        <f>_xlfn.LET(_xlpm.x,BF68,IF(LEN(_xlpm.x)&lt;1,"",IF(ISNUMBER(MATCH(_xlpm.x,ls_Mat_def,0)),'Project Inputs'!$BF$14,99)))</f>
        <v/>
      </c>
      <c r="BV68" s="432" t="str" cm="1">
        <f t="array" ref="BV68">IFERROR(INDEX(tblGWP[],MATCH(1,(tblGWP[Dataset ID]=BU68)*(tblGWP[Material Subcategory]=BF68),0),MATCH(BG68,ls_WHM,0)+5),"confirm")</f>
        <v>confirm</v>
      </c>
      <c r="BW68" s="434" t="str">
        <f t="shared" si="32"/>
        <v>No data</v>
      </c>
      <c r="BX68" s="434" t="str">
        <f t="shared" si="33"/>
        <v>No data</v>
      </c>
      <c r="BY68" s="434" t="str">
        <f t="shared" si="34"/>
        <v>No data</v>
      </c>
      <c r="BZ68" s="434" t="str">
        <f t="shared" si="35"/>
        <v>No data</v>
      </c>
      <c r="CA68" s="434" t="str">
        <f t="shared" si="36"/>
        <v>No data</v>
      </c>
      <c r="CB68" s="434" t="str">
        <f t="shared" si="37"/>
        <v>No data</v>
      </c>
      <c r="CC68" s="434" t="str">
        <f t="shared" si="38"/>
        <v>No data</v>
      </c>
      <c r="CD68" s="434" t="str">
        <f t="shared" si="39"/>
        <v>No data</v>
      </c>
      <c r="CE68" s="434" t="str">
        <f t="shared" si="40"/>
        <v>No data</v>
      </c>
      <c r="CF68" s="434" t="str">
        <f t="shared" si="41"/>
        <v>No data</v>
      </c>
      <c r="CG68" s="434" t="str">
        <f t="shared" si="42"/>
        <v>No data</v>
      </c>
      <c r="CH68" s="434" t="str">
        <f t="shared" si="43"/>
        <v>No data</v>
      </c>
      <c r="CI68" s="435">
        <f t="shared" si="44"/>
        <v>0</v>
      </c>
      <c r="CK68" s="3" t="str">
        <f>_xlfn.LET(_xlpm.x,INDEX(tbl_Mat_def[],MATCH(BF68,ls_Mat_def,0),2),IFERROR(IF(_xlpm.x=0,"No","Yes"),"No"))</f>
        <v>No</v>
      </c>
      <c r="CM68" s="60" t="str">
        <f t="shared" si="45"/>
        <v/>
      </c>
      <c r="CN68" s="60" t="s">
        <v>235</v>
      </c>
      <c r="CO68" s="432" t="str" cm="1">
        <f t="array" ref="CO68">IFERROR(INDEX(tblGWP[],MATCH(1,(tblGWP[Dataset ID]=BU68)*(tblGWP[Material Subcategory]=CM68),0),MATCH(CN68,ls_WHM,0)+4),"confirm")</f>
        <v>confirm</v>
      </c>
      <c r="CP68" s="436" t="str">
        <f t="shared" si="46"/>
        <v/>
      </c>
      <c r="DD68" s="388">
        <f t="shared" si="27"/>
        <v>0</v>
      </c>
      <c r="DE68" s="22">
        <f t="shared" si="47"/>
        <v>19</v>
      </c>
      <c r="DF68" s="387">
        <f t="shared" si="28"/>
        <v>0</v>
      </c>
      <c r="DG68" s="387">
        <f t="shared" si="48"/>
        <v>0</v>
      </c>
      <c r="DH68" s="22">
        <f t="shared" ca="1" si="49"/>
        <v>0</v>
      </c>
      <c r="DI68">
        <f t="shared" ca="1" si="50"/>
        <v>0</v>
      </c>
    </row>
    <row r="69" spans="1:113" ht="30" hidden="1" customHeight="1" outlineLevel="1">
      <c r="A69" s="22" t="str">
        <f t="shared" si="21"/>
        <v/>
      </c>
      <c r="B69" s="199"/>
      <c r="C69" s="459"/>
      <c r="D69" s="199"/>
      <c r="E69" s="405"/>
      <c r="F69" s="405"/>
      <c r="G69" s="406"/>
      <c r="H69" s="377"/>
      <c r="I69" s="377"/>
      <c r="J69" s="377"/>
      <c r="K69" s="377"/>
      <c r="L69" s="377"/>
      <c r="M69" s="377"/>
      <c r="N69" s="377"/>
      <c r="O69" s="377"/>
      <c r="P69" s="377"/>
      <c r="Q69" s="377"/>
      <c r="R69" s="377"/>
      <c r="S69" s="377"/>
      <c r="T69" s="458">
        <f t="shared" si="51"/>
        <v>0</v>
      </c>
      <c r="U69" s="200"/>
      <c r="W69" s="442"/>
      <c r="X69" s="443"/>
      <c r="BC69" s="3">
        <f t="shared" si="22"/>
        <v>0</v>
      </c>
      <c r="BD69" s="3">
        <f t="shared" si="23"/>
        <v>0</v>
      </c>
      <c r="BE69" s="432" t="str">
        <f t="shared" si="24"/>
        <v/>
      </c>
      <c r="BF69" s="432" t="str">
        <f t="shared" si="25"/>
        <v/>
      </c>
      <c r="BG69" s="432" t="str">
        <f t="shared" si="26"/>
        <v/>
      </c>
      <c r="BH69" s="434" t="str">
        <f>_xlfn.LET(_xlpm.x,H69,IF(OR(LEN(_xlpm.x)&lt;1,_xlpm.x=0),"",CONVERT(_xlpm.x,'Diversion and Disposal'!$BH$7,"kg")))</f>
        <v/>
      </c>
      <c r="BI69" s="434" t="str">
        <f>_xlfn.LET(_xlpm.x,I69,IF(OR(LEN(_xlpm.x)&lt;1,_xlpm.x=0),"",CONVERT(_xlpm.x,'Diversion and Disposal'!$BH$7,"kg")))</f>
        <v/>
      </c>
      <c r="BJ69" s="434" t="str">
        <f>_xlfn.LET(_xlpm.x,J69,IF(OR(LEN(_xlpm.x)&lt;1,_xlpm.x=0),"",CONVERT(_xlpm.x,'Diversion and Disposal'!$BH$7,"kg")))</f>
        <v/>
      </c>
      <c r="BK69" s="434" t="str">
        <f>_xlfn.LET(_xlpm.x,K69,IF(OR(LEN(_xlpm.x)&lt;1,_xlpm.x=0),"",CONVERT(_xlpm.x,'Diversion and Disposal'!$BH$7,"kg")))</f>
        <v/>
      </c>
      <c r="BL69" s="434" t="str">
        <f>_xlfn.LET(_xlpm.x,L69,IF(OR(LEN(_xlpm.x)&lt;1,_xlpm.x=0),"",CONVERT(_xlpm.x,'Diversion and Disposal'!$BH$7,"kg")))</f>
        <v/>
      </c>
      <c r="BM69" s="434" t="str">
        <f>_xlfn.LET(_xlpm.x,M69,IF(OR(LEN(_xlpm.x)&lt;1,_xlpm.x=0),"",CONVERT(_xlpm.x,'Diversion and Disposal'!$BH$7,"kg")))</f>
        <v/>
      </c>
      <c r="BN69" s="434" t="str">
        <f>_xlfn.LET(_xlpm.x,N69,IF(OR(LEN(_xlpm.x)&lt;1,_xlpm.x=0),"",CONVERT(_xlpm.x,'Diversion and Disposal'!$BH$7,"kg")))</f>
        <v/>
      </c>
      <c r="BO69" s="434" t="str">
        <f>_xlfn.LET(_xlpm.x,O69,IF(OR(LEN(_xlpm.x)&lt;1,_xlpm.x=0),"",CONVERT(_xlpm.x,'Diversion and Disposal'!$BH$7,"kg")))</f>
        <v/>
      </c>
      <c r="BP69" s="434" t="str">
        <f>_xlfn.LET(_xlpm.x,P69,IF(OR(LEN(_xlpm.x)&lt;1,_xlpm.x=0),"",CONVERT(_xlpm.x,'Diversion and Disposal'!$BH$7,"kg")))</f>
        <v/>
      </c>
      <c r="BQ69" s="434" t="str">
        <f>_xlfn.LET(_xlpm.x,Q69,IF(OR(LEN(_xlpm.x)&lt;1,_xlpm.x=0),"",CONVERT(_xlpm.x,'Diversion and Disposal'!$BH$7,"kg")))</f>
        <v/>
      </c>
      <c r="BR69" s="434" t="str">
        <f>_xlfn.LET(_xlpm.x,R69,IF(OR(LEN(_xlpm.x)&lt;1,_xlpm.x=0),"",CONVERT(_xlpm.x,'Diversion and Disposal'!$BH$7,"kg")))</f>
        <v/>
      </c>
      <c r="BS69" s="434" t="str">
        <f>_xlfn.LET(_xlpm.x,S69,IF(OR(LEN(_xlpm.x)&lt;1,_xlpm.x=0),"",CONVERT(_xlpm.x,'Diversion and Disposal'!$BH$7,"kg")))</f>
        <v/>
      </c>
      <c r="BT69" s="435">
        <f t="shared" si="31"/>
        <v>0</v>
      </c>
      <c r="BU69" s="433" t="str">
        <f>_xlfn.LET(_xlpm.x,BF69,IF(LEN(_xlpm.x)&lt;1,"",IF(ISNUMBER(MATCH(_xlpm.x,ls_Mat_def,0)),'Project Inputs'!$BF$14,99)))</f>
        <v/>
      </c>
      <c r="BV69" s="432" t="str" cm="1">
        <f t="array" ref="BV69">IFERROR(INDEX(tblGWP[],MATCH(1,(tblGWP[Dataset ID]=BU69)*(tblGWP[Material Subcategory]=BF69),0),MATCH(BG69,ls_WHM,0)+5),"confirm")</f>
        <v>confirm</v>
      </c>
      <c r="BW69" s="434" t="str">
        <f t="shared" si="32"/>
        <v>No data</v>
      </c>
      <c r="BX69" s="434" t="str">
        <f t="shared" si="33"/>
        <v>No data</v>
      </c>
      <c r="BY69" s="434" t="str">
        <f t="shared" si="34"/>
        <v>No data</v>
      </c>
      <c r="BZ69" s="434" t="str">
        <f t="shared" si="35"/>
        <v>No data</v>
      </c>
      <c r="CA69" s="434" t="str">
        <f t="shared" si="36"/>
        <v>No data</v>
      </c>
      <c r="CB69" s="434" t="str">
        <f t="shared" si="37"/>
        <v>No data</v>
      </c>
      <c r="CC69" s="434" t="str">
        <f t="shared" si="38"/>
        <v>No data</v>
      </c>
      <c r="CD69" s="434" t="str">
        <f t="shared" si="39"/>
        <v>No data</v>
      </c>
      <c r="CE69" s="434" t="str">
        <f t="shared" si="40"/>
        <v>No data</v>
      </c>
      <c r="CF69" s="434" t="str">
        <f t="shared" si="41"/>
        <v>No data</v>
      </c>
      <c r="CG69" s="434" t="str">
        <f t="shared" si="42"/>
        <v>No data</v>
      </c>
      <c r="CH69" s="434" t="str">
        <f t="shared" si="43"/>
        <v>No data</v>
      </c>
      <c r="CI69" s="435">
        <f t="shared" si="44"/>
        <v>0</v>
      </c>
      <c r="CK69" s="3" t="str">
        <f>_xlfn.LET(_xlpm.x,INDEX(tbl_Mat_def[],MATCH(BF69,ls_Mat_def,0),2),IFERROR(IF(_xlpm.x=0,"No","Yes"),"No"))</f>
        <v>No</v>
      </c>
      <c r="CM69" s="60" t="str">
        <f t="shared" si="45"/>
        <v/>
      </c>
      <c r="CN69" s="60" t="s">
        <v>235</v>
      </c>
      <c r="CO69" s="432" t="str" cm="1">
        <f t="array" ref="CO69">IFERROR(INDEX(tblGWP[],MATCH(1,(tblGWP[Dataset ID]=BU69)*(tblGWP[Material Subcategory]=CM69),0),MATCH(CN69,ls_WHM,0)+4),"confirm")</f>
        <v>confirm</v>
      </c>
      <c r="CP69" s="436" t="str">
        <f t="shared" si="46"/>
        <v/>
      </c>
      <c r="DD69" s="388">
        <f t="shared" si="27"/>
        <v>0</v>
      </c>
      <c r="DE69" s="22">
        <f t="shared" si="47"/>
        <v>19</v>
      </c>
      <c r="DF69" s="387">
        <f t="shared" si="28"/>
        <v>0</v>
      </c>
      <c r="DG69" s="387">
        <f t="shared" si="48"/>
        <v>0</v>
      </c>
      <c r="DH69" s="22">
        <f t="shared" ca="1" si="49"/>
        <v>0</v>
      </c>
      <c r="DI69">
        <f t="shared" ca="1" si="50"/>
        <v>0</v>
      </c>
    </row>
    <row r="70" spans="1:113" ht="30" hidden="1" customHeight="1" outlineLevel="1">
      <c r="A70" s="22" t="str">
        <f t="shared" si="21"/>
        <v/>
      </c>
      <c r="B70" s="199"/>
      <c r="C70" s="459"/>
      <c r="D70" s="199"/>
      <c r="E70" s="405"/>
      <c r="F70" s="405"/>
      <c r="G70" s="406"/>
      <c r="H70" s="377"/>
      <c r="I70" s="377"/>
      <c r="J70" s="377"/>
      <c r="K70" s="377"/>
      <c r="L70" s="377"/>
      <c r="M70" s="377"/>
      <c r="N70" s="377"/>
      <c r="O70" s="377"/>
      <c r="P70" s="377"/>
      <c r="Q70" s="377"/>
      <c r="R70" s="377"/>
      <c r="S70" s="377"/>
      <c r="T70" s="458">
        <f t="shared" si="51"/>
        <v>0</v>
      </c>
      <c r="U70" s="200"/>
      <c r="W70" s="442"/>
      <c r="X70" s="443"/>
      <c r="BC70" s="3">
        <f t="shared" si="22"/>
        <v>0</v>
      </c>
      <c r="BD70" s="3">
        <f t="shared" si="23"/>
        <v>0</v>
      </c>
      <c r="BE70" s="432" t="str">
        <f t="shared" si="24"/>
        <v/>
      </c>
      <c r="BF70" s="432" t="str">
        <f t="shared" si="25"/>
        <v/>
      </c>
      <c r="BG70" s="432" t="str">
        <f t="shared" si="26"/>
        <v/>
      </c>
      <c r="BH70" s="434" t="str">
        <f>_xlfn.LET(_xlpm.x,H70,IF(OR(LEN(_xlpm.x)&lt;1,_xlpm.x=0),"",CONVERT(_xlpm.x,'Diversion and Disposal'!$BH$7,"kg")))</f>
        <v/>
      </c>
      <c r="BI70" s="434" t="str">
        <f>_xlfn.LET(_xlpm.x,I70,IF(OR(LEN(_xlpm.x)&lt;1,_xlpm.x=0),"",CONVERT(_xlpm.x,'Diversion and Disposal'!$BH$7,"kg")))</f>
        <v/>
      </c>
      <c r="BJ70" s="434" t="str">
        <f>_xlfn.LET(_xlpm.x,J70,IF(OR(LEN(_xlpm.x)&lt;1,_xlpm.x=0),"",CONVERT(_xlpm.x,'Diversion and Disposal'!$BH$7,"kg")))</f>
        <v/>
      </c>
      <c r="BK70" s="434" t="str">
        <f>_xlfn.LET(_xlpm.x,K70,IF(OR(LEN(_xlpm.x)&lt;1,_xlpm.x=0),"",CONVERT(_xlpm.x,'Diversion and Disposal'!$BH$7,"kg")))</f>
        <v/>
      </c>
      <c r="BL70" s="434" t="str">
        <f>_xlfn.LET(_xlpm.x,L70,IF(OR(LEN(_xlpm.x)&lt;1,_xlpm.x=0),"",CONVERT(_xlpm.x,'Diversion and Disposal'!$BH$7,"kg")))</f>
        <v/>
      </c>
      <c r="BM70" s="434" t="str">
        <f>_xlfn.LET(_xlpm.x,M70,IF(OR(LEN(_xlpm.x)&lt;1,_xlpm.x=0),"",CONVERT(_xlpm.x,'Diversion and Disposal'!$BH$7,"kg")))</f>
        <v/>
      </c>
      <c r="BN70" s="434" t="str">
        <f>_xlfn.LET(_xlpm.x,N70,IF(OR(LEN(_xlpm.x)&lt;1,_xlpm.x=0),"",CONVERT(_xlpm.x,'Diversion and Disposal'!$BH$7,"kg")))</f>
        <v/>
      </c>
      <c r="BO70" s="434" t="str">
        <f>_xlfn.LET(_xlpm.x,O70,IF(OR(LEN(_xlpm.x)&lt;1,_xlpm.x=0),"",CONVERT(_xlpm.x,'Diversion and Disposal'!$BH$7,"kg")))</f>
        <v/>
      </c>
      <c r="BP70" s="434" t="str">
        <f>_xlfn.LET(_xlpm.x,P70,IF(OR(LEN(_xlpm.x)&lt;1,_xlpm.x=0),"",CONVERT(_xlpm.x,'Diversion and Disposal'!$BH$7,"kg")))</f>
        <v/>
      </c>
      <c r="BQ70" s="434" t="str">
        <f>_xlfn.LET(_xlpm.x,Q70,IF(OR(LEN(_xlpm.x)&lt;1,_xlpm.x=0),"",CONVERT(_xlpm.x,'Diversion and Disposal'!$BH$7,"kg")))</f>
        <v/>
      </c>
      <c r="BR70" s="434" t="str">
        <f>_xlfn.LET(_xlpm.x,R70,IF(OR(LEN(_xlpm.x)&lt;1,_xlpm.x=0),"",CONVERT(_xlpm.x,'Diversion and Disposal'!$BH$7,"kg")))</f>
        <v/>
      </c>
      <c r="BS70" s="434" t="str">
        <f>_xlfn.LET(_xlpm.x,S70,IF(OR(LEN(_xlpm.x)&lt;1,_xlpm.x=0),"",CONVERT(_xlpm.x,'Diversion and Disposal'!$BH$7,"kg")))</f>
        <v/>
      </c>
      <c r="BT70" s="435">
        <f t="shared" si="31"/>
        <v>0</v>
      </c>
      <c r="BU70" s="433" t="str">
        <f>_xlfn.LET(_xlpm.x,BF70,IF(LEN(_xlpm.x)&lt;1,"",IF(ISNUMBER(MATCH(_xlpm.x,ls_Mat_def,0)),'Project Inputs'!$BF$14,99)))</f>
        <v/>
      </c>
      <c r="BV70" s="432" t="str" cm="1">
        <f t="array" ref="BV70">IFERROR(INDEX(tblGWP[],MATCH(1,(tblGWP[Dataset ID]=BU70)*(tblGWP[Material Subcategory]=BF70),0),MATCH(BG70,ls_WHM,0)+5),"confirm")</f>
        <v>confirm</v>
      </c>
      <c r="BW70" s="434" t="str">
        <f t="shared" si="32"/>
        <v>No data</v>
      </c>
      <c r="BX70" s="434" t="str">
        <f t="shared" si="33"/>
        <v>No data</v>
      </c>
      <c r="BY70" s="434" t="str">
        <f t="shared" si="34"/>
        <v>No data</v>
      </c>
      <c r="BZ70" s="434" t="str">
        <f t="shared" si="35"/>
        <v>No data</v>
      </c>
      <c r="CA70" s="434" t="str">
        <f t="shared" si="36"/>
        <v>No data</v>
      </c>
      <c r="CB70" s="434" t="str">
        <f t="shared" si="37"/>
        <v>No data</v>
      </c>
      <c r="CC70" s="434" t="str">
        <f t="shared" si="38"/>
        <v>No data</v>
      </c>
      <c r="CD70" s="434" t="str">
        <f t="shared" si="39"/>
        <v>No data</v>
      </c>
      <c r="CE70" s="434" t="str">
        <f t="shared" si="40"/>
        <v>No data</v>
      </c>
      <c r="CF70" s="434" t="str">
        <f t="shared" si="41"/>
        <v>No data</v>
      </c>
      <c r="CG70" s="434" t="str">
        <f t="shared" si="42"/>
        <v>No data</v>
      </c>
      <c r="CH70" s="434" t="str">
        <f t="shared" si="43"/>
        <v>No data</v>
      </c>
      <c r="CI70" s="435">
        <f t="shared" si="44"/>
        <v>0</v>
      </c>
      <c r="CK70" s="3" t="str">
        <f>_xlfn.LET(_xlpm.x,INDEX(tbl_Mat_def[],MATCH(BF70,ls_Mat_def,0),2),IFERROR(IF(_xlpm.x=0,"No","Yes"),"No"))</f>
        <v>No</v>
      </c>
      <c r="CM70" s="60" t="str">
        <f t="shared" si="45"/>
        <v/>
      </c>
      <c r="CN70" s="60" t="s">
        <v>235</v>
      </c>
      <c r="CO70" s="432" t="str" cm="1">
        <f t="array" ref="CO70">IFERROR(INDEX(tblGWP[],MATCH(1,(tblGWP[Dataset ID]=BU70)*(tblGWP[Material Subcategory]=CM70),0),MATCH(CN70,ls_WHM,0)+4),"confirm")</f>
        <v>confirm</v>
      </c>
      <c r="CP70" s="436" t="str">
        <f t="shared" si="46"/>
        <v/>
      </c>
      <c r="DD70" s="388">
        <f t="shared" si="27"/>
        <v>0</v>
      </c>
      <c r="DE70" s="22">
        <f t="shared" si="47"/>
        <v>19</v>
      </c>
      <c r="DF70" s="387">
        <f t="shared" si="28"/>
        <v>0</v>
      </c>
      <c r="DG70" s="387">
        <f t="shared" si="48"/>
        <v>0</v>
      </c>
      <c r="DH70" s="22">
        <f t="shared" ca="1" si="49"/>
        <v>0</v>
      </c>
      <c r="DI70">
        <f t="shared" ca="1" si="50"/>
        <v>0</v>
      </c>
    </row>
    <row r="71" spans="1:113" ht="30" hidden="1" customHeight="1" outlineLevel="1">
      <c r="A71" s="22" t="str">
        <f t="shared" si="21"/>
        <v/>
      </c>
      <c r="B71" s="199"/>
      <c r="C71" s="459"/>
      <c r="D71" s="199"/>
      <c r="E71" s="405"/>
      <c r="F71" s="405"/>
      <c r="G71" s="406"/>
      <c r="H71" s="377"/>
      <c r="I71" s="377"/>
      <c r="J71" s="377"/>
      <c r="K71" s="377"/>
      <c r="L71" s="377"/>
      <c r="M71" s="377"/>
      <c r="N71" s="377"/>
      <c r="O71" s="377"/>
      <c r="P71" s="377"/>
      <c r="Q71" s="377"/>
      <c r="R71" s="377"/>
      <c r="S71" s="377"/>
      <c r="T71" s="458">
        <f t="shared" si="51"/>
        <v>0</v>
      </c>
      <c r="U71" s="200"/>
      <c r="W71" s="442"/>
      <c r="X71" s="443"/>
      <c r="BC71" s="3">
        <f t="shared" si="22"/>
        <v>0</v>
      </c>
      <c r="BD71" s="3">
        <f t="shared" si="23"/>
        <v>0</v>
      </c>
      <c r="BE71" s="432" t="str">
        <f t="shared" si="24"/>
        <v/>
      </c>
      <c r="BF71" s="432" t="str">
        <f t="shared" si="25"/>
        <v/>
      </c>
      <c r="BG71" s="432" t="str">
        <f t="shared" si="26"/>
        <v/>
      </c>
      <c r="BH71" s="434" t="str">
        <f>_xlfn.LET(_xlpm.x,H71,IF(OR(LEN(_xlpm.x)&lt;1,_xlpm.x=0),"",CONVERT(_xlpm.x,'Diversion and Disposal'!$BH$7,"kg")))</f>
        <v/>
      </c>
      <c r="BI71" s="434" t="str">
        <f>_xlfn.LET(_xlpm.x,I71,IF(OR(LEN(_xlpm.x)&lt;1,_xlpm.x=0),"",CONVERT(_xlpm.x,'Diversion and Disposal'!$BH$7,"kg")))</f>
        <v/>
      </c>
      <c r="BJ71" s="434" t="str">
        <f>_xlfn.LET(_xlpm.x,J71,IF(OR(LEN(_xlpm.x)&lt;1,_xlpm.x=0),"",CONVERT(_xlpm.x,'Diversion and Disposal'!$BH$7,"kg")))</f>
        <v/>
      </c>
      <c r="BK71" s="434" t="str">
        <f>_xlfn.LET(_xlpm.x,K71,IF(OR(LEN(_xlpm.x)&lt;1,_xlpm.x=0),"",CONVERT(_xlpm.x,'Diversion and Disposal'!$BH$7,"kg")))</f>
        <v/>
      </c>
      <c r="BL71" s="434" t="str">
        <f>_xlfn.LET(_xlpm.x,L71,IF(OR(LEN(_xlpm.x)&lt;1,_xlpm.x=0),"",CONVERT(_xlpm.x,'Diversion and Disposal'!$BH$7,"kg")))</f>
        <v/>
      </c>
      <c r="BM71" s="434" t="str">
        <f>_xlfn.LET(_xlpm.x,M71,IF(OR(LEN(_xlpm.x)&lt;1,_xlpm.x=0),"",CONVERT(_xlpm.x,'Diversion and Disposal'!$BH$7,"kg")))</f>
        <v/>
      </c>
      <c r="BN71" s="434" t="str">
        <f>_xlfn.LET(_xlpm.x,N71,IF(OR(LEN(_xlpm.x)&lt;1,_xlpm.x=0),"",CONVERT(_xlpm.x,'Diversion and Disposal'!$BH$7,"kg")))</f>
        <v/>
      </c>
      <c r="BO71" s="434" t="str">
        <f>_xlfn.LET(_xlpm.x,O71,IF(OR(LEN(_xlpm.x)&lt;1,_xlpm.x=0),"",CONVERT(_xlpm.x,'Diversion and Disposal'!$BH$7,"kg")))</f>
        <v/>
      </c>
      <c r="BP71" s="434" t="str">
        <f>_xlfn.LET(_xlpm.x,P71,IF(OR(LEN(_xlpm.x)&lt;1,_xlpm.x=0),"",CONVERT(_xlpm.x,'Diversion and Disposal'!$BH$7,"kg")))</f>
        <v/>
      </c>
      <c r="BQ71" s="434" t="str">
        <f>_xlfn.LET(_xlpm.x,Q71,IF(OR(LEN(_xlpm.x)&lt;1,_xlpm.x=0),"",CONVERT(_xlpm.x,'Diversion and Disposal'!$BH$7,"kg")))</f>
        <v/>
      </c>
      <c r="BR71" s="434" t="str">
        <f>_xlfn.LET(_xlpm.x,R71,IF(OR(LEN(_xlpm.x)&lt;1,_xlpm.x=0),"",CONVERT(_xlpm.x,'Diversion and Disposal'!$BH$7,"kg")))</f>
        <v/>
      </c>
      <c r="BS71" s="434" t="str">
        <f>_xlfn.LET(_xlpm.x,S71,IF(OR(LEN(_xlpm.x)&lt;1,_xlpm.x=0),"",CONVERT(_xlpm.x,'Diversion and Disposal'!$BH$7,"kg")))</f>
        <v/>
      </c>
      <c r="BT71" s="435">
        <f t="shared" si="31"/>
        <v>0</v>
      </c>
      <c r="BU71" s="433" t="str">
        <f>_xlfn.LET(_xlpm.x,BF71,IF(LEN(_xlpm.x)&lt;1,"",IF(ISNUMBER(MATCH(_xlpm.x,ls_Mat_def,0)),'Project Inputs'!$BF$14,99)))</f>
        <v/>
      </c>
      <c r="BV71" s="432" t="str" cm="1">
        <f t="array" ref="BV71">IFERROR(INDEX(tblGWP[],MATCH(1,(tblGWP[Dataset ID]=BU71)*(tblGWP[Material Subcategory]=BF71),0),MATCH(BG71,ls_WHM,0)+5),"confirm")</f>
        <v>confirm</v>
      </c>
      <c r="BW71" s="434" t="str">
        <f t="shared" si="32"/>
        <v>No data</v>
      </c>
      <c r="BX71" s="434" t="str">
        <f t="shared" si="33"/>
        <v>No data</v>
      </c>
      <c r="BY71" s="434" t="str">
        <f t="shared" si="34"/>
        <v>No data</v>
      </c>
      <c r="BZ71" s="434" t="str">
        <f t="shared" si="35"/>
        <v>No data</v>
      </c>
      <c r="CA71" s="434" t="str">
        <f t="shared" si="36"/>
        <v>No data</v>
      </c>
      <c r="CB71" s="434" t="str">
        <f t="shared" si="37"/>
        <v>No data</v>
      </c>
      <c r="CC71" s="434" t="str">
        <f t="shared" si="38"/>
        <v>No data</v>
      </c>
      <c r="CD71" s="434" t="str">
        <f t="shared" si="39"/>
        <v>No data</v>
      </c>
      <c r="CE71" s="434" t="str">
        <f t="shared" si="40"/>
        <v>No data</v>
      </c>
      <c r="CF71" s="434" t="str">
        <f t="shared" si="41"/>
        <v>No data</v>
      </c>
      <c r="CG71" s="434" t="str">
        <f t="shared" si="42"/>
        <v>No data</v>
      </c>
      <c r="CH71" s="434" t="str">
        <f t="shared" si="43"/>
        <v>No data</v>
      </c>
      <c r="CI71" s="435">
        <f t="shared" si="44"/>
        <v>0</v>
      </c>
      <c r="CK71" s="3" t="str">
        <f>_xlfn.LET(_xlpm.x,INDEX(tbl_Mat_def[],MATCH(BF71,ls_Mat_def,0),2),IFERROR(IF(_xlpm.x=0,"No","Yes"),"No"))</f>
        <v>No</v>
      </c>
      <c r="CM71" s="60" t="str">
        <f t="shared" si="45"/>
        <v/>
      </c>
      <c r="CN71" s="60" t="s">
        <v>235</v>
      </c>
      <c r="CO71" s="432" t="str" cm="1">
        <f t="array" ref="CO71">IFERROR(INDEX(tblGWP[],MATCH(1,(tblGWP[Dataset ID]=BU71)*(tblGWP[Material Subcategory]=CM71),0),MATCH(CN71,ls_WHM,0)+4),"confirm")</f>
        <v>confirm</v>
      </c>
      <c r="CP71" s="436" t="str">
        <f t="shared" si="46"/>
        <v/>
      </c>
      <c r="DD71" s="388">
        <f t="shared" si="27"/>
        <v>0</v>
      </c>
      <c r="DE71" s="22">
        <f t="shared" si="47"/>
        <v>19</v>
      </c>
      <c r="DF71" s="387">
        <f t="shared" si="28"/>
        <v>0</v>
      </c>
      <c r="DG71" s="387">
        <f t="shared" si="48"/>
        <v>0</v>
      </c>
      <c r="DH71" s="22">
        <f t="shared" ca="1" si="49"/>
        <v>0</v>
      </c>
      <c r="DI71">
        <f t="shared" ca="1" si="50"/>
        <v>0</v>
      </c>
    </row>
    <row r="72" spans="1:113" ht="30" hidden="1" customHeight="1" outlineLevel="1">
      <c r="A72" s="22" t="str">
        <f t="shared" si="21"/>
        <v/>
      </c>
      <c r="B72" s="199"/>
      <c r="C72" s="459"/>
      <c r="D72" s="199"/>
      <c r="E72" s="405"/>
      <c r="F72" s="405"/>
      <c r="G72" s="406"/>
      <c r="H72" s="377"/>
      <c r="I72" s="377"/>
      <c r="J72" s="377"/>
      <c r="K72" s="377"/>
      <c r="L72" s="377"/>
      <c r="M72" s="377"/>
      <c r="N72" s="377"/>
      <c r="O72" s="377"/>
      <c r="P72" s="377"/>
      <c r="Q72" s="377"/>
      <c r="R72" s="377"/>
      <c r="S72" s="377"/>
      <c r="T72" s="458">
        <f t="shared" si="51"/>
        <v>0</v>
      </c>
      <c r="U72" s="200"/>
      <c r="W72" s="442"/>
      <c r="X72" s="443"/>
      <c r="BC72" s="3">
        <f t="shared" si="22"/>
        <v>0</v>
      </c>
      <c r="BD72" s="3">
        <f t="shared" si="23"/>
        <v>0</v>
      </c>
      <c r="BE72" s="432" t="str">
        <f t="shared" si="24"/>
        <v/>
      </c>
      <c r="BF72" s="432" t="str">
        <f t="shared" si="25"/>
        <v/>
      </c>
      <c r="BG72" s="432" t="str">
        <f t="shared" si="26"/>
        <v/>
      </c>
      <c r="BH72" s="434" t="str">
        <f>_xlfn.LET(_xlpm.x,H72,IF(OR(LEN(_xlpm.x)&lt;1,_xlpm.x=0),"",CONVERT(_xlpm.x,'Diversion and Disposal'!$BH$7,"kg")))</f>
        <v/>
      </c>
      <c r="BI72" s="434" t="str">
        <f>_xlfn.LET(_xlpm.x,I72,IF(OR(LEN(_xlpm.x)&lt;1,_xlpm.x=0),"",CONVERT(_xlpm.x,'Diversion and Disposal'!$BH$7,"kg")))</f>
        <v/>
      </c>
      <c r="BJ72" s="434" t="str">
        <f>_xlfn.LET(_xlpm.x,J72,IF(OR(LEN(_xlpm.x)&lt;1,_xlpm.x=0),"",CONVERT(_xlpm.x,'Diversion and Disposal'!$BH$7,"kg")))</f>
        <v/>
      </c>
      <c r="BK72" s="434" t="str">
        <f>_xlfn.LET(_xlpm.x,K72,IF(OR(LEN(_xlpm.x)&lt;1,_xlpm.x=0),"",CONVERT(_xlpm.x,'Diversion and Disposal'!$BH$7,"kg")))</f>
        <v/>
      </c>
      <c r="BL72" s="434" t="str">
        <f>_xlfn.LET(_xlpm.x,L72,IF(OR(LEN(_xlpm.x)&lt;1,_xlpm.x=0),"",CONVERT(_xlpm.x,'Diversion and Disposal'!$BH$7,"kg")))</f>
        <v/>
      </c>
      <c r="BM72" s="434" t="str">
        <f>_xlfn.LET(_xlpm.x,M72,IF(OR(LEN(_xlpm.x)&lt;1,_xlpm.x=0),"",CONVERT(_xlpm.x,'Diversion and Disposal'!$BH$7,"kg")))</f>
        <v/>
      </c>
      <c r="BN72" s="434" t="str">
        <f>_xlfn.LET(_xlpm.x,N72,IF(OR(LEN(_xlpm.x)&lt;1,_xlpm.x=0),"",CONVERT(_xlpm.x,'Diversion and Disposal'!$BH$7,"kg")))</f>
        <v/>
      </c>
      <c r="BO72" s="434" t="str">
        <f>_xlfn.LET(_xlpm.x,O72,IF(OR(LEN(_xlpm.x)&lt;1,_xlpm.x=0),"",CONVERT(_xlpm.x,'Diversion and Disposal'!$BH$7,"kg")))</f>
        <v/>
      </c>
      <c r="BP72" s="434" t="str">
        <f>_xlfn.LET(_xlpm.x,P72,IF(OR(LEN(_xlpm.x)&lt;1,_xlpm.x=0),"",CONVERT(_xlpm.x,'Diversion and Disposal'!$BH$7,"kg")))</f>
        <v/>
      </c>
      <c r="BQ72" s="434" t="str">
        <f>_xlfn.LET(_xlpm.x,Q72,IF(OR(LEN(_xlpm.x)&lt;1,_xlpm.x=0),"",CONVERT(_xlpm.x,'Diversion and Disposal'!$BH$7,"kg")))</f>
        <v/>
      </c>
      <c r="BR72" s="434" t="str">
        <f>_xlfn.LET(_xlpm.x,R72,IF(OR(LEN(_xlpm.x)&lt;1,_xlpm.x=0),"",CONVERT(_xlpm.x,'Diversion and Disposal'!$BH$7,"kg")))</f>
        <v/>
      </c>
      <c r="BS72" s="434" t="str">
        <f>_xlfn.LET(_xlpm.x,S72,IF(OR(LEN(_xlpm.x)&lt;1,_xlpm.x=0),"",CONVERT(_xlpm.x,'Diversion and Disposal'!$BH$7,"kg")))</f>
        <v/>
      </c>
      <c r="BT72" s="435">
        <f t="shared" si="31"/>
        <v>0</v>
      </c>
      <c r="BU72" s="433" t="str">
        <f>_xlfn.LET(_xlpm.x,BF72,IF(LEN(_xlpm.x)&lt;1,"",IF(ISNUMBER(MATCH(_xlpm.x,ls_Mat_def,0)),'Project Inputs'!$BF$14,99)))</f>
        <v/>
      </c>
      <c r="BV72" s="432" t="str" cm="1">
        <f t="array" ref="BV72">IFERROR(INDEX(tblGWP[],MATCH(1,(tblGWP[Dataset ID]=BU72)*(tblGWP[Material Subcategory]=BF72),0),MATCH(BG72,ls_WHM,0)+5),"confirm")</f>
        <v>confirm</v>
      </c>
      <c r="BW72" s="434" t="str">
        <f t="shared" si="32"/>
        <v>No data</v>
      </c>
      <c r="BX72" s="434" t="str">
        <f t="shared" si="33"/>
        <v>No data</v>
      </c>
      <c r="BY72" s="434" t="str">
        <f t="shared" si="34"/>
        <v>No data</v>
      </c>
      <c r="BZ72" s="434" t="str">
        <f t="shared" si="35"/>
        <v>No data</v>
      </c>
      <c r="CA72" s="434" t="str">
        <f t="shared" si="36"/>
        <v>No data</v>
      </c>
      <c r="CB72" s="434" t="str">
        <f t="shared" si="37"/>
        <v>No data</v>
      </c>
      <c r="CC72" s="434" t="str">
        <f t="shared" si="38"/>
        <v>No data</v>
      </c>
      <c r="CD72" s="434" t="str">
        <f t="shared" si="39"/>
        <v>No data</v>
      </c>
      <c r="CE72" s="434" t="str">
        <f t="shared" si="40"/>
        <v>No data</v>
      </c>
      <c r="CF72" s="434" t="str">
        <f t="shared" si="41"/>
        <v>No data</v>
      </c>
      <c r="CG72" s="434" t="str">
        <f t="shared" si="42"/>
        <v>No data</v>
      </c>
      <c r="CH72" s="434" t="str">
        <f t="shared" si="43"/>
        <v>No data</v>
      </c>
      <c r="CI72" s="435">
        <f t="shared" si="44"/>
        <v>0</v>
      </c>
      <c r="CK72" s="3" t="str">
        <f>_xlfn.LET(_xlpm.x,INDEX(tbl_Mat_def[],MATCH(BF72,ls_Mat_def,0),2),IFERROR(IF(_xlpm.x=0,"No","Yes"),"No"))</f>
        <v>No</v>
      </c>
      <c r="CM72" s="60" t="str">
        <f t="shared" si="45"/>
        <v/>
      </c>
      <c r="CN72" s="60" t="s">
        <v>235</v>
      </c>
      <c r="CO72" s="432" t="str" cm="1">
        <f t="array" ref="CO72">IFERROR(INDEX(tblGWP[],MATCH(1,(tblGWP[Dataset ID]=BU72)*(tblGWP[Material Subcategory]=CM72),0),MATCH(CN72,ls_WHM,0)+4),"confirm")</f>
        <v>confirm</v>
      </c>
      <c r="CP72" s="436" t="str">
        <f t="shared" si="46"/>
        <v/>
      </c>
      <c r="DD72" s="388">
        <f t="shared" si="27"/>
        <v>0</v>
      </c>
      <c r="DE72" s="22">
        <f t="shared" si="47"/>
        <v>19</v>
      </c>
      <c r="DF72" s="387">
        <f t="shared" si="28"/>
        <v>0</v>
      </c>
      <c r="DG72" s="387">
        <f t="shared" si="48"/>
        <v>0</v>
      </c>
      <c r="DH72" s="22">
        <f t="shared" ca="1" si="49"/>
        <v>0</v>
      </c>
      <c r="DI72">
        <f t="shared" ca="1" si="50"/>
        <v>0</v>
      </c>
    </row>
    <row r="73" spans="1:113" ht="30" hidden="1" customHeight="1" outlineLevel="1">
      <c r="A73" s="22" t="str">
        <f t="shared" si="21"/>
        <v/>
      </c>
      <c r="B73" s="199"/>
      <c r="C73" s="459"/>
      <c r="D73" s="199"/>
      <c r="E73" s="405"/>
      <c r="F73" s="405"/>
      <c r="G73" s="406"/>
      <c r="H73" s="377"/>
      <c r="I73" s="377"/>
      <c r="J73" s="377"/>
      <c r="K73" s="377"/>
      <c r="L73" s="377"/>
      <c r="M73" s="377"/>
      <c r="N73" s="377"/>
      <c r="O73" s="377"/>
      <c r="P73" s="377"/>
      <c r="Q73" s="377"/>
      <c r="R73" s="377"/>
      <c r="S73" s="377"/>
      <c r="T73" s="458">
        <f t="shared" si="51"/>
        <v>0</v>
      </c>
      <c r="U73" s="200"/>
      <c r="W73" s="442"/>
      <c r="X73" s="443"/>
      <c r="BC73" s="3">
        <f t="shared" si="22"/>
        <v>0</v>
      </c>
      <c r="BD73" s="3">
        <f t="shared" si="23"/>
        <v>0</v>
      </c>
      <c r="BE73" s="432" t="str">
        <f t="shared" si="24"/>
        <v/>
      </c>
      <c r="BF73" s="432" t="str">
        <f t="shared" si="25"/>
        <v/>
      </c>
      <c r="BG73" s="432" t="str">
        <f t="shared" si="26"/>
        <v/>
      </c>
      <c r="BH73" s="434" t="str">
        <f>_xlfn.LET(_xlpm.x,H73,IF(OR(LEN(_xlpm.x)&lt;1,_xlpm.x=0),"",CONVERT(_xlpm.x,'Diversion and Disposal'!$BH$7,"kg")))</f>
        <v/>
      </c>
      <c r="BI73" s="434" t="str">
        <f>_xlfn.LET(_xlpm.x,I73,IF(OR(LEN(_xlpm.x)&lt;1,_xlpm.x=0),"",CONVERT(_xlpm.x,'Diversion and Disposal'!$BH$7,"kg")))</f>
        <v/>
      </c>
      <c r="BJ73" s="434" t="str">
        <f>_xlfn.LET(_xlpm.x,J73,IF(OR(LEN(_xlpm.x)&lt;1,_xlpm.x=0),"",CONVERT(_xlpm.x,'Diversion and Disposal'!$BH$7,"kg")))</f>
        <v/>
      </c>
      <c r="BK73" s="434" t="str">
        <f>_xlfn.LET(_xlpm.x,K73,IF(OR(LEN(_xlpm.x)&lt;1,_xlpm.x=0),"",CONVERT(_xlpm.x,'Diversion and Disposal'!$BH$7,"kg")))</f>
        <v/>
      </c>
      <c r="BL73" s="434" t="str">
        <f>_xlfn.LET(_xlpm.x,L73,IF(OR(LEN(_xlpm.x)&lt;1,_xlpm.x=0),"",CONVERT(_xlpm.x,'Diversion and Disposal'!$BH$7,"kg")))</f>
        <v/>
      </c>
      <c r="BM73" s="434" t="str">
        <f>_xlfn.LET(_xlpm.x,M73,IF(OR(LEN(_xlpm.x)&lt;1,_xlpm.x=0),"",CONVERT(_xlpm.x,'Diversion and Disposal'!$BH$7,"kg")))</f>
        <v/>
      </c>
      <c r="BN73" s="434" t="str">
        <f>_xlfn.LET(_xlpm.x,N73,IF(OR(LEN(_xlpm.x)&lt;1,_xlpm.x=0),"",CONVERT(_xlpm.x,'Diversion and Disposal'!$BH$7,"kg")))</f>
        <v/>
      </c>
      <c r="BO73" s="434" t="str">
        <f>_xlfn.LET(_xlpm.x,O73,IF(OR(LEN(_xlpm.x)&lt;1,_xlpm.x=0),"",CONVERT(_xlpm.x,'Diversion and Disposal'!$BH$7,"kg")))</f>
        <v/>
      </c>
      <c r="BP73" s="434" t="str">
        <f>_xlfn.LET(_xlpm.x,P73,IF(OR(LEN(_xlpm.x)&lt;1,_xlpm.x=0),"",CONVERT(_xlpm.x,'Diversion and Disposal'!$BH$7,"kg")))</f>
        <v/>
      </c>
      <c r="BQ73" s="434" t="str">
        <f>_xlfn.LET(_xlpm.x,Q73,IF(OR(LEN(_xlpm.x)&lt;1,_xlpm.x=0),"",CONVERT(_xlpm.x,'Diversion and Disposal'!$BH$7,"kg")))</f>
        <v/>
      </c>
      <c r="BR73" s="434" t="str">
        <f>_xlfn.LET(_xlpm.x,R73,IF(OR(LEN(_xlpm.x)&lt;1,_xlpm.x=0),"",CONVERT(_xlpm.x,'Diversion and Disposal'!$BH$7,"kg")))</f>
        <v/>
      </c>
      <c r="BS73" s="434" t="str">
        <f>_xlfn.LET(_xlpm.x,S73,IF(OR(LEN(_xlpm.x)&lt;1,_xlpm.x=0),"",CONVERT(_xlpm.x,'Diversion and Disposal'!$BH$7,"kg")))</f>
        <v/>
      </c>
      <c r="BT73" s="435">
        <f t="shared" si="31"/>
        <v>0</v>
      </c>
      <c r="BU73" s="433" t="str">
        <f>_xlfn.LET(_xlpm.x,BF73,IF(LEN(_xlpm.x)&lt;1,"",IF(ISNUMBER(MATCH(_xlpm.x,ls_Mat_def,0)),'Project Inputs'!$BF$14,99)))</f>
        <v/>
      </c>
      <c r="BV73" s="432" t="str" cm="1">
        <f t="array" ref="BV73">IFERROR(INDEX(tblGWP[],MATCH(1,(tblGWP[Dataset ID]=BU73)*(tblGWP[Material Subcategory]=BF73),0),MATCH(BG73,ls_WHM,0)+5),"confirm")</f>
        <v>confirm</v>
      </c>
      <c r="BW73" s="434" t="str">
        <f t="shared" si="32"/>
        <v>No data</v>
      </c>
      <c r="BX73" s="434" t="str">
        <f t="shared" si="33"/>
        <v>No data</v>
      </c>
      <c r="BY73" s="434" t="str">
        <f t="shared" si="34"/>
        <v>No data</v>
      </c>
      <c r="BZ73" s="434" t="str">
        <f t="shared" si="35"/>
        <v>No data</v>
      </c>
      <c r="CA73" s="434" t="str">
        <f t="shared" si="36"/>
        <v>No data</v>
      </c>
      <c r="CB73" s="434" t="str">
        <f t="shared" si="37"/>
        <v>No data</v>
      </c>
      <c r="CC73" s="434" t="str">
        <f t="shared" si="38"/>
        <v>No data</v>
      </c>
      <c r="CD73" s="434" t="str">
        <f t="shared" si="39"/>
        <v>No data</v>
      </c>
      <c r="CE73" s="434" t="str">
        <f t="shared" si="40"/>
        <v>No data</v>
      </c>
      <c r="CF73" s="434" t="str">
        <f t="shared" si="41"/>
        <v>No data</v>
      </c>
      <c r="CG73" s="434" t="str">
        <f t="shared" si="42"/>
        <v>No data</v>
      </c>
      <c r="CH73" s="434" t="str">
        <f t="shared" si="43"/>
        <v>No data</v>
      </c>
      <c r="CI73" s="435">
        <f t="shared" si="44"/>
        <v>0</v>
      </c>
      <c r="CK73" s="3" t="str">
        <f>_xlfn.LET(_xlpm.x,INDEX(tbl_Mat_def[],MATCH(BF73,ls_Mat_def,0),2),IFERROR(IF(_xlpm.x=0,"No","Yes"),"No"))</f>
        <v>No</v>
      </c>
      <c r="CM73" s="60" t="str">
        <f t="shared" si="45"/>
        <v/>
      </c>
      <c r="CN73" s="60" t="s">
        <v>235</v>
      </c>
      <c r="CO73" s="432" t="str" cm="1">
        <f t="array" ref="CO73">IFERROR(INDEX(tblGWP[],MATCH(1,(tblGWP[Dataset ID]=BU73)*(tblGWP[Material Subcategory]=CM73),0),MATCH(CN73,ls_WHM,0)+4),"confirm")</f>
        <v>confirm</v>
      </c>
      <c r="CP73" s="436" t="str">
        <f t="shared" si="46"/>
        <v/>
      </c>
      <c r="DD73" s="388">
        <f t="shared" si="27"/>
        <v>0</v>
      </c>
      <c r="DE73" s="22">
        <f t="shared" si="47"/>
        <v>19</v>
      </c>
      <c r="DF73" s="387">
        <f t="shared" si="28"/>
        <v>0</v>
      </c>
      <c r="DG73" s="387">
        <f t="shared" si="48"/>
        <v>0</v>
      </c>
      <c r="DH73" s="22">
        <f t="shared" ca="1" si="49"/>
        <v>0</v>
      </c>
      <c r="DI73">
        <f t="shared" ca="1" si="50"/>
        <v>0</v>
      </c>
    </row>
    <row r="74" spans="1:113" ht="30" hidden="1" customHeight="1" outlineLevel="1">
      <c r="A74" s="22" t="str">
        <f t="shared" si="21"/>
        <v/>
      </c>
      <c r="B74" s="199"/>
      <c r="C74" s="459"/>
      <c r="D74" s="199"/>
      <c r="E74" s="405"/>
      <c r="F74" s="405"/>
      <c r="G74" s="406"/>
      <c r="H74" s="377"/>
      <c r="I74" s="377"/>
      <c r="J74" s="377"/>
      <c r="K74" s="377"/>
      <c r="L74" s="377"/>
      <c r="M74" s="377"/>
      <c r="N74" s="377"/>
      <c r="O74" s="377"/>
      <c r="P74" s="377"/>
      <c r="Q74" s="377"/>
      <c r="R74" s="377"/>
      <c r="S74" s="377"/>
      <c r="T74" s="458">
        <f t="shared" si="51"/>
        <v>0</v>
      </c>
      <c r="U74" s="200"/>
      <c r="W74" s="442"/>
      <c r="X74" s="443"/>
      <c r="BC74" s="3">
        <f t="shared" si="22"/>
        <v>0</v>
      </c>
      <c r="BD74" s="3">
        <f t="shared" si="23"/>
        <v>0</v>
      </c>
      <c r="BE74" s="432" t="str">
        <f t="shared" si="24"/>
        <v/>
      </c>
      <c r="BF74" s="432" t="str">
        <f t="shared" si="25"/>
        <v/>
      </c>
      <c r="BG74" s="432" t="str">
        <f t="shared" si="26"/>
        <v/>
      </c>
      <c r="BH74" s="434" t="str">
        <f>_xlfn.LET(_xlpm.x,H74,IF(OR(LEN(_xlpm.x)&lt;1,_xlpm.x=0),"",CONVERT(_xlpm.x,'Diversion and Disposal'!$BH$7,"kg")))</f>
        <v/>
      </c>
      <c r="BI74" s="434" t="str">
        <f>_xlfn.LET(_xlpm.x,I74,IF(OR(LEN(_xlpm.x)&lt;1,_xlpm.x=0),"",CONVERT(_xlpm.x,'Diversion and Disposal'!$BH$7,"kg")))</f>
        <v/>
      </c>
      <c r="BJ74" s="434" t="str">
        <f>_xlfn.LET(_xlpm.x,J74,IF(OR(LEN(_xlpm.x)&lt;1,_xlpm.x=0),"",CONVERT(_xlpm.x,'Diversion and Disposal'!$BH$7,"kg")))</f>
        <v/>
      </c>
      <c r="BK74" s="434" t="str">
        <f>_xlfn.LET(_xlpm.x,K74,IF(OR(LEN(_xlpm.x)&lt;1,_xlpm.x=0),"",CONVERT(_xlpm.x,'Diversion and Disposal'!$BH$7,"kg")))</f>
        <v/>
      </c>
      <c r="BL74" s="434" t="str">
        <f>_xlfn.LET(_xlpm.x,L74,IF(OR(LEN(_xlpm.x)&lt;1,_xlpm.x=0),"",CONVERT(_xlpm.x,'Diversion and Disposal'!$BH$7,"kg")))</f>
        <v/>
      </c>
      <c r="BM74" s="434" t="str">
        <f>_xlfn.LET(_xlpm.x,M74,IF(OR(LEN(_xlpm.x)&lt;1,_xlpm.x=0),"",CONVERT(_xlpm.x,'Diversion and Disposal'!$BH$7,"kg")))</f>
        <v/>
      </c>
      <c r="BN74" s="434" t="str">
        <f>_xlfn.LET(_xlpm.x,N74,IF(OR(LEN(_xlpm.x)&lt;1,_xlpm.x=0),"",CONVERT(_xlpm.x,'Diversion and Disposal'!$BH$7,"kg")))</f>
        <v/>
      </c>
      <c r="BO74" s="434" t="str">
        <f>_xlfn.LET(_xlpm.x,O74,IF(OR(LEN(_xlpm.x)&lt;1,_xlpm.x=0),"",CONVERT(_xlpm.x,'Diversion and Disposal'!$BH$7,"kg")))</f>
        <v/>
      </c>
      <c r="BP74" s="434" t="str">
        <f>_xlfn.LET(_xlpm.x,P74,IF(OR(LEN(_xlpm.x)&lt;1,_xlpm.x=0),"",CONVERT(_xlpm.x,'Diversion and Disposal'!$BH$7,"kg")))</f>
        <v/>
      </c>
      <c r="BQ74" s="434" t="str">
        <f>_xlfn.LET(_xlpm.x,Q74,IF(OR(LEN(_xlpm.x)&lt;1,_xlpm.x=0),"",CONVERT(_xlpm.x,'Diversion and Disposal'!$BH$7,"kg")))</f>
        <v/>
      </c>
      <c r="BR74" s="434" t="str">
        <f>_xlfn.LET(_xlpm.x,R74,IF(OR(LEN(_xlpm.x)&lt;1,_xlpm.x=0),"",CONVERT(_xlpm.x,'Diversion and Disposal'!$BH$7,"kg")))</f>
        <v/>
      </c>
      <c r="BS74" s="434" t="str">
        <f>_xlfn.LET(_xlpm.x,S74,IF(OR(LEN(_xlpm.x)&lt;1,_xlpm.x=0),"",CONVERT(_xlpm.x,'Diversion and Disposal'!$BH$7,"kg")))</f>
        <v/>
      </c>
      <c r="BT74" s="435">
        <f t="shared" si="31"/>
        <v>0</v>
      </c>
      <c r="BU74" s="433" t="str">
        <f>_xlfn.LET(_xlpm.x,BF74,IF(LEN(_xlpm.x)&lt;1,"",IF(ISNUMBER(MATCH(_xlpm.x,ls_Mat_def,0)),'Project Inputs'!$BF$14,99)))</f>
        <v/>
      </c>
      <c r="BV74" s="432" t="str" cm="1">
        <f t="array" ref="BV74">IFERROR(INDEX(tblGWP[],MATCH(1,(tblGWP[Dataset ID]=BU74)*(tblGWP[Material Subcategory]=BF74),0),MATCH(BG74,ls_WHM,0)+5),"confirm")</f>
        <v>confirm</v>
      </c>
      <c r="BW74" s="434" t="str">
        <f t="shared" si="32"/>
        <v>No data</v>
      </c>
      <c r="BX74" s="434" t="str">
        <f t="shared" si="33"/>
        <v>No data</v>
      </c>
      <c r="BY74" s="434" t="str">
        <f t="shared" si="34"/>
        <v>No data</v>
      </c>
      <c r="BZ74" s="434" t="str">
        <f t="shared" si="35"/>
        <v>No data</v>
      </c>
      <c r="CA74" s="434" t="str">
        <f t="shared" si="36"/>
        <v>No data</v>
      </c>
      <c r="CB74" s="434" t="str">
        <f t="shared" si="37"/>
        <v>No data</v>
      </c>
      <c r="CC74" s="434" t="str">
        <f t="shared" si="38"/>
        <v>No data</v>
      </c>
      <c r="CD74" s="434" t="str">
        <f t="shared" si="39"/>
        <v>No data</v>
      </c>
      <c r="CE74" s="434" t="str">
        <f t="shared" si="40"/>
        <v>No data</v>
      </c>
      <c r="CF74" s="434" t="str">
        <f t="shared" si="41"/>
        <v>No data</v>
      </c>
      <c r="CG74" s="434" t="str">
        <f t="shared" si="42"/>
        <v>No data</v>
      </c>
      <c r="CH74" s="434" t="str">
        <f t="shared" si="43"/>
        <v>No data</v>
      </c>
      <c r="CI74" s="435">
        <f t="shared" si="44"/>
        <v>0</v>
      </c>
      <c r="CK74" s="3" t="str">
        <f>_xlfn.LET(_xlpm.x,INDEX(tbl_Mat_def[],MATCH(BF74,ls_Mat_def,0),2),IFERROR(IF(_xlpm.x=0,"No","Yes"),"No"))</f>
        <v>No</v>
      </c>
      <c r="CM74" s="60" t="str">
        <f t="shared" si="45"/>
        <v/>
      </c>
      <c r="CN74" s="60" t="s">
        <v>235</v>
      </c>
      <c r="CO74" s="432" t="str" cm="1">
        <f t="array" ref="CO74">IFERROR(INDEX(tblGWP[],MATCH(1,(tblGWP[Dataset ID]=BU74)*(tblGWP[Material Subcategory]=CM74),0),MATCH(CN74,ls_WHM,0)+4),"confirm")</f>
        <v>confirm</v>
      </c>
      <c r="CP74" s="436" t="str">
        <f t="shared" si="46"/>
        <v/>
      </c>
      <c r="DD74" s="388">
        <f t="shared" si="27"/>
        <v>0</v>
      </c>
      <c r="DE74" s="22">
        <f t="shared" si="47"/>
        <v>19</v>
      </c>
      <c r="DF74" s="387">
        <f t="shared" si="28"/>
        <v>0</v>
      </c>
      <c r="DG74" s="387">
        <f t="shared" si="48"/>
        <v>0</v>
      </c>
      <c r="DH74" s="22">
        <f t="shared" ca="1" si="49"/>
        <v>0</v>
      </c>
      <c r="DI74">
        <f t="shared" ca="1" si="50"/>
        <v>0</v>
      </c>
    </row>
    <row r="75" spans="1:113" ht="30" hidden="1" customHeight="1" outlineLevel="1">
      <c r="A75" s="22" t="str">
        <f t="shared" si="21"/>
        <v/>
      </c>
      <c r="B75" s="199"/>
      <c r="C75" s="459"/>
      <c r="D75" s="199"/>
      <c r="E75" s="405"/>
      <c r="F75" s="405"/>
      <c r="G75" s="406"/>
      <c r="H75" s="377"/>
      <c r="I75" s="377"/>
      <c r="J75" s="377"/>
      <c r="K75" s="377"/>
      <c r="L75" s="377"/>
      <c r="M75" s="377"/>
      <c r="N75" s="377"/>
      <c r="O75" s="377"/>
      <c r="P75" s="377"/>
      <c r="Q75" s="377"/>
      <c r="R75" s="377"/>
      <c r="S75" s="377"/>
      <c r="T75" s="458">
        <f t="shared" si="51"/>
        <v>0</v>
      </c>
      <c r="U75" s="200"/>
      <c r="W75" s="442"/>
      <c r="X75" s="443"/>
      <c r="BC75" s="3">
        <f t="shared" si="22"/>
        <v>0</v>
      </c>
      <c r="BD75" s="3">
        <f t="shared" si="23"/>
        <v>0</v>
      </c>
      <c r="BE75" s="432" t="str">
        <f t="shared" si="24"/>
        <v/>
      </c>
      <c r="BF75" s="432" t="str">
        <f t="shared" si="25"/>
        <v/>
      </c>
      <c r="BG75" s="432" t="str">
        <f t="shared" si="26"/>
        <v/>
      </c>
      <c r="BH75" s="434" t="str">
        <f>_xlfn.LET(_xlpm.x,H75,IF(OR(LEN(_xlpm.x)&lt;1,_xlpm.x=0),"",CONVERT(_xlpm.x,'Diversion and Disposal'!$BH$7,"kg")))</f>
        <v/>
      </c>
      <c r="BI75" s="434" t="str">
        <f>_xlfn.LET(_xlpm.x,I75,IF(OR(LEN(_xlpm.x)&lt;1,_xlpm.x=0),"",CONVERT(_xlpm.x,'Diversion and Disposal'!$BH$7,"kg")))</f>
        <v/>
      </c>
      <c r="BJ75" s="434" t="str">
        <f>_xlfn.LET(_xlpm.x,J75,IF(OR(LEN(_xlpm.x)&lt;1,_xlpm.x=0),"",CONVERT(_xlpm.x,'Diversion and Disposal'!$BH$7,"kg")))</f>
        <v/>
      </c>
      <c r="BK75" s="434" t="str">
        <f>_xlfn.LET(_xlpm.x,K75,IF(OR(LEN(_xlpm.x)&lt;1,_xlpm.x=0),"",CONVERT(_xlpm.x,'Diversion and Disposal'!$BH$7,"kg")))</f>
        <v/>
      </c>
      <c r="BL75" s="434" t="str">
        <f>_xlfn.LET(_xlpm.x,L75,IF(OR(LEN(_xlpm.x)&lt;1,_xlpm.x=0),"",CONVERT(_xlpm.x,'Diversion and Disposal'!$BH$7,"kg")))</f>
        <v/>
      </c>
      <c r="BM75" s="434" t="str">
        <f>_xlfn.LET(_xlpm.x,M75,IF(OR(LEN(_xlpm.x)&lt;1,_xlpm.x=0),"",CONVERT(_xlpm.x,'Diversion and Disposal'!$BH$7,"kg")))</f>
        <v/>
      </c>
      <c r="BN75" s="434" t="str">
        <f>_xlfn.LET(_xlpm.x,N75,IF(OR(LEN(_xlpm.x)&lt;1,_xlpm.x=0),"",CONVERT(_xlpm.x,'Diversion and Disposal'!$BH$7,"kg")))</f>
        <v/>
      </c>
      <c r="BO75" s="434" t="str">
        <f>_xlfn.LET(_xlpm.x,O75,IF(OR(LEN(_xlpm.x)&lt;1,_xlpm.x=0),"",CONVERT(_xlpm.x,'Diversion and Disposal'!$BH$7,"kg")))</f>
        <v/>
      </c>
      <c r="BP75" s="434" t="str">
        <f>_xlfn.LET(_xlpm.x,P75,IF(OR(LEN(_xlpm.x)&lt;1,_xlpm.x=0),"",CONVERT(_xlpm.x,'Diversion and Disposal'!$BH$7,"kg")))</f>
        <v/>
      </c>
      <c r="BQ75" s="434" t="str">
        <f>_xlfn.LET(_xlpm.x,Q75,IF(OR(LEN(_xlpm.x)&lt;1,_xlpm.x=0),"",CONVERT(_xlpm.x,'Diversion and Disposal'!$BH$7,"kg")))</f>
        <v/>
      </c>
      <c r="BR75" s="434" t="str">
        <f>_xlfn.LET(_xlpm.x,R75,IF(OR(LEN(_xlpm.x)&lt;1,_xlpm.x=0),"",CONVERT(_xlpm.x,'Diversion and Disposal'!$BH$7,"kg")))</f>
        <v/>
      </c>
      <c r="BS75" s="434" t="str">
        <f>_xlfn.LET(_xlpm.x,S75,IF(OR(LEN(_xlpm.x)&lt;1,_xlpm.x=0),"",CONVERT(_xlpm.x,'Diversion and Disposal'!$BH$7,"kg")))</f>
        <v/>
      </c>
      <c r="BT75" s="435">
        <f t="shared" si="31"/>
        <v>0</v>
      </c>
      <c r="BU75" s="433" t="str">
        <f>_xlfn.LET(_xlpm.x,BF75,IF(LEN(_xlpm.x)&lt;1,"",IF(ISNUMBER(MATCH(_xlpm.x,ls_Mat_def,0)),'Project Inputs'!$BF$14,99)))</f>
        <v/>
      </c>
      <c r="BV75" s="432" t="str" cm="1">
        <f t="array" ref="BV75">IFERROR(INDEX(tblGWP[],MATCH(1,(tblGWP[Dataset ID]=BU75)*(tblGWP[Material Subcategory]=BF75),0),MATCH(BG75,ls_WHM,0)+5),"confirm")</f>
        <v>confirm</v>
      </c>
      <c r="BW75" s="434" t="str">
        <f t="shared" si="32"/>
        <v>No data</v>
      </c>
      <c r="BX75" s="434" t="str">
        <f t="shared" si="33"/>
        <v>No data</v>
      </c>
      <c r="BY75" s="434" t="str">
        <f t="shared" si="34"/>
        <v>No data</v>
      </c>
      <c r="BZ75" s="434" t="str">
        <f t="shared" si="35"/>
        <v>No data</v>
      </c>
      <c r="CA75" s="434" t="str">
        <f t="shared" si="36"/>
        <v>No data</v>
      </c>
      <c r="CB75" s="434" t="str">
        <f t="shared" si="37"/>
        <v>No data</v>
      </c>
      <c r="CC75" s="434" t="str">
        <f t="shared" si="38"/>
        <v>No data</v>
      </c>
      <c r="CD75" s="434" t="str">
        <f t="shared" si="39"/>
        <v>No data</v>
      </c>
      <c r="CE75" s="434" t="str">
        <f t="shared" si="40"/>
        <v>No data</v>
      </c>
      <c r="CF75" s="434" t="str">
        <f t="shared" si="41"/>
        <v>No data</v>
      </c>
      <c r="CG75" s="434" t="str">
        <f t="shared" si="42"/>
        <v>No data</v>
      </c>
      <c r="CH75" s="434" t="str">
        <f t="shared" si="43"/>
        <v>No data</v>
      </c>
      <c r="CI75" s="435">
        <f t="shared" si="44"/>
        <v>0</v>
      </c>
      <c r="CK75" s="3" t="str">
        <f>_xlfn.LET(_xlpm.x,INDEX(tbl_Mat_def[],MATCH(BF75,ls_Mat_def,0),2),IFERROR(IF(_xlpm.x=0,"No","Yes"),"No"))</f>
        <v>No</v>
      </c>
      <c r="CM75" s="60" t="str">
        <f t="shared" si="45"/>
        <v/>
      </c>
      <c r="CN75" s="60" t="s">
        <v>235</v>
      </c>
      <c r="CO75" s="432" t="str" cm="1">
        <f t="array" ref="CO75">IFERROR(INDEX(tblGWP[],MATCH(1,(tblGWP[Dataset ID]=BU75)*(tblGWP[Material Subcategory]=CM75),0),MATCH(CN75,ls_WHM,0)+4),"confirm")</f>
        <v>confirm</v>
      </c>
      <c r="CP75" s="436" t="str">
        <f t="shared" si="46"/>
        <v/>
      </c>
      <c r="DD75" s="388">
        <f t="shared" si="27"/>
        <v>0</v>
      </c>
      <c r="DE75" s="22">
        <f t="shared" si="47"/>
        <v>19</v>
      </c>
      <c r="DF75" s="387">
        <f t="shared" si="28"/>
        <v>0</v>
      </c>
      <c r="DG75" s="387">
        <f t="shared" si="48"/>
        <v>0</v>
      </c>
      <c r="DH75" s="22">
        <f t="shared" ca="1" si="49"/>
        <v>0</v>
      </c>
      <c r="DI75">
        <f t="shared" ca="1" si="50"/>
        <v>0</v>
      </c>
    </row>
    <row r="76" spans="1:113" ht="30" hidden="1" customHeight="1" outlineLevel="1">
      <c r="A76" s="22" t="str">
        <f t="shared" si="21"/>
        <v/>
      </c>
      <c r="B76" s="199"/>
      <c r="C76" s="459"/>
      <c r="D76" s="199"/>
      <c r="E76" s="405"/>
      <c r="F76" s="405"/>
      <c r="G76" s="406"/>
      <c r="H76" s="377"/>
      <c r="I76" s="377"/>
      <c r="J76" s="377"/>
      <c r="K76" s="377"/>
      <c r="L76" s="377"/>
      <c r="M76" s="377"/>
      <c r="N76" s="377"/>
      <c r="O76" s="377"/>
      <c r="P76" s="377"/>
      <c r="Q76" s="377"/>
      <c r="R76" s="377"/>
      <c r="S76" s="377"/>
      <c r="T76" s="458">
        <f t="shared" si="51"/>
        <v>0</v>
      </c>
      <c r="U76" s="200"/>
      <c r="W76" s="442"/>
      <c r="X76" s="443"/>
      <c r="BC76" s="3">
        <f t="shared" si="22"/>
        <v>0</v>
      </c>
      <c r="BD76" s="3">
        <f t="shared" si="23"/>
        <v>0</v>
      </c>
      <c r="BE76" s="432" t="str">
        <f t="shared" si="24"/>
        <v/>
      </c>
      <c r="BF76" s="432" t="str">
        <f t="shared" si="25"/>
        <v/>
      </c>
      <c r="BG76" s="432" t="str">
        <f t="shared" si="26"/>
        <v/>
      </c>
      <c r="BH76" s="434" t="str">
        <f>_xlfn.LET(_xlpm.x,H76,IF(OR(LEN(_xlpm.x)&lt;1,_xlpm.x=0),"",CONVERT(_xlpm.x,'Diversion and Disposal'!$BH$7,"kg")))</f>
        <v/>
      </c>
      <c r="BI76" s="434" t="str">
        <f>_xlfn.LET(_xlpm.x,I76,IF(OR(LEN(_xlpm.x)&lt;1,_xlpm.x=0),"",CONVERT(_xlpm.x,'Diversion and Disposal'!$BH$7,"kg")))</f>
        <v/>
      </c>
      <c r="BJ76" s="434" t="str">
        <f>_xlfn.LET(_xlpm.x,J76,IF(OR(LEN(_xlpm.x)&lt;1,_xlpm.x=0),"",CONVERT(_xlpm.x,'Diversion and Disposal'!$BH$7,"kg")))</f>
        <v/>
      </c>
      <c r="BK76" s="434" t="str">
        <f>_xlfn.LET(_xlpm.x,K76,IF(OR(LEN(_xlpm.x)&lt;1,_xlpm.x=0),"",CONVERT(_xlpm.x,'Diversion and Disposal'!$BH$7,"kg")))</f>
        <v/>
      </c>
      <c r="BL76" s="434" t="str">
        <f>_xlfn.LET(_xlpm.x,L76,IF(OR(LEN(_xlpm.x)&lt;1,_xlpm.x=0),"",CONVERT(_xlpm.x,'Diversion and Disposal'!$BH$7,"kg")))</f>
        <v/>
      </c>
      <c r="BM76" s="434" t="str">
        <f>_xlfn.LET(_xlpm.x,M76,IF(OR(LEN(_xlpm.x)&lt;1,_xlpm.x=0),"",CONVERT(_xlpm.x,'Diversion and Disposal'!$BH$7,"kg")))</f>
        <v/>
      </c>
      <c r="BN76" s="434" t="str">
        <f>_xlfn.LET(_xlpm.x,N76,IF(OR(LEN(_xlpm.x)&lt;1,_xlpm.x=0),"",CONVERT(_xlpm.x,'Diversion and Disposal'!$BH$7,"kg")))</f>
        <v/>
      </c>
      <c r="BO76" s="434" t="str">
        <f>_xlfn.LET(_xlpm.x,O76,IF(OR(LEN(_xlpm.x)&lt;1,_xlpm.x=0),"",CONVERT(_xlpm.x,'Diversion and Disposal'!$BH$7,"kg")))</f>
        <v/>
      </c>
      <c r="BP76" s="434" t="str">
        <f>_xlfn.LET(_xlpm.x,P76,IF(OR(LEN(_xlpm.x)&lt;1,_xlpm.x=0),"",CONVERT(_xlpm.x,'Diversion and Disposal'!$BH$7,"kg")))</f>
        <v/>
      </c>
      <c r="BQ76" s="434" t="str">
        <f>_xlfn.LET(_xlpm.x,Q76,IF(OR(LEN(_xlpm.x)&lt;1,_xlpm.x=0),"",CONVERT(_xlpm.x,'Diversion and Disposal'!$BH$7,"kg")))</f>
        <v/>
      </c>
      <c r="BR76" s="434" t="str">
        <f>_xlfn.LET(_xlpm.x,R76,IF(OR(LEN(_xlpm.x)&lt;1,_xlpm.x=0),"",CONVERT(_xlpm.x,'Diversion and Disposal'!$BH$7,"kg")))</f>
        <v/>
      </c>
      <c r="BS76" s="434" t="str">
        <f>_xlfn.LET(_xlpm.x,S76,IF(OR(LEN(_xlpm.x)&lt;1,_xlpm.x=0),"",CONVERT(_xlpm.x,'Diversion and Disposal'!$BH$7,"kg")))</f>
        <v/>
      </c>
      <c r="BT76" s="435">
        <f t="shared" si="31"/>
        <v>0</v>
      </c>
      <c r="BU76" s="433" t="str">
        <f>_xlfn.LET(_xlpm.x,BF76,IF(LEN(_xlpm.x)&lt;1,"",IF(ISNUMBER(MATCH(_xlpm.x,ls_Mat_def,0)),'Project Inputs'!$BF$14,99)))</f>
        <v/>
      </c>
      <c r="BV76" s="432" t="str" cm="1">
        <f t="array" ref="BV76">IFERROR(INDEX(tblGWP[],MATCH(1,(tblGWP[Dataset ID]=BU76)*(tblGWP[Material Subcategory]=BF76),0),MATCH(BG76,ls_WHM,0)+5),"confirm")</f>
        <v>confirm</v>
      </c>
      <c r="BW76" s="434" t="str">
        <f t="shared" si="32"/>
        <v>No data</v>
      </c>
      <c r="BX76" s="434" t="str">
        <f t="shared" si="33"/>
        <v>No data</v>
      </c>
      <c r="BY76" s="434" t="str">
        <f t="shared" si="34"/>
        <v>No data</v>
      </c>
      <c r="BZ76" s="434" t="str">
        <f t="shared" si="35"/>
        <v>No data</v>
      </c>
      <c r="CA76" s="434" t="str">
        <f t="shared" si="36"/>
        <v>No data</v>
      </c>
      <c r="CB76" s="434" t="str">
        <f t="shared" si="37"/>
        <v>No data</v>
      </c>
      <c r="CC76" s="434" t="str">
        <f t="shared" si="38"/>
        <v>No data</v>
      </c>
      <c r="CD76" s="434" t="str">
        <f t="shared" si="39"/>
        <v>No data</v>
      </c>
      <c r="CE76" s="434" t="str">
        <f t="shared" si="40"/>
        <v>No data</v>
      </c>
      <c r="CF76" s="434" t="str">
        <f t="shared" si="41"/>
        <v>No data</v>
      </c>
      <c r="CG76" s="434" t="str">
        <f t="shared" si="42"/>
        <v>No data</v>
      </c>
      <c r="CH76" s="434" t="str">
        <f t="shared" si="43"/>
        <v>No data</v>
      </c>
      <c r="CI76" s="435">
        <f t="shared" si="44"/>
        <v>0</v>
      </c>
      <c r="CK76" s="3" t="str">
        <f>_xlfn.LET(_xlpm.x,INDEX(tbl_Mat_def[],MATCH(BF76,ls_Mat_def,0),2),IFERROR(IF(_xlpm.x=0,"No","Yes"),"No"))</f>
        <v>No</v>
      </c>
      <c r="CM76" s="60" t="str">
        <f t="shared" si="45"/>
        <v/>
      </c>
      <c r="CN76" s="60" t="s">
        <v>235</v>
      </c>
      <c r="CO76" s="432" t="str" cm="1">
        <f t="array" ref="CO76">IFERROR(INDEX(tblGWP[],MATCH(1,(tblGWP[Dataset ID]=BU76)*(tblGWP[Material Subcategory]=CM76),0),MATCH(CN76,ls_WHM,0)+4),"confirm")</f>
        <v>confirm</v>
      </c>
      <c r="CP76" s="436" t="str">
        <f t="shared" si="46"/>
        <v/>
      </c>
      <c r="DD76" s="388">
        <f t="shared" si="27"/>
        <v>0</v>
      </c>
      <c r="DE76" s="22">
        <f t="shared" si="47"/>
        <v>19</v>
      </c>
      <c r="DF76" s="387">
        <f t="shared" si="28"/>
        <v>0</v>
      </c>
      <c r="DG76" s="387">
        <f t="shared" si="48"/>
        <v>0</v>
      </c>
      <c r="DH76" s="22">
        <f t="shared" ca="1" si="49"/>
        <v>0</v>
      </c>
      <c r="DI76">
        <f t="shared" ca="1" si="50"/>
        <v>0</v>
      </c>
    </row>
    <row r="77" spans="1:113" ht="30" hidden="1" customHeight="1" outlineLevel="1">
      <c r="A77" s="22" t="str">
        <f t="shared" si="21"/>
        <v/>
      </c>
      <c r="B77" s="199"/>
      <c r="C77" s="459"/>
      <c r="D77" s="199"/>
      <c r="E77" s="405"/>
      <c r="F77" s="405"/>
      <c r="G77" s="406"/>
      <c r="H77" s="377"/>
      <c r="I77" s="377"/>
      <c r="J77" s="377"/>
      <c r="K77" s="377"/>
      <c r="L77" s="377"/>
      <c r="M77" s="377"/>
      <c r="N77" s="377"/>
      <c r="O77" s="377"/>
      <c r="P77" s="377"/>
      <c r="Q77" s="377"/>
      <c r="R77" s="377"/>
      <c r="S77" s="377"/>
      <c r="T77" s="458">
        <f t="shared" si="51"/>
        <v>0</v>
      </c>
      <c r="U77" s="200"/>
      <c r="W77" s="442"/>
      <c r="X77" s="443"/>
      <c r="BC77" s="3">
        <f t="shared" si="22"/>
        <v>0</v>
      </c>
      <c r="BD77" s="3">
        <f t="shared" si="23"/>
        <v>0</v>
      </c>
      <c r="BE77" s="432" t="str">
        <f t="shared" si="24"/>
        <v/>
      </c>
      <c r="BF77" s="432" t="str">
        <f t="shared" si="25"/>
        <v/>
      </c>
      <c r="BG77" s="432" t="str">
        <f t="shared" si="26"/>
        <v/>
      </c>
      <c r="BH77" s="434" t="str">
        <f>_xlfn.LET(_xlpm.x,H77,IF(OR(LEN(_xlpm.x)&lt;1,_xlpm.x=0),"",CONVERT(_xlpm.x,'Diversion and Disposal'!$BH$7,"kg")))</f>
        <v/>
      </c>
      <c r="BI77" s="434" t="str">
        <f>_xlfn.LET(_xlpm.x,I77,IF(OR(LEN(_xlpm.x)&lt;1,_xlpm.x=0),"",CONVERT(_xlpm.x,'Diversion and Disposal'!$BH$7,"kg")))</f>
        <v/>
      </c>
      <c r="BJ77" s="434" t="str">
        <f>_xlfn.LET(_xlpm.x,J77,IF(OR(LEN(_xlpm.x)&lt;1,_xlpm.x=0),"",CONVERT(_xlpm.x,'Diversion and Disposal'!$BH$7,"kg")))</f>
        <v/>
      </c>
      <c r="BK77" s="434" t="str">
        <f>_xlfn.LET(_xlpm.x,K77,IF(OR(LEN(_xlpm.x)&lt;1,_xlpm.x=0),"",CONVERT(_xlpm.x,'Diversion and Disposal'!$BH$7,"kg")))</f>
        <v/>
      </c>
      <c r="BL77" s="434" t="str">
        <f>_xlfn.LET(_xlpm.x,L77,IF(OR(LEN(_xlpm.x)&lt;1,_xlpm.x=0),"",CONVERT(_xlpm.x,'Diversion and Disposal'!$BH$7,"kg")))</f>
        <v/>
      </c>
      <c r="BM77" s="434" t="str">
        <f>_xlfn.LET(_xlpm.x,M77,IF(OR(LEN(_xlpm.x)&lt;1,_xlpm.x=0),"",CONVERT(_xlpm.x,'Diversion and Disposal'!$BH$7,"kg")))</f>
        <v/>
      </c>
      <c r="BN77" s="434" t="str">
        <f>_xlfn.LET(_xlpm.x,N77,IF(OR(LEN(_xlpm.x)&lt;1,_xlpm.x=0),"",CONVERT(_xlpm.x,'Diversion and Disposal'!$BH$7,"kg")))</f>
        <v/>
      </c>
      <c r="BO77" s="434" t="str">
        <f>_xlfn.LET(_xlpm.x,O77,IF(OR(LEN(_xlpm.x)&lt;1,_xlpm.x=0),"",CONVERT(_xlpm.x,'Diversion and Disposal'!$BH$7,"kg")))</f>
        <v/>
      </c>
      <c r="BP77" s="434" t="str">
        <f>_xlfn.LET(_xlpm.x,P77,IF(OR(LEN(_xlpm.x)&lt;1,_xlpm.x=0),"",CONVERT(_xlpm.x,'Diversion and Disposal'!$BH$7,"kg")))</f>
        <v/>
      </c>
      <c r="BQ77" s="434" t="str">
        <f>_xlfn.LET(_xlpm.x,Q77,IF(OR(LEN(_xlpm.x)&lt;1,_xlpm.x=0),"",CONVERT(_xlpm.x,'Diversion and Disposal'!$BH$7,"kg")))</f>
        <v/>
      </c>
      <c r="BR77" s="434" t="str">
        <f>_xlfn.LET(_xlpm.x,R77,IF(OR(LEN(_xlpm.x)&lt;1,_xlpm.x=0),"",CONVERT(_xlpm.x,'Diversion and Disposal'!$BH$7,"kg")))</f>
        <v/>
      </c>
      <c r="BS77" s="434" t="str">
        <f>_xlfn.LET(_xlpm.x,S77,IF(OR(LEN(_xlpm.x)&lt;1,_xlpm.x=0),"",CONVERT(_xlpm.x,'Diversion and Disposal'!$BH$7,"kg")))</f>
        <v/>
      </c>
      <c r="BT77" s="435">
        <f t="shared" si="31"/>
        <v>0</v>
      </c>
      <c r="BU77" s="433" t="str">
        <f>_xlfn.LET(_xlpm.x,BF77,IF(LEN(_xlpm.x)&lt;1,"",IF(ISNUMBER(MATCH(_xlpm.x,ls_Mat_def,0)),'Project Inputs'!$BF$14,99)))</f>
        <v/>
      </c>
      <c r="BV77" s="432" t="str" cm="1">
        <f t="array" ref="BV77">IFERROR(INDEX(tblGWP[],MATCH(1,(tblGWP[Dataset ID]=BU77)*(tblGWP[Material Subcategory]=BF77),0),MATCH(BG77,ls_WHM,0)+5),"confirm")</f>
        <v>confirm</v>
      </c>
      <c r="BW77" s="434" t="str">
        <f t="shared" si="32"/>
        <v>No data</v>
      </c>
      <c r="BX77" s="434" t="str">
        <f t="shared" si="33"/>
        <v>No data</v>
      </c>
      <c r="BY77" s="434" t="str">
        <f t="shared" si="34"/>
        <v>No data</v>
      </c>
      <c r="BZ77" s="434" t="str">
        <f t="shared" si="35"/>
        <v>No data</v>
      </c>
      <c r="CA77" s="434" t="str">
        <f t="shared" si="36"/>
        <v>No data</v>
      </c>
      <c r="CB77" s="434" t="str">
        <f t="shared" si="37"/>
        <v>No data</v>
      </c>
      <c r="CC77" s="434" t="str">
        <f t="shared" si="38"/>
        <v>No data</v>
      </c>
      <c r="CD77" s="434" t="str">
        <f t="shared" si="39"/>
        <v>No data</v>
      </c>
      <c r="CE77" s="434" t="str">
        <f t="shared" si="40"/>
        <v>No data</v>
      </c>
      <c r="CF77" s="434" t="str">
        <f t="shared" si="41"/>
        <v>No data</v>
      </c>
      <c r="CG77" s="434" t="str">
        <f t="shared" si="42"/>
        <v>No data</v>
      </c>
      <c r="CH77" s="434" t="str">
        <f t="shared" si="43"/>
        <v>No data</v>
      </c>
      <c r="CI77" s="435">
        <f t="shared" si="44"/>
        <v>0</v>
      </c>
      <c r="CK77" s="3" t="str">
        <f>_xlfn.LET(_xlpm.x,INDEX(tbl_Mat_def[],MATCH(BF77,ls_Mat_def,0),2),IFERROR(IF(_xlpm.x=0,"No","Yes"),"No"))</f>
        <v>No</v>
      </c>
      <c r="CM77" s="60" t="str">
        <f t="shared" si="45"/>
        <v/>
      </c>
      <c r="CN77" s="60" t="s">
        <v>235</v>
      </c>
      <c r="CO77" s="432" t="str" cm="1">
        <f t="array" ref="CO77">IFERROR(INDEX(tblGWP[],MATCH(1,(tblGWP[Dataset ID]=BU77)*(tblGWP[Material Subcategory]=CM77),0),MATCH(CN77,ls_WHM,0)+4),"confirm")</f>
        <v>confirm</v>
      </c>
      <c r="CP77" s="436" t="str">
        <f t="shared" si="46"/>
        <v/>
      </c>
      <c r="DD77" s="388">
        <f t="shared" si="27"/>
        <v>0</v>
      </c>
      <c r="DE77" s="22">
        <f t="shared" si="47"/>
        <v>19</v>
      </c>
      <c r="DF77" s="387">
        <f t="shared" si="28"/>
        <v>0</v>
      </c>
      <c r="DG77" s="387">
        <f t="shared" si="48"/>
        <v>0</v>
      </c>
      <c r="DH77" s="22">
        <f t="shared" ca="1" si="49"/>
        <v>0</v>
      </c>
      <c r="DI77">
        <f t="shared" ca="1" si="50"/>
        <v>0</v>
      </c>
    </row>
    <row r="78" spans="1:113" ht="30" hidden="1" customHeight="1" outlineLevel="1">
      <c r="A78" s="22" t="str">
        <f t="shared" si="21"/>
        <v/>
      </c>
      <c r="B78" s="199"/>
      <c r="C78" s="459"/>
      <c r="D78" s="199"/>
      <c r="E78" s="405"/>
      <c r="F78" s="405"/>
      <c r="G78" s="406"/>
      <c r="H78" s="377"/>
      <c r="I78" s="377"/>
      <c r="J78" s="377"/>
      <c r="K78" s="377"/>
      <c r="L78" s="377"/>
      <c r="M78" s="377"/>
      <c r="N78" s="377"/>
      <c r="O78" s="377"/>
      <c r="P78" s="377"/>
      <c r="Q78" s="377"/>
      <c r="R78" s="377"/>
      <c r="S78" s="377"/>
      <c r="T78" s="458">
        <f t="shared" si="51"/>
        <v>0</v>
      </c>
      <c r="U78" s="200"/>
      <c r="W78" s="442"/>
      <c r="X78" s="443"/>
      <c r="BC78" s="3">
        <f t="shared" si="22"/>
        <v>0</v>
      </c>
      <c r="BD78" s="3">
        <f t="shared" si="23"/>
        <v>0</v>
      </c>
      <c r="BE78" s="432" t="str">
        <f t="shared" si="24"/>
        <v/>
      </c>
      <c r="BF78" s="432" t="str">
        <f t="shared" si="25"/>
        <v/>
      </c>
      <c r="BG78" s="432" t="str">
        <f t="shared" si="26"/>
        <v/>
      </c>
      <c r="BH78" s="434" t="str">
        <f>_xlfn.LET(_xlpm.x,H78,IF(OR(LEN(_xlpm.x)&lt;1,_xlpm.x=0),"",CONVERT(_xlpm.x,'Diversion and Disposal'!$BH$7,"kg")))</f>
        <v/>
      </c>
      <c r="BI78" s="434" t="str">
        <f>_xlfn.LET(_xlpm.x,I78,IF(OR(LEN(_xlpm.x)&lt;1,_xlpm.x=0),"",CONVERT(_xlpm.x,'Diversion and Disposal'!$BH$7,"kg")))</f>
        <v/>
      </c>
      <c r="BJ78" s="434" t="str">
        <f>_xlfn.LET(_xlpm.x,J78,IF(OR(LEN(_xlpm.x)&lt;1,_xlpm.x=0),"",CONVERT(_xlpm.x,'Diversion and Disposal'!$BH$7,"kg")))</f>
        <v/>
      </c>
      <c r="BK78" s="434" t="str">
        <f>_xlfn.LET(_xlpm.x,K78,IF(OR(LEN(_xlpm.x)&lt;1,_xlpm.x=0),"",CONVERT(_xlpm.x,'Diversion and Disposal'!$BH$7,"kg")))</f>
        <v/>
      </c>
      <c r="BL78" s="434" t="str">
        <f>_xlfn.LET(_xlpm.x,L78,IF(OR(LEN(_xlpm.x)&lt;1,_xlpm.x=0),"",CONVERT(_xlpm.x,'Diversion and Disposal'!$BH$7,"kg")))</f>
        <v/>
      </c>
      <c r="BM78" s="434" t="str">
        <f>_xlfn.LET(_xlpm.x,M78,IF(OR(LEN(_xlpm.x)&lt;1,_xlpm.x=0),"",CONVERT(_xlpm.x,'Diversion and Disposal'!$BH$7,"kg")))</f>
        <v/>
      </c>
      <c r="BN78" s="434" t="str">
        <f>_xlfn.LET(_xlpm.x,N78,IF(OR(LEN(_xlpm.x)&lt;1,_xlpm.x=0),"",CONVERT(_xlpm.x,'Diversion and Disposal'!$BH$7,"kg")))</f>
        <v/>
      </c>
      <c r="BO78" s="434" t="str">
        <f>_xlfn.LET(_xlpm.x,O78,IF(OR(LEN(_xlpm.x)&lt;1,_xlpm.x=0),"",CONVERT(_xlpm.x,'Diversion and Disposal'!$BH$7,"kg")))</f>
        <v/>
      </c>
      <c r="BP78" s="434" t="str">
        <f>_xlfn.LET(_xlpm.x,P78,IF(OR(LEN(_xlpm.x)&lt;1,_xlpm.x=0),"",CONVERT(_xlpm.x,'Diversion and Disposal'!$BH$7,"kg")))</f>
        <v/>
      </c>
      <c r="BQ78" s="434" t="str">
        <f>_xlfn.LET(_xlpm.x,Q78,IF(OR(LEN(_xlpm.x)&lt;1,_xlpm.x=0),"",CONVERT(_xlpm.x,'Diversion and Disposal'!$BH$7,"kg")))</f>
        <v/>
      </c>
      <c r="BR78" s="434" t="str">
        <f>_xlfn.LET(_xlpm.x,R78,IF(OR(LEN(_xlpm.x)&lt;1,_xlpm.x=0),"",CONVERT(_xlpm.x,'Diversion and Disposal'!$BH$7,"kg")))</f>
        <v/>
      </c>
      <c r="BS78" s="434" t="str">
        <f>_xlfn.LET(_xlpm.x,S78,IF(OR(LEN(_xlpm.x)&lt;1,_xlpm.x=0),"",CONVERT(_xlpm.x,'Diversion and Disposal'!$BH$7,"kg")))</f>
        <v/>
      </c>
      <c r="BT78" s="435">
        <f t="shared" si="31"/>
        <v>0</v>
      </c>
      <c r="BU78" s="433" t="str">
        <f>_xlfn.LET(_xlpm.x,BF78,IF(LEN(_xlpm.x)&lt;1,"",IF(ISNUMBER(MATCH(_xlpm.x,ls_Mat_def,0)),'Project Inputs'!$BF$14,99)))</f>
        <v/>
      </c>
      <c r="BV78" s="432" t="str" cm="1">
        <f t="array" ref="BV78">IFERROR(INDEX(tblGWP[],MATCH(1,(tblGWP[Dataset ID]=BU78)*(tblGWP[Material Subcategory]=BF78),0),MATCH(BG78,ls_WHM,0)+5),"confirm")</f>
        <v>confirm</v>
      </c>
      <c r="BW78" s="434" t="str">
        <f t="shared" si="32"/>
        <v>No data</v>
      </c>
      <c r="BX78" s="434" t="str">
        <f t="shared" si="33"/>
        <v>No data</v>
      </c>
      <c r="BY78" s="434" t="str">
        <f t="shared" si="34"/>
        <v>No data</v>
      </c>
      <c r="BZ78" s="434" t="str">
        <f t="shared" si="35"/>
        <v>No data</v>
      </c>
      <c r="CA78" s="434" t="str">
        <f t="shared" si="36"/>
        <v>No data</v>
      </c>
      <c r="CB78" s="434" t="str">
        <f t="shared" si="37"/>
        <v>No data</v>
      </c>
      <c r="CC78" s="434" t="str">
        <f t="shared" si="38"/>
        <v>No data</v>
      </c>
      <c r="CD78" s="434" t="str">
        <f t="shared" si="39"/>
        <v>No data</v>
      </c>
      <c r="CE78" s="434" t="str">
        <f t="shared" si="40"/>
        <v>No data</v>
      </c>
      <c r="CF78" s="434" t="str">
        <f t="shared" si="41"/>
        <v>No data</v>
      </c>
      <c r="CG78" s="434" t="str">
        <f t="shared" si="42"/>
        <v>No data</v>
      </c>
      <c r="CH78" s="434" t="str">
        <f t="shared" si="43"/>
        <v>No data</v>
      </c>
      <c r="CI78" s="435">
        <f t="shared" si="44"/>
        <v>0</v>
      </c>
      <c r="CK78" s="3" t="str">
        <f>_xlfn.LET(_xlpm.x,INDEX(tbl_Mat_def[],MATCH(BF78,ls_Mat_def,0),2),IFERROR(IF(_xlpm.x=0,"No","Yes"),"No"))</f>
        <v>No</v>
      </c>
      <c r="CM78" s="60" t="str">
        <f t="shared" si="45"/>
        <v/>
      </c>
      <c r="CN78" s="60" t="s">
        <v>235</v>
      </c>
      <c r="CO78" s="432" t="str" cm="1">
        <f t="array" ref="CO78">IFERROR(INDEX(tblGWP[],MATCH(1,(tblGWP[Dataset ID]=BU78)*(tblGWP[Material Subcategory]=CM78),0),MATCH(CN78,ls_WHM,0)+4),"confirm")</f>
        <v>confirm</v>
      </c>
      <c r="CP78" s="436" t="str">
        <f t="shared" si="46"/>
        <v/>
      </c>
      <c r="DD78" s="388">
        <f t="shared" si="27"/>
        <v>0</v>
      </c>
      <c r="DE78" s="22">
        <f t="shared" si="47"/>
        <v>19</v>
      </c>
      <c r="DF78" s="387">
        <f t="shared" si="28"/>
        <v>0</v>
      </c>
      <c r="DG78" s="387">
        <f t="shared" si="48"/>
        <v>0</v>
      </c>
      <c r="DH78" s="22">
        <f t="shared" ca="1" si="49"/>
        <v>0</v>
      </c>
      <c r="DI78">
        <f t="shared" ca="1" si="50"/>
        <v>0</v>
      </c>
    </row>
    <row r="79" spans="1:113" ht="30" hidden="1" customHeight="1" outlineLevel="1">
      <c r="A79" s="22" t="str">
        <f t="shared" si="21"/>
        <v/>
      </c>
      <c r="B79" s="199"/>
      <c r="C79" s="459"/>
      <c r="D79" s="199"/>
      <c r="E79" s="405"/>
      <c r="F79" s="405"/>
      <c r="G79" s="406"/>
      <c r="H79" s="377"/>
      <c r="I79" s="377"/>
      <c r="J79" s="377"/>
      <c r="K79" s="377"/>
      <c r="L79" s="377"/>
      <c r="M79" s="377"/>
      <c r="N79" s="377"/>
      <c r="O79" s="377"/>
      <c r="P79" s="377"/>
      <c r="Q79" s="377"/>
      <c r="R79" s="377"/>
      <c r="S79" s="377"/>
      <c r="T79" s="458">
        <f t="shared" si="51"/>
        <v>0</v>
      </c>
      <c r="U79" s="200"/>
      <c r="W79" s="442"/>
      <c r="X79" s="443"/>
      <c r="BC79" s="3">
        <f t="shared" si="22"/>
        <v>0</v>
      </c>
      <c r="BD79" s="3">
        <f t="shared" si="23"/>
        <v>0</v>
      </c>
      <c r="BE79" s="432" t="str">
        <f t="shared" si="24"/>
        <v/>
      </c>
      <c r="BF79" s="432" t="str">
        <f t="shared" si="25"/>
        <v/>
      </c>
      <c r="BG79" s="432" t="str">
        <f t="shared" si="26"/>
        <v/>
      </c>
      <c r="BH79" s="434" t="str">
        <f>_xlfn.LET(_xlpm.x,H79,IF(OR(LEN(_xlpm.x)&lt;1,_xlpm.x=0),"",CONVERT(_xlpm.x,'Diversion and Disposal'!$BH$7,"kg")))</f>
        <v/>
      </c>
      <c r="BI79" s="434" t="str">
        <f>_xlfn.LET(_xlpm.x,I79,IF(OR(LEN(_xlpm.x)&lt;1,_xlpm.x=0),"",CONVERT(_xlpm.x,'Diversion and Disposal'!$BH$7,"kg")))</f>
        <v/>
      </c>
      <c r="BJ79" s="434" t="str">
        <f>_xlfn.LET(_xlpm.x,J79,IF(OR(LEN(_xlpm.x)&lt;1,_xlpm.x=0),"",CONVERT(_xlpm.x,'Diversion and Disposal'!$BH$7,"kg")))</f>
        <v/>
      </c>
      <c r="BK79" s="434" t="str">
        <f>_xlfn.LET(_xlpm.x,K79,IF(OR(LEN(_xlpm.x)&lt;1,_xlpm.x=0),"",CONVERT(_xlpm.x,'Diversion and Disposal'!$BH$7,"kg")))</f>
        <v/>
      </c>
      <c r="BL79" s="434" t="str">
        <f>_xlfn.LET(_xlpm.x,L79,IF(OR(LEN(_xlpm.x)&lt;1,_xlpm.x=0),"",CONVERT(_xlpm.x,'Diversion and Disposal'!$BH$7,"kg")))</f>
        <v/>
      </c>
      <c r="BM79" s="434" t="str">
        <f>_xlfn.LET(_xlpm.x,M79,IF(OR(LEN(_xlpm.x)&lt;1,_xlpm.x=0),"",CONVERT(_xlpm.x,'Diversion and Disposal'!$BH$7,"kg")))</f>
        <v/>
      </c>
      <c r="BN79" s="434" t="str">
        <f>_xlfn.LET(_xlpm.x,N79,IF(OR(LEN(_xlpm.x)&lt;1,_xlpm.x=0),"",CONVERT(_xlpm.x,'Diversion and Disposal'!$BH$7,"kg")))</f>
        <v/>
      </c>
      <c r="BO79" s="434" t="str">
        <f>_xlfn.LET(_xlpm.x,O79,IF(OR(LEN(_xlpm.x)&lt;1,_xlpm.x=0),"",CONVERT(_xlpm.x,'Diversion and Disposal'!$BH$7,"kg")))</f>
        <v/>
      </c>
      <c r="BP79" s="434" t="str">
        <f>_xlfn.LET(_xlpm.x,P79,IF(OR(LEN(_xlpm.x)&lt;1,_xlpm.x=0),"",CONVERT(_xlpm.x,'Diversion and Disposal'!$BH$7,"kg")))</f>
        <v/>
      </c>
      <c r="BQ79" s="434" t="str">
        <f>_xlfn.LET(_xlpm.x,Q79,IF(OR(LEN(_xlpm.x)&lt;1,_xlpm.x=0),"",CONVERT(_xlpm.x,'Diversion and Disposal'!$BH$7,"kg")))</f>
        <v/>
      </c>
      <c r="BR79" s="434" t="str">
        <f>_xlfn.LET(_xlpm.x,R79,IF(OR(LEN(_xlpm.x)&lt;1,_xlpm.x=0),"",CONVERT(_xlpm.x,'Diversion and Disposal'!$BH$7,"kg")))</f>
        <v/>
      </c>
      <c r="BS79" s="434" t="str">
        <f>_xlfn.LET(_xlpm.x,S79,IF(OR(LEN(_xlpm.x)&lt;1,_xlpm.x=0),"",CONVERT(_xlpm.x,'Diversion and Disposal'!$BH$7,"kg")))</f>
        <v/>
      </c>
      <c r="BT79" s="435">
        <f t="shared" si="31"/>
        <v>0</v>
      </c>
      <c r="BU79" s="433" t="str">
        <f>_xlfn.LET(_xlpm.x,BF79,IF(LEN(_xlpm.x)&lt;1,"",IF(ISNUMBER(MATCH(_xlpm.x,ls_Mat_def,0)),'Project Inputs'!$BF$14,99)))</f>
        <v/>
      </c>
      <c r="BV79" s="432" t="str" cm="1">
        <f t="array" ref="BV79">IFERROR(INDEX(tblGWP[],MATCH(1,(tblGWP[Dataset ID]=BU79)*(tblGWP[Material Subcategory]=BF79),0),MATCH(BG79,ls_WHM,0)+5),"confirm")</f>
        <v>confirm</v>
      </c>
      <c r="BW79" s="434" t="str">
        <f t="shared" ref="BW79:BW121" si="52">IFERROR(BH79*$BV79,"No data")</f>
        <v>No data</v>
      </c>
      <c r="BX79" s="434" t="str">
        <f t="shared" ref="BX79:BX121" si="53">IFERROR(BI79*$BV79,"No data")</f>
        <v>No data</v>
      </c>
      <c r="BY79" s="434" t="str">
        <f t="shared" ref="BY79:BY86" si="54">IFERROR(BJ63*$BV79,"No data")</f>
        <v>No data</v>
      </c>
      <c r="BZ79" s="434" t="str">
        <f t="shared" ref="BZ79:BZ121" si="55">IFERROR(BK79*$BV79,"No data")</f>
        <v>No data</v>
      </c>
      <c r="CA79" s="434" t="str">
        <f t="shared" ref="CA79:CA121" si="56">IFERROR(BL79*$BV79,"No data")</f>
        <v>No data</v>
      </c>
      <c r="CB79" s="434" t="str">
        <f t="shared" ref="CB79:CB121" si="57">IFERROR(BM79*$BV79,"No data")</f>
        <v>No data</v>
      </c>
      <c r="CC79" s="434" t="str">
        <f t="shared" ref="CC79:CC121" si="58">IFERROR(BN79*$BV79,"No data")</f>
        <v>No data</v>
      </c>
      <c r="CD79" s="434" t="str">
        <f t="shared" ref="CD79:CD121" si="59">IFERROR(BO79*$BV79,"No data")</f>
        <v>No data</v>
      </c>
      <c r="CE79" s="434" t="str">
        <f t="shared" ref="CE79:CE121" si="60">IFERROR(BP79*$BV79,"No data")</f>
        <v>No data</v>
      </c>
      <c r="CF79" s="434" t="str">
        <f t="shared" ref="CF79:CF121" si="61">IFERROR(BQ79*$BV79,"No data")</f>
        <v>No data</v>
      </c>
      <c r="CG79" s="434" t="str">
        <f t="shared" ref="CG79:CG121" si="62">IFERROR(BR79*$BV79,"No data")</f>
        <v>No data</v>
      </c>
      <c r="CH79" s="434" t="str">
        <f t="shared" ref="CH79:CH121" si="63">IFERROR(BS79*$BV79,"No data")</f>
        <v>No data</v>
      </c>
      <c r="CI79" s="435">
        <f t="shared" si="44"/>
        <v>0</v>
      </c>
      <c r="CK79" s="3" t="str">
        <f>_xlfn.LET(_xlpm.x,INDEX(tbl_Mat_def[],MATCH(BF79,ls_Mat_def,0),2),IFERROR(IF(_xlpm.x=0,"No","Yes"),"No"))</f>
        <v>No</v>
      </c>
      <c r="CM79" s="60" t="str">
        <f t="shared" si="45"/>
        <v/>
      </c>
      <c r="CN79" s="60" t="s">
        <v>235</v>
      </c>
      <c r="CO79" s="432" t="str" cm="1">
        <f t="array" ref="CO79">IFERROR(INDEX(tblGWP[],MATCH(1,(tblGWP[Dataset ID]=BU79)*(tblGWP[Material Subcategory]=CM79),0),MATCH(CN79,ls_WHM,0)+4),"confirm")</f>
        <v>confirm</v>
      </c>
      <c r="CP79" s="436" t="str">
        <f t="shared" si="46"/>
        <v/>
      </c>
      <c r="DD79" s="388">
        <f t="shared" si="27"/>
        <v>0</v>
      </c>
      <c r="DE79" s="22">
        <f t="shared" si="47"/>
        <v>19</v>
      </c>
      <c r="DF79" s="387">
        <f t="shared" si="28"/>
        <v>0</v>
      </c>
      <c r="DG79" s="387">
        <f t="shared" si="48"/>
        <v>0</v>
      </c>
      <c r="DH79" s="22">
        <f t="shared" ca="1" si="49"/>
        <v>0</v>
      </c>
      <c r="DI79">
        <f t="shared" ca="1" si="50"/>
        <v>0</v>
      </c>
    </row>
    <row r="80" spans="1:113" ht="30" hidden="1" customHeight="1" outlineLevel="1">
      <c r="A80" s="22" t="str">
        <f t="shared" si="21"/>
        <v/>
      </c>
      <c r="B80" s="199"/>
      <c r="C80" s="459"/>
      <c r="D80" s="199"/>
      <c r="E80" s="405"/>
      <c r="F80" s="405"/>
      <c r="G80" s="406"/>
      <c r="H80" s="377"/>
      <c r="I80" s="377"/>
      <c r="J80" s="377"/>
      <c r="K80" s="377"/>
      <c r="L80" s="377"/>
      <c r="M80" s="377"/>
      <c r="N80" s="377"/>
      <c r="O80" s="377"/>
      <c r="P80" s="377"/>
      <c r="Q80" s="377"/>
      <c r="R80" s="377"/>
      <c r="S80" s="377"/>
      <c r="T80" s="458">
        <f t="shared" si="51"/>
        <v>0</v>
      </c>
      <c r="U80" s="200"/>
      <c r="W80" s="442"/>
      <c r="X80" s="443"/>
      <c r="BC80" s="3">
        <f t="shared" si="22"/>
        <v>0</v>
      </c>
      <c r="BD80" s="3">
        <f t="shared" si="23"/>
        <v>0</v>
      </c>
      <c r="BE80" s="432" t="str">
        <f t="shared" si="24"/>
        <v/>
      </c>
      <c r="BF80" s="432" t="str">
        <f t="shared" si="25"/>
        <v/>
      </c>
      <c r="BG80" s="432" t="str">
        <f t="shared" si="26"/>
        <v/>
      </c>
      <c r="BH80" s="434" t="str">
        <f>_xlfn.LET(_xlpm.x,H80,IF(OR(LEN(_xlpm.x)&lt;1,_xlpm.x=0),"",CONVERT(_xlpm.x,'Diversion and Disposal'!$BH$7,"kg")))</f>
        <v/>
      </c>
      <c r="BI80" s="434" t="str">
        <f>_xlfn.LET(_xlpm.x,I80,IF(OR(LEN(_xlpm.x)&lt;1,_xlpm.x=0),"",CONVERT(_xlpm.x,'Diversion and Disposal'!$BH$7,"kg")))</f>
        <v/>
      </c>
      <c r="BJ80" s="434" t="str">
        <f>_xlfn.LET(_xlpm.x,J80,IF(OR(LEN(_xlpm.x)&lt;1,_xlpm.x=0),"",CONVERT(_xlpm.x,'Diversion and Disposal'!$BH$7,"kg")))</f>
        <v/>
      </c>
      <c r="BK80" s="434" t="str">
        <f>_xlfn.LET(_xlpm.x,K80,IF(OR(LEN(_xlpm.x)&lt;1,_xlpm.x=0),"",CONVERT(_xlpm.x,'Diversion and Disposal'!$BH$7,"kg")))</f>
        <v/>
      </c>
      <c r="BL80" s="434" t="str">
        <f>_xlfn.LET(_xlpm.x,L80,IF(OR(LEN(_xlpm.x)&lt;1,_xlpm.x=0),"",CONVERT(_xlpm.x,'Diversion and Disposal'!$BH$7,"kg")))</f>
        <v/>
      </c>
      <c r="BM80" s="434" t="str">
        <f>_xlfn.LET(_xlpm.x,M80,IF(OR(LEN(_xlpm.x)&lt;1,_xlpm.x=0),"",CONVERT(_xlpm.x,'Diversion and Disposal'!$BH$7,"kg")))</f>
        <v/>
      </c>
      <c r="BN80" s="434" t="str">
        <f>_xlfn.LET(_xlpm.x,N80,IF(OR(LEN(_xlpm.x)&lt;1,_xlpm.x=0),"",CONVERT(_xlpm.x,'Diversion and Disposal'!$BH$7,"kg")))</f>
        <v/>
      </c>
      <c r="BO80" s="434" t="str">
        <f>_xlfn.LET(_xlpm.x,O80,IF(OR(LEN(_xlpm.x)&lt;1,_xlpm.x=0),"",CONVERT(_xlpm.x,'Diversion and Disposal'!$BH$7,"kg")))</f>
        <v/>
      </c>
      <c r="BP80" s="434" t="str">
        <f>_xlfn.LET(_xlpm.x,P80,IF(OR(LEN(_xlpm.x)&lt;1,_xlpm.x=0),"",CONVERT(_xlpm.x,'Diversion and Disposal'!$BH$7,"kg")))</f>
        <v/>
      </c>
      <c r="BQ80" s="434" t="str">
        <f>_xlfn.LET(_xlpm.x,Q80,IF(OR(LEN(_xlpm.x)&lt;1,_xlpm.x=0),"",CONVERT(_xlpm.x,'Diversion and Disposal'!$BH$7,"kg")))</f>
        <v/>
      </c>
      <c r="BR80" s="434" t="str">
        <f>_xlfn.LET(_xlpm.x,R80,IF(OR(LEN(_xlpm.x)&lt;1,_xlpm.x=0),"",CONVERT(_xlpm.x,'Diversion and Disposal'!$BH$7,"kg")))</f>
        <v/>
      </c>
      <c r="BS80" s="434" t="str">
        <f>_xlfn.LET(_xlpm.x,S80,IF(OR(LEN(_xlpm.x)&lt;1,_xlpm.x=0),"",CONVERT(_xlpm.x,'Diversion and Disposal'!$BH$7,"kg")))</f>
        <v/>
      </c>
      <c r="BT80" s="435">
        <f t="shared" si="31"/>
        <v>0</v>
      </c>
      <c r="BU80" s="433" t="str">
        <f>_xlfn.LET(_xlpm.x,BF80,IF(LEN(_xlpm.x)&lt;1,"",IF(ISNUMBER(MATCH(_xlpm.x,ls_Mat_def,0)),'Project Inputs'!$BF$14,99)))</f>
        <v/>
      </c>
      <c r="BV80" s="432" t="str" cm="1">
        <f t="array" ref="BV80">IFERROR(INDEX(tblGWP[],MATCH(1,(tblGWP[Dataset ID]=BU80)*(tblGWP[Material Subcategory]=BF80),0),MATCH(BG80,ls_WHM,0)+5),"confirm")</f>
        <v>confirm</v>
      </c>
      <c r="BW80" s="434" t="str">
        <f t="shared" si="52"/>
        <v>No data</v>
      </c>
      <c r="BX80" s="434" t="str">
        <f t="shared" si="53"/>
        <v>No data</v>
      </c>
      <c r="BY80" s="434" t="str">
        <f t="shared" si="54"/>
        <v>No data</v>
      </c>
      <c r="BZ80" s="434" t="str">
        <f t="shared" si="55"/>
        <v>No data</v>
      </c>
      <c r="CA80" s="434" t="str">
        <f t="shared" si="56"/>
        <v>No data</v>
      </c>
      <c r="CB80" s="434" t="str">
        <f t="shared" si="57"/>
        <v>No data</v>
      </c>
      <c r="CC80" s="434" t="str">
        <f t="shared" si="58"/>
        <v>No data</v>
      </c>
      <c r="CD80" s="434" t="str">
        <f t="shared" si="59"/>
        <v>No data</v>
      </c>
      <c r="CE80" s="434" t="str">
        <f t="shared" si="60"/>
        <v>No data</v>
      </c>
      <c r="CF80" s="434" t="str">
        <f t="shared" si="61"/>
        <v>No data</v>
      </c>
      <c r="CG80" s="434" t="str">
        <f t="shared" si="62"/>
        <v>No data</v>
      </c>
      <c r="CH80" s="434" t="str">
        <f t="shared" si="63"/>
        <v>No data</v>
      </c>
      <c r="CI80" s="435">
        <f t="shared" si="44"/>
        <v>0</v>
      </c>
      <c r="CK80" s="3" t="str">
        <f>_xlfn.LET(_xlpm.x,INDEX(tbl_Mat_def[],MATCH(BF80,ls_Mat_def,0),2),IFERROR(IF(_xlpm.x=0,"No","Yes"),"No"))</f>
        <v>No</v>
      </c>
      <c r="CM80" s="60" t="str">
        <f t="shared" si="45"/>
        <v/>
      </c>
      <c r="CN80" s="60" t="s">
        <v>235</v>
      </c>
      <c r="CO80" s="432" t="str" cm="1">
        <f t="array" ref="CO80">IFERROR(INDEX(tblGWP[],MATCH(1,(tblGWP[Dataset ID]=BU80)*(tblGWP[Material Subcategory]=CM80),0),MATCH(CN80,ls_WHM,0)+4),"confirm")</f>
        <v>confirm</v>
      </c>
      <c r="CP80" s="436" t="str">
        <f t="shared" si="46"/>
        <v/>
      </c>
      <c r="DD80" s="388">
        <f t="shared" si="27"/>
        <v>0</v>
      </c>
      <c r="DE80" s="22">
        <f t="shared" si="47"/>
        <v>19</v>
      </c>
      <c r="DF80" s="387">
        <f t="shared" si="28"/>
        <v>0</v>
      </c>
      <c r="DG80" s="387">
        <f t="shared" si="48"/>
        <v>0</v>
      </c>
      <c r="DH80" s="22">
        <f t="shared" ca="1" si="49"/>
        <v>0</v>
      </c>
      <c r="DI80">
        <f t="shared" ca="1" si="50"/>
        <v>0</v>
      </c>
    </row>
    <row r="81" spans="1:113" ht="30" hidden="1" customHeight="1" outlineLevel="1">
      <c r="A81" s="22" t="str">
        <f t="shared" si="21"/>
        <v/>
      </c>
      <c r="B81" s="199"/>
      <c r="C81" s="459"/>
      <c r="D81" s="199"/>
      <c r="E81" s="405"/>
      <c r="F81" s="405"/>
      <c r="G81" s="406"/>
      <c r="H81" s="377"/>
      <c r="I81" s="377"/>
      <c r="J81" s="377"/>
      <c r="K81" s="377"/>
      <c r="L81" s="377"/>
      <c r="M81" s="377"/>
      <c r="N81" s="377"/>
      <c r="O81" s="377"/>
      <c r="P81" s="377"/>
      <c r="Q81" s="377"/>
      <c r="R81" s="377"/>
      <c r="S81" s="377"/>
      <c r="T81" s="458">
        <f t="shared" si="51"/>
        <v>0</v>
      </c>
      <c r="U81" s="200"/>
      <c r="W81" s="442"/>
      <c r="X81" s="443"/>
      <c r="BC81" s="3">
        <f t="shared" si="22"/>
        <v>0</v>
      </c>
      <c r="BD81" s="3">
        <f t="shared" si="23"/>
        <v>0</v>
      </c>
      <c r="BE81" s="432" t="str">
        <f t="shared" si="24"/>
        <v/>
      </c>
      <c r="BF81" s="432" t="str">
        <f t="shared" si="25"/>
        <v/>
      </c>
      <c r="BG81" s="432" t="str">
        <f t="shared" si="26"/>
        <v/>
      </c>
      <c r="BH81" s="434" t="str">
        <f>_xlfn.LET(_xlpm.x,H81,IF(OR(LEN(_xlpm.x)&lt;1,_xlpm.x=0),"",CONVERT(_xlpm.x,'Diversion and Disposal'!$BH$7,"kg")))</f>
        <v/>
      </c>
      <c r="BI81" s="434" t="str">
        <f>_xlfn.LET(_xlpm.x,I81,IF(OR(LEN(_xlpm.x)&lt;1,_xlpm.x=0),"",CONVERT(_xlpm.x,'Diversion and Disposal'!$BH$7,"kg")))</f>
        <v/>
      </c>
      <c r="BJ81" s="434" t="str">
        <f>_xlfn.LET(_xlpm.x,J81,IF(OR(LEN(_xlpm.x)&lt;1,_xlpm.x=0),"",CONVERT(_xlpm.x,'Diversion and Disposal'!$BH$7,"kg")))</f>
        <v/>
      </c>
      <c r="BK81" s="434" t="str">
        <f>_xlfn.LET(_xlpm.x,K81,IF(OR(LEN(_xlpm.x)&lt;1,_xlpm.x=0),"",CONVERT(_xlpm.x,'Diversion and Disposal'!$BH$7,"kg")))</f>
        <v/>
      </c>
      <c r="BL81" s="434" t="str">
        <f>_xlfn.LET(_xlpm.x,L81,IF(OR(LEN(_xlpm.x)&lt;1,_xlpm.x=0),"",CONVERT(_xlpm.x,'Diversion and Disposal'!$BH$7,"kg")))</f>
        <v/>
      </c>
      <c r="BM81" s="434" t="str">
        <f>_xlfn.LET(_xlpm.x,M81,IF(OR(LEN(_xlpm.x)&lt;1,_xlpm.x=0),"",CONVERT(_xlpm.x,'Diversion and Disposal'!$BH$7,"kg")))</f>
        <v/>
      </c>
      <c r="BN81" s="434" t="str">
        <f>_xlfn.LET(_xlpm.x,N81,IF(OR(LEN(_xlpm.x)&lt;1,_xlpm.x=0),"",CONVERT(_xlpm.x,'Diversion and Disposal'!$BH$7,"kg")))</f>
        <v/>
      </c>
      <c r="BO81" s="434" t="str">
        <f>_xlfn.LET(_xlpm.x,O81,IF(OR(LEN(_xlpm.x)&lt;1,_xlpm.x=0),"",CONVERT(_xlpm.x,'Diversion and Disposal'!$BH$7,"kg")))</f>
        <v/>
      </c>
      <c r="BP81" s="434" t="str">
        <f>_xlfn.LET(_xlpm.x,P81,IF(OR(LEN(_xlpm.x)&lt;1,_xlpm.x=0),"",CONVERT(_xlpm.x,'Diversion and Disposal'!$BH$7,"kg")))</f>
        <v/>
      </c>
      <c r="BQ81" s="434" t="str">
        <f>_xlfn.LET(_xlpm.x,Q81,IF(OR(LEN(_xlpm.x)&lt;1,_xlpm.x=0),"",CONVERT(_xlpm.x,'Diversion and Disposal'!$BH$7,"kg")))</f>
        <v/>
      </c>
      <c r="BR81" s="434" t="str">
        <f>_xlfn.LET(_xlpm.x,R81,IF(OR(LEN(_xlpm.x)&lt;1,_xlpm.x=0),"",CONVERT(_xlpm.x,'Diversion and Disposal'!$BH$7,"kg")))</f>
        <v/>
      </c>
      <c r="BS81" s="434" t="str">
        <f>_xlfn.LET(_xlpm.x,S81,IF(OR(LEN(_xlpm.x)&lt;1,_xlpm.x=0),"",CONVERT(_xlpm.x,'Diversion and Disposal'!$BH$7,"kg")))</f>
        <v/>
      </c>
      <c r="BT81" s="435">
        <f t="shared" si="31"/>
        <v>0</v>
      </c>
      <c r="BU81" s="433" t="str">
        <f>_xlfn.LET(_xlpm.x,BF81,IF(LEN(_xlpm.x)&lt;1,"",IF(ISNUMBER(MATCH(_xlpm.x,ls_Mat_def,0)),'Project Inputs'!$BF$14,99)))</f>
        <v/>
      </c>
      <c r="BV81" s="432" t="str" cm="1">
        <f t="array" ref="BV81">IFERROR(INDEX(tblGWP[],MATCH(1,(tblGWP[Dataset ID]=BU81)*(tblGWP[Material Subcategory]=BF81),0),MATCH(BG81,ls_WHM,0)+5),"confirm")</f>
        <v>confirm</v>
      </c>
      <c r="BW81" s="434" t="str">
        <f t="shared" si="52"/>
        <v>No data</v>
      </c>
      <c r="BX81" s="434" t="str">
        <f t="shared" si="53"/>
        <v>No data</v>
      </c>
      <c r="BY81" s="434" t="str">
        <f t="shared" si="54"/>
        <v>No data</v>
      </c>
      <c r="BZ81" s="434" t="str">
        <f t="shared" si="55"/>
        <v>No data</v>
      </c>
      <c r="CA81" s="434" t="str">
        <f t="shared" si="56"/>
        <v>No data</v>
      </c>
      <c r="CB81" s="434" t="str">
        <f t="shared" si="57"/>
        <v>No data</v>
      </c>
      <c r="CC81" s="434" t="str">
        <f t="shared" si="58"/>
        <v>No data</v>
      </c>
      <c r="CD81" s="434" t="str">
        <f t="shared" si="59"/>
        <v>No data</v>
      </c>
      <c r="CE81" s="434" t="str">
        <f t="shared" si="60"/>
        <v>No data</v>
      </c>
      <c r="CF81" s="434" t="str">
        <f t="shared" si="61"/>
        <v>No data</v>
      </c>
      <c r="CG81" s="434" t="str">
        <f t="shared" si="62"/>
        <v>No data</v>
      </c>
      <c r="CH81" s="434" t="str">
        <f t="shared" si="63"/>
        <v>No data</v>
      </c>
      <c r="CI81" s="435">
        <f t="shared" si="44"/>
        <v>0</v>
      </c>
      <c r="CK81" s="3" t="str">
        <f>_xlfn.LET(_xlpm.x,INDEX(tbl_Mat_def[],MATCH(BF81,ls_Mat_def,0),2),IFERROR(IF(_xlpm.x=0,"No","Yes"),"No"))</f>
        <v>No</v>
      </c>
      <c r="CM81" s="60" t="str">
        <f t="shared" si="45"/>
        <v/>
      </c>
      <c r="CN81" s="60" t="s">
        <v>235</v>
      </c>
      <c r="CO81" s="432" t="str" cm="1">
        <f t="array" ref="CO81">IFERROR(INDEX(tblGWP[],MATCH(1,(tblGWP[Dataset ID]=BU81)*(tblGWP[Material Subcategory]=CM81),0),MATCH(CN81,ls_WHM,0)+4),"confirm")</f>
        <v>confirm</v>
      </c>
      <c r="CP81" s="436" t="str">
        <f t="shared" si="46"/>
        <v/>
      </c>
      <c r="DD81" s="388">
        <f t="shared" si="27"/>
        <v>0</v>
      </c>
      <c r="DE81" s="22">
        <f t="shared" si="47"/>
        <v>19</v>
      </c>
      <c r="DF81" s="387">
        <f t="shared" si="28"/>
        <v>0</v>
      </c>
      <c r="DG81" s="387">
        <f t="shared" si="48"/>
        <v>0</v>
      </c>
      <c r="DH81" s="22">
        <f t="shared" ca="1" si="49"/>
        <v>0</v>
      </c>
      <c r="DI81">
        <f t="shared" ca="1" si="50"/>
        <v>0</v>
      </c>
    </row>
    <row r="82" spans="1:113" ht="30" hidden="1" customHeight="1" outlineLevel="1">
      <c r="A82" s="22" t="str">
        <f t="shared" si="21"/>
        <v/>
      </c>
      <c r="B82" s="199"/>
      <c r="C82" s="459"/>
      <c r="D82" s="199"/>
      <c r="E82" s="405"/>
      <c r="F82" s="405"/>
      <c r="G82" s="406"/>
      <c r="H82" s="377"/>
      <c r="I82" s="377"/>
      <c r="J82" s="377"/>
      <c r="K82" s="377"/>
      <c r="L82" s="377"/>
      <c r="M82" s="377"/>
      <c r="N82" s="377"/>
      <c r="O82" s="377"/>
      <c r="P82" s="377"/>
      <c r="Q82" s="377"/>
      <c r="R82" s="377"/>
      <c r="S82" s="377"/>
      <c r="T82" s="458">
        <f t="shared" si="51"/>
        <v>0</v>
      </c>
      <c r="U82" s="200"/>
      <c r="W82" s="442"/>
      <c r="X82" s="443"/>
      <c r="BC82" s="3">
        <f t="shared" si="22"/>
        <v>0</v>
      </c>
      <c r="BD82" s="3">
        <f t="shared" si="23"/>
        <v>0</v>
      </c>
      <c r="BE82" s="432" t="str">
        <f t="shared" si="24"/>
        <v/>
      </c>
      <c r="BF82" s="432" t="str">
        <f t="shared" si="25"/>
        <v/>
      </c>
      <c r="BG82" s="432" t="str">
        <f t="shared" si="26"/>
        <v/>
      </c>
      <c r="BH82" s="434" t="str">
        <f>_xlfn.LET(_xlpm.x,H82,IF(OR(LEN(_xlpm.x)&lt;1,_xlpm.x=0),"",CONVERT(_xlpm.x,'Diversion and Disposal'!$BH$7,"kg")))</f>
        <v/>
      </c>
      <c r="BI82" s="434" t="str">
        <f>_xlfn.LET(_xlpm.x,I82,IF(OR(LEN(_xlpm.x)&lt;1,_xlpm.x=0),"",CONVERT(_xlpm.x,'Diversion and Disposal'!$BH$7,"kg")))</f>
        <v/>
      </c>
      <c r="BJ82" s="434" t="str">
        <f>_xlfn.LET(_xlpm.x,J82,IF(OR(LEN(_xlpm.x)&lt;1,_xlpm.x=0),"",CONVERT(_xlpm.x,'Diversion and Disposal'!$BH$7,"kg")))</f>
        <v/>
      </c>
      <c r="BK82" s="434" t="str">
        <f>_xlfn.LET(_xlpm.x,K82,IF(OR(LEN(_xlpm.x)&lt;1,_xlpm.x=0),"",CONVERT(_xlpm.x,'Diversion and Disposal'!$BH$7,"kg")))</f>
        <v/>
      </c>
      <c r="BL82" s="434" t="str">
        <f>_xlfn.LET(_xlpm.x,L82,IF(OR(LEN(_xlpm.x)&lt;1,_xlpm.x=0),"",CONVERT(_xlpm.x,'Diversion and Disposal'!$BH$7,"kg")))</f>
        <v/>
      </c>
      <c r="BM82" s="434" t="str">
        <f>_xlfn.LET(_xlpm.x,M82,IF(OR(LEN(_xlpm.x)&lt;1,_xlpm.x=0),"",CONVERT(_xlpm.x,'Diversion and Disposal'!$BH$7,"kg")))</f>
        <v/>
      </c>
      <c r="BN82" s="434" t="str">
        <f>_xlfn.LET(_xlpm.x,N82,IF(OR(LEN(_xlpm.x)&lt;1,_xlpm.x=0),"",CONVERT(_xlpm.x,'Diversion and Disposal'!$BH$7,"kg")))</f>
        <v/>
      </c>
      <c r="BO82" s="434" t="str">
        <f>_xlfn.LET(_xlpm.x,O82,IF(OR(LEN(_xlpm.x)&lt;1,_xlpm.x=0),"",CONVERT(_xlpm.x,'Diversion and Disposal'!$BH$7,"kg")))</f>
        <v/>
      </c>
      <c r="BP82" s="434" t="str">
        <f>_xlfn.LET(_xlpm.x,P82,IF(OR(LEN(_xlpm.x)&lt;1,_xlpm.x=0),"",CONVERT(_xlpm.x,'Diversion and Disposal'!$BH$7,"kg")))</f>
        <v/>
      </c>
      <c r="BQ82" s="434" t="str">
        <f>_xlfn.LET(_xlpm.x,Q82,IF(OR(LEN(_xlpm.x)&lt;1,_xlpm.x=0),"",CONVERT(_xlpm.x,'Diversion and Disposal'!$BH$7,"kg")))</f>
        <v/>
      </c>
      <c r="BR82" s="434" t="str">
        <f>_xlfn.LET(_xlpm.x,R82,IF(OR(LEN(_xlpm.x)&lt;1,_xlpm.x=0),"",CONVERT(_xlpm.x,'Diversion and Disposal'!$BH$7,"kg")))</f>
        <v/>
      </c>
      <c r="BS82" s="434" t="str">
        <f>_xlfn.LET(_xlpm.x,S82,IF(OR(LEN(_xlpm.x)&lt;1,_xlpm.x=0),"",CONVERT(_xlpm.x,'Diversion and Disposal'!$BH$7,"kg")))</f>
        <v/>
      </c>
      <c r="BT82" s="435">
        <f t="shared" si="31"/>
        <v>0</v>
      </c>
      <c r="BU82" s="433" t="str">
        <f>_xlfn.LET(_xlpm.x,BF82,IF(LEN(_xlpm.x)&lt;1,"",IF(ISNUMBER(MATCH(_xlpm.x,ls_Mat_def,0)),'Project Inputs'!$BF$14,99)))</f>
        <v/>
      </c>
      <c r="BV82" s="432" t="str" cm="1">
        <f t="array" ref="BV82">IFERROR(INDEX(tblGWP[],MATCH(1,(tblGWP[Dataset ID]=BU82)*(tblGWP[Material Subcategory]=BF82),0),MATCH(BG82,ls_WHM,0)+5),"confirm")</f>
        <v>confirm</v>
      </c>
      <c r="BW82" s="434" t="str">
        <f t="shared" si="52"/>
        <v>No data</v>
      </c>
      <c r="BX82" s="434" t="str">
        <f t="shared" si="53"/>
        <v>No data</v>
      </c>
      <c r="BY82" s="434" t="str">
        <f t="shared" si="54"/>
        <v>No data</v>
      </c>
      <c r="BZ82" s="434" t="str">
        <f t="shared" si="55"/>
        <v>No data</v>
      </c>
      <c r="CA82" s="434" t="str">
        <f t="shared" si="56"/>
        <v>No data</v>
      </c>
      <c r="CB82" s="434" t="str">
        <f t="shared" si="57"/>
        <v>No data</v>
      </c>
      <c r="CC82" s="434" t="str">
        <f t="shared" si="58"/>
        <v>No data</v>
      </c>
      <c r="CD82" s="434" t="str">
        <f t="shared" si="59"/>
        <v>No data</v>
      </c>
      <c r="CE82" s="434" t="str">
        <f t="shared" si="60"/>
        <v>No data</v>
      </c>
      <c r="CF82" s="434" t="str">
        <f t="shared" si="61"/>
        <v>No data</v>
      </c>
      <c r="CG82" s="434" t="str">
        <f t="shared" si="62"/>
        <v>No data</v>
      </c>
      <c r="CH82" s="434" t="str">
        <f t="shared" si="63"/>
        <v>No data</v>
      </c>
      <c r="CI82" s="435">
        <f t="shared" si="44"/>
        <v>0</v>
      </c>
      <c r="CK82" s="3" t="str">
        <f>_xlfn.LET(_xlpm.x,INDEX(tbl_Mat_def[],MATCH(BF82,ls_Mat_def,0),2),IFERROR(IF(_xlpm.x=0,"No","Yes"),"No"))</f>
        <v>No</v>
      </c>
      <c r="CM82" s="60" t="str">
        <f t="shared" si="45"/>
        <v/>
      </c>
      <c r="CN82" s="60" t="s">
        <v>235</v>
      </c>
      <c r="CO82" s="432" t="str" cm="1">
        <f t="array" ref="CO82">IFERROR(INDEX(tblGWP[],MATCH(1,(tblGWP[Dataset ID]=BU82)*(tblGWP[Material Subcategory]=CM82),0),MATCH(CN82,ls_WHM,0)+4),"confirm")</f>
        <v>confirm</v>
      </c>
      <c r="CP82" s="436" t="str">
        <f t="shared" si="46"/>
        <v/>
      </c>
      <c r="DD82" s="388">
        <f t="shared" si="27"/>
        <v>0</v>
      </c>
      <c r="DE82" s="22">
        <f t="shared" si="47"/>
        <v>19</v>
      </c>
      <c r="DF82" s="387">
        <f t="shared" si="28"/>
        <v>0</v>
      </c>
      <c r="DG82" s="387">
        <f t="shared" si="48"/>
        <v>0</v>
      </c>
      <c r="DH82" s="22">
        <f t="shared" ca="1" si="49"/>
        <v>0</v>
      </c>
      <c r="DI82">
        <f t="shared" ca="1" si="50"/>
        <v>0</v>
      </c>
    </row>
    <row r="83" spans="1:113" ht="30" hidden="1" customHeight="1" outlineLevel="1">
      <c r="A83" s="22" t="str">
        <f t="shared" si="21"/>
        <v/>
      </c>
      <c r="B83" s="199"/>
      <c r="C83" s="459"/>
      <c r="D83" s="199"/>
      <c r="E83" s="405"/>
      <c r="F83" s="405"/>
      <c r="G83" s="406"/>
      <c r="H83" s="377"/>
      <c r="I83" s="377"/>
      <c r="J83" s="377"/>
      <c r="K83" s="377"/>
      <c r="L83" s="377"/>
      <c r="M83" s="377"/>
      <c r="N83" s="377"/>
      <c r="O83" s="377"/>
      <c r="P83" s="377"/>
      <c r="Q83" s="377"/>
      <c r="R83" s="377"/>
      <c r="S83" s="377"/>
      <c r="T83" s="458">
        <f t="shared" si="51"/>
        <v>0</v>
      </c>
      <c r="U83" s="200"/>
      <c r="W83" s="442"/>
      <c r="X83" s="443"/>
      <c r="BC83" s="3">
        <f t="shared" si="22"/>
        <v>0</v>
      </c>
      <c r="BD83" s="3">
        <f t="shared" si="23"/>
        <v>0</v>
      </c>
      <c r="BE83" s="432" t="str">
        <f t="shared" si="24"/>
        <v/>
      </c>
      <c r="BF83" s="432" t="str">
        <f t="shared" si="25"/>
        <v/>
      </c>
      <c r="BG83" s="432" t="str">
        <f t="shared" si="26"/>
        <v/>
      </c>
      <c r="BH83" s="434" t="str">
        <f>_xlfn.LET(_xlpm.x,H83,IF(OR(LEN(_xlpm.x)&lt;1,_xlpm.x=0),"",CONVERT(_xlpm.x,'Diversion and Disposal'!$BH$7,"kg")))</f>
        <v/>
      </c>
      <c r="BI83" s="434" t="str">
        <f>_xlfn.LET(_xlpm.x,I83,IF(OR(LEN(_xlpm.x)&lt;1,_xlpm.x=0),"",CONVERT(_xlpm.x,'Diversion and Disposal'!$BH$7,"kg")))</f>
        <v/>
      </c>
      <c r="BJ83" s="434" t="str">
        <f>_xlfn.LET(_xlpm.x,J83,IF(OR(LEN(_xlpm.x)&lt;1,_xlpm.x=0),"",CONVERT(_xlpm.x,'Diversion and Disposal'!$BH$7,"kg")))</f>
        <v/>
      </c>
      <c r="BK83" s="434" t="str">
        <f>_xlfn.LET(_xlpm.x,K83,IF(OR(LEN(_xlpm.x)&lt;1,_xlpm.x=0),"",CONVERT(_xlpm.x,'Diversion and Disposal'!$BH$7,"kg")))</f>
        <v/>
      </c>
      <c r="BL83" s="434" t="str">
        <f>_xlfn.LET(_xlpm.x,L83,IF(OR(LEN(_xlpm.x)&lt;1,_xlpm.x=0),"",CONVERT(_xlpm.x,'Diversion and Disposal'!$BH$7,"kg")))</f>
        <v/>
      </c>
      <c r="BM83" s="434" t="str">
        <f>_xlfn.LET(_xlpm.x,M83,IF(OR(LEN(_xlpm.x)&lt;1,_xlpm.x=0),"",CONVERT(_xlpm.x,'Diversion and Disposal'!$BH$7,"kg")))</f>
        <v/>
      </c>
      <c r="BN83" s="434" t="str">
        <f>_xlfn.LET(_xlpm.x,N83,IF(OR(LEN(_xlpm.x)&lt;1,_xlpm.x=0),"",CONVERT(_xlpm.x,'Diversion and Disposal'!$BH$7,"kg")))</f>
        <v/>
      </c>
      <c r="BO83" s="434" t="str">
        <f>_xlfn.LET(_xlpm.x,O83,IF(OR(LEN(_xlpm.x)&lt;1,_xlpm.x=0),"",CONVERT(_xlpm.x,'Diversion and Disposal'!$BH$7,"kg")))</f>
        <v/>
      </c>
      <c r="BP83" s="434" t="str">
        <f>_xlfn.LET(_xlpm.x,P83,IF(OR(LEN(_xlpm.x)&lt;1,_xlpm.x=0),"",CONVERT(_xlpm.x,'Diversion and Disposal'!$BH$7,"kg")))</f>
        <v/>
      </c>
      <c r="BQ83" s="434" t="str">
        <f>_xlfn.LET(_xlpm.x,Q83,IF(OR(LEN(_xlpm.x)&lt;1,_xlpm.x=0),"",CONVERT(_xlpm.x,'Diversion and Disposal'!$BH$7,"kg")))</f>
        <v/>
      </c>
      <c r="BR83" s="434" t="str">
        <f>_xlfn.LET(_xlpm.x,R83,IF(OR(LEN(_xlpm.x)&lt;1,_xlpm.x=0),"",CONVERT(_xlpm.x,'Diversion and Disposal'!$BH$7,"kg")))</f>
        <v/>
      </c>
      <c r="BS83" s="434" t="str">
        <f>_xlfn.LET(_xlpm.x,S83,IF(OR(LEN(_xlpm.x)&lt;1,_xlpm.x=0),"",CONVERT(_xlpm.x,'Diversion and Disposal'!$BH$7,"kg")))</f>
        <v/>
      </c>
      <c r="BT83" s="435">
        <f t="shared" si="31"/>
        <v>0</v>
      </c>
      <c r="BU83" s="433" t="str">
        <f>_xlfn.LET(_xlpm.x,BF83,IF(LEN(_xlpm.x)&lt;1,"",IF(ISNUMBER(MATCH(_xlpm.x,ls_Mat_def,0)),'Project Inputs'!$BF$14,99)))</f>
        <v/>
      </c>
      <c r="BV83" s="432" t="str" cm="1">
        <f t="array" ref="BV83">IFERROR(INDEX(tblGWP[],MATCH(1,(tblGWP[Dataset ID]=BU83)*(tblGWP[Material Subcategory]=BF83),0),MATCH(BG83,ls_WHM,0)+5),"confirm")</f>
        <v>confirm</v>
      </c>
      <c r="BW83" s="434" t="str">
        <f t="shared" si="52"/>
        <v>No data</v>
      </c>
      <c r="BX83" s="434" t="str">
        <f t="shared" si="53"/>
        <v>No data</v>
      </c>
      <c r="BY83" s="434" t="str">
        <f t="shared" si="54"/>
        <v>No data</v>
      </c>
      <c r="BZ83" s="434" t="str">
        <f t="shared" si="55"/>
        <v>No data</v>
      </c>
      <c r="CA83" s="434" t="str">
        <f t="shared" si="56"/>
        <v>No data</v>
      </c>
      <c r="CB83" s="434" t="str">
        <f t="shared" si="57"/>
        <v>No data</v>
      </c>
      <c r="CC83" s="434" t="str">
        <f t="shared" si="58"/>
        <v>No data</v>
      </c>
      <c r="CD83" s="434" t="str">
        <f t="shared" si="59"/>
        <v>No data</v>
      </c>
      <c r="CE83" s="434" t="str">
        <f t="shared" si="60"/>
        <v>No data</v>
      </c>
      <c r="CF83" s="434" t="str">
        <f t="shared" si="61"/>
        <v>No data</v>
      </c>
      <c r="CG83" s="434" t="str">
        <f t="shared" si="62"/>
        <v>No data</v>
      </c>
      <c r="CH83" s="434" t="str">
        <f t="shared" si="63"/>
        <v>No data</v>
      </c>
      <c r="CI83" s="435">
        <f t="shared" si="44"/>
        <v>0</v>
      </c>
      <c r="CK83" s="3" t="str">
        <f>_xlfn.LET(_xlpm.x,INDEX(tbl_Mat_def[],MATCH(BF83,ls_Mat_def,0),2),IFERROR(IF(_xlpm.x=0,"No","Yes"),"No"))</f>
        <v>No</v>
      </c>
      <c r="CM83" s="60" t="str">
        <f t="shared" si="45"/>
        <v/>
      </c>
      <c r="CN83" s="60" t="s">
        <v>235</v>
      </c>
      <c r="CO83" s="432" t="str" cm="1">
        <f t="array" ref="CO83">IFERROR(INDEX(tblGWP[],MATCH(1,(tblGWP[Dataset ID]=BU83)*(tblGWP[Material Subcategory]=CM83),0),MATCH(CN83,ls_WHM,0)+4),"confirm")</f>
        <v>confirm</v>
      </c>
      <c r="CP83" s="436" t="str">
        <f t="shared" si="46"/>
        <v/>
      </c>
      <c r="DD83" s="388">
        <f t="shared" si="27"/>
        <v>0</v>
      </c>
      <c r="DE83" s="22">
        <f t="shared" si="47"/>
        <v>19</v>
      </c>
      <c r="DF83" s="387">
        <f t="shared" si="28"/>
        <v>0</v>
      </c>
      <c r="DG83" s="387">
        <f t="shared" si="48"/>
        <v>0</v>
      </c>
      <c r="DH83" s="22">
        <f t="shared" ca="1" si="49"/>
        <v>0</v>
      </c>
      <c r="DI83">
        <f t="shared" ca="1" si="50"/>
        <v>0</v>
      </c>
    </row>
    <row r="84" spans="1:113" ht="30" hidden="1" customHeight="1" outlineLevel="1">
      <c r="A84" s="22" t="str">
        <f t="shared" si="21"/>
        <v/>
      </c>
      <c r="B84" s="199"/>
      <c r="C84" s="459"/>
      <c r="D84" s="199"/>
      <c r="E84" s="405"/>
      <c r="F84" s="405"/>
      <c r="G84" s="406"/>
      <c r="H84" s="377"/>
      <c r="I84" s="377"/>
      <c r="J84" s="377"/>
      <c r="K84" s="377"/>
      <c r="L84" s="377"/>
      <c r="M84" s="377"/>
      <c r="N84" s="377"/>
      <c r="O84" s="377"/>
      <c r="P84" s="377"/>
      <c r="Q84" s="377"/>
      <c r="R84" s="377"/>
      <c r="S84" s="377"/>
      <c r="T84" s="458">
        <f t="shared" si="51"/>
        <v>0</v>
      </c>
      <c r="U84" s="200"/>
      <c r="W84" s="442"/>
      <c r="X84" s="443"/>
      <c r="BC84" s="3">
        <f t="shared" si="22"/>
        <v>0</v>
      </c>
      <c r="BD84" s="3">
        <f t="shared" si="23"/>
        <v>0</v>
      </c>
      <c r="BE84" s="432" t="str">
        <f t="shared" si="24"/>
        <v/>
      </c>
      <c r="BF84" s="432" t="str">
        <f t="shared" si="25"/>
        <v/>
      </c>
      <c r="BG84" s="432" t="str">
        <f t="shared" si="26"/>
        <v/>
      </c>
      <c r="BH84" s="434" t="str">
        <f>_xlfn.LET(_xlpm.x,H84,IF(OR(LEN(_xlpm.x)&lt;1,_xlpm.x=0),"",CONVERT(_xlpm.x,'Diversion and Disposal'!$BH$7,"kg")))</f>
        <v/>
      </c>
      <c r="BI84" s="434" t="str">
        <f>_xlfn.LET(_xlpm.x,I84,IF(OR(LEN(_xlpm.x)&lt;1,_xlpm.x=0),"",CONVERT(_xlpm.x,'Diversion and Disposal'!$BH$7,"kg")))</f>
        <v/>
      </c>
      <c r="BJ84" s="434" t="str">
        <f>_xlfn.LET(_xlpm.x,J84,IF(OR(LEN(_xlpm.x)&lt;1,_xlpm.x=0),"",CONVERT(_xlpm.x,'Diversion and Disposal'!$BH$7,"kg")))</f>
        <v/>
      </c>
      <c r="BK84" s="434" t="str">
        <f>_xlfn.LET(_xlpm.x,K84,IF(OR(LEN(_xlpm.x)&lt;1,_xlpm.x=0),"",CONVERT(_xlpm.x,'Diversion and Disposal'!$BH$7,"kg")))</f>
        <v/>
      </c>
      <c r="BL84" s="434" t="str">
        <f>_xlfn.LET(_xlpm.x,L84,IF(OR(LEN(_xlpm.x)&lt;1,_xlpm.x=0),"",CONVERT(_xlpm.x,'Diversion and Disposal'!$BH$7,"kg")))</f>
        <v/>
      </c>
      <c r="BM84" s="434" t="str">
        <f>_xlfn.LET(_xlpm.x,M84,IF(OR(LEN(_xlpm.x)&lt;1,_xlpm.x=0),"",CONVERT(_xlpm.x,'Diversion and Disposal'!$BH$7,"kg")))</f>
        <v/>
      </c>
      <c r="BN84" s="434" t="str">
        <f>_xlfn.LET(_xlpm.x,N84,IF(OR(LEN(_xlpm.x)&lt;1,_xlpm.x=0),"",CONVERT(_xlpm.x,'Diversion and Disposal'!$BH$7,"kg")))</f>
        <v/>
      </c>
      <c r="BO84" s="434" t="str">
        <f>_xlfn.LET(_xlpm.x,O84,IF(OR(LEN(_xlpm.x)&lt;1,_xlpm.x=0),"",CONVERT(_xlpm.x,'Diversion and Disposal'!$BH$7,"kg")))</f>
        <v/>
      </c>
      <c r="BP84" s="434" t="str">
        <f>_xlfn.LET(_xlpm.x,P84,IF(OR(LEN(_xlpm.x)&lt;1,_xlpm.x=0),"",CONVERT(_xlpm.x,'Diversion and Disposal'!$BH$7,"kg")))</f>
        <v/>
      </c>
      <c r="BQ84" s="434" t="str">
        <f>_xlfn.LET(_xlpm.x,Q84,IF(OR(LEN(_xlpm.x)&lt;1,_xlpm.x=0),"",CONVERT(_xlpm.x,'Diversion and Disposal'!$BH$7,"kg")))</f>
        <v/>
      </c>
      <c r="BR84" s="434" t="str">
        <f>_xlfn.LET(_xlpm.x,R84,IF(OR(LEN(_xlpm.x)&lt;1,_xlpm.x=0),"",CONVERT(_xlpm.x,'Diversion and Disposal'!$BH$7,"kg")))</f>
        <v/>
      </c>
      <c r="BS84" s="434" t="str">
        <f>_xlfn.LET(_xlpm.x,S84,IF(OR(LEN(_xlpm.x)&lt;1,_xlpm.x=0),"",CONVERT(_xlpm.x,'Diversion and Disposal'!$BH$7,"kg")))</f>
        <v/>
      </c>
      <c r="BT84" s="435">
        <f t="shared" si="31"/>
        <v>0</v>
      </c>
      <c r="BU84" s="433" t="str">
        <f>_xlfn.LET(_xlpm.x,BF84,IF(LEN(_xlpm.x)&lt;1,"",IF(ISNUMBER(MATCH(_xlpm.x,ls_Mat_def,0)),'Project Inputs'!$BF$14,99)))</f>
        <v/>
      </c>
      <c r="BV84" s="432" t="str" cm="1">
        <f t="array" ref="BV84">IFERROR(INDEX(tblGWP[],MATCH(1,(tblGWP[Dataset ID]=BU84)*(tblGWP[Material Subcategory]=BF84),0),MATCH(BG84,ls_WHM,0)+5),"confirm")</f>
        <v>confirm</v>
      </c>
      <c r="BW84" s="434" t="str">
        <f t="shared" si="52"/>
        <v>No data</v>
      </c>
      <c r="BX84" s="434" t="str">
        <f t="shared" si="53"/>
        <v>No data</v>
      </c>
      <c r="BY84" s="434" t="str">
        <f t="shared" si="54"/>
        <v>No data</v>
      </c>
      <c r="BZ84" s="434" t="str">
        <f t="shared" si="55"/>
        <v>No data</v>
      </c>
      <c r="CA84" s="434" t="str">
        <f t="shared" si="56"/>
        <v>No data</v>
      </c>
      <c r="CB84" s="434" t="str">
        <f t="shared" si="57"/>
        <v>No data</v>
      </c>
      <c r="CC84" s="434" t="str">
        <f t="shared" si="58"/>
        <v>No data</v>
      </c>
      <c r="CD84" s="434" t="str">
        <f t="shared" si="59"/>
        <v>No data</v>
      </c>
      <c r="CE84" s="434" t="str">
        <f t="shared" si="60"/>
        <v>No data</v>
      </c>
      <c r="CF84" s="434" t="str">
        <f t="shared" si="61"/>
        <v>No data</v>
      </c>
      <c r="CG84" s="434" t="str">
        <f t="shared" si="62"/>
        <v>No data</v>
      </c>
      <c r="CH84" s="434" t="str">
        <f t="shared" si="63"/>
        <v>No data</v>
      </c>
      <c r="CI84" s="435">
        <f t="shared" si="44"/>
        <v>0</v>
      </c>
      <c r="CK84" s="3" t="str">
        <f>_xlfn.LET(_xlpm.x,INDEX(tbl_Mat_def[],MATCH(BF84,ls_Mat_def,0),2),IFERROR(IF(_xlpm.x=0,"No","Yes"),"No"))</f>
        <v>No</v>
      </c>
      <c r="CM84" s="60" t="str">
        <f t="shared" si="45"/>
        <v/>
      </c>
      <c r="CN84" s="60" t="s">
        <v>235</v>
      </c>
      <c r="CO84" s="432" t="str" cm="1">
        <f t="array" ref="CO84">IFERROR(INDEX(tblGWP[],MATCH(1,(tblGWP[Dataset ID]=BU84)*(tblGWP[Material Subcategory]=CM84),0),MATCH(CN84,ls_WHM,0)+4),"confirm")</f>
        <v>confirm</v>
      </c>
      <c r="CP84" s="436" t="str">
        <f t="shared" si="46"/>
        <v/>
      </c>
      <c r="DD84" s="388">
        <f t="shared" si="27"/>
        <v>0</v>
      </c>
      <c r="DE84" s="22">
        <f t="shared" si="47"/>
        <v>19</v>
      </c>
      <c r="DF84" s="387">
        <f t="shared" si="28"/>
        <v>0</v>
      </c>
      <c r="DG84" s="387">
        <f t="shared" si="48"/>
        <v>0</v>
      </c>
      <c r="DH84" s="22">
        <f t="shared" ca="1" si="49"/>
        <v>0</v>
      </c>
      <c r="DI84">
        <f t="shared" ca="1" si="50"/>
        <v>0</v>
      </c>
    </row>
    <row r="85" spans="1:113" ht="30" hidden="1" customHeight="1" outlineLevel="1">
      <c r="A85" s="22" t="str">
        <f t="shared" si="21"/>
        <v/>
      </c>
      <c r="B85" s="199"/>
      <c r="C85" s="459"/>
      <c r="D85" s="199"/>
      <c r="E85" s="405"/>
      <c r="F85" s="405"/>
      <c r="G85" s="406"/>
      <c r="H85" s="377"/>
      <c r="I85" s="377"/>
      <c r="J85" s="377"/>
      <c r="K85" s="377"/>
      <c r="L85" s="377"/>
      <c r="M85" s="377"/>
      <c r="N85" s="377"/>
      <c r="O85" s="377"/>
      <c r="P85" s="377"/>
      <c r="Q85" s="377"/>
      <c r="R85" s="377"/>
      <c r="S85" s="377"/>
      <c r="T85" s="458">
        <f t="shared" si="51"/>
        <v>0</v>
      </c>
      <c r="U85" s="200"/>
      <c r="W85" s="442"/>
      <c r="X85" s="443"/>
      <c r="BC85" s="3">
        <f t="shared" si="22"/>
        <v>0</v>
      </c>
      <c r="BD85" s="3">
        <f t="shared" si="23"/>
        <v>0</v>
      </c>
      <c r="BE85" s="432" t="str">
        <f t="shared" si="24"/>
        <v/>
      </c>
      <c r="BF85" s="432" t="str">
        <f t="shared" si="25"/>
        <v/>
      </c>
      <c r="BG85" s="432" t="str">
        <f t="shared" si="26"/>
        <v/>
      </c>
      <c r="BH85" s="434" t="str">
        <f>_xlfn.LET(_xlpm.x,H85,IF(OR(LEN(_xlpm.x)&lt;1,_xlpm.x=0),"",CONVERT(_xlpm.x,'Diversion and Disposal'!$BH$7,"kg")))</f>
        <v/>
      </c>
      <c r="BI85" s="434" t="str">
        <f>_xlfn.LET(_xlpm.x,I85,IF(OR(LEN(_xlpm.x)&lt;1,_xlpm.x=0),"",CONVERT(_xlpm.x,'Diversion and Disposal'!$BH$7,"kg")))</f>
        <v/>
      </c>
      <c r="BJ85" s="434" t="str">
        <f>_xlfn.LET(_xlpm.x,J85,IF(OR(LEN(_xlpm.x)&lt;1,_xlpm.x=0),"",CONVERT(_xlpm.x,'Diversion and Disposal'!$BH$7,"kg")))</f>
        <v/>
      </c>
      <c r="BK85" s="434" t="str">
        <f>_xlfn.LET(_xlpm.x,K85,IF(OR(LEN(_xlpm.x)&lt;1,_xlpm.x=0),"",CONVERT(_xlpm.x,'Diversion and Disposal'!$BH$7,"kg")))</f>
        <v/>
      </c>
      <c r="BL85" s="434" t="str">
        <f>_xlfn.LET(_xlpm.x,L85,IF(OR(LEN(_xlpm.x)&lt;1,_xlpm.x=0),"",CONVERT(_xlpm.x,'Diversion and Disposal'!$BH$7,"kg")))</f>
        <v/>
      </c>
      <c r="BM85" s="434" t="str">
        <f>_xlfn.LET(_xlpm.x,M85,IF(OR(LEN(_xlpm.x)&lt;1,_xlpm.x=0),"",CONVERT(_xlpm.x,'Diversion and Disposal'!$BH$7,"kg")))</f>
        <v/>
      </c>
      <c r="BN85" s="434" t="str">
        <f>_xlfn.LET(_xlpm.x,N85,IF(OR(LEN(_xlpm.x)&lt;1,_xlpm.x=0),"",CONVERT(_xlpm.x,'Diversion and Disposal'!$BH$7,"kg")))</f>
        <v/>
      </c>
      <c r="BO85" s="434" t="str">
        <f>_xlfn.LET(_xlpm.x,O85,IF(OR(LEN(_xlpm.x)&lt;1,_xlpm.x=0),"",CONVERT(_xlpm.x,'Diversion and Disposal'!$BH$7,"kg")))</f>
        <v/>
      </c>
      <c r="BP85" s="434" t="str">
        <f>_xlfn.LET(_xlpm.x,P85,IF(OR(LEN(_xlpm.x)&lt;1,_xlpm.x=0),"",CONVERT(_xlpm.x,'Diversion and Disposal'!$BH$7,"kg")))</f>
        <v/>
      </c>
      <c r="BQ85" s="434" t="str">
        <f>_xlfn.LET(_xlpm.x,Q85,IF(OR(LEN(_xlpm.x)&lt;1,_xlpm.x=0),"",CONVERT(_xlpm.x,'Diversion and Disposal'!$BH$7,"kg")))</f>
        <v/>
      </c>
      <c r="BR85" s="434" t="str">
        <f>_xlfn.LET(_xlpm.x,R85,IF(OR(LEN(_xlpm.x)&lt;1,_xlpm.x=0),"",CONVERT(_xlpm.x,'Diversion and Disposal'!$BH$7,"kg")))</f>
        <v/>
      </c>
      <c r="BS85" s="434" t="str">
        <f>_xlfn.LET(_xlpm.x,S85,IF(OR(LEN(_xlpm.x)&lt;1,_xlpm.x=0),"",CONVERT(_xlpm.x,'Diversion and Disposal'!$BH$7,"kg")))</f>
        <v/>
      </c>
      <c r="BT85" s="435">
        <f t="shared" si="31"/>
        <v>0</v>
      </c>
      <c r="BU85" s="433" t="str">
        <f>_xlfn.LET(_xlpm.x,BF85,IF(LEN(_xlpm.x)&lt;1,"",IF(ISNUMBER(MATCH(_xlpm.x,ls_Mat_def,0)),'Project Inputs'!$BF$14,99)))</f>
        <v/>
      </c>
      <c r="BV85" s="432" t="str" cm="1">
        <f t="array" ref="BV85">IFERROR(INDEX(tblGWP[],MATCH(1,(tblGWP[Dataset ID]=BU85)*(tblGWP[Material Subcategory]=BF85),0),MATCH(BG85,ls_WHM,0)+5),"confirm")</f>
        <v>confirm</v>
      </c>
      <c r="BW85" s="434" t="str">
        <f t="shared" si="52"/>
        <v>No data</v>
      </c>
      <c r="BX85" s="434" t="str">
        <f t="shared" si="53"/>
        <v>No data</v>
      </c>
      <c r="BY85" s="434" t="str">
        <f t="shared" si="54"/>
        <v>No data</v>
      </c>
      <c r="BZ85" s="434" t="str">
        <f t="shared" si="55"/>
        <v>No data</v>
      </c>
      <c r="CA85" s="434" t="str">
        <f t="shared" si="56"/>
        <v>No data</v>
      </c>
      <c r="CB85" s="434" t="str">
        <f t="shared" si="57"/>
        <v>No data</v>
      </c>
      <c r="CC85" s="434" t="str">
        <f t="shared" si="58"/>
        <v>No data</v>
      </c>
      <c r="CD85" s="434" t="str">
        <f t="shared" si="59"/>
        <v>No data</v>
      </c>
      <c r="CE85" s="434" t="str">
        <f t="shared" si="60"/>
        <v>No data</v>
      </c>
      <c r="CF85" s="434" t="str">
        <f t="shared" si="61"/>
        <v>No data</v>
      </c>
      <c r="CG85" s="434" t="str">
        <f t="shared" si="62"/>
        <v>No data</v>
      </c>
      <c r="CH85" s="434" t="str">
        <f t="shared" si="63"/>
        <v>No data</v>
      </c>
      <c r="CI85" s="435">
        <f t="shared" si="44"/>
        <v>0</v>
      </c>
      <c r="CK85" s="3" t="str">
        <f>_xlfn.LET(_xlpm.x,INDEX(tbl_Mat_def[],MATCH(BF85,ls_Mat_def,0),2),IFERROR(IF(_xlpm.x=0,"No","Yes"),"No"))</f>
        <v>No</v>
      </c>
      <c r="CM85" s="60" t="str">
        <f t="shared" si="45"/>
        <v/>
      </c>
      <c r="CN85" s="60" t="s">
        <v>235</v>
      </c>
      <c r="CO85" s="432" t="str" cm="1">
        <f t="array" ref="CO85">IFERROR(INDEX(tblGWP[],MATCH(1,(tblGWP[Dataset ID]=BU85)*(tblGWP[Material Subcategory]=CM85),0),MATCH(CN85,ls_WHM,0)+4),"confirm")</f>
        <v>confirm</v>
      </c>
      <c r="CP85" s="436" t="str">
        <f t="shared" si="46"/>
        <v/>
      </c>
      <c r="DD85" s="388">
        <f t="shared" si="27"/>
        <v>0</v>
      </c>
      <c r="DE85" s="22">
        <f t="shared" si="47"/>
        <v>19</v>
      </c>
      <c r="DF85" s="387">
        <f t="shared" si="28"/>
        <v>0</v>
      </c>
      <c r="DG85" s="387">
        <f t="shared" si="48"/>
        <v>0</v>
      </c>
      <c r="DH85" s="22">
        <f t="shared" ca="1" si="49"/>
        <v>0</v>
      </c>
      <c r="DI85">
        <f t="shared" ca="1" si="50"/>
        <v>0</v>
      </c>
    </row>
    <row r="86" spans="1:113" ht="30" hidden="1" customHeight="1" outlineLevel="1">
      <c r="A86" s="22" t="str">
        <f t="shared" si="21"/>
        <v/>
      </c>
      <c r="B86" s="199"/>
      <c r="C86" s="459"/>
      <c r="D86" s="199"/>
      <c r="E86" s="405"/>
      <c r="F86" s="405"/>
      <c r="G86" s="406"/>
      <c r="H86" s="377"/>
      <c r="I86" s="377"/>
      <c r="J86" s="377"/>
      <c r="K86" s="377"/>
      <c r="L86" s="377"/>
      <c r="M86" s="377"/>
      <c r="N86" s="377"/>
      <c r="O86" s="377"/>
      <c r="P86" s="377"/>
      <c r="Q86" s="377"/>
      <c r="R86" s="377"/>
      <c r="S86" s="377"/>
      <c r="T86" s="458">
        <f t="shared" si="51"/>
        <v>0</v>
      </c>
      <c r="U86" s="200"/>
      <c r="W86" s="442"/>
      <c r="X86" s="443"/>
      <c r="BC86" s="3">
        <f t="shared" si="22"/>
        <v>0</v>
      </c>
      <c r="BD86" s="3">
        <f t="shared" si="23"/>
        <v>0</v>
      </c>
      <c r="BE86" s="432" t="str">
        <f t="shared" si="24"/>
        <v/>
      </c>
      <c r="BF86" s="432" t="str">
        <f t="shared" si="25"/>
        <v/>
      </c>
      <c r="BG86" s="432" t="str">
        <f t="shared" si="26"/>
        <v/>
      </c>
      <c r="BH86" s="434" t="str">
        <f>_xlfn.LET(_xlpm.x,H86,IF(OR(LEN(_xlpm.x)&lt;1,_xlpm.x=0),"",CONVERT(_xlpm.x,'Diversion and Disposal'!$BH$7,"kg")))</f>
        <v/>
      </c>
      <c r="BI86" s="434" t="str">
        <f>_xlfn.LET(_xlpm.x,I86,IF(OR(LEN(_xlpm.x)&lt;1,_xlpm.x=0),"",CONVERT(_xlpm.x,'Diversion and Disposal'!$BH$7,"kg")))</f>
        <v/>
      </c>
      <c r="BJ86" s="434" t="str">
        <f>_xlfn.LET(_xlpm.x,J86,IF(OR(LEN(_xlpm.x)&lt;1,_xlpm.x=0),"",CONVERT(_xlpm.x,'Diversion and Disposal'!$BH$7,"kg")))</f>
        <v/>
      </c>
      <c r="BK86" s="434" t="str">
        <f>_xlfn.LET(_xlpm.x,K86,IF(OR(LEN(_xlpm.x)&lt;1,_xlpm.x=0),"",CONVERT(_xlpm.x,'Diversion and Disposal'!$BH$7,"kg")))</f>
        <v/>
      </c>
      <c r="BL86" s="434" t="str">
        <f>_xlfn.LET(_xlpm.x,L86,IF(OR(LEN(_xlpm.x)&lt;1,_xlpm.x=0),"",CONVERT(_xlpm.x,'Diversion and Disposal'!$BH$7,"kg")))</f>
        <v/>
      </c>
      <c r="BM86" s="434" t="str">
        <f>_xlfn.LET(_xlpm.x,M86,IF(OR(LEN(_xlpm.x)&lt;1,_xlpm.x=0),"",CONVERT(_xlpm.x,'Diversion and Disposal'!$BH$7,"kg")))</f>
        <v/>
      </c>
      <c r="BN86" s="434" t="str">
        <f>_xlfn.LET(_xlpm.x,N86,IF(OR(LEN(_xlpm.x)&lt;1,_xlpm.x=0),"",CONVERT(_xlpm.x,'Diversion and Disposal'!$BH$7,"kg")))</f>
        <v/>
      </c>
      <c r="BO86" s="434" t="str">
        <f>_xlfn.LET(_xlpm.x,O86,IF(OR(LEN(_xlpm.x)&lt;1,_xlpm.x=0),"",CONVERT(_xlpm.x,'Diversion and Disposal'!$BH$7,"kg")))</f>
        <v/>
      </c>
      <c r="BP86" s="434" t="str">
        <f>_xlfn.LET(_xlpm.x,P86,IF(OR(LEN(_xlpm.x)&lt;1,_xlpm.x=0),"",CONVERT(_xlpm.x,'Diversion and Disposal'!$BH$7,"kg")))</f>
        <v/>
      </c>
      <c r="BQ86" s="434" t="str">
        <f>_xlfn.LET(_xlpm.x,Q86,IF(OR(LEN(_xlpm.x)&lt;1,_xlpm.x=0),"",CONVERT(_xlpm.x,'Diversion and Disposal'!$BH$7,"kg")))</f>
        <v/>
      </c>
      <c r="BR86" s="434" t="str">
        <f>_xlfn.LET(_xlpm.x,R86,IF(OR(LEN(_xlpm.x)&lt;1,_xlpm.x=0),"",CONVERT(_xlpm.x,'Diversion and Disposal'!$BH$7,"kg")))</f>
        <v/>
      </c>
      <c r="BS86" s="434" t="str">
        <f>_xlfn.LET(_xlpm.x,S86,IF(OR(LEN(_xlpm.x)&lt;1,_xlpm.x=0),"",CONVERT(_xlpm.x,'Diversion and Disposal'!$BH$7,"kg")))</f>
        <v/>
      </c>
      <c r="BT86" s="435">
        <f t="shared" ref="BT86:BT117" si="64">SUM(BH86:BS86)</f>
        <v>0</v>
      </c>
      <c r="BU86" s="433" t="str">
        <f>_xlfn.LET(_xlpm.x,BF86,IF(LEN(_xlpm.x)&lt;1,"",IF(ISNUMBER(MATCH(_xlpm.x,ls_Mat_def,0)),'Project Inputs'!$BF$14,99)))</f>
        <v/>
      </c>
      <c r="BV86" s="432" t="str" cm="1">
        <f t="array" ref="BV86">IFERROR(INDEX(tblGWP[],MATCH(1,(tblGWP[Dataset ID]=BU86)*(tblGWP[Material Subcategory]=BF86),0),MATCH(BG86,ls_WHM,0)+5),"confirm")</f>
        <v>confirm</v>
      </c>
      <c r="BW86" s="434" t="str">
        <f t="shared" si="52"/>
        <v>No data</v>
      </c>
      <c r="BX86" s="434" t="str">
        <f t="shared" si="53"/>
        <v>No data</v>
      </c>
      <c r="BY86" s="434" t="str">
        <f t="shared" si="54"/>
        <v>No data</v>
      </c>
      <c r="BZ86" s="434" t="str">
        <f t="shared" si="55"/>
        <v>No data</v>
      </c>
      <c r="CA86" s="434" t="str">
        <f t="shared" si="56"/>
        <v>No data</v>
      </c>
      <c r="CB86" s="434" t="str">
        <f t="shared" si="57"/>
        <v>No data</v>
      </c>
      <c r="CC86" s="434" t="str">
        <f t="shared" si="58"/>
        <v>No data</v>
      </c>
      <c r="CD86" s="434" t="str">
        <f t="shared" si="59"/>
        <v>No data</v>
      </c>
      <c r="CE86" s="434" t="str">
        <f t="shared" si="60"/>
        <v>No data</v>
      </c>
      <c r="CF86" s="434" t="str">
        <f t="shared" si="61"/>
        <v>No data</v>
      </c>
      <c r="CG86" s="434" t="str">
        <f t="shared" si="62"/>
        <v>No data</v>
      </c>
      <c r="CH86" s="434" t="str">
        <f t="shared" si="63"/>
        <v>No data</v>
      </c>
      <c r="CI86" s="435">
        <f t="shared" ref="CI86:CI117" si="65">SUM(BW86:CH86)</f>
        <v>0</v>
      </c>
      <c r="CK86" s="3" t="str">
        <f>_xlfn.LET(_xlpm.x,INDEX(tbl_Mat_def[],MATCH(BF86,ls_Mat_def,0),2),IFERROR(IF(_xlpm.x=0,"No","Yes"),"No"))</f>
        <v>No</v>
      </c>
      <c r="CM86" s="60" t="str">
        <f t="shared" ref="CM86:CM121" si="66">BF86</f>
        <v/>
      </c>
      <c r="CN86" s="60" t="s">
        <v>235</v>
      </c>
      <c r="CO86" s="432" t="str" cm="1">
        <f t="array" ref="CO86">IFERROR(INDEX(tblGWP[],MATCH(1,(tblGWP[Dataset ID]=BU86)*(tblGWP[Material Subcategory]=CM86),0),MATCH(CN86,ls_WHM,0)+4),"confirm")</f>
        <v>confirm</v>
      </c>
      <c r="CP86" s="436" t="str">
        <f t="shared" ref="CP86:CP117" si="67">IFERROR($BT86*CO86,"")</f>
        <v/>
      </c>
      <c r="DD86" s="388">
        <f t="shared" si="27"/>
        <v>0</v>
      </c>
      <c r="DE86" s="22">
        <f t="shared" ref="DE86:DE121" si="68">COUNTBLANK(B86:U86)</f>
        <v>19</v>
      </c>
      <c r="DF86" s="387">
        <f t="shared" si="28"/>
        <v>0</v>
      </c>
      <c r="DG86" s="387">
        <f t="shared" ref="DG86:DG121" si="69">_xlfn.LET(_xlpm.x,DE86,_xlpm.y,B86,_xlpm.z,E86,_xlpm.m,F86,_xlpm.n,G86,_xlpm.o,COUNTBLANK(H86:S86),_xlpm.p,C86,IF(_xlpm.x=19,0,
IF(AND(LEN(_xlpm.y)&gt;0,LEN(_xlpm.z)&gt;0,LEN(_xlpm.m)&gt;0,LEN(_xlpm.n)&gt;0,_xlpm.o&lt;12),0,1)))</f>
        <v>0</v>
      </c>
      <c r="DH86" s="22">
        <f t="shared" ref="DH86:DH121" ca="1" si="70">IF(DE86=19,0,IF(ISNUMBER(MATCH(F86,INDIRECT(INDEX(ls_Subcat_options,MATCH(E86,ls_Mat_Cat,0))),0)),0,1))</f>
        <v>0</v>
      </c>
      <c r="DI86">
        <f t="shared" ref="DI86:DI121" ca="1" si="71">IF(DE86=19,0,IF(ISNUMBER(MATCH(G86,INDIRECT(INDEX(ls_WHMB_options,MATCH(F86,ls_Mat,0))),0)),0,1))</f>
        <v>0</v>
      </c>
    </row>
    <row r="87" spans="1:113" ht="30" hidden="1" customHeight="1" outlineLevel="1">
      <c r="A87" s="22" t="str">
        <f t="shared" ref="A87:A121" si="72">IF(DD87=0,"",1)</f>
        <v/>
      </c>
      <c r="B87" s="199"/>
      <c r="C87" s="459"/>
      <c r="D87" s="199"/>
      <c r="E87" s="405"/>
      <c r="F87" s="405"/>
      <c r="G87" s="406"/>
      <c r="H87" s="377"/>
      <c r="I87" s="377"/>
      <c r="J87" s="377"/>
      <c r="K87" s="377"/>
      <c r="L87" s="377"/>
      <c r="M87" s="377"/>
      <c r="N87" s="377"/>
      <c r="O87" s="377"/>
      <c r="P87" s="377"/>
      <c r="Q87" s="377"/>
      <c r="R87" s="377"/>
      <c r="S87" s="377"/>
      <c r="T87" s="458">
        <f t="shared" si="51"/>
        <v>0</v>
      </c>
      <c r="U87" s="200"/>
      <c r="W87" s="442"/>
      <c r="X87" s="443"/>
      <c r="BC87" s="3">
        <f t="shared" ref="BC87:BC121" si="73">B87</f>
        <v>0</v>
      </c>
      <c r="BD87" s="3">
        <f t="shared" ref="BD87:BD121" si="74">D87</f>
        <v>0</v>
      </c>
      <c r="BE87" s="432" t="str">
        <f t="shared" ref="BE87:BE121" si="75">_xlfn.LET(_xlpm.x,E87,IF(OR(LEN(_xlpm.x)&lt;1,_xlpm.x=0),"",_xlpm.x))</f>
        <v/>
      </c>
      <c r="BF87" s="432" t="str">
        <f t="shared" ref="BF87:BF121" si="76">_xlfn.LET(_xlpm.x,F87,IF(OR(LEN(_xlpm.x)&lt;1,_xlpm.x=0),"",_xlpm.x))</f>
        <v/>
      </c>
      <c r="BG87" s="432" t="str">
        <f t="shared" ref="BG87:BG121" si="77">_xlfn.LET(_xlpm.x,G87,IF(OR(LEN(_xlpm.x)&lt;1,_xlpm.x=0),"",_xlpm.x))</f>
        <v/>
      </c>
      <c r="BH87" s="434" t="str">
        <f>_xlfn.LET(_xlpm.x,H87,IF(OR(LEN(_xlpm.x)&lt;1,_xlpm.x=0),"",CONVERT(_xlpm.x,'Diversion and Disposal'!$BH$7,"kg")))</f>
        <v/>
      </c>
      <c r="BI87" s="434" t="str">
        <f>_xlfn.LET(_xlpm.x,I87,IF(OR(LEN(_xlpm.x)&lt;1,_xlpm.x=0),"",CONVERT(_xlpm.x,'Diversion and Disposal'!$BH$7,"kg")))</f>
        <v/>
      </c>
      <c r="BJ87" s="434" t="str">
        <f>_xlfn.LET(_xlpm.x,J87,IF(OR(LEN(_xlpm.x)&lt;1,_xlpm.x=0),"",CONVERT(_xlpm.x,'Diversion and Disposal'!$BH$7,"kg")))</f>
        <v/>
      </c>
      <c r="BK87" s="434" t="str">
        <f>_xlfn.LET(_xlpm.x,K87,IF(OR(LEN(_xlpm.x)&lt;1,_xlpm.x=0),"",CONVERT(_xlpm.x,'Diversion and Disposal'!$BH$7,"kg")))</f>
        <v/>
      </c>
      <c r="BL87" s="434" t="str">
        <f>_xlfn.LET(_xlpm.x,L87,IF(OR(LEN(_xlpm.x)&lt;1,_xlpm.x=0),"",CONVERT(_xlpm.x,'Diversion and Disposal'!$BH$7,"kg")))</f>
        <v/>
      </c>
      <c r="BM87" s="434" t="str">
        <f>_xlfn.LET(_xlpm.x,M87,IF(OR(LEN(_xlpm.x)&lt;1,_xlpm.x=0),"",CONVERT(_xlpm.x,'Diversion and Disposal'!$BH$7,"kg")))</f>
        <v/>
      </c>
      <c r="BN87" s="434" t="str">
        <f>_xlfn.LET(_xlpm.x,N87,IF(OR(LEN(_xlpm.x)&lt;1,_xlpm.x=0),"",CONVERT(_xlpm.x,'Diversion and Disposal'!$BH$7,"kg")))</f>
        <v/>
      </c>
      <c r="BO87" s="434" t="str">
        <f>_xlfn.LET(_xlpm.x,O87,IF(OR(LEN(_xlpm.x)&lt;1,_xlpm.x=0),"",CONVERT(_xlpm.x,'Diversion and Disposal'!$BH$7,"kg")))</f>
        <v/>
      </c>
      <c r="BP87" s="434" t="str">
        <f>_xlfn.LET(_xlpm.x,P87,IF(OR(LEN(_xlpm.x)&lt;1,_xlpm.x=0),"",CONVERT(_xlpm.x,'Diversion and Disposal'!$BH$7,"kg")))</f>
        <v/>
      </c>
      <c r="BQ87" s="434" t="str">
        <f>_xlfn.LET(_xlpm.x,Q87,IF(OR(LEN(_xlpm.x)&lt;1,_xlpm.x=0),"",CONVERT(_xlpm.x,'Diversion and Disposal'!$BH$7,"kg")))</f>
        <v/>
      </c>
      <c r="BR87" s="434" t="str">
        <f>_xlfn.LET(_xlpm.x,R87,IF(OR(LEN(_xlpm.x)&lt;1,_xlpm.x=0),"",CONVERT(_xlpm.x,'Diversion and Disposal'!$BH$7,"kg")))</f>
        <v/>
      </c>
      <c r="BS87" s="434" t="str">
        <f>_xlfn.LET(_xlpm.x,S87,IF(OR(LEN(_xlpm.x)&lt;1,_xlpm.x=0),"",CONVERT(_xlpm.x,'Diversion and Disposal'!$BH$7,"kg")))</f>
        <v/>
      </c>
      <c r="BT87" s="435">
        <f t="shared" si="64"/>
        <v>0</v>
      </c>
      <c r="BU87" s="433" t="str">
        <f>_xlfn.LET(_xlpm.x,BF87,IF(LEN(_xlpm.x)&lt;1,"",IF(ISNUMBER(MATCH(_xlpm.x,ls_Mat_def,0)),'Project Inputs'!$BF$14,99)))</f>
        <v/>
      </c>
      <c r="BV87" s="432" t="str" cm="1">
        <f t="array" ref="BV87">IFERROR(INDEX(tblGWP[],MATCH(1,(tblGWP[Dataset ID]=BU87)*(tblGWP[Material Subcategory]=BF87),0),MATCH(BG87,ls_WHM,0)+5),"confirm")</f>
        <v>confirm</v>
      </c>
      <c r="BW87" s="434" t="str">
        <f t="shared" si="52"/>
        <v>No data</v>
      </c>
      <c r="BX87" s="434" t="str">
        <f t="shared" si="53"/>
        <v>No data</v>
      </c>
      <c r="BY87" s="434" t="str">
        <f t="shared" ref="BY87:BY121" si="78">IFERROR(BJ87*$BV87,"No data")</f>
        <v>No data</v>
      </c>
      <c r="BZ87" s="434" t="str">
        <f t="shared" si="55"/>
        <v>No data</v>
      </c>
      <c r="CA87" s="434" t="str">
        <f t="shared" si="56"/>
        <v>No data</v>
      </c>
      <c r="CB87" s="434" t="str">
        <f t="shared" si="57"/>
        <v>No data</v>
      </c>
      <c r="CC87" s="434" t="str">
        <f t="shared" si="58"/>
        <v>No data</v>
      </c>
      <c r="CD87" s="434" t="str">
        <f t="shared" si="59"/>
        <v>No data</v>
      </c>
      <c r="CE87" s="434" t="str">
        <f t="shared" si="60"/>
        <v>No data</v>
      </c>
      <c r="CF87" s="434" t="str">
        <f t="shared" si="61"/>
        <v>No data</v>
      </c>
      <c r="CG87" s="434" t="str">
        <f t="shared" si="62"/>
        <v>No data</v>
      </c>
      <c r="CH87" s="434" t="str">
        <f t="shared" si="63"/>
        <v>No data</v>
      </c>
      <c r="CI87" s="435">
        <f t="shared" si="65"/>
        <v>0</v>
      </c>
      <c r="CK87" s="3" t="str">
        <f>_xlfn.LET(_xlpm.x,INDEX(tbl_Mat_def[],MATCH(BF87,ls_Mat_def,0),2),IFERROR(IF(_xlpm.x=0,"No","Yes"),"No"))</f>
        <v>No</v>
      </c>
      <c r="CM87" s="60" t="str">
        <f t="shared" si="66"/>
        <v/>
      </c>
      <c r="CN87" s="60" t="s">
        <v>235</v>
      </c>
      <c r="CO87" s="432" t="str" cm="1">
        <f t="array" ref="CO87">IFERROR(INDEX(tblGWP[],MATCH(1,(tblGWP[Dataset ID]=BU87)*(tblGWP[Material Subcategory]=CM87),0),MATCH(CN87,ls_WHM,0)+4),"confirm")</f>
        <v>confirm</v>
      </c>
      <c r="CP87" s="436" t="str">
        <f t="shared" si="67"/>
        <v/>
      </c>
      <c r="DD87" s="388">
        <f t="shared" ref="DD87:DD121" si="79">IF(DE87=19,0,SUM(DF87:DI87))</f>
        <v>0</v>
      </c>
      <c r="DE87" s="22">
        <f t="shared" si="68"/>
        <v>19</v>
      </c>
      <c r="DF87" s="387">
        <f t="shared" ref="DF87:DF121" si="80">SUM(IF(OR(ISNUMBER(H87),LEN(H87)=0),0,1),IF(OR(ISNUMBER(I87),LEN(I87)=0),0,1),
IF(OR(ISNUMBER(J87),LEN(J87)=0),0,1),IF(OR(ISNUMBER(K87),LEN(K87)=0),0,1),
IF(OR(ISNUMBER(L87),LEN(L87)=0),0,1),IF(OR(ISNUMBER(M87),LEN(M87)=0),0,1),
IF(OR(ISNUMBER(N87),LEN(N87)=0),0,1),IF(OR(ISNUMBER(O87),LEN(O87)=0),0,1),
IF(OR(ISNUMBER(P87),LEN(P87)=0),0,1),IF(OR(ISNUMBER(Q87),LEN(Q87)=0),0,1),
IF(OR(ISNUMBER(R87),LEN(R87)=0),0,1),IF(OR(ISNUMBER(S87),LEN(S87)=0),0,1))+
IF(MIN(H87:R87)&gt;=0,0,1)</f>
        <v>0</v>
      </c>
      <c r="DG87" s="387">
        <f t="shared" si="69"/>
        <v>0</v>
      </c>
      <c r="DH87" s="22">
        <f t="shared" ca="1" si="70"/>
        <v>0</v>
      </c>
      <c r="DI87">
        <f t="shared" ca="1" si="71"/>
        <v>0</v>
      </c>
    </row>
    <row r="88" spans="1:113" ht="30" hidden="1" customHeight="1" outlineLevel="1">
      <c r="A88" s="22" t="str">
        <f t="shared" si="72"/>
        <v/>
      </c>
      <c r="B88" s="199"/>
      <c r="C88" s="459"/>
      <c r="D88" s="199"/>
      <c r="E88" s="405"/>
      <c r="F88" s="405"/>
      <c r="G88" s="406"/>
      <c r="H88" s="377"/>
      <c r="I88" s="377"/>
      <c r="J88" s="377"/>
      <c r="K88" s="377"/>
      <c r="L88" s="377"/>
      <c r="M88" s="377"/>
      <c r="N88" s="377"/>
      <c r="O88" s="377"/>
      <c r="P88" s="377"/>
      <c r="Q88" s="377"/>
      <c r="R88" s="377"/>
      <c r="S88" s="377"/>
      <c r="T88" s="458">
        <f t="shared" si="51"/>
        <v>0</v>
      </c>
      <c r="U88" s="200"/>
      <c r="W88" s="442"/>
      <c r="X88" s="443"/>
      <c r="BC88" s="3">
        <f t="shared" si="73"/>
        <v>0</v>
      </c>
      <c r="BD88" s="3">
        <f t="shared" si="74"/>
        <v>0</v>
      </c>
      <c r="BE88" s="432" t="str">
        <f t="shared" si="75"/>
        <v/>
      </c>
      <c r="BF88" s="432" t="str">
        <f t="shared" si="76"/>
        <v/>
      </c>
      <c r="BG88" s="432" t="str">
        <f t="shared" si="77"/>
        <v/>
      </c>
      <c r="BH88" s="434" t="str">
        <f>_xlfn.LET(_xlpm.x,H88,IF(OR(LEN(_xlpm.x)&lt;1,_xlpm.x=0),"",CONVERT(_xlpm.x,'Diversion and Disposal'!$BH$7,"kg")))</f>
        <v/>
      </c>
      <c r="BI88" s="434" t="str">
        <f>_xlfn.LET(_xlpm.x,I88,IF(OR(LEN(_xlpm.x)&lt;1,_xlpm.x=0),"",CONVERT(_xlpm.x,'Diversion and Disposal'!$BH$7,"kg")))</f>
        <v/>
      </c>
      <c r="BJ88" s="434" t="str">
        <f>_xlfn.LET(_xlpm.x,J88,IF(OR(LEN(_xlpm.x)&lt;1,_xlpm.x=0),"",CONVERT(_xlpm.x,'Diversion and Disposal'!$BH$7,"kg")))</f>
        <v/>
      </c>
      <c r="BK88" s="434" t="str">
        <f>_xlfn.LET(_xlpm.x,K88,IF(OR(LEN(_xlpm.x)&lt;1,_xlpm.x=0),"",CONVERT(_xlpm.x,'Diversion and Disposal'!$BH$7,"kg")))</f>
        <v/>
      </c>
      <c r="BL88" s="434" t="str">
        <f>_xlfn.LET(_xlpm.x,L88,IF(OR(LEN(_xlpm.x)&lt;1,_xlpm.x=0),"",CONVERT(_xlpm.x,'Diversion and Disposal'!$BH$7,"kg")))</f>
        <v/>
      </c>
      <c r="BM88" s="434" t="str">
        <f>_xlfn.LET(_xlpm.x,M88,IF(OR(LEN(_xlpm.x)&lt;1,_xlpm.x=0),"",CONVERT(_xlpm.x,'Diversion and Disposal'!$BH$7,"kg")))</f>
        <v/>
      </c>
      <c r="BN88" s="434" t="str">
        <f>_xlfn.LET(_xlpm.x,N88,IF(OR(LEN(_xlpm.x)&lt;1,_xlpm.x=0),"",CONVERT(_xlpm.x,'Diversion and Disposal'!$BH$7,"kg")))</f>
        <v/>
      </c>
      <c r="BO88" s="434" t="str">
        <f>_xlfn.LET(_xlpm.x,O88,IF(OR(LEN(_xlpm.x)&lt;1,_xlpm.x=0),"",CONVERT(_xlpm.x,'Diversion and Disposal'!$BH$7,"kg")))</f>
        <v/>
      </c>
      <c r="BP88" s="434" t="str">
        <f>_xlfn.LET(_xlpm.x,P88,IF(OR(LEN(_xlpm.x)&lt;1,_xlpm.x=0),"",CONVERT(_xlpm.x,'Diversion and Disposal'!$BH$7,"kg")))</f>
        <v/>
      </c>
      <c r="BQ88" s="434" t="str">
        <f>_xlfn.LET(_xlpm.x,Q88,IF(OR(LEN(_xlpm.x)&lt;1,_xlpm.x=0),"",CONVERT(_xlpm.x,'Diversion and Disposal'!$BH$7,"kg")))</f>
        <v/>
      </c>
      <c r="BR88" s="434" t="str">
        <f>_xlfn.LET(_xlpm.x,R88,IF(OR(LEN(_xlpm.x)&lt;1,_xlpm.x=0),"",CONVERT(_xlpm.x,'Diversion and Disposal'!$BH$7,"kg")))</f>
        <v/>
      </c>
      <c r="BS88" s="434" t="str">
        <f>_xlfn.LET(_xlpm.x,S88,IF(OR(LEN(_xlpm.x)&lt;1,_xlpm.x=0),"",CONVERT(_xlpm.x,'Diversion and Disposal'!$BH$7,"kg")))</f>
        <v/>
      </c>
      <c r="BT88" s="435">
        <f t="shared" si="64"/>
        <v>0</v>
      </c>
      <c r="BU88" s="433" t="str">
        <f>_xlfn.LET(_xlpm.x,BF88,IF(LEN(_xlpm.x)&lt;1,"",IF(ISNUMBER(MATCH(_xlpm.x,ls_Mat_def,0)),'Project Inputs'!$BF$14,99)))</f>
        <v/>
      </c>
      <c r="BV88" s="432" t="str" cm="1">
        <f t="array" ref="BV88">IFERROR(INDEX(tblGWP[],MATCH(1,(tblGWP[Dataset ID]=BU88)*(tblGWP[Material Subcategory]=BF88),0),MATCH(BG88,ls_WHM,0)+5),"confirm")</f>
        <v>confirm</v>
      </c>
      <c r="BW88" s="434" t="str">
        <f t="shared" si="52"/>
        <v>No data</v>
      </c>
      <c r="BX88" s="434" t="str">
        <f t="shared" si="53"/>
        <v>No data</v>
      </c>
      <c r="BY88" s="434" t="str">
        <f t="shared" si="78"/>
        <v>No data</v>
      </c>
      <c r="BZ88" s="434" t="str">
        <f t="shared" si="55"/>
        <v>No data</v>
      </c>
      <c r="CA88" s="434" t="str">
        <f t="shared" si="56"/>
        <v>No data</v>
      </c>
      <c r="CB88" s="434" t="str">
        <f t="shared" si="57"/>
        <v>No data</v>
      </c>
      <c r="CC88" s="434" t="str">
        <f t="shared" si="58"/>
        <v>No data</v>
      </c>
      <c r="CD88" s="434" t="str">
        <f t="shared" si="59"/>
        <v>No data</v>
      </c>
      <c r="CE88" s="434" t="str">
        <f t="shared" si="60"/>
        <v>No data</v>
      </c>
      <c r="CF88" s="434" t="str">
        <f t="shared" si="61"/>
        <v>No data</v>
      </c>
      <c r="CG88" s="434" t="str">
        <f t="shared" si="62"/>
        <v>No data</v>
      </c>
      <c r="CH88" s="434" t="str">
        <f t="shared" si="63"/>
        <v>No data</v>
      </c>
      <c r="CI88" s="435">
        <f t="shared" si="65"/>
        <v>0</v>
      </c>
      <c r="CK88" s="3" t="str">
        <f>_xlfn.LET(_xlpm.x,INDEX(tbl_Mat_def[],MATCH(BF88,ls_Mat_def,0),2),IFERROR(IF(_xlpm.x=0,"No","Yes"),"No"))</f>
        <v>No</v>
      </c>
      <c r="CM88" s="60" t="str">
        <f t="shared" si="66"/>
        <v/>
      </c>
      <c r="CN88" s="60" t="s">
        <v>235</v>
      </c>
      <c r="CO88" s="432" t="str" cm="1">
        <f t="array" ref="CO88">IFERROR(INDEX(tblGWP[],MATCH(1,(tblGWP[Dataset ID]=BU88)*(tblGWP[Material Subcategory]=CM88),0),MATCH(CN88,ls_WHM,0)+4),"confirm")</f>
        <v>confirm</v>
      </c>
      <c r="CP88" s="436" t="str">
        <f t="shared" si="67"/>
        <v/>
      </c>
      <c r="DD88" s="388">
        <f t="shared" si="79"/>
        <v>0</v>
      </c>
      <c r="DE88" s="22">
        <f t="shared" si="68"/>
        <v>19</v>
      </c>
      <c r="DF88" s="387">
        <f t="shared" si="80"/>
        <v>0</v>
      </c>
      <c r="DG88" s="387">
        <f t="shared" si="69"/>
        <v>0</v>
      </c>
      <c r="DH88" s="22">
        <f t="shared" ca="1" si="70"/>
        <v>0</v>
      </c>
      <c r="DI88">
        <f t="shared" ca="1" si="71"/>
        <v>0</v>
      </c>
    </row>
    <row r="89" spans="1:113" ht="30" hidden="1" customHeight="1" outlineLevel="1">
      <c r="A89" s="22" t="str">
        <f t="shared" si="72"/>
        <v/>
      </c>
      <c r="B89" s="199"/>
      <c r="C89" s="459"/>
      <c r="D89" s="199"/>
      <c r="E89" s="405"/>
      <c r="F89" s="405"/>
      <c r="G89" s="406"/>
      <c r="H89" s="377"/>
      <c r="I89" s="377"/>
      <c r="J89" s="377"/>
      <c r="K89" s="377"/>
      <c r="L89" s="377"/>
      <c r="M89" s="377"/>
      <c r="N89" s="377"/>
      <c r="O89" s="377"/>
      <c r="P89" s="377"/>
      <c r="Q89" s="377"/>
      <c r="R89" s="377"/>
      <c r="S89" s="377"/>
      <c r="T89" s="458">
        <f t="shared" si="51"/>
        <v>0</v>
      </c>
      <c r="U89" s="200"/>
      <c r="W89" s="442"/>
      <c r="X89" s="443"/>
      <c r="BC89" s="3">
        <f t="shared" si="73"/>
        <v>0</v>
      </c>
      <c r="BD89" s="3">
        <f t="shared" si="74"/>
        <v>0</v>
      </c>
      <c r="BE89" s="432" t="str">
        <f t="shared" si="75"/>
        <v/>
      </c>
      <c r="BF89" s="432" t="str">
        <f t="shared" si="76"/>
        <v/>
      </c>
      <c r="BG89" s="432" t="str">
        <f t="shared" si="77"/>
        <v/>
      </c>
      <c r="BH89" s="434" t="str">
        <f>_xlfn.LET(_xlpm.x,H89,IF(OR(LEN(_xlpm.x)&lt;1,_xlpm.x=0),"",CONVERT(_xlpm.x,'Diversion and Disposal'!$BH$7,"kg")))</f>
        <v/>
      </c>
      <c r="BI89" s="434" t="str">
        <f>_xlfn.LET(_xlpm.x,I89,IF(OR(LEN(_xlpm.x)&lt;1,_xlpm.x=0),"",CONVERT(_xlpm.x,'Diversion and Disposal'!$BH$7,"kg")))</f>
        <v/>
      </c>
      <c r="BJ89" s="434" t="str">
        <f>_xlfn.LET(_xlpm.x,J89,IF(OR(LEN(_xlpm.x)&lt;1,_xlpm.x=0),"",CONVERT(_xlpm.x,'Diversion and Disposal'!$BH$7,"kg")))</f>
        <v/>
      </c>
      <c r="BK89" s="434" t="str">
        <f>_xlfn.LET(_xlpm.x,K89,IF(OR(LEN(_xlpm.x)&lt;1,_xlpm.x=0),"",CONVERT(_xlpm.x,'Diversion and Disposal'!$BH$7,"kg")))</f>
        <v/>
      </c>
      <c r="BL89" s="434" t="str">
        <f>_xlfn.LET(_xlpm.x,L89,IF(OR(LEN(_xlpm.x)&lt;1,_xlpm.x=0),"",CONVERT(_xlpm.x,'Diversion and Disposal'!$BH$7,"kg")))</f>
        <v/>
      </c>
      <c r="BM89" s="434" t="str">
        <f>_xlfn.LET(_xlpm.x,M89,IF(OR(LEN(_xlpm.x)&lt;1,_xlpm.x=0),"",CONVERT(_xlpm.x,'Diversion and Disposal'!$BH$7,"kg")))</f>
        <v/>
      </c>
      <c r="BN89" s="434" t="str">
        <f>_xlfn.LET(_xlpm.x,N89,IF(OR(LEN(_xlpm.x)&lt;1,_xlpm.x=0),"",CONVERT(_xlpm.x,'Diversion and Disposal'!$BH$7,"kg")))</f>
        <v/>
      </c>
      <c r="BO89" s="434" t="str">
        <f>_xlfn.LET(_xlpm.x,O89,IF(OR(LEN(_xlpm.x)&lt;1,_xlpm.x=0),"",CONVERT(_xlpm.x,'Diversion and Disposal'!$BH$7,"kg")))</f>
        <v/>
      </c>
      <c r="BP89" s="434" t="str">
        <f>_xlfn.LET(_xlpm.x,P89,IF(OR(LEN(_xlpm.x)&lt;1,_xlpm.x=0),"",CONVERT(_xlpm.x,'Diversion and Disposal'!$BH$7,"kg")))</f>
        <v/>
      </c>
      <c r="BQ89" s="434" t="str">
        <f>_xlfn.LET(_xlpm.x,Q89,IF(OR(LEN(_xlpm.x)&lt;1,_xlpm.x=0),"",CONVERT(_xlpm.x,'Diversion and Disposal'!$BH$7,"kg")))</f>
        <v/>
      </c>
      <c r="BR89" s="434" t="str">
        <f>_xlfn.LET(_xlpm.x,R89,IF(OR(LEN(_xlpm.x)&lt;1,_xlpm.x=0),"",CONVERT(_xlpm.x,'Diversion and Disposal'!$BH$7,"kg")))</f>
        <v/>
      </c>
      <c r="BS89" s="434" t="str">
        <f>_xlfn.LET(_xlpm.x,S89,IF(OR(LEN(_xlpm.x)&lt;1,_xlpm.x=0),"",CONVERT(_xlpm.x,'Diversion and Disposal'!$BH$7,"kg")))</f>
        <v/>
      </c>
      <c r="BT89" s="435">
        <f t="shared" si="64"/>
        <v>0</v>
      </c>
      <c r="BU89" s="433" t="str">
        <f>_xlfn.LET(_xlpm.x,BF89,IF(LEN(_xlpm.x)&lt;1,"",IF(ISNUMBER(MATCH(_xlpm.x,ls_Mat_def,0)),'Project Inputs'!$BF$14,99)))</f>
        <v/>
      </c>
      <c r="BV89" s="432" t="str" cm="1">
        <f t="array" ref="BV89">IFERROR(INDEX(tblGWP[],MATCH(1,(tblGWP[Dataset ID]=BU89)*(tblGWP[Material Subcategory]=BF89),0),MATCH(BG89,ls_WHM,0)+5),"confirm")</f>
        <v>confirm</v>
      </c>
      <c r="BW89" s="434" t="str">
        <f t="shared" si="52"/>
        <v>No data</v>
      </c>
      <c r="BX89" s="434" t="str">
        <f t="shared" si="53"/>
        <v>No data</v>
      </c>
      <c r="BY89" s="434" t="str">
        <f t="shared" si="78"/>
        <v>No data</v>
      </c>
      <c r="BZ89" s="434" t="str">
        <f t="shared" si="55"/>
        <v>No data</v>
      </c>
      <c r="CA89" s="434" t="str">
        <f t="shared" si="56"/>
        <v>No data</v>
      </c>
      <c r="CB89" s="434" t="str">
        <f t="shared" si="57"/>
        <v>No data</v>
      </c>
      <c r="CC89" s="434" t="str">
        <f t="shared" si="58"/>
        <v>No data</v>
      </c>
      <c r="CD89" s="434" t="str">
        <f t="shared" si="59"/>
        <v>No data</v>
      </c>
      <c r="CE89" s="434" t="str">
        <f t="shared" si="60"/>
        <v>No data</v>
      </c>
      <c r="CF89" s="434" t="str">
        <f t="shared" si="61"/>
        <v>No data</v>
      </c>
      <c r="CG89" s="434" t="str">
        <f t="shared" si="62"/>
        <v>No data</v>
      </c>
      <c r="CH89" s="434" t="str">
        <f t="shared" si="63"/>
        <v>No data</v>
      </c>
      <c r="CI89" s="435">
        <f t="shared" si="65"/>
        <v>0</v>
      </c>
      <c r="CK89" s="3" t="str">
        <f>_xlfn.LET(_xlpm.x,INDEX(tbl_Mat_def[],MATCH(BF89,ls_Mat_def,0),2),IFERROR(IF(_xlpm.x=0,"No","Yes"),"No"))</f>
        <v>No</v>
      </c>
      <c r="CM89" s="60" t="str">
        <f t="shared" si="66"/>
        <v/>
      </c>
      <c r="CN89" s="60" t="s">
        <v>235</v>
      </c>
      <c r="CO89" s="432" t="str" cm="1">
        <f t="array" ref="CO89">IFERROR(INDEX(tblGWP[],MATCH(1,(tblGWP[Dataset ID]=BU89)*(tblGWP[Material Subcategory]=CM89),0),MATCH(CN89,ls_WHM,0)+4),"confirm")</f>
        <v>confirm</v>
      </c>
      <c r="CP89" s="436" t="str">
        <f t="shared" si="67"/>
        <v/>
      </c>
      <c r="DD89" s="388">
        <f t="shared" si="79"/>
        <v>0</v>
      </c>
      <c r="DE89" s="22">
        <f t="shared" si="68"/>
        <v>19</v>
      </c>
      <c r="DF89" s="387">
        <f t="shared" si="80"/>
        <v>0</v>
      </c>
      <c r="DG89" s="387">
        <f t="shared" si="69"/>
        <v>0</v>
      </c>
      <c r="DH89" s="22">
        <f t="shared" ca="1" si="70"/>
        <v>0</v>
      </c>
      <c r="DI89">
        <f t="shared" ca="1" si="71"/>
        <v>0</v>
      </c>
    </row>
    <row r="90" spans="1:113" ht="30" hidden="1" customHeight="1" outlineLevel="1">
      <c r="A90" s="22" t="str">
        <f t="shared" si="72"/>
        <v/>
      </c>
      <c r="B90" s="199"/>
      <c r="C90" s="459"/>
      <c r="D90" s="199"/>
      <c r="E90" s="405"/>
      <c r="F90" s="405"/>
      <c r="G90" s="406"/>
      <c r="H90" s="377"/>
      <c r="I90" s="377"/>
      <c r="J90" s="377"/>
      <c r="K90" s="377"/>
      <c r="L90" s="377"/>
      <c r="M90" s="377"/>
      <c r="N90" s="377"/>
      <c r="O90" s="377"/>
      <c r="P90" s="377"/>
      <c r="Q90" s="377"/>
      <c r="R90" s="377"/>
      <c r="S90" s="377"/>
      <c r="T90" s="458">
        <f t="shared" si="51"/>
        <v>0</v>
      </c>
      <c r="U90" s="200"/>
      <c r="W90" s="442"/>
      <c r="X90" s="443"/>
      <c r="BC90" s="3">
        <f t="shared" si="73"/>
        <v>0</v>
      </c>
      <c r="BD90" s="3">
        <f t="shared" si="74"/>
        <v>0</v>
      </c>
      <c r="BE90" s="432" t="str">
        <f t="shared" si="75"/>
        <v/>
      </c>
      <c r="BF90" s="432" t="str">
        <f t="shared" si="76"/>
        <v/>
      </c>
      <c r="BG90" s="432" t="str">
        <f t="shared" si="77"/>
        <v/>
      </c>
      <c r="BH90" s="434" t="str">
        <f>_xlfn.LET(_xlpm.x,H90,IF(OR(LEN(_xlpm.x)&lt;1,_xlpm.x=0),"",CONVERT(_xlpm.x,'Diversion and Disposal'!$BH$7,"kg")))</f>
        <v/>
      </c>
      <c r="BI90" s="434" t="str">
        <f>_xlfn.LET(_xlpm.x,I90,IF(OR(LEN(_xlpm.x)&lt;1,_xlpm.x=0),"",CONVERT(_xlpm.x,'Diversion and Disposal'!$BH$7,"kg")))</f>
        <v/>
      </c>
      <c r="BJ90" s="434" t="str">
        <f>_xlfn.LET(_xlpm.x,J90,IF(OR(LEN(_xlpm.x)&lt;1,_xlpm.x=0),"",CONVERT(_xlpm.x,'Diversion and Disposal'!$BH$7,"kg")))</f>
        <v/>
      </c>
      <c r="BK90" s="434" t="str">
        <f>_xlfn.LET(_xlpm.x,K90,IF(OR(LEN(_xlpm.x)&lt;1,_xlpm.x=0),"",CONVERT(_xlpm.x,'Diversion and Disposal'!$BH$7,"kg")))</f>
        <v/>
      </c>
      <c r="BL90" s="434" t="str">
        <f>_xlfn.LET(_xlpm.x,L90,IF(OR(LEN(_xlpm.x)&lt;1,_xlpm.x=0),"",CONVERT(_xlpm.x,'Diversion and Disposal'!$BH$7,"kg")))</f>
        <v/>
      </c>
      <c r="BM90" s="434" t="str">
        <f>_xlfn.LET(_xlpm.x,M90,IF(OR(LEN(_xlpm.x)&lt;1,_xlpm.x=0),"",CONVERT(_xlpm.x,'Diversion and Disposal'!$BH$7,"kg")))</f>
        <v/>
      </c>
      <c r="BN90" s="434" t="str">
        <f>_xlfn.LET(_xlpm.x,N90,IF(OR(LEN(_xlpm.x)&lt;1,_xlpm.x=0),"",CONVERT(_xlpm.x,'Diversion and Disposal'!$BH$7,"kg")))</f>
        <v/>
      </c>
      <c r="BO90" s="434" t="str">
        <f>_xlfn.LET(_xlpm.x,O90,IF(OR(LEN(_xlpm.x)&lt;1,_xlpm.x=0),"",CONVERT(_xlpm.x,'Diversion and Disposal'!$BH$7,"kg")))</f>
        <v/>
      </c>
      <c r="BP90" s="434" t="str">
        <f>_xlfn.LET(_xlpm.x,P90,IF(OR(LEN(_xlpm.x)&lt;1,_xlpm.x=0),"",CONVERT(_xlpm.x,'Diversion and Disposal'!$BH$7,"kg")))</f>
        <v/>
      </c>
      <c r="BQ90" s="434" t="str">
        <f>_xlfn.LET(_xlpm.x,Q90,IF(OR(LEN(_xlpm.x)&lt;1,_xlpm.x=0),"",CONVERT(_xlpm.x,'Diversion and Disposal'!$BH$7,"kg")))</f>
        <v/>
      </c>
      <c r="BR90" s="434" t="str">
        <f>_xlfn.LET(_xlpm.x,R90,IF(OR(LEN(_xlpm.x)&lt;1,_xlpm.x=0),"",CONVERT(_xlpm.x,'Diversion and Disposal'!$BH$7,"kg")))</f>
        <v/>
      </c>
      <c r="BS90" s="434" t="str">
        <f>_xlfn.LET(_xlpm.x,S90,IF(OR(LEN(_xlpm.x)&lt;1,_xlpm.x=0),"",CONVERT(_xlpm.x,'Diversion and Disposal'!$BH$7,"kg")))</f>
        <v/>
      </c>
      <c r="BT90" s="435">
        <f t="shared" si="64"/>
        <v>0</v>
      </c>
      <c r="BU90" s="433" t="str">
        <f>_xlfn.LET(_xlpm.x,BF90,IF(LEN(_xlpm.x)&lt;1,"",IF(ISNUMBER(MATCH(_xlpm.x,ls_Mat_def,0)),'Project Inputs'!$BF$14,99)))</f>
        <v/>
      </c>
      <c r="BV90" s="432" t="str" cm="1">
        <f t="array" ref="BV90">IFERROR(INDEX(tblGWP[],MATCH(1,(tblGWP[Dataset ID]=BU90)*(tblGWP[Material Subcategory]=BF90),0),MATCH(BG90,ls_WHM,0)+5),"confirm")</f>
        <v>confirm</v>
      </c>
      <c r="BW90" s="434" t="str">
        <f t="shared" si="52"/>
        <v>No data</v>
      </c>
      <c r="BX90" s="434" t="str">
        <f t="shared" si="53"/>
        <v>No data</v>
      </c>
      <c r="BY90" s="434" t="str">
        <f t="shared" si="78"/>
        <v>No data</v>
      </c>
      <c r="BZ90" s="434" t="str">
        <f t="shared" si="55"/>
        <v>No data</v>
      </c>
      <c r="CA90" s="434" t="str">
        <f t="shared" si="56"/>
        <v>No data</v>
      </c>
      <c r="CB90" s="434" t="str">
        <f t="shared" si="57"/>
        <v>No data</v>
      </c>
      <c r="CC90" s="434" t="str">
        <f t="shared" si="58"/>
        <v>No data</v>
      </c>
      <c r="CD90" s="434" t="str">
        <f t="shared" si="59"/>
        <v>No data</v>
      </c>
      <c r="CE90" s="434" t="str">
        <f t="shared" si="60"/>
        <v>No data</v>
      </c>
      <c r="CF90" s="434" t="str">
        <f t="shared" si="61"/>
        <v>No data</v>
      </c>
      <c r="CG90" s="434" t="str">
        <f t="shared" si="62"/>
        <v>No data</v>
      </c>
      <c r="CH90" s="434" t="str">
        <f t="shared" si="63"/>
        <v>No data</v>
      </c>
      <c r="CI90" s="435">
        <f t="shared" si="65"/>
        <v>0</v>
      </c>
      <c r="CK90" s="3" t="str">
        <f>_xlfn.LET(_xlpm.x,INDEX(tbl_Mat_def[],MATCH(BF90,ls_Mat_def,0),2),IFERROR(IF(_xlpm.x=0,"No","Yes"),"No"))</f>
        <v>No</v>
      </c>
      <c r="CM90" s="60" t="str">
        <f t="shared" si="66"/>
        <v/>
      </c>
      <c r="CN90" s="60" t="s">
        <v>235</v>
      </c>
      <c r="CO90" s="432" t="str" cm="1">
        <f t="array" ref="CO90">IFERROR(INDEX(tblGWP[],MATCH(1,(tblGWP[Dataset ID]=BU90)*(tblGWP[Material Subcategory]=CM90),0),MATCH(CN90,ls_WHM,0)+4),"confirm")</f>
        <v>confirm</v>
      </c>
      <c r="CP90" s="436" t="str">
        <f t="shared" si="67"/>
        <v/>
      </c>
      <c r="DD90" s="388">
        <f t="shared" si="79"/>
        <v>0</v>
      </c>
      <c r="DE90" s="22">
        <f t="shared" si="68"/>
        <v>19</v>
      </c>
      <c r="DF90" s="387">
        <f t="shared" si="80"/>
        <v>0</v>
      </c>
      <c r="DG90" s="387">
        <f t="shared" si="69"/>
        <v>0</v>
      </c>
      <c r="DH90" s="22">
        <f t="shared" ca="1" si="70"/>
        <v>0</v>
      </c>
      <c r="DI90">
        <f t="shared" ca="1" si="71"/>
        <v>0</v>
      </c>
    </row>
    <row r="91" spans="1:113" ht="30" hidden="1" customHeight="1" outlineLevel="1">
      <c r="A91" s="22" t="str">
        <f t="shared" si="72"/>
        <v/>
      </c>
      <c r="B91" s="199"/>
      <c r="C91" s="459"/>
      <c r="D91" s="199"/>
      <c r="E91" s="405"/>
      <c r="F91" s="405"/>
      <c r="G91" s="406"/>
      <c r="H91" s="377"/>
      <c r="I91" s="377"/>
      <c r="J91" s="377"/>
      <c r="K91" s="377"/>
      <c r="L91" s="377"/>
      <c r="M91" s="377"/>
      <c r="N91" s="377"/>
      <c r="O91" s="377"/>
      <c r="P91" s="377"/>
      <c r="Q91" s="377"/>
      <c r="R91" s="377"/>
      <c r="S91" s="377"/>
      <c r="T91" s="458">
        <f t="shared" si="51"/>
        <v>0</v>
      </c>
      <c r="U91" s="200"/>
      <c r="W91" s="442"/>
      <c r="X91" s="443"/>
      <c r="BC91" s="3">
        <f t="shared" si="73"/>
        <v>0</v>
      </c>
      <c r="BD91" s="3">
        <f t="shared" si="74"/>
        <v>0</v>
      </c>
      <c r="BE91" s="432" t="str">
        <f t="shared" si="75"/>
        <v/>
      </c>
      <c r="BF91" s="432" t="str">
        <f t="shared" si="76"/>
        <v/>
      </c>
      <c r="BG91" s="432" t="str">
        <f t="shared" si="77"/>
        <v/>
      </c>
      <c r="BH91" s="434" t="str">
        <f>_xlfn.LET(_xlpm.x,H91,IF(OR(LEN(_xlpm.x)&lt;1,_xlpm.x=0),"",CONVERT(_xlpm.x,'Diversion and Disposal'!$BH$7,"kg")))</f>
        <v/>
      </c>
      <c r="BI91" s="434" t="str">
        <f>_xlfn.LET(_xlpm.x,I91,IF(OR(LEN(_xlpm.x)&lt;1,_xlpm.x=0),"",CONVERT(_xlpm.x,'Diversion and Disposal'!$BH$7,"kg")))</f>
        <v/>
      </c>
      <c r="BJ91" s="434" t="str">
        <f>_xlfn.LET(_xlpm.x,J91,IF(OR(LEN(_xlpm.x)&lt;1,_xlpm.x=0),"",CONVERT(_xlpm.x,'Diversion and Disposal'!$BH$7,"kg")))</f>
        <v/>
      </c>
      <c r="BK91" s="434" t="str">
        <f>_xlfn.LET(_xlpm.x,K91,IF(OR(LEN(_xlpm.x)&lt;1,_xlpm.x=0),"",CONVERT(_xlpm.x,'Diversion and Disposal'!$BH$7,"kg")))</f>
        <v/>
      </c>
      <c r="BL91" s="434" t="str">
        <f>_xlfn.LET(_xlpm.x,L91,IF(OR(LEN(_xlpm.x)&lt;1,_xlpm.x=0),"",CONVERT(_xlpm.x,'Diversion and Disposal'!$BH$7,"kg")))</f>
        <v/>
      </c>
      <c r="BM91" s="434" t="str">
        <f>_xlfn.LET(_xlpm.x,M91,IF(OR(LEN(_xlpm.x)&lt;1,_xlpm.x=0),"",CONVERT(_xlpm.x,'Diversion and Disposal'!$BH$7,"kg")))</f>
        <v/>
      </c>
      <c r="BN91" s="434" t="str">
        <f>_xlfn.LET(_xlpm.x,N91,IF(OR(LEN(_xlpm.x)&lt;1,_xlpm.x=0),"",CONVERT(_xlpm.x,'Diversion and Disposal'!$BH$7,"kg")))</f>
        <v/>
      </c>
      <c r="BO91" s="434" t="str">
        <f>_xlfn.LET(_xlpm.x,O91,IF(OR(LEN(_xlpm.x)&lt;1,_xlpm.x=0),"",CONVERT(_xlpm.x,'Diversion and Disposal'!$BH$7,"kg")))</f>
        <v/>
      </c>
      <c r="BP91" s="434" t="str">
        <f>_xlfn.LET(_xlpm.x,P91,IF(OR(LEN(_xlpm.x)&lt;1,_xlpm.x=0),"",CONVERT(_xlpm.x,'Diversion and Disposal'!$BH$7,"kg")))</f>
        <v/>
      </c>
      <c r="BQ91" s="434" t="str">
        <f>_xlfn.LET(_xlpm.x,Q91,IF(OR(LEN(_xlpm.x)&lt;1,_xlpm.x=0),"",CONVERT(_xlpm.x,'Diversion and Disposal'!$BH$7,"kg")))</f>
        <v/>
      </c>
      <c r="BR91" s="434" t="str">
        <f>_xlfn.LET(_xlpm.x,R91,IF(OR(LEN(_xlpm.x)&lt;1,_xlpm.x=0),"",CONVERT(_xlpm.x,'Diversion and Disposal'!$BH$7,"kg")))</f>
        <v/>
      </c>
      <c r="BS91" s="434" t="str">
        <f>_xlfn.LET(_xlpm.x,S91,IF(OR(LEN(_xlpm.x)&lt;1,_xlpm.x=0),"",CONVERT(_xlpm.x,'Diversion and Disposal'!$BH$7,"kg")))</f>
        <v/>
      </c>
      <c r="BT91" s="435">
        <f t="shared" si="64"/>
        <v>0</v>
      </c>
      <c r="BU91" s="433" t="str">
        <f>_xlfn.LET(_xlpm.x,BF91,IF(LEN(_xlpm.x)&lt;1,"",IF(ISNUMBER(MATCH(_xlpm.x,ls_Mat_def,0)),'Project Inputs'!$BF$14,99)))</f>
        <v/>
      </c>
      <c r="BV91" s="432" t="str" cm="1">
        <f t="array" ref="BV91">IFERROR(INDEX(tblGWP[],MATCH(1,(tblGWP[Dataset ID]=BU91)*(tblGWP[Material Subcategory]=BF91),0),MATCH(BG91,ls_WHM,0)+5),"confirm")</f>
        <v>confirm</v>
      </c>
      <c r="BW91" s="434" t="str">
        <f t="shared" si="52"/>
        <v>No data</v>
      </c>
      <c r="BX91" s="434" t="str">
        <f t="shared" si="53"/>
        <v>No data</v>
      </c>
      <c r="BY91" s="434" t="str">
        <f t="shared" si="78"/>
        <v>No data</v>
      </c>
      <c r="BZ91" s="434" t="str">
        <f t="shared" si="55"/>
        <v>No data</v>
      </c>
      <c r="CA91" s="434" t="str">
        <f t="shared" si="56"/>
        <v>No data</v>
      </c>
      <c r="CB91" s="434" t="str">
        <f t="shared" si="57"/>
        <v>No data</v>
      </c>
      <c r="CC91" s="434" t="str">
        <f t="shared" si="58"/>
        <v>No data</v>
      </c>
      <c r="CD91" s="434" t="str">
        <f t="shared" si="59"/>
        <v>No data</v>
      </c>
      <c r="CE91" s="434" t="str">
        <f t="shared" si="60"/>
        <v>No data</v>
      </c>
      <c r="CF91" s="434" t="str">
        <f t="shared" si="61"/>
        <v>No data</v>
      </c>
      <c r="CG91" s="434" t="str">
        <f t="shared" si="62"/>
        <v>No data</v>
      </c>
      <c r="CH91" s="434" t="str">
        <f t="shared" si="63"/>
        <v>No data</v>
      </c>
      <c r="CI91" s="435">
        <f t="shared" si="65"/>
        <v>0</v>
      </c>
      <c r="CK91" s="3" t="str">
        <f>_xlfn.LET(_xlpm.x,INDEX(tbl_Mat_def[],MATCH(BF91,ls_Mat_def,0),2),IFERROR(IF(_xlpm.x=0,"No","Yes"),"No"))</f>
        <v>No</v>
      </c>
      <c r="CM91" s="60" t="str">
        <f t="shared" si="66"/>
        <v/>
      </c>
      <c r="CN91" s="60" t="s">
        <v>235</v>
      </c>
      <c r="CO91" s="432" t="str" cm="1">
        <f t="array" ref="CO91">IFERROR(INDEX(tblGWP[],MATCH(1,(tblGWP[Dataset ID]=BU91)*(tblGWP[Material Subcategory]=CM91),0),MATCH(CN91,ls_WHM,0)+4),"confirm")</f>
        <v>confirm</v>
      </c>
      <c r="CP91" s="436" t="str">
        <f t="shared" si="67"/>
        <v/>
      </c>
      <c r="DD91" s="388">
        <f t="shared" si="79"/>
        <v>0</v>
      </c>
      <c r="DE91" s="22">
        <f t="shared" si="68"/>
        <v>19</v>
      </c>
      <c r="DF91" s="387">
        <f t="shared" si="80"/>
        <v>0</v>
      </c>
      <c r="DG91" s="387">
        <f t="shared" si="69"/>
        <v>0</v>
      </c>
      <c r="DH91" s="22">
        <f t="shared" ca="1" si="70"/>
        <v>0</v>
      </c>
      <c r="DI91">
        <f t="shared" ca="1" si="71"/>
        <v>0</v>
      </c>
    </row>
    <row r="92" spans="1:113" ht="30" hidden="1" customHeight="1" outlineLevel="1">
      <c r="A92" s="22" t="str">
        <f t="shared" si="72"/>
        <v/>
      </c>
      <c r="B92" s="199"/>
      <c r="C92" s="459"/>
      <c r="D92" s="199"/>
      <c r="E92" s="405"/>
      <c r="F92" s="405"/>
      <c r="G92" s="406"/>
      <c r="H92" s="377"/>
      <c r="I92" s="377"/>
      <c r="J92" s="377"/>
      <c r="K92" s="377"/>
      <c r="L92" s="377"/>
      <c r="M92" s="377"/>
      <c r="N92" s="377"/>
      <c r="O92" s="377"/>
      <c r="P92" s="377"/>
      <c r="Q92" s="377"/>
      <c r="R92" s="377"/>
      <c r="S92" s="377"/>
      <c r="T92" s="458">
        <f t="shared" ref="T92:T121" si="81">SUM(H92:S92)</f>
        <v>0</v>
      </c>
      <c r="U92" s="200"/>
      <c r="W92" s="442"/>
      <c r="X92" s="443"/>
      <c r="BC92" s="3">
        <f t="shared" si="73"/>
        <v>0</v>
      </c>
      <c r="BD92" s="3">
        <f t="shared" si="74"/>
        <v>0</v>
      </c>
      <c r="BE92" s="432" t="str">
        <f t="shared" si="75"/>
        <v/>
      </c>
      <c r="BF92" s="432" t="str">
        <f t="shared" si="76"/>
        <v/>
      </c>
      <c r="BG92" s="432" t="str">
        <f t="shared" si="77"/>
        <v/>
      </c>
      <c r="BH92" s="434" t="str">
        <f>_xlfn.LET(_xlpm.x,H92,IF(OR(LEN(_xlpm.x)&lt;1,_xlpm.x=0),"",CONVERT(_xlpm.x,'Diversion and Disposal'!$BH$7,"kg")))</f>
        <v/>
      </c>
      <c r="BI92" s="434" t="str">
        <f>_xlfn.LET(_xlpm.x,I92,IF(OR(LEN(_xlpm.x)&lt;1,_xlpm.x=0),"",CONVERT(_xlpm.x,'Diversion and Disposal'!$BH$7,"kg")))</f>
        <v/>
      </c>
      <c r="BJ92" s="434" t="str">
        <f>_xlfn.LET(_xlpm.x,J92,IF(OR(LEN(_xlpm.x)&lt;1,_xlpm.x=0),"",CONVERT(_xlpm.x,'Diversion and Disposal'!$BH$7,"kg")))</f>
        <v/>
      </c>
      <c r="BK92" s="434" t="str">
        <f>_xlfn.LET(_xlpm.x,K92,IF(OR(LEN(_xlpm.x)&lt;1,_xlpm.x=0),"",CONVERT(_xlpm.x,'Diversion and Disposal'!$BH$7,"kg")))</f>
        <v/>
      </c>
      <c r="BL92" s="434" t="str">
        <f>_xlfn.LET(_xlpm.x,L92,IF(OR(LEN(_xlpm.x)&lt;1,_xlpm.x=0),"",CONVERT(_xlpm.x,'Diversion and Disposal'!$BH$7,"kg")))</f>
        <v/>
      </c>
      <c r="BM92" s="434" t="str">
        <f>_xlfn.LET(_xlpm.x,M92,IF(OR(LEN(_xlpm.x)&lt;1,_xlpm.x=0),"",CONVERT(_xlpm.x,'Diversion and Disposal'!$BH$7,"kg")))</f>
        <v/>
      </c>
      <c r="BN92" s="434" t="str">
        <f>_xlfn.LET(_xlpm.x,N92,IF(OR(LEN(_xlpm.x)&lt;1,_xlpm.x=0),"",CONVERT(_xlpm.x,'Diversion and Disposal'!$BH$7,"kg")))</f>
        <v/>
      </c>
      <c r="BO92" s="434" t="str">
        <f>_xlfn.LET(_xlpm.x,O92,IF(OR(LEN(_xlpm.x)&lt;1,_xlpm.x=0),"",CONVERT(_xlpm.x,'Diversion and Disposal'!$BH$7,"kg")))</f>
        <v/>
      </c>
      <c r="BP92" s="434" t="str">
        <f>_xlfn.LET(_xlpm.x,P92,IF(OR(LEN(_xlpm.x)&lt;1,_xlpm.x=0),"",CONVERT(_xlpm.x,'Diversion and Disposal'!$BH$7,"kg")))</f>
        <v/>
      </c>
      <c r="BQ92" s="434" t="str">
        <f>_xlfn.LET(_xlpm.x,Q92,IF(OR(LEN(_xlpm.x)&lt;1,_xlpm.x=0),"",CONVERT(_xlpm.x,'Diversion and Disposal'!$BH$7,"kg")))</f>
        <v/>
      </c>
      <c r="BR92" s="434" t="str">
        <f>_xlfn.LET(_xlpm.x,R92,IF(OR(LEN(_xlpm.x)&lt;1,_xlpm.x=0),"",CONVERT(_xlpm.x,'Diversion and Disposal'!$BH$7,"kg")))</f>
        <v/>
      </c>
      <c r="BS92" s="434" t="str">
        <f>_xlfn.LET(_xlpm.x,S92,IF(OR(LEN(_xlpm.x)&lt;1,_xlpm.x=0),"",CONVERT(_xlpm.x,'Diversion and Disposal'!$BH$7,"kg")))</f>
        <v/>
      </c>
      <c r="BT92" s="435">
        <f t="shared" si="64"/>
        <v>0</v>
      </c>
      <c r="BU92" s="433" t="str">
        <f>_xlfn.LET(_xlpm.x,BF92,IF(LEN(_xlpm.x)&lt;1,"",IF(ISNUMBER(MATCH(_xlpm.x,ls_Mat_def,0)),'Project Inputs'!$BF$14,99)))</f>
        <v/>
      </c>
      <c r="BV92" s="432" t="str" cm="1">
        <f t="array" ref="BV92">IFERROR(INDEX(tblGWP[],MATCH(1,(tblGWP[Dataset ID]=BU92)*(tblGWP[Material Subcategory]=BF92),0),MATCH(BG92,ls_WHM,0)+5),"confirm")</f>
        <v>confirm</v>
      </c>
      <c r="BW92" s="434" t="str">
        <f t="shared" si="52"/>
        <v>No data</v>
      </c>
      <c r="BX92" s="434" t="str">
        <f t="shared" si="53"/>
        <v>No data</v>
      </c>
      <c r="BY92" s="434" t="str">
        <f t="shared" si="78"/>
        <v>No data</v>
      </c>
      <c r="BZ92" s="434" t="str">
        <f t="shared" si="55"/>
        <v>No data</v>
      </c>
      <c r="CA92" s="434" t="str">
        <f t="shared" si="56"/>
        <v>No data</v>
      </c>
      <c r="CB92" s="434" t="str">
        <f t="shared" si="57"/>
        <v>No data</v>
      </c>
      <c r="CC92" s="434" t="str">
        <f t="shared" si="58"/>
        <v>No data</v>
      </c>
      <c r="CD92" s="434" t="str">
        <f t="shared" si="59"/>
        <v>No data</v>
      </c>
      <c r="CE92" s="434" t="str">
        <f t="shared" si="60"/>
        <v>No data</v>
      </c>
      <c r="CF92" s="434" t="str">
        <f t="shared" si="61"/>
        <v>No data</v>
      </c>
      <c r="CG92" s="434" t="str">
        <f t="shared" si="62"/>
        <v>No data</v>
      </c>
      <c r="CH92" s="434" t="str">
        <f t="shared" si="63"/>
        <v>No data</v>
      </c>
      <c r="CI92" s="435">
        <f t="shared" si="65"/>
        <v>0</v>
      </c>
      <c r="CK92" s="3" t="str">
        <f>_xlfn.LET(_xlpm.x,INDEX(tbl_Mat_def[],MATCH(BF92,ls_Mat_def,0),2),IFERROR(IF(_xlpm.x=0,"No","Yes"),"No"))</f>
        <v>No</v>
      </c>
      <c r="CM92" s="60" t="str">
        <f t="shared" si="66"/>
        <v/>
      </c>
      <c r="CN92" s="60" t="s">
        <v>235</v>
      </c>
      <c r="CO92" s="432" t="str" cm="1">
        <f t="array" ref="CO92">IFERROR(INDEX(tblGWP[],MATCH(1,(tblGWP[Dataset ID]=BU92)*(tblGWP[Material Subcategory]=CM92),0),MATCH(CN92,ls_WHM,0)+4),"confirm")</f>
        <v>confirm</v>
      </c>
      <c r="CP92" s="436" t="str">
        <f t="shared" si="67"/>
        <v/>
      </c>
      <c r="DD92" s="388">
        <f t="shared" si="79"/>
        <v>0</v>
      </c>
      <c r="DE92" s="22">
        <f t="shared" si="68"/>
        <v>19</v>
      </c>
      <c r="DF92" s="387">
        <f t="shared" si="80"/>
        <v>0</v>
      </c>
      <c r="DG92" s="387">
        <f t="shared" si="69"/>
        <v>0</v>
      </c>
      <c r="DH92" s="22">
        <f t="shared" ca="1" si="70"/>
        <v>0</v>
      </c>
      <c r="DI92">
        <f t="shared" ca="1" si="71"/>
        <v>0</v>
      </c>
    </row>
    <row r="93" spans="1:113" ht="30" hidden="1" customHeight="1" outlineLevel="1">
      <c r="A93" s="22" t="str">
        <f t="shared" si="72"/>
        <v/>
      </c>
      <c r="B93" s="199"/>
      <c r="C93" s="459"/>
      <c r="D93" s="199"/>
      <c r="E93" s="405"/>
      <c r="F93" s="405"/>
      <c r="G93" s="406"/>
      <c r="H93" s="377"/>
      <c r="I93" s="377"/>
      <c r="J93" s="377"/>
      <c r="K93" s="377"/>
      <c r="L93" s="377"/>
      <c r="M93" s="377"/>
      <c r="N93" s="377"/>
      <c r="O93" s="377"/>
      <c r="P93" s="377"/>
      <c r="Q93" s="377"/>
      <c r="R93" s="377"/>
      <c r="S93" s="377"/>
      <c r="T93" s="458">
        <f t="shared" si="81"/>
        <v>0</v>
      </c>
      <c r="U93" s="200"/>
      <c r="W93" s="442"/>
      <c r="X93" s="443"/>
      <c r="BC93" s="3">
        <f t="shared" si="73"/>
        <v>0</v>
      </c>
      <c r="BD93" s="3">
        <f t="shared" si="74"/>
        <v>0</v>
      </c>
      <c r="BE93" s="432" t="str">
        <f t="shared" si="75"/>
        <v/>
      </c>
      <c r="BF93" s="432" t="str">
        <f t="shared" si="76"/>
        <v/>
      </c>
      <c r="BG93" s="432" t="str">
        <f t="shared" si="77"/>
        <v/>
      </c>
      <c r="BH93" s="434" t="str">
        <f>_xlfn.LET(_xlpm.x,H93,IF(OR(LEN(_xlpm.x)&lt;1,_xlpm.x=0),"",CONVERT(_xlpm.x,'Diversion and Disposal'!$BH$7,"kg")))</f>
        <v/>
      </c>
      <c r="BI93" s="434" t="str">
        <f>_xlfn.LET(_xlpm.x,I93,IF(OR(LEN(_xlpm.x)&lt;1,_xlpm.x=0),"",CONVERT(_xlpm.x,'Diversion and Disposal'!$BH$7,"kg")))</f>
        <v/>
      </c>
      <c r="BJ93" s="434" t="str">
        <f>_xlfn.LET(_xlpm.x,J93,IF(OR(LEN(_xlpm.x)&lt;1,_xlpm.x=0),"",CONVERT(_xlpm.x,'Diversion and Disposal'!$BH$7,"kg")))</f>
        <v/>
      </c>
      <c r="BK93" s="434" t="str">
        <f>_xlfn.LET(_xlpm.x,K93,IF(OR(LEN(_xlpm.x)&lt;1,_xlpm.x=0),"",CONVERT(_xlpm.x,'Diversion and Disposal'!$BH$7,"kg")))</f>
        <v/>
      </c>
      <c r="BL93" s="434" t="str">
        <f>_xlfn.LET(_xlpm.x,L93,IF(OR(LEN(_xlpm.x)&lt;1,_xlpm.x=0),"",CONVERT(_xlpm.x,'Diversion and Disposal'!$BH$7,"kg")))</f>
        <v/>
      </c>
      <c r="BM93" s="434" t="str">
        <f>_xlfn.LET(_xlpm.x,M93,IF(OR(LEN(_xlpm.x)&lt;1,_xlpm.x=0),"",CONVERT(_xlpm.x,'Diversion and Disposal'!$BH$7,"kg")))</f>
        <v/>
      </c>
      <c r="BN93" s="434" t="str">
        <f>_xlfn.LET(_xlpm.x,N93,IF(OR(LEN(_xlpm.x)&lt;1,_xlpm.x=0),"",CONVERT(_xlpm.x,'Diversion and Disposal'!$BH$7,"kg")))</f>
        <v/>
      </c>
      <c r="BO93" s="434" t="str">
        <f>_xlfn.LET(_xlpm.x,O93,IF(OR(LEN(_xlpm.x)&lt;1,_xlpm.x=0),"",CONVERT(_xlpm.x,'Diversion and Disposal'!$BH$7,"kg")))</f>
        <v/>
      </c>
      <c r="BP93" s="434" t="str">
        <f>_xlfn.LET(_xlpm.x,P93,IF(OR(LEN(_xlpm.x)&lt;1,_xlpm.x=0),"",CONVERT(_xlpm.x,'Diversion and Disposal'!$BH$7,"kg")))</f>
        <v/>
      </c>
      <c r="BQ93" s="434" t="str">
        <f>_xlfn.LET(_xlpm.x,Q93,IF(OR(LEN(_xlpm.x)&lt;1,_xlpm.x=0),"",CONVERT(_xlpm.x,'Diversion and Disposal'!$BH$7,"kg")))</f>
        <v/>
      </c>
      <c r="BR93" s="434" t="str">
        <f>_xlfn.LET(_xlpm.x,R93,IF(OR(LEN(_xlpm.x)&lt;1,_xlpm.x=0),"",CONVERT(_xlpm.x,'Diversion and Disposal'!$BH$7,"kg")))</f>
        <v/>
      </c>
      <c r="BS93" s="434" t="str">
        <f>_xlfn.LET(_xlpm.x,S93,IF(OR(LEN(_xlpm.x)&lt;1,_xlpm.x=0),"",CONVERT(_xlpm.x,'Diversion and Disposal'!$BH$7,"kg")))</f>
        <v/>
      </c>
      <c r="BT93" s="435">
        <f t="shared" si="64"/>
        <v>0</v>
      </c>
      <c r="BU93" s="433" t="str">
        <f>_xlfn.LET(_xlpm.x,BF93,IF(LEN(_xlpm.x)&lt;1,"",IF(ISNUMBER(MATCH(_xlpm.x,ls_Mat_def,0)),'Project Inputs'!$BF$14,99)))</f>
        <v/>
      </c>
      <c r="BV93" s="432" t="str" cm="1">
        <f t="array" ref="BV93">IFERROR(INDEX(tblGWP[],MATCH(1,(tblGWP[Dataset ID]=BU93)*(tblGWP[Material Subcategory]=BF93),0),MATCH(BG93,ls_WHM,0)+5),"confirm")</f>
        <v>confirm</v>
      </c>
      <c r="BW93" s="434" t="str">
        <f t="shared" si="52"/>
        <v>No data</v>
      </c>
      <c r="BX93" s="434" t="str">
        <f t="shared" si="53"/>
        <v>No data</v>
      </c>
      <c r="BY93" s="434" t="str">
        <f t="shared" si="78"/>
        <v>No data</v>
      </c>
      <c r="BZ93" s="434" t="str">
        <f t="shared" si="55"/>
        <v>No data</v>
      </c>
      <c r="CA93" s="434" t="str">
        <f t="shared" si="56"/>
        <v>No data</v>
      </c>
      <c r="CB93" s="434" t="str">
        <f t="shared" si="57"/>
        <v>No data</v>
      </c>
      <c r="CC93" s="434" t="str">
        <f t="shared" si="58"/>
        <v>No data</v>
      </c>
      <c r="CD93" s="434" t="str">
        <f t="shared" si="59"/>
        <v>No data</v>
      </c>
      <c r="CE93" s="434" t="str">
        <f t="shared" si="60"/>
        <v>No data</v>
      </c>
      <c r="CF93" s="434" t="str">
        <f t="shared" si="61"/>
        <v>No data</v>
      </c>
      <c r="CG93" s="434" t="str">
        <f t="shared" si="62"/>
        <v>No data</v>
      </c>
      <c r="CH93" s="434" t="str">
        <f t="shared" si="63"/>
        <v>No data</v>
      </c>
      <c r="CI93" s="435">
        <f t="shared" si="65"/>
        <v>0</v>
      </c>
      <c r="CK93" s="3" t="str">
        <f>_xlfn.LET(_xlpm.x,INDEX(tbl_Mat_def[],MATCH(BF93,ls_Mat_def,0),2),IFERROR(IF(_xlpm.x=0,"No","Yes"),"No"))</f>
        <v>No</v>
      </c>
      <c r="CM93" s="60" t="str">
        <f t="shared" si="66"/>
        <v/>
      </c>
      <c r="CN93" s="60" t="s">
        <v>235</v>
      </c>
      <c r="CO93" s="432" t="str" cm="1">
        <f t="array" ref="CO93">IFERROR(INDEX(tblGWP[],MATCH(1,(tblGWP[Dataset ID]=BU93)*(tblGWP[Material Subcategory]=CM93),0),MATCH(CN93,ls_WHM,0)+4),"confirm")</f>
        <v>confirm</v>
      </c>
      <c r="CP93" s="436" t="str">
        <f t="shared" si="67"/>
        <v/>
      </c>
      <c r="DD93" s="388">
        <f t="shared" si="79"/>
        <v>0</v>
      </c>
      <c r="DE93" s="22">
        <f t="shared" si="68"/>
        <v>19</v>
      </c>
      <c r="DF93" s="387">
        <f t="shared" si="80"/>
        <v>0</v>
      </c>
      <c r="DG93" s="387">
        <f t="shared" si="69"/>
        <v>0</v>
      </c>
      <c r="DH93" s="22">
        <f t="shared" ca="1" si="70"/>
        <v>0</v>
      </c>
      <c r="DI93">
        <f t="shared" ca="1" si="71"/>
        <v>0</v>
      </c>
    </row>
    <row r="94" spans="1:113" ht="30" hidden="1" customHeight="1" outlineLevel="1">
      <c r="A94" s="22" t="str">
        <f t="shared" si="72"/>
        <v/>
      </c>
      <c r="B94" s="199"/>
      <c r="C94" s="459"/>
      <c r="D94" s="199"/>
      <c r="E94" s="405"/>
      <c r="F94" s="405"/>
      <c r="G94" s="406"/>
      <c r="H94" s="377"/>
      <c r="I94" s="377"/>
      <c r="J94" s="377"/>
      <c r="K94" s="377"/>
      <c r="L94" s="377"/>
      <c r="M94" s="377"/>
      <c r="N94" s="377"/>
      <c r="O94" s="377"/>
      <c r="P94" s="377"/>
      <c r="Q94" s="377"/>
      <c r="R94" s="377"/>
      <c r="S94" s="377"/>
      <c r="T94" s="458">
        <f t="shared" si="81"/>
        <v>0</v>
      </c>
      <c r="U94" s="200"/>
      <c r="W94" s="442"/>
      <c r="X94" s="443"/>
      <c r="BC94" s="3">
        <f t="shared" si="73"/>
        <v>0</v>
      </c>
      <c r="BD94" s="3">
        <f t="shared" si="74"/>
        <v>0</v>
      </c>
      <c r="BE94" s="432" t="str">
        <f t="shared" si="75"/>
        <v/>
      </c>
      <c r="BF94" s="432" t="str">
        <f t="shared" si="76"/>
        <v/>
      </c>
      <c r="BG94" s="432" t="str">
        <f t="shared" si="77"/>
        <v/>
      </c>
      <c r="BH94" s="434" t="str">
        <f>_xlfn.LET(_xlpm.x,H94,IF(OR(LEN(_xlpm.x)&lt;1,_xlpm.x=0),"",CONVERT(_xlpm.x,'Diversion and Disposal'!$BH$7,"kg")))</f>
        <v/>
      </c>
      <c r="BI94" s="434" t="str">
        <f>_xlfn.LET(_xlpm.x,I94,IF(OR(LEN(_xlpm.x)&lt;1,_xlpm.x=0),"",CONVERT(_xlpm.x,'Diversion and Disposal'!$BH$7,"kg")))</f>
        <v/>
      </c>
      <c r="BJ94" s="434" t="str">
        <f>_xlfn.LET(_xlpm.x,J94,IF(OR(LEN(_xlpm.x)&lt;1,_xlpm.x=0),"",CONVERT(_xlpm.x,'Diversion and Disposal'!$BH$7,"kg")))</f>
        <v/>
      </c>
      <c r="BK94" s="434" t="str">
        <f>_xlfn.LET(_xlpm.x,K94,IF(OR(LEN(_xlpm.x)&lt;1,_xlpm.x=0),"",CONVERT(_xlpm.x,'Diversion and Disposal'!$BH$7,"kg")))</f>
        <v/>
      </c>
      <c r="BL94" s="434" t="str">
        <f>_xlfn.LET(_xlpm.x,L94,IF(OR(LEN(_xlpm.x)&lt;1,_xlpm.x=0),"",CONVERT(_xlpm.x,'Diversion and Disposal'!$BH$7,"kg")))</f>
        <v/>
      </c>
      <c r="BM94" s="434" t="str">
        <f>_xlfn.LET(_xlpm.x,M94,IF(OR(LEN(_xlpm.x)&lt;1,_xlpm.x=0),"",CONVERT(_xlpm.x,'Diversion and Disposal'!$BH$7,"kg")))</f>
        <v/>
      </c>
      <c r="BN94" s="434" t="str">
        <f>_xlfn.LET(_xlpm.x,N94,IF(OR(LEN(_xlpm.x)&lt;1,_xlpm.x=0),"",CONVERT(_xlpm.x,'Diversion and Disposal'!$BH$7,"kg")))</f>
        <v/>
      </c>
      <c r="BO94" s="434" t="str">
        <f>_xlfn.LET(_xlpm.x,O94,IF(OR(LEN(_xlpm.x)&lt;1,_xlpm.x=0),"",CONVERT(_xlpm.x,'Diversion and Disposal'!$BH$7,"kg")))</f>
        <v/>
      </c>
      <c r="BP94" s="434" t="str">
        <f>_xlfn.LET(_xlpm.x,P94,IF(OR(LEN(_xlpm.x)&lt;1,_xlpm.x=0),"",CONVERT(_xlpm.x,'Diversion and Disposal'!$BH$7,"kg")))</f>
        <v/>
      </c>
      <c r="BQ94" s="434" t="str">
        <f>_xlfn.LET(_xlpm.x,Q94,IF(OR(LEN(_xlpm.x)&lt;1,_xlpm.x=0),"",CONVERT(_xlpm.x,'Diversion and Disposal'!$BH$7,"kg")))</f>
        <v/>
      </c>
      <c r="BR94" s="434" t="str">
        <f>_xlfn.LET(_xlpm.x,R94,IF(OR(LEN(_xlpm.x)&lt;1,_xlpm.x=0),"",CONVERT(_xlpm.x,'Diversion and Disposal'!$BH$7,"kg")))</f>
        <v/>
      </c>
      <c r="BS94" s="434" t="str">
        <f>_xlfn.LET(_xlpm.x,S94,IF(OR(LEN(_xlpm.x)&lt;1,_xlpm.x=0),"",CONVERT(_xlpm.x,'Diversion and Disposal'!$BH$7,"kg")))</f>
        <v/>
      </c>
      <c r="BT94" s="435">
        <f t="shared" si="64"/>
        <v>0</v>
      </c>
      <c r="BU94" s="433" t="str">
        <f>_xlfn.LET(_xlpm.x,BF94,IF(LEN(_xlpm.x)&lt;1,"",IF(ISNUMBER(MATCH(_xlpm.x,ls_Mat_def,0)),'Project Inputs'!$BF$14,99)))</f>
        <v/>
      </c>
      <c r="BV94" s="432" t="str" cm="1">
        <f t="array" ref="BV94">IFERROR(INDEX(tblGWP[],MATCH(1,(tblGWP[Dataset ID]=BU94)*(tblGWP[Material Subcategory]=BF94),0),MATCH(BG94,ls_WHM,0)+5),"confirm")</f>
        <v>confirm</v>
      </c>
      <c r="BW94" s="434" t="str">
        <f t="shared" si="52"/>
        <v>No data</v>
      </c>
      <c r="BX94" s="434" t="str">
        <f t="shared" si="53"/>
        <v>No data</v>
      </c>
      <c r="BY94" s="434" t="str">
        <f t="shared" si="78"/>
        <v>No data</v>
      </c>
      <c r="BZ94" s="434" t="str">
        <f t="shared" si="55"/>
        <v>No data</v>
      </c>
      <c r="CA94" s="434" t="str">
        <f t="shared" si="56"/>
        <v>No data</v>
      </c>
      <c r="CB94" s="434" t="str">
        <f t="shared" si="57"/>
        <v>No data</v>
      </c>
      <c r="CC94" s="434" t="str">
        <f t="shared" si="58"/>
        <v>No data</v>
      </c>
      <c r="CD94" s="434" t="str">
        <f t="shared" si="59"/>
        <v>No data</v>
      </c>
      <c r="CE94" s="434" t="str">
        <f t="shared" si="60"/>
        <v>No data</v>
      </c>
      <c r="CF94" s="434" t="str">
        <f t="shared" si="61"/>
        <v>No data</v>
      </c>
      <c r="CG94" s="434" t="str">
        <f t="shared" si="62"/>
        <v>No data</v>
      </c>
      <c r="CH94" s="434" t="str">
        <f t="shared" si="63"/>
        <v>No data</v>
      </c>
      <c r="CI94" s="435">
        <f t="shared" si="65"/>
        <v>0</v>
      </c>
      <c r="CK94" s="3" t="str">
        <f>_xlfn.LET(_xlpm.x,INDEX(tbl_Mat_def[],MATCH(BF94,ls_Mat_def,0),2),IFERROR(IF(_xlpm.x=0,"No","Yes"),"No"))</f>
        <v>No</v>
      </c>
      <c r="CM94" s="60" t="str">
        <f t="shared" si="66"/>
        <v/>
      </c>
      <c r="CN94" s="60" t="s">
        <v>235</v>
      </c>
      <c r="CO94" s="432" t="str" cm="1">
        <f t="array" ref="CO94">IFERROR(INDEX(tblGWP[],MATCH(1,(tblGWP[Dataset ID]=BU94)*(tblGWP[Material Subcategory]=CM94),0),MATCH(CN94,ls_WHM,0)+4),"confirm")</f>
        <v>confirm</v>
      </c>
      <c r="CP94" s="436" t="str">
        <f t="shared" si="67"/>
        <v/>
      </c>
      <c r="DD94" s="388">
        <f t="shared" si="79"/>
        <v>0</v>
      </c>
      <c r="DE94" s="22">
        <f t="shared" si="68"/>
        <v>19</v>
      </c>
      <c r="DF94" s="387">
        <f t="shared" si="80"/>
        <v>0</v>
      </c>
      <c r="DG94" s="387">
        <f t="shared" si="69"/>
        <v>0</v>
      </c>
      <c r="DH94" s="22">
        <f t="shared" ca="1" si="70"/>
        <v>0</v>
      </c>
      <c r="DI94">
        <f t="shared" ca="1" si="71"/>
        <v>0</v>
      </c>
    </row>
    <row r="95" spans="1:113" ht="30" hidden="1" customHeight="1" outlineLevel="1">
      <c r="A95" s="22" t="str">
        <f t="shared" si="72"/>
        <v/>
      </c>
      <c r="B95" s="199"/>
      <c r="C95" s="459"/>
      <c r="D95" s="199"/>
      <c r="E95" s="405"/>
      <c r="F95" s="405"/>
      <c r="G95" s="406"/>
      <c r="H95" s="377"/>
      <c r="I95" s="377"/>
      <c r="J95" s="377"/>
      <c r="K95" s="377"/>
      <c r="L95" s="377"/>
      <c r="M95" s="377"/>
      <c r="N95" s="377"/>
      <c r="O95" s="377"/>
      <c r="P95" s="377"/>
      <c r="Q95" s="377"/>
      <c r="R95" s="377"/>
      <c r="S95" s="377"/>
      <c r="T95" s="458">
        <f t="shared" si="81"/>
        <v>0</v>
      </c>
      <c r="U95" s="200"/>
      <c r="W95" s="442"/>
      <c r="X95" s="443"/>
      <c r="BC95" s="3">
        <f t="shared" si="73"/>
        <v>0</v>
      </c>
      <c r="BD95" s="3">
        <f t="shared" si="74"/>
        <v>0</v>
      </c>
      <c r="BE95" s="432" t="str">
        <f t="shared" si="75"/>
        <v/>
      </c>
      <c r="BF95" s="432" t="str">
        <f t="shared" si="76"/>
        <v/>
      </c>
      <c r="BG95" s="432" t="str">
        <f t="shared" si="77"/>
        <v/>
      </c>
      <c r="BH95" s="434" t="str">
        <f>_xlfn.LET(_xlpm.x,H95,IF(OR(LEN(_xlpm.x)&lt;1,_xlpm.x=0),"",CONVERT(_xlpm.x,'Diversion and Disposal'!$BH$7,"kg")))</f>
        <v/>
      </c>
      <c r="BI95" s="434" t="str">
        <f>_xlfn.LET(_xlpm.x,I95,IF(OR(LEN(_xlpm.x)&lt;1,_xlpm.x=0),"",CONVERT(_xlpm.x,'Diversion and Disposal'!$BH$7,"kg")))</f>
        <v/>
      </c>
      <c r="BJ95" s="434" t="str">
        <f>_xlfn.LET(_xlpm.x,J95,IF(OR(LEN(_xlpm.x)&lt;1,_xlpm.x=0),"",CONVERT(_xlpm.x,'Diversion and Disposal'!$BH$7,"kg")))</f>
        <v/>
      </c>
      <c r="BK95" s="434" t="str">
        <f>_xlfn.LET(_xlpm.x,K95,IF(OR(LEN(_xlpm.x)&lt;1,_xlpm.x=0),"",CONVERT(_xlpm.x,'Diversion and Disposal'!$BH$7,"kg")))</f>
        <v/>
      </c>
      <c r="BL95" s="434" t="str">
        <f>_xlfn.LET(_xlpm.x,L95,IF(OR(LEN(_xlpm.x)&lt;1,_xlpm.x=0),"",CONVERT(_xlpm.x,'Diversion and Disposal'!$BH$7,"kg")))</f>
        <v/>
      </c>
      <c r="BM95" s="434" t="str">
        <f>_xlfn.LET(_xlpm.x,M95,IF(OR(LEN(_xlpm.x)&lt;1,_xlpm.x=0),"",CONVERT(_xlpm.x,'Diversion and Disposal'!$BH$7,"kg")))</f>
        <v/>
      </c>
      <c r="BN95" s="434" t="str">
        <f>_xlfn.LET(_xlpm.x,N95,IF(OR(LEN(_xlpm.x)&lt;1,_xlpm.x=0),"",CONVERT(_xlpm.x,'Diversion and Disposal'!$BH$7,"kg")))</f>
        <v/>
      </c>
      <c r="BO95" s="434" t="str">
        <f>_xlfn.LET(_xlpm.x,O95,IF(OR(LEN(_xlpm.x)&lt;1,_xlpm.x=0),"",CONVERT(_xlpm.x,'Diversion and Disposal'!$BH$7,"kg")))</f>
        <v/>
      </c>
      <c r="BP95" s="434" t="str">
        <f>_xlfn.LET(_xlpm.x,P95,IF(OR(LEN(_xlpm.x)&lt;1,_xlpm.x=0),"",CONVERT(_xlpm.x,'Diversion and Disposal'!$BH$7,"kg")))</f>
        <v/>
      </c>
      <c r="BQ95" s="434" t="str">
        <f>_xlfn.LET(_xlpm.x,Q95,IF(OR(LEN(_xlpm.x)&lt;1,_xlpm.x=0),"",CONVERT(_xlpm.x,'Diversion and Disposal'!$BH$7,"kg")))</f>
        <v/>
      </c>
      <c r="BR95" s="434" t="str">
        <f>_xlfn.LET(_xlpm.x,R95,IF(OR(LEN(_xlpm.x)&lt;1,_xlpm.x=0),"",CONVERT(_xlpm.x,'Diversion and Disposal'!$BH$7,"kg")))</f>
        <v/>
      </c>
      <c r="BS95" s="434" t="str">
        <f>_xlfn.LET(_xlpm.x,S95,IF(OR(LEN(_xlpm.x)&lt;1,_xlpm.x=0),"",CONVERT(_xlpm.x,'Diversion and Disposal'!$BH$7,"kg")))</f>
        <v/>
      </c>
      <c r="BT95" s="435">
        <f t="shared" si="64"/>
        <v>0</v>
      </c>
      <c r="BU95" s="433" t="str">
        <f>_xlfn.LET(_xlpm.x,BF95,IF(LEN(_xlpm.x)&lt;1,"",IF(ISNUMBER(MATCH(_xlpm.x,ls_Mat_def,0)),'Project Inputs'!$BF$14,99)))</f>
        <v/>
      </c>
      <c r="BV95" s="432" t="str" cm="1">
        <f t="array" ref="BV95">IFERROR(INDEX(tblGWP[],MATCH(1,(tblGWP[Dataset ID]=BU95)*(tblGWP[Material Subcategory]=BF95),0),MATCH(BG95,ls_WHM,0)+5),"confirm")</f>
        <v>confirm</v>
      </c>
      <c r="BW95" s="434" t="str">
        <f t="shared" si="52"/>
        <v>No data</v>
      </c>
      <c r="BX95" s="434" t="str">
        <f t="shared" si="53"/>
        <v>No data</v>
      </c>
      <c r="BY95" s="434" t="str">
        <f t="shared" si="78"/>
        <v>No data</v>
      </c>
      <c r="BZ95" s="434" t="str">
        <f t="shared" si="55"/>
        <v>No data</v>
      </c>
      <c r="CA95" s="434" t="str">
        <f t="shared" si="56"/>
        <v>No data</v>
      </c>
      <c r="CB95" s="434" t="str">
        <f t="shared" si="57"/>
        <v>No data</v>
      </c>
      <c r="CC95" s="434" t="str">
        <f t="shared" si="58"/>
        <v>No data</v>
      </c>
      <c r="CD95" s="434" t="str">
        <f t="shared" si="59"/>
        <v>No data</v>
      </c>
      <c r="CE95" s="434" t="str">
        <f t="shared" si="60"/>
        <v>No data</v>
      </c>
      <c r="CF95" s="434" t="str">
        <f t="shared" si="61"/>
        <v>No data</v>
      </c>
      <c r="CG95" s="434" t="str">
        <f t="shared" si="62"/>
        <v>No data</v>
      </c>
      <c r="CH95" s="434" t="str">
        <f t="shared" si="63"/>
        <v>No data</v>
      </c>
      <c r="CI95" s="435">
        <f t="shared" si="65"/>
        <v>0</v>
      </c>
      <c r="CK95" s="3" t="str">
        <f>_xlfn.LET(_xlpm.x,INDEX(tbl_Mat_def[],MATCH(BF95,ls_Mat_def,0),2),IFERROR(IF(_xlpm.x=0,"No","Yes"),"No"))</f>
        <v>No</v>
      </c>
      <c r="CM95" s="60" t="str">
        <f t="shared" si="66"/>
        <v/>
      </c>
      <c r="CN95" s="60" t="s">
        <v>235</v>
      </c>
      <c r="CO95" s="432" t="str" cm="1">
        <f t="array" ref="CO95">IFERROR(INDEX(tblGWP[],MATCH(1,(tblGWP[Dataset ID]=BU95)*(tblGWP[Material Subcategory]=CM95),0),MATCH(CN95,ls_WHM,0)+4),"confirm")</f>
        <v>confirm</v>
      </c>
      <c r="CP95" s="436" t="str">
        <f t="shared" si="67"/>
        <v/>
      </c>
      <c r="DD95" s="388">
        <f t="shared" si="79"/>
        <v>0</v>
      </c>
      <c r="DE95" s="22">
        <f t="shared" si="68"/>
        <v>19</v>
      </c>
      <c r="DF95" s="387">
        <f t="shared" si="80"/>
        <v>0</v>
      </c>
      <c r="DG95" s="387">
        <f t="shared" si="69"/>
        <v>0</v>
      </c>
      <c r="DH95" s="22">
        <f t="shared" ca="1" si="70"/>
        <v>0</v>
      </c>
      <c r="DI95">
        <f t="shared" ca="1" si="71"/>
        <v>0</v>
      </c>
    </row>
    <row r="96" spans="1:113" ht="30" hidden="1" customHeight="1" outlineLevel="1">
      <c r="A96" s="22" t="str">
        <f t="shared" si="72"/>
        <v/>
      </c>
      <c r="B96" s="199"/>
      <c r="C96" s="459"/>
      <c r="D96" s="199"/>
      <c r="E96" s="405"/>
      <c r="F96" s="405"/>
      <c r="G96" s="406"/>
      <c r="H96" s="377"/>
      <c r="I96" s="377"/>
      <c r="J96" s="377"/>
      <c r="K96" s="377"/>
      <c r="L96" s="377"/>
      <c r="M96" s="377"/>
      <c r="N96" s="377"/>
      <c r="O96" s="377"/>
      <c r="P96" s="377"/>
      <c r="Q96" s="377"/>
      <c r="R96" s="377"/>
      <c r="S96" s="377"/>
      <c r="T96" s="458">
        <f t="shared" si="81"/>
        <v>0</v>
      </c>
      <c r="U96" s="200"/>
      <c r="W96" s="442"/>
      <c r="X96" s="443"/>
      <c r="BC96" s="3">
        <f t="shared" si="73"/>
        <v>0</v>
      </c>
      <c r="BD96" s="3">
        <f t="shared" si="74"/>
        <v>0</v>
      </c>
      <c r="BE96" s="432" t="str">
        <f t="shared" si="75"/>
        <v/>
      </c>
      <c r="BF96" s="432" t="str">
        <f t="shared" si="76"/>
        <v/>
      </c>
      <c r="BG96" s="432" t="str">
        <f t="shared" si="77"/>
        <v/>
      </c>
      <c r="BH96" s="434" t="str">
        <f>_xlfn.LET(_xlpm.x,H96,IF(OR(LEN(_xlpm.x)&lt;1,_xlpm.x=0),"",CONVERT(_xlpm.x,'Diversion and Disposal'!$BH$7,"kg")))</f>
        <v/>
      </c>
      <c r="BI96" s="434" t="str">
        <f>_xlfn.LET(_xlpm.x,I96,IF(OR(LEN(_xlpm.x)&lt;1,_xlpm.x=0),"",CONVERT(_xlpm.x,'Diversion and Disposal'!$BH$7,"kg")))</f>
        <v/>
      </c>
      <c r="BJ96" s="434" t="str">
        <f>_xlfn.LET(_xlpm.x,J96,IF(OR(LEN(_xlpm.x)&lt;1,_xlpm.x=0),"",CONVERT(_xlpm.x,'Diversion and Disposal'!$BH$7,"kg")))</f>
        <v/>
      </c>
      <c r="BK96" s="434" t="str">
        <f>_xlfn.LET(_xlpm.x,K96,IF(OR(LEN(_xlpm.x)&lt;1,_xlpm.x=0),"",CONVERT(_xlpm.x,'Diversion and Disposal'!$BH$7,"kg")))</f>
        <v/>
      </c>
      <c r="BL96" s="434" t="str">
        <f>_xlfn.LET(_xlpm.x,L96,IF(OR(LEN(_xlpm.x)&lt;1,_xlpm.x=0),"",CONVERT(_xlpm.x,'Diversion and Disposal'!$BH$7,"kg")))</f>
        <v/>
      </c>
      <c r="BM96" s="434" t="str">
        <f>_xlfn.LET(_xlpm.x,M96,IF(OR(LEN(_xlpm.x)&lt;1,_xlpm.x=0),"",CONVERT(_xlpm.x,'Diversion and Disposal'!$BH$7,"kg")))</f>
        <v/>
      </c>
      <c r="BN96" s="434" t="str">
        <f>_xlfn.LET(_xlpm.x,N96,IF(OR(LEN(_xlpm.x)&lt;1,_xlpm.x=0),"",CONVERT(_xlpm.x,'Diversion and Disposal'!$BH$7,"kg")))</f>
        <v/>
      </c>
      <c r="BO96" s="434" t="str">
        <f>_xlfn.LET(_xlpm.x,O96,IF(OR(LEN(_xlpm.x)&lt;1,_xlpm.x=0),"",CONVERT(_xlpm.x,'Diversion and Disposal'!$BH$7,"kg")))</f>
        <v/>
      </c>
      <c r="BP96" s="434" t="str">
        <f>_xlfn.LET(_xlpm.x,P96,IF(OR(LEN(_xlpm.x)&lt;1,_xlpm.x=0),"",CONVERT(_xlpm.x,'Diversion and Disposal'!$BH$7,"kg")))</f>
        <v/>
      </c>
      <c r="BQ96" s="434" t="str">
        <f>_xlfn.LET(_xlpm.x,Q96,IF(OR(LEN(_xlpm.x)&lt;1,_xlpm.x=0),"",CONVERT(_xlpm.x,'Diversion and Disposal'!$BH$7,"kg")))</f>
        <v/>
      </c>
      <c r="BR96" s="434" t="str">
        <f>_xlfn.LET(_xlpm.x,R96,IF(OR(LEN(_xlpm.x)&lt;1,_xlpm.x=0),"",CONVERT(_xlpm.x,'Diversion and Disposal'!$BH$7,"kg")))</f>
        <v/>
      </c>
      <c r="BS96" s="434" t="str">
        <f>_xlfn.LET(_xlpm.x,S96,IF(OR(LEN(_xlpm.x)&lt;1,_xlpm.x=0),"",CONVERT(_xlpm.x,'Diversion and Disposal'!$BH$7,"kg")))</f>
        <v/>
      </c>
      <c r="BT96" s="435">
        <f t="shared" si="64"/>
        <v>0</v>
      </c>
      <c r="BU96" s="433" t="str">
        <f>_xlfn.LET(_xlpm.x,BF96,IF(LEN(_xlpm.x)&lt;1,"",IF(ISNUMBER(MATCH(_xlpm.x,ls_Mat_def,0)),'Project Inputs'!$BF$14,99)))</f>
        <v/>
      </c>
      <c r="BV96" s="432" t="str" cm="1">
        <f t="array" ref="BV96">IFERROR(INDEX(tblGWP[],MATCH(1,(tblGWP[Dataset ID]=BU96)*(tblGWP[Material Subcategory]=BF96),0),MATCH(BG96,ls_WHM,0)+5),"confirm")</f>
        <v>confirm</v>
      </c>
      <c r="BW96" s="434" t="str">
        <f t="shared" si="52"/>
        <v>No data</v>
      </c>
      <c r="BX96" s="434" t="str">
        <f t="shared" si="53"/>
        <v>No data</v>
      </c>
      <c r="BY96" s="434" t="str">
        <f t="shared" si="78"/>
        <v>No data</v>
      </c>
      <c r="BZ96" s="434" t="str">
        <f t="shared" si="55"/>
        <v>No data</v>
      </c>
      <c r="CA96" s="434" t="str">
        <f t="shared" si="56"/>
        <v>No data</v>
      </c>
      <c r="CB96" s="434" t="str">
        <f t="shared" si="57"/>
        <v>No data</v>
      </c>
      <c r="CC96" s="434" t="str">
        <f t="shared" si="58"/>
        <v>No data</v>
      </c>
      <c r="CD96" s="434" t="str">
        <f t="shared" si="59"/>
        <v>No data</v>
      </c>
      <c r="CE96" s="434" t="str">
        <f t="shared" si="60"/>
        <v>No data</v>
      </c>
      <c r="CF96" s="434" t="str">
        <f t="shared" si="61"/>
        <v>No data</v>
      </c>
      <c r="CG96" s="434" t="str">
        <f t="shared" si="62"/>
        <v>No data</v>
      </c>
      <c r="CH96" s="434" t="str">
        <f t="shared" si="63"/>
        <v>No data</v>
      </c>
      <c r="CI96" s="435">
        <f t="shared" si="65"/>
        <v>0</v>
      </c>
      <c r="CK96" s="3" t="str">
        <f>_xlfn.LET(_xlpm.x,INDEX(tbl_Mat_def[],MATCH(BF96,ls_Mat_def,0),2),IFERROR(IF(_xlpm.x=0,"No","Yes"),"No"))</f>
        <v>No</v>
      </c>
      <c r="CM96" s="60" t="str">
        <f t="shared" si="66"/>
        <v/>
      </c>
      <c r="CN96" s="60" t="s">
        <v>235</v>
      </c>
      <c r="CO96" s="432" t="str" cm="1">
        <f t="array" ref="CO96">IFERROR(INDEX(tblGWP[],MATCH(1,(tblGWP[Dataset ID]=BU96)*(tblGWP[Material Subcategory]=CM96),0),MATCH(CN96,ls_WHM,0)+4),"confirm")</f>
        <v>confirm</v>
      </c>
      <c r="CP96" s="436" t="str">
        <f t="shared" si="67"/>
        <v/>
      </c>
      <c r="DD96" s="388">
        <f t="shared" si="79"/>
        <v>0</v>
      </c>
      <c r="DE96" s="22">
        <f t="shared" si="68"/>
        <v>19</v>
      </c>
      <c r="DF96" s="387">
        <f t="shared" si="80"/>
        <v>0</v>
      </c>
      <c r="DG96" s="387">
        <f t="shared" si="69"/>
        <v>0</v>
      </c>
      <c r="DH96" s="22">
        <f t="shared" ca="1" si="70"/>
        <v>0</v>
      </c>
      <c r="DI96">
        <f t="shared" ca="1" si="71"/>
        <v>0</v>
      </c>
    </row>
    <row r="97" spans="1:113" ht="30" hidden="1" customHeight="1" outlineLevel="1">
      <c r="A97" s="22" t="str">
        <f t="shared" si="72"/>
        <v/>
      </c>
      <c r="B97" s="199"/>
      <c r="C97" s="459"/>
      <c r="D97" s="199"/>
      <c r="E97" s="405"/>
      <c r="F97" s="405"/>
      <c r="G97" s="406"/>
      <c r="H97" s="377"/>
      <c r="I97" s="377"/>
      <c r="J97" s="377"/>
      <c r="K97" s="377"/>
      <c r="L97" s="377"/>
      <c r="M97" s="377"/>
      <c r="N97" s="377"/>
      <c r="O97" s="377"/>
      <c r="P97" s="377"/>
      <c r="Q97" s="377"/>
      <c r="R97" s="377"/>
      <c r="S97" s="377"/>
      <c r="T97" s="458">
        <f t="shared" si="81"/>
        <v>0</v>
      </c>
      <c r="U97" s="200"/>
      <c r="W97" s="442"/>
      <c r="X97" s="443"/>
      <c r="BC97" s="3">
        <f t="shared" si="73"/>
        <v>0</v>
      </c>
      <c r="BD97" s="3">
        <f t="shared" si="74"/>
        <v>0</v>
      </c>
      <c r="BE97" s="432" t="str">
        <f t="shared" si="75"/>
        <v/>
      </c>
      <c r="BF97" s="432" t="str">
        <f t="shared" si="76"/>
        <v/>
      </c>
      <c r="BG97" s="432" t="str">
        <f t="shared" si="77"/>
        <v/>
      </c>
      <c r="BH97" s="434" t="str">
        <f>_xlfn.LET(_xlpm.x,H97,IF(OR(LEN(_xlpm.x)&lt;1,_xlpm.x=0),"",CONVERT(_xlpm.x,'Diversion and Disposal'!$BH$7,"kg")))</f>
        <v/>
      </c>
      <c r="BI97" s="434" t="str">
        <f>_xlfn.LET(_xlpm.x,I97,IF(OR(LEN(_xlpm.x)&lt;1,_xlpm.x=0),"",CONVERT(_xlpm.x,'Diversion and Disposal'!$BH$7,"kg")))</f>
        <v/>
      </c>
      <c r="BJ97" s="434" t="str">
        <f>_xlfn.LET(_xlpm.x,J97,IF(OR(LEN(_xlpm.x)&lt;1,_xlpm.x=0),"",CONVERT(_xlpm.x,'Diversion and Disposal'!$BH$7,"kg")))</f>
        <v/>
      </c>
      <c r="BK97" s="434" t="str">
        <f>_xlfn.LET(_xlpm.x,K97,IF(OR(LEN(_xlpm.x)&lt;1,_xlpm.x=0),"",CONVERT(_xlpm.x,'Diversion and Disposal'!$BH$7,"kg")))</f>
        <v/>
      </c>
      <c r="BL97" s="434" t="str">
        <f>_xlfn.LET(_xlpm.x,L97,IF(OR(LEN(_xlpm.x)&lt;1,_xlpm.x=0),"",CONVERT(_xlpm.x,'Diversion and Disposal'!$BH$7,"kg")))</f>
        <v/>
      </c>
      <c r="BM97" s="434" t="str">
        <f>_xlfn.LET(_xlpm.x,M97,IF(OR(LEN(_xlpm.x)&lt;1,_xlpm.x=0),"",CONVERT(_xlpm.x,'Diversion and Disposal'!$BH$7,"kg")))</f>
        <v/>
      </c>
      <c r="BN97" s="434" t="str">
        <f>_xlfn.LET(_xlpm.x,N97,IF(OR(LEN(_xlpm.x)&lt;1,_xlpm.x=0),"",CONVERT(_xlpm.x,'Diversion and Disposal'!$BH$7,"kg")))</f>
        <v/>
      </c>
      <c r="BO97" s="434" t="str">
        <f>_xlfn.LET(_xlpm.x,O97,IF(OR(LEN(_xlpm.x)&lt;1,_xlpm.x=0),"",CONVERT(_xlpm.x,'Diversion and Disposal'!$BH$7,"kg")))</f>
        <v/>
      </c>
      <c r="BP97" s="434" t="str">
        <f>_xlfn.LET(_xlpm.x,P97,IF(OR(LEN(_xlpm.x)&lt;1,_xlpm.x=0),"",CONVERT(_xlpm.x,'Diversion and Disposal'!$BH$7,"kg")))</f>
        <v/>
      </c>
      <c r="BQ97" s="434" t="str">
        <f>_xlfn.LET(_xlpm.x,Q97,IF(OR(LEN(_xlpm.x)&lt;1,_xlpm.x=0),"",CONVERT(_xlpm.x,'Diversion and Disposal'!$BH$7,"kg")))</f>
        <v/>
      </c>
      <c r="BR97" s="434" t="str">
        <f>_xlfn.LET(_xlpm.x,R97,IF(OR(LEN(_xlpm.x)&lt;1,_xlpm.x=0),"",CONVERT(_xlpm.x,'Diversion and Disposal'!$BH$7,"kg")))</f>
        <v/>
      </c>
      <c r="BS97" s="434" t="str">
        <f>_xlfn.LET(_xlpm.x,S97,IF(OR(LEN(_xlpm.x)&lt;1,_xlpm.x=0),"",CONVERT(_xlpm.x,'Diversion and Disposal'!$BH$7,"kg")))</f>
        <v/>
      </c>
      <c r="BT97" s="435">
        <f t="shared" si="64"/>
        <v>0</v>
      </c>
      <c r="BU97" s="433" t="str">
        <f>_xlfn.LET(_xlpm.x,BF97,IF(LEN(_xlpm.x)&lt;1,"",IF(ISNUMBER(MATCH(_xlpm.x,ls_Mat_def,0)),'Project Inputs'!$BF$14,99)))</f>
        <v/>
      </c>
      <c r="BV97" s="432" t="str" cm="1">
        <f t="array" ref="BV97">IFERROR(INDEX(tblGWP[],MATCH(1,(tblGWP[Dataset ID]=BU97)*(tblGWP[Material Subcategory]=BF97),0),MATCH(BG97,ls_WHM,0)+5),"confirm")</f>
        <v>confirm</v>
      </c>
      <c r="BW97" s="434" t="str">
        <f t="shared" si="52"/>
        <v>No data</v>
      </c>
      <c r="BX97" s="434" t="str">
        <f t="shared" si="53"/>
        <v>No data</v>
      </c>
      <c r="BY97" s="434" t="str">
        <f t="shared" si="78"/>
        <v>No data</v>
      </c>
      <c r="BZ97" s="434" t="str">
        <f t="shared" si="55"/>
        <v>No data</v>
      </c>
      <c r="CA97" s="434" t="str">
        <f t="shared" si="56"/>
        <v>No data</v>
      </c>
      <c r="CB97" s="434" t="str">
        <f t="shared" si="57"/>
        <v>No data</v>
      </c>
      <c r="CC97" s="434" t="str">
        <f t="shared" si="58"/>
        <v>No data</v>
      </c>
      <c r="CD97" s="434" t="str">
        <f t="shared" si="59"/>
        <v>No data</v>
      </c>
      <c r="CE97" s="434" t="str">
        <f t="shared" si="60"/>
        <v>No data</v>
      </c>
      <c r="CF97" s="434" t="str">
        <f t="shared" si="61"/>
        <v>No data</v>
      </c>
      <c r="CG97" s="434" t="str">
        <f t="shared" si="62"/>
        <v>No data</v>
      </c>
      <c r="CH97" s="434" t="str">
        <f t="shared" si="63"/>
        <v>No data</v>
      </c>
      <c r="CI97" s="435">
        <f t="shared" si="65"/>
        <v>0</v>
      </c>
      <c r="CK97" s="3" t="str">
        <f>_xlfn.LET(_xlpm.x,INDEX(tbl_Mat_def[],MATCH(BF97,ls_Mat_def,0),2),IFERROR(IF(_xlpm.x=0,"No","Yes"),"No"))</f>
        <v>No</v>
      </c>
      <c r="CM97" s="60" t="str">
        <f t="shared" si="66"/>
        <v/>
      </c>
      <c r="CN97" s="60" t="s">
        <v>235</v>
      </c>
      <c r="CO97" s="432" t="str" cm="1">
        <f t="array" ref="CO97">IFERROR(INDEX(tblGWP[],MATCH(1,(tblGWP[Dataset ID]=BU97)*(tblGWP[Material Subcategory]=CM97),0),MATCH(CN97,ls_WHM,0)+4),"confirm")</f>
        <v>confirm</v>
      </c>
      <c r="CP97" s="436" t="str">
        <f t="shared" si="67"/>
        <v/>
      </c>
      <c r="DD97" s="388">
        <f t="shared" si="79"/>
        <v>0</v>
      </c>
      <c r="DE97" s="22">
        <f t="shared" si="68"/>
        <v>19</v>
      </c>
      <c r="DF97" s="387">
        <f t="shared" si="80"/>
        <v>0</v>
      </c>
      <c r="DG97" s="387">
        <f t="shared" si="69"/>
        <v>0</v>
      </c>
      <c r="DH97" s="22">
        <f t="shared" ca="1" si="70"/>
        <v>0</v>
      </c>
      <c r="DI97">
        <f t="shared" ca="1" si="71"/>
        <v>0</v>
      </c>
    </row>
    <row r="98" spans="1:113" ht="30" hidden="1" customHeight="1" outlineLevel="1">
      <c r="A98" s="22" t="str">
        <f t="shared" si="72"/>
        <v/>
      </c>
      <c r="B98" s="199"/>
      <c r="C98" s="459"/>
      <c r="D98" s="199"/>
      <c r="E98" s="405"/>
      <c r="F98" s="405"/>
      <c r="G98" s="406"/>
      <c r="H98" s="377"/>
      <c r="I98" s="377"/>
      <c r="J98" s="377"/>
      <c r="K98" s="377"/>
      <c r="L98" s="377"/>
      <c r="M98" s="377"/>
      <c r="N98" s="377"/>
      <c r="O98" s="377"/>
      <c r="P98" s="377"/>
      <c r="Q98" s="377"/>
      <c r="R98" s="377"/>
      <c r="S98" s="377"/>
      <c r="T98" s="458">
        <f t="shared" si="81"/>
        <v>0</v>
      </c>
      <c r="U98" s="200"/>
      <c r="W98" s="442"/>
      <c r="X98" s="443"/>
      <c r="BC98" s="3">
        <f t="shared" si="73"/>
        <v>0</v>
      </c>
      <c r="BD98" s="3">
        <f t="shared" si="74"/>
        <v>0</v>
      </c>
      <c r="BE98" s="432" t="str">
        <f t="shared" si="75"/>
        <v/>
      </c>
      <c r="BF98" s="432" t="str">
        <f t="shared" si="76"/>
        <v/>
      </c>
      <c r="BG98" s="432" t="str">
        <f t="shared" si="77"/>
        <v/>
      </c>
      <c r="BH98" s="434" t="str">
        <f>_xlfn.LET(_xlpm.x,H98,IF(OR(LEN(_xlpm.x)&lt;1,_xlpm.x=0),"",CONVERT(_xlpm.x,'Diversion and Disposal'!$BH$7,"kg")))</f>
        <v/>
      </c>
      <c r="BI98" s="434" t="str">
        <f>_xlfn.LET(_xlpm.x,I98,IF(OR(LEN(_xlpm.x)&lt;1,_xlpm.x=0),"",CONVERT(_xlpm.x,'Diversion and Disposal'!$BH$7,"kg")))</f>
        <v/>
      </c>
      <c r="BJ98" s="434" t="str">
        <f>_xlfn.LET(_xlpm.x,J98,IF(OR(LEN(_xlpm.x)&lt;1,_xlpm.x=0),"",CONVERT(_xlpm.x,'Diversion and Disposal'!$BH$7,"kg")))</f>
        <v/>
      </c>
      <c r="BK98" s="434" t="str">
        <f>_xlfn.LET(_xlpm.x,K98,IF(OR(LEN(_xlpm.x)&lt;1,_xlpm.x=0),"",CONVERT(_xlpm.x,'Diversion and Disposal'!$BH$7,"kg")))</f>
        <v/>
      </c>
      <c r="BL98" s="434" t="str">
        <f>_xlfn.LET(_xlpm.x,L98,IF(OR(LEN(_xlpm.x)&lt;1,_xlpm.x=0),"",CONVERT(_xlpm.x,'Diversion and Disposal'!$BH$7,"kg")))</f>
        <v/>
      </c>
      <c r="BM98" s="434" t="str">
        <f>_xlfn.LET(_xlpm.x,M98,IF(OR(LEN(_xlpm.x)&lt;1,_xlpm.x=0),"",CONVERT(_xlpm.x,'Diversion and Disposal'!$BH$7,"kg")))</f>
        <v/>
      </c>
      <c r="BN98" s="434" t="str">
        <f>_xlfn.LET(_xlpm.x,N98,IF(OR(LEN(_xlpm.x)&lt;1,_xlpm.x=0),"",CONVERT(_xlpm.x,'Diversion and Disposal'!$BH$7,"kg")))</f>
        <v/>
      </c>
      <c r="BO98" s="434" t="str">
        <f>_xlfn.LET(_xlpm.x,O98,IF(OR(LEN(_xlpm.x)&lt;1,_xlpm.x=0),"",CONVERT(_xlpm.x,'Diversion and Disposal'!$BH$7,"kg")))</f>
        <v/>
      </c>
      <c r="BP98" s="434" t="str">
        <f>_xlfn.LET(_xlpm.x,P98,IF(OR(LEN(_xlpm.x)&lt;1,_xlpm.x=0),"",CONVERT(_xlpm.x,'Diversion and Disposal'!$BH$7,"kg")))</f>
        <v/>
      </c>
      <c r="BQ98" s="434" t="str">
        <f>_xlfn.LET(_xlpm.x,Q98,IF(OR(LEN(_xlpm.x)&lt;1,_xlpm.x=0),"",CONVERT(_xlpm.x,'Diversion and Disposal'!$BH$7,"kg")))</f>
        <v/>
      </c>
      <c r="BR98" s="434" t="str">
        <f>_xlfn.LET(_xlpm.x,R98,IF(OR(LEN(_xlpm.x)&lt;1,_xlpm.x=0),"",CONVERT(_xlpm.x,'Diversion and Disposal'!$BH$7,"kg")))</f>
        <v/>
      </c>
      <c r="BS98" s="434" t="str">
        <f>_xlfn.LET(_xlpm.x,S98,IF(OR(LEN(_xlpm.x)&lt;1,_xlpm.x=0),"",CONVERT(_xlpm.x,'Diversion and Disposal'!$BH$7,"kg")))</f>
        <v/>
      </c>
      <c r="BT98" s="435">
        <f t="shared" si="64"/>
        <v>0</v>
      </c>
      <c r="BU98" s="433" t="str">
        <f>_xlfn.LET(_xlpm.x,BF98,IF(LEN(_xlpm.x)&lt;1,"",IF(ISNUMBER(MATCH(_xlpm.x,ls_Mat_def,0)),'Project Inputs'!$BF$14,99)))</f>
        <v/>
      </c>
      <c r="BV98" s="432" t="str" cm="1">
        <f t="array" ref="BV98">IFERROR(INDEX(tblGWP[],MATCH(1,(tblGWP[Dataset ID]=BU98)*(tblGWP[Material Subcategory]=BF98),0),MATCH(BG98,ls_WHM,0)+5),"confirm")</f>
        <v>confirm</v>
      </c>
      <c r="BW98" s="434" t="str">
        <f t="shared" si="52"/>
        <v>No data</v>
      </c>
      <c r="BX98" s="434" t="str">
        <f t="shared" si="53"/>
        <v>No data</v>
      </c>
      <c r="BY98" s="434" t="str">
        <f t="shared" si="78"/>
        <v>No data</v>
      </c>
      <c r="BZ98" s="434" t="str">
        <f t="shared" si="55"/>
        <v>No data</v>
      </c>
      <c r="CA98" s="434" t="str">
        <f t="shared" si="56"/>
        <v>No data</v>
      </c>
      <c r="CB98" s="434" t="str">
        <f t="shared" si="57"/>
        <v>No data</v>
      </c>
      <c r="CC98" s="434" t="str">
        <f t="shared" si="58"/>
        <v>No data</v>
      </c>
      <c r="CD98" s="434" t="str">
        <f t="shared" si="59"/>
        <v>No data</v>
      </c>
      <c r="CE98" s="434" t="str">
        <f t="shared" si="60"/>
        <v>No data</v>
      </c>
      <c r="CF98" s="434" t="str">
        <f t="shared" si="61"/>
        <v>No data</v>
      </c>
      <c r="CG98" s="434" t="str">
        <f t="shared" si="62"/>
        <v>No data</v>
      </c>
      <c r="CH98" s="434" t="str">
        <f t="shared" si="63"/>
        <v>No data</v>
      </c>
      <c r="CI98" s="435">
        <f t="shared" si="65"/>
        <v>0</v>
      </c>
      <c r="CK98" s="3" t="str">
        <f>_xlfn.LET(_xlpm.x,INDEX(tbl_Mat_def[],MATCH(BF98,ls_Mat_def,0),2),IFERROR(IF(_xlpm.x=0,"No","Yes"),"No"))</f>
        <v>No</v>
      </c>
      <c r="CM98" s="60" t="str">
        <f t="shared" si="66"/>
        <v/>
      </c>
      <c r="CN98" s="60" t="s">
        <v>235</v>
      </c>
      <c r="CO98" s="432" t="str" cm="1">
        <f t="array" ref="CO98">IFERROR(INDEX(tblGWP[],MATCH(1,(tblGWP[Dataset ID]=BU98)*(tblGWP[Material Subcategory]=CM98),0),MATCH(CN98,ls_WHM,0)+4),"confirm")</f>
        <v>confirm</v>
      </c>
      <c r="CP98" s="436" t="str">
        <f t="shared" si="67"/>
        <v/>
      </c>
      <c r="DD98" s="388">
        <f t="shared" si="79"/>
        <v>0</v>
      </c>
      <c r="DE98" s="22">
        <f t="shared" si="68"/>
        <v>19</v>
      </c>
      <c r="DF98" s="387">
        <f t="shared" si="80"/>
        <v>0</v>
      </c>
      <c r="DG98" s="387">
        <f t="shared" si="69"/>
        <v>0</v>
      </c>
      <c r="DH98" s="22">
        <f t="shared" ca="1" si="70"/>
        <v>0</v>
      </c>
      <c r="DI98">
        <f t="shared" ca="1" si="71"/>
        <v>0</v>
      </c>
    </row>
    <row r="99" spans="1:113" ht="30" hidden="1" customHeight="1" outlineLevel="1">
      <c r="A99" s="22" t="str">
        <f t="shared" si="72"/>
        <v/>
      </c>
      <c r="B99" s="199"/>
      <c r="C99" s="459"/>
      <c r="D99" s="199"/>
      <c r="E99" s="405"/>
      <c r="F99" s="405"/>
      <c r="G99" s="406"/>
      <c r="H99" s="377"/>
      <c r="I99" s="377"/>
      <c r="J99" s="377"/>
      <c r="K99" s="377"/>
      <c r="L99" s="377"/>
      <c r="M99" s="377"/>
      <c r="N99" s="377"/>
      <c r="O99" s="377"/>
      <c r="P99" s="377"/>
      <c r="Q99" s="377"/>
      <c r="R99" s="377"/>
      <c r="S99" s="377"/>
      <c r="T99" s="458">
        <f t="shared" si="81"/>
        <v>0</v>
      </c>
      <c r="U99" s="200"/>
      <c r="W99" s="442"/>
      <c r="X99" s="443"/>
      <c r="BC99" s="3">
        <f t="shared" si="73"/>
        <v>0</v>
      </c>
      <c r="BD99" s="3">
        <f t="shared" si="74"/>
        <v>0</v>
      </c>
      <c r="BE99" s="432" t="str">
        <f t="shared" si="75"/>
        <v/>
      </c>
      <c r="BF99" s="432" t="str">
        <f t="shared" si="76"/>
        <v/>
      </c>
      <c r="BG99" s="432" t="str">
        <f t="shared" si="77"/>
        <v/>
      </c>
      <c r="BH99" s="434" t="str">
        <f>_xlfn.LET(_xlpm.x,H99,IF(OR(LEN(_xlpm.x)&lt;1,_xlpm.x=0),"",CONVERT(_xlpm.x,'Diversion and Disposal'!$BH$7,"kg")))</f>
        <v/>
      </c>
      <c r="BI99" s="434" t="str">
        <f>_xlfn.LET(_xlpm.x,I99,IF(OR(LEN(_xlpm.x)&lt;1,_xlpm.x=0),"",CONVERT(_xlpm.x,'Diversion and Disposal'!$BH$7,"kg")))</f>
        <v/>
      </c>
      <c r="BJ99" s="434" t="str">
        <f>_xlfn.LET(_xlpm.x,J99,IF(OR(LEN(_xlpm.x)&lt;1,_xlpm.x=0),"",CONVERT(_xlpm.x,'Diversion and Disposal'!$BH$7,"kg")))</f>
        <v/>
      </c>
      <c r="BK99" s="434" t="str">
        <f>_xlfn.LET(_xlpm.x,K99,IF(OR(LEN(_xlpm.x)&lt;1,_xlpm.x=0),"",CONVERT(_xlpm.x,'Diversion and Disposal'!$BH$7,"kg")))</f>
        <v/>
      </c>
      <c r="BL99" s="434" t="str">
        <f>_xlfn.LET(_xlpm.x,L99,IF(OR(LEN(_xlpm.x)&lt;1,_xlpm.x=0),"",CONVERT(_xlpm.x,'Diversion and Disposal'!$BH$7,"kg")))</f>
        <v/>
      </c>
      <c r="BM99" s="434" t="str">
        <f>_xlfn.LET(_xlpm.x,M99,IF(OR(LEN(_xlpm.x)&lt;1,_xlpm.x=0),"",CONVERT(_xlpm.x,'Diversion and Disposal'!$BH$7,"kg")))</f>
        <v/>
      </c>
      <c r="BN99" s="434" t="str">
        <f>_xlfn.LET(_xlpm.x,N99,IF(OR(LEN(_xlpm.x)&lt;1,_xlpm.x=0),"",CONVERT(_xlpm.x,'Diversion and Disposal'!$BH$7,"kg")))</f>
        <v/>
      </c>
      <c r="BO99" s="434" t="str">
        <f>_xlfn.LET(_xlpm.x,O99,IF(OR(LEN(_xlpm.x)&lt;1,_xlpm.x=0),"",CONVERT(_xlpm.x,'Diversion and Disposal'!$BH$7,"kg")))</f>
        <v/>
      </c>
      <c r="BP99" s="434" t="str">
        <f>_xlfn.LET(_xlpm.x,P99,IF(OR(LEN(_xlpm.x)&lt;1,_xlpm.x=0),"",CONVERT(_xlpm.x,'Diversion and Disposal'!$BH$7,"kg")))</f>
        <v/>
      </c>
      <c r="BQ99" s="434" t="str">
        <f>_xlfn.LET(_xlpm.x,Q99,IF(OR(LEN(_xlpm.x)&lt;1,_xlpm.x=0),"",CONVERT(_xlpm.x,'Diversion and Disposal'!$BH$7,"kg")))</f>
        <v/>
      </c>
      <c r="BR99" s="434" t="str">
        <f>_xlfn.LET(_xlpm.x,R99,IF(OR(LEN(_xlpm.x)&lt;1,_xlpm.x=0),"",CONVERT(_xlpm.x,'Diversion and Disposal'!$BH$7,"kg")))</f>
        <v/>
      </c>
      <c r="BS99" s="434" t="str">
        <f>_xlfn.LET(_xlpm.x,S99,IF(OR(LEN(_xlpm.x)&lt;1,_xlpm.x=0),"",CONVERT(_xlpm.x,'Diversion and Disposal'!$BH$7,"kg")))</f>
        <v/>
      </c>
      <c r="BT99" s="435">
        <f t="shared" si="64"/>
        <v>0</v>
      </c>
      <c r="BU99" s="433" t="str">
        <f>_xlfn.LET(_xlpm.x,BF99,IF(LEN(_xlpm.x)&lt;1,"",IF(ISNUMBER(MATCH(_xlpm.x,ls_Mat_def,0)),'Project Inputs'!$BF$14,99)))</f>
        <v/>
      </c>
      <c r="BV99" s="432" t="str" cm="1">
        <f t="array" ref="BV99">IFERROR(INDEX(tblGWP[],MATCH(1,(tblGWP[Dataset ID]=BU99)*(tblGWP[Material Subcategory]=BF99),0),MATCH(BG99,ls_WHM,0)+5),"confirm")</f>
        <v>confirm</v>
      </c>
      <c r="BW99" s="434" t="str">
        <f t="shared" si="52"/>
        <v>No data</v>
      </c>
      <c r="BX99" s="434" t="str">
        <f t="shared" si="53"/>
        <v>No data</v>
      </c>
      <c r="BY99" s="434" t="str">
        <f t="shared" si="78"/>
        <v>No data</v>
      </c>
      <c r="BZ99" s="434" t="str">
        <f t="shared" si="55"/>
        <v>No data</v>
      </c>
      <c r="CA99" s="434" t="str">
        <f t="shared" si="56"/>
        <v>No data</v>
      </c>
      <c r="CB99" s="434" t="str">
        <f t="shared" si="57"/>
        <v>No data</v>
      </c>
      <c r="CC99" s="434" t="str">
        <f t="shared" si="58"/>
        <v>No data</v>
      </c>
      <c r="CD99" s="434" t="str">
        <f t="shared" si="59"/>
        <v>No data</v>
      </c>
      <c r="CE99" s="434" t="str">
        <f t="shared" si="60"/>
        <v>No data</v>
      </c>
      <c r="CF99" s="434" t="str">
        <f t="shared" si="61"/>
        <v>No data</v>
      </c>
      <c r="CG99" s="434" t="str">
        <f t="shared" si="62"/>
        <v>No data</v>
      </c>
      <c r="CH99" s="434" t="str">
        <f t="shared" si="63"/>
        <v>No data</v>
      </c>
      <c r="CI99" s="435">
        <f t="shared" si="65"/>
        <v>0</v>
      </c>
      <c r="CK99" s="3" t="str">
        <f>_xlfn.LET(_xlpm.x,INDEX(tbl_Mat_def[],MATCH(BF99,ls_Mat_def,0),2),IFERROR(IF(_xlpm.x=0,"No","Yes"),"No"))</f>
        <v>No</v>
      </c>
      <c r="CM99" s="60" t="str">
        <f t="shared" si="66"/>
        <v/>
      </c>
      <c r="CN99" s="60" t="s">
        <v>235</v>
      </c>
      <c r="CO99" s="432" t="str" cm="1">
        <f t="array" ref="CO99">IFERROR(INDEX(tblGWP[],MATCH(1,(tblGWP[Dataset ID]=BU99)*(tblGWP[Material Subcategory]=CM99),0),MATCH(CN99,ls_WHM,0)+4),"confirm")</f>
        <v>confirm</v>
      </c>
      <c r="CP99" s="436" t="str">
        <f t="shared" si="67"/>
        <v/>
      </c>
      <c r="DD99" s="388">
        <f t="shared" si="79"/>
        <v>0</v>
      </c>
      <c r="DE99" s="22">
        <f t="shared" si="68"/>
        <v>19</v>
      </c>
      <c r="DF99" s="387">
        <f t="shared" si="80"/>
        <v>0</v>
      </c>
      <c r="DG99" s="387">
        <f t="shared" si="69"/>
        <v>0</v>
      </c>
      <c r="DH99" s="22">
        <f t="shared" ca="1" si="70"/>
        <v>0</v>
      </c>
      <c r="DI99">
        <f t="shared" ca="1" si="71"/>
        <v>0</v>
      </c>
    </row>
    <row r="100" spans="1:113" ht="30" hidden="1" customHeight="1" outlineLevel="1">
      <c r="A100" s="22" t="str">
        <f t="shared" si="72"/>
        <v/>
      </c>
      <c r="B100" s="199"/>
      <c r="C100" s="459"/>
      <c r="D100" s="199"/>
      <c r="E100" s="405"/>
      <c r="F100" s="405"/>
      <c r="G100" s="406"/>
      <c r="H100" s="377"/>
      <c r="I100" s="377"/>
      <c r="J100" s="377"/>
      <c r="K100" s="377"/>
      <c r="L100" s="377"/>
      <c r="M100" s="377"/>
      <c r="N100" s="377"/>
      <c r="O100" s="377"/>
      <c r="P100" s="377"/>
      <c r="Q100" s="377"/>
      <c r="R100" s="377"/>
      <c r="S100" s="377"/>
      <c r="T100" s="458">
        <f t="shared" si="81"/>
        <v>0</v>
      </c>
      <c r="U100" s="200"/>
      <c r="W100" s="442"/>
      <c r="X100" s="443"/>
      <c r="BC100" s="3">
        <f t="shared" si="73"/>
        <v>0</v>
      </c>
      <c r="BD100" s="3">
        <f t="shared" si="74"/>
        <v>0</v>
      </c>
      <c r="BE100" s="432" t="str">
        <f t="shared" si="75"/>
        <v/>
      </c>
      <c r="BF100" s="432" t="str">
        <f t="shared" si="76"/>
        <v/>
      </c>
      <c r="BG100" s="432" t="str">
        <f t="shared" si="77"/>
        <v/>
      </c>
      <c r="BH100" s="434" t="str">
        <f>_xlfn.LET(_xlpm.x,H100,IF(OR(LEN(_xlpm.x)&lt;1,_xlpm.x=0),"",CONVERT(_xlpm.x,'Diversion and Disposal'!$BH$7,"kg")))</f>
        <v/>
      </c>
      <c r="BI100" s="434" t="str">
        <f>_xlfn.LET(_xlpm.x,I100,IF(OR(LEN(_xlpm.x)&lt;1,_xlpm.x=0),"",CONVERT(_xlpm.x,'Diversion and Disposal'!$BH$7,"kg")))</f>
        <v/>
      </c>
      <c r="BJ100" s="434" t="str">
        <f>_xlfn.LET(_xlpm.x,J100,IF(OR(LEN(_xlpm.x)&lt;1,_xlpm.x=0),"",CONVERT(_xlpm.x,'Diversion and Disposal'!$BH$7,"kg")))</f>
        <v/>
      </c>
      <c r="BK100" s="434" t="str">
        <f>_xlfn.LET(_xlpm.x,K100,IF(OR(LEN(_xlpm.x)&lt;1,_xlpm.x=0),"",CONVERT(_xlpm.x,'Diversion and Disposal'!$BH$7,"kg")))</f>
        <v/>
      </c>
      <c r="BL100" s="434" t="str">
        <f>_xlfn.LET(_xlpm.x,L100,IF(OR(LEN(_xlpm.x)&lt;1,_xlpm.x=0),"",CONVERT(_xlpm.x,'Diversion and Disposal'!$BH$7,"kg")))</f>
        <v/>
      </c>
      <c r="BM100" s="434" t="str">
        <f>_xlfn.LET(_xlpm.x,M100,IF(OR(LEN(_xlpm.x)&lt;1,_xlpm.x=0),"",CONVERT(_xlpm.x,'Diversion and Disposal'!$BH$7,"kg")))</f>
        <v/>
      </c>
      <c r="BN100" s="434" t="str">
        <f>_xlfn.LET(_xlpm.x,N100,IF(OR(LEN(_xlpm.x)&lt;1,_xlpm.x=0),"",CONVERT(_xlpm.x,'Diversion and Disposal'!$BH$7,"kg")))</f>
        <v/>
      </c>
      <c r="BO100" s="434" t="str">
        <f>_xlfn.LET(_xlpm.x,O100,IF(OR(LEN(_xlpm.x)&lt;1,_xlpm.x=0),"",CONVERT(_xlpm.x,'Diversion and Disposal'!$BH$7,"kg")))</f>
        <v/>
      </c>
      <c r="BP100" s="434" t="str">
        <f>_xlfn.LET(_xlpm.x,P100,IF(OR(LEN(_xlpm.x)&lt;1,_xlpm.x=0),"",CONVERT(_xlpm.x,'Diversion and Disposal'!$BH$7,"kg")))</f>
        <v/>
      </c>
      <c r="BQ100" s="434" t="str">
        <f>_xlfn.LET(_xlpm.x,Q100,IF(OR(LEN(_xlpm.x)&lt;1,_xlpm.x=0),"",CONVERT(_xlpm.x,'Diversion and Disposal'!$BH$7,"kg")))</f>
        <v/>
      </c>
      <c r="BR100" s="434" t="str">
        <f>_xlfn.LET(_xlpm.x,R100,IF(OR(LEN(_xlpm.x)&lt;1,_xlpm.x=0),"",CONVERT(_xlpm.x,'Diversion and Disposal'!$BH$7,"kg")))</f>
        <v/>
      </c>
      <c r="BS100" s="434" t="str">
        <f>_xlfn.LET(_xlpm.x,S100,IF(OR(LEN(_xlpm.x)&lt;1,_xlpm.x=0),"",CONVERT(_xlpm.x,'Diversion and Disposal'!$BH$7,"kg")))</f>
        <v/>
      </c>
      <c r="BT100" s="435">
        <f t="shared" si="64"/>
        <v>0</v>
      </c>
      <c r="BU100" s="433" t="str">
        <f>_xlfn.LET(_xlpm.x,BF100,IF(LEN(_xlpm.x)&lt;1,"",IF(ISNUMBER(MATCH(_xlpm.x,ls_Mat_def,0)),'Project Inputs'!$BF$14,99)))</f>
        <v/>
      </c>
      <c r="BV100" s="432" t="str" cm="1">
        <f t="array" ref="BV100">IFERROR(INDEX(tblGWP[],MATCH(1,(tblGWP[Dataset ID]=BU100)*(tblGWP[Material Subcategory]=BF100),0),MATCH(BG100,ls_WHM,0)+5),"confirm")</f>
        <v>confirm</v>
      </c>
      <c r="BW100" s="434" t="str">
        <f t="shared" si="52"/>
        <v>No data</v>
      </c>
      <c r="BX100" s="434" t="str">
        <f t="shared" si="53"/>
        <v>No data</v>
      </c>
      <c r="BY100" s="434" t="str">
        <f t="shared" si="78"/>
        <v>No data</v>
      </c>
      <c r="BZ100" s="434" t="str">
        <f t="shared" si="55"/>
        <v>No data</v>
      </c>
      <c r="CA100" s="434" t="str">
        <f t="shared" si="56"/>
        <v>No data</v>
      </c>
      <c r="CB100" s="434" t="str">
        <f t="shared" si="57"/>
        <v>No data</v>
      </c>
      <c r="CC100" s="434" t="str">
        <f t="shared" si="58"/>
        <v>No data</v>
      </c>
      <c r="CD100" s="434" t="str">
        <f t="shared" si="59"/>
        <v>No data</v>
      </c>
      <c r="CE100" s="434" t="str">
        <f t="shared" si="60"/>
        <v>No data</v>
      </c>
      <c r="CF100" s="434" t="str">
        <f t="shared" si="61"/>
        <v>No data</v>
      </c>
      <c r="CG100" s="434" t="str">
        <f t="shared" si="62"/>
        <v>No data</v>
      </c>
      <c r="CH100" s="434" t="str">
        <f t="shared" si="63"/>
        <v>No data</v>
      </c>
      <c r="CI100" s="435">
        <f t="shared" si="65"/>
        <v>0</v>
      </c>
      <c r="CK100" s="3" t="str">
        <f>_xlfn.LET(_xlpm.x,INDEX(tbl_Mat_def[],MATCH(BF100,ls_Mat_def,0),2),IFERROR(IF(_xlpm.x=0,"No","Yes"),"No"))</f>
        <v>No</v>
      </c>
      <c r="CM100" s="60" t="str">
        <f t="shared" si="66"/>
        <v/>
      </c>
      <c r="CN100" s="60" t="s">
        <v>235</v>
      </c>
      <c r="CO100" s="432" t="str" cm="1">
        <f t="array" ref="CO100">IFERROR(INDEX(tblGWP[],MATCH(1,(tblGWP[Dataset ID]=BU100)*(tblGWP[Material Subcategory]=CM100),0),MATCH(CN100,ls_WHM,0)+4),"confirm")</f>
        <v>confirm</v>
      </c>
      <c r="CP100" s="436" t="str">
        <f t="shared" si="67"/>
        <v/>
      </c>
      <c r="DD100" s="388">
        <f t="shared" si="79"/>
        <v>0</v>
      </c>
      <c r="DE100" s="22">
        <f t="shared" si="68"/>
        <v>19</v>
      </c>
      <c r="DF100" s="387">
        <f t="shared" si="80"/>
        <v>0</v>
      </c>
      <c r="DG100" s="387">
        <f t="shared" si="69"/>
        <v>0</v>
      </c>
      <c r="DH100" s="22">
        <f t="shared" ca="1" si="70"/>
        <v>0</v>
      </c>
      <c r="DI100">
        <f t="shared" ca="1" si="71"/>
        <v>0</v>
      </c>
    </row>
    <row r="101" spans="1:113" ht="30" hidden="1" customHeight="1" outlineLevel="1">
      <c r="A101" s="22" t="str">
        <f t="shared" si="72"/>
        <v/>
      </c>
      <c r="B101" s="199"/>
      <c r="C101" s="459"/>
      <c r="D101" s="199"/>
      <c r="E101" s="405"/>
      <c r="F101" s="405"/>
      <c r="G101" s="406"/>
      <c r="H101" s="377"/>
      <c r="I101" s="377"/>
      <c r="J101" s="377"/>
      <c r="K101" s="377"/>
      <c r="L101" s="377"/>
      <c r="M101" s="377"/>
      <c r="N101" s="377"/>
      <c r="O101" s="377"/>
      <c r="P101" s="377"/>
      <c r="Q101" s="377"/>
      <c r="R101" s="377"/>
      <c r="S101" s="377"/>
      <c r="T101" s="458">
        <f t="shared" si="81"/>
        <v>0</v>
      </c>
      <c r="U101" s="200"/>
      <c r="W101" s="442"/>
      <c r="X101" s="443"/>
      <c r="BC101" s="3">
        <f t="shared" si="73"/>
        <v>0</v>
      </c>
      <c r="BD101" s="3">
        <f t="shared" si="74"/>
        <v>0</v>
      </c>
      <c r="BE101" s="432" t="str">
        <f t="shared" si="75"/>
        <v/>
      </c>
      <c r="BF101" s="432" t="str">
        <f t="shared" si="76"/>
        <v/>
      </c>
      <c r="BG101" s="432" t="str">
        <f t="shared" si="77"/>
        <v/>
      </c>
      <c r="BH101" s="434" t="str">
        <f>_xlfn.LET(_xlpm.x,H101,IF(OR(LEN(_xlpm.x)&lt;1,_xlpm.x=0),"",CONVERT(_xlpm.x,'Diversion and Disposal'!$BH$7,"kg")))</f>
        <v/>
      </c>
      <c r="BI101" s="434" t="str">
        <f>_xlfn.LET(_xlpm.x,I101,IF(OR(LEN(_xlpm.x)&lt;1,_xlpm.x=0),"",CONVERT(_xlpm.x,'Diversion and Disposal'!$BH$7,"kg")))</f>
        <v/>
      </c>
      <c r="BJ101" s="434" t="str">
        <f>_xlfn.LET(_xlpm.x,J101,IF(OR(LEN(_xlpm.x)&lt;1,_xlpm.x=0),"",CONVERT(_xlpm.x,'Diversion and Disposal'!$BH$7,"kg")))</f>
        <v/>
      </c>
      <c r="BK101" s="434" t="str">
        <f>_xlfn.LET(_xlpm.x,K101,IF(OR(LEN(_xlpm.x)&lt;1,_xlpm.x=0),"",CONVERT(_xlpm.x,'Diversion and Disposal'!$BH$7,"kg")))</f>
        <v/>
      </c>
      <c r="BL101" s="434" t="str">
        <f>_xlfn.LET(_xlpm.x,L101,IF(OR(LEN(_xlpm.x)&lt;1,_xlpm.x=0),"",CONVERT(_xlpm.x,'Diversion and Disposal'!$BH$7,"kg")))</f>
        <v/>
      </c>
      <c r="BM101" s="434" t="str">
        <f>_xlfn.LET(_xlpm.x,M101,IF(OR(LEN(_xlpm.x)&lt;1,_xlpm.x=0),"",CONVERT(_xlpm.x,'Diversion and Disposal'!$BH$7,"kg")))</f>
        <v/>
      </c>
      <c r="BN101" s="434" t="str">
        <f>_xlfn.LET(_xlpm.x,N101,IF(OR(LEN(_xlpm.x)&lt;1,_xlpm.x=0),"",CONVERT(_xlpm.x,'Diversion and Disposal'!$BH$7,"kg")))</f>
        <v/>
      </c>
      <c r="BO101" s="434" t="str">
        <f>_xlfn.LET(_xlpm.x,O101,IF(OR(LEN(_xlpm.x)&lt;1,_xlpm.x=0),"",CONVERT(_xlpm.x,'Diversion and Disposal'!$BH$7,"kg")))</f>
        <v/>
      </c>
      <c r="BP101" s="434" t="str">
        <f>_xlfn.LET(_xlpm.x,P101,IF(OR(LEN(_xlpm.x)&lt;1,_xlpm.x=0),"",CONVERT(_xlpm.x,'Diversion and Disposal'!$BH$7,"kg")))</f>
        <v/>
      </c>
      <c r="BQ101" s="434" t="str">
        <f>_xlfn.LET(_xlpm.x,Q101,IF(OR(LEN(_xlpm.x)&lt;1,_xlpm.x=0),"",CONVERT(_xlpm.x,'Diversion and Disposal'!$BH$7,"kg")))</f>
        <v/>
      </c>
      <c r="BR101" s="434" t="str">
        <f>_xlfn.LET(_xlpm.x,R101,IF(OR(LEN(_xlpm.x)&lt;1,_xlpm.x=0),"",CONVERT(_xlpm.x,'Diversion and Disposal'!$BH$7,"kg")))</f>
        <v/>
      </c>
      <c r="BS101" s="434" t="str">
        <f>_xlfn.LET(_xlpm.x,S101,IF(OR(LEN(_xlpm.x)&lt;1,_xlpm.x=0),"",CONVERT(_xlpm.x,'Diversion and Disposal'!$BH$7,"kg")))</f>
        <v/>
      </c>
      <c r="BT101" s="435">
        <f t="shared" si="64"/>
        <v>0</v>
      </c>
      <c r="BU101" s="433" t="str">
        <f>_xlfn.LET(_xlpm.x,BF101,IF(LEN(_xlpm.x)&lt;1,"",IF(ISNUMBER(MATCH(_xlpm.x,ls_Mat_def,0)),'Project Inputs'!$BF$14,99)))</f>
        <v/>
      </c>
      <c r="BV101" s="432" t="str" cm="1">
        <f t="array" ref="BV101">IFERROR(INDEX(tblGWP[],MATCH(1,(tblGWP[Dataset ID]=BU101)*(tblGWP[Material Subcategory]=BF101),0),MATCH(BG101,ls_WHM,0)+5),"confirm")</f>
        <v>confirm</v>
      </c>
      <c r="BW101" s="434" t="str">
        <f t="shared" si="52"/>
        <v>No data</v>
      </c>
      <c r="BX101" s="434" t="str">
        <f t="shared" si="53"/>
        <v>No data</v>
      </c>
      <c r="BY101" s="434" t="str">
        <f t="shared" si="78"/>
        <v>No data</v>
      </c>
      <c r="BZ101" s="434" t="str">
        <f t="shared" si="55"/>
        <v>No data</v>
      </c>
      <c r="CA101" s="434" t="str">
        <f t="shared" si="56"/>
        <v>No data</v>
      </c>
      <c r="CB101" s="434" t="str">
        <f t="shared" si="57"/>
        <v>No data</v>
      </c>
      <c r="CC101" s="434" t="str">
        <f t="shared" si="58"/>
        <v>No data</v>
      </c>
      <c r="CD101" s="434" t="str">
        <f t="shared" si="59"/>
        <v>No data</v>
      </c>
      <c r="CE101" s="434" t="str">
        <f t="shared" si="60"/>
        <v>No data</v>
      </c>
      <c r="CF101" s="434" t="str">
        <f t="shared" si="61"/>
        <v>No data</v>
      </c>
      <c r="CG101" s="434" t="str">
        <f t="shared" si="62"/>
        <v>No data</v>
      </c>
      <c r="CH101" s="434" t="str">
        <f t="shared" si="63"/>
        <v>No data</v>
      </c>
      <c r="CI101" s="435">
        <f t="shared" si="65"/>
        <v>0</v>
      </c>
      <c r="CK101" s="3" t="str">
        <f>_xlfn.LET(_xlpm.x,INDEX(tbl_Mat_def[],MATCH(BF101,ls_Mat_def,0),2),IFERROR(IF(_xlpm.x=0,"No","Yes"),"No"))</f>
        <v>No</v>
      </c>
      <c r="CM101" s="60" t="str">
        <f t="shared" si="66"/>
        <v/>
      </c>
      <c r="CN101" s="60" t="s">
        <v>235</v>
      </c>
      <c r="CO101" s="432" t="str" cm="1">
        <f t="array" ref="CO101">IFERROR(INDEX(tblGWP[],MATCH(1,(tblGWP[Dataset ID]=BU101)*(tblGWP[Material Subcategory]=CM101),0),MATCH(CN101,ls_WHM,0)+4),"confirm")</f>
        <v>confirm</v>
      </c>
      <c r="CP101" s="436" t="str">
        <f t="shared" si="67"/>
        <v/>
      </c>
      <c r="DD101" s="388">
        <f t="shared" si="79"/>
        <v>0</v>
      </c>
      <c r="DE101" s="22">
        <f t="shared" si="68"/>
        <v>19</v>
      </c>
      <c r="DF101" s="387">
        <f t="shared" si="80"/>
        <v>0</v>
      </c>
      <c r="DG101" s="387">
        <f t="shared" si="69"/>
        <v>0</v>
      </c>
      <c r="DH101" s="22">
        <f t="shared" ca="1" si="70"/>
        <v>0</v>
      </c>
      <c r="DI101">
        <f t="shared" ca="1" si="71"/>
        <v>0</v>
      </c>
    </row>
    <row r="102" spans="1:113" ht="30" hidden="1" customHeight="1" outlineLevel="1">
      <c r="A102" s="22" t="str">
        <f t="shared" si="72"/>
        <v/>
      </c>
      <c r="B102" s="199"/>
      <c r="C102" s="459"/>
      <c r="D102" s="199"/>
      <c r="E102" s="405"/>
      <c r="F102" s="405"/>
      <c r="G102" s="406"/>
      <c r="H102" s="377"/>
      <c r="I102" s="377"/>
      <c r="J102" s="377"/>
      <c r="K102" s="377"/>
      <c r="L102" s="377"/>
      <c r="M102" s="377"/>
      <c r="N102" s="377"/>
      <c r="O102" s="377"/>
      <c r="P102" s="377"/>
      <c r="Q102" s="377"/>
      <c r="R102" s="377"/>
      <c r="S102" s="377"/>
      <c r="T102" s="458">
        <f t="shared" si="81"/>
        <v>0</v>
      </c>
      <c r="U102" s="200"/>
      <c r="W102" s="442"/>
      <c r="X102" s="443"/>
      <c r="BC102" s="3">
        <f t="shared" si="73"/>
        <v>0</v>
      </c>
      <c r="BD102" s="3">
        <f t="shared" si="74"/>
        <v>0</v>
      </c>
      <c r="BE102" s="432" t="str">
        <f t="shared" si="75"/>
        <v/>
      </c>
      <c r="BF102" s="432" t="str">
        <f t="shared" si="76"/>
        <v/>
      </c>
      <c r="BG102" s="432" t="str">
        <f t="shared" si="77"/>
        <v/>
      </c>
      <c r="BH102" s="434" t="str">
        <f>_xlfn.LET(_xlpm.x,H102,IF(OR(LEN(_xlpm.x)&lt;1,_xlpm.x=0),"",CONVERT(_xlpm.x,'Diversion and Disposal'!$BH$7,"kg")))</f>
        <v/>
      </c>
      <c r="BI102" s="434" t="str">
        <f>_xlfn.LET(_xlpm.x,I102,IF(OR(LEN(_xlpm.x)&lt;1,_xlpm.x=0),"",CONVERT(_xlpm.x,'Diversion and Disposal'!$BH$7,"kg")))</f>
        <v/>
      </c>
      <c r="BJ102" s="434" t="str">
        <f>_xlfn.LET(_xlpm.x,J102,IF(OR(LEN(_xlpm.x)&lt;1,_xlpm.x=0),"",CONVERT(_xlpm.x,'Diversion and Disposal'!$BH$7,"kg")))</f>
        <v/>
      </c>
      <c r="BK102" s="434" t="str">
        <f>_xlfn.LET(_xlpm.x,K102,IF(OR(LEN(_xlpm.x)&lt;1,_xlpm.x=0),"",CONVERT(_xlpm.x,'Diversion and Disposal'!$BH$7,"kg")))</f>
        <v/>
      </c>
      <c r="BL102" s="434" t="str">
        <f>_xlfn.LET(_xlpm.x,L102,IF(OR(LEN(_xlpm.x)&lt;1,_xlpm.x=0),"",CONVERT(_xlpm.x,'Diversion and Disposal'!$BH$7,"kg")))</f>
        <v/>
      </c>
      <c r="BM102" s="434" t="str">
        <f>_xlfn.LET(_xlpm.x,M102,IF(OR(LEN(_xlpm.x)&lt;1,_xlpm.x=0),"",CONVERT(_xlpm.x,'Diversion and Disposal'!$BH$7,"kg")))</f>
        <v/>
      </c>
      <c r="BN102" s="434" t="str">
        <f>_xlfn.LET(_xlpm.x,N102,IF(OR(LEN(_xlpm.x)&lt;1,_xlpm.x=0),"",CONVERT(_xlpm.x,'Diversion and Disposal'!$BH$7,"kg")))</f>
        <v/>
      </c>
      <c r="BO102" s="434" t="str">
        <f>_xlfn.LET(_xlpm.x,O102,IF(OR(LEN(_xlpm.x)&lt;1,_xlpm.x=0),"",CONVERT(_xlpm.x,'Diversion and Disposal'!$BH$7,"kg")))</f>
        <v/>
      </c>
      <c r="BP102" s="434" t="str">
        <f>_xlfn.LET(_xlpm.x,P102,IF(OR(LEN(_xlpm.x)&lt;1,_xlpm.x=0),"",CONVERT(_xlpm.x,'Diversion and Disposal'!$BH$7,"kg")))</f>
        <v/>
      </c>
      <c r="BQ102" s="434" t="str">
        <f>_xlfn.LET(_xlpm.x,Q102,IF(OR(LEN(_xlpm.x)&lt;1,_xlpm.x=0),"",CONVERT(_xlpm.x,'Diversion and Disposal'!$BH$7,"kg")))</f>
        <v/>
      </c>
      <c r="BR102" s="434" t="str">
        <f>_xlfn.LET(_xlpm.x,R102,IF(OR(LEN(_xlpm.x)&lt;1,_xlpm.x=0),"",CONVERT(_xlpm.x,'Diversion and Disposal'!$BH$7,"kg")))</f>
        <v/>
      </c>
      <c r="BS102" s="434" t="str">
        <f>_xlfn.LET(_xlpm.x,S102,IF(OR(LEN(_xlpm.x)&lt;1,_xlpm.x=0),"",CONVERT(_xlpm.x,'Diversion and Disposal'!$BH$7,"kg")))</f>
        <v/>
      </c>
      <c r="BT102" s="435">
        <f t="shared" si="64"/>
        <v>0</v>
      </c>
      <c r="BU102" s="433" t="str">
        <f>_xlfn.LET(_xlpm.x,BF102,IF(LEN(_xlpm.x)&lt;1,"",IF(ISNUMBER(MATCH(_xlpm.x,ls_Mat_def,0)),'Project Inputs'!$BF$14,99)))</f>
        <v/>
      </c>
      <c r="BV102" s="432" t="str" cm="1">
        <f t="array" ref="BV102">IFERROR(INDEX(tblGWP[],MATCH(1,(tblGWP[Dataset ID]=BU102)*(tblGWP[Material Subcategory]=BF102),0),MATCH(BG102,ls_WHM,0)+5),"confirm")</f>
        <v>confirm</v>
      </c>
      <c r="BW102" s="434" t="str">
        <f t="shared" si="52"/>
        <v>No data</v>
      </c>
      <c r="BX102" s="434" t="str">
        <f t="shared" si="53"/>
        <v>No data</v>
      </c>
      <c r="BY102" s="434" t="str">
        <f t="shared" si="78"/>
        <v>No data</v>
      </c>
      <c r="BZ102" s="434" t="str">
        <f t="shared" si="55"/>
        <v>No data</v>
      </c>
      <c r="CA102" s="434" t="str">
        <f t="shared" si="56"/>
        <v>No data</v>
      </c>
      <c r="CB102" s="434" t="str">
        <f t="shared" si="57"/>
        <v>No data</v>
      </c>
      <c r="CC102" s="434" t="str">
        <f t="shared" si="58"/>
        <v>No data</v>
      </c>
      <c r="CD102" s="434" t="str">
        <f t="shared" si="59"/>
        <v>No data</v>
      </c>
      <c r="CE102" s="434" t="str">
        <f t="shared" si="60"/>
        <v>No data</v>
      </c>
      <c r="CF102" s="434" t="str">
        <f t="shared" si="61"/>
        <v>No data</v>
      </c>
      <c r="CG102" s="434" t="str">
        <f t="shared" si="62"/>
        <v>No data</v>
      </c>
      <c r="CH102" s="434" t="str">
        <f t="shared" si="63"/>
        <v>No data</v>
      </c>
      <c r="CI102" s="435">
        <f t="shared" si="65"/>
        <v>0</v>
      </c>
      <c r="CK102" s="3" t="str">
        <f>_xlfn.LET(_xlpm.x,INDEX(tbl_Mat_def[],MATCH(BF102,ls_Mat_def,0),2),IFERROR(IF(_xlpm.x=0,"No","Yes"),"No"))</f>
        <v>No</v>
      </c>
      <c r="CM102" s="60" t="str">
        <f t="shared" si="66"/>
        <v/>
      </c>
      <c r="CN102" s="60" t="s">
        <v>235</v>
      </c>
      <c r="CO102" s="432" t="str" cm="1">
        <f t="array" ref="CO102">IFERROR(INDEX(tblGWP[],MATCH(1,(tblGWP[Dataset ID]=BU102)*(tblGWP[Material Subcategory]=CM102),0),MATCH(CN102,ls_WHM,0)+4),"confirm")</f>
        <v>confirm</v>
      </c>
      <c r="CP102" s="436" t="str">
        <f t="shared" si="67"/>
        <v/>
      </c>
      <c r="DD102" s="388">
        <f t="shared" si="79"/>
        <v>0</v>
      </c>
      <c r="DE102" s="22">
        <f t="shared" si="68"/>
        <v>19</v>
      </c>
      <c r="DF102" s="387">
        <f t="shared" si="80"/>
        <v>0</v>
      </c>
      <c r="DG102" s="387">
        <f t="shared" si="69"/>
        <v>0</v>
      </c>
      <c r="DH102" s="22">
        <f t="shared" ca="1" si="70"/>
        <v>0</v>
      </c>
      <c r="DI102">
        <f t="shared" ca="1" si="71"/>
        <v>0</v>
      </c>
    </row>
    <row r="103" spans="1:113" ht="30" hidden="1" customHeight="1" outlineLevel="1">
      <c r="A103" s="22" t="str">
        <f t="shared" si="72"/>
        <v/>
      </c>
      <c r="B103" s="199"/>
      <c r="C103" s="459"/>
      <c r="D103" s="199"/>
      <c r="E103" s="405"/>
      <c r="F103" s="405"/>
      <c r="G103" s="406"/>
      <c r="H103" s="377"/>
      <c r="I103" s="377"/>
      <c r="J103" s="377"/>
      <c r="K103" s="377"/>
      <c r="L103" s="377"/>
      <c r="M103" s="377"/>
      <c r="N103" s="377"/>
      <c r="O103" s="377"/>
      <c r="P103" s="377"/>
      <c r="Q103" s="377"/>
      <c r="R103" s="377"/>
      <c r="S103" s="377"/>
      <c r="T103" s="458">
        <f t="shared" si="81"/>
        <v>0</v>
      </c>
      <c r="U103" s="200"/>
      <c r="W103" s="442"/>
      <c r="X103" s="443"/>
      <c r="BC103" s="3">
        <f t="shared" si="73"/>
        <v>0</v>
      </c>
      <c r="BD103" s="3">
        <f t="shared" si="74"/>
        <v>0</v>
      </c>
      <c r="BE103" s="432" t="str">
        <f t="shared" si="75"/>
        <v/>
      </c>
      <c r="BF103" s="432" t="str">
        <f t="shared" si="76"/>
        <v/>
      </c>
      <c r="BG103" s="432" t="str">
        <f t="shared" si="77"/>
        <v/>
      </c>
      <c r="BH103" s="434" t="str">
        <f>_xlfn.LET(_xlpm.x,H103,IF(OR(LEN(_xlpm.x)&lt;1,_xlpm.x=0),"",CONVERT(_xlpm.x,'Diversion and Disposal'!$BH$7,"kg")))</f>
        <v/>
      </c>
      <c r="BI103" s="434" t="str">
        <f>_xlfn.LET(_xlpm.x,I103,IF(OR(LEN(_xlpm.x)&lt;1,_xlpm.x=0),"",CONVERT(_xlpm.x,'Diversion and Disposal'!$BH$7,"kg")))</f>
        <v/>
      </c>
      <c r="BJ103" s="434" t="str">
        <f>_xlfn.LET(_xlpm.x,J103,IF(OR(LEN(_xlpm.x)&lt;1,_xlpm.x=0),"",CONVERT(_xlpm.x,'Diversion and Disposal'!$BH$7,"kg")))</f>
        <v/>
      </c>
      <c r="BK103" s="434" t="str">
        <f>_xlfn.LET(_xlpm.x,K103,IF(OR(LEN(_xlpm.x)&lt;1,_xlpm.x=0),"",CONVERT(_xlpm.x,'Diversion and Disposal'!$BH$7,"kg")))</f>
        <v/>
      </c>
      <c r="BL103" s="434" t="str">
        <f>_xlfn.LET(_xlpm.x,L103,IF(OR(LEN(_xlpm.x)&lt;1,_xlpm.x=0),"",CONVERT(_xlpm.x,'Diversion and Disposal'!$BH$7,"kg")))</f>
        <v/>
      </c>
      <c r="BM103" s="434" t="str">
        <f>_xlfn.LET(_xlpm.x,M103,IF(OR(LEN(_xlpm.x)&lt;1,_xlpm.x=0),"",CONVERT(_xlpm.x,'Diversion and Disposal'!$BH$7,"kg")))</f>
        <v/>
      </c>
      <c r="BN103" s="434" t="str">
        <f>_xlfn.LET(_xlpm.x,N103,IF(OR(LEN(_xlpm.x)&lt;1,_xlpm.x=0),"",CONVERT(_xlpm.x,'Diversion and Disposal'!$BH$7,"kg")))</f>
        <v/>
      </c>
      <c r="BO103" s="434" t="str">
        <f>_xlfn.LET(_xlpm.x,O103,IF(OR(LEN(_xlpm.x)&lt;1,_xlpm.x=0),"",CONVERT(_xlpm.x,'Diversion and Disposal'!$BH$7,"kg")))</f>
        <v/>
      </c>
      <c r="BP103" s="434" t="str">
        <f>_xlfn.LET(_xlpm.x,P103,IF(OR(LEN(_xlpm.x)&lt;1,_xlpm.x=0),"",CONVERT(_xlpm.x,'Diversion and Disposal'!$BH$7,"kg")))</f>
        <v/>
      </c>
      <c r="BQ103" s="434" t="str">
        <f>_xlfn.LET(_xlpm.x,Q103,IF(OR(LEN(_xlpm.x)&lt;1,_xlpm.x=0),"",CONVERT(_xlpm.x,'Diversion and Disposal'!$BH$7,"kg")))</f>
        <v/>
      </c>
      <c r="BR103" s="434" t="str">
        <f>_xlfn.LET(_xlpm.x,R103,IF(OR(LEN(_xlpm.x)&lt;1,_xlpm.x=0),"",CONVERT(_xlpm.x,'Diversion and Disposal'!$BH$7,"kg")))</f>
        <v/>
      </c>
      <c r="BS103" s="434" t="str">
        <f>_xlfn.LET(_xlpm.x,S103,IF(OR(LEN(_xlpm.x)&lt;1,_xlpm.x=0),"",CONVERT(_xlpm.x,'Diversion and Disposal'!$BH$7,"kg")))</f>
        <v/>
      </c>
      <c r="BT103" s="435">
        <f t="shared" si="64"/>
        <v>0</v>
      </c>
      <c r="BU103" s="433" t="str">
        <f>_xlfn.LET(_xlpm.x,BF103,IF(LEN(_xlpm.x)&lt;1,"",IF(ISNUMBER(MATCH(_xlpm.x,ls_Mat_def,0)),'Project Inputs'!$BF$14,99)))</f>
        <v/>
      </c>
      <c r="BV103" s="432" t="str" cm="1">
        <f t="array" ref="BV103">IFERROR(INDEX(tblGWP[],MATCH(1,(tblGWP[Dataset ID]=BU103)*(tblGWP[Material Subcategory]=BF103),0),MATCH(BG103,ls_WHM,0)+5),"confirm")</f>
        <v>confirm</v>
      </c>
      <c r="BW103" s="434" t="str">
        <f t="shared" si="52"/>
        <v>No data</v>
      </c>
      <c r="BX103" s="434" t="str">
        <f t="shared" si="53"/>
        <v>No data</v>
      </c>
      <c r="BY103" s="434" t="str">
        <f t="shared" si="78"/>
        <v>No data</v>
      </c>
      <c r="BZ103" s="434" t="str">
        <f t="shared" si="55"/>
        <v>No data</v>
      </c>
      <c r="CA103" s="434" t="str">
        <f t="shared" si="56"/>
        <v>No data</v>
      </c>
      <c r="CB103" s="434" t="str">
        <f t="shared" si="57"/>
        <v>No data</v>
      </c>
      <c r="CC103" s="434" t="str">
        <f t="shared" si="58"/>
        <v>No data</v>
      </c>
      <c r="CD103" s="434" t="str">
        <f t="shared" si="59"/>
        <v>No data</v>
      </c>
      <c r="CE103" s="434" t="str">
        <f t="shared" si="60"/>
        <v>No data</v>
      </c>
      <c r="CF103" s="434" t="str">
        <f t="shared" si="61"/>
        <v>No data</v>
      </c>
      <c r="CG103" s="434" t="str">
        <f t="shared" si="62"/>
        <v>No data</v>
      </c>
      <c r="CH103" s="434" t="str">
        <f t="shared" si="63"/>
        <v>No data</v>
      </c>
      <c r="CI103" s="435">
        <f t="shared" si="65"/>
        <v>0</v>
      </c>
      <c r="CK103" s="3" t="str">
        <f>_xlfn.LET(_xlpm.x,INDEX(tbl_Mat_def[],MATCH(BF103,ls_Mat_def,0),2),IFERROR(IF(_xlpm.x=0,"No","Yes"),"No"))</f>
        <v>No</v>
      </c>
      <c r="CM103" s="60" t="str">
        <f t="shared" si="66"/>
        <v/>
      </c>
      <c r="CN103" s="60" t="s">
        <v>235</v>
      </c>
      <c r="CO103" s="432" t="str" cm="1">
        <f t="array" ref="CO103">IFERROR(INDEX(tblGWP[],MATCH(1,(tblGWP[Dataset ID]=BU103)*(tblGWP[Material Subcategory]=CM103),0),MATCH(CN103,ls_WHM,0)+4),"confirm")</f>
        <v>confirm</v>
      </c>
      <c r="CP103" s="436" t="str">
        <f t="shared" si="67"/>
        <v/>
      </c>
      <c r="DD103" s="388">
        <f t="shared" si="79"/>
        <v>0</v>
      </c>
      <c r="DE103" s="22">
        <f t="shared" si="68"/>
        <v>19</v>
      </c>
      <c r="DF103" s="387">
        <f t="shared" si="80"/>
        <v>0</v>
      </c>
      <c r="DG103" s="387">
        <f t="shared" si="69"/>
        <v>0</v>
      </c>
      <c r="DH103" s="22">
        <f t="shared" ca="1" si="70"/>
        <v>0</v>
      </c>
      <c r="DI103">
        <f t="shared" ca="1" si="71"/>
        <v>0</v>
      </c>
    </row>
    <row r="104" spans="1:113" ht="30" hidden="1" customHeight="1" outlineLevel="1">
      <c r="A104" s="22" t="str">
        <f t="shared" si="72"/>
        <v/>
      </c>
      <c r="B104" s="199"/>
      <c r="C104" s="459"/>
      <c r="D104" s="199"/>
      <c r="E104" s="405"/>
      <c r="F104" s="405"/>
      <c r="G104" s="406"/>
      <c r="H104" s="377"/>
      <c r="I104" s="377"/>
      <c r="J104" s="377"/>
      <c r="K104" s="377"/>
      <c r="L104" s="377"/>
      <c r="M104" s="377"/>
      <c r="N104" s="377"/>
      <c r="O104" s="377"/>
      <c r="P104" s="377"/>
      <c r="Q104" s="377"/>
      <c r="R104" s="377"/>
      <c r="S104" s="377"/>
      <c r="T104" s="458">
        <f t="shared" si="81"/>
        <v>0</v>
      </c>
      <c r="U104" s="200"/>
      <c r="W104" s="442"/>
      <c r="X104" s="443"/>
      <c r="BC104" s="3">
        <f t="shared" si="73"/>
        <v>0</v>
      </c>
      <c r="BD104" s="3">
        <f t="shared" si="74"/>
        <v>0</v>
      </c>
      <c r="BE104" s="432" t="str">
        <f t="shared" si="75"/>
        <v/>
      </c>
      <c r="BF104" s="432" t="str">
        <f t="shared" si="76"/>
        <v/>
      </c>
      <c r="BG104" s="432" t="str">
        <f t="shared" si="77"/>
        <v/>
      </c>
      <c r="BH104" s="434" t="str">
        <f>_xlfn.LET(_xlpm.x,H104,IF(OR(LEN(_xlpm.x)&lt;1,_xlpm.x=0),"",CONVERT(_xlpm.x,'Diversion and Disposal'!$BH$7,"kg")))</f>
        <v/>
      </c>
      <c r="BI104" s="434" t="str">
        <f>_xlfn.LET(_xlpm.x,I104,IF(OR(LEN(_xlpm.x)&lt;1,_xlpm.x=0),"",CONVERT(_xlpm.x,'Diversion and Disposal'!$BH$7,"kg")))</f>
        <v/>
      </c>
      <c r="BJ104" s="434" t="str">
        <f>_xlfn.LET(_xlpm.x,J104,IF(OR(LEN(_xlpm.x)&lt;1,_xlpm.x=0),"",CONVERT(_xlpm.x,'Diversion and Disposal'!$BH$7,"kg")))</f>
        <v/>
      </c>
      <c r="BK104" s="434" t="str">
        <f>_xlfn.LET(_xlpm.x,K104,IF(OR(LEN(_xlpm.x)&lt;1,_xlpm.x=0),"",CONVERT(_xlpm.x,'Diversion and Disposal'!$BH$7,"kg")))</f>
        <v/>
      </c>
      <c r="BL104" s="434" t="str">
        <f>_xlfn.LET(_xlpm.x,L104,IF(OR(LEN(_xlpm.x)&lt;1,_xlpm.x=0),"",CONVERT(_xlpm.x,'Diversion and Disposal'!$BH$7,"kg")))</f>
        <v/>
      </c>
      <c r="BM104" s="434" t="str">
        <f>_xlfn.LET(_xlpm.x,M104,IF(OR(LEN(_xlpm.x)&lt;1,_xlpm.x=0),"",CONVERT(_xlpm.x,'Diversion and Disposal'!$BH$7,"kg")))</f>
        <v/>
      </c>
      <c r="BN104" s="434" t="str">
        <f>_xlfn.LET(_xlpm.x,N104,IF(OR(LEN(_xlpm.x)&lt;1,_xlpm.x=0),"",CONVERT(_xlpm.x,'Diversion and Disposal'!$BH$7,"kg")))</f>
        <v/>
      </c>
      <c r="BO104" s="434" t="str">
        <f>_xlfn.LET(_xlpm.x,O104,IF(OR(LEN(_xlpm.x)&lt;1,_xlpm.x=0),"",CONVERT(_xlpm.x,'Diversion and Disposal'!$BH$7,"kg")))</f>
        <v/>
      </c>
      <c r="BP104" s="434" t="str">
        <f>_xlfn.LET(_xlpm.x,P104,IF(OR(LEN(_xlpm.x)&lt;1,_xlpm.x=0),"",CONVERT(_xlpm.x,'Diversion and Disposal'!$BH$7,"kg")))</f>
        <v/>
      </c>
      <c r="BQ104" s="434" t="str">
        <f>_xlfn.LET(_xlpm.x,Q104,IF(OR(LEN(_xlpm.x)&lt;1,_xlpm.x=0),"",CONVERT(_xlpm.x,'Diversion and Disposal'!$BH$7,"kg")))</f>
        <v/>
      </c>
      <c r="BR104" s="434" t="str">
        <f>_xlfn.LET(_xlpm.x,R104,IF(OR(LEN(_xlpm.x)&lt;1,_xlpm.x=0),"",CONVERT(_xlpm.x,'Diversion and Disposal'!$BH$7,"kg")))</f>
        <v/>
      </c>
      <c r="BS104" s="434" t="str">
        <f>_xlfn.LET(_xlpm.x,S104,IF(OR(LEN(_xlpm.x)&lt;1,_xlpm.x=0),"",CONVERT(_xlpm.x,'Diversion and Disposal'!$BH$7,"kg")))</f>
        <v/>
      </c>
      <c r="BT104" s="435">
        <f t="shared" si="64"/>
        <v>0</v>
      </c>
      <c r="BU104" s="433" t="str">
        <f>_xlfn.LET(_xlpm.x,BF104,IF(LEN(_xlpm.x)&lt;1,"",IF(ISNUMBER(MATCH(_xlpm.x,ls_Mat_def,0)),'Project Inputs'!$BF$14,99)))</f>
        <v/>
      </c>
      <c r="BV104" s="432" t="str" cm="1">
        <f t="array" ref="BV104">IFERROR(INDEX(tblGWP[],MATCH(1,(tblGWP[Dataset ID]=BU104)*(tblGWP[Material Subcategory]=BF104),0),MATCH(BG104,ls_WHM,0)+5),"confirm")</f>
        <v>confirm</v>
      </c>
      <c r="BW104" s="434" t="str">
        <f t="shared" si="52"/>
        <v>No data</v>
      </c>
      <c r="BX104" s="434" t="str">
        <f t="shared" si="53"/>
        <v>No data</v>
      </c>
      <c r="BY104" s="434" t="str">
        <f t="shared" si="78"/>
        <v>No data</v>
      </c>
      <c r="BZ104" s="434" t="str">
        <f t="shared" si="55"/>
        <v>No data</v>
      </c>
      <c r="CA104" s="434" t="str">
        <f t="shared" si="56"/>
        <v>No data</v>
      </c>
      <c r="CB104" s="434" t="str">
        <f t="shared" si="57"/>
        <v>No data</v>
      </c>
      <c r="CC104" s="434" t="str">
        <f t="shared" si="58"/>
        <v>No data</v>
      </c>
      <c r="CD104" s="434" t="str">
        <f t="shared" si="59"/>
        <v>No data</v>
      </c>
      <c r="CE104" s="434" t="str">
        <f t="shared" si="60"/>
        <v>No data</v>
      </c>
      <c r="CF104" s="434" t="str">
        <f t="shared" si="61"/>
        <v>No data</v>
      </c>
      <c r="CG104" s="434" t="str">
        <f t="shared" si="62"/>
        <v>No data</v>
      </c>
      <c r="CH104" s="434" t="str">
        <f t="shared" si="63"/>
        <v>No data</v>
      </c>
      <c r="CI104" s="435">
        <f t="shared" si="65"/>
        <v>0</v>
      </c>
      <c r="CK104" s="3" t="str">
        <f>_xlfn.LET(_xlpm.x,INDEX(tbl_Mat_def[],MATCH(BF104,ls_Mat_def,0),2),IFERROR(IF(_xlpm.x=0,"No","Yes"),"No"))</f>
        <v>No</v>
      </c>
      <c r="CM104" s="60" t="str">
        <f t="shared" si="66"/>
        <v/>
      </c>
      <c r="CN104" s="60" t="s">
        <v>235</v>
      </c>
      <c r="CO104" s="432" t="str" cm="1">
        <f t="array" ref="CO104">IFERROR(INDEX(tblGWP[],MATCH(1,(tblGWP[Dataset ID]=BU104)*(tblGWP[Material Subcategory]=CM104),0),MATCH(CN104,ls_WHM,0)+4),"confirm")</f>
        <v>confirm</v>
      </c>
      <c r="CP104" s="436" t="str">
        <f t="shared" si="67"/>
        <v/>
      </c>
      <c r="DD104" s="388">
        <f t="shared" si="79"/>
        <v>0</v>
      </c>
      <c r="DE104" s="22">
        <f t="shared" si="68"/>
        <v>19</v>
      </c>
      <c r="DF104" s="387">
        <f t="shared" si="80"/>
        <v>0</v>
      </c>
      <c r="DG104" s="387">
        <f t="shared" si="69"/>
        <v>0</v>
      </c>
      <c r="DH104" s="22">
        <f t="shared" ca="1" si="70"/>
        <v>0</v>
      </c>
      <c r="DI104">
        <f t="shared" ca="1" si="71"/>
        <v>0</v>
      </c>
    </row>
    <row r="105" spans="1:113" ht="30" hidden="1" customHeight="1" outlineLevel="1">
      <c r="A105" s="22" t="str">
        <f t="shared" si="72"/>
        <v/>
      </c>
      <c r="B105" s="199"/>
      <c r="C105" s="459"/>
      <c r="D105" s="199"/>
      <c r="E105" s="405"/>
      <c r="F105" s="405"/>
      <c r="G105" s="406"/>
      <c r="H105" s="377"/>
      <c r="I105" s="377"/>
      <c r="J105" s="377"/>
      <c r="K105" s="377"/>
      <c r="L105" s="377"/>
      <c r="M105" s="377"/>
      <c r="N105" s="377"/>
      <c r="O105" s="377"/>
      <c r="P105" s="377"/>
      <c r="Q105" s="377"/>
      <c r="R105" s="377"/>
      <c r="S105" s="377"/>
      <c r="T105" s="458">
        <f t="shared" si="81"/>
        <v>0</v>
      </c>
      <c r="U105" s="200"/>
      <c r="W105" s="442"/>
      <c r="X105" s="443"/>
      <c r="BC105" s="3">
        <f t="shared" si="73"/>
        <v>0</v>
      </c>
      <c r="BD105" s="3">
        <f t="shared" si="74"/>
        <v>0</v>
      </c>
      <c r="BE105" s="432" t="str">
        <f t="shared" si="75"/>
        <v/>
      </c>
      <c r="BF105" s="432" t="str">
        <f t="shared" si="76"/>
        <v/>
      </c>
      <c r="BG105" s="432" t="str">
        <f t="shared" si="77"/>
        <v/>
      </c>
      <c r="BH105" s="434" t="str">
        <f>_xlfn.LET(_xlpm.x,H105,IF(OR(LEN(_xlpm.x)&lt;1,_xlpm.x=0),"",CONVERT(_xlpm.x,'Diversion and Disposal'!$BH$7,"kg")))</f>
        <v/>
      </c>
      <c r="BI105" s="434" t="str">
        <f>_xlfn.LET(_xlpm.x,I105,IF(OR(LEN(_xlpm.x)&lt;1,_xlpm.x=0),"",CONVERT(_xlpm.x,'Diversion and Disposal'!$BH$7,"kg")))</f>
        <v/>
      </c>
      <c r="BJ105" s="434" t="str">
        <f>_xlfn.LET(_xlpm.x,J105,IF(OR(LEN(_xlpm.x)&lt;1,_xlpm.x=0),"",CONVERT(_xlpm.x,'Diversion and Disposal'!$BH$7,"kg")))</f>
        <v/>
      </c>
      <c r="BK105" s="434" t="str">
        <f>_xlfn.LET(_xlpm.x,K105,IF(OR(LEN(_xlpm.x)&lt;1,_xlpm.x=0),"",CONVERT(_xlpm.x,'Diversion and Disposal'!$BH$7,"kg")))</f>
        <v/>
      </c>
      <c r="BL105" s="434" t="str">
        <f>_xlfn.LET(_xlpm.x,L105,IF(OR(LEN(_xlpm.x)&lt;1,_xlpm.x=0),"",CONVERT(_xlpm.x,'Diversion and Disposal'!$BH$7,"kg")))</f>
        <v/>
      </c>
      <c r="BM105" s="434" t="str">
        <f>_xlfn.LET(_xlpm.x,M105,IF(OR(LEN(_xlpm.x)&lt;1,_xlpm.x=0),"",CONVERT(_xlpm.x,'Diversion and Disposal'!$BH$7,"kg")))</f>
        <v/>
      </c>
      <c r="BN105" s="434" t="str">
        <f>_xlfn.LET(_xlpm.x,N105,IF(OR(LEN(_xlpm.x)&lt;1,_xlpm.x=0),"",CONVERT(_xlpm.x,'Diversion and Disposal'!$BH$7,"kg")))</f>
        <v/>
      </c>
      <c r="BO105" s="434" t="str">
        <f>_xlfn.LET(_xlpm.x,O105,IF(OR(LEN(_xlpm.x)&lt;1,_xlpm.x=0),"",CONVERT(_xlpm.x,'Diversion and Disposal'!$BH$7,"kg")))</f>
        <v/>
      </c>
      <c r="BP105" s="434" t="str">
        <f>_xlfn.LET(_xlpm.x,P105,IF(OR(LEN(_xlpm.x)&lt;1,_xlpm.x=0),"",CONVERT(_xlpm.x,'Diversion and Disposal'!$BH$7,"kg")))</f>
        <v/>
      </c>
      <c r="BQ105" s="434" t="str">
        <f>_xlfn.LET(_xlpm.x,Q105,IF(OR(LEN(_xlpm.x)&lt;1,_xlpm.x=0),"",CONVERT(_xlpm.x,'Diversion and Disposal'!$BH$7,"kg")))</f>
        <v/>
      </c>
      <c r="BR105" s="434" t="str">
        <f>_xlfn.LET(_xlpm.x,R105,IF(OR(LEN(_xlpm.x)&lt;1,_xlpm.x=0),"",CONVERT(_xlpm.x,'Diversion and Disposal'!$BH$7,"kg")))</f>
        <v/>
      </c>
      <c r="BS105" s="434" t="str">
        <f>_xlfn.LET(_xlpm.x,S105,IF(OR(LEN(_xlpm.x)&lt;1,_xlpm.x=0),"",CONVERT(_xlpm.x,'Diversion and Disposal'!$BH$7,"kg")))</f>
        <v/>
      </c>
      <c r="BT105" s="435">
        <f t="shared" si="64"/>
        <v>0</v>
      </c>
      <c r="BU105" s="433" t="str">
        <f>_xlfn.LET(_xlpm.x,BF105,IF(LEN(_xlpm.x)&lt;1,"",IF(ISNUMBER(MATCH(_xlpm.x,ls_Mat_def,0)),'Project Inputs'!$BF$14,99)))</f>
        <v/>
      </c>
      <c r="BV105" s="432" t="str" cm="1">
        <f t="array" ref="BV105">IFERROR(INDEX(tblGWP[],MATCH(1,(tblGWP[Dataset ID]=BU105)*(tblGWP[Material Subcategory]=BF105),0),MATCH(BG105,ls_WHM,0)+5),"confirm")</f>
        <v>confirm</v>
      </c>
      <c r="BW105" s="434" t="str">
        <f t="shared" si="52"/>
        <v>No data</v>
      </c>
      <c r="BX105" s="434" t="str">
        <f t="shared" si="53"/>
        <v>No data</v>
      </c>
      <c r="BY105" s="434" t="str">
        <f t="shared" si="78"/>
        <v>No data</v>
      </c>
      <c r="BZ105" s="434" t="str">
        <f t="shared" si="55"/>
        <v>No data</v>
      </c>
      <c r="CA105" s="434" t="str">
        <f t="shared" si="56"/>
        <v>No data</v>
      </c>
      <c r="CB105" s="434" t="str">
        <f t="shared" si="57"/>
        <v>No data</v>
      </c>
      <c r="CC105" s="434" t="str">
        <f t="shared" si="58"/>
        <v>No data</v>
      </c>
      <c r="CD105" s="434" t="str">
        <f t="shared" si="59"/>
        <v>No data</v>
      </c>
      <c r="CE105" s="434" t="str">
        <f t="shared" si="60"/>
        <v>No data</v>
      </c>
      <c r="CF105" s="434" t="str">
        <f t="shared" si="61"/>
        <v>No data</v>
      </c>
      <c r="CG105" s="434" t="str">
        <f t="shared" si="62"/>
        <v>No data</v>
      </c>
      <c r="CH105" s="434" t="str">
        <f t="shared" si="63"/>
        <v>No data</v>
      </c>
      <c r="CI105" s="435">
        <f t="shared" si="65"/>
        <v>0</v>
      </c>
      <c r="CK105" s="3" t="str">
        <f>_xlfn.LET(_xlpm.x,INDEX(tbl_Mat_def[],MATCH(BF105,ls_Mat_def,0),2),IFERROR(IF(_xlpm.x=0,"No","Yes"),"No"))</f>
        <v>No</v>
      </c>
      <c r="CM105" s="60" t="str">
        <f t="shared" si="66"/>
        <v/>
      </c>
      <c r="CN105" s="60" t="s">
        <v>235</v>
      </c>
      <c r="CO105" s="432" t="str" cm="1">
        <f t="array" ref="CO105">IFERROR(INDEX(tblGWP[],MATCH(1,(tblGWP[Dataset ID]=BU105)*(tblGWP[Material Subcategory]=CM105),0),MATCH(CN105,ls_WHM,0)+4),"confirm")</f>
        <v>confirm</v>
      </c>
      <c r="CP105" s="436" t="str">
        <f t="shared" si="67"/>
        <v/>
      </c>
      <c r="DD105" s="388">
        <f t="shared" si="79"/>
        <v>0</v>
      </c>
      <c r="DE105" s="22">
        <f t="shared" si="68"/>
        <v>19</v>
      </c>
      <c r="DF105" s="387">
        <f t="shared" si="80"/>
        <v>0</v>
      </c>
      <c r="DG105" s="387">
        <f t="shared" si="69"/>
        <v>0</v>
      </c>
      <c r="DH105" s="22">
        <f t="shared" ca="1" si="70"/>
        <v>0</v>
      </c>
      <c r="DI105">
        <f t="shared" ca="1" si="71"/>
        <v>0</v>
      </c>
    </row>
    <row r="106" spans="1:113" ht="30" hidden="1" customHeight="1" outlineLevel="1">
      <c r="A106" s="22" t="str">
        <f t="shared" si="72"/>
        <v/>
      </c>
      <c r="B106" s="199"/>
      <c r="C106" s="459"/>
      <c r="D106" s="199"/>
      <c r="E106" s="405"/>
      <c r="F106" s="405"/>
      <c r="G106" s="406"/>
      <c r="H106" s="377"/>
      <c r="I106" s="377"/>
      <c r="J106" s="377"/>
      <c r="K106" s="377"/>
      <c r="L106" s="377"/>
      <c r="M106" s="377"/>
      <c r="N106" s="377"/>
      <c r="O106" s="377"/>
      <c r="P106" s="377"/>
      <c r="Q106" s="377"/>
      <c r="R106" s="377"/>
      <c r="S106" s="377"/>
      <c r="T106" s="458">
        <f t="shared" si="81"/>
        <v>0</v>
      </c>
      <c r="U106" s="200"/>
      <c r="W106" s="442"/>
      <c r="X106" s="443"/>
      <c r="BC106" s="3">
        <f t="shared" si="73"/>
        <v>0</v>
      </c>
      <c r="BD106" s="3">
        <f t="shared" si="74"/>
        <v>0</v>
      </c>
      <c r="BE106" s="432" t="str">
        <f t="shared" si="75"/>
        <v/>
      </c>
      <c r="BF106" s="432" t="str">
        <f t="shared" si="76"/>
        <v/>
      </c>
      <c r="BG106" s="432" t="str">
        <f t="shared" si="77"/>
        <v/>
      </c>
      <c r="BH106" s="434" t="str">
        <f>_xlfn.LET(_xlpm.x,H106,IF(OR(LEN(_xlpm.x)&lt;1,_xlpm.x=0),"",CONVERT(_xlpm.x,'Diversion and Disposal'!$BH$7,"kg")))</f>
        <v/>
      </c>
      <c r="BI106" s="434" t="str">
        <f>_xlfn.LET(_xlpm.x,I106,IF(OR(LEN(_xlpm.x)&lt;1,_xlpm.x=0),"",CONVERT(_xlpm.x,'Diversion and Disposal'!$BH$7,"kg")))</f>
        <v/>
      </c>
      <c r="BJ106" s="434" t="str">
        <f>_xlfn.LET(_xlpm.x,J106,IF(OR(LEN(_xlpm.x)&lt;1,_xlpm.x=0),"",CONVERT(_xlpm.x,'Diversion and Disposal'!$BH$7,"kg")))</f>
        <v/>
      </c>
      <c r="BK106" s="434" t="str">
        <f>_xlfn.LET(_xlpm.x,K106,IF(OR(LEN(_xlpm.x)&lt;1,_xlpm.x=0),"",CONVERT(_xlpm.x,'Diversion and Disposal'!$BH$7,"kg")))</f>
        <v/>
      </c>
      <c r="BL106" s="434" t="str">
        <f>_xlfn.LET(_xlpm.x,L106,IF(OR(LEN(_xlpm.x)&lt;1,_xlpm.x=0),"",CONVERT(_xlpm.x,'Diversion and Disposal'!$BH$7,"kg")))</f>
        <v/>
      </c>
      <c r="BM106" s="434" t="str">
        <f>_xlfn.LET(_xlpm.x,M106,IF(OR(LEN(_xlpm.x)&lt;1,_xlpm.x=0),"",CONVERT(_xlpm.x,'Diversion and Disposal'!$BH$7,"kg")))</f>
        <v/>
      </c>
      <c r="BN106" s="434" t="str">
        <f>_xlfn.LET(_xlpm.x,N106,IF(OR(LEN(_xlpm.x)&lt;1,_xlpm.x=0),"",CONVERT(_xlpm.x,'Diversion and Disposal'!$BH$7,"kg")))</f>
        <v/>
      </c>
      <c r="BO106" s="434" t="str">
        <f>_xlfn.LET(_xlpm.x,O106,IF(OR(LEN(_xlpm.x)&lt;1,_xlpm.x=0),"",CONVERT(_xlpm.x,'Diversion and Disposal'!$BH$7,"kg")))</f>
        <v/>
      </c>
      <c r="BP106" s="434" t="str">
        <f>_xlfn.LET(_xlpm.x,P106,IF(OR(LEN(_xlpm.x)&lt;1,_xlpm.x=0),"",CONVERT(_xlpm.x,'Diversion and Disposal'!$BH$7,"kg")))</f>
        <v/>
      </c>
      <c r="BQ106" s="434" t="str">
        <f>_xlfn.LET(_xlpm.x,Q106,IF(OR(LEN(_xlpm.x)&lt;1,_xlpm.x=0),"",CONVERT(_xlpm.x,'Diversion and Disposal'!$BH$7,"kg")))</f>
        <v/>
      </c>
      <c r="BR106" s="434" t="str">
        <f>_xlfn.LET(_xlpm.x,R106,IF(OR(LEN(_xlpm.x)&lt;1,_xlpm.x=0),"",CONVERT(_xlpm.x,'Diversion and Disposal'!$BH$7,"kg")))</f>
        <v/>
      </c>
      <c r="BS106" s="434" t="str">
        <f>_xlfn.LET(_xlpm.x,S106,IF(OR(LEN(_xlpm.x)&lt;1,_xlpm.x=0),"",CONVERT(_xlpm.x,'Diversion and Disposal'!$BH$7,"kg")))</f>
        <v/>
      </c>
      <c r="BT106" s="435">
        <f t="shared" si="64"/>
        <v>0</v>
      </c>
      <c r="BU106" s="433" t="str">
        <f>_xlfn.LET(_xlpm.x,BF106,IF(LEN(_xlpm.x)&lt;1,"",IF(ISNUMBER(MATCH(_xlpm.x,ls_Mat_def,0)),'Project Inputs'!$BF$14,99)))</f>
        <v/>
      </c>
      <c r="BV106" s="432" t="str" cm="1">
        <f t="array" ref="BV106">IFERROR(INDEX(tblGWP[],MATCH(1,(tblGWP[Dataset ID]=BU106)*(tblGWP[Material Subcategory]=BF106),0),MATCH(BG106,ls_WHM,0)+5),"confirm")</f>
        <v>confirm</v>
      </c>
      <c r="BW106" s="434" t="str">
        <f t="shared" si="52"/>
        <v>No data</v>
      </c>
      <c r="BX106" s="434" t="str">
        <f t="shared" si="53"/>
        <v>No data</v>
      </c>
      <c r="BY106" s="434" t="str">
        <f t="shared" si="78"/>
        <v>No data</v>
      </c>
      <c r="BZ106" s="434" t="str">
        <f t="shared" si="55"/>
        <v>No data</v>
      </c>
      <c r="CA106" s="434" t="str">
        <f t="shared" si="56"/>
        <v>No data</v>
      </c>
      <c r="CB106" s="434" t="str">
        <f t="shared" si="57"/>
        <v>No data</v>
      </c>
      <c r="CC106" s="434" t="str">
        <f t="shared" si="58"/>
        <v>No data</v>
      </c>
      <c r="CD106" s="434" t="str">
        <f t="shared" si="59"/>
        <v>No data</v>
      </c>
      <c r="CE106" s="434" t="str">
        <f t="shared" si="60"/>
        <v>No data</v>
      </c>
      <c r="CF106" s="434" t="str">
        <f t="shared" si="61"/>
        <v>No data</v>
      </c>
      <c r="CG106" s="434" t="str">
        <f t="shared" si="62"/>
        <v>No data</v>
      </c>
      <c r="CH106" s="434" t="str">
        <f t="shared" si="63"/>
        <v>No data</v>
      </c>
      <c r="CI106" s="435">
        <f t="shared" si="65"/>
        <v>0</v>
      </c>
      <c r="CK106" s="3" t="str">
        <f>_xlfn.LET(_xlpm.x,INDEX(tbl_Mat_def[],MATCH(BF106,ls_Mat_def,0),2),IFERROR(IF(_xlpm.x=0,"No","Yes"),"No"))</f>
        <v>No</v>
      </c>
      <c r="CM106" s="60" t="str">
        <f t="shared" si="66"/>
        <v/>
      </c>
      <c r="CN106" s="60" t="s">
        <v>235</v>
      </c>
      <c r="CO106" s="432" t="str" cm="1">
        <f t="array" ref="CO106">IFERROR(INDEX(tblGWP[],MATCH(1,(tblGWP[Dataset ID]=BU106)*(tblGWP[Material Subcategory]=CM106),0),MATCH(CN106,ls_WHM,0)+4),"confirm")</f>
        <v>confirm</v>
      </c>
      <c r="CP106" s="436" t="str">
        <f t="shared" si="67"/>
        <v/>
      </c>
      <c r="DD106" s="388">
        <f t="shared" si="79"/>
        <v>0</v>
      </c>
      <c r="DE106" s="22">
        <f t="shared" si="68"/>
        <v>19</v>
      </c>
      <c r="DF106" s="387">
        <f t="shared" si="80"/>
        <v>0</v>
      </c>
      <c r="DG106" s="387">
        <f t="shared" si="69"/>
        <v>0</v>
      </c>
      <c r="DH106" s="22">
        <f t="shared" ca="1" si="70"/>
        <v>0</v>
      </c>
      <c r="DI106">
        <f t="shared" ca="1" si="71"/>
        <v>0</v>
      </c>
    </row>
    <row r="107" spans="1:113" ht="30" hidden="1" customHeight="1" outlineLevel="1">
      <c r="A107" s="22" t="str">
        <f t="shared" si="72"/>
        <v/>
      </c>
      <c r="B107" s="199"/>
      <c r="C107" s="459"/>
      <c r="D107" s="199"/>
      <c r="E107" s="405"/>
      <c r="F107" s="405"/>
      <c r="G107" s="406"/>
      <c r="H107" s="377"/>
      <c r="I107" s="377"/>
      <c r="J107" s="377"/>
      <c r="K107" s="377"/>
      <c r="L107" s="377"/>
      <c r="M107" s="377"/>
      <c r="N107" s="377"/>
      <c r="O107" s="377"/>
      <c r="P107" s="377"/>
      <c r="Q107" s="377"/>
      <c r="R107" s="377"/>
      <c r="S107" s="377"/>
      <c r="T107" s="458">
        <f t="shared" si="81"/>
        <v>0</v>
      </c>
      <c r="U107" s="200"/>
      <c r="W107" s="442"/>
      <c r="X107" s="443"/>
      <c r="BC107" s="3">
        <f t="shared" si="73"/>
        <v>0</v>
      </c>
      <c r="BD107" s="3">
        <f t="shared" si="74"/>
        <v>0</v>
      </c>
      <c r="BE107" s="432" t="str">
        <f t="shared" si="75"/>
        <v/>
      </c>
      <c r="BF107" s="432" t="str">
        <f t="shared" si="76"/>
        <v/>
      </c>
      <c r="BG107" s="432" t="str">
        <f t="shared" si="77"/>
        <v/>
      </c>
      <c r="BH107" s="434" t="str">
        <f>_xlfn.LET(_xlpm.x,H107,IF(OR(LEN(_xlpm.x)&lt;1,_xlpm.x=0),"",CONVERT(_xlpm.x,'Diversion and Disposal'!$BH$7,"kg")))</f>
        <v/>
      </c>
      <c r="BI107" s="434" t="str">
        <f>_xlfn.LET(_xlpm.x,I107,IF(OR(LEN(_xlpm.x)&lt;1,_xlpm.x=0),"",CONVERT(_xlpm.x,'Diversion and Disposal'!$BH$7,"kg")))</f>
        <v/>
      </c>
      <c r="BJ107" s="434" t="str">
        <f>_xlfn.LET(_xlpm.x,J107,IF(OR(LEN(_xlpm.x)&lt;1,_xlpm.x=0),"",CONVERT(_xlpm.x,'Diversion and Disposal'!$BH$7,"kg")))</f>
        <v/>
      </c>
      <c r="BK107" s="434" t="str">
        <f>_xlfn.LET(_xlpm.x,K107,IF(OR(LEN(_xlpm.x)&lt;1,_xlpm.x=0),"",CONVERT(_xlpm.x,'Diversion and Disposal'!$BH$7,"kg")))</f>
        <v/>
      </c>
      <c r="BL107" s="434" t="str">
        <f>_xlfn.LET(_xlpm.x,L107,IF(OR(LEN(_xlpm.x)&lt;1,_xlpm.x=0),"",CONVERT(_xlpm.x,'Diversion and Disposal'!$BH$7,"kg")))</f>
        <v/>
      </c>
      <c r="BM107" s="434" t="str">
        <f>_xlfn.LET(_xlpm.x,M107,IF(OR(LEN(_xlpm.x)&lt;1,_xlpm.x=0),"",CONVERT(_xlpm.x,'Diversion and Disposal'!$BH$7,"kg")))</f>
        <v/>
      </c>
      <c r="BN107" s="434" t="str">
        <f>_xlfn.LET(_xlpm.x,N107,IF(OR(LEN(_xlpm.x)&lt;1,_xlpm.x=0),"",CONVERT(_xlpm.x,'Diversion and Disposal'!$BH$7,"kg")))</f>
        <v/>
      </c>
      <c r="BO107" s="434" t="str">
        <f>_xlfn.LET(_xlpm.x,O107,IF(OR(LEN(_xlpm.x)&lt;1,_xlpm.x=0),"",CONVERT(_xlpm.x,'Diversion and Disposal'!$BH$7,"kg")))</f>
        <v/>
      </c>
      <c r="BP107" s="434" t="str">
        <f>_xlfn.LET(_xlpm.x,P107,IF(OR(LEN(_xlpm.x)&lt;1,_xlpm.x=0),"",CONVERT(_xlpm.x,'Diversion and Disposal'!$BH$7,"kg")))</f>
        <v/>
      </c>
      <c r="BQ107" s="434" t="str">
        <f>_xlfn.LET(_xlpm.x,Q107,IF(OR(LEN(_xlpm.x)&lt;1,_xlpm.x=0),"",CONVERT(_xlpm.x,'Diversion and Disposal'!$BH$7,"kg")))</f>
        <v/>
      </c>
      <c r="BR107" s="434" t="str">
        <f>_xlfn.LET(_xlpm.x,R107,IF(OR(LEN(_xlpm.x)&lt;1,_xlpm.x=0),"",CONVERT(_xlpm.x,'Diversion and Disposal'!$BH$7,"kg")))</f>
        <v/>
      </c>
      <c r="BS107" s="434" t="str">
        <f>_xlfn.LET(_xlpm.x,S107,IF(OR(LEN(_xlpm.x)&lt;1,_xlpm.x=0),"",CONVERT(_xlpm.x,'Diversion and Disposal'!$BH$7,"kg")))</f>
        <v/>
      </c>
      <c r="BT107" s="435">
        <f t="shared" si="64"/>
        <v>0</v>
      </c>
      <c r="BU107" s="433" t="str">
        <f>_xlfn.LET(_xlpm.x,BF107,IF(LEN(_xlpm.x)&lt;1,"",IF(ISNUMBER(MATCH(_xlpm.x,ls_Mat_def,0)),'Project Inputs'!$BF$14,99)))</f>
        <v/>
      </c>
      <c r="BV107" s="432" t="str" cm="1">
        <f t="array" ref="BV107">IFERROR(INDEX(tblGWP[],MATCH(1,(tblGWP[Dataset ID]=BU107)*(tblGWP[Material Subcategory]=BF107),0),MATCH(BG107,ls_WHM,0)+5),"confirm")</f>
        <v>confirm</v>
      </c>
      <c r="BW107" s="434" t="str">
        <f t="shared" si="52"/>
        <v>No data</v>
      </c>
      <c r="BX107" s="434" t="str">
        <f t="shared" si="53"/>
        <v>No data</v>
      </c>
      <c r="BY107" s="434" t="str">
        <f t="shared" si="78"/>
        <v>No data</v>
      </c>
      <c r="BZ107" s="434" t="str">
        <f t="shared" si="55"/>
        <v>No data</v>
      </c>
      <c r="CA107" s="434" t="str">
        <f t="shared" si="56"/>
        <v>No data</v>
      </c>
      <c r="CB107" s="434" t="str">
        <f t="shared" si="57"/>
        <v>No data</v>
      </c>
      <c r="CC107" s="434" t="str">
        <f t="shared" si="58"/>
        <v>No data</v>
      </c>
      <c r="CD107" s="434" t="str">
        <f t="shared" si="59"/>
        <v>No data</v>
      </c>
      <c r="CE107" s="434" t="str">
        <f t="shared" si="60"/>
        <v>No data</v>
      </c>
      <c r="CF107" s="434" t="str">
        <f t="shared" si="61"/>
        <v>No data</v>
      </c>
      <c r="CG107" s="434" t="str">
        <f t="shared" si="62"/>
        <v>No data</v>
      </c>
      <c r="CH107" s="434" t="str">
        <f t="shared" si="63"/>
        <v>No data</v>
      </c>
      <c r="CI107" s="435">
        <f t="shared" si="65"/>
        <v>0</v>
      </c>
      <c r="CK107" s="3" t="str">
        <f>_xlfn.LET(_xlpm.x,INDEX(tbl_Mat_def[],MATCH(BF107,ls_Mat_def,0),2),IFERROR(IF(_xlpm.x=0,"No","Yes"),"No"))</f>
        <v>No</v>
      </c>
      <c r="CM107" s="60" t="str">
        <f t="shared" si="66"/>
        <v/>
      </c>
      <c r="CN107" s="60" t="s">
        <v>235</v>
      </c>
      <c r="CO107" s="432" t="str" cm="1">
        <f t="array" ref="CO107">IFERROR(INDEX(tblGWP[],MATCH(1,(tblGWP[Dataset ID]=BU107)*(tblGWP[Material Subcategory]=CM107),0),MATCH(CN107,ls_WHM,0)+4),"confirm")</f>
        <v>confirm</v>
      </c>
      <c r="CP107" s="436" t="str">
        <f t="shared" si="67"/>
        <v/>
      </c>
      <c r="DD107" s="388">
        <f t="shared" si="79"/>
        <v>0</v>
      </c>
      <c r="DE107" s="22">
        <f t="shared" si="68"/>
        <v>19</v>
      </c>
      <c r="DF107" s="387">
        <f t="shared" si="80"/>
        <v>0</v>
      </c>
      <c r="DG107" s="387">
        <f t="shared" si="69"/>
        <v>0</v>
      </c>
      <c r="DH107" s="22">
        <f t="shared" ca="1" si="70"/>
        <v>0</v>
      </c>
      <c r="DI107">
        <f t="shared" ca="1" si="71"/>
        <v>0</v>
      </c>
    </row>
    <row r="108" spans="1:113" ht="30" hidden="1" customHeight="1" outlineLevel="1">
      <c r="A108" s="22" t="str">
        <f t="shared" si="72"/>
        <v/>
      </c>
      <c r="B108" s="199"/>
      <c r="C108" s="459"/>
      <c r="D108" s="199"/>
      <c r="E108" s="405"/>
      <c r="F108" s="405"/>
      <c r="G108" s="406"/>
      <c r="H108" s="377"/>
      <c r="I108" s="377"/>
      <c r="J108" s="377"/>
      <c r="K108" s="377"/>
      <c r="L108" s="377"/>
      <c r="M108" s="377"/>
      <c r="N108" s="377"/>
      <c r="O108" s="377"/>
      <c r="P108" s="377"/>
      <c r="Q108" s="377"/>
      <c r="R108" s="377"/>
      <c r="S108" s="377"/>
      <c r="T108" s="458">
        <f t="shared" si="81"/>
        <v>0</v>
      </c>
      <c r="U108" s="200"/>
      <c r="W108" s="442"/>
      <c r="X108" s="443"/>
      <c r="BC108" s="3">
        <f t="shared" si="73"/>
        <v>0</v>
      </c>
      <c r="BD108" s="3">
        <f t="shared" si="74"/>
        <v>0</v>
      </c>
      <c r="BE108" s="432" t="str">
        <f t="shared" si="75"/>
        <v/>
      </c>
      <c r="BF108" s="432" t="str">
        <f t="shared" si="76"/>
        <v/>
      </c>
      <c r="BG108" s="432" t="str">
        <f t="shared" si="77"/>
        <v/>
      </c>
      <c r="BH108" s="434" t="str">
        <f>_xlfn.LET(_xlpm.x,H108,IF(OR(LEN(_xlpm.x)&lt;1,_xlpm.x=0),"",CONVERT(_xlpm.x,'Diversion and Disposal'!$BH$7,"kg")))</f>
        <v/>
      </c>
      <c r="BI108" s="434" t="str">
        <f>_xlfn.LET(_xlpm.x,I108,IF(OR(LEN(_xlpm.x)&lt;1,_xlpm.x=0),"",CONVERT(_xlpm.x,'Diversion and Disposal'!$BH$7,"kg")))</f>
        <v/>
      </c>
      <c r="BJ108" s="434" t="str">
        <f>_xlfn.LET(_xlpm.x,J108,IF(OR(LEN(_xlpm.x)&lt;1,_xlpm.x=0),"",CONVERT(_xlpm.x,'Diversion and Disposal'!$BH$7,"kg")))</f>
        <v/>
      </c>
      <c r="BK108" s="434" t="str">
        <f>_xlfn.LET(_xlpm.x,K108,IF(OR(LEN(_xlpm.x)&lt;1,_xlpm.x=0),"",CONVERT(_xlpm.x,'Diversion and Disposal'!$BH$7,"kg")))</f>
        <v/>
      </c>
      <c r="BL108" s="434" t="str">
        <f>_xlfn.LET(_xlpm.x,L108,IF(OR(LEN(_xlpm.x)&lt;1,_xlpm.x=0),"",CONVERT(_xlpm.x,'Diversion and Disposal'!$BH$7,"kg")))</f>
        <v/>
      </c>
      <c r="BM108" s="434" t="str">
        <f>_xlfn.LET(_xlpm.x,M108,IF(OR(LEN(_xlpm.x)&lt;1,_xlpm.x=0),"",CONVERT(_xlpm.x,'Diversion and Disposal'!$BH$7,"kg")))</f>
        <v/>
      </c>
      <c r="BN108" s="434" t="str">
        <f>_xlfn.LET(_xlpm.x,N108,IF(OR(LEN(_xlpm.x)&lt;1,_xlpm.x=0),"",CONVERT(_xlpm.x,'Diversion and Disposal'!$BH$7,"kg")))</f>
        <v/>
      </c>
      <c r="BO108" s="434" t="str">
        <f>_xlfn.LET(_xlpm.x,O108,IF(OR(LEN(_xlpm.x)&lt;1,_xlpm.x=0),"",CONVERT(_xlpm.x,'Diversion and Disposal'!$BH$7,"kg")))</f>
        <v/>
      </c>
      <c r="BP108" s="434" t="str">
        <f>_xlfn.LET(_xlpm.x,P108,IF(OR(LEN(_xlpm.x)&lt;1,_xlpm.x=0),"",CONVERT(_xlpm.x,'Diversion and Disposal'!$BH$7,"kg")))</f>
        <v/>
      </c>
      <c r="BQ108" s="434" t="str">
        <f>_xlfn.LET(_xlpm.x,Q108,IF(OR(LEN(_xlpm.x)&lt;1,_xlpm.x=0),"",CONVERT(_xlpm.x,'Diversion and Disposal'!$BH$7,"kg")))</f>
        <v/>
      </c>
      <c r="BR108" s="434" t="str">
        <f>_xlfn.LET(_xlpm.x,R108,IF(OR(LEN(_xlpm.x)&lt;1,_xlpm.x=0),"",CONVERT(_xlpm.x,'Diversion and Disposal'!$BH$7,"kg")))</f>
        <v/>
      </c>
      <c r="BS108" s="434" t="str">
        <f>_xlfn.LET(_xlpm.x,S108,IF(OR(LEN(_xlpm.x)&lt;1,_xlpm.x=0),"",CONVERT(_xlpm.x,'Diversion and Disposal'!$BH$7,"kg")))</f>
        <v/>
      </c>
      <c r="BT108" s="435">
        <f t="shared" si="64"/>
        <v>0</v>
      </c>
      <c r="BU108" s="433" t="str">
        <f>_xlfn.LET(_xlpm.x,BF108,IF(LEN(_xlpm.x)&lt;1,"",IF(ISNUMBER(MATCH(_xlpm.x,ls_Mat_def,0)),'Project Inputs'!$BF$14,99)))</f>
        <v/>
      </c>
      <c r="BV108" s="432" t="str" cm="1">
        <f t="array" ref="BV108">IFERROR(INDEX(tblGWP[],MATCH(1,(tblGWP[Dataset ID]=BU108)*(tblGWP[Material Subcategory]=BF108),0),MATCH(BG108,ls_WHM,0)+5),"confirm")</f>
        <v>confirm</v>
      </c>
      <c r="BW108" s="434" t="str">
        <f t="shared" si="52"/>
        <v>No data</v>
      </c>
      <c r="BX108" s="434" t="str">
        <f t="shared" si="53"/>
        <v>No data</v>
      </c>
      <c r="BY108" s="434" t="str">
        <f t="shared" si="78"/>
        <v>No data</v>
      </c>
      <c r="BZ108" s="434" t="str">
        <f t="shared" si="55"/>
        <v>No data</v>
      </c>
      <c r="CA108" s="434" t="str">
        <f t="shared" si="56"/>
        <v>No data</v>
      </c>
      <c r="CB108" s="434" t="str">
        <f t="shared" si="57"/>
        <v>No data</v>
      </c>
      <c r="CC108" s="434" t="str">
        <f t="shared" si="58"/>
        <v>No data</v>
      </c>
      <c r="CD108" s="434" t="str">
        <f t="shared" si="59"/>
        <v>No data</v>
      </c>
      <c r="CE108" s="434" t="str">
        <f t="shared" si="60"/>
        <v>No data</v>
      </c>
      <c r="CF108" s="434" t="str">
        <f t="shared" si="61"/>
        <v>No data</v>
      </c>
      <c r="CG108" s="434" t="str">
        <f t="shared" si="62"/>
        <v>No data</v>
      </c>
      <c r="CH108" s="434" t="str">
        <f t="shared" si="63"/>
        <v>No data</v>
      </c>
      <c r="CI108" s="435">
        <f t="shared" si="65"/>
        <v>0</v>
      </c>
      <c r="CK108" s="3" t="str">
        <f>_xlfn.LET(_xlpm.x,INDEX(tbl_Mat_def[],MATCH(BF108,ls_Mat_def,0),2),IFERROR(IF(_xlpm.x=0,"No","Yes"),"No"))</f>
        <v>No</v>
      </c>
      <c r="CM108" s="60" t="str">
        <f t="shared" si="66"/>
        <v/>
      </c>
      <c r="CN108" s="60" t="s">
        <v>235</v>
      </c>
      <c r="CO108" s="432" t="str" cm="1">
        <f t="array" ref="CO108">IFERROR(INDEX(tblGWP[],MATCH(1,(tblGWP[Dataset ID]=BU108)*(tblGWP[Material Subcategory]=CM108),0),MATCH(CN108,ls_WHM,0)+4),"confirm")</f>
        <v>confirm</v>
      </c>
      <c r="CP108" s="436" t="str">
        <f t="shared" si="67"/>
        <v/>
      </c>
      <c r="DD108" s="388">
        <f t="shared" si="79"/>
        <v>0</v>
      </c>
      <c r="DE108" s="22">
        <f t="shared" si="68"/>
        <v>19</v>
      </c>
      <c r="DF108" s="387">
        <f t="shared" si="80"/>
        <v>0</v>
      </c>
      <c r="DG108" s="387">
        <f t="shared" si="69"/>
        <v>0</v>
      </c>
      <c r="DH108" s="22">
        <f t="shared" ca="1" si="70"/>
        <v>0</v>
      </c>
      <c r="DI108">
        <f t="shared" ca="1" si="71"/>
        <v>0</v>
      </c>
    </row>
    <row r="109" spans="1:113" ht="30" hidden="1" customHeight="1" outlineLevel="1">
      <c r="A109" s="22" t="str">
        <f t="shared" si="72"/>
        <v/>
      </c>
      <c r="B109" s="199"/>
      <c r="C109" s="459"/>
      <c r="D109" s="199"/>
      <c r="E109" s="405"/>
      <c r="F109" s="405"/>
      <c r="G109" s="406"/>
      <c r="H109" s="377"/>
      <c r="I109" s="377"/>
      <c r="J109" s="377"/>
      <c r="K109" s="377"/>
      <c r="L109" s="377"/>
      <c r="M109" s="377"/>
      <c r="N109" s="377"/>
      <c r="O109" s="377"/>
      <c r="P109" s="377"/>
      <c r="Q109" s="377"/>
      <c r="R109" s="377"/>
      <c r="S109" s="377"/>
      <c r="T109" s="458">
        <f t="shared" si="81"/>
        <v>0</v>
      </c>
      <c r="U109" s="200"/>
      <c r="W109" s="442"/>
      <c r="X109" s="443"/>
      <c r="BC109" s="3">
        <f t="shared" si="73"/>
        <v>0</v>
      </c>
      <c r="BD109" s="3">
        <f t="shared" si="74"/>
        <v>0</v>
      </c>
      <c r="BE109" s="432" t="str">
        <f t="shared" si="75"/>
        <v/>
      </c>
      <c r="BF109" s="432" t="str">
        <f t="shared" si="76"/>
        <v/>
      </c>
      <c r="BG109" s="432" t="str">
        <f t="shared" si="77"/>
        <v/>
      </c>
      <c r="BH109" s="434" t="str">
        <f>_xlfn.LET(_xlpm.x,H109,IF(OR(LEN(_xlpm.x)&lt;1,_xlpm.x=0),"",CONVERT(_xlpm.x,'Diversion and Disposal'!$BH$7,"kg")))</f>
        <v/>
      </c>
      <c r="BI109" s="434" t="str">
        <f>_xlfn.LET(_xlpm.x,I109,IF(OR(LEN(_xlpm.x)&lt;1,_xlpm.x=0),"",CONVERT(_xlpm.x,'Diversion and Disposal'!$BH$7,"kg")))</f>
        <v/>
      </c>
      <c r="BJ109" s="434" t="str">
        <f>_xlfn.LET(_xlpm.x,J109,IF(OR(LEN(_xlpm.x)&lt;1,_xlpm.x=0),"",CONVERT(_xlpm.x,'Diversion and Disposal'!$BH$7,"kg")))</f>
        <v/>
      </c>
      <c r="BK109" s="434" t="str">
        <f>_xlfn.LET(_xlpm.x,K109,IF(OR(LEN(_xlpm.x)&lt;1,_xlpm.x=0),"",CONVERT(_xlpm.x,'Diversion and Disposal'!$BH$7,"kg")))</f>
        <v/>
      </c>
      <c r="BL109" s="434" t="str">
        <f>_xlfn.LET(_xlpm.x,L109,IF(OR(LEN(_xlpm.x)&lt;1,_xlpm.x=0),"",CONVERT(_xlpm.x,'Diversion and Disposal'!$BH$7,"kg")))</f>
        <v/>
      </c>
      <c r="BM109" s="434" t="str">
        <f>_xlfn.LET(_xlpm.x,M109,IF(OR(LEN(_xlpm.x)&lt;1,_xlpm.x=0),"",CONVERT(_xlpm.x,'Diversion and Disposal'!$BH$7,"kg")))</f>
        <v/>
      </c>
      <c r="BN109" s="434" t="str">
        <f>_xlfn.LET(_xlpm.x,N109,IF(OR(LEN(_xlpm.x)&lt;1,_xlpm.x=0),"",CONVERT(_xlpm.x,'Diversion and Disposal'!$BH$7,"kg")))</f>
        <v/>
      </c>
      <c r="BO109" s="434" t="str">
        <f>_xlfn.LET(_xlpm.x,O109,IF(OR(LEN(_xlpm.x)&lt;1,_xlpm.x=0),"",CONVERT(_xlpm.x,'Diversion and Disposal'!$BH$7,"kg")))</f>
        <v/>
      </c>
      <c r="BP109" s="434" t="str">
        <f>_xlfn.LET(_xlpm.x,P109,IF(OR(LEN(_xlpm.x)&lt;1,_xlpm.x=0),"",CONVERT(_xlpm.x,'Diversion and Disposal'!$BH$7,"kg")))</f>
        <v/>
      </c>
      <c r="BQ109" s="434" t="str">
        <f>_xlfn.LET(_xlpm.x,Q109,IF(OR(LEN(_xlpm.x)&lt;1,_xlpm.x=0),"",CONVERT(_xlpm.x,'Diversion and Disposal'!$BH$7,"kg")))</f>
        <v/>
      </c>
      <c r="BR109" s="434" t="str">
        <f>_xlfn.LET(_xlpm.x,R109,IF(OR(LEN(_xlpm.x)&lt;1,_xlpm.x=0),"",CONVERT(_xlpm.x,'Diversion and Disposal'!$BH$7,"kg")))</f>
        <v/>
      </c>
      <c r="BS109" s="434" t="str">
        <f>_xlfn.LET(_xlpm.x,S109,IF(OR(LEN(_xlpm.x)&lt;1,_xlpm.x=0),"",CONVERT(_xlpm.x,'Diversion and Disposal'!$BH$7,"kg")))</f>
        <v/>
      </c>
      <c r="BT109" s="435">
        <f t="shared" si="64"/>
        <v>0</v>
      </c>
      <c r="BU109" s="433" t="str">
        <f>_xlfn.LET(_xlpm.x,BF109,IF(LEN(_xlpm.x)&lt;1,"",IF(ISNUMBER(MATCH(_xlpm.x,ls_Mat_def,0)),'Project Inputs'!$BF$14,99)))</f>
        <v/>
      </c>
      <c r="BV109" s="432" t="str" cm="1">
        <f t="array" ref="BV109">IFERROR(INDEX(tblGWP[],MATCH(1,(tblGWP[Dataset ID]=BU109)*(tblGWP[Material Subcategory]=BF109),0),MATCH(BG109,ls_WHM,0)+5),"confirm")</f>
        <v>confirm</v>
      </c>
      <c r="BW109" s="434" t="str">
        <f t="shared" si="52"/>
        <v>No data</v>
      </c>
      <c r="BX109" s="434" t="str">
        <f t="shared" si="53"/>
        <v>No data</v>
      </c>
      <c r="BY109" s="434" t="str">
        <f t="shared" si="78"/>
        <v>No data</v>
      </c>
      <c r="BZ109" s="434" t="str">
        <f t="shared" si="55"/>
        <v>No data</v>
      </c>
      <c r="CA109" s="434" t="str">
        <f t="shared" si="56"/>
        <v>No data</v>
      </c>
      <c r="CB109" s="434" t="str">
        <f t="shared" si="57"/>
        <v>No data</v>
      </c>
      <c r="CC109" s="434" t="str">
        <f t="shared" si="58"/>
        <v>No data</v>
      </c>
      <c r="CD109" s="434" t="str">
        <f t="shared" si="59"/>
        <v>No data</v>
      </c>
      <c r="CE109" s="434" t="str">
        <f t="shared" si="60"/>
        <v>No data</v>
      </c>
      <c r="CF109" s="434" t="str">
        <f t="shared" si="61"/>
        <v>No data</v>
      </c>
      <c r="CG109" s="434" t="str">
        <f t="shared" si="62"/>
        <v>No data</v>
      </c>
      <c r="CH109" s="434" t="str">
        <f t="shared" si="63"/>
        <v>No data</v>
      </c>
      <c r="CI109" s="435">
        <f t="shared" si="65"/>
        <v>0</v>
      </c>
      <c r="CK109" s="3" t="str">
        <f>_xlfn.LET(_xlpm.x,INDEX(tbl_Mat_def[],MATCH(BF109,ls_Mat_def,0),2),IFERROR(IF(_xlpm.x=0,"No","Yes"),"No"))</f>
        <v>No</v>
      </c>
      <c r="CM109" s="60" t="str">
        <f t="shared" si="66"/>
        <v/>
      </c>
      <c r="CN109" s="60" t="s">
        <v>235</v>
      </c>
      <c r="CO109" s="432" t="str" cm="1">
        <f t="array" ref="CO109">IFERROR(INDEX(tblGWP[],MATCH(1,(tblGWP[Dataset ID]=BU109)*(tblGWP[Material Subcategory]=CM109),0),MATCH(CN109,ls_WHM,0)+4),"confirm")</f>
        <v>confirm</v>
      </c>
      <c r="CP109" s="436" t="str">
        <f t="shared" si="67"/>
        <v/>
      </c>
      <c r="DD109" s="388">
        <f t="shared" si="79"/>
        <v>0</v>
      </c>
      <c r="DE109" s="22">
        <f t="shared" si="68"/>
        <v>19</v>
      </c>
      <c r="DF109" s="387">
        <f t="shared" si="80"/>
        <v>0</v>
      </c>
      <c r="DG109" s="387">
        <f t="shared" si="69"/>
        <v>0</v>
      </c>
      <c r="DH109" s="22">
        <f t="shared" ca="1" si="70"/>
        <v>0</v>
      </c>
      <c r="DI109">
        <f t="shared" ca="1" si="71"/>
        <v>0</v>
      </c>
    </row>
    <row r="110" spans="1:113" ht="30" hidden="1" customHeight="1" outlineLevel="1">
      <c r="A110" s="22" t="str">
        <f t="shared" si="72"/>
        <v/>
      </c>
      <c r="B110" s="199"/>
      <c r="C110" s="459"/>
      <c r="D110" s="199"/>
      <c r="E110" s="405"/>
      <c r="F110" s="405"/>
      <c r="G110" s="406"/>
      <c r="H110" s="377"/>
      <c r="I110" s="377"/>
      <c r="J110" s="377"/>
      <c r="K110" s="377"/>
      <c r="L110" s="377"/>
      <c r="M110" s="377"/>
      <c r="N110" s="377"/>
      <c r="O110" s="377"/>
      <c r="P110" s="377"/>
      <c r="Q110" s="377"/>
      <c r="R110" s="377"/>
      <c r="S110" s="377"/>
      <c r="T110" s="458">
        <f t="shared" si="81"/>
        <v>0</v>
      </c>
      <c r="U110" s="200"/>
      <c r="W110" s="442"/>
      <c r="X110" s="443"/>
      <c r="BC110" s="3">
        <f t="shared" si="73"/>
        <v>0</v>
      </c>
      <c r="BD110" s="3">
        <f t="shared" si="74"/>
        <v>0</v>
      </c>
      <c r="BE110" s="432" t="str">
        <f t="shared" si="75"/>
        <v/>
      </c>
      <c r="BF110" s="432" t="str">
        <f t="shared" si="76"/>
        <v/>
      </c>
      <c r="BG110" s="432" t="str">
        <f t="shared" si="77"/>
        <v/>
      </c>
      <c r="BH110" s="434" t="str">
        <f>_xlfn.LET(_xlpm.x,H110,IF(OR(LEN(_xlpm.x)&lt;1,_xlpm.x=0),"",CONVERT(_xlpm.x,'Diversion and Disposal'!$BH$7,"kg")))</f>
        <v/>
      </c>
      <c r="BI110" s="434" t="str">
        <f>_xlfn.LET(_xlpm.x,I110,IF(OR(LEN(_xlpm.x)&lt;1,_xlpm.x=0),"",CONVERT(_xlpm.x,'Diversion and Disposal'!$BH$7,"kg")))</f>
        <v/>
      </c>
      <c r="BJ110" s="434" t="str">
        <f>_xlfn.LET(_xlpm.x,J110,IF(OR(LEN(_xlpm.x)&lt;1,_xlpm.x=0),"",CONVERT(_xlpm.x,'Diversion and Disposal'!$BH$7,"kg")))</f>
        <v/>
      </c>
      <c r="BK110" s="434" t="str">
        <f>_xlfn.LET(_xlpm.x,K110,IF(OR(LEN(_xlpm.x)&lt;1,_xlpm.x=0),"",CONVERT(_xlpm.x,'Diversion and Disposal'!$BH$7,"kg")))</f>
        <v/>
      </c>
      <c r="BL110" s="434" t="str">
        <f>_xlfn.LET(_xlpm.x,L110,IF(OR(LEN(_xlpm.x)&lt;1,_xlpm.x=0),"",CONVERT(_xlpm.x,'Diversion and Disposal'!$BH$7,"kg")))</f>
        <v/>
      </c>
      <c r="BM110" s="434" t="str">
        <f>_xlfn.LET(_xlpm.x,M110,IF(OR(LEN(_xlpm.x)&lt;1,_xlpm.x=0),"",CONVERT(_xlpm.x,'Diversion and Disposal'!$BH$7,"kg")))</f>
        <v/>
      </c>
      <c r="BN110" s="434" t="str">
        <f>_xlfn.LET(_xlpm.x,N110,IF(OR(LEN(_xlpm.x)&lt;1,_xlpm.x=0),"",CONVERT(_xlpm.x,'Diversion and Disposal'!$BH$7,"kg")))</f>
        <v/>
      </c>
      <c r="BO110" s="434" t="str">
        <f>_xlfn.LET(_xlpm.x,O110,IF(OR(LEN(_xlpm.x)&lt;1,_xlpm.x=0),"",CONVERT(_xlpm.x,'Diversion and Disposal'!$BH$7,"kg")))</f>
        <v/>
      </c>
      <c r="BP110" s="434" t="str">
        <f>_xlfn.LET(_xlpm.x,P110,IF(OR(LEN(_xlpm.x)&lt;1,_xlpm.x=0),"",CONVERT(_xlpm.x,'Diversion and Disposal'!$BH$7,"kg")))</f>
        <v/>
      </c>
      <c r="BQ110" s="434" t="str">
        <f>_xlfn.LET(_xlpm.x,Q110,IF(OR(LEN(_xlpm.x)&lt;1,_xlpm.x=0),"",CONVERT(_xlpm.x,'Diversion and Disposal'!$BH$7,"kg")))</f>
        <v/>
      </c>
      <c r="BR110" s="434" t="str">
        <f>_xlfn.LET(_xlpm.x,R110,IF(OR(LEN(_xlpm.x)&lt;1,_xlpm.x=0),"",CONVERT(_xlpm.x,'Diversion and Disposal'!$BH$7,"kg")))</f>
        <v/>
      </c>
      <c r="BS110" s="434" t="str">
        <f>_xlfn.LET(_xlpm.x,S110,IF(OR(LEN(_xlpm.x)&lt;1,_xlpm.x=0),"",CONVERT(_xlpm.x,'Diversion and Disposal'!$BH$7,"kg")))</f>
        <v/>
      </c>
      <c r="BT110" s="435">
        <f t="shared" si="64"/>
        <v>0</v>
      </c>
      <c r="BU110" s="433" t="str">
        <f>_xlfn.LET(_xlpm.x,BF110,IF(LEN(_xlpm.x)&lt;1,"",IF(ISNUMBER(MATCH(_xlpm.x,ls_Mat_def,0)),'Project Inputs'!$BF$14,99)))</f>
        <v/>
      </c>
      <c r="BV110" s="432" t="str" cm="1">
        <f t="array" ref="BV110">IFERROR(INDEX(tblGWP[],MATCH(1,(tblGWP[Dataset ID]=BU110)*(tblGWP[Material Subcategory]=BF110),0),MATCH(BG110,ls_WHM,0)+5),"confirm")</f>
        <v>confirm</v>
      </c>
      <c r="BW110" s="434" t="str">
        <f t="shared" si="52"/>
        <v>No data</v>
      </c>
      <c r="BX110" s="434" t="str">
        <f t="shared" si="53"/>
        <v>No data</v>
      </c>
      <c r="BY110" s="434" t="str">
        <f t="shared" si="78"/>
        <v>No data</v>
      </c>
      <c r="BZ110" s="434" t="str">
        <f t="shared" si="55"/>
        <v>No data</v>
      </c>
      <c r="CA110" s="434" t="str">
        <f t="shared" si="56"/>
        <v>No data</v>
      </c>
      <c r="CB110" s="434" t="str">
        <f t="shared" si="57"/>
        <v>No data</v>
      </c>
      <c r="CC110" s="434" t="str">
        <f t="shared" si="58"/>
        <v>No data</v>
      </c>
      <c r="CD110" s="434" t="str">
        <f t="shared" si="59"/>
        <v>No data</v>
      </c>
      <c r="CE110" s="434" t="str">
        <f t="shared" si="60"/>
        <v>No data</v>
      </c>
      <c r="CF110" s="434" t="str">
        <f t="shared" si="61"/>
        <v>No data</v>
      </c>
      <c r="CG110" s="434" t="str">
        <f t="shared" si="62"/>
        <v>No data</v>
      </c>
      <c r="CH110" s="434" t="str">
        <f t="shared" si="63"/>
        <v>No data</v>
      </c>
      <c r="CI110" s="435">
        <f t="shared" si="65"/>
        <v>0</v>
      </c>
      <c r="CK110" s="3" t="str">
        <f>_xlfn.LET(_xlpm.x,INDEX(tbl_Mat_def[],MATCH(BF110,ls_Mat_def,0),2),IFERROR(IF(_xlpm.x=0,"No","Yes"),"No"))</f>
        <v>No</v>
      </c>
      <c r="CM110" s="60" t="str">
        <f t="shared" si="66"/>
        <v/>
      </c>
      <c r="CN110" s="60" t="s">
        <v>235</v>
      </c>
      <c r="CO110" s="432" t="str" cm="1">
        <f t="array" ref="CO110">IFERROR(INDEX(tblGWP[],MATCH(1,(tblGWP[Dataset ID]=BU110)*(tblGWP[Material Subcategory]=CM110),0),MATCH(CN110,ls_WHM,0)+4),"confirm")</f>
        <v>confirm</v>
      </c>
      <c r="CP110" s="436" t="str">
        <f t="shared" si="67"/>
        <v/>
      </c>
      <c r="DD110" s="388">
        <f t="shared" si="79"/>
        <v>0</v>
      </c>
      <c r="DE110" s="22">
        <f t="shared" si="68"/>
        <v>19</v>
      </c>
      <c r="DF110" s="387">
        <f t="shared" si="80"/>
        <v>0</v>
      </c>
      <c r="DG110" s="387">
        <f t="shared" si="69"/>
        <v>0</v>
      </c>
      <c r="DH110" s="22">
        <f t="shared" ca="1" si="70"/>
        <v>0</v>
      </c>
      <c r="DI110">
        <f t="shared" ca="1" si="71"/>
        <v>0</v>
      </c>
    </row>
    <row r="111" spans="1:113" ht="30" hidden="1" customHeight="1" outlineLevel="1">
      <c r="A111" s="22" t="str">
        <f t="shared" si="72"/>
        <v/>
      </c>
      <c r="B111" s="199"/>
      <c r="C111" s="459"/>
      <c r="D111" s="199"/>
      <c r="E111" s="405"/>
      <c r="F111" s="405"/>
      <c r="G111" s="406"/>
      <c r="H111" s="377"/>
      <c r="I111" s="377"/>
      <c r="J111" s="377"/>
      <c r="K111" s="377"/>
      <c r="L111" s="377"/>
      <c r="M111" s="377"/>
      <c r="N111" s="377"/>
      <c r="O111" s="377"/>
      <c r="P111" s="377"/>
      <c r="Q111" s="377"/>
      <c r="R111" s="377"/>
      <c r="S111" s="377"/>
      <c r="T111" s="458">
        <f t="shared" si="81"/>
        <v>0</v>
      </c>
      <c r="U111" s="200"/>
      <c r="W111" s="442"/>
      <c r="X111" s="443"/>
      <c r="BC111" s="3">
        <f t="shared" si="73"/>
        <v>0</v>
      </c>
      <c r="BD111" s="3">
        <f t="shared" si="74"/>
        <v>0</v>
      </c>
      <c r="BE111" s="432" t="str">
        <f t="shared" si="75"/>
        <v/>
      </c>
      <c r="BF111" s="432" t="str">
        <f t="shared" si="76"/>
        <v/>
      </c>
      <c r="BG111" s="432" t="str">
        <f t="shared" si="77"/>
        <v/>
      </c>
      <c r="BH111" s="434" t="str">
        <f>_xlfn.LET(_xlpm.x,H111,IF(OR(LEN(_xlpm.x)&lt;1,_xlpm.x=0),"",CONVERT(_xlpm.x,'Diversion and Disposal'!$BH$7,"kg")))</f>
        <v/>
      </c>
      <c r="BI111" s="434" t="str">
        <f>_xlfn.LET(_xlpm.x,I111,IF(OR(LEN(_xlpm.x)&lt;1,_xlpm.x=0),"",CONVERT(_xlpm.x,'Diversion and Disposal'!$BH$7,"kg")))</f>
        <v/>
      </c>
      <c r="BJ111" s="434" t="str">
        <f>_xlfn.LET(_xlpm.x,J111,IF(OR(LEN(_xlpm.x)&lt;1,_xlpm.x=0),"",CONVERT(_xlpm.x,'Diversion and Disposal'!$BH$7,"kg")))</f>
        <v/>
      </c>
      <c r="BK111" s="434" t="str">
        <f>_xlfn.LET(_xlpm.x,K111,IF(OR(LEN(_xlpm.x)&lt;1,_xlpm.x=0),"",CONVERT(_xlpm.x,'Diversion and Disposal'!$BH$7,"kg")))</f>
        <v/>
      </c>
      <c r="BL111" s="434" t="str">
        <f>_xlfn.LET(_xlpm.x,L111,IF(OR(LEN(_xlpm.x)&lt;1,_xlpm.x=0),"",CONVERT(_xlpm.x,'Diversion and Disposal'!$BH$7,"kg")))</f>
        <v/>
      </c>
      <c r="BM111" s="434" t="str">
        <f>_xlfn.LET(_xlpm.x,M111,IF(OR(LEN(_xlpm.x)&lt;1,_xlpm.x=0),"",CONVERT(_xlpm.x,'Diversion and Disposal'!$BH$7,"kg")))</f>
        <v/>
      </c>
      <c r="BN111" s="434" t="str">
        <f>_xlfn.LET(_xlpm.x,N111,IF(OR(LEN(_xlpm.x)&lt;1,_xlpm.x=0),"",CONVERT(_xlpm.x,'Diversion and Disposal'!$BH$7,"kg")))</f>
        <v/>
      </c>
      <c r="BO111" s="434" t="str">
        <f>_xlfn.LET(_xlpm.x,O111,IF(OR(LEN(_xlpm.x)&lt;1,_xlpm.x=0),"",CONVERT(_xlpm.x,'Diversion and Disposal'!$BH$7,"kg")))</f>
        <v/>
      </c>
      <c r="BP111" s="434" t="str">
        <f>_xlfn.LET(_xlpm.x,P111,IF(OR(LEN(_xlpm.x)&lt;1,_xlpm.x=0),"",CONVERT(_xlpm.x,'Diversion and Disposal'!$BH$7,"kg")))</f>
        <v/>
      </c>
      <c r="BQ111" s="434" t="str">
        <f>_xlfn.LET(_xlpm.x,Q111,IF(OR(LEN(_xlpm.x)&lt;1,_xlpm.x=0),"",CONVERT(_xlpm.x,'Diversion and Disposal'!$BH$7,"kg")))</f>
        <v/>
      </c>
      <c r="BR111" s="434" t="str">
        <f>_xlfn.LET(_xlpm.x,R111,IF(OR(LEN(_xlpm.x)&lt;1,_xlpm.x=0),"",CONVERT(_xlpm.x,'Diversion and Disposal'!$BH$7,"kg")))</f>
        <v/>
      </c>
      <c r="BS111" s="434" t="str">
        <f>_xlfn.LET(_xlpm.x,S111,IF(OR(LEN(_xlpm.x)&lt;1,_xlpm.x=0),"",CONVERT(_xlpm.x,'Diversion and Disposal'!$BH$7,"kg")))</f>
        <v/>
      </c>
      <c r="BT111" s="435">
        <f t="shared" si="64"/>
        <v>0</v>
      </c>
      <c r="BU111" s="433" t="str">
        <f>_xlfn.LET(_xlpm.x,BF111,IF(LEN(_xlpm.x)&lt;1,"",IF(ISNUMBER(MATCH(_xlpm.x,ls_Mat_def,0)),'Project Inputs'!$BF$14,99)))</f>
        <v/>
      </c>
      <c r="BV111" s="432" t="str" cm="1">
        <f t="array" ref="BV111">IFERROR(INDEX(tblGWP[],MATCH(1,(tblGWP[Dataset ID]=BU111)*(tblGWP[Material Subcategory]=BF111),0),MATCH(BG111,ls_WHM,0)+5),"confirm")</f>
        <v>confirm</v>
      </c>
      <c r="BW111" s="434" t="str">
        <f t="shared" si="52"/>
        <v>No data</v>
      </c>
      <c r="BX111" s="434" t="str">
        <f t="shared" si="53"/>
        <v>No data</v>
      </c>
      <c r="BY111" s="434" t="str">
        <f t="shared" si="78"/>
        <v>No data</v>
      </c>
      <c r="BZ111" s="434" t="str">
        <f t="shared" si="55"/>
        <v>No data</v>
      </c>
      <c r="CA111" s="434" t="str">
        <f t="shared" si="56"/>
        <v>No data</v>
      </c>
      <c r="CB111" s="434" t="str">
        <f t="shared" si="57"/>
        <v>No data</v>
      </c>
      <c r="CC111" s="434" t="str">
        <f t="shared" si="58"/>
        <v>No data</v>
      </c>
      <c r="CD111" s="434" t="str">
        <f t="shared" si="59"/>
        <v>No data</v>
      </c>
      <c r="CE111" s="434" t="str">
        <f t="shared" si="60"/>
        <v>No data</v>
      </c>
      <c r="CF111" s="434" t="str">
        <f t="shared" si="61"/>
        <v>No data</v>
      </c>
      <c r="CG111" s="434" t="str">
        <f t="shared" si="62"/>
        <v>No data</v>
      </c>
      <c r="CH111" s="434" t="str">
        <f t="shared" si="63"/>
        <v>No data</v>
      </c>
      <c r="CI111" s="435">
        <f t="shared" si="65"/>
        <v>0</v>
      </c>
      <c r="CK111" s="3" t="str">
        <f>_xlfn.LET(_xlpm.x,INDEX(tbl_Mat_def[],MATCH(BF111,ls_Mat_def,0),2),IFERROR(IF(_xlpm.x=0,"No","Yes"),"No"))</f>
        <v>No</v>
      </c>
      <c r="CM111" s="60" t="str">
        <f t="shared" si="66"/>
        <v/>
      </c>
      <c r="CN111" s="60" t="s">
        <v>235</v>
      </c>
      <c r="CO111" s="432" t="str" cm="1">
        <f t="array" ref="CO111">IFERROR(INDEX(tblGWP[],MATCH(1,(tblGWP[Dataset ID]=BU111)*(tblGWP[Material Subcategory]=CM111),0),MATCH(CN111,ls_WHM,0)+4),"confirm")</f>
        <v>confirm</v>
      </c>
      <c r="CP111" s="436" t="str">
        <f t="shared" si="67"/>
        <v/>
      </c>
      <c r="DD111" s="388">
        <f t="shared" si="79"/>
        <v>0</v>
      </c>
      <c r="DE111" s="22">
        <f t="shared" si="68"/>
        <v>19</v>
      </c>
      <c r="DF111" s="387">
        <f t="shared" si="80"/>
        <v>0</v>
      </c>
      <c r="DG111" s="387">
        <f t="shared" si="69"/>
        <v>0</v>
      </c>
      <c r="DH111" s="22">
        <f t="shared" ca="1" si="70"/>
        <v>0</v>
      </c>
      <c r="DI111">
        <f t="shared" ca="1" si="71"/>
        <v>0</v>
      </c>
    </row>
    <row r="112" spans="1:113" ht="30" hidden="1" customHeight="1" outlineLevel="1">
      <c r="A112" s="22" t="str">
        <f t="shared" si="72"/>
        <v/>
      </c>
      <c r="B112" s="199"/>
      <c r="C112" s="459"/>
      <c r="D112" s="199"/>
      <c r="E112" s="405"/>
      <c r="F112" s="405"/>
      <c r="G112" s="406"/>
      <c r="H112" s="377"/>
      <c r="I112" s="377"/>
      <c r="J112" s="377"/>
      <c r="K112" s="377"/>
      <c r="L112" s="377"/>
      <c r="M112" s="377"/>
      <c r="N112" s="377"/>
      <c r="O112" s="377"/>
      <c r="P112" s="377"/>
      <c r="Q112" s="377"/>
      <c r="R112" s="377"/>
      <c r="S112" s="377"/>
      <c r="T112" s="458">
        <f t="shared" si="81"/>
        <v>0</v>
      </c>
      <c r="U112" s="200"/>
      <c r="W112" s="442"/>
      <c r="X112" s="443"/>
      <c r="BC112" s="3">
        <f t="shared" si="73"/>
        <v>0</v>
      </c>
      <c r="BD112" s="3">
        <f t="shared" si="74"/>
        <v>0</v>
      </c>
      <c r="BE112" s="432" t="str">
        <f t="shared" si="75"/>
        <v/>
      </c>
      <c r="BF112" s="432" t="str">
        <f t="shared" si="76"/>
        <v/>
      </c>
      <c r="BG112" s="432" t="str">
        <f t="shared" si="77"/>
        <v/>
      </c>
      <c r="BH112" s="434" t="str">
        <f>_xlfn.LET(_xlpm.x,H112,IF(OR(LEN(_xlpm.x)&lt;1,_xlpm.x=0),"",CONVERT(_xlpm.x,'Diversion and Disposal'!$BH$7,"kg")))</f>
        <v/>
      </c>
      <c r="BI112" s="434" t="str">
        <f>_xlfn.LET(_xlpm.x,I112,IF(OR(LEN(_xlpm.x)&lt;1,_xlpm.x=0),"",CONVERT(_xlpm.x,'Diversion and Disposal'!$BH$7,"kg")))</f>
        <v/>
      </c>
      <c r="BJ112" s="434" t="str">
        <f>_xlfn.LET(_xlpm.x,J112,IF(OR(LEN(_xlpm.x)&lt;1,_xlpm.x=0),"",CONVERT(_xlpm.x,'Diversion and Disposal'!$BH$7,"kg")))</f>
        <v/>
      </c>
      <c r="BK112" s="434" t="str">
        <f>_xlfn.LET(_xlpm.x,K112,IF(OR(LEN(_xlpm.x)&lt;1,_xlpm.x=0),"",CONVERT(_xlpm.x,'Diversion and Disposal'!$BH$7,"kg")))</f>
        <v/>
      </c>
      <c r="BL112" s="434" t="str">
        <f>_xlfn.LET(_xlpm.x,L112,IF(OR(LEN(_xlpm.x)&lt;1,_xlpm.x=0),"",CONVERT(_xlpm.x,'Diversion and Disposal'!$BH$7,"kg")))</f>
        <v/>
      </c>
      <c r="BM112" s="434" t="str">
        <f>_xlfn.LET(_xlpm.x,M112,IF(OR(LEN(_xlpm.x)&lt;1,_xlpm.x=0),"",CONVERT(_xlpm.x,'Diversion and Disposal'!$BH$7,"kg")))</f>
        <v/>
      </c>
      <c r="BN112" s="434" t="str">
        <f>_xlfn.LET(_xlpm.x,N112,IF(OR(LEN(_xlpm.x)&lt;1,_xlpm.x=0),"",CONVERT(_xlpm.x,'Diversion and Disposal'!$BH$7,"kg")))</f>
        <v/>
      </c>
      <c r="BO112" s="434" t="str">
        <f>_xlfn.LET(_xlpm.x,O112,IF(OR(LEN(_xlpm.x)&lt;1,_xlpm.x=0),"",CONVERT(_xlpm.x,'Diversion and Disposal'!$BH$7,"kg")))</f>
        <v/>
      </c>
      <c r="BP112" s="434" t="str">
        <f>_xlfn.LET(_xlpm.x,P112,IF(OR(LEN(_xlpm.x)&lt;1,_xlpm.x=0),"",CONVERT(_xlpm.x,'Diversion and Disposal'!$BH$7,"kg")))</f>
        <v/>
      </c>
      <c r="BQ112" s="434" t="str">
        <f>_xlfn.LET(_xlpm.x,Q112,IF(OR(LEN(_xlpm.x)&lt;1,_xlpm.x=0),"",CONVERT(_xlpm.x,'Diversion and Disposal'!$BH$7,"kg")))</f>
        <v/>
      </c>
      <c r="BR112" s="434" t="str">
        <f>_xlfn.LET(_xlpm.x,R112,IF(OR(LEN(_xlpm.x)&lt;1,_xlpm.x=0),"",CONVERT(_xlpm.x,'Diversion and Disposal'!$BH$7,"kg")))</f>
        <v/>
      </c>
      <c r="BS112" s="434" t="str">
        <f>_xlfn.LET(_xlpm.x,S112,IF(OR(LEN(_xlpm.x)&lt;1,_xlpm.x=0),"",CONVERT(_xlpm.x,'Diversion and Disposal'!$BH$7,"kg")))</f>
        <v/>
      </c>
      <c r="BT112" s="435">
        <f t="shared" si="64"/>
        <v>0</v>
      </c>
      <c r="BU112" s="433" t="str">
        <f>_xlfn.LET(_xlpm.x,BF112,IF(LEN(_xlpm.x)&lt;1,"",IF(ISNUMBER(MATCH(_xlpm.x,ls_Mat_def,0)),'Project Inputs'!$BF$14,99)))</f>
        <v/>
      </c>
      <c r="BV112" s="432" t="str" cm="1">
        <f t="array" ref="BV112">IFERROR(INDEX(tblGWP[],MATCH(1,(tblGWP[Dataset ID]=BU112)*(tblGWP[Material Subcategory]=BF112),0),MATCH(BG112,ls_WHM,0)+5),"confirm")</f>
        <v>confirm</v>
      </c>
      <c r="BW112" s="434" t="str">
        <f t="shared" si="52"/>
        <v>No data</v>
      </c>
      <c r="BX112" s="434" t="str">
        <f t="shared" si="53"/>
        <v>No data</v>
      </c>
      <c r="BY112" s="434" t="str">
        <f t="shared" si="78"/>
        <v>No data</v>
      </c>
      <c r="BZ112" s="434" t="str">
        <f t="shared" si="55"/>
        <v>No data</v>
      </c>
      <c r="CA112" s="434" t="str">
        <f t="shared" si="56"/>
        <v>No data</v>
      </c>
      <c r="CB112" s="434" t="str">
        <f t="shared" si="57"/>
        <v>No data</v>
      </c>
      <c r="CC112" s="434" t="str">
        <f t="shared" si="58"/>
        <v>No data</v>
      </c>
      <c r="CD112" s="434" t="str">
        <f t="shared" si="59"/>
        <v>No data</v>
      </c>
      <c r="CE112" s="434" t="str">
        <f t="shared" si="60"/>
        <v>No data</v>
      </c>
      <c r="CF112" s="434" t="str">
        <f t="shared" si="61"/>
        <v>No data</v>
      </c>
      <c r="CG112" s="434" t="str">
        <f t="shared" si="62"/>
        <v>No data</v>
      </c>
      <c r="CH112" s="434" t="str">
        <f t="shared" si="63"/>
        <v>No data</v>
      </c>
      <c r="CI112" s="435">
        <f t="shared" si="65"/>
        <v>0</v>
      </c>
      <c r="CK112" s="3" t="str">
        <f>_xlfn.LET(_xlpm.x,INDEX(tbl_Mat_def[],MATCH(BF112,ls_Mat_def,0),2),IFERROR(IF(_xlpm.x=0,"No","Yes"),"No"))</f>
        <v>No</v>
      </c>
      <c r="CM112" s="60" t="str">
        <f t="shared" si="66"/>
        <v/>
      </c>
      <c r="CN112" s="60" t="s">
        <v>235</v>
      </c>
      <c r="CO112" s="432" t="str" cm="1">
        <f t="array" ref="CO112">IFERROR(INDEX(tblGWP[],MATCH(1,(tblGWP[Dataset ID]=BU112)*(tblGWP[Material Subcategory]=CM112),0),MATCH(CN112,ls_WHM,0)+4),"confirm")</f>
        <v>confirm</v>
      </c>
      <c r="CP112" s="436" t="str">
        <f t="shared" si="67"/>
        <v/>
      </c>
      <c r="DD112" s="388">
        <f t="shared" si="79"/>
        <v>0</v>
      </c>
      <c r="DE112" s="22">
        <f t="shared" si="68"/>
        <v>19</v>
      </c>
      <c r="DF112" s="387">
        <f t="shared" si="80"/>
        <v>0</v>
      </c>
      <c r="DG112" s="387">
        <f t="shared" si="69"/>
        <v>0</v>
      </c>
      <c r="DH112" s="22">
        <f t="shared" ca="1" si="70"/>
        <v>0</v>
      </c>
      <c r="DI112">
        <f t="shared" ca="1" si="71"/>
        <v>0</v>
      </c>
    </row>
    <row r="113" spans="1:113" ht="30" hidden="1" customHeight="1" outlineLevel="1">
      <c r="A113" s="22" t="str">
        <f t="shared" si="72"/>
        <v/>
      </c>
      <c r="B113" s="199"/>
      <c r="C113" s="459"/>
      <c r="D113" s="199"/>
      <c r="E113" s="405"/>
      <c r="F113" s="405"/>
      <c r="G113" s="406"/>
      <c r="H113" s="377"/>
      <c r="I113" s="377"/>
      <c r="J113" s="377"/>
      <c r="K113" s="377"/>
      <c r="L113" s="377"/>
      <c r="M113" s="377"/>
      <c r="N113" s="377"/>
      <c r="O113" s="377"/>
      <c r="P113" s="377"/>
      <c r="Q113" s="377"/>
      <c r="R113" s="377"/>
      <c r="S113" s="377"/>
      <c r="T113" s="458">
        <f t="shared" si="81"/>
        <v>0</v>
      </c>
      <c r="U113" s="200"/>
      <c r="W113" s="442"/>
      <c r="X113" s="443"/>
      <c r="BC113" s="3">
        <f t="shared" si="73"/>
        <v>0</v>
      </c>
      <c r="BD113" s="3">
        <f t="shared" si="74"/>
        <v>0</v>
      </c>
      <c r="BE113" s="432" t="str">
        <f t="shared" si="75"/>
        <v/>
      </c>
      <c r="BF113" s="432" t="str">
        <f t="shared" si="76"/>
        <v/>
      </c>
      <c r="BG113" s="432" t="str">
        <f t="shared" si="77"/>
        <v/>
      </c>
      <c r="BH113" s="434" t="str">
        <f>_xlfn.LET(_xlpm.x,H113,IF(OR(LEN(_xlpm.x)&lt;1,_xlpm.x=0),"",CONVERT(_xlpm.x,'Diversion and Disposal'!$BH$7,"kg")))</f>
        <v/>
      </c>
      <c r="BI113" s="434" t="str">
        <f>_xlfn.LET(_xlpm.x,I113,IF(OR(LEN(_xlpm.x)&lt;1,_xlpm.x=0),"",CONVERT(_xlpm.x,'Diversion and Disposal'!$BH$7,"kg")))</f>
        <v/>
      </c>
      <c r="BJ113" s="434" t="str">
        <f>_xlfn.LET(_xlpm.x,J113,IF(OR(LEN(_xlpm.x)&lt;1,_xlpm.x=0),"",CONVERT(_xlpm.x,'Diversion and Disposal'!$BH$7,"kg")))</f>
        <v/>
      </c>
      <c r="BK113" s="434" t="str">
        <f>_xlfn.LET(_xlpm.x,K113,IF(OR(LEN(_xlpm.x)&lt;1,_xlpm.x=0),"",CONVERT(_xlpm.x,'Diversion and Disposal'!$BH$7,"kg")))</f>
        <v/>
      </c>
      <c r="BL113" s="434" t="str">
        <f>_xlfn.LET(_xlpm.x,L113,IF(OR(LEN(_xlpm.x)&lt;1,_xlpm.x=0),"",CONVERT(_xlpm.x,'Diversion and Disposal'!$BH$7,"kg")))</f>
        <v/>
      </c>
      <c r="BM113" s="434" t="str">
        <f>_xlfn.LET(_xlpm.x,M113,IF(OR(LEN(_xlpm.x)&lt;1,_xlpm.x=0),"",CONVERT(_xlpm.x,'Diversion and Disposal'!$BH$7,"kg")))</f>
        <v/>
      </c>
      <c r="BN113" s="434" t="str">
        <f>_xlfn.LET(_xlpm.x,N113,IF(OR(LEN(_xlpm.x)&lt;1,_xlpm.x=0),"",CONVERT(_xlpm.x,'Diversion and Disposal'!$BH$7,"kg")))</f>
        <v/>
      </c>
      <c r="BO113" s="434" t="str">
        <f>_xlfn.LET(_xlpm.x,O113,IF(OR(LEN(_xlpm.x)&lt;1,_xlpm.x=0),"",CONVERT(_xlpm.x,'Diversion and Disposal'!$BH$7,"kg")))</f>
        <v/>
      </c>
      <c r="BP113" s="434" t="str">
        <f>_xlfn.LET(_xlpm.x,P113,IF(OR(LEN(_xlpm.x)&lt;1,_xlpm.x=0),"",CONVERT(_xlpm.x,'Diversion and Disposal'!$BH$7,"kg")))</f>
        <v/>
      </c>
      <c r="BQ113" s="434" t="str">
        <f>_xlfn.LET(_xlpm.x,Q113,IF(OR(LEN(_xlpm.x)&lt;1,_xlpm.x=0),"",CONVERT(_xlpm.x,'Diversion and Disposal'!$BH$7,"kg")))</f>
        <v/>
      </c>
      <c r="BR113" s="434" t="str">
        <f>_xlfn.LET(_xlpm.x,R113,IF(OR(LEN(_xlpm.x)&lt;1,_xlpm.x=0),"",CONVERT(_xlpm.x,'Diversion and Disposal'!$BH$7,"kg")))</f>
        <v/>
      </c>
      <c r="BS113" s="434" t="str">
        <f>_xlfn.LET(_xlpm.x,S113,IF(OR(LEN(_xlpm.x)&lt;1,_xlpm.x=0),"",CONVERT(_xlpm.x,'Diversion and Disposal'!$BH$7,"kg")))</f>
        <v/>
      </c>
      <c r="BT113" s="435">
        <f t="shared" si="64"/>
        <v>0</v>
      </c>
      <c r="BU113" s="433" t="str">
        <f>_xlfn.LET(_xlpm.x,BF113,IF(LEN(_xlpm.x)&lt;1,"",IF(ISNUMBER(MATCH(_xlpm.x,ls_Mat_def,0)),'Project Inputs'!$BF$14,99)))</f>
        <v/>
      </c>
      <c r="BV113" s="432" t="str" cm="1">
        <f t="array" ref="BV113">IFERROR(INDEX(tblGWP[],MATCH(1,(tblGWP[Dataset ID]=BU113)*(tblGWP[Material Subcategory]=BF113),0),MATCH(BG113,ls_WHM,0)+5),"confirm")</f>
        <v>confirm</v>
      </c>
      <c r="BW113" s="434" t="str">
        <f t="shared" si="52"/>
        <v>No data</v>
      </c>
      <c r="BX113" s="434" t="str">
        <f t="shared" si="53"/>
        <v>No data</v>
      </c>
      <c r="BY113" s="434" t="str">
        <f t="shared" si="78"/>
        <v>No data</v>
      </c>
      <c r="BZ113" s="434" t="str">
        <f t="shared" si="55"/>
        <v>No data</v>
      </c>
      <c r="CA113" s="434" t="str">
        <f t="shared" si="56"/>
        <v>No data</v>
      </c>
      <c r="CB113" s="434" t="str">
        <f t="shared" si="57"/>
        <v>No data</v>
      </c>
      <c r="CC113" s="434" t="str">
        <f t="shared" si="58"/>
        <v>No data</v>
      </c>
      <c r="CD113" s="434" t="str">
        <f t="shared" si="59"/>
        <v>No data</v>
      </c>
      <c r="CE113" s="434" t="str">
        <f t="shared" si="60"/>
        <v>No data</v>
      </c>
      <c r="CF113" s="434" t="str">
        <f t="shared" si="61"/>
        <v>No data</v>
      </c>
      <c r="CG113" s="434" t="str">
        <f t="shared" si="62"/>
        <v>No data</v>
      </c>
      <c r="CH113" s="434" t="str">
        <f t="shared" si="63"/>
        <v>No data</v>
      </c>
      <c r="CI113" s="435">
        <f t="shared" si="65"/>
        <v>0</v>
      </c>
      <c r="CK113" s="3" t="str">
        <f>_xlfn.LET(_xlpm.x,INDEX(tbl_Mat_def[],MATCH(BF113,ls_Mat_def,0),2),IFERROR(IF(_xlpm.x=0,"No","Yes"),"No"))</f>
        <v>No</v>
      </c>
      <c r="CM113" s="60" t="str">
        <f t="shared" si="66"/>
        <v/>
      </c>
      <c r="CN113" s="60" t="s">
        <v>235</v>
      </c>
      <c r="CO113" s="432" t="str" cm="1">
        <f t="array" ref="CO113">IFERROR(INDEX(tblGWP[],MATCH(1,(tblGWP[Dataset ID]=BU113)*(tblGWP[Material Subcategory]=CM113),0),MATCH(CN113,ls_WHM,0)+4),"confirm")</f>
        <v>confirm</v>
      </c>
      <c r="CP113" s="436" t="str">
        <f t="shared" si="67"/>
        <v/>
      </c>
      <c r="DD113" s="388">
        <f t="shared" si="79"/>
        <v>0</v>
      </c>
      <c r="DE113" s="22">
        <f t="shared" si="68"/>
        <v>19</v>
      </c>
      <c r="DF113" s="387">
        <f t="shared" si="80"/>
        <v>0</v>
      </c>
      <c r="DG113" s="387">
        <f t="shared" si="69"/>
        <v>0</v>
      </c>
      <c r="DH113" s="22">
        <f t="shared" ca="1" si="70"/>
        <v>0</v>
      </c>
      <c r="DI113">
        <f t="shared" ca="1" si="71"/>
        <v>0</v>
      </c>
    </row>
    <row r="114" spans="1:113" ht="30" hidden="1" customHeight="1" outlineLevel="1">
      <c r="A114" s="22" t="str">
        <f t="shared" si="72"/>
        <v/>
      </c>
      <c r="B114" s="199"/>
      <c r="C114" s="459"/>
      <c r="D114" s="199"/>
      <c r="E114" s="405"/>
      <c r="F114" s="405"/>
      <c r="G114" s="406"/>
      <c r="H114" s="377"/>
      <c r="I114" s="377"/>
      <c r="J114" s="377"/>
      <c r="K114" s="377"/>
      <c r="L114" s="377"/>
      <c r="M114" s="377"/>
      <c r="N114" s="377"/>
      <c r="O114" s="377"/>
      <c r="P114" s="377"/>
      <c r="Q114" s="377"/>
      <c r="R114" s="377"/>
      <c r="S114" s="377"/>
      <c r="T114" s="458">
        <f t="shared" si="81"/>
        <v>0</v>
      </c>
      <c r="U114" s="200"/>
      <c r="W114" s="442"/>
      <c r="X114" s="443"/>
      <c r="BC114" s="3">
        <f t="shared" si="73"/>
        <v>0</v>
      </c>
      <c r="BD114" s="3">
        <f t="shared" si="74"/>
        <v>0</v>
      </c>
      <c r="BE114" s="432" t="str">
        <f t="shared" si="75"/>
        <v/>
      </c>
      <c r="BF114" s="432" t="str">
        <f t="shared" si="76"/>
        <v/>
      </c>
      <c r="BG114" s="432" t="str">
        <f t="shared" si="77"/>
        <v/>
      </c>
      <c r="BH114" s="434" t="str">
        <f>_xlfn.LET(_xlpm.x,H114,IF(OR(LEN(_xlpm.x)&lt;1,_xlpm.x=0),"",CONVERT(_xlpm.x,'Diversion and Disposal'!$BH$7,"kg")))</f>
        <v/>
      </c>
      <c r="BI114" s="434" t="str">
        <f>_xlfn.LET(_xlpm.x,I114,IF(OR(LEN(_xlpm.x)&lt;1,_xlpm.x=0),"",CONVERT(_xlpm.x,'Diversion and Disposal'!$BH$7,"kg")))</f>
        <v/>
      </c>
      <c r="BJ114" s="434" t="str">
        <f>_xlfn.LET(_xlpm.x,J114,IF(OR(LEN(_xlpm.x)&lt;1,_xlpm.x=0),"",CONVERT(_xlpm.x,'Diversion and Disposal'!$BH$7,"kg")))</f>
        <v/>
      </c>
      <c r="BK114" s="434" t="str">
        <f>_xlfn.LET(_xlpm.x,K114,IF(OR(LEN(_xlpm.x)&lt;1,_xlpm.x=0),"",CONVERT(_xlpm.x,'Diversion and Disposal'!$BH$7,"kg")))</f>
        <v/>
      </c>
      <c r="BL114" s="434" t="str">
        <f>_xlfn.LET(_xlpm.x,L114,IF(OR(LEN(_xlpm.x)&lt;1,_xlpm.x=0),"",CONVERT(_xlpm.x,'Diversion and Disposal'!$BH$7,"kg")))</f>
        <v/>
      </c>
      <c r="BM114" s="434" t="str">
        <f>_xlfn.LET(_xlpm.x,M114,IF(OR(LEN(_xlpm.x)&lt;1,_xlpm.x=0),"",CONVERT(_xlpm.x,'Diversion and Disposal'!$BH$7,"kg")))</f>
        <v/>
      </c>
      <c r="BN114" s="434" t="str">
        <f>_xlfn.LET(_xlpm.x,N114,IF(OR(LEN(_xlpm.x)&lt;1,_xlpm.x=0),"",CONVERT(_xlpm.x,'Diversion and Disposal'!$BH$7,"kg")))</f>
        <v/>
      </c>
      <c r="BO114" s="434" t="str">
        <f>_xlfn.LET(_xlpm.x,O114,IF(OR(LEN(_xlpm.x)&lt;1,_xlpm.x=0),"",CONVERT(_xlpm.x,'Diversion and Disposal'!$BH$7,"kg")))</f>
        <v/>
      </c>
      <c r="BP114" s="434" t="str">
        <f>_xlfn.LET(_xlpm.x,P114,IF(OR(LEN(_xlpm.x)&lt;1,_xlpm.x=0),"",CONVERT(_xlpm.x,'Diversion and Disposal'!$BH$7,"kg")))</f>
        <v/>
      </c>
      <c r="BQ114" s="434" t="str">
        <f>_xlfn.LET(_xlpm.x,Q114,IF(OR(LEN(_xlpm.x)&lt;1,_xlpm.x=0),"",CONVERT(_xlpm.x,'Diversion and Disposal'!$BH$7,"kg")))</f>
        <v/>
      </c>
      <c r="BR114" s="434" t="str">
        <f>_xlfn.LET(_xlpm.x,R114,IF(OR(LEN(_xlpm.x)&lt;1,_xlpm.x=0),"",CONVERT(_xlpm.x,'Diversion and Disposal'!$BH$7,"kg")))</f>
        <v/>
      </c>
      <c r="BS114" s="434" t="str">
        <f>_xlfn.LET(_xlpm.x,S114,IF(OR(LEN(_xlpm.x)&lt;1,_xlpm.x=0),"",CONVERT(_xlpm.x,'Diversion and Disposal'!$BH$7,"kg")))</f>
        <v/>
      </c>
      <c r="BT114" s="435">
        <f t="shared" si="64"/>
        <v>0</v>
      </c>
      <c r="BU114" s="433" t="str">
        <f>_xlfn.LET(_xlpm.x,BF114,IF(LEN(_xlpm.x)&lt;1,"",IF(ISNUMBER(MATCH(_xlpm.x,ls_Mat_def,0)),'Project Inputs'!$BF$14,99)))</f>
        <v/>
      </c>
      <c r="BV114" s="432" t="str" cm="1">
        <f t="array" ref="BV114">IFERROR(INDEX(tblGWP[],MATCH(1,(tblGWP[Dataset ID]=BU114)*(tblGWP[Material Subcategory]=BF114),0),MATCH(BG114,ls_WHM,0)+5),"confirm")</f>
        <v>confirm</v>
      </c>
      <c r="BW114" s="434" t="str">
        <f t="shared" si="52"/>
        <v>No data</v>
      </c>
      <c r="BX114" s="434" t="str">
        <f t="shared" si="53"/>
        <v>No data</v>
      </c>
      <c r="BY114" s="434" t="str">
        <f t="shared" si="78"/>
        <v>No data</v>
      </c>
      <c r="BZ114" s="434" t="str">
        <f t="shared" si="55"/>
        <v>No data</v>
      </c>
      <c r="CA114" s="434" t="str">
        <f t="shared" si="56"/>
        <v>No data</v>
      </c>
      <c r="CB114" s="434" t="str">
        <f t="shared" si="57"/>
        <v>No data</v>
      </c>
      <c r="CC114" s="434" t="str">
        <f t="shared" si="58"/>
        <v>No data</v>
      </c>
      <c r="CD114" s="434" t="str">
        <f t="shared" si="59"/>
        <v>No data</v>
      </c>
      <c r="CE114" s="434" t="str">
        <f t="shared" si="60"/>
        <v>No data</v>
      </c>
      <c r="CF114" s="434" t="str">
        <f t="shared" si="61"/>
        <v>No data</v>
      </c>
      <c r="CG114" s="434" t="str">
        <f t="shared" si="62"/>
        <v>No data</v>
      </c>
      <c r="CH114" s="434" t="str">
        <f t="shared" si="63"/>
        <v>No data</v>
      </c>
      <c r="CI114" s="435">
        <f t="shared" si="65"/>
        <v>0</v>
      </c>
      <c r="CK114" s="3" t="str">
        <f>_xlfn.LET(_xlpm.x,INDEX(tbl_Mat_def[],MATCH(BF114,ls_Mat_def,0),2),IFERROR(IF(_xlpm.x=0,"No","Yes"),"No"))</f>
        <v>No</v>
      </c>
      <c r="CM114" s="60" t="str">
        <f t="shared" si="66"/>
        <v/>
      </c>
      <c r="CN114" s="60" t="s">
        <v>235</v>
      </c>
      <c r="CO114" s="432" t="str" cm="1">
        <f t="array" ref="CO114">IFERROR(INDEX(tblGWP[],MATCH(1,(tblGWP[Dataset ID]=BU114)*(tblGWP[Material Subcategory]=CM114),0),MATCH(CN114,ls_WHM,0)+4),"confirm")</f>
        <v>confirm</v>
      </c>
      <c r="CP114" s="436" t="str">
        <f t="shared" si="67"/>
        <v/>
      </c>
      <c r="DD114" s="388">
        <f t="shared" si="79"/>
        <v>0</v>
      </c>
      <c r="DE114" s="22">
        <f t="shared" si="68"/>
        <v>19</v>
      </c>
      <c r="DF114" s="387">
        <f t="shared" si="80"/>
        <v>0</v>
      </c>
      <c r="DG114" s="387">
        <f t="shared" si="69"/>
        <v>0</v>
      </c>
      <c r="DH114" s="22">
        <f t="shared" ca="1" si="70"/>
        <v>0</v>
      </c>
      <c r="DI114">
        <f t="shared" ca="1" si="71"/>
        <v>0</v>
      </c>
    </row>
    <row r="115" spans="1:113" ht="30" hidden="1" customHeight="1" outlineLevel="1">
      <c r="A115" s="22" t="str">
        <f t="shared" si="72"/>
        <v/>
      </c>
      <c r="B115" s="199"/>
      <c r="C115" s="459"/>
      <c r="D115" s="199"/>
      <c r="E115" s="405"/>
      <c r="F115" s="405"/>
      <c r="G115" s="406"/>
      <c r="H115" s="377"/>
      <c r="I115" s="377"/>
      <c r="J115" s="377"/>
      <c r="K115" s="377"/>
      <c r="L115" s="377"/>
      <c r="M115" s="377"/>
      <c r="N115" s="377"/>
      <c r="O115" s="377"/>
      <c r="P115" s="377"/>
      <c r="Q115" s="377"/>
      <c r="R115" s="377"/>
      <c r="S115" s="377"/>
      <c r="T115" s="458">
        <f t="shared" si="81"/>
        <v>0</v>
      </c>
      <c r="U115" s="200"/>
      <c r="W115" s="442"/>
      <c r="X115" s="443"/>
      <c r="BC115" s="3">
        <f t="shared" si="73"/>
        <v>0</v>
      </c>
      <c r="BD115" s="3">
        <f t="shared" si="74"/>
        <v>0</v>
      </c>
      <c r="BE115" s="432" t="str">
        <f t="shared" si="75"/>
        <v/>
      </c>
      <c r="BF115" s="432" t="str">
        <f t="shared" si="76"/>
        <v/>
      </c>
      <c r="BG115" s="432" t="str">
        <f t="shared" si="77"/>
        <v/>
      </c>
      <c r="BH115" s="434" t="str">
        <f>_xlfn.LET(_xlpm.x,H115,IF(OR(LEN(_xlpm.x)&lt;1,_xlpm.x=0),"",CONVERT(_xlpm.x,'Diversion and Disposal'!$BH$7,"kg")))</f>
        <v/>
      </c>
      <c r="BI115" s="434" t="str">
        <f>_xlfn.LET(_xlpm.x,I115,IF(OR(LEN(_xlpm.x)&lt;1,_xlpm.x=0),"",CONVERT(_xlpm.x,'Diversion and Disposal'!$BH$7,"kg")))</f>
        <v/>
      </c>
      <c r="BJ115" s="434" t="str">
        <f>_xlfn.LET(_xlpm.x,J115,IF(OR(LEN(_xlpm.x)&lt;1,_xlpm.x=0),"",CONVERT(_xlpm.x,'Diversion and Disposal'!$BH$7,"kg")))</f>
        <v/>
      </c>
      <c r="BK115" s="434" t="str">
        <f>_xlfn.LET(_xlpm.x,K115,IF(OR(LEN(_xlpm.x)&lt;1,_xlpm.x=0),"",CONVERT(_xlpm.x,'Diversion and Disposal'!$BH$7,"kg")))</f>
        <v/>
      </c>
      <c r="BL115" s="434" t="str">
        <f>_xlfn.LET(_xlpm.x,L115,IF(OR(LEN(_xlpm.x)&lt;1,_xlpm.x=0),"",CONVERT(_xlpm.x,'Diversion and Disposal'!$BH$7,"kg")))</f>
        <v/>
      </c>
      <c r="BM115" s="434" t="str">
        <f>_xlfn.LET(_xlpm.x,M115,IF(OR(LEN(_xlpm.x)&lt;1,_xlpm.x=0),"",CONVERT(_xlpm.x,'Diversion and Disposal'!$BH$7,"kg")))</f>
        <v/>
      </c>
      <c r="BN115" s="434" t="str">
        <f>_xlfn.LET(_xlpm.x,N115,IF(OR(LEN(_xlpm.x)&lt;1,_xlpm.x=0),"",CONVERT(_xlpm.x,'Diversion and Disposal'!$BH$7,"kg")))</f>
        <v/>
      </c>
      <c r="BO115" s="434" t="str">
        <f>_xlfn.LET(_xlpm.x,O115,IF(OR(LEN(_xlpm.x)&lt;1,_xlpm.x=0),"",CONVERT(_xlpm.x,'Diversion and Disposal'!$BH$7,"kg")))</f>
        <v/>
      </c>
      <c r="BP115" s="434" t="str">
        <f>_xlfn.LET(_xlpm.x,P115,IF(OR(LEN(_xlpm.x)&lt;1,_xlpm.x=0),"",CONVERT(_xlpm.x,'Diversion and Disposal'!$BH$7,"kg")))</f>
        <v/>
      </c>
      <c r="BQ115" s="434" t="str">
        <f>_xlfn.LET(_xlpm.x,Q115,IF(OR(LEN(_xlpm.x)&lt;1,_xlpm.x=0),"",CONVERT(_xlpm.x,'Diversion and Disposal'!$BH$7,"kg")))</f>
        <v/>
      </c>
      <c r="BR115" s="434" t="str">
        <f>_xlfn.LET(_xlpm.x,R115,IF(OR(LEN(_xlpm.x)&lt;1,_xlpm.x=0),"",CONVERT(_xlpm.x,'Diversion and Disposal'!$BH$7,"kg")))</f>
        <v/>
      </c>
      <c r="BS115" s="434" t="str">
        <f>_xlfn.LET(_xlpm.x,S115,IF(OR(LEN(_xlpm.x)&lt;1,_xlpm.x=0),"",CONVERT(_xlpm.x,'Diversion and Disposal'!$BH$7,"kg")))</f>
        <v/>
      </c>
      <c r="BT115" s="435">
        <f t="shared" si="64"/>
        <v>0</v>
      </c>
      <c r="BU115" s="433" t="str">
        <f>_xlfn.LET(_xlpm.x,BF115,IF(LEN(_xlpm.x)&lt;1,"",IF(ISNUMBER(MATCH(_xlpm.x,ls_Mat_def,0)),'Project Inputs'!$BF$14,99)))</f>
        <v/>
      </c>
      <c r="BV115" s="432" t="str" cm="1">
        <f t="array" ref="BV115">IFERROR(INDEX(tblGWP[],MATCH(1,(tblGWP[Dataset ID]=BU115)*(tblGWP[Material Subcategory]=BF115),0),MATCH(BG115,ls_WHM,0)+5),"confirm")</f>
        <v>confirm</v>
      </c>
      <c r="BW115" s="434" t="str">
        <f t="shared" si="52"/>
        <v>No data</v>
      </c>
      <c r="BX115" s="434" t="str">
        <f t="shared" si="53"/>
        <v>No data</v>
      </c>
      <c r="BY115" s="434" t="str">
        <f t="shared" si="78"/>
        <v>No data</v>
      </c>
      <c r="BZ115" s="434" t="str">
        <f t="shared" si="55"/>
        <v>No data</v>
      </c>
      <c r="CA115" s="434" t="str">
        <f t="shared" si="56"/>
        <v>No data</v>
      </c>
      <c r="CB115" s="434" t="str">
        <f t="shared" si="57"/>
        <v>No data</v>
      </c>
      <c r="CC115" s="434" t="str">
        <f t="shared" si="58"/>
        <v>No data</v>
      </c>
      <c r="CD115" s="434" t="str">
        <f t="shared" si="59"/>
        <v>No data</v>
      </c>
      <c r="CE115" s="434" t="str">
        <f t="shared" si="60"/>
        <v>No data</v>
      </c>
      <c r="CF115" s="434" t="str">
        <f t="shared" si="61"/>
        <v>No data</v>
      </c>
      <c r="CG115" s="434" t="str">
        <f t="shared" si="62"/>
        <v>No data</v>
      </c>
      <c r="CH115" s="434" t="str">
        <f t="shared" si="63"/>
        <v>No data</v>
      </c>
      <c r="CI115" s="435">
        <f t="shared" si="65"/>
        <v>0</v>
      </c>
      <c r="CK115" s="3" t="str">
        <f>_xlfn.LET(_xlpm.x,INDEX(tbl_Mat_def[],MATCH(BF115,ls_Mat_def,0),2),IFERROR(IF(_xlpm.x=0,"No","Yes"),"No"))</f>
        <v>No</v>
      </c>
      <c r="CM115" s="60" t="str">
        <f t="shared" si="66"/>
        <v/>
      </c>
      <c r="CN115" s="60" t="s">
        <v>235</v>
      </c>
      <c r="CO115" s="432" t="str" cm="1">
        <f t="array" ref="CO115">IFERROR(INDEX(tblGWP[],MATCH(1,(tblGWP[Dataset ID]=BU115)*(tblGWP[Material Subcategory]=CM115),0),MATCH(CN115,ls_WHM,0)+4),"confirm")</f>
        <v>confirm</v>
      </c>
      <c r="CP115" s="436" t="str">
        <f t="shared" si="67"/>
        <v/>
      </c>
      <c r="DD115" s="388">
        <f t="shared" si="79"/>
        <v>0</v>
      </c>
      <c r="DE115" s="22">
        <f t="shared" si="68"/>
        <v>19</v>
      </c>
      <c r="DF115" s="387">
        <f t="shared" si="80"/>
        <v>0</v>
      </c>
      <c r="DG115" s="387">
        <f t="shared" si="69"/>
        <v>0</v>
      </c>
      <c r="DH115" s="22">
        <f t="shared" ca="1" si="70"/>
        <v>0</v>
      </c>
      <c r="DI115">
        <f t="shared" ca="1" si="71"/>
        <v>0</v>
      </c>
    </row>
    <row r="116" spans="1:113" ht="30" hidden="1" customHeight="1" outlineLevel="1">
      <c r="A116" s="22" t="str">
        <f t="shared" si="72"/>
        <v/>
      </c>
      <c r="B116" s="199"/>
      <c r="C116" s="459"/>
      <c r="D116" s="199"/>
      <c r="E116" s="405"/>
      <c r="F116" s="405"/>
      <c r="G116" s="406"/>
      <c r="H116" s="377"/>
      <c r="I116" s="377"/>
      <c r="J116" s="377"/>
      <c r="K116" s="377"/>
      <c r="L116" s="377"/>
      <c r="M116" s="377"/>
      <c r="N116" s="377"/>
      <c r="O116" s="377"/>
      <c r="P116" s="377"/>
      <c r="Q116" s="377"/>
      <c r="R116" s="377"/>
      <c r="S116" s="377"/>
      <c r="T116" s="458">
        <f t="shared" si="81"/>
        <v>0</v>
      </c>
      <c r="U116" s="200"/>
      <c r="W116" s="442"/>
      <c r="X116" s="443"/>
      <c r="BC116" s="3">
        <f t="shared" si="73"/>
        <v>0</v>
      </c>
      <c r="BD116" s="3">
        <f t="shared" si="74"/>
        <v>0</v>
      </c>
      <c r="BE116" s="432" t="str">
        <f t="shared" si="75"/>
        <v/>
      </c>
      <c r="BF116" s="432" t="str">
        <f t="shared" si="76"/>
        <v/>
      </c>
      <c r="BG116" s="432" t="str">
        <f t="shared" si="77"/>
        <v/>
      </c>
      <c r="BH116" s="434" t="str">
        <f>_xlfn.LET(_xlpm.x,H116,IF(OR(LEN(_xlpm.x)&lt;1,_xlpm.x=0),"",CONVERT(_xlpm.x,'Diversion and Disposal'!$BH$7,"kg")))</f>
        <v/>
      </c>
      <c r="BI116" s="434" t="str">
        <f>_xlfn.LET(_xlpm.x,I116,IF(OR(LEN(_xlpm.x)&lt;1,_xlpm.x=0),"",CONVERT(_xlpm.x,'Diversion and Disposal'!$BH$7,"kg")))</f>
        <v/>
      </c>
      <c r="BJ116" s="434" t="str">
        <f>_xlfn.LET(_xlpm.x,J116,IF(OR(LEN(_xlpm.x)&lt;1,_xlpm.x=0),"",CONVERT(_xlpm.x,'Diversion and Disposal'!$BH$7,"kg")))</f>
        <v/>
      </c>
      <c r="BK116" s="434" t="str">
        <f>_xlfn.LET(_xlpm.x,K116,IF(OR(LEN(_xlpm.x)&lt;1,_xlpm.x=0),"",CONVERT(_xlpm.x,'Diversion and Disposal'!$BH$7,"kg")))</f>
        <v/>
      </c>
      <c r="BL116" s="434" t="str">
        <f>_xlfn.LET(_xlpm.x,L116,IF(OR(LEN(_xlpm.x)&lt;1,_xlpm.x=0),"",CONVERT(_xlpm.x,'Diversion and Disposal'!$BH$7,"kg")))</f>
        <v/>
      </c>
      <c r="BM116" s="434" t="str">
        <f>_xlfn.LET(_xlpm.x,M116,IF(OR(LEN(_xlpm.x)&lt;1,_xlpm.x=0),"",CONVERT(_xlpm.x,'Diversion and Disposal'!$BH$7,"kg")))</f>
        <v/>
      </c>
      <c r="BN116" s="434" t="str">
        <f>_xlfn.LET(_xlpm.x,N116,IF(OR(LEN(_xlpm.x)&lt;1,_xlpm.x=0),"",CONVERT(_xlpm.x,'Diversion and Disposal'!$BH$7,"kg")))</f>
        <v/>
      </c>
      <c r="BO116" s="434" t="str">
        <f>_xlfn.LET(_xlpm.x,O116,IF(OR(LEN(_xlpm.x)&lt;1,_xlpm.x=0),"",CONVERT(_xlpm.x,'Diversion and Disposal'!$BH$7,"kg")))</f>
        <v/>
      </c>
      <c r="BP116" s="434" t="str">
        <f>_xlfn.LET(_xlpm.x,P116,IF(OR(LEN(_xlpm.x)&lt;1,_xlpm.x=0),"",CONVERT(_xlpm.x,'Diversion and Disposal'!$BH$7,"kg")))</f>
        <v/>
      </c>
      <c r="BQ116" s="434" t="str">
        <f>_xlfn.LET(_xlpm.x,Q116,IF(OR(LEN(_xlpm.x)&lt;1,_xlpm.x=0),"",CONVERT(_xlpm.x,'Diversion and Disposal'!$BH$7,"kg")))</f>
        <v/>
      </c>
      <c r="BR116" s="434" t="str">
        <f>_xlfn.LET(_xlpm.x,R116,IF(OR(LEN(_xlpm.x)&lt;1,_xlpm.x=0),"",CONVERT(_xlpm.x,'Diversion and Disposal'!$BH$7,"kg")))</f>
        <v/>
      </c>
      <c r="BS116" s="434" t="str">
        <f>_xlfn.LET(_xlpm.x,S116,IF(OR(LEN(_xlpm.x)&lt;1,_xlpm.x=0),"",CONVERT(_xlpm.x,'Diversion and Disposal'!$BH$7,"kg")))</f>
        <v/>
      </c>
      <c r="BT116" s="435">
        <f t="shared" si="64"/>
        <v>0</v>
      </c>
      <c r="BU116" s="433" t="str">
        <f>_xlfn.LET(_xlpm.x,BF116,IF(LEN(_xlpm.x)&lt;1,"",IF(ISNUMBER(MATCH(_xlpm.x,ls_Mat_def,0)),'Project Inputs'!$BF$14,99)))</f>
        <v/>
      </c>
      <c r="BV116" s="432" t="str" cm="1">
        <f t="array" ref="BV116">IFERROR(INDEX(tblGWP[],MATCH(1,(tblGWP[Dataset ID]=BU116)*(tblGWP[Material Subcategory]=BF116),0),MATCH(BG116,ls_WHM,0)+5),"confirm")</f>
        <v>confirm</v>
      </c>
      <c r="BW116" s="434" t="str">
        <f t="shared" si="52"/>
        <v>No data</v>
      </c>
      <c r="BX116" s="434" t="str">
        <f t="shared" si="53"/>
        <v>No data</v>
      </c>
      <c r="BY116" s="434" t="str">
        <f t="shared" si="78"/>
        <v>No data</v>
      </c>
      <c r="BZ116" s="434" t="str">
        <f t="shared" si="55"/>
        <v>No data</v>
      </c>
      <c r="CA116" s="434" t="str">
        <f t="shared" si="56"/>
        <v>No data</v>
      </c>
      <c r="CB116" s="434" t="str">
        <f t="shared" si="57"/>
        <v>No data</v>
      </c>
      <c r="CC116" s="434" t="str">
        <f t="shared" si="58"/>
        <v>No data</v>
      </c>
      <c r="CD116" s="434" t="str">
        <f t="shared" si="59"/>
        <v>No data</v>
      </c>
      <c r="CE116" s="434" t="str">
        <f t="shared" si="60"/>
        <v>No data</v>
      </c>
      <c r="CF116" s="434" t="str">
        <f t="shared" si="61"/>
        <v>No data</v>
      </c>
      <c r="CG116" s="434" t="str">
        <f t="shared" si="62"/>
        <v>No data</v>
      </c>
      <c r="CH116" s="434" t="str">
        <f t="shared" si="63"/>
        <v>No data</v>
      </c>
      <c r="CI116" s="435">
        <f t="shared" si="65"/>
        <v>0</v>
      </c>
      <c r="CK116" s="3" t="str">
        <f>_xlfn.LET(_xlpm.x,INDEX(tbl_Mat_def[],MATCH(BF116,ls_Mat_def,0),2),IFERROR(IF(_xlpm.x=0,"No","Yes"),"No"))</f>
        <v>No</v>
      </c>
      <c r="CM116" s="60" t="str">
        <f t="shared" si="66"/>
        <v/>
      </c>
      <c r="CN116" s="60" t="s">
        <v>235</v>
      </c>
      <c r="CO116" s="432" t="str" cm="1">
        <f t="array" ref="CO116">IFERROR(INDEX(tblGWP[],MATCH(1,(tblGWP[Dataset ID]=BU116)*(tblGWP[Material Subcategory]=CM116),0),MATCH(CN116,ls_WHM,0)+4),"confirm")</f>
        <v>confirm</v>
      </c>
      <c r="CP116" s="436" t="str">
        <f t="shared" si="67"/>
        <v/>
      </c>
      <c r="DD116" s="388">
        <f t="shared" si="79"/>
        <v>0</v>
      </c>
      <c r="DE116" s="22">
        <f t="shared" si="68"/>
        <v>19</v>
      </c>
      <c r="DF116" s="387">
        <f t="shared" si="80"/>
        <v>0</v>
      </c>
      <c r="DG116" s="387">
        <f t="shared" si="69"/>
        <v>0</v>
      </c>
      <c r="DH116" s="22">
        <f t="shared" ca="1" si="70"/>
        <v>0</v>
      </c>
      <c r="DI116">
        <f t="shared" ca="1" si="71"/>
        <v>0</v>
      </c>
    </row>
    <row r="117" spans="1:113" ht="30" hidden="1" customHeight="1" outlineLevel="1">
      <c r="A117" s="22" t="str">
        <f t="shared" si="72"/>
        <v/>
      </c>
      <c r="B117" s="199"/>
      <c r="C117" s="459"/>
      <c r="D117" s="199"/>
      <c r="E117" s="405"/>
      <c r="F117" s="405"/>
      <c r="G117" s="406"/>
      <c r="H117" s="377"/>
      <c r="I117" s="377"/>
      <c r="J117" s="377"/>
      <c r="K117" s="377"/>
      <c r="L117" s="377"/>
      <c r="M117" s="377"/>
      <c r="N117" s="377"/>
      <c r="O117" s="377"/>
      <c r="P117" s="377"/>
      <c r="Q117" s="377"/>
      <c r="R117" s="377"/>
      <c r="S117" s="377"/>
      <c r="T117" s="458">
        <f t="shared" si="81"/>
        <v>0</v>
      </c>
      <c r="U117" s="200"/>
      <c r="W117" s="442"/>
      <c r="X117" s="443"/>
      <c r="BC117" s="3">
        <f t="shared" si="73"/>
        <v>0</v>
      </c>
      <c r="BD117" s="3">
        <f t="shared" si="74"/>
        <v>0</v>
      </c>
      <c r="BE117" s="432" t="str">
        <f t="shared" si="75"/>
        <v/>
      </c>
      <c r="BF117" s="432" t="str">
        <f t="shared" si="76"/>
        <v/>
      </c>
      <c r="BG117" s="432" t="str">
        <f t="shared" si="77"/>
        <v/>
      </c>
      <c r="BH117" s="434" t="str">
        <f>_xlfn.LET(_xlpm.x,H117,IF(OR(LEN(_xlpm.x)&lt;1,_xlpm.x=0),"",CONVERT(_xlpm.x,'Diversion and Disposal'!$BH$7,"kg")))</f>
        <v/>
      </c>
      <c r="BI117" s="434" t="str">
        <f>_xlfn.LET(_xlpm.x,I117,IF(OR(LEN(_xlpm.x)&lt;1,_xlpm.x=0),"",CONVERT(_xlpm.x,'Diversion and Disposal'!$BH$7,"kg")))</f>
        <v/>
      </c>
      <c r="BJ117" s="434" t="str">
        <f>_xlfn.LET(_xlpm.x,J117,IF(OR(LEN(_xlpm.x)&lt;1,_xlpm.x=0),"",CONVERT(_xlpm.x,'Diversion and Disposal'!$BH$7,"kg")))</f>
        <v/>
      </c>
      <c r="BK117" s="434" t="str">
        <f>_xlfn.LET(_xlpm.x,K117,IF(OR(LEN(_xlpm.x)&lt;1,_xlpm.x=0),"",CONVERT(_xlpm.x,'Diversion and Disposal'!$BH$7,"kg")))</f>
        <v/>
      </c>
      <c r="BL117" s="434" t="str">
        <f>_xlfn.LET(_xlpm.x,L117,IF(OR(LEN(_xlpm.x)&lt;1,_xlpm.x=0),"",CONVERT(_xlpm.x,'Diversion and Disposal'!$BH$7,"kg")))</f>
        <v/>
      </c>
      <c r="BM117" s="434" t="str">
        <f>_xlfn.LET(_xlpm.x,M117,IF(OR(LEN(_xlpm.x)&lt;1,_xlpm.x=0),"",CONVERT(_xlpm.x,'Diversion and Disposal'!$BH$7,"kg")))</f>
        <v/>
      </c>
      <c r="BN117" s="434" t="str">
        <f>_xlfn.LET(_xlpm.x,N117,IF(OR(LEN(_xlpm.x)&lt;1,_xlpm.x=0),"",CONVERT(_xlpm.x,'Diversion and Disposal'!$BH$7,"kg")))</f>
        <v/>
      </c>
      <c r="BO117" s="434" t="str">
        <f>_xlfn.LET(_xlpm.x,O117,IF(OR(LEN(_xlpm.x)&lt;1,_xlpm.x=0),"",CONVERT(_xlpm.x,'Diversion and Disposal'!$BH$7,"kg")))</f>
        <v/>
      </c>
      <c r="BP117" s="434" t="str">
        <f>_xlfn.LET(_xlpm.x,P117,IF(OR(LEN(_xlpm.x)&lt;1,_xlpm.x=0),"",CONVERT(_xlpm.x,'Diversion and Disposal'!$BH$7,"kg")))</f>
        <v/>
      </c>
      <c r="BQ117" s="434" t="str">
        <f>_xlfn.LET(_xlpm.x,Q117,IF(OR(LEN(_xlpm.x)&lt;1,_xlpm.x=0),"",CONVERT(_xlpm.x,'Diversion and Disposal'!$BH$7,"kg")))</f>
        <v/>
      </c>
      <c r="BR117" s="434" t="str">
        <f>_xlfn.LET(_xlpm.x,R117,IF(OR(LEN(_xlpm.x)&lt;1,_xlpm.x=0),"",CONVERT(_xlpm.x,'Diversion and Disposal'!$BH$7,"kg")))</f>
        <v/>
      </c>
      <c r="BS117" s="434" t="str">
        <f>_xlfn.LET(_xlpm.x,S117,IF(OR(LEN(_xlpm.x)&lt;1,_xlpm.x=0),"",CONVERT(_xlpm.x,'Diversion and Disposal'!$BH$7,"kg")))</f>
        <v/>
      </c>
      <c r="BT117" s="435">
        <f t="shared" si="64"/>
        <v>0</v>
      </c>
      <c r="BU117" s="433" t="str">
        <f>_xlfn.LET(_xlpm.x,BF117,IF(LEN(_xlpm.x)&lt;1,"",IF(ISNUMBER(MATCH(_xlpm.x,ls_Mat_def,0)),'Project Inputs'!$BF$14,99)))</f>
        <v/>
      </c>
      <c r="BV117" s="432" t="str" cm="1">
        <f t="array" ref="BV117">IFERROR(INDEX(tblGWP[],MATCH(1,(tblGWP[Dataset ID]=BU117)*(tblGWP[Material Subcategory]=BF117),0),MATCH(BG117,ls_WHM,0)+5),"confirm")</f>
        <v>confirm</v>
      </c>
      <c r="BW117" s="434" t="str">
        <f t="shared" si="52"/>
        <v>No data</v>
      </c>
      <c r="BX117" s="434" t="str">
        <f t="shared" si="53"/>
        <v>No data</v>
      </c>
      <c r="BY117" s="434" t="str">
        <f t="shared" si="78"/>
        <v>No data</v>
      </c>
      <c r="BZ117" s="434" t="str">
        <f t="shared" si="55"/>
        <v>No data</v>
      </c>
      <c r="CA117" s="434" t="str">
        <f t="shared" si="56"/>
        <v>No data</v>
      </c>
      <c r="CB117" s="434" t="str">
        <f t="shared" si="57"/>
        <v>No data</v>
      </c>
      <c r="CC117" s="434" t="str">
        <f t="shared" si="58"/>
        <v>No data</v>
      </c>
      <c r="CD117" s="434" t="str">
        <f t="shared" si="59"/>
        <v>No data</v>
      </c>
      <c r="CE117" s="434" t="str">
        <f t="shared" si="60"/>
        <v>No data</v>
      </c>
      <c r="CF117" s="434" t="str">
        <f t="shared" si="61"/>
        <v>No data</v>
      </c>
      <c r="CG117" s="434" t="str">
        <f t="shared" si="62"/>
        <v>No data</v>
      </c>
      <c r="CH117" s="434" t="str">
        <f t="shared" si="63"/>
        <v>No data</v>
      </c>
      <c r="CI117" s="435">
        <f t="shared" si="65"/>
        <v>0</v>
      </c>
      <c r="CK117" s="3" t="str">
        <f>_xlfn.LET(_xlpm.x,INDEX(tbl_Mat_def[],MATCH(BF117,ls_Mat_def,0),2),IFERROR(IF(_xlpm.x=0,"No","Yes"),"No"))</f>
        <v>No</v>
      </c>
      <c r="CM117" s="60" t="str">
        <f t="shared" si="66"/>
        <v/>
      </c>
      <c r="CN117" s="60" t="s">
        <v>235</v>
      </c>
      <c r="CO117" s="432" t="str" cm="1">
        <f t="array" ref="CO117">IFERROR(INDEX(tblGWP[],MATCH(1,(tblGWP[Dataset ID]=BU117)*(tblGWP[Material Subcategory]=CM117),0),MATCH(CN117,ls_WHM,0)+4),"confirm")</f>
        <v>confirm</v>
      </c>
      <c r="CP117" s="436" t="str">
        <f t="shared" si="67"/>
        <v/>
      </c>
      <c r="DD117" s="388">
        <f t="shared" si="79"/>
        <v>0</v>
      </c>
      <c r="DE117" s="22">
        <f t="shared" si="68"/>
        <v>19</v>
      </c>
      <c r="DF117" s="387">
        <f t="shared" si="80"/>
        <v>0</v>
      </c>
      <c r="DG117" s="387">
        <f t="shared" si="69"/>
        <v>0</v>
      </c>
      <c r="DH117" s="22">
        <f t="shared" ca="1" si="70"/>
        <v>0</v>
      </c>
      <c r="DI117">
        <f t="shared" ca="1" si="71"/>
        <v>0</v>
      </c>
    </row>
    <row r="118" spans="1:113" ht="30" hidden="1" customHeight="1" outlineLevel="1">
      <c r="A118" s="22" t="str">
        <f t="shared" si="72"/>
        <v/>
      </c>
      <c r="B118" s="199"/>
      <c r="C118" s="459"/>
      <c r="D118" s="199"/>
      <c r="E118" s="405"/>
      <c r="F118" s="405"/>
      <c r="G118" s="406"/>
      <c r="H118" s="377"/>
      <c r="I118" s="377"/>
      <c r="J118" s="377"/>
      <c r="K118" s="377"/>
      <c r="L118" s="377"/>
      <c r="M118" s="377"/>
      <c r="N118" s="377"/>
      <c r="O118" s="377"/>
      <c r="P118" s="377"/>
      <c r="Q118" s="377"/>
      <c r="R118" s="377"/>
      <c r="S118" s="377"/>
      <c r="T118" s="458">
        <f t="shared" si="81"/>
        <v>0</v>
      </c>
      <c r="U118" s="200"/>
      <c r="W118" s="442"/>
      <c r="X118" s="443"/>
      <c r="BC118" s="3">
        <f t="shared" si="73"/>
        <v>0</v>
      </c>
      <c r="BD118" s="3">
        <f t="shared" si="74"/>
        <v>0</v>
      </c>
      <c r="BE118" s="432" t="str">
        <f t="shared" si="75"/>
        <v/>
      </c>
      <c r="BF118" s="432" t="str">
        <f t="shared" si="76"/>
        <v/>
      </c>
      <c r="BG118" s="432" t="str">
        <f t="shared" si="77"/>
        <v/>
      </c>
      <c r="BH118" s="434" t="str">
        <f>_xlfn.LET(_xlpm.x,H118,IF(OR(LEN(_xlpm.x)&lt;1,_xlpm.x=0),"",CONVERT(_xlpm.x,'Diversion and Disposal'!$BH$7,"kg")))</f>
        <v/>
      </c>
      <c r="BI118" s="434" t="str">
        <f>_xlfn.LET(_xlpm.x,I118,IF(OR(LEN(_xlpm.x)&lt;1,_xlpm.x=0),"",CONVERT(_xlpm.x,'Diversion and Disposal'!$BH$7,"kg")))</f>
        <v/>
      </c>
      <c r="BJ118" s="434" t="str">
        <f>_xlfn.LET(_xlpm.x,J118,IF(OR(LEN(_xlpm.x)&lt;1,_xlpm.x=0),"",CONVERT(_xlpm.x,'Diversion and Disposal'!$BH$7,"kg")))</f>
        <v/>
      </c>
      <c r="BK118" s="434" t="str">
        <f>_xlfn.LET(_xlpm.x,K118,IF(OR(LEN(_xlpm.x)&lt;1,_xlpm.x=0),"",CONVERT(_xlpm.x,'Diversion and Disposal'!$BH$7,"kg")))</f>
        <v/>
      </c>
      <c r="BL118" s="434" t="str">
        <f>_xlfn.LET(_xlpm.x,L118,IF(OR(LEN(_xlpm.x)&lt;1,_xlpm.x=0),"",CONVERT(_xlpm.x,'Diversion and Disposal'!$BH$7,"kg")))</f>
        <v/>
      </c>
      <c r="BM118" s="434" t="str">
        <f>_xlfn.LET(_xlpm.x,M118,IF(OR(LEN(_xlpm.x)&lt;1,_xlpm.x=0),"",CONVERT(_xlpm.x,'Diversion and Disposal'!$BH$7,"kg")))</f>
        <v/>
      </c>
      <c r="BN118" s="434" t="str">
        <f>_xlfn.LET(_xlpm.x,N118,IF(OR(LEN(_xlpm.x)&lt;1,_xlpm.x=0),"",CONVERT(_xlpm.x,'Diversion and Disposal'!$BH$7,"kg")))</f>
        <v/>
      </c>
      <c r="BO118" s="434" t="str">
        <f>_xlfn.LET(_xlpm.x,O118,IF(OR(LEN(_xlpm.x)&lt;1,_xlpm.x=0),"",CONVERT(_xlpm.x,'Diversion and Disposal'!$BH$7,"kg")))</f>
        <v/>
      </c>
      <c r="BP118" s="434" t="str">
        <f>_xlfn.LET(_xlpm.x,P118,IF(OR(LEN(_xlpm.x)&lt;1,_xlpm.x=0),"",CONVERT(_xlpm.x,'Diversion and Disposal'!$BH$7,"kg")))</f>
        <v/>
      </c>
      <c r="BQ118" s="434" t="str">
        <f>_xlfn.LET(_xlpm.x,Q118,IF(OR(LEN(_xlpm.x)&lt;1,_xlpm.x=0),"",CONVERT(_xlpm.x,'Diversion and Disposal'!$BH$7,"kg")))</f>
        <v/>
      </c>
      <c r="BR118" s="434" t="str">
        <f>_xlfn.LET(_xlpm.x,R118,IF(OR(LEN(_xlpm.x)&lt;1,_xlpm.x=0),"",CONVERT(_xlpm.x,'Diversion and Disposal'!$BH$7,"kg")))</f>
        <v/>
      </c>
      <c r="BS118" s="434" t="str">
        <f>_xlfn.LET(_xlpm.x,S118,IF(OR(LEN(_xlpm.x)&lt;1,_xlpm.x=0),"",CONVERT(_xlpm.x,'Diversion and Disposal'!$BH$7,"kg")))</f>
        <v/>
      </c>
      <c r="BT118" s="435">
        <f t="shared" ref="BT118:BT121" si="82">SUM(BH118:BS118)</f>
        <v>0</v>
      </c>
      <c r="BU118" s="433" t="str">
        <f>_xlfn.LET(_xlpm.x,BF118,IF(LEN(_xlpm.x)&lt;1,"",IF(ISNUMBER(MATCH(_xlpm.x,ls_Mat_def,0)),'Project Inputs'!$BF$14,99)))</f>
        <v/>
      </c>
      <c r="BV118" s="432" t="str" cm="1">
        <f t="array" ref="BV118">IFERROR(INDEX(tblGWP[],MATCH(1,(tblGWP[Dataset ID]=BU118)*(tblGWP[Material Subcategory]=BF118),0),MATCH(BG118,ls_WHM,0)+5),"confirm")</f>
        <v>confirm</v>
      </c>
      <c r="BW118" s="434" t="str">
        <f t="shared" si="52"/>
        <v>No data</v>
      </c>
      <c r="BX118" s="434" t="str">
        <f t="shared" si="53"/>
        <v>No data</v>
      </c>
      <c r="BY118" s="434" t="str">
        <f t="shared" si="78"/>
        <v>No data</v>
      </c>
      <c r="BZ118" s="434" t="str">
        <f t="shared" si="55"/>
        <v>No data</v>
      </c>
      <c r="CA118" s="434" t="str">
        <f t="shared" si="56"/>
        <v>No data</v>
      </c>
      <c r="CB118" s="434" t="str">
        <f t="shared" si="57"/>
        <v>No data</v>
      </c>
      <c r="CC118" s="434" t="str">
        <f t="shared" si="58"/>
        <v>No data</v>
      </c>
      <c r="CD118" s="434" t="str">
        <f t="shared" si="59"/>
        <v>No data</v>
      </c>
      <c r="CE118" s="434" t="str">
        <f t="shared" si="60"/>
        <v>No data</v>
      </c>
      <c r="CF118" s="434" t="str">
        <f t="shared" si="61"/>
        <v>No data</v>
      </c>
      <c r="CG118" s="434" t="str">
        <f t="shared" si="62"/>
        <v>No data</v>
      </c>
      <c r="CH118" s="434" t="str">
        <f t="shared" si="63"/>
        <v>No data</v>
      </c>
      <c r="CI118" s="435">
        <f t="shared" ref="CI118:CI121" si="83">SUM(BW118:CH118)</f>
        <v>0</v>
      </c>
      <c r="CK118" s="3" t="str">
        <f>_xlfn.LET(_xlpm.x,INDEX(tbl_Mat_def[],MATCH(BF118,ls_Mat_def,0),2),IFERROR(IF(_xlpm.x=0,"No","Yes"),"No"))</f>
        <v>No</v>
      </c>
      <c r="CM118" s="60" t="str">
        <f t="shared" si="66"/>
        <v/>
      </c>
      <c r="CN118" s="60" t="s">
        <v>235</v>
      </c>
      <c r="CO118" s="432" t="str" cm="1">
        <f t="array" ref="CO118">IFERROR(INDEX(tblGWP[],MATCH(1,(tblGWP[Dataset ID]=BU118)*(tblGWP[Material Subcategory]=CM118),0),MATCH(CN118,ls_WHM,0)+4),"confirm")</f>
        <v>confirm</v>
      </c>
      <c r="CP118" s="436" t="str">
        <f t="shared" ref="CP118:CP121" si="84">IFERROR($BT118*CO118,"")</f>
        <v/>
      </c>
      <c r="DD118" s="388">
        <f t="shared" si="79"/>
        <v>0</v>
      </c>
      <c r="DE118" s="22">
        <f t="shared" si="68"/>
        <v>19</v>
      </c>
      <c r="DF118" s="387">
        <f t="shared" si="80"/>
        <v>0</v>
      </c>
      <c r="DG118" s="387">
        <f t="shared" si="69"/>
        <v>0</v>
      </c>
      <c r="DH118" s="22">
        <f t="shared" ca="1" si="70"/>
        <v>0</v>
      </c>
      <c r="DI118">
        <f t="shared" ca="1" si="71"/>
        <v>0</v>
      </c>
    </row>
    <row r="119" spans="1:113" ht="30" hidden="1" customHeight="1" outlineLevel="1">
      <c r="A119" s="22" t="str">
        <f t="shared" si="72"/>
        <v/>
      </c>
      <c r="B119" s="199"/>
      <c r="C119" s="459"/>
      <c r="D119" s="199"/>
      <c r="E119" s="405"/>
      <c r="F119" s="405"/>
      <c r="G119" s="406"/>
      <c r="H119" s="377"/>
      <c r="I119" s="377"/>
      <c r="J119" s="377"/>
      <c r="K119" s="377"/>
      <c r="L119" s="377"/>
      <c r="M119" s="377"/>
      <c r="N119" s="377"/>
      <c r="O119" s="377"/>
      <c r="P119" s="377"/>
      <c r="Q119" s="377"/>
      <c r="R119" s="377"/>
      <c r="S119" s="377"/>
      <c r="T119" s="458">
        <f t="shared" si="81"/>
        <v>0</v>
      </c>
      <c r="U119" s="200"/>
      <c r="W119" s="442"/>
      <c r="X119" s="443"/>
      <c r="BC119" s="3">
        <f t="shared" si="73"/>
        <v>0</v>
      </c>
      <c r="BD119" s="3">
        <f t="shared" si="74"/>
        <v>0</v>
      </c>
      <c r="BE119" s="432" t="str">
        <f t="shared" si="75"/>
        <v/>
      </c>
      <c r="BF119" s="432" t="str">
        <f t="shared" si="76"/>
        <v/>
      </c>
      <c r="BG119" s="432" t="str">
        <f t="shared" si="77"/>
        <v/>
      </c>
      <c r="BH119" s="434" t="str">
        <f>_xlfn.LET(_xlpm.x,H119,IF(OR(LEN(_xlpm.x)&lt;1,_xlpm.x=0),"",CONVERT(_xlpm.x,'Diversion and Disposal'!$BH$7,"kg")))</f>
        <v/>
      </c>
      <c r="BI119" s="434" t="str">
        <f>_xlfn.LET(_xlpm.x,I119,IF(OR(LEN(_xlpm.x)&lt;1,_xlpm.x=0),"",CONVERT(_xlpm.x,'Diversion and Disposal'!$BH$7,"kg")))</f>
        <v/>
      </c>
      <c r="BJ119" s="434" t="str">
        <f>_xlfn.LET(_xlpm.x,J119,IF(OR(LEN(_xlpm.x)&lt;1,_xlpm.x=0),"",CONVERT(_xlpm.x,'Diversion and Disposal'!$BH$7,"kg")))</f>
        <v/>
      </c>
      <c r="BK119" s="434" t="str">
        <f>_xlfn.LET(_xlpm.x,K119,IF(OR(LEN(_xlpm.x)&lt;1,_xlpm.x=0),"",CONVERT(_xlpm.x,'Diversion and Disposal'!$BH$7,"kg")))</f>
        <v/>
      </c>
      <c r="BL119" s="434" t="str">
        <f>_xlfn.LET(_xlpm.x,L119,IF(OR(LEN(_xlpm.x)&lt;1,_xlpm.x=0),"",CONVERT(_xlpm.x,'Diversion and Disposal'!$BH$7,"kg")))</f>
        <v/>
      </c>
      <c r="BM119" s="434" t="str">
        <f>_xlfn.LET(_xlpm.x,M119,IF(OR(LEN(_xlpm.x)&lt;1,_xlpm.x=0),"",CONVERT(_xlpm.x,'Diversion and Disposal'!$BH$7,"kg")))</f>
        <v/>
      </c>
      <c r="BN119" s="434" t="str">
        <f>_xlfn.LET(_xlpm.x,N119,IF(OR(LEN(_xlpm.x)&lt;1,_xlpm.x=0),"",CONVERT(_xlpm.x,'Diversion and Disposal'!$BH$7,"kg")))</f>
        <v/>
      </c>
      <c r="BO119" s="434" t="str">
        <f>_xlfn.LET(_xlpm.x,O119,IF(OR(LEN(_xlpm.x)&lt;1,_xlpm.x=0),"",CONVERT(_xlpm.x,'Diversion and Disposal'!$BH$7,"kg")))</f>
        <v/>
      </c>
      <c r="BP119" s="434" t="str">
        <f>_xlfn.LET(_xlpm.x,P119,IF(OR(LEN(_xlpm.x)&lt;1,_xlpm.x=0),"",CONVERT(_xlpm.x,'Diversion and Disposal'!$BH$7,"kg")))</f>
        <v/>
      </c>
      <c r="BQ119" s="434" t="str">
        <f>_xlfn.LET(_xlpm.x,Q119,IF(OR(LEN(_xlpm.x)&lt;1,_xlpm.x=0),"",CONVERT(_xlpm.x,'Diversion and Disposal'!$BH$7,"kg")))</f>
        <v/>
      </c>
      <c r="BR119" s="434" t="str">
        <f>_xlfn.LET(_xlpm.x,R119,IF(OR(LEN(_xlpm.x)&lt;1,_xlpm.x=0),"",CONVERT(_xlpm.x,'Diversion and Disposal'!$BH$7,"kg")))</f>
        <v/>
      </c>
      <c r="BS119" s="434" t="str">
        <f>_xlfn.LET(_xlpm.x,S119,IF(OR(LEN(_xlpm.x)&lt;1,_xlpm.x=0),"",CONVERT(_xlpm.x,'Diversion and Disposal'!$BH$7,"kg")))</f>
        <v/>
      </c>
      <c r="BT119" s="435">
        <f t="shared" si="82"/>
        <v>0</v>
      </c>
      <c r="BU119" s="433" t="str">
        <f>_xlfn.LET(_xlpm.x,BF119,IF(LEN(_xlpm.x)&lt;1,"",IF(ISNUMBER(MATCH(_xlpm.x,ls_Mat_def,0)),'Project Inputs'!$BF$14,99)))</f>
        <v/>
      </c>
      <c r="BV119" s="432" t="str" cm="1">
        <f t="array" ref="BV119">IFERROR(INDEX(tblGWP[],MATCH(1,(tblGWP[Dataset ID]=BU119)*(tblGWP[Material Subcategory]=BF119),0),MATCH(BG119,ls_WHM,0)+5),"confirm")</f>
        <v>confirm</v>
      </c>
      <c r="BW119" s="434" t="str">
        <f t="shared" si="52"/>
        <v>No data</v>
      </c>
      <c r="BX119" s="434" t="str">
        <f t="shared" si="53"/>
        <v>No data</v>
      </c>
      <c r="BY119" s="434" t="str">
        <f t="shared" si="78"/>
        <v>No data</v>
      </c>
      <c r="BZ119" s="434" t="str">
        <f t="shared" si="55"/>
        <v>No data</v>
      </c>
      <c r="CA119" s="434" t="str">
        <f t="shared" si="56"/>
        <v>No data</v>
      </c>
      <c r="CB119" s="434" t="str">
        <f t="shared" si="57"/>
        <v>No data</v>
      </c>
      <c r="CC119" s="434" t="str">
        <f t="shared" si="58"/>
        <v>No data</v>
      </c>
      <c r="CD119" s="434" t="str">
        <f t="shared" si="59"/>
        <v>No data</v>
      </c>
      <c r="CE119" s="434" t="str">
        <f t="shared" si="60"/>
        <v>No data</v>
      </c>
      <c r="CF119" s="434" t="str">
        <f t="shared" si="61"/>
        <v>No data</v>
      </c>
      <c r="CG119" s="434" t="str">
        <f t="shared" si="62"/>
        <v>No data</v>
      </c>
      <c r="CH119" s="434" t="str">
        <f t="shared" si="63"/>
        <v>No data</v>
      </c>
      <c r="CI119" s="435">
        <f t="shared" si="83"/>
        <v>0</v>
      </c>
      <c r="CK119" s="3" t="str">
        <f>_xlfn.LET(_xlpm.x,INDEX(tbl_Mat_def[],MATCH(BF119,ls_Mat_def,0),2),IFERROR(IF(_xlpm.x=0,"No","Yes"),"No"))</f>
        <v>No</v>
      </c>
      <c r="CM119" s="60" t="str">
        <f t="shared" si="66"/>
        <v/>
      </c>
      <c r="CN119" s="60" t="s">
        <v>235</v>
      </c>
      <c r="CO119" s="432" t="str" cm="1">
        <f t="array" ref="CO119">IFERROR(INDEX(tblGWP[],MATCH(1,(tblGWP[Dataset ID]=BU119)*(tblGWP[Material Subcategory]=CM119),0),MATCH(CN119,ls_WHM,0)+4),"confirm")</f>
        <v>confirm</v>
      </c>
      <c r="CP119" s="436" t="str">
        <f t="shared" si="84"/>
        <v/>
      </c>
      <c r="DD119" s="388">
        <f t="shared" si="79"/>
        <v>0</v>
      </c>
      <c r="DE119" s="22">
        <f t="shared" si="68"/>
        <v>19</v>
      </c>
      <c r="DF119" s="387">
        <f t="shared" si="80"/>
        <v>0</v>
      </c>
      <c r="DG119" s="387">
        <f t="shared" si="69"/>
        <v>0</v>
      </c>
      <c r="DH119" s="22">
        <f t="shared" ca="1" si="70"/>
        <v>0</v>
      </c>
      <c r="DI119">
        <f t="shared" ca="1" si="71"/>
        <v>0</v>
      </c>
    </row>
    <row r="120" spans="1:113" ht="30" hidden="1" customHeight="1" outlineLevel="1">
      <c r="A120" s="22" t="str">
        <f t="shared" si="72"/>
        <v/>
      </c>
      <c r="B120" s="199"/>
      <c r="C120" s="459"/>
      <c r="D120" s="199"/>
      <c r="E120" s="405"/>
      <c r="F120" s="405"/>
      <c r="G120" s="406"/>
      <c r="H120" s="377"/>
      <c r="I120" s="377"/>
      <c r="J120" s="377"/>
      <c r="K120" s="377"/>
      <c r="L120" s="377"/>
      <c r="M120" s="377"/>
      <c r="N120" s="377"/>
      <c r="O120" s="377"/>
      <c r="P120" s="377"/>
      <c r="Q120" s="377"/>
      <c r="R120" s="377"/>
      <c r="S120" s="377"/>
      <c r="T120" s="458">
        <f t="shared" si="81"/>
        <v>0</v>
      </c>
      <c r="U120" s="200"/>
      <c r="W120" s="442"/>
      <c r="X120" s="443"/>
      <c r="BC120" s="3">
        <f t="shared" si="73"/>
        <v>0</v>
      </c>
      <c r="BD120" s="3">
        <f t="shared" si="74"/>
        <v>0</v>
      </c>
      <c r="BE120" s="432" t="str">
        <f t="shared" si="75"/>
        <v/>
      </c>
      <c r="BF120" s="432" t="str">
        <f t="shared" si="76"/>
        <v/>
      </c>
      <c r="BG120" s="432" t="str">
        <f t="shared" si="77"/>
        <v/>
      </c>
      <c r="BH120" s="434" t="str">
        <f>_xlfn.LET(_xlpm.x,H120,IF(OR(LEN(_xlpm.x)&lt;1,_xlpm.x=0),"",CONVERT(_xlpm.x,'Diversion and Disposal'!$BH$7,"kg")))</f>
        <v/>
      </c>
      <c r="BI120" s="434" t="str">
        <f>_xlfn.LET(_xlpm.x,I120,IF(OR(LEN(_xlpm.x)&lt;1,_xlpm.x=0),"",CONVERT(_xlpm.x,'Diversion and Disposal'!$BH$7,"kg")))</f>
        <v/>
      </c>
      <c r="BJ120" s="434" t="str">
        <f>_xlfn.LET(_xlpm.x,J120,IF(OR(LEN(_xlpm.x)&lt;1,_xlpm.x=0),"",CONVERT(_xlpm.x,'Diversion and Disposal'!$BH$7,"kg")))</f>
        <v/>
      </c>
      <c r="BK120" s="434" t="str">
        <f>_xlfn.LET(_xlpm.x,K120,IF(OR(LEN(_xlpm.x)&lt;1,_xlpm.x=0),"",CONVERT(_xlpm.x,'Diversion and Disposal'!$BH$7,"kg")))</f>
        <v/>
      </c>
      <c r="BL120" s="434" t="str">
        <f>_xlfn.LET(_xlpm.x,L120,IF(OR(LEN(_xlpm.x)&lt;1,_xlpm.x=0),"",CONVERT(_xlpm.x,'Diversion and Disposal'!$BH$7,"kg")))</f>
        <v/>
      </c>
      <c r="BM120" s="434" t="str">
        <f>_xlfn.LET(_xlpm.x,M120,IF(OR(LEN(_xlpm.x)&lt;1,_xlpm.x=0),"",CONVERT(_xlpm.x,'Diversion and Disposal'!$BH$7,"kg")))</f>
        <v/>
      </c>
      <c r="BN120" s="434" t="str">
        <f>_xlfn.LET(_xlpm.x,N120,IF(OR(LEN(_xlpm.x)&lt;1,_xlpm.x=0),"",CONVERT(_xlpm.x,'Diversion and Disposal'!$BH$7,"kg")))</f>
        <v/>
      </c>
      <c r="BO120" s="434" t="str">
        <f>_xlfn.LET(_xlpm.x,O120,IF(OR(LEN(_xlpm.x)&lt;1,_xlpm.x=0),"",CONVERT(_xlpm.x,'Diversion and Disposal'!$BH$7,"kg")))</f>
        <v/>
      </c>
      <c r="BP120" s="434" t="str">
        <f>_xlfn.LET(_xlpm.x,P120,IF(OR(LEN(_xlpm.x)&lt;1,_xlpm.x=0),"",CONVERT(_xlpm.x,'Diversion and Disposal'!$BH$7,"kg")))</f>
        <v/>
      </c>
      <c r="BQ120" s="434" t="str">
        <f>_xlfn.LET(_xlpm.x,Q120,IF(OR(LEN(_xlpm.x)&lt;1,_xlpm.x=0),"",CONVERT(_xlpm.x,'Diversion and Disposal'!$BH$7,"kg")))</f>
        <v/>
      </c>
      <c r="BR120" s="434" t="str">
        <f>_xlfn.LET(_xlpm.x,R120,IF(OR(LEN(_xlpm.x)&lt;1,_xlpm.x=0),"",CONVERT(_xlpm.x,'Diversion and Disposal'!$BH$7,"kg")))</f>
        <v/>
      </c>
      <c r="BS120" s="434" t="str">
        <f>_xlfn.LET(_xlpm.x,S120,IF(OR(LEN(_xlpm.x)&lt;1,_xlpm.x=0),"",CONVERT(_xlpm.x,'Diversion and Disposal'!$BH$7,"kg")))</f>
        <v/>
      </c>
      <c r="BT120" s="435">
        <f t="shared" si="82"/>
        <v>0</v>
      </c>
      <c r="BU120" s="433" t="str">
        <f>_xlfn.LET(_xlpm.x,BF120,IF(LEN(_xlpm.x)&lt;1,"",IF(ISNUMBER(MATCH(_xlpm.x,ls_Mat_def,0)),'Project Inputs'!$BF$14,99)))</f>
        <v/>
      </c>
      <c r="BV120" s="432" t="str" cm="1">
        <f t="array" ref="BV120">IFERROR(INDEX(tblGWP[],MATCH(1,(tblGWP[Dataset ID]=BU120)*(tblGWP[Material Subcategory]=BF120),0),MATCH(BG120,ls_WHM,0)+5),"confirm")</f>
        <v>confirm</v>
      </c>
      <c r="BW120" s="434" t="str">
        <f t="shared" si="52"/>
        <v>No data</v>
      </c>
      <c r="BX120" s="434" t="str">
        <f t="shared" si="53"/>
        <v>No data</v>
      </c>
      <c r="BY120" s="434" t="str">
        <f t="shared" si="78"/>
        <v>No data</v>
      </c>
      <c r="BZ120" s="434" t="str">
        <f t="shared" si="55"/>
        <v>No data</v>
      </c>
      <c r="CA120" s="434" t="str">
        <f t="shared" si="56"/>
        <v>No data</v>
      </c>
      <c r="CB120" s="434" t="str">
        <f t="shared" si="57"/>
        <v>No data</v>
      </c>
      <c r="CC120" s="434" t="str">
        <f t="shared" si="58"/>
        <v>No data</v>
      </c>
      <c r="CD120" s="434" t="str">
        <f t="shared" si="59"/>
        <v>No data</v>
      </c>
      <c r="CE120" s="434" t="str">
        <f t="shared" si="60"/>
        <v>No data</v>
      </c>
      <c r="CF120" s="434" t="str">
        <f t="shared" si="61"/>
        <v>No data</v>
      </c>
      <c r="CG120" s="434" t="str">
        <f t="shared" si="62"/>
        <v>No data</v>
      </c>
      <c r="CH120" s="434" t="str">
        <f t="shared" si="63"/>
        <v>No data</v>
      </c>
      <c r="CI120" s="435">
        <f t="shared" si="83"/>
        <v>0</v>
      </c>
      <c r="CK120" s="3" t="str">
        <f>_xlfn.LET(_xlpm.x,INDEX(tbl_Mat_def[],MATCH(BF120,ls_Mat_def,0),2),IFERROR(IF(_xlpm.x=0,"No","Yes"),"No"))</f>
        <v>No</v>
      </c>
      <c r="CM120" s="60" t="str">
        <f t="shared" si="66"/>
        <v/>
      </c>
      <c r="CN120" s="60" t="s">
        <v>235</v>
      </c>
      <c r="CO120" s="432" t="str" cm="1">
        <f t="array" ref="CO120">IFERROR(INDEX(tblGWP[],MATCH(1,(tblGWP[Dataset ID]=BU120)*(tblGWP[Material Subcategory]=CM120),0),MATCH(CN120,ls_WHM,0)+4),"confirm")</f>
        <v>confirm</v>
      </c>
      <c r="CP120" s="436" t="str">
        <f t="shared" si="84"/>
        <v/>
      </c>
      <c r="DD120" s="388">
        <f t="shared" si="79"/>
        <v>0</v>
      </c>
      <c r="DE120" s="22">
        <f t="shared" si="68"/>
        <v>19</v>
      </c>
      <c r="DF120" s="387">
        <f t="shared" si="80"/>
        <v>0</v>
      </c>
      <c r="DG120" s="387">
        <f t="shared" si="69"/>
        <v>0</v>
      </c>
      <c r="DH120" s="22">
        <f t="shared" ca="1" si="70"/>
        <v>0</v>
      </c>
      <c r="DI120">
        <f t="shared" ca="1" si="71"/>
        <v>0</v>
      </c>
    </row>
    <row r="121" spans="1:113" ht="30" hidden="1" customHeight="1" outlineLevel="1">
      <c r="A121" s="22" t="str">
        <f t="shared" si="72"/>
        <v/>
      </c>
      <c r="B121" s="199"/>
      <c r="C121" s="459"/>
      <c r="D121" s="199"/>
      <c r="E121" s="405"/>
      <c r="F121" s="405"/>
      <c r="G121" s="406"/>
      <c r="H121" s="377"/>
      <c r="I121" s="377"/>
      <c r="J121" s="377"/>
      <c r="K121" s="377"/>
      <c r="L121" s="377"/>
      <c r="M121" s="377"/>
      <c r="N121" s="377"/>
      <c r="O121" s="377"/>
      <c r="P121" s="377"/>
      <c r="Q121" s="377"/>
      <c r="R121" s="377"/>
      <c r="S121" s="377"/>
      <c r="T121" s="458">
        <f t="shared" si="81"/>
        <v>0</v>
      </c>
      <c r="U121" s="200"/>
      <c r="W121" s="442"/>
      <c r="X121" s="443"/>
      <c r="BC121" s="3">
        <f t="shared" si="73"/>
        <v>0</v>
      </c>
      <c r="BD121" s="3">
        <f t="shared" si="74"/>
        <v>0</v>
      </c>
      <c r="BE121" s="432" t="str">
        <f t="shared" si="75"/>
        <v/>
      </c>
      <c r="BF121" s="432" t="str">
        <f t="shared" si="76"/>
        <v/>
      </c>
      <c r="BG121" s="432" t="str">
        <f t="shared" si="77"/>
        <v/>
      </c>
      <c r="BH121" s="434" t="str">
        <f>_xlfn.LET(_xlpm.x,H121,IF(OR(LEN(_xlpm.x)&lt;1,_xlpm.x=0),"",CONVERT(_xlpm.x,'Diversion and Disposal'!$BH$7,"kg")))</f>
        <v/>
      </c>
      <c r="BI121" s="434" t="str">
        <f>_xlfn.LET(_xlpm.x,I121,IF(OR(LEN(_xlpm.x)&lt;1,_xlpm.x=0),"",CONVERT(_xlpm.x,'Diversion and Disposal'!$BH$7,"kg")))</f>
        <v/>
      </c>
      <c r="BJ121" s="434" t="str">
        <f>_xlfn.LET(_xlpm.x,J121,IF(OR(LEN(_xlpm.x)&lt;1,_xlpm.x=0),"",CONVERT(_xlpm.x,'Diversion and Disposal'!$BH$7,"kg")))</f>
        <v/>
      </c>
      <c r="BK121" s="434" t="str">
        <f>_xlfn.LET(_xlpm.x,K121,IF(OR(LEN(_xlpm.x)&lt;1,_xlpm.x=0),"",CONVERT(_xlpm.x,'Diversion and Disposal'!$BH$7,"kg")))</f>
        <v/>
      </c>
      <c r="BL121" s="434" t="str">
        <f>_xlfn.LET(_xlpm.x,L121,IF(OR(LEN(_xlpm.x)&lt;1,_xlpm.x=0),"",CONVERT(_xlpm.x,'Diversion and Disposal'!$BH$7,"kg")))</f>
        <v/>
      </c>
      <c r="BM121" s="434" t="str">
        <f>_xlfn.LET(_xlpm.x,M121,IF(OR(LEN(_xlpm.x)&lt;1,_xlpm.x=0),"",CONVERT(_xlpm.x,'Diversion and Disposal'!$BH$7,"kg")))</f>
        <v/>
      </c>
      <c r="BN121" s="434" t="str">
        <f>_xlfn.LET(_xlpm.x,N121,IF(OR(LEN(_xlpm.x)&lt;1,_xlpm.x=0),"",CONVERT(_xlpm.x,'Diversion and Disposal'!$BH$7,"kg")))</f>
        <v/>
      </c>
      <c r="BO121" s="434" t="str">
        <f>_xlfn.LET(_xlpm.x,O121,IF(OR(LEN(_xlpm.x)&lt;1,_xlpm.x=0),"",CONVERT(_xlpm.x,'Diversion and Disposal'!$BH$7,"kg")))</f>
        <v/>
      </c>
      <c r="BP121" s="434" t="str">
        <f>_xlfn.LET(_xlpm.x,P121,IF(OR(LEN(_xlpm.x)&lt;1,_xlpm.x=0),"",CONVERT(_xlpm.x,'Diversion and Disposal'!$BH$7,"kg")))</f>
        <v/>
      </c>
      <c r="BQ121" s="434" t="str">
        <f>_xlfn.LET(_xlpm.x,Q121,IF(OR(LEN(_xlpm.x)&lt;1,_xlpm.x=0),"",CONVERT(_xlpm.x,'Diversion and Disposal'!$BH$7,"kg")))</f>
        <v/>
      </c>
      <c r="BR121" s="434" t="str">
        <f>_xlfn.LET(_xlpm.x,R121,IF(OR(LEN(_xlpm.x)&lt;1,_xlpm.x=0),"",CONVERT(_xlpm.x,'Diversion and Disposal'!$BH$7,"kg")))</f>
        <v/>
      </c>
      <c r="BS121" s="434" t="str">
        <f>_xlfn.LET(_xlpm.x,S121,IF(OR(LEN(_xlpm.x)&lt;1,_xlpm.x=0),"",CONVERT(_xlpm.x,'Diversion and Disposal'!$BH$7,"kg")))</f>
        <v/>
      </c>
      <c r="BT121" s="435">
        <f t="shared" si="82"/>
        <v>0</v>
      </c>
      <c r="BU121" s="433" t="str">
        <f>_xlfn.LET(_xlpm.x,BF121,IF(LEN(_xlpm.x)&lt;1,"",IF(ISNUMBER(MATCH(_xlpm.x,ls_Mat_def,0)),'Project Inputs'!$BF$14,99)))</f>
        <v/>
      </c>
      <c r="BV121" s="432" t="str" cm="1">
        <f t="array" ref="BV121">IFERROR(INDEX(tblGWP[],MATCH(1,(tblGWP[Dataset ID]=BU121)*(tblGWP[Material Subcategory]=BF121),0),MATCH(BG121,ls_WHM,0)+5),"confirm")</f>
        <v>confirm</v>
      </c>
      <c r="BW121" s="434" t="str">
        <f t="shared" si="52"/>
        <v>No data</v>
      </c>
      <c r="BX121" s="434" t="str">
        <f t="shared" si="53"/>
        <v>No data</v>
      </c>
      <c r="BY121" s="434" t="str">
        <f t="shared" si="78"/>
        <v>No data</v>
      </c>
      <c r="BZ121" s="434" t="str">
        <f t="shared" si="55"/>
        <v>No data</v>
      </c>
      <c r="CA121" s="434" t="str">
        <f t="shared" si="56"/>
        <v>No data</v>
      </c>
      <c r="CB121" s="434" t="str">
        <f t="shared" si="57"/>
        <v>No data</v>
      </c>
      <c r="CC121" s="434" t="str">
        <f t="shared" si="58"/>
        <v>No data</v>
      </c>
      <c r="CD121" s="434" t="str">
        <f t="shared" si="59"/>
        <v>No data</v>
      </c>
      <c r="CE121" s="434" t="str">
        <f t="shared" si="60"/>
        <v>No data</v>
      </c>
      <c r="CF121" s="434" t="str">
        <f t="shared" si="61"/>
        <v>No data</v>
      </c>
      <c r="CG121" s="434" t="str">
        <f t="shared" si="62"/>
        <v>No data</v>
      </c>
      <c r="CH121" s="434" t="str">
        <f t="shared" si="63"/>
        <v>No data</v>
      </c>
      <c r="CI121" s="435">
        <f t="shared" si="83"/>
        <v>0</v>
      </c>
      <c r="CK121" s="3" t="str">
        <f>_xlfn.LET(_xlpm.x,INDEX(tbl_Mat_def[],MATCH(BF121,ls_Mat_def,0),2),IFERROR(IF(_xlpm.x=0,"No","Yes"),"No"))</f>
        <v>No</v>
      </c>
      <c r="CM121" s="60" t="str">
        <f t="shared" si="66"/>
        <v/>
      </c>
      <c r="CN121" s="60" t="s">
        <v>235</v>
      </c>
      <c r="CO121" s="432" t="str" cm="1">
        <f t="array" ref="CO121">IFERROR(INDEX(tblGWP[],MATCH(1,(tblGWP[Dataset ID]=BU121)*(tblGWP[Material Subcategory]=CM121),0),MATCH(CN121,ls_WHM,0)+4),"confirm")</f>
        <v>confirm</v>
      </c>
      <c r="CP121" s="436" t="str">
        <f t="shared" si="84"/>
        <v/>
      </c>
      <c r="DD121" s="388">
        <f t="shared" si="79"/>
        <v>0</v>
      </c>
      <c r="DE121" s="22">
        <f t="shared" si="68"/>
        <v>19</v>
      </c>
      <c r="DF121" s="387">
        <f t="shared" si="80"/>
        <v>0</v>
      </c>
      <c r="DG121" s="387">
        <f t="shared" si="69"/>
        <v>0</v>
      </c>
      <c r="DH121" s="22">
        <f t="shared" ca="1" si="70"/>
        <v>0</v>
      </c>
      <c r="DI121">
        <f t="shared" ca="1" si="71"/>
        <v>0</v>
      </c>
    </row>
    <row r="122" spans="1:113" collapsed="1">
      <c r="B122" s="124" t="str">
        <f>IF(COUNTIF($F$22:$F$121,Factors!$G$1061)&gt;0,_xlfn._LONGTEXT("*Note: The materials marked in red (Batteries) in the above table may be considered hazardous materials. If a material is considered hazardous by the project's local jurisdiction, state, or country, then it must be properly disposed of according to regula","tions and excluded from credit calculations."),"")</f>
        <v/>
      </c>
      <c r="C122" s="124"/>
      <c r="D122" s="440"/>
      <c r="E122" s="124"/>
      <c r="F122" s="41"/>
      <c r="G122" s="124"/>
      <c r="H122" s="10"/>
      <c r="I122" s="438"/>
      <c r="J122" s="441"/>
      <c r="K122" s="441"/>
      <c r="L122" s="441"/>
      <c r="M122" s="441"/>
      <c r="N122" s="441"/>
      <c r="O122" s="441"/>
      <c r="P122" s="441"/>
      <c r="Q122" s="441"/>
      <c r="R122" s="441"/>
      <c r="S122" s="441"/>
      <c r="T122" s="441"/>
      <c r="U122" s="442"/>
      <c r="V122" s="10"/>
      <c r="W122" s="442"/>
      <c r="X122" s="443"/>
    </row>
    <row r="123" spans="1:113">
      <c r="D123" s="440"/>
      <c r="E123" s="124"/>
      <c r="F123" s="124"/>
      <c r="G123" s="124"/>
      <c r="H123" s="10"/>
      <c r="I123" s="438"/>
      <c r="J123" s="441"/>
      <c r="K123" s="441"/>
      <c r="L123" s="441"/>
      <c r="M123" s="441"/>
      <c r="N123" s="441"/>
      <c r="O123" s="441"/>
      <c r="P123" s="441"/>
      <c r="Q123" s="441"/>
      <c r="R123" s="441"/>
      <c r="S123" s="441"/>
      <c r="T123" s="441"/>
      <c r="U123" s="442"/>
      <c r="V123" s="10"/>
      <c r="W123" s="442"/>
      <c r="X123" s="443"/>
    </row>
  </sheetData>
  <sheetProtection algorithmName="SHA-512" hashValue="SG/6gfkmCgsHw5+8lbAbWn2Ra01/9O9qMuixu8NwdmO07d4j9cgSnSwtMHWwCskF9UehR9VxVwRTlcecXy/egQ==" saltValue="HE8MKnOQAaUx6FBQuCjjuw==" spinCount="100000" sheet="1" formatColumns="0" formatRows="0" selectLockedCells="1"/>
  <mergeCells count="4">
    <mergeCell ref="BH21:BT21"/>
    <mergeCell ref="BW21:CI21"/>
    <mergeCell ref="H21:S21"/>
    <mergeCell ref="B4:M4"/>
  </mergeCells>
  <conditionalFormatting sqref="B22:U121">
    <cfRule type="expression" dxfId="28" priority="9" stopIfTrue="1">
      <formula>LEN(B22)&gt;0</formula>
    </cfRule>
  </conditionalFormatting>
  <conditionalFormatting sqref="B122:V122">
    <cfRule type="expression" dxfId="27" priority="10">
      <formula>COUNTIF($F$131:$F$230,"*Batteries")&gt;0</formula>
    </cfRule>
  </conditionalFormatting>
  <conditionalFormatting sqref="C11">
    <cfRule type="cellIs" dxfId="26" priority="5" operator="greaterThan">
      <formula>0</formula>
    </cfRule>
  </conditionalFormatting>
  <conditionalFormatting sqref="C12">
    <cfRule type="cellIs" dxfId="25" priority="11" operator="greaterThan">
      <formula>0</formula>
    </cfRule>
  </conditionalFormatting>
  <conditionalFormatting sqref="C15:C17">
    <cfRule type="cellIs" dxfId="24" priority="14" operator="greaterThan">
      <formula>0</formula>
    </cfRule>
  </conditionalFormatting>
  <conditionalFormatting sqref="C16">
    <cfRule type="cellIs" dxfId="23" priority="12" operator="greaterThan">
      <formula>0</formula>
    </cfRule>
  </conditionalFormatting>
  <conditionalFormatting sqref="C18">
    <cfRule type="cellIs" dxfId="22" priority="6" operator="greaterThan">
      <formula>0</formula>
    </cfRule>
  </conditionalFormatting>
  <conditionalFormatting sqref="F22:F121">
    <cfRule type="containsText" dxfId="21" priority="8" operator="containsText" text="Batteries">
      <formula>NOT(ISERROR(SEARCH("Batteries",F22)))</formula>
    </cfRule>
  </conditionalFormatting>
  <dataValidations count="9">
    <dataValidation type="decimal" allowBlank="1" showInputMessage="1" showErrorMessage="1" sqref="C18" xr:uid="{D43E5510-9BE3-4C8A-A093-BBD5B012BB62}">
      <formula1>1</formula1>
      <formula2>1E+100</formula2>
    </dataValidation>
    <dataValidation type="list" allowBlank="1" showInputMessage="1" showErrorMessage="1" sqref="F22:F121" xr:uid="{69E87F20-30BA-4687-888C-3E7896920BE8}">
      <formula1>INDIRECT(INDEX(ls_Subcat_options,MATCH(E22,ls_Mat_Cat,0)))</formula1>
    </dataValidation>
    <dataValidation type="list" allowBlank="1" showInputMessage="1" showErrorMessage="1" sqref="B22:B121" xr:uid="{400D19F0-65F9-4A6D-BBA3-B5499D48BA44}">
      <formula1>"Regular Monthly Generation, Intermittent Generation"</formula1>
    </dataValidation>
    <dataValidation type="list" allowBlank="1" showInputMessage="1" showErrorMessage="1" sqref="E22:E121" xr:uid="{D6FBCE9F-44A9-4198-ABFF-9E6ED293C3A8}">
      <formula1>ls_Mat_Cat</formula1>
    </dataValidation>
    <dataValidation type="list" allowBlank="1" showInputMessage="1" showErrorMessage="1" sqref="C22:C121" xr:uid="{9A1548FE-4E52-4300-A363-4DA68FAF244F}">
      <formula1>"Actual, Estimated"</formula1>
    </dataValidation>
    <dataValidation type="decimal" allowBlank="1" showInputMessage="1" showErrorMessage="1" sqref="H22:S121" xr:uid="{673194C6-A294-436F-81F1-B46D3818BBA2}">
      <formula1>0</formula1>
      <formula2>1000000</formula2>
    </dataValidation>
    <dataValidation type="list" allowBlank="1" showInputMessage="1" showErrorMessage="1" sqref="C12" xr:uid="{5A88D6C0-4B8E-41B5-AB95-986BC3400787}">
      <formula1>ls_Month_2</formula1>
    </dataValidation>
    <dataValidation type="whole" allowBlank="1" showInputMessage="1" showErrorMessage="1" sqref="C11" xr:uid="{BBF65A7F-E13B-426B-AA88-947A67BCE3EB}">
      <formula1>1900</formula1>
      <formula2>2200</formula2>
    </dataValidation>
    <dataValidation type="list" allowBlank="1" showInputMessage="1" showErrorMessage="1" sqref="G22:G121" xr:uid="{E2E67A0F-D89D-4CE5-BB3E-D7D474EBA503}">
      <formula1>INDIRECT(INDEX(ls_WHMB_options,MATCH(F22,ls_Mat,0)))</formula1>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iconSet" priority="3" id="{BD318A13-C1B7-46F8-9195-CF89705ECFB6}">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A22:A121</xm:sqref>
        </x14:conditionalFormatting>
        <x14:conditionalFormatting xmlns:xm="http://schemas.microsoft.com/office/excel/2006/main">
          <x14:cfRule type="expression" priority="2" stopIfTrue="1" id="{BB16FA8D-5A28-4370-9304-77CCA36AE8C8}">
            <xm:f>'Project Inputs'!$F$157&lt;&gt;"Yes"</xm:f>
            <x14:dxf>
              <font>
                <color theme="1" tint="0.499984740745262"/>
              </font>
              <fill>
                <patternFill patternType="solid">
                  <bgColor theme="1" tint="0.499984740745262"/>
                </patternFill>
              </fill>
              <border>
                <left/>
                <right/>
                <top/>
                <bottom/>
              </border>
            </x14:dxf>
          </x14:cfRule>
          <xm:sqref>A10:BA10 D10:D18 A11:C18 E11:BA18 A19:BA20 A21:U121 W21:BA121 A122:BA202</xm:sqref>
        </x14:conditionalFormatting>
        <x14:conditionalFormatting xmlns:xm="http://schemas.microsoft.com/office/excel/2006/main">
          <x14:cfRule type="expression" priority="7" stopIfTrue="1" id="{13761F56-F4B9-4669-BE96-5058CD232C0A}">
            <xm:f>'Project Inputs'!$D$19&lt;&gt;"Other"</xm:f>
            <x14:dxf>
              <font>
                <color theme="2" tint="-9.9948118533890809E-2"/>
              </font>
              <fill>
                <patternFill patternType="solid">
                  <bgColor theme="2" tint="-9.9948118533890809E-2"/>
                </patternFill>
              </fill>
              <border>
                <left style="thin">
                  <color auto="1"/>
                </left>
                <right style="thin">
                  <color auto="1"/>
                </right>
                <top style="thin">
                  <color auto="1"/>
                </top>
                <bottom style="thin">
                  <color auto="1"/>
                </bottom>
                <vertical/>
                <horizontal/>
              </border>
            </x14:dxf>
          </x14:cfRule>
          <xm:sqref>B16:C16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49DA0-C432-4670-B0BB-A5AA308BBC0C}">
  <sheetPr>
    <tabColor rgb="FF0F2663"/>
  </sheetPr>
  <dimension ref="A1:DH35"/>
  <sheetViews>
    <sheetView showGridLines="0" workbookViewId="0">
      <selection activeCell="B13" sqref="B13"/>
    </sheetView>
  </sheetViews>
  <sheetFormatPr defaultRowHeight="14.4"/>
  <cols>
    <col min="2" max="12" width="30.77734375" customWidth="1"/>
    <col min="30" max="30" width="8.77734375" customWidth="1"/>
    <col min="53" max="103" width="0" hidden="1" customWidth="1"/>
    <col min="104" max="104" width="11.77734375" hidden="1" customWidth="1"/>
    <col min="105" max="105" width="0" hidden="1" customWidth="1"/>
    <col min="106" max="106" width="85.21875" hidden="1" customWidth="1"/>
    <col min="107" max="108" width="0" hidden="1" customWidth="1"/>
    <col min="109" max="109" width="10.77734375" hidden="1" customWidth="1"/>
    <col min="110" max="131" width="0" hidden="1" customWidth="1"/>
  </cols>
  <sheetData>
    <row r="1" spans="1:112" ht="21">
      <c r="A1" s="531" t="str">
        <f>_xlfn.CONCAT("Project Name: ",'Project Inputs'!$D$10)</f>
        <v xml:space="preserve">Project Name: </v>
      </c>
      <c r="B1" s="174"/>
      <c r="C1" s="174"/>
      <c r="D1" s="179"/>
      <c r="E1" s="179"/>
      <c r="F1" s="179"/>
      <c r="G1" s="174"/>
      <c r="H1" s="174"/>
      <c r="I1" s="174"/>
      <c r="J1" s="174"/>
      <c r="K1" s="174"/>
      <c r="L1" s="174"/>
      <c r="M1" s="174"/>
      <c r="N1" s="174"/>
      <c r="O1" s="174"/>
      <c r="P1" s="174"/>
      <c r="Q1" s="174"/>
      <c r="R1" s="174"/>
      <c r="S1" s="174"/>
      <c r="T1" s="174"/>
      <c r="U1" s="174"/>
      <c r="V1" s="174"/>
      <c r="W1" s="174"/>
      <c r="X1" s="174"/>
      <c r="Y1" s="174"/>
      <c r="Z1" s="174"/>
      <c r="AA1" s="174"/>
      <c r="AB1" s="174"/>
    </row>
    <row r="2" spans="1:112" ht="70.05" customHeight="1">
      <c r="A2" s="186" t="s">
        <v>275</v>
      </c>
      <c r="B2" s="174"/>
      <c r="C2" s="174"/>
      <c r="D2" s="179"/>
      <c r="E2" s="179"/>
      <c r="F2" s="179"/>
      <c r="G2" s="174"/>
      <c r="H2" s="174"/>
      <c r="I2" s="174"/>
      <c r="J2" s="174"/>
      <c r="K2" s="174"/>
      <c r="L2" s="174"/>
      <c r="M2" s="174"/>
      <c r="N2" s="174"/>
      <c r="O2" s="174"/>
      <c r="P2" s="174"/>
      <c r="Q2" s="174"/>
      <c r="R2" s="174"/>
      <c r="S2" s="174"/>
      <c r="T2" s="174"/>
      <c r="U2" s="174"/>
      <c r="V2" s="174"/>
      <c r="W2" s="174"/>
      <c r="X2" s="174"/>
      <c r="Y2" s="174"/>
      <c r="Z2" s="174"/>
      <c r="AA2" s="174"/>
      <c r="AB2" s="174"/>
      <c r="CZ2" s="384" t="s">
        <v>10219</v>
      </c>
      <c r="DA2" s="124">
        <f>COUNTIF(A2:A1004,1)</f>
        <v>0</v>
      </c>
    </row>
    <row r="4" spans="1:112" ht="90" customHeight="1">
      <c r="B4" s="602" t="s">
        <v>10297</v>
      </c>
      <c r="C4" s="603"/>
      <c r="D4" s="603"/>
      <c r="E4" s="603"/>
      <c r="F4" s="603"/>
      <c r="G4" s="603"/>
      <c r="H4" s="603"/>
      <c r="I4" s="603"/>
      <c r="J4" s="603"/>
      <c r="K4" s="603"/>
      <c r="L4" s="604"/>
      <c r="DA4" s="44"/>
      <c r="DB4" s="389" t="s">
        <v>10206</v>
      </c>
    </row>
    <row r="5" spans="1:112">
      <c r="DA5" s="44" t="s">
        <v>10213</v>
      </c>
      <c r="DB5" s="44" t="s">
        <v>10217</v>
      </c>
    </row>
    <row r="6" spans="1:112" ht="31.2">
      <c r="B6" s="456" t="s">
        <v>63</v>
      </c>
      <c r="C6" s="457" t="s">
        <v>10287</v>
      </c>
      <c r="DA6" s="44"/>
      <c r="DB6" s="44"/>
    </row>
    <row r="7" spans="1:112">
      <c r="B7" s="6" t="str">
        <f>_xlfn.CONCAT('Project Inputs'!B94,": ",'Project Inputs'!C94)</f>
        <v>RDc1: Reduce Hazardous Materials</v>
      </c>
      <c r="C7" s="5" t="str">
        <f>_xlfn.LET(_xlpm.x,'Project Inputs'!F94,IF(ISBLANK(_xlpm.x),"n/a",_xlpm.x))</f>
        <v>n/a</v>
      </c>
      <c r="DA7" s="44"/>
      <c r="DB7" s="44"/>
    </row>
    <row r="8" spans="1:112" ht="15" thickBot="1">
      <c r="B8" s="501"/>
      <c r="C8" s="31"/>
      <c r="DA8" s="44"/>
      <c r="DB8" s="44"/>
    </row>
    <row r="9" spans="1:112" ht="25.8">
      <c r="A9" s="30" t="s">
        <v>275</v>
      </c>
      <c r="B9" s="30"/>
      <c r="C9" s="30"/>
      <c r="D9" s="30"/>
      <c r="E9" s="30"/>
      <c r="F9" s="30"/>
      <c r="G9" s="30"/>
      <c r="H9" s="30"/>
      <c r="I9" s="30"/>
      <c r="J9" s="30"/>
      <c r="K9" s="30"/>
      <c r="L9" s="30"/>
      <c r="M9" s="30"/>
      <c r="N9" s="30"/>
      <c r="O9" s="30"/>
      <c r="P9" s="30"/>
      <c r="Q9" s="30"/>
      <c r="R9" s="30"/>
      <c r="S9" s="30"/>
      <c r="T9" s="30"/>
      <c r="U9" s="30"/>
      <c r="V9" s="30"/>
      <c r="W9" s="30"/>
      <c r="X9" s="30"/>
      <c r="Y9" s="30"/>
      <c r="Z9" s="30"/>
      <c r="AA9" s="30"/>
      <c r="DA9" s="44" t="s">
        <v>10208</v>
      </c>
      <c r="DB9" s="44" t="s">
        <v>10220</v>
      </c>
    </row>
    <row r="10" spans="1:112">
      <c r="DA10" s="44" t="s">
        <v>10210</v>
      </c>
      <c r="DB10" t="s">
        <v>10224</v>
      </c>
    </row>
    <row r="11" spans="1:112">
      <c r="DA11" s="44" t="s">
        <v>10222</v>
      </c>
      <c r="DB11" t="s">
        <v>10223</v>
      </c>
    </row>
    <row r="12" spans="1:112">
      <c r="B12" s="81" t="s">
        <v>276</v>
      </c>
      <c r="C12" s="81" t="s">
        <v>277</v>
      </c>
      <c r="D12" s="81" t="s">
        <v>278</v>
      </c>
      <c r="DD12" s="22" t="s">
        <v>10205</v>
      </c>
      <c r="DE12" s="22" t="s">
        <v>10221</v>
      </c>
      <c r="DF12" s="22" t="s">
        <v>10208</v>
      </c>
      <c r="DG12" s="22" t="s">
        <v>10210</v>
      </c>
      <c r="DH12" s="31" t="s">
        <v>10222</v>
      </c>
    </row>
    <row r="13" spans="1:112">
      <c r="A13" s="22" t="str">
        <f>IF(DD13=0,"",1)</f>
        <v/>
      </c>
      <c r="B13" s="460"/>
      <c r="C13" s="565"/>
      <c r="D13" s="565"/>
      <c r="DD13" s="388">
        <f>IF(DE13=3,0,SUM(DF13:DH13))</f>
        <v>0</v>
      </c>
      <c r="DE13" s="22">
        <f>COUNTBLANK(B13:D13)</f>
        <v>3</v>
      </c>
      <c r="DF13" s="387">
        <f>SUM(IF(OR(ISNUMBER(C13),LEN(C13)=0),0,1),IF(OR(ISNUMBER(D13),LEN(D13)=0),0,1))</f>
        <v>0</v>
      </c>
      <c r="DG13" s="22">
        <f>SUM(IF(AND(ISNUMBER(C13),C13&gt;0),0,IF(LEN(C13)=0,0,1)),IF(AND(ISNUMBER(D13),D13&gt;0),0,IF(LEN(C13)=0,0,1)))</f>
        <v>0</v>
      </c>
      <c r="DH13" s="22">
        <f>_xlfn.LET(_xlpm.x,DE13,_xlpm.y,B13,_xlpm.z,C13,_xlpm.m,D13,IF(_xlpm.x=3,0,IF(AND(LEN(_xlpm.y)&gt;0,LEN(_xlpm.z)&gt;0,LEN(_xlpm.m)&gt;0),0,1)))</f>
        <v>0</v>
      </c>
    </row>
    <row r="14" spans="1:112">
      <c r="A14" s="22" t="str">
        <f t="shared" ref="A14:A32" si="0">IF(DD14=0,"",1)</f>
        <v/>
      </c>
      <c r="B14" s="460"/>
      <c r="C14" s="565"/>
      <c r="D14" s="565"/>
      <c r="F14" s="39"/>
      <c r="DA14" s="44"/>
      <c r="DB14" s="44"/>
      <c r="DD14" s="388">
        <f t="shared" ref="DD14:DD32" si="1">IF(DE14=3,0,SUM(DF14:DH14))</f>
        <v>0</v>
      </c>
      <c r="DE14" s="22">
        <f t="shared" ref="DE14:DE32" si="2">COUNTBLANK(B14:D14)</f>
        <v>3</v>
      </c>
      <c r="DF14" s="387">
        <f t="shared" ref="DF14:DF32" si="3">SUM(IF(OR(ISNUMBER(C14),LEN(C14)=0),0,1),IF(OR(ISNUMBER(D14),LEN(D14)=0),0,1))</f>
        <v>0</v>
      </c>
      <c r="DG14" s="22">
        <f t="shared" ref="DG14:DG32" si="4">SUM(IF(AND(ISNUMBER(C14),C14&gt;0),0,IF(LEN(C14)=0,0,1)),IF(AND(ISNUMBER(D14),D14&gt;0),0,IF(LEN(C14)=0,0,1)))</f>
        <v>0</v>
      </c>
      <c r="DH14" s="22">
        <f t="shared" ref="DH14:DH32" si="5">_xlfn.LET(_xlpm.x,DE14,_xlpm.y,B14,_xlpm.z,C14,_xlpm.m,D14,IF(_xlpm.x=3,0,IF(AND(LEN(_xlpm.y)&gt;0,LEN(_xlpm.z)&gt;0,LEN(_xlpm.m)&gt;0),0,1)))</f>
        <v>0</v>
      </c>
    </row>
    <row r="15" spans="1:112">
      <c r="A15" s="22" t="str">
        <f t="shared" si="0"/>
        <v/>
      </c>
      <c r="B15" s="460"/>
      <c r="C15" s="565"/>
      <c r="D15" s="565"/>
      <c r="DA15" s="44"/>
      <c r="DB15" s="44"/>
      <c r="DD15" s="388">
        <f t="shared" si="1"/>
        <v>0</v>
      </c>
      <c r="DE15" s="22">
        <f t="shared" si="2"/>
        <v>3</v>
      </c>
      <c r="DF15" s="387">
        <f t="shared" si="3"/>
        <v>0</v>
      </c>
      <c r="DG15" s="22">
        <f t="shared" si="4"/>
        <v>0</v>
      </c>
      <c r="DH15" s="22">
        <f t="shared" si="5"/>
        <v>0</v>
      </c>
    </row>
    <row r="16" spans="1:112">
      <c r="A16" s="22" t="str">
        <f t="shared" si="0"/>
        <v/>
      </c>
      <c r="B16" s="460"/>
      <c r="C16" s="565"/>
      <c r="D16" s="565"/>
      <c r="DA16" s="44"/>
      <c r="DB16" s="44"/>
      <c r="DD16" s="388">
        <f t="shared" si="1"/>
        <v>0</v>
      </c>
      <c r="DE16" s="22">
        <f t="shared" si="2"/>
        <v>3</v>
      </c>
      <c r="DF16" s="387">
        <f t="shared" si="3"/>
        <v>0</v>
      </c>
      <c r="DG16" s="22">
        <f t="shared" si="4"/>
        <v>0</v>
      </c>
      <c r="DH16" s="22">
        <f t="shared" si="5"/>
        <v>0</v>
      </c>
    </row>
    <row r="17" spans="1:112">
      <c r="A17" s="22" t="str">
        <f t="shared" si="0"/>
        <v/>
      </c>
      <c r="B17" s="460"/>
      <c r="C17" s="565"/>
      <c r="D17" s="565"/>
      <c r="DA17" s="44"/>
      <c r="DB17" s="44"/>
      <c r="DD17" s="388">
        <f t="shared" si="1"/>
        <v>0</v>
      </c>
      <c r="DE17" s="22">
        <f t="shared" si="2"/>
        <v>3</v>
      </c>
      <c r="DF17" s="387">
        <f t="shared" si="3"/>
        <v>0</v>
      </c>
      <c r="DG17" s="22">
        <f t="shared" si="4"/>
        <v>0</v>
      </c>
      <c r="DH17" s="22">
        <f t="shared" si="5"/>
        <v>0</v>
      </c>
    </row>
    <row r="18" spans="1:112">
      <c r="A18" s="22" t="str">
        <f t="shared" si="0"/>
        <v/>
      </c>
      <c r="B18" s="460"/>
      <c r="C18" s="565"/>
      <c r="D18" s="565"/>
      <c r="DD18" s="388">
        <f t="shared" si="1"/>
        <v>0</v>
      </c>
      <c r="DE18" s="22">
        <f t="shared" si="2"/>
        <v>3</v>
      </c>
      <c r="DF18" s="387">
        <f t="shared" si="3"/>
        <v>0</v>
      </c>
      <c r="DG18" s="22">
        <f t="shared" si="4"/>
        <v>0</v>
      </c>
      <c r="DH18" s="22">
        <f t="shared" si="5"/>
        <v>0</v>
      </c>
    </row>
    <row r="19" spans="1:112">
      <c r="A19" s="22" t="str">
        <f t="shared" si="0"/>
        <v/>
      </c>
      <c r="B19" s="460"/>
      <c r="C19" s="565"/>
      <c r="D19" s="565"/>
      <c r="DD19" s="388">
        <f t="shared" si="1"/>
        <v>0</v>
      </c>
      <c r="DE19" s="22">
        <f t="shared" si="2"/>
        <v>3</v>
      </c>
      <c r="DF19" s="387">
        <f t="shared" si="3"/>
        <v>0</v>
      </c>
      <c r="DG19" s="22">
        <f t="shared" si="4"/>
        <v>0</v>
      </c>
      <c r="DH19" s="22">
        <f t="shared" si="5"/>
        <v>0</v>
      </c>
    </row>
    <row r="20" spans="1:112">
      <c r="A20" s="22" t="str">
        <f t="shared" si="0"/>
        <v/>
      </c>
      <c r="B20" s="460"/>
      <c r="C20" s="565"/>
      <c r="D20" s="565"/>
      <c r="DD20" s="388">
        <f t="shared" si="1"/>
        <v>0</v>
      </c>
      <c r="DE20" s="22">
        <f t="shared" si="2"/>
        <v>3</v>
      </c>
      <c r="DF20" s="387">
        <f t="shared" si="3"/>
        <v>0</v>
      </c>
      <c r="DG20" s="22">
        <f t="shared" si="4"/>
        <v>0</v>
      </c>
      <c r="DH20" s="22">
        <f t="shared" si="5"/>
        <v>0</v>
      </c>
    </row>
    <row r="21" spans="1:112">
      <c r="A21" s="22" t="str">
        <f t="shared" si="0"/>
        <v/>
      </c>
      <c r="B21" s="460"/>
      <c r="C21" s="565"/>
      <c r="D21" s="565"/>
      <c r="DD21" s="388">
        <f t="shared" si="1"/>
        <v>0</v>
      </c>
      <c r="DE21" s="22">
        <f t="shared" si="2"/>
        <v>3</v>
      </c>
      <c r="DF21" s="387">
        <f t="shared" si="3"/>
        <v>0</v>
      </c>
      <c r="DG21" s="22">
        <f t="shared" si="4"/>
        <v>0</v>
      </c>
      <c r="DH21" s="22">
        <f t="shared" si="5"/>
        <v>0</v>
      </c>
    </row>
    <row r="22" spans="1:112">
      <c r="A22" s="22" t="str">
        <f t="shared" si="0"/>
        <v/>
      </c>
      <c r="B22" s="460"/>
      <c r="C22" s="565"/>
      <c r="D22" s="565"/>
      <c r="DD22" s="388">
        <f t="shared" si="1"/>
        <v>0</v>
      </c>
      <c r="DE22" s="22">
        <f t="shared" si="2"/>
        <v>3</v>
      </c>
      <c r="DF22" s="387">
        <f t="shared" si="3"/>
        <v>0</v>
      </c>
      <c r="DG22" s="22">
        <f t="shared" si="4"/>
        <v>0</v>
      </c>
      <c r="DH22" s="22">
        <f t="shared" si="5"/>
        <v>0</v>
      </c>
    </row>
    <row r="23" spans="1:112">
      <c r="A23" s="22" t="str">
        <f t="shared" si="0"/>
        <v/>
      </c>
      <c r="B23" s="460"/>
      <c r="C23" s="565"/>
      <c r="D23" s="565"/>
      <c r="DD23" s="388">
        <f t="shared" si="1"/>
        <v>0</v>
      </c>
      <c r="DE23" s="22">
        <f t="shared" si="2"/>
        <v>3</v>
      </c>
      <c r="DF23" s="387">
        <f t="shared" si="3"/>
        <v>0</v>
      </c>
      <c r="DG23" s="22">
        <f t="shared" si="4"/>
        <v>0</v>
      </c>
      <c r="DH23" s="22">
        <f t="shared" si="5"/>
        <v>0</v>
      </c>
    </row>
    <row r="24" spans="1:112">
      <c r="A24" s="22" t="str">
        <f t="shared" si="0"/>
        <v/>
      </c>
      <c r="B24" s="460"/>
      <c r="C24" s="565"/>
      <c r="D24" s="565"/>
      <c r="DD24" s="388">
        <f t="shared" si="1"/>
        <v>0</v>
      </c>
      <c r="DE24" s="22">
        <f t="shared" si="2"/>
        <v>3</v>
      </c>
      <c r="DF24" s="387">
        <f t="shared" si="3"/>
        <v>0</v>
      </c>
      <c r="DG24" s="22">
        <f t="shared" si="4"/>
        <v>0</v>
      </c>
      <c r="DH24" s="22">
        <f t="shared" si="5"/>
        <v>0</v>
      </c>
    </row>
    <row r="25" spans="1:112">
      <c r="A25" s="22" t="str">
        <f t="shared" si="0"/>
        <v/>
      </c>
      <c r="B25" s="460"/>
      <c r="C25" s="565"/>
      <c r="D25" s="565"/>
      <c r="DD25" s="388">
        <f t="shared" si="1"/>
        <v>0</v>
      </c>
      <c r="DE25" s="22">
        <f t="shared" si="2"/>
        <v>3</v>
      </c>
      <c r="DF25" s="387">
        <f t="shared" si="3"/>
        <v>0</v>
      </c>
      <c r="DG25" s="22">
        <f t="shared" si="4"/>
        <v>0</v>
      </c>
      <c r="DH25" s="22">
        <f t="shared" si="5"/>
        <v>0</v>
      </c>
    </row>
    <row r="26" spans="1:112">
      <c r="A26" s="22" t="str">
        <f t="shared" si="0"/>
        <v/>
      </c>
      <c r="B26" s="460"/>
      <c r="C26" s="565"/>
      <c r="D26" s="565"/>
      <c r="DD26" s="388">
        <f t="shared" si="1"/>
        <v>0</v>
      </c>
      <c r="DE26" s="22">
        <f t="shared" si="2"/>
        <v>3</v>
      </c>
      <c r="DF26" s="387">
        <f t="shared" si="3"/>
        <v>0</v>
      </c>
      <c r="DG26" s="22">
        <f t="shared" si="4"/>
        <v>0</v>
      </c>
      <c r="DH26" s="22">
        <f t="shared" si="5"/>
        <v>0</v>
      </c>
    </row>
    <row r="27" spans="1:112">
      <c r="A27" s="22" t="str">
        <f t="shared" si="0"/>
        <v/>
      </c>
      <c r="B27" s="460"/>
      <c r="C27" s="565"/>
      <c r="D27" s="565"/>
      <c r="DD27" s="388">
        <f t="shared" si="1"/>
        <v>0</v>
      </c>
      <c r="DE27" s="22">
        <f t="shared" si="2"/>
        <v>3</v>
      </c>
      <c r="DF27" s="387">
        <f t="shared" si="3"/>
        <v>0</v>
      </c>
      <c r="DG27" s="22">
        <f t="shared" si="4"/>
        <v>0</v>
      </c>
      <c r="DH27" s="22">
        <f t="shared" si="5"/>
        <v>0</v>
      </c>
    </row>
    <row r="28" spans="1:112">
      <c r="A28" s="22" t="str">
        <f t="shared" si="0"/>
        <v/>
      </c>
      <c r="B28" s="460"/>
      <c r="C28" s="565"/>
      <c r="D28" s="565"/>
      <c r="DD28" s="388">
        <f t="shared" si="1"/>
        <v>0</v>
      </c>
      <c r="DE28" s="22">
        <f t="shared" si="2"/>
        <v>3</v>
      </c>
      <c r="DF28" s="387">
        <f t="shared" si="3"/>
        <v>0</v>
      </c>
      <c r="DG28" s="22">
        <f t="shared" si="4"/>
        <v>0</v>
      </c>
      <c r="DH28" s="22">
        <f t="shared" si="5"/>
        <v>0</v>
      </c>
    </row>
    <row r="29" spans="1:112">
      <c r="A29" s="22" t="str">
        <f t="shared" si="0"/>
        <v/>
      </c>
      <c r="B29" s="460"/>
      <c r="C29" s="565"/>
      <c r="D29" s="565"/>
      <c r="DD29" s="388">
        <f t="shared" si="1"/>
        <v>0</v>
      </c>
      <c r="DE29" s="22">
        <f t="shared" si="2"/>
        <v>3</v>
      </c>
      <c r="DF29" s="387">
        <f t="shared" si="3"/>
        <v>0</v>
      </c>
      <c r="DG29" s="22">
        <f t="shared" si="4"/>
        <v>0</v>
      </c>
      <c r="DH29" s="22">
        <f t="shared" si="5"/>
        <v>0</v>
      </c>
    </row>
    <row r="30" spans="1:112">
      <c r="A30" s="22" t="str">
        <f t="shared" si="0"/>
        <v/>
      </c>
      <c r="B30" s="460"/>
      <c r="C30" s="565"/>
      <c r="D30" s="565"/>
      <c r="DD30" s="388">
        <f t="shared" si="1"/>
        <v>0</v>
      </c>
      <c r="DE30" s="22">
        <f t="shared" si="2"/>
        <v>3</v>
      </c>
      <c r="DF30" s="387">
        <f t="shared" si="3"/>
        <v>0</v>
      </c>
      <c r="DG30" s="22">
        <f t="shared" si="4"/>
        <v>0</v>
      </c>
      <c r="DH30" s="22">
        <f t="shared" si="5"/>
        <v>0</v>
      </c>
    </row>
    <row r="31" spans="1:112">
      <c r="A31" s="22" t="str">
        <f t="shared" si="0"/>
        <v/>
      </c>
      <c r="B31" s="460"/>
      <c r="C31" s="565"/>
      <c r="D31" s="565"/>
      <c r="DD31" s="388">
        <f t="shared" si="1"/>
        <v>0</v>
      </c>
      <c r="DE31" s="22">
        <f t="shared" si="2"/>
        <v>3</v>
      </c>
      <c r="DF31" s="387">
        <f t="shared" si="3"/>
        <v>0</v>
      </c>
      <c r="DG31" s="22">
        <f t="shared" si="4"/>
        <v>0</v>
      </c>
      <c r="DH31" s="22">
        <f t="shared" si="5"/>
        <v>0</v>
      </c>
    </row>
    <row r="32" spans="1:112">
      <c r="A32" s="22" t="str">
        <f t="shared" si="0"/>
        <v/>
      </c>
      <c r="B32" s="460"/>
      <c r="C32" s="565"/>
      <c r="D32" s="565"/>
      <c r="DD32" s="388">
        <f t="shared" si="1"/>
        <v>0</v>
      </c>
      <c r="DE32" s="22">
        <f t="shared" si="2"/>
        <v>3</v>
      </c>
      <c r="DF32" s="387">
        <f t="shared" si="3"/>
        <v>0</v>
      </c>
      <c r="DG32" s="22">
        <f t="shared" si="4"/>
        <v>0</v>
      </c>
      <c r="DH32" s="22">
        <f t="shared" si="5"/>
        <v>0</v>
      </c>
    </row>
    <row r="33" spans="2:6">
      <c r="B33" s="221" t="s">
        <v>279</v>
      </c>
      <c r="C33" s="169">
        <f>SUM(C13:C32)</f>
        <v>0</v>
      </c>
      <c r="D33" s="169">
        <f>SUM(D13:D32)</f>
        <v>0</v>
      </c>
      <c r="E33" s="41"/>
      <c r="F33" s="41"/>
    </row>
    <row r="34" spans="2:6">
      <c r="B34" s="630" t="s">
        <v>10314</v>
      </c>
      <c r="C34" s="630"/>
      <c r="D34" s="108">
        <f>IF(ISNUMBER((C33-D33)/C33),(C33-D33)/C33,0)</f>
        <v>0</v>
      </c>
      <c r="E34" s="41"/>
      <c r="F34" s="41"/>
    </row>
    <row r="35" spans="2:6">
      <c r="D35" s="41"/>
      <c r="E35" s="41"/>
      <c r="F35" s="41"/>
    </row>
  </sheetData>
  <sheetProtection algorithmName="SHA-512" hashValue="8BL7DkB7YwLs3cnz3sxoL5LK7MihzIzgDCbL2M6nt0hx29jhca3q0R3iSUSVRHxZ8o02Zj/OcF5pUEDG3K4qAQ==" saltValue="gnXpQDU3L4+cTmbORoPY7A==" spinCount="100000" sheet="1" selectLockedCells="1"/>
  <mergeCells count="2">
    <mergeCell ref="B4:L4"/>
    <mergeCell ref="B34:C34"/>
  </mergeCells>
  <conditionalFormatting sqref="B13:D32">
    <cfRule type="expression" dxfId="19" priority="5" stopIfTrue="1">
      <formula>LEN(B13)&gt;0</formula>
    </cfRule>
  </conditionalFormatting>
  <conditionalFormatting sqref="C33:D33">
    <cfRule type="expression" dxfId="18" priority="4" stopIfTrue="1">
      <formula>LEN(C33)&gt;0</formula>
    </cfRule>
  </conditionalFormatting>
  <dataValidations count="1">
    <dataValidation type="decimal" allowBlank="1" showInputMessage="1" showErrorMessage="1" sqref="C13:D32" xr:uid="{D73A1EA9-33F1-4F76-A47E-C6A93AEFB4D5}">
      <formula1>0</formula1>
      <formula2>1E+100</formula2>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iconSet" priority="3" id="{B0A04CEB-EBD1-42E1-8903-11324852B06A}">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A13:A32</xm:sqref>
        </x14:conditionalFormatting>
        <x14:conditionalFormatting xmlns:xm="http://schemas.microsoft.com/office/excel/2006/main">
          <x14:cfRule type="expression" priority="2" stopIfTrue="1" id="{CB4D3D74-93A1-4DBD-87C9-EB99E5793A30}">
            <xm:f>'Project Inputs'!$F$94&lt;&gt;"Yes"</xm:f>
            <x14:dxf>
              <font>
                <color theme="1" tint="0.499984740745262"/>
              </font>
              <fill>
                <patternFill patternType="solid">
                  <bgColor theme="1" tint="0.499984740745262"/>
                </patternFill>
              </fill>
              <border>
                <left/>
                <right/>
                <top/>
                <bottom/>
                <vertical/>
                <horizontal/>
              </border>
            </x14:dxf>
          </x14:cfRule>
          <xm:sqref>A10:AZ33 A34:B34 D34:AZ34 A35:AZ104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25641-4F1B-46F5-B03F-4663BEF6B5D9}">
  <sheetPr>
    <tabColor rgb="FF0F2663"/>
  </sheetPr>
  <dimension ref="A1:DG84"/>
  <sheetViews>
    <sheetView showGridLines="0" zoomScale="80" zoomScaleNormal="80" workbookViewId="0">
      <selection activeCell="D41" sqref="D41"/>
    </sheetView>
  </sheetViews>
  <sheetFormatPr defaultRowHeight="14.4" outlineLevelRow="1"/>
  <cols>
    <col min="2" max="2" width="27" bestFit="1" customWidth="1"/>
    <col min="3" max="15" width="15.77734375" customWidth="1"/>
    <col min="16" max="16" width="100.77734375" customWidth="1"/>
    <col min="17" max="17" width="22.44140625" customWidth="1"/>
    <col min="18" max="18" width="16.5546875" customWidth="1"/>
    <col min="19" max="21" width="25.5546875" customWidth="1"/>
    <col min="53" max="53" width="17" style="44" hidden="1" customWidth="1"/>
    <col min="54" max="54" width="15.44140625" hidden="1" customWidth="1"/>
    <col min="55" max="103" width="0" hidden="1" customWidth="1"/>
    <col min="104" max="104" width="11.77734375" hidden="1" customWidth="1"/>
    <col min="105" max="105" width="47.21875" hidden="1" customWidth="1"/>
    <col min="106" max="108" width="0" hidden="1" customWidth="1"/>
    <col min="109" max="109" width="11.21875" hidden="1" customWidth="1"/>
    <col min="110" max="131" width="0" hidden="1" customWidth="1"/>
  </cols>
  <sheetData>
    <row r="1" spans="1:111" ht="21">
      <c r="A1" s="531" t="str">
        <f>_xlfn.CONCAT("Project Name: ",'Project Inputs'!$D$10)</f>
        <v xml:space="preserve">Project Name: </v>
      </c>
      <c r="B1" s="174"/>
      <c r="C1" s="174"/>
      <c r="D1" s="179"/>
      <c r="E1" s="179"/>
      <c r="F1" s="179"/>
      <c r="G1" s="174"/>
      <c r="H1" s="174"/>
      <c r="I1" s="174"/>
      <c r="J1" s="174"/>
      <c r="K1" s="174"/>
      <c r="L1" s="174"/>
      <c r="M1" s="174"/>
      <c r="N1" s="174"/>
      <c r="O1" s="174"/>
      <c r="P1" s="174"/>
      <c r="Q1" s="174"/>
      <c r="R1" s="174"/>
      <c r="S1" s="174"/>
      <c r="T1" s="174"/>
      <c r="U1" s="174"/>
      <c r="V1" s="174"/>
      <c r="W1" s="174"/>
      <c r="X1" s="174"/>
      <c r="Y1" s="174"/>
      <c r="Z1" s="174"/>
    </row>
    <row r="2" spans="1:111" ht="70.2" customHeight="1">
      <c r="A2" s="521" t="s">
        <v>10198</v>
      </c>
      <c r="B2" s="217"/>
      <c r="C2" s="217"/>
      <c r="D2" s="217"/>
      <c r="E2" s="217"/>
      <c r="F2" s="217"/>
      <c r="G2" s="217"/>
      <c r="H2" s="217"/>
      <c r="I2" s="217"/>
      <c r="J2" s="217"/>
      <c r="K2" s="217"/>
      <c r="L2" s="217"/>
      <c r="M2" s="217"/>
      <c r="N2" s="217"/>
      <c r="O2" s="217"/>
      <c r="P2" s="217"/>
      <c r="Q2" s="217"/>
      <c r="R2" s="217"/>
      <c r="S2" s="217"/>
      <c r="T2" s="217"/>
      <c r="U2" s="217"/>
      <c r="V2" s="217"/>
      <c r="W2" s="217"/>
      <c r="X2" s="217"/>
      <c r="Y2" s="217"/>
      <c r="Z2" s="217"/>
      <c r="CZ2" s="384" t="s">
        <v>10219</v>
      </c>
      <c r="DA2" s="124">
        <f>COUNTIF(A2:A1004,1)</f>
        <v>0</v>
      </c>
    </row>
    <row r="3" spans="1:111" ht="15.6" customHeight="1">
      <c r="A3" s="461"/>
      <c r="B3" s="461"/>
      <c r="C3" s="461"/>
      <c r="D3" s="461"/>
      <c r="E3" s="461"/>
      <c r="F3" s="461"/>
      <c r="G3" s="461"/>
      <c r="H3" s="461"/>
      <c r="I3" s="461"/>
      <c r="J3" s="461"/>
      <c r="K3" s="461"/>
      <c r="L3" s="461"/>
      <c r="M3" s="461"/>
      <c r="N3" s="461"/>
      <c r="O3" s="461"/>
      <c r="P3" s="461"/>
      <c r="Q3" s="461"/>
      <c r="R3" s="461"/>
      <c r="S3" s="461"/>
      <c r="T3" s="461"/>
      <c r="U3" s="461"/>
      <c r="V3" s="461"/>
      <c r="W3" s="461"/>
      <c r="X3" s="461"/>
      <c r="Y3" s="461"/>
      <c r="Z3" s="461"/>
    </row>
    <row r="4" spans="1:111" ht="174" customHeight="1">
      <c r="B4" s="631" t="s">
        <v>10335</v>
      </c>
      <c r="C4" s="631"/>
      <c r="D4" s="631"/>
      <c r="E4" s="631"/>
      <c r="F4" s="631"/>
      <c r="G4" s="631"/>
      <c r="H4" s="631"/>
      <c r="I4" s="631"/>
      <c r="J4" s="631"/>
      <c r="K4" s="631"/>
      <c r="L4" s="631"/>
      <c r="M4" s="631"/>
      <c r="N4" s="631"/>
      <c r="O4" s="631"/>
      <c r="P4" s="461"/>
    </row>
    <row r="5" spans="1:111">
      <c r="AZ5" s="44"/>
      <c r="BA5"/>
    </row>
    <row r="6" spans="1:111" ht="46.8">
      <c r="B6" s="456" t="s">
        <v>63</v>
      </c>
      <c r="C6" s="457" t="s">
        <v>10287</v>
      </c>
      <c r="AZ6" s="44"/>
      <c r="BA6"/>
    </row>
    <row r="7" spans="1:111" ht="28.8">
      <c r="B7" s="6" t="str">
        <f>_xlfn.CONCAT('Project Inputs'!B52,": ",'Project Inputs'!C52)</f>
        <v>MAc2: Implement Financial Data Tracking</v>
      </c>
      <c r="C7" s="5" t="str">
        <f>_xlfn.LET(_xlpm.x,'Project Inputs'!F151,IF(ISBLANK(_xlpm.x),"n/a",_xlpm.x))</f>
        <v>n/a</v>
      </c>
      <c r="AZ7" s="44"/>
      <c r="BA7"/>
    </row>
    <row r="8" spans="1:111" ht="15" thickBot="1">
      <c r="AZ8" s="44"/>
      <c r="BA8"/>
    </row>
    <row r="9" spans="1:111" ht="25.8">
      <c r="A9" s="187" t="s">
        <v>280</v>
      </c>
      <c r="B9" s="30"/>
      <c r="C9" s="30"/>
      <c r="D9" s="30"/>
      <c r="E9" s="30"/>
      <c r="F9" s="30"/>
      <c r="G9" s="30"/>
      <c r="H9" s="30"/>
      <c r="I9" s="30"/>
      <c r="J9" s="30"/>
      <c r="K9" s="30"/>
      <c r="L9" s="30"/>
      <c r="M9" s="30"/>
      <c r="N9" s="30"/>
      <c r="O9" s="30"/>
      <c r="P9" s="30"/>
      <c r="Q9" s="30"/>
      <c r="R9" s="30"/>
      <c r="S9" s="30"/>
      <c r="T9" s="30"/>
      <c r="U9" s="30"/>
      <c r="V9" s="30"/>
      <c r="W9" s="30"/>
      <c r="X9" s="30"/>
      <c r="Y9" s="30"/>
      <c r="Z9" s="30"/>
      <c r="AZ9" s="44"/>
      <c r="BA9"/>
      <c r="CZ9" s="44"/>
      <c r="DA9" s="389" t="s">
        <v>10206</v>
      </c>
    </row>
    <row r="10" spans="1:111">
      <c r="AZ10" s="44"/>
      <c r="BA10"/>
      <c r="CZ10" s="44" t="s">
        <v>10213</v>
      </c>
      <c r="DA10" s="44" t="s">
        <v>10217</v>
      </c>
    </row>
    <row r="11" spans="1:111">
      <c r="B11" s="34"/>
      <c r="G11" s="22"/>
      <c r="AZ11" s="44"/>
      <c r="BA11"/>
      <c r="CZ11" s="44" t="s">
        <v>10208</v>
      </c>
      <c r="DA11" s="44" t="s">
        <v>10225</v>
      </c>
    </row>
    <row r="12" spans="1:111" ht="30" customHeight="1">
      <c r="A12" s="44"/>
      <c r="B12" s="462" t="s">
        <v>218</v>
      </c>
      <c r="C12" s="423" t="str">
        <f>IFERROR(_xlfn.CONCAT(IF(OR(LEN('Project Inputs'!$D$15)=0,LEN('Project Inputs'!$D$16)=0),"",
INDEX(ls_Month_2,MONTH(EDATE(DATE('Project Inputs'!$D$15,MATCH('Project Inputs'!$D$16,ls_Month_2,0),1),0))))," ",IF(OR(LEN('Project Inputs'!$D$15)=0,LEN('Project Inputs'!$D$16)=0),"",
YEAR(EDATE(DATE('Project Inputs'!$D$15,MATCH('Project Inputs'!$D$16,ls_Month_2,0),1),0)))),"Check Inputs")</f>
        <v xml:space="preserve"> </v>
      </c>
      <c r="D12" s="423" t="str">
        <f>IFERROR(_xlfn.CONCAT(IF(OR(LEN('Project Inputs'!$D$15)=0,LEN('Project Inputs'!$D$16)=0),"",
INDEX(ls_Month_2,MONTH(EDATE(DATE('Project Inputs'!$D$15,MATCH('Project Inputs'!$D$16,ls_Month_2,0),1),1))))," ",IF(OR(LEN('Project Inputs'!$D$15)=0,LEN('Project Inputs'!$D$16)=0),"",
YEAR(EDATE(DATE('Project Inputs'!$D$15,MATCH('Project Inputs'!$D$16,ls_Month_2,0),1),1)))),"Check Inputs")</f>
        <v xml:space="preserve"> </v>
      </c>
      <c r="E12" s="423" t="str">
        <f>IFERROR(_xlfn.CONCAT(IF(OR(LEN('Project Inputs'!$D$15)=0,LEN('Project Inputs'!$D$16)=0),"",
INDEX(ls_Month_2,MONTH(EDATE(DATE('Project Inputs'!$D$15,MATCH('Project Inputs'!$D$16,ls_Month_2,0),1),2))))," ",IF(OR(LEN('Project Inputs'!$D$15)=0,LEN('Project Inputs'!$D$16)=0),"",
YEAR(EDATE(DATE('Project Inputs'!$D$15,MATCH('Project Inputs'!$D$16,ls_Month_2,0),1),2)))),"Check Inputs")</f>
        <v xml:space="preserve"> </v>
      </c>
      <c r="F12" s="423" t="str">
        <f>IFERROR(_xlfn.CONCAT(IF(OR(LEN('Project Inputs'!$D$15)=0,LEN('Project Inputs'!$D$16)=0),"",
INDEX(ls_Month_2,MONTH(EDATE(DATE('Project Inputs'!$D$15,MATCH('Project Inputs'!$D$16,ls_Month_2,0),1),3))))," ",IF(OR(LEN('Project Inputs'!$D$15)=0,LEN('Project Inputs'!$D$16)=0),"",
YEAR(EDATE(DATE('Project Inputs'!$D$15,MATCH('Project Inputs'!$D$16,ls_Month_2,0),1),3)))),"Check Inputs")</f>
        <v xml:space="preserve"> </v>
      </c>
      <c r="G12" s="423" t="str">
        <f>IFERROR(_xlfn.CONCAT(IF(OR(LEN('Project Inputs'!$D$15)=0,LEN('Project Inputs'!$D$16)=0),"",
INDEX(ls_Month_2,MONTH(EDATE(DATE('Project Inputs'!$D$15,MATCH('Project Inputs'!$D$16,ls_Month_2,0),1),4))))," ",IF(OR(LEN('Project Inputs'!$D$15)=0,LEN('Project Inputs'!$D$16)=0),"",
YEAR(EDATE(DATE('Project Inputs'!$D$15,MATCH('Project Inputs'!$D$16,ls_Month_2,0),1),4)))),"Check Inputs")</f>
        <v xml:space="preserve"> </v>
      </c>
      <c r="H12" s="423" t="str">
        <f>IFERROR(_xlfn.CONCAT(IF(OR(LEN('Project Inputs'!$D$15)=0,LEN('Project Inputs'!$D$16)=0),"",
INDEX(ls_Month_2,MONTH(EDATE(DATE('Project Inputs'!$D$15,MATCH('Project Inputs'!$D$16,ls_Month_2,0),1),5))))," ",IF(OR(LEN('Project Inputs'!$D$15)=0,LEN('Project Inputs'!$D$16)=0),"",
YEAR(EDATE(DATE('Project Inputs'!$D$15,MATCH('Project Inputs'!$D$16,ls_Month_2,0),1),5)))),"Check Inputs")</f>
        <v xml:space="preserve"> </v>
      </c>
      <c r="I12" s="423" t="str">
        <f>IFERROR(_xlfn.CONCAT(IF(OR(LEN('Project Inputs'!$D$15)=0,LEN('Project Inputs'!$D$16)=0),"",
INDEX(ls_Month_2,MONTH(EDATE(DATE('Project Inputs'!$D$15,MATCH('Project Inputs'!$D$16,ls_Month_2,0),1),6))))," ",IF(OR(LEN('Project Inputs'!$D$15)=0,LEN('Project Inputs'!$D$16)=0),"",
YEAR(EDATE(DATE('Project Inputs'!$D$15,MATCH('Project Inputs'!$D$16,ls_Month_2,0),1),6)))),"Check Inputs")</f>
        <v xml:space="preserve"> </v>
      </c>
      <c r="J12" s="423" t="str">
        <f>IFERROR(_xlfn.CONCAT(IF(OR(LEN('Project Inputs'!$D$15)=0,LEN('Project Inputs'!$D$16)=0),"",
INDEX(ls_Month_2,MONTH(EDATE(DATE('Project Inputs'!$D$15,MATCH('Project Inputs'!$D$16,ls_Month_2,0),1),7))))," ",IF(OR(LEN('Project Inputs'!$D$15)=0,LEN('Project Inputs'!$D$16)=0),"",
YEAR(EDATE(DATE('Project Inputs'!$D$15,MATCH('Project Inputs'!$D$16,ls_Month_2,0),1),7)))),"Check Inputs")</f>
        <v xml:space="preserve"> </v>
      </c>
      <c r="K12" s="423" t="str">
        <f>IFERROR(_xlfn.CONCAT(IF(OR(LEN('Project Inputs'!$D$15)=0,LEN('Project Inputs'!$D$16)=0),"",
INDEX(ls_Month_2,MONTH(EDATE(DATE('Project Inputs'!$D$15,MATCH('Project Inputs'!$D$16,ls_Month_2,0),1),8))))," ",IF(OR(LEN('Project Inputs'!$D$15)=0,LEN('Project Inputs'!$D$16)=0),"",
YEAR(EDATE(DATE('Project Inputs'!$D$15,MATCH('Project Inputs'!$D$16,ls_Month_2,0),1),8)))),"Check Inputs")</f>
        <v xml:space="preserve"> </v>
      </c>
      <c r="L12" s="423" t="str">
        <f>IFERROR(_xlfn.CONCAT(IF(OR(LEN('Project Inputs'!$D$15)=0,LEN('Project Inputs'!$D$16)=0),"",
INDEX(ls_Month_2,MONTH(EDATE(DATE('Project Inputs'!$D$15,MATCH('Project Inputs'!$D$16,ls_Month_2,0),1),9))))," ",IF(OR(LEN('Project Inputs'!$D$15)=0,LEN('Project Inputs'!$D$16)=0),"",
YEAR(EDATE(DATE('Project Inputs'!$D$15,MATCH('Project Inputs'!$D$16,ls_Month_2,0),1),9)))),"Check Inputs")</f>
        <v xml:space="preserve"> </v>
      </c>
      <c r="M12" s="423" t="str">
        <f>IFERROR(_xlfn.CONCAT(IF(OR(LEN('Project Inputs'!$D$15)=0,LEN('Project Inputs'!$D$16)=0),"",
INDEX(ls_Month_2,MONTH(EDATE(DATE('Project Inputs'!$D$15,MATCH('Project Inputs'!$D$16,ls_Month_2,0),1),10))))," ",IF(OR(LEN('Project Inputs'!$D$15)=0,LEN('Project Inputs'!$D$16)=0),"",
YEAR(EDATE(DATE('Project Inputs'!$D$15,MATCH('Project Inputs'!$D$16,ls_Month_2,0),1),10)))),"Check Inputs")</f>
        <v xml:space="preserve"> </v>
      </c>
      <c r="N12" s="423" t="str">
        <f>IFERROR(_xlfn.CONCAT(IF(OR(LEN('Project Inputs'!$D$15)=0,LEN('Project Inputs'!$D$16)=0),"",
INDEX(ls_Month_2,MONTH(EDATE(DATE('Project Inputs'!$D$15,MATCH('Project Inputs'!$D$16,ls_Month_2,0),1),11))))," ",IF(OR(LEN('Project Inputs'!$D$15)=0,LEN('Project Inputs'!$D$16)=0),"",
YEAR(EDATE(DATE('Project Inputs'!$D$15,MATCH('Project Inputs'!$D$16,ls_Month_2,0),1),11)))),"Check Inputs")</f>
        <v xml:space="preserve"> </v>
      </c>
      <c r="O12" s="44"/>
      <c r="P12" s="34"/>
      <c r="AZ12" s="44"/>
      <c r="BA12"/>
      <c r="CZ12" s="44" t="s">
        <v>10210</v>
      </c>
      <c r="DA12" s="44" t="s">
        <v>10226</v>
      </c>
    </row>
    <row r="13" spans="1:111" ht="30" customHeight="1">
      <c r="B13" s="271" t="s">
        <v>281</v>
      </c>
      <c r="C13" s="625" t="s">
        <v>282</v>
      </c>
      <c r="D13" s="625"/>
      <c r="E13" s="625"/>
      <c r="F13" s="625"/>
      <c r="G13" s="625"/>
      <c r="H13" s="625"/>
      <c r="I13" s="625"/>
      <c r="J13" s="625"/>
      <c r="K13" s="625"/>
      <c r="L13" s="625"/>
      <c r="M13" s="625"/>
      <c r="N13" s="625"/>
      <c r="O13" s="271" t="s">
        <v>219</v>
      </c>
      <c r="P13" s="463" t="s">
        <v>283</v>
      </c>
      <c r="AZ13" s="44"/>
      <c r="BA13"/>
      <c r="CZ13" s="44"/>
      <c r="DD13" s="31" t="s">
        <v>10205</v>
      </c>
      <c r="DE13" s="31" t="s">
        <v>10227</v>
      </c>
      <c r="DF13" s="31" t="s">
        <v>10208</v>
      </c>
      <c r="DG13" s="31" t="s">
        <v>10210</v>
      </c>
    </row>
    <row r="14" spans="1:111" ht="30" customHeight="1">
      <c r="A14" s="22" t="str">
        <f t="shared" ref="A14:A26" si="0">IF(DD14=0,"",1)</f>
        <v/>
      </c>
      <c r="B14" s="273"/>
      <c r="C14" s="274"/>
      <c r="D14" s="274"/>
      <c r="E14" s="274"/>
      <c r="F14" s="274"/>
      <c r="G14" s="274"/>
      <c r="H14" s="274"/>
      <c r="I14" s="274"/>
      <c r="J14" s="274"/>
      <c r="K14" s="274"/>
      <c r="L14" s="274"/>
      <c r="M14" s="274"/>
      <c r="N14" s="274"/>
      <c r="O14" s="464">
        <f t="shared" ref="O14:O26" si="1">SUM(C14:N14)</f>
        <v>0</v>
      </c>
      <c r="P14" s="415"/>
      <c r="AZ14" s="44"/>
      <c r="BA14"/>
      <c r="DD14" s="390">
        <f>IF(DE14=13,0,SUM(DF14:DG14))</f>
        <v>0</v>
      </c>
      <c r="DE14" s="31">
        <f>COUNTBLANK(B14:N14)</f>
        <v>13</v>
      </c>
      <c r="DF14" s="31">
        <f t="shared" ref="DF14:DF26" si="2">SUM(IF(OR(LEN(C14)=0,AND(ISNUMBER(C14),C14&gt;=0)),0,1),IF(OR(LEN(D14)=0,AND(ISNUMBER(D14),D14&gt;=0)),0,1),IF(OR(LEN(E14)=0,AND(ISNUMBER(E14),E14&gt;=0)),0,1),IF(OR(LEN(F14)=0,AND(ISNUMBER(F14),F14&gt;=0)),0,1),IF(OR(LEN(G14)=0,AND(ISNUMBER(G14),G14&gt;=0)),0,1),IF(OR(LEN(H14)=0,AND(ISNUMBER(H14),H14&gt;=0)),0,1),IF(OR(LEN(I14)=0,AND(ISNUMBER(I14),I14&gt;=0)),0,1),IF(OR(LEN(J14)=0,AND(ISNUMBER(J14),J14&gt;=0)),0,1),IF(OR(LEN(K14)=0,AND(ISNUMBER(K14),K14&gt;=0)),0,1),IF(OR(LEN(L14)=0,AND(ISNUMBER(L14),L14&gt;=0)),0,1),IF(OR(LEN(M14)=0,AND(ISNUMBER(M14),M14&gt;=0)),0,1),IF(OR(LEN(N14)=0,AND(ISNUMBER(N14),N14&gt;=0)),0,1))</f>
        <v>0</v>
      </c>
      <c r="DG14" s="31">
        <f>IF(DE14=13,0,IF(AND(COUNTBLANK(B14)=0,COUNTBLANK(C14:N14)&lt;12),0,1))</f>
        <v>0</v>
      </c>
    </row>
    <row r="15" spans="1:111" ht="30" customHeight="1">
      <c r="A15" s="22" t="str">
        <f t="shared" si="0"/>
        <v/>
      </c>
      <c r="B15" s="273"/>
      <c r="C15" s="274"/>
      <c r="D15" s="274"/>
      <c r="E15" s="274"/>
      <c r="F15" s="274"/>
      <c r="G15" s="274"/>
      <c r="H15" s="274"/>
      <c r="I15" s="274"/>
      <c r="J15" s="274"/>
      <c r="K15" s="274"/>
      <c r="L15" s="274"/>
      <c r="M15" s="274"/>
      <c r="N15" s="274"/>
      <c r="O15" s="464">
        <f t="shared" si="1"/>
        <v>0</v>
      </c>
      <c r="P15" s="415"/>
      <c r="AZ15" s="44"/>
      <c r="BA15"/>
      <c r="DD15" s="390">
        <f t="shared" ref="DD15:DD26" si="3">IF(DE15=13,0,SUM(DF15:DG15))</f>
        <v>0</v>
      </c>
      <c r="DE15" s="31">
        <f t="shared" ref="DE15:DE26" si="4">COUNTBLANK(B15:N15)</f>
        <v>13</v>
      </c>
      <c r="DF15" s="31">
        <f t="shared" si="2"/>
        <v>0</v>
      </c>
      <c r="DG15" s="31">
        <f t="shared" ref="DG15:DG26" si="5">IF(DE15=13,0,IF(AND(COUNTBLANK(B15)=0,COUNTBLANK(C15:N15)&lt;12),0,1))</f>
        <v>0</v>
      </c>
    </row>
    <row r="16" spans="1:111" ht="30" customHeight="1">
      <c r="A16" s="22" t="str">
        <f t="shared" si="0"/>
        <v/>
      </c>
      <c r="B16" s="273"/>
      <c r="C16" s="274"/>
      <c r="D16" s="274"/>
      <c r="E16" s="274"/>
      <c r="F16" s="274"/>
      <c r="G16" s="274"/>
      <c r="H16" s="274"/>
      <c r="I16" s="274"/>
      <c r="J16" s="274"/>
      <c r="K16" s="274"/>
      <c r="L16" s="274"/>
      <c r="M16" s="274"/>
      <c r="N16" s="274"/>
      <c r="O16" s="464">
        <f t="shared" si="1"/>
        <v>0</v>
      </c>
      <c r="P16" s="415"/>
      <c r="AZ16" s="44"/>
      <c r="BA16"/>
      <c r="DD16" s="390">
        <f t="shared" si="3"/>
        <v>0</v>
      </c>
      <c r="DE16" s="31">
        <f t="shared" si="4"/>
        <v>13</v>
      </c>
      <c r="DF16" s="31">
        <f t="shared" si="2"/>
        <v>0</v>
      </c>
      <c r="DG16" s="31">
        <f t="shared" si="5"/>
        <v>0</v>
      </c>
    </row>
    <row r="17" spans="1:111" ht="30" customHeight="1">
      <c r="A17" s="22" t="str">
        <f t="shared" si="0"/>
        <v/>
      </c>
      <c r="B17" s="273"/>
      <c r="C17" s="274"/>
      <c r="D17" s="274"/>
      <c r="E17" s="274"/>
      <c r="F17" s="274"/>
      <c r="G17" s="274"/>
      <c r="H17" s="274"/>
      <c r="I17" s="274"/>
      <c r="J17" s="274"/>
      <c r="K17" s="274"/>
      <c r="L17" s="274"/>
      <c r="M17" s="274"/>
      <c r="N17" s="274"/>
      <c r="O17" s="464">
        <f t="shared" si="1"/>
        <v>0</v>
      </c>
      <c r="P17" s="415"/>
      <c r="AZ17" s="44"/>
      <c r="BA17"/>
      <c r="DD17" s="390">
        <f t="shared" si="3"/>
        <v>0</v>
      </c>
      <c r="DE17" s="31">
        <f t="shared" si="4"/>
        <v>13</v>
      </c>
      <c r="DF17" s="31">
        <f t="shared" si="2"/>
        <v>0</v>
      </c>
      <c r="DG17" s="31">
        <f t="shared" si="5"/>
        <v>0</v>
      </c>
    </row>
    <row r="18" spans="1:111" ht="30" customHeight="1">
      <c r="A18" s="22" t="str">
        <f t="shared" si="0"/>
        <v/>
      </c>
      <c r="B18" s="273"/>
      <c r="C18" s="274"/>
      <c r="D18" s="274"/>
      <c r="E18" s="274"/>
      <c r="F18" s="274"/>
      <c r="G18" s="274"/>
      <c r="H18" s="274"/>
      <c r="I18" s="274"/>
      <c r="J18" s="274"/>
      <c r="K18" s="274"/>
      <c r="L18" s="274"/>
      <c r="M18" s="274"/>
      <c r="N18" s="274"/>
      <c r="O18" s="465">
        <f t="shared" si="1"/>
        <v>0</v>
      </c>
      <c r="P18" s="415"/>
      <c r="AZ18" s="44"/>
      <c r="BA18"/>
      <c r="DD18" s="390">
        <f t="shared" si="3"/>
        <v>0</v>
      </c>
      <c r="DE18" s="31">
        <f t="shared" si="4"/>
        <v>13</v>
      </c>
      <c r="DF18" s="31">
        <f t="shared" si="2"/>
        <v>0</v>
      </c>
      <c r="DG18" s="31">
        <f t="shared" si="5"/>
        <v>0</v>
      </c>
    </row>
    <row r="19" spans="1:111" ht="30" customHeight="1">
      <c r="A19" s="22" t="str">
        <f t="shared" si="0"/>
        <v/>
      </c>
      <c r="B19" s="273"/>
      <c r="C19" s="274"/>
      <c r="D19" s="274"/>
      <c r="E19" s="274"/>
      <c r="F19" s="274"/>
      <c r="G19" s="274"/>
      <c r="H19" s="274"/>
      <c r="I19" s="274"/>
      <c r="J19" s="274"/>
      <c r="K19" s="274"/>
      <c r="L19" s="274"/>
      <c r="M19" s="274"/>
      <c r="N19" s="274"/>
      <c r="O19" s="464">
        <f t="shared" si="1"/>
        <v>0</v>
      </c>
      <c r="P19" s="415"/>
      <c r="AZ19" s="44"/>
      <c r="BA19"/>
      <c r="DD19" s="390">
        <f t="shared" si="3"/>
        <v>0</v>
      </c>
      <c r="DE19" s="31">
        <f t="shared" si="4"/>
        <v>13</v>
      </c>
      <c r="DF19" s="31">
        <f t="shared" si="2"/>
        <v>0</v>
      </c>
      <c r="DG19" s="31">
        <f t="shared" si="5"/>
        <v>0</v>
      </c>
    </row>
    <row r="20" spans="1:111" ht="30" customHeight="1">
      <c r="A20" s="22" t="str">
        <f t="shared" si="0"/>
        <v/>
      </c>
      <c r="B20" s="273"/>
      <c r="C20" s="274"/>
      <c r="D20" s="274"/>
      <c r="E20" s="274"/>
      <c r="F20" s="274"/>
      <c r="G20" s="274"/>
      <c r="H20" s="274"/>
      <c r="I20" s="274"/>
      <c r="J20" s="274"/>
      <c r="K20" s="274"/>
      <c r="L20" s="274"/>
      <c r="M20" s="274"/>
      <c r="N20" s="274"/>
      <c r="O20" s="464">
        <f>SUM(C20:N20)</f>
        <v>0</v>
      </c>
      <c r="P20" s="415"/>
      <c r="AZ20" s="44"/>
      <c r="BA20"/>
      <c r="DD20" s="390">
        <f t="shared" si="3"/>
        <v>0</v>
      </c>
      <c r="DE20" s="31">
        <f t="shared" si="4"/>
        <v>13</v>
      </c>
      <c r="DF20" s="31">
        <f t="shared" si="2"/>
        <v>0</v>
      </c>
      <c r="DG20" s="31">
        <f t="shared" si="5"/>
        <v>0</v>
      </c>
    </row>
    <row r="21" spans="1:111" ht="30" customHeight="1">
      <c r="A21" s="22" t="str">
        <f t="shared" si="0"/>
        <v/>
      </c>
      <c r="B21" s="273"/>
      <c r="C21" s="274"/>
      <c r="D21" s="274"/>
      <c r="E21" s="274"/>
      <c r="F21" s="274"/>
      <c r="G21" s="274"/>
      <c r="H21" s="274"/>
      <c r="I21" s="274"/>
      <c r="J21" s="274"/>
      <c r="K21" s="274"/>
      <c r="L21" s="274"/>
      <c r="M21" s="274"/>
      <c r="N21" s="274"/>
      <c r="O21" s="464">
        <f t="shared" si="1"/>
        <v>0</v>
      </c>
      <c r="P21" s="415"/>
      <c r="AZ21" s="44"/>
      <c r="BA21"/>
      <c r="DD21" s="390">
        <f t="shared" si="3"/>
        <v>0</v>
      </c>
      <c r="DE21" s="31">
        <f t="shared" si="4"/>
        <v>13</v>
      </c>
      <c r="DF21" s="31">
        <f t="shared" si="2"/>
        <v>0</v>
      </c>
      <c r="DG21" s="31">
        <f t="shared" si="5"/>
        <v>0</v>
      </c>
    </row>
    <row r="22" spans="1:111" ht="30" customHeight="1">
      <c r="A22" s="22" t="str">
        <f t="shared" si="0"/>
        <v/>
      </c>
      <c r="B22" s="273"/>
      <c r="C22" s="274"/>
      <c r="D22" s="274"/>
      <c r="E22" s="274"/>
      <c r="F22" s="274"/>
      <c r="G22" s="274"/>
      <c r="H22" s="274"/>
      <c r="I22" s="274"/>
      <c r="J22" s="274"/>
      <c r="K22" s="274"/>
      <c r="L22" s="274"/>
      <c r="M22" s="274"/>
      <c r="N22" s="274"/>
      <c r="O22" s="464">
        <f t="shared" si="1"/>
        <v>0</v>
      </c>
      <c r="P22" s="415"/>
      <c r="AZ22" s="44"/>
      <c r="BA22"/>
      <c r="DD22" s="390">
        <f t="shared" si="3"/>
        <v>0</v>
      </c>
      <c r="DE22" s="31">
        <f t="shared" si="4"/>
        <v>13</v>
      </c>
      <c r="DF22" s="31">
        <f t="shared" si="2"/>
        <v>0</v>
      </c>
      <c r="DG22" s="31">
        <f t="shared" si="5"/>
        <v>0</v>
      </c>
    </row>
    <row r="23" spans="1:111" ht="30" customHeight="1">
      <c r="A23" s="22" t="str">
        <f t="shared" si="0"/>
        <v/>
      </c>
      <c r="B23" s="273"/>
      <c r="C23" s="274"/>
      <c r="D23" s="274"/>
      <c r="E23" s="274"/>
      <c r="F23" s="274"/>
      <c r="G23" s="274"/>
      <c r="H23" s="274"/>
      <c r="I23" s="274"/>
      <c r="J23" s="274"/>
      <c r="K23" s="274"/>
      <c r="L23" s="274"/>
      <c r="M23" s="274"/>
      <c r="N23" s="274"/>
      <c r="O23" s="464">
        <f t="shared" si="1"/>
        <v>0</v>
      </c>
      <c r="P23" s="415"/>
      <c r="AZ23" s="44"/>
      <c r="BA23"/>
      <c r="DD23" s="390">
        <f t="shared" si="3"/>
        <v>0</v>
      </c>
      <c r="DE23" s="31">
        <f t="shared" si="4"/>
        <v>13</v>
      </c>
      <c r="DF23" s="31">
        <f t="shared" si="2"/>
        <v>0</v>
      </c>
      <c r="DG23" s="31">
        <f t="shared" si="5"/>
        <v>0</v>
      </c>
    </row>
    <row r="24" spans="1:111" ht="30" customHeight="1">
      <c r="A24" s="22" t="str">
        <f t="shared" si="0"/>
        <v/>
      </c>
      <c r="B24" s="273"/>
      <c r="C24" s="274"/>
      <c r="D24" s="274"/>
      <c r="E24" s="274"/>
      <c r="F24" s="274"/>
      <c r="G24" s="274"/>
      <c r="H24" s="274"/>
      <c r="I24" s="274"/>
      <c r="J24" s="274"/>
      <c r="K24" s="274"/>
      <c r="L24" s="274"/>
      <c r="M24" s="274"/>
      <c r="N24" s="274"/>
      <c r="O24" s="464">
        <f t="shared" si="1"/>
        <v>0</v>
      </c>
      <c r="P24" s="415"/>
      <c r="AZ24" s="44"/>
      <c r="BA24"/>
      <c r="DD24" s="390">
        <f t="shared" si="3"/>
        <v>0</v>
      </c>
      <c r="DE24" s="31">
        <f t="shared" si="4"/>
        <v>13</v>
      </c>
      <c r="DF24" s="31">
        <f t="shared" si="2"/>
        <v>0</v>
      </c>
      <c r="DG24" s="31">
        <f t="shared" si="5"/>
        <v>0</v>
      </c>
    </row>
    <row r="25" spans="1:111" ht="30" customHeight="1">
      <c r="A25" s="22" t="str">
        <f t="shared" si="0"/>
        <v/>
      </c>
      <c r="B25" s="273"/>
      <c r="C25" s="274"/>
      <c r="D25" s="274"/>
      <c r="E25" s="274"/>
      <c r="F25" s="274"/>
      <c r="G25" s="274"/>
      <c r="H25" s="274"/>
      <c r="I25" s="274"/>
      <c r="J25" s="274"/>
      <c r="K25" s="274"/>
      <c r="L25" s="274"/>
      <c r="M25" s="274"/>
      <c r="N25" s="274"/>
      <c r="O25" s="464">
        <f t="shared" si="1"/>
        <v>0</v>
      </c>
      <c r="P25" s="415"/>
      <c r="AZ25" s="44"/>
      <c r="BA25"/>
      <c r="DD25" s="390">
        <f t="shared" si="3"/>
        <v>0</v>
      </c>
      <c r="DE25" s="31">
        <f t="shared" si="4"/>
        <v>13</v>
      </c>
      <c r="DF25" s="31">
        <f t="shared" si="2"/>
        <v>0</v>
      </c>
      <c r="DG25" s="31">
        <f t="shared" si="5"/>
        <v>0</v>
      </c>
    </row>
    <row r="26" spans="1:111" ht="30" customHeight="1">
      <c r="A26" s="22" t="str">
        <f t="shared" si="0"/>
        <v/>
      </c>
      <c r="B26" s="273"/>
      <c r="C26" s="274"/>
      <c r="D26" s="274"/>
      <c r="E26" s="274"/>
      <c r="F26" s="274"/>
      <c r="G26" s="274"/>
      <c r="H26" s="274"/>
      <c r="I26" s="274"/>
      <c r="J26" s="274"/>
      <c r="K26" s="274"/>
      <c r="L26" s="274"/>
      <c r="M26" s="274"/>
      <c r="N26" s="274"/>
      <c r="O26" s="464">
        <f t="shared" si="1"/>
        <v>0</v>
      </c>
      <c r="P26" s="415"/>
      <c r="AZ26" s="44"/>
      <c r="BA26"/>
      <c r="DD26" s="390">
        <f t="shared" si="3"/>
        <v>0</v>
      </c>
      <c r="DE26" s="31">
        <f t="shared" si="4"/>
        <v>13</v>
      </c>
      <c r="DF26" s="31">
        <f t="shared" si="2"/>
        <v>0</v>
      </c>
      <c r="DG26" s="31">
        <f t="shared" si="5"/>
        <v>0</v>
      </c>
    </row>
    <row r="27" spans="1:111" ht="16.5" customHeight="1">
      <c r="B27" s="58" t="s">
        <v>284</v>
      </c>
      <c r="C27" s="466">
        <f t="shared" ref="C27:N27" si="6">SUM(C14:C26)</f>
        <v>0</v>
      </c>
      <c r="D27" s="466">
        <f t="shared" si="6"/>
        <v>0</v>
      </c>
      <c r="E27" s="466">
        <f t="shared" si="6"/>
        <v>0</v>
      </c>
      <c r="F27" s="466">
        <f t="shared" si="6"/>
        <v>0</v>
      </c>
      <c r="G27" s="466">
        <f t="shared" si="6"/>
        <v>0</v>
      </c>
      <c r="H27" s="466">
        <f t="shared" si="6"/>
        <v>0</v>
      </c>
      <c r="I27" s="466">
        <f t="shared" si="6"/>
        <v>0</v>
      </c>
      <c r="J27" s="466">
        <f t="shared" si="6"/>
        <v>0</v>
      </c>
      <c r="K27" s="466">
        <f t="shared" si="6"/>
        <v>0</v>
      </c>
      <c r="L27" s="466">
        <f t="shared" si="6"/>
        <v>0</v>
      </c>
      <c r="M27" s="466">
        <f t="shared" si="6"/>
        <v>0</v>
      </c>
      <c r="N27" s="466">
        <f t="shared" si="6"/>
        <v>0</v>
      </c>
      <c r="O27" s="464">
        <f>SUM(C27:N27)</f>
        <v>0</v>
      </c>
      <c r="P27" s="3"/>
      <c r="AZ27" s="44"/>
      <c r="BA27"/>
    </row>
    <row r="28" spans="1:111">
      <c r="AZ28" s="44"/>
      <c r="BA28"/>
    </row>
    <row r="29" spans="1:111">
      <c r="AZ29" s="44"/>
      <c r="BA29"/>
    </row>
    <row r="30" spans="1:111">
      <c r="AZ30" s="44"/>
      <c r="BA30"/>
    </row>
    <row r="31" spans="1:111" ht="15" thickBot="1">
      <c r="AZ31" s="44"/>
      <c r="BA31"/>
    </row>
    <row r="32" spans="1:111" ht="25.8">
      <c r="A32" s="187" t="s">
        <v>285</v>
      </c>
      <c r="B32" s="467"/>
      <c r="C32" s="30"/>
      <c r="D32" s="30"/>
      <c r="E32" s="30"/>
      <c r="F32" s="30"/>
      <c r="G32" s="30"/>
      <c r="H32" s="30"/>
      <c r="I32" s="30"/>
      <c r="J32" s="30"/>
      <c r="K32" s="30"/>
      <c r="L32" s="30"/>
      <c r="M32" s="30"/>
      <c r="N32" s="30"/>
      <c r="O32" s="30"/>
      <c r="P32" s="30"/>
      <c r="Q32" s="30"/>
      <c r="R32" s="30"/>
      <c r="S32" s="30"/>
      <c r="T32" s="30"/>
      <c r="U32" s="30"/>
      <c r="V32" s="30"/>
      <c r="W32" s="30"/>
      <c r="X32" s="30"/>
      <c r="Y32" s="30"/>
      <c r="Z32" s="30"/>
      <c r="AZ32" s="44"/>
      <c r="BA32"/>
    </row>
    <row r="33" spans="1:111">
      <c r="E33" s="39"/>
      <c r="AZ33" s="44"/>
      <c r="BA33"/>
    </row>
    <row r="34" spans="1:111">
      <c r="AY34" s="44"/>
      <c r="BA34"/>
    </row>
    <row r="35" spans="1:111" ht="15.6">
      <c r="B35" s="462" t="s">
        <v>218</v>
      </c>
      <c r="C35" s="423" t="str">
        <f>IFERROR(_xlfn.CONCAT(IF(OR(LEN('Project Inputs'!$D$15)=0,LEN('Project Inputs'!$D$16)=0),"",
INDEX(ls_Month_2,MONTH(EDATE(DATE('Project Inputs'!$D$15,MATCH('Project Inputs'!$D$16,ls_Month_2,0),1),0))))," ",IF(OR(LEN('Project Inputs'!$D$15)=0,LEN('Project Inputs'!$D$16)=0),"",
YEAR(EDATE(DATE('Project Inputs'!$D$15,MATCH('Project Inputs'!$D$16,ls_Month_2,0),1),0)))),"Check Inputs")</f>
        <v xml:space="preserve"> </v>
      </c>
      <c r="D35" s="423" t="str">
        <f>IFERROR(_xlfn.CONCAT(IF(OR(LEN('Project Inputs'!$D$15)=0,LEN('Project Inputs'!$D$16)=0),"",
INDEX(ls_Month_2,MONTH(EDATE(DATE('Project Inputs'!$D$15,MATCH('Project Inputs'!$D$16,ls_Month_2,0),1),1))))," ",IF(OR(LEN('Project Inputs'!$D$15)=0,LEN('Project Inputs'!$D$16)=0),"",
YEAR(EDATE(DATE('Project Inputs'!$D$15,MATCH('Project Inputs'!$D$16,ls_Month_2,0),1),1)))),"Check Inputs")</f>
        <v xml:space="preserve"> </v>
      </c>
      <c r="E35" s="423" t="str">
        <f>IFERROR(_xlfn.CONCAT(IF(OR(LEN('Project Inputs'!$D$15)=0,LEN('Project Inputs'!$D$16)=0),"",
INDEX(ls_Month_2,MONTH(EDATE(DATE('Project Inputs'!$D$15,MATCH('Project Inputs'!$D$16,ls_Month_2,0),1),2))))," ",IF(OR(LEN('Project Inputs'!$D$15)=0,LEN('Project Inputs'!$D$16)=0),"",
YEAR(EDATE(DATE('Project Inputs'!$D$15,MATCH('Project Inputs'!$D$16,ls_Month_2,0),1),2)))),"Check Inputs")</f>
        <v xml:space="preserve"> </v>
      </c>
      <c r="F35" s="423" t="str">
        <f>IFERROR(_xlfn.CONCAT(IF(OR(LEN('Project Inputs'!$D$15)=0,LEN('Project Inputs'!$D$16)=0),"",
INDEX(ls_Month_2,MONTH(EDATE(DATE('Project Inputs'!$D$15,MATCH('Project Inputs'!$D$16,ls_Month_2,0),1),3))))," ",IF(OR(LEN('Project Inputs'!$D$15)=0,LEN('Project Inputs'!$D$16)=0),"",
YEAR(EDATE(DATE('Project Inputs'!$D$15,MATCH('Project Inputs'!$D$16,ls_Month_2,0),1),3)))),"Check Inputs")</f>
        <v xml:space="preserve"> </v>
      </c>
      <c r="G35" s="423" t="str">
        <f>IFERROR(_xlfn.CONCAT(IF(OR(LEN('Project Inputs'!$D$15)=0,LEN('Project Inputs'!$D$16)=0),"",
INDEX(ls_Month_2,MONTH(EDATE(DATE('Project Inputs'!$D$15,MATCH('Project Inputs'!$D$16,ls_Month_2,0),1),4))))," ",IF(OR(LEN('Project Inputs'!$D$15)=0,LEN('Project Inputs'!$D$16)=0),"",
YEAR(EDATE(DATE('Project Inputs'!$D$15,MATCH('Project Inputs'!$D$16,ls_Month_2,0),1),4)))),"Check Inputs")</f>
        <v xml:space="preserve"> </v>
      </c>
      <c r="H35" s="423" t="str">
        <f>IFERROR(_xlfn.CONCAT(IF(OR(LEN('Project Inputs'!$D$15)=0,LEN('Project Inputs'!$D$16)=0),"",
INDEX(ls_Month_2,MONTH(EDATE(DATE('Project Inputs'!$D$15,MATCH('Project Inputs'!$D$16,ls_Month_2,0),1),5))))," ",IF(OR(LEN('Project Inputs'!$D$15)=0,LEN('Project Inputs'!$D$16)=0),"",
YEAR(EDATE(DATE('Project Inputs'!$D$15,MATCH('Project Inputs'!$D$16,ls_Month_2,0),1),5)))),"Check Inputs")</f>
        <v xml:space="preserve"> </v>
      </c>
      <c r="I35" s="423" t="str">
        <f>IFERROR(_xlfn.CONCAT(IF(OR(LEN('Project Inputs'!$D$15)=0,LEN('Project Inputs'!$D$16)=0),"",
INDEX(ls_Month_2,MONTH(EDATE(DATE('Project Inputs'!$D$15,MATCH('Project Inputs'!$D$16,ls_Month_2,0),1),6))))," ",IF(OR(LEN('Project Inputs'!$D$15)=0,LEN('Project Inputs'!$D$16)=0),"",
YEAR(EDATE(DATE('Project Inputs'!$D$15,MATCH('Project Inputs'!$D$16,ls_Month_2,0),1),6)))),"Check Inputs")</f>
        <v xml:space="preserve"> </v>
      </c>
      <c r="J35" s="423" t="str">
        <f>IFERROR(_xlfn.CONCAT(IF(OR(LEN('Project Inputs'!$D$15)=0,LEN('Project Inputs'!$D$16)=0),"",
INDEX(ls_Month_2,MONTH(EDATE(DATE('Project Inputs'!$D$15,MATCH('Project Inputs'!$D$16,ls_Month_2,0),1),7))))," ",IF(OR(LEN('Project Inputs'!$D$15)=0,LEN('Project Inputs'!$D$16)=0),"",
YEAR(EDATE(DATE('Project Inputs'!$D$15,MATCH('Project Inputs'!$D$16,ls_Month_2,0),1),7)))),"Check Inputs")</f>
        <v xml:space="preserve"> </v>
      </c>
      <c r="K35" s="423" t="str">
        <f>IFERROR(_xlfn.CONCAT(IF(OR(LEN('Project Inputs'!$D$15)=0,LEN('Project Inputs'!$D$16)=0),"",
INDEX(ls_Month_2,MONTH(EDATE(DATE('Project Inputs'!$D$15,MATCH('Project Inputs'!$D$16,ls_Month_2,0),1),8))))," ",IF(OR(LEN('Project Inputs'!$D$15)=0,LEN('Project Inputs'!$D$16)=0),"",
YEAR(EDATE(DATE('Project Inputs'!$D$15,MATCH('Project Inputs'!$D$16,ls_Month_2,0),1),8)))),"Check Inputs")</f>
        <v xml:space="preserve"> </v>
      </c>
      <c r="L35" s="423" t="str">
        <f>IFERROR(_xlfn.CONCAT(IF(OR(LEN('Project Inputs'!$D$15)=0,LEN('Project Inputs'!$D$16)=0),"",
INDEX(ls_Month_2,MONTH(EDATE(DATE('Project Inputs'!$D$15,MATCH('Project Inputs'!$D$16,ls_Month_2,0),1),9))))," ",IF(OR(LEN('Project Inputs'!$D$15)=0,LEN('Project Inputs'!$D$16)=0),"",
YEAR(EDATE(DATE('Project Inputs'!$D$15,MATCH('Project Inputs'!$D$16,ls_Month_2,0),1),9)))),"Check Inputs")</f>
        <v xml:space="preserve"> </v>
      </c>
      <c r="M35" s="423" t="str">
        <f>IFERROR(_xlfn.CONCAT(IF(OR(LEN('Project Inputs'!$D$15)=0,LEN('Project Inputs'!$D$16)=0),"",
INDEX(ls_Month_2,MONTH(EDATE(DATE('Project Inputs'!$D$15,MATCH('Project Inputs'!$D$16,ls_Month_2,0),1),10))))," ",IF(OR(LEN('Project Inputs'!$D$15)=0,LEN('Project Inputs'!$D$16)=0),"",
YEAR(EDATE(DATE('Project Inputs'!$D$15,MATCH('Project Inputs'!$D$16,ls_Month_2,0),1),10)))),"Check Inputs")</f>
        <v xml:space="preserve"> </v>
      </c>
      <c r="N35" s="423" t="str">
        <f>IFERROR(_xlfn.CONCAT(IF(OR(LEN('Project Inputs'!$D$15)=0,LEN('Project Inputs'!$D$16)=0),"",
INDEX(ls_Month_2,MONTH(EDATE(DATE('Project Inputs'!$D$15,MATCH('Project Inputs'!$D$16,ls_Month_2,0),1),11))))," ",IF(OR(LEN('Project Inputs'!$D$15)=0,LEN('Project Inputs'!$D$16)=0),"",
YEAR(EDATE(DATE('Project Inputs'!$D$15,MATCH('Project Inputs'!$D$16,ls_Month_2,0),1),11)))),"Check Inputs")</f>
        <v xml:space="preserve"> </v>
      </c>
      <c r="O35" s="34"/>
      <c r="AY35" s="44"/>
      <c r="BA35"/>
    </row>
    <row r="36" spans="1:111" ht="30" customHeight="1">
      <c r="B36" s="424" t="s">
        <v>286</v>
      </c>
      <c r="C36" s="625" t="s">
        <v>10187</v>
      </c>
      <c r="D36" s="625"/>
      <c r="E36" s="625"/>
      <c r="F36" s="625"/>
      <c r="G36" s="625"/>
      <c r="H36" s="625"/>
      <c r="I36" s="625"/>
      <c r="J36" s="625"/>
      <c r="K36" s="625"/>
      <c r="L36" s="625"/>
      <c r="M36" s="625"/>
      <c r="N36" s="625"/>
      <c r="O36" s="271" t="s">
        <v>219</v>
      </c>
      <c r="P36" s="463" t="s">
        <v>283</v>
      </c>
      <c r="AY36" s="44"/>
      <c r="BA36"/>
    </row>
    <row r="37" spans="1:111" ht="30" customHeight="1">
      <c r="A37" s="22" t="str">
        <f t="shared" ref="A37:A71" si="7">IF(DD37=0,"",1)</f>
        <v/>
      </c>
      <c r="B37" s="275"/>
      <c r="C37" s="274"/>
      <c r="D37" s="274"/>
      <c r="E37" s="274"/>
      <c r="F37" s="274"/>
      <c r="G37" s="274"/>
      <c r="H37" s="274"/>
      <c r="I37" s="274"/>
      <c r="J37" s="274"/>
      <c r="K37" s="274"/>
      <c r="L37" s="274"/>
      <c r="M37" s="274"/>
      <c r="N37" s="274"/>
      <c r="O37" s="468">
        <f t="shared" ref="O37:O52" si="8">SUM(C37:N37)</f>
        <v>0</v>
      </c>
      <c r="P37" s="415"/>
      <c r="AY37" s="44"/>
      <c r="BA37"/>
      <c r="DD37" s="390">
        <f t="shared" ref="DD37" si="9">IF(DE37=13,0,SUM(DF37:DG37))</f>
        <v>0</v>
      </c>
      <c r="DE37" s="31">
        <f t="shared" ref="DE37" si="10">COUNTBLANK(B37:N37)</f>
        <v>13</v>
      </c>
      <c r="DF37" s="31">
        <f>SUM(IF(OR(LEN(C37)=0,AND(ISNUMBER(C37),C37&gt;=0)),0,1),IF(OR(LEN(D37)=0,AND(ISNUMBER(D37),D37&gt;=0)),0,1),IF(OR(LEN(E37)=0,AND(ISNUMBER(E37),E37&gt;=0)),0,1),IF(OR(LEN(F37)=0,AND(ISNUMBER(F37),F37&gt;=0)),0,1),IF(OR(LEN(G37)=0,AND(ISNUMBER(G37),G37&gt;=0)),0,1),IF(OR(LEN(H37)=0,AND(ISNUMBER(H37),H37&gt;=0)),0,1),IF(OR(LEN(I37)=0,AND(ISNUMBER(I37),I37&gt;=0)),0,1),IF(OR(LEN(J37)=0,AND(ISNUMBER(J37),J37&gt;=0)),0,1),IF(OR(LEN(K37)=0,AND(ISNUMBER(K37),K37&gt;=0)),0,1),IF(OR(LEN(L37)=0,AND(ISNUMBER(L37),L37&gt;=0)),0,1),IF(OR(LEN(M37)=0,AND(ISNUMBER(M37),M37&gt;=0)),0,1),IF(OR(LEN(N37)=0,AND(ISNUMBER(N37),N37&gt;=0)),0,1))</f>
        <v>0</v>
      </c>
      <c r="DG37" s="31">
        <f t="shared" ref="DG37:DG71" si="11">IF(DE37=13,0,IF(AND(COUNTBLANK(B37)=0,COUNTBLANK(C37:N37)&lt;12),0,1))</f>
        <v>0</v>
      </c>
    </row>
    <row r="38" spans="1:111" ht="30" customHeight="1">
      <c r="A38" s="22" t="str">
        <f t="shared" si="7"/>
        <v/>
      </c>
      <c r="B38" s="275"/>
      <c r="C38" s="274"/>
      <c r="D38" s="274"/>
      <c r="E38" s="274"/>
      <c r="F38" s="274"/>
      <c r="G38" s="274"/>
      <c r="H38" s="274"/>
      <c r="I38" s="274"/>
      <c r="J38" s="274"/>
      <c r="K38" s="274"/>
      <c r="L38" s="274"/>
      <c r="M38" s="274"/>
      <c r="N38" s="274"/>
      <c r="O38" s="468">
        <f t="shared" si="8"/>
        <v>0</v>
      </c>
      <c r="P38" s="415"/>
      <c r="AY38" s="44"/>
      <c r="BA38"/>
      <c r="DD38" s="390">
        <f t="shared" ref="DD38:DD71" si="12">IF(DE38=13,0,SUM(DF38:DG38))</f>
        <v>0</v>
      </c>
      <c r="DE38" s="31">
        <f t="shared" ref="DE38:DE71" si="13">COUNTBLANK(B38:N38)</f>
        <v>13</v>
      </c>
      <c r="DF38" s="31">
        <f t="shared" ref="DF38:DF71" si="14">SUM(IF(OR(LEN(C38)=0,AND(ISNUMBER(C38),C38&gt;=0)),0,1),IF(OR(LEN(D38)=0,AND(ISNUMBER(D38),D38&gt;=0)),0,1),IF(OR(LEN(E38)=0,AND(ISNUMBER(E38),E38&gt;=0)),0,1),IF(OR(LEN(F38)=0,AND(ISNUMBER(F38),F38&gt;=0)),0,1),IF(OR(LEN(G38)=0,AND(ISNUMBER(G38),G38&gt;=0)),0,1),IF(OR(LEN(H38)=0,AND(ISNUMBER(H38),H38&gt;=0)),0,1),IF(OR(LEN(I38)=0,AND(ISNUMBER(I38),I38&gt;=0)),0,1),IF(OR(LEN(J38)=0,AND(ISNUMBER(J38),J38&gt;=0)),0,1),IF(OR(LEN(K38)=0,AND(ISNUMBER(K38),K38&gt;=0)),0,1),IF(OR(LEN(L38)=0,AND(ISNUMBER(L38),L38&gt;=0)),0,1),IF(OR(LEN(M38)=0,AND(ISNUMBER(M38),M38&gt;=0)),0,1),IF(OR(LEN(N38)=0,AND(ISNUMBER(N38),N38&gt;=0)),0,1))</f>
        <v>0</v>
      </c>
      <c r="DG38" s="31">
        <f t="shared" si="11"/>
        <v>0</v>
      </c>
    </row>
    <row r="39" spans="1:111" ht="30" customHeight="1">
      <c r="A39" s="22" t="str">
        <f t="shared" si="7"/>
        <v/>
      </c>
      <c r="B39" s="275"/>
      <c r="C39" s="274"/>
      <c r="D39" s="274"/>
      <c r="E39" s="274"/>
      <c r="F39" s="274"/>
      <c r="G39" s="274"/>
      <c r="H39" s="274"/>
      <c r="I39" s="274"/>
      <c r="J39" s="274"/>
      <c r="K39" s="274"/>
      <c r="L39" s="274"/>
      <c r="M39" s="274"/>
      <c r="N39" s="274"/>
      <c r="O39" s="468">
        <f t="shared" si="8"/>
        <v>0</v>
      </c>
      <c r="P39" s="415"/>
      <c r="AY39" s="44"/>
      <c r="BA39"/>
      <c r="DD39" s="390">
        <f t="shared" si="12"/>
        <v>0</v>
      </c>
      <c r="DE39" s="31">
        <f t="shared" si="13"/>
        <v>13</v>
      </c>
      <c r="DF39" s="31">
        <f t="shared" si="14"/>
        <v>0</v>
      </c>
      <c r="DG39" s="31">
        <f t="shared" si="11"/>
        <v>0</v>
      </c>
    </row>
    <row r="40" spans="1:111" ht="30" customHeight="1">
      <c r="A40" s="22" t="str">
        <f t="shared" si="7"/>
        <v/>
      </c>
      <c r="B40" s="275"/>
      <c r="C40" s="274"/>
      <c r="D40" s="274"/>
      <c r="E40" s="274"/>
      <c r="F40" s="274"/>
      <c r="G40" s="274"/>
      <c r="H40" s="274"/>
      <c r="I40" s="274"/>
      <c r="J40" s="274"/>
      <c r="K40" s="274"/>
      <c r="L40" s="274"/>
      <c r="M40" s="274"/>
      <c r="N40" s="274"/>
      <c r="O40" s="468">
        <f t="shared" si="8"/>
        <v>0</v>
      </c>
      <c r="P40" s="415"/>
      <c r="AY40" s="44"/>
      <c r="BA40"/>
      <c r="DD40" s="390">
        <f t="shared" si="12"/>
        <v>0</v>
      </c>
      <c r="DE40" s="31">
        <f t="shared" si="13"/>
        <v>13</v>
      </c>
      <c r="DF40" s="31">
        <f t="shared" si="14"/>
        <v>0</v>
      </c>
      <c r="DG40" s="31">
        <f t="shared" si="11"/>
        <v>0</v>
      </c>
    </row>
    <row r="41" spans="1:111" ht="30" customHeight="1">
      <c r="A41" s="22" t="str">
        <f t="shared" si="7"/>
        <v/>
      </c>
      <c r="B41" s="275"/>
      <c r="C41" s="274"/>
      <c r="D41" s="274"/>
      <c r="E41" s="274"/>
      <c r="F41" s="274"/>
      <c r="G41" s="274"/>
      <c r="H41" s="274"/>
      <c r="I41" s="274"/>
      <c r="J41" s="274"/>
      <c r="K41" s="274"/>
      <c r="L41" s="274"/>
      <c r="M41" s="274"/>
      <c r="N41" s="274"/>
      <c r="O41" s="466">
        <f t="shared" si="8"/>
        <v>0</v>
      </c>
      <c r="P41" s="415"/>
      <c r="BA41"/>
      <c r="DD41" s="390">
        <f t="shared" si="12"/>
        <v>0</v>
      </c>
      <c r="DE41" s="31">
        <f t="shared" si="13"/>
        <v>13</v>
      </c>
      <c r="DF41" s="31">
        <f t="shared" si="14"/>
        <v>0</v>
      </c>
      <c r="DG41" s="31">
        <f t="shared" si="11"/>
        <v>0</v>
      </c>
    </row>
    <row r="42" spans="1:111" ht="30" customHeight="1">
      <c r="A42" s="22" t="str">
        <f t="shared" si="7"/>
        <v/>
      </c>
      <c r="B42" s="275"/>
      <c r="C42" s="274"/>
      <c r="D42" s="274"/>
      <c r="E42" s="274"/>
      <c r="F42" s="274"/>
      <c r="G42" s="274"/>
      <c r="H42" s="274"/>
      <c r="I42" s="274"/>
      <c r="J42" s="274"/>
      <c r="K42" s="274"/>
      <c r="L42" s="274"/>
      <c r="M42" s="274"/>
      <c r="N42" s="274"/>
      <c r="O42" s="468">
        <f t="shared" si="8"/>
        <v>0</v>
      </c>
      <c r="P42" s="415"/>
      <c r="BA42"/>
      <c r="DD42" s="390">
        <f t="shared" si="12"/>
        <v>0</v>
      </c>
      <c r="DE42" s="31">
        <f t="shared" si="13"/>
        <v>13</v>
      </c>
      <c r="DF42" s="31">
        <f t="shared" si="14"/>
        <v>0</v>
      </c>
      <c r="DG42" s="31">
        <f t="shared" si="11"/>
        <v>0</v>
      </c>
    </row>
    <row r="43" spans="1:111" ht="30" customHeight="1">
      <c r="A43" s="22" t="str">
        <f t="shared" si="7"/>
        <v/>
      </c>
      <c r="B43" s="275"/>
      <c r="C43" s="274"/>
      <c r="D43" s="274"/>
      <c r="E43" s="274"/>
      <c r="F43" s="274"/>
      <c r="G43" s="274"/>
      <c r="H43" s="274"/>
      <c r="I43" s="274"/>
      <c r="J43" s="274"/>
      <c r="K43" s="274"/>
      <c r="L43" s="274"/>
      <c r="M43" s="274"/>
      <c r="N43" s="274"/>
      <c r="O43" s="468">
        <f t="shared" si="8"/>
        <v>0</v>
      </c>
      <c r="P43" s="415"/>
      <c r="BA43"/>
      <c r="DD43" s="390">
        <f t="shared" si="12"/>
        <v>0</v>
      </c>
      <c r="DE43" s="31">
        <f t="shared" si="13"/>
        <v>13</v>
      </c>
      <c r="DF43" s="31">
        <f t="shared" si="14"/>
        <v>0</v>
      </c>
      <c r="DG43" s="31">
        <f t="shared" si="11"/>
        <v>0</v>
      </c>
    </row>
    <row r="44" spans="1:111" ht="30" customHeight="1">
      <c r="A44" s="22" t="str">
        <f t="shared" si="7"/>
        <v/>
      </c>
      <c r="B44" s="275"/>
      <c r="C44" s="274"/>
      <c r="D44" s="274"/>
      <c r="E44" s="274"/>
      <c r="F44" s="274"/>
      <c r="G44" s="274"/>
      <c r="H44" s="274"/>
      <c r="I44" s="274"/>
      <c r="J44" s="274"/>
      <c r="K44" s="274"/>
      <c r="L44" s="274"/>
      <c r="M44" s="274"/>
      <c r="N44" s="274"/>
      <c r="O44" s="468">
        <f t="shared" si="8"/>
        <v>0</v>
      </c>
      <c r="P44" s="415"/>
      <c r="BA44"/>
      <c r="DD44" s="390">
        <f t="shared" si="12"/>
        <v>0</v>
      </c>
      <c r="DE44" s="31">
        <f t="shared" si="13"/>
        <v>13</v>
      </c>
      <c r="DF44" s="31">
        <f t="shared" si="14"/>
        <v>0</v>
      </c>
      <c r="DG44" s="31">
        <f t="shared" si="11"/>
        <v>0</v>
      </c>
    </row>
    <row r="45" spans="1:111" ht="30" customHeight="1">
      <c r="A45" s="22" t="str">
        <f t="shared" si="7"/>
        <v/>
      </c>
      <c r="B45" s="275"/>
      <c r="C45" s="274"/>
      <c r="D45" s="274"/>
      <c r="E45" s="274"/>
      <c r="F45" s="274"/>
      <c r="G45" s="274"/>
      <c r="H45" s="274"/>
      <c r="I45" s="274"/>
      <c r="J45" s="274"/>
      <c r="K45" s="274"/>
      <c r="L45" s="274"/>
      <c r="M45" s="274"/>
      <c r="N45" s="274"/>
      <c r="O45" s="468">
        <f t="shared" si="8"/>
        <v>0</v>
      </c>
      <c r="P45" s="415"/>
      <c r="BA45"/>
      <c r="DD45" s="390">
        <f t="shared" si="12"/>
        <v>0</v>
      </c>
      <c r="DE45" s="31">
        <f t="shared" si="13"/>
        <v>13</v>
      </c>
      <c r="DF45" s="31">
        <f t="shared" si="14"/>
        <v>0</v>
      </c>
      <c r="DG45" s="31">
        <f t="shared" si="11"/>
        <v>0</v>
      </c>
    </row>
    <row r="46" spans="1:111" ht="30" customHeight="1">
      <c r="A46" s="22" t="str">
        <f t="shared" si="7"/>
        <v/>
      </c>
      <c r="B46" s="275"/>
      <c r="C46" s="274"/>
      <c r="D46" s="274"/>
      <c r="E46" s="274"/>
      <c r="F46" s="274"/>
      <c r="G46" s="274"/>
      <c r="H46" s="274"/>
      <c r="I46" s="274"/>
      <c r="J46" s="274"/>
      <c r="K46" s="274"/>
      <c r="L46" s="274"/>
      <c r="M46" s="274"/>
      <c r="N46" s="274"/>
      <c r="O46" s="468">
        <f t="shared" si="8"/>
        <v>0</v>
      </c>
      <c r="P46" s="415"/>
      <c r="AY46" s="44"/>
      <c r="BA46"/>
      <c r="DD46" s="390">
        <f t="shared" si="12"/>
        <v>0</v>
      </c>
      <c r="DE46" s="31">
        <f t="shared" si="13"/>
        <v>13</v>
      </c>
      <c r="DF46" s="31">
        <f t="shared" si="14"/>
        <v>0</v>
      </c>
      <c r="DG46" s="31">
        <f t="shared" si="11"/>
        <v>0</v>
      </c>
    </row>
    <row r="47" spans="1:111" ht="30" customHeight="1">
      <c r="A47" s="22" t="str">
        <f t="shared" si="7"/>
        <v/>
      </c>
      <c r="B47" s="275"/>
      <c r="C47" s="274"/>
      <c r="D47" s="274"/>
      <c r="E47" s="274"/>
      <c r="F47" s="274"/>
      <c r="G47" s="274"/>
      <c r="H47" s="274"/>
      <c r="I47" s="274"/>
      <c r="J47" s="274"/>
      <c r="K47" s="274"/>
      <c r="L47" s="274"/>
      <c r="M47" s="274"/>
      <c r="N47" s="274"/>
      <c r="O47" s="469">
        <f t="shared" si="8"/>
        <v>0</v>
      </c>
      <c r="P47" s="415"/>
      <c r="AY47" s="44"/>
      <c r="BA47"/>
      <c r="DD47" s="390">
        <f t="shared" si="12"/>
        <v>0</v>
      </c>
      <c r="DE47" s="31">
        <f t="shared" si="13"/>
        <v>13</v>
      </c>
      <c r="DF47" s="31">
        <f t="shared" si="14"/>
        <v>0</v>
      </c>
      <c r="DG47" s="31">
        <f t="shared" si="11"/>
        <v>0</v>
      </c>
    </row>
    <row r="48" spans="1:111" ht="30" customHeight="1">
      <c r="A48" s="22" t="str">
        <f t="shared" si="7"/>
        <v/>
      </c>
      <c r="B48" s="275"/>
      <c r="C48" s="274"/>
      <c r="D48" s="274"/>
      <c r="E48" s="274"/>
      <c r="F48" s="274"/>
      <c r="G48" s="274"/>
      <c r="H48" s="274"/>
      <c r="I48" s="274"/>
      <c r="J48" s="274"/>
      <c r="K48" s="274"/>
      <c r="L48" s="274"/>
      <c r="M48" s="274"/>
      <c r="N48" s="274"/>
      <c r="O48" s="469">
        <f t="shared" si="8"/>
        <v>0</v>
      </c>
      <c r="P48" s="415"/>
      <c r="AY48" s="44"/>
      <c r="BA48"/>
      <c r="DD48" s="390">
        <f t="shared" si="12"/>
        <v>0</v>
      </c>
      <c r="DE48" s="31">
        <f t="shared" si="13"/>
        <v>13</v>
      </c>
      <c r="DF48" s="31">
        <f t="shared" si="14"/>
        <v>0</v>
      </c>
      <c r="DG48" s="31">
        <f t="shared" si="11"/>
        <v>0</v>
      </c>
    </row>
    <row r="49" spans="1:111" ht="30" customHeight="1">
      <c r="A49" s="22" t="str">
        <f t="shared" si="7"/>
        <v/>
      </c>
      <c r="B49" s="275"/>
      <c r="C49" s="274"/>
      <c r="D49" s="274"/>
      <c r="E49" s="274"/>
      <c r="F49" s="274"/>
      <c r="G49" s="274"/>
      <c r="H49" s="274"/>
      <c r="I49" s="274"/>
      <c r="J49" s="274"/>
      <c r="K49" s="274"/>
      <c r="L49" s="274"/>
      <c r="M49" s="274"/>
      <c r="N49" s="274"/>
      <c r="O49" s="469">
        <f t="shared" si="8"/>
        <v>0</v>
      </c>
      <c r="P49" s="415"/>
      <c r="AY49" s="44"/>
      <c r="BA49"/>
      <c r="DD49" s="390">
        <f t="shared" si="12"/>
        <v>0</v>
      </c>
      <c r="DE49" s="31">
        <f t="shared" si="13"/>
        <v>13</v>
      </c>
      <c r="DF49" s="31">
        <f t="shared" si="14"/>
        <v>0</v>
      </c>
      <c r="DG49" s="31">
        <f t="shared" si="11"/>
        <v>0</v>
      </c>
    </row>
    <row r="50" spans="1:111" ht="30" customHeight="1">
      <c r="A50" s="22" t="str">
        <f t="shared" si="7"/>
        <v/>
      </c>
      <c r="B50" s="275"/>
      <c r="C50" s="274"/>
      <c r="D50" s="274"/>
      <c r="E50" s="274"/>
      <c r="F50" s="274"/>
      <c r="G50" s="274"/>
      <c r="H50" s="274"/>
      <c r="I50" s="274"/>
      <c r="J50" s="274"/>
      <c r="K50" s="274"/>
      <c r="L50" s="274"/>
      <c r="M50" s="274"/>
      <c r="N50" s="274"/>
      <c r="O50" s="469">
        <f t="shared" si="8"/>
        <v>0</v>
      </c>
      <c r="P50" s="415"/>
      <c r="AY50" s="44"/>
      <c r="BA50"/>
      <c r="DD50" s="390">
        <f t="shared" si="12"/>
        <v>0</v>
      </c>
      <c r="DE50" s="31">
        <f t="shared" si="13"/>
        <v>13</v>
      </c>
      <c r="DF50" s="31">
        <f t="shared" si="14"/>
        <v>0</v>
      </c>
      <c r="DG50" s="31">
        <f t="shared" si="11"/>
        <v>0</v>
      </c>
    </row>
    <row r="51" spans="1:111" ht="30" customHeight="1">
      <c r="A51" s="22" t="str">
        <f t="shared" si="7"/>
        <v/>
      </c>
      <c r="B51" s="275"/>
      <c r="C51" s="274"/>
      <c r="D51" s="274"/>
      <c r="E51" s="274"/>
      <c r="F51" s="274"/>
      <c r="G51" s="274"/>
      <c r="H51" s="274"/>
      <c r="I51" s="274"/>
      <c r="J51" s="274"/>
      <c r="K51" s="274"/>
      <c r="L51" s="274"/>
      <c r="M51" s="274"/>
      <c r="N51" s="274"/>
      <c r="O51" s="469">
        <f t="shared" si="8"/>
        <v>0</v>
      </c>
      <c r="P51" s="415"/>
      <c r="AY51" s="44"/>
      <c r="BA51"/>
      <c r="DD51" s="390">
        <f t="shared" si="12"/>
        <v>0</v>
      </c>
      <c r="DE51" s="31">
        <f t="shared" si="13"/>
        <v>13</v>
      </c>
      <c r="DF51" s="31">
        <f t="shared" si="14"/>
        <v>0</v>
      </c>
      <c r="DG51" s="31">
        <f t="shared" si="11"/>
        <v>0</v>
      </c>
    </row>
    <row r="52" spans="1:111" ht="30" customHeight="1">
      <c r="A52" s="22" t="str">
        <f t="shared" si="7"/>
        <v/>
      </c>
      <c r="B52" s="275"/>
      <c r="C52" s="274"/>
      <c r="D52" s="274"/>
      <c r="E52" s="274"/>
      <c r="F52" s="274"/>
      <c r="G52" s="274"/>
      <c r="H52" s="274"/>
      <c r="I52" s="274"/>
      <c r="J52" s="274"/>
      <c r="K52" s="274"/>
      <c r="L52" s="274"/>
      <c r="M52" s="274"/>
      <c r="N52" s="274"/>
      <c r="O52" s="469">
        <f t="shared" si="8"/>
        <v>0</v>
      </c>
      <c r="P52" s="415"/>
      <c r="AY52" s="44"/>
      <c r="BA52"/>
      <c r="DD52" s="390">
        <f t="shared" si="12"/>
        <v>0</v>
      </c>
      <c r="DE52" s="31">
        <f t="shared" si="13"/>
        <v>13</v>
      </c>
      <c r="DF52" s="31">
        <f t="shared" si="14"/>
        <v>0</v>
      </c>
      <c r="DG52" s="31">
        <f t="shared" si="11"/>
        <v>0</v>
      </c>
    </row>
    <row r="53" spans="1:111" ht="30" customHeight="1">
      <c r="A53" s="22" t="str">
        <f t="shared" si="7"/>
        <v/>
      </c>
      <c r="B53" s="275"/>
      <c r="C53" s="274"/>
      <c r="D53" s="274"/>
      <c r="E53" s="274"/>
      <c r="F53" s="274"/>
      <c r="G53" s="274"/>
      <c r="H53" s="274"/>
      <c r="I53" s="274"/>
      <c r="J53" s="274"/>
      <c r="K53" s="274"/>
      <c r="L53" s="274"/>
      <c r="M53" s="274"/>
      <c r="N53" s="274"/>
      <c r="O53" s="469">
        <f t="shared" ref="O53:O68" si="15">SUM(C53:N53)</f>
        <v>0</v>
      </c>
      <c r="P53" s="415"/>
      <c r="AY53" s="44"/>
      <c r="BA53"/>
      <c r="DD53" s="390">
        <f t="shared" si="12"/>
        <v>0</v>
      </c>
      <c r="DE53" s="31">
        <f t="shared" si="13"/>
        <v>13</v>
      </c>
      <c r="DF53" s="31">
        <f t="shared" si="14"/>
        <v>0</v>
      </c>
      <c r="DG53" s="31">
        <f t="shared" si="11"/>
        <v>0</v>
      </c>
    </row>
    <row r="54" spans="1:111" ht="30" customHeight="1">
      <c r="A54" s="22" t="str">
        <f t="shared" si="7"/>
        <v/>
      </c>
      <c r="B54" s="275"/>
      <c r="C54" s="274"/>
      <c r="D54" s="274"/>
      <c r="E54" s="274"/>
      <c r="F54" s="274"/>
      <c r="G54" s="274"/>
      <c r="H54" s="274"/>
      <c r="I54" s="274"/>
      <c r="J54" s="274"/>
      <c r="K54" s="274"/>
      <c r="L54" s="274"/>
      <c r="M54" s="274"/>
      <c r="N54" s="274"/>
      <c r="O54" s="469">
        <f t="shared" si="15"/>
        <v>0</v>
      </c>
      <c r="P54" s="415"/>
      <c r="AY54" s="44"/>
      <c r="BA54"/>
      <c r="DD54" s="390">
        <f t="shared" si="12"/>
        <v>0</v>
      </c>
      <c r="DE54" s="31">
        <f t="shared" si="13"/>
        <v>13</v>
      </c>
      <c r="DF54" s="31">
        <f t="shared" si="14"/>
        <v>0</v>
      </c>
      <c r="DG54" s="31">
        <f t="shared" si="11"/>
        <v>0</v>
      </c>
    </row>
    <row r="55" spans="1:111" ht="30" customHeight="1">
      <c r="A55" s="22" t="str">
        <f t="shared" si="7"/>
        <v/>
      </c>
      <c r="B55" s="275"/>
      <c r="C55" s="274"/>
      <c r="D55" s="274"/>
      <c r="E55" s="274"/>
      <c r="F55" s="274"/>
      <c r="G55" s="274"/>
      <c r="H55" s="274"/>
      <c r="I55" s="274"/>
      <c r="J55" s="274"/>
      <c r="K55" s="274"/>
      <c r="L55" s="274"/>
      <c r="M55" s="274"/>
      <c r="N55" s="274"/>
      <c r="O55" s="469">
        <f t="shared" si="15"/>
        <v>0</v>
      </c>
      <c r="P55" s="415"/>
      <c r="AY55" s="44"/>
      <c r="BA55"/>
      <c r="DD55" s="390">
        <f t="shared" si="12"/>
        <v>0</v>
      </c>
      <c r="DE55" s="31">
        <f t="shared" si="13"/>
        <v>13</v>
      </c>
      <c r="DF55" s="31">
        <f t="shared" si="14"/>
        <v>0</v>
      </c>
      <c r="DG55" s="31">
        <f t="shared" si="11"/>
        <v>0</v>
      </c>
    </row>
    <row r="56" spans="1:111" ht="35.1" customHeight="1">
      <c r="A56" s="22" t="str">
        <f t="shared" si="7"/>
        <v/>
      </c>
      <c r="B56" s="275"/>
      <c r="C56" s="274"/>
      <c r="D56" s="274"/>
      <c r="E56" s="274"/>
      <c r="F56" s="274"/>
      <c r="G56" s="274"/>
      <c r="H56" s="274"/>
      <c r="I56" s="274"/>
      <c r="J56" s="274"/>
      <c r="K56" s="274"/>
      <c r="L56" s="274"/>
      <c r="M56" s="274"/>
      <c r="N56" s="274"/>
      <c r="O56" s="469">
        <f t="shared" si="15"/>
        <v>0</v>
      </c>
      <c r="P56" s="415"/>
      <c r="AY56" s="44"/>
      <c r="BA56"/>
      <c r="DD56" s="390">
        <f t="shared" si="12"/>
        <v>0</v>
      </c>
      <c r="DE56" s="31">
        <f t="shared" si="13"/>
        <v>13</v>
      </c>
      <c r="DF56" s="31">
        <f t="shared" si="14"/>
        <v>0</v>
      </c>
      <c r="DG56" s="31">
        <f t="shared" si="11"/>
        <v>0</v>
      </c>
    </row>
    <row r="57" spans="1:111" ht="30" hidden="1" customHeight="1" outlineLevel="1">
      <c r="A57" s="22" t="str">
        <f t="shared" si="7"/>
        <v/>
      </c>
      <c r="B57" s="275"/>
      <c r="C57" s="274"/>
      <c r="D57" s="274"/>
      <c r="E57" s="274"/>
      <c r="F57" s="274"/>
      <c r="G57" s="274"/>
      <c r="H57" s="274"/>
      <c r="I57" s="274"/>
      <c r="J57" s="274"/>
      <c r="K57" s="274"/>
      <c r="L57" s="274"/>
      <c r="M57" s="274"/>
      <c r="N57" s="274"/>
      <c r="O57" s="469">
        <f t="shared" si="15"/>
        <v>0</v>
      </c>
      <c r="P57" s="415"/>
      <c r="AY57" s="44"/>
      <c r="BA57"/>
      <c r="DD57" s="390">
        <f t="shared" si="12"/>
        <v>0</v>
      </c>
      <c r="DE57" s="31">
        <f t="shared" si="13"/>
        <v>13</v>
      </c>
      <c r="DF57" s="31">
        <f t="shared" si="14"/>
        <v>0</v>
      </c>
      <c r="DG57" s="31">
        <f t="shared" si="11"/>
        <v>0</v>
      </c>
    </row>
    <row r="58" spans="1:111" ht="30" hidden="1" customHeight="1" outlineLevel="1">
      <c r="A58" s="22" t="str">
        <f t="shared" si="7"/>
        <v/>
      </c>
      <c r="B58" s="275"/>
      <c r="C58" s="274"/>
      <c r="D58" s="274"/>
      <c r="E58" s="274"/>
      <c r="F58" s="274"/>
      <c r="G58" s="274"/>
      <c r="H58" s="274"/>
      <c r="I58" s="274"/>
      <c r="J58" s="274"/>
      <c r="K58" s="274"/>
      <c r="L58" s="274"/>
      <c r="M58" s="274"/>
      <c r="N58" s="274"/>
      <c r="O58" s="469">
        <f t="shared" si="15"/>
        <v>0</v>
      </c>
      <c r="P58" s="415"/>
      <c r="AY58" s="44"/>
      <c r="BA58"/>
      <c r="DD58" s="390">
        <f t="shared" si="12"/>
        <v>0</v>
      </c>
      <c r="DE58" s="31">
        <f t="shared" si="13"/>
        <v>13</v>
      </c>
      <c r="DF58" s="31">
        <f t="shared" si="14"/>
        <v>0</v>
      </c>
      <c r="DG58" s="31">
        <f t="shared" si="11"/>
        <v>0</v>
      </c>
    </row>
    <row r="59" spans="1:111" ht="30" hidden="1" customHeight="1" outlineLevel="1">
      <c r="A59" s="22" t="str">
        <f t="shared" si="7"/>
        <v/>
      </c>
      <c r="B59" s="275"/>
      <c r="C59" s="274"/>
      <c r="D59" s="274"/>
      <c r="E59" s="274"/>
      <c r="F59" s="274"/>
      <c r="G59" s="274"/>
      <c r="H59" s="274"/>
      <c r="I59" s="274"/>
      <c r="J59" s="274"/>
      <c r="K59" s="274"/>
      <c r="L59" s="274"/>
      <c r="M59" s="274"/>
      <c r="N59" s="274"/>
      <c r="O59" s="469">
        <f t="shared" si="15"/>
        <v>0</v>
      </c>
      <c r="P59" s="415"/>
      <c r="AY59" s="44"/>
      <c r="BA59"/>
      <c r="DD59" s="390">
        <f t="shared" si="12"/>
        <v>0</v>
      </c>
      <c r="DE59" s="31">
        <f t="shared" si="13"/>
        <v>13</v>
      </c>
      <c r="DF59" s="31">
        <f t="shared" si="14"/>
        <v>0</v>
      </c>
      <c r="DG59" s="31">
        <f t="shared" si="11"/>
        <v>0</v>
      </c>
    </row>
    <row r="60" spans="1:111" ht="30" hidden="1" customHeight="1" outlineLevel="1">
      <c r="A60" s="22" t="str">
        <f t="shared" si="7"/>
        <v/>
      </c>
      <c r="B60" s="275"/>
      <c r="C60" s="274"/>
      <c r="D60" s="274"/>
      <c r="E60" s="274"/>
      <c r="F60" s="274"/>
      <c r="G60" s="274"/>
      <c r="H60" s="274"/>
      <c r="I60" s="274"/>
      <c r="J60" s="274"/>
      <c r="K60" s="274"/>
      <c r="L60" s="274"/>
      <c r="M60" s="274"/>
      <c r="N60" s="274"/>
      <c r="O60" s="469">
        <f t="shared" si="15"/>
        <v>0</v>
      </c>
      <c r="P60" s="415"/>
      <c r="AY60" s="44"/>
      <c r="BA60"/>
      <c r="DD60" s="390">
        <f t="shared" si="12"/>
        <v>0</v>
      </c>
      <c r="DE60" s="31">
        <f t="shared" si="13"/>
        <v>13</v>
      </c>
      <c r="DF60" s="31">
        <f t="shared" si="14"/>
        <v>0</v>
      </c>
      <c r="DG60" s="31">
        <f t="shared" si="11"/>
        <v>0</v>
      </c>
    </row>
    <row r="61" spans="1:111" ht="30" hidden="1" customHeight="1" outlineLevel="1">
      <c r="A61" s="22" t="str">
        <f t="shared" si="7"/>
        <v/>
      </c>
      <c r="B61" s="275"/>
      <c r="C61" s="274"/>
      <c r="D61" s="274"/>
      <c r="E61" s="274"/>
      <c r="F61" s="274"/>
      <c r="G61" s="274"/>
      <c r="H61" s="274"/>
      <c r="I61" s="274"/>
      <c r="J61" s="274"/>
      <c r="K61" s="274"/>
      <c r="L61" s="274"/>
      <c r="M61" s="274"/>
      <c r="N61" s="274"/>
      <c r="O61" s="469">
        <f t="shared" si="15"/>
        <v>0</v>
      </c>
      <c r="P61" s="415"/>
      <c r="AY61" s="44"/>
      <c r="BA61"/>
      <c r="DD61" s="390">
        <f t="shared" si="12"/>
        <v>0</v>
      </c>
      <c r="DE61" s="31">
        <f t="shared" si="13"/>
        <v>13</v>
      </c>
      <c r="DF61" s="31">
        <f t="shared" si="14"/>
        <v>0</v>
      </c>
      <c r="DG61" s="31">
        <f t="shared" si="11"/>
        <v>0</v>
      </c>
    </row>
    <row r="62" spans="1:111" ht="30" hidden="1" customHeight="1" outlineLevel="1">
      <c r="A62" s="22" t="str">
        <f t="shared" si="7"/>
        <v/>
      </c>
      <c r="B62" s="275"/>
      <c r="C62" s="274"/>
      <c r="D62" s="274"/>
      <c r="E62" s="274"/>
      <c r="F62" s="274"/>
      <c r="G62" s="274"/>
      <c r="H62" s="274"/>
      <c r="I62" s="274"/>
      <c r="J62" s="274"/>
      <c r="K62" s="274"/>
      <c r="L62" s="274"/>
      <c r="M62" s="274"/>
      <c r="N62" s="274"/>
      <c r="O62" s="469">
        <f t="shared" si="15"/>
        <v>0</v>
      </c>
      <c r="P62" s="415"/>
      <c r="AY62" s="44"/>
      <c r="BA62"/>
      <c r="DD62" s="390">
        <f t="shared" si="12"/>
        <v>0</v>
      </c>
      <c r="DE62" s="31">
        <f t="shared" si="13"/>
        <v>13</v>
      </c>
      <c r="DF62" s="31">
        <f t="shared" si="14"/>
        <v>0</v>
      </c>
      <c r="DG62" s="31">
        <f t="shared" si="11"/>
        <v>0</v>
      </c>
    </row>
    <row r="63" spans="1:111" ht="30" hidden="1" customHeight="1" outlineLevel="1">
      <c r="A63" s="22" t="str">
        <f t="shared" si="7"/>
        <v/>
      </c>
      <c r="B63" s="275"/>
      <c r="C63" s="274"/>
      <c r="D63" s="274"/>
      <c r="E63" s="274"/>
      <c r="F63" s="274"/>
      <c r="G63" s="274"/>
      <c r="H63" s="274"/>
      <c r="I63" s="274"/>
      <c r="J63" s="274"/>
      <c r="K63" s="274"/>
      <c r="L63" s="274"/>
      <c r="M63" s="274"/>
      <c r="N63" s="274"/>
      <c r="O63" s="469">
        <f t="shared" si="15"/>
        <v>0</v>
      </c>
      <c r="P63" s="415"/>
      <c r="AY63" s="44"/>
      <c r="BA63"/>
      <c r="DD63" s="390">
        <f t="shared" si="12"/>
        <v>0</v>
      </c>
      <c r="DE63" s="31">
        <f t="shared" si="13"/>
        <v>13</v>
      </c>
      <c r="DF63" s="31">
        <f t="shared" si="14"/>
        <v>0</v>
      </c>
      <c r="DG63" s="31">
        <f t="shared" si="11"/>
        <v>0</v>
      </c>
    </row>
    <row r="64" spans="1:111" ht="30" hidden="1" customHeight="1" outlineLevel="1">
      <c r="A64" s="22" t="str">
        <f t="shared" si="7"/>
        <v/>
      </c>
      <c r="B64" s="275"/>
      <c r="C64" s="274"/>
      <c r="D64" s="274"/>
      <c r="E64" s="274"/>
      <c r="F64" s="274"/>
      <c r="G64" s="274"/>
      <c r="H64" s="274"/>
      <c r="I64" s="274"/>
      <c r="J64" s="274"/>
      <c r="K64" s="274"/>
      <c r="L64" s="274"/>
      <c r="M64" s="274"/>
      <c r="N64" s="274"/>
      <c r="O64" s="469">
        <f t="shared" si="15"/>
        <v>0</v>
      </c>
      <c r="P64" s="415"/>
      <c r="AY64" s="44"/>
      <c r="BA64"/>
      <c r="DD64" s="390">
        <f t="shared" si="12"/>
        <v>0</v>
      </c>
      <c r="DE64" s="31">
        <f t="shared" si="13"/>
        <v>13</v>
      </c>
      <c r="DF64" s="31">
        <f t="shared" si="14"/>
        <v>0</v>
      </c>
      <c r="DG64" s="31">
        <f t="shared" si="11"/>
        <v>0</v>
      </c>
    </row>
    <row r="65" spans="1:111" ht="30" hidden="1" customHeight="1" outlineLevel="1">
      <c r="A65" s="22" t="str">
        <f t="shared" si="7"/>
        <v/>
      </c>
      <c r="B65" s="275"/>
      <c r="C65" s="274"/>
      <c r="D65" s="274"/>
      <c r="E65" s="274"/>
      <c r="F65" s="274"/>
      <c r="G65" s="274"/>
      <c r="H65" s="274"/>
      <c r="I65" s="274"/>
      <c r="J65" s="274"/>
      <c r="K65" s="274"/>
      <c r="L65" s="274"/>
      <c r="M65" s="274"/>
      <c r="N65" s="274"/>
      <c r="O65" s="469">
        <f t="shared" si="15"/>
        <v>0</v>
      </c>
      <c r="P65" s="415"/>
      <c r="AY65" s="44"/>
      <c r="BA65"/>
      <c r="DD65" s="390">
        <f t="shared" si="12"/>
        <v>0</v>
      </c>
      <c r="DE65" s="31">
        <f t="shared" si="13"/>
        <v>13</v>
      </c>
      <c r="DF65" s="31">
        <f t="shared" si="14"/>
        <v>0</v>
      </c>
      <c r="DG65" s="31">
        <f t="shared" si="11"/>
        <v>0</v>
      </c>
    </row>
    <row r="66" spans="1:111" ht="30" hidden="1" customHeight="1" outlineLevel="1">
      <c r="A66" s="22" t="str">
        <f t="shared" si="7"/>
        <v/>
      </c>
      <c r="B66" s="275"/>
      <c r="C66" s="274"/>
      <c r="D66" s="274"/>
      <c r="E66" s="274"/>
      <c r="F66" s="274"/>
      <c r="G66" s="274"/>
      <c r="H66" s="274"/>
      <c r="I66" s="274"/>
      <c r="J66" s="274"/>
      <c r="K66" s="274"/>
      <c r="L66" s="274"/>
      <c r="M66" s="274"/>
      <c r="N66" s="274"/>
      <c r="O66" s="469">
        <f t="shared" si="15"/>
        <v>0</v>
      </c>
      <c r="P66" s="415"/>
      <c r="AY66" s="44"/>
      <c r="BA66"/>
      <c r="DD66" s="390">
        <f t="shared" si="12"/>
        <v>0</v>
      </c>
      <c r="DE66" s="31">
        <f t="shared" si="13"/>
        <v>13</v>
      </c>
      <c r="DF66" s="31">
        <f t="shared" si="14"/>
        <v>0</v>
      </c>
      <c r="DG66" s="31">
        <f t="shared" si="11"/>
        <v>0</v>
      </c>
    </row>
    <row r="67" spans="1:111" ht="30" hidden="1" customHeight="1" outlineLevel="1">
      <c r="A67" s="22" t="str">
        <f t="shared" si="7"/>
        <v/>
      </c>
      <c r="B67" s="275"/>
      <c r="C67" s="274"/>
      <c r="D67" s="274"/>
      <c r="E67" s="274"/>
      <c r="F67" s="274"/>
      <c r="G67" s="274"/>
      <c r="H67" s="274"/>
      <c r="I67" s="274"/>
      <c r="J67" s="274"/>
      <c r="K67" s="274"/>
      <c r="L67" s="274"/>
      <c r="M67" s="274"/>
      <c r="N67" s="274"/>
      <c r="O67" s="469">
        <f t="shared" si="15"/>
        <v>0</v>
      </c>
      <c r="P67" s="415"/>
      <c r="AY67" s="44"/>
      <c r="BA67"/>
      <c r="DD67" s="390">
        <f t="shared" si="12"/>
        <v>0</v>
      </c>
      <c r="DE67" s="31">
        <f t="shared" si="13"/>
        <v>13</v>
      </c>
      <c r="DF67" s="31">
        <f t="shared" si="14"/>
        <v>0</v>
      </c>
      <c r="DG67" s="31">
        <f t="shared" si="11"/>
        <v>0</v>
      </c>
    </row>
    <row r="68" spans="1:111" ht="30" hidden="1" customHeight="1" outlineLevel="1">
      <c r="A68" s="22" t="str">
        <f t="shared" si="7"/>
        <v/>
      </c>
      <c r="B68" s="275"/>
      <c r="C68" s="274"/>
      <c r="D68" s="274"/>
      <c r="E68" s="274"/>
      <c r="F68" s="274"/>
      <c r="G68" s="274"/>
      <c r="H68" s="274"/>
      <c r="I68" s="274"/>
      <c r="J68" s="274"/>
      <c r="K68" s="274"/>
      <c r="L68" s="274"/>
      <c r="M68" s="274"/>
      <c r="N68" s="274"/>
      <c r="O68" s="469">
        <f t="shared" si="15"/>
        <v>0</v>
      </c>
      <c r="P68" s="415"/>
      <c r="AY68" s="44"/>
      <c r="BA68"/>
      <c r="DD68" s="390">
        <f t="shared" si="12"/>
        <v>0</v>
      </c>
      <c r="DE68" s="31">
        <f t="shared" si="13"/>
        <v>13</v>
      </c>
      <c r="DF68" s="31">
        <f t="shared" si="14"/>
        <v>0</v>
      </c>
      <c r="DG68" s="31">
        <f t="shared" si="11"/>
        <v>0</v>
      </c>
    </row>
    <row r="69" spans="1:111" ht="30" hidden="1" customHeight="1" outlineLevel="1">
      <c r="A69" s="22" t="str">
        <f t="shared" si="7"/>
        <v/>
      </c>
      <c r="B69" s="275"/>
      <c r="C69" s="274"/>
      <c r="D69" s="274"/>
      <c r="E69" s="274"/>
      <c r="F69" s="274"/>
      <c r="G69" s="274"/>
      <c r="H69" s="274"/>
      <c r="I69" s="274"/>
      <c r="J69" s="274"/>
      <c r="K69" s="274"/>
      <c r="L69" s="274"/>
      <c r="M69" s="274"/>
      <c r="N69" s="274"/>
      <c r="O69" s="469">
        <f t="shared" ref="O69:O71" si="16">SUM(C69:N69)</f>
        <v>0</v>
      </c>
      <c r="P69" s="415"/>
      <c r="AY69" s="44"/>
      <c r="BA69"/>
      <c r="DD69" s="390">
        <f t="shared" si="12"/>
        <v>0</v>
      </c>
      <c r="DE69" s="31">
        <f t="shared" si="13"/>
        <v>13</v>
      </c>
      <c r="DF69" s="31">
        <f t="shared" si="14"/>
        <v>0</v>
      </c>
      <c r="DG69" s="31">
        <f t="shared" si="11"/>
        <v>0</v>
      </c>
    </row>
    <row r="70" spans="1:111" ht="30" hidden="1" customHeight="1" outlineLevel="1">
      <c r="A70" s="22" t="str">
        <f t="shared" si="7"/>
        <v/>
      </c>
      <c r="B70" s="275"/>
      <c r="C70" s="274"/>
      <c r="D70" s="274"/>
      <c r="E70" s="274"/>
      <c r="F70" s="274"/>
      <c r="G70" s="274"/>
      <c r="H70" s="274"/>
      <c r="I70" s="274"/>
      <c r="J70" s="274"/>
      <c r="K70" s="274"/>
      <c r="L70" s="274"/>
      <c r="M70" s="274"/>
      <c r="N70" s="274"/>
      <c r="O70" s="469">
        <f t="shared" si="16"/>
        <v>0</v>
      </c>
      <c r="P70" s="415"/>
      <c r="AY70" s="44"/>
      <c r="BA70"/>
      <c r="DD70" s="390">
        <f t="shared" si="12"/>
        <v>0</v>
      </c>
      <c r="DE70" s="31">
        <f t="shared" si="13"/>
        <v>13</v>
      </c>
      <c r="DF70" s="31">
        <f t="shared" si="14"/>
        <v>0</v>
      </c>
      <c r="DG70" s="31">
        <f t="shared" si="11"/>
        <v>0</v>
      </c>
    </row>
    <row r="71" spans="1:111" ht="30" hidden="1" customHeight="1" outlineLevel="1">
      <c r="A71" s="22" t="str">
        <f t="shared" si="7"/>
        <v/>
      </c>
      <c r="B71" s="275"/>
      <c r="C71" s="274"/>
      <c r="D71" s="274"/>
      <c r="E71" s="274"/>
      <c r="F71" s="274"/>
      <c r="G71" s="274"/>
      <c r="H71" s="274"/>
      <c r="I71" s="274"/>
      <c r="J71" s="274"/>
      <c r="K71" s="274"/>
      <c r="L71" s="274"/>
      <c r="M71" s="274"/>
      <c r="N71" s="274"/>
      <c r="O71" s="469">
        <f t="shared" si="16"/>
        <v>0</v>
      </c>
      <c r="P71" s="415"/>
      <c r="AY71" s="44"/>
      <c r="BA71"/>
      <c r="DD71" s="390">
        <f t="shared" si="12"/>
        <v>0</v>
      </c>
      <c r="DE71" s="31">
        <f t="shared" si="13"/>
        <v>13</v>
      </c>
      <c r="DF71" s="31">
        <f t="shared" si="14"/>
        <v>0</v>
      </c>
      <c r="DG71" s="31">
        <f t="shared" si="11"/>
        <v>0</v>
      </c>
    </row>
    <row r="72" spans="1:111" collapsed="1">
      <c r="B72" s="58" t="s">
        <v>10199</v>
      </c>
      <c r="C72" s="466">
        <f t="shared" ref="C72:N72" si="17">SUM(C37:C71)</f>
        <v>0</v>
      </c>
      <c r="D72" s="466">
        <f t="shared" si="17"/>
        <v>0</v>
      </c>
      <c r="E72" s="466">
        <f t="shared" si="17"/>
        <v>0</v>
      </c>
      <c r="F72" s="466">
        <f t="shared" si="17"/>
        <v>0</v>
      </c>
      <c r="G72" s="466">
        <f t="shared" si="17"/>
        <v>0</v>
      </c>
      <c r="H72" s="466">
        <f t="shared" si="17"/>
        <v>0</v>
      </c>
      <c r="I72" s="466">
        <f t="shared" si="17"/>
        <v>0</v>
      </c>
      <c r="J72" s="466">
        <f t="shared" si="17"/>
        <v>0</v>
      </c>
      <c r="K72" s="466">
        <f t="shared" si="17"/>
        <v>0</v>
      </c>
      <c r="L72" s="466">
        <f t="shared" si="17"/>
        <v>0</v>
      </c>
      <c r="M72" s="466">
        <f t="shared" si="17"/>
        <v>0</v>
      </c>
      <c r="N72" s="466">
        <f t="shared" si="17"/>
        <v>0</v>
      </c>
      <c r="O72" s="469">
        <f>SUM(C72:N72)</f>
        <v>0</v>
      </c>
      <c r="P72" s="3"/>
      <c r="AY72" s="44"/>
      <c r="BA72"/>
      <c r="DD72" s="390"/>
      <c r="DE72" s="31"/>
      <c r="DF72" s="31"/>
      <c r="DG72" s="31"/>
    </row>
    <row r="73" spans="1:111">
      <c r="AY73" s="44"/>
      <c r="BA73"/>
    </row>
    <row r="74" spans="1:111">
      <c r="AZ74" s="44"/>
      <c r="BA74"/>
    </row>
    <row r="75" spans="1:111">
      <c r="AZ75" s="44"/>
      <c r="BA75"/>
    </row>
    <row r="76" spans="1:111">
      <c r="AZ76" s="44"/>
      <c r="BA76"/>
    </row>
    <row r="77" spans="1:111">
      <c r="AZ77" s="44"/>
      <c r="BA77"/>
    </row>
    <row r="78" spans="1:111">
      <c r="AZ78" s="44"/>
      <c r="BA78"/>
    </row>
    <row r="79" spans="1:111">
      <c r="AZ79" s="44"/>
      <c r="BA79"/>
    </row>
    <row r="80" spans="1:111">
      <c r="AZ80" s="44"/>
      <c r="BA80"/>
    </row>
    <row r="81" spans="52:53">
      <c r="AZ81" s="44"/>
      <c r="BA81"/>
    </row>
    <row r="82" spans="52:53">
      <c r="AZ82" s="44"/>
      <c r="BA82"/>
    </row>
    <row r="83" spans="52:53">
      <c r="AZ83" s="44"/>
      <c r="BA83"/>
    </row>
    <row r="84" spans="52:53">
      <c r="AZ84" s="44"/>
      <c r="BA84"/>
    </row>
  </sheetData>
  <sheetProtection algorithmName="SHA-512" hashValue="TIr79Vyf2L1Oy+Qu/wjcJkvtuI2QPKBRE9xHDNiDYkrdqp5nOR7t+xGdkTClH+cstt9BsgZCu55NVXdEM5RP4g==" saltValue="LsBw/zYaU75FN3pO9iB52w==" spinCount="100000" sheet="1" formatColumns="0" formatRows="0" selectLockedCells="1"/>
  <mergeCells count="3">
    <mergeCell ref="C36:N36"/>
    <mergeCell ref="C13:N13"/>
    <mergeCell ref="B4:O4"/>
  </mergeCells>
  <conditionalFormatting sqref="B14:N26 P14:P26 B37:N71 P37:P71">
    <cfRule type="expression" dxfId="16" priority="14" stopIfTrue="1">
      <formula>LEN(B14)&gt;0</formula>
    </cfRule>
  </conditionalFormatting>
  <dataValidations count="3">
    <dataValidation type="decimal" allowBlank="1" showInputMessage="1" showErrorMessage="1" sqref="C22:N26" xr:uid="{F9CCC17F-BFAE-4341-940C-0BEC70F74934}">
      <formula1>-1000000</formula1>
      <formula2>1000000</formula2>
    </dataValidation>
    <dataValidation type="decimal" allowBlank="1" showInputMessage="1" showErrorMessage="1" sqref="C14:N21 C37:N71" xr:uid="{A5630C0B-783A-4E41-8351-AD40C97E6EED}">
      <formula1>0</formula1>
      <formula2>1000000</formula2>
    </dataValidation>
    <dataValidation type="list" allowBlank="1" showInputMessage="1" showErrorMessage="1" sqref="B14:B26 B37:B71" xr:uid="{9A498ABE-130D-4AF3-905D-B43EAE872A43}">
      <formula1>ls_WHM</formula1>
    </dataValidation>
  </dataValidations>
  <pageMargins left="0.7" right="0.7" top="0.75" bottom="0.75" header="0.3" footer="0.3"/>
  <pageSetup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iconSet" priority="6" id="{4F5B291A-9369-4D13-ABDA-057A3B7D5DB4}">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A14</xm:sqref>
        </x14:conditionalFormatting>
        <x14:conditionalFormatting xmlns:xm="http://schemas.microsoft.com/office/excel/2006/main">
          <x14:cfRule type="iconSet" priority="5" id="{CE1C7E00-7B7C-4128-9FD9-32A842738482}">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A15:A26</xm:sqref>
        </x14:conditionalFormatting>
        <x14:conditionalFormatting xmlns:xm="http://schemas.microsoft.com/office/excel/2006/main">
          <x14:cfRule type="iconSet" priority="3" id="{F95D8685-42D4-4D75-851E-5924B25ED0CF}">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A37:A71</xm:sqref>
        </x14:conditionalFormatting>
        <x14:conditionalFormatting xmlns:xm="http://schemas.microsoft.com/office/excel/2006/main">
          <x14:cfRule type="expression" priority="2" stopIfTrue="1" id="{D5022C95-634D-434E-BF67-881C82AE8EF4}">
            <xm:f>'Project Inputs'!$F$52&lt;&gt;"Yes"</xm:f>
            <x14:dxf>
              <font>
                <strike val="0"/>
                <color theme="1" tint="0.499984740745262"/>
              </font>
              <fill>
                <patternFill patternType="solid">
                  <bgColor theme="1" tint="0.499984740745262"/>
                </patternFill>
              </fill>
              <border>
                <left/>
                <right/>
                <top/>
                <bottom/>
                <vertical/>
                <horizontal/>
              </border>
            </x14:dxf>
          </x14:cfRule>
          <xm:sqref>A10:AZ504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78793-39D8-4FC9-AC11-B7F9CB3C77E5}">
  <sheetPr>
    <tabColor rgb="FF0F2663"/>
  </sheetPr>
  <dimension ref="A1:DG118"/>
  <sheetViews>
    <sheetView showGridLines="0" zoomScale="80" zoomScaleNormal="80" workbookViewId="0">
      <selection activeCell="G13" sqref="G13"/>
    </sheetView>
  </sheetViews>
  <sheetFormatPr defaultColWidth="8.77734375" defaultRowHeight="14.4" outlineLevelRow="1"/>
  <cols>
    <col min="2" max="2" width="16.44140625" bestFit="1" customWidth="1"/>
    <col min="3" max="4" width="24.77734375" customWidth="1"/>
    <col min="5" max="5" width="19" bestFit="1" customWidth="1"/>
    <col min="6" max="7" width="25.5546875" customWidth="1"/>
    <col min="8" max="19" width="12.5546875" customWidth="1"/>
    <col min="20" max="20" width="13" customWidth="1"/>
    <col min="21" max="23" width="25.5546875" customWidth="1"/>
    <col min="47" max="59" width="0" hidden="1" customWidth="1"/>
    <col min="60" max="71" width="12.5546875" hidden="1" customWidth="1"/>
    <col min="72" max="73" width="0" hidden="1" customWidth="1"/>
    <col min="74" max="85" width="12.5546875" hidden="1" customWidth="1"/>
    <col min="86" max="88" width="0" hidden="1" customWidth="1"/>
    <col min="89" max="89" width="25.5546875" style="57" hidden="1" customWidth="1"/>
    <col min="90" max="103" width="0" hidden="1" customWidth="1"/>
    <col min="104" max="104" width="12.44140625" hidden="1" customWidth="1"/>
    <col min="105" max="105" width="0" hidden="1" customWidth="1"/>
    <col min="106" max="106" width="61.77734375" hidden="1" customWidth="1"/>
    <col min="107" max="107" width="0" hidden="1" customWidth="1"/>
    <col min="108" max="108" width="31.21875" hidden="1" customWidth="1"/>
    <col min="109" max="109" width="12.21875" hidden="1" customWidth="1"/>
    <col min="110" max="131" width="0" hidden="1" customWidth="1"/>
  </cols>
  <sheetData>
    <row r="1" spans="1:106" ht="29.55" customHeight="1">
      <c r="A1" s="532" t="str">
        <f>_xlfn.CONCAT("Project Name: ",'Project Inputs'!$D$10)</f>
        <v xml:space="preserve">Project Name: </v>
      </c>
      <c r="B1" s="338"/>
      <c r="C1" s="338"/>
      <c r="D1" s="338"/>
      <c r="E1" s="338"/>
      <c r="F1" s="338"/>
      <c r="G1" s="338"/>
      <c r="H1" s="338"/>
      <c r="I1" s="338"/>
      <c r="J1" s="338"/>
      <c r="K1" s="338"/>
      <c r="L1" s="338"/>
      <c r="M1" s="338"/>
      <c r="N1" s="338"/>
      <c r="O1" s="338"/>
      <c r="P1" s="338"/>
      <c r="Q1" s="338"/>
      <c r="R1" s="338"/>
      <c r="S1" s="338"/>
      <c r="T1" s="338"/>
      <c r="U1" s="338"/>
      <c r="V1" s="338"/>
      <c r="W1" s="338"/>
      <c r="X1" s="338"/>
      <c r="Y1" s="338"/>
      <c r="Z1" s="338"/>
      <c r="AA1" s="338"/>
      <c r="AB1" s="338"/>
    </row>
    <row r="2" spans="1:106" ht="60" customHeight="1">
      <c r="A2" s="521" t="s">
        <v>287</v>
      </c>
      <c r="B2" s="338"/>
      <c r="C2" s="338"/>
      <c r="D2" s="338"/>
      <c r="E2" s="338"/>
      <c r="F2" s="338"/>
      <c r="G2" s="338"/>
      <c r="H2" s="338"/>
      <c r="I2" s="338"/>
      <c r="J2" s="338"/>
      <c r="K2" s="338"/>
      <c r="L2" s="338"/>
      <c r="M2" s="338"/>
      <c r="N2" s="338"/>
      <c r="O2" s="338"/>
      <c r="P2" s="338"/>
      <c r="Q2" s="338"/>
      <c r="R2" s="338"/>
      <c r="S2" s="338"/>
      <c r="T2" s="338"/>
      <c r="U2" s="338"/>
      <c r="V2" s="338"/>
      <c r="W2" s="338"/>
      <c r="X2" s="338"/>
      <c r="Y2" s="338"/>
      <c r="Z2" s="338"/>
      <c r="AA2" s="338"/>
      <c r="AB2" s="338"/>
      <c r="CZ2" s="384" t="s">
        <v>10219</v>
      </c>
      <c r="DA2" s="124">
        <f>COUNTIF(A2:A1005,1)</f>
        <v>0</v>
      </c>
    </row>
    <row r="3" spans="1:106" ht="16.5" customHeight="1">
      <c r="A3" s="461"/>
      <c r="B3" s="461"/>
      <c r="C3" s="461"/>
      <c r="D3" s="461"/>
      <c r="E3" s="461"/>
      <c r="F3" s="461"/>
      <c r="G3" s="461"/>
      <c r="H3" s="461"/>
      <c r="I3" s="461"/>
      <c r="J3" s="461"/>
      <c r="K3" s="461"/>
      <c r="L3" s="461"/>
      <c r="M3" s="461"/>
      <c r="N3" s="461"/>
      <c r="O3" s="461"/>
      <c r="P3" s="461"/>
      <c r="Q3" s="461"/>
      <c r="R3" s="461"/>
      <c r="S3" s="461"/>
      <c r="T3" s="461"/>
      <c r="U3" s="461"/>
      <c r="V3" s="461"/>
      <c r="W3" s="461"/>
      <c r="X3" s="461"/>
      <c r="Y3" s="461"/>
      <c r="Z3" s="461"/>
      <c r="AA3" s="461"/>
      <c r="AB3" s="461"/>
    </row>
    <row r="4" spans="1:106" ht="130.05000000000001" customHeight="1">
      <c r="B4" s="634" t="s">
        <v>10310</v>
      </c>
      <c r="C4" s="634"/>
      <c r="D4" s="634"/>
      <c r="E4" s="634"/>
      <c r="F4" s="634"/>
      <c r="G4" s="634"/>
      <c r="H4" s="634"/>
      <c r="I4" s="634"/>
      <c r="J4" s="634"/>
      <c r="K4" s="634"/>
      <c r="L4" s="634"/>
      <c r="M4" s="634"/>
    </row>
    <row r="5" spans="1:106">
      <c r="F5" s="39"/>
    </row>
    <row r="6" spans="1:106" ht="31.2">
      <c r="B6" s="456" t="s">
        <v>63</v>
      </c>
      <c r="C6" s="457" t="s">
        <v>10287</v>
      </c>
      <c r="F6" s="39"/>
    </row>
    <row r="7" spans="1:106" ht="43.2">
      <c r="B7" s="6" t="str">
        <f>_xlfn.CONCAT('Project Inputs'!B150,": ",'Project Inputs'!C150)</f>
        <v>PIc4: Calculate Transport Emissions</v>
      </c>
      <c r="C7" s="5" t="str">
        <f>_xlfn.LET(_xlpm.x,'Project Inputs'!F150,IF(ISBLANK(_xlpm.x),"n/a",_xlpm.x))</f>
        <v>n/a</v>
      </c>
      <c r="F7" s="39"/>
    </row>
    <row r="8" spans="1:106">
      <c r="F8" s="39"/>
    </row>
    <row r="9" spans="1:106" ht="15" thickBot="1">
      <c r="F9" s="39"/>
    </row>
    <row r="10" spans="1:106" ht="25.8">
      <c r="A10" s="30" t="s">
        <v>288</v>
      </c>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BG10" s="3" t="s">
        <v>289</v>
      </c>
      <c r="BH10" s="432">
        <f>'Diversion and Disposal'!I9</f>
        <v>0</v>
      </c>
    </row>
    <row r="11" spans="1:106">
      <c r="BG11" s="3" t="s">
        <v>290</v>
      </c>
      <c r="BH11" s="2" t="e">
        <f>INDEX(ls_weight_units,MATCH(BH10,_xlfn.CHOOSECOLS(ls_weight_units,2),0),1)</f>
        <v>#N/A</v>
      </c>
      <c r="DA11" s="44"/>
      <c r="DB11" s="389" t="s">
        <v>10206</v>
      </c>
    </row>
    <row r="12" spans="1:106">
      <c r="C12" s="39"/>
      <c r="D12" s="39"/>
      <c r="BB12" s="470" t="s">
        <v>291</v>
      </c>
      <c r="BG12" s="3" t="s">
        <v>292</v>
      </c>
      <c r="BH12" s="2">
        <f>G13</f>
        <v>0</v>
      </c>
      <c r="DA12" s="44" t="s">
        <v>10213</v>
      </c>
      <c r="DB12" t="s">
        <v>10217</v>
      </c>
    </row>
    <row r="13" spans="1:106" ht="15.6">
      <c r="F13" s="417" t="s">
        <v>293</v>
      </c>
      <c r="G13" s="528"/>
      <c r="DA13" s="44" t="s">
        <v>10208</v>
      </c>
      <c r="DB13" t="s">
        <v>10230</v>
      </c>
    </row>
    <row r="14" spans="1:106">
      <c r="DA14" s="44" t="s">
        <v>10210</v>
      </c>
      <c r="DB14" t="s">
        <v>10228</v>
      </c>
    </row>
    <row r="16" spans="1:106" ht="30" customHeight="1">
      <c r="G16" s="471" t="s">
        <v>218</v>
      </c>
      <c r="H16" s="423" t="str">
        <f>IFERROR(_xlfn.CONCAT(IF(OR(LEN('Project Inputs'!$D$15)=0,LEN('Project Inputs'!$D$16)=0),"",
INDEX(ls_Month_2,MONTH(EDATE(DATE('Project Inputs'!$D$15,MATCH('Project Inputs'!$D$16,ls_Month_2,0),1),0)))),CHAR(10),IF(OR(LEN('Project Inputs'!$D$15)=0,LEN('Project Inputs'!$D$16)=0),"",
YEAR(EDATE(DATE('Project Inputs'!$D$15,MATCH('Project Inputs'!$D$16,ls_Month_2,0),1),0)))),"Check Inputs")</f>
        <v xml:space="preserve">
</v>
      </c>
      <c r="I16" s="423" t="str">
        <f>IFERROR(_xlfn.CONCAT(IF(OR(LEN('Project Inputs'!$D$15)=0,LEN('Project Inputs'!$D$16)=0),"",
INDEX(ls_Month_2,MONTH(EDATE(DATE('Project Inputs'!$D$15,MATCH('Project Inputs'!$D$16,ls_Month_2,0),1),1)))),CHAR(10),IF(OR(LEN('Project Inputs'!$D$15)=0,LEN('Project Inputs'!$D$16)=0),"",
YEAR(EDATE(DATE('Project Inputs'!$D$15,MATCH('Project Inputs'!$D$16,ls_Month_2,0),1),1)))),"Check Inputs")</f>
        <v xml:space="preserve">
</v>
      </c>
      <c r="J16" s="423" t="str">
        <f>IFERROR(_xlfn.CONCAT(IF(OR(LEN('Project Inputs'!$D$15)=0,LEN('Project Inputs'!$D$16)=0),"",
INDEX(ls_Month_2,MONTH(EDATE(DATE('Project Inputs'!$D$15,MATCH('Project Inputs'!$D$16,ls_Month_2,0),1),2)))),CHAR(10),IF(OR(LEN('Project Inputs'!$D$15)=0,LEN('Project Inputs'!$D$16)=0),"",
YEAR(EDATE(DATE('Project Inputs'!$D$15,MATCH('Project Inputs'!$D$16,ls_Month_2,0),1),2)))),"Check Inputs")</f>
        <v xml:space="preserve">
</v>
      </c>
      <c r="K16" s="423" t="str">
        <f>IFERROR(_xlfn.CONCAT(IF(OR(LEN('Project Inputs'!$D$15)=0,LEN('Project Inputs'!$D$16)=0),"",
INDEX(ls_Month_2,MONTH(EDATE(DATE('Project Inputs'!$D$15,MATCH('Project Inputs'!$D$16,ls_Month_2,0),1),3)))),CHAR(10),IF(OR(LEN('Project Inputs'!$D$15)=0,LEN('Project Inputs'!$D$16)=0),"",
YEAR(EDATE(DATE('Project Inputs'!$D$15,MATCH('Project Inputs'!$D$16,ls_Month_2,0),1),3)))),"Check Inputs")</f>
        <v xml:space="preserve">
</v>
      </c>
      <c r="L16" s="423" t="str">
        <f>IFERROR(_xlfn.CONCAT(IF(OR(LEN('Project Inputs'!$D$15)=0,LEN('Project Inputs'!$D$16)=0),"",
INDEX(ls_Month_2,MONTH(EDATE(DATE('Project Inputs'!$D$15,MATCH('Project Inputs'!$D$16,ls_Month_2,0),1),4)))),CHAR(10),IF(OR(LEN('Project Inputs'!$D$15)=0,LEN('Project Inputs'!$D$16)=0),"",
YEAR(EDATE(DATE('Project Inputs'!$D$15,MATCH('Project Inputs'!$D$16,ls_Month_2,0),1),4)))),"Check Inputs")</f>
        <v xml:space="preserve">
</v>
      </c>
      <c r="M16" s="423" t="str">
        <f>IFERROR(_xlfn.CONCAT(IF(OR(LEN('Project Inputs'!$D$15)=0,LEN('Project Inputs'!$D$16)=0),"",
INDEX(ls_Month_2,MONTH(EDATE(DATE('Project Inputs'!$D$15,MATCH('Project Inputs'!$D$16,ls_Month_2,0),1),5)))),CHAR(10),IF(OR(LEN('Project Inputs'!$D$15)=0,LEN('Project Inputs'!$D$16)=0),"",
YEAR(EDATE(DATE('Project Inputs'!$D$15,MATCH('Project Inputs'!$D$16,ls_Month_2,0),1),5)))),"Check Inputs")</f>
        <v xml:space="preserve">
</v>
      </c>
      <c r="N16" s="423" t="str">
        <f>IFERROR(_xlfn.CONCAT(IF(OR(LEN('Project Inputs'!$D$15)=0,LEN('Project Inputs'!$D$16)=0),"",
INDEX(ls_Month_2,MONTH(EDATE(DATE('Project Inputs'!$D$15,MATCH('Project Inputs'!$D$16,ls_Month_2,0),1),6)))),CHAR(10),IF(OR(LEN('Project Inputs'!$D$15)=0,LEN('Project Inputs'!$D$16)=0),"",
YEAR(EDATE(DATE('Project Inputs'!$D$15,MATCH('Project Inputs'!$D$16,ls_Month_2,0),1),6)))),"Check Inputs")</f>
        <v xml:space="preserve">
</v>
      </c>
      <c r="O16" s="423" t="str">
        <f>IFERROR(_xlfn.CONCAT(IF(OR(LEN('Project Inputs'!$D$15)=0,LEN('Project Inputs'!$D$16)=0),"",
INDEX(ls_Month_2,MONTH(EDATE(DATE('Project Inputs'!$D$15,MATCH('Project Inputs'!$D$16,ls_Month_2,0),1),7)))),CHAR(10),IF(OR(LEN('Project Inputs'!$D$15)=0,LEN('Project Inputs'!$D$16)=0),"",
YEAR(EDATE(DATE('Project Inputs'!$D$15,MATCH('Project Inputs'!$D$16,ls_Month_2,0),1),7)))),"Check Inputs")</f>
        <v xml:space="preserve">
</v>
      </c>
      <c r="P16" s="423" t="str">
        <f>IFERROR(_xlfn.CONCAT(IF(OR(LEN('Project Inputs'!$D$15)=0,LEN('Project Inputs'!$D$16)=0),"",
INDEX(ls_Month_2,MONTH(EDATE(DATE('Project Inputs'!$D$15,MATCH('Project Inputs'!$D$16,ls_Month_2,0),1),8)))),CHAR(10),IF(OR(LEN('Project Inputs'!$D$15)=0,LEN('Project Inputs'!$D$16)=0),"",
YEAR(EDATE(DATE('Project Inputs'!$D$15,MATCH('Project Inputs'!$D$16,ls_Month_2,0),1),8)))),"Check Inputs")</f>
        <v xml:space="preserve">
</v>
      </c>
      <c r="Q16" s="423" t="str">
        <f>IFERROR(_xlfn.CONCAT(IF(OR(LEN('Project Inputs'!$D$15)=0,LEN('Project Inputs'!$D$16)=0),"",
INDEX(ls_Month_2,MONTH(EDATE(DATE('Project Inputs'!$D$15,MATCH('Project Inputs'!$D$16,ls_Month_2,0),1),9)))),CHAR(10),IF(OR(LEN('Project Inputs'!$D$15)=0,LEN('Project Inputs'!$D$16)=0),"",
YEAR(EDATE(DATE('Project Inputs'!$D$15,MATCH('Project Inputs'!$D$16,ls_Month_2,0),1),9)))),"Check Inputs")</f>
        <v xml:space="preserve">
</v>
      </c>
      <c r="R16" s="423" t="str">
        <f>IFERROR(_xlfn.CONCAT(IF(OR(LEN('Project Inputs'!$D$15)=0,LEN('Project Inputs'!$D$16)=0),"",
INDEX(ls_Month_2,MONTH(EDATE(DATE('Project Inputs'!$D$15,MATCH('Project Inputs'!$D$16,ls_Month_2,0),1),10)))),CHAR(10),IF(OR(LEN('Project Inputs'!$D$15)=0,LEN('Project Inputs'!$D$16)=0),"",
YEAR(EDATE(DATE('Project Inputs'!$D$15,MATCH('Project Inputs'!$D$16,ls_Month_2,0),1),10)))),"Check Inputs")</f>
        <v xml:space="preserve">
</v>
      </c>
      <c r="S16" s="423" t="str">
        <f>IFERROR(_xlfn.CONCAT(IF(OR(LEN('Project Inputs'!$D$15)=0,LEN('Project Inputs'!$D$16)=0),"",
INDEX(ls_Month_2,MONTH(EDATE(DATE('Project Inputs'!$D$15,MATCH('Project Inputs'!$D$16,ls_Month_2,0),1),11)))),CHAR(10),IF(OR(LEN('Project Inputs'!$D$15)=0,LEN('Project Inputs'!$D$16)=0),"",
YEAR(EDATE(DATE('Project Inputs'!$D$15,MATCH('Project Inputs'!$D$16,ls_Month_2,0),1),11)))),"Check Inputs")</f>
        <v xml:space="preserve">
</v>
      </c>
      <c r="BG16" s="472" t="s">
        <v>218</v>
      </c>
      <c r="BH16" s="423" t="str">
        <f t="shared" ref="BH16:BS16" si="0">H16</f>
        <v xml:space="preserve">
</v>
      </c>
      <c r="BI16" s="423" t="str">
        <f t="shared" si="0"/>
        <v xml:space="preserve">
</v>
      </c>
      <c r="BJ16" s="423" t="str">
        <f t="shared" si="0"/>
        <v xml:space="preserve">
</v>
      </c>
      <c r="BK16" s="423" t="str">
        <f t="shared" si="0"/>
        <v xml:space="preserve">
</v>
      </c>
      <c r="BL16" s="423" t="str">
        <f t="shared" si="0"/>
        <v xml:space="preserve">
</v>
      </c>
      <c r="BM16" s="423" t="str">
        <f t="shared" si="0"/>
        <v xml:space="preserve">
</v>
      </c>
      <c r="BN16" s="423" t="str">
        <f t="shared" si="0"/>
        <v xml:space="preserve">
</v>
      </c>
      <c r="BO16" s="423" t="str">
        <f t="shared" si="0"/>
        <v xml:space="preserve">
</v>
      </c>
      <c r="BP16" s="423" t="str">
        <f t="shared" si="0"/>
        <v xml:space="preserve">
</v>
      </c>
      <c r="BQ16" s="423" t="str">
        <f t="shared" si="0"/>
        <v xml:space="preserve">
</v>
      </c>
      <c r="BR16" s="423" t="str">
        <f t="shared" si="0"/>
        <v xml:space="preserve">
</v>
      </c>
      <c r="BS16" s="423" t="str">
        <f t="shared" si="0"/>
        <v xml:space="preserve">
</v>
      </c>
      <c r="BT16" s="423" t="s">
        <v>219</v>
      </c>
      <c r="BV16" s="423" t="str">
        <f t="shared" ref="BV16:CG16" si="1">H16</f>
        <v xml:space="preserve">
</v>
      </c>
      <c r="BW16" s="423" t="str">
        <f t="shared" si="1"/>
        <v xml:space="preserve">
</v>
      </c>
      <c r="BX16" s="423" t="str">
        <f t="shared" si="1"/>
        <v xml:space="preserve">
</v>
      </c>
      <c r="BY16" s="423" t="str">
        <f t="shared" si="1"/>
        <v xml:space="preserve">
</v>
      </c>
      <c r="BZ16" s="423" t="str">
        <f t="shared" si="1"/>
        <v xml:space="preserve">
</v>
      </c>
      <c r="CA16" s="423" t="str">
        <f t="shared" si="1"/>
        <v xml:space="preserve">
</v>
      </c>
      <c r="CB16" s="423" t="str">
        <f t="shared" si="1"/>
        <v xml:space="preserve">
</v>
      </c>
      <c r="CC16" s="423" t="str">
        <f t="shared" si="1"/>
        <v xml:space="preserve">
</v>
      </c>
      <c r="CD16" s="423" t="str">
        <f t="shared" si="1"/>
        <v xml:space="preserve">
</v>
      </c>
      <c r="CE16" s="423" t="str">
        <f t="shared" si="1"/>
        <v xml:space="preserve">
</v>
      </c>
      <c r="CF16" s="423" t="str">
        <f t="shared" si="1"/>
        <v xml:space="preserve">
</v>
      </c>
      <c r="CG16" s="423" t="str">
        <f t="shared" si="1"/>
        <v xml:space="preserve">
</v>
      </c>
      <c r="CH16" s="423" t="s">
        <v>219</v>
      </c>
    </row>
    <row r="17" spans="1:111" ht="78">
      <c r="B17" s="424" t="s">
        <v>294</v>
      </c>
      <c r="C17" s="473" t="s">
        <v>223</v>
      </c>
      <c r="D17" s="473" t="s">
        <v>224</v>
      </c>
      <c r="E17" s="271" t="s">
        <v>10244</v>
      </c>
      <c r="F17" s="271" t="s">
        <v>297</v>
      </c>
      <c r="G17" s="271" t="str">
        <f>_xlfn.CONCAT("Distance to service provider (",G13,")")</f>
        <v>Distance to service provider ()</v>
      </c>
      <c r="H17" s="632" t="str">
        <f>_xlfn.CONCAT("Weight (",'Diversion and Disposal'!I9,")")</f>
        <v>Weight ()</v>
      </c>
      <c r="I17" s="632"/>
      <c r="J17" s="632"/>
      <c r="K17" s="632"/>
      <c r="L17" s="632"/>
      <c r="M17" s="632"/>
      <c r="N17" s="632"/>
      <c r="O17" s="632"/>
      <c r="P17" s="632"/>
      <c r="Q17" s="632"/>
      <c r="R17" s="632"/>
      <c r="S17" s="632"/>
      <c r="T17" s="271" t="s">
        <v>219</v>
      </c>
      <c r="BB17" s="427" t="s">
        <v>294</v>
      </c>
      <c r="BC17" s="427" t="s">
        <v>295</v>
      </c>
      <c r="BD17" s="427" t="s">
        <v>296</v>
      </c>
      <c r="BE17" s="430" t="s">
        <v>225</v>
      </c>
      <c r="BF17" s="430" t="s">
        <v>297</v>
      </c>
      <c r="BG17" s="430" t="s">
        <v>298</v>
      </c>
      <c r="BH17" s="633" t="s">
        <v>299</v>
      </c>
      <c r="BI17" s="633"/>
      <c r="BJ17" s="633"/>
      <c r="BK17" s="633"/>
      <c r="BL17" s="633"/>
      <c r="BM17" s="633"/>
      <c r="BN17" s="633"/>
      <c r="BO17" s="633"/>
      <c r="BP17" s="633"/>
      <c r="BQ17" s="633"/>
      <c r="BR17" s="633"/>
      <c r="BS17" s="633"/>
      <c r="BT17" s="633"/>
      <c r="BU17" s="430" t="s">
        <v>300</v>
      </c>
      <c r="BV17" s="633" t="s">
        <v>301</v>
      </c>
      <c r="BW17" s="633"/>
      <c r="BX17" s="633"/>
      <c r="BY17" s="633"/>
      <c r="BZ17" s="633"/>
      <c r="CA17" s="633"/>
      <c r="CB17" s="633"/>
      <c r="CC17" s="633"/>
      <c r="CD17" s="633"/>
      <c r="CE17" s="633"/>
      <c r="CF17" s="633"/>
      <c r="CG17" s="633"/>
      <c r="CH17" s="633"/>
      <c r="DD17" s="31" t="s">
        <v>10205</v>
      </c>
      <c r="DE17" s="31" t="s">
        <v>10229</v>
      </c>
      <c r="DF17" s="31" t="s">
        <v>10208</v>
      </c>
      <c r="DG17" s="31" t="s">
        <v>10210</v>
      </c>
    </row>
    <row r="18" spans="1:111" s="44" customFormat="1">
      <c r="A18" s="185" t="str">
        <f>IF(DD18=0,"",1)</f>
        <v/>
      </c>
      <c r="B18" s="474" t="str">
        <f>_xlfn.LET(_xlpm.x,'Diversion and Disposal'!D14,IF(OR(LEN(_xlpm.x)&lt;1,_xlpm.x=0),"",_xlpm.x))</f>
        <v/>
      </c>
      <c r="C18" s="475" t="str">
        <f>_xlfn.LET(_xlpm.x,'Diversion and Disposal'!E14,IF(OR(LEN(_xlpm.x)&lt;1,_xlpm.x=0),"",_xlpm.x))</f>
        <v/>
      </c>
      <c r="D18" s="475" t="str">
        <f>_xlfn.LET(_xlpm.x,'Diversion and Disposal'!F14,IF(OR(LEN(_xlpm.x)&lt;1,_xlpm.x=0),"",_xlpm.x))</f>
        <v/>
      </c>
      <c r="E18" s="475" t="str">
        <f>_xlfn.LET(_xlpm.x,'Diversion and Disposal'!G14,IF(OR(LEN(_xlpm.x)&lt;1,_xlpm.x=0),"",_xlpm.x))</f>
        <v/>
      </c>
      <c r="F18" s="407"/>
      <c r="G18" s="511"/>
      <c r="H18" s="512" t="str">
        <f>_xlfn.LET(_xlpm.x,'Diversion and Disposal'!H14,IF(OR(LEN(_xlpm.x)&lt;1,_xlpm.x=0),"",_xlpm.x))</f>
        <v/>
      </c>
      <c r="I18" s="512" t="str">
        <f>_xlfn.LET(_xlpm.x,'Diversion and Disposal'!I14,IF(OR(LEN(_xlpm.x)&lt;1,_xlpm.x=0),"",_xlpm.x))</f>
        <v/>
      </c>
      <c r="J18" s="512" t="str">
        <f>_xlfn.LET(_xlpm.x,'Diversion and Disposal'!J14,IF(OR(LEN(_xlpm.x)&lt;1,_xlpm.x=0),"",_xlpm.x))</f>
        <v/>
      </c>
      <c r="K18" s="512" t="str">
        <f>_xlfn.LET(_xlpm.x,'Diversion and Disposal'!K14,IF(OR(LEN(_xlpm.x)&lt;1,_xlpm.x=0),"",_xlpm.x))</f>
        <v/>
      </c>
      <c r="L18" s="512" t="str">
        <f>_xlfn.LET(_xlpm.x,'Diversion and Disposal'!L14,IF(OR(LEN(_xlpm.x)&lt;1,_xlpm.x=0),"",_xlpm.x))</f>
        <v/>
      </c>
      <c r="M18" s="512" t="str">
        <f>_xlfn.LET(_xlpm.x,'Diversion and Disposal'!M14,IF(OR(LEN(_xlpm.x)&lt;1,_xlpm.x=0),"",_xlpm.x))</f>
        <v/>
      </c>
      <c r="N18" s="512" t="str">
        <f>_xlfn.LET(_xlpm.x,'Diversion and Disposal'!N14,IF(OR(LEN(_xlpm.x)&lt;1,_xlpm.x=0),"",_xlpm.x))</f>
        <v/>
      </c>
      <c r="O18" s="512" t="str">
        <f>_xlfn.LET(_xlpm.x,'Diversion and Disposal'!O14,IF(OR(LEN(_xlpm.x)&lt;1,_xlpm.x=0),"",_xlpm.x))</f>
        <v/>
      </c>
      <c r="P18" s="512" t="str">
        <f>_xlfn.LET(_xlpm.x,'Diversion and Disposal'!P14,IF(OR(LEN(_xlpm.x)&lt;1,_xlpm.x=0),"",_xlpm.x))</f>
        <v/>
      </c>
      <c r="Q18" s="512" t="str">
        <f>_xlfn.LET(_xlpm.x,'Diversion and Disposal'!Q14,IF(OR(LEN(_xlpm.x)&lt;1,_xlpm.x=0),"",_xlpm.x))</f>
        <v/>
      </c>
      <c r="R18" s="512" t="str">
        <f>_xlfn.LET(_xlpm.x,'Diversion and Disposal'!R14,IF(OR(LEN(_xlpm.x)&lt;1,_xlpm.x=0),"",_xlpm.x))</f>
        <v/>
      </c>
      <c r="S18" s="512" t="str">
        <f>_xlfn.LET(_xlpm.x,'Diversion and Disposal'!S14,IF(OR(LEN(_xlpm.x)&lt;1,_xlpm.x=0),"",_xlpm.x))</f>
        <v/>
      </c>
      <c r="T18" s="513">
        <f t="shared" ref="T18:T34" si="2">SUM(H18:S18)</f>
        <v>0</v>
      </c>
      <c r="BB18" s="432" t="str">
        <f t="shared" ref="BB18:BB49" si="3">_xlfn.LET(_xlpm.x,B18,IF(OR(LEN(_xlpm.x)&lt;1,_xlpm.x=0),"",_xlpm.x))</f>
        <v/>
      </c>
      <c r="BC18" s="432" t="str">
        <f t="shared" ref="BC18:BC81" si="4">_xlfn.LET(_xlpm.x,C18,IF(OR(LEN(_xlpm.x)&lt;1,_xlpm.x=0),"",_xlpm.x))</f>
        <v/>
      </c>
      <c r="BD18" s="432" t="str">
        <f t="shared" ref="BD18:BD49" si="5">_xlfn.LET(_xlpm.x,D18,IF(OR(LEN(_xlpm.x)&lt;1,_xlpm.x=0),"",_xlpm.x))</f>
        <v/>
      </c>
      <c r="BE18" s="432" t="str">
        <f t="shared" ref="BE18:BE81" si="6">_xlfn.LET(_xlpm.x,E18,IF(OR(LEN(_xlpm.x)&lt;1,_xlpm.x=0),"",_xlpm.x))</f>
        <v/>
      </c>
      <c r="BF18" s="432" t="str">
        <f t="shared" ref="BF18:BF81" si="7">_xlfn.LET(_xlpm.x,F18,IF(OR(LEN(_xlpm.x)&lt;1,_xlpm.x=0),"",_xlpm.x))</f>
        <v/>
      </c>
      <c r="BG18" s="477" t="str">
        <f t="shared" ref="BG18:BG49" si="8">_xlfn.LET(_xlpm.x,G18,IF(OR(LEN(_xlpm.x)&lt;1,_xlpm.x=0),"",CONVERT(_xlpm.x,$BH$12,"km")))</f>
        <v/>
      </c>
      <c r="BH18" s="477" t="str">
        <f t="shared" ref="BH18:BH49" si="9">_xlfn.LET(_xlpm.x,H18,IF(OR(LEN(_xlpm.x)&lt;1,_xlpm.x=0,NOT(ISNUMBER(_xlpm.x))),"",CONVERT(_xlpm.x,$BH$11,"Mg")))</f>
        <v/>
      </c>
      <c r="BI18" s="477" t="str">
        <f t="shared" ref="BI18:BI49" si="10">_xlfn.LET(_xlpm.x,I18,IF(OR(LEN(_xlpm.x)&lt;1,_xlpm.x=0,NOT(ISNUMBER(_xlpm.x))),"",CONVERT(_xlpm.x,$BH$11,"Mg")))</f>
        <v/>
      </c>
      <c r="BJ18" s="477" t="str">
        <f t="shared" ref="BJ18:BJ49" si="11">_xlfn.LET(_xlpm.x,J18,IF(OR(LEN(_xlpm.x)&lt;1,_xlpm.x=0,NOT(ISNUMBER(_xlpm.x))),"",CONVERT(_xlpm.x,$BH$11,"Mg")))</f>
        <v/>
      </c>
      <c r="BK18" s="477" t="str">
        <f t="shared" ref="BK18:BK49" si="12">_xlfn.LET(_xlpm.x,K18,IF(OR(LEN(_xlpm.x)&lt;1,_xlpm.x=0,NOT(ISNUMBER(_xlpm.x))),"",CONVERT(_xlpm.x,$BH$11,"Mg")))</f>
        <v/>
      </c>
      <c r="BL18" s="477" t="str">
        <f t="shared" ref="BL18:BL49" si="13">_xlfn.LET(_xlpm.x,L18,IF(OR(LEN(_xlpm.x)&lt;1,_xlpm.x=0,NOT(ISNUMBER(_xlpm.x))),"",CONVERT(_xlpm.x,$BH$11,"Mg")))</f>
        <v/>
      </c>
      <c r="BM18" s="477" t="str">
        <f t="shared" ref="BM18:BM49" si="14">_xlfn.LET(_xlpm.x,M18,IF(OR(LEN(_xlpm.x)&lt;1,_xlpm.x=0,NOT(ISNUMBER(_xlpm.x))),"",CONVERT(_xlpm.x,$BH$11,"Mg")))</f>
        <v/>
      </c>
      <c r="BN18" s="477" t="str">
        <f t="shared" ref="BN18:BN49" si="15">_xlfn.LET(_xlpm.x,N18,IF(OR(LEN(_xlpm.x)&lt;1,_xlpm.x=0,NOT(ISNUMBER(_xlpm.x))),"",CONVERT(_xlpm.x,$BH$11,"Mg")))</f>
        <v/>
      </c>
      <c r="BO18" s="477" t="str">
        <f t="shared" ref="BO18:BO49" si="16">_xlfn.LET(_xlpm.x,O18,IF(OR(LEN(_xlpm.x)&lt;1,_xlpm.x=0,NOT(ISNUMBER(_xlpm.x))),"",CONVERT(_xlpm.x,$BH$11,"Mg")))</f>
        <v/>
      </c>
      <c r="BP18" s="477" t="str">
        <f t="shared" ref="BP18:BP49" si="17">_xlfn.LET(_xlpm.x,P18,IF(OR(LEN(_xlpm.x)&lt;1,_xlpm.x=0,NOT(ISNUMBER(_xlpm.x))),"",CONVERT(_xlpm.x,$BH$11,"Mg")))</f>
        <v/>
      </c>
      <c r="BQ18" s="477" t="str">
        <f t="shared" ref="BQ18:BQ49" si="18">_xlfn.LET(_xlpm.x,Q18,IF(OR(LEN(_xlpm.x)&lt;1,_xlpm.x=0,NOT(ISNUMBER(_xlpm.x))),"",CONVERT(_xlpm.x,$BH$11,"Mg")))</f>
        <v/>
      </c>
      <c r="BR18" s="477" t="str">
        <f t="shared" ref="BR18:BR49" si="19">_xlfn.LET(_xlpm.x,R18,IF(OR(LEN(_xlpm.x)&lt;1,_xlpm.x=0,NOT(ISNUMBER(_xlpm.x))),"",CONVERT(_xlpm.x,$BH$11,"Mg")))</f>
        <v/>
      </c>
      <c r="BS18" s="477" t="str">
        <f t="shared" ref="BS18:BS49" si="20">_xlfn.LET(_xlpm.x,S18,IF(OR(LEN(_xlpm.x)&lt;1,_xlpm.x=0,NOT(ISNUMBER(_xlpm.x))),"",CONVERT(_xlpm.x,$BH$11,"Mg")))</f>
        <v/>
      </c>
      <c r="BT18" s="435">
        <f t="shared" ref="BT18:BT81" si="21">SUM(BH18:BS18)</f>
        <v>0</v>
      </c>
      <c r="BU18" s="478" t="str">
        <f>IFERROR(INDEX(ls_Transport_GWP,MATCH(BF18,ls_Transport,0)),"")</f>
        <v/>
      </c>
      <c r="BV18" s="498" t="str">
        <f>IFERROR($BU18*BH18*$BG18,"")</f>
        <v/>
      </c>
      <c r="BW18" s="498" t="str">
        <f t="shared" ref="BW18:BW81" si="22">IFERROR($BU18*BI18*$BG18,"")</f>
        <v/>
      </c>
      <c r="BX18" s="498" t="str">
        <f t="shared" ref="BX18:BX81" si="23">IFERROR($BU18*BJ18*$BG18,"")</f>
        <v/>
      </c>
      <c r="BY18" s="498" t="str">
        <f t="shared" ref="BY18:BY81" si="24">IFERROR($BU18*BK18*$BG18,"")</f>
        <v/>
      </c>
      <c r="BZ18" s="498" t="str">
        <f t="shared" ref="BZ18:BZ81" si="25">IFERROR($BU18*BL18*$BG18,"")</f>
        <v/>
      </c>
      <c r="CA18" s="498" t="str">
        <f t="shared" ref="CA18:CA81" si="26">IFERROR($BU18*BM18*$BG18,"")</f>
        <v/>
      </c>
      <c r="CB18" s="498" t="str">
        <f t="shared" ref="CB18:CB81" si="27">IFERROR($BU18*BN18*$BG18,"")</f>
        <v/>
      </c>
      <c r="CC18" s="498" t="str">
        <f t="shared" ref="CC18:CC81" si="28">IFERROR($BU18*BO18*$BG18,"")</f>
        <v/>
      </c>
      <c r="CD18" s="498" t="str">
        <f t="shared" ref="CD18:CD81" si="29">IFERROR($BU18*BP18*$BG18,"")</f>
        <v/>
      </c>
      <c r="CE18" s="498" t="str">
        <f t="shared" ref="CE18:CE81" si="30">IFERROR($BU18*BQ18*$BG18,"")</f>
        <v/>
      </c>
      <c r="CF18" s="498" t="str">
        <f t="shared" ref="CF18:CF81" si="31">IFERROR($BU18*BR18*$BG18,"")</f>
        <v/>
      </c>
      <c r="CG18" s="498" t="str">
        <f t="shared" ref="CG18:CG81" si="32">IFERROR($BU18*BS18*$BG18,"")</f>
        <v/>
      </c>
      <c r="CH18" s="499">
        <f>SUM(BV18:CG18)</f>
        <v>0</v>
      </c>
      <c r="CK18" s="500"/>
      <c r="DD18" s="497" cm="1">
        <f t="array" ref="DD18">_xlfn.IFS('Project Inputs'!$F$150&lt;&gt;"Yes",0,DE18=18,0,DE18&lt;&gt;18,SUM(DF18:DG18))</f>
        <v>0</v>
      </c>
      <c r="DE18" s="501">
        <f>COUNTBLANK(B18:S18)</f>
        <v>18</v>
      </c>
      <c r="DF18" s="501">
        <f>IF(DE18=18,0,IF(COUNTBLANK(F18:G18)=0,0,1))</f>
        <v>0</v>
      </c>
      <c r="DG18" s="501">
        <f>IF(ISBLANK(G18),0,IF(AND(ISNUMBER(G18),G18&gt;0),0,1))</f>
        <v>0</v>
      </c>
    </row>
    <row r="19" spans="1:111">
      <c r="A19" s="22" t="str">
        <f t="shared" ref="A19:A81" si="33">IF(DD19=0,"",1)</f>
        <v/>
      </c>
      <c r="B19" s="474" t="str">
        <f>_xlfn.LET(_xlpm.x,'Diversion and Disposal'!D15,IF(OR(LEN(_xlpm.x)&lt;1,_xlpm.x=0),"",_xlpm.x))</f>
        <v/>
      </c>
      <c r="C19" s="475" t="str">
        <f>_xlfn.LET(_xlpm.x,'Diversion and Disposal'!E15,IF(OR(LEN(_xlpm.x)&lt;1,_xlpm.x=0),"",_xlpm.x))</f>
        <v/>
      </c>
      <c r="D19" s="475" t="str">
        <f>_xlfn.LET(_xlpm.x,'Diversion and Disposal'!F15,IF(OR(LEN(_xlpm.x)&lt;1,_xlpm.x=0),"",_xlpm.x))</f>
        <v/>
      </c>
      <c r="E19" s="475" t="str">
        <f>_xlfn.LET(_xlpm.x,'Diversion and Disposal'!G15,IF(OR(LEN(_xlpm.x)&lt;1,_xlpm.x=0),"",_xlpm.x))</f>
        <v/>
      </c>
      <c r="F19" s="407"/>
      <c r="G19" s="511"/>
      <c r="H19" s="514" t="str">
        <f>_xlfn.LET(_xlpm.x,'Diversion and Disposal'!H15,IF(OR(LEN(_xlpm.x)&lt;1,_xlpm.x=0),"",_xlpm.x))</f>
        <v/>
      </c>
      <c r="I19" s="514" t="str">
        <f>_xlfn.LET(_xlpm.x,'Diversion and Disposal'!I15,IF(OR(LEN(_xlpm.x)&lt;1,_xlpm.x=0),"",_xlpm.x))</f>
        <v/>
      </c>
      <c r="J19" s="514" t="str">
        <f>_xlfn.LET(_xlpm.x,'Diversion and Disposal'!J15,IF(OR(LEN(_xlpm.x)&lt;1,_xlpm.x=0),"",_xlpm.x))</f>
        <v/>
      </c>
      <c r="K19" s="514" t="str">
        <f>_xlfn.LET(_xlpm.x,'Diversion and Disposal'!K15,IF(OR(LEN(_xlpm.x)&lt;1,_xlpm.x=0),"",_xlpm.x))</f>
        <v/>
      </c>
      <c r="L19" s="514" t="str">
        <f>_xlfn.LET(_xlpm.x,'Diversion and Disposal'!L15,IF(OR(LEN(_xlpm.x)&lt;1,_xlpm.x=0),"",_xlpm.x))</f>
        <v/>
      </c>
      <c r="M19" s="514" t="str">
        <f>_xlfn.LET(_xlpm.x,'Diversion and Disposal'!M15,IF(OR(LEN(_xlpm.x)&lt;1,_xlpm.x=0),"",_xlpm.x))</f>
        <v/>
      </c>
      <c r="N19" s="514" t="str">
        <f>_xlfn.LET(_xlpm.x,'Diversion and Disposal'!N15,IF(OR(LEN(_xlpm.x)&lt;1,_xlpm.x=0),"",_xlpm.x))</f>
        <v/>
      </c>
      <c r="O19" s="514" t="str">
        <f>_xlfn.LET(_xlpm.x,'Diversion and Disposal'!O15,IF(OR(LEN(_xlpm.x)&lt;1,_xlpm.x=0),"",_xlpm.x))</f>
        <v/>
      </c>
      <c r="P19" s="514" t="str">
        <f>_xlfn.LET(_xlpm.x,'Diversion and Disposal'!P15,IF(OR(LEN(_xlpm.x)&lt;1,_xlpm.x=0),"",_xlpm.x))</f>
        <v/>
      </c>
      <c r="Q19" s="514" t="str">
        <f>_xlfn.LET(_xlpm.x,'Diversion and Disposal'!Q15,IF(OR(LEN(_xlpm.x)&lt;1,_xlpm.x=0),"",_xlpm.x))</f>
        <v/>
      </c>
      <c r="R19" s="514" t="str">
        <f>_xlfn.LET(_xlpm.x,'Diversion and Disposal'!R15,IF(OR(LEN(_xlpm.x)&lt;1,_xlpm.x=0),"",_xlpm.x))</f>
        <v/>
      </c>
      <c r="S19" s="514" t="str">
        <f>_xlfn.LET(_xlpm.x,'Diversion and Disposal'!S15,IF(OR(LEN(_xlpm.x)&lt;1,_xlpm.x=0),"",_xlpm.x))</f>
        <v/>
      </c>
      <c r="T19" s="513">
        <f t="shared" si="2"/>
        <v>0</v>
      </c>
      <c r="BB19" s="432" t="str">
        <f t="shared" si="3"/>
        <v/>
      </c>
      <c r="BC19" s="432" t="str">
        <f t="shared" si="4"/>
        <v/>
      </c>
      <c r="BD19" s="432" t="str">
        <f t="shared" si="5"/>
        <v/>
      </c>
      <c r="BE19" s="432" t="str">
        <f t="shared" si="6"/>
        <v/>
      </c>
      <c r="BF19" s="432" t="str">
        <f t="shared" si="7"/>
        <v/>
      </c>
      <c r="BG19" s="477" t="str">
        <f t="shared" si="8"/>
        <v/>
      </c>
      <c r="BH19" s="477" t="str">
        <f t="shared" si="9"/>
        <v/>
      </c>
      <c r="BI19" s="477" t="str">
        <f t="shared" si="10"/>
        <v/>
      </c>
      <c r="BJ19" s="477" t="str">
        <f t="shared" si="11"/>
        <v/>
      </c>
      <c r="BK19" s="477" t="str">
        <f t="shared" si="12"/>
        <v/>
      </c>
      <c r="BL19" s="477" t="str">
        <f t="shared" si="13"/>
        <v/>
      </c>
      <c r="BM19" s="477" t="str">
        <f t="shared" si="14"/>
        <v/>
      </c>
      <c r="BN19" s="477" t="str">
        <f t="shared" si="15"/>
        <v/>
      </c>
      <c r="BO19" s="477" t="str">
        <f t="shared" si="16"/>
        <v/>
      </c>
      <c r="BP19" s="477" t="str">
        <f t="shared" si="17"/>
        <v/>
      </c>
      <c r="BQ19" s="477" t="str">
        <f t="shared" si="18"/>
        <v/>
      </c>
      <c r="BR19" s="477" t="str">
        <f t="shared" si="19"/>
        <v/>
      </c>
      <c r="BS19" s="477" t="str">
        <f t="shared" si="20"/>
        <v/>
      </c>
      <c r="BT19" s="435">
        <f t="shared" si="21"/>
        <v>0</v>
      </c>
      <c r="BU19" s="478" t="str">
        <f t="shared" ref="BU19:BU49" si="34">IFERROR(INDEX(ls_Transport_GWP,MATCH(BF19,ls_Transport,0)),"")</f>
        <v/>
      </c>
      <c r="BV19" s="479" t="str">
        <f t="shared" ref="BV19:BV82" si="35">IFERROR($BU19*BH19*$BG19,"")</f>
        <v/>
      </c>
      <c r="BW19" s="479" t="str">
        <f t="shared" si="22"/>
        <v/>
      </c>
      <c r="BX19" s="479" t="str">
        <f t="shared" si="23"/>
        <v/>
      </c>
      <c r="BY19" s="479" t="str">
        <f t="shared" si="24"/>
        <v/>
      </c>
      <c r="BZ19" s="479" t="str">
        <f t="shared" si="25"/>
        <v/>
      </c>
      <c r="CA19" s="479" t="str">
        <f t="shared" si="26"/>
        <v/>
      </c>
      <c r="CB19" s="479" t="str">
        <f t="shared" si="27"/>
        <v/>
      </c>
      <c r="CC19" s="479" t="str">
        <f t="shared" si="28"/>
        <v/>
      </c>
      <c r="CD19" s="479" t="str">
        <f t="shared" si="29"/>
        <v/>
      </c>
      <c r="CE19" s="479" t="str">
        <f t="shared" si="30"/>
        <v/>
      </c>
      <c r="CF19" s="479" t="str">
        <f t="shared" si="31"/>
        <v/>
      </c>
      <c r="CG19" s="479" t="str">
        <f t="shared" si="32"/>
        <v/>
      </c>
      <c r="CH19" s="480">
        <f t="shared" ref="CH19:CH82" si="36">SUM(BV19:CG19)</f>
        <v>0</v>
      </c>
      <c r="DD19" s="497" cm="1">
        <f t="array" ref="DD19">_xlfn.IFS('Project Inputs'!$F$150&lt;&gt;"Yes",0,DE19=18,0,DE19&lt;&gt;18,SUM(DF19:DG19))</f>
        <v>0</v>
      </c>
      <c r="DE19" s="31">
        <f t="shared" ref="DE19:DE82" si="37">COUNTBLANK(B19:S19)</f>
        <v>18</v>
      </c>
      <c r="DF19" s="31">
        <f t="shared" ref="DF19:DF82" si="38">IF(DE19=18,0,IF(COUNTBLANK(F19:G19)=0,0,1))</f>
        <v>0</v>
      </c>
      <c r="DG19" s="31">
        <f>IF(ISBLANK(G19),0,IF(AND(ISNUMBER(G19),G19&gt;0),0,1))</f>
        <v>0</v>
      </c>
    </row>
    <row r="20" spans="1:111">
      <c r="A20" s="22" t="str">
        <f t="shared" si="33"/>
        <v/>
      </c>
      <c r="B20" s="474" t="str">
        <f>_xlfn.LET(_xlpm.x,'Diversion and Disposal'!D16,IF(OR(LEN(_xlpm.x)&lt;1,_xlpm.x=0),"",_xlpm.x))</f>
        <v/>
      </c>
      <c r="C20" s="475" t="str">
        <f>_xlfn.LET(_xlpm.x,'Diversion and Disposal'!E16,IF(OR(LEN(_xlpm.x)&lt;1,_xlpm.x=0),"",_xlpm.x))</f>
        <v/>
      </c>
      <c r="D20" s="475" t="str">
        <f>_xlfn.LET(_xlpm.x,'Diversion and Disposal'!F16,IF(OR(LEN(_xlpm.x)&lt;1,_xlpm.x=0),"",_xlpm.x))</f>
        <v/>
      </c>
      <c r="E20" s="475" t="str">
        <f>_xlfn.LET(_xlpm.x,'Diversion and Disposal'!G16,IF(OR(LEN(_xlpm.x)&lt;1,_xlpm.x=0),"",_xlpm.x))</f>
        <v/>
      </c>
      <c r="F20" s="407"/>
      <c r="G20" s="511"/>
      <c r="H20" s="514" t="str">
        <f>_xlfn.LET(_xlpm.x,'Diversion and Disposal'!H16,IF(OR(LEN(_xlpm.x)&lt;1,_xlpm.x=0),"",_xlpm.x))</f>
        <v/>
      </c>
      <c r="I20" s="514" t="str">
        <f>_xlfn.LET(_xlpm.x,'Diversion and Disposal'!I16,IF(OR(LEN(_xlpm.x)&lt;1,_xlpm.x=0),"",_xlpm.x))</f>
        <v/>
      </c>
      <c r="J20" s="514" t="str">
        <f>_xlfn.LET(_xlpm.x,'Diversion and Disposal'!J16,IF(OR(LEN(_xlpm.x)&lt;1,_xlpm.x=0),"",_xlpm.x))</f>
        <v/>
      </c>
      <c r="K20" s="514" t="str">
        <f>_xlfn.LET(_xlpm.x,'Diversion and Disposal'!K16,IF(OR(LEN(_xlpm.x)&lt;1,_xlpm.x=0),"",_xlpm.x))</f>
        <v/>
      </c>
      <c r="L20" s="514" t="str">
        <f>_xlfn.LET(_xlpm.x,'Diversion and Disposal'!L16,IF(OR(LEN(_xlpm.x)&lt;1,_xlpm.x=0),"",_xlpm.x))</f>
        <v/>
      </c>
      <c r="M20" s="514" t="str">
        <f>_xlfn.LET(_xlpm.x,'Diversion and Disposal'!M16,IF(OR(LEN(_xlpm.x)&lt;1,_xlpm.x=0),"",_xlpm.x))</f>
        <v/>
      </c>
      <c r="N20" s="514" t="str">
        <f>_xlfn.LET(_xlpm.x,'Diversion and Disposal'!N16,IF(OR(LEN(_xlpm.x)&lt;1,_xlpm.x=0),"",_xlpm.x))</f>
        <v/>
      </c>
      <c r="O20" s="514" t="str">
        <f>_xlfn.LET(_xlpm.x,'Diversion and Disposal'!O16,IF(OR(LEN(_xlpm.x)&lt;1,_xlpm.x=0),"",_xlpm.x))</f>
        <v/>
      </c>
      <c r="P20" s="514" t="str">
        <f>_xlfn.LET(_xlpm.x,'Diversion and Disposal'!P16,IF(OR(LEN(_xlpm.x)&lt;1,_xlpm.x=0),"",_xlpm.x))</f>
        <v/>
      </c>
      <c r="Q20" s="514" t="str">
        <f>_xlfn.LET(_xlpm.x,'Diversion and Disposal'!Q16,IF(OR(LEN(_xlpm.x)&lt;1,_xlpm.x=0),"",_xlpm.x))</f>
        <v/>
      </c>
      <c r="R20" s="514" t="str">
        <f>_xlfn.LET(_xlpm.x,'Diversion and Disposal'!R16,IF(OR(LEN(_xlpm.x)&lt;1,_xlpm.x=0),"",_xlpm.x))</f>
        <v/>
      </c>
      <c r="S20" s="514" t="str">
        <f>_xlfn.LET(_xlpm.x,'Diversion and Disposal'!S16,IF(OR(LEN(_xlpm.x)&lt;1,_xlpm.x=0),"",_xlpm.x))</f>
        <v/>
      </c>
      <c r="T20" s="513">
        <f t="shared" si="2"/>
        <v>0</v>
      </c>
      <c r="BB20" s="432" t="str">
        <f t="shared" si="3"/>
        <v/>
      </c>
      <c r="BC20" s="432" t="str">
        <f t="shared" si="4"/>
        <v/>
      </c>
      <c r="BD20" s="432" t="str">
        <f t="shared" si="5"/>
        <v/>
      </c>
      <c r="BE20" s="432" t="str">
        <f t="shared" si="6"/>
        <v/>
      </c>
      <c r="BF20" s="432" t="str">
        <f t="shared" si="7"/>
        <v/>
      </c>
      <c r="BG20" s="477" t="str">
        <f t="shared" si="8"/>
        <v/>
      </c>
      <c r="BH20" s="477" t="str">
        <f t="shared" si="9"/>
        <v/>
      </c>
      <c r="BI20" s="477" t="str">
        <f t="shared" si="10"/>
        <v/>
      </c>
      <c r="BJ20" s="477" t="str">
        <f t="shared" si="11"/>
        <v/>
      </c>
      <c r="BK20" s="477" t="str">
        <f t="shared" si="12"/>
        <v/>
      </c>
      <c r="BL20" s="477" t="str">
        <f t="shared" si="13"/>
        <v/>
      </c>
      <c r="BM20" s="477" t="str">
        <f t="shared" si="14"/>
        <v/>
      </c>
      <c r="BN20" s="477" t="str">
        <f t="shared" si="15"/>
        <v/>
      </c>
      <c r="BO20" s="477" t="str">
        <f t="shared" si="16"/>
        <v/>
      </c>
      <c r="BP20" s="477" t="str">
        <f t="shared" si="17"/>
        <v/>
      </c>
      <c r="BQ20" s="477" t="str">
        <f t="shared" si="18"/>
        <v/>
      </c>
      <c r="BR20" s="477" t="str">
        <f t="shared" si="19"/>
        <v/>
      </c>
      <c r="BS20" s="477" t="str">
        <f t="shared" si="20"/>
        <v/>
      </c>
      <c r="BT20" s="435">
        <f t="shared" si="21"/>
        <v>0</v>
      </c>
      <c r="BU20" s="478" t="str">
        <f t="shared" si="34"/>
        <v/>
      </c>
      <c r="BV20" s="479" t="str">
        <f t="shared" si="35"/>
        <v/>
      </c>
      <c r="BW20" s="479" t="str">
        <f t="shared" si="22"/>
        <v/>
      </c>
      <c r="BX20" s="479" t="str">
        <f t="shared" si="23"/>
        <v/>
      </c>
      <c r="BY20" s="479" t="str">
        <f t="shared" si="24"/>
        <v/>
      </c>
      <c r="BZ20" s="479" t="str">
        <f t="shared" si="25"/>
        <v/>
      </c>
      <c r="CA20" s="479" t="str">
        <f t="shared" si="26"/>
        <v/>
      </c>
      <c r="CB20" s="479" t="str">
        <f t="shared" si="27"/>
        <v/>
      </c>
      <c r="CC20" s="479" t="str">
        <f t="shared" si="28"/>
        <v/>
      </c>
      <c r="CD20" s="479" t="str">
        <f t="shared" si="29"/>
        <v/>
      </c>
      <c r="CE20" s="479" t="str">
        <f t="shared" si="30"/>
        <v/>
      </c>
      <c r="CF20" s="479" t="str">
        <f t="shared" si="31"/>
        <v/>
      </c>
      <c r="CG20" s="479" t="str">
        <f t="shared" si="32"/>
        <v/>
      </c>
      <c r="CH20" s="480">
        <f t="shared" si="36"/>
        <v>0</v>
      </c>
      <c r="DD20" s="497" cm="1">
        <f t="array" ref="DD20">_xlfn.IFS('Project Inputs'!$F$150&lt;&gt;"Yes",0,DE20=18,0,DE20&lt;&gt;18,SUM(DF20:DG20))</f>
        <v>0</v>
      </c>
      <c r="DE20" s="31">
        <f t="shared" si="37"/>
        <v>18</v>
      </c>
      <c r="DF20" s="31">
        <f t="shared" si="38"/>
        <v>0</v>
      </c>
      <c r="DG20" s="31">
        <f t="shared" ref="DG20:DG83" si="39">IF(ISBLANK(G20),0,IF(AND(ISNUMBER(G20),G20&gt;0),0,1))</f>
        <v>0</v>
      </c>
    </row>
    <row r="21" spans="1:111">
      <c r="A21" s="22" t="str">
        <f t="shared" si="33"/>
        <v/>
      </c>
      <c r="B21" s="474" t="str">
        <f>_xlfn.LET(_xlpm.x,'Diversion and Disposal'!D17,IF(OR(LEN(_xlpm.x)&lt;1,_xlpm.x=0),"",_xlpm.x))</f>
        <v/>
      </c>
      <c r="C21" s="475" t="str">
        <f>_xlfn.LET(_xlpm.x,'Diversion and Disposal'!E17,IF(OR(LEN(_xlpm.x)&lt;1,_xlpm.x=0),"",_xlpm.x))</f>
        <v/>
      </c>
      <c r="D21" s="475" t="str">
        <f>_xlfn.LET(_xlpm.x,'Diversion and Disposal'!F17,IF(OR(LEN(_xlpm.x)&lt;1,_xlpm.x=0),"",_xlpm.x))</f>
        <v/>
      </c>
      <c r="E21" s="475" t="str">
        <f>_xlfn.LET(_xlpm.x,'Diversion and Disposal'!G17,IF(OR(LEN(_xlpm.x)&lt;1,_xlpm.x=0),"",_xlpm.x))</f>
        <v/>
      </c>
      <c r="F21" s="407"/>
      <c r="G21" s="511"/>
      <c r="H21" s="514" t="str">
        <f>_xlfn.LET(_xlpm.x,'Diversion and Disposal'!H17,IF(OR(LEN(_xlpm.x)&lt;1,_xlpm.x=0),"",_xlpm.x))</f>
        <v/>
      </c>
      <c r="I21" s="514" t="str">
        <f>_xlfn.LET(_xlpm.x,'Diversion and Disposal'!I17,IF(OR(LEN(_xlpm.x)&lt;1,_xlpm.x=0),"",_xlpm.x))</f>
        <v/>
      </c>
      <c r="J21" s="514" t="str">
        <f>_xlfn.LET(_xlpm.x,'Diversion and Disposal'!J17,IF(OR(LEN(_xlpm.x)&lt;1,_xlpm.x=0),"",_xlpm.x))</f>
        <v/>
      </c>
      <c r="K21" s="514" t="str">
        <f>_xlfn.LET(_xlpm.x,'Diversion and Disposal'!K17,IF(OR(LEN(_xlpm.x)&lt;1,_xlpm.x=0),"",_xlpm.x))</f>
        <v/>
      </c>
      <c r="L21" s="514" t="str">
        <f>_xlfn.LET(_xlpm.x,'Diversion and Disposal'!L17,IF(OR(LEN(_xlpm.x)&lt;1,_xlpm.x=0),"",_xlpm.x))</f>
        <v/>
      </c>
      <c r="M21" s="514" t="str">
        <f>_xlfn.LET(_xlpm.x,'Diversion and Disposal'!M17,IF(OR(LEN(_xlpm.x)&lt;1,_xlpm.x=0),"",_xlpm.x))</f>
        <v/>
      </c>
      <c r="N21" s="514" t="str">
        <f>_xlfn.LET(_xlpm.x,'Diversion and Disposal'!N17,IF(OR(LEN(_xlpm.x)&lt;1,_xlpm.x=0),"",_xlpm.x))</f>
        <v/>
      </c>
      <c r="O21" s="514" t="str">
        <f>_xlfn.LET(_xlpm.x,'Diversion and Disposal'!O17,IF(OR(LEN(_xlpm.x)&lt;1,_xlpm.x=0),"",_xlpm.x))</f>
        <v/>
      </c>
      <c r="P21" s="514" t="str">
        <f>_xlfn.LET(_xlpm.x,'Diversion and Disposal'!P17,IF(OR(LEN(_xlpm.x)&lt;1,_xlpm.x=0),"",_xlpm.x))</f>
        <v/>
      </c>
      <c r="Q21" s="514" t="str">
        <f>_xlfn.LET(_xlpm.x,'Diversion and Disposal'!Q17,IF(OR(LEN(_xlpm.x)&lt;1,_xlpm.x=0),"",_xlpm.x))</f>
        <v/>
      </c>
      <c r="R21" s="514" t="str">
        <f>_xlfn.LET(_xlpm.x,'Diversion and Disposal'!R17,IF(OR(LEN(_xlpm.x)&lt;1,_xlpm.x=0),"",_xlpm.x))</f>
        <v/>
      </c>
      <c r="S21" s="514" t="str">
        <f>_xlfn.LET(_xlpm.x,'Diversion and Disposal'!S17,IF(OR(LEN(_xlpm.x)&lt;1,_xlpm.x=0),"",_xlpm.x))</f>
        <v/>
      </c>
      <c r="T21" s="513">
        <f>SUM(H21:S21)</f>
        <v>0</v>
      </c>
      <c r="BB21" s="432" t="str">
        <f>_xlfn.LET(_xlpm.x,B21,IF(OR(LEN(_xlpm.x)&lt;1,_xlpm.x=0),"",_xlpm.x))</f>
        <v/>
      </c>
      <c r="BC21" s="432" t="str">
        <f>_xlfn.LET(_xlpm.x,C21,IF(OR(LEN(_xlpm.x)&lt;1,_xlpm.x=0),"",_xlpm.x))</f>
        <v/>
      </c>
      <c r="BD21" s="432" t="str">
        <f>_xlfn.LET(_xlpm.x,D21,IF(OR(LEN(_xlpm.x)&lt;1,_xlpm.x=0),"",_xlpm.x))</f>
        <v/>
      </c>
      <c r="BE21" s="432" t="str">
        <f>_xlfn.LET(_xlpm.x,E21,IF(OR(LEN(_xlpm.x)&lt;1,_xlpm.x=0),"",_xlpm.x))</f>
        <v/>
      </c>
      <c r="BF21" s="432" t="str">
        <f>_xlfn.LET(_xlpm.x,F21,IF(OR(LEN(_xlpm.x)&lt;1,_xlpm.x=0),"",_xlpm.x))</f>
        <v/>
      </c>
      <c r="BG21" s="477" t="str">
        <f>_xlfn.LET(_xlpm.x,G21,IF(OR(LEN(_xlpm.x)&lt;1,_xlpm.x=0),"",CONVERT(_xlpm.x,$BH$12,"km")))</f>
        <v/>
      </c>
      <c r="BH21" s="477" t="str">
        <f t="shared" ref="BH21:BS21" si="40">_xlfn.LET(_xlpm.x,H21,IF(OR(LEN(_xlpm.x)&lt;1,_xlpm.x=0,NOT(ISNUMBER(_xlpm.x))),"",CONVERT(_xlpm.x,$BH$11,"Mg")))</f>
        <v/>
      </c>
      <c r="BI21" s="477" t="str">
        <f t="shared" si="40"/>
        <v/>
      </c>
      <c r="BJ21" s="477" t="str">
        <f t="shared" si="40"/>
        <v/>
      </c>
      <c r="BK21" s="477" t="str">
        <f t="shared" si="40"/>
        <v/>
      </c>
      <c r="BL21" s="477" t="str">
        <f t="shared" si="40"/>
        <v/>
      </c>
      <c r="BM21" s="477" t="str">
        <f t="shared" si="40"/>
        <v/>
      </c>
      <c r="BN21" s="477" t="str">
        <f t="shared" si="40"/>
        <v/>
      </c>
      <c r="BO21" s="477" t="str">
        <f t="shared" si="40"/>
        <v/>
      </c>
      <c r="BP21" s="477" t="str">
        <f t="shared" si="40"/>
        <v/>
      </c>
      <c r="BQ21" s="477" t="str">
        <f t="shared" si="40"/>
        <v/>
      </c>
      <c r="BR21" s="477" t="str">
        <f t="shared" si="40"/>
        <v/>
      </c>
      <c r="BS21" s="477" t="str">
        <f t="shared" si="40"/>
        <v/>
      </c>
      <c r="BT21" s="435">
        <f>SUM(BH21:BS21)</f>
        <v>0</v>
      </c>
      <c r="BU21" s="478" t="str">
        <f>IFERROR(INDEX(ls_Transport_GWP,MATCH(BF21,ls_Transport,0)),"")</f>
        <v/>
      </c>
      <c r="BV21" s="479" t="str">
        <f t="shared" ref="BV21:CG21" si="41">IFERROR($BU21*BH21*$BG21,"")</f>
        <v/>
      </c>
      <c r="BW21" s="479" t="str">
        <f t="shared" si="41"/>
        <v/>
      </c>
      <c r="BX21" s="479" t="str">
        <f t="shared" si="41"/>
        <v/>
      </c>
      <c r="BY21" s="479" t="str">
        <f t="shared" si="41"/>
        <v/>
      </c>
      <c r="BZ21" s="479" t="str">
        <f t="shared" si="41"/>
        <v/>
      </c>
      <c r="CA21" s="479" t="str">
        <f t="shared" si="41"/>
        <v/>
      </c>
      <c r="CB21" s="479" t="str">
        <f t="shared" si="41"/>
        <v/>
      </c>
      <c r="CC21" s="479" t="str">
        <f t="shared" si="41"/>
        <v/>
      </c>
      <c r="CD21" s="479" t="str">
        <f t="shared" si="41"/>
        <v/>
      </c>
      <c r="CE21" s="479" t="str">
        <f t="shared" si="41"/>
        <v/>
      </c>
      <c r="CF21" s="479" t="str">
        <f t="shared" si="41"/>
        <v/>
      </c>
      <c r="CG21" s="479" t="str">
        <f t="shared" si="41"/>
        <v/>
      </c>
      <c r="CH21" s="480">
        <f>SUM(BV21:CG21)</f>
        <v>0</v>
      </c>
      <c r="DD21" s="497" cm="1">
        <f t="array" ref="DD21">_xlfn.IFS('Project Inputs'!$F$150&lt;&gt;"Yes",0,DE21=18,0,DE21&lt;&gt;18,SUM(DF21:DG21))</f>
        <v>0</v>
      </c>
      <c r="DE21" s="31">
        <f t="shared" si="37"/>
        <v>18</v>
      </c>
      <c r="DF21" s="31">
        <f t="shared" si="38"/>
        <v>0</v>
      </c>
      <c r="DG21" s="31">
        <f t="shared" si="39"/>
        <v>0</v>
      </c>
    </row>
    <row r="22" spans="1:111">
      <c r="A22" s="22" t="str">
        <f t="shared" si="33"/>
        <v/>
      </c>
      <c r="B22" s="474" t="str">
        <f>_xlfn.LET(_xlpm.x,'Diversion and Disposal'!D18,IF(OR(LEN(_xlpm.x)&lt;1,_xlpm.x=0),"",_xlpm.x))</f>
        <v/>
      </c>
      <c r="C22" s="475" t="str">
        <f>_xlfn.LET(_xlpm.x,'Diversion and Disposal'!E18,IF(OR(LEN(_xlpm.x)&lt;1,_xlpm.x=0),"",_xlpm.x))</f>
        <v/>
      </c>
      <c r="D22" s="475" t="str">
        <f>_xlfn.LET(_xlpm.x,'Diversion and Disposal'!F18,IF(OR(LEN(_xlpm.x)&lt;1,_xlpm.x=0),"",_xlpm.x))</f>
        <v/>
      </c>
      <c r="E22" s="475" t="str">
        <f>_xlfn.LET(_xlpm.x,'Diversion and Disposal'!G18,IF(OR(LEN(_xlpm.x)&lt;1,_xlpm.x=0),"",_xlpm.x))</f>
        <v/>
      </c>
      <c r="F22" s="408"/>
      <c r="G22" s="511"/>
      <c r="H22" s="514" t="str">
        <f>_xlfn.LET(_xlpm.x,'Diversion and Disposal'!H18,IF(OR(LEN(_xlpm.x)&lt;1,_xlpm.x=0),"",_xlpm.x))</f>
        <v/>
      </c>
      <c r="I22" s="514" t="str">
        <f>_xlfn.LET(_xlpm.x,'Diversion and Disposal'!I18,IF(OR(LEN(_xlpm.x)&lt;1,_xlpm.x=0),"",_xlpm.x))</f>
        <v/>
      </c>
      <c r="J22" s="514" t="str">
        <f>_xlfn.LET(_xlpm.x,'Diversion and Disposal'!J18,IF(OR(LEN(_xlpm.x)&lt;1,_xlpm.x=0),"",_xlpm.x))</f>
        <v/>
      </c>
      <c r="K22" s="514" t="str">
        <f>_xlfn.LET(_xlpm.x,'Diversion and Disposal'!K18,IF(OR(LEN(_xlpm.x)&lt;1,_xlpm.x=0),"",_xlpm.x))</f>
        <v/>
      </c>
      <c r="L22" s="514" t="str">
        <f>_xlfn.LET(_xlpm.x,'Diversion and Disposal'!L18,IF(OR(LEN(_xlpm.x)&lt;1,_xlpm.x=0),"",_xlpm.x))</f>
        <v/>
      </c>
      <c r="M22" s="514" t="str">
        <f>_xlfn.LET(_xlpm.x,'Diversion and Disposal'!M18,IF(OR(LEN(_xlpm.x)&lt;1,_xlpm.x=0),"",_xlpm.x))</f>
        <v/>
      </c>
      <c r="N22" s="514" t="str">
        <f>_xlfn.LET(_xlpm.x,'Diversion and Disposal'!N18,IF(OR(LEN(_xlpm.x)&lt;1,_xlpm.x=0),"",_xlpm.x))</f>
        <v/>
      </c>
      <c r="O22" s="514" t="str">
        <f>_xlfn.LET(_xlpm.x,'Diversion and Disposal'!O18,IF(OR(LEN(_xlpm.x)&lt;1,_xlpm.x=0),"",_xlpm.x))</f>
        <v/>
      </c>
      <c r="P22" s="514" t="str">
        <f>_xlfn.LET(_xlpm.x,'Diversion and Disposal'!P18,IF(OR(LEN(_xlpm.x)&lt;1,_xlpm.x=0),"",_xlpm.x))</f>
        <v/>
      </c>
      <c r="Q22" s="514" t="str">
        <f>_xlfn.LET(_xlpm.x,'Diversion and Disposal'!Q18,IF(OR(LEN(_xlpm.x)&lt;1,_xlpm.x=0),"",_xlpm.x))</f>
        <v/>
      </c>
      <c r="R22" s="514" t="str">
        <f>_xlfn.LET(_xlpm.x,'Diversion and Disposal'!R18,IF(OR(LEN(_xlpm.x)&lt;1,_xlpm.x=0),"",_xlpm.x))</f>
        <v/>
      </c>
      <c r="S22" s="514" t="str">
        <f>_xlfn.LET(_xlpm.x,'Diversion and Disposal'!S18,IF(OR(LEN(_xlpm.x)&lt;1,_xlpm.x=0),"",_xlpm.x))</f>
        <v/>
      </c>
      <c r="T22" s="513">
        <f t="shared" si="2"/>
        <v>0</v>
      </c>
      <c r="BB22" s="432" t="str">
        <f t="shared" si="3"/>
        <v/>
      </c>
      <c r="BC22" s="432" t="str">
        <f t="shared" si="4"/>
        <v/>
      </c>
      <c r="BD22" s="432" t="str">
        <f t="shared" si="5"/>
        <v/>
      </c>
      <c r="BE22" s="432" t="str">
        <f t="shared" si="6"/>
        <v/>
      </c>
      <c r="BF22" s="432" t="str">
        <f t="shared" si="7"/>
        <v/>
      </c>
      <c r="BG22" s="477" t="str">
        <f t="shared" si="8"/>
        <v/>
      </c>
      <c r="BH22" s="477" t="str">
        <f t="shared" si="9"/>
        <v/>
      </c>
      <c r="BI22" s="477" t="str">
        <f t="shared" si="10"/>
        <v/>
      </c>
      <c r="BJ22" s="477" t="str">
        <f t="shared" si="11"/>
        <v/>
      </c>
      <c r="BK22" s="477" t="str">
        <f t="shared" si="12"/>
        <v/>
      </c>
      <c r="BL22" s="477" t="str">
        <f t="shared" si="13"/>
        <v/>
      </c>
      <c r="BM22" s="477" t="str">
        <f t="shared" si="14"/>
        <v/>
      </c>
      <c r="BN22" s="477" t="str">
        <f t="shared" si="15"/>
        <v/>
      </c>
      <c r="BO22" s="477" t="str">
        <f t="shared" si="16"/>
        <v/>
      </c>
      <c r="BP22" s="477" t="str">
        <f t="shared" si="17"/>
        <v/>
      </c>
      <c r="BQ22" s="477" t="str">
        <f t="shared" si="18"/>
        <v/>
      </c>
      <c r="BR22" s="477" t="str">
        <f t="shared" si="19"/>
        <v/>
      </c>
      <c r="BS22" s="477" t="str">
        <f t="shared" si="20"/>
        <v/>
      </c>
      <c r="BT22" s="481">
        <f t="shared" si="21"/>
        <v>0</v>
      </c>
      <c r="BU22" s="478" t="str">
        <f t="shared" si="34"/>
        <v/>
      </c>
      <c r="BV22" s="479" t="str">
        <f t="shared" si="35"/>
        <v/>
      </c>
      <c r="BW22" s="479" t="str">
        <f t="shared" si="22"/>
        <v/>
      </c>
      <c r="BX22" s="479" t="str">
        <f t="shared" si="23"/>
        <v/>
      </c>
      <c r="BY22" s="479" t="str">
        <f t="shared" si="24"/>
        <v/>
      </c>
      <c r="BZ22" s="479" t="str">
        <f t="shared" si="25"/>
        <v/>
      </c>
      <c r="CA22" s="479" t="str">
        <f t="shared" si="26"/>
        <v/>
      </c>
      <c r="CB22" s="479" t="str">
        <f t="shared" si="27"/>
        <v/>
      </c>
      <c r="CC22" s="479" t="str">
        <f t="shared" si="28"/>
        <v/>
      </c>
      <c r="CD22" s="479" t="str">
        <f t="shared" si="29"/>
        <v/>
      </c>
      <c r="CE22" s="479" t="str">
        <f t="shared" si="30"/>
        <v/>
      </c>
      <c r="CF22" s="479" t="str">
        <f t="shared" si="31"/>
        <v/>
      </c>
      <c r="CG22" s="479" t="str">
        <f t="shared" si="32"/>
        <v/>
      </c>
      <c r="CH22" s="480">
        <f t="shared" si="36"/>
        <v>0</v>
      </c>
      <c r="DD22" s="497" cm="1">
        <f t="array" ref="DD22">_xlfn.IFS('Project Inputs'!$F$150&lt;&gt;"Yes",0,DE22=18,0,DE22&lt;&gt;18,SUM(DF22:DG22))</f>
        <v>0</v>
      </c>
      <c r="DE22" s="31">
        <f t="shared" si="37"/>
        <v>18</v>
      </c>
      <c r="DF22" s="31">
        <f t="shared" si="38"/>
        <v>0</v>
      </c>
      <c r="DG22" s="31">
        <f t="shared" si="39"/>
        <v>0</v>
      </c>
    </row>
    <row r="23" spans="1:111">
      <c r="A23" s="22" t="str">
        <f t="shared" si="33"/>
        <v/>
      </c>
      <c r="B23" s="474" t="str">
        <f>_xlfn.LET(_xlpm.x,'Diversion and Disposal'!D19,IF(OR(LEN(_xlpm.x)&lt;1,_xlpm.x=0),"",_xlpm.x))</f>
        <v/>
      </c>
      <c r="C23" s="475" t="str">
        <f>_xlfn.LET(_xlpm.x,'Diversion and Disposal'!E19,IF(OR(LEN(_xlpm.x)&lt;1,_xlpm.x=0),"",_xlpm.x))</f>
        <v/>
      </c>
      <c r="D23" s="475" t="str">
        <f>_xlfn.LET(_xlpm.x,'Diversion and Disposal'!F19,IF(OR(LEN(_xlpm.x)&lt;1,_xlpm.x=0),"",_xlpm.x))</f>
        <v/>
      </c>
      <c r="E23" s="475" t="str">
        <f>_xlfn.LET(_xlpm.x,'Diversion and Disposal'!G19,IF(OR(LEN(_xlpm.x)&lt;1,_xlpm.x=0),"",_xlpm.x))</f>
        <v/>
      </c>
      <c r="F23" s="407"/>
      <c r="G23" s="511"/>
      <c r="H23" s="514" t="str">
        <f>_xlfn.LET(_xlpm.x,'Diversion and Disposal'!H19,IF(OR(LEN(_xlpm.x)&lt;1,_xlpm.x=0),"",_xlpm.x))</f>
        <v/>
      </c>
      <c r="I23" s="514" t="str">
        <f>_xlfn.LET(_xlpm.x,'Diversion and Disposal'!I19,IF(OR(LEN(_xlpm.x)&lt;1,_xlpm.x=0),"",_xlpm.x))</f>
        <v/>
      </c>
      <c r="J23" s="514" t="str">
        <f>_xlfn.LET(_xlpm.x,'Diversion and Disposal'!J19,IF(OR(LEN(_xlpm.x)&lt;1,_xlpm.x=0),"",_xlpm.x))</f>
        <v/>
      </c>
      <c r="K23" s="514" t="str">
        <f>_xlfn.LET(_xlpm.x,'Diversion and Disposal'!K19,IF(OR(LEN(_xlpm.x)&lt;1,_xlpm.x=0),"",_xlpm.x))</f>
        <v/>
      </c>
      <c r="L23" s="514" t="str">
        <f>_xlfn.LET(_xlpm.x,'Diversion and Disposal'!L19,IF(OR(LEN(_xlpm.x)&lt;1,_xlpm.x=0),"",_xlpm.x))</f>
        <v/>
      </c>
      <c r="M23" s="514" t="str">
        <f>_xlfn.LET(_xlpm.x,'Diversion and Disposal'!M19,IF(OR(LEN(_xlpm.x)&lt;1,_xlpm.x=0),"",_xlpm.x))</f>
        <v/>
      </c>
      <c r="N23" s="514" t="str">
        <f>_xlfn.LET(_xlpm.x,'Diversion and Disposal'!N19,IF(OR(LEN(_xlpm.x)&lt;1,_xlpm.x=0),"",_xlpm.x))</f>
        <v/>
      </c>
      <c r="O23" s="514" t="str">
        <f>_xlfn.LET(_xlpm.x,'Diversion and Disposal'!O19,IF(OR(LEN(_xlpm.x)&lt;1,_xlpm.x=0),"",_xlpm.x))</f>
        <v/>
      </c>
      <c r="P23" s="514" t="str">
        <f>_xlfn.LET(_xlpm.x,'Diversion and Disposal'!P19,IF(OR(LEN(_xlpm.x)&lt;1,_xlpm.x=0),"",_xlpm.x))</f>
        <v/>
      </c>
      <c r="Q23" s="514" t="str">
        <f>_xlfn.LET(_xlpm.x,'Diversion and Disposal'!Q19,IF(OR(LEN(_xlpm.x)&lt;1,_xlpm.x=0),"",_xlpm.x))</f>
        <v/>
      </c>
      <c r="R23" s="514" t="str">
        <f>_xlfn.LET(_xlpm.x,'Diversion and Disposal'!R19,IF(OR(LEN(_xlpm.x)&lt;1,_xlpm.x=0),"",_xlpm.x))</f>
        <v/>
      </c>
      <c r="S23" s="514" t="str">
        <f>_xlfn.LET(_xlpm.x,'Diversion and Disposal'!S19,IF(OR(LEN(_xlpm.x)&lt;1,_xlpm.x=0),"",_xlpm.x))</f>
        <v/>
      </c>
      <c r="T23" s="513">
        <f t="shared" si="2"/>
        <v>0</v>
      </c>
      <c r="BB23" s="432" t="str">
        <f t="shared" si="3"/>
        <v/>
      </c>
      <c r="BC23" s="432" t="str">
        <f t="shared" si="4"/>
        <v/>
      </c>
      <c r="BD23" s="432" t="str">
        <f t="shared" si="5"/>
        <v/>
      </c>
      <c r="BE23" s="432" t="str">
        <f t="shared" si="6"/>
        <v/>
      </c>
      <c r="BF23" s="432" t="str">
        <f t="shared" si="7"/>
        <v/>
      </c>
      <c r="BG23" s="477" t="str">
        <f t="shared" si="8"/>
        <v/>
      </c>
      <c r="BH23" s="477" t="str">
        <f t="shared" si="9"/>
        <v/>
      </c>
      <c r="BI23" s="477" t="str">
        <f t="shared" si="10"/>
        <v/>
      </c>
      <c r="BJ23" s="477" t="str">
        <f t="shared" si="11"/>
        <v/>
      </c>
      <c r="BK23" s="477" t="str">
        <f t="shared" si="12"/>
        <v/>
      </c>
      <c r="BL23" s="477" t="str">
        <f t="shared" si="13"/>
        <v/>
      </c>
      <c r="BM23" s="477" t="str">
        <f t="shared" si="14"/>
        <v/>
      </c>
      <c r="BN23" s="477" t="str">
        <f t="shared" si="15"/>
        <v/>
      </c>
      <c r="BO23" s="477" t="str">
        <f t="shared" si="16"/>
        <v/>
      </c>
      <c r="BP23" s="477" t="str">
        <f t="shared" si="17"/>
        <v/>
      </c>
      <c r="BQ23" s="477" t="str">
        <f t="shared" si="18"/>
        <v/>
      </c>
      <c r="BR23" s="477" t="str">
        <f t="shared" si="19"/>
        <v/>
      </c>
      <c r="BS23" s="477" t="str">
        <f t="shared" si="20"/>
        <v/>
      </c>
      <c r="BT23" s="435">
        <f t="shared" si="21"/>
        <v>0</v>
      </c>
      <c r="BU23" s="478" t="str">
        <f t="shared" si="34"/>
        <v/>
      </c>
      <c r="BV23" s="479" t="str">
        <f t="shared" si="35"/>
        <v/>
      </c>
      <c r="BW23" s="479" t="str">
        <f t="shared" si="22"/>
        <v/>
      </c>
      <c r="BX23" s="479" t="str">
        <f t="shared" si="23"/>
        <v/>
      </c>
      <c r="BY23" s="479" t="str">
        <f t="shared" si="24"/>
        <v/>
      </c>
      <c r="BZ23" s="479" t="str">
        <f t="shared" si="25"/>
        <v/>
      </c>
      <c r="CA23" s="479" t="str">
        <f t="shared" si="26"/>
        <v/>
      </c>
      <c r="CB23" s="479" t="str">
        <f t="shared" si="27"/>
        <v/>
      </c>
      <c r="CC23" s="479" t="str">
        <f t="shared" si="28"/>
        <v/>
      </c>
      <c r="CD23" s="479" t="str">
        <f t="shared" si="29"/>
        <v/>
      </c>
      <c r="CE23" s="479" t="str">
        <f t="shared" si="30"/>
        <v/>
      </c>
      <c r="CF23" s="479" t="str">
        <f t="shared" si="31"/>
        <v/>
      </c>
      <c r="CG23" s="479" t="str">
        <f t="shared" si="32"/>
        <v/>
      </c>
      <c r="CH23" s="480">
        <f t="shared" si="36"/>
        <v>0</v>
      </c>
      <c r="DD23" s="497" cm="1">
        <f t="array" ref="DD23">_xlfn.IFS('Project Inputs'!$F$150&lt;&gt;"Yes",0,DE23=18,0,DE23&lt;&gt;18,SUM(DF23:DG23))</f>
        <v>0</v>
      </c>
      <c r="DE23" s="31">
        <f t="shared" si="37"/>
        <v>18</v>
      </c>
      <c r="DF23" s="31">
        <f t="shared" si="38"/>
        <v>0</v>
      </c>
      <c r="DG23" s="31">
        <f t="shared" si="39"/>
        <v>0</v>
      </c>
    </row>
    <row r="24" spans="1:111">
      <c r="A24" s="22" t="str">
        <f t="shared" si="33"/>
        <v/>
      </c>
      <c r="B24" s="474" t="str">
        <f>_xlfn.LET(_xlpm.x,'Diversion and Disposal'!D20,IF(OR(LEN(_xlpm.x)&lt;1,_xlpm.x=0),"",_xlpm.x))</f>
        <v/>
      </c>
      <c r="C24" s="475" t="str">
        <f>_xlfn.LET(_xlpm.x,'Diversion and Disposal'!E20,IF(OR(LEN(_xlpm.x)&lt;1,_xlpm.x=0),"",_xlpm.x))</f>
        <v/>
      </c>
      <c r="D24" s="475" t="str">
        <f>_xlfn.LET(_xlpm.x,'Diversion and Disposal'!F20,IF(OR(LEN(_xlpm.x)&lt;1,_xlpm.x=0),"",_xlpm.x))</f>
        <v/>
      </c>
      <c r="E24" s="475" t="str">
        <f>_xlfn.LET(_xlpm.x,'Diversion and Disposal'!G20,IF(OR(LEN(_xlpm.x)&lt;1,_xlpm.x=0),"",_xlpm.x))</f>
        <v/>
      </c>
      <c r="F24" s="407"/>
      <c r="G24" s="511"/>
      <c r="H24" s="514" t="str">
        <f>_xlfn.LET(_xlpm.x,'Diversion and Disposal'!H20,IF(OR(LEN(_xlpm.x)&lt;1,_xlpm.x=0),"",_xlpm.x))</f>
        <v/>
      </c>
      <c r="I24" s="514" t="str">
        <f>_xlfn.LET(_xlpm.x,'Diversion and Disposal'!I20,IF(OR(LEN(_xlpm.x)&lt;1,_xlpm.x=0),"",_xlpm.x))</f>
        <v/>
      </c>
      <c r="J24" s="514" t="str">
        <f>_xlfn.LET(_xlpm.x,'Diversion and Disposal'!J20,IF(OR(LEN(_xlpm.x)&lt;1,_xlpm.x=0),"",_xlpm.x))</f>
        <v/>
      </c>
      <c r="K24" s="514" t="str">
        <f>_xlfn.LET(_xlpm.x,'Diversion and Disposal'!K20,IF(OR(LEN(_xlpm.x)&lt;1,_xlpm.x=0),"",_xlpm.x))</f>
        <v/>
      </c>
      <c r="L24" s="514" t="str">
        <f>_xlfn.LET(_xlpm.x,'Diversion and Disposal'!L20,IF(OR(LEN(_xlpm.x)&lt;1,_xlpm.x=0),"",_xlpm.x))</f>
        <v/>
      </c>
      <c r="M24" s="514" t="str">
        <f>_xlfn.LET(_xlpm.x,'Diversion and Disposal'!M20,IF(OR(LEN(_xlpm.x)&lt;1,_xlpm.x=0),"",_xlpm.x))</f>
        <v/>
      </c>
      <c r="N24" s="514" t="str">
        <f>_xlfn.LET(_xlpm.x,'Diversion and Disposal'!N20,IF(OR(LEN(_xlpm.x)&lt;1,_xlpm.x=0),"",_xlpm.x))</f>
        <v/>
      </c>
      <c r="O24" s="514" t="str">
        <f>_xlfn.LET(_xlpm.x,'Diversion and Disposal'!O20,IF(OR(LEN(_xlpm.x)&lt;1,_xlpm.x=0),"",_xlpm.x))</f>
        <v/>
      </c>
      <c r="P24" s="514" t="str">
        <f>_xlfn.LET(_xlpm.x,'Diversion and Disposal'!P20,IF(OR(LEN(_xlpm.x)&lt;1,_xlpm.x=0),"",_xlpm.x))</f>
        <v/>
      </c>
      <c r="Q24" s="514" t="str">
        <f>_xlfn.LET(_xlpm.x,'Diversion and Disposal'!Q20,IF(OR(LEN(_xlpm.x)&lt;1,_xlpm.x=0),"",_xlpm.x))</f>
        <v/>
      </c>
      <c r="R24" s="514" t="str">
        <f>_xlfn.LET(_xlpm.x,'Diversion and Disposal'!R20,IF(OR(LEN(_xlpm.x)&lt;1,_xlpm.x=0),"",_xlpm.x))</f>
        <v/>
      </c>
      <c r="S24" s="514" t="str">
        <f>_xlfn.LET(_xlpm.x,'Diversion and Disposal'!S20,IF(OR(LEN(_xlpm.x)&lt;1,_xlpm.x=0),"",_xlpm.x))</f>
        <v/>
      </c>
      <c r="T24" s="513">
        <f t="shared" si="2"/>
        <v>0</v>
      </c>
      <c r="BB24" s="432" t="str">
        <f t="shared" si="3"/>
        <v/>
      </c>
      <c r="BC24" s="432" t="str">
        <f t="shared" si="4"/>
        <v/>
      </c>
      <c r="BD24" s="432" t="str">
        <f t="shared" si="5"/>
        <v/>
      </c>
      <c r="BE24" s="432" t="str">
        <f t="shared" si="6"/>
        <v/>
      </c>
      <c r="BF24" s="432" t="str">
        <f t="shared" si="7"/>
        <v/>
      </c>
      <c r="BG24" s="477" t="str">
        <f t="shared" si="8"/>
        <v/>
      </c>
      <c r="BH24" s="477" t="str">
        <f t="shared" si="9"/>
        <v/>
      </c>
      <c r="BI24" s="477" t="str">
        <f t="shared" si="10"/>
        <v/>
      </c>
      <c r="BJ24" s="477" t="str">
        <f t="shared" si="11"/>
        <v/>
      </c>
      <c r="BK24" s="477" t="str">
        <f t="shared" si="12"/>
        <v/>
      </c>
      <c r="BL24" s="477" t="str">
        <f t="shared" si="13"/>
        <v/>
      </c>
      <c r="BM24" s="477" t="str">
        <f t="shared" si="14"/>
        <v/>
      </c>
      <c r="BN24" s="477" t="str">
        <f t="shared" si="15"/>
        <v/>
      </c>
      <c r="BO24" s="477" t="str">
        <f t="shared" si="16"/>
        <v/>
      </c>
      <c r="BP24" s="477" t="str">
        <f t="shared" si="17"/>
        <v/>
      </c>
      <c r="BQ24" s="477" t="str">
        <f t="shared" si="18"/>
        <v/>
      </c>
      <c r="BR24" s="477" t="str">
        <f t="shared" si="19"/>
        <v/>
      </c>
      <c r="BS24" s="477" t="str">
        <f t="shared" si="20"/>
        <v/>
      </c>
      <c r="BT24" s="435">
        <f t="shared" si="21"/>
        <v>0</v>
      </c>
      <c r="BU24" s="478" t="str">
        <f t="shared" si="34"/>
        <v/>
      </c>
      <c r="BV24" s="479" t="str">
        <f t="shared" si="35"/>
        <v/>
      </c>
      <c r="BW24" s="479" t="str">
        <f t="shared" si="22"/>
        <v/>
      </c>
      <c r="BX24" s="479" t="str">
        <f t="shared" si="23"/>
        <v/>
      </c>
      <c r="BY24" s="479" t="str">
        <f t="shared" si="24"/>
        <v/>
      </c>
      <c r="BZ24" s="479" t="str">
        <f t="shared" si="25"/>
        <v/>
      </c>
      <c r="CA24" s="479" t="str">
        <f t="shared" si="26"/>
        <v/>
      </c>
      <c r="CB24" s="479" t="str">
        <f t="shared" si="27"/>
        <v/>
      </c>
      <c r="CC24" s="479" t="str">
        <f t="shared" si="28"/>
        <v/>
      </c>
      <c r="CD24" s="479" t="str">
        <f t="shared" si="29"/>
        <v/>
      </c>
      <c r="CE24" s="479" t="str">
        <f t="shared" si="30"/>
        <v/>
      </c>
      <c r="CF24" s="479" t="str">
        <f t="shared" si="31"/>
        <v/>
      </c>
      <c r="CG24" s="479" t="str">
        <f t="shared" si="32"/>
        <v/>
      </c>
      <c r="CH24" s="480">
        <f t="shared" si="36"/>
        <v>0</v>
      </c>
      <c r="DD24" s="497" cm="1">
        <f t="array" ref="DD24">_xlfn.IFS('Project Inputs'!$F$150&lt;&gt;"Yes",0,DE24=18,0,DE24&lt;&gt;18,SUM(DF24:DG24))</f>
        <v>0</v>
      </c>
      <c r="DE24" s="31">
        <f t="shared" si="37"/>
        <v>18</v>
      </c>
      <c r="DF24" s="31">
        <f t="shared" si="38"/>
        <v>0</v>
      </c>
      <c r="DG24" s="31">
        <f t="shared" si="39"/>
        <v>0</v>
      </c>
    </row>
    <row r="25" spans="1:111">
      <c r="A25" s="22" t="str">
        <f t="shared" si="33"/>
        <v/>
      </c>
      <c r="B25" s="474" t="str">
        <f>_xlfn.LET(_xlpm.x,'Diversion and Disposal'!D21,IF(OR(LEN(_xlpm.x)&lt;1,_xlpm.x=0),"",_xlpm.x))</f>
        <v/>
      </c>
      <c r="C25" s="475" t="str">
        <f>_xlfn.LET(_xlpm.x,'Diversion and Disposal'!E21,IF(OR(LEN(_xlpm.x)&lt;1,_xlpm.x=0),"",_xlpm.x))</f>
        <v/>
      </c>
      <c r="D25" s="475" t="str">
        <f>_xlfn.LET(_xlpm.x,'Diversion and Disposal'!F21,IF(OR(LEN(_xlpm.x)&lt;1,_xlpm.x=0),"",_xlpm.x))</f>
        <v/>
      </c>
      <c r="E25" s="475" t="str">
        <f>_xlfn.LET(_xlpm.x,'Diversion and Disposal'!G21,IF(OR(LEN(_xlpm.x)&lt;1,_xlpm.x=0),"",_xlpm.x))</f>
        <v/>
      </c>
      <c r="F25" s="407"/>
      <c r="G25" s="511"/>
      <c r="H25" s="514" t="str">
        <f>_xlfn.LET(_xlpm.x,'Diversion and Disposal'!H21,IF(OR(LEN(_xlpm.x)&lt;1,_xlpm.x=0),"",_xlpm.x))</f>
        <v/>
      </c>
      <c r="I25" s="514" t="str">
        <f>_xlfn.LET(_xlpm.x,'Diversion and Disposal'!I21,IF(OR(LEN(_xlpm.x)&lt;1,_xlpm.x=0),"",_xlpm.x))</f>
        <v/>
      </c>
      <c r="J25" s="514"/>
      <c r="K25" s="514" t="str">
        <f>_xlfn.LET(_xlpm.x,'Diversion and Disposal'!K21,IF(OR(LEN(_xlpm.x)&lt;1,_xlpm.x=0),"",_xlpm.x))</f>
        <v/>
      </c>
      <c r="L25" s="514" t="str">
        <f>_xlfn.LET(_xlpm.x,'Diversion and Disposal'!L21,IF(OR(LEN(_xlpm.x)&lt;1,_xlpm.x=0),"",_xlpm.x))</f>
        <v/>
      </c>
      <c r="M25" s="514" t="str">
        <f>_xlfn.LET(_xlpm.x,'Diversion and Disposal'!M21,IF(OR(LEN(_xlpm.x)&lt;1,_xlpm.x=0),"",_xlpm.x))</f>
        <v/>
      </c>
      <c r="N25" s="514" t="str">
        <f>_xlfn.LET(_xlpm.x,'Diversion and Disposal'!N21,IF(OR(LEN(_xlpm.x)&lt;1,_xlpm.x=0),"",_xlpm.x))</f>
        <v/>
      </c>
      <c r="O25" s="514" t="str">
        <f>_xlfn.LET(_xlpm.x,'Diversion and Disposal'!O21,IF(OR(LEN(_xlpm.x)&lt;1,_xlpm.x=0),"",_xlpm.x))</f>
        <v/>
      </c>
      <c r="P25" s="514" t="str">
        <f>_xlfn.LET(_xlpm.x,'Diversion and Disposal'!P21,IF(OR(LEN(_xlpm.x)&lt;1,_xlpm.x=0),"",_xlpm.x))</f>
        <v/>
      </c>
      <c r="Q25" s="514" t="str">
        <f>_xlfn.LET(_xlpm.x,'Diversion and Disposal'!Q21,IF(OR(LEN(_xlpm.x)&lt;1,_xlpm.x=0),"",_xlpm.x))</f>
        <v/>
      </c>
      <c r="R25" s="514" t="str">
        <f>_xlfn.LET(_xlpm.x,'Diversion and Disposal'!R21,IF(OR(LEN(_xlpm.x)&lt;1,_xlpm.x=0),"",_xlpm.x))</f>
        <v/>
      </c>
      <c r="S25" s="514" t="str">
        <f>_xlfn.LET(_xlpm.x,'Diversion and Disposal'!S21,IF(OR(LEN(_xlpm.x)&lt;1,_xlpm.x=0),"",_xlpm.x))</f>
        <v/>
      </c>
      <c r="T25" s="513">
        <f t="shared" si="2"/>
        <v>0</v>
      </c>
      <c r="BB25" s="432" t="str">
        <f t="shared" si="3"/>
        <v/>
      </c>
      <c r="BC25" s="432" t="str">
        <f t="shared" si="4"/>
        <v/>
      </c>
      <c r="BD25" s="432" t="str">
        <f t="shared" si="5"/>
        <v/>
      </c>
      <c r="BE25" s="432" t="str">
        <f t="shared" si="6"/>
        <v/>
      </c>
      <c r="BF25" s="432" t="str">
        <f t="shared" si="7"/>
        <v/>
      </c>
      <c r="BG25" s="477" t="str">
        <f t="shared" si="8"/>
        <v/>
      </c>
      <c r="BH25" s="477" t="str">
        <f t="shared" si="9"/>
        <v/>
      </c>
      <c r="BI25" s="477" t="str">
        <f t="shared" si="10"/>
        <v/>
      </c>
      <c r="BJ25" s="477" t="str">
        <f t="shared" si="11"/>
        <v/>
      </c>
      <c r="BK25" s="477" t="str">
        <f t="shared" si="12"/>
        <v/>
      </c>
      <c r="BL25" s="477" t="str">
        <f t="shared" si="13"/>
        <v/>
      </c>
      <c r="BM25" s="477" t="str">
        <f t="shared" si="14"/>
        <v/>
      </c>
      <c r="BN25" s="477" t="str">
        <f t="shared" si="15"/>
        <v/>
      </c>
      <c r="BO25" s="477" t="str">
        <f t="shared" si="16"/>
        <v/>
      </c>
      <c r="BP25" s="477" t="str">
        <f t="shared" si="17"/>
        <v/>
      </c>
      <c r="BQ25" s="477" t="str">
        <f t="shared" si="18"/>
        <v/>
      </c>
      <c r="BR25" s="477" t="str">
        <f t="shared" si="19"/>
        <v/>
      </c>
      <c r="BS25" s="477" t="str">
        <f t="shared" si="20"/>
        <v/>
      </c>
      <c r="BT25" s="435">
        <f t="shared" si="21"/>
        <v>0</v>
      </c>
      <c r="BU25" s="478" t="str">
        <f t="shared" si="34"/>
        <v/>
      </c>
      <c r="BV25" s="479" t="str">
        <f t="shared" si="35"/>
        <v/>
      </c>
      <c r="BW25" s="479" t="str">
        <f t="shared" si="22"/>
        <v/>
      </c>
      <c r="BX25" s="479" t="str">
        <f t="shared" si="23"/>
        <v/>
      </c>
      <c r="BY25" s="479" t="str">
        <f t="shared" si="24"/>
        <v/>
      </c>
      <c r="BZ25" s="479" t="str">
        <f t="shared" si="25"/>
        <v/>
      </c>
      <c r="CA25" s="479" t="str">
        <f t="shared" si="26"/>
        <v/>
      </c>
      <c r="CB25" s="479" t="str">
        <f t="shared" si="27"/>
        <v/>
      </c>
      <c r="CC25" s="479" t="str">
        <f t="shared" si="28"/>
        <v/>
      </c>
      <c r="CD25" s="479" t="str">
        <f t="shared" si="29"/>
        <v/>
      </c>
      <c r="CE25" s="479" t="str">
        <f t="shared" si="30"/>
        <v/>
      </c>
      <c r="CF25" s="479" t="str">
        <f t="shared" si="31"/>
        <v/>
      </c>
      <c r="CG25" s="479" t="str">
        <f t="shared" si="32"/>
        <v/>
      </c>
      <c r="CH25" s="480">
        <f t="shared" si="36"/>
        <v>0</v>
      </c>
      <c r="DD25" s="497" cm="1">
        <f t="array" ref="DD25">_xlfn.IFS('Project Inputs'!$F$150&lt;&gt;"Yes",0,DE25=18,0,DE25&lt;&gt;18,SUM(DF25:DG25))</f>
        <v>0</v>
      </c>
      <c r="DE25" s="31">
        <f t="shared" si="37"/>
        <v>18</v>
      </c>
      <c r="DF25" s="31">
        <f t="shared" si="38"/>
        <v>0</v>
      </c>
      <c r="DG25" s="31">
        <f t="shared" si="39"/>
        <v>0</v>
      </c>
    </row>
    <row r="26" spans="1:111">
      <c r="A26" s="22" t="str">
        <f t="shared" si="33"/>
        <v/>
      </c>
      <c r="B26" s="474" t="str">
        <f>_xlfn.LET(_xlpm.x,'Diversion and Disposal'!D22,IF(OR(LEN(_xlpm.x)&lt;1,_xlpm.x=0),"",_xlpm.x))</f>
        <v/>
      </c>
      <c r="C26" s="475" t="str">
        <f>_xlfn.LET(_xlpm.x,'Diversion and Disposal'!E22,IF(OR(LEN(_xlpm.x)&lt;1,_xlpm.x=0),"",_xlpm.x))</f>
        <v/>
      </c>
      <c r="D26" s="475" t="str">
        <f>_xlfn.LET(_xlpm.x,'Diversion and Disposal'!F22,IF(OR(LEN(_xlpm.x)&lt;1,_xlpm.x=0),"",_xlpm.x))</f>
        <v/>
      </c>
      <c r="E26" s="475" t="str">
        <f>_xlfn.LET(_xlpm.x,'Diversion and Disposal'!G22,IF(OR(LEN(_xlpm.x)&lt;1,_xlpm.x=0),"",_xlpm.x))</f>
        <v/>
      </c>
      <c r="F26" s="407"/>
      <c r="G26" s="511"/>
      <c r="H26" s="514" t="str">
        <f>_xlfn.LET(_xlpm.x,'Diversion and Disposal'!H22,IF(OR(LEN(_xlpm.x)&lt;1,_xlpm.x=0),"",_xlpm.x))</f>
        <v/>
      </c>
      <c r="I26" s="514" t="str">
        <f>_xlfn.LET(_xlpm.x,'Diversion and Disposal'!I22,IF(OR(LEN(_xlpm.x)&lt;1,_xlpm.x=0),"",_xlpm.x))</f>
        <v/>
      </c>
      <c r="J26" s="514" t="str">
        <f>_xlfn.LET(_xlpm.x,'Diversion and Disposal'!J22,IF(OR(LEN(_xlpm.x)&lt;1,_xlpm.x=0),"",_xlpm.x))</f>
        <v/>
      </c>
      <c r="K26" s="514" t="str">
        <f>_xlfn.LET(_xlpm.x,'Diversion and Disposal'!K22,IF(OR(LEN(_xlpm.x)&lt;1,_xlpm.x=0),"",_xlpm.x))</f>
        <v/>
      </c>
      <c r="L26" s="514" t="str">
        <f>_xlfn.LET(_xlpm.x,'Diversion and Disposal'!L22,IF(OR(LEN(_xlpm.x)&lt;1,_xlpm.x=0),"",_xlpm.x))</f>
        <v/>
      </c>
      <c r="M26" s="514" t="str">
        <f>_xlfn.LET(_xlpm.x,'Diversion and Disposal'!M22,IF(OR(LEN(_xlpm.x)&lt;1,_xlpm.x=0),"",_xlpm.x))</f>
        <v/>
      </c>
      <c r="N26" s="514" t="str">
        <f>_xlfn.LET(_xlpm.x,'Diversion and Disposal'!N22,IF(OR(LEN(_xlpm.x)&lt;1,_xlpm.x=0),"",_xlpm.x))</f>
        <v/>
      </c>
      <c r="O26" s="514" t="str">
        <f>_xlfn.LET(_xlpm.x,'Diversion and Disposal'!O22,IF(OR(LEN(_xlpm.x)&lt;1,_xlpm.x=0),"",_xlpm.x))</f>
        <v/>
      </c>
      <c r="P26" s="514" t="str">
        <f>_xlfn.LET(_xlpm.x,'Diversion and Disposal'!P22,IF(OR(LEN(_xlpm.x)&lt;1,_xlpm.x=0),"",_xlpm.x))</f>
        <v/>
      </c>
      <c r="Q26" s="514" t="str">
        <f>_xlfn.LET(_xlpm.x,'Diversion and Disposal'!Q22,IF(OR(LEN(_xlpm.x)&lt;1,_xlpm.x=0),"",_xlpm.x))</f>
        <v/>
      </c>
      <c r="R26" s="514" t="str">
        <f>_xlfn.LET(_xlpm.x,'Diversion and Disposal'!R22,IF(OR(LEN(_xlpm.x)&lt;1,_xlpm.x=0),"",_xlpm.x))</f>
        <v/>
      </c>
      <c r="S26" s="514" t="str">
        <f>_xlfn.LET(_xlpm.x,'Diversion and Disposal'!S22,IF(OR(LEN(_xlpm.x)&lt;1,_xlpm.x=0),"",_xlpm.x))</f>
        <v/>
      </c>
      <c r="T26" s="513">
        <f t="shared" si="2"/>
        <v>0</v>
      </c>
      <c r="BB26" s="432" t="str">
        <f t="shared" si="3"/>
        <v/>
      </c>
      <c r="BC26" s="432" t="str">
        <f t="shared" si="4"/>
        <v/>
      </c>
      <c r="BD26" s="432" t="str">
        <f t="shared" si="5"/>
        <v/>
      </c>
      <c r="BE26" s="432" t="str">
        <f t="shared" si="6"/>
        <v/>
      </c>
      <c r="BF26" s="432" t="str">
        <f t="shared" si="7"/>
        <v/>
      </c>
      <c r="BG26" s="477" t="str">
        <f t="shared" si="8"/>
        <v/>
      </c>
      <c r="BH26" s="477" t="str">
        <f t="shared" si="9"/>
        <v/>
      </c>
      <c r="BI26" s="477" t="str">
        <f t="shared" si="10"/>
        <v/>
      </c>
      <c r="BJ26" s="477" t="str">
        <f t="shared" si="11"/>
        <v/>
      </c>
      <c r="BK26" s="477" t="str">
        <f t="shared" si="12"/>
        <v/>
      </c>
      <c r="BL26" s="477" t="str">
        <f t="shared" si="13"/>
        <v/>
      </c>
      <c r="BM26" s="477" t="str">
        <f t="shared" si="14"/>
        <v/>
      </c>
      <c r="BN26" s="477" t="str">
        <f t="shared" si="15"/>
        <v/>
      </c>
      <c r="BO26" s="477" t="str">
        <f t="shared" si="16"/>
        <v/>
      </c>
      <c r="BP26" s="477" t="str">
        <f t="shared" si="17"/>
        <v/>
      </c>
      <c r="BQ26" s="477" t="str">
        <f t="shared" si="18"/>
        <v/>
      </c>
      <c r="BR26" s="477" t="str">
        <f t="shared" si="19"/>
        <v/>
      </c>
      <c r="BS26" s="477" t="str">
        <f t="shared" si="20"/>
        <v/>
      </c>
      <c r="BT26" s="435">
        <f t="shared" si="21"/>
        <v>0</v>
      </c>
      <c r="BU26" s="478" t="str">
        <f t="shared" si="34"/>
        <v/>
      </c>
      <c r="BV26" s="479" t="str">
        <f t="shared" si="35"/>
        <v/>
      </c>
      <c r="BW26" s="479" t="str">
        <f t="shared" si="22"/>
        <v/>
      </c>
      <c r="BX26" s="479" t="str">
        <f t="shared" si="23"/>
        <v/>
      </c>
      <c r="BY26" s="479" t="str">
        <f t="shared" si="24"/>
        <v/>
      </c>
      <c r="BZ26" s="479" t="str">
        <f t="shared" si="25"/>
        <v/>
      </c>
      <c r="CA26" s="479" t="str">
        <f t="shared" si="26"/>
        <v/>
      </c>
      <c r="CB26" s="479" t="str">
        <f t="shared" si="27"/>
        <v/>
      </c>
      <c r="CC26" s="479" t="str">
        <f t="shared" si="28"/>
        <v/>
      </c>
      <c r="CD26" s="479" t="str">
        <f t="shared" si="29"/>
        <v/>
      </c>
      <c r="CE26" s="479" t="str">
        <f t="shared" si="30"/>
        <v/>
      </c>
      <c r="CF26" s="479" t="str">
        <f t="shared" si="31"/>
        <v/>
      </c>
      <c r="CG26" s="479" t="str">
        <f t="shared" si="32"/>
        <v/>
      </c>
      <c r="CH26" s="480">
        <f t="shared" si="36"/>
        <v>0</v>
      </c>
      <c r="DD26" s="497" cm="1">
        <f t="array" ref="DD26">_xlfn.IFS('Project Inputs'!$F$150&lt;&gt;"Yes",0,DE26=18,0,DE26&lt;&gt;18,SUM(DF26:DG26))</f>
        <v>0</v>
      </c>
      <c r="DE26" s="31">
        <f t="shared" si="37"/>
        <v>18</v>
      </c>
      <c r="DF26" s="31">
        <f t="shared" si="38"/>
        <v>0</v>
      </c>
      <c r="DG26" s="31">
        <f t="shared" si="39"/>
        <v>0</v>
      </c>
    </row>
    <row r="27" spans="1:111">
      <c r="A27" s="22" t="str">
        <f t="shared" si="33"/>
        <v/>
      </c>
      <c r="B27" s="474" t="str">
        <f>_xlfn.LET(_xlpm.x,'Diversion and Disposal'!D23,IF(OR(LEN(_xlpm.x)&lt;1,_xlpm.x=0),"",_xlpm.x))</f>
        <v/>
      </c>
      <c r="C27" s="475" t="str">
        <f>_xlfn.LET(_xlpm.x,'Diversion and Disposal'!E23,IF(OR(LEN(_xlpm.x)&lt;1,_xlpm.x=0),"",_xlpm.x))</f>
        <v/>
      </c>
      <c r="D27" s="475" t="str">
        <f>_xlfn.LET(_xlpm.x,'Diversion and Disposal'!F23,IF(OR(LEN(_xlpm.x)&lt;1,_xlpm.x=0),"",_xlpm.x))</f>
        <v/>
      </c>
      <c r="E27" s="475" t="str">
        <f>_xlfn.LET(_xlpm.x,'Diversion and Disposal'!G23,IF(OR(LEN(_xlpm.x)&lt;1,_xlpm.x=0),"",_xlpm.x))</f>
        <v/>
      </c>
      <c r="F27" s="407"/>
      <c r="G27" s="511"/>
      <c r="H27" s="514" t="str">
        <f>_xlfn.LET(_xlpm.x,'Diversion and Disposal'!H23,IF(OR(LEN(_xlpm.x)&lt;1,_xlpm.x=0),"",_xlpm.x))</f>
        <v/>
      </c>
      <c r="I27" s="514" t="str">
        <f>_xlfn.LET(_xlpm.x,'Diversion and Disposal'!I23,IF(OR(LEN(_xlpm.x)&lt;1,_xlpm.x=0),"",_xlpm.x))</f>
        <v/>
      </c>
      <c r="J27" s="514" t="str">
        <f>_xlfn.LET(_xlpm.x,'Diversion and Disposal'!J23,IF(OR(LEN(_xlpm.x)&lt;1,_xlpm.x=0),"",_xlpm.x))</f>
        <v/>
      </c>
      <c r="K27" s="514" t="str">
        <f>_xlfn.LET(_xlpm.x,'Diversion and Disposal'!K23,IF(OR(LEN(_xlpm.x)&lt;1,_xlpm.x=0),"",_xlpm.x))</f>
        <v/>
      </c>
      <c r="L27" s="514" t="str">
        <f>_xlfn.LET(_xlpm.x,'Diversion and Disposal'!L23,IF(OR(LEN(_xlpm.x)&lt;1,_xlpm.x=0),"",_xlpm.x))</f>
        <v/>
      </c>
      <c r="M27" s="514" t="str">
        <f>_xlfn.LET(_xlpm.x,'Diversion and Disposal'!M23,IF(OR(LEN(_xlpm.x)&lt;1,_xlpm.x=0),"",_xlpm.x))</f>
        <v/>
      </c>
      <c r="N27" s="514" t="str">
        <f>_xlfn.LET(_xlpm.x,'Diversion and Disposal'!N23,IF(OR(LEN(_xlpm.x)&lt;1,_xlpm.x=0),"",_xlpm.x))</f>
        <v/>
      </c>
      <c r="O27" s="514" t="str">
        <f>_xlfn.LET(_xlpm.x,'Diversion and Disposal'!O23,IF(OR(LEN(_xlpm.x)&lt;1,_xlpm.x=0),"",_xlpm.x))</f>
        <v/>
      </c>
      <c r="P27" s="514" t="str">
        <f>_xlfn.LET(_xlpm.x,'Diversion and Disposal'!P23,IF(OR(LEN(_xlpm.x)&lt;1,_xlpm.x=0),"",_xlpm.x))</f>
        <v/>
      </c>
      <c r="Q27" s="514" t="str">
        <f>_xlfn.LET(_xlpm.x,'Diversion and Disposal'!Q23,IF(OR(LEN(_xlpm.x)&lt;1,_xlpm.x=0),"",_xlpm.x))</f>
        <v/>
      </c>
      <c r="R27" s="514" t="str">
        <f>_xlfn.LET(_xlpm.x,'Diversion and Disposal'!R23,IF(OR(LEN(_xlpm.x)&lt;1,_xlpm.x=0),"",_xlpm.x))</f>
        <v/>
      </c>
      <c r="S27" s="514" t="str">
        <f>_xlfn.LET(_xlpm.x,'Diversion and Disposal'!S23,IF(OR(LEN(_xlpm.x)&lt;1,_xlpm.x=0),"",_xlpm.x))</f>
        <v/>
      </c>
      <c r="T27" s="513">
        <f t="shared" si="2"/>
        <v>0</v>
      </c>
      <c r="BB27" s="432" t="str">
        <f t="shared" si="3"/>
        <v/>
      </c>
      <c r="BC27" s="432" t="str">
        <f t="shared" si="4"/>
        <v/>
      </c>
      <c r="BD27" s="432" t="str">
        <f t="shared" si="5"/>
        <v/>
      </c>
      <c r="BE27" s="432" t="str">
        <f t="shared" si="6"/>
        <v/>
      </c>
      <c r="BF27" s="432" t="str">
        <f t="shared" si="7"/>
        <v/>
      </c>
      <c r="BG27" s="477" t="str">
        <f t="shared" si="8"/>
        <v/>
      </c>
      <c r="BH27" s="477" t="str">
        <f t="shared" si="9"/>
        <v/>
      </c>
      <c r="BI27" s="477" t="str">
        <f t="shared" si="10"/>
        <v/>
      </c>
      <c r="BJ27" s="477" t="str">
        <f t="shared" si="11"/>
        <v/>
      </c>
      <c r="BK27" s="477" t="str">
        <f t="shared" si="12"/>
        <v/>
      </c>
      <c r="BL27" s="477" t="str">
        <f t="shared" si="13"/>
        <v/>
      </c>
      <c r="BM27" s="477" t="str">
        <f t="shared" si="14"/>
        <v/>
      </c>
      <c r="BN27" s="477" t="str">
        <f t="shared" si="15"/>
        <v/>
      </c>
      <c r="BO27" s="477" t="str">
        <f t="shared" si="16"/>
        <v/>
      </c>
      <c r="BP27" s="477" t="str">
        <f t="shared" si="17"/>
        <v/>
      </c>
      <c r="BQ27" s="477" t="str">
        <f t="shared" si="18"/>
        <v/>
      </c>
      <c r="BR27" s="477" t="str">
        <f t="shared" si="19"/>
        <v/>
      </c>
      <c r="BS27" s="477" t="str">
        <f t="shared" si="20"/>
        <v/>
      </c>
      <c r="BT27" s="435">
        <f t="shared" si="21"/>
        <v>0</v>
      </c>
      <c r="BU27" s="478" t="str">
        <f t="shared" si="34"/>
        <v/>
      </c>
      <c r="BV27" s="479" t="str">
        <f t="shared" si="35"/>
        <v/>
      </c>
      <c r="BW27" s="479" t="str">
        <f t="shared" si="22"/>
        <v/>
      </c>
      <c r="BX27" s="479" t="str">
        <f t="shared" si="23"/>
        <v/>
      </c>
      <c r="BY27" s="479" t="str">
        <f t="shared" si="24"/>
        <v/>
      </c>
      <c r="BZ27" s="479" t="str">
        <f t="shared" si="25"/>
        <v/>
      </c>
      <c r="CA27" s="479" t="str">
        <f t="shared" si="26"/>
        <v/>
      </c>
      <c r="CB27" s="479" t="str">
        <f t="shared" si="27"/>
        <v/>
      </c>
      <c r="CC27" s="479" t="str">
        <f t="shared" si="28"/>
        <v/>
      </c>
      <c r="CD27" s="479" t="str">
        <f t="shared" si="29"/>
        <v/>
      </c>
      <c r="CE27" s="479" t="str">
        <f t="shared" si="30"/>
        <v/>
      </c>
      <c r="CF27" s="479" t="str">
        <f t="shared" si="31"/>
        <v/>
      </c>
      <c r="CG27" s="479" t="str">
        <f t="shared" si="32"/>
        <v/>
      </c>
      <c r="CH27" s="480">
        <f t="shared" si="36"/>
        <v>0</v>
      </c>
      <c r="DD27" s="497" cm="1">
        <f t="array" ref="DD27">_xlfn.IFS('Project Inputs'!$F$150&lt;&gt;"Yes",0,DE27=18,0,DE27&lt;&gt;18,SUM(DF27:DG27))</f>
        <v>0</v>
      </c>
      <c r="DE27" s="31">
        <f t="shared" si="37"/>
        <v>18</v>
      </c>
      <c r="DF27" s="31">
        <f t="shared" si="38"/>
        <v>0</v>
      </c>
      <c r="DG27" s="31">
        <f t="shared" si="39"/>
        <v>0</v>
      </c>
    </row>
    <row r="28" spans="1:111">
      <c r="A28" s="22" t="str">
        <f t="shared" si="33"/>
        <v/>
      </c>
      <c r="B28" s="474" t="str">
        <f>_xlfn.LET(_xlpm.x,'Diversion and Disposal'!D24,IF(OR(LEN(_xlpm.x)&lt;1,_xlpm.x=0),"",_xlpm.x))</f>
        <v/>
      </c>
      <c r="C28" s="475" t="str">
        <f>_xlfn.LET(_xlpm.x,'Diversion and Disposal'!E24,IF(OR(LEN(_xlpm.x)&lt;1,_xlpm.x=0),"",_xlpm.x))</f>
        <v/>
      </c>
      <c r="D28" s="475" t="str">
        <f>_xlfn.LET(_xlpm.x,'Diversion and Disposal'!F24,IF(OR(LEN(_xlpm.x)&lt;1,_xlpm.x=0),"",_xlpm.x))</f>
        <v/>
      </c>
      <c r="E28" s="475" t="str">
        <f>_xlfn.LET(_xlpm.x,'Diversion and Disposal'!G24,IF(OR(LEN(_xlpm.x)&lt;1,_xlpm.x=0),"",_xlpm.x))</f>
        <v/>
      </c>
      <c r="F28" s="407"/>
      <c r="G28" s="511"/>
      <c r="H28" s="514" t="str">
        <f>_xlfn.LET(_xlpm.x,'Diversion and Disposal'!H24,IF(OR(LEN(_xlpm.x)&lt;1,_xlpm.x=0),"",_xlpm.x))</f>
        <v/>
      </c>
      <c r="I28" s="514" t="str">
        <f>_xlfn.LET(_xlpm.x,'Diversion and Disposal'!I24,IF(OR(LEN(_xlpm.x)&lt;1,_xlpm.x=0),"",_xlpm.x))</f>
        <v/>
      </c>
      <c r="J28" s="514" t="str">
        <f>_xlfn.LET(_xlpm.x,'Diversion and Disposal'!J24,IF(OR(LEN(_xlpm.x)&lt;1,_xlpm.x=0),"",_xlpm.x))</f>
        <v/>
      </c>
      <c r="K28" s="514" t="str">
        <f>_xlfn.LET(_xlpm.x,'Diversion and Disposal'!K24,IF(OR(LEN(_xlpm.x)&lt;1,_xlpm.x=0),"",_xlpm.x))</f>
        <v/>
      </c>
      <c r="L28" s="514" t="str">
        <f>_xlfn.LET(_xlpm.x,'Diversion and Disposal'!L24,IF(OR(LEN(_xlpm.x)&lt;1,_xlpm.x=0),"",_xlpm.x))</f>
        <v/>
      </c>
      <c r="M28" s="514" t="str">
        <f>_xlfn.LET(_xlpm.x,'Diversion and Disposal'!M24,IF(OR(LEN(_xlpm.x)&lt;1,_xlpm.x=0),"",_xlpm.x))</f>
        <v/>
      </c>
      <c r="N28" s="514" t="str">
        <f>_xlfn.LET(_xlpm.x,'Diversion and Disposal'!N24,IF(OR(LEN(_xlpm.x)&lt;1,_xlpm.x=0),"",_xlpm.x))</f>
        <v/>
      </c>
      <c r="O28" s="514" t="str">
        <f>_xlfn.LET(_xlpm.x,'Diversion and Disposal'!O24,IF(OR(LEN(_xlpm.x)&lt;1,_xlpm.x=0),"",_xlpm.x))</f>
        <v/>
      </c>
      <c r="P28" s="514" t="str">
        <f>_xlfn.LET(_xlpm.x,'Diversion and Disposal'!P24,IF(OR(LEN(_xlpm.x)&lt;1,_xlpm.x=0),"",_xlpm.x))</f>
        <v/>
      </c>
      <c r="Q28" s="514" t="str">
        <f>_xlfn.LET(_xlpm.x,'Diversion and Disposal'!Q24,IF(OR(LEN(_xlpm.x)&lt;1,_xlpm.x=0),"",_xlpm.x))</f>
        <v/>
      </c>
      <c r="R28" s="514" t="str">
        <f>_xlfn.LET(_xlpm.x,'Diversion and Disposal'!R24,IF(OR(LEN(_xlpm.x)&lt;1,_xlpm.x=0),"",_xlpm.x))</f>
        <v/>
      </c>
      <c r="S28" s="514" t="str">
        <f>_xlfn.LET(_xlpm.x,'Diversion and Disposal'!S24,IF(OR(LEN(_xlpm.x)&lt;1,_xlpm.x=0),"",_xlpm.x))</f>
        <v/>
      </c>
      <c r="T28" s="513">
        <f t="shared" si="2"/>
        <v>0</v>
      </c>
      <c r="BB28" s="432" t="str">
        <f t="shared" si="3"/>
        <v/>
      </c>
      <c r="BC28" s="432" t="str">
        <f t="shared" si="4"/>
        <v/>
      </c>
      <c r="BD28" s="432" t="str">
        <f t="shared" si="5"/>
        <v/>
      </c>
      <c r="BE28" s="432" t="str">
        <f t="shared" si="6"/>
        <v/>
      </c>
      <c r="BF28" s="432" t="str">
        <f t="shared" si="7"/>
        <v/>
      </c>
      <c r="BG28" s="477" t="str">
        <f t="shared" si="8"/>
        <v/>
      </c>
      <c r="BH28" s="477" t="str">
        <f t="shared" si="9"/>
        <v/>
      </c>
      <c r="BI28" s="477" t="str">
        <f t="shared" si="10"/>
        <v/>
      </c>
      <c r="BJ28" s="477" t="str">
        <f t="shared" si="11"/>
        <v/>
      </c>
      <c r="BK28" s="477" t="str">
        <f t="shared" si="12"/>
        <v/>
      </c>
      <c r="BL28" s="477" t="str">
        <f t="shared" si="13"/>
        <v/>
      </c>
      <c r="BM28" s="477" t="str">
        <f t="shared" si="14"/>
        <v/>
      </c>
      <c r="BN28" s="477" t="str">
        <f t="shared" si="15"/>
        <v/>
      </c>
      <c r="BO28" s="477" t="str">
        <f t="shared" si="16"/>
        <v/>
      </c>
      <c r="BP28" s="477" t="str">
        <f t="shared" si="17"/>
        <v/>
      </c>
      <c r="BQ28" s="477" t="str">
        <f t="shared" si="18"/>
        <v/>
      </c>
      <c r="BR28" s="477" t="str">
        <f t="shared" si="19"/>
        <v/>
      </c>
      <c r="BS28" s="477" t="str">
        <f t="shared" si="20"/>
        <v/>
      </c>
      <c r="BT28" s="435">
        <f t="shared" si="21"/>
        <v>0</v>
      </c>
      <c r="BU28" s="478" t="str">
        <f t="shared" si="34"/>
        <v/>
      </c>
      <c r="BV28" s="479" t="str">
        <f t="shared" si="35"/>
        <v/>
      </c>
      <c r="BW28" s="479" t="str">
        <f t="shared" si="22"/>
        <v/>
      </c>
      <c r="BX28" s="479" t="str">
        <f t="shared" si="23"/>
        <v/>
      </c>
      <c r="BY28" s="479" t="str">
        <f t="shared" si="24"/>
        <v/>
      </c>
      <c r="BZ28" s="479" t="str">
        <f t="shared" si="25"/>
        <v/>
      </c>
      <c r="CA28" s="479" t="str">
        <f t="shared" si="26"/>
        <v/>
      </c>
      <c r="CB28" s="479" t="str">
        <f t="shared" si="27"/>
        <v/>
      </c>
      <c r="CC28" s="479" t="str">
        <f t="shared" si="28"/>
        <v/>
      </c>
      <c r="CD28" s="479" t="str">
        <f t="shared" si="29"/>
        <v/>
      </c>
      <c r="CE28" s="479" t="str">
        <f t="shared" si="30"/>
        <v/>
      </c>
      <c r="CF28" s="479" t="str">
        <f t="shared" si="31"/>
        <v/>
      </c>
      <c r="CG28" s="479" t="str">
        <f t="shared" si="32"/>
        <v/>
      </c>
      <c r="CH28" s="480">
        <f t="shared" si="36"/>
        <v>0</v>
      </c>
      <c r="DD28" s="497" cm="1">
        <f t="array" ref="DD28">_xlfn.IFS('Project Inputs'!$F$150&lt;&gt;"Yes",0,DE28=18,0,DE28&lt;&gt;18,SUM(DF28:DG28))</f>
        <v>0</v>
      </c>
      <c r="DE28" s="31">
        <f t="shared" si="37"/>
        <v>18</v>
      </c>
      <c r="DF28" s="31">
        <f t="shared" si="38"/>
        <v>0</v>
      </c>
      <c r="DG28" s="31">
        <f t="shared" si="39"/>
        <v>0</v>
      </c>
    </row>
    <row r="29" spans="1:111">
      <c r="A29" s="22" t="str">
        <f t="shared" si="33"/>
        <v/>
      </c>
      <c r="B29" s="474" t="str">
        <f>_xlfn.LET(_xlpm.x,'Diversion and Disposal'!D25,IF(OR(LEN(_xlpm.x)&lt;1,_xlpm.x=0),"",_xlpm.x))</f>
        <v/>
      </c>
      <c r="C29" s="475" t="str">
        <f>_xlfn.LET(_xlpm.x,'Diversion and Disposal'!E25,IF(OR(LEN(_xlpm.x)&lt;1,_xlpm.x=0),"",_xlpm.x))</f>
        <v/>
      </c>
      <c r="D29" s="475" t="str">
        <f>_xlfn.LET(_xlpm.x,'Diversion and Disposal'!F25,IF(OR(LEN(_xlpm.x)&lt;1,_xlpm.x=0),"",_xlpm.x))</f>
        <v/>
      </c>
      <c r="E29" s="475" t="str">
        <f>_xlfn.LET(_xlpm.x,'Diversion and Disposal'!G25,IF(OR(LEN(_xlpm.x)&lt;1,_xlpm.x=0),"",_xlpm.x))</f>
        <v/>
      </c>
      <c r="F29" s="407"/>
      <c r="G29" s="511"/>
      <c r="H29" s="514" t="str">
        <f>_xlfn.LET(_xlpm.x,'Diversion and Disposal'!H25,IF(OR(LEN(_xlpm.x)&lt;1,_xlpm.x=0),"",_xlpm.x))</f>
        <v/>
      </c>
      <c r="I29" s="514" t="str">
        <f>_xlfn.LET(_xlpm.x,'Diversion and Disposal'!I25,IF(OR(LEN(_xlpm.x)&lt;1,_xlpm.x=0),"",_xlpm.x))</f>
        <v/>
      </c>
      <c r="J29" s="514" t="str">
        <f>_xlfn.LET(_xlpm.x,'Diversion and Disposal'!J25,IF(OR(LEN(_xlpm.x)&lt;1,_xlpm.x=0),"",_xlpm.x))</f>
        <v/>
      </c>
      <c r="K29" s="514" t="str">
        <f>_xlfn.LET(_xlpm.x,'Diversion and Disposal'!K25,IF(OR(LEN(_xlpm.x)&lt;1,_xlpm.x=0),"",_xlpm.x))</f>
        <v/>
      </c>
      <c r="L29" s="514" t="str">
        <f>_xlfn.LET(_xlpm.x,'Diversion and Disposal'!L25,IF(OR(LEN(_xlpm.x)&lt;1,_xlpm.x=0),"",_xlpm.x))</f>
        <v/>
      </c>
      <c r="M29" s="514" t="str">
        <f>_xlfn.LET(_xlpm.x,'Diversion and Disposal'!M25,IF(OR(LEN(_xlpm.x)&lt;1,_xlpm.x=0),"",_xlpm.x))</f>
        <v/>
      </c>
      <c r="N29" s="514" t="str">
        <f>_xlfn.LET(_xlpm.x,'Diversion and Disposal'!N25,IF(OR(LEN(_xlpm.x)&lt;1,_xlpm.x=0),"",_xlpm.x))</f>
        <v/>
      </c>
      <c r="O29" s="514" t="str">
        <f>_xlfn.LET(_xlpm.x,'Diversion and Disposal'!O25,IF(OR(LEN(_xlpm.x)&lt;1,_xlpm.x=0),"",_xlpm.x))</f>
        <v/>
      </c>
      <c r="P29" s="514" t="str">
        <f>_xlfn.LET(_xlpm.x,'Diversion and Disposal'!P25,IF(OR(LEN(_xlpm.x)&lt;1,_xlpm.x=0),"",_xlpm.x))</f>
        <v/>
      </c>
      <c r="Q29" s="514" t="str">
        <f>_xlfn.LET(_xlpm.x,'Diversion and Disposal'!Q25,IF(OR(LEN(_xlpm.x)&lt;1,_xlpm.x=0),"",_xlpm.x))</f>
        <v/>
      </c>
      <c r="R29" s="514" t="str">
        <f>_xlfn.LET(_xlpm.x,'Diversion and Disposal'!R25,IF(OR(LEN(_xlpm.x)&lt;1,_xlpm.x=0),"",_xlpm.x))</f>
        <v/>
      </c>
      <c r="S29" s="514" t="str">
        <f>_xlfn.LET(_xlpm.x,'Diversion and Disposal'!S25,IF(OR(LEN(_xlpm.x)&lt;1,_xlpm.x=0),"",_xlpm.x))</f>
        <v/>
      </c>
      <c r="T29" s="513">
        <f t="shared" si="2"/>
        <v>0</v>
      </c>
      <c r="BB29" s="432" t="str">
        <f t="shared" si="3"/>
        <v/>
      </c>
      <c r="BC29" s="432" t="str">
        <f t="shared" si="4"/>
        <v/>
      </c>
      <c r="BD29" s="432" t="str">
        <f t="shared" si="5"/>
        <v/>
      </c>
      <c r="BE29" s="432" t="str">
        <f t="shared" si="6"/>
        <v/>
      </c>
      <c r="BF29" s="432" t="str">
        <f t="shared" si="7"/>
        <v/>
      </c>
      <c r="BG29" s="477" t="str">
        <f t="shared" si="8"/>
        <v/>
      </c>
      <c r="BH29" s="477" t="str">
        <f t="shared" si="9"/>
        <v/>
      </c>
      <c r="BI29" s="477" t="str">
        <f t="shared" si="10"/>
        <v/>
      </c>
      <c r="BJ29" s="477" t="str">
        <f t="shared" si="11"/>
        <v/>
      </c>
      <c r="BK29" s="477" t="str">
        <f t="shared" si="12"/>
        <v/>
      </c>
      <c r="BL29" s="477" t="str">
        <f t="shared" si="13"/>
        <v/>
      </c>
      <c r="BM29" s="477" t="str">
        <f t="shared" si="14"/>
        <v/>
      </c>
      <c r="BN29" s="477" t="str">
        <f t="shared" si="15"/>
        <v/>
      </c>
      <c r="BO29" s="477" t="str">
        <f t="shared" si="16"/>
        <v/>
      </c>
      <c r="BP29" s="477" t="str">
        <f t="shared" si="17"/>
        <v/>
      </c>
      <c r="BQ29" s="477" t="str">
        <f t="shared" si="18"/>
        <v/>
      </c>
      <c r="BR29" s="477" t="str">
        <f t="shared" si="19"/>
        <v/>
      </c>
      <c r="BS29" s="477" t="str">
        <f t="shared" si="20"/>
        <v/>
      </c>
      <c r="BT29" s="435">
        <f t="shared" si="21"/>
        <v>0</v>
      </c>
      <c r="BU29" s="478" t="str">
        <f t="shared" si="34"/>
        <v/>
      </c>
      <c r="BV29" s="479" t="str">
        <f t="shared" si="35"/>
        <v/>
      </c>
      <c r="BW29" s="479" t="str">
        <f t="shared" si="22"/>
        <v/>
      </c>
      <c r="BX29" s="479" t="str">
        <f t="shared" si="23"/>
        <v/>
      </c>
      <c r="BY29" s="479" t="str">
        <f t="shared" si="24"/>
        <v/>
      </c>
      <c r="BZ29" s="479" t="str">
        <f t="shared" si="25"/>
        <v/>
      </c>
      <c r="CA29" s="479" t="str">
        <f t="shared" si="26"/>
        <v/>
      </c>
      <c r="CB29" s="479" t="str">
        <f t="shared" si="27"/>
        <v/>
      </c>
      <c r="CC29" s="479" t="str">
        <f t="shared" si="28"/>
        <v/>
      </c>
      <c r="CD29" s="479" t="str">
        <f t="shared" si="29"/>
        <v/>
      </c>
      <c r="CE29" s="479" t="str">
        <f t="shared" si="30"/>
        <v/>
      </c>
      <c r="CF29" s="479" t="str">
        <f t="shared" si="31"/>
        <v/>
      </c>
      <c r="CG29" s="479" t="str">
        <f t="shared" si="32"/>
        <v/>
      </c>
      <c r="CH29" s="480">
        <f t="shared" si="36"/>
        <v>0</v>
      </c>
      <c r="DD29" s="497" cm="1">
        <f t="array" ref="DD29">_xlfn.IFS('Project Inputs'!$F$150&lt;&gt;"Yes",0,DE29=18,0,DE29&lt;&gt;18,SUM(DF29:DG29))</f>
        <v>0</v>
      </c>
      <c r="DE29" s="31">
        <f t="shared" si="37"/>
        <v>18</v>
      </c>
      <c r="DF29" s="31">
        <f t="shared" si="38"/>
        <v>0</v>
      </c>
      <c r="DG29" s="31">
        <f t="shared" si="39"/>
        <v>0</v>
      </c>
    </row>
    <row r="30" spans="1:111">
      <c r="A30" s="22" t="str">
        <f t="shared" si="33"/>
        <v/>
      </c>
      <c r="B30" s="474" t="str">
        <f>_xlfn.LET(_xlpm.x,'Diversion and Disposal'!D26,IF(OR(LEN(_xlpm.x)&lt;1,_xlpm.x=0),"",_xlpm.x))</f>
        <v/>
      </c>
      <c r="C30" s="475" t="str">
        <f>_xlfn.LET(_xlpm.x,'Diversion and Disposal'!E26,IF(OR(LEN(_xlpm.x)&lt;1,_xlpm.x=0),"",_xlpm.x))</f>
        <v/>
      </c>
      <c r="D30" s="475" t="str">
        <f>_xlfn.LET(_xlpm.x,'Diversion and Disposal'!F26,IF(OR(LEN(_xlpm.x)&lt;1,_xlpm.x=0),"",_xlpm.x))</f>
        <v/>
      </c>
      <c r="E30" s="475" t="str">
        <f>_xlfn.LET(_xlpm.x,'Diversion and Disposal'!G26,IF(OR(LEN(_xlpm.x)&lt;1,_xlpm.x=0),"",_xlpm.x))</f>
        <v/>
      </c>
      <c r="F30" s="407"/>
      <c r="G30" s="511"/>
      <c r="H30" s="514" t="str">
        <f>_xlfn.LET(_xlpm.x,'Diversion and Disposal'!H26,IF(OR(LEN(_xlpm.x)&lt;1,_xlpm.x=0),"",_xlpm.x))</f>
        <v/>
      </c>
      <c r="I30" s="514" t="str">
        <f>_xlfn.LET(_xlpm.x,'Diversion and Disposal'!I26,IF(OR(LEN(_xlpm.x)&lt;1,_xlpm.x=0),"",_xlpm.x))</f>
        <v/>
      </c>
      <c r="J30" s="514" t="str">
        <f>_xlfn.LET(_xlpm.x,'Diversion and Disposal'!J26,IF(OR(LEN(_xlpm.x)&lt;1,_xlpm.x=0),"",_xlpm.x))</f>
        <v/>
      </c>
      <c r="K30" s="514" t="str">
        <f>_xlfn.LET(_xlpm.x,'Diversion and Disposal'!K26,IF(OR(LEN(_xlpm.x)&lt;1,_xlpm.x=0),"",_xlpm.x))</f>
        <v/>
      </c>
      <c r="L30" s="514" t="str">
        <f>_xlfn.LET(_xlpm.x,'Diversion and Disposal'!L26,IF(OR(LEN(_xlpm.x)&lt;1,_xlpm.x=0),"",_xlpm.x))</f>
        <v/>
      </c>
      <c r="M30" s="514" t="str">
        <f>_xlfn.LET(_xlpm.x,'Diversion and Disposal'!M26,IF(OR(LEN(_xlpm.x)&lt;1,_xlpm.x=0),"",_xlpm.x))</f>
        <v/>
      </c>
      <c r="N30" s="514" t="str">
        <f>_xlfn.LET(_xlpm.x,'Diversion and Disposal'!N26,IF(OR(LEN(_xlpm.x)&lt;1,_xlpm.x=0),"",_xlpm.x))</f>
        <v/>
      </c>
      <c r="O30" s="514" t="str">
        <f>_xlfn.LET(_xlpm.x,'Diversion and Disposal'!O26,IF(OR(LEN(_xlpm.x)&lt;1,_xlpm.x=0),"",_xlpm.x))</f>
        <v/>
      </c>
      <c r="P30" s="514" t="str">
        <f>_xlfn.LET(_xlpm.x,'Diversion and Disposal'!P26,IF(OR(LEN(_xlpm.x)&lt;1,_xlpm.x=0),"",_xlpm.x))</f>
        <v/>
      </c>
      <c r="Q30" s="514" t="str">
        <f>_xlfn.LET(_xlpm.x,'Diversion and Disposal'!Q26,IF(OR(LEN(_xlpm.x)&lt;1,_xlpm.x=0),"",_xlpm.x))</f>
        <v/>
      </c>
      <c r="R30" s="514" t="str">
        <f>_xlfn.LET(_xlpm.x,'Diversion and Disposal'!R26,IF(OR(LEN(_xlpm.x)&lt;1,_xlpm.x=0),"",_xlpm.x))</f>
        <v/>
      </c>
      <c r="S30" s="514" t="str">
        <f>_xlfn.LET(_xlpm.x,'Diversion and Disposal'!S26,IF(OR(LEN(_xlpm.x)&lt;1,_xlpm.x=0),"",_xlpm.x))</f>
        <v/>
      </c>
      <c r="T30" s="513">
        <f t="shared" si="2"/>
        <v>0</v>
      </c>
      <c r="BB30" s="432" t="str">
        <f t="shared" si="3"/>
        <v/>
      </c>
      <c r="BC30" s="432" t="str">
        <f t="shared" si="4"/>
        <v/>
      </c>
      <c r="BD30" s="432" t="str">
        <f t="shared" si="5"/>
        <v/>
      </c>
      <c r="BE30" s="432" t="str">
        <f t="shared" si="6"/>
        <v/>
      </c>
      <c r="BF30" s="432" t="str">
        <f t="shared" si="7"/>
        <v/>
      </c>
      <c r="BG30" s="477" t="str">
        <f t="shared" si="8"/>
        <v/>
      </c>
      <c r="BH30" s="477" t="str">
        <f t="shared" si="9"/>
        <v/>
      </c>
      <c r="BI30" s="477" t="str">
        <f t="shared" si="10"/>
        <v/>
      </c>
      <c r="BJ30" s="477" t="str">
        <f t="shared" si="11"/>
        <v/>
      </c>
      <c r="BK30" s="477" t="str">
        <f t="shared" si="12"/>
        <v/>
      </c>
      <c r="BL30" s="477" t="str">
        <f t="shared" si="13"/>
        <v/>
      </c>
      <c r="BM30" s="477" t="str">
        <f t="shared" si="14"/>
        <v/>
      </c>
      <c r="BN30" s="477" t="str">
        <f t="shared" si="15"/>
        <v/>
      </c>
      <c r="BO30" s="477" t="str">
        <f t="shared" si="16"/>
        <v/>
      </c>
      <c r="BP30" s="477" t="str">
        <f t="shared" si="17"/>
        <v/>
      </c>
      <c r="BQ30" s="477" t="str">
        <f t="shared" si="18"/>
        <v/>
      </c>
      <c r="BR30" s="477" t="str">
        <f t="shared" si="19"/>
        <v/>
      </c>
      <c r="BS30" s="477" t="str">
        <f t="shared" si="20"/>
        <v/>
      </c>
      <c r="BT30" s="435">
        <f t="shared" si="21"/>
        <v>0</v>
      </c>
      <c r="BU30" s="478" t="str">
        <f t="shared" si="34"/>
        <v/>
      </c>
      <c r="BV30" s="479" t="str">
        <f t="shared" si="35"/>
        <v/>
      </c>
      <c r="BW30" s="479" t="str">
        <f t="shared" si="22"/>
        <v/>
      </c>
      <c r="BX30" s="479" t="str">
        <f t="shared" si="23"/>
        <v/>
      </c>
      <c r="BY30" s="479" t="str">
        <f t="shared" si="24"/>
        <v/>
      </c>
      <c r="BZ30" s="479" t="str">
        <f t="shared" si="25"/>
        <v/>
      </c>
      <c r="CA30" s="479" t="str">
        <f t="shared" si="26"/>
        <v/>
      </c>
      <c r="CB30" s="479" t="str">
        <f t="shared" si="27"/>
        <v/>
      </c>
      <c r="CC30" s="479" t="str">
        <f t="shared" si="28"/>
        <v/>
      </c>
      <c r="CD30" s="479" t="str">
        <f t="shared" si="29"/>
        <v/>
      </c>
      <c r="CE30" s="479" t="str">
        <f t="shared" si="30"/>
        <v/>
      </c>
      <c r="CF30" s="479" t="str">
        <f t="shared" si="31"/>
        <v/>
      </c>
      <c r="CG30" s="479" t="str">
        <f t="shared" si="32"/>
        <v/>
      </c>
      <c r="CH30" s="480">
        <f t="shared" si="36"/>
        <v>0</v>
      </c>
      <c r="DD30" s="497" cm="1">
        <f t="array" ref="DD30">_xlfn.IFS('Project Inputs'!$F$150&lt;&gt;"Yes",0,DE30=18,0,DE30&lt;&gt;18,SUM(DF30:DG30))</f>
        <v>0</v>
      </c>
      <c r="DE30" s="31">
        <f t="shared" si="37"/>
        <v>18</v>
      </c>
      <c r="DF30" s="31">
        <f t="shared" si="38"/>
        <v>0</v>
      </c>
      <c r="DG30" s="31">
        <f t="shared" si="39"/>
        <v>0</v>
      </c>
    </row>
    <row r="31" spans="1:111">
      <c r="A31" s="22" t="str">
        <f t="shared" si="33"/>
        <v/>
      </c>
      <c r="B31" s="474" t="str">
        <f>_xlfn.LET(_xlpm.x,'Diversion and Disposal'!D27,IF(OR(LEN(_xlpm.x)&lt;1,_xlpm.x=0),"",_xlpm.x))</f>
        <v/>
      </c>
      <c r="C31" s="475" t="str">
        <f>_xlfn.LET(_xlpm.x,'Diversion and Disposal'!E27,IF(OR(LEN(_xlpm.x)&lt;1,_xlpm.x=0),"",_xlpm.x))</f>
        <v/>
      </c>
      <c r="D31" s="475" t="str">
        <f>_xlfn.LET(_xlpm.x,'Diversion and Disposal'!F27,IF(OR(LEN(_xlpm.x)&lt;1,_xlpm.x=0),"",_xlpm.x))</f>
        <v/>
      </c>
      <c r="E31" s="475" t="str">
        <f>_xlfn.LET(_xlpm.x,'Diversion and Disposal'!G27,IF(OR(LEN(_xlpm.x)&lt;1,_xlpm.x=0),"",_xlpm.x))</f>
        <v/>
      </c>
      <c r="F31" s="407"/>
      <c r="G31" s="511"/>
      <c r="H31" s="514" t="str">
        <f>_xlfn.LET(_xlpm.x,'Diversion and Disposal'!H27,IF(OR(LEN(_xlpm.x)&lt;1,_xlpm.x=0),"",_xlpm.x))</f>
        <v/>
      </c>
      <c r="I31" s="514" t="str">
        <f>_xlfn.LET(_xlpm.x,'Diversion and Disposal'!I27,IF(OR(LEN(_xlpm.x)&lt;1,_xlpm.x=0),"",_xlpm.x))</f>
        <v/>
      </c>
      <c r="J31" s="514" t="str">
        <f>_xlfn.LET(_xlpm.x,'Diversion and Disposal'!J27,IF(OR(LEN(_xlpm.x)&lt;1,_xlpm.x=0),"",_xlpm.x))</f>
        <v/>
      </c>
      <c r="K31" s="514" t="str">
        <f>_xlfn.LET(_xlpm.x,'Diversion and Disposal'!K27,IF(OR(LEN(_xlpm.x)&lt;1,_xlpm.x=0),"",_xlpm.x))</f>
        <v/>
      </c>
      <c r="L31" s="514" t="str">
        <f>_xlfn.LET(_xlpm.x,'Diversion and Disposal'!L27,IF(OR(LEN(_xlpm.x)&lt;1,_xlpm.x=0),"",_xlpm.x))</f>
        <v/>
      </c>
      <c r="M31" s="514" t="str">
        <f>_xlfn.LET(_xlpm.x,'Diversion and Disposal'!M27,IF(OR(LEN(_xlpm.x)&lt;1,_xlpm.x=0),"",_xlpm.x))</f>
        <v/>
      </c>
      <c r="N31" s="514" t="str">
        <f>_xlfn.LET(_xlpm.x,'Diversion and Disposal'!N27,IF(OR(LEN(_xlpm.x)&lt;1,_xlpm.x=0),"",_xlpm.x))</f>
        <v/>
      </c>
      <c r="O31" s="514" t="str">
        <f>_xlfn.LET(_xlpm.x,'Diversion and Disposal'!O27,IF(OR(LEN(_xlpm.x)&lt;1,_xlpm.x=0),"",_xlpm.x))</f>
        <v/>
      </c>
      <c r="P31" s="514" t="str">
        <f>_xlfn.LET(_xlpm.x,'Diversion and Disposal'!P27,IF(OR(LEN(_xlpm.x)&lt;1,_xlpm.x=0),"",_xlpm.x))</f>
        <v/>
      </c>
      <c r="Q31" s="514" t="str">
        <f>_xlfn.LET(_xlpm.x,'Diversion and Disposal'!Q27,IF(OR(LEN(_xlpm.x)&lt;1,_xlpm.x=0),"",_xlpm.x))</f>
        <v/>
      </c>
      <c r="R31" s="514" t="str">
        <f>_xlfn.LET(_xlpm.x,'Diversion and Disposal'!R27,IF(OR(LEN(_xlpm.x)&lt;1,_xlpm.x=0),"",_xlpm.x))</f>
        <v/>
      </c>
      <c r="S31" s="514" t="str">
        <f>_xlfn.LET(_xlpm.x,'Diversion and Disposal'!S27,IF(OR(LEN(_xlpm.x)&lt;1,_xlpm.x=0),"",_xlpm.x))</f>
        <v/>
      </c>
      <c r="T31" s="513">
        <f t="shared" si="2"/>
        <v>0</v>
      </c>
      <c r="BB31" s="432" t="str">
        <f t="shared" si="3"/>
        <v/>
      </c>
      <c r="BC31" s="432" t="str">
        <f t="shared" si="4"/>
        <v/>
      </c>
      <c r="BD31" s="432" t="str">
        <f t="shared" si="5"/>
        <v/>
      </c>
      <c r="BE31" s="432" t="str">
        <f t="shared" si="6"/>
        <v/>
      </c>
      <c r="BF31" s="432" t="str">
        <f t="shared" si="7"/>
        <v/>
      </c>
      <c r="BG31" s="477" t="str">
        <f t="shared" si="8"/>
        <v/>
      </c>
      <c r="BH31" s="477" t="str">
        <f t="shared" si="9"/>
        <v/>
      </c>
      <c r="BI31" s="477" t="str">
        <f t="shared" si="10"/>
        <v/>
      </c>
      <c r="BJ31" s="477" t="str">
        <f t="shared" si="11"/>
        <v/>
      </c>
      <c r="BK31" s="477" t="str">
        <f t="shared" si="12"/>
        <v/>
      </c>
      <c r="BL31" s="477" t="str">
        <f t="shared" si="13"/>
        <v/>
      </c>
      <c r="BM31" s="477" t="str">
        <f t="shared" si="14"/>
        <v/>
      </c>
      <c r="BN31" s="477" t="str">
        <f t="shared" si="15"/>
        <v/>
      </c>
      <c r="BO31" s="477" t="str">
        <f t="shared" si="16"/>
        <v/>
      </c>
      <c r="BP31" s="477" t="str">
        <f t="shared" si="17"/>
        <v/>
      </c>
      <c r="BQ31" s="477" t="str">
        <f t="shared" si="18"/>
        <v/>
      </c>
      <c r="BR31" s="477" t="str">
        <f t="shared" si="19"/>
        <v/>
      </c>
      <c r="BS31" s="477" t="str">
        <f t="shared" si="20"/>
        <v/>
      </c>
      <c r="BT31" s="435">
        <f t="shared" si="21"/>
        <v>0</v>
      </c>
      <c r="BU31" s="478" t="str">
        <f t="shared" si="34"/>
        <v/>
      </c>
      <c r="BV31" s="479" t="str">
        <f t="shared" si="35"/>
        <v/>
      </c>
      <c r="BW31" s="479" t="str">
        <f t="shared" si="22"/>
        <v/>
      </c>
      <c r="BX31" s="479" t="str">
        <f t="shared" si="23"/>
        <v/>
      </c>
      <c r="BY31" s="479" t="str">
        <f t="shared" si="24"/>
        <v/>
      </c>
      <c r="BZ31" s="479" t="str">
        <f t="shared" si="25"/>
        <v/>
      </c>
      <c r="CA31" s="479" t="str">
        <f t="shared" si="26"/>
        <v/>
      </c>
      <c r="CB31" s="479" t="str">
        <f t="shared" si="27"/>
        <v/>
      </c>
      <c r="CC31" s="479" t="str">
        <f t="shared" si="28"/>
        <v/>
      </c>
      <c r="CD31" s="479" t="str">
        <f t="shared" si="29"/>
        <v/>
      </c>
      <c r="CE31" s="479" t="str">
        <f t="shared" si="30"/>
        <v/>
      </c>
      <c r="CF31" s="479" t="str">
        <f t="shared" si="31"/>
        <v/>
      </c>
      <c r="CG31" s="479" t="str">
        <f t="shared" si="32"/>
        <v/>
      </c>
      <c r="CH31" s="480">
        <f t="shared" si="36"/>
        <v>0</v>
      </c>
      <c r="DD31" s="497" cm="1">
        <f t="array" ref="DD31">_xlfn.IFS('Project Inputs'!$F$150&lt;&gt;"Yes",0,DE31=18,0,DE31&lt;&gt;18,SUM(DF31:DG31))</f>
        <v>0</v>
      </c>
      <c r="DE31" s="31">
        <f t="shared" si="37"/>
        <v>18</v>
      </c>
      <c r="DF31" s="31">
        <f t="shared" si="38"/>
        <v>0</v>
      </c>
      <c r="DG31" s="31">
        <f t="shared" si="39"/>
        <v>0</v>
      </c>
    </row>
    <row r="32" spans="1:111">
      <c r="A32" s="22" t="str">
        <f t="shared" si="33"/>
        <v/>
      </c>
      <c r="B32" s="474" t="str">
        <f>_xlfn.LET(_xlpm.x,'Diversion and Disposal'!D28,IF(OR(LEN(_xlpm.x)&lt;1,_xlpm.x=0),"",_xlpm.x))</f>
        <v/>
      </c>
      <c r="C32" s="475" t="str">
        <f>_xlfn.LET(_xlpm.x,'Diversion and Disposal'!E28,IF(OR(LEN(_xlpm.x)&lt;1,_xlpm.x=0),"",_xlpm.x))</f>
        <v/>
      </c>
      <c r="D32" s="475" t="str">
        <f>_xlfn.LET(_xlpm.x,'Diversion and Disposal'!F28,IF(OR(LEN(_xlpm.x)&lt;1,_xlpm.x=0),"",_xlpm.x))</f>
        <v/>
      </c>
      <c r="E32" s="475" t="str">
        <f>_xlfn.LET(_xlpm.x,'Diversion and Disposal'!G28,IF(OR(LEN(_xlpm.x)&lt;1,_xlpm.x=0),"",_xlpm.x))</f>
        <v/>
      </c>
      <c r="F32" s="407"/>
      <c r="G32" s="511"/>
      <c r="H32" s="514" t="str">
        <f>_xlfn.LET(_xlpm.x,'Diversion and Disposal'!H28,IF(OR(LEN(_xlpm.x)&lt;1,_xlpm.x=0),"",_xlpm.x))</f>
        <v/>
      </c>
      <c r="I32" s="514" t="str">
        <f>_xlfn.LET(_xlpm.x,'Diversion and Disposal'!I28,IF(OR(LEN(_xlpm.x)&lt;1,_xlpm.x=0),"",_xlpm.x))</f>
        <v/>
      </c>
      <c r="J32" s="514" t="str">
        <f>_xlfn.LET(_xlpm.x,'Diversion and Disposal'!J28,IF(OR(LEN(_xlpm.x)&lt;1,_xlpm.x=0),"",_xlpm.x))</f>
        <v/>
      </c>
      <c r="K32" s="514" t="str">
        <f>_xlfn.LET(_xlpm.x,'Diversion and Disposal'!K28,IF(OR(LEN(_xlpm.x)&lt;1,_xlpm.x=0),"",_xlpm.x))</f>
        <v/>
      </c>
      <c r="L32" s="514" t="str">
        <f>_xlfn.LET(_xlpm.x,'Diversion and Disposal'!L28,IF(OR(LEN(_xlpm.x)&lt;1,_xlpm.x=0),"",_xlpm.x))</f>
        <v/>
      </c>
      <c r="M32" s="514" t="str">
        <f>_xlfn.LET(_xlpm.x,'Diversion and Disposal'!M28,IF(OR(LEN(_xlpm.x)&lt;1,_xlpm.x=0),"",_xlpm.x))</f>
        <v/>
      </c>
      <c r="N32" s="514" t="str">
        <f>_xlfn.LET(_xlpm.x,'Diversion and Disposal'!N28,IF(OR(LEN(_xlpm.x)&lt;1,_xlpm.x=0),"",_xlpm.x))</f>
        <v/>
      </c>
      <c r="O32" s="514" t="str">
        <f>_xlfn.LET(_xlpm.x,'Diversion and Disposal'!O28,IF(OR(LEN(_xlpm.x)&lt;1,_xlpm.x=0),"",_xlpm.x))</f>
        <v/>
      </c>
      <c r="P32" s="514" t="str">
        <f>_xlfn.LET(_xlpm.x,'Diversion and Disposal'!P28,IF(OR(LEN(_xlpm.x)&lt;1,_xlpm.x=0),"",_xlpm.x))</f>
        <v/>
      </c>
      <c r="Q32" s="514" t="str">
        <f>_xlfn.LET(_xlpm.x,'Diversion and Disposal'!Q28,IF(OR(LEN(_xlpm.x)&lt;1,_xlpm.x=0),"",_xlpm.x))</f>
        <v/>
      </c>
      <c r="R32" s="514" t="str">
        <f>_xlfn.LET(_xlpm.x,'Diversion and Disposal'!R28,IF(OR(LEN(_xlpm.x)&lt;1,_xlpm.x=0),"",_xlpm.x))</f>
        <v/>
      </c>
      <c r="S32" s="514" t="str">
        <f>_xlfn.LET(_xlpm.x,'Diversion and Disposal'!S28,IF(OR(LEN(_xlpm.x)&lt;1,_xlpm.x=0),"",_xlpm.x))</f>
        <v/>
      </c>
      <c r="T32" s="513">
        <f t="shared" si="2"/>
        <v>0</v>
      </c>
      <c r="BB32" s="432" t="str">
        <f t="shared" si="3"/>
        <v/>
      </c>
      <c r="BC32" s="432" t="str">
        <f t="shared" si="4"/>
        <v/>
      </c>
      <c r="BD32" s="432" t="str">
        <f t="shared" si="5"/>
        <v/>
      </c>
      <c r="BE32" s="432" t="str">
        <f t="shared" si="6"/>
        <v/>
      </c>
      <c r="BF32" s="432" t="str">
        <f t="shared" si="7"/>
        <v/>
      </c>
      <c r="BG32" s="477" t="str">
        <f t="shared" si="8"/>
        <v/>
      </c>
      <c r="BH32" s="477" t="str">
        <f t="shared" si="9"/>
        <v/>
      </c>
      <c r="BI32" s="477" t="str">
        <f t="shared" si="10"/>
        <v/>
      </c>
      <c r="BJ32" s="477" t="str">
        <f t="shared" si="11"/>
        <v/>
      </c>
      <c r="BK32" s="477" t="str">
        <f t="shared" si="12"/>
        <v/>
      </c>
      <c r="BL32" s="477" t="str">
        <f t="shared" si="13"/>
        <v/>
      </c>
      <c r="BM32" s="477" t="str">
        <f t="shared" si="14"/>
        <v/>
      </c>
      <c r="BN32" s="477" t="str">
        <f t="shared" si="15"/>
        <v/>
      </c>
      <c r="BO32" s="477" t="str">
        <f t="shared" si="16"/>
        <v/>
      </c>
      <c r="BP32" s="477" t="str">
        <f t="shared" si="17"/>
        <v/>
      </c>
      <c r="BQ32" s="477" t="str">
        <f t="shared" si="18"/>
        <v/>
      </c>
      <c r="BR32" s="477" t="str">
        <f t="shared" si="19"/>
        <v/>
      </c>
      <c r="BS32" s="477" t="str">
        <f t="shared" si="20"/>
        <v/>
      </c>
      <c r="BT32" s="435">
        <f t="shared" si="21"/>
        <v>0</v>
      </c>
      <c r="BU32" s="478" t="str">
        <f t="shared" si="34"/>
        <v/>
      </c>
      <c r="BV32" s="479" t="str">
        <f t="shared" si="35"/>
        <v/>
      </c>
      <c r="BW32" s="479" t="str">
        <f t="shared" si="22"/>
        <v/>
      </c>
      <c r="BX32" s="479" t="str">
        <f t="shared" si="23"/>
        <v/>
      </c>
      <c r="BY32" s="479" t="str">
        <f t="shared" si="24"/>
        <v/>
      </c>
      <c r="BZ32" s="479" t="str">
        <f t="shared" si="25"/>
        <v/>
      </c>
      <c r="CA32" s="479" t="str">
        <f t="shared" si="26"/>
        <v/>
      </c>
      <c r="CB32" s="479" t="str">
        <f t="shared" si="27"/>
        <v/>
      </c>
      <c r="CC32" s="479" t="str">
        <f t="shared" si="28"/>
        <v/>
      </c>
      <c r="CD32" s="479" t="str">
        <f t="shared" si="29"/>
        <v/>
      </c>
      <c r="CE32" s="479" t="str">
        <f t="shared" si="30"/>
        <v/>
      </c>
      <c r="CF32" s="479" t="str">
        <f t="shared" si="31"/>
        <v/>
      </c>
      <c r="CG32" s="479" t="str">
        <f t="shared" si="32"/>
        <v/>
      </c>
      <c r="CH32" s="480">
        <f t="shared" si="36"/>
        <v>0</v>
      </c>
      <c r="DD32" s="497" cm="1">
        <f t="array" ref="DD32">_xlfn.IFS('Project Inputs'!$F$150&lt;&gt;"Yes",0,DE32=18,0,DE32&lt;&gt;18,SUM(DF32:DG32))</f>
        <v>0</v>
      </c>
      <c r="DE32" s="31">
        <f t="shared" si="37"/>
        <v>18</v>
      </c>
      <c r="DF32" s="31">
        <f t="shared" si="38"/>
        <v>0</v>
      </c>
      <c r="DG32" s="31">
        <f t="shared" si="39"/>
        <v>0</v>
      </c>
    </row>
    <row r="33" spans="1:111">
      <c r="A33" s="22" t="str">
        <f t="shared" si="33"/>
        <v/>
      </c>
      <c r="B33" s="474" t="str">
        <f>_xlfn.LET(_xlpm.x,'Diversion and Disposal'!D29,IF(OR(LEN(_xlpm.x)&lt;1,_xlpm.x=0),"",_xlpm.x))</f>
        <v/>
      </c>
      <c r="C33" s="475" t="str">
        <f>_xlfn.LET(_xlpm.x,'Diversion and Disposal'!E29,IF(OR(LEN(_xlpm.x)&lt;1,_xlpm.x=0),"",_xlpm.x))</f>
        <v/>
      </c>
      <c r="D33" s="475" t="str">
        <f>_xlfn.LET(_xlpm.x,'Diversion and Disposal'!F29,IF(OR(LEN(_xlpm.x)&lt;1,_xlpm.x=0),"",_xlpm.x))</f>
        <v/>
      </c>
      <c r="E33" s="475" t="str">
        <f>_xlfn.LET(_xlpm.x,'Diversion and Disposal'!G29,IF(OR(LEN(_xlpm.x)&lt;1,_xlpm.x=0),"",_xlpm.x))</f>
        <v/>
      </c>
      <c r="F33" s="407"/>
      <c r="G33" s="511"/>
      <c r="H33" s="514" t="str">
        <f>_xlfn.LET(_xlpm.x,'Diversion and Disposal'!H29,IF(OR(LEN(_xlpm.x)&lt;1,_xlpm.x=0),"",_xlpm.x))</f>
        <v/>
      </c>
      <c r="I33" s="514" t="str">
        <f>_xlfn.LET(_xlpm.x,'Diversion and Disposal'!I29,IF(OR(LEN(_xlpm.x)&lt;1,_xlpm.x=0),"",_xlpm.x))</f>
        <v/>
      </c>
      <c r="J33" s="514" t="str">
        <f>_xlfn.LET(_xlpm.x,'Diversion and Disposal'!J29,IF(OR(LEN(_xlpm.x)&lt;1,_xlpm.x=0),"",_xlpm.x))</f>
        <v/>
      </c>
      <c r="K33" s="514" t="str">
        <f>_xlfn.LET(_xlpm.x,'Diversion and Disposal'!K29,IF(OR(LEN(_xlpm.x)&lt;1,_xlpm.x=0),"",_xlpm.x))</f>
        <v/>
      </c>
      <c r="L33" s="514" t="str">
        <f>_xlfn.LET(_xlpm.x,'Diversion and Disposal'!L29,IF(OR(LEN(_xlpm.x)&lt;1,_xlpm.x=0),"",_xlpm.x))</f>
        <v/>
      </c>
      <c r="M33" s="514" t="str">
        <f>_xlfn.LET(_xlpm.x,'Diversion and Disposal'!M29,IF(OR(LEN(_xlpm.x)&lt;1,_xlpm.x=0),"",_xlpm.x))</f>
        <v/>
      </c>
      <c r="N33" s="514" t="str">
        <f>_xlfn.LET(_xlpm.x,'Diversion and Disposal'!N29,IF(OR(LEN(_xlpm.x)&lt;1,_xlpm.x=0),"",_xlpm.x))</f>
        <v/>
      </c>
      <c r="O33" s="514" t="str">
        <f>_xlfn.LET(_xlpm.x,'Diversion and Disposal'!O29,IF(OR(LEN(_xlpm.x)&lt;1,_xlpm.x=0),"",_xlpm.x))</f>
        <v/>
      </c>
      <c r="P33" s="514" t="str">
        <f>_xlfn.LET(_xlpm.x,'Diversion and Disposal'!P29,IF(OR(LEN(_xlpm.x)&lt;1,_xlpm.x=0),"",_xlpm.x))</f>
        <v/>
      </c>
      <c r="Q33" s="514" t="str">
        <f>_xlfn.LET(_xlpm.x,'Diversion and Disposal'!Q29,IF(OR(LEN(_xlpm.x)&lt;1,_xlpm.x=0),"",_xlpm.x))</f>
        <v/>
      </c>
      <c r="R33" s="514" t="str">
        <f>_xlfn.LET(_xlpm.x,'Diversion and Disposal'!R29,IF(OR(LEN(_xlpm.x)&lt;1,_xlpm.x=0),"",_xlpm.x))</f>
        <v/>
      </c>
      <c r="S33" s="514" t="str">
        <f>_xlfn.LET(_xlpm.x,'Diversion and Disposal'!S29,IF(OR(LEN(_xlpm.x)&lt;1,_xlpm.x=0),"",_xlpm.x))</f>
        <v/>
      </c>
      <c r="T33" s="513">
        <f t="shared" si="2"/>
        <v>0</v>
      </c>
      <c r="BB33" s="432" t="str">
        <f t="shared" si="3"/>
        <v/>
      </c>
      <c r="BC33" s="432" t="str">
        <f t="shared" si="4"/>
        <v/>
      </c>
      <c r="BD33" s="432" t="str">
        <f t="shared" si="5"/>
        <v/>
      </c>
      <c r="BE33" s="432" t="str">
        <f t="shared" si="6"/>
        <v/>
      </c>
      <c r="BF33" s="432" t="str">
        <f t="shared" si="7"/>
        <v/>
      </c>
      <c r="BG33" s="477" t="str">
        <f t="shared" si="8"/>
        <v/>
      </c>
      <c r="BH33" s="477" t="str">
        <f t="shared" si="9"/>
        <v/>
      </c>
      <c r="BI33" s="477" t="str">
        <f t="shared" si="10"/>
        <v/>
      </c>
      <c r="BJ33" s="477" t="str">
        <f t="shared" si="11"/>
        <v/>
      </c>
      <c r="BK33" s="477" t="str">
        <f t="shared" si="12"/>
        <v/>
      </c>
      <c r="BL33" s="477" t="str">
        <f t="shared" si="13"/>
        <v/>
      </c>
      <c r="BM33" s="477" t="str">
        <f t="shared" si="14"/>
        <v/>
      </c>
      <c r="BN33" s="477" t="str">
        <f t="shared" si="15"/>
        <v/>
      </c>
      <c r="BO33" s="477" t="str">
        <f t="shared" si="16"/>
        <v/>
      </c>
      <c r="BP33" s="477" t="str">
        <f t="shared" si="17"/>
        <v/>
      </c>
      <c r="BQ33" s="477" t="str">
        <f t="shared" si="18"/>
        <v/>
      </c>
      <c r="BR33" s="477" t="str">
        <f t="shared" si="19"/>
        <v/>
      </c>
      <c r="BS33" s="477" t="str">
        <f t="shared" si="20"/>
        <v/>
      </c>
      <c r="BT33" s="435">
        <f t="shared" si="21"/>
        <v>0</v>
      </c>
      <c r="BU33" s="478" t="str">
        <f t="shared" si="34"/>
        <v/>
      </c>
      <c r="BV33" s="479" t="str">
        <f t="shared" si="35"/>
        <v/>
      </c>
      <c r="BW33" s="479" t="str">
        <f t="shared" si="22"/>
        <v/>
      </c>
      <c r="BX33" s="479" t="str">
        <f t="shared" si="23"/>
        <v/>
      </c>
      <c r="BY33" s="479" t="str">
        <f t="shared" si="24"/>
        <v/>
      </c>
      <c r="BZ33" s="479" t="str">
        <f t="shared" si="25"/>
        <v/>
      </c>
      <c r="CA33" s="479" t="str">
        <f t="shared" si="26"/>
        <v/>
      </c>
      <c r="CB33" s="479" t="str">
        <f t="shared" si="27"/>
        <v/>
      </c>
      <c r="CC33" s="479" t="str">
        <f t="shared" si="28"/>
        <v/>
      </c>
      <c r="CD33" s="479" t="str">
        <f t="shared" si="29"/>
        <v/>
      </c>
      <c r="CE33" s="479" t="str">
        <f t="shared" si="30"/>
        <v/>
      </c>
      <c r="CF33" s="479" t="str">
        <f t="shared" si="31"/>
        <v/>
      </c>
      <c r="CG33" s="479" t="str">
        <f t="shared" si="32"/>
        <v/>
      </c>
      <c r="CH33" s="480">
        <f t="shared" si="36"/>
        <v>0</v>
      </c>
      <c r="DD33" s="497" cm="1">
        <f t="array" ref="DD33">_xlfn.IFS('Project Inputs'!$F$150&lt;&gt;"Yes",0,DE33=18,0,DE33&lt;&gt;18,SUM(DF33:DG33))</f>
        <v>0</v>
      </c>
      <c r="DE33" s="31">
        <f t="shared" si="37"/>
        <v>18</v>
      </c>
      <c r="DF33" s="31">
        <f t="shared" si="38"/>
        <v>0</v>
      </c>
      <c r="DG33" s="31">
        <f t="shared" si="39"/>
        <v>0</v>
      </c>
    </row>
    <row r="34" spans="1:111">
      <c r="A34" s="22" t="str">
        <f t="shared" si="33"/>
        <v/>
      </c>
      <c r="B34" s="474" t="str">
        <f>_xlfn.LET(_xlpm.x,'Diversion and Disposal'!D30,IF(OR(LEN(_xlpm.x)&lt;1,_xlpm.x=0),"",_xlpm.x))</f>
        <v/>
      </c>
      <c r="C34" s="475" t="str">
        <f>_xlfn.LET(_xlpm.x,'Diversion and Disposal'!E30,IF(OR(LEN(_xlpm.x)&lt;1,_xlpm.x=0),"",_xlpm.x))</f>
        <v/>
      </c>
      <c r="D34" s="475" t="str">
        <f>_xlfn.LET(_xlpm.x,'Diversion and Disposal'!F30,IF(OR(LEN(_xlpm.x)&lt;1,_xlpm.x=0),"",_xlpm.x))</f>
        <v/>
      </c>
      <c r="E34" s="475" t="str">
        <f>_xlfn.LET(_xlpm.x,'Diversion and Disposal'!G30,IF(OR(LEN(_xlpm.x)&lt;1,_xlpm.x=0),"",_xlpm.x))</f>
        <v/>
      </c>
      <c r="F34" s="407"/>
      <c r="G34" s="511"/>
      <c r="H34" s="514" t="str">
        <f>_xlfn.LET(_xlpm.x,'Diversion and Disposal'!H30,IF(OR(LEN(_xlpm.x)&lt;1,_xlpm.x=0),"",_xlpm.x))</f>
        <v/>
      </c>
      <c r="I34" s="514" t="str">
        <f>_xlfn.LET(_xlpm.x,'Diversion and Disposal'!I30,IF(OR(LEN(_xlpm.x)&lt;1,_xlpm.x=0),"",_xlpm.x))</f>
        <v/>
      </c>
      <c r="J34" s="514" t="str">
        <f>_xlfn.LET(_xlpm.x,'Diversion and Disposal'!J30,IF(OR(LEN(_xlpm.x)&lt;1,_xlpm.x=0),"",_xlpm.x))</f>
        <v/>
      </c>
      <c r="K34" s="514" t="str">
        <f>_xlfn.LET(_xlpm.x,'Diversion and Disposal'!K30,IF(OR(LEN(_xlpm.x)&lt;1,_xlpm.x=0),"",_xlpm.x))</f>
        <v/>
      </c>
      <c r="L34" s="514" t="str">
        <f>_xlfn.LET(_xlpm.x,'Diversion and Disposal'!L30,IF(OR(LEN(_xlpm.x)&lt;1,_xlpm.x=0),"",_xlpm.x))</f>
        <v/>
      </c>
      <c r="M34" s="514" t="str">
        <f>_xlfn.LET(_xlpm.x,'Diversion and Disposal'!M30,IF(OR(LEN(_xlpm.x)&lt;1,_xlpm.x=0),"",_xlpm.x))</f>
        <v/>
      </c>
      <c r="N34" s="514" t="str">
        <f>_xlfn.LET(_xlpm.x,'Diversion and Disposal'!N30,IF(OR(LEN(_xlpm.x)&lt;1,_xlpm.x=0),"",_xlpm.x))</f>
        <v/>
      </c>
      <c r="O34" s="514" t="str">
        <f>_xlfn.LET(_xlpm.x,'Diversion and Disposal'!O30,IF(OR(LEN(_xlpm.x)&lt;1,_xlpm.x=0),"",_xlpm.x))</f>
        <v/>
      </c>
      <c r="P34" s="514" t="str">
        <f>_xlfn.LET(_xlpm.x,'Diversion and Disposal'!P30,IF(OR(LEN(_xlpm.x)&lt;1,_xlpm.x=0),"",_xlpm.x))</f>
        <v/>
      </c>
      <c r="Q34" s="514" t="str">
        <f>_xlfn.LET(_xlpm.x,'Diversion and Disposal'!Q30,IF(OR(LEN(_xlpm.x)&lt;1,_xlpm.x=0),"",_xlpm.x))</f>
        <v/>
      </c>
      <c r="R34" s="514" t="str">
        <f>_xlfn.LET(_xlpm.x,'Diversion and Disposal'!R30,IF(OR(LEN(_xlpm.x)&lt;1,_xlpm.x=0),"",_xlpm.x))</f>
        <v/>
      </c>
      <c r="S34" s="514" t="str">
        <f>_xlfn.LET(_xlpm.x,'Diversion and Disposal'!S30,IF(OR(LEN(_xlpm.x)&lt;1,_xlpm.x=0),"",_xlpm.x))</f>
        <v/>
      </c>
      <c r="T34" s="513">
        <f t="shared" si="2"/>
        <v>0</v>
      </c>
      <c r="BB34" s="432" t="str">
        <f t="shared" si="3"/>
        <v/>
      </c>
      <c r="BC34" s="432" t="str">
        <f t="shared" si="4"/>
        <v/>
      </c>
      <c r="BD34" s="432" t="str">
        <f t="shared" si="5"/>
        <v/>
      </c>
      <c r="BE34" s="432" t="str">
        <f t="shared" si="6"/>
        <v/>
      </c>
      <c r="BF34" s="432" t="str">
        <f t="shared" si="7"/>
        <v/>
      </c>
      <c r="BG34" s="477" t="str">
        <f t="shared" si="8"/>
        <v/>
      </c>
      <c r="BH34" s="477" t="str">
        <f t="shared" si="9"/>
        <v/>
      </c>
      <c r="BI34" s="477" t="str">
        <f t="shared" si="10"/>
        <v/>
      </c>
      <c r="BJ34" s="477" t="str">
        <f t="shared" si="11"/>
        <v/>
      </c>
      <c r="BK34" s="477" t="str">
        <f t="shared" si="12"/>
        <v/>
      </c>
      <c r="BL34" s="477" t="str">
        <f t="shared" si="13"/>
        <v/>
      </c>
      <c r="BM34" s="477" t="str">
        <f t="shared" si="14"/>
        <v/>
      </c>
      <c r="BN34" s="477" t="str">
        <f t="shared" si="15"/>
        <v/>
      </c>
      <c r="BO34" s="477" t="str">
        <f t="shared" si="16"/>
        <v/>
      </c>
      <c r="BP34" s="477" t="str">
        <f t="shared" si="17"/>
        <v/>
      </c>
      <c r="BQ34" s="477" t="str">
        <f t="shared" si="18"/>
        <v/>
      </c>
      <c r="BR34" s="477" t="str">
        <f t="shared" si="19"/>
        <v/>
      </c>
      <c r="BS34" s="477" t="str">
        <f t="shared" si="20"/>
        <v/>
      </c>
      <c r="BT34" s="435">
        <f t="shared" si="21"/>
        <v>0</v>
      </c>
      <c r="BU34" s="478" t="str">
        <f t="shared" si="34"/>
        <v/>
      </c>
      <c r="BV34" s="479" t="str">
        <f t="shared" si="35"/>
        <v/>
      </c>
      <c r="BW34" s="479" t="str">
        <f t="shared" si="22"/>
        <v/>
      </c>
      <c r="BX34" s="479" t="str">
        <f t="shared" si="23"/>
        <v/>
      </c>
      <c r="BY34" s="479" t="str">
        <f t="shared" si="24"/>
        <v/>
      </c>
      <c r="BZ34" s="479" t="str">
        <f t="shared" si="25"/>
        <v/>
      </c>
      <c r="CA34" s="479" t="str">
        <f t="shared" si="26"/>
        <v/>
      </c>
      <c r="CB34" s="479" t="str">
        <f t="shared" si="27"/>
        <v/>
      </c>
      <c r="CC34" s="479" t="str">
        <f t="shared" si="28"/>
        <v/>
      </c>
      <c r="CD34" s="479" t="str">
        <f t="shared" si="29"/>
        <v/>
      </c>
      <c r="CE34" s="479" t="str">
        <f t="shared" si="30"/>
        <v/>
      </c>
      <c r="CF34" s="479" t="str">
        <f t="shared" si="31"/>
        <v/>
      </c>
      <c r="CG34" s="479" t="str">
        <f t="shared" si="32"/>
        <v/>
      </c>
      <c r="CH34" s="480">
        <f t="shared" si="36"/>
        <v>0</v>
      </c>
      <c r="DD34" s="497" cm="1">
        <f t="array" ref="DD34">_xlfn.IFS('Project Inputs'!$F$150&lt;&gt;"Yes",0,DE34=18,0,DE34&lt;&gt;18,SUM(DF34:DG34))</f>
        <v>0</v>
      </c>
      <c r="DE34" s="31">
        <f t="shared" si="37"/>
        <v>18</v>
      </c>
      <c r="DF34" s="31">
        <f t="shared" si="38"/>
        <v>0</v>
      </c>
      <c r="DG34" s="31">
        <f t="shared" si="39"/>
        <v>0</v>
      </c>
    </row>
    <row r="35" spans="1:111">
      <c r="A35" s="22" t="str">
        <f t="shared" si="33"/>
        <v/>
      </c>
      <c r="B35" s="474" t="str">
        <f>_xlfn.LET(_xlpm.x,'Diversion and Disposal'!D31,IF(OR(LEN(_xlpm.x)&lt;1,_xlpm.x=0),"",_xlpm.x))</f>
        <v/>
      </c>
      <c r="C35" s="475" t="str">
        <f>_xlfn.LET(_xlpm.x,'Diversion and Disposal'!E31,IF(OR(LEN(_xlpm.x)&lt;1,_xlpm.x=0),"",_xlpm.x))</f>
        <v/>
      </c>
      <c r="D35" s="475" t="str">
        <f>_xlfn.LET(_xlpm.x,'Diversion and Disposal'!F31,IF(OR(LEN(_xlpm.x)&lt;1,_xlpm.x=0),"",_xlpm.x))</f>
        <v/>
      </c>
      <c r="E35" s="475" t="str">
        <f>_xlfn.LET(_xlpm.x,'Diversion and Disposal'!G31,IF(OR(LEN(_xlpm.x)&lt;1,_xlpm.x=0),"",_xlpm.x))</f>
        <v/>
      </c>
      <c r="F35" s="407"/>
      <c r="G35" s="511"/>
      <c r="H35" s="514" t="str">
        <f>_xlfn.LET(_xlpm.x,'Diversion and Disposal'!H31,IF(OR(LEN(_xlpm.x)&lt;1,_xlpm.x=0),"",_xlpm.x))</f>
        <v/>
      </c>
      <c r="I35" s="514" t="str">
        <f>_xlfn.LET(_xlpm.x,'Diversion and Disposal'!I31,IF(OR(LEN(_xlpm.x)&lt;1,_xlpm.x=0),"",_xlpm.x))</f>
        <v/>
      </c>
      <c r="J35" s="514" t="str">
        <f>_xlfn.LET(_xlpm.x,'Diversion and Disposal'!J31,IF(OR(LEN(_xlpm.x)&lt;1,_xlpm.x=0),"",_xlpm.x))</f>
        <v/>
      </c>
      <c r="K35" s="514" t="str">
        <f>_xlfn.LET(_xlpm.x,'Diversion and Disposal'!K31,IF(OR(LEN(_xlpm.x)&lt;1,_xlpm.x=0),"",_xlpm.x))</f>
        <v/>
      </c>
      <c r="L35" s="514" t="str">
        <f>_xlfn.LET(_xlpm.x,'Diversion and Disposal'!L31,IF(OR(LEN(_xlpm.x)&lt;1,_xlpm.x=0),"",_xlpm.x))</f>
        <v/>
      </c>
      <c r="M35" s="514" t="str">
        <f>_xlfn.LET(_xlpm.x,'Diversion and Disposal'!M31,IF(OR(LEN(_xlpm.x)&lt;1,_xlpm.x=0),"",_xlpm.x))</f>
        <v/>
      </c>
      <c r="N35" s="514" t="str">
        <f>_xlfn.LET(_xlpm.x,'Diversion and Disposal'!N31,IF(OR(LEN(_xlpm.x)&lt;1,_xlpm.x=0),"",_xlpm.x))</f>
        <v/>
      </c>
      <c r="O35" s="514" t="str">
        <f>_xlfn.LET(_xlpm.x,'Diversion and Disposal'!O31,IF(OR(LEN(_xlpm.x)&lt;1,_xlpm.x=0),"",_xlpm.x))</f>
        <v/>
      </c>
      <c r="P35" s="514" t="str">
        <f>_xlfn.LET(_xlpm.x,'Diversion and Disposal'!P31,IF(OR(LEN(_xlpm.x)&lt;1,_xlpm.x=0),"",_xlpm.x))</f>
        <v/>
      </c>
      <c r="Q35" s="514" t="str">
        <f>_xlfn.LET(_xlpm.x,'Diversion and Disposal'!Q31,IF(OR(LEN(_xlpm.x)&lt;1,_xlpm.x=0),"",_xlpm.x))</f>
        <v/>
      </c>
      <c r="R35" s="514" t="str">
        <f>_xlfn.LET(_xlpm.x,'Diversion and Disposal'!R31,IF(OR(LEN(_xlpm.x)&lt;1,_xlpm.x=0),"",_xlpm.x))</f>
        <v/>
      </c>
      <c r="S35" s="514" t="str">
        <f>_xlfn.LET(_xlpm.x,'Diversion and Disposal'!S31,IF(OR(LEN(_xlpm.x)&lt;1,_xlpm.x=0),"",_xlpm.x))</f>
        <v/>
      </c>
      <c r="T35" s="513">
        <f t="shared" ref="T35:T98" si="42">SUM(H35:S35)</f>
        <v>0</v>
      </c>
      <c r="BB35" s="432" t="str">
        <f t="shared" si="3"/>
        <v/>
      </c>
      <c r="BC35" s="432" t="str">
        <f t="shared" si="4"/>
        <v/>
      </c>
      <c r="BD35" s="432" t="str">
        <f t="shared" si="5"/>
        <v/>
      </c>
      <c r="BE35" s="432" t="str">
        <f t="shared" si="6"/>
        <v/>
      </c>
      <c r="BF35" s="432" t="str">
        <f t="shared" si="7"/>
        <v/>
      </c>
      <c r="BG35" s="477" t="str">
        <f t="shared" si="8"/>
        <v/>
      </c>
      <c r="BH35" s="477" t="str">
        <f t="shared" si="9"/>
        <v/>
      </c>
      <c r="BI35" s="477" t="str">
        <f t="shared" si="10"/>
        <v/>
      </c>
      <c r="BJ35" s="477" t="str">
        <f t="shared" si="11"/>
        <v/>
      </c>
      <c r="BK35" s="477" t="str">
        <f t="shared" si="12"/>
        <v/>
      </c>
      <c r="BL35" s="477" t="str">
        <f t="shared" si="13"/>
        <v/>
      </c>
      <c r="BM35" s="477" t="str">
        <f t="shared" si="14"/>
        <v/>
      </c>
      <c r="BN35" s="477" t="str">
        <f t="shared" si="15"/>
        <v/>
      </c>
      <c r="BO35" s="477" t="str">
        <f t="shared" si="16"/>
        <v/>
      </c>
      <c r="BP35" s="477" t="str">
        <f t="shared" si="17"/>
        <v/>
      </c>
      <c r="BQ35" s="477" t="str">
        <f t="shared" si="18"/>
        <v/>
      </c>
      <c r="BR35" s="477" t="str">
        <f t="shared" si="19"/>
        <v/>
      </c>
      <c r="BS35" s="477" t="str">
        <f t="shared" si="20"/>
        <v/>
      </c>
      <c r="BT35" s="435">
        <f t="shared" si="21"/>
        <v>0</v>
      </c>
      <c r="BU35" s="478" t="str">
        <f t="shared" si="34"/>
        <v/>
      </c>
      <c r="BV35" s="479" t="str">
        <f t="shared" si="35"/>
        <v/>
      </c>
      <c r="BW35" s="479" t="str">
        <f t="shared" si="22"/>
        <v/>
      </c>
      <c r="BX35" s="479" t="str">
        <f t="shared" si="23"/>
        <v/>
      </c>
      <c r="BY35" s="479" t="str">
        <f t="shared" si="24"/>
        <v/>
      </c>
      <c r="BZ35" s="479" t="str">
        <f t="shared" si="25"/>
        <v/>
      </c>
      <c r="CA35" s="479" t="str">
        <f t="shared" si="26"/>
        <v/>
      </c>
      <c r="CB35" s="479" t="str">
        <f t="shared" si="27"/>
        <v/>
      </c>
      <c r="CC35" s="479" t="str">
        <f t="shared" si="28"/>
        <v/>
      </c>
      <c r="CD35" s="479" t="str">
        <f t="shared" si="29"/>
        <v/>
      </c>
      <c r="CE35" s="479" t="str">
        <f t="shared" si="30"/>
        <v/>
      </c>
      <c r="CF35" s="479" t="str">
        <f t="shared" si="31"/>
        <v/>
      </c>
      <c r="CG35" s="479" t="str">
        <f t="shared" si="32"/>
        <v/>
      </c>
      <c r="CH35" s="480">
        <f t="shared" si="36"/>
        <v>0</v>
      </c>
      <c r="DD35" s="497" cm="1">
        <f t="array" ref="DD35">_xlfn.IFS('Project Inputs'!$F$150&lt;&gt;"Yes",0,DE35=18,0,DE35&lt;&gt;18,SUM(DF35:DG35))</f>
        <v>0</v>
      </c>
      <c r="DE35" s="31">
        <f t="shared" si="37"/>
        <v>18</v>
      </c>
      <c r="DF35" s="31">
        <f t="shared" si="38"/>
        <v>0</v>
      </c>
      <c r="DG35" s="31">
        <f t="shared" si="39"/>
        <v>0</v>
      </c>
    </row>
    <row r="36" spans="1:111">
      <c r="A36" s="22" t="str">
        <f t="shared" si="33"/>
        <v/>
      </c>
      <c r="B36" s="474" t="str">
        <f>_xlfn.LET(_xlpm.x,'Diversion and Disposal'!D32,IF(OR(LEN(_xlpm.x)&lt;1,_xlpm.x=0),"",_xlpm.x))</f>
        <v/>
      </c>
      <c r="C36" s="475" t="str">
        <f>_xlfn.LET(_xlpm.x,'Diversion and Disposal'!E32,IF(OR(LEN(_xlpm.x)&lt;1,_xlpm.x=0),"",_xlpm.x))</f>
        <v/>
      </c>
      <c r="D36" s="475" t="str">
        <f>_xlfn.LET(_xlpm.x,'Diversion and Disposal'!F32,IF(OR(LEN(_xlpm.x)&lt;1,_xlpm.x=0),"",_xlpm.x))</f>
        <v/>
      </c>
      <c r="E36" s="475" t="str">
        <f>_xlfn.LET(_xlpm.x,'Diversion and Disposal'!G32,IF(OR(LEN(_xlpm.x)&lt;1,_xlpm.x=0),"",_xlpm.x))</f>
        <v/>
      </c>
      <c r="F36" s="407"/>
      <c r="G36" s="511"/>
      <c r="H36" s="514" t="str">
        <f>_xlfn.LET(_xlpm.x,'Diversion and Disposal'!H32,IF(OR(LEN(_xlpm.x)&lt;1,_xlpm.x=0),"",_xlpm.x))</f>
        <v/>
      </c>
      <c r="I36" s="514" t="str">
        <f>_xlfn.LET(_xlpm.x,'Diversion and Disposal'!I32,IF(OR(LEN(_xlpm.x)&lt;1,_xlpm.x=0),"",_xlpm.x))</f>
        <v/>
      </c>
      <c r="J36" s="514" t="str">
        <f>_xlfn.LET(_xlpm.x,'Diversion and Disposal'!J32,IF(OR(LEN(_xlpm.x)&lt;1,_xlpm.x=0),"",_xlpm.x))</f>
        <v/>
      </c>
      <c r="K36" s="514" t="str">
        <f>_xlfn.LET(_xlpm.x,'Diversion and Disposal'!K32,IF(OR(LEN(_xlpm.x)&lt;1,_xlpm.x=0),"",_xlpm.x))</f>
        <v/>
      </c>
      <c r="L36" s="514" t="str">
        <f>_xlfn.LET(_xlpm.x,'Diversion and Disposal'!L32,IF(OR(LEN(_xlpm.x)&lt;1,_xlpm.x=0),"",_xlpm.x))</f>
        <v/>
      </c>
      <c r="M36" s="514" t="str">
        <f>_xlfn.LET(_xlpm.x,'Diversion and Disposal'!M32,IF(OR(LEN(_xlpm.x)&lt;1,_xlpm.x=0),"",_xlpm.x))</f>
        <v/>
      </c>
      <c r="N36" s="514" t="str">
        <f>_xlfn.LET(_xlpm.x,'Diversion and Disposal'!N32,IF(OR(LEN(_xlpm.x)&lt;1,_xlpm.x=0),"",_xlpm.x))</f>
        <v/>
      </c>
      <c r="O36" s="514" t="str">
        <f>_xlfn.LET(_xlpm.x,'Diversion and Disposal'!O32,IF(OR(LEN(_xlpm.x)&lt;1,_xlpm.x=0),"",_xlpm.x))</f>
        <v/>
      </c>
      <c r="P36" s="514" t="str">
        <f>_xlfn.LET(_xlpm.x,'Diversion and Disposal'!P32,IF(OR(LEN(_xlpm.x)&lt;1,_xlpm.x=0),"",_xlpm.x))</f>
        <v/>
      </c>
      <c r="Q36" s="514" t="str">
        <f>_xlfn.LET(_xlpm.x,'Diversion and Disposal'!Q32,IF(OR(LEN(_xlpm.x)&lt;1,_xlpm.x=0),"",_xlpm.x))</f>
        <v/>
      </c>
      <c r="R36" s="514" t="str">
        <f>_xlfn.LET(_xlpm.x,'Diversion and Disposal'!R32,IF(OR(LEN(_xlpm.x)&lt;1,_xlpm.x=0),"",_xlpm.x))</f>
        <v/>
      </c>
      <c r="S36" s="514" t="str">
        <f>_xlfn.LET(_xlpm.x,'Diversion and Disposal'!S32,IF(OR(LEN(_xlpm.x)&lt;1,_xlpm.x=0),"",_xlpm.x))</f>
        <v/>
      </c>
      <c r="T36" s="513">
        <f t="shared" si="42"/>
        <v>0</v>
      </c>
      <c r="BB36" s="432" t="str">
        <f t="shared" si="3"/>
        <v/>
      </c>
      <c r="BC36" s="432" t="str">
        <f t="shared" si="4"/>
        <v/>
      </c>
      <c r="BD36" s="432" t="str">
        <f t="shared" si="5"/>
        <v/>
      </c>
      <c r="BE36" s="432" t="str">
        <f t="shared" si="6"/>
        <v/>
      </c>
      <c r="BF36" s="432" t="str">
        <f t="shared" si="7"/>
        <v/>
      </c>
      <c r="BG36" s="477" t="str">
        <f t="shared" si="8"/>
        <v/>
      </c>
      <c r="BH36" s="477" t="str">
        <f t="shared" si="9"/>
        <v/>
      </c>
      <c r="BI36" s="477" t="str">
        <f t="shared" si="10"/>
        <v/>
      </c>
      <c r="BJ36" s="477" t="str">
        <f t="shared" si="11"/>
        <v/>
      </c>
      <c r="BK36" s="477" t="str">
        <f t="shared" si="12"/>
        <v/>
      </c>
      <c r="BL36" s="477" t="str">
        <f t="shared" si="13"/>
        <v/>
      </c>
      <c r="BM36" s="477" t="str">
        <f t="shared" si="14"/>
        <v/>
      </c>
      <c r="BN36" s="477" t="str">
        <f t="shared" si="15"/>
        <v/>
      </c>
      <c r="BO36" s="477" t="str">
        <f t="shared" si="16"/>
        <v/>
      </c>
      <c r="BP36" s="477" t="str">
        <f t="shared" si="17"/>
        <v/>
      </c>
      <c r="BQ36" s="477" t="str">
        <f t="shared" si="18"/>
        <v/>
      </c>
      <c r="BR36" s="477" t="str">
        <f t="shared" si="19"/>
        <v/>
      </c>
      <c r="BS36" s="477" t="str">
        <f t="shared" si="20"/>
        <v/>
      </c>
      <c r="BT36" s="435">
        <f t="shared" si="21"/>
        <v>0</v>
      </c>
      <c r="BU36" s="478" t="str">
        <f t="shared" si="34"/>
        <v/>
      </c>
      <c r="BV36" s="479" t="str">
        <f t="shared" si="35"/>
        <v/>
      </c>
      <c r="BW36" s="479" t="str">
        <f t="shared" si="22"/>
        <v/>
      </c>
      <c r="BX36" s="479" t="str">
        <f t="shared" si="23"/>
        <v/>
      </c>
      <c r="BY36" s="479" t="str">
        <f t="shared" si="24"/>
        <v/>
      </c>
      <c r="BZ36" s="479" t="str">
        <f t="shared" si="25"/>
        <v/>
      </c>
      <c r="CA36" s="479" t="str">
        <f t="shared" si="26"/>
        <v/>
      </c>
      <c r="CB36" s="479" t="str">
        <f t="shared" si="27"/>
        <v/>
      </c>
      <c r="CC36" s="479" t="str">
        <f t="shared" si="28"/>
        <v/>
      </c>
      <c r="CD36" s="479" t="str">
        <f t="shared" si="29"/>
        <v/>
      </c>
      <c r="CE36" s="479" t="str">
        <f t="shared" si="30"/>
        <v/>
      </c>
      <c r="CF36" s="479" t="str">
        <f t="shared" si="31"/>
        <v/>
      </c>
      <c r="CG36" s="479" t="str">
        <f t="shared" si="32"/>
        <v/>
      </c>
      <c r="CH36" s="480">
        <f t="shared" si="36"/>
        <v>0</v>
      </c>
      <c r="DD36" s="497" cm="1">
        <f t="array" ref="DD36">_xlfn.IFS('Project Inputs'!$F$150&lt;&gt;"Yes",0,DE36=18,0,DE36&lt;&gt;18,SUM(DF36:DG36))</f>
        <v>0</v>
      </c>
      <c r="DE36" s="31">
        <f t="shared" si="37"/>
        <v>18</v>
      </c>
      <c r="DF36" s="31">
        <f t="shared" si="38"/>
        <v>0</v>
      </c>
      <c r="DG36" s="31">
        <f t="shared" si="39"/>
        <v>0</v>
      </c>
    </row>
    <row r="37" spans="1:111">
      <c r="A37" s="22" t="str">
        <f t="shared" si="33"/>
        <v/>
      </c>
      <c r="B37" s="474" t="str">
        <f>_xlfn.LET(_xlpm.x,'Diversion and Disposal'!D33,IF(OR(LEN(_xlpm.x)&lt;1,_xlpm.x=0),"",_xlpm.x))</f>
        <v/>
      </c>
      <c r="C37" s="475" t="str">
        <f>_xlfn.LET(_xlpm.x,'Diversion and Disposal'!E33,IF(OR(LEN(_xlpm.x)&lt;1,_xlpm.x=0),"",_xlpm.x))</f>
        <v/>
      </c>
      <c r="D37" s="475" t="str">
        <f>_xlfn.LET(_xlpm.x,'Diversion and Disposal'!F33,IF(OR(LEN(_xlpm.x)&lt;1,_xlpm.x=0),"",_xlpm.x))</f>
        <v/>
      </c>
      <c r="E37" s="475" t="str">
        <f>_xlfn.LET(_xlpm.x,'Diversion and Disposal'!G33,IF(OR(LEN(_xlpm.x)&lt;1,_xlpm.x=0),"",_xlpm.x))</f>
        <v/>
      </c>
      <c r="F37" s="407"/>
      <c r="G37" s="511"/>
      <c r="H37" s="514" t="str">
        <f>_xlfn.LET(_xlpm.x,'Diversion and Disposal'!H33,IF(OR(LEN(_xlpm.x)&lt;1,_xlpm.x=0),"",_xlpm.x))</f>
        <v/>
      </c>
      <c r="I37" s="514" t="str">
        <f>_xlfn.LET(_xlpm.x,'Diversion and Disposal'!I33,IF(OR(LEN(_xlpm.x)&lt;1,_xlpm.x=0),"",_xlpm.x))</f>
        <v/>
      </c>
      <c r="J37" s="514" t="str">
        <f>_xlfn.LET(_xlpm.x,'Diversion and Disposal'!J33,IF(OR(LEN(_xlpm.x)&lt;1,_xlpm.x=0),"",_xlpm.x))</f>
        <v/>
      </c>
      <c r="K37" s="514" t="str">
        <f>_xlfn.LET(_xlpm.x,'Diversion and Disposal'!K33,IF(OR(LEN(_xlpm.x)&lt;1,_xlpm.x=0),"",_xlpm.x))</f>
        <v/>
      </c>
      <c r="L37" s="514" t="str">
        <f>_xlfn.LET(_xlpm.x,'Diversion and Disposal'!L33,IF(OR(LEN(_xlpm.x)&lt;1,_xlpm.x=0),"",_xlpm.x))</f>
        <v/>
      </c>
      <c r="M37" s="514" t="str">
        <f>_xlfn.LET(_xlpm.x,'Diversion and Disposal'!M33,IF(OR(LEN(_xlpm.x)&lt;1,_xlpm.x=0),"",_xlpm.x))</f>
        <v/>
      </c>
      <c r="N37" s="514" t="str">
        <f>_xlfn.LET(_xlpm.x,'Diversion and Disposal'!N33,IF(OR(LEN(_xlpm.x)&lt;1,_xlpm.x=0),"",_xlpm.x))</f>
        <v/>
      </c>
      <c r="O37" s="514" t="str">
        <f>_xlfn.LET(_xlpm.x,'Diversion and Disposal'!O33,IF(OR(LEN(_xlpm.x)&lt;1,_xlpm.x=0),"",_xlpm.x))</f>
        <v/>
      </c>
      <c r="P37" s="514" t="str">
        <f>_xlfn.LET(_xlpm.x,'Diversion and Disposal'!P33,IF(OR(LEN(_xlpm.x)&lt;1,_xlpm.x=0),"",_xlpm.x))</f>
        <v/>
      </c>
      <c r="Q37" s="514" t="str">
        <f>_xlfn.LET(_xlpm.x,'Diversion and Disposal'!Q33,IF(OR(LEN(_xlpm.x)&lt;1,_xlpm.x=0),"",_xlpm.x))</f>
        <v/>
      </c>
      <c r="R37" s="514" t="str">
        <f>_xlfn.LET(_xlpm.x,'Diversion and Disposal'!R33,IF(OR(LEN(_xlpm.x)&lt;1,_xlpm.x=0),"",_xlpm.x))</f>
        <v/>
      </c>
      <c r="S37" s="514" t="str">
        <f>_xlfn.LET(_xlpm.x,'Diversion and Disposal'!S33,IF(OR(LEN(_xlpm.x)&lt;1,_xlpm.x=0),"",_xlpm.x))</f>
        <v/>
      </c>
      <c r="T37" s="513">
        <f t="shared" si="42"/>
        <v>0</v>
      </c>
      <c r="BB37" s="432" t="str">
        <f t="shared" si="3"/>
        <v/>
      </c>
      <c r="BC37" s="432" t="str">
        <f t="shared" si="4"/>
        <v/>
      </c>
      <c r="BD37" s="432" t="str">
        <f t="shared" si="5"/>
        <v/>
      </c>
      <c r="BE37" s="432" t="str">
        <f t="shared" si="6"/>
        <v/>
      </c>
      <c r="BF37" s="432" t="str">
        <f t="shared" si="7"/>
        <v/>
      </c>
      <c r="BG37" s="477" t="str">
        <f t="shared" si="8"/>
        <v/>
      </c>
      <c r="BH37" s="477" t="str">
        <f t="shared" si="9"/>
        <v/>
      </c>
      <c r="BI37" s="477" t="str">
        <f t="shared" si="10"/>
        <v/>
      </c>
      <c r="BJ37" s="477" t="str">
        <f t="shared" si="11"/>
        <v/>
      </c>
      <c r="BK37" s="477" t="str">
        <f t="shared" si="12"/>
        <v/>
      </c>
      <c r="BL37" s="477" t="str">
        <f t="shared" si="13"/>
        <v/>
      </c>
      <c r="BM37" s="477" t="str">
        <f t="shared" si="14"/>
        <v/>
      </c>
      <c r="BN37" s="477" t="str">
        <f t="shared" si="15"/>
        <v/>
      </c>
      <c r="BO37" s="477" t="str">
        <f t="shared" si="16"/>
        <v/>
      </c>
      <c r="BP37" s="477" t="str">
        <f t="shared" si="17"/>
        <v/>
      </c>
      <c r="BQ37" s="477" t="str">
        <f t="shared" si="18"/>
        <v/>
      </c>
      <c r="BR37" s="477" t="str">
        <f t="shared" si="19"/>
        <v/>
      </c>
      <c r="BS37" s="477" t="str">
        <f t="shared" si="20"/>
        <v/>
      </c>
      <c r="BT37" s="435">
        <f t="shared" si="21"/>
        <v>0</v>
      </c>
      <c r="BU37" s="478" t="str">
        <f t="shared" si="34"/>
        <v/>
      </c>
      <c r="BV37" s="479" t="str">
        <f t="shared" si="35"/>
        <v/>
      </c>
      <c r="BW37" s="479" t="str">
        <f t="shared" si="22"/>
        <v/>
      </c>
      <c r="BX37" s="479" t="str">
        <f t="shared" si="23"/>
        <v/>
      </c>
      <c r="BY37" s="479" t="str">
        <f t="shared" si="24"/>
        <v/>
      </c>
      <c r="BZ37" s="479" t="str">
        <f t="shared" si="25"/>
        <v/>
      </c>
      <c r="CA37" s="479" t="str">
        <f t="shared" si="26"/>
        <v/>
      </c>
      <c r="CB37" s="479" t="str">
        <f t="shared" si="27"/>
        <v/>
      </c>
      <c r="CC37" s="479" t="str">
        <f t="shared" si="28"/>
        <v/>
      </c>
      <c r="CD37" s="479" t="str">
        <f t="shared" si="29"/>
        <v/>
      </c>
      <c r="CE37" s="479" t="str">
        <f t="shared" si="30"/>
        <v/>
      </c>
      <c r="CF37" s="479" t="str">
        <f t="shared" si="31"/>
        <v/>
      </c>
      <c r="CG37" s="479" t="str">
        <f t="shared" si="32"/>
        <v/>
      </c>
      <c r="CH37" s="480">
        <f t="shared" si="36"/>
        <v>0</v>
      </c>
      <c r="DD37" s="497" cm="1">
        <f t="array" ref="DD37">_xlfn.IFS('Project Inputs'!$F$150&lt;&gt;"Yes",0,DE37=18,0,DE37&lt;&gt;18,SUM(DF37:DG37))</f>
        <v>0</v>
      </c>
      <c r="DE37" s="31">
        <f t="shared" si="37"/>
        <v>18</v>
      </c>
      <c r="DF37" s="31">
        <f t="shared" si="38"/>
        <v>0</v>
      </c>
      <c r="DG37" s="31">
        <f t="shared" si="39"/>
        <v>0</v>
      </c>
    </row>
    <row r="38" spans="1:111" hidden="1" outlineLevel="1">
      <c r="A38" s="22" t="str">
        <f t="shared" si="33"/>
        <v/>
      </c>
      <c r="B38" s="474" t="str">
        <f>_xlfn.LET(_xlpm.x,'Diversion and Disposal'!D34,IF(OR(LEN(_xlpm.x)&lt;1,_xlpm.x=0),"",_xlpm.x))</f>
        <v/>
      </c>
      <c r="C38" s="475" t="str">
        <f>_xlfn.LET(_xlpm.x,'Diversion and Disposal'!E34,IF(OR(LEN(_xlpm.x)&lt;1,_xlpm.x=0),"",_xlpm.x))</f>
        <v/>
      </c>
      <c r="D38" s="475" t="str">
        <f>_xlfn.LET(_xlpm.x,'Diversion and Disposal'!F34,IF(OR(LEN(_xlpm.x)&lt;1,_xlpm.x=0),"",_xlpm.x))</f>
        <v/>
      </c>
      <c r="E38" s="475" t="str">
        <f>_xlfn.LET(_xlpm.x,'Diversion and Disposal'!G34,IF(OR(LEN(_xlpm.x)&lt;1,_xlpm.x=0),"",_xlpm.x))</f>
        <v/>
      </c>
      <c r="F38" s="407"/>
      <c r="G38" s="511"/>
      <c r="H38" s="514" t="str">
        <f>_xlfn.LET(_xlpm.x,'Diversion and Disposal'!H34,IF(OR(LEN(_xlpm.x)&lt;1,_xlpm.x=0),"",_xlpm.x))</f>
        <v/>
      </c>
      <c r="I38" s="514" t="str">
        <f>_xlfn.LET(_xlpm.x,'Diversion and Disposal'!I34,IF(OR(LEN(_xlpm.x)&lt;1,_xlpm.x=0),"",_xlpm.x))</f>
        <v/>
      </c>
      <c r="J38" s="514" t="str">
        <f>_xlfn.LET(_xlpm.x,'Diversion and Disposal'!J34,IF(OR(LEN(_xlpm.x)&lt;1,_xlpm.x=0),"",_xlpm.x))</f>
        <v/>
      </c>
      <c r="K38" s="514" t="str">
        <f>_xlfn.LET(_xlpm.x,'Diversion and Disposal'!K34,IF(OR(LEN(_xlpm.x)&lt;1,_xlpm.x=0),"",_xlpm.x))</f>
        <v/>
      </c>
      <c r="L38" s="514" t="str">
        <f>_xlfn.LET(_xlpm.x,'Diversion and Disposal'!L34,IF(OR(LEN(_xlpm.x)&lt;1,_xlpm.x=0),"",_xlpm.x))</f>
        <v/>
      </c>
      <c r="M38" s="514" t="str">
        <f>_xlfn.LET(_xlpm.x,'Diversion and Disposal'!M34,IF(OR(LEN(_xlpm.x)&lt;1,_xlpm.x=0),"",_xlpm.x))</f>
        <v/>
      </c>
      <c r="N38" s="514" t="str">
        <f>_xlfn.LET(_xlpm.x,'Diversion and Disposal'!N34,IF(OR(LEN(_xlpm.x)&lt;1,_xlpm.x=0),"",_xlpm.x))</f>
        <v/>
      </c>
      <c r="O38" s="514" t="str">
        <f>_xlfn.LET(_xlpm.x,'Diversion and Disposal'!O34,IF(OR(LEN(_xlpm.x)&lt;1,_xlpm.x=0),"",_xlpm.x))</f>
        <v/>
      </c>
      <c r="P38" s="514" t="str">
        <f>_xlfn.LET(_xlpm.x,'Diversion and Disposal'!P34,IF(OR(LEN(_xlpm.x)&lt;1,_xlpm.x=0),"",_xlpm.x))</f>
        <v/>
      </c>
      <c r="Q38" s="514" t="str">
        <f>_xlfn.LET(_xlpm.x,'Diversion and Disposal'!Q34,IF(OR(LEN(_xlpm.x)&lt;1,_xlpm.x=0),"",_xlpm.x))</f>
        <v/>
      </c>
      <c r="R38" s="514" t="str">
        <f>_xlfn.LET(_xlpm.x,'Diversion and Disposal'!R34,IF(OR(LEN(_xlpm.x)&lt;1,_xlpm.x=0),"",_xlpm.x))</f>
        <v/>
      </c>
      <c r="S38" s="514" t="str">
        <f>_xlfn.LET(_xlpm.x,'Diversion and Disposal'!S34,IF(OR(LEN(_xlpm.x)&lt;1,_xlpm.x=0),"",_xlpm.x))</f>
        <v/>
      </c>
      <c r="T38" s="513">
        <f t="shared" si="42"/>
        <v>0</v>
      </c>
      <c r="BB38" s="432" t="str">
        <f t="shared" si="3"/>
        <v/>
      </c>
      <c r="BC38" s="432" t="str">
        <f t="shared" si="4"/>
        <v/>
      </c>
      <c r="BD38" s="432" t="str">
        <f t="shared" si="5"/>
        <v/>
      </c>
      <c r="BE38" s="432" t="str">
        <f t="shared" si="6"/>
        <v/>
      </c>
      <c r="BF38" s="432" t="str">
        <f t="shared" si="7"/>
        <v/>
      </c>
      <c r="BG38" s="477" t="str">
        <f t="shared" si="8"/>
        <v/>
      </c>
      <c r="BH38" s="477" t="str">
        <f t="shared" si="9"/>
        <v/>
      </c>
      <c r="BI38" s="477" t="str">
        <f t="shared" si="10"/>
        <v/>
      </c>
      <c r="BJ38" s="477" t="str">
        <f t="shared" si="11"/>
        <v/>
      </c>
      <c r="BK38" s="477" t="str">
        <f t="shared" si="12"/>
        <v/>
      </c>
      <c r="BL38" s="477" t="str">
        <f t="shared" si="13"/>
        <v/>
      </c>
      <c r="BM38" s="477" t="str">
        <f t="shared" si="14"/>
        <v/>
      </c>
      <c r="BN38" s="477" t="str">
        <f t="shared" si="15"/>
        <v/>
      </c>
      <c r="BO38" s="477" t="str">
        <f t="shared" si="16"/>
        <v/>
      </c>
      <c r="BP38" s="477" t="str">
        <f t="shared" si="17"/>
        <v/>
      </c>
      <c r="BQ38" s="477" t="str">
        <f t="shared" si="18"/>
        <v/>
      </c>
      <c r="BR38" s="477" t="str">
        <f t="shared" si="19"/>
        <v/>
      </c>
      <c r="BS38" s="477" t="str">
        <f t="shared" si="20"/>
        <v/>
      </c>
      <c r="BT38" s="435">
        <f t="shared" si="21"/>
        <v>0</v>
      </c>
      <c r="BU38" s="478" t="str">
        <f t="shared" si="34"/>
        <v/>
      </c>
      <c r="BV38" s="479" t="str">
        <f t="shared" si="35"/>
        <v/>
      </c>
      <c r="BW38" s="479" t="str">
        <f t="shared" si="22"/>
        <v/>
      </c>
      <c r="BX38" s="479" t="str">
        <f t="shared" si="23"/>
        <v/>
      </c>
      <c r="BY38" s="479" t="str">
        <f t="shared" si="24"/>
        <v/>
      </c>
      <c r="BZ38" s="479" t="str">
        <f t="shared" si="25"/>
        <v/>
      </c>
      <c r="CA38" s="479" t="str">
        <f t="shared" si="26"/>
        <v/>
      </c>
      <c r="CB38" s="479" t="str">
        <f t="shared" si="27"/>
        <v/>
      </c>
      <c r="CC38" s="479" t="str">
        <f t="shared" si="28"/>
        <v/>
      </c>
      <c r="CD38" s="479" t="str">
        <f t="shared" si="29"/>
        <v/>
      </c>
      <c r="CE38" s="479" t="str">
        <f t="shared" si="30"/>
        <v/>
      </c>
      <c r="CF38" s="479" t="str">
        <f t="shared" si="31"/>
        <v/>
      </c>
      <c r="CG38" s="479" t="str">
        <f t="shared" si="32"/>
        <v/>
      </c>
      <c r="CH38" s="480">
        <f t="shared" si="36"/>
        <v>0</v>
      </c>
      <c r="DD38" s="497" cm="1">
        <f t="array" ref="DD38">_xlfn.IFS('Project Inputs'!$F$150&lt;&gt;"Yes",0,DE38=18,0,DE38&lt;&gt;18,SUM(DF38:DG38))</f>
        <v>0</v>
      </c>
      <c r="DE38" s="31">
        <f t="shared" si="37"/>
        <v>18</v>
      </c>
      <c r="DF38" s="31">
        <f t="shared" si="38"/>
        <v>0</v>
      </c>
      <c r="DG38" s="31">
        <f t="shared" si="39"/>
        <v>0</v>
      </c>
    </row>
    <row r="39" spans="1:111" hidden="1" outlineLevel="1">
      <c r="A39" s="22" t="str">
        <f t="shared" si="33"/>
        <v/>
      </c>
      <c r="B39" s="474" t="str">
        <f>_xlfn.LET(_xlpm.x,'Diversion and Disposal'!D35,IF(OR(LEN(_xlpm.x)&lt;1,_xlpm.x=0),"",_xlpm.x))</f>
        <v/>
      </c>
      <c r="C39" s="475" t="str">
        <f>_xlfn.LET(_xlpm.x,'Diversion and Disposal'!E35,IF(OR(LEN(_xlpm.x)&lt;1,_xlpm.x=0),"",_xlpm.x))</f>
        <v/>
      </c>
      <c r="D39" s="475" t="str">
        <f>_xlfn.LET(_xlpm.x,'Diversion and Disposal'!F35,IF(OR(LEN(_xlpm.x)&lt;1,_xlpm.x=0),"",_xlpm.x))</f>
        <v/>
      </c>
      <c r="E39" s="475" t="str">
        <f>_xlfn.LET(_xlpm.x,'Diversion and Disposal'!G35,IF(OR(LEN(_xlpm.x)&lt;1,_xlpm.x=0),"",_xlpm.x))</f>
        <v/>
      </c>
      <c r="F39" s="407"/>
      <c r="G39" s="511"/>
      <c r="H39" s="514" t="str">
        <f>_xlfn.LET(_xlpm.x,'Diversion and Disposal'!H35,IF(OR(LEN(_xlpm.x)&lt;1,_xlpm.x=0),"",_xlpm.x))</f>
        <v/>
      </c>
      <c r="I39" s="514" t="str">
        <f>_xlfn.LET(_xlpm.x,'Diversion and Disposal'!I35,IF(OR(LEN(_xlpm.x)&lt;1,_xlpm.x=0),"",_xlpm.x))</f>
        <v/>
      </c>
      <c r="J39" s="514" t="str">
        <f>_xlfn.LET(_xlpm.x,'Diversion and Disposal'!J35,IF(OR(LEN(_xlpm.x)&lt;1,_xlpm.x=0),"",_xlpm.x))</f>
        <v/>
      </c>
      <c r="K39" s="514" t="str">
        <f>_xlfn.LET(_xlpm.x,'Diversion and Disposal'!K35,IF(OR(LEN(_xlpm.x)&lt;1,_xlpm.x=0),"",_xlpm.x))</f>
        <v/>
      </c>
      <c r="L39" s="514" t="str">
        <f>_xlfn.LET(_xlpm.x,'Diversion and Disposal'!L35,IF(OR(LEN(_xlpm.x)&lt;1,_xlpm.x=0),"",_xlpm.x))</f>
        <v/>
      </c>
      <c r="M39" s="514" t="str">
        <f>_xlfn.LET(_xlpm.x,'Diversion and Disposal'!M35,IF(OR(LEN(_xlpm.x)&lt;1,_xlpm.x=0),"",_xlpm.x))</f>
        <v/>
      </c>
      <c r="N39" s="514" t="str">
        <f>_xlfn.LET(_xlpm.x,'Diversion and Disposal'!N35,IF(OR(LEN(_xlpm.x)&lt;1,_xlpm.x=0),"",_xlpm.x))</f>
        <v/>
      </c>
      <c r="O39" s="514" t="str">
        <f>_xlfn.LET(_xlpm.x,'Diversion and Disposal'!O35,IF(OR(LEN(_xlpm.x)&lt;1,_xlpm.x=0),"",_xlpm.x))</f>
        <v/>
      </c>
      <c r="P39" s="514" t="str">
        <f>_xlfn.LET(_xlpm.x,'Diversion and Disposal'!P35,IF(OR(LEN(_xlpm.x)&lt;1,_xlpm.x=0),"",_xlpm.x))</f>
        <v/>
      </c>
      <c r="Q39" s="514" t="str">
        <f>_xlfn.LET(_xlpm.x,'Diversion and Disposal'!Q35,IF(OR(LEN(_xlpm.x)&lt;1,_xlpm.x=0),"",_xlpm.x))</f>
        <v/>
      </c>
      <c r="R39" s="514" t="str">
        <f>_xlfn.LET(_xlpm.x,'Diversion and Disposal'!R35,IF(OR(LEN(_xlpm.x)&lt;1,_xlpm.x=0),"",_xlpm.x))</f>
        <v/>
      </c>
      <c r="S39" s="514" t="str">
        <f>_xlfn.LET(_xlpm.x,'Diversion and Disposal'!S35,IF(OR(LEN(_xlpm.x)&lt;1,_xlpm.x=0),"",_xlpm.x))</f>
        <v/>
      </c>
      <c r="T39" s="513">
        <f t="shared" si="42"/>
        <v>0</v>
      </c>
      <c r="BB39" s="432" t="str">
        <f t="shared" si="3"/>
        <v/>
      </c>
      <c r="BC39" s="432" t="str">
        <f t="shared" si="4"/>
        <v/>
      </c>
      <c r="BD39" s="432" t="str">
        <f t="shared" si="5"/>
        <v/>
      </c>
      <c r="BE39" s="432" t="str">
        <f t="shared" si="6"/>
        <v/>
      </c>
      <c r="BF39" s="432" t="str">
        <f t="shared" si="7"/>
        <v/>
      </c>
      <c r="BG39" s="477" t="str">
        <f t="shared" si="8"/>
        <v/>
      </c>
      <c r="BH39" s="477" t="str">
        <f t="shared" si="9"/>
        <v/>
      </c>
      <c r="BI39" s="477" t="str">
        <f t="shared" si="10"/>
        <v/>
      </c>
      <c r="BJ39" s="477" t="str">
        <f t="shared" si="11"/>
        <v/>
      </c>
      <c r="BK39" s="477" t="str">
        <f t="shared" si="12"/>
        <v/>
      </c>
      <c r="BL39" s="477" t="str">
        <f t="shared" si="13"/>
        <v/>
      </c>
      <c r="BM39" s="477" t="str">
        <f t="shared" si="14"/>
        <v/>
      </c>
      <c r="BN39" s="477" t="str">
        <f t="shared" si="15"/>
        <v/>
      </c>
      <c r="BO39" s="477" t="str">
        <f t="shared" si="16"/>
        <v/>
      </c>
      <c r="BP39" s="477" t="str">
        <f t="shared" si="17"/>
        <v/>
      </c>
      <c r="BQ39" s="477" t="str">
        <f t="shared" si="18"/>
        <v/>
      </c>
      <c r="BR39" s="477" t="str">
        <f t="shared" si="19"/>
        <v/>
      </c>
      <c r="BS39" s="477" t="str">
        <f t="shared" si="20"/>
        <v/>
      </c>
      <c r="BT39" s="435">
        <f t="shared" si="21"/>
        <v>0</v>
      </c>
      <c r="BU39" s="478" t="str">
        <f t="shared" si="34"/>
        <v/>
      </c>
      <c r="BV39" s="479" t="str">
        <f t="shared" si="35"/>
        <v/>
      </c>
      <c r="BW39" s="479" t="str">
        <f t="shared" si="22"/>
        <v/>
      </c>
      <c r="BX39" s="479" t="str">
        <f t="shared" si="23"/>
        <v/>
      </c>
      <c r="BY39" s="479" t="str">
        <f t="shared" si="24"/>
        <v/>
      </c>
      <c r="BZ39" s="479" t="str">
        <f t="shared" si="25"/>
        <v/>
      </c>
      <c r="CA39" s="479" t="str">
        <f t="shared" si="26"/>
        <v/>
      </c>
      <c r="CB39" s="479" t="str">
        <f t="shared" si="27"/>
        <v/>
      </c>
      <c r="CC39" s="479" t="str">
        <f t="shared" si="28"/>
        <v/>
      </c>
      <c r="CD39" s="479" t="str">
        <f t="shared" si="29"/>
        <v/>
      </c>
      <c r="CE39" s="479" t="str">
        <f t="shared" si="30"/>
        <v/>
      </c>
      <c r="CF39" s="479" t="str">
        <f t="shared" si="31"/>
        <v/>
      </c>
      <c r="CG39" s="479" t="str">
        <f t="shared" si="32"/>
        <v/>
      </c>
      <c r="CH39" s="480">
        <f t="shared" si="36"/>
        <v>0</v>
      </c>
      <c r="DD39" s="497" cm="1">
        <f t="array" ref="DD39">_xlfn.IFS('Project Inputs'!$F$150&lt;&gt;"Yes",0,DE39=18,0,DE39&lt;&gt;18,SUM(DF39:DG39))</f>
        <v>0</v>
      </c>
      <c r="DE39" s="31">
        <f t="shared" si="37"/>
        <v>18</v>
      </c>
      <c r="DF39" s="31">
        <f t="shared" si="38"/>
        <v>0</v>
      </c>
      <c r="DG39" s="31">
        <f t="shared" si="39"/>
        <v>0</v>
      </c>
    </row>
    <row r="40" spans="1:111" hidden="1" outlineLevel="1">
      <c r="A40" s="22" t="str">
        <f t="shared" si="33"/>
        <v/>
      </c>
      <c r="B40" s="474" t="str">
        <f>_xlfn.LET(_xlpm.x,'Diversion and Disposal'!D36,IF(OR(LEN(_xlpm.x)&lt;1,_xlpm.x=0),"",_xlpm.x))</f>
        <v/>
      </c>
      <c r="C40" s="475" t="str">
        <f>_xlfn.LET(_xlpm.x,'Diversion and Disposal'!E36,IF(OR(LEN(_xlpm.x)&lt;1,_xlpm.x=0),"",_xlpm.x))</f>
        <v/>
      </c>
      <c r="D40" s="475" t="str">
        <f>_xlfn.LET(_xlpm.x,'Diversion and Disposal'!F36,IF(OR(LEN(_xlpm.x)&lt;1,_xlpm.x=0),"",_xlpm.x))</f>
        <v/>
      </c>
      <c r="E40" s="475" t="str">
        <f>_xlfn.LET(_xlpm.x,'Diversion and Disposal'!G36,IF(OR(LEN(_xlpm.x)&lt;1,_xlpm.x=0),"",_xlpm.x))</f>
        <v/>
      </c>
      <c r="F40" s="407"/>
      <c r="G40" s="511"/>
      <c r="H40" s="514" t="str">
        <f>_xlfn.LET(_xlpm.x,'Diversion and Disposal'!H36,IF(OR(LEN(_xlpm.x)&lt;1,_xlpm.x=0),"",_xlpm.x))</f>
        <v/>
      </c>
      <c r="I40" s="514" t="str">
        <f>_xlfn.LET(_xlpm.x,'Diversion and Disposal'!I36,IF(OR(LEN(_xlpm.x)&lt;1,_xlpm.x=0),"",_xlpm.x))</f>
        <v/>
      </c>
      <c r="J40" s="514" t="str">
        <f>_xlfn.LET(_xlpm.x,'Diversion and Disposal'!J36,IF(OR(LEN(_xlpm.x)&lt;1,_xlpm.x=0),"",_xlpm.x))</f>
        <v/>
      </c>
      <c r="K40" s="514" t="str">
        <f>_xlfn.LET(_xlpm.x,'Diversion and Disposal'!K36,IF(OR(LEN(_xlpm.x)&lt;1,_xlpm.x=0),"",_xlpm.x))</f>
        <v/>
      </c>
      <c r="L40" s="514" t="str">
        <f>_xlfn.LET(_xlpm.x,'Diversion and Disposal'!L36,IF(OR(LEN(_xlpm.x)&lt;1,_xlpm.x=0),"",_xlpm.x))</f>
        <v/>
      </c>
      <c r="M40" s="514" t="str">
        <f>_xlfn.LET(_xlpm.x,'Diversion and Disposal'!M36,IF(OR(LEN(_xlpm.x)&lt;1,_xlpm.x=0),"",_xlpm.x))</f>
        <v/>
      </c>
      <c r="N40" s="514" t="str">
        <f>_xlfn.LET(_xlpm.x,'Diversion and Disposal'!N36,IF(OR(LEN(_xlpm.x)&lt;1,_xlpm.x=0),"",_xlpm.x))</f>
        <v/>
      </c>
      <c r="O40" s="514" t="str">
        <f>_xlfn.LET(_xlpm.x,'Diversion and Disposal'!O36,IF(OR(LEN(_xlpm.x)&lt;1,_xlpm.x=0),"",_xlpm.x))</f>
        <v/>
      </c>
      <c r="P40" s="514" t="str">
        <f>_xlfn.LET(_xlpm.x,'Diversion and Disposal'!P36,IF(OR(LEN(_xlpm.x)&lt;1,_xlpm.x=0),"",_xlpm.x))</f>
        <v/>
      </c>
      <c r="Q40" s="514" t="str">
        <f>_xlfn.LET(_xlpm.x,'Diversion and Disposal'!Q36,IF(OR(LEN(_xlpm.x)&lt;1,_xlpm.x=0),"",_xlpm.x))</f>
        <v/>
      </c>
      <c r="R40" s="514" t="str">
        <f>_xlfn.LET(_xlpm.x,'Diversion and Disposal'!R36,IF(OR(LEN(_xlpm.x)&lt;1,_xlpm.x=0),"",_xlpm.x))</f>
        <v/>
      </c>
      <c r="S40" s="514" t="str">
        <f>_xlfn.LET(_xlpm.x,'Diversion and Disposal'!S36,IF(OR(LEN(_xlpm.x)&lt;1,_xlpm.x=0),"",_xlpm.x))</f>
        <v/>
      </c>
      <c r="T40" s="513">
        <f t="shared" si="42"/>
        <v>0</v>
      </c>
      <c r="BB40" s="432" t="str">
        <f t="shared" si="3"/>
        <v/>
      </c>
      <c r="BC40" s="432" t="str">
        <f t="shared" si="4"/>
        <v/>
      </c>
      <c r="BD40" s="432" t="str">
        <f t="shared" si="5"/>
        <v/>
      </c>
      <c r="BE40" s="432" t="str">
        <f t="shared" si="6"/>
        <v/>
      </c>
      <c r="BF40" s="432" t="str">
        <f t="shared" si="7"/>
        <v/>
      </c>
      <c r="BG40" s="477" t="str">
        <f t="shared" si="8"/>
        <v/>
      </c>
      <c r="BH40" s="477" t="str">
        <f t="shared" si="9"/>
        <v/>
      </c>
      <c r="BI40" s="477" t="str">
        <f t="shared" si="10"/>
        <v/>
      </c>
      <c r="BJ40" s="477" t="str">
        <f t="shared" si="11"/>
        <v/>
      </c>
      <c r="BK40" s="477" t="str">
        <f t="shared" si="12"/>
        <v/>
      </c>
      <c r="BL40" s="477" t="str">
        <f t="shared" si="13"/>
        <v/>
      </c>
      <c r="BM40" s="477" t="str">
        <f t="shared" si="14"/>
        <v/>
      </c>
      <c r="BN40" s="477" t="str">
        <f t="shared" si="15"/>
        <v/>
      </c>
      <c r="BO40" s="477" t="str">
        <f t="shared" si="16"/>
        <v/>
      </c>
      <c r="BP40" s="477" t="str">
        <f t="shared" si="17"/>
        <v/>
      </c>
      <c r="BQ40" s="477" t="str">
        <f t="shared" si="18"/>
        <v/>
      </c>
      <c r="BR40" s="477" t="str">
        <f t="shared" si="19"/>
        <v/>
      </c>
      <c r="BS40" s="477" t="str">
        <f t="shared" si="20"/>
        <v/>
      </c>
      <c r="BT40" s="435">
        <f t="shared" si="21"/>
        <v>0</v>
      </c>
      <c r="BU40" s="434" t="str">
        <f t="shared" si="34"/>
        <v/>
      </c>
      <c r="BV40" s="479" t="str">
        <f t="shared" si="35"/>
        <v/>
      </c>
      <c r="BW40" s="479" t="str">
        <f t="shared" si="22"/>
        <v/>
      </c>
      <c r="BX40" s="479" t="str">
        <f t="shared" si="23"/>
        <v/>
      </c>
      <c r="BY40" s="479" t="str">
        <f t="shared" si="24"/>
        <v/>
      </c>
      <c r="BZ40" s="479" t="str">
        <f t="shared" si="25"/>
        <v/>
      </c>
      <c r="CA40" s="479" t="str">
        <f t="shared" si="26"/>
        <v/>
      </c>
      <c r="CB40" s="479" t="str">
        <f t="shared" si="27"/>
        <v/>
      </c>
      <c r="CC40" s="479" t="str">
        <f t="shared" si="28"/>
        <v/>
      </c>
      <c r="CD40" s="479" t="str">
        <f t="shared" si="29"/>
        <v/>
      </c>
      <c r="CE40" s="479" t="str">
        <f t="shared" si="30"/>
        <v/>
      </c>
      <c r="CF40" s="479" t="str">
        <f t="shared" si="31"/>
        <v/>
      </c>
      <c r="CG40" s="479" t="str">
        <f t="shared" si="32"/>
        <v/>
      </c>
      <c r="CH40" s="480">
        <f t="shared" si="36"/>
        <v>0</v>
      </c>
      <c r="DD40" s="497" cm="1">
        <f t="array" ref="DD40">_xlfn.IFS('Project Inputs'!$F$150&lt;&gt;"Yes",0,DE40=18,0,DE40&lt;&gt;18,SUM(DF40:DG40))</f>
        <v>0</v>
      </c>
      <c r="DE40" s="31">
        <f t="shared" si="37"/>
        <v>18</v>
      </c>
      <c r="DF40" s="31">
        <f t="shared" si="38"/>
        <v>0</v>
      </c>
      <c r="DG40" s="31">
        <f t="shared" si="39"/>
        <v>0</v>
      </c>
    </row>
    <row r="41" spans="1:111" hidden="1" outlineLevel="1">
      <c r="A41" s="22" t="str">
        <f t="shared" si="33"/>
        <v/>
      </c>
      <c r="B41" s="474" t="str">
        <f>_xlfn.LET(_xlpm.x,'Diversion and Disposal'!D37,IF(OR(LEN(_xlpm.x)&lt;1,_xlpm.x=0),"",_xlpm.x))</f>
        <v/>
      </c>
      <c r="C41" s="475" t="str">
        <f>_xlfn.LET(_xlpm.x,'Diversion and Disposal'!E37,IF(OR(LEN(_xlpm.x)&lt;1,_xlpm.x=0),"",_xlpm.x))</f>
        <v/>
      </c>
      <c r="D41" s="475" t="str">
        <f>_xlfn.LET(_xlpm.x,'Diversion and Disposal'!F37,IF(OR(LEN(_xlpm.x)&lt;1,_xlpm.x=0),"",_xlpm.x))</f>
        <v/>
      </c>
      <c r="E41" s="475" t="str">
        <f>_xlfn.LET(_xlpm.x,'Diversion and Disposal'!G37,IF(OR(LEN(_xlpm.x)&lt;1,_xlpm.x=0),"",_xlpm.x))</f>
        <v/>
      </c>
      <c r="F41" s="407"/>
      <c r="G41" s="511"/>
      <c r="H41" s="514" t="str">
        <f>_xlfn.LET(_xlpm.x,'Diversion and Disposal'!H37,IF(OR(LEN(_xlpm.x)&lt;1,_xlpm.x=0),"",_xlpm.x))</f>
        <v/>
      </c>
      <c r="I41" s="514" t="str">
        <f>_xlfn.LET(_xlpm.x,'Diversion and Disposal'!I37,IF(OR(LEN(_xlpm.x)&lt;1,_xlpm.x=0),"",_xlpm.x))</f>
        <v/>
      </c>
      <c r="J41" s="514" t="str">
        <f>_xlfn.LET(_xlpm.x,'Diversion and Disposal'!J37,IF(OR(LEN(_xlpm.x)&lt;1,_xlpm.x=0),"",_xlpm.x))</f>
        <v/>
      </c>
      <c r="K41" s="514" t="str">
        <f>_xlfn.LET(_xlpm.x,'Diversion and Disposal'!K37,IF(OR(LEN(_xlpm.x)&lt;1,_xlpm.x=0),"",_xlpm.x))</f>
        <v/>
      </c>
      <c r="L41" s="514" t="str">
        <f>_xlfn.LET(_xlpm.x,'Diversion and Disposal'!L37,IF(OR(LEN(_xlpm.x)&lt;1,_xlpm.x=0),"",_xlpm.x))</f>
        <v/>
      </c>
      <c r="M41" s="514" t="str">
        <f>_xlfn.LET(_xlpm.x,'Diversion and Disposal'!M37,IF(OR(LEN(_xlpm.x)&lt;1,_xlpm.x=0),"",_xlpm.x))</f>
        <v/>
      </c>
      <c r="N41" s="514" t="str">
        <f>_xlfn.LET(_xlpm.x,'Diversion and Disposal'!N37,IF(OR(LEN(_xlpm.x)&lt;1,_xlpm.x=0),"",_xlpm.x))</f>
        <v/>
      </c>
      <c r="O41" s="514" t="str">
        <f>_xlfn.LET(_xlpm.x,'Diversion and Disposal'!O37,IF(OR(LEN(_xlpm.x)&lt;1,_xlpm.x=0),"",_xlpm.x))</f>
        <v/>
      </c>
      <c r="P41" s="514" t="str">
        <f>_xlfn.LET(_xlpm.x,'Diversion and Disposal'!P37,IF(OR(LEN(_xlpm.x)&lt;1,_xlpm.x=0),"",_xlpm.x))</f>
        <v/>
      </c>
      <c r="Q41" s="514" t="str">
        <f>_xlfn.LET(_xlpm.x,'Diversion and Disposal'!Q37,IF(OR(LEN(_xlpm.x)&lt;1,_xlpm.x=0),"",_xlpm.x))</f>
        <v/>
      </c>
      <c r="R41" s="514" t="str">
        <f>_xlfn.LET(_xlpm.x,'Diversion and Disposal'!R37,IF(OR(LEN(_xlpm.x)&lt;1,_xlpm.x=0),"",_xlpm.x))</f>
        <v/>
      </c>
      <c r="S41" s="514" t="str">
        <f>_xlfn.LET(_xlpm.x,'Diversion and Disposal'!S37,IF(OR(LEN(_xlpm.x)&lt;1,_xlpm.x=0),"",_xlpm.x))</f>
        <v/>
      </c>
      <c r="T41" s="513">
        <f t="shared" si="42"/>
        <v>0</v>
      </c>
      <c r="BB41" s="432" t="str">
        <f t="shared" si="3"/>
        <v/>
      </c>
      <c r="BC41" s="432" t="str">
        <f t="shared" si="4"/>
        <v/>
      </c>
      <c r="BD41" s="432" t="str">
        <f t="shared" si="5"/>
        <v/>
      </c>
      <c r="BE41" s="432" t="str">
        <f t="shared" si="6"/>
        <v/>
      </c>
      <c r="BF41" s="432" t="str">
        <f t="shared" si="7"/>
        <v/>
      </c>
      <c r="BG41" s="477" t="str">
        <f t="shared" si="8"/>
        <v/>
      </c>
      <c r="BH41" s="477" t="str">
        <f t="shared" si="9"/>
        <v/>
      </c>
      <c r="BI41" s="477" t="str">
        <f t="shared" si="10"/>
        <v/>
      </c>
      <c r="BJ41" s="477" t="str">
        <f t="shared" si="11"/>
        <v/>
      </c>
      <c r="BK41" s="477" t="str">
        <f t="shared" si="12"/>
        <v/>
      </c>
      <c r="BL41" s="477" t="str">
        <f t="shared" si="13"/>
        <v/>
      </c>
      <c r="BM41" s="477" t="str">
        <f t="shared" si="14"/>
        <v/>
      </c>
      <c r="BN41" s="477" t="str">
        <f t="shared" si="15"/>
        <v/>
      </c>
      <c r="BO41" s="477" t="str">
        <f t="shared" si="16"/>
        <v/>
      </c>
      <c r="BP41" s="477" t="str">
        <f t="shared" si="17"/>
        <v/>
      </c>
      <c r="BQ41" s="477" t="str">
        <f t="shared" si="18"/>
        <v/>
      </c>
      <c r="BR41" s="477" t="str">
        <f t="shared" si="19"/>
        <v/>
      </c>
      <c r="BS41" s="477" t="str">
        <f t="shared" si="20"/>
        <v/>
      </c>
      <c r="BT41" s="435">
        <f t="shared" si="21"/>
        <v>0</v>
      </c>
      <c r="BU41" s="434" t="str">
        <f t="shared" si="34"/>
        <v/>
      </c>
      <c r="BV41" s="479" t="str">
        <f t="shared" si="35"/>
        <v/>
      </c>
      <c r="BW41" s="479" t="str">
        <f t="shared" si="22"/>
        <v/>
      </c>
      <c r="BX41" s="479" t="str">
        <f t="shared" si="23"/>
        <v/>
      </c>
      <c r="BY41" s="479" t="str">
        <f t="shared" si="24"/>
        <v/>
      </c>
      <c r="BZ41" s="479" t="str">
        <f t="shared" si="25"/>
        <v/>
      </c>
      <c r="CA41" s="479" t="str">
        <f t="shared" si="26"/>
        <v/>
      </c>
      <c r="CB41" s="479" t="str">
        <f t="shared" si="27"/>
        <v/>
      </c>
      <c r="CC41" s="479" t="str">
        <f t="shared" si="28"/>
        <v/>
      </c>
      <c r="CD41" s="479" t="str">
        <f t="shared" si="29"/>
        <v/>
      </c>
      <c r="CE41" s="479" t="str">
        <f t="shared" si="30"/>
        <v/>
      </c>
      <c r="CF41" s="479" t="str">
        <f t="shared" si="31"/>
        <v/>
      </c>
      <c r="CG41" s="479" t="str">
        <f t="shared" si="32"/>
        <v/>
      </c>
      <c r="CH41" s="480">
        <f t="shared" si="36"/>
        <v>0</v>
      </c>
      <c r="DD41" s="497" cm="1">
        <f t="array" ref="DD41">_xlfn.IFS('Project Inputs'!$F$150&lt;&gt;"Yes",0,DE41=18,0,DE41&lt;&gt;18,SUM(DF41:DG41))</f>
        <v>0</v>
      </c>
      <c r="DE41" s="31">
        <f t="shared" si="37"/>
        <v>18</v>
      </c>
      <c r="DF41" s="31">
        <f t="shared" si="38"/>
        <v>0</v>
      </c>
      <c r="DG41" s="31">
        <f t="shared" si="39"/>
        <v>0</v>
      </c>
    </row>
    <row r="42" spans="1:111" hidden="1" outlineLevel="1">
      <c r="A42" s="22" t="str">
        <f t="shared" si="33"/>
        <v/>
      </c>
      <c r="B42" s="474" t="str">
        <f>_xlfn.LET(_xlpm.x,'Diversion and Disposal'!D38,IF(OR(LEN(_xlpm.x)&lt;1,_xlpm.x=0),"",_xlpm.x))</f>
        <v/>
      </c>
      <c r="C42" s="475" t="str">
        <f>_xlfn.LET(_xlpm.x,'Diversion and Disposal'!E38,IF(OR(LEN(_xlpm.x)&lt;1,_xlpm.x=0),"",_xlpm.x))</f>
        <v/>
      </c>
      <c r="D42" s="475" t="str">
        <f>_xlfn.LET(_xlpm.x,'Diversion and Disposal'!F38,IF(OR(LEN(_xlpm.x)&lt;1,_xlpm.x=0),"",_xlpm.x))</f>
        <v/>
      </c>
      <c r="E42" s="475" t="str">
        <f>_xlfn.LET(_xlpm.x,'Diversion and Disposal'!G38,IF(OR(LEN(_xlpm.x)&lt;1,_xlpm.x=0),"",_xlpm.x))</f>
        <v/>
      </c>
      <c r="F42" s="407"/>
      <c r="G42" s="511"/>
      <c r="H42" s="514" t="str">
        <f>_xlfn.LET(_xlpm.x,'Diversion and Disposal'!H38,IF(OR(LEN(_xlpm.x)&lt;1,_xlpm.x=0),"",_xlpm.x))</f>
        <v/>
      </c>
      <c r="I42" s="514" t="str">
        <f>_xlfn.LET(_xlpm.x,'Diversion and Disposal'!I38,IF(OR(LEN(_xlpm.x)&lt;1,_xlpm.x=0),"",_xlpm.x))</f>
        <v/>
      </c>
      <c r="J42" s="514" t="str">
        <f>_xlfn.LET(_xlpm.x,'Diversion and Disposal'!J38,IF(OR(LEN(_xlpm.x)&lt;1,_xlpm.x=0),"",_xlpm.x))</f>
        <v/>
      </c>
      <c r="K42" s="514" t="str">
        <f>_xlfn.LET(_xlpm.x,'Diversion and Disposal'!K38,IF(OR(LEN(_xlpm.x)&lt;1,_xlpm.x=0),"",_xlpm.x))</f>
        <v/>
      </c>
      <c r="L42" s="514" t="str">
        <f>_xlfn.LET(_xlpm.x,'Diversion and Disposal'!L38,IF(OR(LEN(_xlpm.x)&lt;1,_xlpm.x=0),"",_xlpm.x))</f>
        <v/>
      </c>
      <c r="M42" s="514" t="str">
        <f>_xlfn.LET(_xlpm.x,'Diversion and Disposal'!M38,IF(OR(LEN(_xlpm.x)&lt;1,_xlpm.x=0),"",_xlpm.x))</f>
        <v/>
      </c>
      <c r="N42" s="514" t="str">
        <f>_xlfn.LET(_xlpm.x,'Diversion and Disposal'!N38,IF(OR(LEN(_xlpm.x)&lt;1,_xlpm.x=0),"",_xlpm.x))</f>
        <v/>
      </c>
      <c r="O42" s="514" t="str">
        <f>_xlfn.LET(_xlpm.x,'Diversion and Disposal'!O38,IF(OR(LEN(_xlpm.x)&lt;1,_xlpm.x=0),"",_xlpm.x))</f>
        <v/>
      </c>
      <c r="P42" s="514" t="str">
        <f>_xlfn.LET(_xlpm.x,'Diversion and Disposal'!P38,IF(OR(LEN(_xlpm.x)&lt;1,_xlpm.x=0),"",_xlpm.x))</f>
        <v/>
      </c>
      <c r="Q42" s="514" t="str">
        <f>_xlfn.LET(_xlpm.x,'Diversion and Disposal'!Q38,IF(OR(LEN(_xlpm.x)&lt;1,_xlpm.x=0),"",_xlpm.x))</f>
        <v/>
      </c>
      <c r="R42" s="514" t="str">
        <f>_xlfn.LET(_xlpm.x,'Diversion and Disposal'!R38,IF(OR(LEN(_xlpm.x)&lt;1,_xlpm.x=0),"",_xlpm.x))</f>
        <v/>
      </c>
      <c r="S42" s="514" t="str">
        <f>_xlfn.LET(_xlpm.x,'Diversion and Disposal'!S38,IF(OR(LEN(_xlpm.x)&lt;1,_xlpm.x=0),"",_xlpm.x))</f>
        <v/>
      </c>
      <c r="T42" s="513">
        <f t="shared" si="42"/>
        <v>0</v>
      </c>
      <c r="BB42" s="432" t="str">
        <f t="shared" si="3"/>
        <v/>
      </c>
      <c r="BC42" s="432" t="str">
        <f t="shared" si="4"/>
        <v/>
      </c>
      <c r="BD42" s="432" t="str">
        <f t="shared" si="5"/>
        <v/>
      </c>
      <c r="BE42" s="432" t="str">
        <f t="shared" si="6"/>
        <v/>
      </c>
      <c r="BF42" s="432" t="str">
        <f t="shared" si="7"/>
        <v/>
      </c>
      <c r="BG42" s="477" t="str">
        <f t="shared" si="8"/>
        <v/>
      </c>
      <c r="BH42" s="477" t="str">
        <f t="shared" si="9"/>
        <v/>
      </c>
      <c r="BI42" s="477" t="str">
        <f t="shared" si="10"/>
        <v/>
      </c>
      <c r="BJ42" s="477" t="str">
        <f t="shared" si="11"/>
        <v/>
      </c>
      <c r="BK42" s="477" t="str">
        <f t="shared" si="12"/>
        <v/>
      </c>
      <c r="BL42" s="477" t="str">
        <f t="shared" si="13"/>
        <v/>
      </c>
      <c r="BM42" s="477" t="str">
        <f t="shared" si="14"/>
        <v/>
      </c>
      <c r="BN42" s="477" t="str">
        <f t="shared" si="15"/>
        <v/>
      </c>
      <c r="BO42" s="477" t="str">
        <f t="shared" si="16"/>
        <v/>
      </c>
      <c r="BP42" s="477" t="str">
        <f t="shared" si="17"/>
        <v/>
      </c>
      <c r="BQ42" s="477" t="str">
        <f t="shared" si="18"/>
        <v/>
      </c>
      <c r="BR42" s="477" t="str">
        <f t="shared" si="19"/>
        <v/>
      </c>
      <c r="BS42" s="477" t="str">
        <f t="shared" si="20"/>
        <v/>
      </c>
      <c r="BT42" s="435">
        <f t="shared" si="21"/>
        <v>0</v>
      </c>
      <c r="BU42" s="434" t="str">
        <f t="shared" si="34"/>
        <v/>
      </c>
      <c r="BV42" s="479" t="str">
        <f t="shared" si="35"/>
        <v/>
      </c>
      <c r="BW42" s="479" t="str">
        <f t="shared" si="22"/>
        <v/>
      </c>
      <c r="BX42" s="479" t="str">
        <f t="shared" si="23"/>
        <v/>
      </c>
      <c r="BY42" s="479" t="str">
        <f t="shared" si="24"/>
        <v/>
      </c>
      <c r="BZ42" s="479" t="str">
        <f t="shared" si="25"/>
        <v/>
      </c>
      <c r="CA42" s="479" t="str">
        <f t="shared" si="26"/>
        <v/>
      </c>
      <c r="CB42" s="479" t="str">
        <f t="shared" si="27"/>
        <v/>
      </c>
      <c r="CC42" s="479" t="str">
        <f t="shared" si="28"/>
        <v/>
      </c>
      <c r="CD42" s="479" t="str">
        <f t="shared" si="29"/>
        <v/>
      </c>
      <c r="CE42" s="479" t="str">
        <f t="shared" si="30"/>
        <v/>
      </c>
      <c r="CF42" s="479" t="str">
        <f t="shared" si="31"/>
        <v/>
      </c>
      <c r="CG42" s="479" t="str">
        <f t="shared" si="32"/>
        <v/>
      </c>
      <c r="CH42" s="480">
        <f t="shared" si="36"/>
        <v>0</v>
      </c>
      <c r="DD42" s="497" cm="1">
        <f t="array" ref="DD42">_xlfn.IFS('Project Inputs'!$F$150&lt;&gt;"Yes",0,DE42=18,0,DE42&lt;&gt;18,SUM(DF42:DG42))</f>
        <v>0</v>
      </c>
      <c r="DE42" s="31">
        <f t="shared" si="37"/>
        <v>18</v>
      </c>
      <c r="DF42" s="31">
        <f t="shared" si="38"/>
        <v>0</v>
      </c>
      <c r="DG42" s="31">
        <f t="shared" si="39"/>
        <v>0</v>
      </c>
    </row>
    <row r="43" spans="1:111" hidden="1" outlineLevel="1">
      <c r="A43" s="22" t="str">
        <f t="shared" si="33"/>
        <v/>
      </c>
      <c r="B43" s="474" t="str">
        <f>_xlfn.LET(_xlpm.x,'Diversion and Disposal'!D39,IF(OR(LEN(_xlpm.x)&lt;1,_xlpm.x=0),"",_xlpm.x))</f>
        <v/>
      </c>
      <c r="C43" s="475" t="str">
        <f>_xlfn.LET(_xlpm.x,'Diversion and Disposal'!E39,IF(OR(LEN(_xlpm.x)&lt;1,_xlpm.x=0),"",_xlpm.x))</f>
        <v/>
      </c>
      <c r="D43" s="475" t="str">
        <f>_xlfn.LET(_xlpm.x,'Diversion and Disposal'!F39,IF(OR(LEN(_xlpm.x)&lt;1,_xlpm.x=0),"",_xlpm.x))</f>
        <v/>
      </c>
      <c r="E43" s="475" t="str">
        <f>_xlfn.LET(_xlpm.x,'Diversion and Disposal'!G39,IF(OR(LEN(_xlpm.x)&lt;1,_xlpm.x=0),"",_xlpm.x))</f>
        <v/>
      </c>
      <c r="F43" s="407"/>
      <c r="G43" s="511"/>
      <c r="H43" s="514" t="str">
        <f>_xlfn.LET(_xlpm.x,'Diversion and Disposal'!H39,IF(OR(LEN(_xlpm.x)&lt;1,_xlpm.x=0),"",_xlpm.x))</f>
        <v/>
      </c>
      <c r="I43" s="514" t="str">
        <f>_xlfn.LET(_xlpm.x,'Diversion and Disposal'!I39,IF(OR(LEN(_xlpm.x)&lt;1,_xlpm.x=0),"",_xlpm.x))</f>
        <v/>
      </c>
      <c r="J43" s="514" t="str">
        <f>_xlfn.LET(_xlpm.x,'Diversion and Disposal'!J39,IF(OR(LEN(_xlpm.x)&lt;1,_xlpm.x=0),"",_xlpm.x))</f>
        <v/>
      </c>
      <c r="K43" s="514" t="str">
        <f>_xlfn.LET(_xlpm.x,'Diversion and Disposal'!K39,IF(OR(LEN(_xlpm.x)&lt;1,_xlpm.x=0),"",_xlpm.x))</f>
        <v/>
      </c>
      <c r="L43" s="514" t="str">
        <f>_xlfn.LET(_xlpm.x,'Diversion and Disposal'!L39,IF(OR(LEN(_xlpm.x)&lt;1,_xlpm.x=0),"",_xlpm.x))</f>
        <v/>
      </c>
      <c r="M43" s="514" t="str">
        <f>_xlfn.LET(_xlpm.x,'Diversion and Disposal'!M39,IF(OR(LEN(_xlpm.x)&lt;1,_xlpm.x=0),"",_xlpm.x))</f>
        <v/>
      </c>
      <c r="N43" s="514" t="str">
        <f>_xlfn.LET(_xlpm.x,'Diversion and Disposal'!N39,IF(OR(LEN(_xlpm.x)&lt;1,_xlpm.x=0),"",_xlpm.x))</f>
        <v/>
      </c>
      <c r="O43" s="514" t="str">
        <f>_xlfn.LET(_xlpm.x,'Diversion and Disposal'!O39,IF(OR(LEN(_xlpm.x)&lt;1,_xlpm.x=0),"",_xlpm.x))</f>
        <v/>
      </c>
      <c r="P43" s="514" t="str">
        <f>_xlfn.LET(_xlpm.x,'Diversion and Disposal'!P39,IF(OR(LEN(_xlpm.x)&lt;1,_xlpm.x=0),"",_xlpm.x))</f>
        <v/>
      </c>
      <c r="Q43" s="514" t="str">
        <f>_xlfn.LET(_xlpm.x,'Diversion and Disposal'!Q39,IF(OR(LEN(_xlpm.x)&lt;1,_xlpm.x=0),"",_xlpm.x))</f>
        <v/>
      </c>
      <c r="R43" s="514" t="str">
        <f>_xlfn.LET(_xlpm.x,'Diversion and Disposal'!R39,IF(OR(LEN(_xlpm.x)&lt;1,_xlpm.x=0),"",_xlpm.x))</f>
        <v/>
      </c>
      <c r="S43" s="514" t="str">
        <f>_xlfn.LET(_xlpm.x,'Diversion and Disposal'!S39,IF(OR(LEN(_xlpm.x)&lt;1,_xlpm.x=0),"",_xlpm.x))</f>
        <v/>
      </c>
      <c r="T43" s="513">
        <f t="shared" si="42"/>
        <v>0</v>
      </c>
      <c r="BB43" s="432" t="str">
        <f t="shared" si="3"/>
        <v/>
      </c>
      <c r="BC43" s="432" t="str">
        <f t="shared" si="4"/>
        <v/>
      </c>
      <c r="BD43" s="432" t="str">
        <f t="shared" si="5"/>
        <v/>
      </c>
      <c r="BE43" s="432" t="str">
        <f t="shared" si="6"/>
        <v/>
      </c>
      <c r="BF43" s="432" t="str">
        <f t="shared" si="7"/>
        <v/>
      </c>
      <c r="BG43" s="477" t="str">
        <f t="shared" si="8"/>
        <v/>
      </c>
      <c r="BH43" s="477" t="str">
        <f t="shared" si="9"/>
        <v/>
      </c>
      <c r="BI43" s="477" t="str">
        <f t="shared" si="10"/>
        <v/>
      </c>
      <c r="BJ43" s="477" t="str">
        <f t="shared" si="11"/>
        <v/>
      </c>
      <c r="BK43" s="477" t="str">
        <f t="shared" si="12"/>
        <v/>
      </c>
      <c r="BL43" s="477" t="str">
        <f t="shared" si="13"/>
        <v/>
      </c>
      <c r="BM43" s="477" t="str">
        <f t="shared" si="14"/>
        <v/>
      </c>
      <c r="BN43" s="477" t="str">
        <f t="shared" si="15"/>
        <v/>
      </c>
      <c r="BO43" s="477" t="str">
        <f t="shared" si="16"/>
        <v/>
      </c>
      <c r="BP43" s="477" t="str">
        <f t="shared" si="17"/>
        <v/>
      </c>
      <c r="BQ43" s="477" t="str">
        <f t="shared" si="18"/>
        <v/>
      </c>
      <c r="BR43" s="477" t="str">
        <f t="shared" si="19"/>
        <v/>
      </c>
      <c r="BS43" s="477" t="str">
        <f t="shared" si="20"/>
        <v/>
      </c>
      <c r="BT43" s="435">
        <f t="shared" si="21"/>
        <v>0</v>
      </c>
      <c r="BU43" s="434" t="str">
        <f t="shared" si="34"/>
        <v/>
      </c>
      <c r="BV43" s="479" t="str">
        <f t="shared" si="35"/>
        <v/>
      </c>
      <c r="BW43" s="479" t="str">
        <f t="shared" si="22"/>
        <v/>
      </c>
      <c r="BX43" s="479" t="str">
        <f t="shared" si="23"/>
        <v/>
      </c>
      <c r="BY43" s="479" t="str">
        <f t="shared" si="24"/>
        <v/>
      </c>
      <c r="BZ43" s="479" t="str">
        <f t="shared" si="25"/>
        <v/>
      </c>
      <c r="CA43" s="479" t="str">
        <f t="shared" si="26"/>
        <v/>
      </c>
      <c r="CB43" s="479" t="str">
        <f t="shared" si="27"/>
        <v/>
      </c>
      <c r="CC43" s="479" t="str">
        <f t="shared" si="28"/>
        <v/>
      </c>
      <c r="CD43" s="479" t="str">
        <f t="shared" si="29"/>
        <v/>
      </c>
      <c r="CE43" s="479" t="str">
        <f t="shared" si="30"/>
        <v/>
      </c>
      <c r="CF43" s="479" t="str">
        <f t="shared" si="31"/>
        <v/>
      </c>
      <c r="CG43" s="479" t="str">
        <f t="shared" si="32"/>
        <v/>
      </c>
      <c r="CH43" s="480">
        <f t="shared" si="36"/>
        <v>0</v>
      </c>
      <c r="DD43" s="497" cm="1">
        <f t="array" ref="DD43">_xlfn.IFS('Project Inputs'!$F$150&lt;&gt;"Yes",0,DE43=18,0,DE43&lt;&gt;18,SUM(DF43:DG43))</f>
        <v>0</v>
      </c>
      <c r="DE43" s="31">
        <f t="shared" si="37"/>
        <v>18</v>
      </c>
      <c r="DF43" s="31">
        <f t="shared" si="38"/>
        <v>0</v>
      </c>
      <c r="DG43" s="31">
        <f t="shared" si="39"/>
        <v>0</v>
      </c>
    </row>
    <row r="44" spans="1:111" hidden="1" outlineLevel="1">
      <c r="A44" s="22" t="str">
        <f t="shared" si="33"/>
        <v/>
      </c>
      <c r="B44" s="474" t="str">
        <f>_xlfn.LET(_xlpm.x,'Diversion and Disposal'!D40,IF(OR(LEN(_xlpm.x)&lt;1,_xlpm.x=0),"",_xlpm.x))</f>
        <v/>
      </c>
      <c r="C44" s="475" t="str">
        <f>_xlfn.LET(_xlpm.x,'Diversion and Disposal'!E40,IF(OR(LEN(_xlpm.x)&lt;1,_xlpm.x=0),"",_xlpm.x))</f>
        <v/>
      </c>
      <c r="D44" s="475" t="str">
        <f>_xlfn.LET(_xlpm.x,'Diversion and Disposal'!F40,IF(OR(LEN(_xlpm.x)&lt;1,_xlpm.x=0),"",_xlpm.x))</f>
        <v/>
      </c>
      <c r="E44" s="475" t="str">
        <f>_xlfn.LET(_xlpm.x,'Diversion and Disposal'!G40,IF(OR(LEN(_xlpm.x)&lt;1,_xlpm.x=0),"",_xlpm.x))</f>
        <v/>
      </c>
      <c r="F44" s="407"/>
      <c r="G44" s="511"/>
      <c r="H44" s="514" t="str">
        <f>_xlfn.LET(_xlpm.x,'Diversion and Disposal'!H40,IF(OR(LEN(_xlpm.x)&lt;1,_xlpm.x=0),"",_xlpm.x))</f>
        <v/>
      </c>
      <c r="I44" s="514" t="str">
        <f>_xlfn.LET(_xlpm.x,'Diversion and Disposal'!I40,IF(OR(LEN(_xlpm.x)&lt;1,_xlpm.x=0),"",_xlpm.x))</f>
        <v/>
      </c>
      <c r="J44" s="514" t="str">
        <f>_xlfn.LET(_xlpm.x,'Diversion and Disposal'!J40,IF(OR(LEN(_xlpm.x)&lt;1,_xlpm.x=0),"",_xlpm.x))</f>
        <v/>
      </c>
      <c r="K44" s="514" t="str">
        <f>_xlfn.LET(_xlpm.x,'Diversion and Disposal'!K40,IF(OR(LEN(_xlpm.x)&lt;1,_xlpm.x=0),"",_xlpm.x))</f>
        <v/>
      </c>
      <c r="L44" s="514" t="str">
        <f>_xlfn.LET(_xlpm.x,'Diversion and Disposal'!L40,IF(OR(LEN(_xlpm.x)&lt;1,_xlpm.x=0),"",_xlpm.x))</f>
        <v/>
      </c>
      <c r="M44" s="514" t="str">
        <f>_xlfn.LET(_xlpm.x,'Diversion and Disposal'!M40,IF(OR(LEN(_xlpm.x)&lt;1,_xlpm.x=0),"",_xlpm.x))</f>
        <v/>
      </c>
      <c r="N44" s="514" t="str">
        <f>_xlfn.LET(_xlpm.x,'Diversion and Disposal'!N40,IF(OR(LEN(_xlpm.x)&lt;1,_xlpm.x=0),"",_xlpm.x))</f>
        <v/>
      </c>
      <c r="O44" s="514" t="str">
        <f>_xlfn.LET(_xlpm.x,'Diversion and Disposal'!O40,IF(OR(LEN(_xlpm.x)&lt;1,_xlpm.x=0),"",_xlpm.x))</f>
        <v/>
      </c>
      <c r="P44" s="514" t="str">
        <f>_xlfn.LET(_xlpm.x,'Diversion and Disposal'!P40,IF(OR(LEN(_xlpm.x)&lt;1,_xlpm.x=0),"",_xlpm.x))</f>
        <v/>
      </c>
      <c r="Q44" s="514" t="str">
        <f>_xlfn.LET(_xlpm.x,'Diversion and Disposal'!Q40,IF(OR(LEN(_xlpm.x)&lt;1,_xlpm.x=0),"",_xlpm.x))</f>
        <v/>
      </c>
      <c r="R44" s="514" t="str">
        <f>_xlfn.LET(_xlpm.x,'Diversion and Disposal'!R40,IF(OR(LEN(_xlpm.x)&lt;1,_xlpm.x=0),"",_xlpm.x))</f>
        <v/>
      </c>
      <c r="S44" s="514" t="str">
        <f>_xlfn.LET(_xlpm.x,'Diversion and Disposal'!S40,IF(OR(LEN(_xlpm.x)&lt;1,_xlpm.x=0),"",_xlpm.x))</f>
        <v/>
      </c>
      <c r="T44" s="513">
        <f t="shared" si="42"/>
        <v>0</v>
      </c>
      <c r="BB44" s="432" t="str">
        <f t="shared" si="3"/>
        <v/>
      </c>
      <c r="BC44" s="432" t="str">
        <f t="shared" si="4"/>
        <v/>
      </c>
      <c r="BD44" s="432" t="str">
        <f t="shared" si="5"/>
        <v/>
      </c>
      <c r="BE44" s="432" t="str">
        <f t="shared" si="6"/>
        <v/>
      </c>
      <c r="BF44" s="432" t="str">
        <f t="shared" si="7"/>
        <v/>
      </c>
      <c r="BG44" s="477" t="str">
        <f t="shared" si="8"/>
        <v/>
      </c>
      <c r="BH44" s="477" t="str">
        <f t="shared" si="9"/>
        <v/>
      </c>
      <c r="BI44" s="477" t="str">
        <f t="shared" si="10"/>
        <v/>
      </c>
      <c r="BJ44" s="477" t="str">
        <f t="shared" si="11"/>
        <v/>
      </c>
      <c r="BK44" s="477" t="str">
        <f t="shared" si="12"/>
        <v/>
      </c>
      <c r="BL44" s="477" t="str">
        <f t="shared" si="13"/>
        <v/>
      </c>
      <c r="BM44" s="477" t="str">
        <f t="shared" si="14"/>
        <v/>
      </c>
      <c r="BN44" s="477" t="str">
        <f t="shared" si="15"/>
        <v/>
      </c>
      <c r="BO44" s="477" t="str">
        <f t="shared" si="16"/>
        <v/>
      </c>
      <c r="BP44" s="477" t="str">
        <f t="shared" si="17"/>
        <v/>
      </c>
      <c r="BQ44" s="477" t="str">
        <f t="shared" si="18"/>
        <v/>
      </c>
      <c r="BR44" s="477" t="str">
        <f t="shared" si="19"/>
        <v/>
      </c>
      <c r="BS44" s="477" t="str">
        <f t="shared" si="20"/>
        <v/>
      </c>
      <c r="BT44" s="435">
        <f t="shared" si="21"/>
        <v>0</v>
      </c>
      <c r="BU44" s="434" t="str">
        <f t="shared" si="34"/>
        <v/>
      </c>
      <c r="BV44" s="479" t="str">
        <f t="shared" si="35"/>
        <v/>
      </c>
      <c r="BW44" s="479" t="str">
        <f t="shared" si="22"/>
        <v/>
      </c>
      <c r="BX44" s="479" t="str">
        <f t="shared" si="23"/>
        <v/>
      </c>
      <c r="BY44" s="479" t="str">
        <f t="shared" si="24"/>
        <v/>
      </c>
      <c r="BZ44" s="479" t="str">
        <f t="shared" si="25"/>
        <v/>
      </c>
      <c r="CA44" s="479" t="str">
        <f t="shared" si="26"/>
        <v/>
      </c>
      <c r="CB44" s="479" t="str">
        <f t="shared" si="27"/>
        <v/>
      </c>
      <c r="CC44" s="479" t="str">
        <f t="shared" si="28"/>
        <v/>
      </c>
      <c r="CD44" s="479" t="str">
        <f t="shared" si="29"/>
        <v/>
      </c>
      <c r="CE44" s="479" t="str">
        <f t="shared" si="30"/>
        <v/>
      </c>
      <c r="CF44" s="479" t="str">
        <f t="shared" si="31"/>
        <v/>
      </c>
      <c r="CG44" s="479" t="str">
        <f t="shared" si="32"/>
        <v/>
      </c>
      <c r="CH44" s="480">
        <f t="shared" si="36"/>
        <v>0</v>
      </c>
      <c r="DD44" s="497" cm="1">
        <f t="array" ref="DD44">_xlfn.IFS('Project Inputs'!$F$150&lt;&gt;"Yes",0,DE44=18,0,DE44&lt;&gt;18,SUM(DF44:DG44))</f>
        <v>0</v>
      </c>
      <c r="DE44" s="31">
        <f t="shared" si="37"/>
        <v>18</v>
      </c>
      <c r="DF44" s="31">
        <f t="shared" si="38"/>
        <v>0</v>
      </c>
      <c r="DG44" s="31">
        <f t="shared" si="39"/>
        <v>0</v>
      </c>
    </row>
    <row r="45" spans="1:111" hidden="1" outlineLevel="1">
      <c r="A45" s="22" t="str">
        <f t="shared" si="33"/>
        <v/>
      </c>
      <c r="B45" s="474" t="str">
        <f>_xlfn.LET(_xlpm.x,'Diversion and Disposal'!D41,IF(OR(LEN(_xlpm.x)&lt;1,_xlpm.x=0),"",_xlpm.x))</f>
        <v/>
      </c>
      <c r="C45" s="475" t="str">
        <f>_xlfn.LET(_xlpm.x,'Diversion and Disposal'!E41,IF(OR(LEN(_xlpm.x)&lt;1,_xlpm.x=0),"",_xlpm.x))</f>
        <v/>
      </c>
      <c r="D45" s="475" t="str">
        <f>_xlfn.LET(_xlpm.x,'Diversion and Disposal'!F41,IF(OR(LEN(_xlpm.x)&lt;1,_xlpm.x=0),"",_xlpm.x))</f>
        <v/>
      </c>
      <c r="E45" s="475" t="str">
        <f>_xlfn.LET(_xlpm.x,'Diversion and Disposal'!G41,IF(OR(LEN(_xlpm.x)&lt;1,_xlpm.x=0),"",_xlpm.x))</f>
        <v/>
      </c>
      <c r="F45" s="407"/>
      <c r="G45" s="511"/>
      <c r="H45" s="514" t="str">
        <f>_xlfn.LET(_xlpm.x,'Diversion and Disposal'!H41,IF(OR(LEN(_xlpm.x)&lt;1,_xlpm.x=0),"",_xlpm.x))</f>
        <v/>
      </c>
      <c r="I45" s="514" t="str">
        <f>_xlfn.LET(_xlpm.x,'Diversion and Disposal'!I41,IF(OR(LEN(_xlpm.x)&lt;1,_xlpm.x=0),"",_xlpm.x))</f>
        <v/>
      </c>
      <c r="J45" s="514" t="str">
        <f>_xlfn.LET(_xlpm.x,'Diversion and Disposal'!J41,IF(OR(LEN(_xlpm.x)&lt;1,_xlpm.x=0),"",_xlpm.x))</f>
        <v/>
      </c>
      <c r="K45" s="514" t="str">
        <f>_xlfn.LET(_xlpm.x,'Diversion and Disposal'!K41,IF(OR(LEN(_xlpm.x)&lt;1,_xlpm.x=0),"",_xlpm.x))</f>
        <v/>
      </c>
      <c r="L45" s="514" t="str">
        <f>_xlfn.LET(_xlpm.x,'Diversion and Disposal'!L41,IF(OR(LEN(_xlpm.x)&lt;1,_xlpm.x=0),"",_xlpm.x))</f>
        <v/>
      </c>
      <c r="M45" s="514" t="str">
        <f>_xlfn.LET(_xlpm.x,'Diversion and Disposal'!M41,IF(OR(LEN(_xlpm.x)&lt;1,_xlpm.x=0),"",_xlpm.x))</f>
        <v/>
      </c>
      <c r="N45" s="514" t="str">
        <f>_xlfn.LET(_xlpm.x,'Diversion and Disposal'!N41,IF(OR(LEN(_xlpm.x)&lt;1,_xlpm.x=0),"",_xlpm.x))</f>
        <v/>
      </c>
      <c r="O45" s="514" t="str">
        <f>_xlfn.LET(_xlpm.x,'Diversion and Disposal'!O41,IF(OR(LEN(_xlpm.x)&lt;1,_xlpm.x=0),"",_xlpm.x))</f>
        <v/>
      </c>
      <c r="P45" s="514" t="str">
        <f>_xlfn.LET(_xlpm.x,'Diversion and Disposal'!P41,IF(OR(LEN(_xlpm.x)&lt;1,_xlpm.x=0),"",_xlpm.x))</f>
        <v/>
      </c>
      <c r="Q45" s="514" t="str">
        <f>_xlfn.LET(_xlpm.x,'Diversion and Disposal'!Q41,IF(OR(LEN(_xlpm.x)&lt;1,_xlpm.x=0),"",_xlpm.x))</f>
        <v/>
      </c>
      <c r="R45" s="514" t="str">
        <f>_xlfn.LET(_xlpm.x,'Diversion and Disposal'!R41,IF(OR(LEN(_xlpm.x)&lt;1,_xlpm.x=0),"",_xlpm.x))</f>
        <v/>
      </c>
      <c r="S45" s="514" t="str">
        <f>_xlfn.LET(_xlpm.x,'Diversion and Disposal'!S41,IF(OR(LEN(_xlpm.x)&lt;1,_xlpm.x=0),"",_xlpm.x))</f>
        <v/>
      </c>
      <c r="T45" s="513">
        <f t="shared" si="42"/>
        <v>0</v>
      </c>
      <c r="BB45" s="432" t="str">
        <f t="shared" si="3"/>
        <v/>
      </c>
      <c r="BC45" s="432" t="str">
        <f t="shared" si="4"/>
        <v/>
      </c>
      <c r="BD45" s="432" t="str">
        <f t="shared" si="5"/>
        <v/>
      </c>
      <c r="BE45" s="432" t="str">
        <f t="shared" si="6"/>
        <v/>
      </c>
      <c r="BF45" s="432" t="str">
        <f t="shared" si="7"/>
        <v/>
      </c>
      <c r="BG45" s="477" t="str">
        <f t="shared" si="8"/>
        <v/>
      </c>
      <c r="BH45" s="477" t="str">
        <f t="shared" si="9"/>
        <v/>
      </c>
      <c r="BI45" s="477" t="str">
        <f t="shared" si="10"/>
        <v/>
      </c>
      <c r="BJ45" s="477" t="str">
        <f t="shared" si="11"/>
        <v/>
      </c>
      <c r="BK45" s="477" t="str">
        <f t="shared" si="12"/>
        <v/>
      </c>
      <c r="BL45" s="477" t="str">
        <f t="shared" si="13"/>
        <v/>
      </c>
      <c r="BM45" s="477" t="str">
        <f t="shared" si="14"/>
        <v/>
      </c>
      <c r="BN45" s="477" t="str">
        <f t="shared" si="15"/>
        <v/>
      </c>
      <c r="BO45" s="477" t="str">
        <f t="shared" si="16"/>
        <v/>
      </c>
      <c r="BP45" s="477" t="str">
        <f t="shared" si="17"/>
        <v/>
      </c>
      <c r="BQ45" s="477" t="str">
        <f t="shared" si="18"/>
        <v/>
      </c>
      <c r="BR45" s="477" t="str">
        <f t="shared" si="19"/>
        <v/>
      </c>
      <c r="BS45" s="477" t="str">
        <f t="shared" si="20"/>
        <v/>
      </c>
      <c r="BT45" s="435">
        <f t="shared" si="21"/>
        <v>0</v>
      </c>
      <c r="BU45" s="434" t="str">
        <f t="shared" si="34"/>
        <v/>
      </c>
      <c r="BV45" s="479" t="str">
        <f t="shared" si="35"/>
        <v/>
      </c>
      <c r="BW45" s="479" t="str">
        <f t="shared" si="22"/>
        <v/>
      </c>
      <c r="BX45" s="479" t="str">
        <f t="shared" si="23"/>
        <v/>
      </c>
      <c r="BY45" s="479" t="str">
        <f t="shared" si="24"/>
        <v/>
      </c>
      <c r="BZ45" s="479" t="str">
        <f t="shared" si="25"/>
        <v/>
      </c>
      <c r="CA45" s="479" t="str">
        <f t="shared" si="26"/>
        <v/>
      </c>
      <c r="CB45" s="479" t="str">
        <f t="shared" si="27"/>
        <v/>
      </c>
      <c r="CC45" s="479" t="str">
        <f t="shared" si="28"/>
        <v/>
      </c>
      <c r="CD45" s="479" t="str">
        <f t="shared" si="29"/>
        <v/>
      </c>
      <c r="CE45" s="479" t="str">
        <f t="shared" si="30"/>
        <v/>
      </c>
      <c r="CF45" s="479" t="str">
        <f t="shared" si="31"/>
        <v/>
      </c>
      <c r="CG45" s="479" t="str">
        <f t="shared" si="32"/>
        <v/>
      </c>
      <c r="CH45" s="480">
        <f t="shared" si="36"/>
        <v>0</v>
      </c>
      <c r="DD45" s="497" cm="1">
        <f t="array" ref="DD45">_xlfn.IFS('Project Inputs'!$F$150&lt;&gt;"Yes",0,DE45=18,0,DE45&lt;&gt;18,SUM(DF45:DG45))</f>
        <v>0</v>
      </c>
      <c r="DE45" s="31">
        <f t="shared" si="37"/>
        <v>18</v>
      </c>
      <c r="DF45" s="31">
        <f t="shared" si="38"/>
        <v>0</v>
      </c>
      <c r="DG45" s="31">
        <f t="shared" si="39"/>
        <v>0</v>
      </c>
    </row>
    <row r="46" spans="1:111" hidden="1" outlineLevel="1">
      <c r="A46" s="22" t="str">
        <f t="shared" si="33"/>
        <v/>
      </c>
      <c r="B46" s="474" t="str">
        <f>_xlfn.LET(_xlpm.x,'Diversion and Disposal'!D42,IF(OR(LEN(_xlpm.x)&lt;1,_xlpm.x=0),"",_xlpm.x))</f>
        <v/>
      </c>
      <c r="C46" s="475" t="str">
        <f>_xlfn.LET(_xlpm.x,'Diversion and Disposal'!E42,IF(OR(LEN(_xlpm.x)&lt;1,_xlpm.x=0),"",_xlpm.x))</f>
        <v/>
      </c>
      <c r="D46" s="475" t="str">
        <f>_xlfn.LET(_xlpm.x,'Diversion and Disposal'!F42,IF(OR(LEN(_xlpm.x)&lt;1,_xlpm.x=0),"",_xlpm.x))</f>
        <v/>
      </c>
      <c r="E46" s="475" t="str">
        <f>_xlfn.LET(_xlpm.x,'Diversion and Disposal'!G42,IF(OR(LEN(_xlpm.x)&lt;1,_xlpm.x=0),"",_xlpm.x))</f>
        <v/>
      </c>
      <c r="F46" s="407"/>
      <c r="G46" s="511"/>
      <c r="H46" s="514" t="str">
        <f>_xlfn.LET(_xlpm.x,'Diversion and Disposal'!H42,IF(OR(LEN(_xlpm.x)&lt;1,_xlpm.x=0),"",_xlpm.x))</f>
        <v/>
      </c>
      <c r="I46" s="514" t="str">
        <f>_xlfn.LET(_xlpm.x,'Diversion and Disposal'!I42,IF(OR(LEN(_xlpm.x)&lt;1,_xlpm.x=0),"",_xlpm.x))</f>
        <v/>
      </c>
      <c r="J46" s="514" t="str">
        <f>_xlfn.LET(_xlpm.x,'Diversion and Disposal'!J42,IF(OR(LEN(_xlpm.x)&lt;1,_xlpm.x=0),"",_xlpm.x))</f>
        <v/>
      </c>
      <c r="K46" s="514" t="str">
        <f>_xlfn.LET(_xlpm.x,'Diversion and Disposal'!K42,IF(OR(LEN(_xlpm.x)&lt;1,_xlpm.x=0),"",_xlpm.x))</f>
        <v/>
      </c>
      <c r="L46" s="514" t="str">
        <f>_xlfn.LET(_xlpm.x,'Diversion and Disposal'!L42,IF(OR(LEN(_xlpm.x)&lt;1,_xlpm.x=0),"",_xlpm.x))</f>
        <v/>
      </c>
      <c r="M46" s="514" t="str">
        <f>_xlfn.LET(_xlpm.x,'Diversion and Disposal'!M42,IF(OR(LEN(_xlpm.x)&lt;1,_xlpm.x=0),"",_xlpm.x))</f>
        <v/>
      </c>
      <c r="N46" s="514" t="str">
        <f>_xlfn.LET(_xlpm.x,'Diversion and Disposal'!N42,IF(OR(LEN(_xlpm.x)&lt;1,_xlpm.x=0),"",_xlpm.x))</f>
        <v/>
      </c>
      <c r="O46" s="514" t="str">
        <f>_xlfn.LET(_xlpm.x,'Diversion and Disposal'!O42,IF(OR(LEN(_xlpm.x)&lt;1,_xlpm.x=0),"",_xlpm.x))</f>
        <v/>
      </c>
      <c r="P46" s="514" t="str">
        <f>_xlfn.LET(_xlpm.x,'Diversion and Disposal'!P42,IF(OR(LEN(_xlpm.x)&lt;1,_xlpm.x=0),"",_xlpm.x))</f>
        <v/>
      </c>
      <c r="Q46" s="514" t="str">
        <f>_xlfn.LET(_xlpm.x,'Diversion and Disposal'!Q42,IF(OR(LEN(_xlpm.x)&lt;1,_xlpm.x=0),"",_xlpm.x))</f>
        <v/>
      </c>
      <c r="R46" s="514" t="str">
        <f>_xlfn.LET(_xlpm.x,'Diversion and Disposal'!R42,IF(OR(LEN(_xlpm.x)&lt;1,_xlpm.x=0),"",_xlpm.x))</f>
        <v/>
      </c>
      <c r="S46" s="514" t="str">
        <f>_xlfn.LET(_xlpm.x,'Diversion and Disposal'!S42,IF(OR(LEN(_xlpm.x)&lt;1,_xlpm.x=0),"",_xlpm.x))</f>
        <v/>
      </c>
      <c r="T46" s="513">
        <f t="shared" si="42"/>
        <v>0</v>
      </c>
      <c r="BB46" s="432" t="str">
        <f t="shared" si="3"/>
        <v/>
      </c>
      <c r="BC46" s="432" t="str">
        <f t="shared" si="4"/>
        <v/>
      </c>
      <c r="BD46" s="432" t="str">
        <f t="shared" si="5"/>
        <v/>
      </c>
      <c r="BE46" s="432" t="str">
        <f t="shared" si="6"/>
        <v/>
      </c>
      <c r="BF46" s="432" t="str">
        <f t="shared" si="7"/>
        <v/>
      </c>
      <c r="BG46" s="477" t="str">
        <f t="shared" si="8"/>
        <v/>
      </c>
      <c r="BH46" s="477" t="str">
        <f t="shared" si="9"/>
        <v/>
      </c>
      <c r="BI46" s="477" t="str">
        <f t="shared" si="10"/>
        <v/>
      </c>
      <c r="BJ46" s="477" t="str">
        <f t="shared" si="11"/>
        <v/>
      </c>
      <c r="BK46" s="477" t="str">
        <f t="shared" si="12"/>
        <v/>
      </c>
      <c r="BL46" s="477" t="str">
        <f t="shared" si="13"/>
        <v/>
      </c>
      <c r="BM46" s="477" t="str">
        <f t="shared" si="14"/>
        <v/>
      </c>
      <c r="BN46" s="477" t="str">
        <f t="shared" si="15"/>
        <v/>
      </c>
      <c r="BO46" s="477" t="str">
        <f t="shared" si="16"/>
        <v/>
      </c>
      <c r="BP46" s="477" t="str">
        <f t="shared" si="17"/>
        <v/>
      </c>
      <c r="BQ46" s="477" t="str">
        <f t="shared" si="18"/>
        <v/>
      </c>
      <c r="BR46" s="477" t="str">
        <f t="shared" si="19"/>
        <v/>
      </c>
      <c r="BS46" s="477" t="str">
        <f t="shared" si="20"/>
        <v/>
      </c>
      <c r="BT46" s="435">
        <f t="shared" si="21"/>
        <v>0</v>
      </c>
      <c r="BU46" s="434" t="str">
        <f t="shared" si="34"/>
        <v/>
      </c>
      <c r="BV46" s="479" t="str">
        <f t="shared" si="35"/>
        <v/>
      </c>
      <c r="BW46" s="479" t="str">
        <f t="shared" si="22"/>
        <v/>
      </c>
      <c r="BX46" s="479" t="str">
        <f t="shared" si="23"/>
        <v/>
      </c>
      <c r="BY46" s="479" t="str">
        <f t="shared" si="24"/>
        <v/>
      </c>
      <c r="BZ46" s="479" t="str">
        <f t="shared" si="25"/>
        <v/>
      </c>
      <c r="CA46" s="479" t="str">
        <f t="shared" si="26"/>
        <v/>
      </c>
      <c r="CB46" s="479" t="str">
        <f t="shared" si="27"/>
        <v/>
      </c>
      <c r="CC46" s="479" t="str">
        <f t="shared" si="28"/>
        <v/>
      </c>
      <c r="CD46" s="479" t="str">
        <f t="shared" si="29"/>
        <v/>
      </c>
      <c r="CE46" s="479" t="str">
        <f t="shared" si="30"/>
        <v/>
      </c>
      <c r="CF46" s="479" t="str">
        <f t="shared" si="31"/>
        <v/>
      </c>
      <c r="CG46" s="479" t="str">
        <f t="shared" si="32"/>
        <v/>
      </c>
      <c r="CH46" s="480">
        <f t="shared" si="36"/>
        <v>0</v>
      </c>
      <c r="DD46" s="497" cm="1">
        <f t="array" ref="DD46">_xlfn.IFS('Project Inputs'!$F$150&lt;&gt;"Yes",0,DE46=18,0,DE46&lt;&gt;18,SUM(DF46:DG46))</f>
        <v>0</v>
      </c>
      <c r="DE46" s="31">
        <f t="shared" si="37"/>
        <v>18</v>
      </c>
      <c r="DF46" s="31">
        <f t="shared" si="38"/>
        <v>0</v>
      </c>
      <c r="DG46" s="31">
        <f t="shared" si="39"/>
        <v>0</v>
      </c>
    </row>
    <row r="47" spans="1:111" hidden="1" outlineLevel="1">
      <c r="A47" s="22" t="str">
        <f t="shared" si="33"/>
        <v/>
      </c>
      <c r="B47" s="474" t="str">
        <f>_xlfn.LET(_xlpm.x,'Diversion and Disposal'!D43,IF(OR(LEN(_xlpm.x)&lt;1,_xlpm.x=0),"",_xlpm.x))</f>
        <v/>
      </c>
      <c r="C47" s="475" t="str">
        <f>_xlfn.LET(_xlpm.x,'Diversion and Disposal'!E43,IF(OR(LEN(_xlpm.x)&lt;1,_xlpm.x=0),"",_xlpm.x))</f>
        <v/>
      </c>
      <c r="D47" s="475" t="str">
        <f>_xlfn.LET(_xlpm.x,'Diversion and Disposal'!F43,IF(OR(LEN(_xlpm.x)&lt;1,_xlpm.x=0),"",_xlpm.x))</f>
        <v/>
      </c>
      <c r="E47" s="475" t="str">
        <f>_xlfn.LET(_xlpm.x,'Diversion and Disposal'!G43,IF(OR(LEN(_xlpm.x)&lt;1,_xlpm.x=0),"",_xlpm.x))</f>
        <v/>
      </c>
      <c r="F47" s="407"/>
      <c r="G47" s="511"/>
      <c r="H47" s="514" t="str">
        <f>_xlfn.LET(_xlpm.x,'Diversion and Disposal'!H43,IF(OR(LEN(_xlpm.x)&lt;1,_xlpm.x=0),"",_xlpm.x))</f>
        <v/>
      </c>
      <c r="I47" s="514" t="str">
        <f>_xlfn.LET(_xlpm.x,'Diversion and Disposal'!I43,IF(OR(LEN(_xlpm.x)&lt;1,_xlpm.x=0),"",_xlpm.x))</f>
        <v/>
      </c>
      <c r="J47" s="514" t="str">
        <f>_xlfn.LET(_xlpm.x,'Diversion and Disposal'!J43,IF(OR(LEN(_xlpm.x)&lt;1,_xlpm.x=0),"",_xlpm.x))</f>
        <v/>
      </c>
      <c r="K47" s="514" t="str">
        <f>_xlfn.LET(_xlpm.x,'Diversion and Disposal'!K43,IF(OR(LEN(_xlpm.x)&lt;1,_xlpm.x=0),"",_xlpm.x))</f>
        <v/>
      </c>
      <c r="L47" s="514" t="str">
        <f>_xlfn.LET(_xlpm.x,'Diversion and Disposal'!L43,IF(OR(LEN(_xlpm.x)&lt;1,_xlpm.x=0),"",_xlpm.x))</f>
        <v/>
      </c>
      <c r="M47" s="514" t="str">
        <f>_xlfn.LET(_xlpm.x,'Diversion and Disposal'!M43,IF(OR(LEN(_xlpm.x)&lt;1,_xlpm.x=0),"",_xlpm.x))</f>
        <v/>
      </c>
      <c r="N47" s="514" t="str">
        <f>_xlfn.LET(_xlpm.x,'Diversion and Disposal'!N43,IF(OR(LEN(_xlpm.x)&lt;1,_xlpm.x=0),"",_xlpm.x))</f>
        <v/>
      </c>
      <c r="O47" s="514" t="str">
        <f>_xlfn.LET(_xlpm.x,'Diversion and Disposal'!O43,IF(OR(LEN(_xlpm.x)&lt;1,_xlpm.x=0),"",_xlpm.x))</f>
        <v/>
      </c>
      <c r="P47" s="514" t="str">
        <f>_xlfn.LET(_xlpm.x,'Diversion and Disposal'!P43,IF(OR(LEN(_xlpm.x)&lt;1,_xlpm.x=0),"",_xlpm.x))</f>
        <v/>
      </c>
      <c r="Q47" s="514" t="str">
        <f>_xlfn.LET(_xlpm.x,'Diversion and Disposal'!Q43,IF(OR(LEN(_xlpm.x)&lt;1,_xlpm.x=0),"",_xlpm.x))</f>
        <v/>
      </c>
      <c r="R47" s="514" t="str">
        <f>_xlfn.LET(_xlpm.x,'Diversion and Disposal'!R43,IF(OR(LEN(_xlpm.x)&lt;1,_xlpm.x=0),"",_xlpm.x))</f>
        <v/>
      </c>
      <c r="S47" s="514" t="str">
        <f>_xlfn.LET(_xlpm.x,'Diversion and Disposal'!S43,IF(OR(LEN(_xlpm.x)&lt;1,_xlpm.x=0),"",_xlpm.x))</f>
        <v/>
      </c>
      <c r="T47" s="513">
        <f t="shared" si="42"/>
        <v>0</v>
      </c>
      <c r="BB47" s="432" t="str">
        <f t="shared" si="3"/>
        <v/>
      </c>
      <c r="BC47" s="432" t="str">
        <f t="shared" si="4"/>
        <v/>
      </c>
      <c r="BD47" s="432" t="str">
        <f t="shared" si="5"/>
        <v/>
      </c>
      <c r="BE47" s="432" t="str">
        <f t="shared" si="6"/>
        <v/>
      </c>
      <c r="BF47" s="432" t="str">
        <f t="shared" si="7"/>
        <v/>
      </c>
      <c r="BG47" s="477" t="str">
        <f t="shared" si="8"/>
        <v/>
      </c>
      <c r="BH47" s="477" t="str">
        <f t="shared" si="9"/>
        <v/>
      </c>
      <c r="BI47" s="477" t="str">
        <f t="shared" si="10"/>
        <v/>
      </c>
      <c r="BJ47" s="477" t="str">
        <f t="shared" si="11"/>
        <v/>
      </c>
      <c r="BK47" s="477" t="str">
        <f t="shared" si="12"/>
        <v/>
      </c>
      <c r="BL47" s="477" t="str">
        <f t="shared" si="13"/>
        <v/>
      </c>
      <c r="BM47" s="477" t="str">
        <f t="shared" si="14"/>
        <v/>
      </c>
      <c r="BN47" s="477" t="str">
        <f t="shared" si="15"/>
        <v/>
      </c>
      <c r="BO47" s="477" t="str">
        <f t="shared" si="16"/>
        <v/>
      </c>
      <c r="BP47" s="477" t="str">
        <f t="shared" si="17"/>
        <v/>
      </c>
      <c r="BQ47" s="477" t="str">
        <f t="shared" si="18"/>
        <v/>
      </c>
      <c r="BR47" s="477" t="str">
        <f t="shared" si="19"/>
        <v/>
      </c>
      <c r="BS47" s="477" t="str">
        <f t="shared" si="20"/>
        <v/>
      </c>
      <c r="BT47" s="435">
        <f t="shared" si="21"/>
        <v>0</v>
      </c>
      <c r="BU47" s="434" t="str">
        <f t="shared" si="34"/>
        <v/>
      </c>
      <c r="BV47" s="479" t="str">
        <f t="shared" si="35"/>
        <v/>
      </c>
      <c r="BW47" s="479" t="str">
        <f t="shared" si="22"/>
        <v/>
      </c>
      <c r="BX47" s="479" t="str">
        <f t="shared" si="23"/>
        <v/>
      </c>
      <c r="BY47" s="479" t="str">
        <f t="shared" si="24"/>
        <v/>
      </c>
      <c r="BZ47" s="479" t="str">
        <f t="shared" si="25"/>
        <v/>
      </c>
      <c r="CA47" s="479" t="str">
        <f t="shared" si="26"/>
        <v/>
      </c>
      <c r="CB47" s="479" t="str">
        <f t="shared" si="27"/>
        <v/>
      </c>
      <c r="CC47" s="479" t="str">
        <f t="shared" si="28"/>
        <v/>
      </c>
      <c r="CD47" s="479" t="str">
        <f t="shared" si="29"/>
        <v/>
      </c>
      <c r="CE47" s="479" t="str">
        <f t="shared" si="30"/>
        <v/>
      </c>
      <c r="CF47" s="479" t="str">
        <f t="shared" si="31"/>
        <v/>
      </c>
      <c r="CG47" s="479" t="str">
        <f t="shared" si="32"/>
        <v/>
      </c>
      <c r="CH47" s="480">
        <f t="shared" si="36"/>
        <v>0</v>
      </c>
      <c r="DD47" s="497" cm="1">
        <f t="array" ref="DD47">_xlfn.IFS('Project Inputs'!$F$150&lt;&gt;"Yes",0,DE47=18,0,DE47&lt;&gt;18,SUM(DF47:DG47))</f>
        <v>0</v>
      </c>
      <c r="DE47" s="31">
        <f t="shared" si="37"/>
        <v>18</v>
      </c>
      <c r="DF47" s="31">
        <f t="shared" si="38"/>
        <v>0</v>
      </c>
      <c r="DG47" s="31">
        <f t="shared" si="39"/>
        <v>0</v>
      </c>
    </row>
    <row r="48" spans="1:111" hidden="1" outlineLevel="1">
      <c r="A48" s="22" t="str">
        <f t="shared" si="33"/>
        <v/>
      </c>
      <c r="B48" s="474" t="str">
        <f>_xlfn.LET(_xlpm.x,'Diversion and Disposal'!D44,IF(OR(LEN(_xlpm.x)&lt;1,_xlpm.x=0),"",_xlpm.x))</f>
        <v/>
      </c>
      <c r="C48" s="475" t="str">
        <f>_xlfn.LET(_xlpm.x,'Diversion and Disposal'!E44,IF(OR(LEN(_xlpm.x)&lt;1,_xlpm.x=0),"",_xlpm.x))</f>
        <v/>
      </c>
      <c r="D48" s="475" t="str">
        <f>_xlfn.LET(_xlpm.x,'Diversion and Disposal'!F44,IF(OR(LEN(_xlpm.x)&lt;1,_xlpm.x=0),"",_xlpm.x))</f>
        <v/>
      </c>
      <c r="E48" s="475" t="str">
        <f>_xlfn.LET(_xlpm.x,'Diversion and Disposal'!G44,IF(OR(LEN(_xlpm.x)&lt;1,_xlpm.x=0),"",_xlpm.x))</f>
        <v/>
      </c>
      <c r="F48" s="407"/>
      <c r="G48" s="511"/>
      <c r="H48" s="514" t="str">
        <f>_xlfn.LET(_xlpm.x,'Diversion and Disposal'!H44,IF(OR(LEN(_xlpm.x)&lt;1,_xlpm.x=0),"",_xlpm.x))</f>
        <v/>
      </c>
      <c r="I48" s="514" t="str">
        <f>_xlfn.LET(_xlpm.x,'Diversion and Disposal'!I44,IF(OR(LEN(_xlpm.x)&lt;1,_xlpm.x=0),"",_xlpm.x))</f>
        <v/>
      </c>
      <c r="J48" s="514" t="str">
        <f>_xlfn.LET(_xlpm.x,'Diversion and Disposal'!J44,IF(OR(LEN(_xlpm.x)&lt;1,_xlpm.x=0),"",_xlpm.x))</f>
        <v/>
      </c>
      <c r="K48" s="514" t="str">
        <f>_xlfn.LET(_xlpm.x,'Diversion and Disposal'!K44,IF(OR(LEN(_xlpm.x)&lt;1,_xlpm.x=0),"",_xlpm.x))</f>
        <v/>
      </c>
      <c r="L48" s="514" t="str">
        <f>_xlfn.LET(_xlpm.x,'Diversion and Disposal'!L44,IF(OR(LEN(_xlpm.x)&lt;1,_xlpm.x=0),"",_xlpm.x))</f>
        <v/>
      </c>
      <c r="M48" s="514" t="str">
        <f>_xlfn.LET(_xlpm.x,'Diversion and Disposal'!M44,IF(OR(LEN(_xlpm.x)&lt;1,_xlpm.x=0),"",_xlpm.x))</f>
        <v/>
      </c>
      <c r="N48" s="514" t="str">
        <f>_xlfn.LET(_xlpm.x,'Diversion and Disposal'!N44,IF(OR(LEN(_xlpm.x)&lt;1,_xlpm.x=0),"",_xlpm.x))</f>
        <v/>
      </c>
      <c r="O48" s="514" t="str">
        <f>_xlfn.LET(_xlpm.x,'Diversion and Disposal'!O44,IF(OR(LEN(_xlpm.x)&lt;1,_xlpm.x=0),"",_xlpm.x))</f>
        <v/>
      </c>
      <c r="P48" s="514" t="str">
        <f>_xlfn.LET(_xlpm.x,'Diversion and Disposal'!P44,IF(OR(LEN(_xlpm.x)&lt;1,_xlpm.x=0),"",_xlpm.x))</f>
        <v/>
      </c>
      <c r="Q48" s="514" t="str">
        <f>_xlfn.LET(_xlpm.x,'Diversion and Disposal'!Q44,IF(OR(LEN(_xlpm.x)&lt;1,_xlpm.x=0),"",_xlpm.x))</f>
        <v/>
      </c>
      <c r="R48" s="514" t="str">
        <f>_xlfn.LET(_xlpm.x,'Diversion and Disposal'!R44,IF(OR(LEN(_xlpm.x)&lt;1,_xlpm.x=0),"",_xlpm.x))</f>
        <v/>
      </c>
      <c r="S48" s="514" t="str">
        <f>_xlfn.LET(_xlpm.x,'Diversion and Disposal'!S44,IF(OR(LEN(_xlpm.x)&lt;1,_xlpm.x=0),"",_xlpm.x))</f>
        <v/>
      </c>
      <c r="T48" s="513">
        <f t="shared" si="42"/>
        <v>0</v>
      </c>
      <c r="BB48" s="432" t="str">
        <f t="shared" si="3"/>
        <v/>
      </c>
      <c r="BC48" s="432" t="str">
        <f t="shared" si="4"/>
        <v/>
      </c>
      <c r="BD48" s="432" t="str">
        <f t="shared" si="5"/>
        <v/>
      </c>
      <c r="BE48" s="432" t="str">
        <f t="shared" si="6"/>
        <v/>
      </c>
      <c r="BF48" s="432" t="str">
        <f t="shared" si="7"/>
        <v/>
      </c>
      <c r="BG48" s="477" t="str">
        <f t="shared" si="8"/>
        <v/>
      </c>
      <c r="BH48" s="477" t="str">
        <f t="shared" si="9"/>
        <v/>
      </c>
      <c r="BI48" s="477" t="str">
        <f t="shared" si="10"/>
        <v/>
      </c>
      <c r="BJ48" s="477" t="str">
        <f t="shared" si="11"/>
        <v/>
      </c>
      <c r="BK48" s="477" t="str">
        <f t="shared" si="12"/>
        <v/>
      </c>
      <c r="BL48" s="477" t="str">
        <f t="shared" si="13"/>
        <v/>
      </c>
      <c r="BM48" s="477" t="str">
        <f t="shared" si="14"/>
        <v/>
      </c>
      <c r="BN48" s="477" t="str">
        <f t="shared" si="15"/>
        <v/>
      </c>
      <c r="BO48" s="477" t="str">
        <f t="shared" si="16"/>
        <v/>
      </c>
      <c r="BP48" s="477" t="str">
        <f t="shared" si="17"/>
        <v/>
      </c>
      <c r="BQ48" s="477" t="str">
        <f t="shared" si="18"/>
        <v/>
      </c>
      <c r="BR48" s="477" t="str">
        <f t="shared" si="19"/>
        <v/>
      </c>
      <c r="BS48" s="477" t="str">
        <f t="shared" si="20"/>
        <v/>
      </c>
      <c r="BT48" s="435">
        <f t="shared" si="21"/>
        <v>0</v>
      </c>
      <c r="BU48" s="434" t="str">
        <f t="shared" si="34"/>
        <v/>
      </c>
      <c r="BV48" s="479" t="str">
        <f t="shared" si="35"/>
        <v/>
      </c>
      <c r="BW48" s="479" t="str">
        <f t="shared" si="22"/>
        <v/>
      </c>
      <c r="BX48" s="479" t="str">
        <f t="shared" si="23"/>
        <v/>
      </c>
      <c r="BY48" s="479" t="str">
        <f t="shared" si="24"/>
        <v/>
      </c>
      <c r="BZ48" s="479" t="str">
        <f t="shared" si="25"/>
        <v/>
      </c>
      <c r="CA48" s="479" t="str">
        <f t="shared" si="26"/>
        <v/>
      </c>
      <c r="CB48" s="479" t="str">
        <f t="shared" si="27"/>
        <v/>
      </c>
      <c r="CC48" s="479" t="str">
        <f t="shared" si="28"/>
        <v/>
      </c>
      <c r="CD48" s="479" t="str">
        <f t="shared" si="29"/>
        <v/>
      </c>
      <c r="CE48" s="479" t="str">
        <f t="shared" si="30"/>
        <v/>
      </c>
      <c r="CF48" s="479" t="str">
        <f t="shared" si="31"/>
        <v/>
      </c>
      <c r="CG48" s="479" t="str">
        <f t="shared" si="32"/>
        <v/>
      </c>
      <c r="CH48" s="480">
        <f t="shared" si="36"/>
        <v>0</v>
      </c>
      <c r="DD48" s="497" cm="1">
        <f t="array" ref="DD48">_xlfn.IFS('Project Inputs'!$F$150&lt;&gt;"Yes",0,DE48=18,0,DE48&lt;&gt;18,SUM(DF48:DG48))</f>
        <v>0</v>
      </c>
      <c r="DE48" s="31">
        <f t="shared" si="37"/>
        <v>18</v>
      </c>
      <c r="DF48" s="31">
        <f t="shared" si="38"/>
        <v>0</v>
      </c>
      <c r="DG48" s="31">
        <f t="shared" si="39"/>
        <v>0</v>
      </c>
    </row>
    <row r="49" spans="1:111" hidden="1" outlineLevel="1">
      <c r="A49" s="22" t="str">
        <f t="shared" si="33"/>
        <v/>
      </c>
      <c r="B49" s="474" t="str">
        <f>_xlfn.LET(_xlpm.x,'Diversion and Disposal'!D45,IF(OR(LEN(_xlpm.x)&lt;1,_xlpm.x=0),"",_xlpm.x))</f>
        <v/>
      </c>
      <c r="C49" s="475" t="str">
        <f>_xlfn.LET(_xlpm.x,'Diversion and Disposal'!E45,IF(OR(LEN(_xlpm.x)&lt;1,_xlpm.x=0),"",_xlpm.x))</f>
        <v/>
      </c>
      <c r="D49" s="475" t="str">
        <f>_xlfn.LET(_xlpm.x,'Diversion and Disposal'!F45,IF(OR(LEN(_xlpm.x)&lt;1,_xlpm.x=0),"",_xlpm.x))</f>
        <v/>
      </c>
      <c r="E49" s="475" t="str">
        <f>_xlfn.LET(_xlpm.x,'Diversion and Disposal'!G45,IF(OR(LEN(_xlpm.x)&lt;1,_xlpm.x=0),"",_xlpm.x))</f>
        <v/>
      </c>
      <c r="F49" s="407"/>
      <c r="G49" s="511"/>
      <c r="H49" s="514" t="str">
        <f>_xlfn.LET(_xlpm.x,'Diversion and Disposal'!H45,IF(OR(LEN(_xlpm.x)&lt;1,_xlpm.x=0),"",_xlpm.x))</f>
        <v/>
      </c>
      <c r="I49" s="514" t="str">
        <f>_xlfn.LET(_xlpm.x,'Diversion and Disposal'!I45,IF(OR(LEN(_xlpm.x)&lt;1,_xlpm.x=0),"",_xlpm.x))</f>
        <v/>
      </c>
      <c r="J49" s="514" t="str">
        <f>_xlfn.LET(_xlpm.x,'Diversion and Disposal'!J45,IF(OR(LEN(_xlpm.x)&lt;1,_xlpm.x=0),"",_xlpm.x))</f>
        <v/>
      </c>
      <c r="K49" s="514" t="str">
        <f>_xlfn.LET(_xlpm.x,'Diversion and Disposal'!K45,IF(OR(LEN(_xlpm.x)&lt;1,_xlpm.x=0),"",_xlpm.x))</f>
        <v/>
      </c>
      <c r="L49" s="514" t="str">
        <f>_xlfn.LET(_xlpm.x,'Diversion and Disposal'!L45,IF(OR(LEN(_xlpm.x)&lt;1,_xlpm.x=0),"",_xlpm.x))</f>
        <v/>
      </c>
      <c r="M49" s="514" t="str">
        <f>_xlfn.LET(_xlpm.x,'Diversion and Disposal'!M45,IF(OR(LEN(_xlpm.x)&lt;1,_xlpm.x=0),"",_xlpm.x))</f>
        <v/>
      </c>
      <c r="N49" s="514" t="str">
        <f>_xlfn.LET(_xlpm.x,'Diversion and Disposal'!N45,IF(OR(LEN(_xlpm.x)&lt;1,_xlpm.x=0),"",_xlpm.x))</f>
        <v/>
      </c>
      <c r="O49" s="514" t="str">
        <f>_xlfn.LET(_xlpm.x,'Diversion and Disposal'!O45,IF(OR(LEN(_xlpm.x)&lt;1,_xlpm.x=0),"",_xlpm.x))</f>
        <v/>
      </c>
      <c r="P49" s="514" t="str">
        <f>_xlfn.LET(_xlpm.x,'Diversion and Disposal'!P45,IF(OR(LEN(_xlpm.x)&lt;1,_xlpm.x=0),"",_xlpm.x))</f>
        <v/>
      </c>
      <c r="Q49" s="514" t="str">
        <f>_xlfn.LET(_xlpm.x,'Diversion and Disposal'!Q45,IF(OR(LEN(_xlpm.x)&lt;1,_xlpm.x=0),"",_xlpm.x))</f>
        <v/>
      </c>
      <c r="R49" s="514" t="str">
        <f>_xlfn.LET(_xlpm.x,'Diversion and Disposal'!R45,IF(OR(LEN(_xlpm.x)&lt;1,_xlpm.x=0),"",_xlpm.x))</f>
        <v/>
      </c>
      <c r="S49" s="514" t="str">
        <f>_xlfn.LET(_xlpm.x,'Diversion and Disposal'!S45,IF(OR(LEN(_xlpm.x)&lt;1,_xlpm.x=0),"",_xlpm.x))</f>
        <v/>
      </c>
      <c r="T49" s="513">
        <f t="shared" si="42"/>
        <v>0</v>
      </c>
      <c r="BB49" s="432" t="str">
        <f t="shared" si="3"/>
        <v/>
      </c>
      <c r="BC49" s="432" t="str">
        <f t="shared" si="4"/>
        <v/>
      </c>
      <c r="BD49" s="432" t="str">
        <f t="shared" si="5"/>
        <v/>
      </c>
      <c r="BE49" s="432" t="str">
        <f t="shared" si="6"/>
        <v/>
      </c>
      <c r="BF49" s="432" t="str">
        <f t="shared" si="7"/>
        <v/>
      </c>
      <c r="BG49" s="477" t="str">
        <f t="shared" si="8"/>
        <v/>
      </c>
      <c r="BH49" s="477" t="str">
        <f t="shared" si="9"/>
        <v/>
      </c>
      <c r="BI49" s="477" t="str">
        <f t="shared" si="10"/>
        <v/>
      </c>
      <c r="BJ49" s="477" t="str">
        <f t="shared" si="11"/>
        <v/>
      </c>
      <c r="BK49" s="477" t="str">
        <f t="shared" si="12"/>
        <v/>
      </c>
      <c r="BL49" s="477" t="str">
        <f t="shared" si="13"/>
        <v/>
      </c>
      <c r="BM49" s="477" t="str">
        <f t="shared" si="14"/>
        <v/>
      </c>
      <c r="BN49" s="477" t="str">
        <f t="shared" si="15"/>
        <v/>
      </c>
      <c r="BO49" s="477" t="str">
        <f t="shared" si="16"/>
        <v/>
      </c>
      <c r="BP49" s="477" t="str">
        <f t="shared" si="17"/>
        <v/>
      </c>
      <c r="BQ49" s="477" t="str">
        <f t="shared" si="18"/>
        <v/>
      </c>
      <c r="BR49" s="477" t="str">
        <f t="shared" si="19"/>
        <v/>
      </c>
      <c r="BS49" s="477" t="str">
        <f t="shared" si="20"/>
        <v/>
      </c>
      <c r="BT49" s="435">
        <f t="shared" si="21"/>
        <v>0</v>
      </c>
      <c r="BU49" s="434" t="str">
        <f t="shared" si="34"/>
        <v/>
      </c>
      <c r="BV49" s="479" t="str">
        <f t="shared" si="35"/>
        <v/>
      </c>
      <c r="BW49" s="479" t="str">
        <f t="shared" si="22"/>
        <v/>
      </c>
      <c r="BX49" s="479" t="str">
        <f t="shared" si="23"/>
        <v/>
      </c>
      <c r="BY49" s="479" t="str">
        <f t="shared" si="24"/>
        <v/>
      </c>
      <c r="BZ49" s="479" t="str">
        <f t="shared" si="25"/>
        <v/>
      </c>
      <c r="CA49" s="479" t="str">
        <f t="shared" si="26"/>
        <v/>
      </c>
      <c r="CB49" s="479" t="str">
        <f t="shared" si="27"/>
        <v/>
      </c>
      <c r="CC49" s="479" t="str">
        <f t="shared" si="28"/>
        <v/>
      </c>
      <c r="CD49" s="479" t="str">
        <f t="shared" si="29"/>
        <v/>
      </c>
      <c r="CE49" s="479" t="str">
        <f t="shared" si="30"/>
        <v/>
      </c>
      <c r="CF49" s="479" t="str">
        <f t="shared" si="31"/>
        <v/>
      </c>
      <c r="CG49" s="479" t="str">
        <f t="shared" si="32"/>
        <v/>
      </c>
      <c r="CH49" s="480">
        <f t="shared" si="36"/>
        <v>0</v>
      </c>
      <c r="DD49" s="497" cm="1">
        <f t="array" ref="DD49">_xlfn.IFS('Project Inputs'!$F$150&lt;&gt;"Yes",0,DE49=18,0,DE49&lt;&gt;18,SUM(DF49:DG49))</f>
        <v>0</v>
      </c>
      <c r="DE49" s="31">
        <f t="shared" si="37"/>
        <v>18</v>
      </c>
      <c r="DF49" s="31">
        <f t="shared" si="38"/>
        <v>0</v>
      </c>
      <c r="DG49" s="31">
        <f t="shared" si="39"/>
        <v>0</v>
      </c>
    </row>
    <row r="50" spans="1:111" hidden="1" outlineLevel="1">
      <c r="A50" s="22" t="str">
        <f t="shared" si="33"/>
        <v/>
      </c>
      <c r="B50" s="474" t="str">
        <f>_xlfn.LET(_xlpm.x,'Diversion and Disposal'!D46,IF(OR(LEN(_xlpm.x)&lt;1,_xlpm.x=0),"",_xlpm.x))</f>
        <v/>
      </c>
      <c r="C50" s="475" t="str">
        <f>_xlfn.LET(_xlpm.x,'Diversion and Disposal'!E46,IF(OR(LEN(_xlpm.x)&lt;1,_xlpm.x=0),"",_xlpm.x))</f>
        <v/>
      </c>
      <c r="D50" s="475" t="str">
        <f>_xlfn.LET(_xlpm.x,'Diversion and Disposal'!F46,IF(OR(LEN(_xlpm.x)&lt;1,_xlpm.x=0),"",_xlpm.x))</f>
        <v/>
      </c>
      <c r="E50" s="475" t="str">
        <f>_xlfn.LET(_xlpm.x,'Diversion and Disposal'!G46,IF(OR(LEN(_xlpm.x)&lt;1,_xlpm.x=0),"",_xlpm.x))</f>
        <v/>
      </c>
      <c r="F50" s="407"/>
      <c r="G50" s="511"/>
      <c r="H50" s="514" t="str">
        <f>_xlfn.LET(_xlpm.x,'Diversion and Disposal'!H46,IF(OR(LEN(_xlpm.x)&lt;1,_xlpm.x=0),"",_xlpm.x))</f>
        <v/>
      </c>
      <c r="I50" s="514" t="str">
        <f>_xlfn.LET(_xlpm.x,'Diversion and Disposal'!I46,IF(OR(LEN(_xlpm.x)&lt;1,_xlpm.x=0),"",_xlpm.x))</f>
        <v/>
      </c>
      <c r="J50" s="514" t="str">
        <f>_xlfn.LET(_xlpm.x,'Diversion and Disposal'!J46,IF(OR(LEN(_xlpm.x)&lt;1,_xlpm.x=0),"",_xlpm.x))</f>
        <v/>
      </c>
      <c r="K50" s="514" t="str">
        <f>_xlfn.LET(_xlpm.x,'Diversion and Disposal'!K46,IF(OR(LEN(_xlpm.x)&lt;1,_xlpm.x=0),"",_xlpm.x))</f>
        <v/>
      </c>
      <c r="L50" s="514" t="str">
        <f>_xlfn.LET(_xlpm.x,'Diversion and Disposal'!L46,IF(OR(LEN(_xlpm.x)&lt;1,_xlpm.x=0),"",_xlpm.x))</f>
        <v/>
      </c>
      <c r="M50" s="514" t="str">
        <f>_xlfn.LET(_xlpm.x,'Diversion and Disposal'!M46,IF(OR(LEN(_xlpm.x)&lt;1,_xlpm.x=0),"",_xlpm.x))</f>
        <v/>
      </c>
      <c r="N50" s="514" t="str">
        <f>_xlfn.LET(_xlpm.x,'Diversion and Disposal'!N46,IF(OR(LEN(_xlpm.x)&lt;1,_xlpm.x=0),"",_xlpm.x))</f>
        <v/>
      </c>
      <c r="O50" s="514" t="str">
        <f>_xlfn.LET(_xlpm.x,'Diversion and Disposal'!O46,IF(OR(LEN(_xlpm.x)&lt;1,_xlpm.x=0),"",_xlpm.x))</f>
        <v/>
      </c>
      <c r="P50" s="514" t="str">
        <f>_xlfn.LET(_xlpm.x,'Diversion and Disposal'!P46,IF(OR(LEN(_xlpm.x)&lt;1,_xlpm.x=0),"",_xlpm.x))</f>
        <v/>
      </c>
      <c r="Q50" s="514" t="str">
        <f>_xlfn.LET(_xlpm.x,'Diversion and Disposal'!Q46,IF(OR(LEN(_xlpm.x)&lt;1,_xlpm.x=0),"",_xlpm.x))</f>
        <v/>
      </c>
      <c r="R50" s="514" t="str">
        <f>_xlfn.LET(_xlpm.x,'Diversion and Disposal'!R46,IF(OR(LEN(_xlpm.x)&lt;1,_xlpm.x=0),"",_xlpm.x))</f>
        <v/>
      </c>
      <c r="S50" s="514" t="str">
        <f>_xlfn.LET(_xlpm.x,'Diversion and Disposal'!S46,IF(OR(LEN(_xlpm.x)&lt;1,_xlpm.x=0),"",_xlpm.x))</f>
        <v/>
      </c>
      <c r="T50" s="513">
        <f t="shared" si="42"/>
        <v>0</v>
      </c>
      <c r="BB50" s="432" t="str">
        <f t="shared" ref="BB50:BB81" si="43">_xlfn.LET(_xlpm.x,B50,IF(OR(LEN(_xlpm.x)&lt;1,_xlpm.x=0),"",_xlpm.x))</f>
        <v/>
      </c>
      <c r="BC50" s="432" t="str">
        <f t="shared" si="4"/>
        <v/>
      </c>
      <c r="BD50" s="432" t="str">
        <f t="shared" ref="BD50:BD81" si="44">_xlfn.LET(_xlpm.x,D50,IF(OR(LEN(_xlpm.x)&lt;1,_xlpm.x=0),"",_xlpm.x))</f>
        <v/>
      </c>
      <c r="BE50" s="432" t="str">
        <f t="shared" si="6"/>
        <v/>
      </c>
      <c r="BF50" s="432" t="str">
        <f t="shared" si="7"/>
        <v/>
      </c>
      <c r="BG50" s="477" t="str">
        <f t="shared" ref="BG50:BG81" si="45">_xlfn.LET(_xlpm.x,G50,IF(OR(LEN(_xlpm.x)&lt;1,_xlpm.x=0),"",CONVERT(_xlpm.x,$BH$12,"km")))</f>
        <v/>
      </c>
      <c r="BH50" s="477" t="str">
        <f t="shared" ref="BH50:BH81" si="46">_xlfn.LET(_xlpm.x,H50,IF(OR(LEN(_xlpm.x)&lt;1,_xlpm.x=0,NOT(ISNUMBER(_xlpm.x))),"",CONVERT(_xlpm.x,$BH$11,"Mg")))</f>
        <v/>
      </c>
      <c r="BI50" s="477" t="str">
        <f t="shared" ref="BI50:BI81" si="47">_xlfn.LET(_xlpm.x,I50,IF(OR(LEN(_xlpm.x)&lt;1,_xlpm.x=0,NOT(ISNUMBER(_xlpm.x))),"",CONVERT(_xlpm.x,$BH$11,"Mg")))</f>
        <v/>
      </c>
      <c r="BJ50" s="477" t="str">
        <f t="shared" ref="BJ50:BJ81" si="48">_xlfn.LET(_xlpm.x,J50,IF(OR(LEN(_xlpm.x)&lt;1,_xlpm.x=0,NOT(ISNUMBER(_xlpm.x))),"",CONVERT(_xlpm.x,$BH$11,"Mg")))</f>
        <v/>
      </c>
      <c r="BK50" s="477" t="str">
        <f t="shared" ref="BK50:BK81" si="49">_xlfn.LET(_xlpm.x,K50,IF(OR(LEN(_xlpm.x)&lt;1,_xlpm.x=0,NOT(ISNUMBER(_xlpm.x))),"",CONVERT(_xlpm.x,$BH$11,"Mg")))</f>
        <v/>
      </c>
      <c r="BL50" s="477" t="str">
        <f t="shared" ref="BL50:BL81" si="50">_xlfn.LET(_xlpm.x,L50,IF(OR(LEN(_xlpm.x)&lt;1,_xlpm.x=0,NOT(ISNUMBER(_xlpm.x))),"",CONVERT(_xlpm.x,$BH$11,"Mg")))</f>
        <v/>
      </c>
      <c r="BM50" s="477" t="str">
        <f t="shared" ref="BM50:BM81" si="51">_xlfn.LET(_xlpm.x,M50,IF(OR(LEN(_xlpm.x)&lt;1,_xlpm.x=0,NOT(ISNUMBER(_xlpm.x))),"",CONVERT(_xlpm.x,$BH$11,"Mg")))</f>
        <v/>
      </c>
      <c r="BN50" s="477" t="str">
        <f t="shared" ref="BN50:BN81" si="52">_xlfn.LET(_xlpm.x,N50,IF(OR(LEN(_xlpm.x)&lt;1,_xlpm.x=0,NOT(ISNUMBER(_xlpm.x))),"",CONVERT(_xlpm.x,$BH$11,"Mg")))</f>
        <v/>
      </c>
      <c r="BO50" s="477" t="str">
        <f t="shared" ref="BO50:BO81" si="53">_xlfn.LET(_xlpm.x,O50,IF(OR(LEN(_xlpm.x)&lt;1,_xlpm.x=0,NOT(ISNUMBER(_xlpm.x))),"",CONVERT(_xlpm.x,$BH$11,"Mg")))</f>
        <v/>
      </c>
      <c r="BP50" s="477" t="str">
        <f t="shared" ref="BP50:BP81" si="54">_xlfn.LET(_xlpm.x,P50,IF(OR(LEN(_xlpm.x)&lt;1,_xlpm.x=0,NOT(ISNUMBER(_xlpm.x))),"",CONVERT(_xlpm.x,$BH$11,"Mg")))</f>
        <v/>
      </c>
      <c r="BQ50" s="477" t="str">
        <f t="shared" ref="BQ50:BQ81" si="55">_xlfn.LET(_xlpm.x,Q50,IF(OR(LEN(_xlpm.x)&lt;1,_xlpm.x=0,NOT(ISNUMBER(_xlpm.x))),"",CONVERT(_xlpm.x,$BH$11,"Mg")))</f>
        <v/>
      </c>
      <c r="BR50" s="477" t="str">
        <f t="shared" ref="BR50:BR81" si="56">_xlfn.LET(_xlpm.x,R50,IF(OR(LEN(_xlpm.x)&lt;1,_xlpm.x=0,NOT(ISNUMBER(_xlpm.x))),"",CONVERT(_xlpm.x,$BH$11,"Mg")))</f>
        <v/>
      </c>
      <c r="BS50" s="477" t="str">
        <f t="shared" ref="BS50:BS81" si="57">_xlfn.LET(_xlpm.x,S50,IF(OR(LEN(_xlpm.x)&lt;1,_xlpm.x=0,NOT(ISNUMBER(_xlpm.x))),"",CONVERT(_xlpm.x,$BH$11,"Mg")))</f>
        <v/>
      </c>
      <c r="BT50" s="435">
        <f t="shared" si="21"/>
        <v>0</v>
      </c>
      <c r="BU50" s="434" t="str">
        <f t="shared" ref="BU50:BU81" si="58">IFERROR(INDEX(ls_Transport_GWP,MATCH(BF50,ls_Transport,0)),"")</f>
        <v/>
      </c>
      <c r="BV50" s="479" t="str">
        <f t="shared" si="35"/>
        <v/>
      </c>
      <c r="BW50" s="479" t="str">
        <f t="shared" si="22"/>
        <v/>
      </c>
      <c r="BX50" s="479" t="str">
        <f t="shared" si="23"/>
        <v/>
      </c>
      <c r="BY50" s="479" t="str">
        <f t="shared" si="24"/>
        <v/>
      </c>
      <c r="BZ50" s="479" t="str">
        <f t="shared" si="25"/>
        <v/>
      </c>
      <c r="CA50" s="479" t="str">
        <f t="shared" si="26"/>
        <v/>
      </c>
      <c r="CB50" s="479" t="str">
        <f t="shared" si="27"/>
        <v/>
      </c>
      <c r="CC50" s="479" t="str">
        <f t="shared" si="28"/>
        <v/>
      </c>
      <c r="CD50" s="479" t="str">
        <f t="shared" si="29"/>
        <v/>
      </c>
      <c r="CE50" s="479" t="str">
        <f t="shared" si="30"/>
        <v/>
      </c>
      <c r="CF50" s="479" t="str">
        <f t="shared" si="31"/>
        <v/>
      </c>
      <c r="CG50" s="479" t="str">
        <f t="shared" si="32"/>
        <v/>
      </c>
      <c r="CH50" s="480">
        <f t="shared" si="36"/>
        <v>0</v>
      </c>
      <c r="DD50" s="497" cm="1">
        <f t="array" ref="DD50">_xlfn.IFS('Project Inputs'!$F$150&lt;&gt;"Yes",0,DE50=18,0,DE50&lt;&gt;18,SUM(DF50:DG50))</f>
        <v>0</v>
      </c>
      <c r="DE50" s="31">
        <f t="shared" si="37"/>
        <v>18</v>
      </c>
      <c r="DF50" s="31">
        <f t="shared" si="38"/>
        <v>0</v>
      </c>
      <c r="DG50" s="31">
        <f t="shared" si="39"/>
        <v>0</v>
      </c>
    </row>
    <row r="51" spans="1:111" hidden="1" outlineLevel="1">
      <c r="A51" s="22" t="str">
        <f t="shared" si="33"/>
        <v/>
      </c>
      <c r="B51" s="474" t="str">
        <f>_xlfn.LET(_xlpm.x,'Diversion and Disposal'!D47,IF(OR(LEN(_xlpm.x)&lt;1,_xlpm.x=0),"",_xlpm.x))</f>
        <v/>
      </c>
      <c r="C51" s="475" t="str">
        <f>_xlfn.LET(_xlpm.x,'Diversion and Disposal'!E47,IF(OR(LEN(_xlpm.x)&lt;1,_xlpm.x=0),"",_xlpm.x))</f>
        <v/>
      </c>
      <c r="D51" s="475" t="str">
        <f>_xlfn.LET(_xlpm.x,'Diversion and Disposal'!F47,IF(OR(LEN(_xlpm.x)&lt;1,_xlpm.x=0),"",_xlpm.x))</f>
        <v/>
      </c>
      <c r="E51" s="475" t="str">
        <f>_xlfn.LET(_xlpm.x,'Diversion and Disposal'!G47,IF(OR(LEN(_xlpm.x)&lt;1,_xlpm.x=0),"",_xlpm.x))</f>
        <v/>
      </c>
      <c r="F51" s="407"/>
      <c r="G51" s="511"/>
      <c r="H51" s="514" t="str">
        <f>_xlfn.LET(_xlpm.x,'Diversion and Disposal'!H47,IF(OR(LEN(_xlpm.x)&lt;1,_xlpm.x=0),"",_xlpm.x))</f>
        <v/>
      </c>
      <c r="I51" s="514" t="str">
        <f>_xlfn.LET(_xlpm.x,'Diversion and Disposal'!I47,IF(OR(LEN(_xlpm.x)&lt;1,_xlpm.x=0),"",_xlpm.x))</f>
        <v/>
      </c>
      <c r="J51" s="514" t="str">
        <f>_xlfn.LET(_xlpm.x,'Diversion and Disposal'!J47,IF(OR(LEN(_xlpm.x)&lt;1,_xlpm.x=0),"",_xlpm.x))</f>
        <v/>
      </c>
      <c r="K51" s="514" t="str">
        <f>_xlfn.LET(_xlpm.x,'Diversion and Disposal'!K47,IF(OR(LEN(_xlpm.x)&lt;1,_xlpm.x=0),"",_xlpm.x))</f>
        <v/>
      </c>
      <c r="L51" s="514" t="str">
        <f>_xlfn.LET(_xlpm.x,'Diversion and Disposal'!L47,IF(OR(LEN(_xlpm.x)&lt;1,_xlpm.x=0),"",_xlpm.x))</f>
        <v/>
      </c>
      <c r="M51" s="514" t="str">
        <f>_xlfn.LET(_xlpm.x,'Diversion and Disposal'!M47,IF(OR(LEN(_xlpm.x)&lt;1,_xlpm.x=0),"",_xlpm.x))</f>
        <v/>
      </c>
      <c r="N51" s="514" t="str">
        <f>_xlfn.LET(_xlpm.x,'Diversion and Disposal'!N47,IF(OR(LEN(_xlpm.x)&lt;1,_xlpm.x=0),"",_xlpm.x))</f>
        <v/>
      </c>
      <c r="O51" s="514" t="str">
        <f>_xlfn.LET(_xlpm.x,'Diversion and Disposal'!O47,IF(OR(LEN(_xlpm.x)&lt;1,_xlpm.x=0),"",_xlpm.x))</f>
        <v/>
      </c>
      <c r="P51" s="514" t="str">
        <f>_xlfn.LET(_xlpm.x,'Diversion and Disposal'!P47,IF(OR(LEN(_xlpm.x)&lt;1,_xlpm.x=0),"",_xlpm.x))</f>
        <v/>
      </c>
      <c r="Q51" s="514" t="str">
        <f>_xlfn.LET(_xlpm.x,'Diversion and Disposal'!Q47,IF(OR(LEN(_xlpm.x)&lt;1,_xlpm.x=0),"",_xlpm.x))</f>
        <v/>
      </c>
      <c r="R51" s="514" t="str">
        <f>_xlfn.LET(_xlpm.x,'Diversion and Disposal'!R47,IF(OR(LEN(_xlpm.x)&lt;1,_xlpm.x=0),"",_xlpm.x))</f>
        <v/>
      </c>
      <c r="S51" s="514" t="str">
        <f>_xlfn.LET(_xlpm.x,'Diversion and Disposal'!S47,IF(OR(LEN(_xlpm.x)&lt;1,_xlpm.x=0),"",_xlpm.x))</f>
        <v/>
      </c>
      <c r="T51" s="513">
        <f t="shared" si="42"/>
        <v>0</v>
      </c>
      <c r="BB51" s="432" t="str">
        <f t="shared" si="43"/>
        <v/>
      </c>
      <c r="BC51" s="432" t="str">
        <f t="shared" si="4"/>
        <v/>
      </c>
      <c r="BD51" s="432" t="str">
        <f t="shared" si="44"/>
        <v/>
      </c>
      <c r="BE51" s="432" t="str">
        <f t="shared" si="6"/>
        <v/>
      </c>
      <c r="BF51" s="432" t="str">
        <f t="shared" si="7"/>
        <v/>
      </c>
      <c r="BG51" s="477" t="str">
        <f t="shared" si="45"/>
        <v/>
      </c>
      <c r="BH51" s="477" t="str">
        <f t="shared" si="46"/>
        <v/>
      </c>
      <c r="BI51" s="477" t="str">
        <f t="shared" si="47"/>
        <v/>
      </c>
      <c r="BJ51" s="477" t="str">
        <f t="shared" si="48"/>
        <v/>
      </c>
      <c r="BK51" s="477" t="str">
        <f t="shared" si="49"/>
        <v/>
      </c>
      <c r="BL51" s="477" t="str">
        <f t="shared" si="50"/>
        <v/>
      </c>
      <c r="BM51" s="477" t="str">
        <f t="shared" si="51"/>
        <v/>
      </c>
      <c r="BN51" s="477" t="str">
        <f t="shared" si="52"/>
        <v/>
      </c>
      <c r="BO51" s="477" t="str">
        <f t="shared" si="53"/>
        <v/>
      </c>
      <c r="BP51" s="477" t="str">
        <f t="shared" si="54"/>
        <v/>
      </c>
      <c r="BQ51" s="477" t="str">
        <f t="shared" si="55"/>
        <v/>
      </c>
      <c r="BR51" s="477" t="str">
        <f t="shared" si="56"/>
        <v/>
      </c>
      <c r="BS51" s="477" t="str">
        <f t="shared" si="57"/>
        <v/>
      </c>
      <c r="BT51" s="435">
        <f t="shared" si="21"/>
        <v>0</v>
      </c>
      <c r="BU51" s="434" t="str">
        <f t="shared" si="58"/>
        <v/>
      </c>
      <c r="BV51" s="479" t="str">
        <f t="shared" si="35"/>
        <v/>
      </c>
      <c r="BW51" s="479" t="str">
        <f t="shared" si="22"/>
        <v/>
      </c>
      <c r="BX51" s="479" t="str">
        <f t="shared" si="23"/>
        <v/>
      </c>
      <c r="BY51" s="479" t="str">
        <f t="shared" si="24"/>
        <v/>
      </c>
      <c r="BZ51" s="479" t="str">
        <f t="shared" si="25"/>
        <v/>
      </c>
      <c r="CA51" s="479" t="str">
        <f t="shared" si="26"/>
        <v/>
      </c>
      <c r="CB51" s="479" t="str">
        <f t="shared" si="27"/>
        <v/>
      </c>
      <c r="CC51" s="479" t="str">
        <f t="shared" si="28"/>
        <v/>
      </c>
      <c r="CD51" s="479" t="str">
        <f t="shared" si="29"/>
        <v/>
      </c>
      <c r="CE51" s="479" t="str">
        <f t="shared" si="30"/>
        <v/>
      </c>
      <c r="CF51" s="479" t="str">
        <f t="shared" si="31"/>
        <v/>
      </c>
      <c r="CG51" s="479" t="str">
        <f t="shared" si="32"/>
        <v/>
      </c>
      <c r="CH51" s="480">
        <f t="shared" si="36"/>
        <v>0</v>
      </c>
      <c r="DD51" s="497" cm="1">
        <f t="array" ref="DD51">_xlfn.IFS('Project Inputs'!$F$150&lt;&gt;"Yes",0,DE51=18,0,DE51&lt;&gt;18,SUM(DF51:DG51))</f>
        <v>0</v>
      </c>
      <c r="DE51" s="31">
        <f t="shared" si="37"/>
        <v>18</v>
      </c>
      <c r="DF51" s="31">
        <f t="shared" si="38"/>
        <v>0</v>
      </c>
      <c r="DG51" s="31">
        <f t="shared" si="39"/>
        <v>0</v>
      </c>
    </row>
    <row r="52" spans="1:111" hidden="1" outlineLevel="1">
      <c r="A52" s="22" t="str">
        <f t="shared" si="33"/>
        <v/>
      </c>
      <c r="B52" s="474" t="str">
        <f>_xlfn.LET(_xlpm.x,'Diversion and Disposal'!D48,IF(OR(LEN(_xlpm.x)&lt;1,_xlpm.x=0),"",_xlpm.x))</f>
        <v/>
      </c>
      <c r="C52" s="475" t="str">
        <f>_xlfn.LET(_xlpm.x,'Diversion and Disposal'!E48,IF(OR(LEN(_xlpm.x)&lt;1,_xlpm.x=0),"",_xlpm.x))</f>
        <v/>
      </c>
      <c r="D52" s="475" t="str">
        <f>_xlfn.LET(_xlpm.x,'Diversion and Disposal'!F48,IF(OR(LEN(_xlpm.x)&lt;1,_xlpm.x=0),"",_xlpm.x))</f>
        <v/>
      </c>
      <c r="E52" s="475" t="str">
        <f>_xlfn.LET(_xlpm.x,'Diversion and Disposal'!G48,IF(OR(LEN(_xlpm.x)&lt;1,_xlpm.x=0),"",_xlpm.x))</f>
        <v/>
      </c>
      <c r="F52" s="407"/>
      <c r="G52" s="511"/>
      <c r="H52" s="514" t="str">
        <f>_xlfn.LET(_xlpm.x,'Diversion and Disposal'!H48,IF(OR(LEN(_xlpm.x)&lt;1,_xlpm.x=0),"",_xlpm.x))</f>
        <v/>
      </c>
      <c r="I52" s="514" t="str">
        <f>_xlfn.LET(_xlpm.x,'Diversion and Disposal'!I48,IF(OR(LEN(_xlpm.x)&lt;1,_xlpm.x=0),"",_xlpm.x))</f>
        <v/>
      </c>
      <c r="J52" s="514" t="str">
        <f>_xlfn.LET(_xlpm.x,'Diversion and Disposal'!J48,IF(OR(LEN(_xlpm.x)&lt;1,_xlpm.x=0),"",_xlpm.x))</f>
        <v/>
      </c>
      <c r="K52" s="514" t="str">
        <f>_xlfn.LET(_xlpm.x,'Diversion and Disposal'!K48,IF(OR(LEN(_xlpm.x)&lt;1,_xlpm.x=0),"",_xlpm.x))</f>
        <v/>
      </c>
      <c r="L52" s="514" t="str">
        <f>_xlfn.LET(_xlpm.x,'Diversion and Disposal'!L48,IF(OR(LEN(_xlpm.x)&lt;1,_xlpm.x=0),"",_xlpm.x))</f>
        <v/>
      </c>
      <c r="M52" s="514" t="str">
        <f>_xlfn.LET(_xlpm.x,'Diversion and Disposal'!M48,IF(OR(LEN(_xlpm.x)&lt;1,_xlpm.x=0),"",_xlpm.x))</f>
        <v/>
      </c>
      <c r="N52" s="514" t="str">
        <f>_xlfn.LET(_xlpm.x,'Diversion and Disposal'!N48,IF(OR(LEN(_xlpm.x)&lt;1,_xlpm.x=0),"",_xlpm.x))</f>
        <v/>
      </c>
      <c r="O52" s="514" t="str">
        <f>_xlfn.LET(_xlpm.x,'Diversion and Disposal'!O48,IF(OR(LEN(_xlpm.x)&lt;1,_xlpm.x=0),"",_xlpm.x))</f>
        <v/>
      </c>
      <c r="P52" s="514" t="str">
        <f>_xlfn.LET(_xlpm.x,'Diversion and Disposal'!P48,IF(OR(LEN(_xlpm.x)&lt;1,_xlpm.x=0),"",_xlpm.x))</f>
        <v/>
      </c>
      <c r="Q52" s="514" t="str">
        <f>_xlfn.LET(_xlpm.x,'Diversion and Disposal'!Q48,IF(OR(LEN(_xlpm.x)&lt;1,_xlpm.x=0),"",_xlpm.x))</f>
        <v/>
      </c>
      <c r="R52" s="514" t="str">
        <f>_xlfn.LET(_xlpm.x,'Diversion and Disposal'!R48,IF(OR(LEN(_xlpm.x)&lt;1,_xlpm.x=0),"",_xlpm.x))</f>
        <v/>
      </c>
      <c r="S52" s="514" t="str">
        <f>_xlfn.LET(_xlpm.x,'Diversion and Disposal'!S48,IF(OR(LEN(_xlpm.x)&lt;1,_xlpm.x=0),"",_xlpm.x))</f>
        <v/>
      </c>
      <c r="T52" s="513">
        <f t="shared" si="42"/>
        <v>0</v>
      </c>
      <c r="BB52" s="432" t="str">
        <f t="shared" si="43"/>
        <v/>
      </c>
      <c r="BC52" s="432" t="str">
        <f t="shared" si="4"/>
        <v/>
      </c>
      <c r="BD52" s="432" t="str">
        <f t="shared" si="44"/>
        <v/>
      </c>
      <c r="BE52" s="432" t="str">
        <f t="shared" si="6"/>
        <v/>
      </c>
      <c r="BF52" s="432" t="str">
        <f t="shared" si="7"/>
        <v/>
      </c>
      <c r="BG52" s="477" t="str">
        <f t="shared" si="45"/>
        <v/>
      </c>
      <c r="BH52" s="477" t="str">
        <f t="shared" si="46"/>
        <v/>
      </c>
      <c r="BI52" s="477" t="str">
        <f t="shared" si="47"/>
        <v/>
      </c>
      <c r="BJ52" s="477" t="str">
        <f t="shared" si="48"/>
        <v/>
      </c>
      <c r="BK52" s="477" t="str">
        <f t="shared" si="49"/>
        <v/>
      </c>
      <c r="BL52" s="477" t="str">
        <f t="shared" si="50"/>
        <v/>
      </c>
      <c r="BM52" s="477" t="str">
        <f t="shared" si="51"/>
        <v/>
      </c>
      <c r="BN52" s="477" t="str">
        <f t="shared" si="52"/>
        <v/>
      </c>
      <c r="BO52" s="477" t="str">
        <f t="shared" si="53"/>
        <v/>
      </c>
      <c r="BP52" s="477" t="str">
        <f t="shared" si="54"/>
        <v/>
      </c>
      <c r="BQ52" s="477" t="str">
        <f t="shared" si="55"/>
        <v/>
      </c>
      <c r="BR52" s="477" t="str">
        <f t="shared" si="56"/>
        <v/>
      </c>
      <c r="BS52" s="477" t="str">
        <f t="shared" si="57"/>
        <v/>
      </c>
      <c r="BT52" s="435">
        <f t="shared" si="21"/>
        <v>0</v>
      </c>
      <c r="BU52" s="434" t="str">
        <f t="shared" si="58"/>
        <v/>
      </c>
      <c r="BV52" s="479" t="str">
        <f t="shared" si="35"/>
        <v/>
      </c>
      <c r="BW52" s="479" t="str">
        <f t="shared" si="22"/>
        <v/>
      </c>
      <c r="BX52" s="479" t="str">
        <f t="shared" si="23"/>
        <v/>
      </c>
      <c r="BY52" s="479" t="str">
        <f t="shared" si="24"/>
        <v/>
      </c>
      <c r="BZ52" s="479" t="str">
        <f t="shared" si="25"/>
        <v/>
      </c>
      <c r="CA52" s="479" t="str">
        <f t="shared" si="26"/>
        <v/>
      </c>
      <c r="CB52" s="479" t="str">
        <f t="shared" si="27"/>
        <v/>
      </c>
      <c r="CC52" s="479" t="str">
        <f t="shared" si="28"/>
        <v/>
      </c>
      <c r="CD52" s="479" t="str">
        <f t="shared" si="29"/>
        <v/>
      </c>
      <c r="CE52" s="479" t="str">
        <f t="shared" si="30"/>
        <v/>
      </c>
      <c r="CF52" s="479" t="str">
        <f t="shared" si="31"/>
        <v/>
      </c>
      <c r="CG52" s="479" t="str">
        <f t="shared" si="32"/>
        <v/>
      </c>
      <c r="CH52" s="480">
        <f t="shared" si="36"/>
        <v>0</v>
      </c>
      <c r="DD52" s="497" cm="1">
        <f t="array" ref="DD52">_xlfn.IFS('Project Inputs'!$F$150&lt;&gt;"Yes",0,DE52=18,0,DE52&lt;&gt;18,SUM(DF52:DG52))</f>
        <v>0</v>
      </c>
      <c r="DE52" s="31">
        <f t="shared" si="37"/>
        <v>18</v>
      </c>
      <c r="DF52" s="31">
        <f t="shared" si="38"/>
        <v>0</v>
      </c>
      <c r="DG52" s="31">
        <f t="shared" si="39"/>
        <v>0</v>
      </c>
    </row>
    <row r="53" spans="1:111" hidden="1" outlineLevel="1">
      <c r="A53" s="22" t="str">
        <f t="shared" si="33"/>
        <v/>
      </c>
      <c r="B53" s="474" t="str">
        <f>_xlfn.LET(_xlpm.x,'Diversion and Disposal'!D49,IF(OR(LEN(_xlpm.x)&lt;1,_xlpm.x=0),"",_xlpm.x))</f>
        <v/>
      </c>
      <c r="C53" s="475" t="str">
        <f>_xlfn.LET(_xlpm.x,'Diversion and Disposal'!E49,IF(OR(LEN(_xlpm.x)&lt;1,_xlpm.x=0),"",_xlpm.x))</f>
        <v/>
      </c>
      <c r="D53" s="475" t="str">
        <f>_xlfn.LET(_xlpm.x,'Diversion and Disposal'!F49,IF(OR(LEN(_xlpm.x)&lt;1,_xlpm.x=0),"",_xlpm.x))</f>
        <v/>
      </c>
      <c r="E53" s="475" t="str">
        <f>_xlfn.LET(_xlpm.x,'Diversion and Disposal'!G49,IF(OR(LEN(_xlpm.x)&lt;1,_xlpm.x=0),"",_xlpm.x))</f>
        <v/>
      </c>
      <c r="F53" s="407"/>
      <c r="G53" s="511"/>
      <c r="H53" s="514" t="str">
        <f>_xlfn.LET(_xlpm.x,'Diversion and Disposal'!H49,IF(OR(LEN(_xlpm.x)&lt;1,_xlpm.x=0),"",_xlpm.x))</f>
        <v/>
      </c>
      <c r="I53" s="514" t="str">
        <f>_xlfn.LET(_xlpm.x,'Diversion and Disposal'!I49,IF(OR(LEN(_xlpm.x)&lt;1,_xlpm.x=0),"",_xlpm.x))</f>
        <v/>
      </c>
      <c r="J53" s="514" t="str">
        <f>_xlfn.LET(_xlpm.x,'Diversion and Disposal'!J49,IF(OR(LEN(_xlpm.x)&lt;1,_xlpm.x=0),"",_xlpm.x))</f>
        <v/>
      </c>
      <c r="K53" s="514" t="str">
        <f>_xlfn.LET(_xlpm.x,'Diversion and Disposal'!K49,IF(OR(LEN(_xlpm.x)&lt;1,_xlpm.x=0),"",_xlpm.x))</f>
        <v/>
      </c>
      <c r="L53" s="514" t="str">
        <f>_xlfn.LET(_xlpm.x,'Diversion and Disposal'!L49,IF(OR(LEN(_xlpm.x)&lt;1,_xlpm.x=0),"",_xlpm.x))</f>
        <v/>
      </c>
      <c r="M53" s="514" t="str">
        <f>_xlfn.LET(_xlpm.x,'Diversion and Disposal'!M49,IF(OR(LEN(_xlpm.x)&lt;1,_xlpm.x=0),"",_xlpm.x))</f>
        <v/>
      </c>
      <c r="N53" s="514" t="str">
        <f>_xlfn.LET(_xlpm.x,'Diversion and Disposal'!N49,IF(OR(LEN(_xlpm.x)&lt;1,_xlpm.x=0),"",_xlpm.x))</f>
        <v/>
      </c>
      <c r="O53" s="514" t="str">
        <f>_xlfn.LET(_xlpm.x,'Diversion and Disposal'!O49,IF(OR(LEN(_xlpm.x)&lt;1,_xlpm.x=0),"",_xlpm.x))</f>
        <v/>
      </c>
      <c r="P53" s="514" t="str">
        <f>_xlfn.LET(_xlpm.x,'Diversion and Disposal'!P49,IF(OR(LEN(_xlpm.x)&lt;1,_xlpm.x=0),"",_xlpm.x))</f>
        <v/>
      </c>
      <c r="Q53" s="514" t="str">
        <f>_xlfn.LET(_xlpm.x,'Diversion and Disposal'!Q49,IF(OR(LEN(_xlpm.x)&lt;1,_xlpm.x=0),"",_xlpm.x))</f>
        <v/>
      </c>
      <c r="R53" s="514" t="str">
        <f>_xlfn.LET(_xlpm.x,'Diversion and Disposal'!R49,IF(OR(LEN(_xlpm.x)&lt;1,_xlpm.x=0),"",_xlpm.x))</f>
        <v/>
      </c>
      <c r="S53" s="514" t="str">
        <f>_xlfn.LET(_xlpm.x,'Diversion and Disposal'!S49,IF(OR(LEN(_xlpm.x)&lt;1,_xlpm.x=0),"",_xlpm.x))</f>
        <v/>
      </c>
      <c r="T53" s="513">
        <f t="shared" si="42"/>
        <v>0</v>
      </c>
      <c r="BB53" s="432" t="str">
        <f t="shared" si="43"/>
        <v/>
      </c>
      <c r="BC53" s="432" t="str">
        <f t="shared" si="4"/>
        <v/>
      </c>
      <c r="BD53" s="432" t="str">
        <f t="shared" si="44"/>
        <v/>
      </c>
      <c r="BE53" s="432" t="str">
        <f t="shared" si="6"/>
        <v/>
      </c>
      <c r="BF53" s="432" t="str">
        <f t="shared" si="7"/>
        <v/>
      </c>
      <c r="BG53" s="477" t="str">
        <f t="shared" si="45"/>
        <v/>
      </c>
      <c r="BH53" s="477" t="str">
        <f t="shared" si="46"/>
        <v/>
      </c>
      <c r="BI53" s="477" t="str">
        <f t="shared" si="47"/>
        <v/>
      </c>
      <c r="BJ53" s="477" t="str">
        <f t="shared" si="48"/>
        <v/>
      </c>
      <c r="BK53" s="477" t="str">
        <f t="shared" si="49"/>
        <v/>
      </c>
      <c r="BL53" s="477" t="str">
        <f t="shared" si="50"/>
        <v/>
      </c>
      <c r="BM53" s="477" t="str">
        <f t="shared" si="51"/>
        <v/>
      </c>
      <c r="BN53" s="477" t="str">
        <f t="shared" si="52"/>
        <v/>
      </c>
      <c r="BO53" s="477" t="str">
        <f t="shared" si="53"/>
        <v/>
      </c>
      <c r="BP53" s="477" t="str">
        <f t="shared" si="54"/>
        <v/>
      </c>
      <c r="BQ53" s="477" t="str">
        <f t="shared" si="55"/>
        <v/>
      </c>
      <c r="BR53" s="477" t="str">
        <f t="shared" si="56"/>
        <v/>
      </c>
      <c r="BS53" s="477" t="str">
        <f t="shared" si="57"/>
        <v/>
      </c>
      <c r="BT53" s="435">
        <f t="shared" si="21"/>
        <v>0</v>
      </c>
      <c r="BU53" s="434" t="str">
        <f t="shared" si="58"/>
        <v/>
      </c>
      <c r="BV53" s="479" t="str">
        <f t="shared" si="35"/>
        <v/>
      </c>
      <c r="BW53" s="479" t="str">
        <f t="shared" si="22"/>
        <v/>
      </c>
      <c r="BX53" s="479" t="str">
        <f t="shared" si="23"/>
        <v/>
      </c>
      <c r="BY53" s="479" t="str">
        <f t="shared" si="24"/>
        <v/>
      </c>
      <c r="BZ53" s="479" t="str">
        <f t="shared" si="25"/>
        <v/>
      </c>
      <c r="CA53" s="479" t="str">
        <f t="shared" si="26"/>
        <v/>
      </c>
      <c r="CB53" s="479" t="str">
        <f t="shared" si="27"/>
        <v/>
      </c>
      <c r="CC53" s="479" t="str">
        <f t="shared" si="28"/>
        <v/>
      </c>
      <c r="CD53" s="479" t="str">
        <f t="shared" si="29"/>
        <v/>
      </c>
      <c r="CE53" s="479" t="str">
        <f t="shared" si="30"/>
        <v/>
      </c>
      <c r="CF53" s="479" t="str">
        <f t="shared" si="31"/>
        <v/>
      </c>
      <c r="CG53" s="479" t="str">
        <f t="shared" si="32"/>
        <v/>
      </c>
      <c r="CH53" s="480">
        <f t="shared" si="36"/>
        <v>0</v>
      </c>
      <c r="DD53" s="497" cm="1">
        <f t="array" ref="DD53">_xlfn.IFS('Project Inputs'!$F$150&lt;&gt;"Yes",0,DE53=18,0,DE53&lt;&gt;18,SUM(DF53:DG53))</f>
        <v>0</v>
      </c>
      <c r="DE53" s="31">
        <f t="shared" si="37"/>
        <v>18</v>
      </c>
      <c r="DF53" s="31">
        <f t="shared" si="38"/>
        <v>0</v>
      </c>
      <c r="DG53" s="31">
        <f t="shared" si="39"/>
        <v>0</v>
      </c>
    </row>
    <row r="54" spans="1:111" hidden="1" outlineLevel="1">
      <c r="A54" s="22" t="str">
        <f t="shared" si="33"/>
        <v/>
      </c>
      <c r="B54" s="474" t="str">
        <f>_xlfn.LET(_xlpm.x,'Diversion and Disposal'!D50,IF(OR(LEN(_xlpm.x)&lt;1,_xlpm.x=0),"",_xlpm.x))</f>
        <v/>
      </c>
      <c r="C54" s="475" t="str">
        <f>_xlfn.LET(_xlpm.x,'Diversion and Disposal'!E50,IF(OR(LEN(_xlpm.x)&lt;1,_xlpm.x=0),"",_xlpm.x))</f>
        <v/>
      </c>
      <c r="D54" s="475" t="str">
        <f>_xlfn.LET(_xlpm.x,'Diversion and Disposal'!F50,IF(OR(LEN(_xlpm.x)&lt;1,_xlpm.x=0),"",_xlpm.x))</f>
        <v/>
      </c>
      <c r="E54" s="475" t="str">
        <f>_xlfn.LET(_xlpm.x,'Diversion and Disposal'!G50,IF(OR(LEN(_xlpm.x)&lt;1,_xlpm.x=0),"",_xlpm.x))</f>
        <v/>
      </c>
      <c r="F54" s="407"/>
      <c r="G54" s="511"/>
      <c r="H54" s="514" t="str">
        <f>_xlfn.LET(_xlpm.x,'Diversion and Disposal'!H50,IF(OR(LEN(_xlpm.x)&lt;1,_xlpm.x=0),"",_xlpm.x))</f>
        <v/>
      </c>
      <c r="I54" s="514" t="str">
        <f>_xlfn.LET(_xlpm.x,'Diversion and Disposal'!I50,IF(OR(LEN(_xlpm.x)&lt;1,_xlpm.x=0),"",_xlpm.x))</f>
        <v/>
      </c>
      <c r="J54" s="514" t="str">
        <f>_xlfn.LET(_xlpm.x,'Diversion and Disposal'!J50,IF(OR(LEN(_xlpm.x)&lt;1,_xlpm.x=0),"",_xlpm.x))</f>
        <v/>
      </c>
      <c r="K54" s="514" t="str">
        <f>_xlfn.LET(_xlpm.x,'Diversion and Disposal'!K50,IF(OR(LEN(_xlpm.x)&lt;1,_xlpm.x=0),"",_xlpm.x))</f>
        <v/>
      </c>
      <c r="L54" s="514" t="str">
        <f>_xlfn.LET(_xlpm.x,'Diversion and Disposal'!L50,IF(OR(LEN(_xlpm.x)&lt;1,_xlpm.x=0),"",_xlpm.x))</f>
        <v/>
      </c>
      <c r="M54" s="514" t="str">
        <f>_xlfn.LET(_xlpm.x,'Diversion and Disposal'!M50,IF(OR(LEN(_xlpm.x)&lt;1,_xlpm.x=0),"",_xlpm.x))</f>
        <v/>
      </c>
      <c r="N54" s="514" t="str">
        <f>_xlfn.LET(_xlpm.x,'Diversion and Disposal'!N50,IF(OR(LEN(_xlpm.x)&lt;1,_xlpm.x=0),"",_xlpm.x))</f>
        <v/>
      </c>
      <c r="O54" s="514" t="str">
        <f>_xlfn.LET(_xlpm.x,'Diversion and Disposal'!O50,IF(OR(LEN(_xlpm.x)&lt;1,_xlpm.x=0),"",_xlpm.x))</f>
        <v/>
      </c>
      <c r="P54" s="514" t="str">
        <f>_xlfn.LET(_xlpm.x,'Diversion and Disposal'!P50,IF(OR(LEN(_xlpm.x)&lt;1,_xlpm.x=0),"",_xlpm.x))</f>
        <v/>
      </c>
      <c r="Q54" s="514" t="str">
        <f>_xlfn.LET(_xlpm.x,'Diversion and Disposal'!Q50,IF(OR(LEN(_xlpm.x)&lt;1,_xlpm.x=0),"",_xlpm.x))</f>
        <v/>
      </c>
      <c r="R54" s="514" t="str">
        <f>_xlfn.LET(_xlpm.x,'Diversion and Disposal'!R50,IF(OR(LEN(_xlpm.x)&lt;1,_xlpm.x=0),"",_xlpm.x))</f>
        <v/>
      </c>
      <c r="S54" s="514" t="str">
        <f>_xlfn.LET(_xlpm.x,'Diversion and Disposal'!S50,IF(OR(LEN(_xlpm.x)&lt;1,_xlpm.x=0),"",_xlpm.x))</f>
        <v/>
      </c>
      <c r="T54" s="513">
        <f t="shared" si="42"/>
        <v>0</v>
      </c>
      <c r="BB54" s="432" t="str">
        <f t="shared" si="43"/>
        <v/>
      </c>
      <c r="BC54" s="432" t="str">
        <f t="shared" si="4"/>
        <v/>
      </c>
      <c r="BD54" s="432" t="str">
        <f t="shared" si="44"/>
        <v/>
      </c>
      <c r="BE54" s="432" t="str">
        <f t="shared" si="6"/>
        <v/>
      </c>
      <c r="BF54" s="432" t="str">
        <f t="shared" si="7"/>
        <v/>
      </c>
      <c r="BG54" s="477" t="str">
        <f t="shared" si="45"/>
        <v/>
      </c>
      <c r="BH54" s="477" t="str">
        <f t="shared" si="46"/>
        <v/>
      </c>
      <c r="BI54" s="477" t="str">
        <f t="shared" si="47"/>
        <v/>
      </c>
      <c r="BJ54" s="477" t="str">
        <f t="shared" si="48"/>
        <v/>
      </c>
      <c r="BK54" s="477" t="str">
        <f t="shared" si="49"/>
        <v/>
      </c>
      <c r="BL54" s="477" t="str">
        <f t="shared" si="50"/>
        <v/>
      </c>
      <c r="BM54" s="477" t="str">
        <f t="shared" si="51"/>
        <v/>
      </c>
      <c r="BN54" s="477" t="str">
        <f t="shared" si="52"/>
        <v/>
      </c>
      <c r="BO54" s="477" t="str">
        <f t="shared" si="53"/>
        <v/>
      </c>
      <c r="BP54" s="477" t="str">
        <f t="shared" si="54"/>
        <v/>
      </c>
      <c r="BQ54" s="477" t="str">
        <f t="shared" si="55"/>
        <v/>
      </c>
      <c r="BR54" s="477" t="str">
        <f t="shared" si="56"/>
        <v/>
      </c>
      <c r="BS54" s="477" t="str">
        <f t="shared" si="57"/>
        <v/>
      </c>
      <c r="BT54" s="435">
        <f t="shared" si="21"/>
        <v>0</v>
      </c>
      <c r="BU54" s="434" t="str">
        <f t="shared" si="58"/>
        <v/>
      </c>
      <c r="BV54" s="479" t="str">
        <f t="shared" si="35"/>
        <v/>
      </c>
      <c r="BW54" s="479" t="str">
        <f t="shared" si="22"/>
        <v/>
      </c>
      <c r="BX54" s="479" t="str">
        <f t="shared" si="23"/>
        <v/>
      </c>
      <c r="BY54" s="479" t="str">
        <f t="shared" si="24"/>
        <v/>
      </c>
      <c r="BZ54" s="479" t="str">
        <f t="shared" si="25"/>
        <v/>
      </c>
      <c r="CA54" s="479" t="str">
        <f t="shared" si="26"/>
        <v/>
      </c>
      <c r="CB54" s="479" t="str">
        <f t="shared" si="27"/>
        <v/>
      </c>
      <c r="CC54" s="479" t="str">
        <f t="shared" si="28"/>
        <v/>
      </c>
      <c r="CD54" s="479" t="str">
        <f t="shared" si="29"/>
        <v/>
      </c>
      <c r="CE54" s="479" t="str">
        <f t="shared" si="30"/>
        <v/>
      </c>
      <c r="CF54" s="479" t="str">
        <f t="shared" si="31"/>
        <v/>
      </c>
      <c r="CG54" s="479" t="str">
        <f t="shared" si="32"/>
        <v/>
      </c>
      <c r="CH54" s="480">
        <f t="shared" si="36"/>
        <v>0</v>
      </c>
      <c r="DD54" s="497" cm="1">
        <f t="array" ref="DD54">_xlfn.IFS('Project Inputs'!$F$150&lt;&gt;"Yes",0,DE54=18,0,DE54&lt;&gt;18,SUM(DF54:DG54))</f>
        <v>0</v>
      </c>
      <c r="DE54" s="31">
        <f t="shared" si="37"/>
        <v>18</v>
      </c>
      <c r="DF54" s="31">
        <f t="shared" si="38"/>
        <v>0</v>
      </c>
      <c r="DG54" s="31">
        <f t="shared" si="39"/>
        <v>0</v>
      </c>
    </row>
    <row r="55" spans="1:111" hidden="1" outlineLevel="1">
      <c r="A55" s="22" t="str">
        <f t="shared" si="33"/>
        <v/>
      </c>
      <c r="B55" s="474" t="str">
        <f>_xlfn.LET(_xlpm.x,'Diversion and Disposal'!D51,IF(OR(LEN(_xlpm.x)&lt;1,_xlpm.x=0),"",_xlpm.x))</f>
        <v/>
      </c>
      <c r="C55" s="475" t="str">
        <f>_xlfn.LET(_xlpm.x,'Diversion and Disposal'!E51,IF(OR(LEN(_xlpm.x)&lt;1,_xlpm.x=0),"",_xlpm.x))</f>
        <v/>
      </c>
      <c r="D55" s="475" t="str">
        <f>_xlfn.LET(_xlpm.x,'Diversion and Disposal'!F51,IF(OR(LEN(_xlpm.x)&lt;1,_xlpm.x=0),"",_xlpm.x))</f>
        <v/>
      </c>
      <c r="E55" s="475" t="str">
        <f>_xlfn.LET(_xlpm.x,'Diversion and Disposal'!G51,IF(OR(LEN(_xlpm.x)&lt;1,_xlpm.x=0),"",_xlpm.x))</f>
        <v/>
      </c>
      <c r="F55" s="407"/>
      <c r="G55" s="511"/>
      <c r="H55" s="514" t="str">
        <f>_xlfn.LET(_xlpm.x,'Diversion and Disposal'!H51,IF(OR(LEN(_xlpm.x)&lt;1,_xlpm.x=0),"",_xlpm.x))</f>
        <v/>
      </c>
      <c r="I55" s="514" t="str">
        <f>_xlfn.LET(_xlpm.x,'Diversion and Disposal'!I51,IF(OR(LEN(_xlpm.x)&lt;1,_xlpm.x=0),"",_xlpm.x))</f>
        <v/>
      </c>
      <c r="J55" s="514" t="str">
        <f>_xlfn.LET(_xlpm.x,'Diversion and Disposal'!J51,IF(OR(LEN(_xlpm.x)&lt;1,_xlpm.x=0),"",_xlpm.x))</f>
        <v/>
      </c>
      <c r="K55" s="514" t="str">
        <f>_xlfn.LET(_xlpm.x,'Diversion and Disposal'!K51,IF(OR(LEN(_xlpm.x)&lt;1,_xlpm.x=0),"",_xlpm.x))</f>
        <v/>
      </c>
      <c r="L55" s="514" t="str">
        <f>_xlfn.LET(_xlpm.x,'Diversion and Disposal'!L51,IF(OR(LEN(_xlpm.x)&lt;1,_xlpm.x=0),"",_xlpm.x))</f>
        <v/>
      </c>
      <c r="M55" s="514" t="str">
        <f>_xlfn.LET(_xlpm.x,'Diversion and Disposal'!M51,IF(OR(LEN(_xlpm.x)&lt;1,_xlpm.x=0),"",_xlpm.x))</f>
        <v/>
      </c>
      <c r="N55" s="514" t="str">
        <f>_xlfn.LET(_xlpm.x,'Diversion and Disposal'!N51,IF(OR(LEN(_xlpm.x)&lt;1,_xlpm.x=0),"",_xlpm.x))</f>
        <v/>
      </c>
      <c r="O55" s="514" t="str">
        <f>_xlfn.LET(_xlpm.x,'Diversion and Disposal'!O51,IF(OR(LEN(_xlpm.x)&lt;1,_xlpm.x=0),"",_xlpm.x))</f>
        <v/>
      </c>
      <c r="P55" s="514" t="str">
        <f>_xlfn.LET(_xlpm.x,'Diversion and Disposal'!P51,IF(OR(LEN(_xlpm.x)&lt;1,_xlpm.x=0),"",_xlpm.x))</f>
        <v/>
      </c>
      <c r="Q55" s="514" t="str">
        <f>_xlfn.LET(_xlpm.x,'Diversion and Disposal'!Q51,IF(OR(LEN(_xlpm.x)&lt;1,_xlpm.x=0),"",_xlpm.x))</f>
        <v/>
      </c>
      <c r="R55" s="514" t="str">
        <f>_xlfn.LET(_xlpm.x,'Diversion and Disposal'!R51,IF(OR(LEN(_xlpm.x)&lt;1,_xlpm.x=0),"",_xlpm.x))</f>
        <v/>
      </c>
      <c r="S55" s="514" t="str">
        <f>_xlfn.LET(_xlpm.x,'Diversion and Disposal'!S51,IF(OR(LEN(_xlpm.x)&lt;1,_xlpm.x=0),"",_xlpm.x))</f>
        <v/>
      </c>
      <c r="T55" s="513">
        <f t="shared" si="42"/>
        <v>0</v>
      </c>
      <c r="BB55" s="432" t="str">
        <f t="shared" si="43"/>
        <v/>
      </c>
      <c r="BC55" s="432" t="str">
        <f t="shared" si="4"/>
        <v/>
      </c>
      <c r="BD55" s="432" t="str">
        <f t="shared" si="44"/>
        <v/>
      </c>
      <c r="BE55" s="432" t="str">
        <f t="shared" si="6"/>
        <v/>
      </c>
      <c r="BF55" s="432" t="str">
        <f t="shared" si="7"/>
        <v/>
      </c>
      <c r="BG55" s="477" t="str">
        <f t="shared" si="45"/>
        <v/>
      </c>
      <c r="BH55" s="477" t="str">
        <f t="shared" si="46"/>
        <v/>
      </c>
      <c r="BI55" s="477" t="str">
        <f t="shared" si="47"/>
        <v/>
      </c>
      <c r="BJ55" s="477" t="str">
        <f t="shared" si="48"/>
        <v/>
      </c>
      <c r="BK55" s="477" t="str">
        <f t="shared" si="49"/>
        <v/>
      </c>
      <c r="BL55" s="477" t="str">
        <f t="shared" si="50"/>
        <v/>
      </c>
      <c r="BM55" s="477" t="str">
        <f t="shared" si="51"/>
        <v/>
      </c>
      <c r="BN55" s="477" t="str">
        <f t="shared" si="52"/>
        <v/>
      </c>
      <c r="BO55" s="477" t="str">
        <f t="shared" si="53"/>
        <v/>
      </c>
      <c r="BP55" s="477" t="str">
        <f t="shared" si="54"/>
        <v/>
      </c>
      <c r="BQ55" s="477" t="str">
        <f t="shared" si="55"/>
        <v/>
      </c>
      <c r="BR55" s="477" t="str">
        <f t="shared" si="56"/>
        <v/>
      </c>
      <c r="BS55" s="477" t="str">
        <f t="shared" si="57"/>
        <v/>
      </c>
      <c r="BT55" s="435">
        <f t="shared" si="21"/>
        <v>0</v>
      </c>
      <c r="BU55" s="434" t="str">
        <f t="shared" si="58"/>
        <v/>
      </c>
      <c r="BV55" s="479" t="str">
        <f t="shared" si="35"/>
        <v/>
      </c>
      <c r="BW55" s="479" t="str">
        <f t="shared" si="22"/>
        <v/>
      </c>
      <c r="BX55" s="479" t="str">
        <f t="shared" si="23"/>
        <v/>
      </c>
      <c r="BY55" s="479" t="str">
        <f t="shared" si="24"/>
        <v/>
      </c>
      <c r="BZ55" s="479" t="str">
        <f t="shared" si="25"/>
        <v/>
      </c>
      <c r="CA55" s="479" t="str">
        <f t="shared" si="26"/>
        <v/>
      </c>
      <c r="CB55" s="479" t="str">
        <f t="shared" si="27"/>
        <v/>
      </c>
      <c r="CC55" s="479" t="str">
        <f t="shared" si="28"/>
        <v/>
      </c>
      <c r="CD55" s="479" t="str">
        <f t="shared" si="29"/>
        <v/>
      </c>
      <c r="CE55" s="479" t="str">
        <f t="shared" si="30"/>
        <v/>
      </c>
      <c r="CF55" s="479" t="str">
        <f t="shared" si="31"/>
        <v/>
      </c>
      <c r="CG55" s="479" t="str">
        <f t="shared" si="32"/>
        <v/>
      </c>
      <c r="CH55" s="480">
        <f t="shared" si="36"/>
        <v>0</v>
      </c>
      <c r="DD55" s="497" cm="1">
        <f t="array" ref="DD55">_xlfn.IFS('Project Inputs'!$F$150&lt;&gt;"Yes",0,DE55=18,0,DE55&lt;&gt;18,SUM(DF55:DG55))</f>
        <v>0</v>
      </c>
      <c r="DE55" s="31">
        <f t="shared" si="37"/>
        <v>18</v>
      </c>
      <c r="DF55" s="31">
        <f t="shared" si="38"/>
        <v>0</v>
      </c>
      <c r="DG55" s="31">
        <f t="shared" si="39"/>
        <v>0</v>
      </c>
    </row>
    <row r="56" spans="1:111" hidden="1" outlineLevel="1">
      <c r="A56" s="22" t="str">
        <f t="shared" si="33"/>
        <v/>
      </c>
      <c r="B56" s="474" t="str">
        <f>_xlfn.LET(_xlpm.x,'Diversion and Disposal'!D52,IF(OR(LEN(_xlpm.x)&lt;1,_xlpm.x=0),"",_xlpm.x))</f>
        <v/>
      </c>
      <c r="C56" s="475" t="str">
        <f>_xlfn.LET(_xlpm.x,'Diversion and Disposal'!E52,IF(OR(LEN(_xlpm.x)&lt;1,_xlpm.x=0),"",_xlpm.x))</f>
        <v/>
      </c>
      <c r="D56" s="475" t="str">
        <f>_xlfn.LET(_xlpm.x,'Diversion and Disposal'!F52,IF(OR(LEN(_xlpm.x)&lt;1,_xlpm.x=0),"",_xlpm.x))</f>
        <v/>
      </c>
      <c r="E56" s="475" t="str">
        <f>_xlfn.LET(_xlpm.x,'Diversion and Disposal'!G52,IF(OR(LEN(_xlpm.x)&lt;1,_xlpm.x=0),"",_xlpm.x))</f>
        <v/>
      </c>
      <c r="F56" s="407"/>
      <c r="G56" s="511"/>
      <c r="H56" s="514" t="str">
        <f>_xlfn.LET(_xlpm.x,'Diversion and Disposal'!H52,IF(OR(LEN(_xlpm.x)&lt;1,_xlpm.x=0),"",_xlpm.x))</f>
        <v/>
      </c>
      <c r="I56" s="514" t="str">
        <f>_xlfn.LET(_xlpm.x,'Diversion and Disposal'!I52,IF(OR(LEN(_xlpm.x)&lt;1,_xlpm.x=0),"",_xlpm.x))</f>
        <v/>
      </c>
      <c r="J56" s="514" t="str">
        <f>_xlfn.LET(_xlpm.x,'Diversion and Disposal'!J52,IF(OR(LEN(_xlpm.x)&lt;1,_xlpm.x=0),"",_xlpm.x))</f>
        <v/>
      </c>
      <c r="K56" s="514" t="str">
        <f>_xlfn.LET(_xlpm.x,'Diversion and Disposal'!K52,IF(OR(LEN(_xlpm.x)&lt;1,_xlpm.x=0),"",_xlpm.x))</f>
        <v/>
      </c>
      <c r="L56" s="514" t="str">
        <f>_xlfn.LET(_xlpm.x,'Diversion and Disposal'!L52,IF(OR(LEN(_xlpm.x)&lt;1,_xlpm.x=0),"",_xlpm.x))</f>
        <v/>
      </c>
      <c r="M56" s="514" t="str">
        <f>_xlfn.LET(_xlpm.x,'Diversion and Disposal'!M52,IF(OR(LEN(_xlpm.x)&lt;1,_xlpm.x=0),"",_xlpm.x))</f>
        <v/>
      </c>
      <c r="N56" s="514" t="str">
        <f>_xlfn.LET(_xlpm.x,'Diversion and Disposal'!N52,IF(OR(LEN(_xlpm.x)&lt;1,_xlpm.x=0),"",_xlpm.x))</f>
        <v/>
      </c>
      <c r="O56" s="514" t="str">
        <f>_xlfn.LET(_xlpm.x,'Diversion and Disposal'!O52,IF(OR(LEN(_xlpm.x)&lt;1,_xlpm.x=0),"",_xlpm.x))</f>
        <v/>
      </c>
      <c r="P56" s="514" t="str">
        <f>_xlfn.LET(_xlpm.x,'Diversion and Disposal'!P52,IF(OR(LEN(_xlpm.x)&lt;1,_xlpm.x=0),"",_xlpm.x))</f>
        <v/>
      </c>
      <c r="Q56" s="514" t="str">
        <f>_xlfn.LET(_xlpm.x,'Diversion and Disposal'!Q52,IF(OR(LEN(_xlpm.x)&lt;1,_xlpm.x=0),"",_xlpm.x))</f>
        <v/>
      </c>
      <c r="R56" s="514" t="str">
        <f>_xlfn.LET(_xlpm.x,'Diversion and Disposal'!R52,IF(OR(LEN(_xlpm.x)&lt;1,_xlpm.x=0),"",_xlpm.x))</f>
        <v/>
      </c>
      <c r="S56" s="514" t="str">
        <f>_xlfn.LET(_xlpm.x,'Diversion and Disposal'!S52,IF(OR(LEN(_xlpm.x)&lt;1,_xlpm.x=0),"",_xlpm.x))</f>
        <v/>
      </c>
      <c r="T56" s="513">
        <f t="shared" si="42"/>
        <v>0</v>
      </c>
      <c r="BB56" s="432" t="str">
        <f t="shared" si="43"/>
        <v/>
      </c>
      <c r="BC56" s="432" t="str">
        <f t="shared" si="4"/>
        <v/>
      </c>
      <c r="BD56" s="432" t="str">
        <f t="shared" si="44"/>
        <v/>
      </c>
      <c r="BE56" s="432" t="str">
        <f t="shared" si="6"/>
        <v/>
      </c>
      <c r="BF56" s="432" t="str">
        <f t="shared" si="7"/>
        <v/>
      </c>
      <c r="BG56" s="477" t="str">
        <f t="shared" si="45"/>
        <v/>
      </c>
      <c r="BH56" s="477" t="str">
        <f t="shared" si="46"/>
        <v/>
      </c>
      <c r="BI56" s="477" t="str">
        <f t="shared" si="47"/>
        <v/>
      </c>
      <c r="BJ56" s="477" t="str">
        <f t="shared" si="48"/>
        <v/>
      </c>
      <c r="BK56" s="477" t="str">
        <f t="shared" si="49"/>
        <v/>
      </c>
      <c r="BL56" s="477" t="str">
        <f t="shared" si="50"/>
        <v/>
      </c>
      <c r="BM56" s="477" t="str">
        <f t="shared" si="51"/>
        <v/>
      </c>
      <c r="BN56" s="477" t="str">
        <f t="shared" si="52"/>
        <v/>
      </c>
      <c r="BO56" s="477" t="str">
        <f t="shared" si="53"/>
        <v/>
      </c>
      <c r="BP56" s="477" t="str">
        <f t="shared" si="54"/>
        <v/>
      </c>
      <c r="BQ56" s="477" t="str">
        <f t="shared" si="55"/>
        <v/>
      </c>
      <c r="BR56" s="477" t="str">
        <f t="shared" si="56"/>
        <v/>
      </c>
      <c r="BS56" s="477" t="str">
        <f t="shared" si="57"/>
        <v/>
      </c>
      <c r="BT56" s="435">
        <f t="shared" si="21"/>
        <v>0</v>
      </c>
      <c r="BU56" s="434" t="str">
        <f t="shared" si="58"/>
        <v/>
      </c>
      <c r="BV56" s="479" t="str">
        <f t="shared" si="35"/>
        <v/>
      </c>
      <c r="BW56" s="479" t="str">
        <f t="shared" si="22"/>
        <v/>
      </c>
      <c r="BX56" s="479" t="str">
        <f t="shared" si="23"/>
        <v/>
      </c>
      <c r="BY56" s="479" t="str">
        <f t="shared" si="24"/>
        <v/>
      </c>
      <c r="BZ56" s="479" t="str">
        <f t="shared" si="25"/>
        <v/>
      </c>
      <c r="CA56" s="479" t="str">
        <f t="shared" si="26"/>
        <v/>
      </c>
      <c r="CB56" s="479" t="str">
        <f t="shared" si="27"/>
        <v/>
      </c>
      <c r="CC56" s="479" t="str">
        <f t="shared" si="28"/>
        <v/>
      </c>
      <c r="CD56" s="479" t="str">
        <f t="shared" si="29"/>
        <v/>
      </c>
      <c r="CE56" s="479" t="str">
        <f t="shared" si="30"/>
        <v/>
      </c>
      <c r="CF56" s="479" t="str">
        <f t="shared" si="31"/>
        <v/>
      </c>
      <c r="CG56" s="479" t="str">
        <f t="shared" si="32"/>
        <v/>
      </c>
      <c r="CH56" s="480">
        <f t="shared" si="36"/>
        <v>0</v>
      </c>
      <c r="DD56" s="497" cm="1">
        <f t="array" ref="DD56">_xlfn.IFS('Project Inputs'!$F$150&lt;&gt;"Yes",0,DE56=18,0,DE56&lt;&gt;18,SUM(DF56:DG56))</f>
        <v>0</v>
      </c>
      <c r="DE56" s="31">
        <f t="shared" si="37"/>
        <v>18</v>
      </c>
      <c r="DF56" s="31">
        <f t="shared" si="38"/>
        <v>0</v>
      </c>
      <c r="DG56" s="31">
        <f t="shared" si="39"/>
        <v>0</v>
      </c>
    </row>
    <row r="57" spans="1:111" hidden="1" outlineLevel="1">
      <c r="A57" s="22" t="str">
        <f t="shared" si="33"/>
        <v/>
      </c>
      <c r="B57" s="474" t="str">
        <f>_xlfn.LET(_xlpm.x,'Diversion and Disposal'!D53,IF(OR(LEN(_xlpm.x)&lt;1,_xlpm.x=0),"",_xlpm.x))</f>
        <v/>
      </c>
      <c r="C57" s="475" t="str">
        <f>_xlfn.LET(_xlpm.x,'Diversion and Disposal'!E53,IF(OR(LEN(_xlpm.x)&lt;1,_xlpm.x=0),"",_xlpm.x))</f>
        <v/>
      </c>
      <c r="D57" s="475" t="str">
        <f>_xlfn.LET(_xlpm.x,'Diversion and Disposal'!F53,IF(OR(LEN(_xlpm.x)&lt;1,_xlpm.x=0),"",_xlpm.x))</f>
        <v/>
      </c>
      <c r="E57" s="475" t="str">
        <f>_xlfn.LET(_xlpm.x,'Diversion and Disposal'!G53,IF(OR(LEN(_xlpm.x)&lt;1,_xlpm.x=0),"",_xlpm.x))</f>
        <v/>
      </c>
      <c r="F57" s="407"/>
      <c r="G57" s="511"/>
      <c r="H57" s="514" t="str">
        <f>_xlfn.LET(_xlpm.x,'Diversion and Disposal'!H53,IF(OR(LEN(_xlpm.x)&lt;1,_xlpm.x=0),"",_xlpm.x))</f>
        <v/>
      </c>
      <c r="I57" s="514" t="str">
        <f>_xlfn.LET(_xlpm.x,'Diversion and Disposal'!I53,IF(OR(LEN(_xlpm.x)&lt;1,_xlpm.x=0),"",_xlpm.x))</f>
        <v/>
      </c>
      <c r="J57" s="514" t="str">
        <f>_xlfn.LET(_xlpm.x,'Diversion and Disposal'!J53,IF(OR(LEN(_xlpm.x)&lt;1,_xlpm.x=0),"",_xlpm.x))</f>
        <v/>
      </c>
      <c r="K57" s="514" t="str">
        <f>_xlfn.LET(_xlpm.x,'Diversion and Disposal'!K53,IF(OR(LEN(_xlpm.x)&lt;1,_xlpm.x=0),"",_xlpm.x))</f>
        <v/>
      </c>
      <c r="L57" s="514" t="str">
        <f>_xlfn.LET(_xlpm.x,'Diversion and Disposal'!L53,IF(OR(LEN(_xlpm.x)&lt;1,_xlpm.x=0),"",_xlpm.x))</f>
        <v/>
      </c>
      <c r="M57" s="514" t="str">
        <f>_xlfn.LET(_xlpm.x,'Diversion and Disposal'!M53,IF(OR(LEN(_xlpm.x)&lt;1,_xlpm.x=0),"",_xlpm.x))</f>
        <v/>
      </c>
      <c r="N57" s="514" t="str">
        <f>_xlfn.LET(_xlpm.x,'Diversion and Disposal'!N53,IF(OR(LEN(_xlpm.x)&lt;1,_xlpm.x=0),"",_xlpm.x))</f>
        <v/>
      </c>
      <c r="O57" s="514" t="str">
        <f>_xlfn.LET(_xlpm.x,'Diversion and Disposal'!O53,IF(OR(LEN(_xlpm.x)&lt;1,_xlpm.x=0),"",_xlpm.x))</f>
        <v/>
      </c>
      <c r="P57" s="514" t="str">
        <f>_xlfn.LET(_xlpm.x,'Diversion and Disposal'!P53,IF(OR(LEN(_xlpm.x)&lt;1,_xlpm.x=0),"",_xlpm.x))</f>
        <v/>
      </c>
      <c r="Q57" s="514" t="str">
        <f>_xlfn.LET(_xlpm.x,'Diversion and Disposal'!Q53,IF(OR(LEN(_xlpm.x)&lt;1,_xlpm.x=0),"",_xlpm.x))</f>
        <v/>
      </c>
      <c r="R57" s="514" t="str">
        <f>_xlfn.LET(_xlpm.x,'Diversion and Disposal'!R53,IF(OR(LEN(_xlpm.x)&lt;1,_xlpm.x=0),"",_xlpm.x))</f>
        <v/>
      </c>
      <c r="S57" s="514" t="str">
        <f>_xlfn.LET(_xlpm.x,'Diversion and Disposal'!S53,IF(OR(LEN(_xlpm.x)&lt;1,_xlpm.x=0),"",_xlpm.x))</f>
        <v/>
      </c>
      <c r="T57" s="513">
        <f t="shared" si="42"/>
        <v>0</v>
      </c>
      <c r="BB57" s="432" t="str">
        <f t="shared" si="43"/>
        <v/>
      </c>
      <c r="BC57" s="432" t="str">
        <f t="shared" si="4"/>
        <v/>
      </c>
      <c r="BD57" s="432" t="str">
        <f t="shared" si="44"/>
        <v/>
      </c>
      <c r="BE57" s="432" t="str">
        <f t="shared" si="6"/>
        <v/>
      </c>
      <c r="BF57" s="432" t="str">
        <f t="shared" si="7"/>
        <v/>
      </c>
      <c r="BG57" s="477" t="str">
        <f t="shared" si="45"/>
        <v/>
      </c>
      <c r="BH57" s="477" t="str">
        <f t="shared" si="46"/>
        <v/>
      </c>
      <c r="BI57" s="477" t="str">
        <f t="shared" si="47"/>
        <v/>
      </c>
      <c r="BJ57" s="477" t="str">
        <f t="shared" si="48"/>
        <v/>
      </c>
      <c r="BK57" s="477" t="str">
        <f t="shared" si="49"/>
        <v/>
      </c>
      <c r="BL57" s="477" t="str">
        <f t="shared" si="50"/>
        <v/>
      </c>
      <c r="BM57" s="477" t="str">
        <f t="shared" si="51"/>
        <v/>
      </c>
      <c r="BN57" s="477" t="str">
        <f t="shared" si="52"/>
        <v/>
      </c>
      <c r="BO57" s="477" t="str">
        <f t="shared" si="53"/>
        <v/>
      </c>
      <c r="BP57" s="477" t="str">
        <f t="shared" si="54"/>
        <v/>
      </c>
      <c r="BQ57" s="477" t="str">
        <f t="shared" si="55"/>
        <v/>
      </c>
      <c r="BR57" s="477" t="str">
        <f t="shared" si="56"/>
        <v/>
      </c>
      <c r="BS57" s="477" t="str">
        <f t="shared" si="57"/>
        <v/>
      </c>
      <c r="BT57" s="435">
        <f t="shared" si="21"/>
        <v>0</v>
      </c>
      <c r="BU57" s="434" t="str">
        <f t="shared" si="58"/>
        <v/>
      </c>
      <c r="BV57" s="479" t="str">
        <f t="shared" si="35"/>
        <v/>
      </c>
      <c r="BW57" s="479" t="str">
        <f t="shared" si="22"/>
        <v/>
      </c>
      <c r="BX57" s="479" t="str">
        <f t="shared" si="23"/>
        <v/>
      </c>
      <c r="BY57" s="479" t="str">
        <f t="shared" si="24"/>
        <v/>
      </c>
      <c r="BZ57" s="479" t="str">
        <f t="shared" si="25"/>
        <v/>
      </c>
      <c r="CA57" s="479" t="str">
        <f t="shared" si="26"/>
        <v/>
      </c>
      <c r="CB57" s="479" t="str">
        <f t="shared" si="27"/>
        <v/>
      </c>
      <c r="CC57" s="479" t="str">
        <f t="shared" si="28"/>
        <v/>
      </c>
      <c r="CD57" s="479" t="str">
        <f t="shared" si="29"/>
        <v/>
      </c>
      <c r="CE57" s="479" t="str">
        <f t="shared" si="30"/>
        <v/>
      </c>
      <c r="CF57" s="479" t="str">
        <f t="shared" si="31"/>
        <v/>
      </c>
      <c r="CG57" s="479" t="str">
        <f t="shared" si="32"/>
        <v/>
      </c>
      <c r="CH57" s="480">
        <f t="shared" si="36"/>
        <v>0</v>
      </c>
      <c r="DD57" s="497" cm="1">
        <f t="array" ref="DD57">_xlfn.IFS('Project Inputs'!$F$150&lt;&gt;"Yes",0,DE57=18,0,DE57&lt;&gt;18,SUM(DF57:DG57))</f>
        <v>0</v>
      </c>
      <c r="DE57" s="31">
        <f t="shared" si="37"/>
        <v>18</v>
      </c>
      <c r="DF57" s="31">
        <f t="shared" si="38"/>
        <v>0</v>
      </c>
      <c r="DG57" s="31">
        <f t="shared" si="39"/>
        <v>0</v>
      </c>
    </row>
    <row r="58" spans="1:111" hidden="1" outlineLevel="1">
      <c r="A58" s="22" t="str">
        <f t="shared" si="33"/>
        <v/>
      </c>
      <c r="B58" s="474" t="str">
        <f>_xlfn.LET(_xlpm.x,'Diversion and Disposal'!D54,IF(OR(LEN(_xlpm.x)&lt;1,_xlpm.x=0),"",_xlpm.x))</f>
        <v/>
      </c>
      <c r="C58" s="475" t="str">
        <f>_xlfn.LET(_xlpm.x,'Diversion and Disposal'!E54,IF(OR(LEN(_xlpm.x)&lt;1,_xlpm.x=0),"",_xlpm.x))</f>
        <v/>
      </c>
      <c r="D58" s="475" t="str">
        <f>_xlfn.LET(_xlpm.x,'Diversion and Disposal'!F54,IF(OR(LEN(_xlpm.x)&lt;1,_xlpm.x=0),"",_xlpm.x))</f>
        <v/>
      </c>
      <c r="E58" s="475" t="str">
        <f>_xlfn.LET(_xlpm.x,'Diversion and Disposal'!G54,IF(OR(LEN(_xlpm.x)&lt;1,_xlpm.x=0),"",_xlpm.x))</f>
        <v/>
      </c>
      <c r="F58" s="407"/>
      <c r="G58" s="511"/>
      <c r="H58" s="514" t="str">
        <f>_xlfn.LET(_xlpm.x,'Diversion and Disposal'!H54,IF(OR(LEN(_xlpm.x)&lt;1,_xlpm.x=0),"",_xlpm.x))</f>
        <v/>
      </c>
      <c r="I58" s="514" t="str">
        <f>_xlfn.LET(_xlpm.x,'Diversion and Disposal'!I54,IF(OR(LEN(_xlpm.x)&lt;1,_xlpm.x=0),"",_xlpm.x))</f>
        <v/>
      </c>
      <c r="J58" s="514" t="str">
        <f>_xlfn.LET(_xlpm.x,'Diversion and Disposal'!J54,IF(OR(LEN(_xlpm.x)&lt;1,_xlpm.x=0),"",_xlpm.x))</f>
        <v/>
      </c>
      <c r="K58" s="514" t="str">
        <f>_xlfn.LET(_xlpm.x,'Diversion and Disposal'!K54,IF(OR(LEN(_xlpm.x)&lt;1,_xlpm.x=0),"",_xlpm.x))</f>
        <v/>
      </c>
      <c r="L58" s="514" t="str">
        <f>_xlfn.LET(_xlpm.x,'Diversion and Disposal'!L54,IF(OR(LEN(_xlpm.x)&lt;1,_xlpm.x=0),"",_xlpm.x))</f>
        <v/>
      </c>
      <c r="M58" s="514" t="str">
        <f>_xlfn.LET(_xlpm.x,'Diversion and Disposal'!M54,IF(OR(LEN(_xlpm.x)&lt;1,_xlpm.x=0),"",_xlpm.x))</f>
        <v/>
      </c>
      <c r="N58" s="514" t="str">
        <f>_xlfn.LET(_xlpm.x,'Diversion and Disposal'!N54,IF(OR(LEN(_xlpm.x)&lt;1,_xlpm.x=0),"",_xlpm.x))</f>
        <v/>
      </c>
      <c r="O58" s="514" t="str">
        <f>_xlfn.LET(_xlpm.x,'Diversion and Disposal'!O54,IF(OR(LEN(_xlpm.x)&lt;1,_xlpm.x=0),"",_xlpm.x))</f>
        <v/>
      </c>
      <c r="P58" s="514" t="str">
        <f>_xlfn.LET(_xlpm.x,'Diversion and Disposal'!P54,IF(OR(LEN(_xlpm.x)&lt;1,_xlpm.x=0),"",_xlpm.x))</f>
        <v/>
      </c>
      <c r="Q58" s="514" t="str">
        <f>_xlfn.LET(_xlpm.x,'Diversion and Disposal'!Q54,IF(OR(LEN(_xlpm.x)&lt;1,_xlpm.x=0),"",_xlpm.x))</f>
        <v/>
      </c>
      <c r="R58" s="514" t="str">
        <f>_xlfn.LET(_xlpm.x,'Diversion and Disposal'!R54,IF(OR(LEN(_xlpm.x)&lt;1,_xlpm.x=0),"",_xlpm.x))</f>
        <v/>
      </c>
      <c r="S58" s="514" t="str">
        <f>_xlfn.LET(_xlpm.x,'Diversion and Disposal'!S54,IF(OR(LEN(_xlpm.x)&lt;1,_xlpm.x=0),"",_xlpm.x))</f>
        <v/>
      </c>
      <c r="T58" s="513">
        <f t="shared" si="42"/>
        <v>0</v>
      </c>
      <c r="BB58" s="432" t="str">
        <f t="shared" si="43"/>
        <v/>
      </c>
      <c r="BC58" s="432" t="str">
        <f t="shared" si="4"/>
        <v/>
      </c>
      <c r="BD58" s="432" t="str">
        <f t="shared" si="44"/>
        <v/>
      </c>
      <c r="BE58" s="432" t="str">
        <f t="shared" si="6"/>
        <v/>
      </c>
      <c r="BF58" s="432" t="str">
        <f t="shared" si="7"/>
        <v/>
      </c>
      <c r="BG58" s="477" t="str">
        <f t="shared" si="45"/>
        <v/>
      </c>
      <c r="BH58" s="477" t="str">
        <f t="shared" si="46"/>
        <v/>
      </c>
      <c r="BI58" s="477" t="str">
        <f t="shared" si="47"/>
        <v/>
      </c>
      <c r="BJ58" s="477" t="str">
        <f t="shared" si="48"/>
        <v/>
      </c>
      <c r="BK58" s="477" t="str">
        <f t="shared" si="49"/>
        <v/>
      </c>
      <c r="BL58" s="477" t="str">
        <f t="shared" si="50"/>
        <v/>
      </c>
      <c r="BM58" s="477" t="str">
        <f t="shared" si="51"/>
        <v/>
      </c>
      <c r="BN58" s="477" t="str">
        <f t="shared" si="52"/>
        <v/>
      </c>
      <c r="BO58" s="477" t="str">
        <f t="shared" si="53"/>
        <v/>
      </c>
      <c r="BP58" s="477" t="str">
        <f t="shared" si="54"/>
        <v/>
      </c>
      <c r="BQ58" s="477" t="str">
        <f t="shared" si="55"/>
        <v/>
      </c>
      <c r="BR58" s="477" t="str">
        <f t="shared" si="56"/>
        <v/>
      </c>
      <c r="BS58" s="477" t="str">
        <f t="shared" si="57"/>
        <v/>
      </c>
      <c r="BT58" s="435">
        <f t="shared" si="21"/>
        <v>0</v>
      </c>
      <c r="BU58" s="434" t="str">
        <f t="shared" si="58"/>
        <v/>
      </c>
      <c r="BV58" s="479" t="str">
        <f t="shared" si="35"/>
        <v/>
      </c>
      <c r="BW58" s="479" t="str">
        <f t="shared" si="22"/>
        <v/>
      </c>
      <c r="BX58" s="479" t="str">
        <f t="shared" si="23"/>
        <v/>
      </c>
      <c r="BY58" s="479" t="str">
        <f t="shared" si="24"/>
        <v/>
      </c>
      <c r="BZ58" s="479" t="str">
        <f t="shared" si="25"/>
        <v/>
      </c>
      <c r="CA58" s="479" t="str">
        <f t="shared" si="26"/>
        <v/>
      </c>
      <c r="CB58" s="479" t="str">
        <f t="shared" si="27"/>
        <v/>
      </c>
      <c r="CC58" s="479" t="str">
        <f t="shared" si="28"/>
        <v/>
      </c>
      <c r="CD58" s="479" t="str">
        <f t="shared" si="29"/>
        <v/>
      </c>
      <c r="CE58" s="479" t="str">
        <f t="shared" si="30"/>
        <v/>
      </c>
      <c r="CF58" s="479" t="str">
        <f t="shared" si="31"/>
        <v/>
      </c>
      <c r="CG58" s="479" t="str">
        <f t="shared" si="32"/>
        <v/>
      </c>
      <c r="CH58" s="480">
        <f t="shared" si="36"/>
        <v>0</v>
      </c>
      <c r="DD58" s="497" cm="1">
        <f t="array" ref="DD58">_xlfn.IFS('Project Inputs'!$F$150&lt;&gt;"Yes",0,DE58=18,0,DE58&lt;&gt;18,SUM(DF58:DG58))</f>
        <v>0</v>
      </c>
      <c r="DE58" s="31">
        <f t="shared" si="37"/>
        <v>18</v>
      </c>
      <c r="DF58" s="31">
        <f t="shared" si="38"/>
        <v>0</v>
      </c>
      <c r="DG58" s="31">
        <f t="shared" si="39"/>
        <v>0</v>
      </c>
    </row>
    <row r="59" spans="1:111" hidden="1" outlineLevel="1">
      <c r="A59" s="22" t="str">
        <f t="shared" si="33"/>
        <v/>
      </c>
      <c r="B59" s="474" t="str">
        <f>_xlfn.LET(_xlpm.x,'Diversion and Disposal'!D55,IF(OR(LEN(_xlpm.x)&lt;1,_xlpm.x=0),"",_xlpm.x))</f>
        <v/>
      </c>
      <c r="C59" s="475" t="str">
        <f>_xlfn.LET(_xlpm.x,'Diversion and Disposal'!E55,IF(OR(LEN(_xlpm.x)&lt;1,_xlpm.x=0),"",_xlpm.x))</f>
        <v/>
      </c>
      <c r="D59" s="475" t="str">
        <f>_xlfn.LET(_xlpm.x,'Diversion and Disposal'!F55,IF(OR(LEN(_xlpm.x)&lt;1,_xlpm.x=0),"",_xlpm.x))</f>
        <v/>
      </c>
      <c r="E59" s="475" t="str">
        <f>_xlfn.LET(_xlpm.x,'Diversion and Disposal'!G55,IF(OR(LEN(_xlpm.x)&lt;1,_xlpm.x=0),"",_xlpm.x))</f>
        <v/>
      </c>
      <c r="F59" s="407"/>
      <c r="G59" s="511"/>
      <c r="H59" s="514" t="str">
        <f>_xlfn.LET(_xlpm.x,'Diversion and Disposal'!H55,IF(OR(LEN(_xlpm.x)&lt;1,_xlpm.x=0),"",_xlpm.x))</f>
        <v/>
      </c>
      <c r="I59" s="514" t="str">
        <f>_xlfn.LET(_xlpm.x,'Diversion and Disposal'!I55,IF(OR(LEN(_xlpm.x)&lt;1,_xlpm.x=0),"",_xlpm.x))</f>
        <v/>
      </c>
      <c r="J59" s="514" t="str">
        <f>_xlfn.LET(_xlpm.x,'Diversion and Disposal'!J55,IF(OR(LEN(_xlpm.x)&lt;1,_xlpm.x=0),"",_xlpm.x))</f>
        <v/>
      </c>
      <c r="K59" s="514" t="str">
        <f>_xlfn.LET(_xlpm.x,'Diversion and Disposal'!K55,IF(OR(LEN(_xlpm.x)&lt;1,_xlpm.x=0),"",_xlpm.x))</f>
        <v/>
      </c>
      <c r="L59" s="514" t="str">
        <f>_xlfn.LET(_xlpm.x,'Diversion and Disposal'!L55,IF(OR(LEN(_xlpm.x)&lt;1,_xlpm.x=0),"",_xlpm.x))</f>
        <v/>
      </c>
      <c r="M59" s="514" t="str">
        <f>_xlfn.LET(_xlpm.x,'Diversion and Disposal'!M55,IF(OR(LEN(_xlpm.x)&lt;1,_xlpm.x=0),"",_xlpm.x))</f>
        <v/>
      </c>
      <c r="N59" s="514" t="str">
        <f>_xlfn.LET(_xlpm.x,'Diversion and Disposal'!N55,IF(OR(LEN(_xlpm.x)&lt;1,_xlpm.x=0),"",_xlpm.x))</f>
        <v/>
      </c>
      <c r="O59" s="514" t="str">
        <f>_xlfn.LET(_xlpm.x,'Diversion and Disposal'!O55,IF(OR(LEN(_xlpm.x)&lt;1,_xlpm.x=0),"",_xlpm.x))</f>
        <v/>
      </c>
      <c r="P59" s="514" t="str">
        <f>_xlfn.LET(_xlpm.x,'Diversion and Disposal'!P55,IF(OR(LEN(_xlpm.x)&lt;1,_xlpm.x=0),"",_xlpm.x))</f>
        <v/>
      </c>
      <c r="Q59" s="514" t="str">
        <f>_xlfn.LET(_xlpm.x,'Diversion and Disposal'!Q55,IF(OR(LEN(_xlpm.x)&lt;1,_xlpm.x=0),"",_xlpm.x))</f>
        <v/>
      </c>
      <c r="R59" s="514" t="str">
        <f>_xlfn.LET(_xlpm.x,'Diversion and Disposal'!R55,IF(OR(LEN(_xlpm.x)&lt;1,_xlpm.x=0),"",_xlpm.x))</f>
        <v/>
      </c>
      <c r="S59" s="514" t="str">
        <f>_xlfn.LET(_xlpm.x,'Diversion and Disposal'!S55,IF(OR(LEN(_xlpm.x)&lt;1,_xlpm.x=0),"",_xlpm.x))</f>
        <v/>
      </c>
      <c r="T59" s="513">
        <f t="shared" si="42"/>
        <v>0</v>
      </c>
      <c r="BB59" s="432" t="str">
        <f t="shared" si="43"/>
        <v/>
      </c>
      <c r="BC59" s="432" t="str">
        <f t="shared" si="4"/>
        <v/>
      </c>
      <c r="BD59" s="432" t="str">
        <f t="shared" si="44"/>
        <v/>
      </c>
      <c r="BE59" s="432" t="str">
        <f t="shared" si="6"/>
        <v/>
      </c>
      <c r="BF59" s="432" t="str">
        <f t="shared" si="7"/>
        <v/>
      </c>
      <c r="BG59" s="477" t="str">
        <f t="shared" si="45"/>
        <v/>
      </c>
      <c r="BH59" s="477" t="str">
        <f t="shared" si="46"/>
        <v/>
      </c>
      <c r="BI59" s="477" t="str">
        <f t="shared" si="47"/>
        <v/>
      </c>
      <c r="BJ59" s="477" t="str">
        <f t="shared" si="48"/>
        <v/>
      </c>
      <c r="BK59" s="477" t="str">
        <f t="shared" si="49"/>
        <v/>
      </c>
      <c r="BL59" s="477" t="str">
        <f t="shared" si="50"/>
        <v/>
      </c>
      <c r="BM59" s="477" t="str">
        <f t="shared" si="51"/>
        <v/>
      </c>
      <c r="BN59" s="477" t="str">
        <f t="shared" si="52"/>
        <v/>
      </c>
      <c r="BO59" s="477" t="str">
        <f t="shared" si="53"/>
        <v/>
      </c>
      <c r="BP59" s="477" t="str">
        <f t="shared" si="54"/>
        <v/>
      </c>
      <c r="BQ59" s="477" t="str">
        <f t="shared" si="55"/>
        <v/>
      </c>
      <c r="BR59" s="477" t="str">
        <f t="shared" si="56"/>
        <v/>
      </c>
      <c r="BS59" s="477" t="str">
        <f t="shared" si="57"/>
        <v/>
      </c>
      <c r="BT59" s="435">
        <f t="shared" si="21"/>
        <v>0</v>
      </c>
      <c r="BU59" s="434" t="str">
        <f t="shared" si="58"/>
        <v/>
      </c>
      <c r="BV59" s="479" t="str">
        <f t="shared" si="35"/>
        <v/>
      </c>
      <c r="BW59" s="479" t="str">
        <f t="shared" si="22"/>
        <v/>
      </c>
      <c r="BX59" s="479" t="str">
        <f t="shared" si="23"/>
        <v/>
      </c>
      <c r="BY59" s="479" t="str">
        <f t="shared" si="24"/>
        <v/>
      </c>
      <c r="BZ59" s="479" t="str">
        <f t="shared" si="25"/>
        <v/>
      </c>
      <c r="CA59" s="479" t="str">
        <f t="shared" si="26"/>
        <v/>
      </c>
      <c r="CB59" s="479" t="str">
        <f t="shared" si="27"/>
        <v/>
      </c>
      <c r="CC59" s="479" t="str">
        <f t="shared" si="28"/>
        <v/>
      </c>
      <c r="CD59" s="479" t="str">
        <f t="shared" si="29"/>
        <v/>
      </c>
      <c r="CE59" s="479" t="str">
        <f t="shared" si="30"/>
        <v/>
      </c>
      <c r="CF59" s="479" t="str">
        <f t="shared" si="31"/>
        <v/>
      </c>
      <c r="CG59" s="479" t="str">
        <f t="shared" si="32"/>
        <v/>
      </c>
      <c r="CH59" s="480">
        <f t="shared" si="36"/>
        <v>0</v>
      </c>
      <c r="DD59" s="497" cm="1">
        <f t="array" ref="DD59">_xlfn.IFS('Project Inputs'!$F$150&lt;&gt;"Yes",0,DE59=18,0,DE59&lt;&gt;18,SUM(DF59:DG59))</f>
        <v>0</v>
      </c>
      <c r="DE59" s="31">
        <f t="shared" si="37"/>
        <v>18</v>
      </c>
      <c r="DF59" s="31">
        <f t="shared" si="38"/>
        <v>0</v>
      </c>
      <c r="DG59" s="31">
        <f t="shared" si="39"/>
        <v>0</v>
      </c>
    </row>
    <row r="60" spans="1:111" hidden="1" outlineLevel="1">
      <c r="A60" s="22" t="str">
        <f t="shared" si="33"/>
        <v/>
      </c>
      <c r="B60" s="474" t="str">
        <f>_xlfn.LET(_xlpm.x,'Diversion and Disposal'!D56,IF(OR(LEN(_xlpm.x)&lt;1,_xlpm.x=0),"",_xlpm.x))</f>
        <v/>
      </c>
      <c r="C60" s="475" t="str">
        <f>_xlfn.LET(_xlpm.x,'Diversion and Disposal'!E56,IF(OR(LEN(_xlpm.x)&lt;1,_xlpm.x=0),"",_xlpm.x))</f>
        <v/>
      </c>
      <c r="D60" s="475" t="str">
        <f>_xlfn.LET(_xlpm.x,'Diversion and Disposal'!F56,IF(OR(LEN(_xlpm.x)&lt;1,_xlpm.x=0),"",_xlpm.x))</f>
        <v/>
      </c>
      <c r="E60" s="475" t="str">
        <f>_xlfn.LET(_xlpm.x,'Diversion and Disposal'!G56,IF(OR(LEN(_xlpm.x)&lt;1,_xlpm.x=0),"",_xlpm.x))</f>
        <v/>
      </c>
      <c r="F60" s="407"/>
      <c r="G60" s="511"/>
      <c r="H60" s="514" t="str">
        <f>_xlfn.LET(_xlpm.x,'Diversion and Disposal'!H56,IF(OR(LEN(_xlpm.x)&lt;1,_xlpm.x=0),"",_xlpm.x))</f>
        <v/>
      </c>
      <c r="I60" s="514" t="str">
        <f>_xlfn.LET(_xlpm.x,'Diversion and Disposal'!I56,IF(OR(LEN(_xlpm.x)&lt;1,_xlpm.x=0),"",_xlpm.x))</f>
        <v/>
      </c>
      <c r="J60" s="514" t="str">
        <f>_xlfn.LET(_xlpm.x,'Diversion and Disposal'!J56,IF(OR(LEN(_xlpm.x)&lt;1,_xlpm.x=0),"",_xlpm.x))</f>
        <v/>
      </c>
      <c r="K60" s="514" t="str">
        <f>_xlfn.LET(_xlpm.x,'Diversion and Disposal'!K56,IF(OR(LEN(_xlpm.x)&lt;1,_xlpm.x=0),"",_xlpm.x))</f>
        <v/>
      </c>
      <c r="L60" s="514" t="str">
        <f>_xlfn.LET(_xlpm.x,'Diversion and Disposal'!L56,IF(OR(LEN(_xlpm.x)&lt;1,_xlpm.x=0),"",_xlpm.x))</f>
        <v/>
      </c>
      <c r="M60" s="514" t="str">
        <f>_xlfn.LET(_xlpm.x,'Diversion and Disposal'!M56,IF(OR(LEN(_xlpm.x)&lt;1,_xlpm.x=0),"",_xlpm.x))</f>
        <v/>
      </c>
      <c r="N60" s="514" t="str">
        <f>_xlfn.LET(_xlpm.x,'Diversion and Disposal'!N56,IF(OR(LEN(_xlpm.x)&lt;1,_xlpm.x=0),"",_xlpm.x))</f>
        <v/>
      </c>
      <c r="O60" s="514" t="str">
        <f>_xlfn.LET(_xlpm.x,'Diversion and Disposal'!O56,IF(OR(LEN(_xlpm.x)&lt;1,_xlpm.x=0),"",_xlpm.x))</f>
        <v/>
      </c>
      <c r="P60" s="514" t="str">
        <f>_xlfn.LET(_xlpm.x,'Diversion and Disposal'!P56,IF(OR(LEN(_xlpm.x)&lt;1,_xlpm.x=0),"",_xlpm.x))</f>
        <v/>
      </c>
      <c r="Q60" s="514" t="str">
        <f>_xlfn.LET(_xlpm.x,'Diversion and Disposal'!Q56,IF(OR(LEN(_xlpm.x)&lt;1,_xlpm.x=0),"",_xlpm.x))</f>
        <v/>
      </c>
      <c r="R60" s="514" t="str">
        <f>_xlfn.LET(_xlpm.x,'Diversion and Disposal'!R56,IF(OR(LEN(_xlpm.x)&lt;1,_xlpm.x=0),"",_xlpm.x))</f>
        <v/>
      </c>
      <c r="S60" s="514" t="str">
        <f>_xlfn.LET(_xlpm.x,'Diversion and Disposal'!S56,IF(OR(LEN(_xlpm.x)&lt;1,_xlpm.x=0),"",_xlpm.x))</f>
        <v/>
      </c>
      <c r="T60" s="513">
        <f t="shared" si="42"/>
        <v>0</v>
      </c>
      <c r="BB60" s="432" t="str">
        <f t="shared" si="43"/>
        <v/>
      </c>
      <c r="BC60" s="432" t="str">
        <f t="shared" si="4"/>
        <v/>
      </c>
      <c r="BD60" s="432" t="str">
        <f t="shared" si="44"/>
        <v/>
      </c>
      <c r="BE60" s="432" t="str">
        <f t="shared" si="6"/>
        <v/>
      </c>
      <c r="BF60" s="432" t="str">
        <f t="shared" si="7"/>
        <v/>
      </c>
      <c r="BG60" s="477" t="str">
        <f t="shared" si="45"/>
        <v/>
      </c>
      <c r="BH60" s="477" t="str">
        <f t="shared" si="46"/>
        <v/>
      </c>
      <c r="BI60" s="477" t="str">
        <f t="shared" si="47"/>
        <v/>
      </c>
      <c r="BJ60" s="477" t="str">
        <f t="shared" si="48"/>
        <v/>
      </c>
      <c r="BK60" s="477" t="str">
        <f t="shared" si="49"/>
        <v/>
      </c>
      <c r="BL60" s="477" t="str">
        <f t="shared" si="50"/>
        <v/>
      </c>
      <c r="BM60" s="477" t="str">
        <f t="shared" si="51"/>
        <v/>
      </c>
      <c r="BN60" s="477" t="str">
        <f t="shared" si="52"/>
        <v/>
      </c>
      <c r="BO60" s="477" t="str">
        <f t="shared" si="53"/>
        <v/>
      </c>
      <c r="BP60" s="477" t="str">
        <f t="shared" si="54"/>
        <v/>
      </c>
      <c r="BQ60" s="477" t="str">
        <f t="shared" si="55"/>
        <v/>
      </c>
      <c r="BR60" s="477" t="str">
        <f t="shared" si="56"/>
        <v/>
      </c>
      <c r="BS60" s="477" t="str">
        <f t="shared" si="57"/>
        <v/>
      </c>
      <c r="BT60" s="435">
        <f t="shared" si="21"/>
        <v>0</v>
      </c>
      <c r="BU60" s="434" t="str">
        <f t="shared" si="58"/>
        <v/>
      </c>
      <c r="BV60" s="479" t="str">
        <f t="shared" si="35"/>
        <v/>
      </c>
      <c r="BW60" s="479" t="str">
        <f t="shared" si="22"/>
        <v/>
      </c>
      <c r="BX60" s="479" t="str">
        <f t="shared" si="23"/>
        <v/>
      </c>
      <c r="BY60" s="479" t="str">
        <f t="shared" si="24"/>
        <v/>
      </c>
      <c r="BZ60" s="479" t="str">
        <f t="shared" si="25"/>
        <v/>
      </c>
      <c r="CA60" s="479" t="str">
        <f t="shared" si="26"/>
        <v/>
      </c>
      <c r="CB60" s="479" t="str">
        <f t="shared" si="27"/>
        <v/>
      </c>
      <c r="CC60" s="479" t="str">
        <f t="shared" si="28"/>
        <v/>
      </c>
      <c r="CD60" s="479" t="str">
        <f t="shared" si="29"/>
        <v/>
      </c>
      <c r="CE60" s="479" t="str">
        <f t="shared" si="30"/>
        <v/>
      </c>
      <c r="CF60" s="479" t="str">
        <f t="shared" si="31"/>
        <v/>
      </c>
      <c r="CG60" s="479" t="str">
        <f t="shared" si="32"/>
        <v/>
      </c>
      <c r="CH60" s="480">
        <f t="shared" si="36"/>
        <v>0</v>
      </c>
      <c r="DD60" s="497" cm="1">
        <f t="array" ref="DD60">_xlfn.IFS('Project Inputs'!$F$150&lt;&gt;"Yes",0,DE60=18,0,DE60&lt;&gt;18,SUM(DF60:DG60))</f>
        <v>0</v>
      </c>
      <c r="DE60" s="31">
        <f t="shared" si="37"/>
        <v>18</v>
      </c>
      <c r="DF60" s="31">
        <f t="shared" si="38"/>
        <v>0</v>
      </c>
      <c r="DG60" s="31">
        <f t="shared" si="39"/>
        <v>0</v>
      </c>
    </row>
    <row r="61" spans="1:111" hidden="1" outlineLevel="1">
      <c r="A61" s="22" t="str">
        <f t="shared" si="33"/>
        <v/>
      </c>
      <c r="B61" s="474" t="str">
        <f>_xlfn.LET(_xlpm.x,'Diversion and Disposal'!D57,IF(OR(LEN(_xlpm.x)&lt;1,_xlpm.x=0),"",_xlpm.x))</f>
        <v/>
      </c>
      <c r="C61" s="475" t="str">
        <f>_xlfn.LET(_xlpm.x,'Diversion and Disposal'!E57,IF(OR(LEN(_xlpm.x)&lt;1,_xlpm.x=0),"",_xlpm.x))</f>
        <v/>
      </c>
      <c r="D61" s="475" t="str">
        <f>_xlfn.LET(_xlpm.x,'Diversion and Disposal'!F57,IF(OR(LEN(_xlpm.x)&lt;1,_xlpm.x=0),"",_xlpm.x))</f>
        <v/>
      </c>
      <c r="E61" s="475" t="str">
        <f>_xlfn.LET(_xlpm.x,'Diversion and Disposal'!G57,IF(OR(LEN(_xlpm.x)&lt;1,_xlpm.x=0),"",_xlpm.x))</f>
        <v/>
      </c>
      <c r="F61" s="407"/>
      <c r="G61" s="511"/>
      <c r="H61" s="514" t="str">
        <f>_xlfn.LET(_xlpm.x,'Diversion and Disposal'!H57,IF(OR(LEN(_xlpm.x)&lt;1,_xlpm.x=0),"",_xlpm.x))</f>
        <v/>
      </c>
      <c r="I61" s="514" t="str">
        <f>_xlfn.LET(_xlpm.x,'Diversion and Disposal'!I57,IF(OR(LEN(_xlpm.x)&lt;1,_xlpm.x=0),"",_xlpm.x))</f>
        <v/>
      </c>
      <c r="J61" s="514" t="str">
        <f>_xlfn.LET(_xlpm.x,'Diversion and Disposal'!J57,IF(OR(LEN(_xlpm.x)&lt;1,_xlpm.x=0),"",_xlpm.x))</f>
        <v/>
      </c>
      <c r="K61" s="514" t="str">
        <f>_xlfn.LET(_xlpm.x,'Diversion and Disposal'!K57,IF(OR(LEN(_xlpm.x)&lt;1,_xlpm.x=0),"",_xlpm.x))</f>
        <v/>
      </c>
      <c r="L61" s="514" t="str">
        <f>_xlfn.LET(_xlpm.x,'Diversion and Disposal'!L57,IF(OR(LEN(_xlpm.x)&lt;1,_xlpm.x=0),"",_xlpm.x))</f>
        <v/>
      </c>
      <c r="M61" s="514" t="str">
        <f>_xlfn.LET(_xlpm.x,'Diversion and Disposal'!M57,IF(OR(LEN(_xlpm.x)&lt;1,_xlpm.x=0),"",_xlpm.x))</f>
        <v/>
      </c>
      <c r="N61" s="514" t="str">
        <f>_xlfn.LET(_xlpm.x,'Diversion and Disposal'!N57,IF(OR(LEN(_xlpm.x)&lt;1,_xlpm.x=0),"",_xlpm.x))</f>
        <v/>
      </c>
      <c r="O61" s="514" t="str">
        <f>_xlfn.LET(_xlpm.x,'Diversion and Disposal'!O57,IF(OR(LEN(_xlpm.x)&lt;1,_xlpm.x=0),"",_xlpm.x))</f>
        <v/>
      </c>
      <c r="P61" s="514" t="str">
        <f>_xlfn.LET(_xlpm.x,'Diversion and Disposal'!P57,IF(OR(LEN(_xlpm.x)&lt;1,_xlpm.x=0),"",_xlpm.x))</f>
        <v/>
      </c>
      <c r="Q61" s="514" t="str">
        <f>_xlfn.LET(_xlpm.x,'Diversion and Disposal'!Q57,IF(OR(LEN(_xlpm.x)&lt;1,_xlpm.x=0),"",_xlpm.x))</f>
        <v/>
      </c>
      <c r="R61" s="514" t="str">
        <f>_xlfn.LET(_xlpm.x,'Diversion and Disposal'!R57,IF(OR(LEN(_xlpm.x)&lt;1,_xlpm.x=0),"",_xlpm.x))</f>
        <v/>
      </c>
      <c r="S61" s="514" t="str">
        <f>_xlfn.LET(_xlpm.x,'Diversion and Disposal'!S57,IF(OR(LEN(_xlpm.x)&lt;1,_xlpm.x=0),"",_xlpm.x))</f>
        <v/>
      </c>
      <c r="T61" s="513">
        <f t="shared" si="42"/>
        <v>0</v>
      </c>
      <c r="BB61" s="432" t="str">
        <f t="shared" si="43"/>
        <v/>
      </c>
      <c r="BC61" s="432" t="str">
        <f t="shared" si="4"/>
        <v/>
      </c>
      <c r="BD61" s="432" t="str">
        <f t="shared" si="44"/>
        <v/>
      </c>
      <c r="BE61" s="432" t="str">
        <f t="shared" si="6"/>
        <v/>
      </c>
      <c r="BF61" s="432" t="str">
        <f t="shared" si="7"/>
        <v/>
      </c>
      <c r="BG61" s="477" t="str">
        <f t="shared" si="45"/>
        <v/>
      </c>
      <c r="BH61" s="477" t="str">
        <f t="shared" si="46"/>
        <v/>
      </c>
      <c r="BI61" s="477" t="str">
        <f t="shared" si="47"/>
        <v/>
      </c>
      <c r="BJ61" s="477" t="str">
        <f t="shared" si="48"/>
        <v/>
      </c>
      <c r="BK61" s="477" t="str">
        <f t="shared" si="49"/>
        <v/>
      </c>
      <c r="BL61" s="477" t="str">
        <f t="shared" si="50"/>
        <v/>
      </c>
      <c r="BM61" s="477" t="str">
        <f t="shared" si="51"/>
        <v/>
      </c>
      <c r="BN61" s="477" t="str">
        <f t="shared" si="52"/>
        <v/>
      </c>
      <c r="BO61" s="477" t="str">
        <f t="shared" si="53"/>
        <v/>
      </c>
      <c r="BP61" s="477" t="str">
        <f t="shared" si="54"/>
        <v/>
      </c>
      <c r="BQ61" s="477" t="str">
        <f t="shared" si="55"/>
        <v/>
      </c>
      <c r="BR61" s="477" t="str">
        <f t="shared" si="56"/>
        <v/>
      </c>
      <c r="BS61" s="477" t="str">
        <f t="shared" si="57"/>
        <v/>
      </c>
      <c r="BT61" s="435">
        <f t="shared" si="21"/>
        <v>0</v>
      </c>
      <c r="BU61" s="434" t="str">
        <f t="shared" si="58"/>
        <v/>
      </c>
      <c r="BV61" s="479" t="str">
        <f t="shared" si="35"/>
        <v/>
      </c>
      <c r="BW61" s="479" t="str">
        <f t="shared" si="22"/>
        <v/>
      </c>
      <c r="BX61" s="479" t="str">
        <f t="shared" si="23"/>
        <v/>
      </c>
      <c r="BY61" s="479" t="str">
        <f t="shared" si="24"/>
        <v/>
      </c>
      <c r="BZ61" s="479" t="str">
        <f t="shared" si="25"/>
        <v/>
      </c>
      <c r="CA61" s="479" t="str">
        <f t="shared" si="26"/>
        <v/>
      </c>
      <c r="CB61" s="479" t="str">
        <f t="shared" si="27"/>
        <v/>
      </c>
      <c r="CC61" s="479" t="str">
        <f t="shared" si="28"/>
        <v/>
      </c>
      <c r="CD61" s="479" t="str">
        <f t="shared" si="29"/>
        <v/>
      </c>
      <c r="CE61" s="479" t="str">
        <f t="shared" si="30"/>
        <v/>
      </c>
      <c r="CF61" s="479" t="str">
        <f t="shared" si="31"/>
        <v/>
      </c>
      <c r="CG61" s="479" t="str">
        <f t="shared" si="32"/>
        <v/>
      </c>
      <c r="CH61" s="480">
        <f t="shared" si="36"/>
        <v>0</v>
      </c>
      <c r="DD61" s="497" cm="1">
        <f t="array" ref="DD61">_xlfn.IFS('Project Inputs'!$F$150&lt;&gt;"Yes",0,DE61=18,0,DE61&lt;&gt;18,SUM(DF61:DG61))</f>
        <v>0</v>
      </c>
      <c r="DE61" s="31">
        <f t="shared" si="37"/>
        <v>18</v>
      </c>
      <c r="DF61" s="31">
        <f t="shared" si="38"/>
        <v>0</v>
      </c>
      <c r="DG61" s="31">
        <f t="shared" si="39"/>
        <v>0</v>
      </c>
    </row>
    <row r="62" spans="1:111" hidden="1" outlineLevel="1">
      <c r="A62" s="22" t="str">
        <f t="shared" si="33"/>
        <v/>
      </c>
      <c r="B62" s="474" t="str">
        <f>_xlfn.LET(_xlpm.x,'Diversion and Disposal'!D58,IF(OR(LEN(_xlpm.x)&lt;1,_xlpm.x=0),"",_xlpm.x))</f>
        <v/>
      </c>
      <c r="C62" s="475" t="str">
        <f>_xlfn.LET(_xlpm.x,'Diversion and Disposal'!E58,IF(OR(LEN(_xlpm.x)&lt;1,_xlpm.x=0),"",_xlpm.x))</f>
        <v/>
      </c>
      <c r="D62" s="475" t="str">
        <f>_xlfn.LET(_xlpm.x,'Diversion and Disposal'!F58,IF(OR(LEN(_xlpm.x)&lt;1,_xlpm.x=0),"",_xlpm.x))</f>
        <v/>
      </c>
      <c r="E62" s="475" t="str">
        <f>_xlfn.LET(_xlpm.x,'Diversion and Disposal'!G58,IF(OR(LEN(_xlpm.x)&lt;1,_xlpm.x=0),"",_xlpm.x))</f>
        <v/>
      </c>
      <c r="F62" s="407"/>
      <c r="G62" s="511"/>
      <c r="H62" s="514" t="str">
        <f>_xlfn.LET(_xlpm.x,'Diversion and Disposal'!H58,IF(OR(LEN(_xlpm.x)&lt;1,_xlpm.x=0),"",_xlpm.x))</f>
        <v/>
      </c>
      <c r="I62" s="514" t="str">
        <f>_xlfn.LET(_xlpm.x,'Diversion and Disposal'!I58,IF(OR(LEN(_xlpm.x)&lt;1,_xlpm.x=0),"",_xlpm.x))</f>
        <v/>
      </c>
      <c r="J62" s="514" t="str">
        <f>_xlfn.LET(_xlpm.x,'Diversion and Disposal'!J58,IF(OR(LEN(_xlpm.x)&lt;1,_xlpm.x=0),"",_xlpm.x))</f>
        <v/>
      </c>
      <c r="K62" s="514" t="str">
        <f>_xlfn.LET(_xlpm.x,'Diversion and Disposal'!K58,IF(OR(LEN(_xlpm.x)&lt;1,_xlpm.x=0),"",_xlpm.x))</f>
        <v/>
      </c>
      <c r="L62" s="514" t="str">
        <f>_xlfn.LET(_xlpm.x,'Diversion and Disposal'!L58,IF(OR(LEN(_xlpm.x)&lt;1,_xlpm.x=0),"",_xlpm.x))</f>
        <v/>
      </c>
      <c r="M62" s="514" t="str">
        <f>_xlfn.LET(_xlpm.x,'Diversion and Disposal'!M58,IF(OR(LEN(_xlpm.x)&lt;1,_xlpm.x=0),"",_xlpm.x))</f>
        <v/>
      </c>
      <c r="N62" s="514" t="str">
        <f>_xlfn.LET(_xlpm.x,'Diversion and Disposal'!N58,IF(OR(LEN(_xlpm.x)&lt;1,_xlpm.x=0),"",_xlpm.x))</f>
        <v/>
      </c>
      <c r="O62" s="514" t="str">
        <f>_xlfn.LET(_xlpm.x,'Diversion and Disposal'!O58,IF(OR(LEN(_xlpm.x)&lt;1,_xlpm.x=0),"",_xlpm.x))</f>
        <v/>
      </c>
      <c r="P62" s="514" t="str">
        <f>_xlfn.LET(_xlpm.x,'Diversion and Disposal'!P58,IF(OR(LEN(_xlpm.x)&lt;1,_xlpm.x=0),"",_xlpm.x))</f>
        <v/>
      </c>
      <c r="Q62" s="514" t="str">
        <f>_xlfn.LET(_xlpm.x,'Diversion and Disposal'!Q58,IF(OR(LEN(_xlpm.x)&lt;1,_xlpm.x=0),"",_xlpm.x))</f>
        <v/>
      </c>
      <c r="R62" s="514" t="str">
        <f>_xlfn.LET(_xlpm.x,'Diversion and Disposal'!R58,IF(OR(LEN(_xlpm.x)&lt;1,_xlpm.x=0),"",_xlpm.x))</f>
        <v/>
      </c>
      <c r="S62" s="514" t="str">
        <f>_xlfn.LET(_xlpm.x,'Diversion and Disposal'!S58,IF(OR(LEN(_xlpm.x)&lt;1,_xlpm.x=0),"",_xlpm.x))</f>
        <v/>
      </c>
      <c r="T62" s="513">
        <f t="shared" si="42"/>
        <v>0</v>
      </c>
      <c r="BB62" s="432" t="str">
        <f t="shared" si="43"/>
        <v/>
      </c>
      <c r="BC62" s="432" t="str">
        <f t="shared" si="4"/>
        <v/>
      </c>
      <c r="BD62" s="432" t="str">
        <f t="shared" si="44"/>
        <v/>
      </c>
      <c r="BE62" s="432" t="str">
        <f t="shared" si="6"/>
        <v/>
      </c>
      <c r="BF62" s="432" t="str">
        <f t="shared" si="7"/>
        <v/>
      </c>
      <c r="BG62" s="477" t="str">
        <f t="shared" si="45"/>
        <v/>
      </c>
      <c r="BH62" s="477" t="str">
        <f t="shared" si="46"/>
        <v/>
      </c>
      <c r="BI62" s="477" t="str">
        <f t="shared" si="47"/>
        <v/>
      </c>
      <c r="BJ62" s="477" t="str">
        <f t="shared" si="48"/>
        <v/>
      </c>
      <c r="BK62" s="477" t="str">
        <f t="shared" si="49"/>
        <v/>
      </c>
      <c r="BL62" s="477" t="str">
        <f t="shared" si="50"/>
        <v/>
      </c>
      <c r="BM62" s="477" t="str">
        <f t="shared" si="51"/>
        <v/>
      </c>
      <c r="BN62" s="477" t="str">
        <f t="shared" si="52"/>
        <v/>
      </c>
      <c r="BO62" s="477" t="str">
        <f t="shared" si="53"/>
        <v/>
      </c>
      <c r="BP62" s="477" t="str">
        <f t="shared" si="54"/>
        <v/>
      </c>
      <c r="BQ62" s="477" t="str">
        <f t="shared" si="55"/>
        <v/>
      </c>
      <c r="BR62" s="477" t="str">
        <f t="shared" si="56"/>
        <v/>
      </c>
      <c r="BS62" s="477" t="str">
        <f t="shared" si="57"/>
        <v/>
      </c>
      <c r="BT62" s="435">
        <f t="shared" si="21"/>
        <v>0</v>
      </c>
      <c r="BU62" s="434" t="str">
        <f t="shared" si="58"/>
        <v/>
      </c>
      <c r="BV62" s="479" t="str">
        <f t="shared" si="35"/>
        <v/>
      </c>
      <c r="BW62" s="479" t="str">
        <f t="shared" si="22"/>
        <v/>
      </c>
      <c r="BX62" s="479" t="str">
        <f t="shared" si="23"/>
        <v/>
      </c>
      <c r="BY62" s="479" t="str">
        <f t="shared" si="24"/>
        <v/>
      </c>
      <c r="BZ62" s="479" t="str">
        <f t="shared" si="25"/>
        <v/>
      </c>
      <c r="CA62" s="479" t="str">
        <f t="shared" si="26"/>
        <v/>
      </c>
      <c r="CB62" s="479" t="str">
        <f t="shared" si="27"/>
        <v/>
      </c>
      <c r="CC62" s="479" t="str">
        <f t="shared" si="28"/>
        <v/>
      </c>
      <c r="CD62" s="479" t="str">
        <f t="shared" si="29"/>
        <v/>
      </c>
      <c r="CE62" s="479" t="str">
        <f t="shared" si="30"/>
        <v/>
      </c>
      <c r="CF62" s="479" t="str">
        <f t="shared" si="31"/>
        <v/>
      </c>
      <c r="CG62" s="479" t="str">
        <f t="shared" si="32"/>
        <v/>
      </c>
      <c r="CH62" s="480">
        <f t="shared" si="36"/>
        <v>0</v>
      </c>
      <c r="DD62" s="497" cm="1">
        <f t="array" ref="DD62">_xlfn.IFS('Project Inputs'!$F$150&lt;&gt;"Yes",0,DE62=18,0,DE62&lt;&gt;18,SUM(DF62:DG62))</f>
        <v>0</v>
      </c>
      <c r="DE62" s="31">
        <f t="shared" si="37"/>
        <v>18</v>
      </c>
      <c r="DF62" s="31">
        <f t="shared" si="38"/>
        <v>0</v>
      </c>
      <c r="DG62" s="31">
        <f t="shared" si="39"/>
        <v>0</v>
      </c>
    </row>
    <row r="63" spans="1:111" hidden="1" outlineLevel="1">
      <c r="A63" s="22" t="str">
        <f t="shared" si="33"/>
        <v/>
      </c>
      <c r="B63" s="474" t="str">
        <f>_xlfn.LET(_xlpm.x,'Diversion and Disposal'!D59,IF(OR(LEN(_xlpm.x)&lt;1,_xlpm.x=0),"",_xlpm.x))</f>
        <v/>
      </c>
      <c r="C63" s="475" t="str">
        <f>_xlfn.LET(_xlpm.x,'Diversion and Disposal'!E59,IF(OR(LEN(_xlpm.x)&lt;1,_xlpm.x=0),"",_xlpm.x))</f>
        <v/>
      </c>
      <c r="D63" s="475" t="str">
        <f>_xlfn.LET(_xlpm.x,'Diversion and Disposal'!F59,IF(OR(LEN(_xlpm.x)&lt;1,_xlpm.x=0),"",_xlpm.x))</f>
        <v/>
      </c>
      <c r="E63" s="475" t="str">
        <f>_xlfn.LET(_xlpm.x,'Diversion and Disposal'!G59,IF(OR(LEN(_xlpm.x)&lt;1,_xlpm.x=0),"",_xlpm.x))</f>
        <v/>
      </c>
      <c r="F63" s="407"/>
      <c r="G63" s="511"/>
      <c r="H63" s="514" t="str">
        <f>_xlfn.LET(_xlpm.x,'Diversion and Disposal'!H59,IF(OR(LEN(_xlpm.x)&lt;1,_xlpm.x=0),"",_xlpm.x))</f>
        <v/>
      </c>
      <c r="I63" s="514" t="str">
        <f>_xlfn.LET(_xlpm.x,'Diversion and Disposal'!I59,IF(OR(LEN(_xlpm.x)&lt;1,_xlpm.x=0),"",_xlpm.x))</f>
        <v/>
      </c>
      <c r="J63" s="514" t="str">
        <f>_xlfn.LET(_xlpm.x,'Diversion and Disposal'!J59,IF(OR(LEN(_xlpm.x)&lt;1,_xlpm.x=0),"",_xlpm.x))</f>
        <v/>
      </c>
      <c r="K63" s="514" t="str">
        <f>_xlfn.LET(_xlpm.x,'Diversion and Disposal'!K59,IF(OR(LEN(_xlpm.x)&lt;1,_xlpm.x=0),"",_xlpm.x))</f>
        <v/>
      </c>
      <c r="L63" s="514" t="str">
        <f>_xlfn.LET(_xlpm.x,'Diversion and Disposal'!L59,IF(OR(LEN(_xlpm.x)&lt;1,_xlpm.x=0),"",_xlpm.x))</f>
        <v/>
      </c>
      <c r="M63" s="514" t="str">
        <f>_xlfn.LET(_xlpm.x,'Diversion and Disposal'!M59,IF(OR(LEN(_xlpm.x)&lt;1,_xlpm.x=0),"",_xlpm.x))</f>
        <v/>
      </c>
      <c r="N63" s="514" t="str">
        <f>_xlfn.LET(_xlpm.x,'Diversion and Disposal'!N59,IF(OR(LEN(_xlpm.x)&lt;1,_xlpm.x=0),"",_xlpm.x))</f>
        <v/>
      </c>
      <c r="O63" s="514" t="str">
        <f>_xlfn.LET(_xlpm.x,'Diversion and Disposal'!O59,IF(OR(LEN(_xlpm.x)&lt;1,_xlpm.x=0),"",_xlpm.x))</f>
        <v/>
      </c>
      <c r="P63" s="514" t="str">
        <f>_xlfn.LET(_xlpm.x,'Diversion and Disposal'!P59,IF(OR(LEN(_xlpm.x)&lt;1,_xlpm.x=0),"",_xlpm.x))</f>
        <v/>
      </c>
      <c r="Q63" s="514" t="str">
        <f>_xlfn.LET(_xlpm.x,'Diversion and Disposal'!Q59,IF(OR(LEN(_xlpm.x)&lt;1,_xlpm.x=0),"",_xlpm.x))</f>
        <v/>
      </c>
      <c r="R63" s="514" t="str">
        <f>_xlfn.LET(_xlpm.x,'Diversion and Disposal'!R59,IF(OR(LEN(_xlpm.x)&lt;1,_xlpm.x=0),"",_xlpm.x))</f>
        <v/>
      </c>
      <c r="S63" s="514" t="str">
        <f>_xlfn.LET(_xlpm.x,'Diversion and Disposal'!S59,IF(OR(LEN(_xlpm.x)&lt;1,_xlpm.x=0),"",_xlpm.x))</f>
        <v/>
      </c>
      <c r="T63" s="513">
        <f t="shared" si="42"/>
        <v>0</v>
      </c>
      <c r="BB63" s="432" t="str">
        <f t="shared" si="43"/>
        <v/>
      </c>
      <c r="BC63" s="432" t="str">
        <f t="shared" si="4"/>
        <v/>
      </c>
      <c r="BD63" s="432" t="str">
        <f t="shared" si="44"/>
        <v/>
      </c>
      <c r="BE63" s="432" t="str">
        <f t="shared" si="6"/>
        <v/>
      </c>
      <c r="BF63" s="432" t="str">
        <f t="shared" si="7"/>
        <v/>
      </c>
      <c r="BG63" s="477" t="str">
        <f t="shared" si="45"/>
        <v/>
      </c>
      <c r="BH63" s="477" t="str">
        <f t="shared" si="46"/>
        <v/>
      </c>
      <c r="BI63" s="477" t="str">
        <f t="shared" si="47"/>
        <v/>
      </c>
      <c r="BJ63" s="477" t="str">
        <f t="shared" si="48"/>
        <v/>
      </c>
      <c r="BK63" s="477" t="str">
        <f t="shared" si="49"/>
        <v/>
      </c>
      <c r="BL63" s="477" t="str">
        <f t="shared" si="50"/>
        <v/>
      </c>
      <c r="BM63" s="477" t="str">
        <f t="shared" si="51"/>
        <v/>
      </c>
      <c r="BN63" s="477" t="str">
        <f t="shared" si="52"/>
        <v/>
      </c>
      <c r="BO63" s="477" t="str">
        <f t="shared" si="53"/>
        <v/>
      </c>
      <c r="BP63" s="477" t="str">
        <f t="shared" si="54"/>
        <v/>
      </c>
      <c r="BQ63" s="477" t="str">
        <f t="shared" si="55"/>
        <v/>
      </c>
      <c r="BR63" s="477" t="str">
        <f t="shared" si="56"/>
        <v/>
      </c>
      <c r="BS63" s="477" t="str">
        <f t="shared" si="57"/>
        <v/>
      </c>
      <c r="BT63" s="435">
        <f t="shared" si="21"/>
        <v>0</v>
      </c>
      <c r="BU63" s="434" t="str">
        <f t="shared" si="58"/>
        <v/>
      </c>
      <c r="BV63" s="479" t="str">
        <f t="shared" si="35"/>
        <v/>
      </c>
      <c r="BW63" s="479" t="str">
        <f t="shared" si="22"/>
        <v/>
      </c>
      <c r="BX63" s="479" t="str">
        <f t="shared" si="23"/>
        <v/>
      </c>
      <c r="BY63" s="479" t="str">
        <f t="shared" si="24"/>
        <v/>
      </c>
      <c r="BZ63" s="479" t="str">
        <f t="shared" si="25"/>
        <v/>
      </c>
      <c r="CA63" s="479" t="str">
        <f t="shared" si="26"/>
        <v/>
      </c>
      <c r="CB63" s="479" t="str">
        <f t="shared" si="27"/>
        <v/>
      </c>
      <c r="CC63" s="479" t="str">
        <f t="shared" si="28"/>
        <v/>
      </c>
      <c r="CD63" s="479" t="str">
        <f t="shared" si="29"/>
        <v/>
      </c>
      <c r="CE63" s="479" t="str">
        <f t="shared" si="30"/>
        <v/>
      </c>
      <c r="CF63" s="479" t="str">
        <f t="shared" si="31"/>
        <v/>
      </c>
      <c r="CG63" s="479" t="str">
        <f t="shared" si="32"/>
        <v/>
      </c>
      <c r="CH63" s="480">
        <f t="shared" si="36"/>
        <v>0</v>
      </c>
      <c r="DD63" s="497" cm="1">
        <f t="array" ref="DD63">_xlfn.IFS('Project Inputs'!$F$150&lt;&gt;"Yes",0,DE63=18,0,DE63&lt;&gt;18,SUM(DF63:DG63))</f>
        <v>0</v>
      </c>
      <c r="DE63" s="31">
        <f t="shared" si="37"/>
        <v>18</v>
      </c>
      <c r="DF63" s="31">
        <f t="shared" si="38"/>
        <v>0</v>
      </c>
      <c r="DG63" s="31">
        <f t="shared" si="39"/>
        <v>0</v>
      </c>
    </row>
    <row r="64" spans="1:111" hidden="1" outlineLevel="1">
      <c r="A64" s="22" t="str">
        <f t="shared" si="33"/>
        <v/>
      </c>
      <c r="B64" s="474" t="str">
        <f>_xlfn.LET(_xlpm.x,'Diversion and Disposal'!D60,IF(OR(LEN(_xlpm.x)&lt;1,_xlpm.x=0),"",_xlpm.x))</f>
        <v/>
      </c>
      <c r="C64" s="475" t="str">
        <f>_xlfn.LET(_xlpm.x,'Diversion and Disposal'!E60,IF(OR(LEN(_xlpm.x)&lt;1,_xlpm.x=0),"",_xlpm.x))</f>
        <v/>
      </c>
      <c r="D64" s="475" t="str">
        <f>_xlfn.LET(_xlpm.x,'Diversion and Disposal'!F60,IF(OR(LEN(_xlpm.x)&lt;1,_xlpm.x=0),"",_xlpm.x))</f>
        <v/>
      </c>
      <c r="E64" s="475" t="str">
        <f>_xlfn.LET(_xlpm.x,'Diversion and Disposal'!G60,IF(OR(LEN(_xlpm.x)&lt;1,_xlpm.x=0),"",_xlpm.x))</f>
        <v/>
      </c>
      <c r="F64" s="407"/>
      <c r="G64" s="511"/>
      <c r="H64" s="514" t="str">
        <f>_xlfn.LET(_xlpm.x,'Diversion and Disposal'!H60,IF(OR(LEN(_xlpm.x)&lt;1,_xlpm.x=0),"",_xlpm.x))</f>
        <v/>
      </c>
      <c r="I64" s="514" t="str">
        <f>_xlfn.LET(_xlpm.x,'Diversion and Disposal'!I60,IF(OR(LEN(_xlpm.x)&lt;1,_xlpm.x=0),"",_xlpm.x))</f>
        <v/>
      </c>
      <c r="J64" s="514" t="str">
        <f>_xlfn.LET(_xlpm.x,'Diversion and Disposal'!J60,IF(OR(LEN(_xlpm.x)&lt;1,_xlpm.x=0),"",_xlpm.x))</f>
        <v/>
      </c>
      <c r="K64" s="514" t="str">
        <f>_xlfn.LET(_xlpm.x,'Diversion and Disposal'!K60,IF(OR(LEN(_xlpm.x)&lt;1,_xlpm.x=0),"",_xlpm.x))</f>
        <v/>
      </c>
      <c r="L64" s="514" t="str">
        <f>_xlfn.LET(_xlpm.x,'Diversion and Disposal'!L60,IF(OR(LEN(_xlpm.x)&lt;1,_xlpm.x=0),"",_xlpm.x))</f>
        <v/>
      </c>
      <c r="M64" s="514" t="str">
        <f>_xlfn.LET(_xlpm.x,'Diversion and Disposal'!M60,IF(OR(LEN(_xlpm.x)&lt;1,_xlpm.x=0),"",_xlpm.x))</f>
        <v/>
      </c>
      <c r="N64" s="514" t="str">
        <f>_xlfn.LET(_xlpm.x,'Diversion and Disposal'!N60,IF(OR(LEN(_xlpm.x)&lt;1,_xlpm.x=0),"",_xlpm.x))</f>
        <v/>
      </c>
      <c r="O64" s="514" t="str">
        <f>_xlfn.LET(_xlpm.x,'Diversion and Disposal'!O60,IF(OR(LEN(_xlpm.x)&lt;1,_xlpm.x=0),"",_xlpm.x))</f>
        <v/>
      </c>
      <c r="P64" s="514" t="str">
        <f>_xlfn.LET(_xlpm.x,'Diversion and Disposal'!P60,IF(OR(LEN(_xlpm.x)&lt;1,_xlpm.x=0),"",_xlpm.x))</f>
        <v/>
      </c>
      <c r="Q64" s="514" t="str">
        <f>_xlfn.LET(_xlpm.x,'Diversion and Disposal'!Q60,IF(OR(LEN(_xlpm.x)&lt;1,_xlpm.x=0),"",_xlpm.x))</f>
        <v/>
      </c>
      <c r="R64" s="514" t="str">
        <f>_xlfn.LET(_xlpm.x,'Diversion and Disposal'!R60,IF(OR(LEN(_xlpm.x)&lt;1,_xlpm.x=0),"",_xlpm.x))</f>
        <v/>
      </c>
      <c r="S64" s="514" t="str">
        <f>_xlfn.LET(_xlpm.x,'Diversion and Disposal'!S60,IF(OR(LEN(_xlpm.x)&lt;1,_xlpm.x=0),"",_xlpm.x))</f>
        <v/>
      </c>
      <c r="T64" s="513">
        <f t="shared" si="42"/>
        <v>0</v>
      </c>
      <c r="BB64" s="432" t="str">
        <f t="shared" si="43"/>
        <v/>
      </c>
      <c r="BC64" s="432" t="str">
        <f t="shared" si="4"/>
        <v/>
      </c>
      <c r="BD64" s="432" t="str">
        <f t="shared" si="44"/>
        <v/>
      </c>
      <c r="BE64" s="432" t="str">
        <f t="shared" si="6"/>
        <v/>
      </c>
      <c r="BF64" s="432" t="str">
        <f t="shared" si="7"/>
        <v/>
      </c>
      <c r="BG64" s="477" t="str">
        <f t="shared" si="45"/>
        <v/>
      </c>
      <c r="BH64" s="477" t="str">
        <f t="shared" si="46"/>
        <v/>
      </c>
      <c r="BI64" s="477" t="str">
        <f t="shared" si="47"/>
        <v/>
      </c>
      <c r="BJ64" s="477" t="str">
        <f t="shared" si="48"/>
        <v/>
      </c>
      <c r="BK64" s="477" t="str">
        <f t="shared" si="49"/>
        <v/>
      </c>
      <c r="BL64" s="477" t="str">
        <f t="shared" si="50"/>
        <v/>
      </c>
      <c r="BM64" s="477" t="str">
        <f t="shared" si="51"/>
        <v/>
      </c>
      <c r="BN64" s="477" t="str">
        <f t="shared" si="52"/>
        <v/>
      </c>
      <c r="BO64" s="477" t="str">
        <f t="shared" si="53"/>
        <v/>
      </c>
      <c r="BP64" s="477" t="str">
        <f t="shared" si="54"/>
        <v/>
      </c>
      <c r="BQ64" s="477" t="str">
        <f t="shared" si="55"/>
        <v/>
      </c>
      <c r="BR64" s="477" t="str">
        <f t="shared" si="56"/>
        <v/>
      </c>
      <c r="BS64" s="477" t="str">
        <f t="shared" si="57"/>
        <v/>
      </c>
      <c r="BT64" s="435">
        <f t="shared" si="21"/>
        <v>0</v>
      </c>
      <c r="BU64" s="434" t="str">
        <f t="shared" si="58"/>
        <v/>
      </c>
      <c r="BV64" s="479" t="str">
        <f t="shared" si="35"/>
        <v/>
      </c>
      <c r="BW64" s="479" t="str">
        <f t="shared" si="22"/>
        <v/>
      </c>
      <c r="BX64" s="479" t="str">
        <f t="shared" si="23"/>
        <v/>
      </c>
      <c r="BY64" s="479" t="str">
        <f t="shared" si="24"/>
        <v/>
      </c>
      <c r="BZ64" s="479" t="str">
        <f t="shared" si="25"/>
        <v/>
      </c>
      <c r="CA64" s="479" t="str">
        <f t="shared" si="26"/>
        <v/>
      </c>
      <c r="CB64" s="479" t="str">
        <f t="shared" si="27"/>
        <v/>
      </c>
      <c r="CC64" s="479" t="str">
        <f t="shared" si="28"/>
        <v/>
      </c>
      <c r="CD64" s="479" t="str">
        <f t="shared" si="29"/>
        <v/>
      </c>
      <c r="CE64" s="479" t="str">
        <f t="shared" si="30"/>
        <v/>
      </c>
      <c r="CF64" s="479" t="str">
        <f t="shared" si="31"/>
        <v/>
      </c>
      <c r="CG64" s="479" t="str">
        <f t="shared" si="32"/>
        <v/>
      </c>
      <c r="CH64" s="480">
        <f t="shared" si="36"/>
        <v>0</v>
      </c>
      <c r="DD64" s="497" cm="1">
        <f t="array" ref="DD64">_xlfn.IFS('Project Inputs'!$F$150&lt;&gt;"Yes",0,DE64=18,0,DE64&lt;&gt;18,SUM(DF64:DG64))</f>
        <v>0</v>
      </c>
      <c r="DE64" s="31">
        <f t="shared" si="37"/>
        <v>18</v>
      </c>
      <c r="DF64" s="31">
        <f t="shared" si="38"/>
        <v>0</v>
      </c>
      <c r="DG64" s="31">
        <f t="shared" si="39"/>
        <v>0</v>
      </c>
    </row>
    <row r="65" spans="1:111" hidden="1" outlineLevel="1">
      <c r="A65" s="22" t="str">
        <f t="shared" si="33"/>
        <v/>
      </c>
      <c r="B65" s="474" t="str">
        <f>_xlfn.LET(_xlpm.x,'Diversion and Disposal'!D61,IF(OR(LEN(_xlpm.x)&lt;1,_xlpm.x=0),"",_xlpm.x))</f>
        <v/>
      </c>
      <c r="C65" s="475" t="str">
        <f>_xlfn.LET(_xlpm.x,'Diversion and Disposal'!E61,IF(OR(LEN(_xlpm.x)&lt;1,_xlpm.x=0),"",_xlpm.x))</f>
        <v/>
      </c>
      <c r="D65" s="475" t="str">
        <f>_xlfn.LET(_xlpm.x,'Diversion and Disposal'!F61,IF(OR(LEN(_xlpm.x)&lt;1,_xlpm.x=0),"",_xlpm.x))</f>
        <v/>
      </c>
      <c r="E65" s="475" t="str">
        <f>_xlfn.LET(_xlpm.x,'Diversion and Disposal'!G61,IF(OR(LEN(_xlpm.x)&lt;1,_xlpm.x=0),"",_xlpm.x))</f>
        <v/>
      </c>
      <c r="F65" s="407"/>
      <c r="G65" s="511"/>
      <c r="H65" s="514" t="str">
        <f>_xlfn.LET(_xlpm.x,'Diversion and Disposal'!H61,IF(OR(LEN(_xlpm.x)&lt;1,_xlpm.x=0),"",_xlpm.x))</f>
        <v/>
      </c>
      <c r="I65" s="514" t="str">
        <f>_xlfn.LET(_xlpm.x,'Diversion and Disposal'!I61,IF(OR(LEN(_xlpm.x)&lt;1,_xlpm.x=0),"",_xlpm.x))</f>
        <v/>
      </c>
      <c r="J65" s="514" t="str">
        <f>_xlfn.LET(_xlpm.x,'Diversion and Disposal'!J61,IF(OR(LEN(_xlpm.x)&lt;1,_xlpm.x=0),"",_xlpm.x))</f>
        <v/>
      </c>
      <c r="K65" s="514" t="str">
        <f>_xlfn.LET(_xlpm.x,'Diversion and Disposal'!K61,IF(OR(LEN(_xlpm.x)&lt;1,_xlpm.x=0),"",_xlpm.x))</f>
        <v/>
      </c>
      <c r="L65" s="514" t="str">
        <f>_xlfn.LET(_xlpm.x,'Diversion and Disposal'!L61,IF(OR(LEN(_xlpm.x)&lt;1,_xlpm.x=0),"",_xlpm.x))</f>
        <v/>
      </c>
      <c r="M65" s="514" t="str">
        <f>_xlfn.LET(_xlpm.x,'Diversion and Disposal'!M61,IF(OR(LEN(_xlpm.x)&lt;1,_xlpm.x=0),"",_xlpm.x))</f>
        <v/>
      </c>
      <c r="N65" s="514" t="str">
        <f>_xlfn.LET(_xlpm.x,'Diversion and Disposal'!N61,IF(OR(LEN(_xlpm.x)&lt;1,_xlpm.x=0),"",_xlpm.x))</f>
        <v/>
      </c>
      <c r="O65" s="514" t="str">
        <f>_xlfn.LET(_xlpm.x,'Diversion and Disposal'!O61,IF(OR(LEN(_xlpm.x)&lt;1,_xlpm.x=0),"",_xlpm.x))</f>
        <v/>
      </c>
      <c r="P65" s="514" t="str">
        <f>_xlfn.LET(_xlpm.x,'Diversion and Disposal'!P61,IF(OR(LEN(_xlpm.x)&lt;1,_xlpm.x=0),"",_xlpm.x))</f>
        <v/>
      </c>
      <c r="Q65" s="514" t="str">
        <f>_xlfn.LET(_xlpm.x,'Diversion and Disposal'!Q61,IF(OR(LEN(_xlpm.x)&lt;1,_xlpm.x=0),"",_xlpm.x))</f>
        <v/>
      </c>
      <c r="R65" s="514" t="str">
        <f>_xlfn.LET(_xlpm.x,'Diversion and Disposal'!R61,IF(OR(LEN(_xlpm.x)&lt;1,_xlpm.x=0),"",_xlpm.x))</f>
        <v/>
      </c>
      <c r="S65" s="514" t="str">
        <f>_xlfn.LET(_xlpm.x,'Diversion and Disposal'!S61,IF(OR(LEN(_xlpm.x)&lt;1,_xlpm.x=0),"",_xlpm.x))</f>
        <v/>
      </c>
      <c r="T65" s="513">
        <f t="shared" si="42"/>
        <v>0</v>
      </c>
      <c r="BB65" s="432" t="str">
        <f t="shared" si="43"/>
        <v/>
      </c>
      <c r="BC65" s="432" t="str">
        <f t="shared" si="4"/>
        <v/>
      </c>
      <c r="BD65" s="432" t="str">
        <f t="shared" si="44"/>
        <v/>
      </c>
      <c r="BE65" s="432" t="str">
        <f t="shared" si="6"/>
        <v/>
      </c>
      <c r="BF65" s="432" t="str">
        <f t="shared" si="7"/>
        <v/>
      </c>
      <c r="BG65" s="477" t="str">
        <f t="shared" si="45"/>
        <v/>
      </c>
      <c r="BH65" s="477" t="str">
        <f t="shared" si="46"/>
        <v/>
      </c>
      <c r="BI65" s="477" t="str">
        <f t="shared" si="47"/>
        <v/>
      </c>
      <c r="BJ65" s="477" t="str">
        <f t="shared" si="48"/>
        <v/>
      </c>
      <c r="BK65" s="477" t="str">
        <f t="shared" si="49"/>
        <v/>
      </c>
      <c r="BL65" s="477" t="str">
        <f t="shared" si="50"/>
        <v/>
      </c>
      <c r="BM65" s="477" t="str">
        <f t="shared" si="51"/>
        <v/>
      </c>
      <c r="BN65" s="477" t="str">
        <f t="shared" si="52"/>
        <v/>
      </c>
      <c r="BO65" s="477" t="str">
        <f t="shared" si="53"/>
        <v/>
      </c>
      <c r="BP65" s="477" t="str">
        <f t="shared" si="54"/>
        <v/>
      </c>
      <c r="BQ65" s="477" t="str">
        <f t="shared" si="55"/>
        <v/>
      </c>
      <c r="BR65" s="477" t="str">
        <f t="shared" si="56"/>
        <v/>
      </c>
      <c r="BS65" s="477" t="str">
        <f t="shared" si="57"/>
        <v/>
      </c>
      <c r="BT65" s="435">
        <f t="shared" si="21"/>
        <v>0</v>
      </c>
      <c r="BU65" s="434" t="str">
        <f t="shared" si="58"/>
        <v/>
      </c>
      <c r="BV65" s="479" t="str">
        <f t="shared" si="35"/>
        <v/>
      </c>
      <c r="BW65" s="479" t="str">
        <f t="shared" si="22"/>
        <v/>
      </c>
      <c r="BX65" s="479" t="str">
        <f t="shared" si="23"/>
        <v/>
      </c>
      <c r="BY65" s="479" t="str">
        <f t="shared" si="24"/>
        <v/>
      </c>
      <c r="BZ65" s="479" t="str">
        <f t="shared" si="25"/>
        <v/>
      </c>
      <c r="CA65" s="479" t="str">
        <f t="shared" si="26"/>
        <v/>
      </c>
      <c r="CB65" s="479" t="str">
        <f t="shared" si="27"/>
        <v/>
      </c>
      <c r="CC65" s="479" t="str">
        <f t="shared" si="28"/>
        <v/>
      </c>
      <c r="CD65" s="479" t="str">
        <f t="shared" si="29"/>
        <v/>
      </c>
      <c r="CE65" s="479" t="str">
        <f t="shared" si="30"/>
        <v/>
      </c>
      <c r="CF65" s="479" t="str">
        <f t="shared" si="31"/>
        <v/>
      </c>
      <c r="CG65" s="479" t="str">
        <f t="shared" si="32"/>
        <v/>
      </c>
      <c r="CH65" s="480">
        <f t="shared" si="36"/>
        <v>0</v>
      </c>
      <c r="DD65" s="497" cm="1">
        <f t="array" ref="DD65">_xlfn.IFS('Project Inputs'!$F$150&lt;&gt;"Yes",0,DE65=18,0,DE65&lt;&gt;18,SUM(DF65:DG65))</f>
        <v>0</v>
      </c>
      <c r="DE65" s="31">
        <f t="shared" si="37"/>
        <v>18</v>
      </c>
      <c r="DF65" s="31">
        <f t="shared" si="38"/>
        <v>0</v>
      </c>
      <c r="DG65" s="31">
        <f t="shared" si="39"/>
        <v>0</v>
      </c>
    </row>
    <row r="66" spans="1:111" hidden="1" outlineLevel="1">
      <c r="A66" s="22" t="str">
        <f t="shared" si="33"/>
        <v/>
      </c>
      <c r="B66" s="474" t="str">
        <f>_xlfn.LET(_xlpm.x,'Diversion and Disposal'!D62,IF(OR(LEN(_xlpm.x)&lt;1,_xlpm.x=0),"",_xlpm.x))</f>
        <v/>
      </c>
      <c r="C66" s="475" t="str">
        <f>_xlfn.LET(_xlpm.x,'Diversion and Disposal'!E62,IF(OR(LEN(_xlpm.x)&lt;1,_xlpm.x=0),"",_xlpm.x))</f>
        <v/>
      </c>
      <c r="D66" s="475" t="str">
        <f>_xlfn.LET(_xlpm.x,'Diversion and Disposal'!F62,IF(OR(LEN(_xlpm.x)&lt;1,_xlpm.x=0),"",_xlpm.x))</f>
        <v/>
      </c>
      <c r="E66" s="475" t="str">
        <f>_xlfn.LET(_xlpm.x,'Diversion and Disposal'!G62,IF(OR(LEN(_xlpm.x)&lt;1,_xlpm.x=0),"",_xlpm.x))</f>
        <v/>
      </c>
      <c r="F66" s="407"/>
      <c r="G66" s="511"/>
      <c r="H66" s="514" t="str">
        <f>_xlfn.LET(_xlpm.x,'Diversion and Disposal'!H62,IF(OR(LEN(_xlpm.x)&lt;1,_xlpm.x=0),"",_xlpm.x))</f>
        <v/>
      </c>
      <c r="I66" s="514" t="str">
        <f>_xlfn.LET(_xlpm.x,'Diversion and Disposal'!I62,IF(OR(LEN(_xlpm.x)&lt;1,_xlpm.x=0),"",_xlpm.x))</f>
        <v/>
      </c>
      <c r="J66" s="514" t="str">
        <f>_xlfn.LET(_xlpm.x,'Diversion and Disposal'!J62,IF(OR(LEN(_xlpm.x)&lt;1,_xlpm.x=0),"",_xlpm.x))</f>
        <v/>
      </c>
      <c r="K66" s="514" t="str">
        <f>_xlfn.LET(_xlpm.x,'Diversion and Disposal'!K62,IF(OR(LEN(_xlpm.x)&lt;1,_xlpm.x=0),"",_xlpm.x))</f>
        <v/>
      </c>
      <c r="L66" s="514" t="str">
        <f>_xlfn.LET(_xlpm.x,'Diversion and Disposal'!L62,IF(OR(LEN(_xlpm.x)&lt;1,_xlpm.x=0),"",_xlpm.x))</f>
        <v/>
      </c>
      <c r="M66" s="514" t="str">
        <f>_xlfn.LET(_xlpm.x,'Diversion and Disposal'!M62,IF(OR(LEN(_xlpm.x)&lt;1,_xlpm.x=0),"",_xlpm.x))</f>
        <v/>
      </c>
      <c r="N66" s="514" t="str">
        <f>_xlfn.LET(_xlpm.x,'Diversion and Disposal'!N62,IF(OR(LEN(_xlpm.x)&lt;1,_xlpm.x=0),"",_xlpm.x))</f>
        <v/>
      </c>
      <c r="O66" s="514" t="str">
        <f>_xlfn.LET(_xlpm.x,'Diversion and Disposal'!O62,IF(OR(LEN(_xlpm.x)&lt;1,_xlpm.x=0),"",_xlpm.x))</f>
        <v/>
      </c>
      <c r="P66" s="514" t="str">
        <f>_xlfn.LET(_xlpm.x,'Diversion and Disposal'!P62,IF(OR(LEN(_xlpm.x)&lt;1,_xlpm.x=0),"",_xlpm.x))</f>
        <v/>
      </c>
      <c r="Q66" s="514" t="str">
        <f>_xlfn.LET(_xlpm.x,'Diversion and Disposal'!Q62,IF(OR(LEN(_xlpm.x)&lt;1,_xlpm.x=0),"",_xlpm.x))</f>
        <v/>
      </c>
      <c r="R66" s="514" t="str">
        <f>_xlfn.LET(_xlpm.x,'Diversion and Disposal'!R62,IF(OR(LEN(_xlpm.x)&lt;1,_xlpm.x=0),"",_xlpm.x))</f>
        <v/>
      </c>
      <c r="S66" s="514" t="str">
        <f>_xlfn.LET(_xlpm.x,'Diversion and Disposal'!S62,IF(OR(LEN(_xlpm.x)&lt;1,_xlpm.x=0),"",_xlpm.x))</f>
        <v/>
      </c>
      <c r="T66" s="513">
        <f t="shared" si="42"/>
        <v>0</v>
      </c>
      <c r="BB66" s="432" t="str">
        <f t="shared" si="43"/>
        <v/>
      </c>
      <c r="BC66" s="432" t="str">
        <f t="shared" si="4"/>
        <v/>
      </c>
      <c r="BD66" s="432" t="str">
        <f t="shared" si="44"/>
        <v/>
      </c>
      <c r="BE66" s="432" t="str">
        <f t="shared" si="6"/>
        <v/>
      </c>
      <c r="BF66" s="432" t="str">
        <f t="shared" si="7"/>
        <v/>
      </c>
      <c r="BG66" s="477" t="str">
        <f t="shared" si="45"/>
        <v/>
      </c>
      <c r="BH66" s="477" t="str">
        <f t="shared" si="46"/>
        <v/>
      </c>
      <c r="BI66" s="477" t="str">
        <f t="shared" si="47"/>
        <v/>
      </c>
      <c r="BJ66" s="477" t="str">
        <f t="shared" si="48"/>
        <v/>
      </c>
      <c r="BK66" s="477" t="str">
        <f t="shared" si="49"/>
        <v/>
      </c>
      <c r="BL66" s="477" t="str">
        <f t="shared" si="50"/>
        <v/>
      </c>
      <c r="BM66" s="477" t="str">
        <f t="shared" si="51"/>
        <v/>
      </c>
      <c r="BN66" s="477" t="str">
        <f t="shared" si="52"/>
        <v/>
      </c>
      <c r="BO66" s="477" t="str">
        <f t="shared" si="53"/>
        <v/>
      </c>
      <c r="BP66" s="477" t="str">
        <f t="shared" si="54"/>
        <v/>
      </c>
      <c r="BQ66" s="477" t="str">
        <f t="shared" si="55"/>
        <v/>
      </c>
      <c r="BR66" s="477" t="str">
        <f t="shared" si="56"/>
        <v/>
      </c>
      <c r="BS66" s="477" t="str">
        <f t="shared" si="57"/>
        <v/>
      </c>
      <c r="BT66" s="435">
        <f t="shared" si="21"/>
        <v>0</v>
      </c>
      <c r="BU66" s="434" t="str">
        <f t="shared" si="58"/>
        <v/>
      </c>
      <c r="BV66" s="479" t="str">
        <f t="shared" si="35"/>
        <v/>
      </c>
      <c r="BW66" s="479" t="str">
        <f t="shared" si="22"/>
        <v/>
      </c>
      <c r="BX66" s="479" t="str">
        <f t="shared" si="23"/>
        <v/>
      </c>
      <c r="BY66" s="479" t="str">
        <f t="shared" si="24"/>
        <v/>
      </c>
      <c r="BZ66" s="479" t="str">
        <f t="shared" si="25"/>
        <v/>
      </c>
      <c r="CA66" s="479" t="str">
        <f t="shared" si="26"/>
        <v/>
      </c>
      <c r="CB66" s="479" t="str">
        <f t="shared" si="27"/>
        <v/>
      </c>
      <c r="CC66" s="479" t="str">
        <f t="shared" si="28"/>
        <v/>
      </c>
      <c r="CD66" s="479" t="str">
        <f t="shared" si="29"/>
        <v/>
      </c>
      <c r="CE66" s="479" t="str">
        <f t="shared" si="30"/>
        <v/>
      </c>
      <c r="CF66" s="479" t="str">
        <f t="shared" si="31"/>
        <v/>
      </c>
      <c r="CG66" s="479" t="str">
        <f t="shared" si="32"/>
        <v/>
      </c>
      <c r="CH66" s="480">
        <f t="shared" si="36"/>
        <v>0</v>
      </c>
      <c r="DD66" s="497" cm="1">
        <f t="array" ref="DD66">_xlfn.IFS('Project Inputs'!$F$150&lt;&gt;"Yes",0,DE66=18,0,DE66&lt;&gt;18,SUM(DF66:DG66))</f>
        <v>0</v>
      </c>
      <c r="DE66" s="31">
        <f t="shared" si="37"/>
        <v>18</v>
      </c>
      <c r="DF66" s="31">
        <f t="shared" si="38"/>
        <v>0</v>
      </c>
      <c r="DG66" s="31">
        <f t="shared" si="39"/>
        <v>0</v>
      </c>
    </row>
    <row r="67" spans="1:111" hidden="1" outlineLevel="1">
      <c r="A67" s="22" t="str">
        <f t="shared" si="33"/>
        <v/>
      </c>
      <c r="B67" s="474" t="str">
        <f>_xlfn.LET(_xlpm.x,'Diversion and Disposal'!D63,IF(OR(LEN(_xlpm.x)&lt;1,_xlpm.x=0),"",_xlpm.x))</f>
        <v/>
      </c>
      <c r="C67" s="475" t="str">
        <f>_xlfn.LET(_xlpm.x,'Diversion and Disposal'!E63,IF(OR(LEN(_xlpm.x)&lt;1,_xlpm.x=0),"",_xlpm.x))</f>
        <v/>
      </c>
      <c r="D67" s="475" t="str">
        <f>_xlfn.LET(_xlpm.x,'Diversion and Disposal'!F63,IF(OR(LEN(_xlpm.x)&lt;1,_xlpm.x=0),"",_xlpm.x))</f>
        <v/>
      </c>
      <c r="E67" s="475" t="str">
        <f>_xlfn.LET(_xlpm.x,'Diversion and Disposal'!G63,IF(OR(LEN(_xlpm.x)&lt;1,_xlpm.x=0),"",_xlpm.x))</f>
        <v/>
      </c>
      <c r="F67" s="407"/>
      <c r="G67" s="511"/>
      <c r="H67" s="514" t="str">
        <f>_xlfn.LET(_xlpm.x,'Diversion and Disposal'!H63,IF(OR(LEN(_xlpm.x)&lt;1,_xlpm.x=0),"",_xlpm.x))</f>
        <v/>
      </c>
      <c r="I67" s="514" t="str">
        <f>_xlfn.LET(_xlpm.x,'Diversion and Disposal'!I63,IF(OR(LEN(_xlpm.x)&lt;1,_xlpm.x=0),"",_xlpm.x))</f>
        <v/>
      </c>
      <c r="J67" s="514" t="str">
        <f>_xlfn.LET(_xlpm.x,'Diversion and Disposal'!J63,IF(OR(LEN(_xlpm.x)&lt;1,_xlpm.x=0),"",_xlpm.x))</f>
        <v/>
      </c>
      <c r="K67" s="514" t="str">
        <f>_xlfn.LET(_xlpm.x,'Diversion and Disposal'!K63,IF(OR(LEN(_xlpm.x)&lt;1,_xlpm.x=0),"",_xlpm.x))</f>
        <v/>
      </c>
      <c r="L67" s="514" t="str">
        <f>_xlfn.LET(_xlpm.x,'Diversion and Disposal'!L63,IF(OR(LEN(_xlpm.x)&lt;1,_xlpm.x=0),"",_xlpm.x))</f>
        <v/>
      </c>
      <c r="M67" s="514" t="str">
        <f>_xlfn.LET(_xlpm.x,'Diversion and Disposal'!M63,IF(OR(LEN(_xlpm.x)&lt;1,_xlpm.x=0),"",_xlpm.x))</f>
        <v/>
      </c>
      <c r="N67" s="514" t="str">
        <f>_xlfn.LET(_xlpm.x,'Diversion and Disposal'!N63,IF(OR(LEN(_xlpm.x)&lt;1,_xlpm.x=0),"",_xlpm.x))</f>
        <v/>
      </c>
      <c r="O67" s="514" t="str">
        <f>_xlfn.LET(_xlpm.x,'Diversion and Disposal'!O63,IF(OR(LEN(_xlpm.x)&lt;1,_xlpm.x=0),"",_xlpm.x))</f>
        <v/>
      </c>
      <c r="P67" s="514" t="str">
        <f>_xlfn.LET(_xlpm.x,'Diversion and Disposal'!P63,IF(OR(LEN(_xlpm.x)&lt;1,_xlpm.x=0),"",_xlpm.x))</f>
        <v/>
      </c>
      <c r="Q67" s="514" t="str">
        <f>_xlfn.LET(_xlpm.x,'Diversion and Disposal'!Q63,IF(OR(LEN(_xlpm.x)&lt;1,_xlpm.x=0),"",_xlpm.x))</f>
        <v/>
      </c>
      <c r="R67" s="514" t="str">
        <f>_xlfn.LET(_xlpm.x,'Diversion and Disposal'!R63,IF(OR(LEN(_xlpm.x)&lt;1,_xlpm.x=0),"",_xlpm.x))</f>
        <v/>
      </c>
      <c r="S67" s="514" t="str">
        <f>_xlfn.LET(_xlpm.x,'Diversion and Disposal'!S63,IF(OR(LEN(_xlpm.x)&lt;1,_xlpm.x=0),"",_xlpm.x))</f>
        <v/>
      </c>
      <c r="T67" s="513">
        <f t="shared" si="42"/>
        <v>0</v>
      </c>
      <c r="BB67" s="432" t="str">
        <f t="shared" si="43"/>
        <v/>
      </c>
      <c r="BC67" s="432" t="str">
        <f t="shared" si="4"/>
        <v/>
      </c>
      <c r="BD67" s="432" t="str">
        <f t="shared" si="44"/>
        <v/>
      </c>
      <c r="BE67" s="432" t="str">
        <f t="shared" si="6"/>
        <v/>
      </c>
      <c r="BF67" s="432" t="str">
        <f t="shared" si="7"/>
        <v/>
      </c>
      <c r="BG67" s="477" t="str">
        <f t="shared" si="45"/>
        <v/>
      </c>
      <c r="BH67" s="477" t="str">
        <f t="shared" si="46"/>
        <v/>
      </c>
      <c r="BI67" s="477" t="str">
        <f t="shared" si="47"/>
        <v/>
      </c>
      <c r="BJ67" s="477" t="str">
        <f t="shared" si="48"/>
        <v/>
      </c>
      <c r="BK67" s="477" t="str">
        <f t="shared" si="49"/>
        <v/>
      </c>
      <c r="BL67" s="477" t="str">
        <f t="shared" si="50"/>
        <v/>
      </c>
      <c r="BM67" s="477" t="str">
        <f t="shared" si="51"/>
        <v/>
      </c>
      <c r="BN67" s="477" t="str">
        <f t="shared" si="52"/>
        <v/>
      </c>
      <c r="BO67" s="477" t="str">
        <f t="shared" si="53"/>
        <v/>
      </c>
      <c r="BP67" s="477" t="str">
        <f t="shared" si="54"/>
        <v/>
      </c>
      <c r="BQ67" s="477" t="str">
        <f t="shared" si="55"/>
        <v/>
      </c>
      <c r="BR67" s="477" t="str">
        <f t="shared" si="56"/>
        <v/>
      </c>
      <c r="BS67" s="477" t="str">
        <f t="shared" si="57"/>
        <v/>
      </c>
      <c r="BT67" s="435">
        <f t="shared" si="21"/>
        <v>0</v>
      </c>
      <c r="BU67" s="434" t="str">
        <f t="shared" si="58"/>
        <v/>
      </c>
      <c r="BV67" s="479" t="str">
        <f t="shared" si="35"/>
        <v/>
      </c>
      <c r="BW67" s="479" t="str">
        <f t="shared" si="22"/>
        <v/>
      </c>
      <c r="BX67" s="479" t="str">
        <f t="shared" si="23"/>
        <v/>
      </c>
      <c r="BY67" s="479" t="str">
        <f t="shared" si="24"/>
        <v/>
      </c>
      <c r="BZ67" s="479" t="str">
        <f t="shared" si="25"/>
        <v/>
      </c>
      <c r="CA67" s="479" t="str">
        <f t="shared" si="26"/>
        <v/>
      </c>
      <c r="CB67" s="479" t="str">
        <f t="shared" si="27"/>
        <v/>
      </c>
      <c r="CC67" s="479" t="str">
        <f t="shared" si="28"/>
        <v/>
      </c>
      <c r="CD67" s="479" t="str">
        <f t="shared" si="29"/>
        <v/>
      </c>
      <c r="CE67" s="479" t="str">
        <f t="shared" si="30"/>
        <v/>
      </c>
      <c r="CF67" s="479" t="str">
        <f t="shared" si="31"/>
        <v/>
      </c>
      <c r="CG67" s="479" t="str">
        <f t="shared" si="32"/>
        <v/>
      </c>
      <c r="CH67" s="480">
        <f t="shared" si="36"/>
        <v>0</v>
      </c>
      <c r="DD67" s="497" cm="1">
        <f t="array" ref="DD67">_xlfn.IFS('Project Inputs'!$F$150&lt;&gt;"Yes",0,DE67=18,0,DE67&lt;&gt;18,SUM(DF67:DG67))</f>
        <v>0</v>
      </c>
      <c r="DE67" s="31">
        <f t="shared" si="37"/>
        <v>18</v>
      </c>
      <c r="DF67" s="31">
        <f t="shared" si="38"/>
        <v>0</v>
      </c>
      <c r="DG67" s="31">
        <f t="shared" si="39"/>
        <v>0</v>
      </c>
    </row>
    <row r="68" spans="1:111" hidden="1" outlineLevel="1">
      <c r="A68" s="22" t="str">
        <f t="shared" si="33"/>
        <v/>
      </c>
      <c r="B68" s="474" t="str">
        <f>_xlfn.LET(_xlpm.x,'Diversion and Disposal'!D64,IF(OR(LEN(_xlpm.x)&lt;1,_xlpm.x=0),"",_xlpm.x))</f>
        <v/>
      </c>
      <c r="C68" s="475" t="str">
        <f>_xlfn.LET(_xlpm.x,'Diversion and Disposal'!E64,IF(OR(LEN(_xlpm.x)&lt;1,_xlpm.x=0),"",_xlpm.x))</f>
        <v/>
      </c>
      <c r="D68" s="475" t="str">
        <f>_xlfn.LET(_xlpm.x,'Diversion and Disposal'!F64,IF(OR(LEN(_xlpm.x)&lt;1,_xlpm.x=0),"",_xlpm.x))</f>
        <v/>
      </c>
      <c r="E68" s="475" t="str">
        <f>_xlfn.LET(_xlpm.x,'Diversion and Disposal'!G64,IF(OR(LEN(_xlpm.x)&lt;1,_xlpm.x=0),"",_xlpm.x))</f>
        <v/>
      </c>
      <c r="F68" s="407"/>
      <c r="G68" s="511"/>
      <c r="H68" s="514" t="str">
        <f>_xlfn.LET(_xlpm.x,'Diversion and Disposal'!H64,IF(OR(LEN(_xlpm.x)&lt;1,_xlpm.x=0),"",_xlpm.x))</f>
        <v/>
      </c>
      <c r="I68" s="514" t="str">
        <f>_xlfn.LET(_xlpm.x,'Diversion and Disposal'!I64,IF(OR(LEN(_xlpm.x)&lt;1,_xlpm.x=0),"",_xlpm.x))</f>
        <v/>
      </c>
      <c r="J68" s="514" t="str">
        <f>_xlfn.LET(_xlpm.x,'Diversion and Disposal'!J64,IF(OR(LEN(_xlpm.x)&lt;1,_xlpm.x=0),"",_xlpm.x))</f>
        <v/>
      </c>
      <c r="K68" s="514" t="str">
        <f>_xlfn.LET(_xlpm.x,'Diversion and Disposal'!K64,IF(OR(LEN(_xlpm.x)&lt;1,_xlpm.x=0),"",_xlpm.x))</f>
        <v/>
      </c>
      <c r="L68" s="514" t="str">
        <f>_xlfn.LET(_xlpm.x,'Diversion and Disposal'!L64,IF(OR(LEN(_xlpm.x)&lt;1,_xlpm.x=0),"",_xlpm.x))</f>
        <v/>
      </c>
      <c r="M68" s="514" t="str">
        <f>_xlfn.LET(_xlpm.x,'Diversion and Disposal'!M64,IF(OR(LEN(_xlpm.x)&lt;1,_xlpm.x=0),"",_xlpm.x))</f>
        <v/>
      </c>
      <c r="N68" s="514" t="str">
        <f>_xlfn.LET(_xlpm.x,'Diversion and Disposal'!N64,IF(OR(LEN(_xlpm.x)&lt;1,_xlpm.x=0),"",_xlpm.x))</f>
        <v/>
      </c>
      <c r="O68" s="514" t="str">
        <f>_xlfn.LET(_xlpm.x,'Diversion and Disposal'!O64,IF(OR(LEN(_xlpm.x)&lt;1,_xlpm.x=0),"",_xlpm.x))</f>
        <v/>
      </c>
      <c r="P68" s="514" t="str">
        <f>_xlfn.LET(_xlpm.x,'Diversion and Disposal'!P64,IF(OR(LEN(_xlpm.x)&lt;1,_xlpm.x=0),"",_xlpm.x))</f>
        <v/>
      </c>
      <c r="Q68" s="514" t="str">
        <f>_xlfn.LET(_xlpm.x,'Diversion and Disposal'!Q64,IF(OR(LEN(_xlpm.x)&lt;1,_xlpm.x=0),"",_xlpm.x))</f>
        <v/>
      </c>
      <c r="R68" s="514" t="str">
        <f>_xlfn.LET(_xlpm.x,'Diversion and Disposal'!R64,IF(OR(LEN(_xlpm.x)&lt;1,_xlpm.x=0),"",_xlpm.x))</f>
        <v/>
      </c>
      <c r="S68" s="514" t="str">
        <f>_xlfn.LET(_xlpm.x,'Diversion and Disposal'!S64,IF(OR(LEN(_xlpm.x)&lt;1,_xlpm.x=0),"",_xlpm.x))</f>
        <v/>
      </c>
      <c r="T68" s="513">
        <f t="shared" si="42"/>
        <v>0</v>
      </c>
      <c r="BB68" s="432" t="str">
        <f t="shared" si="43"/>
        <v/>
      </c>
      <c r="BC68" s="432" t="str">
        <f t="shared" si="4"/>
        <v/>
      </c>
      <c r="BD68" s="432" t="str">
        <f t="shared" si="44"/>
        <v/>
      </c>
      <c r="BE68" s="432" t="str">
        <f t="shared" si="6"/>
        <v/>
      </c>
      <c r="BF68" s="432" t="str">
        <f t="shared" si="7"/>
        <v/>
      </c>
      <c r="BG68" s="477" t="str">
        <f t="shared" si="45"/>
        <v/>
      </c>
      <c r="BH68" s="477" t="str">
        <f t="shared" si="46"/>
        <v/>
      </c>
      <c r="BI68" s="477" t="str">
        <f t="shared" si="47"/>
        <v/>
      </c>
      <c r="BJ68" s="477" t="str">
        <f t="shared" si="48"/>
        <v/>
      </c>
      <c r="BK68" s="477" t="str">
        <f t="shared" si="49"/>
        <v/>
      </c>
      <c r="BL68" s="477" t="str">
        <f t="shared" si="50"/>
        <v/>
      </c>
      <c r="BM68" s="477" t="str">
        <f t="shared" si="51"/>
        <v/>
      </c>
      <c r="BN68" s="477" t="str">
        <f t="shared" si="52"/>
        <v/>
      </c>
      <c r="BO68" s="477" t="str">
        <f t="shared" si="53"/>
        <v/>
      </c>
      <c r="BP68" s="477" t="str">
        <f t="shared" si="54"/>
        <v/>
      </c>
      <c r="BQ68" s="477" t="str">
        <f t="shared" si="55"/>
        <v/>
      </c>
      <c r="BR68" s="477" t="str">
        <f t="shared" si="56"/>
        <v/>
      </c>
      <c r="BS68" s="477" t="str">
        <f t="shared" si="57"/>
        <v/>
      </c>
      <c r="BT68" s="435">
        <f t="shared" si="21"/>
        <v>0</v>
      </c>
      <c r="BU68" s="434" t="str">
        <f t="shared" si="58"/>
        <v/>
      </c>
      <c r="BV68" s="479" t="str">
        <f t="shared" si="35"/>
        <v/>
      </c>
      <c r="BW68" s="479" t="str">
        <f t="shared" si="22"/>
        <v/>
      </c>
      <c r="BX68" s="479" t="str">
        <f t="shared" si="23"/>
        <v/>
      </c>
      <c r="BY68" s="479" t="str">
        <f t="shared" si="24"/>
        <v/>
      </c>
      <c r="BZ68" s="479" t="str">
        <f t="shared" si="25"/>
        <v/>
      </c>
      <c r="CA68" s="479" t="str">
        <f t="shared" si="26"/>
        <v/>
      </c>
      <c r="CB68" s="479" t="str">
        <f t="shared" si="27"/>
        <v/>
      </c>
      <c r="CC68" s="479" t="str">
        <f t="shared" si="28"/>
        <v/>
      </c>
      <c r="CD68" s="479" t="str">
        <f t="shared" si="29"/>
        <v/>
      </c>
      <c r="CE68" s="479" t="str">
        <f t="shared" si="30"/>
        <v/>
      </c>
      <c r="CF68" s="479" t="str">
        <f t="shared" si="31"/>
        <v/>
      </c>
      <c r="CG68" s="479" t="str">
        <f t="shared" si="32"/>
        <v/>
      </c>
      <c r="CH68" s="480">
        <f t="shared" si="36"/>
        <v>0</v>
      </c>
      <c r="DD68" s="497" cm="1">
        <f t="array" ref="DD68">_xlfn.IFS('Project Inputs'!$F$150&lt;&gt;"Yes",0,DE68=18,0,DE68&lt;&gt;18,SUM(DF68:DG68))</f>
        <v>0</v>
      </c>
      <c r="DE68" s="31">
        <f t="shared" si="37"/>
        <v>18</v>
      </c>
      <c r="DF68" s="31">
        <f t="shared" si="38"/>
        <v>0</v>
      </c>
      <c r="DG68" s="31">
        <f t="shared" si="39"/>
        <v>0</v>
      </c>
    </row>
    <row r="69" spans="1:111" hidden="1" outlineLevel="1">
      <c r="A69" s="22" t="str">
        <f t="shared" si="33"/>
        <v/>
      </c>
      <c r="B69" s="474" t="str">
        <f>_xlfn.LET(_xlpm.x,'Diversion and Disposal'!D65,IF(OR(LEN(_xlpm.x)&lt;1,_xlpm.x=0),"",_xlpm.x))</f>
        <v/>
      </c>
      <c r="C69" s="475" t="str">
        <f>_xlfn.LET(_xlpm.x,'Diversion and Disposal'!E65,IF(OR(LEN(_xlpm.x)&lt;1,_xlpm.x=0),"",_xlpm.x))</f>
        <v/>
      </c>
      <c r="D69" s="475" t="str">
        <f>_xlfn.LET(_xlpm.x,'Diversion and Disposal'!F65,IF(OR(LEN(_xlpm.x)&lt;1,_xlpm.x=0),"",_xlpm.x))</f>
        <v/>
      </c>
      <c r="E69" s="475" t="str">
        <f>_xlfn.LET(_xlpm.x,'Diversion and Disposal'!G65,IF(OR(LEN(_xlpm.x)&lt;1,_xlpm.x=0),"",_xlpm.x))</f>
        <v/>
      </c>
      <c r="F69" s="407"/>
      <c r="G69" s="511"/>
      <c r="H69" s="514" t="str">
        <f>_xlfn.LET(_xlpm.x,'Diversion and Disposal'!H65,IF(OR(LEN(_xlpm.x)&lt;1,_xlpm.x=0),"",_xlpm.x))</f>
        <v/>
      </c>
      <c r="I69" s="514" t="str">
        <f>_xlfn.LET(_xlpm.x,'Diversion and Disposal'!I65,IF(OR(LEN(_xlpm.x)&lt;1,_xlpm.x=0),"",_xlpm.x))</f>
        <v/>
      </c>
      <c r="J69" s="514" t="str">
        <f>_xlfn.LET(_xlpm.x,'Diversion and Disposal'!J65,IF(OR(LEN(_xlpm.x)&lt;1,_xlpm.x=0),"",_xlpm.x))</f>
        <v/>
      </c>
      <c r="K69" s="514" t="str">
        <f>_xlfn.LET(_xlpm.x,'Diversion and Disposal'!K65,IF(OR(LEN(_xlpm.x)&lt;1,_xlpm.x=0),"",_xlpm.x))</f>
        <v/>
      </c>
      <c r="L69" s="514" t="str">
        <f>_xlfn.LET(_xlpm.x,'Diversion and Disposal'!L65,IF(OR(LEN(_xlpm.x)&lt;1,_xlpm.x=0),"",_xlpm.x))</f>
        <v/>
      </c>
      <c r="M69" s="514" t="str">
        <f>_xlfn.LET(_xlpm.x,'Diversion and Disposal'!M65,IF(OR(LEN(_xlpm.x)&lt;1,_xlpm.x=0),"",_xlpm.x))</f>
        <v/>
      </c>
      <c r="N69" s="514" t="str">
        <f>_xlfn.LET(_xlpm.x,'Diversion and Disposal'!N65,IF(OR(LEN(_xlpm.x)&lt;1,_xlpm.x=0),"",_xlpm.x))</f>
        <v/>
      </c>
      <c r="O69" s="514" t="str">
        <f>_xlfn.LET(_xlpm.x,'Diversion and Disposal'!O65,IF(OR(LEN(_xlpm.x)&lt;1,_xlpm.x=0),"",_xlpm.x))</f>
        <v/>
      </c>
      <c r="P69" s="514" t="str">
        <f>_xlfn.LET(_xlpm.x,'Diversion and Disposal'!P65,IF(OR(LEN(_xlpm.x)&lt;1,_xlpm.x=0),"",_xlpm.x))</f>
        <v/>
      </c>
      <c r="Q69" s="514" t="str">
        <f>_xlfn.LET(_xlpm.x,'Diversion and Disposal'!Q65,IF(OR(LEN(_xlpm.x)&lt;1,_xlpm.x=0),"",_xlpm.x))</f>
        <v/>
      </c>
      <c r="R69" s="514" t="str">
        <f>_xlfn.LET(_xlpm.x,'Diversion and Disposal'!R65,IF(OR(LEN(_xlpm.x)&lt;1,_xlpm.x=0),"",_xlpm.x))</f>
        <v/>
      </c>
      <c r="S69" s="514" t="str">
        <f>_xlfn.LET(_xlpm.x,'Diversion and Disposal'!S65,IF(OR(LEN(_xlpm.x)&lt;1,_xlpm.x=0),"",_xlpm.x))</f>
        <v/>
      </c>
      <c r="T69" s="513">
        <f t="shared" si="42"/>
        <v>0</v>
      </c>
      <c r="BB69" s="432" t="str">
        <f t="shared" si="43"/>
        <v/>
      </c>
      <c r="BC69" s="432" t="str">
        <f t="shared" si="4"/>
        <v/>
      </c>
      <c r="BD69" s="432" t="str">
        <f t="shared" si="44"/>
        <v/>
      </c>
      <c r="BE69" s="432" t="str">
        <f t="shared" si="6"/>
        <v/>
      </c>
      <c r="BF69" s="432" t="str">
        <f t="shared" si="7"/>
        <v/>
      </c>
      <c r="BG69" s="477" t="str">
        <f t="shared" si="45"/>
        <v/>
      </c>
      <c r="BH69" s="477" t="str">
        <f t="shared" si="46"/>
        <v/>
      </c>
      <c r="BI69" s="477" t="str">
        <f t="shared" si="47"/>
        <v/>
      </c>
      <c r="BJ69" s="477" t="str">
        <f t="shared" si="48"/>
        <v/>
      </c>
      <c r="BK69" s="477" t="str">
        <f t="shared" si="49"/>
        <v/>
      </c>
      <c r="BL69" s="477" t="str">
        <f t="shared" si="50"/>
        <v/>
      </c>
      <c r="BM69" s="477" t="str">
        <f t="shared" si="51"/>
        <v/>
      </c>
      <c r="BN69" s="477" t="str">
        <f t="shared" si="52"/>
        <v/>
      </c>
      <c r="BO69" s="477" t="str">
        <f t="shared" si="53"/>
        <v/>
      </c>
      <c r="BP69" s="477" t="str">
        <f t="shared" si="54"/>
        <v/>
      </c>
      <c r="BQ69" s="477" t="str">
        <f t="shared" si="55"/>
        <v/>
      </c>
      <c r="BR69" s="477" t="str">
        <f t="shared" si="56"/>
        <v/>
      </c>
      <c r="BS69" s="477" t="str">
        <f t="shared" si="57"/>
        <v/>
      </c>
      <c r="BT69" s="435">
        <f t="shared" si="21"/>
        <v>0</v>
      </c>
      <c r="BU69" s="434" t="str">
        <f t="shared" si="58"/>
        <v/>
      </c>
      <c r="BV69" s="479" t="str">
        <f t="shared" si="35"/>
        <v/>
      </c>
      <c r="BW69" s="479" t="str">
        <f t="shared" si="22"/>
        <v/>
      </c>
      <c r="BX69" s="479" t="str">
        <f t="shared" si="23"/>
        <v/>
      </c>
      <c r="BY69" s="479" t="str">
        <f t="shared" si="24"/>
        <v/>
      </c>
      <c r="BZ69" s="479" t="str">
        <f t="shared" si="25"/>
        <v/>
      </c>
      <c r="CA69" s="479" t="str">
        <f t="shared" si="26"/>
        <v/>
      </c>
      <c r="CB69" s="479" t="str">
        <f t="shared" si="27"/>
        <v/>
      </c>
      <c r="CC69" s="479" t="str">
        <f t="shared" si="28"/>
        <v/>
      </c>
      <c r="CD69" s="479" t="str">
        <f t="shared" si="29"/>
        <v/>
      </c>
      <c r="CE69" s="479" t="str">
        <f t="shared" si="30"/>
        <v/>
      </c>
      <c r="CF69" s="479" t="str">
        <f t="shared" si="31"/>
        <v/>
      </c>
      <c r="CG69" s="479" t="str">
        <f t="shared" si="32"/>
        <v/>
      </c>
      <c r="CH69" s="480">
        <f t="shared" si="36"/>
        <v>0</v>
      </c>
      <c r="DD69" s="497" cm="1">
        <f t="array" ref="DD69">_xlfn.IFS('Project Inputs'!$F$150&lt;&gt;"Yes",0,DE69=18,0,DE69&lt;&gt;18,SUM(DF69:DG69))</f>
        <v>0</v>
      </c>
      <c r="DE69" s="31">
        <f t="shared" si="37"/>
        <v>18</v>
      </c>
      <c r="DF69" s="31">
        <f t="shared" si="38"/>
        <v>0</v>
      </c>
      <c r="DG69" s="31">
        <f t="shared" si="39"/>
        <v>0</v>
      </c>
    </row>
    <row r="70" spans="1:111" hidden="1" outlineLevel="1">
      <c r="A70" s="22" t="str">
        <f t="shared" si="33"/>
        <v/>
      </c>
      <c r="B70" s="474" t="str">
        <f>_xlfn.LET(_xlpm.x,'Diversion and Disposal'!D66,IF(OR(LEN(_xlpm.x)&lt;1,_xlpm.x=0),"",_xlpm.x))</f>
        <v/>
      </c>
      <c r="C70" s="475" t="str">
        <f>_xlfn.LET(_xlpm.x,'Diversion and Disposal'!E66,IF(OR(LEN(_xlpm.x)&lt;1,_xlpm.x=0),"",_xlpm.x))</f>
        <v/>
      </c>
      <c r="D70" s="475" t="str">
        <f>_xlfn.LET(_xlpm.x,'Diversion and Disposal'!F66,IF(OR(LEN(_xlpm.x)&lt;1,_xlpm.x=0),"",_xlpm.x))</f>
        <v/>
      </c>
      <c r="E70" s="475" t="str">
        <f>_xlfn.LET(_xlpm.x,'Diversion and Disposal'!G66,IF(OR(LEN(_xlpm.x)&lt;1,_xlpm.x=0),"",_xlpm.x))</f>
        <v/>
      </c>
      <c r="F70" s="407"/>
      <c r="G70" s="511"/>
      <c r="H70" s="514" t="str">
        <f>_xlfn.LET(_xlpm.x,'Diversion and Disposal'!H66,IF(OR(LEN(_xlpm.x)&lt;1,_xlpm.x=0),"",_xlpm.x))</f>
        <v/>
      </c>
      <c r="I70" s="514" t="str">
        <f>_xlfn.LET(_xlpm.x,'Diversion and Disposal'!I66,IF(OR(LEN(_xlpm.x)&lt;1,_xlpm.x=0),"",_xlpm.x))</f>
        <v/>
      </c>
      <c r="J70" s="514" t="str">
        <f>_xlfn.LET(_xlpm.x,'Diversion and Disposal'!J66,IF(OR(LEN(_xlpm.x)&lt;1,_xlpm.x=0),"",_xlpm.x))</f>
        <v/>
      </c>
      <c r="K70" s="514" t="str">
        <f>_xlfn.LET(_xlpm.x,'Diversion and Disposal'!K66,IF(OR(LEN(_xlpm.x)&lt;1,_xlpm.x=0),"",_xlpm.x))</f>
        <v/>
      </c>
      <c r="L70" s="514" t="str">
        <f>_xlfn.LET(_xlpm.x,'Diversion and Disposal'!L66,IF(OR(LEN(_xlpm.x)&lt;1,_xlpm.x=0),"",_xlpm.x))</f>
        <v/>
      </c>
      <c r="M70" s="514" t="str">
        <f>_xlfn.LET(_xlpm.x,'Diversion and Disposal'!M66,IF(OR(LEN(_xlpm.x)&lt;1,_xlpm.x=0),"",_xlpm.x))</f>
        <v/>
      </c>
      <c r="N70" s="514" t="str">
        <f>_xlfn.LET(_xlpm.x,'Diversion and Disposal'!N66,IF(OR(LEN(_xlpm.x)&lt;1,_xlpm.x=0),"",_xlpm.x))</f>
        <v/>
      </c>
      <c r="O70" s="514" t="str">
        <f>_xlfn.LET(_xlpm.x,'Diversion and Disposal'!O66,IF(OR(LEN(_xlpm.x)&lt;1,_xlpm.x=0),"",_xlpm.x))</f>
        <v/>
      </c>
      <c r="P70" s="514" t="str">
        <f>_xlfn.LET(_xlpm.x,'Diversion and Disposal'!P66,IF(OR(LEN(_xlpm.x)&lt;1,_xlpm.x=0),"",_xlpm.x))</f>
        <v/>
      </c>
      <c r="Q70" s="514" t="str">
        <f>_xlfn.LET(_xlpm.x,'Diversion and Disposal'!Q66,IF(OR(LEN(_xlpm.x)&lt;1,_xlpm.x=0),"",_xlpm.x))</f>
        <v/>
      </c>
      <c r="R70" s="514" t="str">
        <f>_xlfn.LET(_xlpm.x,'Diversion and Disposal'!R66,IF(OR(LEN(_xlpm.x)&lt;1,_xlpm.x=0),"",_xlpm.x))</f>
        <v/>
      </c>
      <c r="S70" s="514" t="str">
        <f>_xlfn.LET(_xlpm.x,'Diversion and Disposal'!S66,IF(OR(LEN(_xlpm.x)&lt;1,_xlpm.x=0),"",_xlpm.x))</f>
        <v/>
      </c>
      <c r="T70" s="513">
        <f t="shared" si="42"/>
        <v>0</v>
      </c>
      <c r="BB70" s="432" t="str">
        <f t="shared" si="43"/>
        <v/>
      </c>
      <c r="BC70" s="432" t="str">
        <f t="shared" si="4"/>
        <v/>
      </c>
      <c r="BD70" s="432" t="str">
        <f t="shared" si="44"/>
        <v/>
      </c>
      <c r="BE70" s="432" t="str">
        <f t="shared" si="6"/>
        <v/>
      </c>
      <c r="BF70" s="432" t="str">
        <f t="shared" si="7"/>
        <v/>
      </c>
      <c r="BG70" s="477" t="str">
        <f t="shared" si="45"/>
        <v/>
      </c>
      <c r="BH70" s="477" t="str">
        <f t="shared" si="46"/>
        <v/>
      </c>
      <c r="BI70" s="477" t="str">
        <f t="shared" si="47"/>
        <v/>
      </c>
      <c r="BJ70" s="477" t="str">
        <f t="shared" si="48"/>
        <v/>
      </c>
      <c r="BK70" s="477" t="str">
        <f t="shared" si="49"/>
        <v/>
      </c>
      <c r="BL70" s="477" t="str">
        <f t="shared" si="50"/>
        <v/>
      </c>
      <c r="BM70" s="477" t="str">
        <f t="shared" si="51"/>
        <v/>
      </c>
      <c r="BN70" s="477" t="str">
        <f t="shared" si="52"/>
        <v/>
      </c>
      <c r="BO70" s="477" t="str">
        <f t="shared" si="53"/>
        <v/>
      </c>
      <c r="BP70" s="477" t="str">
        <f t="shared" si="54"/>
        <v/>
      </c>
      <c r="BQ70" s="477" t="str">
        <f t="shared" si="55"/>
        <v/>
      </c>
      <c r="BR70" s="477" t="str">
        <f t="shared" si="56"/>
        <v/>
      </c>
      <c r="BS70" s="477" t="str">
        <f t="shared" si="57"/>
        <v/>
      </c>
      <c r="BT70" s="435">
        <f t="shared" si="21"/>
        <v>0</v>
      </c>
      <c r="BU70" s="434" t="str">
        <f t="shared" si="58"/>
        <v/>
      </c>
      <c r="BV70" s="479" t="str">
        <f t="shared" si="35"/>
        <v/>
      </c>
      <c r="BW70" s="479" t="str">
        <f t="shared" si="22"/>
        <v/>
      </c>
      <c r="BX70" s="479" t="str">
        <f t="shared" si="23"/>
        <v/>
      </c>
      <c r="BY70" s="479" t="str">
        <f t="shared" si="24"/>
        <v/>
      </c>
      <c r="BZ70" s="479" t="str">
        <f t="shared" si="25"/>
        <v/>
      </c>
      <c r="CA70" s="479" t="str">
        <f t="shared" si="26"/>
        <v/>
      </c>
      <c r="CB70" s="479" t="str">
        <f t="shared" si="27"/>
        <v/>
      </c>
      <c r="CC70" s="479" t="str">
        <f t="shared" si="28"/>
        <v/>
      </c>
      <c r="CD70" s="479" t="str">
        <f t="shared" si="29"/>
        <v/>
      </c>
      <c r="CE70" s="479" t="str">
        <f t="shared" si="30"/>
        <v/>
      </c>
      <c r="CF70" s="479" t="str">
        <f t="shared" si="31"/>
        <v/>
      </c>
      <c r="CG70" s="479" t="str">
        <f t="shared" si="32"/>
        <v/>
      </c>
      <c r="CH70" s="480">
        <f t="shared" si="36"/>
        <v>0</v>
      </c>
      <c r="DD70" s="497" cm="1">
        <f t="array" ref="DD70">_xlfn.IFS('Project Inputs'!$F$150&lt;&gt;"Yes",0,DE70=18,0,DE70&lt;&gt;18,SUM(DF70:DG70))</f>
        <v>0</v>
      </c>
      <c r="DE70" s="31">
        <f t="shared" si="37"/>
        <v>18</v>
      </c>
      <c r="DF70" s="31">
        <f t="shared" si="38"/>
        <v>0</v>
      </c>
      <c r="DG70" s="31">
        <f t="shared" si="39"/>
        <v>0</v>
      </c>
    </row>
    <row r="71" spans="1:111" hidden="1" outlineLevel="1">
      <c r="A71" s="22" t="str">
        <f t="shared" si="33"/>
        <v/>
      </c>
      <c r="B71" s="474" t="str">
        <f>_xlfn.LET(_xlpm.x,'Diversion and Disposal'!D67,IF(OR(LEN(_xlpm.x)&lt;1,_xlpm.x=0),"",_xlpm.x))</f>
        <v/>
      </c>
      <c r="C71" s="475" t="str">
        <f>_xlfn.LET(_xlpm.x,'Diversion and Disposal'!E67,IF(OR(LEN(_xlpm.x)&lt;1,_xlpm.x=0),"",_xlpm.x))</f>
        <v/>
      </c>
      <c r="D71" s="475" t="str">
        <f>_xlfn.LET(_xlpm.x,'Diversion and Disposal'!F67,IF(OR(LEN(_xlpm.x)&lt;1,_xlpm.x=0),"",_xlpm.x))</f>
        <v/>
      </c>
      <c r="E71" s="475" t="str">
        <f>_xlfn.LET(_xlpm.x,'Diversion and Disposal'!G67,IF(OR(LEN(_xlpm.x)&lt;1,_xlpm.x=0),"",_xlpm.x))</f>
        <v/>
      </c>
      <c r="F71" s="407"/>
      <c r="G71" s="511"/>
      <c r="H71" s="514" t="str">
        <f>_xlfn.LET(_xlpm.x,'Diversion and Disposal'!H67,IF(OR(LEN(_xlpm.x)&lt;1,_xlpm.x=0),"",_xlpm.x))</f>
        <v/>
      </c>
      <c r="I71" s="514" t="str">
        <f>_xlfn.LET(_xlpm.x,'Diversion and Disposal'!I67,IF(OR(LEN(_xlpm.x)&lt;1,_xlpm.x=0),"",_xlpm.x))</f>
        <v/>
      </c>
      <c r="J71" s="514" t="str">
        <f>_xlfn.LET(_xlpm.x,'Diversion and Disposal'!J67,IF(OR(LEN(_xlpm.x)&lt;1,_xlpm.x=0),"",_xlpm.x))</f>
        <v/>
      </c>
      <c r="K71" s="514" t="str">
        <f>_xlfn.LET(_xlpm.x,'Diversion and Disposal'!K67,IF(OR(LEN(_xlpm.x)&lt;1,_xlpm.x=0),"",_xlpm.x))</f>
        <v/>
      </c>
      <c r="L71" s="514" t="str">
        <f>_xlfn.LET(_xlpm.x,'Diversion and Disposal'!L67,IF(OR(LEN(_xlpm.x)&lt;1,_xlpm.x=0),"",_xlpm.x))</f>
        <v/>
      </c>
      <c r="M71" s="514" t="str">
        <f>_xlfn.LET(_xlpm.x,'Diversion and Disposal'!M67,IF(OR(LEN(_xlpm.x)&lt;1,_xlpm.x=0),"",_xlpm.x))</f>
        <v/>
      </c>
      <c r="N71" s="514" t="str">
        <f>_xlfn.LET(_xlpm.x,'Diversion and Disposal'!N67,IF(OR(LEN(_xlpm.x)&lt;1,_xlpm.x=0),"",_xlpm.x))</f>
        <v/>
      </c>
      <c r="O71" s="514" t="str">
        <f>_xlfn.LET(_xlpm.x,'Diversion and Disposal'!O67,IF(OR(LEN(_xlpm.x)&lt;1,_xlpm.x=0),"",_xlpm.x))</f>
        <v/>
      </c>
      <c r="P71" s="514" t="str">
        <f>_xlfn.LET(_xlpm.x,'Diversion and Disposal'!P67,IF(OR(LEN(_xlpm.x)&lt;1,_xlpm.x=0),"",_xlpm.x))</f>
        <v/>
      </c>
      <c r="Q71" s="514" t="str">
        <f>_xlfn.LET(_xlpm.x,'Diversion and Disposal'!Q67,IF(OR(LEN(_xlpm.x)&lt;1,_xlpm.x=0),"",_xlpm.x))</f>
        <v/>
      </c>
      <c r="R71" s="514" t="str">
        <f>_xlfn.LET(_xlpm.x,'Diversion and Disposal'!R67,IF(OR(LEN(_xlpm.x)&lt;1,_xlpm.x=0),"",_xlpm.x))</f>
        <v/>
      </c>
      <c r="S71" s="514" t="str">
        <f>_xlfn.LET(_xlpm.x,'Diversion and Disposal'!S67,IF(OR(LEN(_xlpm.x)&lt;1,_xlpm.x=0),"",_xlpm.x))</f>
        <v/>
      </c>
      <c r="T71" s="513">
        <f t="shared" si="42"/>
        <v>0</v>
      </c>
      <c r="BB71" s="432" t="str">
        <f t="shared" si="43"/>
        <v/>
      </c>
      <c r="BC71" s="432" t="str">
        <f t="shared" si="4"/>
        <v/>
      </c>
      <c r="BD71" s="432" t="str">
        <f t="shared" si="44"/>
        <v/>
      </c>
      <c r="BE71" s="432" t="str">
        <f t="shared" si="6"/>
        <v/>
      </c>
      <c r="BF71" s="432" t="str">
        <f t="shared" si="7"/>
        <v/>
      </c>
      <c r="BG71" s="477" t="str">
        <f t="shared" si="45"/>
        <v/>
      </c>
      <c r="BH71" s="477" t="str">
        <f t="shared" si="46"/>
        <v/>
      </c>
      <c r="BI71" s="477" t="str">
        <f t="shared" si="47"/>
        <v/>
      </c>
      <c r="BJ71" s="477" t="str">
        <f t="shared" si="48"/>
        <v/>
      </c>
      <c r="BK71" s="477" t="str">
        <f t="shared" si="49"/>
        <v/>
      </c>
      <c r="BL71" s="477" t="str">
        <f t="shared" si="50"/>
        <v/>
      </c>
      <c r="BM71" s="477" t="str">
        <f t="shared" si="51"/>
        <v/>
      </c>
      <c r="BN71" s="477" t="str">
        <f t="shared" si="52"/>
        <v/>
      </c>
      <c r="BO71" s="477" t="str">
        <f t="shared" si="53"/>
        <v/>
      </c>
      <c r="BP71" s="477" t="str">
        <f t="shared" si="54"/>
        <v/>
      </c>
      <c r="BQ71" s="477" t="str">
        <f t="shared" si="55"/>
        <v/>
      </c>
      <c r="BR71" s="477" t="str">
        <f t="shared" si="56"/>
        <v/>
      </c>
      <c r="BS71" s="477" t="str">
        <f t="shared" si="57"/>
        <v/>
      </c>
      <c r="BT71" s="435">
        <f t="shared" si="21"/>
        <v>0</v>
      </c>
      <c r="BU71" s="434" t="str">
        <f t="shared" si="58"/>
        <v/>
      </c>
      <c r="BV71" s="479" t="str">
        <f t="shared" si="35"/>
        <v/>
      </c>
      <c r="BW71" s="479" t="str">
        <f t="shared" si="22"/>
        <v/>
      </c>
      <c r="BX71" s="479" t="str">
        <f t="shared" si="23"/>
        <v/>
      </c>
      <c r="BY71" s="479" t="str">
        <f t="shared" si="24"/>
        <v/>
      </c>
      <c r="BZ71" s="479" t="str">
        <f t="shared" si="25"/>
        <v/>
      </c>
      <c r="CA71" s="479" t="str">
        <f t="shared" si="26"/>
        <v/>
      </c>
      <c r="CB71" s="479" t="str">
        <f t="shared" si="27"/>
        <v/>
      </c>
      <c r="CC71" s="479" t="str">
        <f t="shared" si="28"/>
        <v/>
      </c>
      <c r="CD71" s="479" t="str">
        <f t="shared" si="29"/>
        <v/>
      </c>
      <c r="CE71" s="479" t="str">
        <f t="shared" si="30"/>
        <v/>
      </c>
      <c r="CF71" s="479" t="str">
        <f t="shared" si="31"/>
        <v/>
      </c>
      <c r="CG71" s="479" t="str">
        <f t="shared" si="32"/>
        <v/>
      </c>
      <c r="CH71" s="480">
        <f t="shared" si="36"/>
        <v>0</v>
      </c>
      <c r="DD71" s="497" cm="1">
        <f t="array" ref="DD71">_xlfn.IFS('Project Inputs'!$F$150&lt;&gt;"Yes",0,DE71=18,0,DE71&lt;&gt;18,SUM(DF71:DG71))</f>
        <v>0</v>
      </c>
      <c r="DE71" s="31">
        <f t="shared" si="37"/>
        <v>18</v>
      </c>
      <c r="DF71" s="31">
        <f t="shared" si="38"/>
        <v>0</v>
      </c>
      <c r="DG71" s="31">
        <f t="shared" si="39"/>
        <v>0</v>
      </c>
    </row>
    <row r="72" spans="1:111" hidden="1" outlineLevel="1">
      <c r="A72" s="22" t="str">
        <f t="shared" si="33"/>
        <v/>
      </c>
      <c r="B72" s="474" t="str">
        <f>_xlfn.LET(_xlpm.x,'Diversion and Disposal'!D68,IF(OR(LEN(_xlpm.x)&lt;1,_xlpm.x=0),"",_xlpm.x))</f>
        <v/>
      </c>
      <c r="C72" s="475" t="str">
        <f>_xlfn.LET(_xlpm.x,'Diversion and Disposal'!E68,IF(OR(LEN(_xlpm.x)&lt;1,_xlpm.x=0),"",_xlpm.x))</f>
        <v/>
      </c>
      <c r="D72" s="475" t="str">
        <f>_xlfn.LET(_xlpm.x,'Diversion and Disposal'!F68,IF(OR(LEN(_xlpm.x)&lt;1,_xlpm.x=0),"",_xlpm.x))</f>
        <v/>
      </c>
      <c r="E72" s="475" t="str">
        <f>_xlfn.LET(_xlpm.x,'Diversion and Disposal'!G68,IF(OR(LEN(_xlpm.x)&lt;1,_xlpm.x=0),"",_xlpm.x))</f>
        <v/>
      </c>
      <c r="F72" s="407"/>
      <c r="G72" s="511"/>
      <c r="H72" s="514" t="str">
        <f>_xlfn.LET(_xlpm.x,'Diversion and Disposal'!H68,IF(OR(LEN(_xlpm.x)&lt;1,_xlpm.x=0),"",_xlpm.x))</f>
        <v/>
      </c>
      <c r="I72" s="514" t="str">
        <f>_xlfn.LET(_xlpm.x,'Diversion and Disposal'!I68,IF(OR(LEN(_xlpm.x)&lt;1,_xlpm.x=0),"",_xlpm.x))</f>
        <v/>
      </c>
      <c r="J72" s="514" t="str">
        <f>_xlfn.LET(_xlpm.x,'Diversion and Disposal'!J68,IF(OR(LEN(_xlpm.x)&lt;1,_xlpm.x=0),"",_xlpm.x))</f>
        <v/>
      </c>
      <c r="K72" s="514" t="str">
        <f>_xlfn.LET(_xlpm.x,'Diversion and Disposal'!K68,IF(OR(LEN(_xlpm.x)&lt;1,_xlpm.x=0),"",_xlpm.x))</f>
        <v/>
      </c>
      <c r="L72" s="514" t="str">
        <f>_xlfn.LET(_xlpm.x,'Diversion and Disposal'!L68,IF(OR(LEN(_xlpm.x)&lt;1,_xlpm.x=0),"",_xlpm.x))</f>
        <v/>
      </c>
      <c r="M72" s="514" t="str">
        <f>_xlfn.LET(_xlpm.x,'Diversion and Disposal'!M68,IF(OR(LEN(_xlpm.x)&lt;1,_xlpm.x=0),"",_xlpm.x))</f>
        <v/>
      </c>
      <c r="N72" s="514" t="str">
        <f>_xlfn.LET(_xlpm.x,'Diversion and Disposal'!N68,IF(OR(LEN(_xlpm.x)&lt;1,_xlpm.x=0),"",_xlpm.x))</f>
        <v/>
      </c>
      <c r="O72" s="514" t="str">
        <f>_xlfn.LET(_xlpm.x,'Diversion and Disposal'!O68,IF(OR(LEN(_xlpm.x)&lt;1,_xlpm.x=0),"",_xlpm.x))</f>
        <v/>
      </c>
      <c r="P72" s="514" t="str">
        <f>_xlfn.LET(_xlpm.x,'Diversion and Disposal'!P68,IF(OR(LEN(_xlpm.x)&lt;1,_xlpm.x=0),"",_xlpm.x))</f>
        <v/>
      </c>
      <c r="Q72" s="514" t="str">
        <f>_xlfn.LET(_xlpm.x,'Diversion and Disposal'!Q68,IF(OR(LEN(_xlpm.x)&lt;1,_xlpm.x=0),"",_xlpm.x))</f>
        <v/>
      </c>
      <c r="R72" s="514" t="str">
        <f>_xlfn.LET(_xlpm.x,'Diversion and Disposal'!R68,IF(OR(LEN(_xlpm.x)&lt;1,_xlpm.x=0),"",_xlpm.x))</f>
        <v/>
      </c>
      <c r="S72" s="514" t="str">
        <f>_xlfn.LET(_xlpm.x,'Diversion and Disposal'!S68,IF(OR(LEN(_xlpm.x)&lt;1,_xlpm.x=0),"",_xlpm.x))</f>
        <v/>
      </c>
      <c r="T72" s="513">
        <f t="shared" si="42"/>
        <v>0</v>
      </c>
      <c r="BB72" s="432" t="str">
        <f t="shared" si="43"/>
        <v/>
      </c>
      <c r="BC72" s="432" t="str">
        <f t="shared" si="4"/>
        <v/>
      </c>
      <c r="BD72" s="432" t="str">
        <f t="shared" si="44"/>
        <v/>
      </c>
      <c r="BE72" s="432" t="str">
        <f t="shared" si="6"/>
        <v/>
      </c>
      <c r="BF72" s="432" t="str">
        <f t="shared" si="7"/>
        <v/>
      </c>
      <c r="BG72" s="477" t="str">
        <f t="shared" si="45"/>
        <v/>
      </c>
      <c r="BH72" s="477" t="str">
        <f t="shared" si="46"/>
        <v/>
      </c>
      <c r="BI72" s="477" t="str">
        <f t="shared" si="47"/>
        <v/>
      </c>
      <c r="BJ72" s="477" t="str">
        <f t="shared" si="48"/>
        <v/>
      </c>
      <c r="BK72" s="477" t="str">
        <f t="shared" si="49"/>
        <v/>
      </c>
      <c r="BL72" s="477" t="str">
        <f t="shared" si="50"/>
        <v/>
      </c>
      <c r="BM72" s="477" t="str">
        <f t="shared" si="51"/>
        <v/>
      </c>
      <c r="BN72" s="477" t="str">
        <f t="shared" si="52"/>
        <v/>
      </c>
      <c r="BO72" s="477" t="str">
        <f t="shared" si="53"/>
        <v/>
      </c>
      <c r="BP72" s="477" t="str">
        <f t="shared" si="54"/>
        <v/>
      </c>
      <c r="BQ72" s="477" t="str">
        <f t="shared" si="55"/>
        <v/>
      </c>
      <c r="BR72" s="477" t="str">
        <f t="shared" si="56"/>
        <v/>
      </c>
      <c r="BS72" s="477" t="str">
        <f t="shared" si="57"/>
        <v/>
      </c>
      <c r="BT72" s="435">
        <f t="shared" si="21"/>
        <v>0</v>
      </c>
      <c r="BU72" s="434" t="str">
        <f t="shared" si="58"/>
        <v/>
      </c>
      <c r="BV72" s="479" t="str">
        <f t="shared" si="35"/>
        <v/>
      </c>
      <c r="BW72" s="479" t="str">
        <f t="shared" si="22"/>
        <v/>
      </c>
      <c r="BX72" s="479" t="str">
        <f t="shared" si="23"/>
        <v/>
      </c>
      <c r="BY72" s="479" t="str">
        <f t="shared" si="24"/>
        <v/>
      </c>
      <c r="BZ72" s="479" t="str">
        <f t="shared" si="25"/>
        <v/>
      </c>
      <c r="CA72" s="479" t="str">
        <f t="shared" si="26"/>
        <v/>
      </c>
      <c r="CB72" s="479" t="str">
        <f t="shared" si="27"/>
        <v/>
      </c>
      <c r="CC72" s="479" t="str">
        <f t="shared" si="28"/>
        <v/>
      </c>
      <c r="CD72" s="479" t="str">
        <f t="shared" si="29"/>
        <v/>
      </c>
      <c r="CE72" s="479" t="str">
        <f t="shared" si="30"/>
        <v/>
      </c>
      <c r="CF72" s="479" t="str">
        <f t="shared" si="31"/>
        <v/>
      </c>
      <c r="CG72" s="479" t="str">
        <f t="shared" si="32"/>
        <v/>
      </c>
      <c r="CH72" s="480">
        <f t="shared" si="36"/>
        <v>0</v>
      </c>
      <c r="DD72" s="497" cm="1">
        <f t="array" ref="DD72">_xlfn.IFS('Project Inputs'!$F$150&lt;&gt;"Yes",0,DE72=18,0,DE72&lt;&gt;18,SUM(DF72:DG72))</f>
        <v>0</v>
      </c>
      <c r="DE72" s="31">
        <f t="shared" si="37"/>
        <v>18</v>
      </c>
      <c r="DF72" s="31">
        <f t="shared" si="38"/>
        <v>0</v>
      </c>
      <c r="DG72" s="31">
        <f t="shared" si="39"/>
        <v>0</v>
      </c>
    </row>
    <row r="73" spans="1:111" hidden="1" outlineLevel="1">
      <c r="A73" s="22" t="str">
        <f t="shared" si="33"/>
        <v/>
      </c>
      <c r="B73" s="474" t="str">
        <f>_xlfn.LET(_xlpm.x,'Diversion and Disposal'!D69,IF(OR(LEN(_xlpm.x)&lt;1,_xlpm.x=0),"",_xlpm.x))</f>
        <v/>
      </c>
      <c r="C73" s="475" t="str">
        <f>_xlfn.LET(_xlpm.x,'Diversion and Disposal'!E69,IF(OR(LEN(_xlpm.x)&lt;1,_xlpm.x=0),"",_xlpm.x))</f>
        <v/>
      </c>
      <c r="D73" s="475" t="str">
        <f>_xlfn.LET(_xlpm.x,'Diversion and Disposal'!F69,IF(OR(LEN(_xlpm.x)&lt;1,_xlpm.x=0),"",_xlpm.x))</f>
        <v/>
      </c>
      <c r="E73" s="475" t="str">
        <f>_xlfn.LET(_xlpm.x,'Diversion and Disposal'!G69,IF(OR(LEN(_xlpm.x)&lt;1,_xlpm.x=0),"",_xlpm.x))</f>
        <v/>
      </c>
      <c r="F73" s="407"/>
      <c r="G73" s="511"/>
      <c r="H73" s="514" t="str">
        <f>_xlfn.LET(_xlpm.x,'Diversion and Disposal'!H69,IF(OR(LEN(_xlpm.x)&lt;1,_xlpm.x=0),"",_xlpm.x))</f>
        <v/>
      </c>
      <c r="I73" s="514" t="str">
        <f>_xlfn.LET(_xlpm.x,'Diversion and Disposal'!I69,IF(OR(LEN(_xlpm.x)&lt;1,_xlpm.x=0),"",_xlpm.x))</f>
        <v/>
      </c>
      <c r="J73" s="514" t="str">
        <f>_xlfn.LET(_xlpm.x,'Diversion and Disposal'!J69,IF(OR(LEN(_xlpm.x)&lt;1,_xlpm.x=0),"",_xlpm.x))</f>
        <v/>
      </c>
      <c r="K73" s="514" t="str">
        <f>_xlfn.LET(_xlpm.x,'Diversion and Disposal'!K69,IF(OR(LEN(_xlpm.x)&lt;1,_xlpm.x=0),"",_xlpm.x))</f>
        <v/>
      </c>
      <c r="L73" s="514" t="str">
        <f>_xlfn.LET(_xlpm.x,'Diversion and Disposal'!L69,IF(OR(LEN(_xlpm.x)&lt;1,_xlpm.x=0),"",_xlpm.x))</f>
        <v/>
      </c>
      <c r="M73" s="514" t="str">
        <f>_xlfn.LET(_xlpm.x,'Diversion and Disposal'!M69,IF(OR(LEN(_xlpm.x)&lt;1,_xlpm.x=0),"",_xlpm.x))</f>
        <v/>
      </c>
      <c r="N73" s="514" t="str">
        <f>_xlfn.LET(_xlpm.x,'Diversion and Disposal'!N69,IF(OR(LEN(_xlpm.x)&lt;1,_xlpm.x=0),"",_xlpm.x))</f>
        <v/>
      </c>
      <c r="O73" s="514" t="str">
        <f>_xlfn.LET(_xlpm.x,'Diversion and Disposal'!O69,IF(OR(LEN(_xlpm.x)&lt;1,_xlpm.x=0),"",_xlpm.x))</f>
        <v/>
      </c>
      <c r="P73" s="514" t="str">
        <f>_xlfn.LET(_xlpm.x,'Diversion and Disposal'!P69,IF(OR(LEN(_xlpm.x)&lt;1,_xlpm.x=0),"",_xlpm.x))</f>
        <v/>
      </c>
      <c r="Q73" s="514" t="str">
        <f>_xlfn.LET(_xlpm.x,'Diversion and Disposal'!Q69,IF(OR(LEN(_xlpm.x)&lt;1,_xlpm.x=0),"",_xlpm.x))</f>
        <v/>
      </c>
      <c r="R73" s="514" t="str">
        <f>_xlfn.LET(_xlpm.x,'Diversion and Disposal'!R69,IF(OR(LEN(_xlpm.x)&lt;1,_xlpm.x=0),"",_xlpm.x))</f>
        <v/>
      </c>
      <c r="S73" s="514" t="str">
        <f>_xlfn.LET(_xlpm.x,'Diversion and Disposal'!S69,IF(OR(LEN(_xlpm.x)&lt;1,_xlpm.x=0),"",_xlpm.x))</f>
        <v/>
      </c>
      <c r="T73" s="513">
        <f t="shared" si="42"/>
        <v>0</v>
      </c>
      <c r="BB73" s="432" t="str">
        <f t="shared" si="43"/>
        <v/>
      </c>
      <c r="BC73" s="432" t="str">
        <f t="shared" si="4"/>
        <v/>
      </c>
      <c r="BD73" s="432" t="str">
        <f t="shared" si="44"/>
        <v/>
      </c>
      <c r="BE73" s="432" t="str">
        <f t="shared" si="6"/>
        <v/>
      </c>
      <c r="BF73" s="432" t="str">
        <f t="shared" si="7"/>
        <v/>
      </c>
      <c r="BG73" s="477" t="str">
        <f t="shared" si="45"/>
        <v/>
      </c>
      <c r="BH73" s="477" t="str">
        <f t="shared" si="46"/>
        <v/>
      </c>
      <c r="BI73" s="477" t="str">
        <f t="shared" si="47"/>
        <v/>
      </c>
      <c r="BJ73" s="477" t="str">
        <f t="shared" si="48"/>
        <v/>
      </c>
      <c r="BK73" s="477" t="str">
        <f t="shared" si="49"/>
        <v/>
      </c>
      <c r="BL73" s="477" t="str">
        <f t="shared" si="50"/>
        <v/>
      </c>
      <c r="BM73" s="477" t="str">
        <f t="shared" si="51"/>
        <v/>
      </c>
      <c r="BN73" s="477" t="str">
        <f t="shared" si="52"/>
        <v/>
      </c>
      <c r="BO73" s="477" t="str">
        <f t="shared" si="53"/>
        <v/>
      </c>
      <c r="BP73" s="477" t="str">
        <f t="shared" si="54"/>
        <v/>
      </c>
      <c r="BQ73" s="477" t="str">
        <f t="shared" si="55"/>
        <v/>
      </c>
      <c r="BR73" s="477" t="str">
        <f t="shared" si="56"/>
        <v/>
      </c>
      <c r="BS73" s="477" t="str">
        <f t="shared" si="57"/>
        <v/>
      </c>
      <c r="BT73" s="435">
        <f t="shared" si="21"/>
        <v>0</v>
      </c>
      <c r="BU73" s="434" t="str">
        <f t="shared" si="58"/>
        <v/>
      </c>
      <c r="BV73" s="479" t="str">
        <f t="shared" si="35"/>
        <v/>
      </c>
      <c r="BW73" s="479" t="str">
        <f t="shared" si="22"/>
        <v/>
      </c>
      <c r="BX73" s="479" t="str">
        <f t="shared" si="23"/>
        <v/>
      </c>
      <c r="BY73" s="479" t="str">
        <f t="shared" si="24"/>
        <v/>
      </c>
      <c r="BZ73" s="479" t="str">
        <f t="shared" si="25"/>
        <v/>
      </c>
      <c r="CA73" s="479" t="str">
        <f t="shared" si="26"/>
        <v/>
      </c>
      <c r="CB73" s="479" t="str">
        <f t="shared" si="27"/>
        <v/>
      </c>
      <c r="CC73" s="479" t="str">
        <f t="shared" si="28"/>
        <v/>
      </c>
      <c r="CD73" s="479" t="str">
        <f t="shared" si="29"/>
        <v/>
      </c>
      <c r="CE73" s="479" t="str">
        <f t="shared" si="30"/>
        <v/>
      </c>
      <c r="CF73" s="479" t="str">
        <f t="shared" si="31"/>
        <v/>
      </c>
      <c r="CG73" s="479" t="str">
        <f t="shared" si="32"/>
        <v/>
      </c>
      <c r="CH73" s="480">
        <f t="shared" si="36"/>
        <v>0</v>
      </c>
      <c r="DD73" s="497" cm="1">
        <f t="array" ref="DD73">_xlfn.IFS('Project Inputs'!$F$150&lt;&gt;"Yes",0,DE73=18,0,DE73&lt;&gt;18,SUM(DF73:DG73))</f>
        <v>0</v>
      </c>
      <c r="DE73" s="31">
        <f t="shared" si="37"/>
        <v>18</v>
      </c>
      <c r="DF73" s="31">
        <f t="shared" si="38"/>
        <v>0</v>
      </c>
      <c r="DG73" s="31">
        <f t="shared" si="39"/>
        <v>0</v>
      </c>
    </row>
    <row r="74" spans="1:111" hidden="1" outlineLevel="1">
      <c r="A74" s="22" t="str">
        <f t="shared" si="33"/>
        <v/>
      </c>
      <c r="B74" s="474" t="str">
        <f>_xlfn.LET(_xlpm.x,'Diversion and Disposal'!D70,IF(OR(LEN(_xlpm.x)&lt;1,_xlpm.x=0),"",_xlpm.x))</f>
        <v/>
      </c>
      <c r="C74" s="475" t="str">
        <f>_xlfn.LET(_xlpm.x,'Diversion and Disposal'!E70,IF(OR(LEN(_xlpm.x)&lt;1,_xlpm.x=0),"",_xlpm.x))</f>
        <v/>
      </c>
      <c r="D74" s="475" t="str">
        <f>_xlfn.LET(_xlpm.x,'Diversion and Disposal'!F70,IF(OR(LEN(_xlpm.x)&lt;1,_xlpm.x=0),"",_xlpm.x))</f>
        <v/>
      </c>
      <c r="E74" s="475" t="str">
        <f>_xlfn.LET(_xlpm.x,'Diversion and Disposal'!G70,IF(OR(LEN(_xlpm.x)&lt;1,_xlpm.x=0),"",_xlpm.x))</f>
        <v/>
      </c>
      <c r="F74" s="407"/>
      <c r="G74" s="511"/>
      <c r="H74" s="514" t="str">
        <f>_xlfn.LET(_xlpm.x,'Diversion and Disposal'!H70,IF(OR(LEN(_xlpm.x)&lt;1,_xlpm.x=0),"",_xlpm.x))</f>
        <v/>
      </c>
      <c r="I74" s="514" t="str">
        <f>_xlfn.LET(_xlpm.x,'Diversion and Disposal'!I70,IF(OR(LEN(_xlpm.x)&lt;1,_xlpm.x=0),"",_xlpm.x))</f>
        <v/>
      </c>
      <c r="J74" s="514" t="str">
        <f>_xlfn.LET(_xlpm.x,'Diversion and Disposal'!J70,IF(OR(LEN(_xlpm.x)&lt;1,_xlpm.x=0),"",_xlpm.x))</f>
        <v/>
      </c>
      <c r="K74" s="514" t="str">
        <f>_xlfn.LET(_xlpm.x,'Diversion and Disposal'!K70,IF(OR(LEN(_xlpm.x)&lt;1,_xlpm.x=0),"",_xlpm.x))</f>
        <v/>
      </c>
      <c r="L74" s="514" t="str">
        <f>_xlfn.LET(_xlpm.x,'Diversion and Disposal'!L70,IF(OR(LEN(_xlpm.x)&lt;1,_xlpm.x=0),"",_xlpm.x))</f>
        <v/>
      </c>
      <c r="M74" s="514" t="str">
        <f>_xlfn.LET(_xlpm.x,'Diversion and Disposal'!M70,IF(OR(LEN(_xlpm.x)&lt;1,_xlpm.x=0),"",_xlpm.x))</f>
        <v/>
      </c>
      <c r="N74" s="514" t="str">
        <f>_xlfn.LET(_xlpm.x,'Diversion and Disposal'!N70,IF(OR(LEN(_xlpm.x)&lt;1,_xlpm.x=0),"",_xlpm.x))</f>
        <v/>
      </c>
      <c r="O74" s="514" t="str">
        <f>_xlfn.LET(_xlpm.x,'Diversion and Disposal'!O70,IF(OR(LEN(_xlpm.x)&lt;1,_xlpm.x=0),"",_xlpm.x))</f>
        <v/>
      </c>
      <c r="P74" s="514" t="str">
        <f>_xlfn.LET(_xlpm.x,'Diversion and Disposal'!P70,IF(OR(LEN(_xlpm.x)&lt;1,_xlpm.x=0),"",_xlpm.x))</f>
        <v/>
      </c>
      <c r="Q74" s="514" t="str">
        <f>_xlfn.LET(_xlpm.x,'Diversion and Disposal'!Q70,IF(OR(LEN(_xlpm.x)&lt;1,_xlpm.x=0),"",_xlpm.x))</f>
        <v/>
      </c>
      <c r="R74" s="514" t="str">
        <f>_xlfn.LET(_xlpm.x,'Diversion and Disposal'!R70,IF(OR(LEN(_xlpm.x)&lt;1,_xlpm.x=0),"",_xlpm.x))</f>
        <v/>
      </c>
      <c r="S74" s="514" t="str">
        <f>_xlfn.LET(_xlpm.x,'Diversion and Disposal'!S70,IF(OR(LEN(_xlpm.x)&lt;1,_xlpm.x=0),"",_xlpm.x))</f>
        <v/>
      </c>
      <c r="T74" s="513">
        <f t="shared" si="42"/>
        <v>0</v>
      </c>
      <c r="BB74" s="432" t="str">
        <f t="shared" si="43"/>
        <v/>
      </c>
      <c r="BC74" s="432" t="str">
        <f t="shared" si="4"/>
        <v/>
      </c>
      <c r="BD74" s="432" t="str">
        <f t="shared" si="44"/>
        <v/>
      </c>
      <c r="BE74" s="432" t="str">
        <f t="shared" si="6"/>
        <v/>
      </c>
      <c r="BF74" s="432" t="str">
        <f t="shared" si="7"/>
        <v/>
      </c>
      <c r="BG74" s="477" t="str">
        <f t="shared" si="45"/>
        <v/>
      </c>
      <c r="BH74" s="477" t="str">
        <f t="shared" si="46"/>
        <v/>
      </c>
      <c r="BI74" s="477" t="str">
        <f t="shared" si="47"/>
        <v/>
      </c>
      <c r="BJ74" s="477" t="str">
        <f t="shared" si="48"/>
        <v/>
      </c>
      <c r="BK74" s="477" t="str">
        <f t="shared" si="49"/>
        <v/>
      </c>
      <c r="BL74" s="477" t="str">
        <f t="shared" si="50"/>
        <v/>
      </c>
      <c r="BM74" s="477" t="str">
        <f t="shared" si="51"/>
        <v/>
      </c>
      <c r="BN74" s="477" t="str">
        <f t="shared" si="52"/>
        <v/>
      </c>
      <c r="BO74" s="477" t="str">
        <f t="shared" si="53"/>
        <v/>
      </c>
      <c r="BP74" s="477" t="str">
        <f t="shared" si="54"/>
        <v/>
      </c>
      <c r="BQ74" s="477" t="str">
        <f t="shared" si="55"/>
        <v/>
      </c>
      <c r="BR74" s="477" t="str">
        <f t="shared" si="56"/>
        <v/>
      </c>
      <c r="BS74" s="477" t="str">
        <f t="shared" si="57"/>
        <v/>
      </c>
      <c r="BT74" s="435">
        <f t="shared" si="21"/>
        <v>0</v>
      </c>
      <c r="BU74" s="434" t="str">
        <f t="shared" si="58"/>
        <v/>
      </c>
      <c r="BV74" s="479" t="str">
        <f t="shared" si="35"/>
        <v/>
      </c>
      <c r="BW74" s="479" t="str">
        <f t="shared" si="22"/>
        <v/>
      </c>
      <c r="BX74" s="479" t="str">
        <f t="shared" si="23"/>
        <v/>
      </c>
      <c r="BY74" s="479" t="str">
        <f t="shared" si="24"/>
        <v/>
      </c>
      <c r="BZ74" s="479" t="str">
        <f t="shared" si="25"/>
        <v/>
      </c>
      <c r="CA74" s="479" t="str">
        <f t="shared" si="26"/>
        <v/>
      </c>
      <c r="CB74" s="479" t="str">
        <f t="shared" si="27"/>
        <v/>
      </c>
      <c r="CC74" s="479" t="str">
        <f t="shared" si="28"/>
        <v/>
      </c>
      <c r="CD74" s="479" t="str">
        <f t="shared" si="29"/>
        <v/>
      </c>
      <c r="CE74" s="479" t="str">
        <f t="shared" si="30"/>
        <v/>
      </c>
      <c r="CF74" s="479" t="str">
        <f t="shared" si="31"/>
        <v/>
      </c>
      <c r="CG74" s="479" t="str">
        <f t="shared" si="32"/>
        <v/>
      </c>
      <c r="CH74" s="480">
        <f t="shared" si="36"/>
        <v>0</v>
      </c>
      <c r="DD74" s="497" cm="1">
        <f t="array" ref="DD74">_xlfn.IFS('Project Inputs'!$F$150&lt;&gt;"Yes",0,DE74=18,0,DE74&lt;&gt;18,SUM(DF74:DG74))</f>
        <v>0</v>
      </c>
      <c r="DE74" s="31">
        <f t="shared" si="37"/>
        <v>18</v>
      </c>
      <c r="DF74" s="31">
        <f t="shared" si="38"/>
        <v>0</v>
      </c>
      <c r="DG74" s="31">
        <f t="shared" si="39"/>
        <v>0</v>
      </c>
    </row>
    <row r="75" spans="1:111" hidden="1" outlineLevel="1">
      <c r="A75" s="22" t="str">
        <f t="shared" si="33"/>
        <v/>
      </c>
      <c r="B75" s="474" t="str">
        <f>_xlfn.LET(_xlpm.x,'Diversion and Disposal'!D71,IF(OR(LEN(_xlpm.x)&lt;1,_xlpm.x=0),"",_xlpm.x))</f>
        <v/>
      </c>
      <c r="C75" s="475" t="str">
        <f>_xlfn.LET(_xlpm.x,'Diversion and Disposal'!E71,IF(OR(LEN(_xlpm.x)&lt;1,_xlpm.x=0),"",_xlpm.x))</f>
        <v/>
      </c>
      <c r="D75" s="475" t="str">
        <f>_xlfn.LET(_xlpm.x,'Diversion and Disposal'!F71,IF(OR(LEN(_xlpm.x)&lt;1,_xlpm.x=0),"",_xlpm.x))</f>
        <v/>
      </c>
      <c r="E75" s="475" t="str">
        <f>_xlfn.LET(_xlpm.x,'Diversion and Disposal'!G71,IF(OR(LEN(_xlpm.x)&lt;1,_xlpm.x=0),"",_xlpm.x))</f>
        <v/>
      </c>
      <c r="F75" s="407"/>
      <c r="G75" s="511"/>
      <c r="H75" s="514" t="str">
        <f>_xlfn.LET(_xlpm.x,'Diversion and Disposal'!H71,IF(OR(LEN(_xlpm.x)&lt;1,_xlpm.x=0),"",_xlpm.x))</f>
        <v/>
      </c>
      <c r="I75" s="514" t="str">
        <f>_xlfn.LET(_xlpm.x,'Diversion and Disposal'!I71,IF(OR(LEN(_xlpm.x)&lt;1,_xlpm.x=0),"",_xlpm.x))</f>
        <v/>
      </c>
      <c r="J75" s="514" t="str">
        <f>_xlfn.LET(_xlpm.x,'Diversion and Disposal'!J71,IF(OR(LEN(_xlpm.x)&lt;1,_xlpm.x=0),"",_xlpm.x))</f>
        <v/>
      </c>
      <c r="K75" s="514" t="str">
        <f>_xlfn.LET(_xlpm.x,'Diversion and Disposal'!K71,IF(OR(LEN(_xlpm.x)&lt;1,_xlpm.x=0),"",_xlpm.x))</f>
        <v/>
      </c>
      <c r="L75" s="514" t="str">
        <f>_xlfn.LET(_xlpm.x,'Diversion and Disposal'!L71,IF(OR(LEN(_xlpm.x)&lt;1,_xlpm.x=0),"",_xlpm.x))</f>
        <v/>
      </c>
      <c r="M75" s="514" t="str">
        <f>_xlfn.LET(_xlpm.x,'Diversion and Disposal'!M71,IF(OR(LEN(_xlpm.x)&lt;1,_xlpm.x=0),"",_xlpm.x))</f>
        <v/>
      </c>
      <c r="N75" s="514" t="str">
        <f>_xlfn.LET(_xlpm.x,'Diversion and Disposal'!N71,IF(OR(LEN(_xlpm.x)&lt;1,_xlpm.x=0),"",_xlpm.x))</f>
        <v/>
      </c>
      <c r="O75" s="514" t="str">
        <f>_xlfn.LET(_xlpm.x,'Diversion and Disposal'!O71,IF(OR(LEN(_xlpm.x)&lt;1,_xlpm.x=0),"",_xlpm.x))</f>
        <v/>
      </c>
      <c r="P75" s="514" t="str">
        <f>_xlfn.LET(_xlpm.x,'Diversion and Disposal'!P71,IF(OR(LEN(_xlpm.x)&lt;1,_xlpm.x=0),"",_xlpm.x))</f>
        <v/>
      </c>
      <c r="Q75" s="514" t="str">
        <f>_xlfn.LET(_xlpm.x,'Diversion and Disposal'!Q71,IF(OR(LEN(_xlpm.x)&lt;1,_xlpm.x=0),"",_xlpm.x))</f>
        <v/>
      </c>
      <c r="R75" s="514" t="str">
        <f>_xlfn.LET(_xlpm.x,'Diversion and Disposal'!R71,IF(OR(LEN(_xlpm.x)&lt;1,_xlpm.x=0),"",_xlpm.x))</f>
        <v/>
      </c>
      <c r="S75" s="514" t="str">
        <f>_xlfn.LET(_xlpm.x,'Diversion and Disposal'!S71,IF(OR(LEN(_xlpm.x)&lt;1,_xlpm.x=0),"",_xlpm.x))</f>
        <v/>
      </c>
      <c r="T75" s="513">
        <f t="shared" si="42"/>
        <v>0</v>
      </c>
      <c r="BB75" s="432" t="str">
        <f t="shared" si="43"/>
        <v/>
      </c>
      <c r="BC75" s="432" t="str">
        <f t="shared" si="4"/>
        <v/>
      </c>
      <c r="BD75" s="432" t="str">
        <f t="shared" si="44"/>
        <v/>
      </c>
      <c r="BE75" s="432" t="str">
        <f t="shared" si="6"/>
        <v/>
      </c>
      <c r="BF75" s="432" t="str">
        <f t="shared" si="7"/>
        <v/>
      </c>
      <c r="BG75" s="477" t="str">
        <f t="shared" si="45"/>
        <v/>
      </c>
      <c r="BH75" s="477" t="str">
        <f t="shared" si="46"/>
        <v/>
      </c>
      <c r="BI75" s="477" t="str">
        <f t="shared" si="47"/>
        <v/>
      </c>
      <c r="BJ75" s="477" t="str">
        <f t="shared" si="48"/>
        <v/>
      </c>
      <c r="BK75" s="477" t="str">
        <f t="shared" si="49"/>
        <v/>
      </c>
      <c r="BL75" s="477" t="str">
        <f t="shared" si="50"/>
        <v/>
      </c>
      <c r="BM75" s="477" t="str">
        <f t="shared" si="51"/>
        <v/>
      </c>
      <c r="BN75" s="477" t="str">
        <f t="shared" si="52"/>
        <v/>
      </c>
      <c r="BO75" s="477" t="str">
        <f t="shared" si="53"/>
        <v/>
      </c>
      <c r="BP75" s="477" t="str">
        <f t="shared" si="54"/>
        <v/>
      </c>
      <c r="BQ75" s="477" t="str">
        <f t="shared" si="55"/>
        <v/>
      </c>
      <c r="BR75" s="477" t="str">
        <f t="shared" si="56"/>
        <v/>
      </c>
      <c r="BS75" s="477" t="str">
        <f t="shared" si="57"/>
        <v/>
      </c>
      <c r="BT75" s="435">
        <f t="shared" si="21"/>
        <v>0</v>
      </c>
      <c r="BU75" s="434" t="str">
        <f t="shared" si="58"/>
        <v/>
      </c>
      <c r="BV75" s="479" t="str">
        <f t="shared" si="35"/>
        <v/>
      </c>
      <c r="BW75" s="479" t="str">
        <f t="shared" si="22"/>
        <v/>
      </c>
      <c r="BX75" s="479" t="str">
        <f t="shared" si="23"/>
        <v/>
      </c>
      <c r="BY75" s="479" t="str">
        <f t="shared" si="24"/>
        <v/>
      </c>
      <c r="BZ75" s="479" t="str">
        <f t="shared" si="25"/>
        <v/>
      </c>
      <c r="CA75" s="479" t="str">
        <f t="shared" si="26"/>
        <v/>
      </c>
      <c r="CB75" s="479" t="str">
        <f t="shared" si="27"/>
        <v/>
      </c>
      <c r="CC75" s="479" t="str">
        <f t="shared" si="28"/>
        <v/>
      </c>
      <c r="CD75" s="479" t="str">
        <f t="shared" si="29"/>
        <v/>
      </c>
      <c r="CE75" s="479" t="str">
        <f t="shared" si="30"/>
        <v/>
      </c>
      <c r="CF75" s="479" t="str">
        <f t="shared" si="31"/>
        <v/>
      </c>
      <c r="CG75" s="479" t="str">
        <f t="shared" si="32"/>
        <v/>
      </c>
      <c r="CH75" s="480">
        <f t="shared" si="36"/>
        <v>0</v>
      </c>
      <c r="DD75" s="497" cm="1">
        <f t="array" ref="DD75">_xlfn.IFS('Project Inputs'!$F$150&lt;&gt;"Yes",0,DE75=18,0,DE75&lt;&gt;18,SUM(DF75:DG75))</f>
        <v>0</v>
      </c>
      <c r="DE75" s="31">
        <f t="shared" si="37"/>
        <v>18</v>
      </c>
      <c r="DF75" s="31">
        <f t="shared" si="38"/>
        <v>0</v>
      </c>
      <c r="DG75" s="31">
        <f t="shared" si="39"/>
        <v>0</v>
      </c>
    </row>
    <row r="76" spans="1:111" hidden="1" outlineLevel="1">
      <c r="A76" s="22" t="str">
        <f t="shared" si="33"/>
        <v/>
      </c>
      <c r="B76" s="474" t="str">
        <f>_xlfn.LET(_xlpm.x,'Diversion and Disposal'!D72,IF(OR(LEN(_xlpm.x)&lt;1,_xlpm.x=0),"",_xlpm.x))</f>
        <v/>
      </c>
      <c r="C76" s="475" t="str">
        <f>_xlfn.LET(_xlpm.x,'Diversion and Disposal'!E72,IF(OR(LEN(_xlpm.x)&lt;1,_xlpm.x=0),"",_xlpm.x))</f>
        <v/>
      </c>
      <c r="D76" s="475" t="str">
        <f>_xlfn.LET(_xlpm.x,'Diversion and Disposal'!F72,IF(OR(LEN(_xlpm.x)&lt;1,_xlpm.x=0),"",_xlpm.x))</f>
        <v/>
      </c>
      <c r="E76" s="475" t="str">
        <f>_xlfn.LET(_xlpm.x,'Diversion and Disposal'!G72,IF(OR(LEN(_xlpm.x)&lt;1,_xlpm.x=0),"",_xlpm.x))</f>
        <v/>
      </c>
      <c r="F76" s="407"/>
      <c r="G76" s="511"/>
      <c r="H76" s="514" t="str">
        <f>_xlfn.LET(_xlpm.x,'Diversion and Disposal'!H72,IF(OR(LEN(_xlpm.x)&lt;1,_xlpm.x=0),"",_xlpm.x))</f>
        <v/>
      </c>
      <c r="I76" s="514" t="str">
        <f>_xlfn.LET(_xlpm.x,'Diversion and Disposal'!I72,IF(OR(LEN(_xlpm.x)&lt;1,_xlpm.x=0),"",_xlpm.x))</f>
        <v/>
      </c>
      <c r="J76" s="514" t="str">
        <f>_xlfn.LET(_xlpm.x,'Diversion and Disposal'!J72,IF(OR(LEN(_xlpm.x)&lt;1,_xlpm.x=0),"",_xlpm.x))</f>
        <v/>
      </c>
      <c r="K76" s="514" t="str">
        <f>_xlfn.LET(_xlpm.x,'Diversion and Disposal'!K72,IF(OR(LEN(_xlpm.x)&lt;1,_xlpm.x=0),"",_xlpm.x))</f>
        <v/>
      </c>
      <c r="L76" s="514" t="str">
        <f>_xlfn.LET(_xlpm.x,'Diversion and Disposal'!L72,IF(OR(LEN(_xlpm.x)&lt;1,_xlpm.x=0),"",_xlpm.x))</f>
        <v/>
      </c>
      <c r="M76" s="514" t="str">
        <f>_xlfn.LET(_xlpm.x,'Diversion and Disposal'!M72,IF(OR(LEN(_xlpm.x)&lt;1,_xlpm.x=0),"",_xlpm.x))</f>
        <v/>
      </c>
      <c r="N76" s="514" t="str">
        <f>_xlfn.LET(_xlpm.x,'Diversion and Disposal'!N72,IF(OR(LEN(_xlpm.x)&lt;1,_xlpm.x=0),"",_xlpm.x))</f>
        <v/>
      </c>
      <c r="O76" s="514" t="str">
        <f>_xlfn.LET(_xlpm.x,'Diversion and Disposal'!O72,IF(OR(LEN(_xlpm.x)&lt;1,_xlpm.x=0),"",_xlpm.x))</f>
        <v/>
      </c>
      <c r="P76" s="514" t="str">
        <f>_xlfn.LET(_xlpm.x,'Diversion and Disposal'!P72,IF(OR(LEN(_xlpm.x)&lt;1,_xlpm.x=0),"",_xlpm.x))</f>
        <v/>
      </c>
      <c r="Q76" s="514" t="str">
        <f>_xlfn.LET(_xlpm.x,'Diversion and Disposal'!Q72,IF(OR(LEN(_xlpm.x)&lt;1,_xlpm.x=0),"",_xlpm.x))</f>
        <v/>
      </c>
      <c r="R76" s="514" t="str">
        <f>_xlfn.LET(_xlpm.x,'Diversion and Disposal'!R72,IF(OR(LEN(_xlpm.x)&lt;1,_xlpm.x=0),"",_xlpm.x))</f>
        <v/>
      </c>
      <c r="S76" s="514" t="str">
        <f>_xlfn.LET(_xlpm.x,'Diversion and Disposal'!S72,IF(OR(LEN(_xlpm.x)&lt;1,_xlpm.x=0),"",_xlpm.x))</f>
        <v/>
      </c>
      <c r="T76" s="513">
        <f t="shared" si="42"/>
        <v>0</v>
      </c>
      <c r="BB76" s="432" t="str">
        <f t="shared" si="43"/>
        <v/>
      </c>
      <c r="BC76" s="432" t="str">
        <f t="shared" si="4"/>
        <v/>
      </c>
      <c r="BD76" s="432" t="str">
        <f t="shared" si="44"/>
        <v/>
      </c>
      <c r="BE76" s="432" t="str">
        <f t="shared" si="6"/>
        <v/>
      </c>
      <c r="BF76" s="432" t="str">
        <f t="shared" si="7"/>
        <v/>
      </c>
      <c r="BG76" s="477" t="str">
        <f t="shared" si="45"/>
        <v/>
      </c>
      <c r="BH76" s="477" t="str">
        <f t="shared" si="46"/>
        <v/>
      </c>
      <c r="BI76" s="477" t="str">
        <f t="shared" si="47"/>
        <v/>
      </c>
      <c r="BJ76" s="477" t="str">
        <f t="shared" si="48"/>
        <v/>
      </c>
      <c r="BK76" s="477" t="str">
        <f t="shared" si="49"/>
        <v/>
      </c>
      <c r="BL76" s="477" t="str">
        <f t="shared" si="50"/>
        <v/>
      </c>
      <c r="BM76" s="477" t="str">
        <f t="shared" si="51"/>
        <v/>
      </c>
      <c r="BN76" s="477" t="str">
        <f t="shared" si="52"/>
        <v/>
      </c>
      <c r="BO76" s="477" t="str">
        <f t="shared" si="53"/>
        <v/>
      </c>
      <c r="BP76" s="477" t="str">
        <f t="shared" si="54"/>
        <v/>
      </c>
      <c r="BQ76" s="477" t="str">
        <f t="shared" si="55"/>
        <v/>
      </c>
      <c r="BR76" s="477" t="str">
        <f t="shared" si="56"/>
        <v/>
      </c>
      <c r="BS76" s="477" t="str">
        <f t="shared" si="57"/>
        <v/>
      </c>
      <c r="BT76" s="435">
        <f t="shared" si="21"/>
        <v>0</v>
      </c>
      <c r="BU76" s="434" t="str">
        <f t="shared" si="58"/>
        <v/>
      </c>
      <c r="BV76" s="479" t="str">
        <f t="shared" si="35"/>
        <v/>
      </c>
      <c r="BW76" s="479" t="str">
        <f t="shared" si="22"/>
        <v/>
      </c>
      <c r="BX76" s="479" t="str">
        <f t="shared" si="23"/>
        <v/>
      </c>
      <c r="BY76" s="479" t="str">
        <f t="shared" si="24"/>
        <v/>
      </c>
      <c r="BZ76" s="479" t="str">
        <f t="shared" si="25"/>
        <v/>
      </c>
      <c r="CA76" s="479" t="str">
        <f t="shared" si="26"/>
        <v/>
      </c>
      <c r="CB76" s="479" t="str">
        <f t="shared" si="27"/>
        <v/>
      </c>
      <c r="CC76" s="479" t="str">
        <f t="shared" si="28"/>
        <v/>
      </c>
      <c r="CD76" s="479" t="str">
        <f t="shared" si="29"/>
        <v/>
      </c>
      <c r="CE76" s="479" t="str">
        <f t="shared" si="30"/>
        <v/>
      </c>
      <c r="CF76" s="479" t="str">
        <f t="shared" si="31"/>
        <v/>
      </c>
      <c r="CG76" s="479" t="str">
        <f t="shared" si="32"/>
        <v/>
      </c>
      <c r="CH76" s="480">
        <f t="shared" si="36"/>
        <v>0</v>
      </c>
      <c r="DD76" s="497" cm="1">
        <f t="array" ref="DD76">_xlfn.IFS('Project Inputs'!$F$150&lt;&gt;"Yes",0,DE76=18,0,DE76&lt;&gt;18,SUM(DF76:DG76))</f>
        <v>0</v>
      </c>
      <c r="DE76" s="31">
        <f t="shared" si="37"/>
        <v>18</v>
      </c>
      <c r="DF76" s="31">
        <f t="shared" si="38"/>
        <v>0</v>
      </c>
      <c r="DG76" s="31">
        <f t="shared" si="39"/>
        <v>0</v>
      </c>
    </row>
    <row r="77" spans="1:111" hidden="1" outlineLevel="1">
      <c r="A77" s="22" t="str">
        <f t="shared" si="33"/>
        <v/>
      </c>
      <c r="B77" s="474" t="str">
        <f>_xlfn.LET(_xlpm.x,'Diversion and Disposal'!D73,IF(OR(LEN(_xlpm.x)&lt;1,_xlpm.x=0),"",_xlpm.x))</f>
        <v/>
      </c>
      <c r="C77" s="475" t="str">
        <f>_xlfn.LET(_xlpm.x,'Diversion and Disposal'!E73,IF(OR(LEN(_xlpm.x)&lt;1,_xlpm.x=0),"",_xlpm.x))</f>
        <v/>
      </c>
      <c r="D77" s="475" t="str">
        <f>_xlfn.LET(_xlpm.x,'Diversion and Disposal'!F73,IF(OR(LEN(_xlpm.x)&lt;1,_xlpm.x=0),"",_xlpm.x))</f>
        <v/>
      </c>
      <c r="E77" s="475" t="str">
        <f>_xlfn.LET(_xlpm.x,'Diversion and Disposal'!G73,IF(OR(LEN(_xlpm.x)&lt;1,_xlpm.x=0),"",_xlpm.x))</f>
        <v/>
      </c>
      <c r="F77" s="407"/>
      <c r="G77" s="511"/>
      <c r="H77" s="514" t="str">
        <f>_xlfn.LET(_xlpm.x,'Diversion and Disposal'!H73,IF(OR(LEN(_xlpm.x)&lt;1,_xlpm.x=0),"",_xlpm.x))</f>
        <v/>
      </c>
      <c r="I77" s="514" t="str">
        <f>_xlfn.LET(_xlpm.x,'Diversion and Disposal'!I73,IF(OR(LEN(_xlpm.x)&lt;1,_xlpm.x=0),"",_xlpm.x))</f>
        <v/>
      </c>
      <c r="J77" s="514" t="str">
        <f>_xlfn.LET(_xlpm.x,'Diversion and Disposal'!J73,IF(OR(LEN(_xlpm.x)&lt;1,_xlpm.x=0),"",_xlpm.x))</f>
        <v/>
      </c>
      <c r="K77" s="514" t="str">
        <f>_xlfn.LET(_xlpm.x,'Diversion and Disposal'!K73,IF(OR(LEN(_xlpm.x)&lt;1,_xlpm.x=0),"",_xlpm.x))</f>
        <v/>
      </c>
      <c r="L77" s="514" t="str">
        <f>_xlfn.LET(_xlpm.x,'Diversion and Disposal'!L73,IF(OR(LEN(_xlpm.x)&lt;1,_xlpm.x=0),"",_xlpm.x))</f>
        <v/>
      </c>
      <c r="M77" s="514" t="str">
        <f>_xlfn.LET(_xlpm.x,'Diversion and Disposal'!M73,IF(OR(LEN(_xlpm.x)&lt;1,_xlpm.x=0),"",_xlpm.x))</f>
        <v/>
      </c>
      <c r="N77" s="514" t="str">
        <f>_xlfn.LET(_xlpm.x,'Diversion and Disposal'!N73,IF(OR(LEN(_xlpm.x)&lt;1,_xlpm.x=0),"",_xlpm.x))</f>
        <v/>
      </c>
      <c r="O77" s="514" t="str">
        <f>_xlfn.LET(_xlpm.x,'Diversion and Disposal'!O73,IF(OR(LEN(_xlpm.x)&lt;1,_xlpm.x=0),"",_xlpm.x))</f>
        <v/>
      </c>
      <c r="P77" s="514" t="str">
        <f>_xlfn.LET(_xlpm.x,'Diversion and Disposal'!P73,IF(OR(LEN(_xlpm.x)&lt;1,_xlpm.x=0),"",_xlpm.x))</f>
        <v/>
      </c>
      <c r="Q77" s="514" t="str">
        <f>_xlfn.LET(_xlpm.x,'Diversion and Disposal'!Q73,IF(OR(LEN(_xlpm.x)&lt;1,_xlpm.x=0),"",_xlpm.x))</f>
        <v/>
      </c>
      <c r="R77" s="514" t="str">
        <f>_xlfn.LET(_xlpm.x,'Diversion and Disposal'!R73,IF(OR(LEN(_xlpm.x)&lt;1,_xlpm.x=0),"",_xlpm.x))</f>
        <v/>
      </c>
      <c r="S77" s="514" t="str">
        <f>_xlfn.LET(_xlpm.x,'Diversion and Disposal'!S73,IF(OR(LEN(_xlpm.x)&lt;1,_xlpm.x=0),"",_xlpm.x))</f>
        <v/>
      </c>
      <c r="T77" s="513">
        <f t="shared" si="42"/>
        <v>0</v>
      </c>
      <c r="BB77" s="432" t="str">
        <f t="shared" si="43"/>
        <v/>
      </c>
      <c r="BC77" s="432" t="str">
        <f t="shared" si="4"/>
        <v/>
      </c>
      <c r="BD77" s="432" t="str">
        <f t="shared" si="44"/>
        <v/>
      </c>
      <c r="BE77" s="432" t="str">
        <f t="shared" si="6"/>
        <v/>
      </c>
      <c r="BF77" s="432" t="str">
        <f t="shared" si="7"/>
        <v/>
      </c>
      <c r="BG77" s="477" t="str">
        <f t="shared" si="45"/>
        <v/>
      </c>
      <c r="BH77" s="477" t="str">
        <f t="shared" si="46"/>
        <v/>
      </c>
      <c r="BI77" s="477" t="str">
        <f t="shared" si="47"/>
        <v/>
      </c>
      <c r="BJ77" s="477" t="str">
        <f t="shared" si="48"/>
        <v/>
      </c>
      <c r="BK77" s="477" t="str">
        <f t="shared" si="49"/>
        <v/>
      </c>
      <c r="BL77" s="477" t="str">
        <f t="shared" si="50"/>
        <v/>
      </c>
      <c r="BM77" s="477" t="str">
        <f t="shared" si="51"/>
        <v/>
      </c>
      <c r="BN77" s="477" t="str">
        <f t="shared" si="52"/>
        <v/>
      </c>
      <c r="BO77" s="477" t="str">
        <f t="shared" si="53"/>
        <v/>
      </c>
      <c r="BP77" s="477" t="str">
        <f t="shared" si="54"/>
        <v/>
      </c>
      <c r="BQ77" s="477" t="str">
        <f t="shared" si="55"/>
        <v/>
      </c>
      <c r="BR77" s="477" t="str">
        <f t="shared" si="56"/>
        <v/>
      </c>
      <c r="BS77" s="477" t="str">
        <f t="shared" si="57"/>
        <v/>
      </c>
      <c r="BT77" s="435">
        <f t="shared" si="21"/>
        <v>0</v>
      </c>
      <c r="BU77" s="434" t="str">
        <f t="shared" si="58"/>
        <v/>
      </c>
      <c r="BV77" s="479" t="str">
        <f t="shared" si="35"/>
        <v/>
      </c>
      <c r="BW77" s="479" t="str">
        <f t="shared" si="22"/>
        <v/>
      </c>
      <c r="BX77" s="479" t="str">
        <f t="shared" si="23"/>
        <v/>
      </c>
      <c r="BY77" s="479" t="str">
        <f t="shared" si="24"/>
        <v/>
      </c>
      <c r="BZ77" s="479" t="str">
        <f t="shared" si="25"/>
        <v/>
      </c>
      <c r="CA77" s="479" t="str">
        <f t="shared" si="26"/>
        <v/>
      </c>
      <c r="CB77" s="479" t="str">
        <f t="shared" si="27"/>
        <v/>
      </c>
      <c r="CC77" s="479" t="str">
        <f t="shared" si="28"/>
        <v/>
      </c>
      <c r="CD77" s="479" t="str">
        <f t="shared" si="29"/>
        <v/>
      </c>
      <c r="CE77" s="479" t="str">
        <f t="shared" si="30"/>
        <v/>
      </c>
      <c r="CF77" s="479" t="str">
        <f t="shared" si="31"/>
        <v/>
      </c>
      <c r="CG77" s="479" t="str">
        <f t="shared" si="32"/>
        <v/>
      </c>
      <c r="CH77" s="480">
        <f t="shared" si="36"/>
        <v>0</v>
      </c>
      <c r="DD77" s="497" cm="1">
        <f t="array" ref="DD77">_xlfn.IFS('Project Inputs'!$F$150&lt;&gt;"Yes",0,DE77=18,0,DE77&lt;&gt;18,SUM(DF77:DG77))</f>
        <v>0</v>
      </c>
      <c r="DE77" s="31">
        <f t="shared" si="37"/>
        <v>18</v>
      </c>
      <c r="DF77" s="31">
        <f t="shared" si="38"/>
        <v>0</v>
      </c>
      <c r="DG77" s="31">
        <f t="shared" si="39"/>
        <v>0</v>
      </c>
    </row>
    <row r="78" spans="1:111" hidden="1" outlineLevel="1">
      <c r="A78" s="22" t="str">
        <f t="shared" si="33"/>
        <v/>
      </c>
      <c r="B78" s="474" t="str">
        <f>_xlfn.LET(_xlpm.x,'Diversion and Disposal'!D74,IF(OR(LEN(_xlpm.x)&lt;1,_xlpm.x=0),"",_xlpm.x))</f>
        <v/>
      </c>
      <c r="C78" s="475" t="str">
        <f>_xlfn.LET(_xlpm.x,'Diversion and Disposal'!E74,IF(OR(LEN(_xlpm.x)&lt;1,_xlpm.x=0),"",_xlpm.x))</f>
        <v/>
      </c>
      <c r="D78" s="475" t="str">
        <f>_xlfn.LET(_xlpm.x,'Diversion and Disposal'!F74,IF(OR(LEN(_xlpm.x)&lt;1,_xlpm.x=0),"",_xlpm.x))</f>
        <v/>
      </c>
      <c r="E78" s="475" t="str">
        <f>_xlfn.LET(_xlpm.x,'Diversion and Disposal'!G74,IF(OR(LEN(_xlpm.x)&lt;1,_xlpm.x=0),"",_xlpm.x))</f>
        <v/>
      </c>
      <c r="F78" s="407"/>
      <c r="G78" s="511"/>
      <c r="H78" s="514" t="str">
        <f>_xlfn.LET(_xlpm.x,'Diversion and Disposal'!H74,IF(OR(LEN(_xlpm.x)&lt;1,_xlpm.x=0),"",_xlpm.x))</f>
        <v/>
      </c>
      <c r="I78" s="514" t="str">
        <f>_xlfn.LET(_xlpm.x,'Diversion and Disposal'!I74,IF(OR(LEN(_xlpm.x)&lt;1,_xlpm.x=0),"",_xlpm.x))</f>
        <v/>
      </c>
      <c r="J78" s="514" t="str">
        <f>_xlfn.LET(_xlpm.x,'Diversion and Disposal'!J74,IF(OR(LEN(_xlpm.x)&lt;1,_xlpm.x=0),"",_xlpm.x))</f>
        <v/>
      </c>
      <c r="K78" s="514" t="str">
        <f>_xlfn.LET(_xlpm.x,'Diversion and Disposal'!K74,IF(OR(LEN(_xlpm.x)&lt;1,_xlpm.x=0),"",_xlpm.x))</f>
        <v/>
      </c>
      <c r="L78" s="514" t="str">
        <f>_xlfn.LET(_xlpm.x,'Diversion and Disposal'!L74,IF(OR(LEN(_xlpm.x)&lt;1,_xlpm.x=0),"",_xlpm.x))</f>
        <v/>
      </c>
      <c r="M78" s="514" t="str">
        <f>_xlfn.LET(_xlpm.x,'Diversion and Disposal'!M74,IF(OR(LEN(_xlpm.x)&lt;1,_xlpm.x=0),"",_xlpm.x))</f>
        <v/>
      </c>
      <c r="N78" s="514" t="str">
        <f>_xlfn.LET(_xlpm.x,'Diversion and Disposal'!N74,IF(OR(LEN(_xlpm.x)&lt;1,_xlpm.x=0),"",_xlpm.x))</f>
        <v/>
      </c>
      <c r="O78" s="514" t="str">
        <f>_xlfn.LET(_xlpm.x,'Diversion and Disposal'!O74,IF(OR(LEN(_xlpm.x)&lt;1,_xlpm.x=0),"",_xlpm.x))</f>
        <v/>
      </c>
      <c r="P78" s="514" t="str">
        <f>_xlfn.LET(_xlpm.x,'Diversion and Disposal'!P74,IF(OR(LEN(_xlpm.x)&lt;1,_xlpm.x=0),"",_xlpm.x))</f>
        <v/>
      </c>
      <c r="Q78" s="514" t="str">
        <f>_xlfn.LET(_xlpm.x,'Diversion and Disposal'!Q74,IF(OR(LEN(_xlpm.x)&lt;1,_xlpm.x=0),"",_xlpm.x))</f>
        <v/>
      </c>
      <c r="R78" s="514" t="str">
        <f>_xlfn.LET(_xlpm.x,'Diversion and Disposal'!R74,IF(OR(LEN(_xlpm.x)&lt;1,_xlpm.x=0),"",_xlpm.x))</f>
        <v/>
      </c>
      <c r="S78" s="514" t="str">
        <f>_xlfn.LET(_xlpm.x,'Diversion and Disposal'!S74,IF(OR(LEN(_xlpm.x)&lt;1,_xlpm.x=0),"",_xlpm.x))</f>
        <v/>
      </c>
      <c r="T78" s="513">
        <f t="shared" si="42"/>
        <v>0</v>
      </c>
      <c r="BB78" s="432" t="str">
        <f t="shared" si="43"/>
        <v/>
      </c>
      <c r="BC78" s="432" t="str">
        <f t="shared" si="4"/>
        <v/>
      </c>
      <c r="BD78" s="432" t="str">
        <f t="shared" si="44"/>
        <v/>
      </c>
      <c r="BE78" s="432" t="str">
        <f t="shared" si="6"/>
        <v/>
      </c>
      <c r="BF78" s="432" t="str">
        <f t="shared" si="7"/>
        <v/>
      </c>
      <c r="BG78" s="477" t="str">
        <f t="shared" si="45"/>
        <v/>
      </c>
      <c r="BH78" s="477" t="str">
        <f t="shared" si="46"/>
        <v/>
      </c>
      <c r="BI78" s="477" t="str">
        <f t="shared" si="47"/>
        <v/>
      </c>
      <c r="BJ78" s="477" t="str">
        <f t="shared" si="48"/>
        <v/>
      </c>
      <c r="BK78" s="477" t="str">
        <f t="shared" si="49"/>
        <v/>
      </c>
      <c r="BL78" s="477" t="str">
        <f t="shared" si="50"/>
        <v/>
      </c>
      <c r="BM78" s="477" t="str">
        <f t="shared" si="51"/>
        <v/>
      </c>
      <c r="BN78" s="477" t="str">
        <f t="shared" si="52"/>
        <v/>
      </c>
      <c r="BO78" s="477" t="str">
        <f t="shared" si="53"/>
        <v/>
      </c>
      <c r="BP78" s="477" t="str">
        <f t="shared" si="54"/>
        <v/>
      </c>
      <c r="BQ78" s="477" t="str">
        <f t="shared" si="55"/>
        <v/>
      </c>
      <c r="BR78" s="477" t="str">
        <f t="shared" si="56"/>
        <v/>
      </c>
      <c r="BS78" s="477" t="str">
        <f t="shared" si="57"/>
        <v/>
      </c>
      <c r="BT78" s="435">
        <f t="shared" si="21"/>
        <v>0</v>
      </c>
      <c r="BU78" s="434" t="str">
        <f t="shared" si="58"/>
        <v/>
      </c>
      <c r="BV78" s="479" t="str">
        <f t="shared" si="35"/>
        <v/>
      </c>
      <c r="BW78" s="479" t="str">
        <f t="shared" si="22"/>
        <v/>
      </c>
      <c r="BX78" s="479" t="str">
        <f t="shared" si="23"/>
        <v/>
      </c>
      <c r="BY78" s="479" t="str">
        <f t="shared" si="24"/>
        <v/>
      </c>
      <c r="BZ78" s="479" t="str">
        <f t="shared" si="25"/>
        <v/>
      </c>
      <c r="CA78" s="479" t="str">
        <f t="shared" si="26"/>
        <v/>
      </c>
      <c r="CB78" s="479" t="str">
        <f t="shared" si="27"/>
        <v/>
      </c>
      <c r="CC78" s="479" t="str">
        <f t="shared" si="28"/>
        <v/>
      </c>
      <c r="CD78" s="479" t="str">
        <f t="shared" si="29"/>
        <v/>
      </c>
      <c r="CE78" s="479" t="str">
        <f t="shared" si="30"/>
        <v/>
      </c>
      <c r="CF78" s="479" t="str">
        <f t="shared" si="31"/>
        <v/>
      </c>
      <c r="CG78" s="479" t="str">
        <f t="shared" si="32"/>
        <v/>
      </c>
      <c r="CH78" s="480">
        <f t="shared" si="36"/>
        <v>0</v>
      </c>
      <c r="DD78" s="497" cm="1">
        <f t="array" ref="DD78">_xlfn.IFS('Project Inputs'!$F$150&lt;&gt;"Yes",0,DE78=18,0,DE78&lt;&gt;18,SUM(DF78:DG78))</f>
        <v>0</v>
      </c>
      <c r="DE78" s="31">
        <f t="shared" si="37"/>
        <v>18</v>
      </c>
      <c r="DF78" s="31">
        <f t="shared" si="38"/>
        <v>0</v>
      </c>
      <c r="DG78" s="31">
        <f t="shared" si="39"/>
        <v>0</v>
      </c>
    </row>
    <row r="79" spans="1:111" hidden="1" outlineLevel="1">
      <c r="A79" s="22" t="str">
        <f t="shared" si="33"/>
        <v/>
      </c>
      <c r="B79" s="474" t="str">
        <f>_xlfn.LET(_xlpm.x,'Diversion and Disposal'!D75,IF(OR(LEN(_xlpm.x)&lt;1,_xlpm.x=0),"",_xlpm.x))</f>
        <v/>
      </c>
      <c r="C79" s="475" t="str">
        <f>_xlfn.LET(_xlpm.x,'Diversion and Disposal'!E75,IF(OR(LEN(_xlpm.x)&lt;1,_xlpm.x=0),"",_xlpm.x))</f>
        <v/>
      </c>
      <c r="D79" s="475" t="str">
        <f>_xlfn.LET(_xlpm.x,'Diversion and Disposal'!F75,IF(OR(LEN(_xlpm.x)&lt;1,_xlpm.x=0),"",_xlpm.x))</f>
        <v/>
      </c>
      <c r="E79" s="475" t="str">
        <f>_xlfn.LET(_xlpm.x,'Diversion and Disposal'!G75,IF(OR(LEN(_xlpm.x)&lt;1,_xlpm.x=0),"",_xlpm.x))</f>
        <v/>
      </c>
      <c r="F79" s="407"/>
      <c r="G79" s="511"/>
      <c r="H79" s="514" t="str">
        <f>_xlfn.LET(_xlpm.x,'Diversion and Disposal'!H75,IF(OR(LEN(_xlpm.x)&lt;1,_xlpm.x=0),"",_xlpm.x))</f>
        <v/>
      </c>
      <c r="I79" s="514" t="str">
        <f>_xlfn.LET(_xlpm.x,'Diversion and Disposal'!I75,IF(OR(LEN(_xlpm.x)&lt;1,_xlpm.x=0),"",_xlpm.x))</f>
        <v/>
      </c>
      <c r="J79" s="514" t="str">
        <f>_xlfn.LET(_xlpm.x,'Diversion and Disposal'!J75,IF(OR(LEN(_xlpm.x)&lt;1,_xlpm.x=0),"",_xlpm.x))</f>
        <v/>
      </c>
      <c r="K79" s="514" t="str">
        <f>_xlfn.LET(_xlpm.x,'Diversion and Disposal'!K75,IF(OR(LEN(_xlpm.x)&lt;1,_xlpm.x=0),"",_xlpm.x))</f>
        <v/>
      </c>
      <c r="L79" s="514" t="str">
        <f>_xlfn.LET(_xlpm.x,'Diversion and Disposal'!L75,IF(OR(LEN(_xlpm.x)&lt;1,_xlpm.x=0),"",_xlpm.x))</f>
        <v/>
      </c>
      <c r="M79" s="514" t="str">
        <f>_xlfn.LET(_xlpm.x,'Diversion and Disposal'!M75,IF(OR(LEN(_xlpm.x)&lt;1,_xlpm.x=0),"",_xlpm.x))</f>
        <v/>
      </c>
      <c r="N79" s="514" t="str">
        <f>_xlfn.LET(_xlpm.x,'Diversion and Disposal'!N75,IF(OR(LEN(_xlpm.x)&lt;1,_xlpm.x=0),"",_xlpm.x))</f>
        <v/>
      </c>
      <c r="O79" s="514" t="str">
        <f>_xlfn.LET(_xlpm.x,'Diversion and Disposal'!O75,IF(OR(LEN(_xlpm.x)&lt;1,_xlpm.x=0),"",_xlpm.x))</f>
        <v/>
      </c>
      <c r="P79" s="514" t="str">
        <f>_xlfn.LET(_xlpm.x,'Diversion and Disposal'!P75,IF(OR(LEN(_xlpm.x)&lt;1,_xlpm.x=0),"",_xlpm.x))</f>
        <v/>
      </c>
      <c r="Q79" s="514" t="str">
        <f>_xlfn.LET(_xlpm.x,'Diversion and Disposal'!Q75,IF(OR(LEN(_xlpm.x)&lt;1,_xlpm.x=0),"",_xlpm.x))</f>
        <v/>
      </c>
      <c r="R79" s="514" t="str">
        <f>_xlfn.LET(_xlpm.x,'Diversion and Disposal'!R75,IF(OR(LEN(_xlpm.x)&lt;1,_xlpm.x=0),"",_xlpm.x))</f>
        <v/>
      </c>
      <c r="S79" s="514" t="str">
        <f>_xlfn.LET(_xlpm.x,'Diversion and Disposal'!S75,IF(OR(LEN(_xlpm.x)&lt;1,_xlpm.x=0),"",_xlpm.x))</f>
        <v/>
      </c>
      <c r="T79" s="513">
        <f t="shared" si="42"/>
        <v>0</v>
      </c>
      <c r="BB79" s="432" t="str">
        <f t="shared" si="43"/>
        <v/>
      </c>
      <c r="BC79" s="432" t="str">
        <f t="shared" si="4"/>
        <v/>
      </c>
      <c r="BD79" s="432" t="str">
        <f t="shared" si="44"/>
        <v/>
      </c>
      <c r="BE79" s="432" t="str">
        <f t="shared" si="6"/>
        <v/>
      </c>
      <c r="BF79" s="432" t="str">
        <f t="shared" si="7"/>
        <v/>
      </c>
      <c r="BG79" s="477" t="str">
        <f t="shared" si="45"/>
        <v/>
      </c>
      <c r="BH79" s="477" t="str">
        <f t="shared" si="46"/>
        <v/>
      </c>
      <c r="BI79" s="477" t="str">
        <f t="shared" si="47"/>
        <v/>
      </c>
      <c r="BJ79" s="477" t="str">
        <f t="shared" si="48"/>
        <v/>
      </c>
      <c r="BK79" s="477" t="str">
        <f t="shared" si="49"/>
        <v/>
      </c>
      <c r="BL79" s="477" t="str">
        <f t="shared" si="50"/>
        <v/>
      </c>
      <c r="BM79" s="477" t="str">
        <f t="shared" si="51"/>
        <v/>
      </c>
      <c r="BN79" s="477" t="str">
        <f t="shared" si="52"/>
        <v/>
      </c>
      <c r="BO79" s="477" t="str">
        <f t="shared" si="53"/>
        <v/>
      </c>
      <c r="BP79" s="477" t="str">
        <f t="shared" si="54"/>
        <v/>
      </c>
      <c r="BQ79" s="477" t="str">
        <f t="shared" si="55"/>
        <v/>
      </c>
      <c r="BR79" s="477" t="str">
        <f t="shared" si="56"/>
        <v/>
      </c>
      <c r="BS79" s="477" t="str">
        <f t="shared" si="57"/>
        <v/>
      </c>
      <c r="BT79" s="435">
        <f t="shared" si="21"/>
        <v>0</v>
      </c>
      <c r="BU79" s="434" t="str">
        <f t="shared" si="58"/>
        <v/>
      </c>
      <c r="BV79" s="479" t="str">
        <f t="shared" si="35"/>
        <v/>
      </c>
      <c r="BW79" s="479" t="str">
        <f t="shared" si="22"/>
        <v/>
      </c>
      <c r="BX79" s="479" t="str">
        <f t="shared" si="23"/>
        <v/>
      </c>
      <c r="BY79" s="479" t="str">
        <f t="shared" si="24"/>
        <v/>
      </c>
      <c r="BZ79" s="479" t="str">
        <f t="shared" si="25"/>
        <v/>
      </c>
      <c r="CA79" s="479" t="str">
        <f t="shared" si="26"/>
        <v/>
      </c>
      <c r="CB79" s="479" t="str">
        <f t="shared" si="27"/>
        <v/>
      </c>
      <c r="CC79" s="479" t="str">
        <f t="shared" si="28"/>
        <v/>
      </c>
      <c r="CD79" s="479" t="str">
        <f t="shared" si="29"/>
        <v/>
      </c>
      <c r="CE79" s="479" t="str">
        <f t="shared" si="30"/>
        <v/>
      </c>
      <c r="CF79" s="479" t="str">
        <f t="shared" si="31"/>
        <v/>
      </c>
      <c r="CG79" s="479" t="str">
        <f t="shared" si="32"/>
        <v/>
      </c>
      <c r="CH79" s="480">
        <f t="shared" si="36"/>
        <v>0</v>
      </c>
      <c r="DD79" s="497" cm="1">
        <f t="array" ref="DD79">_xlfn.IFS('Project Inputs'!$F$150&lt;&gt;"Yes",0,DE79=18,0,DE79&lt;&gt;18,SUM(DF79:DG79))</f>
        <v>0</v>
      </c>
      <c r="DE79" s="31">
        <f t="shared" si="37"/>
        <v>18</v>
      </c>
      <c r="DF79" s="31">
        <f t="shared" si="38"/>
        <v>0</v>
      </c>
      <c r="DG79" s="31">
        <f t="shared" si="39"/>
        <v>0</v>
      </c>
    </row>
    <row r="80" spans="1:111" hidden="1" outlineLevel="1">
      <c r="A80" s="22" t="str">
        <f t="shared" si="33"/>
        <v/>
      </c>
      <c r="B80" s="474" t="str">
        <f>_xlfn.LET(_xlpm.x,'Diversion and Disposal'!D76,IF(OR(LEN(_xlpm.x)&lt;1,_xlpm.x=0),"",_xlpm.x))</f>
        <v/>
      </c>
      <c r="C80" s="475" t="str">
        <f>_xlfn.LET(_xlpm.x,'Diversion and Disposal'!E76,IF(OR(LEN(_xlpm.x)&lt;1,_xlpm.x=0),"",_xlpm.x))</f>
        <v/>
      </c>
      <c r="D80" s="475" t="str">
        <f>_xlfn.LET(_xlpm.x,'Diversion and Disposal'!F76,IF(OR(LEN(_xlpm.x)&lt;1,_xlpm.x=0),"",_xlpm.x))</f>
        <v/>
      </c>
      <c r="E80" s="475" t="str">
        <f>_xlfn.LET(_xlpm.x,'Diversion and Disposal'!G76,IF(OR(LEN(_xlpm.x)&lt;1,_xlpm.x=0),"",_xlpm.x))</f>
        <v/>
      </c>
      <c r="F80" s="407"/>
      <c r="G80" s="511"/>
      <c r="H80" s="514" t="str">
        <f>_xlfn.LET(_xlpm.x,'Diversion and Disposal'!H76,IF(OR(LEN(_xlpm.x)&lt;1,_xlpm.x=0),"",_xlpm.x))</f>
        <v/>
      </c>
      <c r="I80" s="514" t="str">
        <f>_xlfn.LET(_xlpm.x,'Diversion and Disposal'!I76,IF(OR(LEN(_xlpm.x)&lt;1,_xlpm.x=0),"",_xlpm.x))</f>
        <v/>
      </c>
      <c r="J80" s="514" t="str">
        <f>_xlfn.LET(_xlpm.x,'Diversion and Disposal'!J76,IF(OR(LEN(_xlpm.x)&lt;1,_xlpm.x=0),"",_xlpm.x))</f>
        <v/>
      </c>
      <c r="K80" s="514" t="str">
        <f>_xlfn.LET(_xlpm.x,'Diversion and Disposal'!K76,IF(OR(LEN(_xlpm.x)&lt;1,_xlpm.x=0),"",_xlpm.x))</f>
        <v/>
      </c>
      <c r="L80" s="514" t="str">
        <f>_xlfn.LET(_xlpm.x,'Diversion and Disposal'!L76,IF(OR(LEN(_xlpm.x)&lt;1,_xlpm.x=0),"",_xlpm.x))</f>
        <v/>
      </c>
      <c r="M80" s="514" t="str">
        <f>_xlfn.LET(_xlpm.x,'Diversion and Disposal'!M76,IF(OR(LEN(_xlpm.x)&lt;1,_xlpm.x=0),"",_xlpm.x))</f>
        <v/>
      </c>
      <c r="N80" s="514" t="str">
        <f>_xlfn.LET(_xlpm.x,'Diversion and Disposal'!N76,IF(OR(LEN(_xlpm.x)&lt;1,_xlpm.x=0),"",_xlpm.x))</f>
        <v/>
      </c>
      <c r="O80" s="514" t="str">
        <f>_xlfn.LET(_xlpm.x,'Diversion and Disposal'!O76,IF(OR(LEN(_xlpm.x)&lt;1,_xlpm.x=0),"",_xlpm.x))</f>
        <v/>
      </c>
      <c r="P80" s="514" t="str">
        <f>_xlfn.LET(_xlpm.x,'Diversion and Disposal'!P76,IF(OR(LEN(_xlpm.x)&lt;1,_xlpm.x=0),"",_xlpm.x))</f>
        <v/>
      </c>
      <c r="Q80" s="514" t="str">
        <f>_xlfn.LET(_xlpm.x,'Diversion and Disposal'!Q76,IF(OR(LEN(_xlpm.x)&lt;1,_xlpm.x=0),"",_xlpm.x))</f>
        <v/>
      </c>
      <c r="R80" s="514" t="str">
        <f>_xlfn.LET(_xlpm.x,'Diversion and Disposal'!R76,IF(OR(LEN(_xlpm.x)&lt;1,_xlpm.x=0),"",_xlpm.x))</f>
        <v/>
      </c>
      <c r="S80" s="514" t="str">
        <f>_xlfn.LET(_xlpm.x,'Diversion and Disposal'!S76,IF(OR(LEN(_xlpm.x)&lt;1,_xlpm.x=0),"",_xlpm.x))</f>
        <v/>
      </c>
      <c r="T80" s="513">
        <f t="shared" si="42"/>
        <v>0</v>
      </c>
      <c r="BB80" s="432" t="str">
        <f t="shared" si="43"/>
        <v/>
      </c>
      <c r="BC80" s="432" t="str">
        <f t="shared" si="4"/>
        <v/>
      </c>
      <c r="BD80" s="432" t="str">
        <f t="shared" si="44"/>
        <v/>
      </c>
      <c r="BE80" s="432" t="str">
        <f t="shared" si="6"/>
        <v/>
      </c>
      <c r="BF80" s="432" t="str">
        <f t="shared" si="7"/>
        <v/>
      </c>
      <c r="BG80" s="477" t="str">
        <f t="shared" si="45"/>
        <v/>
      </c>
      <c r="BH80" s="477" t="str">
        <f t="shared" si="46"/>
        <v/>
      </c>
      <c r="BI80" s="477" t="str">
        <f t="shared" si="47"/>
        <v/>
      </c>
      <c r="BJ80" s="477" t="str">
        <f t="shared" si="48"/>
        <v/>
      </c>
      <c r="BK80" s="477" t="str">
        <f t="shared" si="49"/>
        <v/>
      </c>
      <c r="BL80" s="477" t="str">
        <f t="shared" si="50"/>
        <v/>
      </c>
      <c r="BM80" s="477" t="str">
        <f t="shared" si="51"/>
        <v/>
      </c>
      <c r="BN80" s="477" t="str">
        <f t="shared" si="52"/>
        <v/>
      </c>
      <c r="BO80" s="477" t="str">
        <f t="shared" si="53"/>
        <v/>
      </c>
      <c r="BP80" s="477" t="str">
        <f t="shared" si="54"/>
        <v/>
      </c>
      <c r="BQ80" s="477" t="str">
        <f t="shared" si="55"/>
        <v/>
      </c>
      <c r="BR80" s="477" t="str">
        <f t="shared" si="56"/>
        <v/>
      </c>
      <c r="BS80" s="477" t="str">
        <f t="shared" si="57"/>
        <v/>
      </c>
      <c r="BT80" s="435">
        <f t="shared" si="21"/>
        <v>0</v>
      </c>
      <c r="BU80" s="434" t="str">
        <f t="shared" si="58"/>
        <v/>
      </c>
      <c r="BV80" s="479" t="str">
        <f t="shared" si="35"/>
        <v/>
      </c>
      <c r="BW80" s="479" t="str">
        <f t="shared" si="22"/>
        <v/>
      </c>
      <c r="BX80" s="479" t="str">
        <f t="shared" si="23"/>
        <v/>
      </c>
      <c r="BY80" s="479" t="str">
        <f t="shared" si="24"/>
        <v/>
      </c>
      <c r="BZ80" s="479" t="str">
        <f t="shared" si="25"/>
        <v/>
      </c>
      <c r="CA80" s="479" t="str">
        <f t="shared" si="26"/>
        <v/>
      </c>
      <c r="CB80" s="479" t="str">
        <f t="shared" si="27"/>
        <v/>
      </c>
      <c r="CC80" s="479" t="str">
        <f t="shared" si="28"/>
        <v/>
      </c>
      <c r="CD80" s="479" t="str">
        <f t="shared" si="29"/>
        <v/>
      </c>
      <c r="CE80" s="479" t="str">
        <f t="shared" si="30"/>
        <v/>
      </c>
      <c r="CF80" s="479" t="str">
        <f t="shared" si="31"/>
        <v/>
      </c>
      <c r="CG80" s="479" t="str">
        <f t="shared" si="32"/>
        <v/>
      </c>
      <c r="CH80" s="480">
        <f t="shared" si="36"/>
        <v>0</v>
      </c>
      <c r="DD80" s="497" cm="1">
        <f t="array" ref="DD80">_xlfn.IFS('Project Inputs'!$F$150&lt;&gt;"Yes",0,DE80=18,0,DE80&lt;&gt;18,SUM(DF80:DG80))</f>
        <v>0</v>
      </c>
      <c r="DE80" s="31">
        <f t="shared" si="37"/>
        <v>18</v>
      </c>
      <c r="DF80" s="31">
        <f t="shared" si="38"/>
        <v>0</v>
      </c>
      <c r="DG80" s="31">
        <f t="shared" si="39"/>
        <v>0</v>
      </c>
    </row>
    <row r="81" spans="1:111" hidden="1" outlineLevel="1">
      <c r="A81" s="22" t="str">
        <f t="shared" si="33"/>
        <v/>
      </c>
      <c r="B81" s="474" t="str">
        <f>_xlfn.LET(_xlpm.x,'Diversion and Disposal'!D77,IF(OR(LEN(_xlpm.x)&lt;1,_xlpm.x=0),"",_xlpm.x))</f>
        <v/>
      </c>
      <c r="C81" s="475" t="str">
        <f>_xlfn.LET(_xlpm.x,'Diversion and Disposal'!E77,IF(OR(LEN(_xlpm.x)&lt;1,_xlpm.x=0),"",_xlpm.x))</f>
        <v/>
      </c>
      <c r="D81" s="475" t="str">
        <f>_xlfn.LET(_xlpm.x,'Diversion and Disposal'!F77,IF(OR(LEN(_xlpm.x)&lt;1,_xlpm.x=0),"",_xlpm.x))</f>
        <v/>
      </c>
      <c r="E81" s="475" t="str">
        <f>_xlfn.LET(_xlpm.x,'Diversion and Disposal'!G77,IF(OR(LEN(_xlpm.x)&lt;1,_xlpm.x=0),"",_xlpm.x))</f>
        <v/>
      </c>
      <c r="F81" s="407"/>
      <c r="G81" s="511"/>
      <c r="H81" s="514" t="str">
        <f>_xlfn.LET(_xlpm.x,'Diversion and Disposal'!H77,IF(OR(LEN(_xlpm.x)&lt;1,_xlpm.x=0),"",_xlpm.x))</f>
        <v/>
      </c>
      <c r="I81" s="514" t="str">
        <f>_xlfn.LET(_xlpm.x,'Diversion and Disposal'!I77,IF(OR(LEN(_xlpm.x)&lt;1,_xlpm.x=0),"",_xlpm.x))</f>
        <v/>
      </c>
      <c r="J81" s="514" t="str">
        <f>_xlfn.LET(_xlpm.x,'Diversion and Disposal'!J77,IF(OR(LEN(_xlpm.x)&lt;1,_xlpm.x=0),"",_xlpm.x))</f>
        <v/>
      </c>
      <c r="K81" s="514" t="str">
        <f>_xlfn.LET(_xlpm.x,'Diversion and Disposal'!K77,IF(OR(LEN(_xlpm.x)&lt;1,_xlpm.x=0),"",_xlpm.x))</f>
        <v/>
      </c>
      <c r="L81" s="514" t="str">
        <f>_xlfn.LET(_xlpm.x,'Diversion and Disposal'!L77,IF(OR(LEN(_xlpm.x)&lt;1,_xlpm.x=0),"",_xlpm.x))</f>
        <v/>
      </c>
      <c r="M81" s="514" t="str">
        <f>_xlfn.LET(_xlpm.x,'Diversion and Disposal'!M77,IF(OR(LEN(_xlpm.x)&lt;1,_xlpm.x=0),"",_xlpm.x))</f>
        <v/>
      </c>
      <c r="N81" s="514" t="str">
        <f>_xlfn.LET(_xlpm.x,'Diversion and Disposal'!N77,IF(OR(LEN(_xlpm.x)&lt;1,_xlpm.x=0),"",_xlpm.x))</f>
        <v/>
      </c>
      <c r="O81" s="514" t="str">
        <f>_xlfn.LET(_xlpm.x,'Diversion and Disposal'!O77,IF(OR(LEN(_xlpm.x)&lt;1,_xlpm.x=0),"",_xlpm.x))</f>
        <v/>
      </c>
      <c r="P81" s="514" t="str">
        <f>_xlfn.LET(_xlpm.x,'Diversion and Disposal'!P77,IF(OR(LEN(_xlpm.x)&lt;1,_xlpm.x=0),"",_xlpm.x))</f>
        <v/>
      </c>
      <c r="Q81" s="514" t="str">
        <f>_xlfn.LET(_xlpm.x,'Diversion and Disposal'!Q77,IF(OR(LEN(_xlpm.x)&lt;1,_xlpm.x=0),"",_xlpm.x))</f>
        <v/>
      </c>
      <c r="R81" s="514" t="str">
        <f>_xlfn.LET(_xlpm.x,'Diversion and Disposal'!R77,IF(OR(LEN(_xlpm.x)&lt;1,_xlpm.x=0),"",_xlpm.x))</f>
        <v/>
      </c>
      <c r="S81" s="514" t="str">
        <f>_xlfn.LET(_xlpm.x,'Diversion and Disposal'!S77,IF(OR(LEN(_xlpm.x)&lt;1,_xlpm.x=0),"",_xlpm.x))</f>
        <v/>
      </c>
      <c r="T81" s="513">
        <f t="shared" si="42"/>
        <v>0</v>
      </c>
      <c r="BB81" s="432" t="str">
        <f t="shared" si="43"/>
        <v/>
      </c>
      <c r="BC81" s="432" t="str">
        <f t="shared" si="4"/>
        <v/>
      </c>
      <c r="BD81" s="432" t="str">
        <f t="shared" si="44"/>
        <v/>
      </c>
      <c r="BE81" s="432" t="str">
        <f t="shared" si="6"/>
        <v/>
      </c>
      <c r="BF81" s="432" t="str">
        <f t="shared" si="7"/>
        <v/>
      </c>
      <c r="BG81" s="477" t="str">
        <f t="shared" si="45"/>
        <v/>
      </c>
      <c r="BH81" s="477" t="str">
        <f t="shared" si="46"/>
        <v/>
      </c>
      <c r="BI81" s="477" t="str">
        <f t="shared" si="47"/>
        <v/>
      </c>
      <c r="BJ81" s="477" t="str">
        <f t="shared" si="48"/>
        <v/>
      </c>
      <c r="BK81" s="477" t="str">
        <f t="shared" si="49"/>
        <v/>
      </c>
      <c r="BL81" s="477" t="str">
        <f t="shared" si="50"/>
        <v/>
      </c>
      <c r="BM81" s="477" t="str">
        <f t="shared" si="51"/>
        <v/>
      </c>
      <c r="BN81" s="477" t="str">
        <f t="shared" si="52"/>
        <v/>
      </c>
      <c r="BO81" s="477" t="str">
        <f t="shared" si="53"/>
        <v/>
      </c>
      <c r="BP81" s="477" t="str">
        <f t="shared" si="54"/>
        <v/>
      </c>
      <c r="BQ81" s="477" t="str">
        <f t="shared" si="55"/>
        <v/>
      </c>
      <c r="BR81" s="477" t="str">
        <f t="shared" si="56"/>
        <v/>
      </c>
      <c r="BS81" s="477" t="str">
        <f t="shared" si="57"/>
        <v/>
      </c>
      <c r="BT81" s="435">
        <f t="shared" si="21"/>
        <v>0</v>
      </c>
      <c r="BU81" s="434" t="str">
        <f t="shared" si="58"/>
        <v/>
      </c>
      <c r="BV81" s="479" t="str">
        <f t="shared" si="35"/>
        <v/>
      </c>
      <c r="BW81" s="479" t="str">
        <f t="shared" si="22"/>
        <v/>
      </c>
      <c r="BX81" s="479" t="str">
        <f t="shared" si="23"/>
        <v/>
      </c>
      <c r="BY81" s="479" t="str">
        <f t="shared" si="24"/>
        <v/>
      </c>
      <c r="BZ81" s="479" t="str">
        <f t="shared" si="25"/>
        <v/>
      </c>
      <c r="CA81" s="479" t="str">
        <f t="shared" si="26"/>
        <v/>
      </c>
      <c r="CB81" s="479" t="str">
        <f t="shared" si="27"/>
        <v/>
      </c>
      <c r="CC81" s="479" t="str">
        <f t="shared" si="28"/>
        <v/>
      </c>
      <c r="CD81" s="479" t="str">
        <f t="shared" si="29"/>
        <v/>
      </c>
      <c r="CE81" s="479" t="str">
        <f t="shared" si="30"/>
        <v/>
      </c>
      <c r="CF81" s="479" t="str">
        <f t="shared" si="31"/>
        <v/>
      </c>
      <c r="CG81" s="479" t="str">
        <f t="shared" si="32"/>
        <v/>
      </c>
      <c r="CH81" s="480">
        <f t="shared" si="36"/>
        <v>0</v>
      </c>
      <c r="DD81" s="497" cm="1">
        <f t="array" ref="DD81">_xlfn.IFS('Project Inputs'!$F$150&lt;&gt;"Yes",0,DE81=18,0,DE81&lt;&gt;18,SUM(DF81:DG81))</f>
        <v>0</v>
      </c>
      <c r="DE81" s="31">
        <f t="shared" si="37"/>
        <v>18</v>
      </c>
      <c r="DF81" s="31">
        <f t="shared" si="38"/>
        <v>0</v>
      </c>
      <c r="DG81" s="31">
        <f t="shared" si="39"/>
        <v>0</v>
      </c>
    </row>
    <row r="82" spans="1:111" hidden="1" outlineLevel="1">
      <c r="A82" s="22" t="str">
        <f t="shared" ref="A82:A117" si="59">IF(DD82=0,"",1)</f>
        <v/>
      </c>
      <c r="B82" s="474" t="str">
        <f>_xlfn.LET(_xlpm.x,'Diversion and Disposal'!D78,IF(OR(LEN(_xlpm.x)&lt;1,_xlpm.x=0),"",_xlpm.x))</f>
        <v/>
      </c>
      <c r="C82" s="475" t="str">
        <f>_xlfn.LET(_xlpm.x,'Diversion and Disposal'!E78,IF(OR(LEN(_xlpm.x)&lt;1,_xlpm.x=0),"",_xlpm.x))</f>
        <v/>
      </c>
      <c r="D82" s="475" t="str">
        <f>_xlfn.LET(_xlpm.x,'Diversion and Disposal'!F78,IF(OR(LEN(_xlpm.x)&lt;1,_xlpm.x=0),"",_xlpm.x))</f>
        <v/>
      </c>
      <c r="E82" s="475" t="str">
        <f>_xlfn.LET(_xlpm.x,'Diversion and Disposal'!G78,IF(OR(LEN(_xlpm.x)&lt;1,_xlpm.x=0),"",_xlpm.x))</f>
        <v/>
      </c>
      <c r="F82" s="407"/>
      <c r="G82" s="511"/>
      <c r="H82" s="514" t="str">
        <f>_xlfn.LET(_xlpm.x,'Diversion and Disposal'!H78,IF(OR(LEN(_xlpm.x)&lt;1,_xlpm.x=0),"",_xlpm.x))</f>
        <v/>
      </c>
      <c r="I82" s="514" t="str">
        <f>_xlfn.LET(_xlpm.x,'Diversion and Disposal'!I78,IF(OR(LEN(_xlpm.x)&lt;1,_xlpm.x=0),"",_xlpm.x))</f>
        <v/>
      </c>
      <c r="J82" s="514" t="str">
        <f>_xlfn.LET(_xlpm.x,'Diversion and Disposal'!J78,IF(OR(LEN(_xlpm.x)&lt;1,_xlpm.x=0),"",_xlpm.x))</f>
        <v/>
      </c>
      <c r="K82" s="514" t="str">
        <f>_xlfn.LET(_xlpm.x,'Diversion and Disposal'!K78,IF(OR(LEN(_xlpm.x)&lt;1,_xlpm.x=0),"",_xlpm.x))</f>
        <v/>
      </c>
      <c r="L82" s="514" t="str">
        <f>_xlfn.LET(_xlpm.x,'Diversion and Disposal'!L78,IF(OR(LEN(_xlpm.x)&lt;1,_xlpm.x=0),"",_xlpm.x))</f>
        <v/>
      </c>
      <c r="M82" s="514" t="str">
        <f>_xlfn.LET(_xlpm.x,'Diversion and Disposal'!M78,IF(OR(LEN(_xlpm.x)&lt;1,_xlpm.x=0),"",_xlpm.x))</f>
        <v/>
      </c>
      <c r="N82" s="514" t="str">
        <f>_xlfn.LET(_xlpm.x,'Diversion and Disposal'!N78,IF(OR(LEN(_xlpm.x)&lt;1,_xlpm.x=0),"",_xlpm.x))</f>
        <v/>
      </c>
      <c r="O82" s="514" t="str">
        <f>_xlfn.LET(_xlpm.x,'Diversion and Disposal'!O78,IF(OR(LEN(_xlpm.x)&lt;1,_xlpm.x=0),"",_xlpm.x))</f>
        <v/>
      </c>
      <c r="P82" s="514" t="str">
        <f>_xlfn.LET(_xlpm.x,'Diversion and Disposal'!P78,IF(OR(LEN(_xlpm.x)&lt;1,_xlpm.x=0),"",_xlpm.x))</f>
        <v/>
      </c>
      <c r="Q82" s="514" t="str">
        <f>_xlfn.LET(_xlpm.x,'Diversion and Disposal'!Q78,IF(OR(LEN(_xlpm.x)&lt;1,_xlpm.x=0),"",_xlpm.x))</f>
        <v/>
      </c>
      <c r="R82" s="514" t="str">
        <f>_xlfn.LET(_xlpm.x,'Diversion and Disposal'!R78,IF(OR(LEN(_xlpm.x)&lt;1,_xlpm.x=0),"",_xlpm.x))</f>
        <v/>
      </c>
      <c r="S82" s="514" t="str">
        <f>_xlfn.LET(_xlpm.x,'Diversion and Disposal'!S78,IF(OR(LEN(_xlpm.x)&lt;1,_xlpm.x=0),"",_xlpm.x))</f>
        <v/>
      </c>
      <c r="T82" s="513">
        <f t="shared" si="42"/>
        <v>0</v>
      </c>
      <c r="BB82" s="432" t="str">
        <f t="shared" ref="BB82:BB116" si="60">_xlfn.LET(_xlpm.x,B82,IF(OR(LEN(_xlpm.x)&lt;1,_xlpm.x=0),"",_xlpm.x))</f>
        <v/>
      </c>
      <c r="BC82" s="432" t="str">
        <f t="shared" ref="BC82:BC116" si="61">_xlfn.LET(_xlpm.x,C82,IF(OR(LEN(_xlpm.x)&lt;1,_xlpm.x=0),"",_xlpm.x))</f>
        <v/>
      </c>
      <c r="BD82" s="432" t="str">
        <f t="shared" ref="BD82:BD116" si="62">_xlfn.LET(_xlpm.x,D82,IF(OR(LEN(_xlpm.x)&lt;1,_xlpm.x=0),"",_xlpm.x))</f>
        <v/>
      </c>
      <c r="BE82" s="432" t="str">
        <f t="shared" ref="BE82:BE116" si="63">_xlfn.LET(_xlpm.x,E82,IF(OR(LEN(_xlpm.x)&lt;1,_xlpm.x=0),"",_xlpm.x))</f>
        <v/>
      </c>
      <c r="BF82" s="432" t="str">
        <f t="shared" ref="BF82:BF116" si="64">_xlfn.LET(_xlpm.x,F82,IF(OR(LEN(_xlpm.x)&lt;1,_xlpm.x=0),"",_xlpm.x))</f>
        <v/>
      </c>
      <c r="BG82" s="477" t="str">
        <f t="shared" ref="BG82:BG117" si="65">_xlfn.LET(_xlpm.x,G82,IF(OR(LEN(_xlpm.x)&lt;1,_xlpm.x=0),"",CONVERT(_xlpm.x,$BH$12,"km")))</f>
        <v/>
      </c>
      <c r="BH82" s="477" t="str">
        <f t="shared" ref="BH82:BH116" si="66">_xlfn.LET(_xlpm.x,H82,IF(OR(LEN(_xlpm.x)&lt;1,_xlpm.x=0,NOT(ISNUMBER(_xlpm.x))),"",CONVERT(_xlpm.x,$BH$11,"Mg")))</f>
        <v/>
      </c>
      <c r="BI82" s="477" t="str">
        <f t="shared" ref="BI82:BI116" si="67">_xlfn.LET(_xlpm.x,I82,IF(OR(LEN(_xlpm.x)&lt;1,_xlpm.x=0,NOT(ISNUMBER(_xlpm.x))),"",CONVERT(_xlpm.x,$BH$11,"Mg")))</f>
        <v/>
      </c>
      <c r="BJ82" s="477" t="str">
        <f t="shared" ref="BJ82:BJ116" si="68">_xlfn.LET(_xlpm.x,J82,IF(OR(LEN(_xlpm.x)&lt;1,_xlpm.x=0,NOT(ISNUMBER(_xlpm.x))),"",CONVERT(_xlpm.x,$BH$11,"Mg")))</f>
        <v/>
      </c>
      <c r="BK82" s="477" t="str">
        <f t="shared" ref="BK82:BK116" si="69">_xlfn.LET(_xlpm.x,K82,IF(OR(LEN(_xlpm.x)&lt;1,_xlpm.x=0,NOT(ISNUMBER(_xlpm.x))),"",CONVERT(_xlpm.x,$BH$11,"Mg")))</f>
        <v/>
      </c>
      <c r="BL82" s="477" t="str">
        <f t="shared" ref="BL82:BL116" si="70">_xlfn.LET(_xlpm.x,L82,IF(OR(LEN(_xlpm.x)&lt;1,_xlpm.x=0,NOT(ISNUMBER(_xlpm.x))),"",CONVERT(_xlpm.x,$BH$11,"Mg")))</f>
        <v/>
      </c>
      <c r="BM82" s="477" t="str">
        <f t="shared" ref="BM82:BM116" si="71">_xlfn.LET(_xlpm.x,M82,IF(OR(LEN(_xlpm.x)&lt;1,_xlpm.x=0,NOT(ISNUMBER(_xlpm.x))),"",CONVERT(_xlpm.x,$BH$11,"Mg")))</f>
        <v/>
      </c>
      <c r="BN82" s="477" t="str">
        <f t="shared" ref="BN82:BN116" si="72">_xlfn.LET(_xlpm.x,N82,IF(OR(LEN(_xlpm.x)&lt;1,_xlpm.x=0,NOT(ISNUMBER(_xlpm.x))),"",CONVERT(_xlpm.x,$BH$11,"Mg")))</f>
        <v/>
      </c>
      <c r="BO82" s="477" t="str">
        <f t="shared" ref="BO82:BO116" si="73">_xlfn.LET(_xlpm.x,O82,IF(OR(LEN(_xlpm.x)&lt;1,_xlpm.x=0,NOT(ISNUMBER(_xlpm.x))),"",CONVERT(_xlpm.x,$BH$11,"Mg")))</f>
        <v/>
      </c>
      <c r="BP82" s="477" t="str">
        <f t="shared" ref="BP82:BP116" si="74">_xlfn.LET(_xlpm.x,P82,IF(OR(LEN(_xlpm.x)&lt;1,_xlpm.x=0,NOT(ISNUMBER(_xlpm.x))),"",CONVERT(_xlpm.x,$BH$11,"Mg")))</f>
        <v/>
      </c>
      <c r="BQ82" s="477" t="str">
        <f t="shared" ref="BQ82:BQ116" si="75">_xlfn.LET(_xlpm.x,Q82,IF(OR(LEN(_xlpm.x)&lt;1,_xlpm.x=0,NOT(ISNUMBER(_xlpm.x))),"",CONVERT(_xlpm.x,$BH$11,"Mg")))</f>
        <v/>
      </c>
      <c r="BR82" s="477" t="str">
        <f t="shared" ref="BR82:BR116" si="76">_xlfn.LET(_xlpm.x,R82,IF(OR(LEN(_xlpm.x)&lt;1,_xlpm.x=0,NOT(ISNUMBER(_xlpm.x))),"",CONVERT(_xlpm.x,$BH$11,"Mg")))</f>
        <v/>
      </c>
      <c r="BS82" s="477" t="str">
        <f t="shared" ref="BS82:BS116" si="77">_xlfn.LET(_xlpm.x,S82,IF(OR(LEN(_xlpm.x)&lt;1,_xlpm.x=0,NOT(ISNUMBER(_xlpm.x))),"",CONVERT(_xlpm.x,$BH$11,"Mg")))</f>
        <v/>
      </c>
      <c r="BT82" s="435">
        <f t="shared" ref="BT82:BT116" si="78">SUM(BH82:BS82)</f>
        <v>0</v>
      </c>
      <c r="BU82" s="434" t="str">
        <f t="shared" ref="BU82:BU116" si="79">IFERROR(INDEX(ls_Transport_GWP,MATCH(BF82,ls_Transport,0)),"")</f>
        <v/>
      </c>
      <c r="BV82" s="479" t="str">
        <f t="shared" si="35"/>
        <v/>
      </c>
      <c r="BW82" s="479" t="str">
        <f t="shared" ref="BW82:BW116" si="80">IFERROR($BU82*BI82*$BG82,"")</f>
        <v/>
      </c>
      <c r="BX82" s="479" t="str">
        <f t="shared" ref="BX82:BX116" si="81">IFERROR($BU82*BJ82*$BG82,"")</f>
        <v/>
      </c>
      <c r="BY82" s="479" t="str">
        <f t="shared" ref="BY82:BY116" si="82">IFERROR($BU82*BK82*$BG82,"")</f>
        <v/>
      </c>
      <c r="BZ82" s="479" t="str">
        <f t="shared" ref="BZ82:BZ116" si="83">IFERROR($BU82*BL82*$BG82,"")</f>
        <v/>
      </c>
      <c r="CA82" s="479" t="str">
        <f t="shared" ref="CA82:CA116" si="84">IFERROR($BU82*BM82*$BG82,"")</f>
        <v/>
      </c>
      <c r="CB82" s="479" t="str">
        <f t="shared" ref="CB82:CB116" si="85">IFERROR($BU82*BN82*$BG82,"")</f>
        <v/>
      </c>
      <c r="CC82" s="479" t="str">
        <f t="shared" ref="CC82:CC116" si="86">IFERROR($BU82*BO82*$BG82,"")</f>
        <v/>
      </c>
      <c r="CD82" s="479" t="str">
        <f t="shared" ref="CD82:CD116" si="87">IFERROR($BU82*BP82*$BG82,"")</f>
        <v/>
      </c>
      <c r="CE82" s="479" t="str">
        <f t="shared" ref="CE82:CE116" si="88">IFERROR($BU82*BQ82*$BG82,"")</f>
        <v/>
      </c>
      <c r="CF82" s="479" t="str">
        <f t="shared" ref="CF82:CF116" si="89">IFERROR($BU82*BR82*$BG82,"")</f>
        <v/>
      </c>
      <c r="CG82" s="479" t="str">
        <f t="shared" ref="CG82:CG116" si="90">IFERROR($BU82*BS82*$BG82,"")</f>
        <v/>
      </c>
      <c r="CH82" s="480">
        <f t="shared" si="36"/>
        <v>0</v>
      </c>
      <c r="DD82" s="497" cm="1">
        <f t="array" ref="DD82">_xlfn.IFS('Project Inputs'!$F$150&lt;&gt;"Yes",0,DE82=18,0,DE82&lt;&gt;18,SUM(DF82:DG82))</f>
        <v>0</v>
      </c>
      <c r="DE82" s="31">
        <f t="shared" si="37"/>
        <v>18</v>
      </c>
      <c r="DF82" s="31">
        <f t="shared" si="38"/>
        <v>0</v>
      </c>
      <c r="DG82" s="31">
        <f t="shared" si="39"/>
        <v>0</v>
      </c>
    </row>
    <row r="83" spans="1:111" hidden="1" outlineLevel="1">
      <c r="A83" s="22" t="str">
        <f t="shared" si="59"/>
        <v/>
      </c>
      <c r="B83" s="474" t="str">
        <f>_xlfn.LET(_xlpm.x,'Diversion and Disposal'!D79,IF(OR(LEN(_xlpm.x)&lt;1,_xlpm.x=0),"",_xlpm.x))</f>
        <v/>
      </c>
      <c r="C83" s="475" t="str">
        <f>_xlfn.LET(_xlpm.x,'Diversion and Disposal'!E79,IF(OR(LEN(_xlpm.x)&lt;1,_xlpm.x=0),"",_xlpm.x))</f>
        <v/>
      </c>
      <c r="D83" s="475" t="str">
        <f>_xlfn.LET(_xlpm.x,'Diversion and Disposal'!F79,IF(OR(LEN(_xlpm.x)&lt;1,_xlpm.x=0),"",_xlpm.x))</f>
        <v/>
      </c>
      <c r="E83" s="475" t="str">
        <f>_xlfn.LET(_xlpm.x,'Diversion and Disposal'!G79,IF(OR(LEN(_xlpm.x)&lt;1,_xlpm.x=0),"",_xlpm.x))</f>
        <v/>
      </c>
      <c r="F83" s="407"/>
      <c r="G83" s="511"/>
      <c r="H83" s="514" t="str">
        <f>_xlfn.LET(_xlpm.x,'Diversion and Disposal'!H79,IF(OR(LEN(_xlpm.x)&lt;1,_xlpm.x=0),"",_xlpm.x))</f>
        <v/>
      </c>
      <c r="I83" s="514" t="str">
        <f>_xlfn.LET(_xlpm.x,'Diversion and Disposal'!I79,IF(OR(LEN(_xlpm.x)&lt;1,_xlpm.x=0),"",_xlpm.x))</f>
        <v/>
      </c>
      <c r="J83" s="514" t="str">
        <f>_xlfn.LET(_xlpm.x,'Diversion and Disposal'!J79,IF(OR(LEN(_xlpm.x)&lt;1,_xlpm.x=0),"",_xlpm.x))</f>
        <v/>
      </c>
      <c r="K83" s="514" t="str">
        <f>_xlfn.LET(_xlpm.x,'Diversion and Disposal'!K79,IF(OR(LEN(_xlpm.x)&lt;1,_xlpm.x=0),"",_xlpm.x))</f>
        <v/>
      </c>
      <c r="L83" s="514" t="str">
        <f>_xlfn.LET(_xlpm.x,'Diversion and Disposal'!L79,IF(OR(LEN(_xlpm.x)&lt;1,_xlpm.x=0),"",_xlpm.x))</f>
        <v/>
      </c>
      <c r="M83" s="514" t="str">
        <f>_xlfn.LET(_xlpm.x,'Diversion and Disposal'!M79,IF(OR(LEN(_xlpm.x)&lt;1,_xlpm.x=0),"",_xlpm.x))</f>
        <v/>
      </c>
      <c r="N83" s="514" t="str">
        <f>_xlfn.LET(_xlpm.x,'Diversion and Disposal'!N79,IF(OR(LEN(_xlpm.x)&lt;1,_xlpm.x=0),"",_xlpm.x))</f>
        <v/>
      </c>
      <c r="O83" s="514" t="str">
        <f>_xlfn.LET(_xlpm.x,'Diversion and Disposal'!O79,IF(OR(LEN(_xlpm.x)&lt;1,_xlpm.x=0),"",_xlpm.x))</f>
        <v/>
      </c>
      <c r="P83" s="514" t="str">
        <f>_xlfn.LET(_xlpm.x,'Diversion and Disposal'!P79,IF(OR(LEN(_xlpm.x)&lt;1,_xlpm.x=0),"",_xlpm.x))</f>
        <v/>
      </c>
      <c r="Q83" s="514" t="str">
        <f>_xlfn.LET(_xlpm.x,'Diversion and Disposal'!Q79,IF(OR(LEN(_xlpm.x)&lt;1,_xlpm.x=0),"",_xlpm.x))</f>
        <v/>
      </c>
      <c r="R83" s="514" t="str">
        <f>_xlfn.LET(_xlpm.x,'Diversion and Disposal'!R79,IF(OR(LEN(_xlpm.x)&lt;1,_xlpm.x=0),"",_xlpm.x))</f>
        <v/>
      </c>
      <c r="S83" s="514" t="str">
        <f>_xlfn.LET(_xlpm.x,'Diversion and Disposal'!S79,IF(OR(LEN(_xlpm.x)&lt;1,_xlpm.x=0),"",_xlpm.x))</f>
        <v/>
      </c>
      <c r="T83" s="513">
        <f t="shared" si="42"/>
        <v>0</v>
      </c>
      <c r="BB83" s="432" t="str">
        <f t="shared" si="60"/>
        <v/>
      </c>
      <c r="BC83" s="432" t="str">
        <f t="shared" si="61"/>
        <v/>
      </c>
      <c r="BD83" s="432" t="str">
        <f t="shared" si="62"/>
        <v/>
      </c>
      <c r="BE83" s="432" t="str">
        <f t="shared" si="63"/>
        <v/>
      </c>
      <c r="BF83" s="432" t="str">
        <f t="shared" si="64"/>
        <v/>
      </c>
      <c r="BG83" s="477" t="str">
        <f t="shared" si="65"/>
        <v/>
      </c>
      <c r="BH83" s="477" t="str">
        <f t="shared" si="66"/>
        <v/>
      </c>
      <c r="BI83" s="477" t="str">
        <f t="shared" si="67"/>
        <v/>
      </c>
      <c r="BJ83" s="477" t="str">
        <f t="shared" si="68"/>
        <v/>
      </c>
      <c r="BK83" s="477" t="str">
        <f t="shared" si="69"/>
        <v/>
      </c>
      <c r="BL83" s="477" t="str">
        <f t="shared" si="70"/>
        <v/>
      </c>
      <c r="BM83" s="477" t="str">
        <f t="shared" si="71"/>
        <v/>
      </c>
      <c r="BN83" s="477" t="str">
        <f t="shared" si="72"/>
        <v/>
      </c>
      <c r="BO83" s="477" t="str">
        <f t="shared" si="73"/>
        <v/>
      </c>
      <c r="BP83" s="477" t="str">
        <f t="shared" si="74"/>
        <v/>
      </c>
      <c r="BQ83" s="477" t="str">
        <f t="shared" si="75"/>
        <v/>
      </c>
      <c r="BR83" s="477" t="str">
        <f t="shared" si="76"/>
        <v/>
      </c>
      <c r="BS83" s="477" t="str">
        <f t="shared" si="77"/>
        <v/>
      </c>
      <c r="BT83" s="435">
        <f t="shared" si="78"/>
        <v>0</v>
      </c>
      <c r="BU83" s="434" t="str">
        <f t="shared" si="79"/>
        <v/>
      </c>
      <c r="BV83" s="479" t="str">
        <f t="shared" ref="BV83:BV116" si="91">IFERROR($BU83*BH83*$BG83,"")</f>
        <v/>
      </c>
      <c r="BW83" s="479" t="str">
        <f t="shared" si="80"/>
        <v/>
      </c>
      <c r="BX83" s="479" t="str">
        <f t="shared" si="81"/>
        <v/>
      </c>
      <c r="BY83" s="479" t="str">
        <f t="shared" si="82"/>
        <v/>
      </c>
      <c r="BZ83" s="479" t="str">
        <f t="shared" si="83"/>
        <v/>
      </c>
      <c r="CA83" s="479" t="str">
        <f t="shared" si="84"/>
        <v/>
      </c>
      <c r="CB83" s="479" t="str">
        <f t="shared" si="85"/>
        <v/>
      </c>
      <c r="CC83" s="479" t="str">
        <f t="shared" si="86"/>
        <v/>
      </c>
      <c r="CD83" s="479" t="str">
        <f t="shared" si="87"/>
        <v/>
      </c>
      <c r="CE83" s="479" t="str">
        <f t="shared" si="88"/>
        <v/>
      </c>
      <c r="CF83" s="479" t="str">
        <f t="shared" si="89"/>
        <v/>
      </c>
      <c r="CG83" s="479" t="str">
        <f t="shared" si="90"/>
        <v/>
      </c>
      <c r="CH83" s="480">
        <f t="shared" ref="CH83:CH116" si="92">SUM(BV83:CG83)</f>
        <v>0</v>
      </c>
      <c r="DD83" s="497" cm="1">
        <f t="array" ref="DD83">_xlfn.IFS('Project Inputs'!$F$150&lt;&gt;"Yes",0,DE83=18,0,DE83&lt;&gt;18,SUM(DF83:DG83))</f>
        <v>0</v>
      </c>
      <c r="DE83" s="31">
        <f t="shared" ref="DE83:DE117" si="93">COUNTBLANK(B83:S83)</f>
        <v>18</v>
      </c>
      <c r="DF83" s="31">
        <f t="shared" ref="DF83:DF117" si="94">IF(DE83=18,0,IF(COUNTBLANK(F83:G83)=0,0,1))</f>
        <v>0</v>
      </c>
      <c r="DG83" s="31">
        <f t="shared" si="39"/>
        <v>0</v>
      </c>
    </row>
    <row r="84" spans="1:111" hidden="1" outlineLevel="1">
      <c r="A84" s="22" t="str">
        <f t="shared" si="59"/>
        <v/>
      </c>
      <c r="B84" s="474" t="str">
        <f>_xlfn.LET(_xlpm.x,'Diversion and Disposal'!D80,IF(OR(LEN(_xlpm.x)&lt;1,_xlpm.x=0),"",_xlpm.x))</f>
        <v/>
      </c>
      <c r="C84" s="475" t="str">
        <f>_xlfn.LET(_xlpm.x,'Diversion and Disposal'!E80,IF(OR(LEN(_xlpm.x)&lt;1,_xlpm.x=0),"",_xlpm.x))</f>
        <v/>
      </c>
      <c r="D84" s="475" t="str">
        <f>_xlfn.LET(_xlpm.x,'Diversion and Disposal'!F80,IF(OR(LEN(_xlpm.x)&lt;1,_xlpm.x=0),"",_xlpm.x))</f>
        <v/>
      </c>
      <c r="E84" s="475" t="str">
        <f>_xlfn.LET(_xlpm.x,'Diversion and Disposal'!G80,IF(OR(LEN(_xlpm.x)&lt;1,_xlpm.x=0),"",_xlpm.x))</f>
        <v/>
      </c>
      <c r="F84" s="407"/>
      <c r="G84" s="511"/>
      <c r="H84" s="514" t="str">
        <f>_xlfn.LET(_xlpm.x,'Diversion and Disposal'!H80,IF(OR(LEN(_xlpm.x)&lt;1,_xlpm.x=0),"",_xlpm.x))</f>
        <v/>
      </c>
      <c r="I84" s="514" t="str">
        <f>_xlfn.LET(_xlpm.x,'Diversion and Disposal'!I80,IF(OR(LEN(_xlpm.x)&lt;1,_xlpm.x=0),"",_xlpm.x))</f>
        <v/>
      </c>
      <c r="J84" s="514" t="str">
        <f>_xlfn.LET(_xlpm.x,'Diversion and Disposal'!J80,IF(OR(LEN(_xlpm.x)&lt;1,_xlpm.x=0),"",_xlpm.x))</f>
        <v/>
      </c>
      <c r="K84" s="514" t="str">
        <f>_xlfn.LET(_xlpm.x,'Diversion and Disposal'!K80,IF(OR(LEN(_xlpm.x)&lt;1,_xlpm.x=0),"",_xlpm.x))</f>
        <v/>
      </c>
      <c r="L84" s="514" t="str">
        <f>_xlfn.LET(_xlpm.x,'Diversion and Disposal'!L80,IF(OR(LEN(_xlpm.x)&lt;1,_xlpm.x=0),"",_xlpm.x))</f>
        <v/>
      </c>
      <c r="M84" s="514" t="str">
        <f>_xlfn.LET(_xlpm.x,'Diversion and Disposal'!M80,IF(OR(LEN(_xlpm.x)&lt;1,_xlpm.x=0),"",_xlpm.x))</f>
        <v/>
      </c>
      <c r="N84" s="514" t="str">
        <f>_xlfn.LET(_xlpm.x,'Diversion and Disposal'!N80,IF(OR(LEN(_xlpm.x)&lt;1,_xlpm.x=0),"",_xlpm.x))</f>
        <v/>
      </c>
      <c r="O84" s="514" t="str">
        <f>_xlfn.LET(_xlpm.x,'Diversion and Disposal'!O80,IF(OR(LEN(_xlpm.x)&lt;1,_xlpm.x=0),"",_xlpm.x))</f>
        <v/>
      </c>
      <c r="P84" s="514" t="str">
        <f>_xlfn.LET(_xlpm.x,'Diversion and Disposal'!P80,IF(OR(LEN(_xlpm.x)&lt;1,_xlpm.x=0),"",_xlpm.x))</f>
        <v/>
      </c>
      <c r="Q84" s="514" t="str">
        <f>_xlfn.LET(_xlpm.x,'Diversion and Disposal'!Q80,IF(OR(LEN(_xlpm.x)&lt;1,_xlpm.x=0),"",_xlpm.x))</f>
        <v/>
      </c>
      <c r="R84" s="514" t="str">
        <f>_xlfn.LET(_xlpm.x,'Diversion and Disposal'!R80,IF(OR(LEN(_xlpm.x)&lt;1,_xlpm.x=0),"",_xlpm.x))</f>
        <v/>
      </c>
      <c r="S84" s="514" t="str">
        <f>_xlfn.LET(_xlpm.x,'Diversion and Disposal'!S80,IF(OR(LEN(_xlpm.x)&lt;1,_xlpm.x=0),"",_xlpm.x))</f>
        <v/>
      </c>
      <c r="T84" s="513">
        <f t="shared" si="42"/>
        <v>0</v>
      </c>
      <c r="BB84" s="432" t="str">
        <f t="shared" si="60"/>
        <v/>
      </c>
      <c r="BC84" s="432" t="str">
        <f t="shared" si="61"/>
        <v/>
      </c>
      <c r="BD84" s="432" t="str">
        <f t="shared" si="62"/>
        <v/>
      </c>
      <c r="BE84" s="432" t="str">
        <f t="shared" si="63"/>
        <v/>
      </c>
      <c r="BF84" s="432" t="str">
        <f t="shared" si="64"/>
        <v/>
      </c>
      <c r="BG84" s="477" t="str">
        <f t="shared" si="65"/>
        <v/>
      </c>
      <c r="BH84" s="477" t="str">
        <f t="shared" si="66"/>
        <v/>
      </c>
      <c r="BI84" s="477" t="str">
        <f t="shared" si="67"/>
        <v/>
      </c>
      <c r="BJ84" s="477" t="str">
        <f t="shared" si="68"/>
        <v/>
      </c>
      <c r="BK84" s="477" t="str">
        <f t="shared" si="69"/>
        <v/>
      </c>
      <c r="BL84" s="477" t="str">
        <f t="shared" si="70"/>
        <v/>
      </c>
      <c r="BM84" s="477" t="str">
        <f t="shared" si="71"/>
        <v/>
      </c>
      <c r="BN84" s="477" t="str">
        <f t="shared" si="72"/>
        <v/>
      </c>
      <c r="BO84" s="477" t="str">
        <f t="shared" si="73"/>
        <v/>
      </c>
      <c r="BP84" s="477" t="str">
        <f t="shared" si="74"/>
        <v/>
      </c>
      <c r="BQ84" s="477" t="str">
        <f t="shared" si="75"/>
        <v/>
      </c>
      <c r="BR84" s="477" t="str">
        <f t="shared" si="76"/>
        <v/>
      </c>
      <c r="BS84" s="477" t="str">
        <f t="shared" si="77"/>
        <v/>
      </c>
      <c r="BT84" s="435">
        <f t="shared" si="78"/>
        <v>0</v>
      </c>
      <c r="BU84" s="434" t="str">
        <f t="shared" si="79"/>
        <v/>
      </c>
      <c r="BV84" s="479" t="str">
        <f t="shared" si="91"/>
        <v/>
      </c>
      <c r="BW84" s="479" t="str">
        <f t="shared" si="80"/>
        <v/>
      </c>
      <c r="BX84" s="479" t="str">
        <f t="shared" si="81"/>
        <v/>
      </c>
      <c r="BY84" s="479" t="str">
        <f t="shared" si="82"/>
        <v/>
      </c>
      <c r="BZ84" s="479" t="str">
        <f t="shared" si="83"/>
        <v/>
      </c>
      <c r="CA84" s="479" t="str">
        <f t="shared" si="84"/>
        <v/>
      </c>
      <c r="CB84" s="479" t="str">
        <f t="shared" si="85"/>
        <v/>
      </c>
      <c r="CC84" s="479" t="str">
        <f t="shared" si="86"/>
        <v/>
      </c>
      <c r="CD84" s="479" t="str">
        <f t="shared" si="87"/>
        <v/>
      </c>
      <c r="CE84" s="479" t="str">
        <f t="shared" si="88"/>
        <v/>
      </c>
      <c r="CF84" s="479" t="str">
        <f t="shared" si="89"/>
        <v/>
      </c>
      <c r="CG84" s="479" t="str">
        <f t="shared" si="90"/>
        <v/>
      </c>
      <c r="CH84" s="480">
        <f t="shared" si="92"/>
        <v>0</v>
      </c>
      <c r="DD84" s="497" cm="1">
        <f t="array" ref="DD84">_xlfn.IFS('Project Inputs'!$F$150&lt;&gt;"Yes",0,DE84=18,0,DE84&lt;&gt;18,SUM(DF84:DG84))</f>
        <v>0</v>
      </c>
      <c r="DE84" s="31">
        <f t="shared" si="93"/>
        <v>18</v>
      </c>
      <c r="DF84" s="31">
        <f t="shared" si="94"/>
        <v>0</v>
      </c>
      <c r="DG84" s="31">
        <f t="shared" ref="DG84:DG117" si="95">IF(ISBLANK(G84),0,IF(AND(ISNUMBER(G84),G84&gt;0),0,1))</f>
        <v>0</v>
      </c>
    </row>
    <row r="85" spans="1:111" hidden="1" outlineLevel="1">
      <c r="A85" s="22" t="str">
        <f t="shared" si="59"/>
        <v/>
      </c>
      <c r="B85" s="474" t="str">
        <f>_xlfn.LET(_xlpm.x,'Diversion and Disposal'!D81,IF(OR(LEN(_xlpm.x)&lt;1,_xlpm.x=0),"",_xlpm.x))</f>
        <v/>
      </c>
      <c r="C85" s="475" t="str">
        <f>_xlfn.LET(_xlpm.x,'Diversion and Disposal'!E81,IF(OR(LEN(_xlpm.x)&lt;1,_xlpm.x=0),"",_xlpm.x))</f>
        <v/>
      </c>
      <c r="D85" s="475" t="str">
        <f>_xlfn.LET(_xlpm.x,'Diversion and Disposal'!F81,IF(OR(LEN(_xlpm.x)&lt;1,_xlpm.x=0),"",_xlpm.x))</f>
        <v/>
      </c>
      <c r="E85" s="475" t="str">
        <f>_xlfn.LET(_xlpm.x,'Diversion and Disposal'!G81,IF(OR(LEN(_xlpm.x)&lt;1,_xlpm.x=0),"",_xlpm.x))</f>
        <v/>
      </c>
      <c r="F85" s="407"/>
      <c r="G85" s="511"/>
      <c r="H85" s="514" t="str">
        <f>_xlfn.LET(_xlpm.x,'Diversion and Disposal'!H81,IF(OR(LEN(_xlpm.x)&lt;1,_xlpm.x=0),"",_xlpm.x))</f>
        <v/>
      </c>
      <c r="I85" s="514" t="str">
        <f>_xlfn.LET(_xlpm.x,'Diversion and Disposal'!I81,IF(OR(LEN(_xlpm.x)&lt;1,_xlpm.x=0),"",_xlpm.x))</f>
        <v/>
      </c>
      <c r="J85" s="514" t="str">
        <f>_xlfn.LET(_xlpm.x,'Diversion and Disposal'!J81,IF(OR(LEN(_xlpm.x)&lt;1,_xlpm.x=0),"",_xlpm.x))</f>
        <v/>
      </c>
      <c r="K85" s="514" t="str">
        <f>_xlfn.LET(_xlpm.x,'Diversion and Disposal'!K81,IF(OR(LEN(_xlpm.x)&lt;1,_xlpm.x=0),"",_xlpm.x))</f>
        <v/>
      </c>
      <c r="L85" s="514" t="str">
        <f>_xlfn.LET(_xlpm.x,'Diversion and Disposal'!L81,IF(OR(LEN(_xlpm.x)&lt;1,_xlpm.x=0),"",_xlpm.x))</f>
        <v/>
      </c>
      <c r="M85" s="514" t="str">
        <f>_xlfn.LET(_xlpm.x,'Diversion and Disposal'!M81,IF(OR(LEN(_xlpm.x)&lt;1,_xlpm.x=0),"",_xlpm.x))</f>
        <v/>
      </c>
      <c r="N85" s="514" t="str">
        <f>_xlfn.LET(_xlpm.x,'Diversion and Disposal'!N81,IF(OR(LEN(_xlpm.x)&lt;1,_xlpm.x=0),"",_xlpm.x))</f>
        <v/>
      </c>
      <c r="O85" s="514" t="str">
        <f>_xlfn.LET(_xlpm.x,'Diversion and Disposal'!O81,IF(OR(LEN(_xlpm.x)&lt;1,_xlpm.x=0),"",_xlpm.x))</f>
        <v/>
      </c>
      <c r="P85" s="514" t="str">
        <f>_xlfn.LET(_xlpm.x,'Diversion and Disposal'!P81,IF(OR(LEN(_xlpm.x)&lt;1,_xlpm.x=0),"",_xlpm.x))</f>
        <v/>
      </c>
      <c r="Q85" s="514" t="str">
        <f>_xlfn.LET(_xlpm.x,'Diversion and Disposal'!Q81,IF(OR(LEN(_xlpm.x)&lt;1,_xlpm.x=0),"",_xlpm.x))</f>
        <v/>
      </c>
      <c r="R85" s="514" t="str">
        <f>_xlfn.LET(_xlpm.x,'Diversion and Disposal'!R81,IF(OR(LEN(_xlpm.x)&lt;1,_xlpm.x=0),"",_xlpm.x))</f>
        <v/>
      </c>
      <c r="S85" s="514" t="str">
        <f>_xlfn.LET(_xlpm.x,'Diversion and Disposal'!S81,IF(OR(LEN(_xlpm.x)&lt;1,_xlpm.x=0),"",_xlpm.x))</f>
        <v/>
      </c>
      <c r="T85" s="513">
        <f t="shared" si="42"/>
        <v>0</v>
      </c>
      <c r="BB85" s="432" t="str">
        <f t="shared" si="60"/>
        <v/>
      </c>
      <c r="BC85" s="432" t="str">
        <f t="shared" si="61"/>
        <v/>
      </c>
      <c r="BD85" s="432" t="str">
        <f t="shared" si="62"/>
        <v/>
      </c>
      <c r="BE85" s="432" t="str">
        <f t="shared" si="63"/>
        <v/>
      </c>
      <c r="BF85" s="432" t="str">
        <f t="shared" si="64"/>
        <v/>
      </c>
      <c r="BG85" s="477" t="str">
        <f t="shared" si="65"/>
        <v/>
      </c>
      <c r="BH85" s="477" t="str">
        <f t="shared" si="66"/>
        <v/>
      </c>
      <c r="BI85" s="477" t="str">
        <f t="shared" si="67"/>
        <v/>
      </c>
      <c r="BJ85" s="477" t="str">
        <f t="shared" si="68"/>
        <v/>
      </c>
      <c r="BK85" s="477" t="str">
        <f t="shared" si="69"/>
        <v/>
      </c>
      <c r="BL85" s="477" t="str">
        <f t="shared" si="70"/>
        <v/>
      </c>
      <c r="BM85" s="477" t="str">
        <f t="shared" si="71"/>
        <v/>
      </c>
      <c r="BN85" s="477" t="str">
        <f t="shared" si="72"/>
        <v/>
      </c>
      <c r="BO85" s="477" t="str">
        <f t="shared" si="73"/>
        <v/>
      </c>
      <c r="BP85" s="477" t="str">
        <f t="shared" si="74"/>
        <v/>
      </c>
      <c r="BQ85" s="477" t="str">
        <f t="shared" si="75"/>
        <v/>
      </c>
      <c r="BR85" s="477" t="str">
        <f t="shared" si="76"/>
        <v/>
      </c>
      <c r="BS85" s="477" t="str">
        <f t="shared" si="77"/>
        <v/>
      </c>
      <c r="BT85" s="435">
        <f t="shared" si="78"/>
        <v>0</v>
      </c>
      <c r="BU85" s="434" t="str">
        <f t="shared" si="79"/>
        <v/>
      </c>
      <c r="BV85" s="479" t="str">
        <f t="shared" si="91"/>
        <v/>
      </c>
      <c r="BW85" s="479" t="str">
        <f t="shared" si="80"/>
        <v/>
      </c>
      <c r="BX85" s="479" t="str">
        <f t="shared" si="81"/>
        <v/>
      </c>
      <c r="BY85" s="479" t="str">
        <f t="shared" si="82"/>
        <v/>
      </c>
      <c r="BZ85" s="479" t="str">
        <f t="shared" si="83"/>
        <v/>
      </c>
      <c r="CA85" s="479" t="str">
        <f t="shared" si="84"/>
        <v/>
      </c>
      <c r="CB85" s="479" t="str">
        <f t="shared" si="85"/>
        <v/>
      </c>
      <c r="CC85" s="479" t="str">
        <f t="shared" si="86"/>
        <v/>
      </c>
      <c r="CD85" s="479" t="str">
        <f t="shared" si="87"/>
        <v/>
      </c>
      <c r="CE85" s="479" t="str">
        <f t="shared" si="88"/>
        <v/>
      </c>
      <c r="CF85" s="479" t="str">
        <f t="shared" si="89"/>
        <v/>
      </c>
      <c r="CG85" s="479" t="str">
        <f t="shared" si="90"/>
        <v/>
      </c>
      <c r="CH85" s="480">
        <f t="shared" si="92"/>
        <v>0</v>
      </c>
      <c r="DD85" s="497" cm="1">
        <f t="array" ref="DD85">_xlfn.IFS('Project Inputs'!$F$150&lt;&gt;"Yes",0,DE85=18,0,DE85&lt;&gt;18,SUM(DF85:DG85))</f>
        <v>0</v>
      </c>
      <c r="DE85" s="31">
        <f t="shared" si="93"/>
        <v>18</v>
      </c>
      <c r="DF85" s="31">
        <f t="shared" si="94"/>
        <v>0</v>
      </c>
      <c r="DG85" s="31">
        <f t="shared" si="95"/>
        <v>0</v>
      </c>
    </row>
    <row r="86" spans="1:111" hidden="1" outlineLevel="1">
      <c r="A86" s="22" t="str">
        <f t="shared" si="59"/>
        <v/>
      </c>
      <c r="B86" s="474" t="str">
        <f>_xlfn.LET(_xlpm.x,'Diversion and Disposal'!D82,IF(OR(LEN(_xlpm.x)&lt;1,_xlpm.x=0),"",_xlpm.x))</f>
        <v/>
      </c>
      <c r="C86" s="475" t="str">
        <f>_xlfn.LET(_xlpm.x,'Diversion and Disposal'!E82,IF(OR(LEN(_xlpm.x)&lt;1,_xlpm.x=0),"",_xlpm.x))</f>
        <v/>
      </c>
      <c r="D86" s="475" t="str">
        <f>_xlfn.LET(_xlpm.x,'Diversion and Disposal'!F82,IF(OR(LEN(_xlpm.x)&lt;1,_xlpm.x=0),"",_xlpm.x))</f>
        <v/>
      </c>
      <c r="E86" s="475" t="str">
        <f>_xlfn.LET(_xlpm.x,'Diversion and Disposal'!G82,IF(OR(LEN(_xlpm.x)&lt;1,_xlpm.x=0),"",_xlpm.x))</f>
        <v/>
      </c>
      <c r="F86" s="407"/>
      <c r="G86" s="511"/>
      <c r="H86" s="514" t="str">
        <f>_xlfn.LET(_xlpm.x,'Diversion and Disposal'!H82,IF(OR(LEN(_xlpm.x)&lt;1,_xlpm.x=0),"",_xlpm.x))</f>
        <v/>
      </c>
      <c r="I86" s="514" t="str">
        <f>_xlfn.LET(_xlpm.x,'Diversion and Disposal'!I82,IF(OR(LEN(_xlpm.x)&lt;1,_xlpm.x=0),"",_xlpm.x))</f>
        <v/>
      </c>
      <c r="J86" s="514" t="str">
        <f>_xlfn.LET(_xlpm.x,'Diversion and Disposal'!J82,IF(OR(LEN(_xlpm.x)&lt;1,_xlpm.x=0),"",_xlpm.x))</f>
        <v/>
      </c>
      <c r="K86" s="514" t="str">
        <f>_xlfn.LET(_xlpm.x,'Diversion and Disposal'!K82,IF(OR(LEN(_xlpm.x)&lt;1,_xlpm.x=0),"",_xlpm.x))</f>
        <v/>
      </c>
      <c r="L86" s="514" t="str">
        <f>_xlfn.LET(_xlpm.x,'Diversion and Disposal'!L82,IF(OR(LEN(_xlpm.x)&lt;1,_xlpm.x=0),"",_xlpm.x))</f>
        <v/>
      </c>
      <c r="M86" s="514" t="str">
        <f>_xlfn.LET(_xlpm.x,'Diversion and Disposal'!M82,IF(OR(LEN(_xlpm.x)&lt;1,_xlpm.x=0),"",_xlpm.x))</f>
        <v/>
      </c>
      <c r="N86" s="514" t="str">
        <f>_xlfn.LET(_xlpm.x,'Diversion and Disposal'!N82,IF(OR(LEN(_xlpm.x)&lt;1,_xlpm.x=0),"",_xlpm.x))</f>
        <v/>
      </c>
      <c r="O86" s="514" t="str">
        <f>_xlfn.LET(_xlpm.x,'Diversion and Disposal'!O82,IF(OR(LEN(_xlpm.x)&lt;1,_xlpm.x=0),"",_xlpm.x))</f>
        <v/>
      </c>
      <c r="P86" s="514" t="str">
        <f>_xlfn.LET(_xlpm.x,'Diversion and Disposal'!P82,IF(OR(LEN(_xlpm.x)&lt;1,_xlpm.x=0),"",_xlpm.x))</f>
        <v/>
      </c>
      <c r="Q86" s="514" t="str">
        <f>_xlfn.LET(_xlpm.x,'Diversion and Disposal'!Q82,IF(OR(LEN(_xlpm.x)&lt;1,_xlpm.x=0),"",_xlpm.x))</f>
        <v/>
      </c>
      <c r="R86" s="514" t="str">
        <f>_xlfn.LET(_xlpm.x,'Diversion and Disposal'!R82,IF(OR(LEN(_xlpm.x)&lt;1,_xlpm.x=0),"",_xlpm.x))</f>
        <v/>
      </c>
      <c r="S86" s="514" t="str">
        <f>_xlfn.LET(_xlpm.x,'Diversion and Disposal'!S82,IF(OR(LEN(_xlpm.x)&lt;1,_xlpm.x=0),"",_xlpm.x))</f>
        <v/>
      </c>
      <c r="T86" s="513">
        <f t="shared" si="42"/>
        <v>0</v>
      </c>
      <c r="BB86" s="432" t="str">
        <f t="shared" si="60"/>
        <v/>
      </c>
      <c r="BC86" s="432" t="str">
        <f t="shared" si="61"/>
        <v/>
      </c>
      <c r="BD86" s="432" t="str">
        <f t="shared" si="62"/>
        <v/>
      </c>
      <c r="BE86" s="432" t="str">
        <f t="shared" si="63"/>
        <v/>
      </c>
      <c r="BF86" s="432" t="str">
        <f t="shared" si="64"/>
        <v/>
      </c>
      <c r="BG86" s="477" t="str">
        <f t="shared" si="65"/>
        <v/>
      </c>
      <c r="BH86" s="477" t="str">
        <f t="shared" si="66"/>
        <v/>
      </c>
      <c r="BI86" s="477" t="str">
        <f t="shared" si="67"/>
        <v/>
      </c>
      <c r="BJ86" s="477" t="str">
        <f t="shared" si="68"/>
        <v/>
      </c>
      <c r="BK86" s="477" t="str">
        <f t="shared" si="69"/>
        <v/>
      </c>
      <c r="BL86" s="477" t="str">
        <f t="shared" si="70"/>
        <v/>
      </c>
      <c r="BM86" s="477" t="str">
        <f t="shared" si="71"/>
        <v/>
      </c>
      <c r="BN86" s="477" t="str">
        <f t="shared" si="72"/>
        <v/>
      </c>
      <c r="BO86" s="477" t="str">
        <f t="shared" si="73"/>
        <v/>
      </c>
      <c r="BP86" s="477" t="str">
        <f t="shared" si="74"/>
        <v/>
      </c>
      <c r="BQ86" s="477" t="str">
        <f t="shared" si="75"/>
        <v/>
      </c>
      <c r="BR86" s="477" t="str">
        <f t="shared" si="76"/>
        <v/>
      </c>
      <c r="BS86" s="477" t="str">
        <f t="shared" si="77"/>
        <v/>
      </c>
      <c r="BT86" s="435">
        <f t="shared" si="78"/>
        <v>0</v>
      </c>
      <c r="BU86" s="434" t="str">
        <f t="shared" si="79"/>
        <v/>
      </c>
      <c r="BV86" s="479" t="str">
        <f t="shared" si="91"/>
        <v/>
      </c>
      <c r="BW86" s="479" t="str">
        <f t="shared" si="80"/>
        <v/>
      </c>
      <c r="BX86" s="479" t="str">
        <f t="shared" si="81"/>
        <v/>
      </c>
      <c r="BY86" s="479" t="str">
        <f t="shared" si="82"/>
        <v/>
      </c>
      <c r="BZ86" s="479" t="str">
        <f t="shared" si="83"/>
        <v/>
      </c>
      <c r="CA86" s="479" t="str">
        <f t="shared" si="84"/>
        <v/>
      </c>
      <c r="CB86" s="479" t="str">
        <f t="shared" si="85"/>
        <v/>
      </c>
      <c r="CC86" s="479" t="str">
        <f t="shared" si="86"/>
        <v/>
      </c>
      <c r="CD86" s="479" t="str">
        <f t="shared" si="87"/>
        <v/>
      </c>
      <c r="CE86" s="479" t="str">
        <f t="shared" si="88"/>
        <v/>
      </c>
      <c r="CF86" s="479" t="str">
        <f t="shared" si="89"/>
        <v/>
      </c>
      <c r="CG86" s="479" t="str">
        <f t="shared" si="90"/>
        <v/>
      </c>
      <c r="CH86" s="480">
        <f t="shared" si="92"/>
        <v>0</v>
      </c>
      <c r="DD86" s="497" cm="1">
        <f t="array" ref="DD86">_xlfn.IFS('Project Inputs'!$F$150&lt;&gt;"Yes",0,DE86=18,0,DE86&lt;&gt;18,SUM(DF86:DG86))</f>
        <v>0</v>
      </c>
      <c r="DE86" s="31">
        <f t="shared" si="93"/>
        <v>18</v>
      </c>
      <c r="DF86" s="31">
        <f t="shared" si="94"/>
        <v>0</v>
      </c>
      <c r="DG86" s="31">
        <f t="shared" si="95"/>
        <v>0</v>
      </c>
    </row>
    <row r="87" spans="1:111" hidden="1" outlineLevel="1">
      <c r="A87" s="22" t="str">
        <f t="shared" si="59"/>
        <v/>
      </c>
      <c r="B87" s="474" t="str">
        <f>_xlfn.LET(_xlpm.x,'Diversion and Disposal'!D83,IF(OR(LEN(_xlpm.x)&lt;1,_xlpm.x=0),"",_xlpm.x))</f>
        <v/>
      </c>
      <c r="C87" s="475" t="str">
        <f>_xlfn.LET(_xlpm.x,'Diversion and Disposal'!E83,IF(OR(LEN(_xlpm.x)&lt;1,_xlpm.x=0),"",_xlpm.x))</f>
        <v/>
      </c>
      <c r="D87" s="475" t="str">
        <f>_xlfn.LET(_xlpm.x,'Diversion and Disposal'!F83,IF(OR(LEN(_xlpm.x)&lt;1,_xlpm.x=0),"",_xlpm.x))</f>
        <v/>
      </c>
      <c r="E87" s="475" t="str">
        <f>_xlfn.LET(_xlpm.x,'Diversion and Disposal'!G83,IF(OR(LEN(_xlpm.x)&lt;1,_xlpm.x=0),"",_xlpm.x))</f>
        <v/>
      </c>
      <c r="F87" s="407"/>
      <c r="G87" s="511"/>
      <c r="H87" s="514" t="str">
        <f>_xlfn.LET(_xlpm.x,'Diversion and Disposal'!H83,IF(OR(LEN(_xlpm.x)&lt;1,_xlpm.x=0),"",_xlpm.x))</f>
        <v/>
      </c>
      <c r="I87" s="514" t="str">
        <f>_xlfn.LET(_xlpm.x,'Diversion and Disposal'!I83,IF(OR(LEN(_xlpm.x)&lt;1,_xlpm.x=0),"",_xlpm.x))</f>
        <v/>
      </c>
      <c r="J87" s="514" t="str">
        <f>_xlfn.LET(_xlpm.x,'Diversion and Disposal'!J83,IF(OR(LEN(_xlpm.x)&lt;1,_xlpm.x=0),"",_xlpm.x))</f>
        <v/>
      </c>
      <c r="K87" s="514" t="str">
        <f>_xlfn.LET(_xlpm.x,'Diversion and Disposal'!K83,IF(OR(LEN(_xlpm.x)&lt;1,_xlpm.x=0),"",_xlpm.x))</f>
        <v/>
      </c>
      <c r="L87" s="514" t="str">
        <f>_xlfn.LET(_xlpm.x,'Diversion and Disposal'!L83,IF(OR(LEN(_xlpm.x)&lt;1,_xlpm.x=0),"",_xlpm.x))</f>
        <v/>
      </c>
      <c r="M87" s="514" t="str">
        <f>_xlfn.LET(_xlpm.x,'Diversion and Disposal'!M83,IF(OR(LEN(_xlpm.x)&lt;1,_xlpm.x=0),"",_xlpm.x))</f>
        <v/>
      </c>
      <c r="N87" s="514" t="str">
        <f>_xlfn.LET(_xlpm.x,'Diversion and Disposal'!N83,IF(OR(LEN(_xlpm.x)&lt;1,_xlpm.x=0),"",_xlpm.x))</f>
        <v/>
      </c>
      <c r="O87" s="514" t="str">
        <f>_xlfn.LET(_xlpm.x,'Diversion and Disposal'!O83,IF(OR(LEN(_xlpm.x)&lt;1,_xlpm.x=0),"",_xlpm.x))</f>
        <v/>
      </c>
      <c r="P87" s="514" t="str">
        <f>_xlfn.LET(_xlpm.x,'Diversion and Disposal'!P83,IF(OR(LEN(_xlpm.x)&lt;1,_xlpm.x=0),"",_xlpm.x))</f>
        <v/>
      </c>
      <c r="Q87" s="514" t="str">
        <f>_xlfn.LET(_xlpm.x,'Diversion and Disposal'!Q83,IF(OR(LEN(_xlpm.x)&lt;1,_xlpm.x=0),"",_xlpm.x))</f>
        <v/>
      </c>
      <c r="R87" s="514" t="str">
        <f>_xlfn.LET(_xlpm.x,'Diversion and Disposal'!R83,IF(OR(LEN(_xlpm.x)&lt;1,_xlpm.x=0),"",_xlpm.x))</f>
        <v/>
      </c>
      <c r="S87" s="514" t="str">
        <f>_xlfn.LET(_xlpm.x,'Diversion and Disposal'!S83,IF(OR(LEN(_xlpm.x)&lt;1,_xlpm.x=0),"",_xlpm.x))</f>
        <v/>
      </c>
      <c r="T87" s="513">
        <f t="shared" si="42"/>
        <v>0</v>
      </c>
      <c r="BB87" s="432" t="str">
        <f t="shared" si="60"/>
        <v/>
      </c>
      <c r="BC87" s="432" t="str">
        <f t="shared" si="61"/>
        <v/>
      </c>
      <c r="BD87" s="432" t="str">
        <f t="shared" si="62"/>
        <v/>
      </c>
      <c r="BE87" s="432" t="str">
        <f t="shared" si="63"/>
        <v/>
      </c>
      <c r="BF87" s="432" t="str">
        <f t="shared" si="64"/>
        <v/>
      </c>
      <c r="BG87" s="477" t="str">
        <f t="shared" si="65"/>
        <v/>
      </c>
      <c r="BH87" s="477" t="str">
        <f t="shared" si="66"/>
        <v/>
      </c>
      <c r="BI87" s="477" t="str">
        <f t="shared" si="67"/>
        <v/>
      </c>
      <c r="BJ87" s="477" t="str">
        <f t="shared" si="68"/>
        <v/>
      </c>
      <c r="BK87" s="477" t="str">
        <f t="shared" si="69"/>
        <v/>
      </c>
      <c r="BL87" s="477" t="str">
        <f t="shared" si="70"/>
        <v/>
      </c>
      <c r="BM87" s="477" t="str">
        <f t="shared" si="71"/>
        <v/>
      </c>
      <c r="BN87" s="477" t="str">
        <f t="shared" si="72"/>
        <v/>
      </c>
      <c r="BO87" s="477" t="str">
        <f t="shared" si="73"/>
        <v/>
      </c>
      <c r="BP87" s="477" t="str">
        <f t="shared" si="74"/>
        <v/>
      </c>
      <c r="BQ87" s="477" t="str">
        <f t="shared" si="75"/>
        <v/>
      </c>
      <c r="BR87" s="477" t="str">
        <f t="shared" si="76"/>
        <v/>
      </c>
      <c r="BS87" s="477" t="str">
        <f t="shared" si="77"/>
        <v/>
      </c>
      <c r="BT87" s="435">
        <f t="shared" si="78"/>
        <v>0</v>
      </c>
      <c r="BU87" s="434" t="str">
        <f t="shared" si="79"/>
        <v/>
      </c>
      <c r="BV87" s="479" t="str">
        <f t="shared" si="91"/>
        <v/>
      </c>
      <c r="BW87" s="479" t="str">
        <f t="shared" si="80"/>
        <v/>
      </c>
      <c r="BX87" s="479" t="str">
        <f t="shared" si="81"/>
        <v/>
      </c>
      <c r="BY87" s="479" t="str">
        <f t="shared" si="82"/>
        <v/>
      </c>
      <c r="BZ87" s="479" t="str">
        <f t="shared" si="83"/>
        <v/>
      </c>
      <c r="CA87" s="479" t="str">
        <f t="shared" si="84"/>
        <v/>
      </c>
      <c r="CB87" s="479" t="str">
        <f t="shared" si="85"/>
        <v/>
      </c>
      <c r="CC87" s="479" t="str">
        <f t="shared" si="86"/>
        <v/>
      </c>
      <c r="CD87" s="479" t="str">
        <f t="shared" si="87"/>
        <v/>
      </c>
      <c r="CE87" s="479" t="str">
        <f t="shared" si="88"/>
        <v/>
      </c>
      <c r="CF87" s="479" t="str">
        <f t="shared" si="89"/>
        <v/>
      </c>
      <c r="CG87" s="479" t="str">
        <f t="shared" si="90"/>
        <v/>
      </c>
      <c r="CH87" s="480">
        <f t="shared" si="92"/>
        <v>0</v>
      </c>
      <c r="DD87" s="497" cm="1">
        <f t="array" ref="DD87">_xlfn.IFS('Project Inputs'!$F$150&lt;&gt;"Yes",0,DE87=18,0,DE87&lt;&gt;18,SUM(DF87:DG87))</f>
        <v>0</v>
      </c>
      <c r="DE87" s="31">
        <f t="shared" si="93"/>
        <v>18</v>
      </c>
      <c r="DF87" s="31">
        <f t="shared" si="94"/>
        <v>0</v>
      </c>
      <c r="DG87" s="31">
        <f t="shared" si="95"/>
        <v>0</v>
      </c>
    </row>
    <row r="88" spans="1:111" hidden="1" outlineLevel="1">
      <c r="A88" s="22" t="str">
        <f t="shared" si="59"/>
        <v/>
      </c>
      <c r="B88" s="474" t="str">
        <f>_xlfn.LET(_xlpm.x,'Diversion and Disposal'!D84,IF(OR(LEN(_xlpm.x)&lt;1,_xlpm.x=0),"",_xlpm.x))</f>
        <v/>
      </c>
      <c r="C88" s="475" t="str">
        <f>_xlfn.LET(_xlpm.x,'Diversion and Disposal'!E84,IF(OR(LEN(_xlpm.x)&lt;1,_xlpm.x=0),"",_xlpm.x))</f>
        <v/>
      </c>
      <c r="D88" s="475" t="str">
        <f>_xlfn.LET(_xlpm.x,'Diversion and Disposal'!F84,IF(OR(LEN(_xlpm.x)&lt;1,_xlpm.x=0),"",_xlpm.x))</f>
        <v/>
      </c>
      <c r="E88" s="475" t="str">
        <f>_xlfn.LET(_xlpm.x,'Diversion and Disposal'!G84,IF(OR(LEN(_xlpm.x)&lt;1,_xlpm.x=0),"",_xlpm.x))</f>
        <v/>
      </c>
      <c r="F88" s="407"/>
      <c r="G88" s="511"/>
      <c r="H88" s="514" t="str">
        <f>_xlfn.LET(_xlpm.x,'Diversion and Disposal'!H84,IF(OR(LEN(_xlpm.x)&lt;1,_xlpm.x=0),"",_xlpm.x))</f>
        <v/>
      </c>
      <c r="I88" s="514" t="str">
        <f>_xlfn.LET(_xlpm.x,'Diversion and Disposal'!I84,IF(OR(LEN(_xlpm.x)&lt;1,_xlpm.x=0),"",_xlpm.x))</f>
        <v/>
      </c>
      <c r="J88" s="514" t="str">
        <f>_xlfn.LET(_xlpm.x,'Diversion and Disposal'!J84,IF(OR(LEN(_xlpm.x)&lt;1,_xlpm.x=0),"",_xlpm.x))</f>
        <v/>
      </c>
      <c r="K88" s="514" t="str">
        <f>_xlfn.LET(_xlpm.x,'Diversion and Disposal'!K84,IF(OR(LEN(_xlpm.x)&lt;1,_xlpm.x=0),"",_xlpm.x))</f>
        <v/>
      </c>
      <c r="L88" s="514" t="str">
        <f>_xlfn.LET(_xlpm.x,'Diversion and Disposal'!L84,IF(OR(LEN(_xlpm.x)&lt;1,_xlpm.x=0),"",_xlpm.x))</f>
        <v/>
      </c>
      <c r="M88" s="514" t="str">
        <f>_xlfn.LET(_xlpm.x,'Diversion and Disposal'!M84,IF(OR(LEN(_xlpm.x)&lt;1,_xlpm.x=0),"",_xlpm.x))</f>
        <v/>
      </c>
      <c r="N88" s="514" t="str">
        <f>_xlfn.LET(_xlpm.x,'Diversion and Disposal'!N84,IF(OR(LEN(_xlpm.x)&lt;1,_xlpm.x=0),"",_xlpm.x))</f>
        <v/>
      </c>
      <c r="O88" s="514" t="str">
        <f>_xlfn.LET(_xlpm.x,'Diversion and Disposal'!O84,IF(OR(LEN(_xlpm.x)&lt;1,_xlpm.x=0),"",_xlpm.x))</f>
        <v/>
      </c>
      <c r="P88" s="514" t="str">
        <f>_xlfn.LET(_xlpm.x,'Diversion and Disposal'!P84,IF(OR(LEN(_xlpm.x)&lt;1,_xlpm.x=0),"",_xlpm.x))</f>
        <v/>
      </c>
      <c r="Q88" s="514" t="str">
        <f>_xlfn.LET(_xlpm.x,'Diversion and Disposal'!Q84,IF(OR(LEN(_xlpm.x)&lt;1,_xlpm.x=0),"",_xlpm.x))</f>
        <v/>
      </c>
      <c r="R88" s="514" t="str">
        <f>_xlfn.LET(_xlpm.x,'Diversion and Disposal'!R84,IF(OR(LEN(_xlpm.x)&lt;1,_xlpm.x=0),"",_xlpm.x))</f>
        <v/>
      </c>
      <c r="S88" s="514" t="str">
        <f>_xlfn.LET(_xlpm.x,'Diversion and Disposal'!S84,IF(OR(LEN(_xlpm.x)&lt;1,_xlpm.x=0),"",_xlpm.x))</f>
        <v/>
      </c>
      <c r="T88" s="513">
        <f t="shared" si="42"/>
        <v>0</v>
      </c>
      <c r="BB88" s="432" t="str">
        <f t="shared" si="60"/>
        <v/>
      </c>
      <c r="BC88" s="432" t="str">
        <f t="shared" si="61"/>
        <v/>
      </c>
      <c r="BD88" s="432" t="str">
        <f t="shared" si="62"/>
        <v/>
      </c>
      <c r="BE88" s="432" t="str">
        <f t="shared" si="63"/>
        <v/>
      </c>
      <c r="BF88" s="432" t="str">
        <f t="shared" si="64"/>
        <v/>
      </c>
      <c r="BG88" s="477" t="str">
        <f t="shared" si="65"/>
        <v/>
      </c>
      <c r="BH88" s="477" t="str">
        <f t="shared" si="66"/>
        <v/>
      </c>
      <c r="BI88" s="477" t="str">
        <f t="shared" si="67"/>
        <v/>
      </c>
      <c r="BJ88" s="477" t="str">
        <f t="shared" si="68"/>
        <v/>
      </c>
      <c r="BK88" s="477" t="str">
        <f t="shared" si="69"/>
        <v/>
      </c>
      <c r="BL88" s="477" t="str">
        <f t="shared" si="70"/>
        <v/>
      </c>
      <c r="BM88" s="477" t="str">
        <f t="shared" si="71"/>
        <v/>
      </c>
      <c r="BN88" s="477" t="str">
        <f t="shared" si="72"/>
        <v/>
      </c>
      <c r="BO88" s="477" t="str">
        <f t="shared" si="73"/>
        <v/>
      </c>
      <c r="BP88" s="477" t="str">
        <f t="shared" si="74"/>
        <v/>
      </c>
      <c r="BQ88" s="477" t="str">
        <f t="shared" si="75"/>
        <v/>
      </c>
      <c r="BR88" s="477" t="str">
        <f t="shared" si="76"/>
        <v/>
      </c>
      <c r="BS88" s="477" t="str">
        <f t="shared" si="77"/>
        <v/>
      </c>
      <c r="BT88" s="435">
        <f t="shared" si="78"/>
        <v>0</v>
      </c>
      <c r="BU88" s="434" t="str">
        <f t="shared" si="79"/>
        <v/>
      </c>
      <c r="BV88" s="479" t="str">
        <f t="shared" si="91"/>
        <v/>
      </c>
      <c r="BW88" s="479" t="str">
        <f t="shared" si="80"/>
        <v/>
      </c>
      <c r="BX88" s="479" t="str">
        <f t="shared" si="81"/>
        <v/>
      </c>
      <c r="BY88" s="479" t="str">
        <f t="shared" si="82"/>
        <v/>
      </c>
      <c r="BZ88" s="479" t="str">
        <f t="shared" si="83"/>
        <v/>
      </c>
      <c r="CA88" s="479" t="str">
        <f t="shared" si="84"/>
        <v/>
      </c>
      <c r="CB88" s="479" t="str">
        <f t="shared" si="85"/>
        <v/>
      </c>
      <c r="CC88" s="479" t="str">
        <f t="shared" si="86"/>
        <v/>
      </c>
      <c r="CD88" s="479" t="str">
        <f t="shared" si="87"/>
        <v/>
      </c>
      <c r="CE88" s="479" t="str">
        <f t="shared" si="88"/>
        <v/>
      </c>
      <c r="CF88" s="479" t="str">
        <f t="shared" si="89"/>
        <v/>
      </c>
      <c r="CG88" s="479" t="str">
        <f t="shared" si="90"/>
        <v/>
      </c>
      <c r="CH88" s="480">
        <f t="shared" si="92"/>
        <v>0</v>
      </c>
      <c r="DD88" s="497" cm="1">
        <f t="array" ref="DD88">_xlfn.IFS('Project Inputs'!$F$150&lt;&gt;"Yes",0,DE88=18,0,DE88&lt;&gt;18,SUM(DF88:DG88))</f>
        <v>0</v>
      </c>
      <c r="DE88" s="31">
        <f t="shared" si="93"/>
        <v>18</v>
      </c>
      <c r="DF88" s="31">
        <f t="shared" si="94"/>
        <v>0</v>
      </c>
      <c r="DG88" s="31">
        <f t="shared" si="95"/>
        <v>0</v>
      </c>
    </row>
    <row r="89" spans="1:111" hidden="1" outlineLevel="1">
      <c r="A89" s="22" t="str">
        <f t="shared" si="59"/>
        <v/>
      </c>
      <c r="B89" s="474" t="str">
        <f>_xlfn.LET(_xlpm.x,'Diversion and Disposal'!D85,IF(OR(LEN(_xlpm.x)&lt;1,_xlpm.x=0),"",_xlpm.x))</f>
        <v/>
      </c>
      <c r="C89" s="475" t="str">
        <f>_xlfn.LET(_xlpm.x,'Diversion and Disposal'!E85,IF(OR(LEN(_xlpm.x)&lt;1,_xlpm.x=0),"",_xlpm.x))</f>
        <v/>
      </c>
      <c r="D89" s="475" t="str">
        <f>_xlfn.LET(_xlpm.x,'Diversion and Disposal'!F85,IF(OR(LEN(_xlpm.x)&lt;1,_xlpm.x=0),"",_xlpm.x))</f>
        <v/>
      </c>
      <c r="E89" s="475" t="str">
        <f>_xlfn.LET(_xlpm.x,'Diversion and Disposal'!G85,IF(OR(LEN(_xlpm.x)&lt;1,_xlpm.x=0),"",_xlpm.x))</f>
        <v/>
      </c>
      <c r="F89" s="407"/>
      <c r="G89" s="511"/>
      <c r="H89" s="514" t="str">
        <f>_xlfn.LET(_xlpm.x,'Diversion and Disposal'!H85,IF(OR(LEN(_xlpm.x)&lt;1,_xlpm.x=0),"",_xlpm.x))</f>
        <v/>
      </c>
      <c r="I89" s="514" t="str">
        <f>_xlfn.LET(_xlpm.x,'Diversion and Disposal'!I85,IF(OR(LEN(_xlpm.x)&lt;1,_xlpm.x=0),"",_xlpm.x))</f>
        <v/>
      </c>
      <c r="J89" s="514" t="str">
        <f>_xlfn.LET(_xlpm.x,'Diversion and Disposal'!J85,IF(OR(LEN(_xlpm.x)&lt;1,_xlpm.x=0),"",_xlpm.x))</f>
        <v/>
      </c>
      <c r="K89" s="514" t="str">
        <f>_xlfn.LET(_xlpm.x,'Diversion and Disposal'!K85,IF(OR(LEN(_xlpm.x)&lt;1,_xlpm.x=0),"",_xlpm.x))</f>
        <v/>
      </c>
      <c r="L89" s="514" t="str">
        <f>_xlfn.LET(_xlpm.x,'Diversion and Disposal'!L85,IF(OR(LEN(_xlpm.x)&lt;1,_xlpm.x=0),"",_xlpm.x))</f>
        <v/>
      </c>
      <c r="M89" s="514" t="str">
        <f>_xlfn.LET(_xlpm.x,'Diversion and Disposal'!M85,IF(OR(LEN(_xlpm.x)&lt;1,_xlpm.x=0),"",_xlpm.x))</f>
        <v/>
      </c>
      <c r="N89" s="514" t="str">
        <f>_xlfn.LET(_xlpm.x,'Diversion and Disposal'!N85,IF(OR(LEN(_xlpm.x)&lt;1,_xlpm.x=0),"",_xlpm.x))</f>
        <v/>
      </c>
      <c r="O89" s="514" t="str">
        <f>_xlfn.LET(_xlpm.x,'Diversion and Disposal'!O85,IF(OR(LEN(_xlpm.x)&lt;1,_xlpm.x=0),"",_xlpm.x))</f>
        <v/>
      </c>
      <c r="P89" s="514" t="str">
        <f>_xlfn.LET(_xlpm.x,'Diversion and Disposal'!P85,IF(OR(LEN(_xlpm.x)&lt;1,_xlpm.x=0),"",_xlpm.x))</f>
        <v/>
      </c>
      <c r="Q89" s="514" t="str">
        <f>_xlfn.LET(_xlpm.x,'Diversion and Disposal'!Q85,IF(OR(LEN(_xlpm.x)&lt;1,_xlpm.x=0),"",_xlpm.x))</f>
        <v/>
      </c>
      <c r="R89" s="514" t="str">
        <f>_xlfn.LET(_xlpm.x,'Diversion and Disposal'!R85,IF(OR(LEN(_xlpm.x)&lt;1,_xlpm.x=0),"",_xlpm.x))</f>
        <v/>
      </c>
      <c r="S89" s="514" t="str">
        <f>_xlfn.LET(_xlpm.x,'Diversion and Disposal'!S85,IF(OR(LEN(_xlpm.x)&lt;1,_xlpm.x=0),"",_xlpm.x))</f>
        <v/>
      </c>
      <c r="T89" s="513">
        <f t="shared" si="42"/>
        <v>0</v>
      </c>
      <c r="BB89" s="432" t="str">
        <f t="shared" si="60"/>
        <v/>
      </c>
      <c r="BC89" s="432" t="str">
        <f t="shared" si="61"/>
        <v/>
      </c>
      <c r="BD89" s="432" t="str">
        <f t="shared" si="62"/>
        <v/>
      </c>
      <c r="BE89" s="432" t="str">
        <f t="shared" si="63"/>
        <v/>
      </c>
      <c r="BF89" s="432" t="str">
        <f t="shared" si="64"/>
        <v/>
      </c>
      <c r="BG89" s="477" t="str">
        <f t="shared" si="65"/>
        <v/>
      </c>
      <c r="BH89" s="477" t="str">
        <f t="shared" si="66"/>
        <v/>
      </c>
      <c r="BI89" s="477" t="str">
        <f t="shared" si="67"/>
        <v/>
      </c>
      <c r="BJ89" s="477" t="str">
        <f t="shared" si="68"/>
        <v/>
      </c>
      <c r="BK89" s="477" t="str">
        <f t="shared" si="69"/>
        <v/>
      </c>
      <c r="BL89" s="477" t="str">
        <f t="shared" si="70"/>
        <v/>
      </c>
      <c r="BM89" s="477" t="str">
        <f t="shared" si="71"/>
        <v/>
      </c>
      <c r="BN89" s="477" t="str">
        <f t="shared" si="72"/>
        <v/>
      </c>
      <c r="BO89" s="477" t="str">
        <f t="shared" si="73"/>
        <v/>
      </c>
      <c r="BP89" s="477" t="str">
        <f t="shared" si="74"/>
        <v/>
      </c>
      <c r="BQ89" s="477" t="str">
        <f t="shared" si="75"/>
        <v/>
      </c>
      <c r="BR89" s="477" t="str">
        <f t="shared" si="76"/>
        <v/>
      </c>
      <c r="BS89" s="477" t="str">
        <f t="shared" si="77"/>
        <v/>
      </c>
      <c r="BT89" s="435">
        <f t="shared" si="78"/>
        <v>0</v>
      </c>
      <c r="BU89" s="434" t="str">
        <f t="shared" si="79"/>
        <v/>
      </c>
      <c r="BV89" s="479" t="str">
        <f t="shared" si="91"/>
        <v/>
      </c>
      <c r="BW89" s="479" t="str">
        <f t="shared" si="80"/>
        <v/>
      </c>
      <c r="BX89" s="479" t="str">
        <f t="shared" si="81"/>
        <v/>
      </c>
      <c r="BY89" s="479" t="str">
        <f t="shared" si="82"/>
        <v/>
      </c>
      <c r="BZ89" s="479" t="str">
        <f t="shared" si="83"/>
        <v/>
      </c>
      <c r="CA89" s="479" t="str">
        <f t="shared" si="84"/>
        <v/>
      </c>
      <c r="CB89" s="479" t="str">
        <f t="shared" si="85"/>
        <v/>
      </c>
      <c r="CC89" s="479" t="str">
        <f t="shared" si="86"/>
        <v/>
      </c>
      <c r="CD89" s="479" t="str">
        <f t="shared" si="87"/>
        <v/>
      </c>
      <c r="CE89" s="479" t="str">
        <f t="shared" si="88"/>
        <v/>
      </c>
      <c r="CF89" s="479" t="str">
        <f t="shared" si="89"/>
        <v/>
      </c>
      <c r="CG89" s="479" t="str">
        <f t="shared" si="90"/>
        <v/>
      </c>
      <c r="CH89" s="480">
        <f t="shared" si="92"/>
        <v>0</v>
      </c>
      <c r="DD89" s="497" cm="1">
        <f t="array" ref="DD89">_xlfn.IFS('Project Inputs'!$F$150&lt;&gt;"Yes",0,DE89=18,0,DE89&lt;&gt;18,SUM(DF89:DG89))</f>
        <v>0</v>
      </c>
      <c r="DE89" s="31">
        <f t="shared" si="93"/>
        <v>18</v>
      </c>
      <c r="DF89" s="31">
        <f t="shared" si="94"/>
        <v>0</v>
      </c>
      <c r="DG89" s="31">
        <f t="shared" si="95"/>
        <v>0</v>
      </c>
    </row>
    <row r="90" spans="1:111" hidden="1" outlineLevel="1">
      <c r="A90" s="22" t="str">
        <f t="shared" si="59"/>
        <v/>
      </c>
      <c r="B90" s="474" t="str">
        <f>_xlfn.LET(_xlpm.x,'Diversion and Disposal'!D86,IF(OR(LEN(_xlpm.x)&lt;1,_xlpm.x=0),"",_xlpm.x))</f>
        <v/>
      </c>
      <c r="C90" s="475" t="str">
        <f>_xlfn.LET(_xlpm.x,'Diversion and Disposal'!E86,IF(OR(LEN(_xlpm.x)&lt;1,_xlpm.x=0),"",_xlpm.x))</f>
        <v/>
      </c>
      <c r="D90" s="475" t="str">
        <f>_xlfn.LET(_xlpm.x,'Diversion and Disposal'!F86,IF(OR(LEN(_xlpm.x)&lt;1,_xlpm.x=0),"",_xlpm.x))</f>
        <v/>
      </c>
      <c r="E90" s="475" t="str">
        <f>_xlfn.LET(_xlpm.x,'Diversion and Disposal'!G86,IF(OR(LEN(_xlpm.x)&lt;1,_xlpm.x=0),"",_xlpm.x))</f>
        <v/>
      </c>
      <c r="F90" s="407"/>
      <c r="G90" s="511"/>
      <c r="H90" s="514" t="str">
        <f>_xlfn.LET(_xlpm.x,'Diversion and Disposal'!H86,IF(OR(LEN(_xlpm.x)&lt;1,_xlpm.x=0),"",_xlpm.x))</f>
        <v/>
      </c>
      <c r="I90" s="514" t="str">
        <f>_xlfn.LET(_xlpm.x,'Diversion and Disposal'!I86,IF(OR(LEN(_xlpm.x)&lt;1,_xlpm.x=0),"",_xlpm.x))</f>
        <v/>
      </c>
      <c r="J90" s="514" t="str">
        <f>_xlfn.LET(_xlpm.x,'Diversion and Disposal'!J86,IF(OR(LEN(_xlpm.x)&lt;1,_xlpm.x=0),"",_xlpm.x))</f>
        <v/>
      </c>
      <c r="K90" s="514" t="str">
        <f>_xlfn.LET(_xlpm.x,'Diversion and Disposal'!K86,IF(OR(LEN(_xlpm.x)&lt;1,_xlpm.x=0),"",_xlpm.x))</f>
        <v/>
      </c>
      <c r="L90" s="514" t="str">
        <f>_xlfn.LET(_xlpm.x,'Diversion and Disposal'!L86,IF(OR(LEN(_xlpm.x)&lt;1,_xlpm.x=0),"",_xlpm.x))</f>
        <v/>
      </c>
      <c r="M90" s="514" t="str">
        <f>_xlfn.LET(_xlpm.x,'Diversion and Disposal'!M86,IF(OR(LEN(_xlpm.x)&lt;1,_xlpm.x=0),"",_xlpm.x))</f>
        <v/>
      </c>
      <c r="N90" s="514" t="str">
        <f>_xlfn.LET(_xlpm.x,'Diversion and Disposal'!N86,IF(OR(LEN(_xlpm.x)&lt;1,_xlpm.x=0),"",_xlpm.x))</f>
        <v/>
      </c>
      <c r="O90" s="514" t="str">
        <f>_xlfn.LET(_xlpm.x,'Diversion and Disposal'!O86,IF(OR(LEN(_xlpm.x)&lt;1,_xlpm.x=0),"",_xlpm.x))</f>
        <v/>
      </c>
      <c r="P90" s="514" t="str">
        <f>_xlfn.LET(_xlpm.x,'Diversion and Disposal'!P86,IF(OR(LEN(_xlpm.x)&lt;1,_xlpm.x=0),"",_xlpm.x))</f>
        <v/>
      </c>
      <c r="Q90" s="514" t="str">
        <f>_xlfn.LET(_xlpm.x,'Diversion and Disposal'!Q86,IF(OR(LEN(_xlpm.x)&lt;1,_xlpm.x=0),"",_xlpm.x))</f>
        <v/>
      </c>
      <c r="R90" s="514" t="str">
        <f>_xlfn.LET(_xlpm.x,'Diversion and Disposal'!R86,IF(OR(LEN(_xlpm.x)&lt;1,_xlpm.x=0),"",_xlpm.x))</f>
        <v/>
      </c>
      <c r="S90" s="514" t="str">
        <f>_xlfn.LET(_xlpm.x,'Diversion and Disposal'!S86,IF(OR(LEN(_xlpm.x)&lt;1,_xlpm.x=0),"",_xlpm.x))</f>
        <v/>
      </c>
      <c r="T90" s="513">
        <f t="shared" si="42"/>
        <v>0</v>
      </c>
      <c r="BB90" s="432" t="str">
        <f t="shared" si="60"/>
        <v/>
      </c>
      <c r="BC90" s="432" t="str">
        <f t="shared" si="61"/>
        <v/>
      </c>
      <c r="BD90" s="432" t="str">
        <f t="shared" si="62"/>
        <v/>
      </c>
      <c r="BE90" s="432" t="str">
        <f t="shared" si="63"/>
        <v/>
      </c>
      <c r="BF90" s="432" t="str">
        <f t="shared" si="64"/>
        <v/>
      </c>
      <c r="BG90" s="477" t="str">
        <f t="shared" si="65"/>
        <v/>
      </c>
      <c r="BH90" s="477" t="str">
        <f t="shared" si="66"/>
        <v/>
      </c>
      <c r="BI90" s="477" t="str">
        <f t="shared" si="67"/>
        <v/>
      </c>
      <c r="BJ90" s="477" t="str">
        <f t="shared" si="68"/>
        <v/>
      </c>
      <c r="BK90" s="477" t="str">
        <f t="shared" si="69"/>
        <v/>
      </c>
      <c r="BL90" s="477" t="str">
        <f t="shared" si="70"/>
        <v/>
      </c>
      <c r="BM90" s="477" t="str">
        <f t="shared" si="71"/>
        <v/>
      </c>
      <c r="BN90" s="477" t="str">
        <f t="shared" si="72"/>
        <v/>
      </c>
      <c r="BO90" s="477" t="str">
        <f t="shared" si="73"/>
        <v/>
      </c>
      <c r="BP90" s="477" t="str">
        <f t="shared" si="74"/>
        <v/>
      </c>
      <c r="BQ90" s="477" t="str">
        <f t="shared" si="75"/>
        <v/>
      </c>
      <c r="BR90" s="477" t="str">
        <f t="shared" si="76"/>
        <v/>
      </c>
      <c r="BS90" s="477" t="str">
        <f t="shared" si="77"/>
        <v/>
      </c>
      <c r="BT90" s="435">
        <f t="shared" si="78"/>
        <v>0</v>
      </c>
      <c r="BU90" s="434" t="str">
        <f t="shared" si="79"/>
        <v/>
      </c>
      <c r="BV90" s="479" t="str">
        <f t="shared" si="91"/>
        <v/>
      </c>
      <c r="BW90" s="479" t="str">
        <f t="shared" si="80"/>
        <v/>
      </c>
      <c r="BX90" s="479" t="str">
        <f t="shared" si="81"/>
        <v/>
      </c>
      <c r="BY90" s="479" t="str">
        <f t="shared" si="82"/>
        <v/>
      </c>
      <c r="BZ90" s="479" t="str">
        <f t="shared" si="83"/>
        <v/>
      </c>
      <c r="CA90" s="479" t="str">
        <f t="shared" si="84"/>
        <v/>
      </c>
      <c r="CB90" s="479" t="str">
        <f t="shared" si="85"/>
        <v/>
      </c>
      <c r="CC90" s="479" t="str">
        <f t="shared" si="86"/>
        <v/>
      </c>
      <c r="CD90" s="479" t="str">
        <f t="shared" si="87"/>
        <v/>
      </c>
      <c r="CE90" s="479" t="str">
        <f t="shared" si="88"/>
        <v/>
      </c>
      <c r="CF90" s="479" t="str">
        <f t="shared" si="89"/>
        <v/>
      </c>
      <c r="CG90" s="479" t="str">
        <f t="shared" si="90"/>
        <v/>
      </c>
      <c r="CH90" s="480">
        <f t="shared" si="92"/>
        <v>0</v>
      </c>
      <c r="DD90" s="497" cm="1">
        <f t="array" ref="DD90">_xlfn.IFS('Project Inputs'!$F$150&lt;&gt;"Yes",0,DE90=18,0,DE90&lt;&gt;18,SUM(DF90:DG90))</f>
        <v>0</v>
      </c>
      <c r="DE90" s="31">
        <f t="shared" si="93"/>
        <v>18</v>
      </c>
      <c r="DF90" s="31">
        <f t="shared" si="94"/>
        <v>0</v>
      </c>
      <c r="DG90" s="31">
        <f t="shared" si="95"/>
        <v>0</v>
      </c>
    </row>
    <row r="91" spans="1:111" hidden="1" outlineLevel="1">
      <c r="A91" s="22" t="str">
        <f t="shared" si="59"/>
        <v/>
      </c>
      <c r="B91" s="474" t="str">
        <f>_xlfn.LET(_xlpm.x,'Diversion and Disposal'!D87,IF(OR(LEN(_xlpm.x)&lt;1,_xlpm.x=0),"",_xlpm.x))</f>
        <v/>
      </c>
      <c r="C91" s="475" t="str">
        <f>_xlfn.LET(_xlpm.x,'Diversion and Disposal'!E87,IF(OR(LEN(_xlpm.x)&lt;1,_xlpm.x=0),"",_xlpm.x))</f>
        <v/>
      </c>
      <c r="D91" s="475" t="str">
        <f>_xlfn.LET(_xlpm.x,'Diversion and Disposal'!F87,IF(OR(LEN(_xlpm.x)&lt;1,_xlpm.x=0),"",_xlpm.x))</f>
        <v/>
      </c>
      <c r="E91" s="475" t="str">
        <f>_xlfn.LET(_xlpm.x,'Diversion and Disposal'!G87,IF(OR(LEN(_xlpm.x)&lt;1,_xlpm.x=0),"",_xlpm.x))</f>
        <v/>
      </c>
      <c r="F91" s="407"/>
      <c r="G91" s="511"/>
      <c r="H91" s="514" t="str">
        <f>_xlfn.LET(_xlpm.x,'Diversion and Disposal'!H87,IF(OR(LEN(_xlpm.x)&lt;1,_xlpm.x=0),"",_xlpm.x))</f>
        <v/>
      </c>
      <c r="I91" s="514" t="str">
        <f>_xlfn.LET(_xlpm.x,'Diversion and Disposal'!I87,IF(OR(LEN(_xlpm.x)&lt;1,_xlpm.x=0),"",_xlpm.x))</f>
        <v/>
      </c>
      <c r="J91" s="514" t="str">
        <f>_xlfn.LET(_xlpm.x,'Diversion and Disposal'!J87,IF(OR(LEN(_xlpm.x)&lt;1,_xlpm.x=0),"",_xlpm.x))</f>
        <v/>
      </c>
      <c r="K91" s="514" t="str">
        <f>_xlfn.LET(_xlpm.x,'Diversion and Disposal'!K87,IF(OR(LEN(_xlpm.x)&lt;1,_xlpm.x=0),"",_xlpm.x))</f>
        <v/>
      </c>
      <c r="L91" s="514" t="str">
        <f>_xlfn.LET(_xlpm.x,'Diversion and Disposal'!L87,IF(OR(LEN(_xlpm.x)&lt;1,_xlpm.x=0),"",_xlpm.x))</f>
        <v/>
      </c>
      <c r="M91" s="514" t="str">
        <f>_xlfn.LET(_xlpm.x,'Diversion and Disposal'!M87,IF(OR(LEN(_xlpm.x)&lt;1,_xlpm.x=0),"",_xlpm.x))</f>
        <v/>
      </c>
      <c r="N91" s="514" t="str">
        <f>_xlfn.LET(_xlpm.x,'Diversion and Disposal'!N87,IF(OR(LEN(_xlpm.x)&lt;1,_xlpm.x=0),"",_xlpm.x))</f>
        <v/>
      </c>
      <c r="O91" s="514" t="str">
        <f>_xlfn.LET(_xlpm.x,'Diversion and Disposal'!O87,IF(OR(LEN(_xlpm.x)&lt;1,_xlpm.x=0),"",_xlpm.x))</f>
        <v/>
      </c>
      <c r="P91" s="514" t="str">
        <f>_xlfn.LET(_xlpm.x,'Diversion and Disposal'!P87,IF(OR(LEN(_xlpm.x)&lt;1,_xlpm.x=0),"",_xlpm.x))</f>
        <v/>
      </c>
      <c r="Q91" s="514" t="str">
        <f>_xlfn.LET(_xlpm.x,'Diversion and Disposal'!Q87,IF(OR(LEN(_xlpm.x)&lt;1,_xlpm.x=0),"",_xlpm.x))</f>
        <v/>
      </c>
      <c r="R91" s="514" t="str">
        <f>_xlfn.LET(_xlpm.x,'Diversion and Disposal'!R87,IF(OR(LEN(_xlpm.x)&lt;1,_xlpm.x=0),"",_xlpm.x))</f>
        <v/>
      </c>
      <c r="S91" s="514" t="str">
        <f>_xlfn.LET(_xlpm.x,'Diversion and Disposal'!S87,IF(OR(LEN(_xlpm.x)&lt;1,_xlpm.x=0),"",_xlpm.x))</f>
        <v/>
      </c>
      <c r="T91" s="513">
        <f t="shared" si="42"/>
        <v>0</v>
      </c>
      <c r="BB91" s="432" t="str">
        <f t="shared" si="60"/>
        <v/>
      </c>
      <c r="BC91" s="432" t="str">
        <f t="shared" si="61"/>
        <v/>
      </c>
      <c r="BD91" s="432" t="str">
        <f t="shared" si="62"/>
        <v/>
      </c>
      <c r="BE91" s="432" t="str">
        <f t="shared" si="63"/>
        <v/>
      </c>
      <c r="BF91" s="432" t="str">
        <f t="shared" si="64"/>
        <v/>
      </c>
      <c r="BG91" s="477" t="str">
        <f t="shared" si="65"/>
        <v/>
      </c>
      <c r="BH91" s="477" t="str">
        <f t="shared" si="66"/>
        <v/>
      </c>
      <c r="BI91" s="477" t="str">
        <f t="shared" si="67"/>
        <v/>
      </c>
      <c r="BJ91" s="477" t="str">
        <f t="shared" si="68"/>
        <v/>
      </c>
      <c r="BK91" s="477" t="str">
        <f t="shared" si="69"/>
        <v/>
      </c>
      <c r="BL91" s="477" t="str">
        <f t="shared" si="70"/>
        <v/>
      </c>
      <c r="BM91" s="477" t="str">
        <f t="shared" si="71"/>
        <v/>
      </c>
      <c r="BN91" s="477" t="str">
        <f t="shared" si="72"/>
        <v/>
      </c>
      <c r="BO91" s="477" t="str">
        <f t="shared" si="73"/>
        <v/>
      </c>
      <c r="BP91" s="477" t="str">
        <f t="shared" si="74"/>
        <v/>
      </c>
      <c r="BQ91" s="477" t="str">
        <f t="shared" si="75"/>
        <v/>
      </c>
      <c r="BR91" s="477" t="str">
        <f t="shared" si="76"/>
        <v/>
      </c>
      <c r="BS91" s="477" t="str">
        <f t="shared" si="77"/>
        <v/>
      </c>
      <c r="BT91" s="435">
        <f t="shared" si="78"/>
        <v>0</v>
      </c>
      <c r="BU91" s="434" t="str">
        <f t="shared" si="79"/>
        <v/>
      </c>
      <c r="BV91" s="479" t="str">
        <f t="shared" si="91"/>
        <v/>
      </c>
      <c r="BW91" s="479" t="str">
        <f t="shared" si="80"/>
        <v/>
      </c>
      <c r="BX91" s="479" t="str">
        <f t="shared" si="81"/>
        <v/>
      </c>
      <c r="BY91" s="479" t="str">
        <f t="shared" si="82"/>
        <v/>
      </c>
      <c r="BZ91" s="479" t="str">
        <f t="shared" si="83"/>
        <v/>
      </c>
      <c r="CA91" s="479" t="str">
        <f t="shared" si="84"/>
        <v/>
      </c>
      <c r="CB91" s="479" t="str">
        <f t="shared" si="85"/>
        <v/>
      </c>
      <c r="CC91" s="479" t="str">
        <f t="shared" si="86"/>
        <v/>
      </c>
      <c r="CD91" s="479" t="str">
        <f t="shared" si="87"/>
        <v/>
      </c>
      <c r="CE91" s="479" t="str">
        <f t="shared" si="88"/>
        <v/>
      </c>
      <c r="CF91" s="479" t="str">
        <f t="shared" si="89"/>
        <v/>
      </c>
      <c r="CG91" s="479" t="str">
        <f t="shared" si="90"/>
        <v/>
      </c>
      <c r="CH91" s="480">
        <f t="shared" si="92"/>
        <v>0</v>
      </c>
      <c r="DD91" s="497" cm="1">
        <f t="array" ref="DD91">_xlfn.IFS('Project Inputs'!$F$150&lt;&gt;"Yes",0,DE91=18,0,DE91&lt;&gt;18,SUM(DF91:DG91))</f>
        <v>0</v>
      </c>
      <c r="DE91" s="31">
        <f t="shared" si="93"/>
        <v>18</v>
      </c>
      <c r="DF91" s="31">
        <f t="shared" si="94"/>
        <v>0</v>
      </c>
      <c r="DG91" s="31">
        <f t="shared" si="95"/>
        <v>0</v>
      </c>
    </row>
    <row r="92" spans="1:111" hidden="1" outlineLevel="1">
      <c r="A92" s="22" t="str">
        <f t="shared" si="59"/>
        <v/>
      </c>
      <c r="B92" s="474" t="str">
        <f>_xlfn.LET(_xlpm.x,'Diversion and Disposal'!D88,IF(OR(LEN(_xlpm.x)&lt;1,_xlpm.x=0),"",_xlpm.x))</f>
        <v/>
      </c>
      <c r="C92" s="475" t="str">
        <f>_xlfn.LET(_xlpm.x,'Diversion and Disposal'!E88,IF(OR(LEN(_xlpm.x)&lt;1,_xlpm.x=0),"",_xlpm.x))</f>
        <v/>
      </c>
      <c r="D92" s="475" t="str">
        <f>_xlfn.LET(_xlpm.x,'Diversion and Disposal'!F88,IF(OR(LEN(_xlpm.x)&lt;1,_xlpm.x=0),"",_xlpm.x))</f>
        <v/>
      </c>
      <c r="E92" s="475" t="str">
        <f>_xlfn.LET(_xlpm.x,'Diversion and Disposal'!G88,IF(OR(LEN(_xlpm.x)&lt;1,_xlpm.x=0),"",_xlpm.x))</f>
        <v/>
      </c>
      <c r="F92" s="407"/>
      <c r="G92" s="511"/>
      <c r="H92" s="514" t="str">
        <f>_xlfn.LET(_xlpm.x,'Diversion and Disposal'!H88,IF(OR(LEN(_xlpm.x)&lt;1,_xlpm.x=0),"",_xlpm.x))</f>
        <v/>
      </c>
      <c r="I92" s="514" t="str">
        <f>_xlfn.LET(_xlpm.x,'Diversion and Disposal'!I88,IF(OR(LEN(_xlpm.x)&lt;1,_xlpm.x=0),"",_xlpm.x))</f>
        <v/>
      </c>
      <c r="J92" s="514" t="str">
        <f>_xlfn.LET(_xlpm.x,'Diversion and Disposal'!J88,IF(OR(LEN(_xlpm.x)&lt;1,_xlpm.x=0),"",_xlpm.x))</f>
        <v/>
      </c>
      <c r="K92" s="514" t="str">
        <f>_xlfn.LET(_xlpm.x,'Diversion and Disposal'!K88,IF(OR(LEN(_xlpm.x)&lt;1,_xlpm.x=0),"",_xlpm.x))</f>
        <v/>
      </c>
      <c r="L92" s="514" t="str">
        <f>_xlfn.LET(_xlpm.x,'Diversion and Disposal'!L88,IF(OR(LEN(_xlpm.x)&lt;1,_xlpm.x=0),"",_xlpm.x))</f>
        <v/>
      </c>
      <c r="M92" s="514" t="str">
        <f>_xlfn.LET(_xlpm.x,'Diversion and Disposal'!M88,IF(OR(LEN(_xlpm.x)&lt;1,_xlpm.x=0),"",_xlpm.x))</f>
        <v/>
      </c>
      <c r="N92" s="514" t="str">
        <f>_xlfn.LET(_xlpm.x,'Diversion and Disposal'!N88,IF(OR(LEN(_xlpm.x)&lt;1,_xlpm.x=0),"",_xlpm.x))</f>
        <v/>
      </c>
      <c r="O92" s="514" t="str">
        <f>_xlfn.LET(_xlpm.x,'Diversion and Disposal'!O88,IF(OR(LEN(_xlpm.x)&lt;1,_xlpm.x=0),"",_xlpm.x))</f>
        <v/>
      </c>
      <c r="P92" s="514" t="str">
        <f>_xlfn.LET(_xlpm.x,'Diversion and Disposal'!P88,IF(OR(LEN(_xlpm.x)&lt;1,_xlpm.x=0),"",_xlpm.x))</f>
        <v/>
      </c>
      <c r="Q92" s="514" t="str">
        <f>_xlfn.LET(_xlpm.x,'Diversion and Disposal'!Q88,IF(OR(LEN(_xlpm.x)&lt;1,_xlpm.x=0),"",_xlpm.x))</f>
        <v/>
      </c>
      <c r="R92" s="514" t="str">
        <f>_xlfn.LET(_xlpm.x,'Diversion and Disposal'!R88,IF(OR(LEN(_xlpm.x)&lt;1,_xlpm.x=0),"",_xlpm.x))</f>
        <v/>
      </c>
      <c r="S92" s="514" t="str">
        <f>_xlfn.LET(_xlpm.x,'Diversion and Disposal'!S88,IF(OR(LEN(_xlpm.x)&lt;1,_xlpm.x=0),"",_xlpm.x))</f>
        <v/>
      </c>
      <c r="T92" s="513">
        <f t="shared" si="42"/>
        <v>0</v>
      </c>
      <c r="BB92" s="432" t="str">
        <f t="shared" si="60"/>
        <v/>
      </c>
      <c r="BC92" s="432" t="str">
        <f t="shared" si="61"/>
        <v/>
      </c>
      <c r="BD92" s="432" t="str">
        <f t="shared" si="62"/>
        <v/>
      </c>
      <c r="BE92" s="432" t="str">
        <f t="shared" si="63"/>
        <v/>
      </c>
      <c r="BF92" s="432" t="str">
        <f t="shared" si="64"/>
        <v/>
      </c>
      <c r="BG92" s="477" t="str">
        <f t="shared" si="65"/>
        <v/>
      </c>
      <c r="BH92" s="477" t="str">
        <f t="shared" si="66"/>
        <v/>
      </c>
      <c r="BI92" s="477" t="str">
        <f t="shared" si="67"/>
        <v/>
      </c>
      <c r="BJ92" s="477" t="str">
        <f t="shared" si="68"/>
        <v/>
      </c>
      <c r="BK92" s="477" t="str">
        <f t="shared" si="69"/>
        <v/>
      </c>
      <c r="BL92" s="477" t="str">
        <f t="shared" si="70"/>
        <v/>
      </c>
      <c r="BM92" s="477" t="str">
        <f t="shared" si="71"/>
        <v/>
      </c>
      <c r="BN92" s="477" t="str">
        <f t="shared" si="72"/>
        <v/>
      </c>
      <c r="BO92" s="477" t="str">
        <f t="shared" si="73"/>
        <v/>
      </c>
      <c r="BP92" s="477" t="str">
        <f t="shared" si="74"/>
        <v/>
      </c>
      <c r="BQ92" s="477" t="str">
        <f t="shared" si="75"/>
        <v/>
      </c>
      <c r="BR92" s="477" t="str">
        <f t="shared" si="76"/>
        <v/>
      </c>
      <c r="BS92" s="477" t="str">
        <f t="shared" si="77"/>
        <v/>
      </c>
      <c r="BT92" s="435">
        <f t="shared" si="78"/>
        <v>0</v>
      </c>
      <c r="BU92" s="434" t="str">
        <f t="shared" si="79"/>
        <v/>
      </c>
      <c r="BV92" s="479" t="str">
        <f t="shared" si="91"/>
        <v/>
      </c>
      <c r="BW92" s="479" t="str">
        <f t="shared" si="80"/>
        <v/>
      </c>
      <c r="BX92" s="479" t="str">
        <f t="shared" si="81"/>
        <v/>
      </c>
      <c r="BY92" s="479" t="str">
        <f t="shared" si="82"/>
        <v/>
      </c>
      <c r="BZ92" s="479" t="str">
        <f t="shared" si="83"/>
        <v/>
      </c>
      <c r="CA92" s="479" t="str">
        <f t="shared" si="84"/>
        <v/>
      </c>
      <c r="CB92" s="479" t="str">
        <f t="shared" si="85"/>
        <v/>
      </c>
      <c r="CC92" s="479" t="str">
        <f t="shared" si="86"/>
        <v/>
      </c>
      <c r="CD92" s="479" t="str">
        <f t="shared" si="87"/>
        <v/>
      </c>
      <c r="CE92" s="479" t="str">
        <f t="shared" si="88"/>
        <v/>
      </c>
      <c r="CF92" s="479" t="str">
        <f t="shared" si="89"/>
        <v/>
      </c>
      <c r="CG92" s="479" t="str">
        <f t="shared" si="90"/>
        <v/>
      </c>
      <c r="CH92" s="480">
        <f t="shared" si="92"/>
        <v>0</v>
      </c>
      <c r="DD92" s="497" cm="1">
        <f t="array" ref="DD92">_xlfn.IFS('Project Inputs'!$F$150&lt;&gt;"Yes",0,DE92=18,0,DE92&lt;&gt;18,SUM(DF92:DG92))</f>
        <v>0</v>
      </c>
      <c r="DE92" s="31">
        <f t="shared" si="93"/>
        <v>18</v>
      </c>
      <c r="DF92" s="31">
        <f t="shared" si="94"/>
        <v>0</v>
      </c>
      <c r="DG92" s="31">
        <f t="shared" si="95"/>
        <v>0</v>
      </c>
    </row>
    <row r="93" spans="1:111" hidden="1" outlineLevel="1">
      <c r="A93" s="22" t="str">
        <f t="shared" si="59"/>
        <v/>
      </c>
      <c r="B93" s="474" t="str">
        <f>_xlfn.LET(_xlpm.x,'Diversion and Disposal'!D89,IF(OR(LEN(_xlpm.x)&lt;1,_xlpm.x=0),"",_xlpm.x))</f>
        <v/>
      </c>
      <c r="C93" s="475" t="str">
        <f>_xlfn.LET(_xlpm.x,'Diversion and Disposal'!E89,IF(OR(LEN(_xlpm.x)&lt;1,_xlpm.x=0),"",_xlpm.x))</f>
        <v/>
      </c>
      <c r="D93" s="475" t="str">
        <f>_xlfn.LET(_xlpm.x,'Diversion and Disposal'!F89,IF(OR(LEN(_xlpm.x)&lt;1,_xlpm.x=0),"",_xlpm.x))</f>
        <v/>
      </c>
      <c r="E93" s="475" t="str">
        <f>_xlfn.LET(_xlpm.x,'Diversion and Disposal'!G89,IF(OR(LEN(_xlpm.x)&lt;1,_xlpm.x=0),"",_xlpm.x))</f>
        <v/>
      </c>
      <c r="F93" s="407"/>
      <c r="G93" s="511"/>
      <c r="H93" s="514" t="str">
        <f>_xlfn.LET(_xlpm.x,'Diversion and Disposal'!H89,IF(OR(LEN(_xlpm.x)&lt;1,_xlpm.x=0),"",_xlpm.x))</f>
        <v/>
      </c>
      <c r="I93" s="514" t="str">
        <f>_xlfn.LET(_xlpm.x,'Diversion and Disposal'!I89,IF(OR(LEN(_xlpm.x)&lt;1,_xlpm.x=0),"",_xlpm.x))</f>
        <v/>
      </c>
      <c r="J93" s="514" t="str">
        <f>_xlfn.LET(_xlpm.x,'Diversion and Disposal'!J89,IF(OR(LEN(_xlpm.x)&lt;1,_xlpm.x=0),"",_xlpm.x))</f>
        <v/>
      </c>
      <c r="K93" s="514" t="str">
        <f>_xlfn.LET(_xlpm.x,'Diversion and Disposal'!K89,IF(OR(LEN(_xlpm.x)&lt;1,_xlpm.x=0),"",_xlpm.x))</f>
        <v/>
      </c>
      <c r="L93" s="514" t="str">
        <f>_xlfn.LET(_xlpm.x,'Diversion and Disposal'!L89,IF(OR(LEN(_xlpm.x)&lt;1,_xlpm.x=0),"",_xlpm.x))</f>
        <v/>
      </c>
      <c r="M93" s="514" t="str">
        <f>_xlfn.LET(_xlpm.x,'Diversion and Disposal'!M89,IF(OR(LEN(_xlpm.x)&lt;1,_xlpm.x=0),"",_xlpm.x))</f>
        <v/>
      </c>
      <c r="N93" s="514" t="str">
        <f>_xlfn.LET(_xlpm.x,'Diversion and Disposal'!N89,IF(OR(LEN(_xlpm.x)&lt;1,_xlpm.x=0),"",_xlpm.x))</f>
        <v/>
      </c>
      <c r="O93" s="514" t="str">
        <f>_xlfn.LET(_xlpm.x,'Diversion and Disposal'!O89,IF(OR(LEN(_xlpm.x)&lt;1,_xlpm.x=0),"",_xlpm.x))</f>
        <v/>
      </c>
      <c r="P93" s="514" t="str">
        <f>_xlfn.LET(_xlpm.x,'Diversion and Disposal'!P89,IF(OR(LEN(_xlpm.x)&lt;1,_xlpm.x=0),"",_xlpm.x))</f>
        <v/>
      </c>
      <c r="Q93" s="514" t="str">
        <f>_xlfn.LET(_xlpm.x,'Diversion and Disposal'!Q89,IF(OR(LEN(_xlpm.x)&lt;1,_xlpm.x=0),"",_xlpm.x))</f>
        <v/>
      </c>
      <c r="R93" s="514" t="str">
        <f>_xlfn.LET(_xlpm.x,'Diversion and Disposal'!R89,IF(OR(LEN(_xlpm.x)&lt;1,_xlpm.x=0),"",_xlpm.x))</f>
        <v/>
      </c>
      <c r="S93" s="514" t="str">
        <f>_xlfn.LET(_xlpm.x,'Diversion and Disposal'!S89,IF(OR(LEN(_xlpm.x)&lt;1,_xlpm.x=0),"",_xlpm.x))</f>
        <v/>
      </c>
      <c r="T93" s="513">
        <f t="shared" si="42"/>
        <v>0</v>
      </c>
      <c r="BB93" s="432" t="str">
        <f t="shared" si="60"/>
        <v/>
      </c>
      <c r="BC93" s="432" t="str">
        <f t="shared" si="61"/>
        <v/>
      </c>
      <c r="BD93" s="432" t="str">
        <f t="shared" si="62"/>
        <v/>
      </c>
      <c r="BE93" s="432" t="str">
        <f t="shared" si="63"/>
        <v/>
      </c>
      <c r="BF93" s="432" t="str">
        <f t="shared" si="64"/>
        <v/>
      </c>
      <c r="BG93" s="477" t="str">
        <f t="shared" si="65"/>
        <v/>
      </c>
      <c r="BH93" s="477" t="str">
        <f t="shared" si="66"/>
        <v/>
      </c>
      <c r="BI93" s="477" t="str">
        <f t="shared" si="67"/>
        <v/>
      </c>
      <c r="BJ93" s="477" t="str">
        <f t="shared" si="68"/>
        <v/>
      </c>
      <c r="BK93" s="477" t="str">
        <f t="shared" si="69"/>
        <v/>
      </c>
      <c r="BL93" s="477" t="str">
        <f t="shared" si="70"/>
        <v/>
      </c>
      <c r="BM93" s="477" t="str">
        <f t="shared" si="71"/>
        <v/>
      </c>
      <c r="BN93" s="477" t="str">
        <f t="shared" si="72"/>
        <v/>
      </c>
      <c r="BO93" s="477" t="str">
        <f t="shared" si="73"/>
        <v/>
      </c>
      <c r="BP93" s="477" t="str">
        <f t="shared" si="74"/>
        <v/>
      </c>
      <c r="BQ93" s="477" t="str">
        <f t="shared" si="75"/>
        <v/>
      </c>
      <c r="BR93" s="477" t="str">
        <f t="shared" si="76"/>
        <v/>
      </c>
      <c r="BS93" s="477" t="str">
        <f t="shared" si="77"/>
        <v/>
      </c>
      <c r="BT93" s="435">
        <f t="shared" si="78"/>
        <v>0</v>
      </c>
      <c r="BU93" s="434" t="str">
        <f t="shared" si="79"/>
        <v/>
      </c>
      <c r="BV93" s="479" t="str">
        <f t="shared" si="91"/>
        <v/>
      </c>
      <c r="BW93" s="479" t="str">
        <f t="shared" si="80"/>
        <v/>
      </c>
      <c r="BX93" s="479" t="str">
        <f t="shared" si="81"/>
        <v/>
      </c>
      <c r="BY93" s="479" t="str">
        <f t="shared" si="82"/>
        <v/>
      </c>
      <c r="BZ93" s="479" t="str">
        <f t="shared" si="83"/>
        <v/>
      </c>
      <c r="CA93" s="479" t="str">
        <f t="shared" si="84"/>
        <v/>
      </c>
      <c r="CB93" s="479" t="str">
        <f t="shared" si="85"/>
        <v/>
      </c>
      <c r="CC93" s="479" t="str">
        <f t="shared" si="86"/>
        <v/>
      </c>
      <c r="CD93" s="479" t="str">
        <f t="shared" si="87"/>
        <v/>
      </c>
      <c r="CE93" s="479" t="str">
        <f t="shared" si="88"/>
        <v/>
      </c>
      <c r="CF93" s="479" t="str">
        <f t="shared" si="89"/>
        <v/>
      </c>
      <c r="CG93" s="479" t="str">
        <f t="shared" si="90"/>
        <v/>
      </c>
      <c r="CH93" s="480">
        <f t="shared" si="92"/>
        <v>0</v>
      </c>
      <c r="DD93" s="497" cm="1">
        <f t="array" ref="DD93">_xlfn.IFS('Project Inputs'!$F$150&lt;&gt;"Yes",0,DE93=18,0,DE93&lt;&gt;18,SUM(DF93:DG93))</f>
        <v>0</v>
      </c>
      <c r="DE93" s="31">
        <f t="shared" si="93"/>
        <v>18</v>
      </c>
      <c r="DF93" s="31">
        <f t="shared" si="94"/>
        <v>0</v>
      </c>
      <c r="DG93" s="31">
        <f t="shared" si="95"/>
        <v>0</v>
      </c>
    </row>
    <row r="94" spans="1:111" hidden="1" outlineLevel="1">
      <c r="A94" s="22" t="str">
        <f t="shared" si="59"/>
        <v/>
      </c>
      <c r="B94" s="474" t="str">
        <f>_xlfn.LET(_xlpm.x,'Diversion and Disposal'!D90,IF(OR(LEN(_xlpm.x)&lt;1,_xlpm.x=0),"",_xlpm.x))</f>
        <v/>
      </c>
      <c r="C94" s="475" t="str">
        <f>_xlfn.LET(_xlpm.x,'Diversion and Disposal'!E90,IF(OR(LEN(_xlpm.x)&lt;1,_xlpm.x=0),"",_xlpm.x))</f>
        <v/>
      </c>
      <c r="D94" s="475" t="str">
        <f>_xlfn.LET(_xlpm.x,'Diversion and Disposal'!F90,IF(OR(LEN(_xlpm.x)&lt;1,_xlpm.x=0),"",_xlpm.x))</f>
        <v/>
      </c>
      <c r="E94" s="475" t="str">
        <f>_xlfn.LET(_xlpm.x,'Diversion and Disposal'!G90,IF(OR(LEN(_xlpm.x)&lt;1,_xlpm.x=0),"",_xlpm.x))</f>
        <v/>
      </c>
      <c r="F94" s="407"/>
      <c r="G94" s="511"/>
      <c r="H94" s="514" t="str">
        <f>_xlfn.LET(_xlpm.x,'Diversion and Disposal'!H90,IF(OR(LEN(_xlpm.x)&lt;1,_xlpm.x=0),"",_xlpm.x))</f>
        <v/>
      </c>
      <c r="I94" s="514" t="str">
        <f>_xlfn.LET(_xlpm.x,'Diversion and Disposal'!I90,IF(OR(LEN(_xlpm.x)&lt;1,_xlpm.x=0),"",_xlpm.x))</f>
        <v/>
      </c>
      <c r="J94" s="514" t="str">
        <f>_xlfn.LET(_xlpm.x,'Diversion and Disposal'!J90,IF(OR(LEN(_xlpm.x)&lt;1,_xlpm.x=0),"",_xlpm.x))</f>
        <v/>
      </c>
      <c r="K94" s="514" t="str">
        <f>_xlfn.LET(_xlpm.x,'Diversion and Disposal'!K90,IF(OR(LEN(_xlpm.x)&lt;1,_xlpm.x=0),"",_xlpm.x))</f>
        <v/>
      </c>
      <c r="L94" s="514" t="str">
        <f>_xlfn.LET(_xlpm.x,'Diversion and Disposal'!L90,IF(OR(LEN(_xlpm.x)&lt;1,_xlpm.x=0),"",_xlpm.x))</f>
        <v/>
      </c>
      <c r="M94" s="514" t="str">
        <f>_xlfn.LET(_xlpm.x,'Diversion and Disposal'!M90,IF(OR(LEN(_xlpm.x)&lt;1,_xlpm.x=0),"",_xlpm.x))</f>
        <v/>
      </c>
      <c r="N94" s="514" t="str">
        <f>_xlfn.LET(_xlpm.x,'Diversion and Disposal'!N90,IF(OR(LEN(_xlpm.x)&lt;1,_xlpm.x=0),"",_xlpm.x))</f>
        <v/>
      </c>
      <c r="O94" s="514" t="str">
        <f>_xlfn.LET(_xlpm.x,'Diversion and Disposal'!O90,IF(OR(LEN(_xlpm.x)&lt;1,_xlpm.x=0),"",_xlpm.x))</f>
        <v/>
      </c>
      <c r="P94" s="514" t="str">
        <f>_xlfn.LET(_xlpm.x,'Diversion and Disposal'!P90,IF(OR(LEN(_xlpm.x)&lt;1,_xlpm.x=0),"",_xlpm.x))</f>
        <v/>
      </c>
      <c r="Q94" s="514" t="str">
        <f>_xlfn.LET(_xlpm.x,'Diversion and Disposal'!Q90,IF(OR(LEN(_xlpm.x)&lt;1,_xlpm.x=0),"",_xlpm.x))</f>
        <v/>
      </c>
      <c r="R94" s="514" t="str">
        <f>_xlfn.LET(_xlpm.x,'Diversion and Disposal'!R90,IF(OR(LEN(_xlpm.x)&lt;1,_xlpm.x=0),"",_xlpm.x))</f>
        <v/>
      </c>
      <c r="S94" s="514" t="str">
        <f>_xlfn.LET(_xlpm.x,'Diversion and Disposal'!S90,IF(OR(LEN(_xlpm.x)&lt;1,_xlpm.x=0),"",_xlpm.x))</f>
        <v/>
      </c>
      <c r="T94" s="513">
        <f t="shared" si="42"/>
        <v>0</v>
      </c>
      <c r="BB94" s="432" t="str">
        <f t="shared" si="60"/>
        <v/>
      </c>
      <c r="BC94" s="432" t="str">
        <f t="shared" si="61"/>
        <v/>
      </c>
      <c r="BD94" s="432" t="str">
        <f t="shared" si="62"/>
        <v/>
      </c>
      <c r="BE94" s="432" t="str">
        <f t="shared" si="63"/>
        <v/>
      </c>
      <c r="BF94" s="432" t="str">
        <f t="shared" si="64"/>
        <v/>
      </c>
      <c r="BG94" s="477" t="str">
        <f t="shared" si="65"/>
        <v/>
      </c>
      <c r="BH94" s="477" t="str">
        <f t="shared" si="66"/>
        <v/>
      </c>
      <c r="BI94" s="477" t="str">
        <f t="shared" si="67"/>
        <v/>
      </c>
      <c r="BJ94" s="477" t="str">
        <f t="shared" si="68"/>
        <v/>
      </c>
      <c r="BK94" s="477" t="str">
        <f t="shared" si="69"/>
        <v/>
      </c>
      <c r="BL94" s="477" t="str">
        <f t="shared" si="70"/>
        <v/>
      </c>
      <c r="BM94" s="477" t="str">
        <f t="shared" si="71"/>
        <v/>
      </c>
      <c r="BN94" s="477" t="str">
        <f t="shared" si="72"/>
        <v/>
      </c>
      <c r="BO94" s="477" t="str">
        <f t="shared" si="73"/>
        <v/>
      </c>
      <c r="BP94" s="477" t="str">
        <f t="shared" si="74"/>
        <v/>
      </c>
      <c r="BQ94" s="477" t="str">
        <f t="shared" si="75"/>
        <v/>
      </c>
      <c r="BR94" s="477" t="str">
        <f t="shared" si="76"/>
        <v/>
      </c>
      <c r="BS94" s="477" t="str">
        <f t="shared" si="77"/>
        <v/>
      </c>
      <c r="BT94" s="435">
        <f t="shared" si="78"/>
        <v>0</v>
      </c>
      <c r="BU94" s="434" t="str">
        <f t="shared" si="79"/>
        <v/>
      </c>
      <c r="BV94" s="479" t="str">
        <f t="shared" si="91"/>
        <v/>
      </c>
      <c r="BW94" s="479" t="str">
        <f t="shared" si="80"/>
        <v/>
      </c>
      <c r="BX94" s="479" t="str">
        <f t="shared" si="81"/>
        <v/>
      </c>
      <c r="BY94" s="479" t="str">
        <f t="shared" si="82"/>
        <v/>
      </c>
      <c r="BZ94" s="479" t="str">
        <f t="shared" si="83"/>
        <v/>
      </c>
      <c r="CA94" s="479" t="str">
        <f t="shared" si="84"/>
        <v/>
      </c>
      <c r="CB94" s="479" t="str">
        <f t="shared" si="85"/>
        <v/>
      </c>
      <c r="CC94" s="479" t="str">
        <f t="shared" si="86"/>
        <v/>
      </c>
      <c r="CD94" s="479" t="str">
        <f t="shared" si="87"/>
        <v/>
      </c>
      <c r="CE94" s="479" t="str">
        <f t="shared" si="88"/>
        <v/>
      </c>
      <c r="CF94" s="479" t="str">
        <f t="shared" si="89"/>
        <v/>
      </c>
      <c r="CG94" s="479" t="str">
        <f t="shared" si="90"/>
        <v/>
      </c>
      <c r="CH94" s="480">
        <f t="shared" si="92"/>
        <v>0</v>
      </c>
      <c r="DD94" s="497" cm="1">
        <f t="array" ref="DD94">_xlfn.IFS('Project Inputs'!$F$150&lt;&gt;"Yes",0,DE94=18,0,DE94&lt;&gt;18,SUM(DF94:DG94))</f>
        <v>0</v>
      </c>
      <c r="DE94" s="31">
        <f t="shared" si="93"/>
        <v>18</v>
      </c>
      <c r="DF94" s="31">
        <f t="shared" si="94"/>
        <v>0</v>
      </c>
      <c r="DG94" s="31">
        <f t="shared" si="95"/>
        <v>0</v>
      </c>
    </row>
    <row r="95" spans="1:111" hidden="1" outlineLevel="1">
      <c r="A95" s="22" t="str">
        <f t="shared" si="59"/>
        <v/>
      </c>
      <c r="B95" s="474" t="str">
        <f>_xlfn.LET(_xlpm.x,'Diversion and Disposal'!D91,IF(OR(LEN(_xlpm.x)&lt;1,_xlpm.x=0),"",_xlpm.x))</f>
        <v/>
      </c>
      <c r="C95" s="475" t="str">
        <f>_xlfn.LET(_xlpm.x,'Diversion and Disposal'!E91,IF(OR(LEN(_xlpm.x)&lt;1,_xlpm.x=0),"",_xlpm.x))</f>
        <v/>
      </c>
      <c r="D95" s="475" t="str">
        <f>_xlfn.LET(_xlpm.x,'Diversion and Disposal'!F91,IF(OR(LEN(_xlpm.x)&lt;1,_xlpm.x=0),"",_xlpm.x))</f>
        <v/>
      </c>
      <c r="E95" s="475" t="str">
        <f>_xlfn.LET(_xlpm.x,'Diversion and Disposal'!G91,IF(OR(LEN(_xlpm.x)&lt;1,_xlpm.x=0),"",_xlpm.x))</f>
        <v/>
      </c>
      <c r="F95" s="407"/>
      <c r="G95" s="511"/>
      <c r="H95" s="514" t="str">
        <f>_xlfn.LET(_xlpm.x,'Diversion and Disposal'!H91,IF(OR(LEN(_xlpm.x)&lt;1,_xlpm.x=0),"",_xlpm.x))</f>
        <v/>
      </c>
      <c r="I95" s="514" t="str">
        <f>_xlfn.LET(_xlpm.x,'Diversion and Disposal'!I91,IF(OR(LEN(_xlpm.x)&lt;1,_xlpm.x=0),"",_xlpm.x))</f>
        <v/>
      </c>
      <c r="J95" s="514" t="str">
        <f>_xlfn.LET(_xlpm.x,'Diversion and Disposal'!J91,IF(OR(LEN(_xlpm.x)&lt;1,_xlpm.x=0),"",_xlpm.x))</f>
        <v/>
      </c>
      <c r="K95" s="514" t="str">
        <f>_xlfn.LET(_xlpm.x,'Diversion and Disposal'!K91,IF(OR(LEN(_xlpm.x)&lt;1,_xlpm.x=0),"",_xlpm.x))</f>
        <v/>
      </c>
      <c r="L95" s="514" t="str">
        <f>_xlfn.LET(_xlpm.x,'Diversion and Disposal'!L91,IF(OR(LEN(_xlpm.x)&lt;1,_xlpm.x=0),"",_xlpm.x))</f>
        <v/>
      </c>
      <c r="M95" s="514" t="str">
        <f>_xlfn.LET(_xlpm.x,'Diversion and Disposal'!M91,IF(OR(LEN(_xlpm.x)&lt;1,_xlpm.x=0),"",_xlpm.x))</f>
        <v/>
      </c>
      <c r="N95" s="514" t="str">
        <f>_xlfn.LET(_xlpm.x,'Diversion and Disposal'!N91,IF(OR(LEN(_xlpm.x)&lt;1,_xlpm.x=0),"",_xlpm.x))</f>
        <v/>
      </c>
      <c r="O95" s="514" t="str">
        <f>_xlfn.LET(_xlpm.x,'Diversion and Disposal'!O91,IF(OR(LEN(_xlpm.x)&lt;1,_xlpm.x=0),"",_xlpm.x))</f>
        <v/>
      </c>
      <c r="P95" s="514" t="str">
        <f>_xlfn.LET(_xlpm.x,'Diversion and Disposal'!P91,IF(OR(LEN(_xlpm.x)&lt;1,_xlpm.x=0),"",_xlpm.x))</f>
        <v/>
      </c>
      <c r="Q95" s="514" t="str">
        <f>_xlfn.LET(_xlpm.x,'Diversion and Disposal'!Q91,IF(OR(LEN(_xlpm.x)&lt;1,_xlpm.x=0),"",_xlpm.x))</f>
        <v/>
      </c>
      <c r="R95" s="514" t="str">
        <f>_xlfn.LET(_xlpm.x,'Diversion and Disposal'!R91,IF(OR(LEN(_xlpm.x)&lt;1,_xlpm.x=0),"",_xlpm.x))</f>
        <v/>
      </c>
      <c r="S95" s="514" t="str">
        <f>_xlfn.LET(_xlpm.x,'Diversion and Disposal'!S91,IF(OR(LEN(_xlpm.x)&lt;1,_xlpm.x=0),"",_xlpm.x))</f>
        <v/>
      </c>
      <c r="T95" s="513">
        <f t="shared" si="42"/>
        <v>0</v>
      </c>
      <c r="BB95" s="432" t="str">
        <f t="shared" si="60"/>
        <v/>
      </c>
      <c r="BC95" s="432" t="str">
        <f t="shared" si="61"/>
        <v/>
      </c>
      <c r="BD95" s="432" t="str">
        <f t="shared" si="62"/>
        <v/>
      </c>
      <c r="BE95" s="432" t="str">
        <f t="shared" si="63"/>
        <v/>
      </c>
      <c r="BF95" s="432" t="str">
        <f t="shared" si="64"/>
        <v/>
      </c>
      <c r="BG95" s="477" t="str">
        <f t="shared" si="65"/>
        <v/>
      </c>
      <c r="BH95" s="477" t="str">
        <f t="shared" si="66"/>
        <v/>
      </c>
      <c r="BI95" s="477" t="str">
        <f t="shared" si="67"/>
        <v/>
      </c>
      <c r="BJ95" s="477" t="str">
        <f t="shared" si="68"/>
        <v/>
      </c>
      <c r="BK95" s="477" t="str">
        <f t="shared" si="69"/>
        <v/>
      </c>
      <c r="BL95" s="477" t="str">
        <f t="shared" si="70"/>
        <v/>
      </c>
      <c r="BM95" s="477" t="str">
        <f t="shared" si="71"/>
        <v/>
      </c>
      <c r="BN95" s="477" t="str">
        <f t="shared" si="72"/>
        <v/>
      </c>
      <c r="BO95" s="477" t="str">
        <f t="shared" si="73"/>
        <v/>
      </c>
      <c r="BP95" s="477" t="str">
        <f t="shared" si="74"/>
        <v/>
      </c>
      <c r="BQ95" s="477" t="str">
        <f t="shared" si="75"/>
        <v/>
      </c>
      <c r="BR95" s="477" t="str">
        <f t="shared" si="76"/>
        <v/>
      </c>
      <c r="BS95" s="477" t="str">
        <f t="shared" si="77"/>
        <v/>
      </c>
      <c r="BT95" s="435">
        <f t="shared" si="78"/>
        <v>0</v>
      </c>
      <c r="BU95" s="434" t="str">
        <f t="shared" si="79"/>
        <v/>
      </c>
      <c r="BV95" s="479" t="str">
        <f t="shared" si="91"/>
        <v/>
      </c>
      <c r="BW95" s="479" t="str">
        <f t="shared" si="80"/>
        <v/>
      </c>
      <c r="BX95" s="479" t="str">
        <f t="shared" si="81"/>
        <v/>
      </c>
      <c r="BY95" s="479" t="str">
        <f t="shared" si="82"/>
        <v/>
      </c>
      <c r="BZ95" s="479" t="str">
        <f t="shared" si="83"/>
        <v/>
      </c>
      <c r="CA95" s="479" t="str">
        <f t="shared" si="84"/>
        <v/>
      </c>
      <c r="CB95" s="479" t="str">
        <f t="shared" si="85"/>
        <v/>
      </c>
      <c r="CC95" s="479" t="str">
        <f t="shared" si="86"/>
        <v/>
      </c>
      <c r="CD95" s="479" t="str">
        <f t="shared" si="87"/>
        <v/>
      </c>
      <c r="CE95" s="479" t="str">
        <f t="shared" si="88"/>
        <v/>
      </c>
      <c r="CF95" s="479" t="str">
        <f t="shared" si="89"/>
        <v/>
      </c>
      <c r="CG95" s="479" t="str">
        <f t="shared" si="90"/>
        <v/>
      </c>
      <c r="CH95" s="480">
        <f t="shared" si="92"/>
        <v>0</v>
      </c>
      <c r="DD95" s="497" cm="1">
        <f t="array" ref="DD95">_xlfn.IFS('Project Inputs'!$F$150&lt;&gt;"Yes",0,DE95=18,0,DE95&lt;&gt;18,SUM(DF95:DG95))</f>
        <v>0</v>
      </c>
      <c r="DE95" s="31">
        <f t="shared" si="93"/>
        <v>18</v>
      </c>
      <c r="DF95" s="31">
        <f t="shared" si="94"/>
        <v>0</v>
      </c>
      <c r="DG95" s="31">
        <f t="shared" si="95"/>
        <v>0</v>
      </c>
    </row>
    <row r="96" spans="1:111" hidden="1" outlineLevel="1">
      <c r="A96" s="22" t="str">
        <f t="shared" si="59"/>
        <v/>
      </c>
      <c r="B96" s="474" t="str">
        <f>_xlfn.LET(_xlpm.x,'Diversion and Disposal'!D92,IF(OR(LEN(_xlpm.x)&lt;1,_xlpm.x=0),"",_xlpm.x))</f>
        <v/>
      </c>
      <c r="C96" s="475" t="str">
        <f>_xlfn.LET(_xlpm.x,'Diversion and Disposal'!E92,IF(OR(LEN(_xlpm.x)&lt;1,_xlpm.x=0),"",_xlpm.x))</f>
        <v/>
      </c>
      <c r="D96" s="475" t="str">
        <f>_xlfn.LET(_xlpm.x,'Diversion and Disposal'!F92,IF(OR(LEN(_xlpm.x)&lt;1,_xlpm.x=0),"",_xlpm.x))</f>
        <v/>
      </c>
      <c r="E96" s="475" t="str">
        <f>_xlfn.LET(_xlpm.x,'Diversion and Disposal'!G92,IF(OR(LEN(_xlpm.x)&lt;1,_xlpm.x=0),"",_xlpm.x))</f>
        <v/>
      </c>
      <c r="F96" s="407"/>
      <c r="G96" s="511"/>
      <c r="H96" s="514" t="str">
        <f>_xlfn.LET(_xlpm.x,'Diversion and Disposal'!H92,IF(OR(LEN(_xlpm.x)&lt;1,_xlpm.x=0),"",_xlpm.x))</f>
        <v/>
      </c>
      <c r="I96" s="514" t="str">
        <f>_xlfn.LET(_xlpm.x,'Diversion and Disposal'!I92,IF(OR(LEN(_xlpm.x)&lt;1,_xlpm.x=0),"",_xlpm.x))</f>
        <v/>
      </c>
      <c r="J96" s="514" t="str">
        <f>_xlfn.LET(_xlpm.x,'Diversion and Disposal'!J92,IF(OR(LEN(_xlpm.x)&lt;1,_xlpm.x=0),"",_xlpm.x))</f>
        <v/>
      </c>
      <c r="K96" s="514" t="str">
        <f>_xlfn.LET(_xlpm.x,'Diversion and Disposal'!K92,IF(OR(LEN(_xlpm.x)&lt;1,_xlpm.x=0),"",_xlpm.x))</f>
        <v/>
      </c>
      <c r="L96" s="514" t="str">
        <f>_xlfn.LET(_xlpm.x,'Diversion and Disposal'!L92,IF(OR(LEN(_xlpm.x)&lt;1,_xlpm.x=0),"",_xlpm.x))</f>
        <v/>
      </c>
      <c r="M96" s="514" t="str">
        <f>_xlfn.LET(_xlpm.x,'Diversion and Disposal'!M92,IF(OR(LEN(_xlpm.x)&lt;1,_xlpm.x=0),"",_xlpm.x))</f>
        <v/>
      </c>
      <c r="N96" s="514" t="str">
        <f>_xlfn.LET(_xlpm.x,'Diversion and Disposal'!N92,IF(OR(LEN(_xlpm.x)&lt;1,_xlpm.x=0),"",_xlpm.x))</f>
        <v/>
      </c>
      <c r="O96" s="514" t="str">
        <f>_xlfn.LET(_xlpm.x,'Diversion and Disposal'!O92,IF(OR(LEN(_xlpm.x)&lt;1,_xlpm.x=0),"",_xlpm.x))</f>
        <v/>
      </c>
      <c r="P96" s="514" t="str">
        <f>_xlfn.LET(_xlpm.x,'Diversion and Disposal'!P92,IF(OR(LEN(_xlpm.x)&lt;1,_xlpm.x=0),"",_xlpm.x))</f>
        <v/>
      </c>
      <c r="Q96" s="514" t="str">
        <f>_xlfn.LET(_xlpm.x,'Diversion and Disposal'!Q92,IF(OR(LEN(_xlpm.x)&lt;1,_xlpm.x=0),"",_xlpm.x))</f>
        <v/>
      </c>
      <c r="R96" s="514" t="str">
        <f>_xlfn.LET(_xlpm.x,'Diversion and Disposal'!R92,IF(OR(LEN(_xlpm.x)&lt;1,_xlpm.x=0),"",_xlpm.x))</f>
        <v/>
      </c>
      <c r="S96" s="514" t="str">
        <f>_xlfn.LET(_xlpm.x,'Diversion and Disposal'!S92,IF(OR(LEN(_xlpm.x)&lt;1,_xlpm.x=0),"",_xlpm.x))</f>
        <v/>
      </c>
      <c r="T96" s="513">
        <f t="shared" si="42"/>
        <v>0</v>
      </c>
      <c r="BB96" s="432" t="str">
        <f t="shared" si="60"/>
        <v/>
      </c>
      <c r="BC96" s="432" t="str">
        <f t="shared" si="61"/>
        <v/>
      </c>
      <c r="BD96" s="432" t="str">
        <f t="shared" si="62"/>
        <v/>
      </c>
      <c r="BE96" s="432" t="str">
        <f t="shared" si="63"/>
        <v/>
      </c>
      <c r="BF96" s="432" t="str">
        <f t="shared" si="64"/>
        <v/>
      </c>
      <c r="BG96" s="477" t="str">
        <f t="shared" si="65"/>
        <v/>
      </c>
      <c r="BH96" s="477" t="str">
        <f t="shared" si="66"/>
        <v/>
      </c>
      <c r="BI96" s="477" t="str">
        <f t="shared" si="67"/>
        <v/>
      </c>
      <c r="BJ96" s="477" t="str">
        <f t="shared" si="68"/>
        <v/>
      </c>
      <c r="BK96" s="477" t="str">
        <f t="shared" si="69"/>
        <v/>
      </c>
      <c r="BL96" s="477" t="str">
        <f t="shared" si="70"/>
        <v/>
      </c>
      <c r="BM96" s="477" t="str">
        <f t="shared" si="71"/>
        <v/>
      </c>
      <c r="BN96" s="477" t="str">
        <f t="shared" si="72"/>
        <v/>
      </c>
      <c r="BO96" s="477" t="str">
        <f t="shared" si="73"/>
        <v/>
      </c>
      <c r="BP96" s="477" t="str">
        <f t="shared" si="74"/>
        <v/>
      </c>
      <c r="BQ96" s="477" t="str">
        <f t="shared" si="75"/>
        <v/>
      </c>
      <c r="BR96" s="477" t="str">
        <f t="shared" si="76"/>
        <v/>
      </c>
      <c r="BS96" s="477" t="str">
        <f t="shared" si="77"/>
        <v/>
      </c>
      <c r="BT96" s="435">
        <f t="shared" si="78"/>
        <v>0</v>
      </c>
      <c r="BU96" s="434" t="str">
        <f t="shared" si="79"/>
        <v/>
      </c>
      <c r="BV96" s="479" t="str">
        <f t="shared" si="91"/>
        <v/>
      </c>
      <c r="BW96" s="479" t="str">
        <f t="shared" si="80"/>
        <v/>
      </c>
      <c r="BX96" s="479" t="str">
        <f t="shared" si="81"/>
        <v/>
      </c>
      <c r="BY96" s="479" t="str">
        <f t="shared" si="82"/>
        <v/>
      </c>
      <c r="BZ96" s="479" t="str">
        <f t="shared" si="83"/>
        <v/>
      </c>
      <c r="CA96" s="479" t="str">
        <f t="shared" si="84"/>
        <v/>
      </c>
      <c r="CB96" s="479" t="str">
        <f t="shared" si="85"/>
        <v/>
      </c>
      <c r="CC96" s="479" t="str">
        <f t="shared" si="86"/>
        <v/>
      </c>
      <c r="CD96" s="479" t="str">
        <f t="shared" si="87"/>
        <v/>
      </c>
      <c r="CE96" s="479" t="str">
        <f t="shared" si="88"/>
        <v/>
      </c>
      <c r="CF96" s="479" t="str">
        <f t="shared" si="89"/>
        <v/>
      </c>
      <c r="CG96" s="479" t="str">
        <f t="shared" si="90"/>
        <v/>
      </c>
      <c r="CH96" s="480">
        <f t="shared" si="92"/>
        <v>0</v>
      </c>
      <c r="DD96" s="497" cm="1">
        <f t="array" ref="DD96">_xlfn.IFS('Project Inputs'!$F$150&lt;&gt;"Yes",0,DE96=18,0,DE96&lt;&gt;18,SUM(DF96:DG96))</f>
        <v>0</v>
      </c>
      <c r="DE96" s="31">
        <f t="shared" si="93"/>
        <v>18</v>
      </c>
      <c r="DF96" s="31">
        <f t="shared" si="94"/>
        <v>0</v>
      </c>
      <c r="DG96" s="31">
        <f t="shared" si="95"/>
        <v>0</v>
      </c>
    </row>
    <row r="97" spans="1:111" hidden="1" outlineLevel="1">
      <c r="A97" s="22" t="str">
        <f t="shared" si="59"/>
        <v/>
      </c>
      <c r="B97" s="474" t="str">
        <f>_xlfn.LET(_xlpm.x,'Diversion and Disposal'!D93,IF(OR(LEN(_xlpm.x)&lt;1,_xlpm.x=0),"",_xlpm.x))</f>
        <v/>
      </c>
      <c r="C97" s="475" t="str">
        <f>_xlfn.LET(_xlpm.x,'Diversion and Disposal'!E93,IF(OR(LEN(_xlpm.x)&lt;1,_xlpm.x=0),"",_xlpm.x))</f>
        <v/>
      </c>
      <c r="D97" s="475" t="str">
        <f>_xlfn.LET(_xlpm.x,'Diversion and Disposal'!F93,IF(OR(LEN(_xlpm.x)&lt;1,_xlpm.x=0),"",_xlpm.x))</f>
        <v/>
      </c>
      <c r="E97" s="475" t="str">
        <f>_xlfn.LET(_xlpm.x,'Diversion and Disposal'!G93,IF(OR(LEN(_xlpm.x)&lt;1,_xlpm.x=0),"",_xlpm.x))</f>
        <v/>
      </c>
      <c r="F97" s="407"/>
      <c r="G97" s="511"/>
      <c r="H97" s="514" t="str">
        <f>_xlfn.LET(_xlpm.x,'Diversion and Disposal'!H93,IF(OR(LEN(_xlpm.x)&lt;1,_xlpm.x=0),"",_xlpm.x))</f>
        <v/>
      </c>
      <c r="I97" s="514" t="str">
        <f>_xlfn.LET(_xlpm.x,'Diversion and Disposal'!I93,IF(OR(LEN(_xlpm.x)&lt;1,_xlpm.x=0),"",_xlpm.x))</f>
        <v/>
      </c>
      <c r="J97" s="514" t="str">
        <f>_xlfn.LET(_xlpm.x,'Diversion and Disposal'!J93,IF(OR(LEN(_xlpm.x)&lt;1,_xlpm.x=0),"",_xlpm.x))</f>
        <v/>
      </c>
      <c r="K97" s="514" t="str">
        <f>_xlfn.LET(_xlpm.x,'Diversion and Disposal'!K93,IF(OR(LEN(_xlpm.x)&lt;1,_xlpm.x=0),"",_xlpm.x))</f>
        <v/>
      </c>
      <c r="L97" s="514" t="str">
        <f>_xlfn.LET(_xlpm.x,'Diversion and Disposal'!L93,IF(OR(LEN(_xlpm.x)&lt;1,_xlpm.x=0),"",_xlpm.x))</f>
        <v/>
      </c>
      <c r="M97" s="514" t="str">
        <f>_xlfn.LET(_xlpm.x,'Diversion and Disposal'!M93,IF(OR(LEN(_xlpm.x)&lt;1,_xlpm.x=0),"",_xlpm.x))</f>
        <v/>
      </c>
      <c r="N97" s="514" t="str">
        <f>_xlfn.LET(_xlpm.x,'Diversion and Disposal'!N93,IF(OR(LEN(_xlpm.x)&lt;1,_xlpm.x=0),"",_xlpm.x))</f>
        <v/>
      </c>
      <c r="O97" s="514" t="str">
        <f>_xlfn.LET(_xlpm.x,'Diversion and Disposal'!O93,IF(OR(LEN(_xlpm.x)&lt;1,_xlpm.x=0),"",_xlpm.x))</f>
        <v/>
      </c>
      <c r="P97" s="514" t="str">
        <f>_xlfn.LET(_xlpm.x,'Diversion and Disposal'!P93,IF(OR(LEN(_xlpm.x)&lt;1,_xlpm.x=0),"",_xlpm.x))</f>
        <v/>
      </c>
      <c r="Q97" s="514" t="str">
        <f>_xlfn.LET(_xlpm.x,'Diversion and Disposal'!Q93,IF(OR(LEN(_xlpm.x)&lt;1,_xlpm.x=0),"",_xlpm.x))</f>
        <v/>
      </c>
      <c r="R97" s="514" t="str">
        <f>_xlfn.LET(_xlpm.x,'Diversion and Disposal'!R93,IF(OR(LEN(_xlpm.x)&lt;1,_xlpm.x=0),"",_xlpm.x))</f>
        <v/>
      </c>
      <c r="S97" s="514" t="str">
        <f>_xlfn.LET(_xlpm.x,'Diversion and Disposal'!S93,IF(OR(LEN(_xlpm.x)&lt;1,_xlpm.x=0),"",_xlpm.x))</f>
        <v/>
      </c>
      <c r="T97" s="513">
        <f t="shared" si="42"/>
        <v>0</v>
      </c>
      <c r="BB97" s="432" t="str">
        <f t="shared" si="60"/>
        <v/>
      </c>
      <c r="BC97" s="432" t="str">
        <f t="shared" si="61"/>
        <v/>
      </c>
      <c r="BD97" s="432" t="str">
        <f t="shared" si="62"/>
        <v/>
      </c>
      <c r="BE97" s="432" t="str">
        <f t="shared" si="63"/>
        <v/>
      </c>
      <c r="BF97" s="432" t="str">
        <f t="shared" si="64"/>
        <v/>
      </c>
      <c r="BG97" s="477" t="str">
        <f t="shared" si="65"/>
        <v/>
      </c>
      <c r="BH97" s="477" t="str">
        <f t="shared" si="66"/>
        <v/>
      </c>
      <c r="BI97" s="477" t="str">
        <f t="shared" si="67"/>
        <v/>
      </c>
      <c r="BJ97" s="477" t="str">
        <f t="shared" si="68"/>
        <v/>
      </c>
      <c r="BK97" s="477" t="str">
        <f t="shared" si="69"/>
        <v/>
      </c>
      <c r="BL97" s="477" t="str">
        <f t="shared" si="70"/>
        <v/>
      </c>
      <c r="BM97" s="477" t="str">
        <f t="shared" si="71"/>
        <v/>
      </c>
      <c r="BN97" s="477" t="str">
        <f t="shared" si="72"/>
        <v/>
      </c>
      <c r="BO97" s="477" t="str">
        <f t="shared" si="73"/>
        <v/>
      </c>
      <c r="BP97" s="477" t="str">
        <f t="shared" si="74"/>
        <v/>
      </c>
      <c r="BQ97" s="477" t="str">
        <f t="shared" si="75"/>
        <v/>
      </c>
      <c r="BR97" s="477" t="str">
        <f t="shared" si="76"/>
        <v/>
      </c>
      <c r="BS97" s="477" t="str">
        <f t="shared" si="77"/>
        <v/>
      </c>
      <c r="BT97" s="435">
        <f t="shared" si="78"/>
        <v>0</v>
      </c>
      <c r="BU97" s="434" t="str">
        <f t="shared" si="79"/>
        <v/>
      </c>
      <c r="BV97" s="479" t="str">
        <f t="shared" si="91"/>
        <v/>
      </c>
      <c r="BW97" s="479" t="str">
        <f t="shared" si="80"/>
        <v/>
      </c>
      <c r="BX97" s="479" t="str">
        <f t="shared" si="81"/>
        <v/>
      </c>
      <c r="BY97" s="479" t="str">
        <f t="shared" si="82"/>
        <v/>
      </c>
      <c r="BZ97" s="479" t="str">
        <f t="shared" si="83"/>
        <v/>
      </c>
      <c r="CA97" s="479" t="str">
        <f t="shared" si="84"/>
        <v/>
      </c>
      <c r="CB97" s="479" t="str">
        <f t="shared" si="85"/>
        <v/>
      </c>
      <c r="CC97" s="479" t="str">
        <f t="shared" si="86"/>
        <v/>
      </c>
      <c r="CD97" s="479" t="str">
        <f t="shared" si="87"/>
        <v/>
      </c>
      <c r="CE97" s="479" t="str">
        <f t="shared" si="88"/>
        <v/>
      </c>
      <c r="CF97" s="479" t="str">
        <f t="shared" si="89"/>
        <v/>
      </c>
      <c r="CG97" s="479" t="str">
        <f t="shared" si="90"/>
        <v/>
      </c>
      <c r="CH97" s="480">
        <f t="shared" si="92"/>
        <v>0</v>
      </c>
      <c r="DD97" s="497" cm="1">
        <f t="array" ref="DD97">_xlfn.IFS('Project Inputs'!$F$150&lt;&gt;"Yes",0,DE97=18,0,DE97&lt;&gt;18,SUM(DF97:DG97))</f>
        <v>0</v>
      </c>
      <c r="DE97" s="31">
        <f t="shared" si="93"/>
        <v>18</v>
      </c>
      <c r="DF97" s="31">
        <f t="shared" si="94"/>
        <v>0</v>
      </c>
      <c r="DG97" s="31">
        <f t="shared" si="95"/>
        <v>0</v>
      </c>
    </row>
    <row r="98" spans="1:111" hidden="1" outlineLevel="1">
      <c r="A98" s="22" t="str">
        <f t="shared" si="59"/>
        <v/>
      </c>
      <c r="B98" s="474" t="str">
        <f>_xlfn.LET(_xlpm.x,'Diversion and Disposal'!D94,IF(OR(LEN(_xlpm.x)&lt;1,_xlpm.x=0),"",_xlpm.x))</f>
        <v/>
      </c>
      <c r="C98" s="475" t="str">
        <f>_xlfn.LET(_xlpm.x,'Diversion and Disposal'!E94,IF(OR(LEN(_xlpm.x)&lt;1,_xlpm.x=0),"",_xlpm.x))</f>
        <v/>
      </c>
      <c r="D98" s="475" t="str">
        <f>_xlfn.LET(_xlpm.x,'Diversion and Disposal'!F94,IF(OR(LEN(_xlpm.x)&lt;1,_xlpm.x=0),"",_xlpm.x))</f>
        <v/>
      </c>
      <c r="E98" s="475" t="str">
        <f>_xlfn.LET(_xlpm.x,'Diversion and Disposal'!G94,IF(OR(LEN(_xlpm.x)&lt;1,_xlpm.x=0),"",_xlpm.x))</f>
        <v/>
      </c>
      <c r="F98" s="407"/>
      <c r="G98" s="511"/>
      <c r="H98" s="514" t="str">
        <f>_xlfn.LET(_xlpm.x,'Diversion and Disposal'!H94,IF(OR(LEN(_xlpm.x)&lt;1,_xlpm.x=0),"",_xlpm.x))</f>
        <v/>
      </c>
      <c r="I98" s="514" t="str">
        <f>_xlfn.LET(_xlpm.x,'Diversion and Disposal'!I94,IF(OR(LEN(_xlpm.x)&lt;1,_xlpm.x=0),"",_xlpm.x))</f>
        <v/>
      </c>
      <c r="J98" s="514" t="str">
        <f>_xlfn.LET(_xlpm.x,'Diversion and Disposal'!J94,IF(OR(LEN(_xlpm.x)&lt;1,_xlpm.x=0),"",_xlpm.x))</f>
        <v/>
      </c>
      <c r="K98" s="514" t="str">
        <f>_xlfn.LET(_xlpm.x,'Diversion and Disposal'!K94,IF(OR(LEN(_xlpm.x)&lt;1,_xlpm.x=0),"",_xlpm.x))</f>
        <v/>
      </c>
      <c r="L98" s="514" t="str">
        <f>_xlfn.LET(_xlpm.x,'Diversion and Disposal'!L94,IF(OR(LEN(_xlpm.x)&lt;1,_xlpm.x=0),"",_xlpm.x))</f>
        <v/>
      </c>
      <c r="M98" s="514" t="str">
        <f>_xlfn.LET(_xlpm.x,'Diversion and Disposal'!M94,IF(OR(LEN(_xlpm.x)&lt;1,_xlpm.x=0),"",_xlpm.x))</f>
        <v/>
      </c>
      <c r="N98" s="514" t="str">
        <f>_xlfn.LET(_xlpm.x,'Diversion and Disposal'!N94,IF(OR(LEN(_xlpm.x)&lt;1,_xlpm.x=0),"",_xlpm.x))</f>
        <v/>
      </c>
      <c r="O98" s="514" t="str">
        <f>_xlfn.LET(_xlpm.x,'Diversion and Disposal'!O94,IF(OR(LEN(_xlpm.x)&lt;1,_xlpm.x=0),"",_xlpm.x))</f>
        <v/>
      </c>
      <c r="P98" s="514" t="str">
        <f>_xlfn.LET(_xlpm.x,'Diversion and Disposal'!P94,IF(OR(LEN(_xlpm.x)&lt;1,_xlpm.x=0),"",_xlpm.x))</f>
        <v/>
      </c>
      <c r="Q98" s="514" t="str">
        <f>_xlfn.LET(_xlpm.x,'Diversion and Disposal'!Q94,IF(OR(LEN(_xlpm.x)&lt;1,_xlpm.x=0),"",_xlpm.x))</f>
        <v/>
      </c>
      <c r="R98" s="514" t="str">
        <f>_xlfn.LET(_xlpm.x,'Diversion and Disposal'!R94,IF(OR(LEN(_xlpm.x)&lt;1,_xlpm.x=0),"",_xlpm.x))</f>
        <v/>
      </c>
      <c r="S98" s="514" t="str">
        <f>_xlfn.LET(_xlpm.x,'Diversion and Disposal'!S94,IF(OR(LEN(_xlpm.x)&lt;1,_xlpm.x=0),"",_xlpm.x))</f>
        <v/>
      </c>
      <c r="T98" s="513">
        <f t="shared" si="42"/>
        <v>0</v>
      </c>
      <c r="BB98" s="432" t="str">
        <f t="shared" si="60"/>
        <v/>
      </c>
      <c r="BC98" s="432" t="str">
        <f t="shared" si="61"/>
        <v/>
      </c>
      <c r="BD98" s="432" t="str">
        <f t="shared" si="62"/>
        <v/>
      </c>
      <c r="BE98" s="432" t="str">
        <f t="shared" si="63"/>
        <v/>
      </c>
      <c r="BF98" s="432" t="str">
        <f t="shared" si="64"/>
        <v/>
      </c>
      <c r="BG98" s="477" t="str">
        <f t="shared" si="65"/>
        <v/>
      </c>
      <c r="BH98" s="477" t="str">
        <f t="shared" si="66"/>
        <v/>
      </c>
      <c r="BI98" s="477" t="str">
        <f t="shared" si="67"/>
        <v/>
      </c>
      <c r="BJ98" s="477" t="str">
        <f t="shared" si="68"/>
        <v/>
      </c>
      <c r="BK98" s="477" t="str">
        <f t="shared" si="69"/>
        <v/>
      </c>
      <c r="BL98" s="477" t="str">
        <f t="shared" si="70"/>
        <v/>
      </c>
      <c r="BM98" s="477" t="str">
        <f t="shared" si="71"/>
        <v/>
      </c>
      <c r="BN98" s="477" t="str">
        <f t="shared" si="72"/>
        <v/>
      </c>
      <c r="BO98" s="477" t="str">
        <f t="shared" si="73"/>
        <v/>
      </c>
      <c r="BP98" s="477" t="str">
        <f t="shared" si="74"/>
        <v/>
      </c>
      <c r="BQ98" s="477" t="str">
        <f t="shared" si="75"/>
        <v/>
      </c>
      <c r="BR98" s="477" t="str">
        <f t="shared" si="76"/>
        <v/>
      </c>
      <c r="BS98" s="477" t="str">
        <f t="shared" si="77"/>
        <v/>
      </c>
      <c r="BT98" s="435">
        <f t="shared" si="78"/>
        <v>0</v>
      </c>
      <c r="BU98" s="434" t="str">
        <f t="shared" si="79"/>
        <v/>
      </c>
      <c r="BV98" s="479" t="str">
        <f t="shared" si="91"/>
        <v/>
      </c>
      <c r="BW98" s="479" t="str">
        <f t="shared" si="80"/>
        <v/>
      </c>
      <c r="BX98" s="479" t="str">
        <f t="shared" si="81"/>
        <v/>
      </c>
      <c r="BY98" s="479" t="str">
        <f t="shared" si="82"/>
        <v/>
      </c>
      <c r="BZ98" s="479" t="str">
        <f t="shared" si="83"/>
        <v/>
      </c>
      <c r="CA98" s="479" t="str">
        <f t="shared" si="84"/>
        <v/>
      </c>
      <c r="CB98" s="479" t="str">
        <f t="shared" si="85"/>
        <v/>
      </c>
      <c r="CC98" s="479" t="str">
        <f t="shared" si="86"/>
        <v/>
      </c>
      <c r="CD98" s="479" t="str">
        <f t="shared" si="87"/>
        <v/>
      </c>
      <c r="CE98" s="479" t="str">
        <f t="shared" si="88"/>
        <v/>
      </c>
      <c r="CF98" s="479" t="str">
        <f t="shared" si="89"/>
        <v/>
      </c>
      <c r="CG98" s="479" t="str">
        <f t="shared" si="90"/>
        <v/>
      </c>
      <c r="CH98" s="480">
        <f t="shared" si="92"/>
        <v>0</v>
      </c>
      <c r="DD98" s="497" cm="1">
        <f t="array" ref="DD98">_xlfn.IFS('Project Inputs'!$F$150&lt;&gt;"Yes",0,DE98=18,0,DE98&lt;&gt;18,SUM(DF98:DG98))</f>
        <v>0</v>
      </c>
      <c r="DE98" s="31">
        <f t="shared" si="93"/>
        <v>18</v>
      </c>
      <c r="DF98" s="31">
        <f t="shared" si="94"/>
        <v>0</v>
      </c>
      <c r="DG98" s="31">
        <f t="shared" si="95"/>
        <v>0</v>
      </c>
    </row>
    <row r="99" spans="1:111" hidden="1" outlineLevel="1">
      <c r="A99" s="22" t="str">
        <f t="shared" si="59"/>
        <v/>
      </c>
      <c r="B99" s="474" t="str">
        <f>_xlfn.LET(_xlpm.x,'Diversion and Disposal'!D95,IF(OR(LEN(_xlpm.x)&lt;1,_xlpm.x=0),"",_xlpm.x))</f>
        <v/>
      </c>
      <c r="C99" s="475" t="str">
        <f>_xlfn.LET(_xlpm.x,'Diversion and Disposal'!E95,IF(OR(LEN(_xlpm.x)&lt;1,_xlpm.x=0),"",_xlpm.x))</f>
        <v/>
      </c>
      <c r="D99" s="475" t="str">
        <f>_xlfn.LET(_xlpm.x,'Diversion and Disposal'!F95,IF(OR(LEN(_xlpm.x)&lt;1,_xlpm.x=0),"",_xlpm.x))</f>
        <v/>
      </c>
      <c r="E99" s="475" t="str">
        <f>_xlfn.LET(_xlpm.x,'Diversion and Disposal'!G95,IF(OR(LEN(_xlpm.x)&lt;1,_xlpm.x=0),"",_xlpm.x))</f>
        <v/>
      </c>
      <c r="F99" s="407"/>
      <c r="G99" s="511"/>
      <c r="H99" s="514" t="str">
        <f>_xlfn.LET(_xlpm.x,'Diversion and Disposal'!H95,IF(OR(LEN(_xlpm.x)&lt;1,_xlpm.x=0),"",_xlpm.x))</f>
        <v/>
      </c>
      <c r="I99" s="514" t="str">
        <f>_xlfn.LET(_xlpm.x,'Diversion and Disposal'!I95,IF(OR(LEN(_xlpm.x)&lt;1,_xlpm.x=0),"",_xlpm.x))</f>
        <v/>
      </c>
      <c r="J99" s="514" t="str">
        <f>_xlfn.LET(_xlpm.x,'Diversion and Disposal'!J95,IF(OR(LEN(_xlpm.x)&lt;1,_xlpm.x=0),"",_xlpm.x))</f>
        <v/>
      </c>
      <c r="K99" s="514" t="str">
        <f>_xlfn.LET(_xlpm.x,'Diversion and Disposal'!K95,IF(OR(LEN(_xlpm.x)&lt;1,_xlpm.x=0),"",_xlpm.x))</f>
        <v/>
      </c>
      <c r="L99" s="514" t="str">
        <f>_xlfn.LET(_xlpm.x,'Diversion and Disposal'!L95,IF(OR(LEN(_xlpm.x)&lt;1,_xlpm.x=0),"",_xlpm.x))</f>
        <v/>
      </c>
      <c r="M99" s="514" t="str">
        <f>_xlfn.LET(_xlpm.x,'Diversion and Disposal'!M95,IF(OR(LEN(_xlpm.x)&lt;1,_xlpm.x=0),"",_xlpm.x))</f>
        <v/>
      </c>
      <c r="N99" s="514" t="str">
        <f>_xlfn.LET(_xlpm.x,'Diversion and Disposal'!N95,IF(OR(LEN(_xlpm.x)&lt;1,_xlpm.x=0),"",_xlpm.x))</f>
        <v/>
      </c>
      <c r="O99" s="514" t="str">
        <f>_xlfn.LET(_xlpm.x,'Diversion and Disposal'!O95,IF(OR(LEN(_xlpm.x)&lt;1,_xlpm.x=0),"",_xlpm.x))</f>
        <v/>
      </c>
      <c r="P99" s="514" t="str">
        <f>_xlfn.LET(_xlpm.x,'Diversion and Disposal'!P95,IF(OR(LEN(_xlpm.x)&lt;1,_xlpm.x=0),"",_xlpm.x))</f>
        <v/>
      </c>
      <c r="Q99" s="514" t="str">
        <f>_xlfn.LET(_xlpm.x,'Diversion and Disposal'!Q95,IF(OR(LEN(_xlpm.x)&lt;1,_xlpm.x=0),"",_xlpm.x))</f>
        <v/>
      </c>
      <c r="R99" s="514" t="str">
        <f>_xlfn.LET(_xlpm.x,'Diversion and Disposal'!R95,IF(OR(LEN(_xlpm.x)&lt;1,_xlpm.x=0),"",_xlpm.x))</f>
        <v/>
      </c>
      <c r="S99" s="514" t="str">
        <f>_xlfn.LET(_xlpm.x,'Diversion and Disposal'!S95,IF(OR(LEN(_xlpm.x)&lt;1,_xlpm.x=0),"",_xlpm.x))</f>
        <v/>
      </c>
      <c r="T99" s="513">
        <f t="shared" ref="T99:T117" si="96">SUM(H99:S99)</f>
        <v>0</v>
      </c>
      <c r="BB99" s="432" t="str">
        <f t="shared" si="60"/>
        <v/>
      </c>
      <c r="BC99" s="432" t="str">
        <f t="shared" si="61"/>
        <v/>
      </c>
      <c r="BD99" s="432" t="str">
        <f t="shared" si="62"/>
        <v/>
      </c>
      <c r="BE99" s="432" t="str">
        <f t="shared" si="63"/>
        <v/>
      </c>
      <c r="BF99" s="432" t="str">
        <f t="shared" si="64"/>
        <v/>
      </c>
      <c r="BG99" s="477" t="str">
        <f t="shared" si="65"/>
        <v/>
      </c>
      <c r="BH99" s="477" t="str">
        <f t="shared" si="66"/>
        <v/>
      </c>
      <c r="BI99" s="477" t="str">
        <f t="shared" si="67"/>
        <v/>
      </c>
      <c r="BJ99" s="477" t="str">
        <f t="shared" si="68"/>
        <v/>
      </c>
      <c r="BK99" s="477" t="str">
        <f t="shared" si="69"/>
        <v/>
      </c>
      <c r="BL99" s="477" t="str">
        <f t="shared" si="70"/>
        <v/>
      </c>
      <c r="BM99" s="477" t="str">
        <f t="shared" si="71"/>
        <v/>
      </c>
      <c r="BN99" s="477" t="str">
        <f t="shared" si="72"/>
        <v/>
      </c>
      <c r="BO99" s="477" t="str">
        <f t="shared" si="73"/>
        <v/>
      </c>
      <c r="BP99" s="477" t="str">
        <f t="shared" si="74"/>
        <v/>
      </c>
      <c r="BQ99" s="477" t="str">
        <f t="shared" si="75"/>
        <v/>
      </c>
      <c r="BR99" s="477" t="str">
        <f t="shared" si="76"/>
        <v/>
      </c>
      <c r="BS99" s="477" t="str">
        <f t="shared" si="77"/>
        <v/>
      </c>
      <c r="BT99" s="435">
        <f t="shared" si="78"/>
        <v>0</v>
      </c>
      <c r="BU99" s="434" t="str">
        <f t="shared" si="79"/>
        <v/>
      </c>
      <c r="BV99" s="479" t="str">
        <f t="shared" si="91"/>
        <v/>
      </c>
      <c r="BW99" s="479" t="str">
        <f t="shared" si="80"/>
        <v/>
      </c>
      <c r="BX99" s="479" t="str">
        <f t="shared" si="81"/>
        <v/>
      </c>
      <c r="BY99" s="479" t="str">
        <f t="shared" si="82"/>
        <v/>
      </c>
      <c r="BZ99" s="479" t="str">
        <f t="shared" si="83"/>
        <v/>
      </c>
      <c r="CA99" s="479" t="str">
        <f t="shared" si="84"/>
        <v/>
      </c>
      <c r="CB99" s="479" t="str">
        <f t="shared" si="85"/>
        <v/>
      </c>
      <c r="CC99" s="479" t="str">
        <f t="shared" si="86"/>
        <v/>
      </c>
      <c r="CD99" s="479" t="str">
        <f t="shared" si="87"/>
        <v/>
      </c>
      <c r="CE99" s="479" t="str">
        <f t="shared" si="88"/>
        <v/>
      </c>
      <c r="CF99" s="479" t="str">
        <f t="shared" si="89"/>
        <v/>
      </c>
      <c r="CG99" s="479" t="str">
        <f t="shared" si="90"/>
        <v/>
      </c>
      <c r="CH99" s="480">
        <f t="shared" si="92"/>
        <v>0</v>
      </c>
      <c r="DD99" s="497" cm="1">
        <f t="array" ref="DD99">_xlfn.IFS('Project Inputs'!$F$150&lt;&gt;"Yes",0,DE99=18,0,DE99&lt;&gt;18,SUM(DF99:DG99))</f>
        <v>0</v>
      </c>
      <c r="DE99" s="31">
        <f t="shared" si="93"/>
        <v>18</v>
      </c>
      <c r="DF99" s="31">
        <f t="shared" si="94"/>
        <v>0</v>
      </c>
      <c r="DG99" s="31">
        <f t="shared" si="95"/>
        <v>0</v>
      </c>
    </row>
    <row r="100" spans="1:111" hidden="1" outlineLevel="1">
      <c r="A100" s="22" t="str">
        <f t="shared" si="59"/>
        <v/>
      </c>
      <c r="B100" s="474" t="str">
        <f>_xlfn.LET(_xlpm.x,'Diversion and Disposal'!D96,IF(OR(LEN(_xlpm.x)&lt;1,_xlpm.x=0),"",_xlpm.x))</f>
        <v/>
      </c>
      <c r="C100" s="475" t="str">
        <f>_xlfn.LET(_xlpm.x,'Diversion and Disposal'!E96,IF(OR(LEN(_xlpm.x)&lt;1,_xlpm.x=0),"",_xlpm.x))</f>
        <v/>
      </c>
      <c r="D100" s="475" t="str">
        <f>_xlfn.LET(_xlpm.x,'Diversion and Disposal'!F96,IF(OR(LEN(_xlpm.x)&lt;1,_xlpm.x=0),"",_xlpm.x))</f>
        <v/>
      </c>
      <c r="E100" s="475" t="str">
        <f>_xlfn.LET(_xlpm.x,'Diversion and Disposal'!G96,IF(OR(LEN(_xlpm.x)&lt;1,_xlpm.x=0),"",_xlpm.x))</f>
        <v/>
      </c>
      <c r="F100" s="407"/>
      <c r="G100" s="511"/>
      <c r="H100" s="514" t="str">
        <f>_xlfn.LET(_xlpm.x,'Diversion and Disposal'!H96,IF(OR(LEN(_xlpm.x)&lt;1,_xlpm.x=0),"",_xlpm.x))</f>
        <v/>
      </c>
      <c r="I100" s="514" t="str">
        <f>_xlfn.LET(_xlpm.x,'Diversion and Disposal'!I96,IF(OR(LEN(_xlpm.x)&lt;1,_xlpm.x=0),"",_xlpm.x))</f>
        <v/>
      </c>
      <c r="J100" s="514" t="str">
        <f>_xlfn.LET(_xlpm.x,'Diversion and Disposal'!J96,IF(OR(LEN(_xlpm.x)&lt;1,_xlpm.x=0),"",_xlpm.x))</f>
        <v/>
      </c>
      <c r="K100" s="514" t="str">
        <f>_xlfn.LET(_xlpm.x,'Diversion and Disposal'!K96,IF(OR(LEN(_xlpm.x)&lt;1,_xlpm.x=0),"",_xlpm.x))</f>
        <v/>
      </c>
      <c r="L100" s="514" t="str">
        <f>_xlfn.LET(_xlpm.x,'Diversion and Disposal'!L96,IF(OR(LEN(_xlpm.x)&lt;1,_xlpm.x=0),"",_xlpm.x))</f>
        <v/>
      </c>
      <c r="M100" s="514" t="str">
        <f>_xlfn.LET(_xlpm.x,'Diversion and Disposal'!M96,IF(OR(LEN(_xlpm.x)&lt;1,_xlpm.x=0),"",_xlpm.x))</f>
        <v/>
      </c>
      <c r="N100" s="514" t="str">
        <f>_xlfn.LET(_xlpm.x,'Diversion and Disposal'!N96,IF(OR(LEN(_xlpm.x)&lt;1,_xlpm.x=0),"",_xlpm.x))</f>
        <v/>
      </c>
      <c r="O100" s="514" t="str">
        <f>_xlfn.LET(_xlpm.x,'Diversion and Disposal'!O96,IF(OR(LEN(_xlpm.x)&lt;1,_xlpm.x=0),"",_xlpm.x))</f>
        <v/>
      </c>
      <c r="P100" s="514" t="str">
        <f>_xlfn.LET(_xlpm.x,'Diversion and Disposal'!P96,IF(OR(LEN(_xlpm.x)&lt;1,_xlpm.x=0),"",_xlpm.x))</f>
        <v/>
      </c>
      <c r="Q100" s="514" t="str">
        <f>_xlfn.LET(_xlpm.x,'Diversion and Disposal'!Q96,IF(OR(LEN(_xlpm.x)&lt;1,_xlpm.x=0),"",_xlpm.x))</f>
        <v/>
      </c>
      <c r="R100" s="514" t="str">
        <f>_xlfn.LET(_xlpm.x,'Diversion and Disposal'!R96,IF(OR(LEN(_xlpm.x)&lt;1,_xlpm.x=0),"",_xlpm.x))</f>
        <v/>
      </c>
      <c r="S100" s="514" t="str">
        <f>_xlfn.LET(_xlpm.x,'Diversion and Disposal'!S96,IF(OR(LEN(_xlpm.x)&lt;1,_xlpm.x=0),"",_xlpm.x))</f>
        <v/>
      </c>
      <c r="T100" s="513">
        <f t="shared" si="96"/>
        <v>0</v>
      </c>
      <c r="BB100" s="432" t="str">
        <f t="shared" si="60"/>
        <v/>
      </c>
      <c r="BC100" s="432" t="str">
        <f t="shared" si="61"/>
        <v/>
      </c>
      <c r="BD100" s="432" t="str">
        <f t="shared" si="62"/>
        <v/>
      </c>
      <c r="BE100" s="432" t="str">
        <f t="shared" si="63"/>
        <v/>
      </c>
      <c r="BF100" s="432" t="str">
        <f t="shared" si="64"/>
        <v/>
      </c>
      <c r="BG100" s="477" t="str">
        <f t="shared" si="65"/>
        <v/>
      </c>
      <c r="BH100" s="477" t="str">
        <f t="shared" si="66"/>
        <v/>
      </c>
      <c r="BI100" s="477" t="str">
        <f t="shared" si="67"/>
        <v/>
      </c>
      <c r="BJ100" s="477" t="str">
        <f t="shared" si="68"/>
        <v/>
      </c>
      <c r="BK100" s="477" t="str">
        <f t="shared" si="69"/>
        <v/>
      </c>
      <c r="BL100" s="477" t="str">
        <f t="shared" si="70"/>
        <v/>
      </c>
      <c r="BM100" s="477" t="str">
        <f t="shared" si="71"/>
        <v/>
      </c>
      <c r="BN100" s="477" t="str">
        <f t="shared" si="72"/>
        <v/>
      </c>
      <c r="BO100" s="477" t="str">
        <f t="shared" si="73"/>
        <v/>
      </c>
      <c r="BP100" s="477" t="str">
        <f t="shared" si="74"/>
        <v/>
      </c>
      <c r="BQ100" s="477" t="str">
        <f t="shared" si="75"/>
        <v/>
      </c>
      <c r="BR100" s="477" t="str">
        <f t="shared" si="76"/>
        <v/>
      </c>
      <c r="BS100" s="477" t="str">
        <f t="shared" si="77"/>
        <v/>
      </c>
      <c r="BT100" s="435">
        <f t="shared" si="78"/>
        <v>0</v>
      </c>
      <c r="BU100" s="434" t="str">
        <f t="shared" si="79"/>
        <v/>
      </c>
      <c r="BV100" s="479" t="str">
        <f t="shared" si="91"/>
        <v/>
      </c>
      <c r="BW100" s="479" t="str">
        <f t="shared" si="80"/>
        <v/>
      </c>
      <c r="BX100" s="479" t="str">
        <f t="shared" si="81"/>
        <v/>
      </c>
      <c r="BY100" s="479" t="str">
        <f t="shared" si="82"/>
        <v/>
      </c>
      <c r="BZ100" s="479" t="str">
        <f t="shared" si="83"/>
        <v/>
      </c>
      <c r="CA100" s="479" t="str">
        <f t="shared" si="84"/>
        <v/>
      </c>
      <c r="CB100" s="479" t="str">
        <f t="shared" si="85"/>
        <v/>
      </c>
      <c r="CC100" s="479" t="str">
        <f t="shared" si="86"/>
        <v/>
      </c>
      <c r="CD100" s="479" t="str">
        <f t="shared" si="87"/>
        <v/>
      </c>
      <c r="CE100" s="479" t="str">
        <f t="shared" si="88"/>
        <v/>
      </c>
      <c r="CF100" s="479" t="str">
        <f t="shared" si="89"/>
        <v/>
      </c>
      <c r="CG100" s="479" t="str">
        <f t="shared" si="90"/>
        <v/>
      </c>
      <c r="CH100" s="480">
        <f t="shared" si="92"/>
        <v>0</v>
      </c>
      <c r="DD100" s="497" cm="1">
        <f t="array" ref="DD100">_xlfn.IFS('Project Inputs'!$F$150&lt;&gt;"Yes",0,DE100=18,0,DE100&lt;&gt;18,SUM(DF100:DG100))</f>
        <v>0</v>
      </c>
      <c r="DE100" s="31">
        <f t="shared" si="93"/>
        <v>18</v>
      </c>
      <c r="DF100" s="31">
        <f t="shared" si="94"/>
        <v>0</v>
      </c>
      <c r="DG100" s="31">
        <f t="shared" si="95"/>
        <v>0</v>
      </c>
    </row>
    <row r="101" spans="1:111" hidden="1" outlineLevel="1">
      <c r="A101" s="22" t="str">
        <f t="shared" si="59"/>
        <v/>
      </c>
      <c r="B101" s="474" t="str">
        <f>_xlfn.LET(_xlpm.x,'Diversion and Disposal'!D97,IF(OR(LEN(_xlpm.x)&lt;1,_xlpm.x=0),"",_xlpm.x))</f>
        <v/>
      </c>
      <c r="C101" s="475" t="str">
        <f>_xlfn.LET(_xlpm.x,'Diversion and Disposal'!E97,IF(OR(LEN(_xlpm.x)&lt;1,_xlpm.x=0),"",_xlpm.x))</f>
        <v/>
      </c>
      <c r="D101" s="475" t="str">
        <f>_xlfn.LET(_xlpm.x,'Diversion and Disposal'!F97,IF(OR(LEN(_xlpm.x)&lt;1,_xlpm.x=0),"",_xlpm.x))</f>
        <v/>
      </c>
      <c r="E101" s="475" t="str">
        <f>_xlfn.LET(_xlpm.x,'Diversion and Disposal'!G97,IF(OR(LEN(_xlpm.x)&lt;1,_xlpm.x=0),"",_xlpm.x))</f>
        <v/>
      </c>
      <c r="F101" s="407"/>
      <c r="G101" s="511"/>
      <c r="H101" s="514" t="str">
        <f>_xlfn.LET(_xlpm.x,'Diversion and Disposal'!H97,IF(OR(LEN(_xlpm.x)&lt;1,_xlpm.x=0),"",_xlpm.x))</f>
        <v/>
      </c>
      <c r="I101" s="514" t="str">
        <f>_xlfn.LET(_xlpm.x,'Diversion and Disposal'!I97,IF(OR(LEN(_xlpm.x)&lt;1,_xlpm.x=0),"",_xlpm.x))</f>
        <v/>
      </c>
      <c r="J101" s="514" t="str">
        <f>_xlfn.LET(_xlpm.x,'Diversion and Disposal'!J97,IF(OR(LEN(_xlpm.x)&lt;1,_xlpm.x=0),"",_xlpm.x))</f>
        <v/>
      </c>
      <c r="K101" s="514" t="str">
        <f>_xlfn.LET(_xlpm.x,'Diversion and Disposal'!K97,IF(OR(LEN(_xlpm.x)&lt;1,_xlpm.x=0),"",_xlpm.x))</f>
        <v/>
      </c>
      <c r="L101" s="514" t="str">
        <f>_xlfn.LET(_xlpm.x,'Diversion and Disposal'!L97,IF(OR(LEN(_xlpm.x)&lt;1,_xlpm.x=0),"",_xlpm.x))</f>
        <v/>
      </c>
      <c r="M101" s="514" t="str">
        <f>_xlfn.LET(_xlpm.x,'Diversion and Disposal'!M97,IF(OR(LEN(_xlpm.x)&lt;1,_xlpm.x=0),"",_xlpm.x))</f>
        <v/>
      </c>
      <c r="N101" s="514" t="str">
        <f>_xlfn.LET(_xlpm.x,'Diversion and Disposal'!N97,IF(OR(LEN(_xlpm.x)&lt;1,_xlpm.x=0),"",_xlpm.x))</f>
        <v/>
      </c>
      <c r="O101" s="514" t="str">
        <f>_xlfn.LET(_xlpm.x,'Diversion and Disposal'!O97,IF(OR(LEN(_xlpm.x)&lt;1,_xlpm.x=0),"",_xlpm.x))</f>
        <v/>
      </c>
      <c r="P101" s="514" t="str">
        <f>_xlfn.LET(_xlpm.x,'Diversion and Disposal'!P97,IF(OR(LEN(_xlpm.x)&lt;1,_xlpm.x=0),"",_xlpm.x))</f>
        <v/>
      </c>
      <c r="Q101" s="514" t="str">
        <f>_xlfn.LET(_xlpm.x,'Diversion and Disposal'!Q97,IF(OR(LEN(_xlpm.x)&lt;1,_xlpm.x=0),"",_xlpm.x))</f>
        <v/>
      </c>
      <c r="R101" s="514" t="str">
        <f>_xlfn.LET(_xlpm.x,'Diversion and Disposal'!R97,IF(OR(LEN(_xlpm.x)&lt;1,_xlpm.x=0),"",_xlpm.x))</f>
        <v/>
      </c>
      <c r="S101" s="514" t="str">
        <f>_xlfn.LET(_xlpm.x,'Diversion and Disposal'!S97,IF(OR(LEN(_xlpm.x)&lt;1,_xlpm.x=0),"",_xlpm.x))</f>
        <v/>
      </c>
      <c r="T101" s="513">
        <f t="shared" si="96"/>
        <v>0</v>
      </c>
      <c r="BB101" s="432" t="str">
        <f t="shared" si="60"/>
        <v/>
      </c>
      <c r="BC101" s="432" t="str">
        <f t="shared" si="61"/>
        <v/>
      </c>
      <c r="BD101" s="432" t="str">
        <f t="shared" si="62"/>
        <v/>
      </c>
      <c r="BE101" s="432" t="str">
        <f t="shared" si="63"/>
        <v/>
      </c>
      <c r="BF101" s="432" t="str">
        <f t="shared" si="64"/>
        <v/>
      </c>
      <c r="BG101" s="477" t="str">
        <f t="shared" si="65"/>
        <v/>
      </c>
      <c r="BH101" s="477" t="str">
        <f t="shared" si="66"/>
        <v/>
      </c>
      <c r="BI101" s="477" t="str">
        <f t="shared" si="67"/>
        <v/>
      </c>
      <c r="BJ101" s="477" t="str">
        <f t="shared" si="68"/>
        <v/>
      </c>
      <c r="BK101" s="477" t="str">
        <f t="shared" si="69"/>
        <v/>
      </c>
      <c r="BL101" s="477" t="str">
        <f t="shared" si="70"/>
        <v/>
      </c>
      <c r="BM101" s="477" t="str">
        <f t="shared" si="71"/>
        <v/>
      </c>
      <c r="BN101" s="477" t="str">
        <f t="shared" si="72"/>
        <v/>
      </c>
      <c r="BO101" s="477" t="str">
        <f t="shared" si="73"/>
        <v/>
      </c>
      <c r="BP101" s="477" t="str">
        <f t="shared" si="74"/>
        <v/>
      </c>
      <c r="BQ101" s="477" t="str">
        <f t="shared" si="75"/>
        <v/>
      </c>
      <c r="BR101" s="477" t="str">
        <f t="shared" si="76"/>
        <v/>
      </c>
      <c r="BS101" s="477" t="str">
        <f t="shared" si="77"/>
        <v/>
      </c>
      <c r="BT101" s="435">
        <f t="shared" si="78"/>
        <v>0</v>
      </c>
      <c r="BU101" s="434" t="str">
        <f t="shared" si="79"/>
        <v/>
      </c>
      <c r="BV101" s="479" t="str">
        <f t="shared" si="91"/>
        <v/>
      </c>
      <c r="BW101" s="479" t="str">
        <f t="shared" si="80"/>
        <v/>
      </c>
      <c r="BX101" s="479" t="str">
        <f t="shared" si="81"/>
        <v/>
      </c>
      <c r="BY101" s="479" t="str">
        <f t="shared" si="82"/>
        <v/>
      </c>
      <c r="BZ101" s="479" t="str">
        <f t="shared" si="83"/>
        <v/>
      </c>
      <c r="CA101" s="479" t="str">
        <f t="shared" si="84"/>
        <v/>
      </c>
      <c r="CB101" s="479" t="str">
        <f t="shared" si="85"/>
        <v/>
      </c>
      <c r="CC101" s="479" t="str">
        <f t="shared" si="86"/>
        <v/>
      </c>
      <c r="CD101" s="479" t="str">
        <f t="shared" si="87"/>
        <v/>
      </c>
      <c r="CE101" s="479" t="str">
        <f t="shared" si="88"/>
        <v/>
      </c>
      <c r="CF101" s="479" t="str">
        <f t="shared" si="89"/>
        <v/>
      </c>
      <c r="CG101" s="479" t="str">
        <f t="shared" si="90"/>
        <v/>
      </c>
      <c r="CH101" s="480">
        <f t="shared" si="92"/>
        <v>0</v>
      </c>
      <c r="DD101" s="497" cm="1">
        <f t="array" ref="DD101">_xlfn.IFS('Project Inputs'!$F$150&lt;&gt;"Yes",0,DE101=18,0,DE101&lt;&gt;18,SUM(DF101:DG101))</f>
        <v>0</v>
      </c>
      <c r="DE101" s="31">
        <f t="shared" si="93"/>
        <v>18</v>
      </c>
      <c r="DF101" s="31">
        <f t="shared" si="94"/>
        <v>0</v>
      </c>
      <c r="DG101" s="31">
        <f t="shared" si="95"/>
        <v>0</v>
      </c>
    </row>
    <row r="102" spans="1:111" hidden="1" outlineLevel="1">
      <c r="A102" s="22" t="str">
        <f t="shared" si="59"/>
        <v/>
      </c>
      <c r="B102" s="474" t="str">
        <f>_xlfn.LET(_xlpm.x,'Diversion and Disposal'!D98,IF(OR(LEN(_xlpm.x)&lt;1,_xlpm.x=0),"",_xlpm.x))</f>
        <v/>
      </c>
      <c r="C102" s="475" t="str">
        <f>_xlfn.LET(_xlpm.x,'Diversion and Disposal'!E98,IF(OR(LEN(_xlpm.x)&lt;1,_xlpm.x=0),"",_xlpm.x))</f>
        <v/>
      </c>
      <c r="D102" s="475" t="str">
        <f>_xlfn.LET(_xlpm.x,'Diversion and Disposal'!F98,IF(OR(LEN(_xlpm.x)&lt;1,_xlpm.x=0),"",_xlpm.x))</f>
        <v/>
      </c>
      <c r="E102" s="475" t="str">
        <f>_xlfn.LET(_xlpm.x,'Diversion and Disposal'!G98,IF(OR(LEN(_xlpm.x)&lt;1,_xlpm.x=0),"",_xlpm.x))</f>
        <v/>
      </c>
      <c r="F102" s="407"/>
      <c r="G102" s="511"/>
      <c r="H102" s="514" t="str">
        <f>_xlfn.LET(_xlpm.x,'Diversion and Disposal'!H98,IF(OR(LEN(_xlpm.x)&lt;1,_xlpm.x=0),"",_xlpm.x))</f>
        <v/>
      </c>
      <c r="I102" s="514" t="str">
        <f>_xlfn.LET(_xlpm.x,'Diversion and Disposal'!I98,IF(OR(LEN(_xlpm.x)&lt;1,_xlpm.x=0),"",_xlpm.x))</f>
        <v/>
      </c>
      <c r="J102" s="514" t="str">
        <f>_xlfn.LET(_xlpm.x,'Diversion and Disposal'!J98,IF(OR(LEN(_xlpm.x)&lt;1,_xlpm.x=0),"",_xlpm.x))</f>
        <v/>
      </c>
      <c r="K102" s="514" t="str">
        <f>_xlfn.LET(_xlpm.x,'Diversion and Disposal'!K98,IF(OR(LEN(_xlpm.x)&lt;1,_xlpm.x=0),"",_xlpm.x))</f>
        <v/>
      </c>
      <c r="L102" s="514" t="str">
        <f>_xlfn.LET(_xlpm.x,'Diversion and Disposal'!L98,IF(OR(LEN(_xlpm.x)&lt;1,_xlpm.x=0),"",_xlpm.x))</f>
        <v/>
      </c>
      <c r="M102" s="514" t="str">
        <f>_xlfn.LET(_xlpm.x,'Diversion and Disposal'!M98,IF(OR(LEN(_xlpm.x)&lt;1,_xlpm.x=0),"",_xlpm.x))</f>
        <v/>
      </c>
      <c r="N102" s="514" t="str">
        <f>_xlfn.LET(_xlpm.x,'Diversion and Disposal'!N98,IF(OR(LEN(_xlpm.x)&lt;1,_xlpm.x=0),"",_xlpm.x))</f>
        <v/>
      </c>
      <c r="O102" s="514" t="str">
        <f>_xlfn.LET(_xlpm.x,'Diversion and Disposal'!O98,IF(OR(LEN(_xlpm.x)&lt;1,_xlpm.x=0),"",_xlpm.x))</f>
        <v/>
      </c>
      <c r="P102" s="514" t="str">
        <f>_xlfn.LET(_xlpm.x,'Diversion and Disposal'!P98,IF(OR(LEN(_xlpm.x)&lt;1,_xlpm.x=0),"",_xlpm.x))</f>
        <v/>
      </c>
      <c r="Q102" s="514" t="str">
        <f>_xlfn.LET(_xlpm.x,'Diversion and Disposal'!Q98,IF(OR(LEN(_xlpm.x)&lt;1,_xlpm.x=0),"",_xlpm.x))</f>
        <v/>
      </c>
      <c r="R102" s="514" t="str">
        <f>_xlfn.LET(_xlpm.x,'Diversion and Disposal'!R98,IF(OR(LEN(_xlpm.x)&lt;1,_xlpm.x=0),"",_xlpm.x))</f>
        <v/>
      </c>
      <c r="S102" s="514" t="str">
        <f>_xlfn.LET(_xlpm.x,'Diversion and Disposal'!S98,IF(OR(LEN(_xlpm.x)&lt;1,_xlpm.x=0),"",_xlpm.x))</f>
        <v/>
      </c>
      <c r="T102" s="513">
        <f t="shared" si="96"/>
        <v>0</v>
      </c>
      <c r="BB102" s="432" t="str">
        <f t="shared" si="60"/>
        <v/>
      </c>
      <c r="BC102" s="432" t="str">
        <f t="shared" si="61"/>
        <v/>
      </c>
      <c r="BD102" s="432" t="str">
        <f t="shared" si="62"/>
        <v/>
      </c>
      <c r="BE102" s="432" t="str">
        <f t="shared" si="63"/>
        <v/>
      </c>
      <c r="BF102" s="432" t="str">
        <f t="shared" si="64"/>
        <v/>
      </c>
      <c r="BG102" s="477" t="str">
        <f t="shared" si="65"/>
        <v/>
      </c>
      <c r="BH102" s="477" t="str">
        <f t="shared" si="66"/>
        <v/>
      </c>
      <c r="BI102" s="477" t="str">
        <f t="shared" si="67"/>
        <v/>
      </c>
      <c r="BJ102" s="477" t="str">
        <f t="shared" si="68"/>
        <v/>
      </c>
      <c r="BK102" s="477" t="str">
        <f t="shared" si="69"/>
        <v/>
      </c>
      <c r="BL102" s="477" t="str">
        <f t="shared" si="70"/>
        <v/>
      </c>
      <c r="BM102" s="477" t="str">
        <f t="shared" si="71"/>
        <v/>
      </c>
      <c r="BN102" s="477" t="str">
        <f t="shared" si="72"/>
        <v/>
      </c>
      <c r="BO102" s="477" t="str">
        <f t="shared" si="73"/>
        <v/>
      </c>
      <c r="BP102" s="477" t="str">
        <f t="shared" si="74"/>
        <v/>
      </c>
      <c r="BQ102" s="477" t="str">
        <f t="shared" si="75"/>
        <v/>
      </c>
      <c r="BR102" s="477" t="str">
        <f t="shared" si="76"/>
        <v/>
      </c>
      <c r="BS102" s="477" t="str">
        <f t="shared" si="77"/>
        <v/>
      </c>
      <c r="BT102" s="435">
        <f t="shared" si="78"/>
        <v>0</v>
      </c>
      <c r="BU102" s="434" t="str">
        <f t="shared" si="79"/>
        <v/>
      </c>
      <c r="BV102" s="479" t="str">
        <f t="shared" si="91"/>
        <v/>
      </c>
      <c r="BW102" s="479" t="str">
        <f t="shared" si="80"/>
        <v/>
      </c>
      <c r="BX102" s="479" t="str">
        <f t="shared" si="81"/>
        <v/>
      </c>
      <c r="BY102" s="479" t="str">
        <f t="shared" si="82"/>
        <v/>
      </c>
      <c r="BZ102" s="479" t="str">
        <f t="shared" si="83"/>
        <v/>
      </c>
      <c r="CA102" s="479" t="str">
        <f t="shared" si="84"/>
        <v/>
      </c>
      <c r="CB102" s="479" t="str">
        <f t="shared" si="85"/>
        <v/>
      </c>
      <c r="CC102" s="479" t="str">
        <f t="shared" si="86"/>
        <v/>
      </c>
      <c r="CD102" s="479" t="str">
        <f t="shared" si="87"/>
        <v/>
      </c>
      <c r="CE102" s="479" t="str">
        <f t="shared" si="88"/>
        <v/>
      </c>
      <c r="CF102" s="479" t="str">
        <f t="shared" si="89"/>
        <v/>
      </c>
      <c r="CG102" s="479" t="str">
        <f t="shared" si="90"/>
        <v/>
      </c>
      <c r="CH102" s="480">
        <f t="shared" si="92"/>
        <v>0</v>
      </c>
      <c r="DD102" s="497" cm="1">
        <f t="array" ref="DD102">_xlfn.IFS('Project Inputs'!$F$150&lt;&gt;"Yes",0,DE102=18,0,DE102&lt;&gt;18,SUM(DF102:DG102))</f>
        <v>0</v>
      </c>
      <c r="DE102" s="31">
        <f t="shared" si="93"/>
        <v>18</v>
      </c>
      <c r="DF102" s="31">
        <f t="shared" si="94"/>
        <v>0</v>
      </c>
      <c r="DG102" s="31">
        <f t="shared" si="95"/>
        <v>0</v>
      </c>
    </row>
    <row r="103" spans="1:111" hidden="1" outlineLevel="1">
      <c r="A103" s="22" t="str">
        <f t="shared" si="59"/>
        <v/>
      </c>
      <c r="B103" s="474" t="str">
        <f>_xlfn.LET(_xlpm.x,'Diversion and Disposal'!D99,IF(OR(LEN(_xlpm.x)&lt;1,_xlpm.x=0),"",_xlpm.x))</f>
        <v/>
      </c>
      <c r="C103" s="475" t="str">
        <f>_xlfn.LET(_xlpm.x,'Diversion and Disposal'!E99,IF(OR(LEN(_xlpm.x)&lt;1,_xlpm.x=0),"",_xlpm.x))</f>
        <v/>
      </c>
      <c r="D103" s="475" t="str">
        <f>_xlfn.LET(_xlpm.x,'Diversion and Disposal'!F99,IF(OR(LEN(_xlpm.x)&lt;1,_xlpm.x=0),"",_xlpm.x))</f>
        <v/>
      </c>
      <c r="E103" s="475" t="str">
        <f>_xlfn.LET(_xlpm.x,'Diversion and Disposal'!G99,IF(OR(LEN(_xlpm.x)&lt;1,_xlpm.x=0),"",_xlpm.x))</f>
        <v/>
      </c>
      <c r="F103" s="407"/>
      <c r="G103" s="511"/>
      <c r="H103" s="514" t="str">
        <f>_xlfn.LET(_xlpm.x,'Diversion and Disposal'!H99,IF(OR(LEN(_xlpm.x)&lt;1,_xlpm.x=0),"",_xlpm.x))</f>
        <v/>
      </c>
      <c r="I103" s="514" t="str">
        <f>_xlfn.LET(_xlpm.x,'Diversion and Disposal'!I99,IF(OR(LEN(_xlpm.x)&lt;1,_xlpm.x=0),"",_xlpm.x))</f>
        <v/>
      </c>
      <c r="J103" s="514" t="str">
        <f>_xlfn.LET(_xlpm.x,'Diversion and Disposal'!J99,IF(OR(LEN(_xlpm.x)&lt;1,_xlpm.x=0),"",_xlpm.x))</f>
        <v/>
      </c>
      <c r="K103" s="514" t="str">
        <f>_xlfn.LET(_xlpm.x,'Diversion and Disposal'!K99,IF(OR(LEN(_xlpm.x)&lt;1,_xlpm.x=0),"",_xlpm.x))</f>
        <v/>
      </c>
      <c r="L103" s="514" t="str">
        <f>_xlfn.LET(_xlpm.x,'Diversion and Disposal'!L99,IF(OR(LEN(_xlpm.x)&lt;1,_xlpm.x=0),"",_xlpm.x))</f>
        <v/>
      </c>
      <c r="M103" s="514" t="str">
        <f>_xlfn.LET(_xlpm.x,'Diversion and Disposal'!M99,IF(OR(LEN(_xlpm.x)&lt;1,_xlpm.x=0),"",_xlpm.x))</f>
        <v/>
      </c>
      <c r="N103" s="514" t="str">
        <f>_xlfn.LET(_xlpm.x,'Diversion and Disposal'!N99,IF(OR(LEN(_xlpm.x)&lt;1,_xlpm.x=0),"",_xlpm.x))</f>
        <v/>
      </c>
      <c r="O103" s="514" t="str">
        <f>_xlfn.LET(_xlpm.x,'Diversion and Disposal'!O99,IF(OR(LEN(_xlpm.x)&lt;1,_xlpm.x=0),"",_xlpm.x))</f>
        <v/>
      </c>
      <c r="P103" s="514" t="str">
        <f>_xlfn.LET(_xlpm.x,'Diversion and Disposal'!P99,IF(OR(LEN(_xlpm.x)&lt;1,_xlpm.x=0),"",_xlpm.x))</f>
        <v/>
      </c>
      <c r="Q103" s="514" t="str">
        <f>_xlfn.LET(_xlpm.x,'Diversion and Disposal'!Q99,IF(OR(LEN(_xlpm.x)&lt;1,_xlpm.x=0),"",_xlpm.x))</f>
        <v/>
      </c>
      <c r="R103" s="514" t="str">
        <f>_xlfn.LET(_xlpm.x,'Diversion and Disposal'!R99,IF(OR(LEN(_xlpm.x)&lt;1,_xlpm.x=0),"",_xlpm.x))</f>
        <v/>
      </c>
      <c r="S103" s="514" t="str">
        <f>_xlfn.LET(_xlpm.x,'Diversion and Disposal'!S99,IF(OR(LEN(_xlpm.x)&lt;1,_xlpm.x=0),"",_xlpm.x))</f>
        <v/>
      </c>
      <c r="T103" s="513">
        <f t="shared" si="96"/>
        <v>0</v>
      </c>
      <c r="BB103" s="432" t="str">
        <f t="shared" si="60"/>
        <v/>
      </c>
      <c r="BC103" s="432" t="str">
        <f t="shared" si="61"/>
        <v/>
      </c>
      <c r="BD103" s="432" t="str">
        <f t="shared" si="62"/>
        <v/>
      </c>
      <c r="BE103" s="432" t="str">
        <f t="shared" si="63"/>
        <v/>
      </c>
      <c r="BF103" s="432" t="str">
        <f t="shared" si="64"/>
        <v/>
      </c>
      <c r="BG103" s="477" t="str">
        <f t="shared" si="65"/>
        <v/>
      </c>
      <c r="BH103" s="477" t="str">
        <f t="shared" si="66"/>
        <v/>
      </c>
      <c r="BI103" s="477" t="str">
        <f t="shared" si="67"/>
        <v/>
      </c>
      <c r="BJ103" s="477" t="str">
        <f t="shared" si="68"/>
        <v/>
      </c>
      <c r="BK103" s="477" t="str">
        <f t="shared" si="69"/>
        <v/>
      </c>
      <c r="BL103" s="477" t="str">
        <f t="shared" si="70"/>
        <v/>
      </c>
      <c r="BM103" s="477" t="str">
        <f t="shared" si="71"/>
        <v/>
      </c>
      <c r="BN103" s="477" t="str">
        <f t="shared" si="72"/>
        <v/>
      </c>
      <c r="BO103" s="477" t="str">
        <f t="shared" si="73"/>
        <v/>
      </c>
      <c r="BP103" s="477" t="str">
        <f t="shared" si="74"/>
        <v/>
      </c>
      <c r="BQ103" s="477" t="str">
        <f t="shared" si="75"/>
        <v/>
      </c>
      <c r="BR103" s="477" t="str">
        <f t="shared" si="76"/>
        <v/>
      </c>
      <c r="BS103" s="477" t="str">
        <f t="shared" si="77"/>
        <v/>
      </c>
      <c r="BT103" s="435">
        <f t="shared" si="78"/>
        <v>0</v>
      </c>
      <c r="BU103" s="434" t="str">
        <f t="shared" si="79"/>
        <v/>
      </c>
      <c r="BV103" s="479" t="str">
        <f t="shared" si="91"/>
        <v/>
      </c>
      <c r="BW103" s="479" t="str">
        <f t="shared" si="80"/>
        <v/>
      </c>
      <c r="BX103" s="479" t="str">
        <f t="shared" si="81"/>
        <v/>
      </c>
      <c r="BY103" s="479" t="str">
        <f t="shared" si="82"/>
        <v/>
      </c>
      <c r="BZ103" s="479" t="str">
        <f t="shared" si="83"/>
        <v/>
      </c>
      <c r="CA103" s="479" t="str">
        <f t="shared" si="84"/>
        <v/>
      </c>
      <c r="CB103" s="479" t="str">
        <f t="shared" si="85"/>
        <v/>
      </c>
      <c r="CC103" s="479" t="str">
        <f t="shared" si="86"/>
        <v/>
      </c>
      <c r="CD103" s="479" t="str">
        <f t="shared" si="87"/>
        <v/>
      </c>
      <c r="CE103" s="479" t="str">
        <f t="shared" si="88"/>
        <v/>
      </c>
      <c r="CF103" s="479" t="str">
        <f t="shared" si="89"/>
        <v/>
      </c>
      <c r="CG103" s="479" t="str">
        <f t="shared" si="90"/>
        <v/>
      </c>
      <c r="CH103" s="480">
        <f t="shared" si="92"/>
        <v>0</v>
      </c>
      <c r="DD103" s="497" cm="1">
        <f t="array" ref="DD103">_xlfn.IFS('Project Inputs'!$F$150&lt;&gt;"Yes",0,DE103=18,0,DE103&lt;&gt;18,SUM(DF103:DG103))</f>
        <v>0</v>
      </c>
      <c r="DE103" s="31">
        <f t="shared" si="93"/>
        <v>18</v>
      </c>
      <c r="DF103" s="31">
        <f t="shared" si="94"/>
        <v>0</v>
      </c>
      <c r="DG103" s="31">
        <f t="shared" si="95"/>
        <v>0</v>
      </c>
    </row>
    <row r="104" spans="1:111" hidden="1" outlineLevel="1">
      <c r="A104" s="22" t="str">
        <f t="shared" si="59"/>
        <v/>
      </c>
      <c r="B104" s="474" t="str">
        <f>_xlfn.LET(_xlpm.x,'Diversion and Disposal'!D100,IF(OR(LEN(_xlpm.x)&lt;1,_xlpm.x=0),"",_xlpm.x))</f>
        <v/>
      </c>
      <c r="C104" s="475" t="str">
        <f>_xlfn.LET(_xlpm.x,'Diversion and Disposal'!E100,IF(OR(LEN(_xlpm.x)&lt;1,_xlpm.x=0),"",_xlpm.x))</f>
        <v/>
      </c>
      <c r="D104" s="475" t="str">
        <f>_xlfn.LET(_xlpm.x,'Diversion and Disposal'!F100,IF(OR(LEN(_xlpm.x)&lt;1,_xlpm.x=0),"",_xlpm.x))</f>
        <v/>
      </c>
      <c r="E104" s="475" t="str">
        <f>_xlfn.LET(_xlpm.x,'Diversion and Disposal'!G100,IF(OR(LEN(_xlpm.x)&lt;1,_xlpm.x=0),"",_xlpm.x))</f>
        <v/>
      </c>
      <c r="F104" s="407"/>
      <c r="G104" s="511"/>
      <c r="H104" s="514" t="str">
        <f>_xlfn.LET(_xlpm.x,'Diversion and Disposal'!H100,IF(OR(LEN(_xlpm.x)&lt;1,_xlpm.x=0),"",_xlpm.x))</f>
        <v/>
      </c>
      <c r="I104" s="514" t="str">
        <f>_xlfn.LET(_xlpm.x,'Diversion and Disposal'!I100,IF(OR(LEN(_xlpm.x)&lt;1,_xlpm.x=0),"",_xlpm.x))</f>
        <v/>
      </c>
      <c r="J104" s="514" t="str">
        <f>_xlfn.LET(_xlpm.x,'Diversion and Disposal'!J100,IF(OR(LEN(_xlpm.x)&lt;1,_xlpm.x=0),"",_xlpm.x))</f>
        <v/>
      </c>
      <c r="K104" s="514" t="str">
        <f>_xlfn.LET(_xlpm.x,'Diversion and Disposal'!K100,IF(OR(LEN(_xlpm.x)&lt;1,_xlpm.x=0),"",_xlpm.x))</f>
        <v/>
      </c>
      <c r="L104" s="514" t="str">
        <f>_xlfn.LET(_xlpm.x,'Diversion and Disposal'!L100,IF(OR(LEN(_xlpm.x)&lt;1,_xlpm.x=0),"",_xlpm.x))</f>
        <v/>
      </c>
      <c r="M104" s="514" t="str">
        <f>_xlfn.LET(_xlpm.x,'Diversion and Disposal'!M100,IF(OR(LEN(_xlpm.x)&lt;1,_xlpm.x=0),"",_xlpm.x))</f>
        <v/>
      </c>
      <c r="N104" s="514" t="str">
        <f>_xlfn.LET(_xlpm.x,'Diversion and Disposal'!N100,IF(OR(LEN(_xlpm.x)&lt;1,_xlpm.x=0),"",_xlpm.x))</f>
        <v/>
      </c>
      <c r="O104" s="514" t="str">
        <f>_xlfn.LET(_xlpm.x,'Diversion and Disposal'!O100,IF(OR(LEN(_xlpm.x)&lt;1,_xlpm.x=0),"",_xlpm.x))</f>
        <v/>
      </c>
      <c r="P104" s="514" t="str">
        <f>_xlfn.LET(_xlpm.x,'Diversion and Disposal'!P100,IF(OR(LEN(_xlpm.x)&lt;1,_xlpm.x=0),"",_xlpm.x))</f>
        <v/>
      </c>
      <c r="Q104" s="514" t="str">
        <f>_xlfn.LET(_xlpm.x,'Diversion and Disposal'!Q100,IF(OR(LEN(_xlpm.x)&lt;1,_xlpm.x=0),"",_xlpm.x))</f>
        <v/>
      </c>
      <c r="R104" s="514" t="str">
        <f>_xlfn.LET(_xlpm.x,'Diversion and Disposal'!R100,IF(OR(LEN(_xlpm.x)&lt;1,_xlpm.x=0),"",_xlpm.x))</f>
        <v/>
      </c>
      <c r="S104" s="514" t="str">
        <f>_xlfn.LET(_xlpm.x,'Diversion and Disposal'!S100,IF(OR(LEN(_xlpm.x)&lt;1,_xlpm.x=0),"",_xlpm.x))</f>
        <v/>
      </c>
      <c r="T104" s="513">
        <f t="shared" si="96"/>
        <v>0</v>
      </c>
      <c r="BB104" s="432" t="str">
        <f t="shared" si="60"/>
        <v/>
      </c>
      <c r="BC104" s="432" t="str">
        <f t="shared" si="61"/>
        <v/>
      </c>
      <c r="BD104" s="432" t="str">
        <f t="shared" si="62"/>
        <v/>
      </c>
      <c r="BE104" s="432" t="str">
        <f t="shared" si="63"/>
        <v/>
      </c>
      <c r="BF104" s="432" t="str">
        <f t="shared" si="64"/>
        <v/>
      </c>
      <c r="BG104" s="477" t="str">
        <f t="shared" si="65"/>
        <v/>
      </c>
      <c r="BH104" s="477" t="str">
        <f t="shared" si="66"/>
        <v/>
      </c>
      <c r="BI104" s="477" t="str">
        <f t="shared" si="67"/>
        <v/>
      </c>
      <c r="BJ104" s="477" t="str">
        <f t="shared" si="68"/>
        <v/>
      </c>
      <c r="BK104" s="477" t="str">
        <f t="shared" si="69"/>
        <v/>
      </c>
      <c r="BL104" s="477" t="str">
        <f t="shared" si="70"/>
        <v/>
      </c>
      <c r="BM104" s="477" t="str">
        <f t="shared" si="71"/>
        <v/>
      </c>
      <c r="BN104" s="477" t="str">
        <f t="shared" si="72"/>
        <v/>
      </c>
      <c r="BO104" s="477" t="str">
        <f t="shared" si="73"/>
        <v/>
      </c>
      <c r="BP104" s="477" t="str">
        <f t="shared" si="74"/>
        <v/>
      </c>
      <c r="BQ104" s="477" t="str">
        <f t="shared" si="75"/>
        <v/>
      </c>
      <c r="BR104" s="477" t="str">
        <f t="shared" si="76"/>
        <v/>
      </c>
      <c r="BS104" s="477" t="str">
        <f t="shared" si="77"/>
        <v/>
      </c>
      <c r="BT104" s="435">
        <f t="shared" ref="BT104:BT111" si="97">SUM(BH88:BS104)</f>
        <v>0</v>
      </c>
      <c r="BU104" s="434" t="str">
        <f t="shared" si="79"/>
        <v/>
      </c>
      <c r="BV104" s="479" t="str">
        <f t="shared" ref="BV104:BV111" si="98">IFERROR($BU104*BH88*$BG104,"")</f>
        <v/>
      </c>
      <c r="BW104" s="479" t="str">
        <f t="shared" si="80"/>
        <v/>
      </c>
      <c r="BX104" s="479" t="str">
        <f t="shared" si="81"/>
        <v/>
      </c>
      <c r="BY104" s="479" t="str">
        <f t="shared" si="82"/>
        <v/>
      </c>
      <c r="BZ104" s="479" t="str">
        <f t="shared" si="83"/>
        <v/>
      </c>
      <c r="CA104" s="479" t="str">
        <f t="shared" si="84"/>
        <v/>
      </c>
      <c r="CB104" s="479" t="str">
        <f t="shared" si="85"/>
        <v/>
      </c>
      <c r="CC104" s="479" t="str">
        <f t="shared" si="86"/>
        <v/>
      </c>
      <c r="CD104" s="479" t="str">
        <f t="shared" si="87"/>
        <v/>
      </c>
      <c r="CE104" s="479" t="str">
        <f t="shared" si="88"/>
        <v/>
      </c>
      <c r="CF104" s="479" t="str">
        <f t="shared" si="89"/>
        <v/>
      </c>
      <c r="CG104" s="479" t="str">
        <f t="shared" si="90"/>
        <v/>
      </c>
      <c r="CH104" s="480">
        <f t="shared" si="92"/>
        <v>0</v>
      </c>
      <c r="DD104" s="497" cm="1">
        <f t="array" ref="DD104">_xlfn.IFS('Project Inputs'!$F$150&lt;&gt;"Yes",0,DE104=18,0,DE104&lt;&gt;18,SUM(DF104:DG104))</f>
        <v>0</v>
      </c>
      <c r="DE104" s="31">
        <f t="shared" si="93"/>
        <v>18</v>
      </c>
      <c r="DF104" s="31">
        <f t="shared" si="94"/>
        <v>0</v>
      </c>
      <c r="DG104" s="31">
        <f t="shared" si="95"/>
        <v>0</v>
      </c>
    </row>
    <row r="105" spans="1:111" hidden="1" outlineLevel="1">
      <c r="A105" s="22" t="str">
        <f t="shared" si="59"/>
        <v/>
      </c>
      <c r="B105" s="474" t="str">
        <f>_xlfn.LET(_xlpm.x,'Diversion and Disposal'!D101,IF(OR(LEN(_xlpm.x)&lt;1,_xlpm.x=0),"",_xlpm.x))</f>
        <v/>
      </c>
      <c r="C105" s="475" t="str">
        <f>_xlfn.LET(_xlpm.x,'Diversion and Disposal'!E101,IF(OR(LEN(_xlpm.x)&lt;1,_xlpm.x=0),"",_xlpm.x))</f>
        <v/>
      </c>
      <c r="D105" s="475" t="str">
        <f>_xlfn.LET(_xlpm.x,'Diversion and Disposal'!F101,IF(OR(LEN(_xlpm.x)&lt;1,_xlpm.x=0),"",_xlpm.x))</f>
        <v/>
      </c>
      <c r="E105" s="475" t="str">
        <f>_xlfn.LET(_xlpm.x,'Diversion and Disposal'!G101,IF(OR(LEN(_xlpm.x)&lt;1,_xlpm.x=0),"",_xlpm.x))</f>
        <v/>
      </c>
      <c r="F105" s="407"/>
      <c r="G105" s="511"/>
      <c r="H105" s="514" t="str">
        <f>_xlfn.LET(_xlpm.x,'Diversion and Disposal'!H101,IF(OR(LEN(_xlpm.x)&lt;1,_xlpm.x=0),"",_xlpm.x))</f>
        <v/>
      </c>
      <c r="I105" s="514" t="str">
        <f>_xlfn.LET(_xlpm.x,'Diversion and Disposal'!I101,IF(OR(LEN(_xlpm.x)&lt;1,_xlpm.x=0),"",_xlpm.x))</f>
        <v/>
      </c>
      <c r="J105" s="514" t="str">
        <f>_xlfn.LET(_xlpm.x,'Diversion and Disposal'!J101,IF(OR(LEN(_xlpm.x)&lt;1,_xlpm.x=0),"",_xlpm.x))</f>
        <v/>
      </c>
      <c r="K105" s="514" t="str">
        <f>_xlfn.LET(_xlpm.x,'Diversion and Disposal'!K101,IF(OR(LEN(_xlpm.x)&lt;1,_xlpm.x=0),"",_xlpm.x))</f>
        <v/>
      </c>
      <c r="L105" s="514" t="str">
        <f>_xlfn.LET(_xlpm.x,'Diversion and Disposal'!L101,IF(OR(LEN(_xlpm.x)&lt;1,_xlpm.x=0),"",_xlpm.x))</f>
        <v/>
      </c>
      <c r="M105" s="514" t="str">
        <f>_xlfn.LET(_xlpm.x,'Diversion and Disposal'!M101,IF(OR(LEN(_xlpm.x)&lt;1,_xlpm.x=0),"",_xlpm.x))</f>
        <v/>
      </c>
      <c r="N105" s="514" t="str">
        <f>_xlfn.LET(_xlpm.x,'Diversion and Disposal'!N101,IF(OR(LEN(_xlpm.x)&lt;1,_xlpm.x=0),"",_xlpm.x))</f>
        <v/>
      </c>
      <c r="O105" s="514" t="str">
        <f>_xlfn.LET(_xlpm.x,'Diversion and Disposal'!O101,IF(OR(LEN(_xlpm.x)&lt;1,_xlpm.x=0),"",_xlpm.x))</f>
        <v/>
      </c>
      <c r="P105" s="514" t="str">
        <f>_xlfn.LET(_xlpm.x,'Diversion and Disposal'!P101,IF(OR(LEN(_xlpm.x)&lt;1,_xlpm.x=0),"",_xlpm.x))</f>
        <v/>
      </c>
      <c r="Q105" s="514" t="str">
        <f>_xlfn.LET(_xlpm.x,'Diversion and Disposal'!Q101,IF(OR(LEN(_xlpm.x)&lt;1,_xlpm.x=0),"",_xlpm.x))</f>
        <v/>
      </c>
      <c r="R105" s="514" t="str">
        <f>_xlfn.LET(_xlpm.x,'Diversion and Disposal'!R101,IF(OR(LEN(_xlpm.x)&lt;1,_xlpm.x=0),"",_xlpm.x))</f>
        <v/>
      </c>
      <c r="S105" s="514" t="str">
        <f>_xlfn.LET(_xlpm.x,'Diversion and Disposal'!S101,IF(OR(LEN(_xlpm.x)&lt;1,_xlpm.x=0),"",_xlpm.x))</f>
        <v/>
      </c>
      <c r="T105" s="513">
        <f t="shared" si="96"/>
        <v>0</v>
      </c>
      <c r="BB105" s="432" t="str">
        <f t="shared" si="60"/>
        <v/>
      </c>
      <c r="BC105" s="432" t="str">
        <f t="shared" si="61"/>
        <v/>
      </c>
      <c r="BD105" s="432" t="str">
        <f t="shared" si="62"/>
        <v/>
      </c>
      <c r="BE105" s="432" t="str">
        <f t="shared" si="63"/>
        <v/>
      </c>
      <c r="BF105" s="432" t="str">
        <f t="shared" si="64"/>
        <v/>
      </c>
      <c r="BG105" s="477" t="str">
        <f t="shared" si="65"/>
        <v/>
      </c>
      <c r="BH105" s="477" t="str">
        <f t="shared" si="66"/>
        <v/>
      </c>
      <c r="BI105" s="477" t="str">
        <f t="shared" si="67"/>
        <v/>
      </c>
      <c r="BJ105" s="477" t="str">
        <f t="shared" si="68"/>
        <v/>
      </c>
      <c r="BK105" s="477" t="str">
        <f t="shared" si="69"/>
        <v/>
      </c>
      <c r="BL105" s="477" t="str">
        <f t="shared" si="70"/>
        <v/>
      </c>
      <c r="BM105" s="477" t="str">
        <f t="shared" si="71"/>
        <v/>
      </c>
      <c r="BN105" s="477" t="str">
        <f t="shared" si="72"/>
        <v/>
      </c>
      <c r="BO105" s="477" t="str">
        <f t="shared" si="73"/>
        <v/>
      </c>
      <c r="BP105" s="477" t="str">
        <f t="shared" si="74"/>
        <v/>
      </c>
      <c r="BQ105" s="477" t="str">
        <f t="shared" si="75"/>
        <v/>
      </c>
      <c r="BR105" s="477" t="str">
        <f t="shared" si="76"/>
        <v/>
      </c>
      <c r="BS105" s="477" t="str">
        <f t="shared" si="77"/>
        <v/>
      </c>
      <c r="BT105" s="435">
        <f t="shared" si="97"/>
        <v>0</v>
      </c>
      <c r="BU105" s="434" t="str">
        <f t="shared" si="79"/>
        <v/>
      </c>
      <c r="BV105" s="479" t="str">
        <f t="shared" si="98"/>
        <v/>
      </c>
      <c r="BW105" s="479" t="str">
        <f t="shared" si="80"/>
        <v/>
      </c>
      <c r="BX105" s="479" t="str">
        <f t="shared" si="81"/>
        <v/>
      </c>
      <c r="BY105" s="479" t="str">
        <f t="shared" si="82"/>
        <v/>
      </c>
      <c r="BZ105" s="479" t="str">
        <f t="shared" si="83"/>
        <v/>
      </c>
      <c r="CA105" s="479" t="str">
        <f t="shared" si="84"/>
        <v/>
      </c>
      <c r="CB105" s="479" t="str">
        <f t="shared" si="85"/>
        <v/>
      </c>
      <c r="CC105" s="479" t="str">
        <f t="shared" si="86"/>
        <v/>
      </c>
      <c r="CD105" s="479" t="str">
        <f t="shared" si="87"/>
        <v/>
      </c>
      <c r="CE105" s="479" t="str">
        <f t="shared" si="88"/>
        <v/>
      </c>
      <c r="CF105" s="479" t="str">
        <f t="shared" si="89"/>
        <v/>
      </c>
      <c r="CG105" s="479" t="str">
        <f t="shared" si="90"/>
        <v/>
      </c>
      <c r="CH105" s="480">
        <f t="shared" si="92"/>
        <v>0</v>
      </c>
      <c r="DD105" s="497" cm="1">
        <f t="array" ref="DD105">_xlfn.IFS('Project Inputs'!$F$150&lt;&gt;"Yes",0,DE105=18,0,DE105&lt;&gt;18,SUM(DF105:DG105))</f>
        <v>0</v>
      </c>
      <c r="DE105" s="31">
        <f t="shared" si="93"/>
        <v>18</v>
      </c>
      <c r="DF105" s="31">
        <f t="shared" si="94"/>
        <v>0</v>
      </c>
      <c r="DG105" s="31">
        <f t="shared" si="95"/>
        <v>0</v>
      </c>
    </row>
    <row r="106" spans="1:111" hidden="1" outlineLevel="1">
      <c r="A106" s="22" t="str">
        <f t="shared" si="59"/>
        <v/>
      </c>
      <c r="B106" s="474" t="str">
        <f>_xlfn.LET(_xlpm.x,'Diversion and Disposal'!D102,IF(OR(LEN(_xlpm.x)&lt;1,_xlpm.x=0),"",_xlpm.x))</f>
        <v/>
      </c>
      <c r="C106" s="475" t="str">
        <f>_xlfn.LET(_xlpm.x,'Diversion and Disposal'!E102,IF(OR(LEN(_xlpm.x)&lt;1,_xlpm.x=0),"",_xlpm.x))</f>
        <v/>
      </c>
      <c r="D106" s="475" t="str">
        <f>_xlfn.LET(_xlpm.x,'Diversion and Disposal'!F102,IF(OR(LEN(_xlpm.x)&lt;1,_xlpm.x=0),"",_xlpm.x))</f>
        <v/>
      </c>
      <c r="E106" s="475" t="str">
        <f>_xlfn.LET(_xlpm.x,'Diversion and Disposal'!G102,IF(OR(LEN(_xlpm.x)&lt;1,_xlpm.x=0),"",_xlpm.x))</f>
        <v/>
      </c>
      <c r="F106" s="407"/>
      <c r="G106" s="511"/>
      <c r="H106" s="514" t="str">
        <f>_xlfn.LET(_xlpm.x,'Diversion and Disposal'!H102,IF(OR(LEN(_xlpm.x)&lt;1,_xlpm.x=0),"",_xlpm.x))</f>
        <v/>
      </c>
      <c r="I106" s="514" t="str">
        <f>_xlfn.LET(_xlpm.x,'Diversion and Disposal'!I102,IF(OR(LEN(_xlpm.x)&lt;1,_xlpm.x=0),"",_xlpm.x))</f>
        <v/>
      </c>
      <c r="J106" s="514" t="str">
        <f>_xlfn.LET(_xlpm.x,'Diversion and Disposal'!J102,IF(OR(LEN(_xlpm.x)&lt;1,_xlpm.x=0),"",_xlpm.x))</f>
        <v/>
      </c>
      <c r="K106" s="514" t="str">
        <f>_xlfn.LET(_xlpm.x,'Diversion and Disposal'!K102,IF(OR(LEN(_xlpm.x)&lt;1,_xlpm.x=0),"",_xlpm.x))</f>
        <v/>
      </c>
      <c r="L106" s="514" t="str">
        <f>_xlfn.LET(_xlpm.x,'Diversion and Disposal'!L102,IF(OR(LEN(_xlpm.x)&lt;1,_xlpm.x=0),"",_xlpm.x))</f>
        <v/>
      </c>
      <c r="M106" s="514" t="str">
        <f>_xlfn.LET(_xlpm.x,'Diversion and Disposal'!M102,IF(OR(LEN(_xlpm.x)&lt;1,_xlpm.x=0),"",_xlpm.x))</f>
        <v/>
      </c>
      <c r="N106" s="514" t="str">
        <f>_xlfn.LET(_xlpm.x,'Diversion and Disposal'!N102,IF(OR(LEN(_xlpm.x)&lt;1,_xlpm.x=0),"",_xlpm.x))</f>
        <v/>
      </c>
      <c r="O106" s="514" t="str">
        <f>_xlfn.LET(_xlpm.x,'Diversion and Disposal'!O102,IF(OR(LEN(_xlpm.x)&lt;1,_xlpm.x=0),"",_xlpm.x))</f>
        <v/>
      </c>
      <c r="P106" s="514" t="str">
        <f>_xlfn.LET(_xlpm.x,'Diversion and Disposal'!P102,IF(OR(LEN(_xlpm.x)&lt;1,_xlpm.x=0),"",_xlpm.x))</f>
        <v/>
      </c>
      <c r="Q106" s="514" t="str">
        <f>_xlfn.LET(_xlpm.x,'Diversion and Disposal'!Q102,IF(OR(LEN(_xlpm.x)&lt;1,_xlpm.x=0),"",_xlpm.x))</f>
        <v/>
      </c>
      <c r="R106" s="514" t="str">
        <f>_xlfn.LET(_xlpm.x,'Diversion and Disposal'!R102,IF(OR(LEN(_xlpm.x)&lt;1,_xlpm.x=0),"",_xlpm.x))</f>
        <v/>
      </c>
      <c r="S106" s="514" t="str">
        <f>_xlfn.LET(_xlpm.x,'Diversion and Disposal'!S102,IF(OR(LEN(_xlpm.x)&lt;1,_xlpm.x=0),"",_xlpm.x))</f>
        <v/>
      </c>
      <c r="T106" s="513">
        <f t="shared" si="96"/>
        <v>0</v>
      </c>
      <c r="BB106" s="432" t="str">
        <f t="shared" si="60"/>
        <v/>
      </c>
      <c r="BC106" s="432" t="str">
        <f t="shared" si="61"/>
        <v/>
      </c>
      <c r="BD106" s="432" t="str">
        <f t="shared" si="62"/>
        <v/>
      </c>
      <c r="BE106" s="432" t="str">
        <f t="shared" si="63"/>
        <v/>
      </c>
      <c r="BF106" s="432" t="str">
        <f t="shared" si="64"/>
        <v/>
      </c>
      <c r="BG106" s="477" t="str">
        <f t="shared" si="65"/>
        <v/>
      </c>
      <c r="BH106" s="477" t="str">
        <f t="shared" si="66"/>
        <v/>
      </c>
      <c r="BI106" s="477" t="str">
        <f t="shared" si="67"/>
        <v/>
      </c>
      <c r="BJ106" s="477" t="str">
        <f t="shared" si="68"/>
        <v/>
      </c>
      <c r="BK106" s="477" t="str">
        <f t="shared" si="69"/>
        <v/>
      </c>
      <c r="BL106" s="477" t="str">
        <f t="shared" si="70"/>
        <v/>
      </c>
      <c r="BM106" s="477" t="str">
        <f t="shared" si="71"/>
        <v/>
      </c>
      <c r="BN106" s="477" t="str">
        <f t="shared" si="72"/>
        <v/>
      </c>
      <c r="BO106" s="477" t="str">
        <f t="shared" si="73"/>
        <v/>
      </c>
      <c r="BP106" s="477" t="str">
        <f t="shared" si="74"/>
        <v/>
      </c>
      <c r="BQ106" s="477" t="str">
        <f t="shared" si="75"/>
        <v/>
      </c>
      <c r="BR106" s="477" t="str">
        <f t="shared" si="76"/>
        <v/>
      </c>
      <c r="BS106" s="477" t="str">
        <f t="shared" si="77"/>
        <v/>
      </c>
      <c r="BT106" s="435">
        <f t="shared" si="97"/>
        <v>0</v>
      </c>
      <c r="BU106" s="434" t="str">
        <f t="shared" si="79"/>
        <v/>
      </c>
      <c r="BV106" s="479" t="str">
        <f t="shared" si="98"/>
        <v/>
      </c>
      <c r="BW106" s="479" t="str">
        <f t="shared" si="80"/>
        <v/>
      </c>
      <c r="BX106" s="479" t="str">
        <f t="shared" si="81"/>
        <v/>
      </c>
      <c r="BY106" s="479" t="str">
        <f t="shared" si="82"/>
        <v/>
      </c>
      <c r="BZ106" s="479" t="str">
        <f t="shared" si="83"/>
        <v/>
      </c>
      <c r="CA106" s="479" t="str">
        <f t="shared" si="84"/>
        <v/>
      </c>
      <c r="CB106" s="479" t="str">
        <f t="shared" si="85"/>
        <v/>
      </c>
      <c r="CC106" s="479" t="str">
        <f t="shared" si="86"/>
        <v/>
      </c>
      <c r="CD106" s="479" t="str">
        <f t="shared" si="87"/>
        <v/>
      </c>
      <c r="CE106" s="479" t="str">
        <f t="shared" si="88"/>
        <v/>
      </c>
      <c r="CF106" s="479" t="str">
        <f t="shared" si="89"/>
        <v/>
      </c>
      <c r="CG106" s="479" t="str">
        <f t="shared" si="90"/>
        <v/>
      </c>
      <c r="CH106" s="480">
        <f t="shared" si="92"/>
        <v>0</v>
      </c>
      <c r="DD106" s="497" cm="1">
        <f t="array" ref="DD106">_xlfn.IFS('Project Inputs'!$F$150&lt;&gt;"Yes",0,DE106=18,0,DE106&lt;&gt;18,SUM(DF106:DG106))</f>
        <v>0</v>
      </c>
      <c r="DE106" s="31">
        <f t="shared" si="93"/>
        <v>18</v>
      </c>
      <c r="DF106" s="31">
        <f t="shared" si="94"/>
        <v>0</v>
      </c>
      <c r="DG106" s="31">
        <f t="shared" si="95"/>
        <v>0</v>
      </c>
    </row>
    <row r="107" spans="1:111" hidden="1" outlineLevel="1">
      <c r="A107" s="22" t="str">
        <f t="shared" si="59"/>
        <v/>
      </c>
      <c r="B107" s="474" t="str">
        <f>_xlfn.LET(_xlpm.x,'Diversion and Disposal'!D103,IF(OR(LEN(_xlpm.x)&lt;1,_xlpm.x=0),"",_xlpm.x))</f>
        <v/>
      </c>
      <c r="C107" s="475" t="str">
        <f>_xlfn.LET(_xlpm.x,'Diversion and Disposal'!E103,IF(OR(LEN(_xlpm.x)&lt;1,_xlpm.x=0),"",_xlpm.x))</f>
        <v/>
      </c>
      <c r="D107" s="475" t="str">
        <f>_xlfn.LET(_xlpm.x,'Diversion and Disposal'!F103,IF(OR(LEN(_xlpm.x)&lt;1,_xlpm.x=0),"",_xlpm.x))</f>
        <v/>
      </c>
      <c r="E107" s="475" t="str">
        <f>_xlfn.LET(_xlpm.x,'Diversion and Disposal'!G103,IF(OR(LEN(_xlpm.x)&lt;1,_xlpm.x=0),"",_xlpm.x))</f>
        <v/>
      </c>
      <c r="F107" s="407"/>
      <c r="G107" s="511"/>
      <c r="H107" s="514" t="str">
        <f>_xlfn.LET(_xlpm.x,'Diversion and Disposal'!H103,IF(OR(LEN(_xlpm.x)&lt;1,_xlpm.x=0),"",_xlpm.x))</f>
        <v/>
      </c>
      <c r="I107" s="514" t="str">
        <f>_xlfn.LET(_xlpm.x,'Diversion and Disposal'!I103,IF(OR(LEN(_xlpm.x)&lt;1,_xlpm.x=0),"",_xlpm.x))</f>
        <v/>
      </c>
      <c r="J107" s="514" t="str">
        <f>_xlfn.LET(_xlpm.x,'Diversion and Disposal'!J103,IF(OR(LEN(_xlpm.x)&lt;1,_xlpm.x=0),"",_xlpm.x))</f>
        <v/>
      </c>
      <c r="K107" s="514" t="str">
        <f>_xlfn.LET(_xlpm.x,'Diversion and Disposal'!K103,IF(OR(LEN(_xlpm.x)&lt;1,_xlpm.x=0),"",_xlpm.x))</f>
        <v/>
      </c>
      <c r="L107" s="514" t="str">
        <f>_xlfn.LET(_xlpm.x,'Diversion and Disposal'!L103,IF(OR(LEN(_xlpm.x)&lt;1,_xlpm.x=0),"",_xlpm.x))</f>
        <v/>
      </c>
      <c r="M107" s="514" t="str">
        <f>_xlfn.LET(_xlpm.x,'Diversion and Disposal'!M103,IF(OR(LEN(_xlpm.x)&lt;1,_xlpm.x=0),"",_xlpm.x))</f>
        <v/>
      </c>
      <c r="N107" s="514" t="str">
        <f>_xlfn.LET(_xlpm.x,'Diversion and Disposal'!N103,IF(OR(LEN(_xlpm.x)&lt;1,_xlpm.x=0),"",_xlpm.x))</f>
        <v/>
      </c>
      <c r="O107" s="514" t="str">
        <f>_xlfn.LET(_xlpm.x,'Diversion and Disposal'!O103,IF(OR(LEN(_xlpm.x)&lt;1,_xlpm.x=0),"",_xlpm.x))</f>
        <v/>
      </c>
      <c r="P107" s="514" t="str">
        <f>_xlfn.LET(_xlpm.x,'Diversion and Disposal'!P103,IF(OR(LEN(_xlpm.x)&lt;1,_xlpm.x=0),"",_xlpm.x))</f>
        <v/>
      </c>
      <c r="Q107" s="514" t="str">
        <f>_xlfn.LET(_xlpm.x,'Diversion and Disposal'!Q103,IF(OR(LEN(_xlpm.x)&lt;1,_xlpm.x=0),"",_xlpm.x))</f>
        <v/>
      </c>
      <c r="R107" s="514" t="str">
        <f>_xlfn.LET(_xlpm.x,'Diversion and Disposal'!R103,IF(OR(LEN(_xlpm.x)&lt;1,_xlpm.x=0),"",_xlpm.x))</f>
        <v/>
      </c>
      <c r="S107" s="514" t="str">
        <f>_xlfn.LET(_xlpm.x,'Diversion and Disposal'!S103,IF(OR(LEN(_xlpm.x)&lt;1,_xlpm.x=0),"",_xlpm.x))</f>
        <v/>
      </c>
      <c r="T107" s="513">
        <f t="shared" si="96"/>
        <v>0</v>
      </c>
      <c r="BB107" s="432" t="str">
        <f t="shared" si="60"/>
        <v/>
      </c>
      <c r="BC107" s="432" t="str">
        <f t="shared" si="61"/>
        <v/>
      </c>
      <c r="BD107" s="432" t="str">
        <f t="shared" si="62"/>
        <v/>
      </c>
      <c r="BE107" s="432" t="str">
        <f t="shared" si="63"/>
        <v/>
      </c>
      <c r="BF107" s="432" t="str">
        <f t="shared" si="64"/>
        <v/>
      </c>
      <c r="BG107" s="477" t="str">
        <f t="shared" si="65"/>
        <v/>
      </c>
      <c r="BH107" s="477" t="str">
        <f t="shared" si="66"/>
        <v/>
      </c>
      <c r="BI107" s="477" t="str">
        <f t="shared" si="67"/>
        <v/>
      </c>
      <c r="BJ107" s="477" t="str">
        <f t="shared" si="68"/>
        <v/>
      </c>
      <c r="BK107" s="477" t="str">
        <f t="shared" si="69"/>
        <v/>
      </c>
      <c r="BL107" s="477" t="str">
        <f t="shared" si="70"/>
        <v/>
      </c>
      <c r="BM107" s="477" t="str">
        <f t="shared" si="71"/>
        <v/>
      </c>
      <c r="BN107" s="477" t="str">
        <f t="shared" si="72"/>
        <v/>
      </c>
      <c r="BO107" s="477" t="str">
        <f t="shared" si="73"/>
        <v/>
      </c>
      <c r="BP107" s="477" t="str">
        <f t="shared" si="74"/>
        <v/>
      </c>
      <c r="BQ107" s="477" t="str">
        <f t="shared" si="75"/>
        <v/>
      </c>
      <c r="BR107" s="477" t="str">
        <f t="shared" si="76"/>
        <v/>
      </c>
      <c r="BS107" s="477" t="str">
        <f t="shared" si="77"/>
        <v/>
      </c>
      <c r="BT107" s="435">
        <f t="shared" si="97"/>
        <v>0</v>
      </c>
      <c r="BU107" s="434" t="str">
        <f t="shared" si="79"/>
        <v/>
      </c>
      <c r="BV107" s="479" t="str">
        <f t="shared" si="98"/>
        <v/>
      </c>
      <c r="BW107" s="479" t="str">
        <f t="shared" si="80"/>
        <v/>
      </c>
      <c r="BX107" s="479" t="str">
        <f t="shared" si="81"/>
        <v/>
      </c>
      <c r="BY107" s="479" t="str">
        <f t="shared" si="82"/>
        <v/>
      </c>
      <c r="BZ107" s="479" t="str">
        <f t="shared" si="83"/>
        <v/>
      </c>
      <c r="CA107" s="479" t="str">
        <f t="shared" si="84"/>
        <v/>
      </c>
      <c r="CB107" s="479" t="str">
        <f t="shared" si="85"/>
        <v/>
      </c>
      <c r="CC107" s="479" t="str">
        <f t="shared" si="86"/>
        <v/>
      </c>
      <c r="CD107" s="479" t="str">
        <f t="shared" si="87"/>
        <v/>
      </c>
      <c r="CE107" s="479" t="str">
        <f t="shared" si="88"/>
        <v/>
      </c>
      <c r="CF107" s="479" t="str">
        <f t="shared" si="89"/>
        <v/>
      </c>
      <c r="CG107" s="479" t="str">
        <f t="shared" si="90"/>
        <v/>
      </c>
      <c r="CH107" s="480">
        <f t="shared" si="92"/>
        <v>0</v>
      </c>
      <c r="DD107" s="497" cm="1">
        <f t="array" ref="DD107">_xlfn.IFS('Project Inputs'!$F$150&lt;&gt;"Yes",0,DE107=18,0,DE107&lt;&gt;18,SUM(DF107:DG107))</f>
        <v>0</v>
      </c>
      <c r="DE107" s="31">
        <f t="shared" si="93"/>
        <v>18</v>
      </c>
      <c r="DF107" s="31">
        <f t="shared" si="94"/>
        <v>0</v>
      </c>
      <c r="DG107" s="31">
        <f t="shared" si="95"/>
        <v>0</v>
      </c>
    </row>
    <row r="108" spans="1:111" hidden="1" outlineLevel="1">
      <c r="A108" s="22" t="str">
        <f t="shared" si="59"/>
        <v/>
      </c>
      <c r="B108" s="474" t="str">
        <f>_xlfn.LET(_xlpm.x,'Diversion and Disposal'!D104,IF(OR(LEN(_xlpm.x)&lt;1,_xlpm.x=0),"",_xlpm.x))</f>
        <v/>
      </c>
      <c r="C108" s="475" t="str">
        <f>_xlfn.LET(_xlpm.x,'Diversion and Disposal'!E104,IF(OR(LEN(_xlpm.x)&lt;1,_xlpm.x=0),"",_xlpm.x))</f>
        <v/>
      </c>
      <c r="D108" s="475" t="str">
        <f>_xlfn.LET(_xlpm.x,'Diversion and Disposal'!F104,IF(OR(LEN(_xlpm.x)&lt;1,_xlpm.x=0),"",_xlpm.x))</f>
        <v/>
      </c>
      <c r="E108" s="475" t="str">
        <f>_xlfn.LET(_xlpm.x,'Diversion and Disposal'!G104,IF(OR(LEN(_xlpm.x)&lt;1,_xlpm.x=0),"",_xlpm.x))</f>
        <v/>
      </c>
      <c r="F108" s="407"/>
      <c r="G108" s="511"/>
      <c r="H108" s="514" t="str">
        <f>_xlfn.LET(_xlpm.x,'Diversion and Disposal'!H104,IF(OR(LEN(_xlpm.x)&lt;1,_xlpm.x=0),"",_xlpm.x))</f>
        <v/>
      </c>
      <c r="I108" s="514" t="str">
        <f>_xlfn.LET(_xlpm.x,'Diversion and Disposal'!I104,IF(OR(LEN(_xlpm.x)&lt;1,_xlpm.x=0),"",_xlpm.x))</f>
        <v/>
      </c>
      <c r="J108" s="514" t="str">
        <f>_xlfn.LET(_xlpm.x,'Diversion and Disposal'!J104,IF(OR(LEN(_xlpm.x)&lt;1,_xlpm.x=0),"",_xlpm.x))</f>
        <v/>
      </c>
      <c r="K108" s="514" t="str">
        <f>_xlfn.LET(_xlpm.x,'Diversion and Disposal'!K104,IF(OR(LEN(_xlpm.x)&lt;1,_xlpm.x=0),"",_xlpm.x))</f>
        <v/>
      </c>
      <c r="L108" s="514" t="str">
        <f>_xlfn.LET(_xlpm.x,'Diversion and Disposal'!L104,IF(OR(LEN(_xlpm.x)&lt;1,_xlpm.x=0),"",_xlpm.x))</f>
        <v/>
      </c>
      <c r="M108" s="514" t="str">
        <f>_xlfn.LET(_xlpm.x,'Diversion and Disposal'!M104,IF(OR(LEN(_xlpm.x)&lt;1,_xlpm.x=0),"",_xlpm.x))</f>
        <v/>
      </c>
      <c r="N108" s="514" t="str">
        <f>_xlfn.LET(_xlpm.x,'Diversion and Disposal'!N104,IF(OR(LEN(_xlpm.x)&lt;1,_xlpm.x=0),"",_xlpm.x))</f>
        <v/>
      </c>
      <c r="O108" s="514" t="str">
        <f>_xlfn.LET(_xlpm.x,'Diversion and Disposal'!O104,IF(OR(LEN(_xlpm.x)&lt;1,_xlpm.x=0),"",_xlpm.x))</f>
        <v/>
      </c>
      <c r="P108" s="514" t="str">
        <f>_xlfn.LET(_xlpm.x,'Diversion and Disposal'!P104,IF(OR(LEN(_xlpm.x)&lt;1,_xlpm.x=0),"",_xlpm.x))</f>
        <v/>
      </c>
      <c r="Q108" s="514" t="str">
        <f>_xlfn.LET(_xlpm.x,'Diversion and Disposal'!Q104,IF(OR(LEN(_xlpm.x)&lt;1,_xlpm.x=0),"",_xlpm.x))</f>
        <v/>
      </c>
      <c r="R108" s="514" t="str">
        <f>_xlfn.LET(_xlpm.x,'Diversion and Disposal'!R104,IF(OR(LEN(_xlpm.x)&lt;1,_xlpm.x=0),"",_xlpm.x))</f>
        <v/>
      </c>
      <c r="S108" s="514" t="str">
        <f>_xlfn.LET(_xlpm.x,'Diversion and Disposal'!S104,IF(OR(LEN(_xlpm.x)&lt;1,_xlpm.x=0),"",_xlpm.x))</f>
        <v/>
      </c>
      <c r="T108" s="513">
        <f t="shared" si="96"/>
        <v>0</v>
      </c>
      <c r="BB108" s="432" t="str">
        <f t="shared" si="60"/>
        <v/>
      </c>
      <c r="BC108" s="432" t="str">
        <f t="shared" si="61"/>
        <v/>
      </c>
      <c r="BD108" s="432" t="str">
        <f t="shared" si="62"/>
        <v/>
      </c>
      <c r="BE108" s="432" t="str">
        <f t="shared" si="63"/>
        <v/>
      </c>
      <c r="BF108" s="432" t="str">
        <f t="shared" si="64"/>
        <v/>
      </c>
      <c r="BG108" s="477" t="str">
        <f t="shared" si="65"/>
        <v/>
      </c>
      <c r="BH108" s="477" t="str">
        <f t="shared" si="66"/>
        <v/>
      </c>
      <c r="BI108" s="477" t="str">
        <f t="shared" si="67"/>
        <v/>
      </c>
      <c r="BJ108" s="477" t="str">
        <f t="shared" si="68"/>
        <v/>
      </c>
      <c r="BK108" s="477" t="str">
        <f t="shared" si="69"/>
        <v/>
      </c>
      <c r="BL108" s="477" t="str">
        <f t="shared" si="70"/>
        <v/>
      </c>
      <c r="BM108" s="477" t="str">
        <f t="shared" si="71"/>
        <v/>
      </c>
      <c r="BN108" s="477" t="str">
        <f t="shared" si="72"/>
        <v/>
      </c>
      <c r="BO108" s="477" t="str">
        <f t="shared" si="73"/>
        <v/>
      </c>
      <c r="BP108" s="477" t="str">
        <f t="shared" si="74"/>
        <v/>
      </c>
      <c r="BQ108" s="477" t="str">
        <f t="shared" si="75"/>
        <v/>
      </c>
      <c r="BR108" s="477" t="str">
        <f t="shared" si="76"/>
        <v/>
      </c>
      <c r="BS108" s="477" t="str">
        <f t="shared" si="77"/>
        <v/>
      </c>
      <c r="BT108" s="435">
        <f t="shared" si="97"/>
        <v>0</v>
      </c>
      <c r="BU108" s="434" t="str">
        <f t="shared" si="79"/>
        <v/>
      </c>
      <c r="BV108" s="479" t="str">
        <f t="shared" si="98"/>
        <v/>
      </c>
      <c r="BW108" s="479" t="str">
        <f t="shared" si="80"/>
        <v/>
      </c>
      <c r="BX108" s="479" t="str">
        <f t="shared" si="81"/>
        <v/>
      </c>
      <c r="BY108" s="479" t="str">
        <f t="shared" si="82"/>
        <v/>
      </c>
      <c r="BZ108" s="479" t="str">
        <f t="shared" si="83"/>
        <v/>
      </c>
      <c r="CA108" s="479" t="str">
        <f t="shared" si="84"/>
        <v/>
      </c>
      <c r="CB108" s="479" t="str">
        <f t="shared" si="85"/>
        <v/>
      </c>
      <c r="CC108" s="479" t="str">
        <f t="shared" si="86"/>
        <v/>
      </c>
      <c r="CD108" s="479" t="str">
        <f t="shared" si="87"/>
        <v/>
      </c>
      <c r="CE108" s="479" t="str">
        <f t="shared" si="88"/>
        <v/>
      </c>
      <c r="CF108" s="479" t="str">
        <f t="shared" si="89"/>
        <v/>
      </c>
      <c r="CG108" s="479" t="str">
        <f t="shared" si="90"/>
        <v/>
      </c>
      <c r="CH108" s="480">
        <f t="shared" si="92"/>
        <v>0</v>
      </c>
      <c r="DD108" s="497" cm="1">
        <f t="array" ref="DD108">_xlfn.IFS('Project Inputs'!$F$150&lt;&gt;"Yes",0,DE108=18,0,DE108&lt;&gt;18,SUM(DF108:DG108))</f>
        <v>0</v>
      </c>
      <c r="DE108" s="31">
        <f t="shared" si="93"/>
        <v>18</v>
      </c>
      <c r="DF108" s="31">
        <f t="shared" si="94"/>
        <v>0</v>
      </c>
      <c r="DG108" s="31">
        <f t="shared" si="95"/>
        <v>0</v>
      </c>
    </row>
    <row r="109" spans="1:111" hidden="1" outlineLevel="1">
      <c r="A109" s="22" t="str">
        <f t="shared" si="59"/>
        <v/>
      </c>
      <c r="B109" s="474" t="str">
        <f>_xlfn.LET(_xlpm.x,'Diversion and Disposal'!D105,IF(OR(LEN(_xlpm.x)&lt;1,_xlpm.x=0),"",_xlpm.x))</f>
        <v/>
      </c>
      <c r="C109" s="475" t="str">
        <f>_xlfn.LET(_xlpm.x,'Diversion and Disposal'!E105,IF(OR(LEN(_xlpm.x)&lt;1,_xlpm.x=0),"",_xlpm.x))</f>
        <v/>
      </c>
      <c r="D109" s="475" t="str">
        <f>_xlfn.LET(_xlpm.x,'Diversion and Disposal'!F105,IF(OR(LEN(_xlpm.x)&lt;1,_xlpm.x=0),"",_xlpm.x))</f>
        <v/>
      </c>
      <c r="E109" s="475" t="str">
        <f>_xlfn.LET(_xlpm.x,'Diversion and Disposal'!G105,IF(OR(LEN(_xlpm.x)&lt;1,_xlpm.x=0),"",_xlpm.x))</f>
        <v/>
      </c>
      <c r="F109" s="407"/>
      <c r="G109" s="511"/>
      <c r="H109" s="514" t="str">
        <f>_xlfn.LET(_xlpm.x,'Diversion and Disposal'!H105,IF(OR(LEN(_xlpm.x)&lt;1,_xlpm.x=0),"",_xlpm.x))</f>
        <v/>
      </c>
      <c r="I109" s="514" t="str">
        <f>_xlfn.LET(_xlpm.x,'Diversion and Disposal'!I105,IF(OR(LEN(_xlpm.x)&lt;1,_xlpm.x=0),"",_xlpm.x))</f>
        <v/>
      </c>
      <c r="J109" s="514" t="str">
        <f>_xlfn.LET(_xlpm.x,'Diversion and Disposal'!J105,IF(OR(LEN(_xlpm.x)&lt;1,_xlpm.x=0),"",_xlpm.x))</f>
        <v/>
      </c>
      <c r="K109" s="514" t="str">
        <f>_xlfn.LET(_xlpm.x,'Diversion and Disposal'!K105,IF(OR(LEN(_xlpm.x)&lt;1,_xlpm.x=0),"",_xlpm.x))</f>
        <v/>
      </c>
      <c r="L109" s="514" t="str">
        <f>_xlfn.LET(_xlpm.x,'Diversion and Disposal'!L105,IF(OR(LEN(_xlpm.x)&lt;1,_xlpm.x=0),"",_xlpm.x))</f>
        <v/>
      </c>
      <c r="M109" s="514" t="str">
        <f>_xlfn.LET(_xlpm.x,'Diversion and Disposal'!M105,IF(OR(LEN(_xlpm.x)&lt;1,_xlpm.x=0),"",_xlpm.x))</f>
        <v/>
      </c>
      <c r="N109" s="514" t="str">
        <f>_xlfn.LET(_xlpm.x,'Diversion and Disposal'!N105,IF(OR(LEN(_xlpm.x)&lt;1,_xlpm.x=0),"",_xlpm.x))</f>
        <v/>
      </c>
      <c r="O109" s="514" t="str">
        <f>_xlfn.LET(_xlpm.x,'Diversion and Disposal'!O105,IF(OR(LEN(_xlpm.x)&lt;1,_xlpm.x=0),"",_xlpm.x))</f>
        <v/>
      </c>
      <c r="P109" s="514" t="str">
        <f>_xlfn.LET(_xlpm.x,'Diversion and Disposal'!P105,IF(OR(LEN(_xlpm.x)&lt;1,_xlpm.x=0),"",_xlpm.x))</f>
        <v/>
      </c>
      <c r="Q109" s="514" t="str">
        <f>_xlfn.LET(_xlpm.x,'Diversion and Disposal'!Q105,IF(OR(LEN(_xlpm.x)&lt;1,_xlpm.x=0),"",_xlpm.x))</f>
        <v/>
      </c>
      <c r="R109" s="514" t="str">
        <f>_xlfn.LET(_xlpm.x,'Diversion and Disposal'!R105,IF(OR(LEN(_xlpm.x)&lt;1,_xlpm.x=0),"",_xlpm.x))</f>
        <v/>
      </c>
      <c r="S109" s="514" t="str">
        <f>_xlfn.LET(_xlpm.x,'Diversion and Disposal'!S105,IF(OR(LEN(_xlpm.x)&lt;1,_xlpm.x=0),"",_xlpm.x))</f>
        <v/>
      </c>
      <c r="T109" s="513">
        <f t="shared" si="96"/>
        <v>0</v>
      </c>
      <c r="BB109" s="432" t="str">
        <f t="shared" si="60"/>
        <v/>
      </c>
      <c r="BC109" s="432" t="str">
        <f t="shared" si="61"/>
        <v/>
      </c>
      <c r="BD109" s="432" t="str">
        <f t="shared" si="62"/>
        <v/>
      </c>
      <c r="BE109" s="432" t="str">
        <f t="shared" si="63"/>
        <v/>
      </c>
      <c r="BF109" s="432" t="str">
        <f t="shared" si="64"/>
        <v/>
      </c>
      <c r="BG109" s="477" t="str">
        <f t="shared" si="65"/>
        <v/>
      </c>
      <c r="BH109" s="477" t="str">
        <f t="shared" si="66"/>
        <v/>
      </c>
      <c r="BI109" s="477" t="str">
        <f t="shared" si="67"/>
        <v/>
      </c>
      <c r="BJ109" s="477" t="str">
        <f t="shared" si="68"/>
        <v/>
      </c>
      <c r="BK109" s="477" t="str">
        <f t="shared" si="69"/>
        <v/>
      </c>
      <c r="BL109" s="477" t="str">
        <f t="shared" si="70"/>
        <v/>
      </c>
      <c r="BM109" s="477" t="str">
        <f t="shared" si="71"/>
        <v/>
      </c>
      <c r="BN109" s="477" t="str">
        <f t="shared" si="72"/>
        <v/>
      </c>
      <c r="BO109" s="477" t="str">
        <f t="shared" si="73"/>
        <v/>
      </c>
      <c r="BP109" s="477" t="str">
        <f t="shared" si="74"/>
        <v/>
      </c>
      <c r="BQ109" s="477" t="str">
        <f t="shared" si="75"/>
        <v/>
      </c>
      <c r="BR109" s="477" t="str">
        <f t="shared" si="76"/>
        <v/>
      </c>
      <c r="BS109" s="477" t="str">
        <f t="shared" si="77"/>
        <v/>
      </c>
      <c r="BT109" s="435">
        <f t="shared" si="97"/>
        <v>0</v>
      </c>
      <c r="BU109" s="434" t="str">
        <f t="shared" si="79"/>
        <v/>
      </c>
      <c r="BV109" s="479" t="str">
        <f t="shared" si="98"/>
        <v/>
      </c>
      <c r="BW109" s="479" t="str">
        <f t="shared" si="80"/>
        <v/>
      </c>
      <c r="BX109" s="479" t="str">
        <f t="shared" si="81"/>
        <v/>
      </c>
      <c r="BY109" s="479" t="str">
        <f t="shared" si="82"/>
        <v/>
      </c>
      <c r="BZ109" s="479" t="str">
        <f t="shared" si="83"/>
        <v/>
      </c>
      <c r="CA109" s="479" t="str">
        <f t="shared" si="84"/>
        <v/>
      </c>
      <c r="CB109" s="479" t="str">
        <f t="shared" si="85"/>
        <v/>
      </c>
      <c r="CC109" s="479" t="str">
        <f t="shared" si="86"/>
        <v/>
      </c>
      <c r="CD109" s="479" t="str">
        <f t="shared" si="87"/>
        <v/>
      </c>
      <c r="CE109" s="479" t="str">
        <f t="shared" si="88"/>
        <v/>
      </c>
      <c r="CF109" s="479" t="str">
        <f t="shared" si="89"/>
        <v/>
      </c>
      <c r="CG109" s="479" t="str">
        <f t="shared" si="90"/>
        <v/>
      </c>
      <c r="CH109" s="480">
        <f t="shared" si="92"/>
        <v>0</v>
      </c>
      <c r="DD109" s="497" cm="1">
        <f t="array" ref="DD109">_xlfn.IFS('Project Inputs'!$F$150&lt;&gt;"Yes",0,DE109=18,0,DE109&lt;&gt;18,SUM(DF109:DG109))</f>
        <v>0</v>
      </c>
      <c r="DE109" s="31">
        <f t="shared" si="93"/>
        <v>18</v>
      </c>
      <c r="DF109" s="31">
        <f t="shared" si="94"/>
        <v>0</v>
      </c>
      <c r="DG109" s="31">
        <f t="shared" si="95"/>
        <v>0</v>
      </c>
    </row>
    <row r="110" spans="1:111" hidden="1" outlineLevel="1">
      <c r="A110" s="22" t="str">
        <f t="shared" si="59"/>
        <v/>
      </c>
      <c r="B110" s="474" t="str">
        <f>_xlfn.LET(_xlpm.x,'Diversion and Disposal'!D106,IF(OR(LEN(_xlpm.x)&lt;1,_xlpm.x=0),"",_xlpm.x))</f>
        <v/>
      </c>
      <c r="C110" s="475" t="str">
        <f>_xlfn.LET(_xlpm.x,'Diversion and Disposal'!E106,IF(OR(LEN(_xlpm.x)&lt;1,_xlpm.x=0),"",_xlpm.x))</f>
        <v/>
      </c>
      <c r="D110" s="475" t="str">
        <f>_xlfn.LET(_xlpm.x,'Diversion and Disposal'!F106,IF(OR(LEN(_xlpm.x)&lt;1,_xlpm.x=0),"",_xlpm.x))</f>
        <v/>
      </c>
      <c r="E110" s="475" t="str">
        <f>_xlfn.LET(_xlpm.x,'Diversion and Disposal'!G106,IF(OR(LEN(_xlpm.x)&lt;1,_xlpm.x=0),"",_xlpm.x))</f>
        <v/>
      </c>
      <c r="F110" s="407"/>
      <c r="G110" s="511"/>
      <c r="H110" s="514" t="str">
        <f>_xlfn.LET(_xlpm.x,'Diversion and Disposal'!H106,IF(OR(LEN(_xlpm.x)&lt;1,_xlpm.x=0),"",_xlpm.x))</f>
        <v/>
      </c>
      <c r="I110" s="514" t="str">
        <f>_xlfn.LET(_xlpm.x,'Diversion and Disposal'!I106,IF(OR(LEN(_xlpm.x)&lt;1,_xlpm.x=0),"",_xlpm.x))</f>
        <v/>
      </c>
      <c r="J110" s="514" t="str">
        <f>_xlfn.LET(_xlpm.x,'Diversion and Disposal'!J106,IF(OR(LEN(_xlpm.x)&lt;1,_xlpm.x=0),"",_xlpm.x))</f>
        <v/>
      </c>
      <c r="K110" s="514" t="str">
        <f>_xlfn.LET(_xlpm.x,'Diversion and Disposal'!K106,IF(OR(LEN(_xlpm.x)&lt;1,_xlpm.x=0),"",_xlpm.x))</f>
        <v/>
      </c>
      <c r="L110" s="514" t="str">
        <f>_xlfn.LET(_xlpm.x,'Diversion and Disposal'!L106,IF(OR(LEN(_xlpm.x)&lt;1,_xlpm.x=0),"",_xlpm.x))</f>
        <v/>
      </c>
      <c r="M110" s="514" t="str">
        <f>_xlfn.LET(_xlpm.x,'Diversion and Disposal'!M106,IF(OR(LEN(_xlpm.x)&lt;1,_xlpm.x=0),"",_xlpm.x))</f>
        <v/>
      </c>
      <c r="N110" s="514" t="str">
        <f>_xlfn.LET(_xlpm.x,'Diversion and Disposal'!N106,IF(OR(LEN(_xlpm.x)&lt;1,_xlpm.x=0),"",_xlpm.x))</f>
        <v/>
      </c>
      <c r="O110" s="514" t="str">
        <f>_xlfn.LET(_xlpm.x,'Diversion and Disposal'!O106,IF(OR(LEN(_xlpm.x)&lt;1,_xlpm.x=0),"",_xlpm.x))</f>
        <v/>
      </c>
      <c r="P110" s="514" t="str">
        <f>_xlfn.LET(_xlpm.x,'Diversion and Disposal'!P106,IF(OR(LEN(_xlpm.x)&lt;1,_xlpm.x=0),"",_xlpm.x))</f>
        <v/>
      </c>
      <c r="Q110" s="514" t="str">
        <f>_xlfn.LET(_xlpm.x,'Diversion and Disposal'!Q106,IF(OR(LEN(_xlpm.x)&lt;1,_xlpm.x=0),"",_xlpm.x))</f>
        <v/>
      </c>
      <c r="R110" s="514" t="str">
        <f>_xlfn.LET(_xlpm.x,'Diversion and Disposal'!R106,IF(OR(LEN(_xlpm.x)&lt;1,_xlpm.x=0),"",_xlpm.x))</f>
        <v/>
      </c>
      <c r="S110" s="514" t="str">
        <f>_xlfn.LET(_xlpm.x,'Diversion and Disposal'!S106,IF(OR(LEN(_xlpm.x)&lt;1,_xlpm.x=0),"",_xlpm.x))</f>
        <v/>
      </c>
      <c r="T110" s="513">
        <f t="shared" si="96"/>
        <v>0</v>
      </c>
      <c r="BB110" s="432" t="str">
        <f t="shared" si="60"/>
        <v/>
      </c>
      <c r="BC110" s="432" t="str">
        <f t="shared" si="61"/>
        <v/>
      </c>
      <c r="BD110" s="432" t="str">
        <f t="shared" si="62"/>
        <v/>
      </c>
      <c r="BE110" s="432" t="str">
        <f t="shared" si="63"/>
        <v/>
      </c>
      <c r="BF110" s="432" t="str">
        <f t="shared" si="64"/>
        <v/>
      </c>
      <c r="BG110" s="477" t="str">
        <f t="shared" si="65"/>
        <v/>
      </c>
      <c r="BH110" s="477" t="str">
        <f t="shared" si="66"/>
        <v/>
      </c>
      <c r="BI110" s="477" t="str">
        <f t="shared" si="67"/>
        <v/>
      </c>
      <c r="BJ110" s="477" t="str">
        <f t="shared" si="68"/>
        <v/>
      </c>
      <c r="BK110" s="477" t="str">
        <f t="shared" si="69"/>
        <v/>
      </c>
      <c r="BL110" s="477" t="str">
        <f t="shared" si="70"/>
        <v/>
      </c>
      <c r="BM110" s="477" t="str">
        <f t="shared" si="71"/>
        <v/>
      </c>
      <c r="BN110" s="477" t="str">
        <f t="shared" si="72"/>
        <v/>
      </c>
      <c r="BO110" s="477" t="str">
        <f t="shared" si="73"/>
        <v/>
      </c>
      <c r="BP110" s="477" t="str">
        <f t="shared" si="74"/>
        <v/>
      </c>
      <c r="BQ110" s="477" t="str">
        <f t="shared" si="75"/>
        <v/>
      </c>
      <c r="BR110" s="477" t="str">
        <f t="shared" si="76"/>
        <v/>
      </c>
      <c r="BS110" s="477" t="str">
        <f t="shared" si="77"/>
        <v/>
      </c>
      <c r="BT110" s="435">
        <f t="shared" si="97"/>
        <v>0</v>
      </c>
      <c r="BU110" s="434" t="str">
        <f t="shared" si="79"/>
        <v/>
      </c>
      <c r="BV110" s="479" t="str">
        <f t="shared" si="98"/>
        <v/>
      </c>
      <c r="BW110" s="479" t="str">
        <f t="shared" si="80"/>
        <v/>
      </c>
      <c r="BX110" s="479" t="str">
        <f t="shared" si="81"/>
        <v/>
      </c>
      <c r="BY110" s="479" t="str">
        <f t="shared" si="82"/>
        <v/>
      </c>
      <c r="BZ110" s="479" t="str">
        <f t="shared" si="83"/>
        <v/>
      </c>
      <c r="CA110" s="479" t="str">
        <f t="shared" si="84"/>
        <v/>
      </c>
      <c r="CB110" s="479" t="str">
        <f t="shared" si="85"/>
        <v/>
      </c>
      <c r="CC110" s="479" t="str">
        <f t="shared" si="86"/>
        <v/>
      </c>
      <c r="CD110" s="479" t="str">
        <f t="shared" si="87"/>
        <v/>
      </c>
      <c r="CE110" s="479" t="str">
        <f t="shared" si="88"/>
        <v/>
      </c>
      <c r="CF110" s="479" t="str">
        <f t="shared" si="89"/>
        <v/>
      </c>
      <c r="CG110" s="479" t="str">
        <f t="shared" si="90"/>
        <v/>
      </c>
      <c r="CH110" s="480">
        <f t="shared" si="92"/>
        <v>0</v>
      </c>
      <c r="DD110" s="497" cm="1">
        <f t="array" ref="DD110">_xlfn.IFS('Project Inputs'!$F$150&lt;&gt;"Yes",0,DE110=18,0,DE110&lt;&gt;18,SUM(DF110:DG110))</f>
        <v>0</v>
      </c>
      <c r="DE110" s="31">
        <f t="shared" si="93"/>
        <v>18</v>
      </c>
      <c r="DF110" s="31">
        <f t="shared" si="94"/>
        <v>0</v>
      </c>
      <c r="DG110" s="31">
        <f t="shared" si="95"/>
        <v>0</v>
      </c>
    </row>
    <row r="111" spans="1:111" hidden="1" outlineLevel="1">
      <c r="A111" s="22" t="str">
        <f t="shared" si="59"/>
        <v/>
      </c>
      <c r="B111" s="474" t="str">
        <f>_xlfn.LET(_xlpm.x,'Diversion and Disposal'!D107,IF(OR(LEN(_xlpm.x)&lt;1,_xlpm.x=0),"",_xlpm.x))</f>
        <v/>
      </c>
      <c r="C111" s="475" t="str">
        <f>_xlfn.LET(_xlpm.x,'Diversion and Disposal'!E107,IF(OR(LEN(_xlpm.x)&lt;1,_xlpm.x=0),"",_xlpm.x))</f>
        <v/>
      </c>
      <c r="D111" s="475" t="str">
        <f>_xlfn.LET(_xlpm.x,'Diversion and Disposal'!F107,IF(OR(LEN(_xlpm.x)&lt;1,_xlpm.x=0),"",_xlpm.x))</f>
        <v/>
      </c>
      <c r="E111" s="475" t="str">
        <f>_xlfn.LET(_xlpm.x,'Diversion and Disposal'!G107,IF(OR(LEN(_xlpm.x)&lt;1,_xlpm.x=0),"",_xlpm.x))</f>
        <v/>
      </c>
      <c r="F111" s="407"/>
      <c r="G111" s="511"/>
      <c r="H111" s="514" t="str">
        <f>_xlfn.LET(_xlpm.x,'Diversion and Disposal'!H107,IF(OR(LEN(_xlpm.x)&lt;1,_xlpm.x=0),"",_xlpm.x))</f>
        <v/>
      </c>
      <c r="I111" s="514" t="str">
        <f>_xlfn.LET(_xlpm.x,'Diversion and Disposal'!I107,IF(OR(LEN(_xlpm.x)&lt;1,_xlpm.x=0),"",_xlpm.x))</f>
        <v/>
      </c>
      <c r="J111" s="514" t="str">
        <f>_xlfn.LET(_xlpm.x,'Diversion and Disposal'!J107,IF(OR(LEN(_xlpm.x)&lt;1,_xlpm.x=0),"",_xlpm.x))</f>
        <v/>
      </c>
      <c r="K111" s="514" t="str">
        <f>_xlfn.LET(_xlpm.x,'Diversion and Disposal'!K107,IF(OR(LEN(_xlpm.x)&lt;1,_xlpm.x=0),"",_xlpm.x))</f>
        <v/>
      </c>
      <c r="L111" s="514" t="str">
        <f>_xlfn.LET(_xlpm.x,'Diversion and Disposal'!L107,IF(OR(LEN(_xlpm.x)&lt;1,_xlpm.x=0),"",_xlpm.x))</f>
        <v/>
      </c>
      <c r="M111" s="514" t="str">
        <f>_xlfn.LET(_xlpm.x,'Diversion and Disposal'!M107,IF(OR(LEN(_xlpm.x)&lt;1,_xlpm.x=0),"",_xlpm.x))</f>
        <v/>
      </c>
      <c r="N111" s="514" t="str">
        <f>_xlfn.LET(_xlpm.x,'Diversion and Disposal'!N107,IF(OR(LEN(_xlpm.x)&lt;1,_xlpm.x=0),"",_xlpm.x))</f>
        <v/>
      </c>
      <c r="O111" s="514" t="str">
        <f>_xlfn.LET(_xlpm.x,'Diversion and Disposal'!O107,IF(OR(LEN(_xlpm.x)&lt;1,_xlpm.x=0),"",_xlpm.x))</f>
        <v/>
      </c>
      <c r="P111" s="514" t="str">
        <f>_xlfn.LET(_xlpm.x,'Diversion and Disposal'!P107,IF(OR(LEN(_xlpm.x)&lt;1,_xlpm.x=0),"",_xlpm.x))</f>
        <v/>
      </c>
      <c r="Q111" s="514" t="str">
        <f>_xlfn.LET(_xlpm.x,'Diversion and Disposal'!Q107,IF(OR(LEN(_xlpm.x)&lt;1,_xlpm.x=0),"",_xlpm.x))</f>
        <v/>
      </c>
      <c r="R111" s="514" t="str">
        <f>_xlfn.LET(_xlpm.x,'Diversion and Disposal'!R107,IF(OR(LEN(_xlpm.x)&lt;1,_xlpm.x=0),"",_xlpm.x))</f>
        <v/>
      </c>
      <c r="S111" s="514" t="str">
        <f>_xlfn.LET(_xlpm.x,'Diversion and Disposal'!S107,IF(OR(LEN(_xlpm.x)&lt;1,_xlpm.x=0),"",_xlpm.x))</f>
        <v/>
      </c>
      <c r="T111" s="513">
        <f t="shared" si="96"/>
        <v>0</v>
      </c>
      <c r="BB111" s="432" t="str">
        <f t="shared" si="60"/>
        <v/>
      </c>
      <c r="BC111" s="432" t="str">
        <f t="shared" si="61"/>
        <v/>
      </c>
      <c r="BD111" s="432" t="str">
        <f t="shared" si="62"/>
        <v/>
      </c>
      <c r="BE111" s="432" t="str">
        <f t="shared" si="63"/>
        <v/>
      </c>
      <c r="BF111" s="432" t="str">
        <f t="shared" si="64"/>
        <v/>
      </c>
      <c r="BG111" s="477" t="str">
        <f t="shared" si="65"/>
        <v/>
      </c>
      <c r="BH111" s="477" t="str">
        <f t="shared" si="66"/>
        <v/>
      </c>
      <c r="BI111" s="477" t="str">
        <f t="shared" si="67"/>
        <v/>
      </c>
      <c r="BJ111" s="477" t="str">
        <f t="shared" si="68"/>
        <v/>
      </c>
      <c r="BK111" s="477" t="str">
        <f t="shared" si="69"/>
        <v/>
      </c>
      <c r="BL111" s="477" t="str">
        <f t="shared" si="70"/>
        <v/>
      </c>
      <c r="BM111" s="477" t="str">
        <f t="shared" si="71"/>
        <v/>
      </c>
      <c r="BN111" s="477" t="str">
        <f t="shared" si="72"/>
        <v/>
      </c>
      <c r="BO111" s="477" t="str">
        <f t="shared" si="73"/>
        <v/>
      </c>
      <c r="BP111" s="477" t="str">
        <f t="shared" si="74"/>
        <v/>
      </c>
      <c r="BQ111" s="477" t="str">
        <f t="shared" si="75"/>
        <v/>
      </c>
      <c r="BR111" s="477" t="str">
        <f t="shared" si="76"/>
        <v/>
      </c>
      <c r="BS111" s="477" t="str">
        <f t="shared" si="77"/>
        <v/>
      </c>
      <c r="BT111" s="435">
        <f t="shared" si="97"/>
        <v>0</v>
      </c>
      <c r="BU111" s="434" t="str">
        <f t="shared" si="79"/>
        <v/>
      </c>
      <c r="BV111" s="479" t="str">
        <f t="shared" si="98"/>
        <v/>
      </c>
      <c r="BW111" s="479" t="str">
        <f t="shared" si="80"/>
        <v/>
      </c>
      <c r="BX111" s="479" t="str">
        <f t="shared" si="81"/>
        <v/>
      </c>
      <c r="BY111" s="479" t="str">
        <f t="shared" si="82"/>
        <v/>
      </c>
      <c r="BZ111" s="479" t="str">
        <f t="shared" si="83"/>
        <v/>
      </c>
      <c r="CA111" s="479" t="str">
        <f t="shared" si="84"/>
        <v/>
      </c>
      <c r="CB111" s="479" t="str">
        <f t="shared" si="85"/>
        <v/>
      </c>
      <c r="CC111" s="479" t="str">
        <f t="shared" si="86"/>
        <v/>
      </c>
      <c r="CD111" s="479" t="str">
        <f t="shared" si="87"/>
        <v/>
      </c>
      <c r="CE111" s="479" t="str">
        <f t="shared" si="88"/>
        <v/>
      </c>
      <c r="CF111" s="479" t="str">
        <f t="shared" si="89"/>
        <v/>
      </c>
      <c r="CG111" s="479" t="str">
        <f t="shared" si="90"/>
        <v/>
      </c>
      <c r="CH111" s="480">
        <f t="shared" si="92"/>
        <v>0</v>
      </c>
      <c r="DD111" s="497" cm="1">
        <f t="array" ref="DD111">_xlfn.IFS('Project Inputs'!$F$150&lt;&gt;"Yes",0,DE111=18,0,DE111&lt;&gt;18,SUM(DF111:DG111))</f>
        <v>0</v>
      </c>
      <c r="DE111" s="31">
        <f t="shared" si="93"/>
        <v>18</v>
      </c>
      <c r="DF111" s="31">
        <f t="shared" si="94"/>
        <v>0</v>
      </c>
      <c r="DG111" s="31">
        <f t="shared" si="95"/>
        <v>0</v>
      </c>
    </row>
    <row r="112" spans="1:111" hidden="1" outlineLevel="1">
      <c r="A112" s="22" t="str">
        <f t="shared" si="59"/>
        <v/>
      </c>
      <c r="B112" s="474" t="str">
        <f>_xlfn.LET(_xlpm.x,'Diversion and Disposal'!D108,IF(OR(LEN(_xlpm.x)&lt;1,_xlpm.x=0),"",_xlpm.x))</f>
        <v/>
      </c>
      <c r="C112" s="475" t="str">
        <f>_xlfn.LET(_xlpm.x,'Diversion and Disposal'!E108,IF(OR(LEN(_xlpm.x)&lt;1,_xlpm.x=0),"",_xlpm.x))</f>
        <v/>
      </c>
      <c r="D112" s="475" t="str">
        <f>_xlfn.LET(_xlpm.x,'Diversion and Disposal'!F108,IF(OR(LEN(_xlpm.x)&lt;1,_xlpm.x=0),"",_xlpm.x))</f>
        <v/>
      </c>
      <c r="E112" s="475" t="str">
        <f>_xlfn.LET(_xlpm.x,'Diversion and Disposal'!G108,IF(OR(LEN(_xlpm.x)&lt;1,_xlpm.x=0),"",_xlpm.x))</f>
        <v/>
      </c>
      <c r="F112" s="407"/>
      <c r="G112" s="511"/>
      <c r="H112" s="514" t="str">
        <f>_xlfn.LET(_xlpm.x,'Diversion and Disposal'!H108,IF(OR(LEN(_xlpm.x)&lt;1,_xlpm.x=0),"",_xlpm.x))</f>
        <v/>
      </c>
      <c r="I112" s="514" t="str">
        <f>_xlfn.LET(_xlpm.x,'Diversion and Disposal'!I108,IF(OR(LEN(_xlpm.x)&lt;1,_xlpm.x=0),"",_xlpm.x))</f>
        <v/>
      </c>
      <c r="J112" s="514" t="str">
        <f>_xlfn.LET(_xlpm.x,'Diversion and Disposal'!J108,IF(OR(LEN(_xlpm.x)&lt;1,_xlpm.x=0),"",_xlpm.x))</f>
        <v/>
      </c>
      <c r="K112" s="514" t="str">
        <f>_xlfn.LET(_xlpm.x,'Diversion and Disposal'!K108,IF(OR(LEN(_xlpm.x)&lt;1,_xlpm.x=0),"",_xlpm.x))</f>
        <v/>
      </c>
      <c r="L112" s="514" t="str">
        <f>_xlfn.LET(_xlpm.x,'Diversion and Disposal'!L108,IF(OR(LEN(_xlpm.x)&lt;1,_xlpm.x=0),"",_xlpm.x))</f>
        <v/>
      </c>
      <c r="M112" s="514" t="str">
        <f>_xlfn.LET(_xlpm.x,'Diversion and Disposal'!M108,IF(OR(LEN(_xlpm.x)&lt;1,_xlpm.x=0),"",_xlpm.x))</f>
        <v/>
      </c>
      <c r="N112" s="514" t="str">
        <f>_xlfn.LET(_xlpm.x,'Diversion and Disposal'!N108,IF(OR(LEN(_xlpm.x)&lt;1,_xlpm.x=0),"",_xlpm.x))</f>
        <v/>
      </c>
      <c r="O112" s="514" t="str">
        <f>_xlfn.LET(_xlpm.x,'Diversion and Disposal'!O108,IF(OR(LEN(_xlpm.x)&lt;1,_xlpm.x=0),"",_xlpm.x))</f>
        <v/>
      </c>
      <c r="P112" s="514" t="str">
        <f>_xlfn.LET(_xlpm.x,'Diversion and Disposal'!P108,IF(OR(LEN(_xlpm.x)&lt;1,_xlpm.x=0),"",_xlpm.x))</f>
        <v/>
      </c>
      <c r="Q112" s="514" t="str">
        <f>_xlfn.LET(_xlpm.x,'Diversion and Disposal'!Q108,IF(OR(LEN(_xlpm.x)&lt;1,_xlpm.x=0),"",_xlpm.x))</f>
        <v/>
      </c>
      <c r="R112" s="514" t="str">
        <f>_xlfn.LET(_xlpm.x,'Diversion and Disposal'!R108,IF(OR(LEN(_xlpm.x)&lt;1,_xlpm.x=0),"",_xlpm.x))</f>
        <v/>
      </c>
      <c r="S112" s="514" t="str">
        <f>_xlfn.LET(_xlpm.x,'Diversion and Disposal'!S108,IF(OR(LEN(_xlpm.x)&lt;1,_xlpm.x=0),"",_xlpm.x))</f>
        <v/>
      </c>
      <c r="T112" s="513">
        <f t="shared" si="96"/>
        <v>0</v>
      </c>
      <c r="BB112" s="432" t="str">
        <f t="shared" si="60"/>
        <v/>
      </c>
      <c r="BC112" s="432" t="str">
        <f t="shared" si="61"/>
        <v/>
      </c>
      <c r="BD112" s="432" t="str">
        <f t="shared" si="62"/>
        <v/>
      </c>
      <c r="BE112" s="432" t="str">
        <f t="shared" si="63"/>
        <v/>
      </c>
      <c r="BF112" s="432" t="str">
        <f t="shared" si="64"/>
        <v/>
      </c>
      <c r="BG112" s="477" t="str">
        <f t="shared" si="65"/>
        <v/>
      </c>
      <c r="BH112" s="477" t="str">
        <f t="shared" si="66"/>
        <v/>
      </c>
      <c r="BI112" s="477" t="str">
        <f t="shared" si="67"/>
        <v/>
      </c>
      <c r="BJ112" s="477" t="str">
        <f t="shared" si="68"/>
        <v/>
      </c>
      <c r="BK112" s="477" t="str">
        <f t="shared" si="69"/>
        <v/>
      </c>
      <c r="BL112" s="477" t="str">
        <f t="shared" si="70"/>
        <v/>
      </c>
      <c r="BM112" s="477" t="str">
        <f t="shared" si="71"/>
        <v/>
      </c>
      <c r="BN112" s="477" t="str">
        <f t="shared" si="72"/>
        <v/>
      </c>
      <c r="BO112" s="477" t="str">
        <f t="shared" si="73"/>
        <v/>
      </c>
      <c r="BP112" s="477" t="str">
        <f t="shared" si="74"/>
        <v/>
      </c>
      <c r="BQ112" s="477" t="str">
        <f t="shared" si="75"/>
        <v/>
      </c>
      <c r="BR112" s="477" t="str">
        <f t="shared" si="76"/>
        <v/>
      </c>
      <c r="BS112" s="477" t="str">
        <f t="shared" si="77"/>
        <v/>
      </c>
      <c r="BT112" s="435">
        <f t="shared" si="78"/>
        <v>0</v>
      </c>
      <c r="BU112" s="434" t="str">
        <f t="shared" si="79"/>
        <v/>
      </c>
      <c r="BV112" s="479" t="str">
        <f t="shared" si="91"/>
        <v/>
      </c>
      <c r="BW112" s="479" t="str">
        <f t="shared" si="80"/>
        <v/>
      </c>
      <c r="BX112" s="479" t="str">
        <f t="shared" si="81"/>
        <v/>
      </c>
      <c r="BY112" s="479" t="str">
        <f t="shared" si="82"/>
        <v/>
      </c>
      <c r="BZ112" s="479" t="str">
        <f t="shared" si="83"/>
        <v/>
      </c>
      <c r="CA112" s="479" t="str">
        <f t="shared" si="84"/>
        <v/>
      </c>
      <c r="CB112" s="479" t="str">
        <f t="shared" si="85"/>
        <v/>
      </c>
      <c r="CC112" s="479" t="str">
        <f t="shared" si="86"/>
        <v/>
      </c>
      <c r="CD112" s="479" t="str">
        <f t="shared" si="87"/>
        <v/>
      </c>
      <c r="CE112" s="479" t="str">
        <f t="shared" si="88"/>
        <v/>
      </c>
      <c r="CF112" s="479" t="str">
        <f t="shared" si="89"/>
        <v/>
      </c>
      <c r="CG112" s="479" t="str">
        <f t="shared" si="90"/>
        <v/>
      </c>
      <c r="CH112" s="480">
        <f t="shared" si="92"/>
        <v>0</v>
      </c>
      <c r="DD112" s="497" cm="1">
        <f t="array" ref="DD112">_xlfn.IFS('Project Inputs'!$F$150&lt;&gt;"Yes",0,DE112=18,0,DE112&lt;&gt;18,SUM(DF112:DG112))</f>
        <v>0</v>
      </c>
      <c r="DE112" s="31">
        <f t="shared" si="93"/>
        <v>18</v>
      </c>
      <c r="DF112" s="31">
        <f t="shared" si="94"/>
        <v>0</v>
      </c>
      <c r="DG112" s="31">
        <f t="shared" si="95"/>
        <v>0</v>
      </c>
    </row>
    <row r="113" spans="1:111" hidden="1" outlineLevel="1">
      <c r="A113" s="22" t="str">
        <f t="shared" si="59"/>
        <v/>
      </c>
      <c r="B113" s="474" t="str">
        <f>_xlfn.LET(_xlpm.x,'Diversion and Disposal'!D109,IF(OR(LEN(_xlpm.x)&lt;1,_xlpm.x=0),"",_xlpm.x))</f>
        <v/>
      </c>
      <c r="C113" s="475" t="str">
        <f>_xlfn.LET(_xlpm.x,'Diversion and Disposal'!E109,IF(OR(LEN(_xlpm.x)&lt;1,_xlpm.x=0),"",_xlpm.x))</f>
        <v/>
      </c>
      <c r="D113" s="475" t="str">
        <f>_xlfn.LET(_xlpm.x,'Diversion and Disposal'!F109,IF(OR(LEN(_xlpm.x)&lt;1,_xlpm.x=0),"",_xlpm.x))</f>
        <v/>
      </c>
      <c r="E113" s="475" t="str">
        <f>_xlfn.LET(_xlpm.x,'Diversion and Disposal'!G109,IF(OR(LEN(_xlpm.x)&lt;1,_xlpm.x=0),"",_xlpm.x))</f>
        <v/>
      </c>
      <c r="F113" s="407"/>
      <c r="G113" s="511"/>
      <c r="H113" s="514" t="str">
        <f>_xlfn.LET(_xlpm.x,'Diversion and Disposal'!H109,IF(OR(LEN(_xlpm.x)&lt;1,_xlpm.x=0),"",_xlpm.x))</f>
        <v/>
      </c>
      <c r="I113" s="514" t="str">
        <f>_xlfn.LET(_xlpm.x,'Diversion and Disposal'!I109,IF(OR(LEN(_xlpm.x)&lt;1,_xlpm.x=0),"",_xlpm.x))</f>
        <v/>
      </c>
      <c r="J113" s="514" t="str">
        <f>_xlfn.LET(_xlpm.x,'Diversion and Disposal'!J109,IF(OR(LEN(_xlpm.x)&lt;1,_xlpm.x=0),"",_xlpm.x))</f>
        <v/>
      </c>
      <c r="K113" s="514" t="str">
        <f>_xlfn.LET(_xlpm.x,'Diversion and Disposal'!K109,IF(OR(LEN(_xlpm.x)&lt;1,_xlpm.x=0),"",_xlpm.x))</f>
        <v/>
      </c>
      <c r="L113" s="514" t="str">
        <f>_xlfn.LET(_xlpm.x,'Diversion and Disposal'!L109,IF(OR(LEN(_xlpm.x)&lt;1,_xlpm.x=0),"",_xlpm.x))</f>
        <v/>
      </c>
      <c r="M113" s="514" t="str">
        <f>_xlfn.LET(_xlpm.x,'Diversion and Disposal'!M109,IF(OR(LEN(_xlpm.x)&lt;1,_xlpm.x=0),"",_xlpm.x))</f>
        <v/>
      </c>
      <c r="N113" s="514" t="str">
        <f>_xlfn.LET(_xlpm.x,'Diversion and Disposal'!N109,IF(OR(LEN(_xlpm.x)&lt;1,_xlpm.x=0),"",_xlpm.x))</f>
        <v/>
      </c>
      <c r="O113" s="514" t="str">
        <f>_xlfn.LET(_xlpm.x,'Diversion and Disposal'!O109,IF(OR(LEN(_xlpm.x)&lt;1,_xlpm.x=0),"",_xlpm.x))</f>
        <v/>
      </c>
      <c r="P113" s="514" t="str">
        <f>_xlfn.LET(_xlpm.x,'Diversion and Disposal'!P109,IF(OR(LEN(_xlpm.x)&lt;1,_xlpm.x=0),"",_xlpm.x))</f>
        <v/>
      </c>
      <c r="Q113" s="514" t="str">
        <f>_xlfn.LET(_xlpm.x,'Diversion and Disposal'!Q109,IF(OR(LEN(_xlpm.x)&lt;1,_xlpm.x=0),"",_xlpm.x))</f>
        <v/>
      </c>
      <c r="R113" s="514" t="str">
        <f>_xlfn.LET(_xlpm.x,'Diversion and Disposal'!R109,IF(OR(LEN(_xlpm.x)&lt;1,_xlpm.x=0),"",_xlpm.x))</f>
        <v/>
      </c>
      <c r="S113" s="514" t="str">
        <f>_xlfn.LET(_xlpm.x,'Diversion and Disposal'!S109,IF(OR(LEN(_xlpm.x)&lt;1,_xlpm.x=0),"",_xlpm.x))</f>
        <v/>
      </c>
      <c r="T113" s="513">
        <f t="shared" si="96"/>
        <v>0</v>
      </c>
      <c r="BB113" s="432" t="str">
        <f t="shared" si="60"/>
        <v/>
      </c>
      <c r="BC113" s="432" t="str">
        <f t="shared" si="61"/>
        <v/>
      </c>
      <c r="BD113" s="432" t="str">
        <f t="shared" si="62"/>
        <v/>
      </c>
      <c r="BE113" s="432" t="str">
        <f t="shared" si="63"/>
        <v/>
      </c>
      <c r="BF113" s="432" t="str">
        <f t="shared" si="64"/>
        <v/>
      </c>
      <c r="BG113" s="477" t="str">
        <f t="shared" si="65"/>
        <v/>
      </c>
      <c r="BH113" s="477" t="str">
        <f t="shared" si="66"/>
        <v/>
      </c>
      <c r="BI113" s="477" t="str">
        <f t="shared" si="67"/>
        <v/>
      </c>
      <c r="BJ113" s="477" t="str">
        <f t="shared" si="68"/>
        <v/>
      </c>
      <c r="BK113" s="477" t="str">
        <f t="shared" si="69"/>
        <v/>
      </c>
      <c r="BL113" s="477" t="str">
        <f t="shared" si="70"/>
        <v/>
      </c>
      <c r="BM113" s="477" t="str">
        <f t="shared" si="71"/>
        <v/>
      </c>
      <c r="BN113" s="477" t="str">
        <f t="shared" si="72"/>
        <v/>
      </c>
      <c r="BO113" s="477" t="str">
        <f t="shared" si="73"/>
        <v/>
      </c>
      <c r="BP113" s="477" t="str">
        <f t="shared" si="74"/>
        <v/>
      </c>
      <c r="BQ113" s="477" t="str">
        <f t="shared" si="75"/>
        <v/>
      </c>
      <c r="BR113" s="477" t="str">
        <f t="shared" si="76"/>
        <v/>
      </c>
      <c r="BS113" s="477" t="str">
        <f t="shared" si="77"/>
        <v/>
      </c>
      <c r="BT113" s="435">
        <f t="shared" si="78"/>
        <v>0</v>
      </c>
      <c r="BU113" s="434" t="str">
        <f t="shared" si="79"/>
        <v/>
      </c>
      <c r="BV113" s="479" t="str">
        <f t="shared" si="91"/>
        <v/>
      </c>
      <c r="BW113" s="479" t="str">
        <f t="shared" si="80"/>
        <v/>
      </c>
      <c r="BX113" s="479" t="str">
        <f t="shared" si="81"/>
        <v/>
      </c>
      <c r="BY113" s="479" t="str">
        <f t="shared" si="82"/>
        <v/>
      </c>
      <c r="BZ113" s="479" t="str">
        <f t="shared" si="83"/>
        <v/>
      </c>
      <c r="CA113" s="479" t="str">
        <f t="shared" si="84"/>
        <v/>
      </c>
      <c r="CB113" s="479" t="str">
        <f t="shared" si="85"/>
        <v/>
      </c>
      <c r="CC113" s="479" t="str">
        <f t="shared" si="86"/>
        <v/>
      </c>
      <c r="CD113" s="479" t="str">
        <f t="shared" si="87"/>
        <v/>
      </c>
      <c r="CE113" s="479" t="str">
        <f t="shared" si="88"/>
        <v/>
      </c>
      <c r="CF113" s="479" t="str">
        <f t="shared" si="89"/>
        <v/>
      </c>
      <c r="CG113" s="479" t="str">
        <f t="shared" si="90"/>
        <v/>
      </c>
      <c r="CH113" s="480">
        <f t="shared" si="92"/>
        <v>0</v>
      </c>
      <c r="DD113" s="497" cm="1">
        <f t="array" ref="DD113">_xlfn.IFS('Project Inputs'!$F$150&lt;&gt;"Yes",0,DE113=18,0,DE113&lt;&gt;18,SUM(DF113:DG113))</f>
        <v>0</v>
      </c>
      <c r="DE113" s="31">
        <f t="shared" si="93"/>
        <v>18</v>
      </c>
      <c r="DF113" s="31">
        <f t="shared" si="94"/>
        <v>0</v>
      </c>
      <c r="DG113" s="31">
        <f t="shared" si="95"/>
        <v>0</v>
      </c>
    </row>
    <row r="114" spans="1:111" hidden="1" outlineLevel="1">
      <c r="A114" s="22" t="str">
        <f t="shared" si="59"/>
        <v/>
      </c>
      <c r="B114" s="474" t="str">
        <f>_xlfn.LET(_xlpm.x,'Diversion and Disposal'!D110,IF(OR(LEN(_xlpm.x)&lt;1,_xlpm.x=0),"",_xlpm.x))</f>
        <v/>
      </c>
      <c r="C114" s="475" t="str">
        <f>_xlfn.LET(_xlpm.x,'Diversion and Disposal'!E110,IF(OR(LEN(_xlpm.x)&lt;1,_xlpm.x=0),"",_xlpm.x))</f>
        <v/>
      </c>
      <c r="D114" s="475" t="str">
        <f>_xlfn.LET(_xlpm.x,'Diversion and Disposal'!F110,IF(OR(LEN(_xlpm.x)&lt;1,_xlpm.x=0),"",_xlpm.x))</f>
        <v/>
      </c>
      <c r="E114" s="475" t="str">
        <f>_xlfn.LET(_xlpm.x,'Diversion and Disposal'!G110,IF(OR(LEN(_xlpm.x)&lt;1,_xlpm.x=0),"",_xlpm.x))</f>
        <v/>
      </c>
      <c r="F114" s="407"/>
      <c r="G114" s="511"/>
      <c r="H114" s="514" t="str">
        <f>_xlfn.LET(_xlpm.x,'Diversion and Disposal'!H110,IF(OR(LEN(_xlpm.x)&lt;1,_xlpm.x=0),"",_xlpm.x))</f>
        <v/>
      </c>
      <c r="I114" s="514" t="str">
        <f>_xlfn.LET(_xlpm.x,'Diversion and Disposal'!I110,IF(OR(LEN(_xlpm.x)&lt;1,_xlpm.x=0),"",_xlpm.x))</f>
        <v/>
      </c>
      <c r="J114" s="514" t="str">
        <f>_xlfn.LET(_xlpm.x,'Diversion and Disposal'!J110,IF(OR(LEN(_xlpm.x)&lt;1,_xlpm.x=0),"",_xlpm.x))</f>
        <v/>
      </c>
      <c r="K114" s="514" t="str">
        <f>_xlfn.LET(_xlpm.x,'Diversion and Disposal'!K110,IF(OR(LEN(_xlpm.x)&lt;1,_xlpm.x=0),"",_xlpm.x))</f>
        <v/>
      </c>
      <c r="L114" s="514" t="str">
        <f>_xlfn.LET(_xlpm.x,'Diversion and Disposal'!L110,IF(OR(LEN(_xlpm.x)&lt;1,_xlpm.x=0),"",_xlpm.x))</f>
        <v/>
      </c>
      <c r="M114" s="514" t="str">
        <f>_xlfn.LET(_xlpm.x,'Diversion and Disposal'!M110,IF(OR(LEN(_xlpm.x)&lt;1,_xlpm.x=0),"",_xlpm.x))</f>
        <v/>
      </c>
      <c r="N114" s="514" t="str">
        <f>_xlfn.LET(_xlpm.x,'Diversion and Disposal'!N110,IF(OR(LEN(_xlpm.x)&lt;1,_xlpm.x=0),"",_xlpm.x))</f>
        <v/>
      </c>
      <c r="O114" s="514" t="str">
        <f>_xlfn.LET(_xlpm.x,'Diversion and Disposal'!O110,IF(OR(LEN(_xlpm.x)&lt;1,_xlpm.x=0),"",_xlpm.x))</f>
        <v/>
      </c>
      <c r="P114" s="514" t="str">
        <f>_xlfn.LET(_xlpm.x,'Diversion and Disposal'!P110,IF(OR(LEN(_xlpm.x)&lt;1,_xlpm.x=0),"",_xlpm.x))</f>
        <v/>
      </c>
      <c r="Q114" s="514" t="str">
        <f>_xlfn.LET(_xlpm.x,'Diversion and Disposal'!Q110,IF(OR(LEN(_xlpm.x)&lt;1,_xlpm.x=0),"",_xlpm.x))</f>
        <v/>
      </c>
      <c r="R114" s="514" t="str">
        <f>_xlfn.LET(_xlpm.x,'Diversion and Disposal'!R110,IF(OR(LEN(_xlpm.x)&lt;1,_xlpm.x=0),"",_xlpm.x))</f>
        <v/>
      </c>
      <c r="S114" s="514" t="str">
        <f>_xlfn.LET(_xlpm.x,'Diversion and Disposal'!S110,IF(OR(LEN(_xlpm.x)&lt;1,_xlpm.x=0),"",_xlpm.x))</f>
        <v/>
      </c>
      <c r="T114" s="513">
        <f t="shared" si="96"/>
        <v>0</v>
      </c>
      <c r="BB114" s="432" t="str">
        <f t="shared" si="60"/>
        <v/>
      </c>
      <c r="BC114" s="432" t="str">
        <f t="shared" si="61"/>
        <v/>
      </c>
      <c r="BD114" s="432" t="str">
        <f t="shared" si="62"/>
        <v/>
      </c>
      <c r="BE114" s="432" t="str">
        <f t="shared" si="63"/>
        <v/>
      </c>
      <c r="BF114" s="432" t="str">
        <f t="shared" si="64"/>
        <v/>
      </c>
      <c r="BG114" s="477" t="str">
        <f t="shared" si="65"/>
        <v/>
      </c>
      <c r="BH114" s="477" t="str">
        <f t="shared" si="66"/>
        <v/>
      </c>
      <c r="BI114" s="477" t="str">
        <f t="shared" si="67"/>
        <v/>
      </c>
      <c r="BJ114" s="477" t="str">
        <f t="shared" si="68"/>
        <v/>
      </c>
      <c r="BK114" s="477" t="str">
        <f t="shared" si="69"/>
        <v/>
      </c>
      <c r="BL114" s="477" t="str">
        <f t="shared" si="70"/>
        <v/>
      </c>
      <c r="BM114" s="477" t="str">
        <f t="shared" si="71"/>
        <v/>
      </c>
      <c r="BN114" s="477" t="str">
        <f t="shared" si="72"/>
        <v/>
      </c>
      <c r="BO114" s="477" t="str">
        <f t="shared" si="73"/>
        <v/>
      </c>
      <c r="BP114" s="477" t="str">
        <f t="shared" si="74"/>
        <v/>
      </c>
      <c r="BQ114" s="477" t="str">
        <f t="shared" si="75"/>
        <v/>
      </c>
      <c r="BR114" s="477" t="str">
        <f t="shared" si="76"/>
        <v/>
      </c>
      <c r="BS114" s="477" t="str">
        <f t="shared" si="77"/>
        <v/>
      </c>
      <c r="BT114" s="435">
        <f t="shared" si="78"/>
        <v>0</v>
      </c>
      <c r="BU114" s="434" t="str">
        <f t="shared" si="79"/>
        <v/>
      </c>
      <c r="BV114" s="479" t="str">
        <f t="shared" si="91"/>
        <v/>
      </c>
      <c r="BW114" s="479" t="str">
        <f t="shared" si="80"/>
        <v/>
      </c>
      <c r="BX114" s="479" t="str">
        <f t="shared" si="81"/>
        <v/>
      </c>
      <c r="BY114" s="479" t="str">
        <f t="shared" si="82"/>
        <v/>
      </c>
      <c r="BZ114" s="479" t="str">
        <f t="shared" si="83"/>
        <v/>
      </c>
      <c r="CA114" s="479" t="str">
        <f t="shared" si="84"/>
        <v/>
      </c>
      <c r="CB114" s="479" t="str">
        <f t="shared" si="85"/>
        <v/>
      </c>
      <c r="CC114" s="479" t="str">
        <f t="shared" si="86"/>
        <v/>
      </c>
      <c r="CD114" s="479" t="str">
        <f t="shared" si="87"/>
        <v/>
      </c>
      <c r="CE114" s="479" t="str">
        <f t="shared" si="88"/>
        <v/>
      </c>
      <c r="CF114" s="479" t="str">
        <f t="shared" si="89"/>
        <v/>
      </c>
      <c r="CG114" s="479" t="str">
        <f t="shared" si="90"/>
        <v/>
      </c>
      <c r="CH114" s="480">
        <f t="shared" si="92"/>
        <v>0</v>
      </c>
      <c r="DD114" s="497" cm="1">
        <f t="array" ref="DD114">_xlfn.IFS('Project Inputs'!$F$150&lt;&gt;"Yes",0,DE114=18,0,DE114&lt;&gt;18,SUM(DF114:DG114))</f>
        <v>0</v>
      </c>
      <c r="DE114" s="31">
        <f t="shared" si="93"/>
        <v>18</v>
      </c>
      <c r="DF114" s="31">
        <f t="shared" si="94"/>
        <v>0</v>
      </c>
      <c r="DG114" s="31">
        <f t="shared" si="95"/>
        <v>0</v>
      </c>
    </row>
    <row r="115" spans="1:111" hidden="1" outlineLevel="1">
      <c r="A115" s="22" t="str">
        <f t="shared" si="59"/>
        <v/>
      </c>
      <c r="B115" s="474" t="str">
        <f>_xlfn.LET(_xlpm.x,'Diversion and Disposal'!D111,IF(OR(LEN(_xlpm.x)&lt;1,_xlpm.x=0),"",_xlpm.x))</f>
        <v/>
      </c>
      <c r="C115" s="475" t="str">
        <f>_xlfn.LET(_xlpm.x,'Diversion and Disposal'!E111,IF(OR(LEN(_xlpm.x)&lt;1,_xlpm.x=0),"",_xlpm.x))</f>
        <v/>
      </c>
      <c r="D115" s="475" t="str">
        <f>_xlfn.LET(_xlpm.x,'Diversion and Disposal'!F111,IF(OR(LEN(_xlpm.x)&lt;1,_xlpm.x=0),"",_xlpm.x))</f>
        <v/>
      </c>
      <c r="E115" s="475" t="str">
        <f>_xlfn.LET(_xlpm.x,'Diversion and Disposal'!G111,IF(OR(LEN(_xlpm.x)&lt;1,_xlpm.x=0),"",_xlpm.x))</f>
        <v/>
      </c>
      <c r="F115" s="407"/>
      <c r="G115" s="511"/>
      <c r="H115" s="514" t="str">
        <f>_xlfn.LET(_xlpm.x,'Diversion and Disposal'!H111,IF(OR(LEN(_xlpm.x)&lt;1,_xlpm.x=0),"",_xlpm.x))</f>
        <v/>
      </c>
      <c r="I115" s="514" t="str">
        <f>_xlfn.LET(_xlpm.x,'Diversion and Disposal'!I111,IF(OR(LEN(_xlpm.x)&lt;1,_xlpm.x=0),"",_xlpm.x))</f>
        <v/>
      </c>
      <c r="J115" s="514" t="str">
        <f>_xlfn.LET(_xlpm.x,'Diversion and Disposal'!J111,IF(OR(LEN(_xlpm.x)&lt;1,_xlpm.x=0),"",_xlpm.x))</f>
        <v/>
      </c>
      <c r="K115" s="514" t="str">
        <f>_xlfn.LET(_xlpm.x,'Diversion and Disposal'!K111,IF(OR(LEN(_xlpm.x)&lt;1,_xlpm.x=0),"",_xlpm.x))</f>
        <v/>
      </c>
      <c r="L115" s="514" t="str">
        <f>_xlfn.LET(_xlpm.x,'Diversion and Disposal'!L111,IF(OR(LEN(_xlpm.x)&lt;1,_xlpm.x=0),"",_xlpm.x))</f>
        <v/>
      </c>
      <c r="M115" s="514" t="str">
        <f>_xlfn.LET(_xlpm.x,'Diversion and Disposal'!M111,IF(OR(LEN(_xlpm.x)&lt;1,_xlpm.x=0),"",_xlpm.x))</f>
        <v/>
      </c>
      <c r="N115" s="514" t="str">
        <f>_xlfn.LET(_xlpm.x,'Diversion and Disposal'!N111,IF(OR(LEN(_xlpm.x)&lt;1,_xlpm.x=0),"",_xlpm.x))</f>
        <v/>
      </c>
      <c r="O115" s="514" t="str">
        <f>_xlfn.LET(_xlpm.x,'Diversion and Disposal'!O111,IF(OR(LEN(_xlpm.x)&lt;1,_xlpm.x=0),"",_xlpm.x))</f>
        <v/>
      </c>
      <c r="P115" s="514" t="str">
        <f>_xlfn.LET(_xlpm.x,'Diversion and Disposal'!P111,IF(OR(LEN(_xlpm.x)&lt;1,_xlpm.x=0),"",_xlpm.x))</f>
        <v/>
      </c>
      <c r="Q115" s="514" t="str">
        <f>_xlfn.LET(_xlpm.x,'Diversion and Disposal'!Q111,IF(OR(LEN(_xlpm.x)&lt;1,_xlpm.x=0),"",_xlpm.x))</f>
        <v/>
      </c>
      <c r="R115" s="514" t="str">
        <f>_xlfn.LET(_xlpm.x,'Diversion and Disposal'!R111,IF(OR(LEN(_xlpm.x)&lt;1,_xlpm.x=0),"",_xlpm.x))</f>
        <v/>
      </c>
      <c r="S115" s="514" t="str">
        <f>_xlfn.LET(_xlpm.x,'Diversion and Disposal'!S111,IF(OR(LEN(_xlpm.x)&lt;1,_xlpm.x=0),"",_xlpm.x))</f>
        <v/>
      </c>
      <c r="T115" s="513">
        <f t="shared" si="96"/>
        <v>0</v>
      </c>
      <c r="BB115" s="432" t="str">
        <f t="shared" si="60"/>
        <v/>
      </c>
      <c r="BC115" s="432" t="str">
        <f t="shared" si="61"/>
        <v/>
      </c>
      <c r="BD115" s="432" t="str">
        <f t="shared" si="62"/>
        <v/>
      </c>
      <c r="BE115" s="432" t="str">
        <f t="shared" si="63"/>
        <v/>
      </c>
      <c r="BF115" s="432" t="str">
        <f t="shared" si="64"/>
        <v/>
      </c>
      <c r="BG115" s="477" t="str">
        <f t="shared" si="65"/>
        <v/>
      </c>
      <c r="BH115" s="477" t="str">
        <f t="shared" si="66"/>
        <v/>
      </c>
      <c r="BI115" s="477" t="str">
        <f t="shared" si="67"/>
        <v/>
      </c>
      <c r="BJ115" s="477" t="str">
        <f t="shared" si="68"/>
        <v/>
      </c>
      <c r="BK115" s="477" t="str">
        <f t="shared" si="69"/>
        <v/>
      </c>
      <c r="BL115" s="477" t="str">
        <f t="shared" si="70"/>
        <v/>
      </c>
      <c r="BM115" s="477" t="str">
        <f t="shared" si="71"/>
        <v/>
      </c>
      <c r="BN115" s="477" t="str">
        <f t="shared" si="72"/>
        <v/>
      </c>
      <c r="BO115" s="477" t="str">
        <f t="shared" si="73"/>
        <v/>
      </c>
      <c r="BP115" s="477" t="str">
        <f t="shared" si="74"/>
        <v/>
      </c>
      <c r="BQ115" s="477" t="str">
        <f t="shared" si="75"/>
        <v/>
      </c>
      <c r="BR115" s="477" t="str">
        <f t="shared" si="76"/>
        <v/>
      </c>
      <c r="BS115" s="477" t="str">
        <f t="shared" si="77"/>
        <v/>
      </c>
      <c r="BT115" s="435">
        <f t="shared" si="78"/>
        <v>0</v>
      </c>
      <c r="BU115" s="434" t="str">
        <f t="shared" si="79"/>
        <v/>
      </c>
      <c r="BV115" s="479" t="str">
        <f t="shared" si="91"/>
        <v/>
      </c>
      <c r="BW115" s="479" t="str">
        <f t="shared" si="80"/>
        <v/>
      </c>
      <c r="BX115" s="479" t="str">
        <f t="shared" si="81"/>
        <v/>
      </c>
      <c r="BY115" s="479" t="str">
        <f t="shared" si="82"/>
        <v/>
      </c>
      <c r="BZ115" s="479" t="str">
        <f t="shared" si="83"/>
        <v/>
      </c>
      <c r="CA115" s="479" t="str">
        <f t="shared" si="84"/>
        <v/>
      </c>
      <c r="CB115" s="479" t="str">
        <f t="shared" si="85"/>
        <v/>
      </c>
      <c r="CC115" s="479" t="str">
        <f t="shared" si="86"/>
        <v/>
      </c>
      <c r="CD115" s="479" t="str">
        <f t="shared" si="87"/>
        <v/>
      </c>
      <c r="CE115" s="479" t="str">
        <f t="shared" si="88"/>
        <v/>
      </c>
      <c r="CF115" s="479" t="str">
        <f t="shared" si="89"/>
        <v/>
      </c>
      <c r="CG115" s="479" t="str">
        <f t="shared" si="90"/>
        <v/>
      </c>
      <c r="CH115" s="480">
        <f t="shared" si="92"/>
        <v>0</v>
      </c>
      <c r="DD115" s="497" cm="1">
        <f t="array" ref="DD115">_xlfn.IFS('Project Inputs'!$F$150&lt;&gt;"Yes",0,DE115=18,0,DE115&lt;&gt;18,SUM(DF115:DG115))</f>
        <v>0</v>
      </c>
      <c r="DE115" s="31">
        <f t="shared" si="93"/>
        <v>18</v>
      </c>
      <c r="DF115" s="31">
        <f t="shared" si="94"/>
        <v>0</v>
      </c>
      <c r="DG115" s="31">
        <f t="shared" si="95"/>
        <v>0</v>
      </c>
    </row>
    <row r="116" spans="1:111" hidden="1" outlineLevel="1">
      <c r="A116" s="22" t="str">
        <f t="shared" si="59"/>
        <v/>
      </c>
      <c r="B116" s="474" t="str">
        <f>_xlfn.LET(_xlpm.x,'Diversion and Disposal'!D112,IF(OR(LEN(_xlpm.x)&lt;1,_xlpm.x=0),"",_xlpm.x))</f>
        <v/>
      </c>
      <c r="C116" s="475" t="str">
        <f>_xlfn.LET(_xlpm.x,'Diversion and Disposal'!E112,IF(OR(LEN(_xlpm.x)&lt;1,_xlpm.x=0),"",_xlpm.x))</f>
        <v/>
      </c>
      <c r="D116" s="475" t="str">
        <f>_xlfn.LET(_xlpm.x,'Diversion and Disposal'!F112,IF(OR(LEN(_xlpm.x)&lt;1,_xlpm.x=0),"",_xlpm.x))</f>
        <v/>
      </c>
      <c r="E116" s="475" t="str">
        <f>_xlfn.LET(_xlpm.x,'Diversion and Disposal'!G112,IF(OR(LEN(_xlpm.x)&lt;1,_xlpm.x=0),"",_xlpm.x))</f>
        <v/>
      </c>
      <c r="F116" s="407"/>
      <c r="G116" s="511"/>
      <c r="H116" s="514" t="str">
        <f>_xlfn.LET(_xlpm.x,'Diversion and Disposal'!H112,IF(OR(LEN(_xlpm.x)&lt;1,_xlpm.x=0),"",_xlpm.x))</f>
        <v/>
      </c>
      <c r="I116" s="514" t="str">
        <f>_xlfn.LET(_xlpm.x,'Diversion and Disposal'!I112,IF(OR(LEN(_xlpm.x)&lt;1,_xlpm.x=0),"",_xlpm.x))</f>
        <v/>
      </c>
      <c r="J116" s="514" t="str">
        <f>_xlfn.LET(_xlpm.x,'Diversion and Disposal'!J112,IF(OR(LEN(_xlpm.x)&lt;1,_xlpm.x=0),"",_xlpm.x))</f>
        <v/>
      </c>
      <c r="K116" s="514" t="str">
        <f>_xlfn.LET(_xlpm.x,'Diversion and Disposal'!K112,IF(OR(LEN(_xlpm.x)&lt;1,_xlpm.x=0),"",_xlpm.x))</f>
        <v/>
      </c>
      <c r="L116" s="514" t="str">
        <f>_xlfn.LET(_xlpm.x,'Diversion and Disposal'!L112,IF(OR(LEN(_xlpm.x)&lt;1,_xlpm.x=0),"",_xlpm.x))</f>
        <v/>
      </c>
      <c r="M116" s="514" t="str">
        <f>_xlfn.LET(_xlpm.x,'Diversion and Disposal'!M112,IF(OR(LEN(_xlpm.x)&lt;1,_xlpm.x=0),"",_xlpm.x))</f>
        <v/>
      </c>
      <c r="N116" s="514" t="str">
        <f>_xlfn.LET(_xlpm.x,'Diversion and Disposal'!N112,IF(OR(LEN(_xlpm.x)&lt;1,_xlpm.x=0),"",_xlpm.x))</f>
        <v/>
      </c>
      <c r="O116" s="514" t="str">
        <f>_xlfn.LET(_xlpm.x,'Diversion and Disposal'!O112,IF(OR(LEN(_xlpm.x)&lt;1,_xlpm.x=0),"",_xlpm.x))</f>
        <v/>
      </c>
      <c r="P116" s="514" t="str">
        <f>_xlfn.LET(_xlpm.x,'Diversion and Disposal'!P112,IF(OR(LEN(_xlpm.x)&lt;1,_xlpm.x=0),"",_xlpm.x))</f>
        <v/>
      </c>
      <c r="Q116" s="514" t="str">
        <f>_xlfn.LET(_xlpm.x,'Diversion and Disposal'!Q112,IF(OR(LEN(_xlpm.x)&lt;1,_xlpm.x=0),"",_xlpm.x))</f>
        <v/>
      </c>
      <c r="R116" s="514" t="str">
        <f>_xlfn.LET(_xlpm.x,'Diversion and Disposal'!R112,IF(OR(LEN(_xlpm.x)&lt;1,_xlpm.x=0),"",_xlpm.x))</f>
        <v/>
      </c>
      <c r="S116" s="514" t="str">
        <f>_xlfn.LET(_xlpm.x,'Diversion and Disposal'!S112,IF(OR(LEN(_xlpm.x)&lt;1,_xlpm.x=0),"",_xlpm.x))</f>
        <v/>
      </c>
      <c r="T116" s="513">
        <f t="shared" si="96"/>
        <v>0</v>
      </c>
      <c r="BB116" s="432" t="str">
        <f t="shared" si="60"/>
        <v/>
      </c>
      <c r="BC116" s="432" t="str">
        <f t="shared" si="61"/>
        <v/>
      </c>
      <c r="BD116" s="432" t="str">
        <f t="shared" si="62"/>
        <v/>
      </c>
      <c r="BE116" s="432" t="str">
        <f t="shared" si="63"/>
        <v/>
      </c>
      <c r="BF116" s="432" t="str">
        <f t="shared" si="64"/>
        <v/>
      </c>
      <c r="BG116" s="477" t="str">
        <f t="shared" si="65"/>
        <v/>
      </c>
      <c r="BH116" s="477" t="str">
        <f t="shared" si="66"/>
        <v/>
      </c>
      <c r="BI116" s="477" t="str">
        <f t="shared" si="67"/>
        <v/>
      </c>
      <c r="BJ116" s="477" t="str">
        <f t="shared" si="68"/>
        <v/>
      </c>
      <c r="BK116" s="477" t="str">
        <f t="shared" si="69"/>
        <v/>
      </c>
      <c r="BL116" s="477" t="str">
        <f t="shared" si="70"/>
        <v/>
      </c>
      <c r="BM116" s="477" t="str">
        <f t="shared" si="71"/>
        <v/>
      </c>
      <c r="BN116" s="477" t="str">
        <f t="shared" si="72"/>
        <v/>
      </c>
      <c r="BO116" s="477" t="str">
        <f t="shared" si="73"/>
        <v/>
      </c>
      <c r="BP116" s="477" t="str">
        <f t="shared" si="74"/>
        <v/>
      </c>
      <c r="BQ116" s="477" t="str">
        <f t="shared" si="75"/>
        <v/>
      </c>
      <c r="BR116" s="477" t="str">
        <f t="shared" si="76"/>
        <v/>
      </c>
      <c r="BS116" s="477" t="str">
        <f t="shared" si="77"/>
        <v/>
      </c>
      <c r="BT116" s="435">
        <f t="shared" si="78"/>
        <v>0</v>
      </c>
      <c r="BU116" s="434" t="str">
        <f t="shared" si="79"/>
        <v/>
      </c>
      <c r="BV116" s="479" t="str">
        <f t="shared" si="91"/>
        <v/>
      </c>
      <c r="BW116" s="479" t="str">
        <f t="shared" si="80"/>
        <v/>
      </c>
      <c r="BX116" s="479" t="str">
        <f t="shared" si="81"/>
        <v/>
      </c>
      <c r="BY116" s="479" t="str">
        <f t="shared" si="82"/>
        <v/>
      </c>
      <c r="BZ116" s="479" t="str">
        <f t="shared" si="83"/>
        <v/>
      </c>
      <c r="CA116" s="479" t="str">
        <f t="shared" si="84"/>
        <v/>
      </c>
      <c r="CB116" s="479" t="str">
        <f t="shared" si="85"/>
        <v/>
      </c>
      <c r="CC116" s="479" t="str">
        <f t="shared" si="86"/>
        <v/>
      </c>
      <c r="CD116" s="479" t="str">
        <f t="shared" si="87"/>
        <v/>
      </c>
      <c r="CE116" s="479" t="str">
        <f t="shared" si="88"/>
        <v/>
      </c>
      <c r="CF116" s="479" t="str">
        <f t="shared" si="89"/>
        <v/>
      </c>
      <c r="CG116" s="479" t="str">
        <f t="shared" si="90"/>
        <v/>
      </c>
      <c r="CH116" s="480">
        <f t="shared" si="92"/>
        <v>0</v>
      </c>
      <c r="DD116" s="497" cm="1">
        <f t="array" ref="DD116">_xlfn.IFS('Project Inputs'!$F$150&lt;&gt;"Yes",0,DE116=18,0,DE116&lt;&gt;18,SUM(DF116:DG116))</f>
        <v>0</v>
      </c>
      <c r="DE116" s="31">
        <f t="shared" si="93"/>
        <v>18</v>
      </c>
      <c r="DF116" s="31">
        <f t="shared" si="94"/>
        <v>0</v>
      </c>
      <c r="DG116" s="31">
        <f t="shared" si="95"/>
        <v>0</v>
      </c>
    </row>
    <row r="117" spans="1:111" hidden="1" outlineLevel="1">
      <c r="A117" s="22" t="str">
        <f t="shared" si="59"/>
        <v/>
      </c>
      <c r="B117" s="474" t="str">
        <f>_xlfn.LET(_xlpm.x,'Diversion and Disposal'!D113,IF(OR(LEN(_xlpm.x)&lt;1,_xlpm.x=0),"",_xlpm.x))</f>
        <v/>
      </c>
      <c r="C117" s="475" t="str">
        <f>_xlfn.LET(_xlpm.x,'Diversion and Disposal'!E113,IF(OR(LEN(_xlpm.x)&lt;1,_xlpm.x=0),"",_xlpm.x))</f>
        <v/>
      </c>
      <c r="D117" s="475" t="str">
        <f>_xlfn.LET(_xlpm.x,'Diversion and Disposal'!F113,IF(OR(LEN(_xlpm.x)&lt;1,_xlpm.x=0),"",_xlpm.x))</f>
        <v/>
      </c>
      <c r="E117" s="475" t="str">
        <f>_xlfn.LET(_xlpm.x,'Diversion and Disposal'!G113,IF(OR(LEN(_xlpm.x)&lt;1,_xlpm.x=0),"",_xlpm.x))</f>
        <v/>
      </c>
      <c r="F117" s="407"/>
      <c r="G117" s="511"/>
      <c r="H117" s="514" t="str">
        <f>_xlfn.LET(_xlpm.x,'Diversion and Disposal'!H113,IF(OR(LEN(_xlpm.x)&lt;1,_xlpm.x=0),"",_xlpm.x))</f>
        <v/>
      </c>
      <c r="I117" s="514" t="str">
        <f>_xlfn.LET(_xlpm.x,'Diversion and Disposal'!I113,IF(OR(LEN(_xlpm.x)&lt;1,_xlpm.x=0),"",_xlpm.x))</f>
        <v/>
      </c>
      <c r="J117" s="514" t="str">
        <f>_xlfn.LET(_xlpm.x,'Diversion and Disposal'!J113,IF(OR(LEN(_xlpm.x)&lt;1,_xlpm.x=0),"",_xlpm.x))</f>
        <v/>
      </c>
      <c r="K117" s="514" t="str">
        <f>_xlfn.LET(_xlpm.x,'Diversion and Disposal'!K113,IF(OR(LEN(_xlpm.x)&lt;1,_xlpm.x=0),"",_xlpm.x))</f>
        <v/>
      </c>
      <c r="L117" s="514" t="str">
        <f>_xlfn.LET(_xlpm.x,'Diversion and Disposal'!L113,IF(OR(LEN(_xlpm.x)&lt;1,_xlpm.x=0),"",_xlpm.x))</f>
        <v/>
      </c>
      <c r="M117" s="514" t="str">
        <f>_xlfn.LET(_xlpm.x,'Diversion and Disposal'!M113,IF(OR(LEN(_xlpm.x)&lt;1,_xlpm.x=0),"",_xlpm.x))</f>
        <v/>
      </c>
      <c r="N117" s="514" t="str">
        <f>_xlfn.LET(_xlpm.x,'Diversion and Disposal'!N113,IF(OR(LEN(_xlpm.x)&lt;1,_xlpm.x=0),"",_xlpm.x))</f>
        <v/>
      </c>
      <c r="O117" s="514" t="str">
        <f>_xlfn.LET(_xlpm.x,'Diversion and Disposal'!O113,IF(OR(LEN(_xlpm.x)&lt;1,_xlpm.x=0),"",_xlpm.x))</f>
        <v/>
      </c>
      <c r="P117" s="514" t="str">
        <f>_xlfn.LET(_xlpm.x,'Diversion and Disposal'!P113,IF(OR(LEN(_xlpm.x)&lt;1,_xlpm.x=0),"",_xlpm.x))</f>
        <v/>
      </c>
      <c r="Q117" s="514" t="str">
        <f>_xlfn.LET(_xlpm.x,'Diversion and Disposal'!Q113,IF(OR(LEN(_xlpm.x)&lt;1,_xlpm.x=0),"",_xlpm.x))</f>
        <v/>
      </c>
      <c r="R117" s="514" t="str">
        <f>_xlfn.LET(_xlpm.x,'Diversion and Disposal'!R113,IF(OR(LEN(_xlpm.x)&lt;1,_xlpm.x=0),"",_xlpm.x))</f>
        <v/>
      </c>
      <c r="S117" s="514" t="str">
        <f>_xlfn.LET(_xlpm.x,'Diversion and Disposal'!S113,IF(OR(LEN(_xlpm.x)&lt;1,_xlpm.x=0),"",_xlpm.x))</f>
        <v/>
      </c>
      <c r="T117" s="513">
        <f t="shared" si="96"/>
        <v>0</v>
      </c>
      <c r="BB117" t="str">
        <f>_xlfn.LET(_xlpm.x,B118,IF(OR(LEN(_xlpm.x)&lt;1,_xlpm.x=0),"",_xlpm.x))</f>
        <v/>
      </c>
      <c r="BC117" t="str">
        <f>_xlfn.LET(_xlpm.x,C118,IF(OR(LEN(_xlpm.x)&lt;1,_xlpm.x=0),"",_xlpm.x))</f>
        <v/>
      </c>
      <c r="BE117" t="str">
        <f>_xlfn.LET(_xlpm.x,E118,IF(OR(LEN(_xlpm.x)&lt;1,_xlpm.x=0),"",_xlpm.x))</f>
        <v/>
      </c>
      <c r="BF117" t="str">
        <f t="shared" ref="BF117:BS117" si="99">_xlfn.LET(_xlpm.x,F118,IF(OR(LEN(_xlpm.x)&lt;1,_xlpm.x=0),"",_xlpm.x))</f>
        <v/>
      </c>
      <c r="BG117" s="482" t="str">
        <f t="shared" si="65"/>
        <v/>
      </c>
      <c r="BH117" t="str">
        <f t="shared" si="99"/>
        <v/>
      </c>
      <c r="BI117" t="str">
        <f t="shared" si="99"/>
        <v/>
      </c>
      <c r="BJ117" t="str">
        <f t="shared" si="99"/>
        <v/>
      </c>
      <c r="BK117" t="str">
        <f t="shared" si="99"/>
        <v/>
      </c>
      <c r="BL117" t="str">
        <f t="shared" si="99"/>
        <v/>
      </c>
      <c r="BM117" t="str">
        <f t="shared" si="99"/>
        <v/>
      </c>
      <c r="BN117" t="str">
        <f t="shared" si="99"/>
        <v/>
      </c>
      <c r="BO117" t="str">
        <f t="shared" si="99"/>
        <v/>
      </c>
      <c r="BP117" t="str">
        <f t="shared" si="99"/>
        <v/>
      </c>
      <c r="BQ117" t="str">
        <f t="shared" si="99"/>
        <v/>
      </c>
      <c r="BR117" t="str">
        <f t="shared" si="99"/>
        <v/>
      </c>
      <c r="BS117" t="str">
        <f t="shared" si="99"/>
        <v/>
      </c>
      <c r="DD117" s="497" cm="1">
        <f t="array" ref="DD117">_xlfn.IFS('Project Inputs'!$F$150&lt;&gt;"Yes",0,DE117=18,0,DE117&lt;&gt;18,SUM(DF117:DG117))</f>
        <v>0</v>
      </c>
      <c r="DE117" s="31">
        <f t="shared" si="93"/>
        <v>18</v>
      </c>
      <c r="DF117" s="31">
        <f t="shared" si="94"/>
        <v>0</v>
      </c>
      <c r="DG117" s="31">
        <f t="shared" si="95"/>
        <v>0</v>
      </c>
    </row>
    <row r="118" spans="1:111" collapsed="1"/>
  </sheetData>
  <sheetProtection algorithmName="SHA-512" hashValue="k9AOhcewOIaEiOPxubDVtU2Ou53RyREl8Zp7U2vbojvoPqmAxqbFcHVJ9XT0djPbTTURYYr0DRihYgWQlFqOXw==" saltValue="1PnIaSh582gIsIcOz/x0hg==" spinCount="100000" sheet="1" formatColumns="0" formatRows="0" selectLockedCells="1"/>
  <mergeCells count="4">
    <mergeCell ref="H17:S17"/>
    <mergeCell ref="BH17:BT17"/>
    <mergeCell ref="BV17:CH17"/>
    <mergeCell ref="B4:M4"/>
  </mergeCells>
  <conditionalFormatting sqref="F18:G117">
    <cfRule type="expression" dxfId="14" priority="7" stopIfTrue="1">
      <formula>LEN(F18)&gt;0</formula>
    </cfRule>
  </conditionalFormatting>
  <conditionalFormatting sqref="G13">
    <cfRule type="expression" dxfId="13" priority="4">
      <formula>LEN(G13)&gt;0</formula>
    </cfRule>
  </conditionalFormatting>
  <dataValidations count="3">
    <dataValidation type="decimal" allowBlank="1" showInputMessage="1" showErrorMessage="1" sqref="G18:G117" xr:uid="{70AEBF39-76F9-411C-A487-4EECDAB90E3D}">
      <formula1>0</formula1>
      <formula2>1000000</formula2>
    </dataValidation>
    <dataValidation type="list" allowBlank="1" showInputMessage="1" showErrorMessage="1" sqref="F18:F117" xr:uid="{6842199E-4D38-45BF-B1B4-7463F67314A8}">
      <formula1>ls_Transport</formula1>
    </dataValidation>
    <dataValidation type="list" allowBlank="1" showInputMessage="1" showErrorMessage="1" sqref="G13" xr:uid="{5724B56A-627B-42D8-A7AE-68697E5F8B78}">
      <formula1>"mi,km"</formula1>
    </dataValidation>
  </dataValidations>
  <pageMargins left="0.7" right="0.7" top="0.75" bottom="0.75" header="0.3" footer="0.3"/>
  <pageSetup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iconSet" priority="5" id="{354CDAAF-E09D-48D0-BD17-DB1337628C29}">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A18:A117</xm:sqref>
        </x14:conditionalFormatting>
        <x14:conditionalFormatting xmlns:xm="http://schemas.microsoft.com/office/excel/2006/main">
          <x14:cfRule type="expression" priority="1" stopIfTrue="1" id="{EB0B6D23-2578-4AE6-A5E2-5D9132CC0462}">
            <xm:f>'Project Inputs'!$F$150&lt;&gt;"Yes"</xm:f>
            <x14:dxf>
              <font>
                <strike val="0"/>
                <u val="none"/>
                <color theme="1" tint="0.499984740745262"/>
              </font>
              <fill>
                <patternFill patternType="solid">
                  <bgColor theme="1" tint="0.499984740745262"/>
                </patternFill>
              </fill>
              <border>
                <left/>
                <right/>
                <top/>
                <bottom/>
                <vertical/>
                <horizontal/>
              </border>
            </x14:dxf>
          </x14:cfRule>
          <xm:sqref>A11:AZ505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722C0-616D-4B48-91B0-0CE6BD2B390D}">
  <sheetPr>
    <tabColor rgb="FF0F2663"/>
  </sheetPr>
  <dimension ref="A1:DG121"/>
  <sheetViews>
    <sheetView showGridLines="0" zoomScale="80" zoomScaleNormal="80" workbookViewId="0">
      <selection activeCell="B15" sqref="B15"/>
    </sheetView>
  </sheetViews>
  <sheetFormatPr defaultRowHeight="14.4" outlineLevelRow="1"/>
  <cols>
    <col min="2" max="3" width="25.5546875" customWidth="1"/>
    <col min="4" max="15" width="18.5546875" customWidth="1"/>
    <col min="16" max="16" width="13.44140625" bestFit="1" customWidth="1"/>
    <col min="17" max="17" width="13" customWidth="1"/>
    <col min="18" max="20" width="25.5546875" customWidth="1"/>
    <col min="52" max="52" width="25.5546875" customWidth="1"/>
    <col min="53" max="53" width="25.5546875" hidden="1" customWidth="1"/>
    <col min="54" max="66" width="12.5546875" hidden="1" customWidth="1"/>
    <col min="67" max="67" width="15.44140625" hidden="1" customWidth="1"/>
    <col min="68" max="68" width="12.5546875" hidden="1" customWidth="1"/>
    <col min="69" max="69" width="14.5546875" hidden="1" customWidth="1"/>
    <col min="70" max="70" width="12.5546875" hidden="1" customWidth="1"/>
    <col min="71" max="71" width="14.5546875" hidden="1" customWidth="1"/>
    <col min="72" max="82" width="12.5546875" hidden="1" customWidth="1"/>
    <col min="83" max="83" width="15.5546875" hidden="1" customWidth="1"/>
    <col min="84" max="84" width="12.5546875" hidden="1" customWidth="1"/>
    <col min="85" max="85" width="15.44140625" hidden="1" customWidth="1"/>
    <col min="86" max="86" width="15.5546875" hidden="1" customWidth="1"/>
    <col min="87" max="91" width="20.5546875" hidden="1" customWidth="1"/>
    <col min="92" max="103" width="0" hidden="1" customWidth="1"/>
    <col min="104" max="104" width="12.44140625" hidden="1" customWidth="1"/>
    <col min="105" max="105" width="0" hidden="1" customWidth="1"/>
    <col min="106" max="106" width="51.44140625" hidden="1" customWidth="1"/>
    <col min="107" max="108" width="0" hidden="1" customWidth="1"/>
    <col min="109" max="109" width="12.21875" hidden="1" customWidth="1"/>
    <col min="110" max="131" width="0" hidden="1" customWidth="1"/>
  </cols>
  <sheetData>
    <row r="1" spans="1:111" ht="32.549999999999997" customHeight="1">
      <c r="A1" s="533" t="str">
        <f>_xlfn.CONCAT("Project Name: ",'Project Inputs'!$D$10)</f>
        <v xml:space="preserve">Project Name: </v>
      </c>
      <c r="B1" s="338"/>
      <c r="C1" s="338"/>
      <c r="D1" s="338"/>
      <c r="E1" s="338"/>
      <c r="F1" s="338"/>
      <c r="G1" s="338"/>
      <c r="H1" s="338"/>
      <c r="I1" s="338"/>
      <c r="J1" s="338"/>
      <c r="K1" s="338"/>
      <c r="L1" s="338"/>
      <c r="M1" s="338"/>
      <c r="N1" s="338"/>
      <c r="O1" s="338"/>
      <c r="P1" s="338"/>
      <c r="Q1" s="338"/>
      <c r="R1" s="338"/>
      <c r="S1" s="338"/>
      <c r="T1" s="338"/>
      <c r="U1" s="338"/>
      <c r="V1" s="338"/>
      <c r="W1" s="338"/>
      <c r="X1" s="338"/>
      <c r="Y1" s="338"/>
    </row>
    <row r="2" spans="1:111" ht="69" customHeight="1">
      <c r="A2" s="218" t="s">
        <v>5</v>
      </c>
      <c r="B2" s="338"/>
      <c r="C2" s="338"/>
      <c r="D2" s="338"/>
      <c r="E2" s="338"/>
      <c r="F2" s="338"/>
      <c r="G2" s="338"/>
      <c r="H2" s="338"/>
      <c r="I2" s="338"/>
      <c r="J2" s="338"/>
      <c r="K2" s="338"/>
      <c r="L2" s="338"/>
      <c r="M2" s="338"/>
      <c r="N2" s="338"/>
      <c r="O2" s="338"/>
      <c r="P2" s="338"/>
      <c r="Q2" s="338"/>
      <c r="R2" s="338"/>
      <c r="S2" s="338"/>
      <c r="T2" s="338"/>
      <c r="U2" s="338"/>
      <c r="V2" s="338"/>
      <c r="W2" s="338"/>
      <c r="X2" s="338"/>
      <c r="Y2" s="338"/>
      <c r="CZ2" s="384" t="s">
        <v>10219</v>
      </c>
      <c r="DA2" s="124">
        <f>COUNTIF(A2:A1005,1)</f>
        <v>0</v>
      </c>
    </row>
    <row r="3" spans="1:111" ht="17.100000000000001" customHeight="1">
      <c r="A3" s="461"/>
      <c r="B3" s="461"/>
      <c r="C3" s="461"/>
      <c r="D3" s="461"/>
      <c r="E3" s="461"/>
      <c r="F3" s="461"/>
      <c r="G3" s="461"/>
      <c r="H3" s="461"/>
      <c r="I3" s="461"/>
      <c r="J3" s="461"/>
      <c r="K3" s="461"/>
      <c r="L3" s="461"/>
      <c r="M3" s="461"/>
      <c r="N3" s="461"/>
      <c r="O3" s="461"/>
      <c r="P3" s="461"/>
      <c r="Q3" s="461"/>
      <c r="R3" s="461"/>
      <c r="S3" s="461"/>
      <c r="T3" s="461"/>
      <c r="U3" s="461"/>
      <c r="V3" s="461"/>
      <c r="W3" s="461"/>
      <c r="X3" s="461"/>
      <c r="Y3" s="461"/>
    </row>
    <row r="4" spans="1:111" ht="129.44999999999999" customHeight="1">
      <c r="B4" s="641" t="s">
        <v>10188</v>
      </c>
      <c r="C4" s="642"/>
      <c r="D4" s="642"/>
      <c r="E4" s="642"/>
      <c r="F4" s="642"/>
      <c r="G4" s="642"/>
      <c r="H4" s="642"/>
      <c r="I4" s="642"/>
      <c r="J4" s="642"/>
      <c r="K4" s="642"/>
      <c r="L4" s="642"/>
      <c r="M4" s="642"/>
      <c r="N4" s="642"/>
      <c r="O4" s="643"/>
      <c r="DB4" s="24" t="s">
        <v>10206</v>
      </c>
    </row>
    <row r="5" spans="1:111">
      <c r="DA5" t="s">
        <v>10213</v>
      </c>
      <c r="DB5" t="s">
        <v>10217</v>
      </c>
    </row>
    <row r="6" spans="1:111" ht="31.2">
      <c r="B6" s="456" t="s">
        <v>63</v>
      </c>
      <c r="C6" s="457" t="s">
        <v>10287</v>
      </c>
    </row>
    <row r="7" spans="1:111" ht="28.8">
      <c r="B7" s="6" t="str">
        <f>_xlfn.CONCAT('Project Inputs'!B149,": ",'Project Inputs'!C149)</f>
        <v>PIc3: Evaluate Material Emissions</v>
      </c>
      <c r="C7" s="5" t="str">
        <f>_xlfn.LET(_xlpm.x,'Project Inputs'!F149,IF(ISBLANK(_xlpm.x),"n/a",_xlpm.x))</f>
        <v>n/a</v>
      </c>
    </row>
    <row r="9" spans="1:111" ht="15" thickBot="1"/>
    <row r="10" spans="1:111" ht="25.8">
      <c r="A10" s="30" t="s">
        <v>310</v>
      </c>
      <c r="B10" s="30"/>
      <c r="C10" s="30"/>
      <c r="D10" s="30"/>
      <c r="E10" s="30"/>
      <c r="F10" s="30"/>
      <c r="G10" s="30"/>
      <c r="H10" s="30"/>
      <c r="I10" s="30"/>
      <c r="J10" s="30"/>
      <c r="K10" s="30"/>
      <c r="L10" s="30"/>
      <c r="M10" s="30"/>
      <c r="N10" s="30"/>
      <c r="O10" s="30"/>
      <c r="P10" s="30"/>
      <c r="Q10" s="30"/>
      <c r="R10" s="30"/>
      <c r="S10" s="30"/>
      <c r="T10" s="30"/>
      <c r="U10" s="30"/>
      <c r="V10" s="30"/>
      <c r="W10" s="30"/>
      <c r="X10" s="30"/>
      <c r="Y10" s="30"/>
      <c r="DA10" t="s">
        <v>10208</v>
      </c>
      <c r="DB10" t="s">
        <v>10232</v>
      </c>
    </row>
    <row r="11" spans="1:111">
      <c r="CI11" t="s">
        <v>311</v>
      </c>
      <c r="DA11" t="s">
        <v>10210</v>
      </c>
      <c r="DB11" t="s">
        <v>10291</v>
      </c>
    </row>
    <row r="12" spans="1:111">
      <c r="CI12" s="57" t="str">
        <f>_xlfn.CONCAT(ADDRESS(ROW(CJ15),COLUMN(CJ15)),":",ADDRESS(ROW(CJ15)+COUNTA(_xlfn.ANCHORARRAY(CJ15))-1,COLUMN(CJ15)+5))</f>
        <v>$CJ$15:$CO$15</v>
      </c>
      <c r="DG12" s="31"/>
    </row>
    <row r="13" spans="1:111" ht="28.8">
      <c r="C13" s="34"/>
      <c r="D13" s="423" t="str">
        <f>'Diversion and Disposal'!H12</f>
        <v xml:space="preserve">
</v>
      </c>
      <c r="E13" s="423" t="str">
        <f>'Diversion and Disposal'!I12</f>
        <v xml:space="preserve">
</v>
      </c>
      <c r="F13" s="423" t="str">
        <f>'Diversion and Disposal'!J12</f>
        <v xml:space="preserve">
</v>
      </c>
      <c r="G13" s="423" t="str">
        <f>'Diversion and Disposal'!K12</f>
        <v xml:space="preserve">
</v>
      </c>
      <c r="H13" s="423" t="str">
        <f>'Diversion and Disposal'!L12</f>
        <v xml:space="preserve">
</v>
      </c>
      <c r="I13" s="423" t="str">
        <f>'Diversion and Disposal'!M12</f>
        <v xml:space="preserve">
</v>
      </c>
      <c r="J13" s="423" t="str">
        <f>'Diversion and Disposal'!N12</f>
        <v xml:space="preserve">
</v>
      </c>
      <c r="K13" s="423" t="str">
        <f>'Diversion and Disposal'!O12</f>
        <v xml:space="preserve">
</v>
      </c>
      <c r="L13" s="423" t="str">
        <f>'Diversion and Disposal'!P12</f>
        <v xml:space="preserve">
</v>
      </c>
      <c r="M13" s="423" t="str">
        <f>'Diversion and Disposal'!Q12</f>
        <v xml:space="preserve">
</v>
      </c>
      <c r="N13" s="423" t="str">
        <f>'Diversion and Disposal'!R12</f>
        <v xml:space="preserve">
</v>
      </c>
      <c r="O13" s="423" t="str">
        <f>'Diversion and Disposal'!S12</f>
        <v xml:space="preserve">
</v>
      </c>
      <c r="P13" s="423" t="s">
        <v>312</v>
      </c>
      <c r="Q13" s="423" t="s">
        <v>313</v>
      </c>
      <c r="BE13" s="423" t="str">
        <f t="shared" ref="BE13:BP13" si="0">D13</f>
        <v xml:space="preserve">
</v>
      </c>
      <c r="BF13" s="423" t="str">
        <f t="shared" si="0"/>
        <v xml:space="preserve">
</v>
      </c>
      <c r="BG13" s="423" t="str">
        <f t="shared" si="0"/>
        <v xml:space="preserve">
</v>
      </c>
      <c r="BH13" s="423" t="str">
        <f t="shared" si="0"/>
        <v xml:space="preserve">
</v>
      </c>
      <c r="BI13" s="423" t="str">
        <f t="shared" si="0"/>
        <v xml:space="preserve">
</v>
      </c>
      <c r="BJ13" s="423" t="str">
        <f t="shared" si="0"/>
        <v xml:space="preserve">
</v>
      </c>
      <c r="BK13" s="423" t="str">
        <f t="shared" si="0"/>
        <v xml:space="preserve">
</v>
      </c>
      <c r="BL13" s="423" t="str">
        <f t="shared" si="0"/>
        <v xml:space="preserve">
</v>
      </c>
      <c r="BM13" s="423" t="str">
        <f t="shared" si="0"/>
        <v xml:space="preserve">
</v>
      </c>
      <c r="BN13" s="423" t="str">
        <f t="shared" si="0"/>
        <v xml:space="preserve">
</v>
      </c>
      <c r="BO13" s="423" t="str">
        <f t="shared" si="0"/>
        <v xml:space="preserve">
</v>
      </c>
      <c r="BP13" s="423" t="str">
        <f t="shared" si="0"/>
        <v xml:space="preserve">
</v>
      </c>
      <c r="BQ13" s="423" t="s">
        <v>219</v>
      </c>
      <c r="BV13" s="423" t="str">
        <f t="shared" ref="BV13:CG13" si="1">D13</f>
        <v xml:space="preserve">
</v>
      </c>
      <c r="BW13" s="423" t="str">
        <f t="shared" si="1"/>
        <v xml:space="preserve">
</v>
      </c>
      <c r="BX13" s="423" t="str">
        <f t="shared" si="1"/>
        <v xml:space="preserve">
</v>
      </c>
      <c r="BY13" s="423" t="str">
        <f t="shared" si="1"/>
        <v xml:space="preserve">
</v>
      </c>
      <c r="BZ13" s="423" t="str">
        <f t="shared" si="1"/>
        <v xml:space="preserve">
</v>
      </c>
      <c r="CA13" s="423" t="str">
        <f t="shared" si="1"/>
        <v xml:space="preserve">
</v>
      </c>
      <c r="CB13" s="423" t="str">
        <f t="shared" si="1"/>
        <v xml:space="preserve">
</v>
      </c>
      <c r="CC13" s="423" t="str">
        <f t="shared" si="1"/>
        <v xml:space="preserve">
</v>
      </c>
      <c r="CD13" s="423" t="str">
        <f t="shared" si="1"/>
        <v xml:space="preserve">
</v>
      </c>
      <c r="CE13" s="423" t="str">
        <f t="shared" si="1"/>
        <v xml:space="preserve">
</v>
      </c>
      <c r="CF13" s="423" t="str">
        <f t="shared" si="1"/>
        <v xml:space="preserve">
</v>
      </c>
      <c r="CG13" s="423" t="str">
        <f t="shared" si="1"/>
        <v xml:space="preserve">
</v>
      </c>
      <c r="CH13" s="423" t="s">
        <v>219</v>
      </c>
    </row>
    <row r="14" spans="1:111" ht="62.4">
      <c r="B14" s="271" t="s">
        <v>314</v>
      </c>
      <c r="C14" s="271" t="s">
        <v>10336</v>
      </c>
      <c r="D14" s="638" t="s">
        <v>10200</v>
      </c>
      <c r="E14" s="639"/>
      <c r="F14" s="639"/>
      <c r="G14" s="639"/>
      <c r="H14" s="639"/>
      <c r="I14" s="639"/>
      <c r="J14" s="639"/>
      <c r="K14" s="639"/>
      <c r="L14" s="639"/>
      <c r="M14" s="639"/>
      <c r="N14" s="639"/>
      <c r="O14" s="639"/>
      <c r="P14" s="640"/>
      <c r="Q14" s="483"/>
      <c r="BA14" s="430" t="str">
        <f>B14</f>
        <v>Purchased Material Name</v>
      </c>
      <c r="BB14" s="430" t="str">
        <f>C14</f>
        <v>Purchased Material Subcategory</v>
      </c>
      <c r="BC14" s="430" t="s">
        <v>10204</v>
      </c>
      <c r="BD14" s="430" t="s">
        <v>316</v>
      </c>
      <c r="BE14" s="637" t="str">
        <f>D14</f>
        <v>Value (USD)</v>
      </c>
      <c r="BF14" s="637"/>
      <c r="BG14" s="637"/>
      <c r="BH14" s="637"/>
      <c r="BI14" s="637"/>
      <c r="BJ14" s="637"/>
      <c r="BK14" s="637"/>
      <c r="BL14" s="637"/>
      <c r="BM14" s="637"/>
      <c r="BN14" s="637"/>
      <c r="BO14" s="637"/>
      <c r="BP14" s="637"/>
      <c r="BQ14" s="637"/>
      <c r="BR14" s="430" t="s">
        <v>317</v>
      </c>
      <c r="BS14" s="430" t="s">
        <v>318</v>
      </c>
      <c r="BT14" s="430" t="s">
        <v>319</v>
      </c>
      <c r="BU14" s="430" t="s">
        <v>320</v>
      </c>
      <c r="BV14" s="637" t="s">
        <v>321</v>
      </c>
      <c r="BW14" s="637"/>
      <c r="BX14" s="637"/>
      <c r="BY14" s="637"/>
      <c r="BZ14" s="637"/>
      <c r="CA14" s="637"/>
      <c r="CB14" s="637"/>
      <c r="CC14" s="637"/>
      <c r="CD14" s="637"/>
      <c r="CE14" s="637"/>
      <c r="CF14" s="637"/>
      <c r="CG14" s="637"/>
      <c r="CH14" s="637"/>
      <c r="CJ14" s="56" t="s">
        <v>322</v>
      </c>
      <c r="CK14" s="56" t="s">
        <v>315</v>
      </c>
      <c r="CL14" s="56" t="s">
        <v>323</v>
      </c>
      <c r="CM14" s="56" t="s">
        <v>301</v>
      </c>
      <c r="DD14" s="31" t="s">
        <v>10205</v>
      </c>
      <c r="DE14" s="31" t="s">
        <v>10231</v>
      </c>
      <c r="DF14" s="31" t="s">
        <v>10208</v>
      </c>
      <c r="DG14" s="31" t="s">
        <v>10210</v>
      </c>
    </row>
    <row r="15" spans="1:111">
      <c r="A15" s="22"/>
      <c r="B15" s="272"/>
      <c r="C15" s="491"/>
      <c r="D15" s="492"/>
      <c r="E15" s="492"/>
      <c r="F15" s="492"/>
      <c r="G15" s="492"/>
      <c r="H15" s="492"/>
      <c r="I15" s="492"/>
      <c r="J15" s="492"/>
      <c r="K15" s="492"/>
      <c r="L15" s="492"/>
      <c r="M15" s="492"/>
      <c r="N15" s="492"/>
      <c r="O15" s="492"/>
      <c r="P15" s="469">
        <f>SUM(D15:O15)</f>
        <v>0</v>
      </c>
      <c r="Q15" s="476">
        <f>IF(P15=0,0,(_xlfn.XLOOKUP(C15,Factors!$V$17:$V$72,Factors!$Z$17:$Z$72)*'Purchased Materials'!P15))</f>
        <v>0</v>
      </c>
      <c r="BA15" s="432" t="str">
        <f t="shared" ref="BA15:BA46" si="2">_xlfn.LET(_xlpm.x,B15,IF(OR(LEN(_xlpm.x)&lt;1,_xlpm.x=0),"",_xlpm.x))</f>
        <v/>
      </c>
      <c r="BB15" s="432" t="str">
        <f t="shared" ref="BB15:BB46" si="3">_xlfn.LET(_xlpm.x,C15,IF(OR(LEN(_xlpm.x)&lt;1,_xlpm.x=0),"",_xlpm.x))</f>
        <v/>
      </c>
      <c r="BC15" s="432">
        <v>1</v>
      </c>
      <c r="BD15" s="432" t="str">
        <f>_xlfn.LET(_xlpm.x,BB15,IF(LEN(_xlpm.x)&lt;1,"",IF(ISNUMBER(MATCH(_xlpm.x,ls_purchased_mat,0)),'Project Inputs'!$BF$14,99)))</f>
        <v/>
      </c>
      <c r="BE15" s="484" t="str">
        <f t="shared" ref="BE15:BE46" si="4">_xlfn.LET(_xlpm.x,D15,IF(OR(LEN(_xlpm.x)&lt;1,_xlpm.x=0),"",_xlpm.x))</f>
        <v/>
      </c>
      <c r="BF15" s="484" t="str">
        <f t="shared" ref="BF15:BF46" si="5">_xlfn.LET(_xlpm.x,E15,IF(OR(LEN(_xlpm.x)&lt;1,_xlpm.x=0),"",_xlpm.x))</f>
        <v/>
      </c>
      <c r="BG15" s="484" t="str">
        <f t="shared" ref="BG15:BG46" si="6">_xlfn.LET(_xlpm.x,F15,IF(OR(LEN(_xlpm.x)&lt;1,_xlpm.x=0),"",_xlpm.x))</f>
        <v/>
      </c>
      <c r="BH15" s="484" t="str">
        <f t="shared" ref="BH15:BH46" si="7">_xlfn.LET(_xlpm.x,G15,IF(OR(LEN(_xlpm.x)&lt;1,_xlpm.x=0),"",_xlpm.x))</f>
        <v/>
      </c>
      <c r="BI15" s="484" t="str">
        <f t="shared" ref="BI15:BI46" si="8">_xlfn.LET(_xlpm.x,H15,IF(OR(LEN(_xlpm.x)&lt;1,_xlpm.x=0),"",_xlpm.x))</f>
        <v/>
      </c>
      <c r="BJ15" s="484" t="str">
        <f t="shared" ref="BJ15:BJ46" si="9">_xlfn.LET(_xlpm.x,I15,IF(OR(LEN(_xlpm.x)&lt;1,_xlpm.x=0),"",_xlpm.x))</f>
        <v/>
      </c>
      <c r="BK15" s="484" t="str">
        <f t="shared" ref="BK15:BK46" si="10">_xlfn.LET(_xlpm.x,J15,IF(OR(LEN(_xlpm.x)&lt;1,_xlpm.x=0),"",_xlpm.x))</f>
        <v/>
      </c>
      <c r="BL15" s="484" t="str">
        <f t="shared" ref="BL15:BL46" si="11">_xlfn.LET(_xlpm.x,K15,IF(OR(LEN(_xlpm.x)&lt;1,_xlpm.x=0),"",_xlpm.x))</f>
        <v/>
      </c>
      <c r="BM15" s="484" t="str">
        <f t="shared" ref="BM15:BM46" si="12">_xlfn.LET(_xlpm.x,L15,IF(OR(LEN(_xlpm.x)&lt;1,_xlpm.x=0),"",_xlpm.x))</f>
        <v/>
      </c>
      <c r="BN15" s="484" t="str">
        <f t="shared" ref="BN15:BN46" si="13">_xlfn.LET(_xlpm.x,M15,IF(OR(LEN(_xlpm.x)&lt;1,_xlpm.x=0),"",_xlpm.x))</f>
        <v/>
      </c>
      <c r="BO15" s="484" t="str">
        <f t="shared" ref="BO15:BO46" si="14">_xlfn.LET(_xlpm.x,N15,IF(OR(LEN(_xlpm.x)&lt;1,_xlpm.x=0),"",_xlpm.x))</f>
        <v/>
      </c>
      <c r="BP15" s="484" t="str">
        <f t="shared" ref="BP15:BP46" si="15">_xlfn.LET(_xlpm.x,O15,IF(OR(LEN(_xlpm.x)&lt;1,_xlpm.x=0),"",_xlpm.x))</f>
        <v/>
      </c>
      <c r="BQ15" s="485" t="str">
        <f t="shared" ref="BQ15:BQ46" si="16">_xlfn.LET(_xlpm.x,P15,IF(OR(LEN(_xlpm.x)&lt;1,_xlpm.x=0),"",_xlpm.x))</f>
        <v/>
      </c>
      <c r="BR15" s="486">
        <v>2</v>
      </c>
      <c r="BS15" s="487" cm="1">
        <f t="array" ref="BS15">IFERROR(INDEX(tblPurch_Mat[],MATCH(1,(tblPurch_Mat[Dataset ID]=BD15)*(tblPurch_Mat[Material Subcategory]=BB15),0),6),"confirm")</f>
        <v>0</v>
      </c>
      <c r="BT15" s="487" cm="1">
        <f t="array" ref="BT15">IFERROR(INDEX(tblPurch_Mat[],MATCH(1,(tblPurch_Mat[Dataset ID]=BD15)*(tblPurch_Mat[Material Subcategory]=BB15),0),7),"confirm")</f>
        <v>0</v>
      </c>
      <c r="BU15" s="487">
        <f t="shared" ref="BU15:BU46" si="17">CHOOSE(BR15,BS15,BT15)</f>
        <v>0</v>
      </c>
      <c r="BV15" s="484" t="str">
        <f t="shared" ref="BV15:BV46" si="18">IFERROR($BU15*BE15,"")</f>
        <v/>
      </c>
      <c r="BW15" s="484" t="str">
        <f t="shared" ref="BW15:BW46" si="19">IFERROR($BU15*BF15,"")</f>
        <v/>
      </c>
      <c r="BX15" s="484" t="str">
        <f t="shared" ref="BX15:BX46" si="20">IFERROR($BU15*BG15,"")</f>
        <v/>
      </c>
      <c r="BY15" s="484" t="str">
        <f t="shared" ref="BY15:BY46" si="21">IFERROR($BU15*BH15,"")</f>
        <v/>
      </c>
      <c r="BZ15" s="484" t="str">
        <f t="shared" ref="BZ15:BZ46" si="22">IFERROR($BU15*BI15,"")</f>
        <v/>
      </c>
      <c r="CA15" s="484" t="str">
        <f t="shared" ref="CA15:CA46" si="23">IFERROR($BU15*BJ15,"")</f>
        <v/>
      </c>
      <c r="CB15" s="484" t="str">
        <f t="shared" ref="CB15:CB46" si="24">IFERROR($BU15*BK15,"")</f>
        <v/>
      </c>
      <c r="CC15" s="484" t="str">
        <f t="shared" ref="CC15:CC46" si="25">IFERROR($BU15*BL15,"")</f>
        <v/>
      </c>
      <c r="CD15" s="484" t="str">
        <f t="shared" ref="CD15:CD46" si="26">IFERROR($BU15*BM15,"")</f>
        <v/>
      </c>
      <c r="CE15" s="484" t="str">
        <f t="shared" ref="CE15:CE46" si="27">IFERROR($BU15*BN15,"")</f>
        <v/>
      </c>
      <c r="CF15" s="484" t="str">
        <f t="shared" ref="CF15:CF46" si="28">IFERROR($BU15*BO15,"")</f>
        <v/>
      </c>
      <c r="CG15" s="484" t="str">
        <f t="shared" ref="CG15:CG46" si="29">IFERROR($BU15*BP15,"")</f>
        <v/>
      </c>
      <c r="CH15" s="484">
        <f>SUM(BV15:CG15)</f>
        <v>0</v>
      </c>
      <c r="CJ15" s="61" t="str" cm="1">
        <f t="array" ref="CJ15">_xlfn._xlws.SORT(_xlfn.LET(_xlpm.x,$C$15:$C$114,_xlfn.UNIQUE(_xlfn._xlws.FILTER(_xlpm.x,_xlpm.x&lt;&gt;"","no entries"))))</f>
        <v>no entries</v>
      </c>
      <c r="CK15" s="488" t="str">
        <f t="shared" ref="CK15:CK28" si="30">IFERROR(INDEX($BC$15:$BC$114,MATCH(CJ15,$BB$15:$BB$114,0)),"_")</f>
        <v>_</v>
      </c>
      <c r="CL15" s="488">
        <f>SUMIF($BB$15:$BB$114,CJ15,$BQ$15:$BQ$114)</f>
        <v>0</v>
      </c>
      <c r="CM15" s="488">
        <f t="shared" ref="CM15:CM46" si="31">SUMIF($BB$15:$BB$114,CJ15,$CH$15:$CH$114)</f>
        <v>0</v>
      </c>
      <c r="DD15" s="390">
        <f>IF(DE15=14,0,SUM(DF15:DG15))</f>
        <v>0</v>
      </c>
      <c r="DE15" s="31">
        <f>COUNTBLANK(B15:O15)</f>
        <v>14</v>
      </c>
      <c r="DF15" s="31">
        <f>IF(DE15=14,0,IF(AND(COUNTBLANK(C15)=0,COUNTBLANK(D15:O15)&lt;12),0,1))</f>
        <v>0</v>
      </c>
      <c r="DG15" s="31">
        <f>SUM(IF(OR(LEN(D15)=0,AND(ISNUMBER(D15),D15&gt;=0)),0,1),IF(OR(LEN(E15)=0,AND(ISNUMBER(E15),E15&gt;=0)),0,1),IF(OR(LEN(F15)=0,AND(ISNUMBER(F15),F15&gt;=0)),0,1),IF(OR(LEN(G15)=0,AND(ISNUMBER(G15),G15&gt;=0)),0,1),IF(OR(LEN(H15)=0,AND(ISNUMBER(H15),H15&gt;=0)),0,1),IF(OR(LEN(I15)=0,AND(ISNUMBER(I15),I15&gt;=0)),0,1),IF(OR(LEN(J15)=0,AND(ISNUMBER(J15),J15&gt;=0)),0,1),IF(OR(LEN(K15)=0,AND(ISNUMBER(K15),K15&gt;=0)),0,1),IF(OR(LEN(L15)=0,AND(ISNUMBER(L15),L15&gt;=0)),0,1),IF(OR(LEN(M15)=0,AND(ISNUMBER(M15),M15&gt;=0)),0,1),IF(OR(LEN(N15)=0,AND(ISNUMBER(N15),N15&gt;=0)),0,1),IF(OR(LEN(O15)=0,AND(ISNUMBER(O15),O15&gt;=0)),0,1))</f>
        <v>0</v>
      </c>
    </row>
    <row r="16" spans="1:111">
      <c r="A16" s="22"/>
      <c r="B16" s="272"/>
      <c r="C16" s="491"/>
      <c r="D16" s="492"/>
      <c r="E16" s="492"/>
      <c r="F16" s="492"/>
      <c r="G16" s="492"/>
      <c r="H16" s="492"/>
      <c r="I16" s="492"/>
      <c r="J16" s="492"/>
      <c r="K16" s="492"/>
      <c r="L16" s="492"/>
      <c r="M16" s="492"/>
      <c r="N16" s="492"/>
      <c r="O16" s="492"/>
      <c r="P16" s="469">
        <f t="shared" ref="P16:P79" si="32">SUM(D16:O16)</f>
        <v>0</v>
      </c>
      <c r="Q16" s="476">
        <f>IF(P16=0,0,(_xlfn.XLOOKUP(C16,Factors!$V$17:$V$72,Factors!$Z$17:$Z$72)*'Purchased Materials'!P16))</f>
        <v>0</v>
      </c>
      <c r="BA16" s="432" t="str">
        <f t="shared" si="2"/>
        <v/>
      </c>
      <c r="BB16" s="432" t="str">
        <f t="shared" si="3"/>
        <v/>
      </c>
      <c r="BC16" s="432">
        <v>1</v>
      </c>
      <c r="BD16" s="432" t="str">
        <f>_xlfn.LET(_xlpm.x,BB16,IF(LEN(_xlpm.x)&lt;1,"",IF(ISNUMBER(MATCH(_xlpm.x,ls_purchased_mat,0)),'Project Inputs'!$BF$14,99)))</f>
        <v/>
      </c>
      <c r="BE16" s="484" t="str">
        <f t="shared" si="4"/>
        <v/>
      </c>
      <c r="BF16" s="484" t="str">
        <f t="shared" si="5"/>
        <v/>
      </c>
      <c r="BG16" s="484" t="str">
        <f t="shared" si="6"/>
        <v/>
      </c>
      <c r="BH16" s="484" t="str">
        <f t="shared" si="7"/>
        <v/>
      </c>
      <c r="BI16" s="484" t="str">
        <f t="shared" si="8"/>
        <v/>
      </c>
      <c r="BJ16" s="484" t="str">
        <f t="shared" si="9"/>
        <v/>
      </c>
      <c r="BK16" s="484" t="str">
        <f t="shared" si="10"/>
        <v/>
      </c>
      <c r="BL16" s="484" t="str">
        <f t="shared" si="11"/>
        <v/>
      </c>
      <c r="BM16" s="484" t="str">
        <f t="shared" si="12"/>
        <v/>
      </c>
      <c r="BN16" s="484" t="str">
        <f t="shared" si="13"/>
        <v/>
      </c>
      <c r="BO16" s="484" t="str">
        <f t="shared" si="14"/>
        <v/>
      </c>
      <c r="BP16" s="484" t="str">
        <f t="shared" si="15"/>
        <v/>
      </c>
      <c r="BQ16" s="485" t="str">
        <f t="shared" si="16"/>
        <v/>
      </c>
      <c r="BR16" s="486">
        <v>2</v>
      </c>
      <c r="BS16" s="487" cm="1">
        <f t="array" ref="BS16">IFERROR(INDEX(tblPurch_Mat[],MATCH(1,(tblPurch_Mat[Dataset ID]=BD16)*(tblPurch_Mat[Material Subcategory]=BB16),0),6),"confirm")</f>
        <v>0</v>
      </c>
      <c r="BT16" s="487" cm="1">
        <f t="array" ref="BT16">IFERROR(INDEX(tblPurch_Mat[],MATCH(1,(tblPurch_Mat[Dataset ID]=BD16)*(tblPurch_Mat[Material Subcategory]=BB16),0),7),"confirm")</f>
        <v>0</v>
      </c>
      <c r="BU16" s="487">
        <f t="shared" si="17"/>
        <v>0</v>
      </c>
      <c r="BV16" s="484" t="str">
        <f t="shared" si="18"/>
        <v/>
      </c>
      <c r="BW16" s="484" t="str">
        <f t="shared" si="19"/>
        <v/>
      </c>
      <c r="BX16" s="484" t="str">
        <f t="shared" si="20"/>
        <v/>
      </c>
      <c r="BY16" s="484" t="str">
        <f t="shared" si="21"/>
        <v/>
      </c>
      <c r="BZ16" s="484" t="str">
        <f t="shared" si="22"/>
        <v/>
      </c>
      <c r="CA16" s="484" t="str">
        <f t="shared" si="23"/>
        <v/>
      </c>
      <c r="CB16" s="484" t="str">
        <f t="shared" si="24"/>
        <v/>
      </c>
      <c r="CC16" s="484" t="str">
        <f t="shared" si="25"/>
        <v/>
      </c>
      <c r="CD16" s="484" t="str">
        <f t="shared" si="26"/>
        <v/>
      </c>
      <c r="CE16" s="484" t="str">
        <f t="shared" si="27"/>
        <v/>
      </c>
      <c r="CF16" s="484" t="str">
        <f t="shared" si="28"/>
        <v/>
      </c>
      <c r="CG16" s="484" t="str">
        <f t="shared" si="29"/>
        <v/>
      </c>
      <c r="CH16" s="485">
        <f t="shared" ref="CH16:CH79" si="33">SUM(BV16:CG16)</f>
        <v>0</v>
      </c>
      <c r="CJ16" s="61"/>
      <c r="CK16" s="488" t="str">
        <f t="shared" si="30"/>
        <v>_</v>
      </c>
      <c r="CL16" s="488">
        <f t="shared" ref="CL16:CL46" si="34">SUMIF($BB$15:$BB$114,CJ16,$BQ$15:$BQ$114)</f>
        <v>0</v>
      </c>
      <c r="CM16" s="488">
        <f t="shared" si="31"/>
        <v>0</v>
      </c>
      <c r="DD16" s="390">
        <f t="shared" ref="DD16:DD79" si="35">IF(DE16=14,0,SUM(DF16:DG16))</f>
        <v>0</v>
      </c>
      <c r="DE16" s="31">
        <f t="shared" ref="DE16:DE79" si="36">COUNTBLANK(B16:O16)</f>
        <v>14</v>
      </c>
      <c r="DF16" s="31">
        <f t="shared" ref="DF16:DF79" si="37">IF(DE16=14,0,IF(AND(COUNTBLANK(C16)=0,COUNTBLANK(D16:O16)&lt;12),0,1))</f>
        <v>0</v>
      </c>
      <c r="DG16" s="31">
        <f t="shared" ref="DG16:DG79" si="38">SUM(IF(OR(LEN(D16)=0,AND(ISNUMBER(D16),D16&gt;=0)),0,1),IF(OR(LEN(E16)=0,AND(ISNUMBER(E16),E16&gt;=0)),0,1),IF(OR(LEN(F16)=0,AND(ISNUMBER(F16),F16&gt;=0)),0,1),IF(OR(LEN(G16)=0,AND(ISNUMBER(G16),G16&gt;=0)),0,1),IF(OR(LEN(H16)=0,AND(ISNUMBER(H16),H16&gt;=0)),0,1),IF(OR(LEN(I16)=0,AND(ISNUMBER(I16),I16&gt;=0)),0,1),IF(OR(LEN(J16)=0,AND(ISNUMBER(J16),J16&gt;=0)),0,1),IF(OR(LEN(K16)=0,AND(ISNUMBER(K16),K16&gt;=0)),0,1),IF(OR(LEN(L16)=0,AND(ISNUMBER(L16),L16&gt;=0)),0,1),IF(OR(LEN(M16)=0,AND(ISNUMBER(M16),M16&gt;=0)),0,1),IF(OR(LEN(N16)=0,AND(ISNUMBER(N16),N16&gt;=0)),0,1),IF(OR(LEN(O16)=0,AND(ISNUMBER(O16),O16&gt;=0)),0,1))</f>
        <v>0</v>
      </c>
    </row>
    <row r="17" spans="1:111">
      <c r="A17" s="22"/>
      <c r="B17" s="272"/>
      <c r="C17" s="491"/>
      <c r="D17" s="492"/>
      <c r="E17" s="492"/>
      <c r="F17" s="492"/>
      <c r="G17" s="492"/>
      <c r="H17" s="492"/>
      <c r="I17" s="492"/>
      <c r="J17" s="492"/>
      <c r="K17" s="492"/>
      <c r="L17" s="492"/>
      <c r="M17" s="492"/>
      <c r="N17" s="492"/>
      <c r="O17" s="492"/>
      <c r="P17" s="469">
        <f t="shared" si="32"/>
        <v>0</v>
      </c>
      <c r="Q17" s="476">
        <f>IF(P17=0,0,(_xlfn.XLOOKUP(C17,Factors!$V$17:$V$72,Factors!$Z$17:$Z$72)*'Purchased Materials'!P17))</f>
        <v>0</v>
      </c>
      <c r="BA17" s="432" t="str">
        <f t="shared" si="2"/>
        <v/>
      </c>
      <c r="BB17" s="432" t="str">
        <f t="shared" si="3"/>
        <v/>
      </c>
      <c r="BC17" s="432">
        <v>1</v>
      </c>
      <c r="BD17" s="432" t="str">
        <f>_xlfn.LET(_xlpm.x,BB17,IF(LEN(_xlpm.x)&lt;1,"",IF(ISNUMBER(MATCH(_xlpm.x,ls_purchased_mat,0)),'Project Inputs'!$BF$14,99)))</f>
        <v/>
      </c>
      <c r="BE17" s="484" t="str">
        <f t="shared" si="4"/>
        <v/>
      </c>
      <c r="BF17" s="484" t="str">
        <f t="shared" si="5"/>
        <v/>
      </c>
      <c r="BG17" s="484" t="str">
        <f t="shared" si="6"/>
        <v/>
      </c>
      <c r="BH17" s="484" t="str">
        <f t="shared" si="7"/>
        <v/>
      </c>
      <c r="BI17" s="484" t="str">
        <f t="shared" si="8"/>
        <v/>
      </c>
      <c r="BJ17" s="484" t="str">
        <f t="shared" si="9"/>
        <v/>
      </c>
      <c r="BK17" s="484" t="str">
        <f t="shared" si="10"/>
        <v/>
      </c>
      <c r="BL17" s="484" t="str">
        <f t="shared" si="11"/>
        <v/>
      </c>
      <c r="BM17" s="484" t="str">
        <f t="shared" si="12"/>
        <v/>
      </c>
      <c r="BN17" s="484" t="str">
        <f t="shared" si="13"/>
        <v/>
      </c>
      <c r="BO17" s="484" t="str">
        <f t="shared" si="14"/>
        <v/>
      </c>
      <c r="BP17" s="484" t="str">
        <f t="shared" si="15"/>
        <v/>
      </c>
      <c r="BQ17" s="485" t="str">
        <f t="shared" si="16"/>
        <v/>
      </c>
      <c r="BR17" s="486">
        <v>2</v>
      </c>
      <c r="BS17" s="487" cm="1">
        <f t="array" ref="BS17">IFERROR(INDEX(tblPurch_Mat[],MATCH(1,(tblPurch_Mat[Dataset ID]=BD17)*(tblPurch_Mat[Material Subcategory]=BB17),0),6),"confirm")</f>
        <v>0</v>
      </c>
      <c r="BT17" s="487" cm="1">
        <f t="array" ref="BT17">IFERROR(INDEX(tblPurch_Mat[],MATCH(1,(tblPurch_Mat[Dataset ID]=BD17)*(tblPurch_Mat[Material Subcategory]=BB17),0),7),"confirm")</f>
        <v>0</v>
      </c>
      <c r="BU17" s="487">
        <f t="shared" si="17"/>
        <v>0</v>
      </c>
      <c r="BV17" s="484" t="str">
        <f t="shared" si="18"/>
        <v/>
      </c>
      <c r="BW17" s="484" t="str">
        <f t="shared" si="19"/>
        <v/>
      </c>
      <c r="BX17" s="484" t="str">
        <f t="shared" si="20"/>
        <v/>
      </c>
      <c r="BY17" s="484" t="str">
        <f t="shared" si="21"/>
        <v/>
      </c>
      <c r="BZ17" s="484" t="str">
        <f t="shared" si="22"/>
        <v/>
      </c>
      <c r="CA17" s="484" t="str">
        <f t="shared" si="23"/>
        <v/>
      </c>
      <c r="CB17" s="484" t="str">
        <f t="shared" si="24"/>
        <v/>
      </c>
      <c r="CC17" s="484" t="str">
        <f t="shared" si="25"/>
        <v/>
      </c>
      <c r="CD17" s="484" t="str">
        <f t="shared" si="26"/>
        <v/>
      </c>
      <c r="CE17" s="484" t="str">
        <f t="shared" si="27"/>
        <v/>
      </c>
      <c r="CF17" s="484" t="str">
        <f t="shared" si="28"/>
        <v/>
      </c>
      <c r="CG17" s="484" t="str">
        <f t="shared" si="29"/>
        <v/>
      </c>
      <c r="CH17" s="485">
        <f t="shared" si="33"/>
        <v>0</v>
      </c>
      <c r="CJ17" s="61"/>
      <c r="CK17" s="488" t="str">
        <f t="shared" si="30"/>
        <v>_</v>
      </c>
      <c r="CL17" s="488">
        <f t="shared" si="34"/>
        <v>0</v>
      </c>
      <c r="CM17" s="488">
        <f t="shared" si="31"/>
        <v>0</v>
      </c>
      <c r="DD17" s="390">
        <f t="shared" si="35"/>
        <v>0</v>
      </c>
      <c r="DE17" s="31">
        <f t="shared" si="36"/>
        <v>14</v>
      </c>
      <c r="DF17" s="31">
        <f t="shared" si="37"/>
        <v>0</v>
      </c>
      <c r="DG17" s="31">
        <f t="shared" si="38"/>
        <v>0</v>
      </c>
    </row>
    <row r="18" spans="1:111">
      <c r="A18" s="22"/>
      <c r="B18" s="272"/>
      <c r="C18" s="491"/>
      <c r="D18" s="492"/>
      <c r="E18" s="492"/>
      <c r="F18" s="492"/>
      <c r="G18" s="492"/>
      <c r="H18" s="492"/>
      <c r="I18" s="492"/>
      <c r="J18" s="492"/>
      <c r="K18" s="492"/>
      <c r="L18" s="492"/>
      <c r="M18" s="492"/>
      <c r="N18" s="492"/>
      <c r="O18" s="492"/>
      <c r="P18" s="469">
        <f t="shared" si="32"/>
        <v>0</v>
      </c>
      <c r="Q18" s="476">
        <f>IF(P18=0,0,(_xlfn.XLOOKUP(C18,Factors!$V$17:$V$72,Factors!$Z$17:$Z$72)*'Purchased Materials'!P18))</f>
        <v>0</v>
      </c>
      <c r="BA18" s="432" t="str">
        <f t="shared" si="2"/>
        <v/>
      </c>
      <c r="BB18" s="432" t="str">
        <f t="shared" si="3"/>
        <v/>
      </c>
      <c r="BC18" s="432">
        <v>1</v>
      </c>
      <c r="BD18" s="432" t="str">
        <f>_xlfn.LET(_xlpm.x,BB18,IF(LEN(_xlpm.x)&lt;1,"",IF(ISNUMBER(MATCH(_xlpm.x,ls_purchased_mat,0)),'Project Inputs'!$BF$14,99)))</f>
        <v/>
      </c>
      <c r="BE18" s="484" t="str">
        <f t="shared" si="4"/>
        <v/>
      </c>
      <c r="BF18" s="484" t="str">
        <f t="shared" si="5"/>
        <v/>
      </c>
      <c r="BG18" s="484" t="str">
        <f t="shared" si="6"/>
        <v/>
      </c>
      <c r="BH18" s="484" t="str">
        <f t="shared" si="7"/>
        <v/>
      </c>
      <c r="BI18" s="484" t="str">
        <f t="shared" si="8"/>
        <v/>
      </c>
      <c r="BJ18" s="484" t="str">
        <f t="shared" si="9"/>
        <v/>
      </c>
      <c r="BK18" s="484" t="str">
        <f t="shared" si="10"/>
        <v/>
      </c>
      <c r="BL18" s="484" t="str">
        <f t="shared" si="11"/>
        <v/>
      </c>
      <c r="BM18" s="484" t="str">
        <f t="shared" si="12"/>
        <v/>
      </c>
      <c r="BN18" s="484" t="str">
        <f t="shared" si="13"/>
        <v/>
      </c>
      <c r="BO18" s="484" t="str">
        <f t="shared" si="14"/>
        <v/>
      </c>
      <c r="BP18" s="484" t="str">
        <f t="shared" si="15"/>
        <v/>
      </c>
      <c r="BQ18" s="485" t="str">
        <f t="shared" si="16"/>
        <v/>
      </c>
      <c r="BR18" s="486">
        <v>2</v>
      </c>
      <c r="BS18" s="487" cm="1">
        <f t="array" ref="BS18">IFERROR(INDEX(tblPurch_Mat[],MATCH(1,(tblPurch_Mat[Dataset ID]=BD18)*(tblPurch_Mat[Material Subcategory]=BB18),0),6),"confirm")</f>
        <v>0</v>
      </c>
      <c r="BT18" s="487" cm="1">
        <f t="array" ref="BT18">IFERROR(INDEX(tblPurch_Mat[],MATCH(1,(tblPurch_Mat[Dataset ID]=BD18)*(tblPurch_Mat[Material Subcategory]=BB18),0),7),"confirm")</f>
        <v>0</v>
      </c>
      <c r="BU18" s="487">
        <f t="shared" si="17"/>
        <v>0</v>
      </c>
      <c r="BV18" s="484" t="str">
        <f t="shared" si="18"/>
        <v/>
      </c>
      <c r="BW18" s="484" t="str">
        <f t="shared" si="19"/>
        <v/>
      </c>
      <c r="BX18" s="484" t="str">
        <f t="shared" si="20"/>
        <v/>
      </c>
      <c r="BY18" s="484" t="str">
        <f t="shared" si="21"/>
        <v/>
      </c>
      <c r="BZ18" s="484" t="str">
        <f t="shared" si="22"/>
        <v/>
      </c>
      <c r="CA18" s="484" t="str">
        <f t="shared" si="23"/>
        <v/>
      </c>
      <c r="CB18" s="484" t="str">
        <f t="shared" si="24"/>
        <v/>
      </c>
      <c r="CC18" s="484" t="str">
        <f t="shared" si="25"/>
        <v/>
      </c>
      <c r="CD18" s="484" t="str">
        <f t="shared" si="26"/>
        <v/>
      </c>
      <c r="CE18" s="484" t="str">
        <f t="shared" si="27"/>
        <v/>
      </c>
      <c r="CF18" s="484" t="str">
        <f t="shared" si="28"/>
        <v/>
      </c>
      <c r="CG18" s="484" t="str">
        <f t="shared" si="29"/>
        <v/>
      </c>
      <c r="CH18" s="485">
        <f t="shared" si="33"/>
        <v>0</v>
      </c>
      <c r="CJ18" s="61"/>
      <c r="CK18" s="488" t="str">
        <f t="shared" si="30"/>
        <v>_</v>
      </c>
      <c r="CL18" s="488">
        <f t="shared" si="34"/>
        <v>0</v>
      </c>
      <c r="CM18" s="488">
        <f t="shared" si="31"/>
        <v>0</v>
      </c>
      <c r="DD18" s="390">
        <f t="shared" si="35"/>
        <v>0</v>
      </c>
      <c r="DE18" s="31">
        <f t="shared" si="36"/>
        <v>14</v>
      </c>
      <c r="DF18" s="31">
        <f t="shared" si="37"/>
        <v>0</v>
      </c>
      <c r="DG18" s="31">
        <f t="shared" si="38"/>
        <v>0</v>
      </c>
    </row>
    <row r="19" spans="1:111">
      <c r="A19" s="22"/>
      <c r="B19" s="272"/>
      <c r="C19" s="491"/>
      <c r="D19" s="492"/>
      <c r="E19" s="492"/>
      <c r="F19" s="492"/>
      <c r="G19" s="492"/>
      <c r="H19" s="492"/>
      <c r="I19" s="492"/>
      <c r="J19" s="492"/>
      <c r="K19" s="492"/>
      <c r="L19" s="492"/>
      <c r="M19" s="492"/>
      <c r="N19" s="492"/>
      <c r="O19" s="492"/>
      <c r="P19" s="469">
        <f t="shared" si="32"/>
        <v>0</v>
      </c>
      <c r="Q19" s="476">
        <f>IF(P19=0,0,(_xlfn.XLOOKUP(C19,Factors!$V$17:$V$72,Factors!$Z$17:$Z$72)*'Purchased Materials'!P19))</f>
        <v>0</v>
      </c>
      <c r="BA19" s="432" t="str">
        <f t="shared" si="2"/>
        <v/>
      </c>
      <c r="BB19" s="432" t="str">
        <f t="shared" si="3"/>
        <v/>
      </c>
      <c r="BC19" s="432">
        <v>1</v>
      </c>
      <c r="BD19" s="432" t="str">
        <f>_xlfn.LET(_xlpm.x,BB19,IF(LEN(_xlpm.x)&lt;1,"",IF(ISNUMBER(MATCH(_xlpm.x,ls_purchased_mat,0)),'Project Inputs'!$BF$14,99)))</f>
        <v/>
      </c>
      <c r="BE19" s="484" t="str">
        <f t="shared" si="4"/>
        <v/>
      </c>
      <c r="BF19" s="484" t="str">
        <f t="shared" si="5"/>
        <v/>
      </c>
      <c r="BG19" s="484" t="str">
        <f t="shared" si="6"/>
        <v/>
      </c>
      <c r="BH19" s="484" t="str">
        <f t="shared" si="7"/>
        <v/>
      </c>
      <c r="BI19" s="484" t="str">
        <f t="shared" si="8"/>
        <v/>
      </c>
      <c r="BJ19" s="484" t="str">
        <f t="shared" si="9"/>
        <v/>
      </c>
      <c r="BK19" s="484" t="str">
        <f t="shared" si="10"/>
        <v/>
      </c>
      <c r="BL19" s="484" t="str">
        <f t="shared" si="11"/>
        <v/>
      </c>
      <c r="BM19" s="484" t="str">
        <f t="shared" si="12"/>
        <v/>
      </c>
      <c r="BN19" s="484" t="str">
        <f t="shared" si="13"/>
        <v/>
      </c>
      <c r="BO19" s="484" t="str">
        <f t="shared" si="14"/>
        <v/>
      </c>
      <c r="BP19" s="484" t="str">
        <f t="shared" si="15"/>
        <v/>
      </c>
      <c r="BQ19" s="485" t="str">
        <f t="shared" si="16"/>
        <v/>
      </c>
      <c r="BR19" s="486">
        <v>2</v>
      </c>
      <c r="BS19" s="487" cm="1">
        <f t="array" ref="BS19">IFERROR(INDEX(tblPurch_Mat[],MATCH(1,(tblPurch_Mat[Dataset ID]=BD19)*(tblPurch_Mat[Material Subcategory]=BB19),0),6),"confirm")</f>
        <v>0</v>
      </c>
      <c r="BT19" s="487" cm="1">
        <f t="array" ref="BT19">IFERROR(INDEX(tblPurch_Mat[],MATCH(1,(tblPurch_Mat[Dataset ID]=BD19)*(tblPurch_Mat[Material Subcategory]=BB19),0),7),"confirm")</f>
        <v>0</v>
      </c>
      <c r="BU19" s="487">
        <f t="shared" si="17"/>
        <v>0</v>
      </c>
      <c r="BV19" s="484" t="str">
        <f t="shared" si="18"/>
        <v/>
      </c>
      <c r="BW19" s="484" t="str">
        <f t="shared" si="19"/>
        <v/>
      </c>
      <c r="BX19" s="484" t="str">
        <f t="shared" si="20"/>
        <v/>
      </c>
      <c r="BY19" s="484" t="str">
        <f t="shared" si="21"/>
        <v/>
      </c>
      <c r="BZ19" s="484" t="str">
        <f t="shared" si="22"/>
        <v/>
      </c>
      <c r="CA19" s="484" t="str">
        <f t="shared" si="23"/>
        <v/>
      </c>
      <c r="CB19" s="484" t="str">
        <f t="shared" si="24"/>
        <v/>
      </c>
      <c r="CC19" s="484" t="str">
        <f t="shared" si="25"/>
        <v/>
      </c>
      <c r="CD19" s="484" t="str">
        <f t="shared" si="26"/>
        <v/>
      </c>
      <c r="CE19" s="484" t="str">
        <f t="shared" si="27"/>
        <v/>
      </c>
      <c r="CF19" s="484" t="str">
        <f t="shared" si="28"/>
        <v/>
      </c>
      <c r="CG19" s="484" t="str">
        <f t="shared" si="29"/>
        <v/>
      </c>
      <c r="CH19" s="485">
        <f t="shared" si="33"/>
        <v>0</v>
      </c>
      <c r="CJ19" s="61"/>
      <c r="CK19" s="488" t="str">
        <f t="shared" si="30"/>
        <v>_</v>
      </c>
      <c r="CL19" s="488">
        <f t="shared" si="34"/>
        <v>0</v>
      </c>
      <c r="CM19" s="488">
        <f t="shared" si="31"/>
        <v>0</v>
      </c>
      <c r="DD19" s="390">
        <f t="shared" si="35"/>
        <v>0</v>
      </c>
      <c r="DE19" s="31">
        <f t="shared" si="36"/>
        <v>14</v>
      </c>
      <c r="DF19" s="31">
        <f t="shared" si="37"/>
        <v>0</v>
      </c>
      <c r="DG19" s="31">
        <f t="shared" si="38"/>
        <v>0</v>
      </c>
    </row>
    <row r="20" spans="1:111">
      <c r="A20" s="22"/>
      <c r="B20" s="272"/>
      <c r="C20" s="491"/>
      <c r="D20" s="492"/>
      <c r="E20" s="492"/>
      <c r="F20" s="492"/>
      <c r="G20" s="492"/>
      <c r="H20" s="492"/>
      <c r="I20" s="492"/>
      <c r="J20" s="492"/>
      <c r="K20" s="492"/>
      <c r="L20" s="492"/>
      <c r="M20" s="492"/>
      <c r="N20" s="492"/>
      <c r="O20" s="492"/>
      <c r="P20" s="469">
        <f t="shared" si="32"/>
        <v>0</v>
      </c>
      <c r="Q20" s="476">
        <f>IF(P20=0,0,(_xlfn.XLOOKUP(C20,Factors!$V$17:$V$72,Factors!$Z$17:$Z$72)*'Purchased Materials'!P20))</f>
        <v>0</v>
      </c>
      <c r="BA20" s="432" t="str">
        <f t="shared" si="2"/>
        <v/>
      </c>
      <c r="BB20" s="432" t="str">
        <f t="shared" si="3"/>
        <v/>
      </c>
      <c r="BC20" s="432">
        <v>1</v>
      </c>
      <c r="BD20" s="432" t="str">
        <f>_xlfn.LET(_xlpm.x,BB20,IF(LEN(_xlpm.x)&lt;1,"",IF(ISNUMBER(MATCH(_xlpm.x,ls_purchased_mat,0)),'Project Inputs'!$BF$14,99)))</f>
        <v/>
      </c>
      <c r="BE20" s="484" t="str">
        <f t="shared" si="4"/>
        <v/>
      </c>
      <c r="BF20" s="484" t="str">
        <f t="shared" si="5"/>
        <v/>
      </c>
      <c r="BG20" s="484" t="str">
        <f t="shared" si="6"/>
        <v/>
      </c>
      <c r="BH20" s="484" t="str">
        <f t="shared" si="7"/>
        <v/>
      </c>
      <c r="BI20" s="484" t="str">
        <f t="shared" si="8"/>
        <v/>
      </c>
      <c r="BJ20" s="484" t="str">
        <f t="shared" si="9"/>
        <v/>
      </c>
      <c r="BK20" s="484" t="str">
        <f t="shared" si="10"/>
        <v/>
      </c>
      <c r="BL20" s="484" t="str">
        <f t="shared" si="11"/>
        <v/>
      </c>
      <c r="BM20" s="484" t="str">
        <f t="shared" si="12"/>
        <v/>
      </c>
      <c r="BN20" s="484" t="str">
        <f t="shared" si="13"/>
        <v/>
      </c>
      <c r="BO20" s="484" t="str">
        <f t="shared" si="14"/>
        <v/>
      </c>
      <c r="BP20" s="484" t="str">
        <f t="shared" si="15"/>
        <v/>
      </c>
      <c r="BQ20" s="485" t="str">
        <f t="shared" si="16"/>
        <v/>
      </c>
      <c r="BR20" s="486">
        <v>2</v>
      </c>
      <c r="BS20" s="487" cm="1">
        <f t="array" ref="BS20">IFERROR(INDEX(tblPurch_Mat[],MATCH(1,(tblPurch_Mat[Dataset ID]=BD20)*(tblPurch_Mat[Material Subcategory]=BB20),0),6),"confirm")</f>
        <v>0</v>
      </c>
      <c r="BT20" s="487" cm="1">
        <f t="array" ref="BT20">IFERROR(INDEX(tblPurch_Mat[],MATCH(1,(tblPurch_Mat[Dataset ID]=BD20)*(tblPurch_Mat[Material Subcategory]=BB20),0),7),"confirm")</f>
        <v>0</v>
      </c>
      <c r="BU20" s="487">
        <f t="shared" si="17"/>
        <v>0</v>
      </c>
      <c r="BV20" s="484" t="str">
        <f t="shared" si="18"/>
        <v/>
      </c>
      <c r="BW20" s="484" t="str">
        <f t="shared" si="19"/>
        <v/>
      </c>
      <c r="BX20" s="484" t="str">
        <f t="shared" si="20"/>
        <v/>
      </c>
      <c r="BY20" s="484" t="str">
        <f t="shared" si="21"/>
        <v/>
      </c>
      <c r="BZ20" s="484" t="str">
        <f t="shared" si="22"/>
        <v/>
      </c>
      <c r="CA20" s="484" t="str">
        <f t="shared" si="23"/>
        <v/>
      </c>
      <c r="CB20" s="484" t="str">
        <f t="shared" si="24"/>
        <v/>
      </c>
      <c r="CC20" s="484" t="str">
        <f t="shared" si="25"/>
        <v/>
      </c>
      <c r="CD20" s="484" t="str">
        <f t="shared" si="26"/>
        <v/>
      </c>
      <c r="CE20" s="484" t="str">
        <f t="shared" si="27"/>
        <v/>
      </c>
      <c r="CF20" s="484" t="str">
        <f t="shared" si="28"/>
        <v/>
      </c>
      <c r="CG20" s="484" t="str">
        <f t="shared" si="29"/>
        <v/>
      </c>
      <c r="CH20" s="485">
        <f t="shared" si="33"/>
        <v>0</v>
      </c>
      <c r="CJ20" s="61"/>
      <c r="CK20" s="488" t="str">
        <f t="shared" si="30"/>
        <v>_</v>
      </c>
      <c r="CL20" s="488">
        <f t="shared" si="34"/>
        <v>0</v>
      </c>
      <c r="CM20" s="488">
        <f t="shared" si="31"/>
        <v>0</v>
      </c>
      <c r="DD20" s="390">
        <f t="shared" si="35"/>
        <v>0</v>
      </c>
      <c r="DE20" s="31">
        <f t="shared" si="36"/>
        <v>14</v>
      </c>
      <c r="DF20" s="31">
        <f t="shared" si="37"/>
        <v>0</v>
      </c>
      <c r="DG20" s="31">
        <f t="shared" si="38"/>
        <v>0</v>
      </c>
    </row>
    <row r="21" spans="1:111">
      <c r="A21" s="22"/>
      <c r="B21" s="272"/>
      <c r="C21" s="491"/>
      <c r="D21" s="492"/>
      <c r="E21" s="492"/>
      <c r="F21" s="492"/>
      <c r="G21" s="492"/>
      <c r="H21" s="492"/>
      <c r="I21" s="492"/>
      <c r="J21" s="492"/>
      <c r="K21" s="492"/>
      <c r="L21" s="492"/>
      <c r="M21" s="492"/>
      <c r="N21" s="492"/>
      <c r="O21" s="492"/>
      <c r="P21" s="469">
        <f t="shared" si="32"/>
        <v>0</v>
      </c>
      <c r="Q21" s="476">
        <f>IF(P21=0,0,(_xlfn.XLOOKUP(C21,Factors!$V$17:$V$72,Factors!$Z$17:$Z$72)*'Purchased Materials'!P21))</f>
        <v>0</v>
      </c>
      <c r="BA21" s="432" t="str">
        <f t="shared" si="2"/>
        <v/>
      </c>
      <c r="BB21" s="432" t="str">
        <f t="shared" si="3"/>
        <v/>
      </c>
      <c r="BC21" s="432">
        <v>1</v>
      </c>
      <c r="BD21" s="432" t="str">
        <f>_xlfn.LET(_xlpm.x,BB21,IF(LEN(_xlpm.x)&lt;1,"",IF(ISNUMBER(MATCH(_xlpm.x,ls_purchased_mat,0)),'Project Inputs'!$BF$14,99)))</f>
        <v/>
      </c>
      <c r="BE21" s="484" t="str">
        <f t="shared" si="4"/>
        <v/>
      </c>
      <c r="BF21" s="484" t="str">
        <f t="shared" si="5"/>
        <v/>
      </c>
      <c r="BG21" s="484" t="str">
        <f t="shared" si="6"/>
        <v/>
      </c>
      <c r="BH21" s="484" t="str">
        <f t="shared" si="7"/>
        <v/>
      </c>
      <c r="BI21" s="484" t="str">
        <f t="shared" si="8"/>
        <v/>
      </c>
      <c r="BJ21" s="484" t="str">
        <f t="shared" si="9"/>
        <v/>
      </c>
      <c r="BK21" s="484" t="str">
        <f t="shared" si="10"/>
        <v/>
      </c>
      <c r="BL21" s="484" t="str">
        <f t="shared" si="11"/>
        <v/>
      </c>
      <c r="BM21" s="484" t="str">
        <f t="shared" si="12"/>
        <v/>
      </c>
      <c r="BN21" s="484" t="str">
        <f t="shared" si="13"/>
        <v/>
      </c>
      <c r="BO21" s="484" t="str">
        <f t="shared" si="14"/>
        <v/>
      </c>
      <c r="BP21" s="484" t="str">
        <f t="shared" si="15"/>
        <v/>
      </c>
      <c r="BQ21" s="485" t="str">
        <f t="shared" si="16"/>
        <v/>
      </c>
      <c r="BR21" s="486">
        <v>2</v>
      </c>
      <c r="BS21" s="487" cm="1">
        <f t="array" ref="BS21">IFERROR(INDEX(tblPurch_Mat[],MATCH(1,(tblPurch_Mat[Dataset ID]=BD21)*(tblPurch_Mat[Material Subcategory]=BB21),0),6),"confirm")</f>
        <v>0</v>
      </c>
      <c r="BT21" s="487" cm="1">
        <f t="array" ref="BT21">IFERROR(INDEX(tblPurch_Mat[],MATCH(1,(tblPurch_Mat[Dataset ID]=BD21)*(tblPurch_Mat[Material Subcategory]=BB21),0),7),"confirm")</f>
        <v>0</v>
      </c>
      <c r="BU21" s="487">
        <f t="shared" si="17"/>
        <v>0</v>
      </c>
      <c r="BV21" s="484" t="str">
        <f t="shared" si="18"/>
        <v/>
      </c>
      <c r="BW21" s="484" t="str">
        <f t="shared" si="19"/>
        <v/>
      </c>
      <c r="BX21" s="484" t="str">
        <f t="shared" si="20"/>
        <v/>
      </c>
      <c r="BY21" s="484" t="str">
        <f t="shared" si="21"/>
        <v/>
      </c>
      <c r="BZ21" s="484" t="str">
        <f t="shared" si="22"/>
        <v/>
      </c>
      <c r="CA21" s="484" t="str">
        <f t="shared" si="23"/>
        <v/>
      </c>
      <c r="CB21" s="484" t="str">
        <f t="shared" si="24"/>
        <v/>
      </c>
      <c r="CC21" s="484" t="str">
        <f t="shared" si="25"/>
        <v/>
      </c>
      <c r="CD21" s="484" t="str">
        <f t="shared" si="26"/>
        <v/>
      </c>
      <c r="CE21" s="484" t="str">
        <f t="shared" si="27"/>
        <v/>
      </c>
      <c r="CF21" s="484" t="str">
        <f t="shared" si="28"/>
        <v/>
      </c>
      <c r="CG21" s="484" t="str">
        <f t="shared" si="29"/>
        <v/>
      </c>
      <c r="CH21" s="485">
        <f>SUM(BV21:CG21)</f>
        <v>0</v>
      </c>
      <c r="CJ21" s="61"/>
      <c r="CK21" s="488" t="str">
        <f t="shared" si="30"/>
        <v>_</v>
      </c>
      <c r="CL21" s="488">
        <f t="shared" si="34"/>
        <v>0</v>
      </c>
      <c r="CM21" s="488">
        <f t="shared" si="31"/>
        <v>0</v>
      </c>
      <c r="DD21" s="390">
        <f t="shared" si="35"/>
        <v>0</v>
      </c>
      <c r="DE21" s="31">
        <f t="shared" si="36"/>
        <v>14</v>
      </c>
      <c r="DF21" s="31">
        <f t="shared" si="37"/>
        <v>0</v>
      </c>
      <c r="DG21" s="31">
        <f t="shared" si="38"/>
        <v>0</v>
      </c>
    </row>
    <row r="22" spans="1:111">
      <c r="A22" s="22"/>
      <c r="B22" s="272"/>
      <c r="C22" s="491"/>
      <c r="D22" s="492"/>
      <c r="E22" s="492"/>
      <c r="F22" s="492"/>
      <c r="G22" s="492"/>
      <c r="H22" s="492"/>
      <c r="I22" s="492"/>
      <c r="J22" s="492"/>
      <c r="K22" s="492"/>
      <c r="L22" s="492"/>
      <c r="M22" s="492"/>
      <c r="N22" s="492"/>
      <c r="O22" s="492"/>
      <c r="P22" s="469">
        <f t="shared" si="32"/>
        <v>0</v>
      </c>
      <c r="Q22" s="476">
        <f>IF(P22=0,0,(_xlfn.XLOOKUP(C22,Factors!$V$17:$V$72,Factors!$Z$17:$Z$72)*'Purchased Materials'!P22))</f>
        <v>0</v>
      </c>
      <c r="BA22" s="432" t="str">
        <f t="shared" si="2"/>
        <v/>
      </c>
      <c r="BB22" s="432" t="str">
        <f t="shared" si="3"/>
        <v/>
      </c>
      <c r="BC22" s="432">
        <v>1</v>
      </c>
      <c r="BD22" s="432" t="str">
        <f>_xlfn.LET(_xlpm.x,BB22,IF(LEN(_xlpm.x)&lt;1,"",IF(ISNUMBER(MATCH(_xlpm.x,ls_purchased_mat,0)),'Project Inputs'!$BF$14,99)))</f>
        <v/>
      </c>
      <c r="BE22" s="484" t="str">
        <f t="shared" si="4"/>
        <v/>
      </c>
      <c r="BF22" s="484" t="str">
        <f t="shared" si="5"/>
        <v/>
      </c>
      <c r="BG22" s="484" t="str">
        <f t="shared" si="6"/>
        <v/>
      </c>
      <c r="BH22" s="484" t="str">
        <f t="shared" si="7"/>
        <v/>
      </c>
      <c r="BI22" s="484" t="str">
        <f t="shared" si="8"/>
        <v/>
      </c>
      <c r="BJ22" s="484" t="str">
        <f t="shared" si="9"/>
        <v/>
      </c>
      <c r="BK22" s="484" t="str">
        <f>_xlfn.LET(_xlpm.x,J22,IF(OR(LEN(_xlpm.x)&lt;1,_xlpm.x=0),"",_xlpm.x))</f>
        <v/>
      </c>
      <c r="BL22" s="484" t="str">
        <f>_xlfn.LET(_xlpm.x,K22,IF(OR(LEN(_xlpm.x)&lt;1,_xlpm.x=0),"",_xlpm.x))</f>
        <v/>
      </c>
      <c r="BM22" s="484" t="str">
        <f t="shared" si="12"/>
        <v/>
      </c>
      <c r="BN22" s="484" t="str">
        <f t="shared" si="13"/>
        <v/>
      </c>
      <c r="BO22" s="484" t="str">
        <f t="shared" si="14"/>
        <v/>
      </c>
      <c r="BP22" s="484" t="str">
        <f t="shared" si="15"/>
        <v/>
      </c>
      <c r="BQ22" s="485" t="str">
        <f t="shared" si="16"/>
        <v/>
      </c>
      <c r="BR22" s="486">
        <v>2</v>
      </c>
      <c r="BS22" s="487" cm="1">
        <f t="array" ref="BS22">IFERROR(INDEX(tblPurch_Mat[],MATCH(1,(tblPurch_Mat[Dataset ID]=BD22)*(tblPurch_Mat[Material Subcategory]=BB22),0),6),"confirm")</f>
        <v>0</v>
      </c>
      <c r="BT22" s="487" cm="1">
        <f t="array" ref="BT22">IFERROR(INDEX(tblPurch_Mat[],MATCH(1,(tblPurch_Mat[Dataset ID]=BD22)*(tblPurch_Mat[Material Subcategory]=BB22),0),7),"confirm")</f>
        <v>0</v>
      </c>
      <c r="BU22" s="487">
        <f t="shared" si="17"/>
        <v>0</v>
      </c>
      <c r="BV22" s="484" t="str">
        <f t="shared" si="18"/>
        <v/>
      </c>
      <c r="BW22" s="484" t="str">
        <f t="shared" si="19"/>
        <v/>
      </c>
      <c r="BX22" s="484" t="str">
        <f t="shared" si="20"/>
        <v/>
      </c>
      <c r="BY22" s="484" t="str">
        <f t="shared" si="21"/>
        <v/>
      </c>
      <c r="BZ22" s="484" t="str">
        <f t="shared" si="22"/>
        <v/>
      </c>
      <c r="CA22" s="484" t="str">
        <f t="shared" si="23"/>
        <v/>
      </c>
      <c r="CB22" s="484" t="str">
        <f t="shared" si="24"/>
        <v/>
      </c>
      <c r="CC22" s="484" t="str">
        <f t="shared" si="25"/>
        <v/>
      </c>
      <c r="CD22" s="484" t="str">
        <f t="shared" si="26"/>
        <v/>
      </c>
      <c r="CE22" s="484" t="str">
        <f t="shared" si="27"/>
        <v/>
      </c>
      <c r="CF22" s="484" t="str">
        <f t="shared" si="28"/>
        <v/>
      </c>
      <c r="CG22" s="484" t="str">
        <f t="shared" si="29"/>
        <v/>
      </c>
      <c r="CH22" s="485">
        <f t="shared" si="33"/>
        <v>0</v>
      </c>
      <c r="CJ22" s="61"/>
      <c r="CK22" s="488" t="str">
        <f t="shared" si="30"/>
        <v>_</v>
      </c>
      <c r="CL22" s="488">
        <f t="shared" si="34"/>
        <v>0</v>
      </c>
      <c r="CM22" s="488">
        <f t="shared" si="31"/>
        <v>0</v>
      </c>
      <c r="DD22" s="390">
        <f t="shared" si="35"/>
        <v>0</v>
      </c>
      <c r="DE22" s="31">
        <f t="shared" si="36"/>
        <v>14</v>
      </c>
      <c r="DF22" s="31">
        <f t="shared" si="37"/>
        <v>0</v>
      </c>
      <c r="DG22" s="31">
        <f t="shared" si="38"/>
        <v>0</v>
      </c>
    </row>
    <row r="23" spans="1:111">
      <c r="A23" s="22"/>
      <c r="B23" s="272"/>
      <c r="C23" s="491"/>
      <c r="D23" s="492"/>
      <c r="E23" s="492"/>
      <c r="F23" s="492"/>
      <c r="G23" s="492"/>
      <c r="H23" s="492"/>
      <c r="I23" s="492"/>
      <c r="J23" s="492"/>
      <c r="K23" s="492"/>
      <c r="L23" s="492"/>
      <c r="M23" s="492"/>
      <c r="N23" s="492"/>
      <c r="O23" s="492"/>
      <c r="P23" s="469">
        <f t="shared" si="32"/>
        <v>0</v>
      </c>
      <c r="Q23" s="476">
        <f>IF(P23=0,0,(_xlfn.XLOOKUP(C23,Factors!$V$17:$V$72,Factors!$Z$17:$Z$72)*'Purchased Materials'!P23))</f>
        <v>0</v>
      </c>
      <c r="BA23" s="432" t="str">
        <f t="shared" si="2"/>
        <v/>
      </c>
      <c r="BB23" s="432" t="str">
        <f t="shared" si="3"/>
        <v/>
      </c>
      <c r="BC23" s="432">
        <v>1</v>
      </c>
      <c r="BD23" s="432" t="str">
        <f>_xlfn.LET(_xlpm.x,BB23,IF(LEN(_xlpm.x)&lt;1,"",IF(ISNUMBER(MATCH(_xlpm.x,ls_purchased_mat,0)),'Project Inputs'!$BF$14,99)))</f>
        <v/>
      </c>
      <c r="BE23" s="484" t="str">
        <f t="shared" si="4"/>
        <v/>
      </c>
      <c r="BF23" s="484" t="str">
        <f t="shared" si="5"/>
        <v/>
      </c>
      <c r="BG23" s="484" t="str">
        <f t="shared" si="6"/>
        <v/>
      </c>
      <c r="BH23" s="484" t="str">
        <f t="shared" si="7"/>
        <v/>
      </c>
      <c r="BI23" s="484" t="str">
        <f t="shared" si="8"/>
        <v/>
      </c>
      <c r="BJ23" s="484" t="str">
        <f t="shared" si="9"/>
        <v/>
      </c>
      <c r="BK23" s="484" t="str">
        <f t="shared" si="10"/>
        <v/>
      </c>
      <c r="BL23" s="484" t="str">
        <f t="shared" si="11"/>
        <v/>
      </c>
      <c r="BM23" s="484" t="str">
        <f t="shared" si="12"/>
        <v/>
      </c>
      <c r="BN23" s="484" t="str">
        <f t="shared" si="13"/>
        <v/>
      </c>
      <c r="BO23" s="484" t="str">
        <f t="shared" si="14"/>
        <v/>
      </c>
      <c r="BP23" s="484" t="str">
        <f t="shared" si="15"/>
        <v/>
      </c>
      <c r="BQ23" s="485" t="str">
        <f t="shared" si="16"/>
        <v/>
      </c>
      <c r="BR23" s="486">
        <v>2</v>
      </c>
      <c r="BS23" s="487" cm="1">
        <f t="array" ref="BS23">IFERROR(INDEX(tblPurch_Mat[],MATCH(1,(tblPurch_Mat[Dataset ID]=BD23)*(tblPurch_Mat[Material Subcategory]=BB23),0),6),"confirm")</f>
        <v>0</v>
      </c>
      <c r="BT23" s="487" cm="1">
        <f t="array" ref="BT23">IFERROR(INDEX(tblPurch_Mat[],MATCH(1,(tblPurch_Mat[Dataset ID]=BD23)*(tblPurch_Mat[Material Subcategory]=BB23),0),7),"confirm")</f>
        <v>0</v>
      </c>
      <c r="BU23" s="487">
        <f t="shared" si="17"/>
        <v>0</v>
      </c>
      <c r="BV23" s="484" t="str">
        <f t="shared" si="18"/>
        <v/>
      </c>
      <c r="BW23" s="484" t="str">
        <f t="shared" si="19"/>
        <v/>
      </c>
      <c r="BX23" s="484" t="str">
        <f t="shared" si="20"/>
        <v/>
      </c>
      <c r="BY23" s="484" t="str">
        <f t="shared" si="21"/>
        <v/>
      </c>
      <c r="BZ23" s="484" t="str">
        <f t="shared" si="22"/>
        <v/>
      </c>
      <c r="CA23" s="484" t="str">
        <f t="shared" si="23"/>
        <v/>
      </c>
      <c r="CB23" s="484" t="str">
        <f t="shared" si="24"/>
        <v/>
      </c>
      <c r="CC23" s="484" t="str">
        <f t="shared" si="25"/>
        <v/>
      </c>
      <c r="CD23" s="484" t="str">
        <f t="shared" si="26"/>
        <v/>
      </c>
      <c r="CE23" s="484" t="str">
        <f t="shared" si="27"/>
        <v/>
      </c>
      <c r="CF23" s="484" t="str">
        <f t="shared" si="28"/>
        <v/>
      </c>
      <c r="CG23" s="484" t="str">
        <f t="shared" si="29"/>
        <v/>
      </c>
      <c r="CH23" s="485">
        <f t="shared" si="33"/>
        <v>0</v>
      </c>
      <c r="CJ23" s="61"/>
      <c r="CK23" s="488" t="str">
        <f t="shared" si="30"/>
        <v>_</v>
      </c>
      <c r="CL23" s="488">
        <f t="shared" si="34"/>
        <v>0</v>
      </c>
      <c r="CM23" s="488">
        <f t="shared" si="31"/>
        <v>0</v>
      </c>
      <c r="DD23" s="390">
        <f t="shared" si="35"/>
        <v>0</v>
      </c>
      <c r="DE23" s="31">
        <f t="shared" si="36"/>
        <v>14</v>
      </c>
      <c r="DF23" s="31">
        <f t="shared" si="37"/>
        <v>0</v>
      </c>
      <c r="DG23" s="31">
        <f t="shared" si="38"/>
        <v>0</v>
      </c>
    </row>
    <row r="24" spans="1:111">
      <c r="A24" s="22"/>
      <c r="B24" s="272"/>
      <c r="C24" s="491"/>
      <c r="D24" s="492"/>
      <c r="E24" s="492"/>
      <c r="F24" s="492"/>
      <c r="G24" s="492"/>
      <c r="H24" s="492"/>
      <c r="I24" s="492"/>
      <c r="J24" s="492"/>
      <c r="K24" s="492"/>
      <c r="L24" s="492"/>
      <c r="M24" s="492"/>
      <c r="N24" s="492"/>
      <c r="O24" s="492"/>
      <c r="P24" s="469">
        <f t="shared" si="32"/>
        <v>0</v>
      </c>
      <c r="Q24" s="476">
        <f>IF(P24=0,0,(_xlfn.XLOOKUP(C24,Factors!$V$17:$V$72,Factors!$Z$17:$Z$72)*'Purchased Materials'!P24))</f>
        <v>0</v>
      </c>
      <c r="BA24" s="432" t="str">
        <f t="shared" si="2"/>
        <v/>
      </c>
      <c r="BB24" s="432" t="str">
        <f t="shared" si="3"/>
        <v/>
      </c>
      <c r="BC24" s="432">
        <v>1</v>
      </c>
      <c r="BD24" s="432" t="str">
        <f>_xlfn.LET(_xlpm.x,BB24,IF(LEN(_xlpm.x)&lt;1,"",IF(ISNUMBER(MATCH(_xlpm.x,ls_purchased_mat,0)),'Project Inputs'!$BF$14,99)))</f>
        <v/>
      </c>
      <c r="BE24" s="484" t="str">
        <f t="shared" si="4"/>
        <v/>
      </c>
      <c r="BF24" s="484" t="str">
        <f>_xlfn.LET(_xlpm.x,E24,IF(OR(LEN(_xlpm.x)&lt;1,_xlpm.x=0),"",_xlpm.x))</f>
        <v/>
      </c>
      <c r="BG24" s="484" t="str">
        <f>_xlfn.LET(_xlpm.x,F24,IF(OR(LEN(_xlpm.x)&lt;1,_xlpm.x=0),"",_xlpm.x))</f>
        <v/>
      </c>
      <c r="BH24" s="484" t="str">
        <f t="shared" si="7"/>
        <v/>
      </c>
      <c r="BI24" s="484" t="str">
        <f t="shared" si="8"/>
        <v/>
      </c>
      <c r="BJ24" s="484" t="str">
        <f t="shared" si="9"/>
        <v/>
      </c>
      <c r="BK24" s="484" t="str">
        <f t="shared" si="10"/>
        <v/>
      </c>
      <c r="BL24" s="484" t="str">
        <f t="shared" si="11"/>
        <v/>
      </c>
      <c r="BM24" s="484" t="str">
        <f t="shared" si="12"/>
        <v/>
      </c>
      <c r="BN24" s="484" t="str">
        <f t="shared" si="13"/>
        <v/>
      </c>
      <c r="BO24" s="484" t="str">
        <f t="shared" si="14"/>
        <v/>
      </c>
      <c r="BP24" s="484" t="str">
        <f t="shared" si="15"/>
        <v/>
      </c>
      <c r="BQ24" s="485" t="str">
        <f t="shared" si="16"/>
        <v/>
      </c>
      <c r="BR24" s="486">
        <v>2</v>
      </c>
      <c r="BS24" s="487" cm="1">
        <f t="array" ref="BS24">IFERROR(INDEX(tblPurch_Mat[],MATCH(1,(tblPurch_Mat[Dataset ID]=BD24)*(tblPurch_Mat[Material Subcategory]=BB24),0),6),"confirm")</f>
        <v>0</v>
      </c>
      <c r="BT24" s="487" cm="1">
        <f t="array" ref="BT24">IFERROR(INDEX(tblPurch_Mat[],MATCH(1,(tblPurch_Mat[Dataset ID]=BD24)*(tblPurch_Mat[Material Subcategory]=BB24),0),7),"confirm")</f>
        <v>0</v>
      </c>
      <c r="BU24" s="487">
        <f t="shared" si="17"/>
        <v>0</v>
      </c>
      <c r="BV24" s="484" t="str">
        <f t="shared" si="18"/>
        <v/>
      </c>
      <c r="BW24" s="484" t="str">
        <f t="shared" si="19"/>
        <v/>
      </c>
      <c r="BX24" s="484" t="str">
        <f t="shared" si="20"/>
        <v/>
      </c>
      <c r="BY24" s="484" t="str">
        <f t="shared" si="21"/>
        <v/>
      </c>
      <c r="BZ24" s="484" t="str">
        <f t="shared" si="22"/>
        <v/>
      </c>
      <c r="CA24" s="484" t="str">
        <f t="shared" si="23"/>
        <v/>
      </c>
      <c r="CB24" s="484" t="str">
        <f t="shared" si="24"/>
        <v/>
      </c>
      <c r="CC24" s="484" t="str">
        <f t="shared" si="25"/>
        <v/>
      </c>
      <c r="CD24" s="484" t="str">
        <f t="shared" si="26"/>
        <v/>
      </c>
      <c r="CE24" s="484" t="str">
        <f t="shared" si="27"/>
        <v/>
      </c>
      <c r="CF24" s="484" t="str">
        <f t="shared" si="28"/>
        <v/>
      </c>
      <c r="CG24" s="484" t="str">
        <f t="shared" si="29"/>
        <v/>
      </c>
      <c r="CH24" s="485">
        <f t="shared" si="33"/>
        <v>0</v>
      </c>
      <c r="CJ24" s="3"/>
      <c r="CK24" s="488" t="str">
        <f t="shared" si="30"/>
        <v>_</v>
      </c>
      <c r="CL24" s="488">
        <f t="shared" si="34"/>
        <v>0</v>
      </c>
      <c r="CM24" s="488">
        <f t="shared" si="31"/>
        <v>0</v>
      </c>
      <c r="DD24" s="390">
        <f t="shared" si="35"/>
        <v>0</v>
      </c>
      <c r="DE24" s="31">
        <f t="shared" si="36"/>
        <v>14</v>
      </c>
      <c r="DF24" s="31">
        <f t="shared" si="37"/>
        <v>0</v>
      </c>
      <c r="DG24" s="31">
        <f t="shared" si="38"/>
        <v>0</v>
      </c>
    </row>
    <row r="25" spans="1:111">
      <c r="A25" s="22"/>
      <c r="B25" s="272"/>
      <c r="C25" s="491"/>
      <c r="D25" s="492"/>
      <c r="E25" s="492"/>
      <c r="F25" s="492"/>
      <c r="G25" s="492"/>
      <c r="H25" s="492"/>
      <c r="I25" s="492"/>
      <c r="J25" s="492"/>
      <c r="K25" s="492"/>
      <c r="L25" s="492"/>
      <c r="M25" s="492"/>
      <c r="N25" s="492"/>
      <c r="O25" s="492"/>
      <c r="P25" s="469">
        <f t="shared" si="32"/>
        <v>0</v>
      </c>
      <c r="Q25" s="476">
        <f>IF(P25=0,0,(_xlfn.XLOOKUP(C25,Factors!$V$17:$V$72,Factors!$Z$17:$Z$72)*'Purchased Materials'!P25))</f>
        <v>0</v>
      </c>
      <c r="BA25" s="432" t="str">
        <f t="shared" si="2"/>
        <v/>
      </c>
      <c r="BB25" s="432" t="str">
        <f t="shared" si="3"/>
        <v/>
      </c>
      <c r="BC25" s="432">
        <v>1</v>
      </c>
      <c r="BD25" s="432" t="str">
        <f>_xlfn.LET(_xlpm.x,BB25,IF(LEN(_xlpm.x)&lt;1,"",IF(ISNUMBER(MATCH(_xlpm.x,ls_purchased_mat,0)),'Project Inputs'!$BF$14,99)))</f>
        <v/>
      </c>
      <c r="BE25" s="484" t="str">
        <f t="shared" si="4"/>
        <v/>
      </c>
      <c r="BF25" s="484" t="str">
        <f t="shared" si="5"/>
        <v/>
      </c>
      <c r="BG25" s="484" t="str">
        <f t="shared" si="6"/>
        <v/>
      </c>
      <c r="BH25" s="484" t="str">
        <f t="shared" si="7"/>
        <v/>
      </c>
      <c r="BI25" s="484" t="str">
        <f t="shared" si="8"/>
        <v/>
      </c>
      <c r="BJ25" s="484" t="str">
        <f t="shared" si="9"/>
        <v/>
      </c>
      <c r="BK25" s="484" t="str">
        <f t="shared" si="10"/>
        <v/>
      </c>
      <c r="BL25" s="484" t="str">
        <f t="shared" si="11"/>
        <v/>
      </c>
      <c r="BM25" s="484" t="str">
        <f t="shared" si="12"/>
        <v/>
      </c>
      <c r="BN25" s="484" t="str">
        <f t="shared" si="13"/>
        <v/>
      </c>
      <c r="BO25" s="484" t="str">
        <f t="shared" si="14"/>
        <v/>
      </c>
      <c r="BP25" s="484" t="str">
        <f t="shared" si="15"/>
        <v/>
      </c>
      <c r="BQ25" s="485" t="str">
        <f t="shared" si="16"/>
        <v/>
      </c>
      <c r="BR25" s="486">
        <v>2</v>
      </c>
      <c r="BS25" s="487" cm="1">
        <f t="array" ref="BS25">IFERROR(INDEX(tblPurch_Mat[],MATCH(1,(tblPurch_Mat[Dataset ID]=BD25)*(tblPurch_Mat[Material Subcategory]=BB25),0),6),"confirm")</f>
        <v>0</v>
      </c>
      <c r="BT25" s="487" cm="1">
        <f t="array" ref="BT25">IFERROR(INDEX(tblPurch_Mat[],MATCH(1,(tblPurch_Mat[Dataset ID]=BD25)*(tblPurch_Mat[Material Subcategory]=BB25),0),7),"confirm")</f>
        <v>0</v>
      </c>
      <c r="BU25" s="487">
        <f t="shared" si="17"/>
        <v>0</v>
      </c>
      <c r="BV25" s="484" t="str">
        <f t="shared" si="18"/>
        <v/>
      </c>
      <c r="BW25" s="484" t="str">
        <f t="shared" si="19"/>
        <v/>
      </c>
      <c r="BX25" s="484" t="str">
        <f t="shared" si="20"/>
        <v/>
      </c>
      <c r="BY25" s="484" t="str">
        <f t="shared" si="21"/>
        <v/>
      </c>
      <c r="BZ25" s="484" t="str">
        <f t="shared" si="22"/>
        <v/>
      </c>
      <c r="CA25" s="484" t="str">
        <f t="shared" si="23"/>
        <v/>
      </c>
      <c r="CB25" s="484" t="str">
        <f t="shared" si="24"/>
        <v/>
      </c>
      <c r="CC25" s="484" t="str">
        <f t="shared" si="25"/>
        <v/>
      </c>
      <c r="CD25" s="484" t="str">
        <f t="shared" si="26"/>
        <v/>
      </c>
      <c r="CE25" s="484" t="str">
        <f t="shared" si="27"/>
        <v/>
      </c>
      <c r="CF25" s="484" t="str">
        <f t="shared" si="28"/>
        <v/>
      </c>
      <c r="CG25" s="484" t="str">
        <f t="shared" si="29"/>
        <v/>
      </c>
      <c r="CH25" s="485">
        <f t="shared" si="33"/>
        <v>0</v>
      </c>
      <c r="CJ25" s="3"/>
      <c r="CK25" s="488" t="str">
        <f t="shared" si="30"/>
        <v>_</v>
      </c>
      <c r="CL25" s="488">
        <f t="shared" si="34"/>
        <v>0</v>
      </c>
      <c r="CM25" s="488">
        <f t="shared" si="31"/>
        <v>0</v>
      </c>
      <c r="DD25" s="390">
        <f t="shared" si="35"/>
        <v>0</v>
      </c>
      <c r="DE25" s="31">
        <f t="shared" si="36"/>
        <v>14</v>
      </c>
      <c r="DF25" s="31">
        <f t="shared" si="37"/>
        <v>0</v>
      </c>
      <c r="DG25" s="31">
        <f t="shared" si="38"/>
        <v>0</v>
      </c>
    </row>
    <row r="26" spans="1:111">
      <c r="A26" s="22"/>
      <c r="B26" s="272"/>
      <c r="C26" s="491"/>
      <c r="D26" s="492"/>
      <c r="E26" s="492"/>
      <c r="F26" s="492"/>
      <c r="G26" s="492"/>
      <c r="H26" s="492"/>
      <c r="I26" s="492"/>
      <c r="J26" s="492"/>
      <c r="K26" s="492"/>
      <c r="L26" s="492"/>
      <c r="M26" s="492"/>
      <c r="N26" s="492"/>
      <c r="O26" s="492"/>
      <c r="P26" s="469">
        <f t="shared" si="32"/>
        <v>0</v>
      </c>
      <c r="Q26" s="476">
        <f>IF(P26=0,0,(_xlfn.XLOOKUP(C26,Factors!$V$17:$V$72,Factors!$Z$17:$Z$72)*'Purchased Materials'!P26))</f>
        <v>0</v>
      </c>
      <c r="BA26" s="432" t="str">
        <f t="shared" si="2"/>
        <v/>
      </c>
      <c r="BB26" s="432" t="str">
        <f t="shared" si="3"/>
        <v/>
      </c>
      <c r="BC26" s="432">
        <v>1</v>
      </c>
      <c r="BD26" s="432" t="str">
        <f>_xlfn.LET(_xlpm.x,BB26,IF(LEN(_xlpm.x)&lt;1,"",IF(ISNUMBER(MATCH(_xlpm.x,ls_purchased_mat,0)),'Project Inputs'!$BF$14,99)))</f>
        <v/>
      </c>
      <c r="BE26" s="484" t="str">
        <f t="shared" si="4"/>
        <v/>
      </c>
      <c r="BF26" s="484" t="str">
        <f t="shared" si="5"/>
        <v/>
      </c>
      <c r="BG26" s="484" t="str">
        <f t="shared" si="6"/>
        <v/>
      </c>
      <c r="BH26" s="484" t="str">
        <f t="shared" si="7"/>
        <v/>
      </c>
      <c r="BI26" s="484" t="str">
        <f t="shared" si="8"/>
        <v/>
      </c>
      <c r="BJ26" s="484" t="str">
        <f t="shared" si="9"/>
        <v/>
      </c>
      <c r="BK26" s="484" t="str">
        <f t="shared" si="10"/>
        <v/>
      </c>
      <c r="BL26" s="484" t="str">
        <f t="shared" si="11"/>
        <v/>
      </c>
      <c r="BM26" s="484" t="str">
        <f t="shared" si="12"/>
        <v/>
      </c>
      <c r="BN26" s="484" t="str">
        <f t="shared" si="13"/>
        <v/>
      </c>
      <c r="BO26" s="484" t="str">
        <f t="shared" si="14"/>
        <v/>
      </c>
      <c r="BP26" s="484" t="str">
        <f t="shared" si="15"/>
        <v/>
      </c>
      <c r="BQ26" s="485" t="str">
        <f t="shared" si="16"/>
        <v/>
      </c>
      <c r="BR26" s="486">
        <v>2</v>
      </c>
      <c r="BS26" s="487" cm="1">
        <f t="array" ref="BS26">IFERROR(INDEX(tblPurch_Mat[],MATCH(1,(tblPurch_Mat[Dataset ID]=BD26)*(tblPurch_Mat[Material Subcategory]=BB26),0),6),"confirm")</f>
        <v>0</v>
      </c>
      <c r="BT26" s="487" cm="1">
        <f t="array" ref="BT26">IFERROR(INDEX(tblPurch_Mat[],MATCH(1,(tblPurch_Mat[Dataset ID]=BD26)*(tblPurch_Mat[Material Subcategory]=BB26),0),7),"confirm")</f>
        <v>0</v>
      </c>
      <c r="BU26" s="487">
        <f t="shared" si="17"/>
        <v>0</v>
      </c>
      <c r="BV26" s="484" t="str">
        <f t="shared" si="18"/>
        <v/>
      </c>
      <c r="BW26" s="484" t="str">
        <f t="shared" si="19"/>
        <v/>
      </c>
      <c r="BX26" s="484" t="str">
        <f t="shared" si="20"/>
        <v/>
      </c>
      <c r="BY26" s="484" t="str">
        <f t="shared" si="21"/>
        <v/>
      </c>
      <c r="BZ26" s="484" t="str">
        <f t="shared" si="22"/>
        <v/>
      </c>
      <c r="CA26" s="484" t="str">
        <f t="shared" si="23"/>
        <v/>
      </c>
      <c r="CB26" s="484" t="str">
        <f t="shared" si="24"/>
        <v/>
      </c>
      <c r="CC26" s="484" t="str">
        <f t="shared" si="25"/>
        <v/>
      </c>
      <c r="CD26" s="484" t="str">
        <f t="shared" si="26"/>
        <v/>
      </c>
      <c r="CE26" s="484" t="str">
        <f t="shared" si="27"/>
        <v/>
      </c>
      <c r="CF26" s="484" t="str">
        <f t="shared" si="28"/>
        <v/>
      </c>
      <c r="CG26" s="484" t="str">
        <f t="shared" si="29"/>
        <v/>
      </c>
      <c r="CH26" s="485">
        <f t="shared" si="33"/>
        <v>0</v>
      </c>
      <c r="CJ26" s="3"/>
      <c r="CK26" s="488" t="str">
        <f t="shared" si="30"/>
        <v>_</v>
      </c>
      <c r="CL26" s="488">
        <f t="shared" si="34"/>
        <v>0</v>
      </c>
      <c r="CM26" s="488">
        <f t="shared" si="31"/>
        <v>0</v>
      </c>
      <c r="DD26" s="390">
        <f t="shared" si="35"/>
        <v>0</v>
      </c>
      <c r="DE26" s="31">
        <f t="shared" si="36"/>
        <v>14</v>
      </c>
      <c r="DF26" s="31">
        <f t="shared" si="37"/>
        <v>0</v>
      </c>
      <c r="DG26" s="31">
        <f t="shared" si="38"/>
        <v>0</v>
      </c>
    </row>
    <row r="27" spans="1:111">
      <c r="A27" s="22"/>
      <c r="B27" s="272"/>
      <c r="C27" s="491"/>
      <c r="D27" s="492"/>
      <c r="E27" s="492"/>
      <c r="F27" s="492"/>
      <c r="G27" s="492"/>
      <c r="H27" s="492"/>
      <c r="I27" s="492"/>
      <c r="J27" s="492"/>
      <c r="K27" s="492"/>
      <c r="L27" s="492"/>
      <c r="M27" s="492"/>
      <c r="N27" s="492"/>
      <c r="O27" s="492"/>
      <c r="P27" s="469">
        <f t="shared" si="32"/>
        <v>0</v>
      </c>
      <c r="Q27" s="476">
        <f>IF(P27=0,0,(_xlfn.XLOOKUP(C27,Factors!$V$17:$V$72,Factors!$Z$17:$Z$72)*'Purchased Materials'!P27))</f>
        <v>0</v>
      </c>
      <c r="BA27" s="432" t="str">
        <f t="shared" si="2"/>
        <v/>
      </c>
      <c r="BB27" s="432" t="str">
        <f t="shared" si="3"/>
        <v/>
      </c>
      <c r="BC27" s="432">
        <v>1</v>
      </c>
      <c r="BD27" s="432" t="str">
        <f>_xlfn.LET(_xlpm.x,BB27,IF(LEN(_xlpm.x)&lt;1,"",IF(ISNUMBER(MATCH(_xlpm.x,ls_purchased_mat,0)),'Project Inputs'!$BF$14,99)))</f>
        <v/>
      </c>
      <c r="BE27" s="484" t="str">
        <f t="shared" si="4"/>
        <v/>
      </c>
      <c r="BF27" s="484" t="str">
        <f t="shared" si="5"/>
        <v/>
      </c>
      <c r="BG27" s="484" t="str">
        <f t="shared" si="6"/>
        <v/>
      </c>
      <c r="BH27" s="484" t="str">
        <f t="shared" si="7"/>
        <v/>
      </c>
      <c r="BI27" s="484" t="str">
        <f t="shared" si="8"/>
        <v/>
      </c>
      <c r="BJ27" s="484" t="str">
        <f t="shared" si="9"/>
        <v/>
      </c>
      <c r="BK27" s="484" t="str">
        <f t="shared" si="10"/>
        <v/>
      </c>
      <c r="BL27" s="484" t="str">
        <f t="shared" si="11"/>
        <v/>
      </c>
      <c r="BM27" s="484" t="str">
        <f t="shared" si="12"/>
        <v/>
      </c>
      <c r="BN27" s="484" t="str">
        <f t="shared" si="13"/>
        <v/>
      </c>
      <c r="BO27" s="484" t="str">
        <f t="shared" si="14"/>
        <v/>
      </c>
      <c r="BP27" s="484" t="str">
        <f t="shared" si="15"/>
        <v/>
      </c>
      <c r="BQ27" s="485" t="str">
        <f t="shared" si="16"/>
        <v/>
      </c>
      <c r="BR27" s="486">
        <v>2</v>
      </c>
      <c r="BS27" s="487" cm="1">
        <f t="array" ref="BS27">IFERROR(INDEX(tblPurch_Mat[],MATCH(1,(tblPurch_Mat[Dataset ID]=BD27)*(tblPurch_Mat[Material Subcategory]=BB27),0),6),"confirm")</f>
        <v>0</v>
      </c>
      <c r="BT27" s="487" cm="1">
        <f t="array" ref="BT27">IFERROR(INDEX(tblPurch_Mat[],MATCH(1,(tblPurch_Mat[Dataset ID]=BD27)*(tblPurch_Mat[Material Subcategory]=BB27),0),7),"confirm")</f>
        <v>0</v>
      </c>
      <c r="BU27" s="487">
        <f t="shared" si="17"/>
        <v>0</v>
      </c>
      <c r="BV27" s="484" t="str">
        <f t="shared" si="18"/>
        <v/>
      </c>
      <c r="BW27" s="484" t="str">
        <f t="shared" si="19"/>
        <v/>
      </c>
      <c r="BX27" s="484" t="str">
        <f t="shared" si="20"/>
        <v/>
      </c>
      <c r="BY27" s="484" t="str">
        <f t="shared" si="21"/>
        <v/>
      </c>
      <c r="BZ27" s="484" t="str">
        <f t="shared" si="22"/>
        <v/>
      </c>
      <c r="CA27" s="484" t="str">
        <f t="shared" si="23"/>
        <v/>
      </c>
      <c r="CB27" s="484" t="str">
        <f t="shared" si="24"/>
        <v/>
      </c>
      <c r="CC27" s="484" t="str">
        <f t="shared" si="25"/>
        <v/>
      </c>
      <c r="CD27" s="484" t="str">
        <f t="shared" si="26"/>
        <v/>
      </c>
      <c r="CE27" s="484" t="str">
        <f t="shared" si="27"/>
        <v/>
      </c>
      <c r="CF27" s="484" t="str">
        <f t="shared" si="28"/>
        <v/>
      </c>
      <c r="CG27" s="484" t="str">
        <f t="shared" si="29"/>
        <v/>
      </c>
      <c r="CH27" s="485">
        <f t="shared" si="33"/>
        <v>0</v>
      </c>
      <c r="CJ27" s="3"/>
      <c r="CK27" s="488" t="str">
        <f t="shared" si="30"/>
        <v>_</v>
      </c>
      <c r="CL27" s="488">
        <f t="shared" si="34"/>
        <v>0</v>
      </c>
      <c r="CM27" s="488">
        <f t="shared" si="31"/>
        <v>0</v>
      </c>
      <c r="DD27" s="390">
        <f t="shared" si="35"/>
        <v>0</v>
      </c>
      <c r="DE27" s="31">
        <f t="shared" si="36"/>
        <v>14</v>
      </c>
      <c r="DF27" s="31">
        <f t="shared" si="37"/>
        <v>0</v>
      </c>
      <c r="DG27" s="31">
        <f t="shared" si="38"/>
        <v>0</v>
      </c>
    </row>
    <row r="28" spans="1:111">
      <c r="A28" s="22"/>
      <c r="B28" s="272"/>
      <c r="C28" s="491"/>
      <c r="D28" s="492"/>
      <c r="E28" s="492"/>
      <c r="F28" s="492"/>
      <c r="G28" s="492"/>
      <c r="H28" s="492"/>
      <c r="I28" s="492"/>
      <c r="J28" s="492"/>
      <c r="K28" s="492"/>
      <c r="L28" s="492"/>
      <c r="M28" s="492"/>
      <c r="N28" s="492"/>
      <c r="O28" s="492"/>
      <c r="P28" s="469">
        <f t="shared" si="32"/>
        <v>0</v>
      </c>
      <c r="Q28" s="476">
        <f>IF(P28=0,0,(_xlfn.XLOOKUP(C28,Factors!$V$17:$V$72,Factors!$Z$17:$Z$72)*'Purchased Materials'!P28))</f>
        <v>0</v>
      </c>
      <c r="BA28" s="432" t="str">
        <f t="shared" si="2"/>
        <v/>
      </c>
      <c r="BB28" s="432" t="str">
        <f t="shared" si="3"/>
        <v/>
      </c>
      <c r="BC28" s="432">
        <v>1</v>
      </c>
      <c r="BD28" s="432" t="str">
        <f>_xlfn.LET(_xlpm.x,BB28,IF(LEN(_xlpm.x)&lt;1,"",IF(ISNUMBER(MATCH(_xlpm.x,ls_purchased_mat,0)),'Project Inputs'!$BF$14,99)))</f>
        <v/>
      </c>
      <c r="BE28" s="484" t="str">
        <f t="shared" si="4"/>
        <v/>
      </c>
      <c r="BF28" s="484" t="str">
        <f t="shared" si="5"/>
        <v/>
      </c>
      <c r="BG28" s="484" t="str">
        <f t="shared" si="6"/>
        <v/>
      </c>
      <c r="BH28" s="484" t="str">
        <f t="shared" si="7"/>
        <v/>
      </c>
      <c r="BI28" s="484" t="str">
        <f t="shared" si="8"/>
        <v/>
      </c>
      <c r="BJ28" s="484" t="str">
        <f t="shared" si="9"/>
        <v/>
      </c>
      <c r="BK28" s="484" t="str">
        <f t="shared" si="10"/>
        <v/>
      </c>
      <c r="BL28" s="484" t="str">
        <f t="shared" si="11"/>
        <v/>
      </c>
      <c r="BM28" s="484" t="str">
        <f t="shared" si="12"/>
        <v/>
      </c>
      <c r="BN28" s="484" t="str">
        <f t="shared" si="13"/>
        <v/>
      </c>
      <c r="BO28" s="484" t="str">
        <f t="shared" si="14"/>
        <v/>
      </c>
      <c r="BP28" s="484" t="str">
        <f t="shared" si="15"/>
        <v/>
      </c>
      <c r="BQ28" s="485" t="str">
        <f t="shared" si="16"/>
        <v/>
      </c>
      <c r="BR28" s="486">
        <v>2</v>
      </c>
      <c r="BS28" s="487" cm="1">
        <f t="array" ref="BS28">IFERROR(INDEX(tblPurch_Mat[],MATCH(1,(tblPurch_Mat[Dataset ID]=BD28)*(tblPurch_Mat[Material Subcategory]=BB28),0),6),"confirm")</f>
        <v>0</v>
      </c>
      <c r="BT28" s="487" cm="1">
        <f t="array" ref="BT28">IFERROR(INDEX(tblPurch_Mat[],MATCH(1,(tblPurch_Mat[Dataset ID]=BD28)*(tblPurch_Mat[Material Subcategory]=BB28),0),7),"confirm")</f>
        <v>0</v>
      </c>
      <c r="BU28" s="487">
        <f t="shared" si="17"/>
        <v>0</v>
      </c>
      <c r="BV28" s="484" t="str">
        <f t="shared" si="18"/>
        <v/>
      </c>
      <c r="BW28" s="484" t="str">
        <f t="shared" si="19"/>
        <v/>
      </c>
      <c r="BX28" s="484" t="str">
        <f t="shared" si="20"/>
        <v/>
      </c>
      <c r="BY28" s="484" t="str">
        <f t="shared" si="21"/>
        <v/>
      </c>
      <c r="BZ28" s="484" t="str">
        <f t="shared" si="22"/>
        <v/>
      </c>
      <c r="CA28" s="484" t="str">
        <f t="shared" si="23"/>
        <v/>
      </c>
      <c r="CB28" s="484" t="str">
        <f t="shared" si="24"/>
        <v/>
      </c>
      <c r="CC28" s="484" t="str">
        <f t="shared" si="25"/>
        <v/>
      </c>
      <c r="CD28" s="484" t="str">
        <f t="shared" si="26"/>
        <v/>
      </c>
      <c r="CE28" s="484" t="str">
        <f t="shared" si="27"/>
        <v/>
      </c>
      <c r="CF28" s="484" t="str">
        <f t="shared" si="28"/>
        <v/>
      </c>
      <c r="CG28" s="484" t="str">
        <f t="shared" si="29"/>
        <v/>
      </c>
      <c r="CH28" s="485">
        <f t="shared" si="33"/>
        <v>0</v>
      </c>
      <c r="CJ28" s="3"/>
      <c r="CK28" s="488" t="str">
        <f t="shared" si="30"/>
        <v>_</v>
      </c>
      <c r="CL28" s="488">
        <f t="shared" si="34"/>
        <v>0</v>
      </c>
      <c r="CM28" s="488">
        <f t="shared" si="31"/>
        <v>0</v>
      </c>
      <c r="DD28" s="390">
        <f t="shared" si="35"/>
        <v>0</v>
      </c>
      <c r="DE28" s="31">
        <f t="shared" si="36"/>
        <v>14</v>
      </c>
      <c r="DF28" s="31">
        <f t="shared" si="37"/>
        <v>0</v>
      </c>
      <c r="DG28" s="31">
        <f t="shared" si="38"/>
        <v>0</v>
      </c>
    </row>
    <row r="29" spans="1:111">
      <c r="A29" s="22"/>
      <c r="B29" s="272"/>
      <c r="C29" s="491"/>
      <c r="D29" s="492"/>
      <c r="E29" s="492"/>
      <c r="F29" s="492"/>
      <c r="G29" s="492"/>
      <c r="H29" s="492"/>
      <c r="I29" s="492"/>
      <c r="J29" s="492"/>
      <c r="K29" s="492"/>
      <c r="L29" s="492"/>
      <c r="M29" s="492"/>
      <c r="N29" s="492"/>
      <c r="O29" s="492"/>
      <c r="P29" s="469">
        <f t="shared" si="32"/>
        <v>0</v>
      </c>
      <c r="Q29" s="476">
        <f>IF(P29=0,0,(_xlfn.XLOOKUP(C29,Factors!$V$17:$V$72,Factors!$Z$17:$Z$72)*'Purchased Materials'!P29))</f>
        <v>0</v>
      </c>
      <c r="BA29" s="432" t="str">
        <f t="shared" si="2"/>
        <v/>
      </c>
      <c r="BB29" s="432" t="str">
        <f t="shared" si="3"/>
        <v/>
      </c>
      <c r="BC29" s="432">
        <v>1</v>
      </c>
      <c r="BD29" s="432" t="str">
        <f>_xlfn.LET(_xlpm.x,BB29,IF(LEN(_xlpm.x)&lt;1,"",IF(ISNUMBER(MATCH(_xlpm.x,ls_purchased_mat,0)),'Project Inputs'!$BF$14,99)))</f>
        <v/>
      </c>
      <c r="BE29" s="484" t="str">
        <f t="shared" si="4"/>
        <v/>
      </c>
      <c r="BF29" s="484" t="str">
        <f t="shared" si="5"/>
        <v/>
      </c>
      <c r="BG29" s="484" t="str">
        <f t="shared" si="6"/>
        <v/>
      </c>
      <c r="BH29" s="484" t="str">
        <f t="shared" si="7"/>
        <v/>
      </c>
      <c r="BI29" s="484" t="str">
        <f t="shared" si="8"/>
        <v/>
      </c>
      <c r="BJ29" s="484" t="str">
        <f t="shared" si="9"/>
        <v/>
      </c>
      <c r="BK29" s="484" t="str">
        <f t="shared" si="10"/>
        <v/>
      </c>
      <c r="BL29" s="484" t="str">
        <f t="shared" si="11"/>
        <v/>
      </c>
      <c r="BM29" s="484" t="str">
        <f t="shared" si="12"/>
        <v/>
      </c>
      <c r="BN29" s="484" t="str">
        <f t="shared" si="13"/>
        <v/>
      </c>
      <c r="BO29" s="484" t="str">
        <f t="shared" si="14"/>
        <v/>
      </c>
      <c r="BP29" s="484" t="str">
        <f t="shared" si="15"/>
        <v/>
      </c>
      <c r="BQ29" s="485" t="str">
        <f t="shared" si="16"/>
        <v/>
      </c>
      <c r="BR29" s="486">
        <v>2</v>
      </c>
      <c r="BS29" s="487" cm="1">
        <f t="array" ref="BS29">IFERROR(INDEX(tblPurch_Mat[],MATCH(1,(tblPurch_Mat[Dataset ID]=BD29)*(tblPurch_Mat[Material Subcategory]=BB29),0),6),"confirm")</f>
        <v>0</v>
      </c>
      <c r="BT29" s="487" cm="1">
        <f t="array" ref="BT29">IFERROR(INDEX(tblPurch_Mat[],MATCH(1,(tblPurch_Mat[Dataset ID]=BD29)*(tblPurch_Mat[Material Subcategory]=BB29),0),7),"confirm")</f>
        <v>0</v>
      </c>
      <c r="BU29" s="487">
        <f t="shared" si="17"/>
        <v>0</v>
      </c>
      <c r="BV29" s="484" t="str">
        <f t="shared" si="18"/>
        <v/>
      </c>
      <c r="BW29" s="484" t="str">
        <f t="shared" si="19"/>
        <v/>
      </c>
      <c r="BX29" s="484" t="str">
        <f t="shared" si="20"/>
        <v/>
      </c>
      <c r="BY29" s="484" t="str">
        <f t="shared" si="21"/>
        <v/>
      </c>
      <c r="BZ29" s="484" t="str">
        <f t="shared" si="22"/>
        <v/>
      </c>
      <c r="CA29" s="484" t="str">
        <f t="shared" si="23"/>
        <v/>
      </c>
      <c r="CB29" s="484" t="str">
        <f t="shared" si="24"/>
        <v/>
      </c>
      <c r="CC29" s="484" t="str">
        <f t="shared" si="25"/>
        <v/>
      </c>
      <c r="CD29" s="484" t="str">
        <f t="shared" si="26"/>
        <v/>
      </c>
      <c r="CE29" s="484" t="str">
        <f t="shared" si="27"/>
        <v/>
      </c>
      <c r="CF29" s="484" t="str">
        <f t="shared" si="28"/>
        <v/>
      </c>
      <c r="CG29" s="484" t="str">
        <f t="shared" si="29"/>
        <v/>
      </c>
      <c r="CH29" s="485">
        <f t="shared" si="33"/>
        <v>0</v>
      </c>
      <c r="CJ29" s="3"/>
      <c r="CK29" s="488" t="str">
        <f>IFERROR(INDEX($BC$15:$BC$114,MATCH(CJ29,$BB$15:$BB$114,0)),"_")</f>
        <v>_</v>
      </c>
      <c r="CL29" s="488">
        <f t="shared" si="34"/>
        <v>0</v>
      </c>
      <c r="CM29" s="488">
        <f t="shared" si="31"/>
        <v>0</v>
      </c>
      <c r="DD29" s="390">
        <f t="shared" si="35"/>
        <v>0</v>
      </c>
      <c r="DE29" s="31">
        <f t="shared" si="36"/>
        <v>14</v>
      </c>
      <c r="DF29" s="31">
        <f t="shared" si="37"/>
        <v>0</v>
      </c>
      <c r="DG29" s="31">
        <f t="shared" si="38"/>
        <v>0</v>
      </c>
    </row>
    <row r="30" spans="1:111">
      <c r="A30" s="22"/>
      <c r="B30" s="272"/>
      <c r="C30" s="491"/>
      <c r="D30" s="492"/>
      <c r="E30" s="492"/>
      <c r="F30" s="492"/>
      <c r="G30" s="492"/>
      <c r="H30" s="492"/>
      <c r="I30" s="492"/>
      <c r="J30" s="492"/>
      <c r="K30" s="492"/>
      <c r="L30" s="492"/>
      <c r="M30" s="492"/>
      <c r="N30" s="492"/>
      <c r="O30" s="492"/>
      <c r="P30" s="469">
        <f t="shared" si="32"/>
        <v>0</v>
      </c>
      <c r="Q30" s="476">
        <f>IF(P30=0,0,(_xlfn.XLOOKUP(C30,Factors!$V$17:$V$72,Factors!$Z$17:$Z$72)*'Purchased Materials'!P30))</f>
        <v>0</v>
      </c>
      <c r="BA30" s="432" t="str">
        <f t="shared" si="2"/>
        <v/>
      </c>
      <c r="BB30" s="432" t="str">
        <f t="shared" si="3"/>
        <v/>
      </c>
      <c r="BC30" s="432">
        <v>1</v>
      </c>
      <c r="BD30" s="432" t="str">
        <f>_xlfn.LET(_xlpm.x,BB30,IF(LEN(_xlpm.x)&lt;1,"",IF(ISNUMBER(MATCH(_xlpm.x,ls_purchased_mat,0)),'Project Inputs'!$BF$14,99)))</f>
        <v/>
      </c>
      <c r="BE30" s="484" t="str">
        <f t="shared" si="4"/>
        <v/>
      </c>
      <c r="BF30" s="484" t="str">
        <f t="shared" si="5"/>
        <v/>
      </c>
      <c r="BG30" s="484" t="str">
        <f t="shared" si="6"/>
        <v/>
      </c>
      <c r="BH30" s="484" t="str">
        <f t="shared" si="7"/>
        <v/>
      </c>
      <c r="BI30" s="484" t="str">
        <f t="shared" si="8"/>
        <v/>
      </c>
      <c r="BJ30" s="484" t="str">
        <f t="shared" si="9"/>
        <v/>
      </c>
      <c r="BK30" s="484" t="str">
        <f t="shared" si="10"/>
        <v/>
      </c>
      <c r="BL30" s="484" t="str">
        <f t="shared" si="11"/>
        <v/>
      </c>
      <c r="BM30" s="484" t="str">
        <f t="shared" si="12"/>
        <v/>
      </c>
      <c r="BN30" s="484" t="str">
        <f t="shared" si="13"/>
        <v/>
      </c>
      <c r="BO30" s="484" t="str">
        <f t="shared" si="14"/>
        <v/>
      </c>
      <c r="BP30" s="484" t="str">
        <f t="shared" si="15"/>
        <v/>
      </c>
      <c r="BQ30" s="485" t="str">
        <f t="shared" si="16"/>
        <v/>
      </c>
      <c r="BR30" s="486">
        <v>2</v>
      </c>
      <c r="BS30" s="487" cm="1">
        <f t="array" ref="BS30">IFERROR(INDEX(tblPurch_Mat[],MATCH(1,(tblPurch_Mat[Dataset ID]=BD30)*(tblPurch_Mat[Material Subcategory]=BB30),0),6),"confirm")</f>
        <v>0</v>
      </c>
      <c r="BT30" s="487" cm="1">
        <f t="array" ref="BT30">IFERROR(INDEX(tblPurch_Mat[],MATCH(1,(tblPurch_Mat[Dataset ID]=BD30)*(tblPurch_Mat[Material Subcategory]=BB30),0),7),"confirm")</f>
        <v>0</v>
      </c>
      <c r="BU30" s="487">
        <f t="shared" si="17"/>
        <v>0</v>
      </c>
      <c r="BV30" s="484" t="str">
        <f t="shared" si="18"/>
        <v/>
      </c>
      <c r="BW30" s="484" t="str">
        <f t="shared" si="19"/>
        <v/>
      </c>
      <c r="BX30" s="484" t="str">
        <f t="shared" si="20"/>
        <v/>
      </c>
      <c r="BY30" s="484" t="str">
        <f t="shared" si="21"/>
        <v/>
      </c>
      <c r="BZ30" s="484" t="str">
        <f t="shared" si="22"/>
        <v/>
      </c>
      <c r="CA30" s="484" t="str">
        <f t="shared" si="23"/>
        <v/>
      </c>
      <c r="CB30" s="484" t="str">
        <f t="shared" si="24"/>
        <v/>
      </c>
      <c r="CC30" s="484" t="str">
        <f t="shared" si="25"/>
        <v/>
      </c>
      <c r="CD30" s="484" t="str">
        <f t="shared" si="26"/>
        <v/>
      </c>
      <c r="CE30" s="484" t="str">
        <f t="shared" si="27"/>
        <v/>
      </c>
      <c r="CF30" s="484" t="str">
        <f t="shared" si="28"/>
        <v/>
      </c>
      <c r="CG30" s="484" t="str">
        <f t="shared" si="29"/>
        <v/>
      </c>
      <c r="CH30" s="485">
        <f t="shared" si="33"/>
        <v>0</v>
      </c>
      <c r="CJ30" s="3"/>
      <c r="CK30" s="488" t="str">
        <f t="shared" ref="CK30:CK93" si="39">IFERROR(INDEX($BC$15:$BC$114,MATCH(CJ30,$BB$15:$BB$114,0)),"_")</f>
        <v>_</v>
      </c>
      <c r="CL30" s="488">
        <f t="shared" si="34"/>
        <v>0</v>
      </c>
      <c r="CM30" s="488">
        <f t="shared" si="31"/>
        <v>0</v>
      </c>
      <c r="DD30" s="390">
        <f t="shared" si="35"/>
        <v>0</v>
      </c>
      <c r="DE30" s="31">
        <f t="shared" si="36"/>
        <v>14</v>
      </c>
      <c r="DF30" s="31">
        <f t="shared" si="37"/>
        <v>0</v>
      </c>
      <c r="DG30" s="31">
        <f t="shared" si="38"/>
        <v>0</v>
      </c>
    </row>
    <row r="31" spans="1:111">
      <c r="A31" s="22"/>
      <c r="B31" s="272"/>
      <c r="C31" s="491"/>
      <c r="D31" s="492"/>
      <c r="E31" s="492"/>
      <c r="F31" s="492"/>
      <c r="G31" s="492"/>
      <c r="H31" s="492"/>
      <c r="I31" s="492"/>
      <c r="J31" s="492"/>
      <c r="K31" s="492"/>
      <c r="L31" s="492"/>
      <c r="M31" s="492"/>
      <c r="N31" s="492"/>
      <c r="O31" s="492"/>
      <c r="P31" s="469">
        <f t="shared" si="32"/>
        <v>0</v>
      </c>
      <c r="Q31" s="476">
        <f>IF(P31=0,0,(_xlfn.XLOOKUP(C31,Factors!$V$17:$V$72,Factors!$Z$17:$Z$72)*'Purchased Materials'!P31))</f>
        <v>0</v>
      </c>
      <c r="BA31" s="432" t="str">
        <f t="shared" si="2"/>
        <v/>
      </c>
      <c r="BB31" s="432" t="str">
        <f t="shared" si="3"/>
        <v/>
      </c>
      <c r="BC31" s="432">
        <v>1</v>
      </c>
      <c r="BD31" s="432" t="str">
        <f>_xlfn.LET(_xlpm.x,BB31,IF(LEN(_xlpm.x)&lt;1,"",IF(ISNUMBER(MATCH(_xlpm.x,ls_purchased_mat,0)),'Project Inputs'!$BF$14,99)))</f>
        <v/>
      </c>
      <c r="BE31" s="484" t="str">
        <f t="shared" si="4"/>
        <v/>
      </c>
      <c r="BF31" s="484" t="str">
        <f t="shared" si="5"/>
        <v/>
      </c>
      <c r="BG31" s="484" t="str">
        <f t="shared" si="6"/>
        <v/>
      </c>
      <c r="BH31" s="484" t="str">
        <f t="shared" si="7"/>
        <v/>
      </c>
      <c r="BI31" s="484" t="str">
        <f t="shared" si="8"/>
        <v/>
      </c>
      <c r="BJ31" s="484" t="str">
        <f t="shared" si="9"/>
        <v/>
      </c>
      <c r="BK31" s="484" t="str">
        <f t="shared" si="10"/>
        <v/>
      </c>
      <c r="BL31" s="484" t="str">
        <f t="shared" si="11"/>
        <v/>
      </c>
      <c r="BM31" s="484" t="str">
        <f t="shared" si="12"/>
        <v/>
      </c>
      <c r="BN31" s="484" t="str">
        <f t="shared" si="13"/>
        <v/>
      </c>
      <c r="BO31" s="484" t="str">
        <f t="shared" si="14"/>
        <v/>
      </c>
      <c r="BP31" s="484" t="str">
        <f t="shared" si="15"/>
        <v/>
      </c>
      <c r="BQ31" s="485" t="str">
        <f t="shared" si="16"/>
        <v/>
      </c>
      <c r="BR31" s="486">
        <v>2</v>
      </c>
      <c r="BS31" s="487" cm="1">
        <f t="array" ref="BS31">IFERROR(INDEX(tblPurch_Mat[],MATCH(1,(tblPurch_Mat[Dataset ID]=BD31)*(tblPurch_Mat[Material Subcategory]=BB31),0),6),"confirm")</f>
        <v>0</v>
      </c>
      <c r="BT31" s="487" cm="1">
        <f t="array" ref="BT31">IFERROR(INDEX(tblPurch_Mat[],MATCH(1,(tblPurch_Mat[Dataset ID]=BD31)*(tblPurch_Mat[Material Subcategory]=BB31),0),7),"confirm")</f>
        <v>0</v>
      </c>
      <c r="BU31" s="487">
        <f t="shared" si="17"/>
        <v>0</v>
      </c>
      <c r="BV31" s="484" t="str">
        <f t="shared" si="18"/>
        <v/>
      </c>
      <c r="BW31" s="484" t="str">
        <f t="shared" si="19"/>
        <v/>
      </c>
      <c r="BX31" s="484" t="str">
        <f t="shared" si="20"/>
        <v/>
      </c>
      <c r="BY31" s="484" t="str">
        <f t="shared" si="21"/>
        <v/>
      </c>
      <c r="BZ31" s="484" t="str">
        <f t="shared" si="22"/>
        <v/>
      </c>
      <c r="CA31" s="484" t="str">
        <f t="shared" si="23"/>
        <v/>
      </c>
      <c r="CB31" s="484" t="str">
        <f t="shared" si="24"/>
        <v/>
      </c>
      <c r="CC31" s="484" t="str">
        <f t="shared" si="25"/>
        <v/>
      </c>
      <c r="CD31" s="484" t="str">
        <f t="shared" si="26"/>
        <v/>
      </c>
      <c r="CE31" s="484" t="str">
        <f t="shared" si="27"/>
        <v/>
      </c>
      <c r="CF31" s="484" t="str">
        <f t="shared" si="28"/>
        <v/>
      </c>
      <c r="CG31" s="484" t="str">
        <f t="shared" si="29"/>
        <v/>
      </c>
      <c r="CH31" s="485">
        <f t="shared" si="33"/>
        <v>0</v>
      </c>
      <c r="CJ31" s="3"/>
      <c r="CK31" s="488" t="str">
        <f t="shared" si="39"/>
        <v>_</v>
      </c>
      <c r="CL31" s="488">
        <f t="shared" si="34"/>
        <v>0</v>
      </c>
      <c r="CM31" s="488">
        <f t="shared" si="31"/>
        <v>0</v>
      </c>
      <c r="DD31" s="390">
        <f t="shared" si="35"/>
        <v>0</v>
      </c>
      <c r="DE31" s="31">
        <f t="shared" si="36"/>
        <v>14</v>
      </c>
      <c r="DF31" s="31">
        <f t="shared" si="37"/>
        <v>0</v>
      </c>
      <c r="DG31" s="31">
        <f t="shared" si="38"/>
        <v>0</v>
      </c>
    </row>
    <row r="32" spans="1:111">
      <c r="A32" s="22"/>
      <c r="B32" s="272"/>
      <c r="C32" s="491"/>
      <c r="D32" s="492"/>
      <c r="E32" s="492"/>
      <c r="F32" s="492"/>
      <c r="G32" s="492"/>
      <c r="H32" s="492"/>
      <c r="I32" s="492"/>
      <c r="J32" s="492"/>
      <c r="K32" s="492"/>
      <c r="L32" s="492"/>
      <c r="M32" s="492"/>
      <c r="N32" s="492"/>
      <c r="O32" s="492"/>
      <c r="P32" s="469">
        <f t="shared" si="32"/>
        <v>0</v>
      </c>
      <c r="Q32" s="476">
        <f>IF(P32=0,0,(_xlfn.XLOOKUP(C32,Factors!$V$17:$V$72,Factors!$Z$17:$Z$72)*'Purchased Materials'!P32))</f>
        <v>0</v>
      </c>
      <c r="BA32" s="432" t="str">
        <f t="shared" si="2"/>
        <v/>
      </c>
      <c r="BB32" s="432" t="str">
        <f t="shared" si="3"/>
        <v/>
      </c>
      <c r="BC32" s="432">
        <v>1</v>
      </c>
      <c r="BD32" s="432" t="str">
        <f>_xlfn.LET(_xlpm.x,BB32,IF(LEN(_xlpm.x)&lt;1,"",IF(ISNUMBER(MATCH(_xlpm.x,ls_purchased_mat,0)),'Project Inputs'!$BF$14,99)))</f>
        <v/>
      </c>
      <c r="BE32" s="484" t="str">
        <f t="shared" si="4"/>
        <v/>
      </c>
      <c r="BF32" s="484" t="str">
        <f t="shared" si="5"/>
        <v/>
      </c>
      <c r="BG32" s="484" t="str">
        <f t="shared" si="6"/>
        <v/>
      </c>
      <c r="BH32" s="484" t="str">
        <f t="shared" si="7"/>
        <v/>
      </c>
      <c r="BI32" s="484" t="str">
        <f t="shared" si="8"/>
        <v/>
      </c>
      <c r="BJ32" s="484" t="str">
        <f t="shared" si="9"/>
        <v/>
      </c>
      <c r="BK32" s="484" t="str">
        <f t="shared" si="10"/>
        <v/>
      </c>
      <c r="BL32" s="484" t="str">
        <f t="shared" si="11"/>
        <v/>
      </c>
      <c r="BM32" s="484" t="str">
        <f t="shared" si="12"/>
        <v/>
      </c>
      <c r="BN32" s="484" t="str">
        <f t="shared" si="13"/>
        <v/>
      </c>
      <c r="BO32" s="484" t="str">
        <f t="shared" si="14"/>
        <v/>
      </c>
      <c r="BP32" s="484" t="str">
        <f t="shared" si="15"/>
        <v/>
      </c>
      <c r="BQ32" s="485" t="str">
        <f t="shared" si="16"/>
        <v/>
      </c>
      <c r="BR32" s="486">
        <v>2</v>
      </c>
      <c r="BS32" s="487" cm="1">
        <f t="array" ref="BS32">IFERROR(INDEX(tblPurch_Mat[],MATCH(1,(tblPurch_Mat[Dataset ID]=BD32)*(tblPurch_Mat[Material Subcategory]=BB32),0),6),"confirm")</f>
        <v>0</v>
      </c>
      <c r="BT32" s="487" cm="1">
        <f t="array" ref="BT32">IFERROR(INDEX(tblPurch_Mat[],MATCH(1,(tblPurch_Mat[Dataset ID]=BD32)*(tblPurch_Mat[Material Subcategory]=BB32),0),7),"confirm")</f>
        <v>0</v>
      </c>
      <c r="BU32" s="487">
        <f t="shared" si="17"/>
        <v>0</v>
      </c>
      <c r="BV32" s="484" t="str">
        <f t="shared" si="18"/>
        <v/>
      </c>
      <c r="BW32" s="484" t="str">
        <f t="shared" si="19"/>
        <v/>
      </c>
      <c r="BX32" s="484" t="str">
        <f t="shared" si="20"/>
        <v/>
      </c>
      <c r="BY32" s="484" t="str">
        <f t="shared" si="21"/>
        <v/>
      </c>
      <c r="BZ32" s="484" t="str">
        <f t="shared" si="22"/>
        <v/>
      </c>
      <c r="CA32" s="484" t="str">
        <f t="shared" si="23"/>
        <v/>
      </c>
      <c r="CB32" s="484" t="str">
        <f t="shared" si="24"/>
        <v/>
      </c>
      <c r="CC32" s="484" t="str">
        <f t="shared" si="25"/>
        <v/>
      </c>
      <c r="CD32" s="484" t="str">
        <f t="shared" si="26"/>
        <v/>
      </c>
      <c r="CE32" s="484" t="str">
        <f t="shared" si="27"/>
        <v/>
      </c>
      <c r="CF32" s="484" t="str">
        <f t="shared" si="28"/>
        <v/>
      </c>
      <c r="CG32" s="484" t="str">
        <f t="shared" si="29"/>
        <v/>
      </c>
      <c r="CH32" s="485">
        <f t="shared" si="33"/>
        <v>0</v>
      </c>
      <c r="CJ32" s="3"/>
      <c r="CK32" s="488" t="str">
        <f t="shared" si="39"/>
        <v>_</v>
      </c>
      <c r="CL32" s="488">
        <f t="shared" si="34"/>
        <v>0</v>
      </c>
      <c r="CM32" s="488">
        <f t="shared" si="31"/>
        <v>0</v>
      </c>
      <c r="DD32" s="390">
        <f t="shared" si="35"/>
        <v>0</v>
      </c>
      <c r="DE32" s="31">
        <f t="shared" si="36"/>
        <v>14</v>
      </c>
      <c r="DF32" s="31">
        <f t="shared" si="37"/>
        <v>0</v>
      </c>
      <c r="DG32" s="31">
        <f t="shared" si="38"/>
        <v>0</v>
      </c>
    </row>
    <row r="33" spans="1:111">
      <c r="A33" s="22"/>
      <c r="B33" s="272"/>
      <c r="C33" s="491"/>
      <c r="D33" s="492"/>
      <c r="E33" s="492"/>
      <c r="F33" s="492"/>
      <c r="G33" s="492"/>
      <c r="H33" s="492"/>
      <c r="I33" s="492"/>
      <c r="J33" s="492"/>
      <c r="K33" s="492"/>
      <c r="L33" s="492"/>
      <c r="M33" s="492"/>
      <c r="N33" s="492"/>
      <c r="O33" s="492"/>
      <c r="P33" s="469">
        <f t="shared" si="32"/>
        <v>0</v>
      </c>
      <c r="Q33" s="476">
        <f>IF(P33=0,0,(_xlfn.XLOOKUP(C33,Factors!$V$17:$V$72,Factors!$Z$17:$Z$72)*'Purchased Materials'!P33))</f>
        <v>0</v>
      </c>
      <c r="BA33" s="432" t="str">
        <f t="shared" si="2"/>
        <v/>
      </c>
      <c r="BB33" s="432" t="str">
        <f t="shared" si="3"/>
        <v/>
      </c>
      <c r="BC33" s="432">
        <v>1</v>
      </c>
      <c r="BD33" s="432" t="str">
        <f>_xlfn.LET(_xlpm.x,BB33,IF(LEN(_xlpm.x)&lt;1,"",IF(ISNUMBER(MATCH(_xlpm.x,ls_purchased_mat,0)),'Project Inputs'!$BF$14,99)))</f>
        <v/>
      </c>
      <c r="BE33" s="484" t="str">
        <f t="shared" si="4"/>
        <v/>
      </c>
      <c r="BF33" s="484" t="str">
        <f t="shared" si="5"/>
        <v/>
      </c>
      <c r="BG33" s="484" t="str">
        <f t="shared" si="6"/>
        <v/>
      </c>
      <c r="BH33" s="484" t="str">
        <f t="shared" si="7"/>
        <v/>
      </c>
      <c r="BI33" s="484" t="str">
        <f t="shared" si="8"/>
        <v/>
      </c>
      <c r="BJ33" s="484" t="str">
        <f t="shared" si="9"/>
        <v/>
      </c>
      <c r="BK33" s="484" t="str">
        <f t="shared" si="10"/>
        <v/>
      </c>
      <c r="BL33" s="484" t="str">
        <f t="shared" si="11"/>
        <v/>
      </c>
      <c r="BM33" s="484" t="str">
        <f t="shared" si="12"/>
        <v/>
      </c>
      <c r="BN33" s="484" t="str">
        <f t="shared" si="13"/>
        <v/>
      </c>
      <c r="BO33" s="484" t="str">
        <f t="shared" si="14"/>
        <v/>
      </c>
      <c r="BP33" s="484" t="str">
        <f t="shared" si="15"/>
        <v/>
      </c>
      <c r="BQ33" s="485" t="str">
        <f t="shared" si="16"/>
        <v/>
      </c>
      <c r="BR33" s="486">
        <v>2</v>
      </c>
      <c r="BS33" s="487" cm="1">
        <f t="array" ref="BS33">IFERROR(INDEX(tblPurch_Mat[],MATCH(1,(tblPurch_Mat[Dataset ID]=BD33)*(tblPurch_Mat[Material Subcategory]=BB33),0),6),"confirm")</f>
        <v>0</v>
      </c>
      <c r="BT33" s="487" cm="1">
        <f t="array" ref="BT33">IFERROR(INDEX(tblPurch_Mat[],MATCH(1,(tblPurch_Mat[Dataset ID]=BD33)*(tblPurch_Mat[Material Subcategory]=BB33),0),7),"confirm")</f>
        <v>0</v>
      </c>
      <c r="BU33" s="487">
        <f t="shared" si="17"/>
        <v>0</v>
      </c>
      <c r="BV33" s="484" t="str">
        <f t="shared" si="18"/>
        <v/>
      </c>
      <c r="BW33" s="484" t="str">
        <f t="shared" si="19"/>
        <v/>
      </c>
      <c r="BX33" s="484" t="str">
        <f t="shared" si="20"/>
        <v/>
      </c>
      <c r="BY33" s="484" t="str">
        <f t="shared" si="21"/>
        <v/>
      </c>
      <c r="BZ33" s="484" t="str">
        <f t="shared" si="22"/>
        <v/>
      </c>
      <c r="CA33" s="484" t="str">
        <f t="shared" si="23"/>
        <v/>
      </c>
      <c r="CB33" s="484" t="str">
        <f t="shared" si="24"/>
        <v/>
      </c>
      <c r="CC33" s="484" t="str">
        <f t="shared" si="25"/>
        <v/>
      </c>
      <c r="CD33" s="484" t="str">
        <f t="shared" si="26"/>
        <v/>
      </c>
      <c r="CE33" s="484" t="str">
        <f t="shared" si="27"/>
        <v/>
      </c>
      <c r="CF33" s="484" t="str">
        <f t="shared" si="28"/>
        <v/>
      </c>
      <c r="CG33" s="484" t="str">
        <f t="shared" si="29"/>
        <v/>
      </c>
      <c r="CH33" s="485">
        <f t="shared" si="33"/>
        <v>0</v>
      </c>
      <c r="CJ33" s="3"/>
      <c r="CK33" s="488" t="str">
        <f t="shared" si="39"/>
        <v>_</v>
      </c>
      <c r="CL33" s="488">
        <f t="shared" si="34"/>
        <v>0</v>
      </c>
      <c r="CM33" s="488">
        <f t="shared" si="31"/>
        <v>0</v>
      </c>
      <c r="DD33" s="390">
        <f t="shared" si="35"/>
        <v>0</v>
      </c>
      <c r="DE33" s="31">
        <f t="shared" si="36"/>
        <v>14</v>
      </c>
      <c r="DF33" s="31">
        <f t="shared" si="37"/>
        <v>0</v>
      </c>
      <c r="DG33" s="31">
        <f t="shared" si="38"/>
        <v>0</v>
      </c>
    </row>
    <row r="34" spans="1:111">
      <c r="A34" s="22"/>
      <c r="B34" s="272"/>
      <c r="C34" s="491"/>
      <c r="D34" s="492"/>
      <c r="E34" s="492"/>
      <c r="F34" s="492"/>
      <c r="G34" s="492"/>
      <c r="H34" s="492"/>
      <c r="I34" s="492"/>
      <c r="J34" s="492"/>
      <c r="K34" s="492"/>
      <c r="L34" s="492"/>
      <c r="M34" s="492"/>
      <c r="N34" s="492"/>
      <c r="O34" s="492"/>
      <c r="P34" s="469">
        <f t="shared" si="32"/>
        <v>0</v>
      </c>
      <c r="Q34" s="476">
        <f>IF(P34=0,0,(_xlfn.XLOOKUP(C34,Factors!$V$17:$V$72,Factors!$Z$17:$Z$72)*'Purchased Materials'!P34))</f>
        <v>0</v>
      </c>
      <c r="BA34" s="432" t="str">
        <f t="shared" si="2"/>
        <v/>
      </c>
      <c r="BB34" s="432" t="str">
        <f t="shared" si="3"/>
        <v/>
      </c>
      <c r="BC34" s="432">
        <v>1</v>
      </c>
      <c r="BD34" s="432" t="str">
        <f>_xlfn.LET(_xlpm.x,BB34,IF(LEN(_xlpm.x)&lt;1,"",IF(ISNUMBER(MATCH(_xlpm.x,ls_purchased_mat,0)),'Project Inputs'!$BF$14,99)))</f>
        <v/>
      </c>
      <c r="BE34" s="484" t="str">
        <f t="shared" si="4"/>
        <v/>
      </c>
      <c r="BF34" s="484" t="str">
        <f t="shared" si="5"/>
        <v/>
      </c>
      <c r="BG34" s="484" t="str">
        <f t="shared" si="6"/>
        <v/>
      </c>
      <c r="BH34" s="484" t="str">
        <f t="shared" si="7"/>
        <v/>
      </c>
      <c r="BI34" s="484" t="str">
        <f t="shared" si="8"/>
        <v/>
      </c>
      <c r="BJ34" s="484" t="str">
        <f t="shared" si="9"/>
        <v/>
      </c>
      <c r="BK34" s="484" t="str">
        <f t="shared" si="10"/>
        <v/>
      </c>
      <c r="BL34" s="484" t="str">
        <f t="shared" si="11"/>
        <v/>
      </c>
      <c r="BM34" s="484" t="str">
        <f t="shared" si="12"/>
        <v/>
      </c>
      <c r="BN34" s="484" t="str">
        <f t="shared" si="13"/>
        <v/>
      </c>
      <c r="BO34" s="484" t="str">
        <f t="shared" si="14"/>
        <v/>
      </c>
      <c r="BP34" s="484" t="str">
        <f t="shared" si="15"/>
        <v/>
      </c>
      <c r="BQ34" s="485" t="str">
        <f t="shared" si="16"/>
        <v/>
      </c>
      <c r="BR34" s="486">
        <v>2</v>
      </c>
      <c r="BS34" s="487" cm="1">
        <f t="array" ref="BS34">IFERROR(INDEX(tblPurch_Mat[],MATCH(1,(tblPurch_Mat[Dataset ID]=BD34)*(tblPurch_Mat[Material Subcategory]=BB34),0),6),"confirm")</f>
        <v>0</v>
      </c>
      <c r="BT34" s="487" cm="1">
        <f t="array" ref="BT34">IFERROR(INDEX(tblPurch_Mat[],MATCH(1,(tblPurch_Mat[Dataset ID]=BD34)*(tblPurch_Mat[Material Subcategory]=BB34),0),7),"confirm")</f>
        <v>0</v>
      </c>
      <c r="BU34" s="487">
        <f t="shared" si="17"/>
        <v>0</v>
      </c>
      <c r="BV34" s="484" t="str">
        <f t="shared" si="18"/>
        <v/>
      </c>
      <c r="BW34" s="484" t="str">
        <f t="shared" si="19"/>
        <v/>
      </c>
      <c r="BX34" s="484" t="str">
        <f t="shared" si="20"/>
        <v/>
      </c>
      <c r="BY34" s="484" t="str">
        <f t="shared" si="21"/>
        <v/>
      </c>
      <c r="BZ34" s="484" t="str">
        <f t="shared" si="22"/>
        <v/>
      </c>
      <c r="CA34" s="484" t="str">
        <f t="shared" si="23"/>
        <v/>
      </c>
      <c r="CB34" s="484" t="str">
        <f t="shared" si="24"/>
        <v/>
      </c>
      <c r="CC34" s="484" t="str">
        <f t="shared" si="25"/>
        <v/>
      </c>
      <c r="CD34" s="484" t="str">
        <f t="shared" si="26"/>
        <v/>
      </c>
      <c r="CE34" s="484" t="str">
        <f t="shared" si="27"/>
        <v/>
      </c>
      <c r="CF34" s="484" t="str">
        <f t="shared" si="28"/>
        <v/>
      </c>
      <c r="CG34" s="484" t="str">
        <f t="shared" si="29"/>
        <v/>
      </c>
      <c r="CH34" s="485">
        <f t="shared" si="33"/>
        <v>0</v>
      </c>
      <c r="CJ34" s="3"/>
      <c r="CK34" s="488" t="str">
        <f t="shared" si="39"/>
        <v>_</v>
      </c>
      <c r="CL34" s="488">
        <f t="shared" si="34"/>
        <v>0</v>
      </c>
      <c r="CM34" s="488">
        <f t="shared" si="31"/>
        <v>0</v>
      </c>
      <c r="DD34" s="390">
        <f t="shared" si="35"/>
        <v>0</v>
      </c>
      <c r="DE34" s="31">
        <f t="shared" si="36"/>
        <v>14</v>
      </c>
      <c r="DF34" s="31">
        <f t="shared" si="37"/>
        <v>0</v>
      </c>
      <c r="DG34" s="31">
        <f t="shared" si="38"/>
        <v>0</v>
      </c>
    </row>
    <row r="35" spans="1:111" hidden="1" outlineLevel="1">
      <c r="A35" s="22"/>
      <c r="B35" s="272"/>
      <c r="C35" s="491"/>
      <c r="D35" s="492"/>
      <c r="E35" s="492"/>
      <c r="F35" s="492"/>
      <c r="G35" s="492"/>
      <c r="H35" s="492"/>
      <c r="I35" s="492"/>
      <c r="J35" s="492"/>
      <c r="K35" s="492"/>
      <c r="L35" s="492"/>
      <c r="M35" s="492"/>
      <c r="N35" s="492"/>
      <c r="O35" s="492"/>
      <c r="P35" s="469">
        <f t="shared" si="32"/>
        <v>0</v>
      </c>
      <c r="Q35" s="476">
        <f>IF(P35=0,0,(_xlfn.XLOOKUP(C35,Factors!$V$17:$V$72,Factors!$Z$17:$Z$72)*'Purchased Materials'!P35))</f>
        <v>0</v>
      </c>
      <c r="BA35" s="432" t="str">
        <f t="shared" si="2"/>
        <v/>
      </c>
      <c r="BB35" s="432" t="str">
        <f t="shared" si="3"/>
        <v/>
      </c>
      <c r="BC35" s="432">
        <v>1</v>
      </c>
      <c r="BD35" s="432" t="str">
        <f>_xlfn.LET(_xlpm.x,BB35,IF(LEN(_xlpm.x)&lt;1,"",IF(ISNUMBER(MATCH(_xlpm.x,ls_purchased_mat,0)),'Project Inputs'!$BF$14,99)))</f>
        <v/>
      </c>
      <c r="BE35" s="484" t="str">
        <f t="shared" si="4"/>
        <v/>
      </c>
      <c r="BF35" s="484" t="str">
        <f t="shared" si="5"/>
        <v/>
      </c>
      <c r="BG35" s="484" t="str">
        <f t="shared" si="6"/>
        <v/>
      </c>
      <c r="BH35" s="484" t="str">
        <f t="shared" si="7"/>
        <v/>
      </c>
      <c r="BI35" s="484" t="str">
        <f t="shared" si="8"/>
        <v/>
      </c>
      <c r="BJ35" s="484" t="str">
        <f t="shared" si="9"/>
        <v/>
      </c>
      <c r="BK35" s="484" t="str">
        <f t="shared" si="10"/>
        <v/>
      </c>
      <c r="BL35" s="484" t="str">
        <f t="shared" si="11"/>
        <v/>
      </c>
      <c r="BM35" s="484" t="str">
        <f t="shared" si="12"/>
        <v/>
      </c>
      <c r="BN35" s="484" t="str">
        <f t="shared" si="13"/>
        <v/>
      </c>
      <c r="BO35" s="484" t="str">
        <f t="shared" si="14"/>
        <v/>
      </c>
      <c r="BP35" s="484" t="str">
        <f t="shared" si="15"/>
        <v/>
      </c>
      <c r="BQ35" s="485" t="str">
        <f t="shared" si="16"/>
        <v/>
      </c>
      <c r="BR35" s="486">
        <v>2</v>
      </c>
      <c r="BS35" s="487" cm="1">
        <f t="array" ref="BS35">IFERROR(INDEX(tblPurch_Mat[],MATCH(1,(tblPurch_Mat[Dataset ID]=BD35)*(tblPurch_Mat[Material Subcategory]=BB35),0),6),"confirm")</f>
        <v>0</v>
      </c>
      <c r="BT35" s="487" cm="1">
        <f t="array" ref="BT35">IFERROR(INDEX(tblPurch_Mat[],MATCH(1,(tblPurch_Mat[Dataset ID]=BD35)*(tblPurch_Mat[Material Subcategory]=BB35),0),7),"confirm")</f>
        <v>0</v>
      </c>
      <c r="BU35" s="487">
        <f t="shared" si="17"/>
        <v>0</v>
      </c>
      <c r="BV35" s="484" t="str">
        <f t="shared" si="18"/>
        <v/>
      </c>
      <c r="BW35" s="484" t="str">
        <f t="shared" si="19"/>
        <v/>
      </c>
      <c r="BX35" s="484" t="str">
        <f t="shared" si="20"/>
        <v/>
      </c>
      <c r="BY35" s="484" t="str">
        <f t="shared" si="21"/>
        <v/>
      </c>
      <c r="BZ35" s="484" t="str">
        <f t="shared" si="22"/>
        <v/>
      </c>
      <c r="CA35" s="484" t="str">
        <f t="shared" si="23"/>
        <v/>
      </c>
      <c r="CB35" s="484" t="str">
        <f t="shared" si="24"/>
        <v/>
      </c>
      <c r="CC35" s="484" t="str">
        <f t="shared" si="25"/>
        <v/>
      </c>
      <c r="CD35" s="484" t="str">
        <f t="shared" si="26"/>
        <v/>
      </c>
      <c r="CE35" s="484" t="str">
        <f t="shared" si="27"/>
        <v/>
      </c>
      <c r="CF35" s="484" t="str">
        <f t="shared" si="28"/>
        <v/>
      </c>
      <c r="CG35" s="484" t="str">
        <f t="shared" si="29"/>
        <v/>
      </c>
      <c r="CH35" s="485">
        <f t="shared" si="33"/>
        <v>0</v>
      </c>
      <c r="CJ35" s="3"/>
      <c r="CK35" s="488" t="str">
        <f t="shared" si="39"/>
        <v>_</v>
      </c>
      <c r="CL35" s="488">
        <f t="shared" si="34"/>
        <v>0</v>
      </c>
      <c r="CM35" s="488">
        <f t="shared" si="31"/>
        <v>0</v>
      </c>
      <c r="DD35" s="390">
        <f t="shared" si="35"/>
        <v>0</v>
      </c>
      <c r="DE35" s="31">
        <f t="shared" si="36"/>
        <v>14</v>
      </c>
      <c r="DF35" s="31">
        <f t="shared" si="37"/>
        <v>0</v>
      </c>
      <c r="DG35" s="31">
        <f t="shared" si="38"/>
        <v>0</v>
      </c>
    </row>
    <row r="36" spans="1:111" hidden="1" outlineLevel="1">
      <c r="A36" s="22"/>
      <c r="B36" s="272"/>
      <c r="C36" s="491"/>
      <c r="D36" s="492"/>
      <c r="E36" s="492"/>
      <c r="F36" s="492"/>
      <c r="G36" s="492"/>
      <c r="H36" s="492"/>
      <c r="I36" s="492"/>
      <c r="J36" s="492"/>
      <c r="K36" s="492"/>
      <c r="L36" s="492"/>
      <c r="M36" s="492"/>
      <c r="N36" s="492"/>
      <c r="O36" s="492"/>
      <c r="P36" s="469">
        <f t="shared" si="32"/>
        <v>0</v>
      </c>
      <c r="Q36" s="476">
        <f>IF(P36=0,0,(_xlfn.XLOOKUP(C36,Factors!$V$17:$V$72,Factors!$Z$17:$Z$72)*'Purchased Materials'!P36))</f>
        <v>0</v>
      </c>
      <c r="BA36" s="432" t="str">
        <f t="shared" si="2"/>
        <v/>
      </c>
      <c r="BB36" s="432" t="str">
        <f t="shared" si="3"/>
        <v/>
      </c>
      <c r="BC36" s="432">
        <v>1</v>
      </c>
      <c r="BD36" s="432" t="str">
        <f>_xlfn.LET(_xlpm.x,BB36,IF(LEN(_xlpm.x)&lt;1,"",IF(ISNUMBER(MATCH(_xlpm.x,ls_purchased_mat,0)),'Project Inputs'!$BF$14,99)))</f>
        <v/>
      </c>
      <c r="BE36" s="484" t="str">
        <f t="shared" si="4"/>
        <v/>
      </c>
      <c r="BF36" s="484" t="str">
        <f t="shared" si="5"/>
        <v/>
      </c>
      <c r="BG36" s="484" t="str">
        <f t="shared" si="6"/>
        <v/>
      </c>
      <c r="BH36" s="484" t="str">
        <f t="shared" si="7"/>
        <v/>
      </c>
      <c r="BI36" s="484" t="str">
        <f t="shared" si="8"/>
        <v/>
      </c>
      <c r="BJ36" s="484" t="str">
        <f t="shared" si="9"/>
        <v/>
      </c>
      <c r="BK36" s="484" t="str">
        <f t="shared" si="10"/>
        <v/>
      </c>
      <c r="BL36" s="484" t="str">
        <f t="shared" si="11"/>
        <v/>
      </c>
      <c r="BM36" s="484" t="str">
        <f t="shared" si="12"/>
        <v/>
      </c>
      <c r="BN36" s="484" t="str">
        <f t="shared" si="13"/>
        <v/>
      </c>
      <c r="BO36" s="484" t="str">
        <f t="shared" si="14"/>
        <v/>
      </c>
      <c r="BP36" s="484" t="str">
        <f t="shared" si="15"/>
        <v/>
      </c>
      <c r="BQ36" s="485" t="str">
        <f t="shared" si="16"/>
        <v/>
      </c>
      <c r="BR36" s="486">
        <v>2</v>
      </c>
      <c r="BS36" s="487" cm="1">
        <f t="array" ref="BS36">IFERROR(INDEX(tblPurch_Mat[],MATCH(1,(tblPurch_Mat[Dataset ID]=BD36)*(tblPurch_Mat[Material Subcategory]=BB36),0),6),"confirm")</f>
        <v>0</v>
      </c>
      <c r="BT36" s="487" cm="1">
        <f t="array" ref="BT36">IFERROR(INDEX(tblPurch_Mat[],MATCH(1,(tblPurch_Mat[Dataset ID]=BD36)*(tblPurch_Mat[Material Subcategory]=BB36),0),7),"confirm")</f>
        <v>0</v>
      </c>
      <c r="BU36" s="487">
        <f t="shared" si="17"/>
        <v>0</v>
      </c>
      <c r="BV36" s="484" t="str">
        <f t="shared" si="18"/>
        <v/>
      </c>
      <c r="BW36" s="484" t="str">
        <f t="shared" si="19"/>
        <v/>
      </c>
      <c r="BX36" s="484" t="str">
        <f t="shared" si="20"/>
        <v/>
      </c>
      <c r="BY36" s="484" t="str">
        <f t="shared" si="21"/>
        <v/>
      </c>
      <c r="BZ36" s="484" t="str">
        <f t="shared" si="22"/>
        <v/>
      </c>
      <c r="CA36" s="484" t="str">
        <f t="shared" si="23"/>
        <v/>
      </c>
      <c r="CB36" s="484" t="str">
        <f t="shared" si="24"/>
        <v/>
      </c>
      <c r="CC36" s="484" t="str">
        <f t="shared" si="25"/>
        <v/>
      </c>
      <c r="CD36" s="484" t="str">
        <f t="shared" si="26"/>
        <v/>
      </c>
      <c r="CE36" s="484" t="str">
        <f t="shared" si="27"/>
        <v/>
      </c>
      <c r="CF36" s="484" t="str">
        <f t="shared" si="28"/>
        <v/>
      </c>
      <c r="CG36" s="484" t="str">
        <f t="shared" si="29"/>
        <v/>
      </c>
      <c r="CH36" s="485">
        <f t="shared" si="33"/>
        <v>0</v>
      </c>
      <c r="CJ36" s="3"/>
      <c r="CK36" s="488" t="str">
        <f t="shared" si="39"/>
        <v>_</v>
      </c>
      <c r="CL36" s="488">
        <f t="shared" si="34"/>
        <v>0</v>
      </c>
      <c r="CM36" s="488">
        <f t="shared" si="31"/>
        <v>0</v>
      </c>
      <c r="DD36" s="390">
        <f t="shared" si="35"/>
        <v>0</v>
      </c>
      <c r="DE36" s="31">
        <f t="shared" si="36"/>
        <v>14</v>
      </c>
      <c r="DF36" s="31">
        <f t="shared" si="37"/>
        <v>0</v>
      </c>
      <c r="DG36" s="31">
        <f t="shared" si="38"/>
        <v>0</v>
      </c>
    </row>
    <row r="37" spans="1:111" hidden="1" outlineLevel="1">
      <c r="A37" s="22"/>
      <c r="B37" s="272"/>
      <c r="C37" s="491"/>
      <c r="D37" s="492"/>
      <c r="E37" s="492"/>
      <c r="F37" s="492"/>
      <c r="G37" s="492"/>
      <c r="H37" s="492"/>
      <c r="I37" s="492"/>
      <c r="J37" s="492"/>
      <c r="K37" s="492"/>
      <c r="L37" s="492"/>
      <c r="M37" s="492"/>
      <c r="N37" s="492"/>
      <c r="O37" s="492"/>
      <c r="P37" s="469">
        <f t="shared" si="32"/>
        <v>0</v>
      </c>
      <c r="Q37" s="476">
        <f>IF(P37=0,0,(_xlfn.XLOOKUP(C37,Factors!$V$17:$V$72,Factors!$Z$17:$Z$72)*'Purchased Materials'!P37))</f>
        <v>0</v>
      </c>
      <c r="BA37" s="432" t="str">
        <f t="shared" si="2"/>
        <v/>
      </c>
      <c r="BB37" s="432" t="str">
        <f t="shared" si="3"/>
        <v/>
      </c>
      <c r="BC37" s="432">
        <v>1</v>
      </c>
      <c r="BD37" s="432" t="str">
        <f>_xlfn.LET(_xlpm.x,BB37,IF(LEN(_xlpm.x)&lt;1,"",IF(ISNUMBER(MATCH(_xlpm.x,ls_purchased_mat,0)),'Project Inputs'!$BF$14,99)))</f>
        <v/>
      </c>
      <c r="BE37" s="484" t="str">
        <f t="shared" si="4"/>
        <v/>
      </c>
      <c r="BF37" s="484" t="str">
        <f t="shared" si="5"/>
        <v/>
      </c>
      <c r="BG37" s="484" t="str">
        <f t="shared" si="6"/>
        <v/>
      </c>
      <c r="BH37" s="484" t="str">
        <f t="shared" si="7"/>
        <v/>
      </c>
      <c r="BI37" s="484" t="str">
        <f t="shared" si="8"/>
        <v/>
      </c>
      <c r="BJ37" s="484" t="str">
        <f t="shared" si="9"/>
        <v/>
      </c>
      <c r="BK37" s="484" t="str">
        <f t="shared" si="10"/>
        <v/>
      </c>
      <c r="BL37" s="484" t="str">
        <f t="shared" si="11"/>
        <v/>
      </c>
      <c r="BM37" s="484" t="str">
        <f t="shared" si="12"/>
        <v/>
      </c>
      <c r="BN37" s="484" t="str">
        <f t="shared" si="13"/>
        <v/>
      </c>
      <c r="BO37" s="484" t="str">
        <f t="shared" si="14"/>
        <v/>
      </c>
      <c r="BP37" s="484" t="str">
        <f t="shared" si="15"/>
        <v/>
      </c>
      <c r="BQ37" s="485" t="str">
        <f t="shared" si="16"/>
        <v/>
      </c>
      <c r="BR37" s="486">
        <v>2</v>
      </c>
      <c r="BS37" s="487" cm="1">
        <f t="array" ref="BS37">IFERROR(INDEX(tblPurch_Mat[],MATCH(1,(tblPurch_Mat[Dataset ID]=BD37)*(tblPurch_Mat[Material Subcategory]=BB37),0),6),"confirm")</f>
        <v>0</v>
      </c>
      <c r="BT37" s="487" cm="1">
        <f t="array" ref="BT37">IFERROR(INDEX(tblPurch_Mat[],MATCH(1,(tblPurch_Mat[Dataset ID]=BD37)*(tblPurch_Mat[Material Subcategory]=BB37),0),7),"confirm")</f>
        <v>0</v>
      </c>
      <c r="BU37" s="487">
        <f t="shared" si="17"/>
        <v>0</v>
      </c>
      <c r="BV37" s="484" t="str">
        <f t="shared" si="18"/>
        <v/>
      </c>
      <c r="BW37" s="484" t="str">
        <f t="shared" si="19"/>
        <v/>
      </c>
      <c r="BX37" s="484" t="str">
        <f t="shared" si="20"/>
        <v/>
      </c>
      <c r="BY37" s="484" t="str">
        <f t="shared" si="21"/>
        <v/>
      </c>
      <c r="BZ37" s="484" t="str">
        <f t="shared" si="22"/>
        <v/>
      </c>
      <c r="CA37" s="484" t="str">
        <f t="shared" si="23"/>
        <v/>
      </c>
      <c r="CB37" s="484" t="str">
        <f t="shared" si="24"/>
        <v/>
      </c>
      <c r="CC37" s="484" t="str">
        <f t="shared" si="25"/>
        <v/>
      </c>
      <c r="CD37" s="484" t="str">
        <f t="shared" si="26"/>
        <v/>
      </c>
      <c r="CE37" s="484" t="str">
        <f t="shared" si="27"/>
        <v/>
      </c>
      <c r="CF37" s="484" t="str">
        <f t="shared" si="28"/>
        <v/>
      </c>
      <c r="CG37" s="484" t="str">
        <f t="shared" si="29"/>
        <v/>
      </c>
      <c r="CH37" s="485">
        <f t="shared" si="33"/>
        <v>0</v>
      </c>
      <c r="CJ37" s="3"/>
      <c r="CK37" s="488" t="str">
        <f t="shared" si="39"/>
        <v>_</v>
      </c>
      <c r="CL37" s="488">
        <f t="shared" si="34"/>
        <v>0</v>
      </c>
      <c r="CM37" s="488">
        <f t="shared" si="31"/>
        <v>0</v>
      </c>
      <c r="DD37" s="390">
        <f t="shared" si="35"/>
        <v>0</v>
      </c>
      <c r="DE37" s="31">
        <f t="shared" si="36"/>
        <v>14</v>
      </c>
      <c r="DF37" s="31">
        <f t="shared" si="37"/>
        <v>0</v>
      </c>
      <c r="DG37" s="31">
        <f t="shared" si="38"/>
        <v>0</v>
      </c>
    </row>
    <row r="38" spans="1:111" hidden="1" outlineLevel="1">
      <c r="A38" s="22"/>
      <c r="B38" s="272"/>
      <c r="C38" s="491"/>
      <c r="D38" s="492"/>
      <c r="E38" s="492"/>
      <c r="F38" s="492"/>
      <c r="G38" s="492"/>
      <c r="H38" s="492"/>
      <c r="I38" s="492"/>
      <c r="J38" s="492"/>
      <c r="K38" s="492"/>
      <c r="L38" s="492"/>
      <c r="M38" s="492"/>
      <c r="N38" s="492"/>
      <c r="O38" s="492"/>
      <c r="P38" s="469">
        <f t="shared" si="32"/>
        <v>0</v>
      </c>
      <c r="Q38" s="476">
        <f>IF(P38=0,0,(_xlfn.XLOOKUP(C38,Factors!$V$17:$V$72,Factors!$Z$17:$Z$72)*'Purchased Materials'!P38))</f>
        <v>0</v>
      </c>
      <c r="BA38" s="432" t="str">
        <f t="shared" si="2"/>
        <v/>
      </c>
      <c r="BB38" s="432" t="str">
        <f t="shared" si="3"/>
        <v/>
      </c>
      <c r="BC38" s="432">
        <v>1</v>
      </c>
      <c r="BD38" s="432" t="str">
        <f>_xlfn.LET(_xlpm.x,BB38,IF(LEN(_xlpm.x)&lt;1,"",IF(ISNUMBER(MATCH(_xlpm.x,ls_purchased_mat,0)),'Project Inputs'!$BF$14,99)))</f>
        <v/>
      </c>
      <c r="BE38" s="484" t="str">
        <f t="shared" si="4"/>
        <v/>
      </c>
      <c r="BF38" s="484" t="str">
        <f t="shared" si="5"/>
        <v/>
      </c>
      <c r="BG38" s="484" t="str">
        <f t="shared" si="6"/>
        <v/>
      </c>
      <c r="BH38" s="484" t="str">
        <f t="shared" si="7"/>
        <v/>
      </c>
      <c r="BI38" s="484" t="str">
        <f t="shared" si="8"/>
        <v/>
      </c>
      <c r="BJ38" s="484" t="str">
        <f t="shared" si="9"/>
        <v/>
      </c>
      <c r="BK38" s="484" t="str">
        <f t="shared" si="10"/>
        <v/>
      </c>
      <c r="BL38" s="484" t="str">
        <f t="shared" si="11"/>
        <v/>
      </c>
      <c r="BM38" s="484" t="str">
        <f t="shared" si="12"/>
        <v/>
      </c>
      <c r="BN38" s="484" t="str">
        <f t="shared" si="13"/>
        <v/>
      </c>
      <c r="BO38" s="484" t="str">
        <f t="shared" si="14"/>
        <v/>
      </c>
      <c r="BP38" s="484" t="str">
        <f t="shared" si="15"/>
        <v/>
      </c>
      <c r="BQ38" s="485" t="str">
        <f t="shared" si="16"/>
        <v/>
      </c>
      <c r="BR38" s="486">
        <v>2</v>
      </c>
      <c r="BS38" s="487" cm="1">
        <f t="array" ref="BS38">IFERROR(INDEX(tblPurch_Mat[],MATCH(1,(tblPurch_Mat[Dataset ID]=BD38)*(tblPurch_Mat[Material Subcategory]=BB38),0),6),"confirm")</f>
        <v>0</v>
      </c>
      <c r="BT38" s="487" cm="1">
        <f t="array" ref="BT38">IFERROR(INDEX(tblPurch_Mat[],MATCH(1,(tblPurch_Mat[Dataset ID]=BD38)*(tblPurch_Mat[Material Subcategory]=BB38),0),7),"confirm")</f>
        <v>0</v>
      </c>
      <c r="BU38" s="487">
        <f t="shared" si="17"/>
        <v>0</v>
      </c>
      <c r="BV38" s="484" t="str">
        <f t="shared" si="18"/>
        <v/>
      </c>
      <c r="BW38" s="484" t="str">
        <f t="shared" si="19"/>
        <v/>
      </c>
      <c r="BX38" s="484" t="str">
        <f t="shared" si="20"/>
        <v/>
      </c>
      <c r="BY38" s="484" t="str">
        <f t="shared" si="21"/>
        <v/>
      </c>
      <c r="BZ38" s="484" t="str">
        <f t="shared" si="22"/>
        <v/>
      </c>
      <c r="CA38" s="484" t="str">
        <f t="shared" si="23"/>
        <v/>
      </c>
      <c r="CB38" s="484" t="str">
        <f t="shared" si="24"/>
        <v/>
      </c>
      <c r="CC38" s="484" t="str">
        <f t="shared" si="25"/>
        <v/>
      </c>
      <c r="CD38" s="484" t="str">
        <f t="shared" si="26"/>
        <v/>
      </c>
      <c r="CE38" s="484" t="str">
        <f t="shared" si="27"/>
        <v/>
      </c>
      <c r="CF38" s="484" t="str">
        <f t="shared" si="28"/>
        <v/>
      </c>
      <c r="CG38" s="484" t="str">
        <f t="shared" si="29"/>
        <v/>
      </c>
      <c r="CH38" s="485">
        <f t="shared" si="33"/>
        <v>0</v>
      </c>
      <c r="CJ38" s="3"/>
      <c r="CK38" s="488" t="str">
        <f t="shared" si="39"/>
        <v>_</v>
      </c>
      <c r="CL38" s="488">
        <f t="shared" si="34"/>
        <v>0</v>
      </c>
      <c r="CM38" s="488">
        <f t="shared" si="31"/>
        <v>0</v>
      </c>
      <c r="DD38" s="390">
        <f t="shared" si="35"/>
        <v>0</v>
      </c>
      <c r="DE38" s="31">
        <f t="shared" si="36"/>
        <v>14</v>
      </c>
      <c r="DF38" s="31">
        <f t="shared" si="37"/>
        <v>0</v>
      </c>
      <c r="DG38" s="31">
        <f t="shared" si="38"/>
        <v>0</v>
      </c>
    </row>
    <row r="39" spans="1:111" hidden="1" outlineLevel="1">
      <c r="A39" s="22"/>
      <c r="B39" s="272"/>
      <c r="C39" s="491"/>
      <c r="D39" s="492"/>
      <c r="E39" s="492"/>
      <c r="F39" s="492"/>
      <c r="G39" s="492"/>
      <c r="H39" s="492"/>
      <c r="I39" s="492"/>
      <c r="J39" s="492"/>
      <c r="K39" s="492"/>
      <c r="L39" s="492"/>
      <c r="M39" s="492"/>
      <c r="N39" s="492"/>
      <c r="O39" s="492"/>
      <c r="P39" s="469">
        <f t="shared" si="32"/>
        <v>0</v>
      </c>
      <c r="Q39" s="476">
        <f>IF(P39=0,0,(_xlfn.XLOOKUP(C39,Factors!$V$17:$V$72,Factors!$Z$17:$Z$72)*'Purchased Materials'!P39))</f>
        <v>0</v>
      </c>
      <c r="BA39" s="432" t="str">
        <f t="shared" si="2"/>
        <v/>
      </c>
      <c r="BB39" s="432" t="str">
        <f t="shared" si="3"/>
        <v/>
      </c>
      <c r="BC39" s="432">
        <v>1</v>
      </c>
      <c r="BD39" s="432" t="str">
        <f>_xlfn.LET(_xlpm.x,BB39,IF(LEN(_xlpm.x)&lt;1,"",IF(ISNUMBER(MATCH(_xlpm.x,ls_purchased_mat,0)),'Project Inputs'!$BF$14,99)))</f>
        <v/>
      </c>
      <c r="BE39" s="484" t="str">
        <f t="shared" si="4"/>
        <v/>
      </c>
      <c r="BF39" s="484" t="str">
        <f t="shared" si="5"/>
        <v/>
      </c>
      <c r="BG39" s="484" t="str">
        <f t="shared" si="6"/>
        <v/>
      </c>
      <c r="BH39" s="484" t="str">
        <f t="shared" si="7"/>
        <v/>
      </c>
      <c r="BI39" s="484" t="str">
        <f t="shared" si="8"/>
        <v/>
      </c>
      <c r="BJ39" s="484" t="str">
        <f t="shared" si="9"/>
        <v/>
      </c>
      <c r="BK39" s="484" t="str">
        <f t="shared" si="10"/>
        <v/>
      </c>
      <c r="BL39" s="484" t="str">
        <f t="shared" si="11"/>
        <v/>
      </c>
      <c r="BM39" s="484" t="str">
        <f t="shared" si="12"/>
        <v/>
      </c>
      <c r="BN39" s="484" t="str">
        <f t="shared" si="13"/>
        <v/>
      </c>
      <c r="BO39" s="484" t="str">
        <f t="shared" si="14"/>
        <v/>
      </c>
      <c r="BP39" s="484" t="str">
        <f t="shared" si="15"/>
        <v/>
      </c>
      <c r="BQ39" s="485" t="str">
        <f t="shared" si="16"/>
        <v/>
      </c>
      <c r="BR39" s="486">
        <v>2</v>
      </c>
      <c r="BS39" s="487" cm="1">
        <f t="array" ref="BS39">IFERROR(INDEX(tblPurch_Mat[],MATCH(1,(tblPurch_Mat[Dataset ID]=BD39)*(tblPurch_Mat[Material Subcategory]=BB39),0),6),"confirm")</f>
        <v>0</v>
      </c>
      <c r="BT39" s="487" cm="1">
        <f t="array" ref="BT39">IFERROR(INDEX(tblPurch_Mat[],MATCH(1,(tblPurch_Mat[Dataset ID]=BD39)*(tblPurch_Mat[Material Subcategory]=BB39),0),7),"confirm")</f>
        <v>0</v>
      </c>
      <c r="BU39" s="487">
        <f t="shared" si="17"/>
        <v>0</v>
      </c>
      <c r="BV39" s="484" t="str">
        <f t="shared" si="18"/>
        <v/>
      </c>
      <c r="BW39" s="484" t="str">
        <f t="shared" si="19"/>
        <v/>
      </c>
      <c r="BX39" s="484" t="str">
        <f t="shared" si="20"/>
        <v/>
      </c>
      <c r="BY39" s="484" t="str">
        <f t="shared" si="21"/>
        <v/>
      </c>
      <c r="BZ39" s="484" t="str">
        <f t="shared" si="22"/>
        <v/>
      </c>
      <c r="CA39" s="484" t="str">
        <f t="shared" si="23"/>
        <v/>
      </c>
      <c r="CB39" s="484" t="str">
        <f t="shared" si="24"/>
        <v/>
      </c>
      <c r="CC39" s="484" t="str">
        <f t="shared" si="25"/>
        <v/>
      </c>
      <c r="CD39" s="484" t="str">
        <f t="shared" si="26"/>
        <v/>
      </c>
      <c r="CE39" s="484" t="str">
        <f t="shared" si="27"/>
        <v/>
      </c>
      <c r="CF39" s="484" t="str">
        <f t="shared" si="28"/>
        <v/>
      </c>
      <c r="CG39" s="484" t="str">
        <f t="shared" si="29"/>
        <v/>
      </c>
      <c r="CH39" s="485">
        <f t="shared" si="33"/>
        <v>0</v>
      </c>
      <c r="CJ39" s="3"/>
      <c r="CK39" s="488" t="str">
        <f t="shared" si="39"/>
        <v>_</v>
      </c>
      <c r="CL39" s="488">
        <f t="shared" si="34"/>
        <v>0</v>
      </c>
      <c r="CM39" s="488">
        <f t="shared" si="31"/>
        <v>0</v>
      </c>
      <c r="DD39" s="390">
        <f t="shared" si="35"/>
        <v>0</v>
      </c>
      <c r="DE39" s="31">
        <f t="shared" si="36"/>
        <v>14</v>
      </c>
      <c r="DF39" s="31">
        <f t="shared" si="37"/>
        <v>0</v>
      </c>
      <c r="DG39" s="31">
        <f t="shared" si="38"/>
        <v>0</v>
      </c>
    </row>
    <row r="40" spans="1:111" hidden="1" outlineLevel="1">
      <c r="A40" s="22"/>
      <c r="B40" s="272"/>
      <c r="C40" s="491"/>
      <c r="D40" s="492"/>
      <c r="E40" s="492"/>
      <c r="F40" s="492"/>
      <c r="G40" s="492"/>
      <c r="H40" s="492"/>
      <c r="I40" s="492"/>
      <c r="J40" s="492"/>
      <c r="K40" s="492"/>
      <c r="L40" s="492"/>
      <c r="M40" s="492"/>
      <c r="N40" s="492"/>
      <c r="O40" s="492"/>
      <c r="P40" s="469">
        <f t="shared" si="32"/>
        <v>0</v>
      </c>
      <c r="Q40" s="476">
        <f>IF(P40=0,0,(_xlfn.XLOOKUP(C40,Factors!$V$17:$V$72,Factors!$Z$17:$Z$72)*'Purchased Materials'!P40))</f>
        <v>0</v>
      </c>
      <c r="BA40" s="432" t="str">
        <f t="shared" si="2"/>
        <v/>
      </c>
      <c r="BB40" s="432" t="str">
        <f t="shared" si="3"/>
        <v/>
      </c>
      <c r="BC40" s="432">
        <v>1</v>
      </c>
      <c r="BD40" s="432" t="str">
        <f>_xlfn.LET(_xlpm.x,BB40,IF(LEN(_xlpm.x)&lt;1,"",IF(ISNUMBER(MATCH(_xlpm.x,ls_purchased_mat,0)),'Project Inputs'!$BF$14,99)))</f>
        <v/>
      </c>
      <c r="BE40" s="484" t="str">
        <f t="shared" si="4"/>
        <v/>
      </c>
      <c r="BF40" s="484" t="str">
        <f t="shared" si="5"/>
        <v/>
      </c>
      <c r="BG40" s="484" t="str">
        <f t="shared" si="6"/>
        <v/>
      </c>
      <c r="BH40" s="484" t="str">
        <f t="shared" si="7"/>
        <v/>
      </c>
      <c r="BI40" s="484" t="str">
        <f t="shared" si="8"/>
        <v/>
      </c>
      <c r="BJ40" s="484" t="str">
        <f t="shared" si="9"/>
        <v/>
      </c>
      <c r="BK40" s="484" t="str">
        <f t="shared" si="10"/>
        <v/>
      </c>
      <c r="BL40" s="484" t="str">
        <f t="shared" si="11"/>
        <v/>
      </c>
      <c r="BM40" s="484" t="str">
        <f t="shared" si="12"/>
        <v/>
      </c>
      <c r="BN40" s="484" t="str">
        <f t="shared" si="13"/>
        <v/>
      </c>
      <c r="BO40" s="484" t="str">
        <f t="shared" si="14"/>
        <v/>
      </c>
      <c r="BP40" s="484" t="str">
        <f t="shared" si="15"/>
        <v/>
      </c>
      <c r="BQ40" s="485" t="str">
        <f t="shared" si="16"/>
        <v/>
      </c>
      <c r="BR40" s="486">
        <v>2</v>
      </c>
      <c r="BS40" s="487" cm="1">
        <f t="array" ref="BS40">IFERROR(INDEX(tblPurch_Mat[],MATCH(1,(tblPurch_Mat[Dataset ID]=BD40)*(tblPurch_Mat[Material Subcategory]=BB40),0),6),"confirm")</f>
        <v>0</v>
      </c>
      <c r="BT40" s="487" cm="1">
        <f t="array" ref="BT40">IFERROR(INDEX(tblPurch_Mat[],MATCH(1,(tblPurch_Mat[Dataset ID]=BD40)*(tblPurch_Mat[Material Subcategory]=BB40),0),7),"confirm")</f>
        <v>0</v>
      </c>
      <c r="BU40" s="487">
        <f t="shared" si="17"/>
        <v>0</v>
      </c>
      <c r="BV40" s="484" t="str">
        <f t="shared" si="18"/>
        <v/>
      </c>
      <c r="BW40" s="484" t="str">
        <f t="shared" si="19"/>
        <v/>
      </c>
      <c r="BX40" s="484" t="str">
        <f t="shared" si="20"/>
        <v/>
      </c>
      <c r="BY40" s="484" t="str">
        <f t="shared" si="21"/>
        <v/>
      </c>
      <c r="BZ40" s="484" t="str">
        <f t="shared" si="22"/>
        <v/>
      </c>
      <c r="CA40" s="484" t="str">
        <f t="shared" si="23"/>
        <v/>
      </c>
      <c r="CB40" s="484" t="str">
        <f t="shared" si="24"/>
        <v/>
      </c>
      <c r="CC40" s="484" t="str">
        <f t="shared" si="25"/>
        <v/>
      </c>
      <c r="CD40" s="484" t="str">
        <f t="shared" si="26"/>
        <v/>
      </c>
      <c r="CE40" s="484" t="str">
        <f t="shared" si="27"/>
        <v/>
      </c>
      <c r="CF40" s="484" t="str">
        <f t="shared" si="28"/>
        <v/>
      </c>
      <c r="CG40" s="484" t="str">
        <f t="shared" si="29"/>
        <v/>
      </c>
      <c r="CH40" s="485">
        <f t="shared" si="33"/>
        <v>0</v>
      </c>
      <c r="CJ40" s="3"/>
      <c r="CK40" s="488" t="str">
        <f t="shared" si="39"/>
        <v>_</v>
      </c>
      <c r="CL40" s="488">
        <f t="shared" si="34"/>
        <v>0</v>
      </c>
      <c r="CM40" s="488">
        <f t="shared" si="31"/>
        <v>0</v>
      </c>
      <c r="DD40" s="390">
        <f t="shared" si="35"/>
        <v>0</v>
      </c>
      <c r="DE40" s="31">
        <f t="shared" si="36"/>
        <v>14</v>
      </c>
      <c r="DF40" s="31">
        <f t="shared" si="37"/>
        <v>0</v>
      </c>
      <c r="DG40" s="31">
        <f t="shared" si="38"/>
        <v>0</v>
      </c>
    </row>
    <row r="41" spans="1:111" hidden="1" outlineLevel="1">
      <c r="A41" s="22"/>
      <c r="B41" s="272"/>
      <c r="C41" s="491"/>
      <c r="D41" s="492"/>
      <c r="E41" s="492"/>
      <c r="F41" s="492"/>
      <c r="G41" s="492"/>
      <c r="H41" s="492"/>
      <c r="I41" s="492"/>
      <c r="J41" s="492"/>
      <c r="K41" s="492"/>
      <c r="L41" s="492"/>
      <c r="M41" s="492"/>
      <c r="N41" s="492"/>
      <c r="O41" s="492"/>
      <c r="P41" s="469">
        <f>SUM(D41:O41)</f>
        <v>0</v>
      </c>
      <c r="Q41" s="476">
        <f>IF(P41=0,0,(_xlfn.XLOOKUP(C41,Factors!$V$17:$V$72,Factors!$Z$17:$Z$72)*'Purchased Materials'!P41))</f>
        <v>0</v>
      </c>
      <c r="BA41" s="432" t="str">
        <f t="shared" si="2"/>
        <v/>
      </c>
      <c r="BB41" s="432" t="str">
        <f t="shared" si="3"/>
        <v/>
      </c>
      <c r="BC41" s="432">
        <v>1</v>
      </c>
      <c r="BD41" s="432" t="str">
        <f>_xlfn.LET(_xlpm.x,BB41,IF(LEN(_xlpm.x)&lt;1,"",IF(ISNUMBER(MATCH(_xlpm.x,ls_purchased_mat,0)),'Project Inputs'!$BF$14,99)))</f>
        <v/>
      </c>
      <c r="BE41" s="484" t="str">
        <f t="shared" si="4"/>
        <v/>
      </c>
      <c r="BF41" s="484" t="str">
        <f t="shared" si="5"/>
        <v/>
      </c>
      <c r="BG41" s="484" t="str">
        <f t="shared" si="6"/>
        <v/>
      </c>
      <c r="BH41" s="484" t="str">
        <f t="shared" si="7"/>
        <v/>
      </c>
      <c r="BI41" s="484" t="str">
        <f t="shared" si="8"/>
        <v/>
      </c>
      <c r="BJ41" s="484" t="str">
        <f t="shared" si="9"/>
        <v/>
      </c>
      <c r="BK41" s="484" t="str">
        <f t="shared" si="10"/>
        <v/>
      </c>
      <c r="BL41" s="484" t="str">
        <f t="shared" si="11"/>
        <v/>
      </c>
      <c r="BM41" s="484" t="str">
        <f t="shared" si="12"/>
        <v/>
      </c>
      <c r="BN41" s="484" t="str">
        <f t="shared" si="13"/>
        <v/>
      </c>
      <c r="BO41" s="484" t="str">
        <f t="shared" si="14"/>
        <v/>
      </c>
      <c r="BP41" s="484" t="str">
        <f t="shared" si="15"/>
        <v/>
      </c>
      <c r="BQ41" s="485" t="str">
        <f t="shared" si="16"/>
        <v/>
      </c>
      <c r="BR41" s="486">
        <v>2</v>
      </c>
      <c r="BS41" s="487" cm="1">
        <f t="array" ref="BS41">IFERROR(INDEX(tblPurch_Mat[],MATCH(1,(tblPurch_Mat[Dataset ID]=BD41)*(tblPurch_Mat[Material Subcategory]=BB41),0),6),"confirm")</f>
        <v>0</v>
      </c>
      <c r="BT41" s="487" cm="1">
        <f t="array" ref="BT41">IFERROR(INDEX(tblPurch_Mat[],MATCH(1,(tblPurch_Mat[Dataset ID]=BD41)*(tblPurch_Mat[Material Subcategory]=BB41),0),7),"confirm")</f>
        <v>0</v>
      </c>
      <c r="BU41" s="487">
        <f t="shared" si="17"/>
        <v>0</v>
      </c>
      <c r="BV41" s="484" t="str">
        <f t="shared" si="18"/>
        <v/>
      </c>
      <c r="BW41" s="484" t="str">
        <f t="shared" si="19"/>
        <v/>
      </c>
      <c r="BX41" s="484" t="str">
        <f t="shared" si="20"/>
        <v/>
      </c>
      <c r="BY41" s="484" t="str">
        <f t="shared" si="21"/>
        <v/>
      </c>
      <c r="BZ41" s="484" t="str">
        <f t="shared" si="22"/>
        <v/>
      </c>
      <c r="CA41" s="484" t="str">
        <f t="shared" si="23"/>
        <v/>
      </c>
      <c r="CB41" s="484" t="str">
        <f t="shared" si="24"/>
        <v/>
      </c>
      <c r="CC41" s="484" t="str">
        <f t="shared" si="25"/>
        <v/>
      </c>
      <c r="CD41" s="484" t="str">
        <f t="shared" si="26"/>
        <v/>
      </c>
      <c r="CE41" s="484" t="str">
        <f t="shared" si="27"/>
        <v/>
      </c>
      <c r="CF41" s="484" t="str">
        <f t="shared" si="28"/>
        <v/>
      </c>
      <c r="CG41" s="484" t="str">
        <f t="shared" si="29"/>
        <v/>
      </c>
      <c r="CH41" s="485">
        <f t="shared" si="33"/>
        <v>0</v>
      </c>
      <c r="CJ41" s="3"/>
      <c r="CK41" s="488" t="str">
        <f t="shared" si="39"/>
        <v>_</v>
      </c>
      <c r="CL41" s="488">
        <f t="shared" si="34"/>
        <v>0</v>
      </c>
      <c r="CM41" s="488">
        <f t="shared" si="31"/>
        <v>0</v>
      </c>
      <c r="DD41" s="390">
        <f t="shared" si="35"/>
        <v>0</v>
      </c>
      <c r="DE41" s="31">
        <f t="shared" si="36"/>
        <v>14</v>
      </c>
      <c r="DF41" s="31">
        <f t="shared" si="37"/>
        <v>0</v>
      </c>
      <c r="DG41" s="31">
        <f t="shared" si="38"/>
        <v>0</v>
      </c>
    </row>
    <row r="42" spans="1:111" hidden="1" outlineLevel="1">
      <c r="A42" s="22"/>
      <c r="B42" s="272"/>
      <c r="C42" s="491"/>
      <c r="D42" s="492"/>
      <c r="E42" s="492"/>
      <c r="F42" s="492"/>
      <c r="G42" s="492"/>
      <c r="H42" s="492"/>
      <c r="I42" s="492"/>
      <c r="J42" s="492"/>
      <c r="K42" s="492"/>
      <c r="L42" s="492"/>
      <c r="M42" s="492"/>
      <c r="N42" s="492"/>
      <c r="O42" s="492"/>
      <c r="P42" s="469">
        <f t="shared" si="32"/>
        <v>0</v>
      </c>
      <c r="Q42" s="476">
        <f>IF(P42=0,0,(_xlfn.XLOOKUP(C42,Factors!$V$17:$V$72,Factors!$Z$17:$Z$72)*'Purchased Materials'!P42))</f>
        <v>0</v>
      </c>
      <c r="BA42" s="432" t="str">
        <f t="shared" si="2"/>
        <v/>
      </c>
      <c r="BB42" s="432" t="str">
        <f t="shared" si="3"/>
        <v/>
      </c>
      <c r="BC42" s="432">
        <v>1</v>
      </c>
      <c r="BD42" s="432" t="str">
        <f>_xlfn.LET(_xlpm.x,BB42,IF(LEN(_xlpm.x)&lt;1,"",IF(ISNUMBER(MATCH(_xlpm.x,ls_purchased_mat,0)),'Project Inputs'!$BF$14,99)))</f>
        <v/>
      </c>
      <c r="BE42" s="484" t="str">
        <f t="shared" si="4"/>
        <v/>
      </c>
      <c r="BF42" s="484" t="str">
        <f t="shared" si="5"/>
        <v/>
      </c>
      <c r="BG42" s="484" t="str">
        <f t="shared" si="6"/>
        <v/>
      </c>
      <c r="BH42" s="484" t="str">
        <f t="shared" si="7"/>
        <v/>
      </c>
      <c r="BI42" s="484" t="str">
        <f t="shared" si="8"/>
        <v/>
      </c>
      <c r="BJ42" s="484" t="str">
        <f t="shared" si="9"/>
        <v/>
      </c>
      <c r="BK42" s="484" t="str">
        <f t="shared" si="10"/>
        <v/>
      </c>
      <c r="BL42" s="484" t="str">
        <f t="shared" si="11"/>
        <v/>
      </c>
      <c r="BM42" s="484" t="str">
        <f t="shared" si="12"/>
        <v/>
      </c>
      <c r="BN42" s="484" t="str">
        <f t="shared" si="13"/>
        <v/>
      </c>
      <c r="BO42" s="484" t="str">
        <f t="shared" si="14"/>
        <v/>
      </c>
      <c r="BP42" s="484" t="str">
        <f t="shared" si="15"/>
        <v/>
      </c>
      <c r="BQ42" s="485" t="str">
        <f t="shared" si="16"/>
        <v/>
      </c>
      <c r="BR42" s="486">
        <v>2</v>
      </c>
      <c r="BS42" s="487" cm="1">
        <f t="array" ref="BS42">IFERROR(INDEX(tblPurch_Mat[],MATCH(1,(tblPurch_Mat[Dataset ID]=BD42)*(tblPurch_Mat[Material Subcategory]=BB42),0),6),"confirm")</f>
        <v>0</v>
      </c>
      <c r="BT42" s="487" cm="1">
        <f t="array" ref="BT42">IFERROR(INDEX(tblPurch_Mat[],MATCH(1,(tblPurch_Mat[Dataset ID]=BD42)*(tblPurch_Mat[Material Subcategory]=BB42),0),7),"confirm")</f>
        <v>0</v>
      </c>
      <c r="BU42" s="487">
        <f t="shared" si="17"/>
        <v>0</v>
      </c>
      <c r="BV42" s="484" t="str">
        <f t="shared" si="18"/>
        <v/>
      </c>
      <c r="BW42" s="484" t="str">
        <f t="shared" si="19"/>
        <v/>
      </c>
      <c r="BX42" s="484" t="str">
        <f t="shared" si="20"/>
        <v/>
      </c>
      <c r="BY42" s="484" t="str">
        <f t="shared" si="21"/>
        <v/>
      </c>
      <c r="BZ42" s="484" t="str">
        <f t="shared" si="22"/>
        <v/>
      </c>
      <c r="CA42" s="484" t="str">
        <f t="shared" si="23"/>
        <v/>
      </c>
      <c r="CB42" s="484" t="str">
        <f t="shared" si="24"/>
        <v/>
      </c>
      <c r="CC42" s="484" t="str">
        <f t="shared" si="25"/>
        <v/>
      </c>
      <c r="CD42" s="484" t="str">
        <f t="shared" si="26"/>
        <v/>
      </c>
      <c r="CE42" s="484" t="str">
        <f t="shared" si="27"/>
        <v/>
      </c>
      <c r="CF42" s="484" t="str">
        <f t="shared" si="28"/>
        <v/>
      </c>
      <c r="CG42" s="484" t="str">
        <f t="shared" si="29"/>
        <v/>
      </c>
      <c r="CH42" s="485">
        <f t="shared" si="33"/>
        <v>0</v>
      </c>
      <c r="CJ42" s="3"/>
      <c r="CK42" s="488" t="str">
        <f t="shared" si="39"/>
        <v>_</v>
      </c>
      <c r="CL42" s="488">
        <f t="shared" si="34"/>
        <v>0</v>
      </c>
      <c r="CM42" s="488">
        <f t="shared" si="31"/>
        <v>0</v>
      </c>
      <c r="DD42" s="390">
        <f t="shared" si="35"/>
        <v>0</v>
      </c>
      <c r="DE42" s="31">
        <f t="shared" si="36"/>
        <v>14</v>
      </c>
      <c r="DF42" s="31">
        <f t="shared" si="37"/>
        <v>0</v>
      </c>
      <c r="DG42" s="31">
        <f t="shared" si="38"/>
        <v>0</v>
      </c>
    </row>
    <row r="43" spans="1:111" hidden="1" outlineLevel="1">
      <c r="A43" s="22"/>
      <c r="B43" s="272"/>
      <c r="C43" s="491"/>
      <c r="D43" s="492"/>
      <c r="E43" s="492"/>
      <c r="F43" s="492"/>
      <c r="G43" s="492"/>
      <c r="H43" s="492"/>
      <c r="I43" s="492"/>
      <c r="J43" s="492"/>
      <c r="K43" s="492"/>
      <c r="L43" s="492"/>
      <c r="M43" s="492"/>
      <c r="N43" s="492"/>
      <c r="O43" s="492"/>
      <c r="P43" s="469">
        <f t="shared" si="32"/>
        <v>0</v>
      </c>
      <c r="Q43" s="476">
        <f>IF(P43=0,0,(_xlfn.XLOOKUP(C43,Factors!$V$17:$V$72,Factors!$Z$17:$Z$72)*'Purchased Materials'!P43))</f>
        <v>0</v>
      </c>
      <c r="BA43" s="432" t="str">
        <f t="shared" si="2"/>
        <v/>
      </c>
      <c r="BB43" s="432" t="str">
        <f t="shared" si="3"/>
        <v/>
      </c>
      <c r="BC43" s="432">
        <v>1</v>
      </c>
      <c r="BD43" s="432" t="str">
        <f>_xlfn.LET(_xlpm.x,BB43,IF(LEN(_xlpm.x)&lt;1,"",IF(ISNUMBER(MATCH(_xlpm.x,ls_purchased_mat,0)),'Project Inputs'!$BF$14,99)))</f>
        <v/>
      </c>
      <c r="BE43" s="484" t="str">
        <f t="shared" si="4"/>
        <v/>
      </c>
      <c r="BF43" s="484" t="str">
        <f t="shared" si="5"/>
        <v/>
      </c>
      <c r="BG43" s="484" t="str">
        <f t="shared" si="6"/>
        <v/>
      </c>
      <c r="BH43" s="484" t="str">
        <f t="shared" si="7"/>
        <v/>
      </c>
      <c r="BI43" s="484" t="str">
        <f t="shared" si="8"/>
        <v/>
      </c>
      <c r="BJ43" s="484" t="str">
        <f t="shared" si="9"/>
        <v/>
      </c>
      <c r="BK43" s="484" t="str">
        <f t="shared" si="10"/>
        <v/>
      </c>
      <c r="BL43" s="484" t="str">
        <f t="shared" si="11"/>
        <v/>
      </c>
      <c r="BM43" s="484" t="str">
        <f t="shared" si="12"/>
        <v/>
      </c>
      <c r="BN43" s="484" t="str">
        <f t="shared" si="13"/>
        <v/>
      </c>
      <c r="BO43" s="484" t="str">
        <f t="shared" si="14"/>
        <v/>
      </c>
      <c r="BP43" s="484" t="str">
        <f t="shared" si="15"/>
        <v/>
      </c>
      <c r="BQ43" s="485" t="str">
        <f t="shared" si="16"/>
        <v/>
      </c>
      <c r="BR43" s="486">
        <v>2</v>
      </c>
      <c r="BS43" s="487" cm="1">
        <f t="array" ref="BS43">IFERROR(INDEX(tblPurch_Mat[],MATCH(1,(tblPurch_Mat[Dataset ID]=BD43)*(tblPurch_Mat[Material Subcategory]=BB43),0),6),"confirm")</f>
        <v>0</v>
      </c>
      <c r="BT43" s="487" cm="1">
        <f t="array" ref="BT43">IFERROR(INDEX(tblPurch_Mat[],MATCH(1,(tblPurch_Mat[Dataset ID]=BD43)*(tblPurch_Mat[Material Subcategory]=BB43),0),7),"confirm")</f>
        <v>0</v>
      </c>
      <c r="BU43" s="487">
        <f t="shared" si="17"/>
        <v>0</v>
      </c>
      <c r="BV43" s="484" t="str">
        <f t="shared" si="18"/>
        <v/>
      </c>
      <c r="BW43" s="484" t="str">
        <f t="shared" si="19"/>
        <v/>
      </c>
      <c r="BX43" s="484" t="str">
        <f t="shared" si="20"/>
        <v/>
      </c>
      <c r="BY43" s="484" t="str">
        <f t="shared" si="21"/>
        <v/>
      </c>
      <c r="BZ43" s="484" t="str">
        <f t="shared" si="22"/>
        <v/>
      </c>
      <c r="CA43" s="484" t="str">
        <f t="shared" si="23"/>
        <v/>
      </c>
      <c r="CB43" s="484" t="str">
        <f t="shared" si="24"/>
        <v/>
      </c>
      <c r="CC43" s="484" t="str">
        <f t="shared" si="25"/>
        <v/>
      </c>
      <c r="CD43" s="484" t="str">
        <f t="shared" si="26"/>
        <v/>
      </c>
      <c r="CE43" s="484" t="str">
        <f t="shared" si="27"/>
        <v/>
      </c>
      <c r="CF43" s="484" t="str">
        <f t="shared" si="28"/>
        <v/>
      </c>
      <c r="CG43" s="484" t="str">
        <f t="shared" si="29"/>
        <v/>
      </c>
      <c r="CH43" s="485">
        <f t="shared" si="33"/>
        <v>0</v>
      </c>
      <c r="CJ43" s="3"/>
      <c r="CK43" s="488" t="str">
        <f t="shared" si="39"/>
        <v>_</v>
      </c>
      <c r="CL43" s="488">
        <f t="shared" si="34"/>
        <v>0</v>
      </c>
      <c r="CM43" s="488">
        <f t="shared" si="31"/>
        <v>0</v>
      </c>
      <c r="DD43" s="390">
        <f t="shared" si="35"/>
        <v>0</v>
      </c>
      <c r="DE43" s="31">
        <f t="shared" si="36"/>
        <v>14</v>
      </c>
      <c r="DF43" s="31">
        <f t="shared" si="37"/>
        <v>0</v>
      </c>
      <c r="DG43" s="31">
        <f t="shared" si="38"/>
        <v>0</v>
      </c>
    </row>
    <row r="44" spans="1:111" hidden="1" outlineLevel="1">
      <c r="A44" s="22"/>
      <c r="B44" s="272"/>
      <c r="C44" s="491"/>
      <c r="D44" s="492"/>
      <c r="E44" s="492"/>
      <c r="F44" s="492"/>
      <c r="G44" s="492"/>
      <c r="H44" s="492"/>
      <c r="I44" s="492"/>
      <c r="J44" s="492"/>
      <c r="K44" s="492"/>
      <c r="L44" s="492"/>
      <c r="M44" s="492"/>
      <c r="N44" s="492"/>
      <c r="O44" s="492"/>
      <c r="P44" s="469">
        <f t="shared" si="32"/>
        <v>0</v>
      </c>
      <c r="Q44" s="476">
        <f>IF(P44=0,0,(_xlfn.XLOOKUP(C44,Factors!$V$17:$V$72,Factors!$Z$17:$Z$72)*'Purchased Materials'!P44))</f>
        <v>0</v>
      </c>
      <c r="BA44" s="432" t="str">
        <f t="shared" si="2"/>
        <v/>
      </c>
      <c r="BB44" s="432" t="str">
        <f t="shared" si="3"/>
        <v/>
      </c>
      <c r="BC44" s="432">
        <v>1</v>
      </c>
      <c r="BD44" s="432" t="str">
        <f>_xlfn.LET(_xlpm.x,BB44,IF(LEN(_xlpm.x)&lt;1,"",IF(ISNUMBER(MATCH(_xlpm.x,ls_purchased_mat,0)),'Project Inputs'!$BF$14,99)))</f>
        <v/>
      </c>
      <c r="BE44" s="484" t="str">
        <f t="shared" si="4"/>
        <v/>
      </c>
      <c r="BF44" s="484" t="str">
        <f t="shared" si="5"/>
        <v/>
      </c>
      <c r="BG44" s="484" t="str">
        <f t="shared" si="6"/>
        <v/>
      </c>
      <c r="BH44" s="484" t="str">
        <f t="shared" si="7"/>
        <v/>
      </c>
      <c r="BI44" s="484" t="str">
        <f t="shared" si="8"/>
        <v/>
      </c>
      <c r="BJ44" s="484" t="str">
        <f t="shared" si="9"/>
        <v/>
      </c>
      <c r="BK44" s="484" t="str">
        <f t="shared" si="10"/>
        <v/>
      </c>
      <c r="BL44" s="484" t="str">
        <f t="shared" si="11"/>
        <v/>
      </c>
      <c r="BM44" s="484" t="str">
        <f t="shared" si="12"/>
        <v/>
      </c>
      <c r="BN44" s="484" t="str">
        <f t="shared" si="13"/>
        <v/>
      </c>
      <c r="BO44" s="484" t="str">
        <f t="shared" si="14"/>
        <v/>
      </c>
      <c r="BP44" s="484" t="str">
        <f t="shared" si="15"/>
        <v/>
      </c>
      <c r="BQ44" s="485" t="str">
        <f t="shared" si="16"/>
        <v/>
      </c>
      <c r="BR44" s="486">
        <v>2</v>
      </c>
      <c r="BS44" s="487" cm="1">
        <f t="array" ref="BS44">IFERROR(INDEX(tblPurch_Mat[],MATCH(1,(tblPurch_Mat[Dataset ID]=BD44)*(tblPurch_Mat[Material Subcategory]=BB44),0),6),"confirm")</f>
        <v>0</v>
      </c>
      <c r="BT44" s="487" cm="1">
        <f t="array" ref="BT44">IFERROR(INDEX(tblPurch_Mat[],MATCH(1,(tblPurch_Mat[Dataset ID]=BD44)*(tblPurch_Mat[Material Subcategory]=BB44),0),7),"confirm")</f>
        <v>0</v>
      </c>
      <c r="BU44" s="487">
        <f t="shared" si="17"/>
        <v>0</v>
      </c>
      <c r="BV44" s="484" t="str">
        <f t="shared" si="18"/>
        <v/>
      </c>
      <c r="BW44" s="484" t="str">
        <f t="shared" si="19"/>
        <v/>
      </c>
      <c r="BX44" s="484" t="str">
        <f t="shared" si="20"/>
        <v/>
      </c>
      <c r="BY44" s="484" t="str">
        <f t="shared" si="21"/>
        <v/>
      </c>
      <c r="BZ44" s="484" t="str">
        <f t="shared" si="22"/>
        <v/>
      </c>
      <c r="CA44" s="484" t="str">
        <f t="shared" si="23"/>
        <v/>
      </c>
      <c r="CB44" s="484" t="str">
        <f t="shared" si="24"/>
        <v/>
      </c>
      <c r="CC44" s="484" t="str">
        <f t="shared" si="25"/>
        <v/>
      </c>
      <c r="CD44" s="484" t="str">
        <f t="shared" si="26"/>
        <v/>
      </c>
      <c r="CE44" s="484" t="str">
        <f t="shared" si="27"/>
        <v/>
      </c>
      <c r="CF44" s="484" t="str">
        <f t="shared" si="28"/>
        <v/>
      </c>
      <c r="CG44" s="484" t="str">
        <f t="shared" si="29"/>
        <v/>
      </c>
      <c r="CH44" s="485">
        <f t="shared" si="33"/>
        <v>0</v>
      </c>
      <c r="CJ44" s="3"/>
      <c r="CK44" s="488" t="str">
        <f t="shared" si="39"/>
        <v>_</v>
      </c>
      <c r="CL44" s="488">
        <f t="shared" si="34"/>
        <v>0</v>
      </c>
      <c r="CM44" s="488">
        <f t="shared" si="31"/>
        <v>0</v>
      </c>
      <c r="DD44" s="390">
        <f t="shared" si="35"/>
        <v>0</v>
      </c>
      <c r="DE44" s="31">
        <f t="shared" si="36"/>
        <v>14</v>
      </c>
      <c r="DF44" s="31">
        <f t="shared" si="37"/>
        <v>0</v>
      </c>
      <c r="DG44" s="31">
        <f t="shared" si="38"/>
        <v>0</v>
      </c>
    </row>
    <row r="45" spans="1:111" hidden="1" outlineLevel="1">
      <c r="A45" s="22"/>
      <c r="B45" s="272"/>
      <c r="C45" s="491"/>
      <c r="D45" s="492"/>
      <c r="E45" s="492"/>
      <c r="F45" s="492"/>
      <c r="G45" s="492"/>
      <c r="H45" s="492"/>
      <c r="I45" s="492"/>
      <c r="J45" s="492"/>
      <c r="K45" s="492"/>
      <c r="L45" s="492"/>
      <c r="M45" s="492"/>
      <c r="N45" s="492"/>
      <c r="O45" s="492"/>
      <c r="P45" s="469">
        <f t="shared" si="32"/>
        <v>0</v>
      </c>
      <c r="Q45" s="476">
        <f>IF(P45=0,0,(_xlfn.XLOOKUP(C45,Factors!$V$17:$V$72,Factors!$Z$17:$Z$72)*'Purchased Materials'!P45))</f>
        <v>0</v>
      </c>
      <c r="BA45" s="432" t="str">
        <f t="shared" si="2"/>
        <v/>
      </c>
      <c r="BB45" s="432" t="str">
        <f t="shared" si="3"/>
        <v/>
      </c>
      <c r="BC45" s="432">
        <v>1</v>
      </c>
      <c r="BD45" s="432" t="str">
        <f>_xlfn.LET(_xlpm.x,BB45,IF(LEN(_xlpm.x)&lt;1,"",IF(ISNUMBER(MATCH(_xlpm.x,ls_purchased_mat,0)),'Project Inputs'!$BF$14,99)))</f>
        <v/>
      </c>
      <c r="BE45" s="484" t="str">
        <f t="shared" si="4"/>
        <v/>
      </c>
      <c r="BF45" s="484" t="str">
        <f t="shared" si="5"/>
        <v/>
      </c>
      <c r="BG45" s="484" t="str">
        <f t="shared" si="6"/>
        <v/>
      </c>
      <c r="BH45" s="484" t="str">
        <f t="shared" si="7"/>
        <v/>
      </c>
      <c r="BI45" s="484" t="str">
        <f t="shared" si="8"/>
        <v/>
      </c>
      <c r="BJ45" s="484" t="str">
        <f t="shared" si="9"/>
        <v/>
      </c>
      <c r="BK45" s="484" t="str">
        <f t="shared" si="10"/>
        <v/>
      </c>
      <c r="BL45" s="484" t="str">
        <f t="shared" si="11"/>
        <v/>
      </c>
      <c r="BM45" s="484" t="str">
        <f t="shared" si="12"/>
        <v/>
      </c>
      <c r="BN45" s="484" t="str">
        <f t="shared" si="13"/>
        <v/>
      </c>
      <c r="BO45" s="484" t="str">
        <f t="shared" si="14"/>
        <v/>
      </c>
      <c r="BP45" s="484" t="str">
        <f t="shared" si="15"/>
        <v/>
      </c>
      <c r="BQ45" s="485" t="str">
        <f t="shared" si="16"/>
        <v/>
      </c>
      <c r="BR45" s="486">
        <v>2</v>
      </c>
      <c r="BS45" s="487" cm="1">
        <f t="array" ref="BS45">IFERROR(INDEX(tblPurch_Mat[],MATCH(1,(tblPurch_Mat[Dataset ID]=BD45)*(tblPurch_Mat[Material Subcategory]=BB45),0),6),"confirm")</f>
        <v>0</v>
      </c>
      <c r="BT45" s="487" cm="1">
        <f t="array" ref="BT45">IFERROR(INDEX(tblPurch_Mat[],MATCH(1,(tblPurch_Mat[Dataset ID]=BD45)*(tblPurch_Mat[Material Subcategory]=BB45),0),7),"confirm")</f>
        <v>0</v>
      </c>
      <c r="BU45" s="487">
        <f t="shared" si="17"/>
        <v>0</v>
      </c>
      <c r="BV45" s="484" t="str">
        <f t="shared" si="18"/>
        <v/>
      </c>
      <c r="BW45" s="484" t="str">
        <f t="shared" si="19"/>
        <v/>
      </c>
      <c r="BX45" s="484" t="str">
        <f t="shared" si="20"/>
        <v/>
      </c>
      <c r="BY45" s="484" t="str">
        <f t="shared" si="21"/>
        <v/>
      </c>
      <c r="BZ45" s="484" t="str">
        <f t="shared" si="22"/>
        <v/>
      </c>
      <c r="CA45" s="484" t="str">
        <f t="shared" si="23"/>
        <v/>
      </c>
      <c r="CB45" s="484" t="str">
        <f t="shared" si="24"/>
        <v/>
      </c>
      <c r="CC45" s="484" t="str">
        <f t="shared" si="25"/>
        <v/>
      </c>
      <c r="CD45" s="484" t="str">
        <f t="shared" si="26"/>
        <v/>
      </c>
      <c r="CE45" s="484" t="str">
        <f t="shared" si="27"/>
        <v/>
      </c>
      <c r="CF45" s="484" t="str">
        <f t="shared" si="28"/>
        <v/>
      </c>
      <c r="CG45" s="484" t="str">
        <f t="shared" si="29"/>
        <v/>
      </c>
      <c r="CH45" s="485">
        <f t="shared" si="33"/>
        <v>0</v>
      </c>
      <c r="CJ45" s="3"/>
      <c r="CK45" s="488" t="str">
        <f t="shared" si="39"/>
        <v>_</v>
      </c>
      <c r="CL45" s="488">
        <f t="shared" si="34"/>
        <v>0</v>
      </c>
      <c r="CM45" s="488">
        <f t="shared" si="31"/>
        <v>0</v>
      </c>
      <c r="DD45" s="390">
        <f t="shared" si="35"/>
        <v>0</v>
      </c>
      <c r="DE45" s="31">
        <f t="shared" si="36"/>
        <v>14</v>
      </c>
      <c r="DF45" s="31">
        <f t="shared" si="37"/>
        <v>0</v>
      </c>
      <c r="DG45" s="31">
        <f t="shared" si="38"/>
        <v>0</v>
      </c>
    </row>
    <row r="46" spans="1:111" hidden="1" outlineLevel="1">
      <c r="A46" s="22"/>
      <c r="B46" s="272"/>
      <c r="C46" s="491"/>
      <c r="D46" s="492"/>
      <c r="E46" s="492"/>
      <c r="F46" s="492"/>
      <c r="G46" s="492"/>
      <c r="H46" s="492"/>
      <c r="I46" s="492"/>
      <c r="J46" s="492"/>
      <c r="K46" s="492"/>
      <c r="L46" s="492"/>
      <c r="M46" s="492"/>
      <c r="N46" s="492"/>
      <c r="O46" s="492"/>
      <c r="P46" s="469">
        <f t="shared" si="32"/>
        <v>0</v>
      </c>
      <c r="Q46" s="476">
        <f>IF(P46=0,0,(_xlfn.XLOOKUP(C46,Factors!$V$17:$V$72,Factors!$Z$17:$Z$72)*'Purchased Materials'!P46))</f>
        <v>0</v>
      </c>
      <c r="BA46" s="432" t="str">
        <f t="shared" si="2"/>
        <v/>
      </c>
      <c r="BB46" s="432" t="str">
        <f t="shared" si="3"/>
        <v/>
      </c>
      <c r="BC46" s="432">
        <v>1</v>
      </c>
      <c r="BD46" s="432" t="str">
        <f>_xlfn.LET(_xlpm.x,BB46,IF(LEN(_xlpm.x)&lt;1,"",IF(ISNUMBER(MATCH(_xlpm.x,ls_purchased_mat,0)),'Project Inputs'!$BF$14,99)))</f>
        <v/>
      </c>
      <c r="BE46" s="484" t="str">
        <f t="shared" si="4"/>
        <v/>
      </c>
      <c r="BF46" s="484" t="str">
        <f t="shared" si="5"/>
        <v/>
      </c>
      <c r="BG46" s="484" t="str">
        <f t="shared" si="6"/>
        <v/>
      </c>
      <c r="BH46" s="484" t="str">
        <f t="shared" si="7"/>
        <v/>
      </c>
      <c r="BI46" s="484" t="str">
        <f t="shared" si="8"/>
        <v/>
      </c>
      <c r="BJ46" s="484" t="str">
        <f t="shared" si="9"/>
        <v/>
      </c>
      <c r="BK46" s="484" t="str">
        <f t="shared" si="10"/>
        <v/>
      </c>
      <c r="BL46" s="484" t="str">
        <f t="shared" si="11"/>
        <v/>
      </c>
      <c r="BM46" s="484" t="str">
        <f t="shared" si="12"/>
        <v/>
      </c>
      <c r="BN46" s="484" t="str">
        <f t="shared" si="13"/>
        <v/>
      </c>
      <c r="BO46" s="484" t="str">
        <f t="shared" si="14"/>
        <v/>
      </c>
      <c r="BP46" s="484" t="str">
        <f t="shared" si="15"/>
        <v/>
      </c>
      <c r="BQ46" s="485" t="str">
        <f t="shared" si="16"/>
        <v/>
      </c>
      <c r="BR46" s="486">
        <v>2</v>
      </c>
      <c r="BS46" s="487" cm="1">
        <f t="array" ref="BS46">IFERROR(INDEX(tblPurch_Mat[],MATCH(1,(tblPurch_Mat[Dataset ID]=BD46)*(tblPurch_Mat[Material Subcategory]=BB46),0),6),"confirm")</f>
        <v>0</v>
      </c>
      <c r="BT46" s="487" cm="1">
        <f t="array" ref="BT46">IFERROR(INDEX(tblPurch_Mat[],MATCH(1,(tblPurch_Mat[Dataset ID]=BD46)*(tblPurch_Mat[Material Subcategory]=BB46),0),7),"confirm")</f>
        <v>0</v>
      </c>
      <c r="BU46" s="487">
        <f t="shared" si="17"/>
        <v>0</v>
      </c>
      <c r="BV46" s="484" t="str">
        <f t="shared" si="18"/>
        <v/>
      </c>
      <c r="BW46" s="484" t="str">
        <f t="shared" si="19"/>
        <v/>
      </c>
      <c r="BX46" s="484" t="str">
        <f t="shared" si="20"/>
        <v/>
      </c>
      <c r="BY46" s="484" t="str">
        <f t="shared" si="21"/>
        <v/>
      </c>
      <c r="BZ46" s="484" t="str">
        <f t="shared" si="22"/>
        <v/>
      </c>
      <c r="CA46" s="484" t="str">
        <f t="shared" si="23"/>
        <v/>
      </c>
      <c r="CB46" s="484" t="str">
        <f t="shared" si="24"/>
        <v/>
      </c>
      <c r="CC46" s="484" t="str">
        <f t="shared" si="25"/>
        <v/>
      </c>
      <c r="CD46" s="484" t="str">
        <f t="shared" si="26"/>
        <v/>
      </c>
      <c r="CE46" s="484" t="str">
        <f t="shared" si="27"/>
        <v/>
      </c>
      <c r="CF46" s="484" t="str">
        <f t="shared" si="28"/>
        <v/>
      </c>
      <c r="CG46" s="484" t="str">
        <f t="shared" si="29"/>
        <v/>
      </c>
      <c r="CH46" s="485">
        <f t="shared" si="33"/>
        <v>0</v>
      </c>
      <c r="CJ46" s="3"/>
      <c r="CK46" s="488" t="str">
        <f t="shared" si="39"/>
        <v>_</v>
      </c>
      <c r="CL46" s="488">
        <f t="shared" si="34"/>
        <v>0</v>
      </c>
      <c r="CM46" s="488">
        <f t="shared" si="31"/>
        <v>0</v>
      </c>
      <c r="DD46" s="390">
        <f t="shared" si="35"/>
        <v>0</v>
      </c>
      <c r="DE46" s="31">
        <f t="shared" si="36"/>
        <v>14</v>
      </c>
      <c r="DF46" s="31">
        <f t="shared" si="37"/>
        <v>0</v>
      </c>
      <c r="DG46" s="31">
        <f t="shared" si="38"/>
        <v>0</v>
      </c>
    </row>
    <row r="47" spans="1:111" hidden="1" outlineLevel="1">
      <c r="A47" s="22"/>
      <c r="B47" s="272"/>
      <c r="C47" s="491"/>
      <c r="D47" s="492"/>
      <c r="E47" s="492"/>
      <c r="F47" s="492"/>
      <c r="G47" s="492"/>
      <c r="H47" s="492"/>
      <c r="I47" s="492"/>
      <c r="J47" s="492"/>
      <c r="K47" s="492"/>
      <c r="L47" s="492"/>
      <c r="M47" s="492"/>
      <c r="N47" s="492"/>
      <c r="O47" s="492"/>
      <c r="P47" s="469">
        <f t="shared" si="32"/>
        <v>0</v>
      </c>
      <c r="Q47" s="476">
        <f>IF(P47=0,0,(_xlfn.XLOOKUP(C47,Factors!$V$17:$V$72,Factors!$Z$17:$Z$72)*'Purchased Materials'!P47))</f>
        <v>0</v>
      </c>
      <c r="BA47" s="432" t="str">
        <f t="shared" ref="BA47:BA78" si="40">_xlfn.LET(_xlpm.x,B47,IF(OR(LEN(_xlpm.x)&lt;1,_xlpm.x=0),"",_xlpm.x))</f>
        <v/>
      </c>
      <c r="BB47" s="432" t="str">
        <f t="shared" ref="BB47:BB78" si="41">_xlfn.LET(_xlpm.x,C47,IF(OR(LEN(_xlpm.x)&lt;1,_xlpm.x=0),"",_xlpm.x))</f>
        <v/>
      </c>
      <c r="BC47" s="432">
        <v>1</v>
      </c>
      <c r="BD47" s="432" t="str">
        <f>_xlfn.LET(_xlpm.x,BB47,IF(LEN(_xlpm.x)&lt;1,"",IF(ISNUMBER(MATCH(_xlpm.x,ls_purchased_mat,0)),'Project Inputs'!$BF$14,99)))</f>
        <v/>
      </c>
      <c r="BE47" s="484" t="str">
        <f t="shared" ref="BE47:BE78" si="42">_xlfn.LET(_xlpm.x,D47,IF(OR(LEN(_xlpm.x)&lt;1,_xlpm.x=0),"",_xlpm.x))</f>
        <v/>
      </c>
      <c r="BF47" s="484" t="str">
        <f t="shared" ref="BF47:BF78" si="43">_xlfn.LET(_xlpm.x,E47,IF(OR(LEN(_xlpm.x)&lt;1,_xlpm.x=0),"",_xlpm.x))</f>
        <v/>
      </c>
      <c r="BG47" s="484" t="str">
        <f t="shared" ref="BG47:BG78" si="44">_xlfn.LET(_xlpm.x,F47,IF(OR(LEN(_xlpm.x)&lt;1,_xlpm.x=0),"",_xlpm.x))</f>
        <v/>
      </c>
      <c r="BH47" s="484" t="str">
        <f t="shared" ref="BH47:BH78" si="45">_xlfn.LET(_xlpm.x,G47,IF(OR(LEN(_xlpm.x)&lt;1,_xlpm.x=0),"",_xlpm.x))</f>
        <v/>
      </c>
      <c r="BI47" s="484" t="str">
        <f t="shared" ref="BI47:BI78" si="46">_xlfn.LET(_xlpm.x,H47,IF(OR(LEN(_xlpm.x)&lt;1,_xlpm.x=0),"",_xlpm.x))</f>
        <v/>
      </c>
      <c r="BJ47" s="484" t="str">
        <f t="shared" ref="BJ47:BJ78" si="47">_xlfn.LET(_xlpm.x,I47,IF(OR(LEN(_xlpm.x)&lt;1,_xlpm.x=0),"",_xlpm.x))</f>
        <v/>
      </c>
      <c r="BK47" s="484" t="str">
        <f t="shared" ref="BK47:BK78" si="48">_xlfn.LET(_xlpm.x,J47,IF(OR(LEN(_xlpm.x)&lt;1,_xlpm.x=0),"",_xlpm.x))</f>
        <v/>
      </c>
      <c r="BL47" s="484" t="str">
        <f t="shared" ref="BL47:BL78" si="49">_xlfn.LET(_xlpm.x,K47,IF(OR(LEN(_xlpm.x)&lt;1,_xlpm.x=0),"",_xlpm.x))</f>
        <v/>
      </c>
      <c r="BM47" s="484" t="str">
        <f t="shared" ref="BM47:BM78" si="50">_xlfn.LET(_xlpm.x,L47,IF(OR(LEN(_xlpm.x)&lt;1,_xlpm.x=0),"",_xlpm.x))</f>
        <v/>
      </c>
      <c r="BN47" s="484" t="str">
        <f t="shared" ref="BN47:BN78" si="51">_xlfn.LET(_xlpm.x,M47,IF(OR(LEN(_xlpm.x)&lt;1,_xlpm.x=0),"",_xlpm.x))</f>
        <v/>
      </c>
      <c r="BO47" s="484" t="str">
        <f t="shared" ref="BO47:BO78" si="52">_xlfn.LET(_xlpm.x,N47,IF(OR(LEN(_xlpm.x)&lt;1,_xlpm.x=0),"",_xlpm.x))</f>
        <v/>
      </c>
      <c r="BP47" s="484" t="str">
        <f t="shared" ref="BP47:BP78" si="53">_xlfn.LET(_xlpm.x,O47,IF(OR(LEN(_xlpm.x)&lt;1,_xlpm.x=0),"",_xlpm.x))</f>
        <v/>
      </c>
      <c r="BQ47" s="485" t="str">
        <f t="shared" ref="BQ47:BQ78" si="54">_xlfn.LET(_xlpm.x,P47,IF(OR(LEN(_xlpm.x)&lt;1,_xlpm.x=0),"",_xlpm.x))</f>
        <v/>
      </c>
      <c r="BR47" s="486">
        <v>2</v>
      </c>
      <c r="BS47" s="487" cm="1">
        <f t="array" ref="BS47">IFERROR(INDEX(tblPurch_Mat[],MATCH(1,(tblPurch_Mat[Dataset ID]=BD47)*(tblPurch_Mat[Material Subcategory]=BB47),0),6),"confirm")</f>
        <v>0</v>
      </c>
      <c r="BT47" s="487" cm="1">
        <f t="array" ref="BT47">IFERROR(INDEX(tblPurch_Mat[],MATCH(1,(tblPurch_Mat[Dataset ID]=BD47)*(tblPurch_Mat[Material Subcategory]=BB47),0),7),"confirm")</f>
        <v>0</v>
      </c>
      <c r="BU47" s="487">
        <f t="shared" ref="BU47:BU78" si="55">CHOOSE(BR47,BS47,BT47)</f>
        <v>0</v>
      </c>
      <c r="BV47" s="484" t="str">
        <f t="shared" ref="BV47:BV78" si="56">IFERROR($BU47*BE47,"")</f>
        <v/>
      </c>
      <c r="BW47" s="484" t="str">
        <f t="shared" ref="BW47:BW78" si="57">IFERROR($BU47*BF47,"")</f>
        <v/>
      </c>
      <c r="BX47" s="484" t="str">
        <f t="shared" ref="BX47:BX78" si="58">IFERROR($BU47*BG47,"")</f>
        <v/>
      </c>
      <c r="BY47" s="484" t="str">
        <f t="shared" ref="BY47:BY78" si="59">IFERROR($BU47*BH47,"")</f>
        <v/>
      </c>
      <c r="BZ47" s="484" t="str">
        <f t="shared" ref="BZ47:BZ78" si="60">IFERROR($BU47*BI47,"")</f>
        <v/>
      </c>
      <c r="CA47" s="484" t="str">
        <f t="shared" ref="CA47:CA78" si="61">IFERROR($BU47*BJ47,"")</f>
        <v/>
      </c>
      <c r="CB47" s="484" t="str">
        <f t="shared" ref="CB47:CB78" si="62">IFERROR($BU47*BK47,"")</f>
        <v/>
      </c>
      <c r="CC47" s="484" t="str">
        <f t="shared" ref="CC47:CC78" si="63">IFERROR($BU47*BL47,"")</f>
        <v/>
      </c>
      <c r="CD47" s="484" t="str">
        <f t="shared" ref="CD47:CD78" si="64">IFERROR($BU47*BM47,"")</f>
        <v/>
      </c>
      <c r="CE47" s="484" t="str">
        <f t="shared" ref="CE47:CE78" si="65">IFERROR($BU47*BN47,"")</f>
        <v/>
      </c>
      <c r="CF47" s="484" t="str">
        <f t="shared" ref="CF47:CF78" si="66">IFERROR($BU47*BO47,"")</f>
        <v/>
      </c>
      <c r="CG47" s="484" t="str">
        <f t="shared" ref="CG47:CG78" si="67">IFERROR($BU47*BP47,"")</f>
        <v/>
      </c>
      <c r="CH47" s="485">
        <f t="shared" si="33"/>
        <v>0</v>
      </c>
      <c r="CJ47" s="3"/>
      <c r="CK47" s="488" t="str">
        <f t="shared" si="39"/>
        <v>_</v>
      </c>
      <c r="CL47" s="488">
        <f t="shared" ref="CL47:CL78" si="68">SUMIF($BB$15:$BB$114,CJ47,$BQ$15:$BQ$114)</f>
        <v>0</v>
      </c>
      <c r="CM47" s="488">
        <f t="shared" ref="CM47:CM78" si="69">SUMIF($BB$15:$BB$114,CJ47,$CH$15:$CH$114)</f>
        <v>0</v>
      </c>
      <c r="DD47" s="390">
        <f t="shared" si="35"/>
        <v>0</v>
      </c>
      <c r="DE47" s="31">
        <f t="shared" si="36"/>
        <v>14</v>
      </c>
      <c r="DF47" s="31">
        <f t="shared" si="37"/>
        <v>0</v>
      </c>
      <c r="DG47" s="31">
        <f t="shared" si="38"/>
        <v>0</v>
      </c>
    </row>
    <row r="48" spans="1:111" hidden="1" outlineLevel="1">
      <c r="A48" s="22"/>
      <c r="B48" s="272"/>
      <c r="C48" s="491"/>
      <c r="D48" s="492"/>
      <c r="E48" s="492"/>
      <c r="F48" s="492"/>
      <c r="G48" s="492"/>
      <c r="H48" s="492"/>
      <c r="I48" s="492"/>
      <c r="J48" s="492"/>
      <c r="K48" s="492"/>
      <c r="L48" s="492"/>
      <c r="M48" s="492"/>
      <c r="N48" s="492"/>
      <c r="O48" s="492"/>
      <c r="P48" s="469">
        <f t="shared" si="32"/>
        <v>0</v>
      </c>
      <c r="Q48" s="476">
        <f>IF(P48=0,0,(_xlfn.XLOOKUP(C48,Factors!$V$17:$V$72,Factors!$Z$17:$Z$72)*'Purchased Materials'!P48))</f>
        <v>0</v>
      </c>
      <c r="BA48" s="432" t="str">
        <f t="shared" si="40"/>
        <v/>
      </c>
      <c r="BB48" s="432" t="str">
        <f t="shared" si="41"/>
        <v/>
      </c>
      <c r="BC48" s="432">
        <v>1</v>
      </c>
      <c r="BD48" s="432" t="str">
        <f>_xlfn.LET(_xlpm.x,BB48,IF(LEN(_xlpm.x)&lt;1,"",IF(ISNUMBER(MATCH(_xlpm.x,ls_purchased_mat,0)),'Project Inputs'!$BF$14,99)))</f>
        <v/>
      </c>
      <c r="BE48" s="484" t="str">
        <f t="shared" si="42"/>
        <v/>
      </c>
      <c r="BF48" s="484" t="str">
        <f t="shared" si="43"/>
        <v/>
      </c>
      <c r="BG48" s="484" t="str">
        <f t="shared" si="44"/>
        <v/>
      </c>
      <c r="BH48" s="484" t="str">
        <f t="shared" si="45"/>
        <v/>
      </c>
      <c r="BI48" s="484" t="str">
        <f t="shared" si="46"/>
        <v/>
      </c>
      <c r="BJ48" s="484" t="str">
        <f t="shared" si="47"/>
        <v/>
      </c>
      <c r="BK48" s="484" t="str">
        <f t="shared" si="48"/>
        <v/>
      </c>
      <c r="BL48" s="484" t="str">
        <f t="shared" si="49"/>
        <v/>
      </c>
      <c r="BM48" s="484" t="str">
        <f t="shared" si="50"/>
        <v/>
      </c>
      <c r="BN48" s="484" t="str">
        <f t="shared" si="51"/>
        <v/>
      </c>
      <c r="BO48" s="484" t="str">
        <f t="shared" si="52"/>
        <v/>
      </c>
      <c r="BP48" s="484" t="str">
        <f t="shared" si="53"/>
        <v/>
      </c>
      <c r="BQ48" s="485" t="str">
        <f t="shared" si="54"/>
        <v/>
      </c>
      <c r="BR48" s="486">
        <v>2</v>
      </c>
      <c r="BS48" s="487" cm="1">
        <f t="array" ref="BS48">IFERROR(INDEX(tblPurch_Mat[],MATCH(1,(tblPurch_Mat[Dataset ID]=BD48)*(tblPurch_Mat[Material Subcategory]=BB48),0),6),"confirm")</f>
        <v>0</v>
      </c>
      <c r="BT48" s="487" cm="1">
        <f t="array" ref="BT48">IFERROR(INDEX(tblPurch_Mat[],MATCH(1,(tblPurch_Mat[Dataset ID]=BD48)*(tblPurch_Mat[Material Subcategory]=BB48),0),7),"confirm")</f>
        <v>0</v>
      </c>
      <c r="BU48" s="487">
        <f t="shared" si="55"/>
        <v>0</v>
      </c>
      <c r="BV48" s="484" t="str">
        <f t="shared" si="56"/>
        <v/>
      </c>
      <c r="BW48" s="484" t="str">
        <f t="shared" si="57"/>
        <v/>
      </c>
      <c r="BX48" s="484" t="str">
        <f t="shared" si="58"/>
        <v/>
      </c>
      <c r="BY48" s="484" t="str">
        <f t="shared" si="59"/>
        <v/>
      </c>
      <c r="BZ48" s="484" t="str">
        <f t="shared" si="60"/>
        <v/>
      </c>
      <c r="CA48" s="484" t="str">
        <f t="shared" si="61"/>
        <v/>
      </c>
      <c r="CB48" s="484" t="str">
        <f t="shared" si="62"/>
        <v/>
      </c>
      <c r="CC48" s="484" t="str">
        <f t="shared" si="63"/>
        <v/>
      </c>
      <c r="CD48" s="484" t="str">
        <f t="shared" si="64"/>
        <v/>
      </c>
      <c r="CE48" s="484" t="str">
        <f t="shared" si="65"/>
        <v/>
      </c>
      <c r="CF48" s="484" t="str">
        <f t="shared" si="66"/>
        <v/>
      </c>
      <c r="CG48" s="484" t="str">
        <f t="shared" si="67"/>
        <v/>
      </c>
      <c r="CH48" s="485">
        <f t="shared" si="33"/>
        <v>0</v>
      </c>
      <c r="CJ48" s="3"/>
      <c r="CK48" s="488" t="str">
        <f t="shared" si="39"/>
        <v>_</v>
      </c>
      <c r="CL48" s="488">
        <f t="shared" si="68"/>
        <v>0</v>
      </c>
      <c r="CM48" s="488">
        <f t="shared" si="69"/>
        <v>0</v>
      </c>
      <c r="DD48" s="390">
        <f t="shared" si="35"/>
        <v>0</v>
      </c>
      <c r="DE48" s="31">
        <f t="shared" si="36"/>
        <v>14</v>
      </c>
      <c r="DF48" s="31">
        <f t="shared" si="37"/>
        <v>0</v>
      </c>
      <c r="DG48" s="31">
        <f t="shared" si="38"/>
        <v>0</v>
      </c>
    </row>
    <row r="49" spans="1:111" hidden="1" outlineLevel="1">
      <c r="A49" s="22"/>
      <c r="B49" s="272"/>
      <c r="C49" s="491"/>
      <c r="D49" s="492"/>
      <c r="E49" s="492"/>
      <c r="F49" s="492"/>
      <c r="G49" s="492"/>
      <c r="H49" s="492"/>
      <c r="I49" s="492"/>
      <c r="J49" s="492"/>
      <c r="K49" s="492"/>
      <c r="L49" s="492"/>
      <c r="M49" s="492"/>
      <c r="N49" s="492"/>
      <c r="O49" s="492"/>
      <c r="P49" s="469">
        <f t="shared" si="32"/>
        <v>0</v>
      </c>
      <c r="Q49" s="476">
        <f>IF(P49=0,0,(_xlfn.XLOOKUP(C49,Factors!$V$17:$V$72,Factors!$Z$17:$Z$72)*'Purchased Materials'!P49))</f>
        <v>0</v>
      </c>
      <c r="BA49" s="432" t="str">
        <f t="shared" si="40"/>
        <v/>
      </c>
      <c r="BB49" s="432" t="str">
        <f t="shared" si="41"/>
        <v/>
      </c>
      <c r="BC49" s="432">
        <v>1</v>
      </c>
      <c r="BD49" s="432" t="str">
        <f>_xlfn.LET(_xlpm.x,BB49,IF(LEN(_xlpm.x)&lt;1,"",IF(ISNUMBER(MATCH(_xlpm.x,ls_purchased_mat,0)),'Project Inputs'!$BF$14,99)))</f>
        <v/>
      </c>
      <c r="BE49" s="484" t="str">
        <f t="shared" si="42"/>
        <v/>
      </c>
      <c r="BF49" s="484" t="str">
        <f t="shared" si="43"/>
        <v/>
      </c>
      <c r="BG49" s="484" t="str">
        <f t="shared" si="44"/>
        <v/>
      </c>
      <c r="BH49" s="484" t="str">
        <f t="shared" si="45"/>
        <v/>
      </c>
      <c r="BI49" s="484" t="str">
        <f t="shared" si="46"/>
        <v/>
      </c>
      <c r="BJ49" s="484" t="str">
        <f t="shared" si="47"/>
        <v/>
      </c>
      <c r="BK49" s="484" t="str">
        <f t="shared" si="48"/>
        <v/>
      </c>
      <c r="BL49" s="484" t="str">
        <f t="shared" si="49"/>
        <v/>
      </c>
      <c r="BM49" s="484" t="str">
        <f t="shared" si="50"/>
        <v/>
      </c>
      <c r="BN49" s="484" t="str">
        <f t="shared" si="51"/>
        <v/>
      </c>
      <c r="BO49" s="484" t="str">
        <f t="shared" si="52"/>
        <v/>
      </c>
      <c r="BP49" s="484" t="str">
        <f t="shared" si="53"/>
        <v/>
      </c>
      <c r="BQ49" s="485" t="str">
        <f t="shared" si="54"/>
        <v/>
      </c>
      <c r="BR49" s="486">
        <v>2</v>
      </c>
      <c r="BS49" s="487" cm="1">
        <f t="array" ref="BS49">IFERROR(INDEX(tblPurch_Mat[],MATCH(1,(tblPurch_Mat[Dataset ID]=BD49)*(tblPurch_Mat[Material Subcategory]=BB49),0),6),"confirm")</f>
        <v>0</v>
      </c>
      <c r="BT49" s="487" cm="1">
        <f t="array" ref="BT49">IFERROR(INDEX(tblPurch_Mat[],MATCH(1,(tblPurch_Mat[Dataset ID]=BD49)*(tblPurch_Mat[Material Subcategory]=BB49),0),7),"confirm")</f>
        <v>0</v>
      </c>
      <c r="BU49" s="487">
        <f t="shared" si="55"/>
        <v>0</v>
      </c>
      <c r="BV49" s="484" t="str">
        <f t="shared" si="56"/>
        <v/>
      </c>
      <c r="BW49" s="484" t="str">
        <f t="shared" si="57"/>
        <v/>
      </c>
      <c r="BX49" s="484" t="str">
        <f t="shared" si="58"/>
        <v/>
      </c>
      <c r="BY49" s="484" t="str">
        <f t="shared" si="59"/>
        <v/>
      </c>
      <c r="BZ49" s="484" t="str">
        <f t="shared" si="60"/>
        <v/>
      </c>
      <c r="CA49" s="484" t="str">
        <f t="shared" si="61"/>
        <v/>
      </c>
      <c r="CB49" s="484" t="str">
        <f t="shared" si="62"/>
        <v/>
      </c>
      <c r="CC49" s="484" t="str">
        <f t="shared" si="63"/>
        <v/>
      </c>
      <c r="CD49" s="484" t="str">
        <f t="shared" si="64"/>
        <v/>
      </c>
      <c r="CE49" s="484" t="str">
        <f t="shared" si="65"/>
        <v/>
      </c>
      <c r="CF49" s="484" t="str">
        <f t="shared" si="66"/>
        <v/>
      </c>
      <c r="CG49" s="484" t="str">
        <f t="shared" si="67"/>
        <v/>
      </c>
      <c r="CH49" s="485">
        <f t="shared" si="33"/>
        <v>0</v>
      </c>
      <c r="CJ49" s="3"/>
      <c r="CK49" s="488" t="str">
        <f t="shared" si="39"/>
        <v>_</v>
      </c>
      <c r="CL49" s="488">
        <f t="shared" si="68"/>
        <v>0</v>
      </c>
      <c r="CM49" s="488">
        <f t="shared" si="69"/>
        <v>0</v>
      </c>
      <c r="DD49" s="390">
        <f t="shared" si="35"/>
        <v>0</v>
      </c>
      <c r="DE49" s="31">
        <f t="shared" si="36"/>
        <v>14</v>
      </c>
      <c r="DF49" s="31">
        <f t="shared" si="37"/>
        <v>0</v>
      </c>
      <c r="DG49" s="31">
        <f t="shared" si="38"/>
        <v>0</v>
      </c>
    </row>
    <row r="50" spans="1:111" hidden="1" outlineLevel="1">
      <c r="A50" s="22"/>
      <c r="B50" s="272"/>
      <c r="C50" s="491"/>
      <c r="D50" s="492"/>
      <c r="E50" s="492"/>
      <c r="F50" s="492"/>
      <c r="G50" s="492"/>
      <c r="H50" s="492"/>
      <c r="I50" s="492"/>
      <c r="J50" s="492"/>
      <c r="K50" s="492"/>
      <c r="L50" s="492"/>
      <c r="M50" s="492"/>
      <c r="N50" s="492"/>
      <c r="O50" s="492"/>
      <c r="P50" s="469">
        <f t="shared" ref="P50:P59" si="70">SUM(D50:O50)</f>
        <v>0</v>
      </c>
      <c r="Q50" s="476">
        <f>IF(P50=0,0,(_xlfn.XLOOKUP(C50,Factors!$V$17:$V$72,Factors!$Z$17:$Z$72)*'Purchased Materials'!P50))</f>
        <v>0</v>
      </c>
      <c r="BA50" s="432" t="str">
        <f t="shared" si="40"/>
        <v/>
      </c>
      <c r="BB50" s="432" t="str">
        <f t="shared" si="41"/>
        <v/>
      </c>
      <c r="BC50" s="432">
        <v>1</v>
      </c>
      <c r="BD50" s="432" t="str">
        <f>_xlfn.LET(_xlpm.x,BB50,IF(LEN(_xlpm.x)&lt;1,"",IF(ISNUMBER(MATCH(_xlpm.x,ls_purchased_mat,0)),'Project Inputs'!$BF$14,99)))</f>
        <v/>
      </c>
      <c r="BE50" s="484" t="str">
        <f t="shared" si="42"/>
        <v/>
      </c>
      <c r="BF50" s="484" t="str">
        <f t="shared" si="43"/>
        <v/>
      </c>
      <c r="BG50" s="484" t="str">
        <f t="shared" si="44"/>
        <v/>
      </c>
      <c r="BH50" s="484" t="str">
        <f t="shared" si="45"/>
        <v/>
      </c>
      <c r="BI50" s="484" t="str">
        <f t="shared" si="46"/>
        <v/>
      </c>
      <c r="BJ50" s="484" t="str">
        <f t="shared" si="47"/>
        <v/>
      </c>
      <c r="BK50" s="484" t="str">
        <f t="shared" si="48"/>
        <v/>
      </c>
      <c r="BL50" s="484" t="str">
        <f t="shared" si="49"/>
        <v/>
      </c>
      <c r="BM50" s="484" t="str">
        <f t="shared" si="50"/>
        <v/>
      </c>
      <c r="BN50" s="484" t="str">
        <f t="shared" si="51"/>
        <v/>
      </c>
      <c r="BO50" s="484" t="str">
        <f t="shared" si="52"/>
        <v/>
      </c>
      <c r="BP50" s="484" t="str">
        <f t="shared" si="53"/>
        <v/>
      </c>
      <c r="BQ50" s="485" t="str">
        <f t="shared" si="54"/>
        <v/>
      </c>
      <c r="BR50" s="486">
        <v>2</v>
      </c>
      <c r="BS50" s="487" cm="1">
        <f t="array" ref="BS50">IFERROR(INDEX(tblPurch_Mat[],MATCH(1,(tblPurch_Mat[Dataset ID]=BD50)*(tblPurch_Mat[Material Subcategory]=BB50),0),6),"confirm")</f>
        <v>0</v>
      </c>
      <c r="BT50" s="487" cm="1">
        <f t="array" ref="BT50">IFERROR(INDEX(tblPurch_Mat[],MATCH(1,(tblPurch_Mat[Dataset ID]=BD50)*(tblPurch_Mat[Material Subcategory]=BB50),0),7),"confirm")</f>
        <v>0</v>
      </c>
      <c r="BU50" s="487">
        <f t="shared" si="55"/>
        <v>0</v>
      </c>
      <c r="BV50" s="484" t="str">
        <f t="shared" si="56"/>
        <v/>
      </c>
      <c r="BW50" s="484" t="str">
        <f t="shared" si="57"/>
        <v/>
      </c>
      <c r="BX50" s="484" t="str">
        <f t="shared" si="58"/>
        <v/>
      </c>
      <c r="BY50" s="484" t="str">
        <f t="shared" si="59"/>
        <v/>
      </c>
      <c r="BZ50" s="484" t="str">
        <f t="shared" si="60"/>
        <v/>
      </c>
      <c r="CA50" s="484" t="str">
        <f t="shared" si="61"/>
        <v/>
      </c>
      <c r="CB50" s="484" t="str">
        <f t="shared" si="62"/>
        <v/>
      </c>
      <c r="CC50" s="484" t="str">
        <f t="shared" si="63"/>
        <v/>
      </c>
      <c r="CD50" s="484" t="str">
        <f t="shared" si="64"/>
        <v/>
      </c>
      <c r="CE50" s="484" t="str">
        <f t="shared" si="65"/>
        <v/>
      </c>
      <c r="CF50" s="484" t="str">
        <f t="shared" si="66"/>
        <v/>
      </c>
      <c r="CG50" s="484" t="str">
        <f t="shared" si="67"/>
        <v/>
      </c>
      <c r="CH50" s="485">
        <f t="shared" si="33"/>
        <v>0</v>
      </c>
      <c r="CJ50" s="3"/>
      <c r="CK50" s="488" t="str">
        <f t="shared" si="39"/>
        <v>_</v>
      </c>
      <c r="CL50" s="488">
        <f t="shared" si="68"/>
        <v>0</v>
      </c>
      <c r="CM50" s="488">
        <f t="shared" si="69"/>
        <v>0</v>
      </c>
      <c r="DD50" s="390">
        <f t="shared" si="35"/>
        <v>0</v>
      </c>
      <c r="DE50" s="31">
        <f t="shared" si="36"/>
        <v>14</v>
      </c>
      <c r="DF50" s="31">
        <f t="shared" si="37"/>
        <v>0</v>
      </c>
      <c r="DG50" s="31">
        <f t="shared" si="38"/>
        <v>0</v>
      </c>
    </row>
    <row r="51" spans="1:111" hidden="1" outlineLevel="1">
      <c r="A51" s="22"/>
      <c r="B51" s="272"/>
      <c r="C51" s="491"/>
      <c r="D51" s="492"/>
      <c r="E51" s="492"/>
      <c r="F51" s="492"/>
      <c r="G51" s="492"/>
      <c r="H51" s="492"/>
      <c r="I51" s="492"/>
      <c r="J51" s="492"/>
      <c r="K51" s="492"/>
      <c r="L51" s="492"/>
      <c r="M51" s="492"/>
      <c r="N51" s="492"/>
      <c r="O51" s="492"/>
      <c r="P51" s="469">
        <f t="shared" si="70"/>
        <v>0</v>
      </c>
      <c r="Q51" s="476">
        <f>IF(P51=0,0,(_xlfn.XLOOKUP(C51,Factors!$V$17:$V$72,Factors!$Z$17:$Z$72)*'Purchased Materials'!P51))</f>
        <v>0</v>
      </c>
      <c r="BA51" s="432" t="str">
        <f t="shared" si="40"/>
        <v/>
      </c>
      <c r="BB51" s="432" t="str">
        <f t="shared" si="41"/>
        <v/>
      </c>
      <c r="BC51" s="432">
        <v>1</v>
      </c>
      <c r="BD51" s="432" t="str">
        <f>_xlfn.LET(_xlpm.x,BB51,IF(LEN(_xlpm.x)&lt;1,"",IF(ISNUMBER(MATCH(_xlpm.x,ls_purchased_mat,0)),'Project Inputs'!$BF$14,99)))</f>
        <v/>
      </c>
      <c r="BE51" s="484" t="str">
        <f t="shared" si="42"/>
        <v/>
      </c>
      <c r="BF51" s="484" t="str">
        <f t="shared" si="43"/>
        <v/>
      </c>
      <c r="BG51" s="484" t="str">
        <f t="shared" si="44"/>
        <v/>
      </c>
      <c r="BH51" s="484" t="str">
        <f t="shared" si="45"/>
        <v/>
      </c>
      <c r="BI51" s="484" t="str">
        <f t="shared" si="46"/>
        <v/>
      </c>
      <c r="BJ51" s="484" t="str">
        <f t="shared" si="47"/>
        <v/>
      </c>
      <c r="BK51" s="484" t="str">
        <f t="shared" si="48"/>
        <v/>
      </c>
      <c r="BL51" s="484" t="str">
        <f t="shared" si="49"/>
        <v/>
      </c>
      <c r="BM51" s="484" t="str">
        <f t="shared" si="50"/>
        <v/>
      </c>
      <c r="BN51" s="484" t="str">
        <f t="shared" si="51"/>
        <v/>
      </c>
      <c r="BO51" s="484" t="str">
        <f t="shared" si="52"/>
        <v/>
      </c>
      <c r="BP51" s="484" t="str">
        <f t="shared" si="53"/>
        <v/>
      </c>
      <c r="BQ51" s="485" t="str">
        <f t="shared" si="54"/>
        <v/>
      </c>
      <c r="BR51" s="486">
        <v>2</v>
      </c>
      <c r="BS51" s="487" cm="1">
        <f t="array" ref="BS51">IFERROR(INDEX(tblPurch_Mat[],MATCH(1,(tblPurch_Mat[Dataset ID]=BD51)*(tblPurch_Mat[Material Subcategory]=BB51),0),6),"confirm")</f>
        <v>0</v>
      </c>
      <c r="BT51" s="487" cm="1">
        <f t="array" ref="BT51">IFERROR(INDEX(tblPurch_Mat[],MATCH(1,(tblPurch_Mat[Dataset ID]=BD51)*(tblPurch_Mat[Material Subcategory]=BB51),0),7),"confirm")</f>
        <v>0</v>
      </c>
      <c r="BU51" s="487">
        <f t="shared" si="55"/>
        <v>0</v>
      </c>
      <c r="BV51" s="484" t="str">
        <f t="shared" si="56"/>
        <v/>
      </c>
      <c r="BW51" s="484" t="str">
        <f t="shared" si="57"/>
        <v/>
      </c>
      <c r="BX51" s="484" t="str">
        <f t="shared" si="58"/>
        <v/>
      </c>
      <c r="BY51" s="484" t="str">
        <f t="shared" si="59"/>
        <v/>
      </c>
      <c r="BZ51" s="484" t="str">
        <f t="shared" si="60"/>
        <v/>
      </c>
      <c r="CA51" s="484" t="str">
        <f t="shared" si="61"/>
        <v/>
      </c>
      <c r="CB51" s="484" t="str">
        <f t="shared" si="62"/>
        <v/>
      </c>
      <c r="CC51" s="484" t="str">
        <f t="shared" si="63"/>
        <v/>
      </c>
      <c r="CD51" s="484" t="str">
        <f t="shared" si="64"/>
        <v/>
      </c>
      <c r="CE51" s="484" t="str">
        <f t="shared" si="65"/>
        <v/>
      </c>
      <c r="CF51" s="484" t="str">
        <f t="shared" si="66"/>
        <v/>
      </c>
      <c r="CG51" s="484" t="str">
        <f t="shared" si="67"/>
        <v/>
      </c>
      <c r="CH51" s="485">
        <f t="shared" si="33"/>
        <v>0</v>
      </c>
      <c r="CJ51" s="3"/>
      <c r="CK51" s="488" t="str">
        <f t="shared" si="39"/>
        <v>_</v>
      </c>
      <c r="CL51" s="488">
        <f t="shared" si="68"/>
        <v>0</v>
      </c>
      <c r="CM51" s="488">
        <f t="shared" si="69"/>
        <v>0</v>
      </c>
      <c r="DD51" s="390">
        <f t="shared" si="35"/>
        <v>0</v>
      </c>
      <c r="DE51" s="31">
        <f t="shared" si="36"/>
        <v>14</v>
      </c>
      <c r="DF51" s="31">
        <f t="shared" si="37"/>
        <v>0</v>
      </c>
      <c r="DG51" s="31">
        <f t="shared" si="38"/>
        <v>0</v>
      </c>
    </row>
    <row r="52" spans="1:111" hidden="1" outlineLevel="1">
      <c r="A52" s="22"/>
      <c r="B52" s="272"/>
      <c r="C52" s="491"/>
      <c r="D52" s="492"/>
      <c r="E52" s="492"/>
      <c r="F52" s="492"/>
      <c r="G52" s="492"/>
      <c r="H52" s="492"/>
      <c r="I52" s="492"/>
      <c r="J52" s="492"/>
      <c r="K52" s="492"/>
      <c r="L52" s="492"/>
      <c r="M52" s="492"/>
      <c r="N52" s="492"/>
      <c r="O52" s="492"/>
      <c r="P52" s="469">
        <f t="shared" si="70"/>
        <v>0</v>
      </c>
      <c r="Q52" s="476">
        <f>IF(P52=0,0,(_xlfn.XLOOKUP(C52,Factors!$V$17:$V$72,Factors!$Z$17:$Z$72)*'Purchased Materials'!P52))</f>
        <v>0</v>
      </c>
      <c r="BA52" s="432" t="str">
        <f t="shared" si="40"/>
        <v/>
      </c>
      <c r="BB52" s="432" t="str">
        <f t="shared" si="41"/>
        <v/>
      </c>
      <c r="BC52" s="432">
        <v>1</v>
      </c>
      <c r="BD52" s="432" t="str">
        <f>_xlfn.LET(_xlpm.x,BB52,IF(LEN(_xlpm.x)&lt;1,"",IF(ISNUMBER(MATCH(_xlpm.x,ls_purchased_mat,0)),'Project Inputs'!$BF$14,99)))</f>
        <v/>
      </c>
      <c r="BE52" s="484" t="str">
        <f t="shared" si="42"/>
        <v/>
      </c>
      <c r="BF52" s="484" t="str">
        <f t="shared" si="43"/>
        <v/>
      </c>
      <c r="BG52" s="484" t="str">
        <f t="shared" si="44"/>
        <v/>
      </c>
      <c r="BH52" s="484" t="str">
        <f t="shared" si="45"/>
        <v/>
      </c>
      <c r="BI52" s="484" t="str">
        <f t="shared" si="46"/>
        <v/>
      </c>
      <c r="BJ52" s="484" t="str">
        <f t="shared" si="47"/>
        <v/>
      </c>
      <c r="BK52" s="484" t="str">
        <f t="shared" si="48"/>
        <v/>
      </c>
      <c r="BL52" s="484" t="str">
        <f t="shared" si="49"/>
        <v/>
      </c>
      <c r="BM52" s="484" t="str">
        <f t="shared" si="50"/>
        <v/>
      </c>
      <c r="BN52" s="484" t="str">
        <f t="shared" si="51"/>
        <v/>
      </c>
      <c r="BO52" s="484" t="str">
        <f t="shared" si="52"/>
        <v/>
      </c>
      <c r="BP52" s="484" t="str">
        <f t="shared" si="53"/>
        <v/>
      </c>
      <c r="BQ52" s="485" t="str">
        <f t="shared" si="54"/>
        <v/>
      </c>
      <c r="BR52" s="486">
        <v>2</v>
      </c>
      <c r="BS52" s="487" cm="1">
        <f t="array" ref="BS52">IFERROR(INDEX(tblPurch_Mat[],MATCH(1,(tblPurch_Mat[Dataset ID]=BD52)*(tblPurch_Mat[Material Subcategory]=BB52),0),6),"confirm")</f>
        <v>0</v>
      </c>
      <c r="BT52" s="487" cm="1">
        <f t="array" ref="BT52">IFERROR(INDEX(tblPurch_Mat[],MATCH(1,(tblPurch_Mat[Dataset ID]=BD52)*(tblPurch_Mat[Material Subcategory]=BB52),0),7),"confirm")</f>
        <v>0</v>
      </c>
      <c r="BU52" s="487">
        <f t="shared" si="55"/>
        <v>0</v>
      </c>
      <c r="BV52" s="484" t="str">
        <f t="shared" si="56"/>
        <v/>
      </c>
      <c r="BW52" s="484" t="str">
        <f t="shared" si="57"/>
        <v/>
      </c>
      <c r="BX52" s="484" t="str">
        <f t="shared" si="58"/>
        <v/>
      </c>
      <c r="BY52" s="484" t="str">
        <f t="shared" si="59"/>
        <v/>
      </c>
      <c r="BZ52" s="484" t="str">
        <f t="shared" si="60"/>
        <v/>
      </c>
      <c r="CA52" s="484" t="str">
        <f t="shared" si="61"/>
        <v/>
      </c>
      <c r="CB52" s="484" t="str">
        <f t="shared" si="62"/>
        <v/>
      </c>
      <c r="CC52" s="484" t="str">
        <f t="shared" si="63"/>
        <v/>
      </c>
      <c r="CD52" s="484" t="str">
        <f t="shared" si="64"/>
        <v/>
      </c>
      <c r="CE52" s="484" t="str">
        <f t="shared" si="65"/>
        <v/>
      </c>
      <c r="CF52" s="484" t="str">
        <f t="shared" si="66"/>
        <v/>
      </c>
      <c r="CG52" s="484" t="str">
        <f t="shared" si="67"/>
        <v/>
      </c>
      <c r="CH52" s="485">
        <f t="shared" si="33"/>
        <v>0</v>
      </c>
      <c r="CJ52" s="3"/>
      <c r="CK52" s="488" t="str">
        <f t="shared" si="39"/>
        <v>_</v>
      </c>
      <c r="CL52" s="488">
        <f t="shared" si="68"/>
        <v>0</v>
      </c>
      <c r="CM52" s="488">
        <f t="shared" si="69"/>
        <v>0</v>
      </c>
      <c r="DD52" s="390">
        <f t="shared" si="35"/>
        <v>0</v>
      </c>
      <c r="DE52" s="31">
        <f t="shared" si="36"/>
        <v>14</v>
      </c>
      <c r="DF52" s="31">
        <f t="shared" si="37"/>
        <v>0</v>
      </c>
      <c r="DG52" s="31">
        <f t="shared" si="38"/>
        <v>0</v>
      </c>
    </row>
    <row r="53" spans="1:111" hidden="1" outlineLevel="1">
      <c r="A53" s="22"/>
      <c r="B53" s="272"/>
      <c r="C53" s="491"/>
      <c r="D53" s="492"/>
      <c r="E53" s="492"/>
      <c r="F53" s="492"/>
      <c r="G53" s="492"/>
      <c r="H53" s="492"/>
      <c r="I53" s="492"/>
      <c r="J53" s="492"/>
      <c r="K53" s="492"/>
      <c r="L53" s="492"/>
      <c r="M53" s="492"/>
      <c r="N53" s="492"/>
      <c r="O53" s="492"/>
      <c r="P53" s="469">
        <f t="shared" si="70"/>
        <v>0</v>
      </c>
      <c r="Q53" s="476">
        <f>IF(P53=0,0,(_xlfn.XLOOKUP(C53,Factors!$V$17:$V$72,Factors!$Z$17:$Z$72)*'Purchased Materials'!P53))</f>
        <v>0</v>
      </c>
      <c r="BA53" s="432" t="str">
        <f t="shared" si="40"/>
        <v/>
      </c>
      <c r="BB53" s="432" t="str">
        <f t="shared" si="41"/>
        <v/>
      </c>
      <c r="BC53" s="432">
        <v>1</v>
      </c>
      <c r="BD53" s="432" t="str">
        <f>_xlfn.LET(_xlpm.x,BB53,IF(LEN(_xlpm.x)&lt;1,"",IF(ISNUMBER(MATCH(_xlpm.x,ls_purchased_mat,0)),'Project Inputs'!$BF$14,99)))</f>
        <v/>
      </c>
      <c r="BE53" s="484" t="str">
        <f t="shared" si="42"/>
        <v/>
      </c>
      <c r="BF53" s="484" t="str">
        <f t="shared" si="43"/>
        <v/>
      </c>
      <c r="BG53" s="484" t="str">
        <f t="shared" si="44"/>
        <v/>
      </c>
      <c r="BH53" s="484" t="str">
        <f t="shared" si="45"/>
        <v/>
      </c>
      <c r="BI53" s="484" t="str">
        <f t="shared" si="46"/>
        <v/>
      </c>
      <c r="BJ53" s="484" t="str">
        <f t="shared" si="47"/>
        <v/>
      </c>
      <c r="BK53" s="484" t="str">
        <f t="shared" si="48"/>
        <v/>
      </c>
      <c r="BL53" s="484" t="str">
        <f t="shared" si="49"/>
        <v/>
      </c>
      <c r="BM53" s="484" t="str">
        <f t="shared" si="50"/>
        <v/>
      </c>
      <c r="BN53" s="484" t="str">
        <f t="shared" si="51"/>
        <v/>
      </c>
      <c r="BO53" s="484" t="str">
        <f t="shared" si="52"/>
        <v/>
      </c>
      <c r="BP53" s="484" t="str">
        <f t="shared" si="53"/>
        <v/>
      </c>
      <c r="BQ53" s="485" t="str">
        <f t="shared" si="54"/>
        <v/>
      </c>
      <c r="BR53" s="486">
        <v>2</v>
      </c>
      <c r="BS53" s="487" cm="1">
        <f t="array" ref="BS53">IFERROR(INDEX(tblPurch_Mat[],MATCH(1,(tblPurch_Mat[Dataset ID]=BD53)*(tblPurch_Mat[Material Subcategory]=BB53),0),6),"confirm")</f>
        <v>0</v>
      </c>
      <c r="BT53" s="487" cm="1">
        <f t="array" ref="BT53">IFERROR(INDEX(tblPurch_Mat[],MATCH(1,(tblPurch_Mat[Dataset ID]=BD53)*(tblPurch_Mat[Material Subcategory]=BB53),0),7),"confirm")</f>
        <v>0</v>
      </c>
      <c r="BU53" s="487">
        <f t="shared" si="55"/>
        <v>0</v>
      </c>
      <c r="BV53" s="484" t="str">
        <f t="shared" si="56"/>
        <v/>
      </c>
      <c r="BW53" s="484" t="str">
        <f t="shared" si="57"/>
        <v/>
      </c>
      <c r="BX53" s="484" t="str">
        <f t="shared" si="58"/>
        <v/>
      </c>
      <c r="BY53" s="484" t="str">
        <f t="shared" si="59"/>
        <v/>
      </c>
      <c r="BZ53" s="484" t="str">
        <f t="shared" si="60"/>
        <v/>
      </c>
      <c r="CA53" s="484" t="str">
        <f t="shared" si="61"/>
        <v/>
      </c>
      <c r="CB53" s="484" t="str">
        <f t="shared" si="62"/>
        <v/>
      </c>
      <c r="CC53" s="484" t="str">
        <f t="shared" si="63"/>
        <v/>
      </c>
      <c r="CD53" s="484" t="str">
        <f t="shared" si="64"/>
        <v/>
      </c>
      <c r="CE53" s="484" t="str">
        <f t="shared" si="65"/>
        <v/>
      </c>
      <c r="CF53" s="484" t="str">
        <f t="shared" si="66"/>
        <v/>
      </c>
      <c r="CG53" s="484" t="str">
        <f t="shared" si="67"/>
        <v/>
      </c>
      <c r="CH53" s="485">
        <f t="shared" si="33"/>
        <v>0</v>
      </c>
      <c r="CJ53" s="3"/>
      <c r="CK53" s="488" t="str">
        <f t="shared" si="39"/>
        <v>_</v>
      </c>
      <c r="CL53" s="488">
        <f t="shared" si="68"/>
        <v>0</v>
      </c>
      <c r="CM53" s="488">
        <f t="shared" si="69"/>
        <v>0</v>
      </c>
      <c r="DD53" s="390">
        <f t="shared" si="35"/>
        <v>0</v>
      </c>
      <c r="DE53" s="31">
        <f t="shared" si="36"/>
        <v>14</v>
      </c>
      <c r="DF53" s="31">
        <f t="shared" si="37"/>
        <v>0</v>
      </c>
      <c r="DG53" s="31">
        <f t="shared" si="38"/>
        <v>0</v>
      </c>
    </row>
    <row r="54" spans="1:111" hidden="1" outlineLevel="1">
      <c r="A54" s="22"/>
      <c r="B54" s="272"/>
      <c r="C54" s="491"/>
      <c r="D54" s="492"/>
      <c r="E54" s="492"/>
      <c r="F54" s="492"/>
      <c r="G54" s="492"/>
      <c r="H54" s="492"/>
      <c r="I54" s="492"/>
      <c r="J54" s="492"/>
      <c r="K54" s="492"/>
      <c r="L54" s="492"/>
      <c r="M54" s="492"/>
      <c r="N54" s="492"/>
      <c r="O54" s="492"/>
      <c r="P54" s="469">
        <f t="shared" si="70"/>
        <v>0</v>
      </c>
      <c r="Q54" s="476">
        <f>IF(P54=0,0,(_xlfn.XLOOKUP(C54,Factors!$V$17:$V$72,Factors!$Z$17:$Z$72)*'Purchased Materials'!P54))</f>
        <v>0</v>
      </c>
      <c r="BA54" s="432" t="str">
        <f t="shared" si="40"/>
        <v/>
      </c>
      <c r="BB54" s="432" t="str">
        <f t="shared" si="41"/>
        <v/>
      </c>
      <c r="BC54" s="432">
        <v>1</v>
      </c>
      <c r="BD54" s="432" t="str">
        <f>_xlfn.LET(_xlpm.x,BB54,IF(LEN(_xlpm.x)&lt;1,"",IF(ISNUMBER(MATCH(_xlpm.x,ls_purchased_mat,0)),'Project Inputs'!$BF$14,99)))</f>
        <v/>
      </c>
      <c r="BE54" s="484" t="str">
        <f t="shared" si="42"/>
        <v/>
      </c>
      <c r="BF54" s="484" t="str">
        <f t="shared" si="43"/>
        <v/>
      </c>
      <c r="BG54" s="484" t="str">
        <f t="shared" si="44"/>
        <v/>
      </c>
      <c r="BH54" s="484" t="str">
        <f t="shared" si="45"/>
        <v/>
      </c>
      <c r="BI54" s="484" t="str">
        <f t="shared" si="46"/>
        <v/>
      </c>
      <c r="BJ54" s="484" t="str">
        <f t="shared" si="47"/>
        <v/>
      </c>
      <c r="BK54" s="484" t="str">
        <f t="shared" si="48"/>
        <v/>
      </c>
      <c r="BL54" s="484" t="str">
        <f t="shared" si="49"/>
        <v/>
      </c>
      <c r="BM54" s="484" t="str">
        <f t="shared" si="50"/>
        <v/>
      </c>
      <c r="BN54" s="484" t="str">
        <f t="shared" si="51"/>
        <v/>
      </c>
      <c r="BO54" s="484" t="str">
        <f t="shared" si="52"/>
        <v/>
      </c>
      <c r="BP54" s="484" t="str">
        <f t="shared" si="53"/>
        <v/>
      </c>
      <c r="BQ54" s="485" t="str">
        <f t="shared" si="54"/>
        <v/>
      </c>
      <c r="BR54" s="486">
        <v>2</v>
      </c>
      <c r="BS54" s="487" cm="1">
        <f t="array" ref="BS54">IFERROR(INDEX(tblPurch_Mat[],MATCH(1,(tblPurch_Mat[Dataset ID]=BD54)*(tblPurch_Mat[Material Subcategory]=BB54),0),6),"confirm")</f>
        <v>0</v>
      </c>
      <c r="BT54" s="487" cm="1">
        <f t="array" ref="BT54">IFERROR(INDEX(tblPurch_Mat[],MATCH(1,(tblPurch_Mat[Dataset ID]=BD54)*(tblPurch_Mat[Material Subcategory]=BB54),0),7),"confirm")</f>
        <v>0</v>
      </c>
      <c r="BU54" s="487">
        <f t="shared" si="55"/>
        <v>0</v>
      </c>
      <c r="BV54" s="484" t="str">
        <f t="shared" si="56"/>
        <v/>
      </c>
      <c r="BW54" s="484" t="str">
        <f t="shared" si="57"/>
        <v/>
      </c>
      <c r="BX54" s="484" t="str">
        <f t="shared" si="58"/>
        <v/>
      </c>
      <c r="BY54" s="484" t="str">
        <f t="shared" si="59"/>
        <v/>
      </c>
      <c r="BZ54" s="484" t="str">
        <f t="shared" si="60"/>
        <v/>
      </c>
      <c r="CA54" s="484" t="str">
        <f t="shared" si="61"/>
        <v/>
      </c>
      <c r="CB54" s="484" t="str">
        <f t="shared" si="62"/>
        <v/>
      </c>
      <c r="CC54" s="484" t="str">
        <f t="shared" si="63"/>
        <v/>
      </c>
      <c r="CD54" s="484" t="str">
        <f t="shared" si="64"/>
        <v/>
      </c>
      <c r="CE54" s="484" t="str">
        <f t="shared" si="65"/>
        <v/>
      </c>
      <c r="CF54" s="484" t="str">
        <f t="shared" si="66"/>
        <v/>
      </c>
      <c r="CG54" s="484" t="str">
        <f t="shared" si="67"/>
        <v/>
      </c>
      <c r="CH54" s="485">
        <f t="shared" si="33"/>
        <v>0</v>
      </c>
      <c r="CJ54" s="3"/>
      <c r="CK54" s="488" t="str">
        <f t="shared" si="39"/>
        <v>_</v>
      </c>
      <c r="CL54" s="488">
        <f t="shared" si="68"/>
        <v>0</v>
      </c>
      <c r="CM54" s="488">
        <f t="shared" si="69"/>
        <v>0</v>
      </c>
      <c r="DD54" s="390">
        <f t="shared" si="35"/>
        <v>0</v>
      </c>
      <c r="DE54" s="31">
        <f t="shared" si="36"/>
        <v>14</v>
      </c>
      <c r="DF54" s="31">
        <f t="shared" si="37"/>
        <v>0</v>
      </c>
      <c r="DG54" s="31">
        <f t="shared" si="38"/>
        <v>0</v>
      </c>
    </row>
    <row r="55" spans="1:111" hidden="1" outlineLevel="1">
      <c r="A55" s="22"/>
      <c r="B55" s="272"/>
      <c r="C55" s="491"/>
      <c r="D55" s="492"/>
      <c r="E55" s="492"/>
      <c r="F55" s="492"/>
      <c r="G55" s="492"/>
      <c r="H55" s="492"/>
      <c r="I55" s="492"/>
      <c r="J55" s="492"/>
      <c r="K55" s="492"/>
      <c r="L55" s="492"/>
      <c r="M55" s="492"/>
      <c r="N55" s="492"/>
      <c r="O55" s="492"/>
      <c r="P55" s="469">
        <f t="shared" si="70"/>
        <v>0</v>
      </c>
      <c r="Q55" s="476">
        <f>IF(P55=0,0,(_xlfn.XLOOKUP(C55,Factors!$V$17:$V$72,Factors!$Z$17:$Z$72)*'Purchased Materials'!P55))</f>
        <v>0</v>
      </c>
      <c r="BA55" s="432" t="str">
        <f t="shared" si="40"/>
        <v/>
      </c>
      <c r="BB55" s="432" t="str">
        <f t="shared" si="41"/>
        <v/>
      </c>
      <c r="BC55" s="432">
        <v>1</v>
      </c>
      <c r="BD55" s="432" t="str">
        <f>_xlfn.LET(_xlpm.x,BB55,IF(LEN(_xlpm.x)&lt;1,"",IF(ISNUMBER(MATCH(_xlpm.x,ls_purchased_mat,0)),'Project Inputs'!$BF$14,99)))</f>
        <v/>
      </c>
      <c r="BE55" s="484" t="str">
        <f t="shared" si="42"/>
        <v/>
      </c>
      <c r="BF55" s="484" t="str">
        <f t="shared" si="43"/>
        <v/>
      </c>
      <c r="BG55" s="484" t="str">
        <f t="shared" si="44"/>
        <v/>
      </c>
      <c r="BH55" s="484" t="str">
        <f t="shared" si="45"/>
        <v/>
      </c>
      <c r="BI55" s="484" t="str">
        <f t="shared" si="46"/>
        <v/>
      </c>
      <c r="BJ55" s="484" t="str">
        <f t="shared" si="47"/>
        <v/>
      </c>
      <c r="BK55" s="484" t="str">
        <f t="shared" si="48"/>
        <v/>
      </c>
      <c r="BL55" s="484" t="str">
        <f t="shared" si="49"/>
        <v/>
      </c>
      <c r="BM55" s="484" t="str">
        <f t="shared" si="50"/>
        <v/>
      </c>
      <c r="BN55" s="484" t="str">
        <f t="shared" si="51"/>
        <v/>
      </c>
      <c r="BO55" s="484" t="str">
        <f t="shared" si="52"/>
        <v/>
      </c>
      <c r="BP55" s="484" t="str">
        <f t="shared" si="53"/>
        <v/>
      </c>
      <c r="BQ55" s="485" t="str">
        <f t="shared" si="54"/>
        <v/>
      </c>
      <c r="BR55" s="486">
        <v>2</v>
      </c>
      <c r="BS55" s="487" cm="1">
        <f t="array" ref="BS55">IFERROR(INDEX(tblPurch_Mat[],MATCH(1,(tblPurch_Mat[Dataset ID]=BD55)*(tblPurch_Mat[Material Subcategory]=BB55),0),6),"confirm")</f>
        <v>0</v>
      </c>
      <c r="BT55" s="487" cm="1">
        <f t="array" ref="BT55">IFERROR(INDEX(tblPurch_Mat[],MATCH(1,(tblPurch_Mat[Dataset ID]=BD55)*(tblPurch_Mat[Material Subcategory]=BB55),0),7),"confirm")</f>
        <v>0</v>
      </c>
      <c r="BU55" s="487">
        <f t="shared" si="55"/>
        <v>0</v>
      </c>
      <c r="BV55" s="484" t="str">
        <f t="shared" si="56"/>
        <v/>
      </c>
      <c r="BW55" s="484" t="str">
        <f t="shared" si="57"/>
        <v/>
      </c>
      <c r="BX55" s="484" t="str">
        <f t="shared" si="58"/>
        <v/>
      </c>
      <c r="BY55" s="484" t="str">
        <f t="shared" si="59"/>
        <v/>
      </c>
      <c r="BZ55" s="484" t="str">
        <f t="shared" si="60"/>
        <v/>
      </c>
      <c r="CA55" s="484" t="str">
        <f t="shared" si="61"/>
        <v/>
      </c>
      <c r="CB55" s="484" t="str">
        <f t="shared" si="62"/>
        <v/>
      </c>
      <c r="CC55" s="484" t="str">
        <f t="shared" si="63"/>
        <v/>
      </c>
      <c r="CD55" s="484" t="str">
        <f t="shared" si="64"/>
        <v/>
      </c>
      <c r="CE55" s="484" t="str">
        <f t="shared" si="65"/>
        <v/>
      </c>
      <c r="CF55" s="484" t="str">
        <f t="shared" si="66"/>
        <v/>
      </c>
      <c r="CG55" s="484" t="str">
        <f t="shared" si="67"/>
        <v/>
      </c>
      <c r="CH55" s="485">
        <f t="shared" si="33"/>
        <v>0</v>
      </c>
      <c r="CJ55" s="3"/>
      <c r="CK55" s="488" t="str">
        <f t="shared" si="39"/>
        <v>_</v>
      </c>
      <c r="CL55" s="488">
        <f t="shared" si="68"/>
        <v>0</v>
      </c>
      <c r="CM55" s="488">
        <f t="shared" si="69"/>
        <v>0</v>
      </c>
      <c r="DD55" s="390">
        <f t="shared" si="35"/>
        <v>0</v>
      </c>
      <c r="DE55" s="31">
        <f t="shared" si="36"/>
        <v>14</v>
      </c>
      <c r="DF55" s="31">
        <f t="shared" si="37"/>
        <v>0</v>
      </c>
      <c r="DG55" s="31">
        <f t="shared" si="38"/>
        <v>0</v>
      </c>
    </row>
    <row r="56" spans="1:111" hidden="1" outlineLevel="1">
      <c r="A56" s="22"/>
      <c r="B56" s="272"/>
      <c r="C56" s="491"/>
      <c r="D56" s="492"/>
      <c r="E56" s="492"/>
      <c r="F56" s="492"/>
      <c r="G56" s="492"/>
      <c r="H56" s="492"/>
      <c r="I56" s="492"/>
      <c r="J56" s="492"/>
      <c r="K56" s="492"/>
      <c r="L56" s="492"/>
      <c r="M56" s="492"/>
      <c r="N56" s="492"/>
      <c r="O56" s="492"/>
      <c r="P56" s="469">
        <f t="shared" si="70"/>
        <v>0</v>
      </c>
      <c r="Q56" s="476">
        <f>IF(P56=0,0,(_xlfn.XLOOKUP(C56,Factors!$V$17:$V$72,Factors!$Z$17:$Z$72)*'Purchased Materials'!P56))</f>
        <v>0</v>
      </c>
      <c r="BA56" s="432" t="str">
        <f t="shared" si="40"/>
        <v/>
      </c>
      <c r="BB56" s="432" t="str">
        <f t="shared" si="41"/>
        <v/>
      </c>
      <c r="BC56" s="432">
        <v>1</v>
      </c>
      <c r="BD56" s="432" t="str">
        <f>_xlfn.LET(_xlpm.x,BB56,IF(LEN(_xlpm.x)&lt;1,"",IF(ISNUMBER(MATCH(_xlpm.x,ls_purchased_mat,0)),'Project Inputs'!$BF$14,99)))</f>
        <v/>
      </c>
      <c r="BE56" s="484" t="str">
        <f t="shared" si="42"/>
        <v/>
      </c>
      <c r="BF56" s="484" t="str">
        <f t="shared" si="43"/>
        <v/>
      </c>
      <c r="BG56" s="484" t="str">
        <f t="shared" si="44"/>
        <v/>
      </c>
      <c r="BH56" s="484" t="str">
        <f t="shared" si="45"/>
        <v/>
      </c>
      <c r="BI56" s="484" t="str">
        <f t="shared" si="46"/>
        <v/>
      </c>
      <c r="BJ56" s="484" t="str">
        <f t="shared" si="47"/>
        <v/>
      </c>
      <c r="BK56" s="484" t="str">
        <f t="shared" si="48"/>
        <v/>
      </c>
      <c r="BL56" s="484" t="str">
        <f t="shared" si="49"/>
        <v/>
      </c>
      <c r="BM56" s="484" t="str">
        <f t="shared" si="50"/>
        <v/>
      </c>
      <c r="BN56" s="484" t="str">
        <f t="shared" si="51"/>
        <v/>
      </c>
      <c r="BO56" s="484" t="str">
        <f t="shared" si="52"/>
        <v/>
      </c>
      <c r="BP56" s="484" t="str">
        <f t="shared" si="53"/>
        <v/>
      </c>
      <c r="BQ56" s="485" t="str">
        <f t="shared" si="54"/>
        <v/>
      </c>
      <c r="BR56" s="486">
        <v>2</v>
      </c>
      <c r="BS56" s="487" cm="1">
        <f t="array" ref="BS56">IFERROR(INDEX(tblPurch_Mat[],MATCH(1,(tblPurch_Mat[Dataset ID]=BD56)*(tblPurch_Mat[Material Subcategory]=BB56),0),6),"confirm")</f>
        <v>0</v>
      </c>
      <c r="BT56" s="487" cm="1">
        <f t="array" ref="BT56">IFERROR(INDEX(tblPurch_Mat[],MATCH(1,(tblPurch_Mat[Dataset ID]=BD56)*(tblPurch_Mat[Material Subcategory]=BB56),0),7),"confirm")</f>
        <v>0</v>
      </c>
      <c r="BU56" s="487">
        <f t="shared" si="55"/>
        <v>0</v>
      </c>
      <c r="BV56" s="484" t="str">
        <f t="shared" si="56"/>
        <v/>
      </c>
      <c r="BW56" s="484" t="str">
        <f t="shared" si="57"/>
        <v/>
      </c>
      <c r="BX56" s="484" t="str">
        <f t="shared" si="58"/>
        <v/>
      </c>
      <c r="BY56" s="484" t="str">
        <f t="shared" si="59"/>
        <v/>
      </c>
      <c r="BZ56" s="484" t="str">
        <f t="shared" si="60"/>
        <v/>
      </c>
      <c r="CA56" s="484" t="str">
        <f t="shared" si="61"/>
        <v/>
      </c>
      <c r="CB56" s="484" t="str">
        <f t="shared" si="62"/>
        <v/>
      </c>
      <c r="CC56" s="484" t="str">
        <f t="shared" si="63"/>
        <v/>
      </c>
      <c r="CD56" s="484" t="str">
        <f t="shared" si="64"/>
        <v/>
      </c>
      <c r="CE56" s="484" t="str">
        <f t="shared" si="65"/>
        <v/>
      </c>
      <c r="CF56" s="484" t="str">
        <f t="shared" si="66"/>
        <v/>
      </c>
      <c r="CG56" s="484" t="str">
        <f t="shared" si="67"/>
        <v/>
      </c>
      <c r="CH56" s="485">
        <f t="shared" si="33"/>
        <v>0</v>
      </c>
      <c r="CJ56" s="3"/>
      <c r="CK56" s="488" t="str">
        <f t="shared" si="39"/>
        <v>_</v>
      </c>
      <c r="CL56" s="488">
        <f t="shared" si="68"/>
        <v>0</v>
      </c>
      <c r="CM56" s="488">
        <f t="shared" si="69"/>
        <v>0</v>
      </c>
      <c r="DD56" s="390">
        <f t="shared" si="35"/>
        <v>0</v>
      </c>
      <c r="DE56" s="31">
        <f t="shared" si="36"/>
        <v>14</v>
      </c>
      <c r="DF56" s="31">
        <f t="shared" si="37"/>
        <v>0</v>
      </c>
      <c r="DG56" s="31">
        <f t="shared" si="38"/>
        <v>0</v>
      </c>
    </row>
    <row r="57" spans="1:111" hidden="1" outlineLevel="1">
      <c r="A57" s="22"/>
      <c r="B57" s="272"/>
      <c r="C57" s="491"/>
      <c r="D57" s="492"/>
      <c r="E57" s="492"/>
      <c r="F57" s="492"/>
      <c r="G57" s="492"/>
      <c r="H57" s="492"/>
      <c r="I57" s="492"/>
      <c r="J57" s="492"/>
      <c r="K57" s="492"/>
      <c r="L57" s="492"/>
      <c r="M57" s="492"/>
      <c r="N57" s="492"/>
      <c r="O57" s="492"/>
      <c r="P57" s="469">
        <f t="shared" si="70"/>
        <v>0</v>
      </c>
      <c r="Q57" s="476">
        <f>IF(P57=0,0,(_xlfn.XLOOKUP(C57,Factors!$V$17:$V$72,Factors!$Z$17:$Z$72)*'Purchased Materials'!P57))</f>
        <v>0</v>
      </c>
      <c r="BA57" s="432" t="str">
        <f t="shared" si="40"/>
        <v/>
      </c>
      <c r="BB57" s="432" t="str">
        <f t="shared" si="41"/>
        <v/>
      </c>
      <c r="BC57" s="432">
        <v>1</v>
      </c>
      <c r="BD57" s="432" t="str">
        <f>_xlfn.LET(_xlpm.x,BB57,IF(LEN(_xlpm.x)&lt;1,"",IF(ISNUMBER(MATCH(_xlpm.x,ls_purchased_mat,0)),'Project Inputs'!$BF$14,99)))</f>
        <v/>
      </c>
      <c r="BE57" s="484" t="str">
        <f t="shared" si="42"/>
        <v/>
      </c>
      <c r="BF57" s="484" t="str">
        <f t="shared" si="43"/>
        <v/>
      </c>
      <c r="BG57" s="484" t="str">
        <f t="shared" si="44"/>
        <v/>
      </c>
      <c r="BH57" s="484" t="str">
        <f t="shared" si="45"/>
        <v/>
      </c>
      <c r="BI57" s="484" t="str">
        <f t="shared" si="46"/>
        <v/>
      </c>
      <c r="BJ57" s="484" t="str">
        <f t="shared" si="47"/>
        <v/>
      </c>
      <c r="BK57" s="484" t="str">
        <f t="shared" si="48"/>
        <v/>
      </c>
      <c r="BL57" s="484" t="str">
        <f t="shared" si="49"/>
        <v/>
      </c>
      <c r="BM57" s="484" t="str">
        <f t="shared" si="50"/>
        <v/>
      </c>
      <c r="BN57" s="484" t="str">
        <f t="shared" si="51"/>
        <v/>
      </c>
      <c r="BO57" s="484" t="str">
        <f t="shared" si="52"/>
        <v/>
      </c>
      <c r="BP57" s="484" t="str">
        <f t="shared" si="53"/>
        <v/>
      </c>
      <c r="BQ57" s="485" t="str">
        <f t="shared" si="54"/>
        <v/>
      </c>
      <c r="BR57" s="486">
        <v>2</v>
      </c>
      <c r="BS57" s="487" cm="1">
        <f t="array" ref="BS57">IFERROR(INDEX(tblPurch_Mat[],MATCH(1,(tblPurch_Mat[Dataset ID]=BD57)*(tblPurch_Mat[Material Subcategory]=BB57),0),6),"confirm")</f>
        <v>0</v>
      </c>
      <c r="BT57" s="487" cm="1">
        <f t="array" ref="BT57">IFERROR(INDEX(tblPurch_Mat[],MATCH(1,(tblPurch_Mat[Dataset ID]=BD57)*(tblPurch_Mat[Material Subcategory]=BB57),0),7),"confirm")</f>
        <v>0</v>
      </c>
      <c r="BU57" s="487">
        <f t="shared" si="55"/>
        <v>0</v>
      </c>
      <c r="BV57" s="484" t="str">
        <f t="shared" si="56"/>
        <v/>
      </c>
      <c r="BW57" s="484" t="str">
        <f t="shared" si="57"/>
        <v/>
      </c>
      <c r="BX57" s="484" t="str">
        <f t="shared" si="58"/>
        <v/>
      </c>
      <c r="BY57" s="484" t="str">
        <f t="shared" si="59"/>
        <v/>
      </c>
      <c r="BZ57" s="484" t="str">
        <f t="shared" si="60"/>
        <v/>
      </c>
      <c r="CA57" s="484" t="str">
        <f t="shared" si="61"/>
        <v/>
      </c>
      <c r="CB57" s="484" t="str">
        <f t="shared" si="62"/>
        <v/>
      </c>
      <c r="CC57" s="484" t="str">
        <f t="shared" si="63"/>
        <v/>
      </c>
      <c r="CD57" s="484" t="str">
        <f t="shared" si="64"/>
        <v/>
      </c>
      <c r="CE57" s="484" t="str">
        <f t="shared" si="65"/>
        <v/>
      </c>
      <c r="CF57" s="484" t="str">
        <f t="shared" si="66"/>
        <v/>
      </c>
      <c r="CG57" s="484" t="str">
        <f t="shared" si="67"/>
        <v/>
      </c>
      <c r="CH57" s="485">
        <f t="shared" si="33"/>
        <v>0</v>
      </c>
      <c r="CJ57" s="3"/>
      <c r="CK57" s="488" t="str">
        <f t="shared" si="39"/>
        <v>_</v>
      </c>
      <c r="CL57" s="488">
        <f t="shared" si="68"/>
        <v>0</v>
      </c>
      <c r="CM57" s="488">
        <f t="shared" si="69"/>
        <v>0</v>
      </c>
      <c r="DD57" s="390">
        <f t="shared" si="35"/>
        <v>0</v>
      </c>
      <c r="DE57" s="31">
        <f t="shared" si="36"/>
        <v>14</v>
      </c>
      <c r="DF57" s="31">
        <f t="shared" si="37"/>
        <v>0</v>
      </c>
      <c r="DG57" s="31">
        <f t="shared" si="38"/>
        <v>0</v>
      </c>
    </row>
    <row r="58" spans="1:111" hidden="1" outlineLevel="1">
      <c r="A58" s="22"/>
      <c r="B58" s="272"/>
      <c r="C58" s="491"/>
      <c r="D58" s="492"/>
      <c r="E58" s="492"/>
      <c r="F58" s="492"/>
      <c r="G58" s="492"/>
      <c r="H58" s="492"/>
      <c r="I58" s="492"/>
      <c r="J58" s="492"/>
      <c r="K58" s="492"/>
      <c r="L58" s="492"/>
      <c r="M58" s="492"/>
      <c r="N58" s="492"/>
      <c r="O58" s="492"/>
      <c r="P58" s="469">
        <f t="shared" si="70"/>
        <v>0</v>
      </c>
      <c r="Q58" s="476">
        <f>IF(P58=0,0,(_xlfn.XLOOKUP(C58,Factors!$V$17:$V$72,Factors!$Z$17:$Z$72)*'Purchased Materials'!P58))</f>
        <v>0</v>
      </c>
      <c r="BA58" s="432" t="str">
        <f t="shared" si="40"/>
        <v/>
      </c>
      <c r="BB58" s="432" t="str">
        <f t="shared" si="41"/>
        <v/>
      </c>
      <c r="BC58" s="432">
        <v>1</v>
      </c>
      <c r="BD58" s="432" t="str">
        <f>_xlfn.LET(_xlpm.x,BB58,IF(LEN(_xlpm.x)&lt;1,"",IF(ISNUMBER(MATCH(_xlpm.x,ls_purchased_mat,0)),'Project Inputs'!$BF$14,99)))</f>
        <v/>
      </c>
      <c r="BE58" s="484" t="str">
        <f t="shared" si="42"/>
        <v/>
      </c>
      <c r="BF58" s="484" t="str">
        <f t="shared" si="43"/>
        <v/>
      </c>
      <c r="BG58" s="484" t="str">
        <f t="shared" si="44"/>
        <v/>
      </c>
      <c r="BH58" s="484" t="str">
        <f t="shared" si="45"/>
        <v/>
      </c>
      <c r="BI58" s="484" t="str">
        <f t="shared" si="46"/>
        <v/>
      </c>
      <c r="BJ58" s="484" t="str">
        <f t="shared" si="47"/>
        <v/>
      </c>
      <c r="BK58" s="484" t="str">
        <f t="shared" si="48"/>
        <v/>
      </c>
      <c r="BL58" s="484" t="str">
        <f t="shared" si="49"/>
        <v/>
      </c>
      <c r="BM58" s="484" t="str">
        <f t="shared" si="50"/>
        <v/>
      </c>
      <c r="BN58" s="484" t="str">
        <f t="shared" si="51"/>
        <v/>
      </c>
      <c r="BO58" s="484" t="str">
        <f t="shared" si="52"/>
        <v/>
      </c>
      <c r="BP58" s="484" t="str">
        <f t="shared" si="53"/>
        <v/>
      </c>
      <c r="BQ58" s="485" t="str">
        <f t="shared" si="54"/>
        <v/>
      </c>
      <c r="BR58" s="486">
        <v>2</v>
      </c>
      <c r="BS58" s="487" cm="1">
        <f t="array" ref="BS58">IFERROR(INDEX(tblPurch_Mat[],MATCH(1,(tblPurch_Mat[Dataset ID]=BD58)*(tblPurch_Mat[Material Subcategory]=BB58),0),6),"confirm")</f>
        <v>0</v>
      </c>
      <c r="BT58" s="487" cm="1">
        <f t="array" ref="BT58">IFERROR(INDEX(tblPurch_Mat[],MATCH(1,(tblPurch_Mat[Dataset ID]=BD58)*(tblPurch_Mat[Material Subcategory]=BB58),0),7),"confirm")</f>
        <v>0</v>
      </c>
      <c r="BU58" s="487">
        <f t="shared" si="55"/>
        <v>0</v>
      </c>
      <c r="BV58" s="484" t="str">
        <f t="shared" si="56"/>
        <v/>
      </c>
      <c r="BW58" s="484" t="str">
        <f t="shared" si="57"/>
        <v/>
      </c>
      <c r="BX58" s="484" t="str">
        <f t="shared" si="58"/>
        <v/>
      </c>
      <c r="BY58" s="484" t="str">
        <f t="shared" si="59"/>
        <v/>
      </c>
      <c r="BZ58" s="484" t="str">
        <f t="shared" si="60"/>
        <v/>
      </c>
      <c r="CA58" s="484" t="str">
        <f t="shared" si="61"/>
        <v/>
      </c>
      <c r="CB58" s="484" t="str">
        <f t="shared" si="62"/>
        <v/>
      </c>
      <c r="CC58" s="484" t="str">
        <f t="shared" si="63"/>
        <v/>
      </c>
      <c r="CD58" s="484" t="str">
        <f t="shared" si="64"/>
        <v/>
      </c>
      <c r="CE58" s="484" t="str">
        <f t="shared" si="65"/>
        <v/>
      </c>
      <c r="CF58" s="484" t="str">
        <f t="shared" si="66"/>
        <v/>
      </c>
      <c r="CG58" s="484" t="str">
        <f t="shared" si="67"/>
        <v/>
      </c>
      <c r="CH58" s="485">
        <f t="shared" si="33"/>
        <v>0</v>
      </c>
      <c r="CJ58" s="3"/>
      <c r="CK58" s="488" t="str">
        <f t="shared" si="39"/>
        <v>_</v>
      </c>
      <c r="CL58" s="488">
        <f t="shared" si="68"/>
        <v>0</v>
      </c>
      <c r="CM58" s="488">
        <f t="shared" si="69"/>
        <v>0</v>
      </c>
      <c r="DD58" s="390">
        <f t="shared" si="35"/>
        <v>0</v>
      </c>
      <c r="DE58" s="31">
        <f t="shared" si="36"/>
        <v>14</v>
      </c>
      <c r="DF58" s="31">
        <f t="shared" si="37"/>
        <v>0</v>
      </c>
      <c r="DG58" s="31">
        <f t="shared" si="38"/>
        <v>0</v>
      </c>
    </row>
    <row r="59" spans="1:111" hidden="1" outlineLevel="1">
      <c r="A59" s="22"/>
      <c r="B59" s="272"/>
      <c r="C59" s="491"/>
      <c r="D59" s="492"/>
      <c r="E59" s="492"/>
      <c r="F59" s="492"/>
      <c r="G59" s="492"/>
      <c r="H59" s="492"/>
      <c r="I59" s="492"/>
      <c r="J59" s="492"/>
      <c r="K59" s="492"/>
      <c r="L59" s="492"/>
      <c r="M59" s="492"/>
      <c r="N59" s="492"/>
      <c r="O59" s="492"/>
      <c r="P59" s="469">
        <f t="shared" si="70"/>
        <v>0</v>
      </c>
      <c r="Q59" s="476">
        <f>IF(P59=0,0,(_xlfn.XLOOKUP(C59,Factors!$V$17:$V$72,Factors!$Z$17:$Z$72)*'Purchased Materials'!P59))</f>
        <v>0</v>
      </c>
      <c r="BA59" s="432" t="str">
        <f t="shared" si="40"/>
        <v/>
      </c>
      <c r="BB59" s="432" t="str">
        <f t="shared" si="41"/>
        <v/>
      </c>
      <c r="BC59" s="432">
        <v>1</v>
      </c>
      <c r="BD59" s="432" t="str">
        <f>_xlfn.LET(_xlpm.x,BB59,IF(LEN(_xlpm.x)&lt;1,"",IF(ISNUMBER(MATCH(_xlpm.x,ls_purchased_mat,0)),'Project Inputs'!$BF$14,99)))</f>
        <v/>
      </c>
      <c r="BE59" s="484" t="str">
        <f t="shared" si="42"/>
        <v/>
      </c>
      <c r="BF59" s="484" t="str">
        <f t="shared" si="43"/>
        <v/>
      </c>
      <c r="BG59" s="484" t="str">
        <f t="shared" si="44"/>
        <v/>
      </c>
      <c r="BH59" s="484" t="str">
        <f t="shared" si="45"/>
        <v/>
      </c>
      <c r="BI59" s="484" t="str">
        <f t="shared" si="46"/>
        <v/>
      </c>
      <c r="BJ59" s="484" t="str">
        <f t="shared" si="47"/>
        <v/>
      </c>
      <c r="BK59" s="484" t="str">
        <f t="shared" si="48"/>
        <v/>
      </c>
      <c r="BL59" s="484" t="str">
        <f t="shared" si="49"/>
        <v/>
      </c>
      <c r="BM59" s="484" t="str">
        <f t="shared" si="50"/>
        <v/>
      </c>
      <c r="BN59" s="484" t="str">
        <f t="shared" si="51"/>
        <v/>
      </c>
      <c r="BO59" s="484" t="str">
        <f t="shared" si="52"/>
        <v/>
      </c>
      <c r="BP59" s="484" t="str">
        <f t="shared" si="53"/>
        <v/>
      </c>
      <c r="BQ59" s="485" t="str">
        <f t="shared" si="54"/>
        <v/>
      </c>
      <c r="BR59" s="486">
        <v>2</v>
      </c>
      <c r="BS59" s="487" cm="1">
        <f t="array" ref="BS59">IFERROR(INDEX(tblPurch_Mat[],MATCH(1,(tblPurch_Mat[Dataset ID]=BD59)*(tblPurch_Mat[Material Subcategory]=BB59),0),6),"confirm")</f>
        <v>0</v>
      </c>
      <c r="BT59" s="487" cm="1">
        <f t="array" ref="BT59">IFERROR(INDEX(tblPurch_Mat[],MATCH(1,(tblPurch_Mat[Dataset ID]=BD59)*(tblPurch_Mat[Material Subcategory]=BB59),0),7),"confirm")</f>
        <v>0</v>
      </c>
      <c r="BU59" s="487">
        <f t="shared" si="55"/>
        <v>0</v>
      </c>
      <c r="BV59" s="484" t="str">
        <f t="shared" si="56"/>
        <v/>
      </c>
      <c r="BW59" s="484" t="str">
        <f t="shared" si="57"/>
        <v/>
      </c>
      <c r="BX59" s="484" t="str">
        <f t="shared" si="58"/>
        <v/>
      </c>
      <c r="BY59" s="484" t="str">
        <f t="shared" si="59"/>
        <v/>
      </c>
      <c r="BZ59" s="484" t="str">
        <f t="shared" si="60"/>
        <v/>
      </c>
      <c r="CA59" s="484" t="str">
        <f t="shared" si="61"/>
        <v/>
      </c>
      <c r="CB59" s="484" t="str">
        <f t="shared" si="62"/>
        <v/>
      </c>
      <c r="CC59" s="484" t="str">
        <f t="shared" si="63"/>
        <v/>
      </c>
      <c r="CD59" s="484" t="str">
        <f t="shared" si="64"/>
        <v/>
      </c>
      <c r="CE59" s="484" t="str">
        <f t="shared" si="65"/>
        <v/>
      </c>
      <c r="CF59" s="484" t="str">
        <f t="shared" si="66"/>
        <v/>
      </c>
      <c r="CG59" s="484" t="str">
        <f t="shared" si="67"/>
        <v/>
      </c>
      <c r="CH59" s="485">
        <f t="shared" si="33"/>
        <v>0</v>
      </c>
      <c r="CJ59" s="3"/>
      <c r="CK59" s="488" t="str">
        <f t="shared" si="39"/>
        <v>_</v>
      </c>
      <c r="CL59" s="488">
        <f t="shared" si="68"/>
        <v>0</v>
      </c>
      <c r="CM59" s="488">
        <f t="shared" si="69"/>
        <v>0</v>
      </c>
      <c r="DD59" s="390">
        <f t="shared" si="35"/>
        <v>0</v>
      </c>
      <c r="DE59" s="31">
        <f t="shared" si="36"/>
        <v>14</v>
      </c>
      <c r="DF59" s="31">
        <f t="shared" si="37"/>
        <v>0</v>
      </c>
      <c r="DG59" s="31">
        <f t="shared" si="38"/>
        <v>0</v>
      </c>
    </row>
    <row r="60" spans="1:111" hidden="1" outlineLevel="1">
      <c r="A60" s="22"/>
      <c r="B60" s="272"/>
      <c r="C60" s="491"/>
      <c r="D60" s="492"/>
      <c r="E60" s="492"/>
      <c r="F60" s="492"/>
      <c r="G60" s="492"/>
      <c r="H60" s="492"/>
      <c r="I60" s="492"/>
      <c r="J60" s="492"/>
      <c r="K60" s="492"/>
      <c r="L60" s="492"/>
      <c r="M60" s="492"/>
      <c r="N60" s="492"/>
      <c r="O60" s="492"/>
      <c r="P60" s="469">
        <f t="shared" si="32"/>
        <v>0</v>
      </c>
      <c r="Q60" s="476">
        <f>IF(P60=0,0,(_xlfn.XLOOKUP(C60,Factors!$V$17:$V$72,Factors!$Z$17:$Z$72)*'Purchased Materials'!P60))</f>
        <v>0</v>
      </c>
      <c r="BA60" s="432" t="str">
        <f t="shared" si="40"/>
        <v/>
      </c>
      <c r="BB60" s="432" t="str">
        <f t="shared" si="41"/>
        <v/>
      </c>
      <c r="BC60" s="432">
        <v>1</v>
      </c>
      <c r="BD60" s="432" t="str">
        <f>_xlfn.LET(_xlpm.x,BB60,IF(LEN(_xlpm.x)&lt;1,"",IF(ISNUMBER(MATCH(_xlpm.x,ls_purchased_mat,0)),'Project Inputs'!$BF$14,99)))</f>
        <v/>
      </c>
      <c r="BE60" s="484" t="str">
        <f t="shared" si="42"/>
        <v/>
      </c>
      <c r="BF60" s="484" t="str">
        <f t="shared" si="43"/>
        <v/>
      </c>
      <c r="BG60" s="484" t="str">
        <f t="shared" si="44"/>
        <v/>
      </c>
      <c r="BH60" s="484" t="str">
        <f t="shared" si="45"/>
        <v/>
      </c>
      <c r="BI60" s="484" t="str">
        <f t="shared" si="46"/>
        <v/>
      </c>
      <c r="BJ60" s="484" t="str">
        <f t="shared" si="47"/>
        <v/>
      </c>
      <c r="BK60" s="484" t="str">
        <f t="shared" si="48"/>
        <v/>
      </c>
      <c r="BL60" s="484" t="str">
        <f t="shared" si="49"/>
        <v/>
      </c>
      <c r="BM60" s="484" t="str">
        <f t="shared" si="50"/>
        <v/>
      </c>
      <c r="BN60" s="484" t="str">
        <f t="shared" si="51"/>
        <v/>
      </c>
      <c r="BO60" s="484" t="str">
        <f t="shared" si="52"/>
        <v/>
      </c>
      <c r="BP60" s="484" t="str">
        <f t="shared" si="53"/>
        <v/>
      </c>
      <c r="BQ60" s="485" t="str">
        <f t="shared" si="54"/>
        <v/>
      </c>
      <c r="BR60" s="486">
        <v>2</v>
      </c>
      <c r="BS60" s="487" cm="1">
        <f t="array" ref="BS60">IFERROR(INDEX(tblPurch_Mat[],MATCH(1,(tblPurch_Mat[Dataset ID]=BD60)*(tblPurch_Mat[Material Subcategory]=BB60),0),6),"confirm")</f>
        <v>0</v>
      </c>
      <c r="BT60" s="487" cm="1">
        <f t="array" ref="BT60">IFERROR(INDEX(tblPurch_Mat[],MATCH(1,(tblPurch_Mat[Dataset ID]=BD60)*(tblPurch_Mat[Material Subcategory]=BB60),0),7),"confirm")</f>
        <v>0</v>
      </c>
      <c r="BU60" s="487">
        <f t="shared" si="55"/>
        <v>0</v>
      </c>
      <c r="BV60" s="484" t="str">
        <f t="shared" si="56"/>
        <v/>
      </c>
      <c r="BW60" s="484" t="str">
        <f t="shared" si="57"/>
        <v/>
      </c>
      <c r="BX60" s="484" t="str">
        <f t="shared" si="58"/>
        <v/>
      </c>
      <c r="BY60" s="484" t="str">
        <f t="shared" si="59"/>
        <v/>
      </c>
      <c r="BZ60" s="484" t="str">
        <f t="shared" si="60"/>
        <v/>
      </c>
      <c r="CA60" s="484" t="str">
        <f t="shared" si="61"/>
        <v/>
      </c>
      <c r="CB60" s="484" t="str">
        <f t="shared" si="62"/>
        <v/>
      </c>
      <c r="CC60" s="484" t="str">
        <f t="shared" si="63"/>
        <v/>
      </c>
      <c r="CD60" s="484" t="str">
        <f t="shared" si="64"/>
        <v/>
      </c>
      <c r="CE60" s="484" t="str">
        <f t="shared" si="65"/>
        <v/>
      </c>
      <c r="CF60" s="484" t="str">
        <f t="shared" si="66"/>
        <v/>
      </c>
      <c r="CG60" s="484" t="str">
        <f t="shared" si="67"/>
        <v/>
      </c>
      <c r="CH60" s="485">
        <f t="shared" si="33"/>
        <v>0</v>
      </c>
      <c r="CJ60" s="3"/>
      <c r="CK60" s="488" t="str">
        <f t="shared" si="39"/>
        <v>_</v>
      </c>
      <c r="CL60" s="488">
        <f t="shared" si="68"/>
        <v>0</v>
      </c>
      <c r="CM60" s="488">
        <f t="shared" si="69"/>
        <v>0</v>
      </c>
      <c r="DD60" s="390">
        <f t="shared" si="35"/>
        <v>0</v>
      </c>
      <c r="DE60" s="31">
        <f t="shared" si="36"/>
        <v>14</v>
      </c>
      <c r="DF60" s="31">
        <f t="shared" si="37"/>
        <v>0</v>
      </c>
      <c r="DG60" s="31">
        <f t="shared" si="38"/>
        <v>0</v>
      </c>
    </row>
    <row r="61" spans="1:111" hidden="1" outlineLevel="1">
      <c r="A61" s="22"/>
      <c r="B61" s="272"/>
      <c r="C61" s="491"/>
      <c r="D61" s="492"/>
      <c r="E61" s="492"/>
      <c r="F61" s="492"/>
      <c r="G61" s="492"/>
      <c r="H61" s="492"/>
      <c r="I61" s="492"/>
      <c r="J61" s="492"/>
      <c r="K61" s="492"/>
      <c r="L61" s="492"/>
      <c r="M61" s="492"/>
      <c r="N61" s="492"/>
      <c r="O61" s="492"/>
      <c r="P61" s="469">
        <f t="shared" si="32"/>
        <v>0</v>
      </c>
      <c r="Q61" s="476">
        <f>IF(P61=0,0,(_xlfn.XLOOKUP(C61,Factors!$V$17:$V$72,Factors!$Z$17:$Z$72)*'Purchased Materials'!P61))</f>
        <v>0</v>
      </c>
      <c r="BA61" s="432" t="str">
        <f t="shared" si="40"/>
        <v/>
      </c>
      <c r="BB61" s="432" t="str">
        <f t="shared" si="41"/>
        <v/>
      </c>
      <c r="BC61" s="432">
        <v>1</v>
      </c>
      <c r="BD61" s="432" t="str">
        <f>_xlfn.LET(_xlpm.x,BB61,IF(LEN(_xlpm.x)&lt;1,"",IF(ISNUMBER(MATCH(_xlpm.x,ls_purchased_mat,0)),'Project Inputs'!$BF$14,99)))</f>
        <v/>
      </c>
      <c r="BE61" s="484" t="str">
        <f t="shared" si="42"/>
        <v/>
      </c>
      <c r="BF61" s="484" t="str">
        <f t="shared" si="43"/>
        <v/>
      </c>
      <c r="BG61" s="484" t="str">
        <f t="shared" si="44"/>
        <v/>
      </c>
      <c r="BH61" s="484" t="str">
        <f t="shared" si="45"/>
        <v/>
      </c>
      <c r="BI61" s="484" t="str">
        <f t="shared" si="46"/>
        <v/>
      </c>
      <c r="BJ61" s="484" t="str">
        <f t="shared" si="47"/>
        <v/>
      </c>
      <c r="BK61" s="484" t="str">
        <f t="shared" si="48"/>
        <v/>
      </c>
      <c r="BL61" s="484" t="str">
        <f t="shared" si="49"/>
        <v/>
      </c>
      <c r="BM61" s="484" t="str">
        <f t="shared" si="50"/>
        <v/>
      </c>
      <c r="BN61" s="484" t="str">
        <f t="shared" si="51"/>
        <v/>
      </c>
      <c r="BO61" s="484" t="str">
        <f t="shared" si="52"/>
        <v/>
      </c>
      <c r="BP61" s="484" t="str">
        <f t="shared" si="53"/>
        <v/>
      </c>
      <c r="BQ61" s="485" t="str">
        <f t="shared" si="54"/>
        <v/>
      </c>
      <c r="BR61" s="486">
        <v>2</v>
      </c>
      <c r="BS61" s="487" cm="1">
        <f t="array" ref="BS61">IFERROR(INDEX(tblPurch_Mat[],MATCH(1,(tblPurch_Mat[Dataset ID]=BD61)*(tblPurch_Mat[Material Subcategory]=BB61),0),6),"confirm")</f>
        <v>0</v>
      </c>
      <c r="BT61" s="487" cm="1">
        <f t="array" ref="BT61">IFERROR(INDEX(tblPurch_Mat[],MATCH(1,(tblPurch_Mat[Dataset ID]=BD61)*(tblPurch_Mat[Material Subcategory]=BB61),0),7),"confirm")</f>
        <v>0</v>
      </c>
      <c r="BU61" s="487">
        <f t="shared" si="55"/>
        <v>0</v>
      </c>
      <c r="BV61" s="484" t="str">
        <f t="shared" si="56"/>
        <v/>
      </c>
      <c r="BW61" s="484" t="str">
        <f t="shared" si="57"/>
        <v/>
      </c>
      <c r="BX61" s="484" t="str">
        <f t="shared" si="58"/>
        <v/>
      </c>
      <c r="BY61" s="484" t="str">
        <f t="shared" si="59"/>
        <v/>
      </c>
      <c r="BZ61" s="484" t="str">
        <f t="shared" si="60"/>
        <v/>
      </c>
      <c r="CA61" s="484" t="str">
        <f t="shared" si="61"/>
        <v/>
      </c>
      <c r="CB61" s="484" t="str">
        <f t="shared" si="62"/>
        <v/>
      </c>
      <c r="CC61" s="484" t="str">
        <f t="shared" si="63"/>
        <v/>
      </c>
      <c r="CD61" s="484" t="str">
        <f t="shared" si="64"/>
        <v/>
      </c>
      <c r="CE61" s="484" t="str">
        <f t="shared" si="65"/>
        <v/>
      </c>
      <c r="CF61" s="484" t="str">
        <f t="shared" si="66"/>
        <v/>
      </c>
      <c r="CG61" s="484" t="str">
        <f t="shared" si="67"/>
        <v/>
      </c>
      <c r="CH61" s="485">
        <f t="shared" si="33"/>
        <v>0</v>
      </c>
      <c r="CJ61" s="3"/>
      <c r="CK61" s="488" t="str">
        <f t="shared" si="39"/>
        <v>_</v>
      </c>
      <c r="CL61" s="488">
        <f t="shared" si="68"/>
        <v>0</v>
      </c>
      <c r="CM61" s="488">
        <f t="shared" si="69"/>
        <v>0</v>
      </c>
      <c r="DD61" s="390">
        <f t="shared" si="35"/>
        <v>0</v>
      </c>
      <c r="DE61" s="31">
        <f t="shared" si="36"/>
        <v>14</v>
      </c>
      <c r="DF61" s="31">
        <f t="shared" si="37"/>
        <v>0</v>
      </c>
      <c r="DG61" s="31">
        <f t="shared" si="38"/>
        <v>0</v>
      </c>
    </row>
    <row r="62" spans="1:111" hidden="1" outlineLevel="1">
      <c r="A62" s="22"/>
      <c r="B62" s="272"/>
      <c r="C62" s="491"/>
      <c r="D62" s="492"/>
      <c r="E62" s="492"/>
      <c r="F62" s="492"/>
      <c r="G62" s="492"/>
      <c r="H62" s="492"/>
      <c r="I62" s="492"/>
      <c r="J62" s="492"/>
      <c r="K62" s="492"/>
      <c r="L62" s="492"/>
      <c r="M62" s="492"/>
      <c r="N62" s="492"/>
      <c r="O62" s="492"/>
      <c r="P62" s="469">
        <f t="shared" si="32"/>
        <v>0</v>
      </c>
      <c r="Q62" s="476">
        <f>IF(P62=0,0,(_xlfn.XLOOKUP(C62,Factors!$V$17:$V$72,Factors!$Z$17:$Z$72)*'Purchased Materials'!P62))</f>
        <v>0</v>
      </c>
      <c r="BA62" s="432" t="str">
        <f t="shared" si="40"/>
        <v/>
      </c>
      <c r="BB62" s="432" t="str">
        <f t="shared" si="41"/>
        <v/>
      </c>
      <c r="BC62" s="432">
        <v>1</v>
      </c>
      <c r="BD62" s="432" t="str">
        <f>_xlfn.LET(_xlpm.x,BB62,IF(LEN(_xlpm.x)&lt;1,"",IF(ISNUMBER(MATCH(_xlpm.x,ls_purchased_mat,0)),'Project Inputs'!$BF$14,99)))</f>
        <v/>
      </c>
      <c r="BE62" s="484" t="str">
        <f t="shared" si="42"/>
        <v/>
      </c>
      <c r="BF62" s="484" t="str">
        <f t="shared" si="43"/>
        <v/>
      </c>
      <c r="BG62" s="484" t="str">
        <f t="shared" si="44"/>
        <v/>
      </c>
      <c r="BH62" s="484" t="str">
        <f t="shared" si="45"/>
        <v/>
      </c>
      <c r="BI62" s="484" t="str">
        <f t="shared" si="46"/>
        <v/>
      </c>
      <c r="BJ62" s="484" t="str">
        <f t="shared" si="47"/>
        <v/>
      </c>
      <c r="BK62" s="484" t="str">
        <f t="shared" si="48"/>
        <v/>
      </c>
      <c r="BL62" s="484" t="str">
        <f t="shared" si="49"/>
        <v/>
      </c>
      <c r="BM62" s="484" t="str">
        <f t="shared" si="50"/>
        <v/>
      </c>
      <c r="BN62" s="484" t="str">
        <f t="shared" si="51"/>
        <v/>
      </c>
      <c r="BO62" s="484" t="str">
        <f t="shared" si="52"/>
        <v/>
      </c>
      <c r="BP62" s="484" t="str">
        <f t="shared" si="53"/>
        <v/>
      </c>
      <c r="BQ62" s="485" t="str">
        <f t="shared" si="54"/>
        <v/>
      </c>
      <c r="BR62" s="486">
        <v>2</v>
      </c>
      <c r="BS62" s="487" cm="1">
        <f t="array" ref="BS62">IFERROR(INDEX(tblPurch_Mat[],MATCH(1,(tblPurch_Mat[Dataset ID]=BD62)*(tblPurch_Mat[Material Subcategory]=BB62),0),6),"confirm")</f>
        <v>0</v>
      </c>
      <c r="BT62" s="487" cm="1">
        <f t="array" ref="BT62">IFERROR(INDEX(tblPurch_Mat[],MATCH(1,(tblPurch_Mat[Dataset ID]=BD62)*(tblPurch_Mat[Material Subcategory]=BB62),0),7),"confirm")</f>
        <v>0</v>
      </c>
      <c r="BU62" s="487">
        <f t="shared" si="55"/>
        <v>0</v>
      </c>
      <c r="BV62" s="484" t="str">
        <f t="shared" si="56"/>
        <v/>
      </c>
      <c r="BW62" s="484" t="str">
        <f t="shared" si="57"/>
        <v/>
      </c>
      <c r="BX62" s="484" t="str">
        <f t="shared" si="58"/>
        <v/>
      </c>
      <c r="BY62" s="484" t="str">
        <f t="shared" si="59"/>
        <v/>
      </c>
      <c r="BZ62" s="484" t="str">
        <f t="shared" si="60"/>
        <v/>
      </c>
      <c r="CA62" s="484" t="str">
        <f t="shared" si="61"/>
        <v/>
      </c>
      <c r="CB62" s="484" t="str">
        <f t="shared" si="62"/>
        <v/>
      </c>
      <c r="CC62" s="484" t="str">
        <f t="shared" si="63"/>
        <v/>
      </c>
      <c r="CD62" s="484" t="str">
        <f t="shared" si="64"/>
        <v/>
      </c>
      <c r="CE62" s="484" t="str">
        <f t="shared" si="65"/>
        <v/>
      </c>
      <c r="CF62" s="484" t="str">
        <f t="shared" si="66"/>
        <v/>
      </c>
      <c r="CG62" s="484" t="str">
        <f t="shared" si="67"/>
        <v/>
      </c>
      <c r="CH62" s="485">
        <f t="shared" si="33"/>
        <v>0</v>
      </c>
      <c r="CJ62" s="3"/>
      <c r="CK62" s="488" t="str">
        <f t="shared" si="39"/>
        <v>_</v>
      </c>
      <c r="CL62" s="488">
        <f t="shared" si="68"/>
        <v>0</v>
      </c>
      <c r="CM62" s="488">
        <f t="shared" si="69"/>
        <v>0</v>
      </c>
      <c r="DD62" s="390">
        <f t="shared" si="35"/>
        <v>0</v>
      </c>
      <c r="DE62" s="31">
        <f t="shared" si="36"/>
        <v>14</v>
      </c>
      <c r="DF62" s="31">
        <f t="shared" si="37"/>
        <v>0</v>
      </c>
      <c r="DG62" s="31">
        <f t="shared" si="38"/>
        <v>0</v>
      </c>
    </row>
    <row r="63" spans="1:111" hidden="1" outlineLevel="1">
      <c r="A63" s="22"/>
      <c r="B63" s="272"/>
      <c r="C63" s="491"/>
      <c r="D63" s="492"/>
      <c r="E63" s="492"/>
      <c r="F63" s="492"/>
      <c r="G63" s="492"/>
      <c r="H63" s="492"/>
      <c r="I63" s="492"/>
      <c r="J63" s="492"/>
      <c r="K63" s="492"/>
      <c r="L63" s="492"/>
      <c r="M63" s="492"/>
      <c r="N63" s="492"/>
      <c r="O63" s="492"/>
      <c r="P63" s="469">
        <f t="shared" si="32"/>
        <v>0</v>
      </c>
      <c r="Q63" s="476">
        <f>IF(P63=0,0,(_xlfn.XLOOKUP(C63,Factors!$V$17:$V$72,Factors!$Z$17:$Z$72)*'Purchased Materials'!P63))</f>
        <v>0</v>
      </c>
      <c r="BA63" s="432" t="str">
        <f t="shared" si="40"/>
        <v/>
      </c>
      <c r="BB63" s="432" t="str">
        <f t="shared" si="41"/>
        <v/>
      </c>
      <c r="BC63" s="432">
        <v>1</v>
      </c>
      <c r="BD63" s="432" t="str">
        <f>_xlfn.LET(_xlpm.x,BB63,IF(LEN(_xlpm.x)&lt;1,"",IF(ISNUMBER(MATCH(_xlpm.x,ls_purchased_mat,0)),'Project Inputs'!$BF$14,99)))</f>
        <v/>
      </c>
      <c r="BE63" s="484" t="str">
        <f t="shared" si="42"/>
        <v/>
      </c>
      <c r="BF63" s="484" t="str">
        <f t="shared" si="43"/>
        <v/>
      </c>
      <c r="BG63" s="484" t="str">
        <f t="shared" si="44"/>
        <v/>
      </c>
      <c r="BH63" s="484" t="str">
        <f t="shared" si="45"/>
        <v/>
      </c>
      <c r="BI63" s="484" t="str">
        <f t="shared" si="46"/>
        <v/>
      </c>
      <c r="BJ63" s="484" t="str">
        <f t="shared" si="47"/>
        <v/>
      </c>
      <c r="BK63" s="484" t="str">
        <f t="shared" si="48"/>
        <v/>
      </c>
      <c r="BL63" s="484" t="str">
        <f t="shared" si="49"/>
        <v/>
      </c>
      <c r="BM63" s="484" t="str">
        <f t="shared" si="50"/>
        <v/>
      </c>
      <c r="BN63" s="484" t="str">
        <f t="shared" si="51"/>
        <v/>
      </c>
      <c r="BO63" s="484" t="str">
        <f t="shared" si="52"/>
        <v/>
      </c>
      <c r="BP63" s="484" t="str">
        <f t="shared" si="53"/>
        <v/>
      </c>
      <c r="BQ63" s="485" t="str">
        <f t="shared" si="54"/>
        <v/>
      </c>
      <c r="BR63" s="486">
        <v>2</v>
      </c>
      <c r="BS63" s="487" cm="1">
        <f t="array" ref="BS63">IFERROR(INDEX(tblPurch_Mat[],MATCH(1,(tblPurch_Mat[Dataset ID]=BD63)*(tblPurch_Mat[Material Subcategory]=BB63),0),6),"confirm")</f>
        <v>0</v>
      </c>
      <c r="BT63" s="487" cm="1">
        <f t="array" ref="BT63">IFERROR(INDEX(tblPurch_Mat[],MATCH(1,(tblPurch_Mat[Dataset ID]=BD63)*(tblPurch_Mat[Material Subcategory]=BB63),0),7),"confirm")</f>
        <v>0</v>
      </c>
      <c r="BU63" s="487">
        <f t="shared" si="55"/>
        <v>0</v>
      </c>
      <c r="BV63" s="484" t="str">
        <f t="shared" si="56"/>
        <v/>
      </c>
      <c r="BW63" s="484" t="str">
        <f t="shared" si="57"/>
        <v/>
      </c>
      <c r="BX63" s="484" t="str">
        <f t="shared" si="58"/>
        <v/>
      </c>
      <c r="BY63" s="484" t="str">
        <f t="shared" si="59"/>
        <v/>
      </c>
      <c r="BZ63" s="484" t="str">
        <f t="shared" si="60"/>
        <v/>
      </c>
      <c r="CA63" s="484" t="str">
        <f t="shared" si="61"/>
        <v/>
      </c>
      <c r="CB63" s="484" t="str">
        <f t="shared" si="62"/>
        <v/>
      </c>
      <c r="CC63" s="484" t="str">
        <f t="shared" si="63"/>
        <v/>
      </c>
      <c r="CD63" s="484" t="str">
        <f t="shared" si="64"/>
        <v/>
      </c>
      <c r="CE63" s="484" t="str">
        <f t="shared" si="65"/>
        <v/>
      </c>
      <c r="CF63" s="484" t="str">
        <f t="shared" si="66"/>
        <v/>
      </c>
      <c r="CG63" s="484" t="str">
        <f t="shared" si="67"/>
        <v/>
      </c>
      <c r="CH63" s="485">
        <f t="shared" si="33"/>
        <v>0</v>
      </c>
      <c r="CJ63" s="3"/>
      <c r="CK63" s="488" t="str">
        <f t="shared" si="39"/>
        <v>_</v>
      </c>
      <c r="CL63" s="488">
        <f t="shared" si="68"/>
        <v>0</v>
      </c>
      <c r="CM63" s="488">
        <f t="shared" si="69"/>
        <v>0</v>
      </c>
      <c r="DD63" s="390">
        <f t="shared" si="35"/>
        <v>0</v>
      </c>
      <c r="DE63" s="31">
        <f t="shared" si="36"/>
        <v>14</v>
      </c>
      <c r="DF63" s="31">
        <f t="shared" si="37"/>
        <v>0</v>
      </c>
      <c r="DG63" s="31">
        <f t="shared" si="38"/>
        <v>0</v>
      </c>
    </row>
    <row r="64" spans="1:111" hidden="1" outlineLevel="1">
      <c r="A64" s="22"/>
      <c r="B64" s="272"/>
      <c r="C64" s="491"/>
      <c r="D64" s="492"/>
      <c r="E64" s="492"/>
      <c r="F64" s="492"/>
      <c r="G64" s="492"/>
      <c r="H64" s="492"/>
      <c r="I64" s="492"/>
      <c r="J64" s="492"/>
      <c r="K64" s="492"/>
      <c r="L64" s="492"/>
      <c r="M64" s="492"/>
      <c r="N64" s="492"/>
      <c r="O64" s="492"/>
      <c r="P64" s="469">
        <f t="shared" si="32"/>
        <v>0</v>
      </c>
      <c r="Q64" s="476">
        <f>IF(P64=0,0,(_xlfn.XLOOKUP(C64,Factors!$V$17:$V$72,Factors!$Z$17:$Z$72)*'Purchased Materials'!P64))</f>
        <v>0</v>
      </c>
      <c r="BA64" s="432" t="str">
        <f t="shared" si="40"/>
        <v/>
      </c>
      <c r="BB64" s="432" t="str">
        <f t="shared" si="41"/>
        <v/>
      </c>
      <c r="BC64" s="432">
        <v>1</v>
      </c>
      <c r="BD64" s="432" t="str">
        <f>_xlfn.LET(_xlpm.x,BB64,IF(LEN(_xlpm.x)&lt;1,"",IF(ISNUMBER(MATCH(_xlpm.x,ls_purchased_mat,0)),'Project Inputs'!$BF$14,99)))</f>
        <v/>
      </c>
      <c r="BE64" s="484" t="str">
        <f t="shared" si="42"/>
        <v/>
      </c>
      <c r="BF64" s="484" t="str">
        <f t="shared" si="43"/>
        <v/>
      </c>
      <c r="BG64" s="484" t="str">
        <f t="shared" si="44"/>
        <v/>
      </c>
      <c r="BH64" s="484" t="str">
        <f t="shared" si="45"/>
        <v/>
      </c>
      <c r="BI64" s="484" t="str">
        <f t="shared" si="46"/>
        <v/>
      </c>
      <c r="BJ64" s="484" t="str">
        <f t="shared" si="47"/>
        <v/>
      </c>
      <c r="BK64" s="484" t="str">
        <f t="shared" si="48"/>
        <v/>
      </c>
      <c r="BL64" s="484" t="str">
        <f t="shared" si="49"/>
        <v/>
      </c>
      <c r="BM64" s="484" t="str">
        <f t="shared" si="50"/>
        <v/>
      </c>
      <c r="BN64" s="484" t="str">
        <f t="shared" si="51"/>
        <v/>
      </c>
      <c r="BO64" s="484" t="str">
        <f t="shared" si="52"/>
        <v/>
      </c>
      <c r="BP64" s="484" t="str">
        <f t="shared" si="53"/>
        <v/>
      </c>
      <c r="BQ64" s="485" t="str">
        <f t="shared" si="54"/>
        <v/>
      </c>
      <c r="BR64" s="486">
        <v>2</v>
      </c>
      <c r="BS64" s="487" cm="1">
        <f t="array" ref="BS64">IFERROR(INDEX(tblPurch_Mat[],MATCH(1,(tblPurch_Mat[Dataset ID]=BD64)*(tblPurch_Mat[Material Subcategory]=BB64),0),6),"confirm")</f>
        <v>0</v>
      </c>
      <c r="BT64" s="487" cm="1">
        <f t="array" ref="BT64">IFERROR(INDEX(tblPurch_Mat[],MATCH(1,(tblPurch_Mat[Dataset ID]=BD64)*(tblPurch_Mat[Material Subcategory]=BB64),0),7),"confirm")</f>
        <v>0</v>
      </c>
      <c r="BU64" s="487">
        <f t="shared" si="55"/>
        <v>0</v>
      </c>
      <c r="BV64" s="484" t="str">
        <f t="shared" si="56"/>
        <v/>
      </c>
      <c r="BW64" s="484" t="str">
        <f t="shared" si="57"/>
        <v/>
      </c>
      <c r="BX64" s="484" t="str">
        <f t="shared" si="58"/>
        <v/>
      </c>
      <c r="BY64" s="484" t="str">
        <f t="shared" si="59"/>
        <v/>
      </c>
      <c r="BZ64" s="484" t="str">
        <f t="shared" si="60"/>
        <v/>
      </c>
      <c r="CA64" s="484" t="str">
        <f t="shared" si="61"/>
        <v/>
      </c>
      <c r="CB64" s="484" t="str">
        <f t="shared" si="62"/>
        <v/>
      </c>
      <c r="CC64" s="484" t="str">
        <f t="shared" si="63"/>
        <v/>
      </c>
      <c r="CD64" s="484" t="str">
        <f t="shared" si="64"/>
        <v/>
      </c>
      <c r="CE64" s="484" t="str">
        <f t="shared" si="65"/>
        <v/>
      </c>
      <c r="CF64" s="484" t="str">
        <f t="shared" si="66"/>
        <v/>
      </c>
      <c r="CG64" s="484" t="str">
        <f t="shared" si="67"/>
        <v/>
      </c>
      <c r="CH64" s="485">
        <f t="shared" si="33"/>
        <v>0</v>
      </c>
      <c r="CJ64" s="3"/>
      <c r="CK64" s="488" t="str">
        <f t="shared" si="39"/>
        <v>_</v>
      </c>
      <c r="CL64" s="488">
        <f t="shared" si="68"/>
        <v>0</v>
      </c>
      <c r="CM64" s="488">
        <f t="shared" si="69"/>
        <v>0</v>
      </c>
      <c r="DD64" s="390">
        <f t="shared" si="35"/>
        <v>0</v>
      </c>
      <c r="DE64" s="31">
        <f t="shared" si="36"/>
        <v>14</v>
      </c>
      <c r="DF64" s="31">
        <f t="shared" si="37"/>
        <v>0</v>
      </c>
      <c r="DG64" s="31">
        <f t="shared" si="38"/>
        <v>0</v>
      </c>
    </row>
    <row r="65" spans="1:111" hidden="1" outlineLevel="1">
      <c r="A65" s="22"/>
      <c r="B65" s="272"/>
      <c r="C65" s="491"/>
      <c r="D65" s="492"/>
      <c r="E65" s="492"/>
      <c r="F65" s="492"/>
      <c r="G65" s="492"/>
      <c r="H65" s="492"/>
      <c r="I65" s="492"/>
      <c r="J65" s="492"/>
      <c r="K65" s="492"/>
      <c r="L65" s="492"/>
      <c r="M65" s="492"/>
      <c r="N65" s="492"/>
      <c r="O65" s="492"/>
      <c r="P65" s="469">
        <f t="shared" si="32"/>
        <v>0</v>
      </c>
      <c r="Q65" s="476">
        <f>IF(P65=0,0,(_xlfn.XLOOKUP(C65,Factors!$V$17:$V$72,Factors!$Z$17:$Z$72)*'Purchased Materials'!P65))</f>
        <v>0</v>
      </c>
      <c r="BA65" s="432" t="str">
        <f t="shared" si="40"/>
        <v/>
      </c>
      <c r="BB65" s="432" t="str">
        <f t="shared" si="41"/>
        <v/>
      </c>
      <c r="BC65" s="432">
        <v>1</v>
      </c>
      <c r="BD65" s="432" t="str">
        <f>_xlfn.LET(_xlpm.x,BB65,IF(LEN(_xlpm.x)&lt;1,"",IF(ISNUMBER(MATCH(_xlpm.x,ls_purchased_mat,0)),'Project Inputs'!$BF$14,99)))</f>
        <v/>
      </c>
      <c r="BE65" s="484" t="str">
        <f t="shared" si="42"/>
        <v/>
      </c>
      <c r="BF65" s="484" t="str">
        <f t="shared" si="43"/>
        <v/>
      </c>
      <c r="BG65" s="484" t="str">
        <f t="shared" si="44"/>
        <v/>
      </c>
      <c r="BH65" s="484" t="str">
        <f t="shared" si="45"/>
        <v/>
      </c>
      <c r="BI65" s="484" t="str">
        <f t="shared" si="46"/>
        <v/>
      </c>
      <c r="BJ65" s="484" t="str">
        <f t="shared" si="47"/>
        <v/>
      </c>
      <c r="BK65" s="484" t="str">
        <f t="shared" si="48"/>
        <v/>
      </c>
      <c r="BL65" s="484" t="str">
        <f t="shared" si="49"/>
        <v/>
      </c>
      <c r="BM65" s="484" t="str">
        <f t="shared" si="50"/>
        <v/>
      </c>
      <c r="BN65" s="484" t="str">
        <f t="shared" si="51"/>
        <v/>
      </c>
      <c r="BO65" s="484" t="str">
        <f t="shared" si="52"/>
        <v/>
      </c>
      <c r="BP65" s="484" t="str">
        <f t="shared" si="53"/>
        <v/>
      </c>
      <c r="BQ65" s="485" t="str">
        <f t="shared" si="54"/>
        <v/>
      </c>
      <c r="BR65" s="486">
        <v>2</v>
      </c>
      <c r="BS65" s="487" cm="1">
        <f t="array" ref="BS65">IFERROR(INDEX(tblPurch_Mat[],MATCH(1,(tblPurch_Mat[Dataset ID]=BD65)*(tblPurch_Mat[Material Subcategory]=BB65),0),6),"confirm")</f>
        <v>0</v>
      </c>
      <c r="BT65" s="487" cm="1">
        <f t="array" ref="BT65">IFERROR(INDEX(tblPurch_Mat[],MATCH(1,(tblPurch_Mat[Dataset ID]=BD65)*(tblPurch_Mat[Material Subcategory]=BB65),0),7),"confirm")</f>
        <v>0</v>
      </c>
      <c r="BU65" s="487">
        <f t="shared" si="55"/>
        <v>0</v>
      </c>
      <c r="BV65" s="484" t="str">
        <f t="shared" si="56"/>
        <v/>
      </c>
      <c r="BW65" s="484" t="str">
        <f t="shared" si="57"/>
        <v/>
      </c>
      <c r="BX65" s="484" t="str">
        <f t="shared" si="58"/>
        <v/>
      </c>
      <c r="BY65" s="484" t="str">
        <f t="shared" si="59"/>
        <v/>
      </c>
      <c r="BZ65" s="484" t="str">
        <f t="shared" si="60"/>
        <v/>
      </c>
      <c r="CA65" s="484" t="str">
        <f t="shared" si="61"/>
        <v/>
      </c>
      <c r="CB65" s="484" t="str">
        <f t="shared" si="62"/>
        <v/>
      </c>
      <c r="CC65" s="484" t="str">
        <f t="shared" si="63"/>
        <v/>
      </c>
      <c r="CD65" s="484" t="str">
        <f t="shared" si="64"/>
        <v/>
      </c>
      <c r="CE65" s="484" t="str">
        <f t="shared" si="65"/>
        <v/>
      </c>
      <c r="CF65" s="484" t="str">
        <f t="shared" si="66"/>
        <v/>
      </c>
      <c r="CG65" s="484" t="str">
        <f t="shared" si="67"/>
        <v/>
      </c>
      <c r="CH65" s="485">
        <f t="shared" si="33"/>
        <v>0</v>
      </c>
      <c r="CJ65" s="3"/>
      <c r="CK65" s="488" t="str">
        <f t="shared" si="39"/>
        <v>_</v>
      </c>
      <c r="CL65" s="488">
        <f t="shared" si="68"/>
        <v>0</v>
      </c>
      <c r="CM65" s="488">
        <f t="shared" si="69"/>
        <v>0</v>
      </c>
      <c r="DD65" s="390">
        <f t="shared" si="35"/>
        <v>0</v>
      </c>
      <c r="DE65" s="31">
        <f t="shared" si="36"/>
        <v>14</v>
      </c>
      <c r="DF65" s="31">
        <f t="shared" si="37"/>
        <v>0</v>
      </c>
      <c r="DG65" s="31">
        <f t="shared" si="38"/>
        <v>0</v>
      </c>
    </row>
    <row r="66" spans="1:111" hidden="1" outlineLevel="1">
      <c r="A66" s="22"/>
      <c r="B66" s="272"/>
      <c r="C66" s="491"/>
      <c r="D66" s="492"/>
      <c r="E66" s="492"/>
      <c r="F66" s="492"/>
      <c r="G66" s="492"/>
      <c r="H66" s="492"/>
      <c r="I66" s="492"/>
      <c r="J66" s="492"/>
      <c r="K66" s="492"/>
      <c r="L66" s="492"/>
      <c r="M66" s="492"/>
      <c r="N66" s="492"/>
      <c r="O66" s="492"/>
      <c r="P66" s="469">
        <f t="shared" si="32"/>
        <v>0</v>
      </c>
      <c r="Q66" s="476">
        <f>IF(P66=0,0,(_xlfn.XLOOKUP(C66,Factors!$V$17:$V$72,Factors!$Z$17:$Z$72)*'Purchased Materials'!P66))</f>
        <v>0</v>
      </c>
      <c r="BA66" s="432" t="str">
        <f t="shared" si="40"/>
        <v/>
      </c>
      <c r="BB66" s="432" t="str">
        <f t="shared" si="41"/>
        <v/>
      </c>
      <c r="BC66" s="432">
        <v>1</v>
      </c>
      <c r="BD66" s="432" t="str">
        <f>_xlfn.LET(_xlpm.x,BB66,IF(LEN(_xlpm.x)&lt;1,"",IF(ISNUMBER(MATCH(_xlpm.x,ls_purchased_mat,0)),'Project Inputs'!$BF$14,99)))</f>
        <v/>
      </c>
      <c r="BE66" s="484" t="str">
        <f t="shared" si="42"/>
        <v/>
      </c>
      <c r="BF66" s="484" t="str">
        <f t="shared" si="43"/>
        <v/>
      </c>
      <c r="BG66" s="484" t="str">
        <f t="shared" si="44"/>
        <v/>
      </c>
      <c r="BH66" s="484" t="str">
        <f t="shared" si="45"/>
        <v/>
      </c>
      <c r="BI66" s="484" t="str">
        <f t="shared" si="46"/>
        <v/>
      </c>
      <c r="BJ66" s="484" t="str">
        <f t="shared" si="47"/>
        <v/>
      </c>
      <c r="BK66" s="484" t="str">
        <f t="shared" si="48"/>
        <v/>
      </c>
      <c r="BL66" s="484" t="str">
        <f t="shared" si="49"/>
        <v/>
      </c>
      <c r="BM66" s="484" t="str">
        <f t="shared" si="50"/>
        <v/>
      </c>
      <c r="BN66" s="484" t="str">
        <f t="shared" si="51"/>
        <v/>
      </c>
      <c r="BO66" s="484" t="str">
        <f t="shared" si="52"/>
        <v/>
      </c>
      <c r="BP66" s="484" t="str">
        <f t="shared" si="53"/>
        <v/>
      </c>
      <c r="BQ66" s="485" t="str">
        <f t="shared" si="54"/>
        <v/>
      </c>
      <c r="BR66" s="486">
        <v>2</v>
      </c>
      <c r="BS66" s="487" cm="1">
        <f t="array" ref="BS66">IFERROR(INDEX(tblPurch_Mat[],MATCH(1,(tblPurch_Mat[Dataset ID]=BD66)*(tblPurch_Mat[Material Subcategory]=BB66),0),6),"confirm")</f>
        <v>0</v>
      </c>
      <c r="BT66" s="487" cm="1">
        <f t="array" ref="BT66">IFERROR(INDEX(tblPurch_Mat[],MATCH(1,(tblPurch_Mat[Dataset ID]=BD66)*(tblPurch_Mat[Material Subcategory]=BB66),0),7),"confirm")</f>
        <v>0</v>
      </c>
      <c r="BU66" s="487">
        <f t="shared" si="55"/>
        <v>0</v>
      </c>
      <c r="BV66" s="484" t="str">
        <f t="shared" si="56"/>
        <v/>
      </c>
      <c r="BW66" s="484" t="str">
        <f t="shared" si="57"/>
        <v/>
      </c>
      <c r="BX66" s="484" t="str">
        <f t="shared" si="58"/>
        <v/>
      </c>
      <c r="BY66" s="484" t="str">
        <f t="shared" si="59"/>
        <v/>
      </c>
      <c r="BZ66" s="484" t="str">
        <f t="shared" si="60"/>
        <v/>
      </c>
      <c r="CA66" s="484" t="str">
        <f t="shared" si="61"/>
        <v/>
      </c>
      <c r="CB66" s="484" t="str">
        <f t="shared" si="62"/>
        <v/>
      </c>
      <c r="CC66" s="484" t="str">
        <f t="shared" si="63"/>
        <v/>
      </c>
      <c r="CD66" s="484" t="str">
        <f t="shared" si="64"/>
        <v/>
      </c>
      <c r="CE66" s="484" t="str">
        <f t="shared" si="65"/>
        <v/>
      </c>
      <c r="CF66" s="484" t="str">
        <f t="shared" si="66"/>
        <v/>
      </c>
      <c r="CG66" s="484" t="str">
        <f t="shared" si="67"/>
        <v/>
      </c>
      <c r="CH66" s="485">
        <f t="shared" si="33"/>
        <v>0</v>
      </c>
      <c r="CJ66" s="3"/>
      <c r="CK66" s="488" t="str">
        <f t="shared" si="39"/>
        <v>_</v>
      </c>
      <c r="CL66" s="488">
        <f t="shared" si="68"/>
        <v>0</v>
      </c>
      <c r="CM66" s="488">
        <f t="shared" si="69"/>
        <v>0</v>
      </c>
      <c r="DD66" s="390">
        <f t="shared" si="35"/>
        <v>0</v>
      </c>
      <c r="DE66" s="31">
        <f t="shared" si="36"/>
        <v>14</v>
      </c>
      <c r="DF66" s="31">
        <f t="shared" si="37"/>
        <v>0</v>
      </c>
      <c r="DG66" s="31">
        <f t="shared" si="38"/>
        <v>0</v>
      </c>
    </row>
    <row r="67" spans="1:111" hidden="1" outlineLevel="1">
      <c r="A67" s="22"/>
      <c r="B67" s="272"/>
      <c r="C67" s="491"/>
      <c r="D67" s="492"/>
      <c r="E67" s="492"/>
      <c r="F67" s="492"/>
      <c r="G67" s="492"/>
      <c r="H67" s="492"/>
      <c r="I67" s="492"/>
      <c r="J67" s="492"/>
      <c r="K67" s="492"/>
      <c r="L67" s="492"/>
      <c r="M67" s="492"/>
      <c r="N67" s="492"/>
      <c r="O67" s="492"/>
      <c r="P67" s="469">
        <f t="shared" si="32"/>
        <v>0</v>
      </c>
      <c r="Q67" s="476">
        <f>IF(P67=0,0,(_xlfn.XLOOKUP(C67,Factors!$V$17:$V$72,Factors!$Z$17:$Z$72)*'Purchased Materials'!P67))</f>
        <v>0</v>
      </c>
      <c r="BA67" s="432" t="str">
        <f t="shared" si="40"/>
        <v/>
      </c>
      <c r="BB67" s="432" t="str">
        <f t="shared" si="41"/>
        <v/>
      </c>
      <c r="BC67" s="432">
        <v>1</v>
      </c>
      <c r="BD67" s="432" t="str">
        <f>_xlfn.LET(_xlpm.x,BB67,IF(LEN(_xlpm.x)&lt;1,"",IF(ISNUMBER(MATCH(_xlpm.x,ls_purchased_mat,0)),'Project Inputs'!$BF$14,99)))</f>
        <v/>
      </c>
      <c r="BE67" s="484" t="str">
        <f t="shared" si="42"/>
        <v/>
      </c>
      <c r="BF67" s="484" t="str">
        <f t="shared" si="43"/>
        <v/>
      </c>
      <c r="BG67" s="484" t="str">
        <f t="shared" si="44"/>
        <v/>
      </c>
      <c r="BH67" s="484" t="str">
        <f t="shared" si="45"/>
        <v/>
      </c>
      <c r="BI67" s="484" t="str">
        <f t="shared" si="46"/>
        <v/>
      </c>
      <c r="BJ67" s="484" t="str">
        <f t="shared" si="47"/>
        <v/>
      </c>
      <c r="BK67" s="484" t="str">
        <f t="shared" si="48"/>
        <v/>
      </c>
      <c r="BL67" s="484" t="str">
        <f t="shared" si="49"/>
        <v/>
      </c>
      <c r="BM67" s="484" t="str">
        <f t="shared" si="50"/>
        <v/>
      </c>
      <c r="BN67" s="484" t="str">
        <f t="shared" si="51"/>
        <v/>
      </c>
      <c r="BO67" s="484" t="str">
        <f t="shared" si="52"/>
        <v/>
      </c>
      <c r="BP67" s="484" t="str">
        <f t="shared" si="53"/>
        <v/>
      </c>
      <c r="BQ67" s="485" t="str">
        <f t="shared" si="54"/>
        <v/>
      </c>
      <c r="BR67" s="486">
        <v>2</v>
      </c>
      <c r="BS67" s="487" cm="1">
        <f t="array" ref="BS67">IFERROR(INDEX(tblPurch_Mat[],MATCH(1,(tblPurch_Mat[Dataset ID]=BD67)*(tblPurch_Mat[Material Subcategory]=BB67),0),6),"confirm")</f>
        <v>0</v>
      </c>
      <c r="BT67" s="487" cm="1">
        <f t="array" ref="BT67">IFERROR(INDEX(tblPurch_Mat[],MATCH(1,(tblPurch_Mat[Dataset ID]=BD67)*(tblPurch_Mat[Material Subcategory]=BB67),0),7),"confirm")</f>
        <v>0</v>
      </c>
      <c r="BU67" s="487">
        <f t="shared" si="55"/>
        <v>0</v>
      </c>
      <c r="BV67" s="484" t="str">
        <f t="shared" si="56"/>
        <v/>
      </c>
      <c r="BW67" s="484" t="str">
        <f t="shared" si="57"/>
        <v/>
      </c>
      <c r="BX67" s="484" t="str">
        <f t="shared" si="58"/>
        <v/>
      </c>
      <c r="BY67" s="484" t="str">
        <f t="shared" si="59"/>
        <v/>
      </c>
      <c r="BZ67" s="484" t="str">
        <f t="shared" si="60"/>
        <v/>
      </c>
      <c r="CA67" s="484" t="str">
        <f t="shared" si="61"/>
        <v/>
      </c>
      <c r="CB67" s="484" t="str">
        <f t="shared" si="62"/>
        <v/>
      </c>
      <c r="CC67" s="484" t="str">
        <f t="shared" si="63"/>
        <v/>
      </c>
      <c r="CD67" s="484" t="str">
        <f t="shared" si="64"/>
        <v/>
      </c>
      <c r="CE67" s="484" t="str">
        <f t="shared" si="65"/>
        <v/>
      </c>
      <c r="CF67" s="484" t="str">
        <f t="shared" si="66"/>
        <v/>
      </c>
      <c r="CG67" s="484" t="str">
        <f t="shared" si="67"/>
        <v/>
      </c>
      <c r="CH67" s="485">
        <f t="shared" si="33"/>
        <v>0</v>
      </c>
      <c r="CJ67" s="3"/>
      <c r="CK67" s="488" t="str">
        <f t="shared" si="39"/>
        <v>_</v>
      </c>
      <c r="CL67" s="488">
        <f t="shared" si="68"/>
        <v>0</v>
      </c>
      <c r="CM67" s="488">
        <f t="shared" si="69"/>
        <v>0</v>
      </c>
      <c r="DD67" s="390">
        <f t="shared" si="35"/>
        <v>0</v>
      </c>
      <c r="DE67" s="31">
        <f t="shared" si="36"/>
        <v>14</v>
      </c>
      <c r="DF67" s="31">
        <f t="shared" si="37"/>
        <v>0</v>
      </c>
      <c r="DG67" s="31">
        <f t="shared" si="38"/>
        <v>0</v>
      </c>
    </row>
    <row r="68" spans="1:111" hidden="1" outlineLevel="1">
      <c r="A68" s="22"/>
      <c r="B68" s="272"/>
      <c r="C68" s="491"/>
      <c r="D68" s="492"/>
      <c r="E68" s="492"/>
      <c r="F68" s="492"/>
      <c r="G68" s="492"/>
      <c r="H68" s="492"/>
      <c r="I68" s="492"/>
      <c r="J68" s="492"/>
      <c r="K68" s="492"/>
      <c r="L68" s="492"/>
      <c r="M68" s="492"/>
      <c r="N68" s="492"/>
      <c r="O68" s="492"/>
      <c r="P68" s="469">
        <f t="shared" si="32"/>
        <v>0</v>
      </c>
      <c r="Q68" s="476">
        <f>IF(P68=0,0,(_xlfn.XLOOKUP(C68,Factors!$V$17:$V$72,Factors!$Z$17:$Z$72)*'Purchased Materials'!P68))</f>
        <v>0</v>
      </c>
      <c r="BA68" s="432" t="str">
        <f t="shared" si="40"/>
        <v/>
      </c>
      <c r="BB68" s="432" t="str">
        <f t="shared" si="41"/>
        <v/>
      </c>
      <c r="BC68" s="432">
        <v>1</v>
      </c>
      <c r="BD68" s="432" t="str">
        <f>_xlfn.LET(_xlpm.x,BB68,IF(LEN(_xlpm.x)&lt;1,"",IF(ISNUMBER(MATCH(_xlpm.x,ls_purchased_mat,0)),'Project Inputs'!$BF$14,99)))</f>
        <v/>
      </c>
      <c r="BE68" s="484" t="str">
        <f t="shared" si="42"/>
        <v/>
      </c>
      <c r="BF68" s="484" t="str">
        <f t="shared" si="43"/>
        <v/>
      </c>
      <c r="BG68" s="484" t="str">
        <f t="shared" si="44"/>
        <v/>
      </c>
      <c r="BH68" s="484" t="str">
        <f t="shared" si="45"/>
        <v/>
      </c>
      <c r="BI68" s="484" t="str">
        <f t="shared" si="46"/>
        <v/>
      </c>
      <c r="BJ68" s="484" t="str">
        <f t="shared" si="47"/>
        <v/>
      </c>
      <c r="BK68" s="484" t="str">
        <f t="shared" si="48"/>
        <v/>
      </c>
      <c r="BL68" s="484" t="str">
        <f t="shared" si="49"/>
        <v/>
      </c>
      <c r="BM68" s="484" t="str">
        <f t="shared" si="50"/>
        <v/>
      </c>
      <c r="BN68" s="484" t="str">
        <f t="shared" si="51"/>
        <v/>
      </c>
      <c r="BO68" s="484" t="str">
        <f t="shared" si="52"/>
        <v/>
      </c>
      <c r="BP68" s="484" t="str">
        <f t="shared" si="53"/>
        <v/>
      </c>
      <c r="BQ68" s="485" t="str">
        <f t="shared" si="54"/>
        <v/>
      </c>
      <c r="BR68" s="486">
        <v>2</v>
      </c>
      <c r="BS68" s="487" cm="1">
        <f t="array" ref="BS68">IFERROR(INDEX(tblPurch_Mat[],MATCH(1,(tblPurch_Mat[Dataset ID]=BD68)*(tblPurch_Mat[Material Subcategory]=BB68),0),6),"confirm")</f>
        <v>0</v>
      </c>
      <c r="BT68" s="487" cm="1">
        <f t="array" ref="BT68">IFERROR(INDEX(tblPurch_Mat[],MATCH(1,(tblPurch_Mat[Dataset ID]=BD68)*(tblPurch_Mat[Material Subcategory]=BB68),0),7),"confirm")</f>
        <v>0</v>
      </c>
      <c r="BU68" s="487">
        <f t="shared" si="55"/>
        <v>0</v>
      </c>
      <c r="BV68" s="484" t="str">
        <f t="shared" si="56"/>
        <v/>
      </c>
      <c r="BW68" s="484" t="str">
        <f t="shared" si="57"/>
        <v/>
      </c>
      <c r="BX68" s="484" t="str">
        <f t="shared" si="58"/>
        <v/>
      </c>
      <c r="BY68" s="484" t="str">
        <f t="shared" si="59"/>
        <v/>
      </c>
      <c r="BZ68" s="484" t="str">
        <f t="shared" si="60"/>
        <v/>
      </c>
      <c r="CA68" s="484" t="str">
        <f t="shared" si="61"/>
        <v/>
      </c>
      <c r="CB68" s="484" t="str">
        <f t="shared" si="62"/>
        <v/>
      </c>
      <c r="CC68" s="484" t="str">
        <f t="shared" si="63"/>
        <v/>
      </c>
      <c r="CD68" s="484" t="str">
        <f t="shared" si="64"/>
        <v/>
      </c>
      <c r="CE68" s="484" t="str">
        <f t="shared" si="65"/>
        <v/>
      </c>
      <c r="CF68" s="484" t="str">
        <f t="shared" si="66"/>
        <v/>
      </c>
      <c r="CG68" s="484" t="str">
        <f t="shared" si="67"/>
        <v/>
      </c>
      <c r="CH68" s="485">
        <f t="shared" si="33"/>
        <v>0</v>
      </c>
      <c r="CJ68" s="3"/>
      <c r="CK68" s="488" t="str">
        <f t="shared" si="39"/>
        <v>_</v>
      </c>
      <c r="CL68" s="488">
        <f t="shared" si="68"/>
        <v>0</v>
      </c>
      <c r="CM68" s="488">
        <f t="shared" si="69"/>
        <v>0</v>
      </c>
      <c r="DD68" s="390">
        <f t="shared" si="35"/>
        <v>0</v>
      </c>
      <c r="DE68" s="31">
        <f t="shared" si="36"/>
        <v>14</v>
      </c>
      <c r="DF68" s="31">
        <f t="shared" si="37"/>
        <v>0</v>
      </c>
      <c r="DG68" s="31">
        <f t="shared" si="38"/>
        <v>0</v>
      </c>
    </row>
    <row r="69" spans="1:111" hidden="1" outlineLevel="1">
      <c r="A69" s="22"/>
      <c r="B69" s="272"/>
      <c r="C69" s="491"/>
      <c r="D69" s="492"/>
      <c r="E69" s="492"/>
      <c r="F69" s="492"/>
      <c r="G69" s="492"/>
      <c r="H69" s="492"/>
      <c r="I69" s="492"/>
      <c r="J69" s="492"/>
      <c r="K69" s="492"/>
      <c r="L69" s="492"/>
      <c r="M69" s="492"/>
      <c r="N69" s="492"/>
      <c r="O69" s="492"/>
      <c r="P69" s="469">
        <f t="shared" si="32"/>
        <v>0</v>
      </c>
      <c r="Q69" s="476">
        <f>IF(P69=0,0,(_xlfn.XLOOKUP(C69,Factors!$V$17:$V$72,Factors!$Z$17:$Z$72)*'Purchased Materials'!P69))</f>
        <v>0</v>
      </c>
      <c r="BA69" s="432" t="str">
        <f t="shared" si="40"/>
        <v/>
      </c>
      <c r="BB69" s="432" t="str">
        <f t="shared" si="41"/>
        <v/>
      </c>
      <c r="BC69" s="432">
        <v>1</v>
      </c>
      <c r="BD69" s="432" t="str">
        <f>_xlfn.LET(_xlpm.x,BB69,IF(LEN(_xlpm.x)&lt;1,"",IF(ISNUMBER(MATCH(_xlpm.x,ls_purchased_mat,0)),'Project Inputs'!$BF$14,99)))</f>
        <v/>
      </c>
      <c r="BE69" s="484" t="str">
        <f t="shared" si="42"/>
        <v/>
      </c>
      <c r="BF69" s="484" t="str">
        <f t="shared" si="43"/>
        <v/>
      </c>
      <c r="BG69" s="484" t="str">
        <f t="shared" si="44"/>
        <v/>
      </c>
      <c r="BH69" s="484" t="str">
        <f t="shared" si="45"/>
        <v/>
      </c>
      <c r="BI69" s="484" t="str">
        <f t="shared" si="46"/>
        <v/>
      </c>
      <c r="BJ69" s="484" t="str">
        <f t="shared" si="47"/>
        <v/>
      </c>
      <c r="BK69" s="484" t="str">
        <f t="shared" si="48"/>
        <v/>
      </c>
      <c r="BL69" s="484" t="str">
        <f t="shared" si="49"/>
        <v/>
      </c>
      <c r="BM69" s="484" t="str">
        <f t="shared" si="50"/>
        <v/>
      </c>
      <c r="BN69" s="484" t="str">
        <f t="shared" si="51"/>
        <v/>
      </c>
      <c r="BO69" s="484" t="str">
        <f t="shared" si="52"/>
        <v/>
      </c>
      <c r="BP69" s="484" t="str">
        <f t="shared" si="53"/>
        <v/>
      </c>
      <c r="BQ69" s="485" t="str">
        <f t="shared" si="54"/>
        <v/>
      </c>
      <c r="BR69" s="486">
        <v>2</v>
      </c>
      <c r="BS69" s="487" cm="1">
        <f t="array" ref="BS69">IFERROR(INDEX(tblPurch_Mat[],MATCH(1,(tblPurch_Mat[Dataset ID]=BD69)*(tblPurch_Mat[Material Subcategory]=BB69),0),6),"confirm")</f>
        <v>0</v>
      </c>
      <c r="BT69" s="487" cm="1">
        <f t="array" ref="BT69">IFERROR(INDEX(tblPurch_Mat[],MATCH(1,(tblPurch_Mat[Dataset ID]=BD69)*(tblPurch_Mat[Material Subcategory]=BB69),0),7),"confirm")</f>
        <v>0</v>
      </c>
      <c r="BU69" s="487">
        <f t="shared" si="55"/>
        <v>0</v>
      </c>
      <c r="BV69" s="484" t="str">
        <f t="shared" si="56"/>
        <v/>
      </c>
      <c r="BW69" s="484" t="str">
        <f t="shared" si="57"/>
        <v/>
      </c>
      <c r="BX69" s="484" t="str">
        <f t="shared" si="58"/>
        <v/>
      </c>
      <c r="BY69" s="484" t="str">
        <f t="shared" si="59"/>
        <v/>
      </c>
      <c r="BZ69" s="484" t="str">
        <f t="shared" si="60"/>
        <v/>
      </c>
      <c r="CA69" s="484" t="str">
        <f t="shared" si="61"/>
        <v/>
      </c>
      <c r="CB69" s="484" t="str">
        <f t="shared" si="62"/>
        <v/>
      </c>
      <c r="CC69" s="484" t="str">
        <f t="shared" si="63"/>
        <v/>
      </c>
      <c r="CD69" s="484" t="str">
        <f t="shared" si="64"/>
        <v/>
      </c>
      <c r="CE69" s="484" t="str">
        <f t="shared" si="65"/>
        <v/>
      </c>
      <c r="CF69" s="484" t="str">
        <f t="shared" si="66"/>
        <v/>
      </c>
      <c r="CG69" s="484" t="str">
        <f t="shared" si="67"/>
        <v/>
      </c>
      <c r="CH69" s="485">
        <f t="shared" si="33"/>
        <v>0</v>
      </c>
      <c r="CJ69" s="3"/>
      <c r="CK69" s="488" t="str">
        <f t="shared" si="39"/>
        <v>_</v>
      </c>
      <c r="CL69" s="488">
        <f t="shared" si="68"/>
        <v>0</v>
      </c>
      <c r="CM69" s="488">
        <f t="shared" si="69"/>
        <v>0</v>
      </c>
      <c r="DD69" s="390">
        <f t="shared" si="35"/>
        <v>0</v>
      </c>
      <c r="DE69" s="31">
        <f t="shared" si="36"/>
        <v>14</v>
      </c>
      <c r="DF69" s="31">
        <f t="shared" si="37"/>
        <v>0</v>
      </c>
      <c r="DG69" s="31">
        <f t="shared" si="38"/>
        <v>0</v>
      </c>
    </row>
    <row r="70" spans="1:111" hidden="1" outlineLevel="1">
      <c r="A70" s="22"/>
      <c r="B70" s="272"/>
      <c r="C70" s="491"/>
      <c r="D70" s="492"/>
      <c r="E70" s="492"/>
      <c r="F70" s="492"/>
      <c r="G70" s="492"/>
      <c r="H70" s="492"/>
      <c r="I70" s="492"/>
      <c r="J70" s="492"/>
      <c r="K70" s="492"/>
      <c r="L70" s="492"/>
      <c r="M70" s="492"/>
      <c r="N70" s="492"/>
      <c r="O70" s="492"/>
      <c r="P70" s="469">
        <f t="shared" si="32"/>
        <v>0</v>
      </c>
      <c r="Q70" s="476">
        <f>IF(P70=0,0,(_xlfn.XLOOKUP(C70,Factors!$V$17:$V$72,Factors!$Z$17:$Z$72)*'Purchased Materials'!P70))</f>
        <v>0</v>
      </c>
      <c r="BA70" s="432" t="str">
        <f t="shared" si="40"/>
        <v/>
      </c>
      <c r="BB70" s="432" t="str">
        <f t="shared" si="41"/>
        <v/>
      </c>
      <c r="BC70" s="432">
        <v>1</v>
      </c>
      <c r="BD70" s="432" t="str">
        <f>_xlfn.LET(_xlpm.x,BB70,IF(LEN(_xlpm.x)&lt;1,"",IF(ISNUMBER(MATCH(_xlpm.x,ls_purchased_mat,0)),'Project Inputs'!$BF$14,99)))</f>
        <v/>
      </c>
      <c r="BE70" s="484" t="str">
        <f t="shared" si="42"/>
        <v/>
      </c>
      <c r="BF70" s="484" t="str">
        <f t="shared" si="43"/>
        <v/>
      </c>
      <c r="BG70" s="484" t="str">
        <f t="shared" si="44"/>
        <v/>
      </c>
      <c r="BH70" s="484" t="str">
        <f t="shared" si="45"/>
        <v/>
      </c>
      <c r="BI70" s="484" t="str">
        <f t="shared" si="46"/>
        <v/>
      </c>
      <c r="BJ70" s="484" t="str">
        <f t="shared" si="47"/>
        <v/>
      </c>
      <c r="BK70" s="484" t="str">
        <f t="shared" si="48"/>
        <v/>
      </c>
      <c r="BL70" s="484" t="str">
        <f t="shared" si="49"/>
        <v/>
      </c>
      <c r="BM70" s="484" t="str">
        <f t="shared" si="50"/>
        <v/>
      </c>
      <c r="BN70" s="484" t="str">
        <f t="shared" si="51"/>
        <v/>
      </c>
      <c r="BO70" s="484" t="str">
        <f t="shared" si="52"/>
        <v/>
      </c>
      <c r="BP70" s="484" t="str">
        <f t="shared" si="53"/>
        <v/>
      </c>
      <c r="BQ70" s="485" t="str">
        <f t="shared" si="54"/>
        <v/>
      </c>
      <c r="BR70" s="486">
        <v>2</v>
      </c>
      <c r="BS70" s="487" cm="1">
        <f t="array" ref="BS70">IFERROR(INDEX(tblPurch_Mat[],MATCH(1,(tblPurch_Mat[Dataset ID]=BD70)*(tblPurch_Mat[Material Subcategory]=BB70),0),6),"confirm")</f>
        <v>0</v>
      </c>
      <c r="BT70" s="487" cm="1">
        <f t="array" ref="BT70">IFERROR(INDEX(tblPurch_Mat[],MATCH(1,(tblPurch_Mat[Dataset ID]=BD70)*(tblPurch_Mat[Material Subcategory]=BB70),0),7),"confirm")</f>
        <v>0</v>
      </c>
      <c r="BU70" s="487">
        <f t="shared" si="55"/>
        <v>0</v>
      </c>
      <c r="BV70" s="484" t="str">
        <f t="shared" si="56"/>
        <v/>
      </c>
      <c r="BW70" s="484" t="str">
        <f t="shared" si="57"/>
        <v/>
      </c>
      <c r="BX70" s="484" t="str">
        <f t="shared" si="58"/>
        <v/>
      </c>
      <c r="BY70" s="484" t="str">
        <f t="shared" si="59"/>
        <v/>
      </c>
      <c r="BZ70" s="484" t="str">
        <f t="shared" si="60"/>
        <v/>
      </c>
      <c r="CA70" s="484" t="str">
        <f t="shared" si="61"/>
        <v/>
      </c>
      <c r="CB70" s="484" t="str">
        <f t="shared" si="62"/>
        <v/>
      </c>
      <c r="CC70" s="484" t="str">
        <f t="shared" si="63"/>
        <v/>
      </c>
      <c r="CD70" s="484" t="str">
        <f t="shared" si="64"/>
        <v/>
      </c>
      <c r="CE70" s="484" t="str">
        <f t="shared" si="65"/>
        <v/>
      </c>
      <c r="CF70" s="484" t="str">
        <f t="shared" si="66"/>
        <v/>
      </c>
      <c r="CG70" s="484" t="str">
        <f t="shared" si="67"/>
        <v/>
      </c>
      <c r="CH70" s="485">
        <f t="shared" si="33"/>
        <v>0</v>
      </c>
      <c r="CJ70" s="3"/>
      <c r="CK70" s="488" t="str">
        <f t="shared" si="39"/>
        <v>_</v>
      </c>
      <c r="CL70" s="488">
        <f t="shared" si="68"/>
        <v>0</v>
      </c>
      <c r="CM70" s="488">
        <f t="shared" si="69"/>
        <v>0</v>
      </c>
      <c r="DD70" s="390">
        <f t="shared" si="35"/>
        <v>0</v>
      </c>
      <c r="DE70" s="31">
        <f t="shared" si="36"/>
        <v>14</v>
      </c>
      <c r="DF70" s="31">
        <f t="shared" si="37"/>
        <v>0</v>
      </c>
      <c r="DG70" s="31">
        <f t="shared" si="38"/>
        <v>0</v>
      </c>
    </row>
    <row r="71" spans="1:111" hidden="1" outlineLevel="1">
      <c r="A71" s="22"/>
      <c r="B71" s="272"/>
      <c r="C71" s="491"/>
      <c r="D71" s="492"/>
      <c r="E71" s="492"/>
      <c r="F71" s="492"/>
      <c r="G71" s="492"/>
      <c r="H71" s="492"/>
      <c r="I71" s="492"/>
      <c r="J71" s="492"/>
      <c r="K71" s="492"/>
      <c r="L71" s="492"/>
      <c r="M71" s="492"/>
      <c r="N71" s="492"/>
      <c r="O71" s="492"/>
      <c r="P71" s="469">
        <f t="shared" si="32"/>
        <v>0</v>
      </c>
      <c r="Q71" s="476">
        <f>IF(P71=0,0,(_xlfn.XLOOKUP(C71,Factors!$V$17:$V$72,Factors!$Z$17:$Z$72)*'Purchased Materials'!P71))</f>
        <v>0</v>
      </c>
      <c r="BA71" s="432" t="str">
        <f t="shared" si="40"/>
        <v/>
      </c>
      <c r="BB71" s="432" t="str">
        <f t="shared" si="41"/>
        <v/>
      </c>
      <c r="BC71" s="432">
        <v>1</v>
      </c>
      <c r="BD71" s="432" t="str">
        <f>_xlfn.LET(_xlpm.x,BB71,IF(LEN(_xlpm.x)&lt;1,"",IF(ISNUMBER(MATCH(_xlpm.x,ls_purchased_mat,0)),'Project Inputs'!$BF$14,99)))</f>
        <v/>
      </c>
      <c r="BE71" s="484" t="str">
        <f t="shared" si="42"/>
        <v/>
      </c>
      <c r="BF71" s="484" t="str">
        <f t="shared" si="43"/>
        <v/>
      </c>
      <c r="BG71" s="484" t="str">
        <f t="shared" si="44"/>
        <v/>
      </c>
      <c r="BH71" s="484" t="str">
        <f t="shared" si="45"/>
        <v/>
      </c>
      <c r="BI71" s="484" t="str">
        <f t="shared" si="46"/>
        <v/>
      </c>
      <c r="BJ71" s="484" t="str">
        <f t="shared" si="47"/>
        <v/>
      </c>
      <c r="BK71" s="484" t="str">
        <f t="shared" si="48"/>
        <v/>
      </c>
      <c r="BL71" s="484" t="str">
        <f t="shared" si="49"/>
        <v/>
      </c>
      <c r="BM71" s="484" t="str">
        <f t="shared" si="50"/>
        <v/>
      </c>
      <c r="BN71" s="484" t="str">
        <f t="shared" si="51"/>
        <v/>
      </c>
      <c r="BO71" s="484" t="str">
        <f t="shared" si="52"/>
        <v/>
      </c>
      <c r="BP71" s="484" t="str">
        <f t="shared" si="53"/>
        <v/>
      </c>
      <c r="BQ71" s="485" t="str">
        <f t="shared" si="54"/>
        <v/>
      </c>
      <c r="BR71" s="486">
        <v>2</v>
      </c>
      <c r="BS71" s="487" cm="1">
        <f t="array" ref="BS71">IFERROR(INDEX(tblPurch_Mat[],MATCH(1,(tblPurch_Mat[Dataset ID]=BD71)*(tblPurch_Mat[Material Subcategory]=BB71),0),6),"confirm")</f>
        <v>0</v>
      </c>
      <c r="BT71" s="487" cm="1">
        <f t="array" ref="BT71">IFERROR(INDEX(tblPurch_Mat[],MATCH(1,(tblPurch_Mat[Dataset ID]=BD71)*(tblPurch_Mat[Material Subcategory]=BB71),0),7),"confirm")</f>
        <v>0</v>
      </c>
      <c r="BU71" s="487">
        <f t="shared" si="55"/>
        <v>0</v>
      </c>
      <c r="BV71" s="484" t="str">
        <f t="shared" si="56"/>
        <v/>
      </c>
      <c r="BW71" s="484" t="str">
        <f t="shared" si="57"/>
        <v/>
      </c>
      <c r="BX71" s="484" t="str">
        <f t="shared" si="58"/>
        <v/>
      </c>
      <c r="BY71" s="484" t="str">
        <f t="shared" si="59"/>
        <v/>
      </c>
      <c r="BZ71" s="484" t="str">
        <f t="shared" si="60"/>
        <v/>
      </c>
      <c r="CA71" s="484" t="str">
        <f t="shared" si="61"/>
        <v/>
      </c>
      <c r="CB71" s="484" t="str">
        <f t="shared" si="62"/>
        <v/>
      </c>
      <c r="CC71" s="484" t="str">
        <f t="shared" si="63"/>
        <v/>
      </c>
      <c r="CD71" s="484" t="str">
        <f t="shared" si="64"/>
        <v/>
      </c>
      <c r="CE71" s="484" t="str">
        <f t="shared" si="65"/>
        <v/>
      </c>
      <c r="CF71" s="484" t="str">
        <f t="shared" si="66"/>
        <v/>
      </c>
      <c r="CG71" s="484" t="str">
        <f t="shared" si="67"/>
        <v/>
      </c>
      <c r="CH71" s="485">
        <f t="shared" si="33"/>
        <v>0</v>
      </c>
      <c r="CJ71" s="3"/>
      <c r="CK71" s="488" t="str">
        <f t="shared" si="39"/>
        <v>_</v>
      </c>
      <c r="CL71" s="488">
        <f t="shared" si="68"/>
        <v>0</v>
      </c>
      <c r="CM71" s="488">
        <f t="shared" si="69"/>
        <v>0</v>
      </c>
      <c r="DD71" s="390">
        <f t="shared" si="35"/>
        <v>0</v>
      </c>
      <c r="DE71" s="31">
        <f t="shared" si="36"/>
        <v>14</v>
      </c>
      <c r="DF71" s="31">
        <f t="shared" si="37"/>
        <v>0</v>
      </c>
      <c r="DG71" s="31">
        <f t="shared" si="38"/>
        <v>0</v>
      </c>
    </row>
    <row r="72" spans="1:111" hidden="1" outlineLevel="1">
      <c r="A72" s="22"/>
      <c r="B72" s="272"/>
      <c r="C72" s="491"/>
      <c r="D72" s="492"/>
      <c r="E72" s="492"/>
      <c r="F72" s="492"/>
      <c r="G72" s="492"/>
      <c r="H72" s="492"/>
      <c r="I72" s="492"/>
      <c r="J72" s="492"/>
      <c r="K72" s="492"/>
      <c r="L72" s="492"/>
      <c r="M72" s="492"/>
      <c r="N72" s="492"/>
      <c r="O72" s="492"/>
      <c r="P72" s="469">
        <f t="shared" si="32"/>
        <v>0</v>
      </c>
      <c r="Q72" s="476">
        <f>IF(P72=0,0,(_xlfn.XLOOKUP(C72,Factors!$V$17:$V$72,Factors!$Z$17:$Z$72)*'Purchased Materials'!P72))</f>
        <v>0</v>
      </c>
      <c r="BA72" s="432" t="str">
        <f t="shared" si="40"/>
        <v/>
      </c>
      <c r="BB72" s="432" t="str">
        <f t="shared" si="41"/>
        <v/>
      </c>
      <c r="BC72" s="432">
        <v>1</v>
      </c>
      <c r="BD72" s="432" t="str">
        <f>_xlfn.LET(_xlpm.x,BB72,IF(LEN(_xlpm.x)&lt;1,"",IF(ISNUMBER(MATCH(_xlpm.x,ls_purchased_mat,0)),'Project Inputs'!$BF$14,99)))</f>
        <v/>
      </c>
      <c r="BE72" s="484" t="str">
        <f t="shared" si="42"/>
        <v/>
      </c>
      <c r="BF72" s="484" t="str">
        <f t="shared" si="43"/>
        <v/>
      </c>
      <c r="BG72" s="484" t="str">
        <f t="shared" si="44"/>
        <v/>
      </c>
      <c r="BH72" s="484" t="str">
        <f t="shared" si="45"/>
        <v/>
      </c>
      <c r="BI72" s="484" t="str">
        <f t="shared" si="46"/>
        <v/>
      </c>
      <c r="BJ72" s="484" t="str">
        <f t="shared" si="47"/>
        <v/>
      </c>
      <c r="BK72" s="484" t="str">
        <f t="shared" si="48"/>
        <v/>
      </c>
      <c r="BL72" s="484" t="str">
        <f t="shared" si="49"/>
        <v/>
      </c>
      <c r="BM72" s="484" t="str">
        <f t="shared" si="50"/>
        <v/>
      </c>
      <c r="BN72" s="484" t="str">
        <f t="shared" si="51"/>
        <v/>
      </c>
      <c r="BO72" s="484" t="str">
        <f t="shared" si="52"/>
        <v/>
      </c>
      <c r="BP72" s="484" t="str">
        <f t="shared" si="53"/>
        <v/>
      </c>
      <c r="BQ72" s="485" t="str">
        <f t="shared" si="54"/>
        <v/>
      </c>
      <c r="BR72" s="486">
        <v>2</v>
      </c>
      <c r="BS72" s="487" cm="1">
        <f t="array" ref="BS72">IFERROR(INDEX(tblPurch_Mat[],MATCH(1,(tblPurch_Mat[Dataset ID]=BD72)*(tblPurch_Mat[Material Subcategory]=BB72),0),6),"confirm")</f>
        <v>0</v>
      </c>
      <c r="BT72" s="487" cm="1">
        <f t="array" ref="BT72">IFERROR(INDEX(tblPurch_Mat[],MATCH(1,(tblPurch_Mat[Dataset ID]=BD72)*(tblPurch_Mat[Material Subcategory]=BB72),0),7),"confirm")</f>
        <v>0</v>
      </c>
      <c r="BU72" s="487">
        <f t="shared" si="55"/>
        <v>0</v>
      </c>
      <c r="BV72" s="484" t="str">
        <f t="shared" si="56"/>
        <v/>
      </c>
      <c r="BW72" s="484" t="str">
        <f t="shared" si="57"/>
        <v/>
      </c>
      <c r="BX72" s="484" t="str">
        <f t="shared" si="58"/>
        <v/>
      </c>
      <c r="BY72" s="484" t="str">
        <f t="shared" si="59"/>
        <v/>
      </c>
      <c r="BZ72" s="484" t="str">
        <f t="shared" si="60"/>
        <v/>
      </c>
      <c r="CA72" s="484" t="str">
        <f t="shared" si="61"/>
        <v/>
      </c>
      <c r="CB72" s="484" t="str">
        <f t="shared" si="62"/>
        <v/>
      </c>
      <c r="CC72" s="484" t="str">
        <f t="shared" si="63"/>
        <v/>
      </c>
      <c r="CD72" s="484" t="str">
        <f t="shared" si="64"/>
        <v/>
      </c>
      <c r="CE72" s="484" t="str">
        <f t="shared" si="65"/>
        <v/>
      </c>
      <c r="CF72" s="484" t="str">
        <f t="shared" si="66"/>
        <v/>
      </c>
      <c r="CG72" s="484" t="str">
        <f t="shared" si="67"/>
        <v/>
      </c>
      <c r="CH72" s="485">
        <f t="shared" si="33"/>
        <v>0</v>
      </c>
      <c r="CJ72" s="3"/>
      <c r="CK72" s="488" t="str">
        <f t="shared" si="39"/>
        <v>_</v>
      </c>
      <c r="CL72" s="488">
        <f t="shared" si="68"/>
        <v>0</v>
      </c>
      <c r="CM72" s="488">
        <f t="shared" si="69"/>
        <v>0</v>
      </c>
      <c r="DD72" s="390">
        <f t="shared" si="35"/>
        <v>0</v>
      </c>
      <c r="DE72" s="31">
        <f t="shared" si="36"/>
        <v>14</v>
      </c>
      <c r="DF72" s="31">
        <f t="shared" si="37"/>
        <v>0</v>
      </c>
      <c r="DG72" s="31">
        <f t="shared" si="38"/>
        <v>0</v>
      </c>
    </row>
    <row r="73" spans="1:111" hidden="1" outlineLevel="1">
      <c r="A73" s="22"/>
      <c r="B73" s="272"/>
      <c r="C73" s="491"/>
      <c r="D73" s="492"/>
      <c r="E73" s="492"/>
      <c r="F73" s="492"/>
      <c r="G73" s="492"/>
      <c r="H73" s="492"/>
      <c r="I73" s="492"/>
      <c r="J73" s="492"/>
      <c r="K73" s="492"/>
      <c r="L73" s="492"/>
      <c r="M73" s="492"/>
      <c r="N73" s="492"/>
      <c r="O73" s="492"/>
      <c r="P73" s="469">
        <f t="shared" si="32"/>
        <v>0</v>
      </c>
      <c r="Q73" s="476">
        <f>IF(P73=0,0,(_xlfn.XLOOKUP(C73,Factors!$V$17:$V$72,Factors!$Z$17:$Z$72)*'Purchased Materials'!P73))</f>
        <v>0</v>
      </c>
      <c r="BA73" s="432" t="str">
        <f t="shared" si="40"/>
        <v/>
      </c>
      <c r="BB73" s="432" t="str">
        <f t="shared" si="41"/>
        <v/>
      </c>
      <c r="BC73" s="432">
        <v>1</v>
      </c>
      <c r="BD73" s="432" t="str">
        <f>_xlfn.LET(_xlpm.x,BB73,IF(LEN(_xlpm.x)&lt;1,"",IF(ISNUMBER(MATCH(_xlpm.x,ls_purchased_mat,0)),'Project Inputs'!$BF$14,99)))</f>
        <v/>
      </c>
      <c r="BE73" s="484" t="str">
        <f t="shared" si="42"/>
        <v/>
      </c>
      <c r="BF73" s="484" t="str">
        <f t="shared" si="43"/>
        <v/>
      </c>
      <c r="BG73" s="484" t="str">
        <f t="shared" si="44"/>
        <v/>
      </c>
      <c r="BH73" s="484" t="str">
        <f t="shared" si="45"/>
        <v/>
      </c>
      <c r="BI73" s="484" t="str">
        <f t="shared" si="46"/>
        <v/>
      </c>
      <c r="BJ73" s="484" t="str">
        <f t="shared" si="47"/>
        <v/>
      </c>
      <c r="BK73" s="484" t="str">
        <f t="shared" si="48"/>
        <v/>
      </c>
      <c r="BL73" s="484" t="str">
        <f t="shared" si="49"/>
        <v/>
      </c>
      <c r="BM73" s="484" t="str">
        <f t="shared" si="50"/>
        <v/>
      </c>
      <c r="BN73" s="484" t="str">
        <f t="shared" si="51"/>
        <v/>
      </c>
      <c r="BO73" s="484" t="str">
        <f t="shared" si="52"/>
        <v/>
      </c>
      <c r="BP73" s="484" t="str">
        <f t="shared" si="53"/>
        <v/>
      </c>
      <c r="BQ73" s="485" t="str">
        <f t="shared" si="54"/>
        <v/>
      </c>
      <c r="BR73" s="486">
        <v>2</v>
      </c>
      <c r="BS73" s="487" cm="1">
        <f t="array" ref="BS73">IFERROR(INDEX(tblPurch_Mat[],MATCH(1,(tblPurch_Mat[Dataset ID]=BD73)*(tblPurch_Mat[Material Subcategory]=BB73),0),6),"confirm")</f>
        <v>0</v>
      </c>
      <c r="BT73" s="487" cm="1">
        <f t="array" ref="BT73">IFERROR(INDEX(tblPurch_Mat[],MATCH(1,(tblPurch_Mat[Dataset ID]=BD73)*(tblPurch_Mat[Material Subcategory]=BB73),0),7),"confirm")</f>
        <v>0</v>
      </c>
      <c r="BU73" s="487">
        <f t="shared" si="55"/>
        <v>0</v>
      </c>
      <c r="BV73" s="484" t="str">
        <f t="shared" si="56"/>
        <v/>
      </c>
      <c r="BW73" s="484" t="str">
        <f t="shared" si="57"/>
        <v/>
      </c>
      <c r="BX73" s="484" t="str">
        <f t="shared" si="58"/>
        <v/>
      </c>
      <c r="BY73" s="484" t="str">
        <f t="shared" si="59"/>
        <v/>
      </c>
      <c r="BZ73" s="484" t="str">
        <f t="shared" si="60"/>
        <v/>
      </c>
      <c r="CA73" s="484" t="str">
        <f t="shared" si="61"/>
        <v/>
      </c>
      <c r="CB73" s="484" t="str">
        <f t="shared" si="62"/>
        <v/>
      </c>
      <c r="CC73" s="484" t="str">
        <f t="shared" si="63"/>
        <v/>
      </c>
      <c r="CD73" s="484" t="str">
        <f t="shared" si="64"/>
        <v/>
      </c>
      <c r="CE73" s="484" t="str">
        <f t="shared" si="65"/>
        <v/>
      </c>
      <c r="CF73" s="484" t="str">
        <f t="shared" si="66"/>
        <v/>
      </c>
      <c r="CG73" s="484" t="str">
        <f t="shared" si="67"/>
        <v/>
      </c>
      <c r="CH73" s="485">
        <f t="shared" si="33"/>
        <v>0</v>
      </c>
      <c r="CJ73" s="3"/>
      <c r="CK73" s="488" t="str">
        <f t="shared" si="39"/>
        <v>_</v>
      </c>
      <c r="CL73" s="488">
        <f t="shared" si="68"/>
        <v>0</v>
      </c>
      <c r="CM73" s="488">
        <f t="shared" si="69"/>
        <v>0</v>
      </c>
      <c r="DD73" s="390">
        <f t="shared" si="35"/>
        <v>0</v>
      </c>
      <c r="DE73" s="31">
        <f t="shared" si="36"/>
        <v>14</v>
      </c>
      <c r="DF73" s="31">
        <f t="shared" si="37"/>
        <v>0</v>
      </c>
      <c r="DG73" s="31">
        <f t="shared" si="38"/>
        <v>0</v>
      </c>
    </row>
    <row r="74" spans="1:111" hidden="1" outlineLevel="1">
      <c r="A74" s="22"/>
      <c r="B74" s="272"/>
      <c r="C74" s="491"/>
      <c r="D74" s="492"/>
      <c r="E74" s="492"/>
      <c r="F74" s="492"/>
      <c r="G74" s="492"/>
      <c r="H74" s="492"/>
      <c r="I74" s="492"/>
      <c r="J74" s="492"/>
      <c r="K74" s="492"/>
      <c r="L74" s="492"/>
      <c r="M74" s="492"/>
      <c r="N74" s="492"/>
      <c r="O74" s="492"/>
      <c r="P74" s="469">
        <f t="shared" si="32"/>
        <v>0</v>
      </c>
      <c r="Q74" s="476">
        <f>IF(P74=0,0,(_xlfn.XLOOKUP(C74,Factors!$V$17:$V$72,Factors!$Z$17:$Z$72)*'Purchased Materials'!P74))</f>
        <v>0</v>
      </c>
      <c r="BA74" s="432" t="str">
        <f t="shared" si="40"/>
        <v/>
      </c>
      <c r="BB74" s="432" t="str">
        <f t="shared" si="41"/>
        <v/>
      </c>
      <c r="BC74" s="432">
        <v>1</v>
      </c>
      <c r="BD74" s="432" t="str">
        <f>_xlfn.LET(_xlpm.x,BB74,IF(LEN(_xlpm.x)&lt;1,"",IF(ISNUMBER(MATCH(_xlpm.x,ls_purchased_mat,0)),'Project Inputs'!$BF$14,99)))</f>
        <v/>
      </c>
      <c r="BE74" s="484" t="str">
        <f t="shared" si="42"/>
        <v/>
      </c>
      <c r="BF74" s="484" t="str">
        <f t="shared" si="43"/>
        <v/>
      </c>
      <c r="BG74" s="484" t="str">
        <f t="shared" si="44"/>
        <v/>
      </c>
      <c r="BH74" s="484" t="str">
        <f t="shared" si="45"/>
        <v/>
      </c>
      <c r="BI74" s="484" t="str">
        <f t="shared" si="46"/>
        <v/>
      </c>
      <c r="BJ74" s="484" t="str">
        <f t="shared" si="47"/>
        <v/>
      </c>
      <c r="BK74" s="484" t="str">
        <f t="shared" si="48"/>
        <v/>
      </c>
      <c r="BL74" s="484" t="str">
        <f t="shared" si="49"/>
        <v/>
      </c>
      <c r="BM74" s="484" t="str">
        <f t="shared" si="50"/>
        <v/>
      </c>
      <c r="BN74" s="484" t="str">
        <f t="shared" si="51"/>
        <v/>
      </c>
      <c r="BO74" s="484" t="str">
        <f t="shared" si="52"/>
        <v/>
      </c>
      <c r="BP74" s="484" t="str">
        <f t="shared" si="53"/>
        <v/>
      </c>
      <c r="BQ74" s="485" t="str">
        <f t="shared" si="54"/>
        <v/>
      </c>
      <c r="BR74" s="486">
        <v>2</v>
      </c>
      <c r="BS74" s="487" cm="1">
        <f t="array" ref="BS74">IFERROR(INDEX(tblPurch_Mat[],MATCH(1,(tblPurch_Mat[Dataset ID]=BD74)*(tblPurch_Mat[Material Subcategory]=BB74),0),6),"confirm")</f>
        <v>0</v>
      </c>
      <c r="BT74" s="487" cm="1">
        <f t="array" ref="BT74">IFERROR(INDEX(tblPurch_Mat[],MATCH(1,(tblPurch_Mat[Dataset ID]=BD74)*(tblPurch_Mat[Material Subcategory]=BB74),0),7),"confirm")</f>
        <v>0</v>
      </c>
      <c r="BU74" s="487">
        <f t="shared" si="55"/>
        <v>0</v>
      </c>
      <c r="BV74" s="484" t="str">
        <f t="shared" si="56"/>
        <v/>
      </c>
      <c r="BW74" s="484" t="str">
        <f t="shared" si="57"/>
        <v/>
      </c>
      <c r="BX74" s="484" t="str">
        <f t="shared" si="58"/>
        <v/>
      </c>
      <c r="BY74" s="484" t="str">
        <f t="shared" si="59"/>
        <v/>
      </c>
      <c r="BZ74" s="484" t="str">
        <f t="shared" si="60"/>
        <v/>
      </c>
      <c r="CA74" s="484" t="str">
        <f t="shared" si="61"/>
        <v/>
      </c>
      <c r="CB74" s="484" t="str">
        <f t="shared" si="62"/>
        <v/>
      </c>
      <c r="CC74" s="484" t="str">
        <f t="shared" si="63"/>
        <v/>
      </c>
      <c r="CD74" s="484" t="str">
        <f t="shared" si="64"/>
        <v/>
      </c>
      <c r="CE74" s="484" t="str">
        <f t="shared" si="65"/>
        <v/>
      </c>
      <c r="CF74" s="484" t="str">
        <f t="shared" si="66"/>
        <v/>
      </c>
      <c r="CG74" s="484" t="str">
        <f t="shared" si="67"/>
        <v/>
      </c>
      <c r="CH74" s="485">
        <f t="shared" si="33"/>
        <v>0</v>
      </c>
      <c r="CJ74" s="3"/>
      <c r="CK74" s="488" t="str">
        <f t="shared" si="39"/>
        <v>_</v>
      </c>
      <c r="CL74" s="488">
        <f t="shared" si="68"/>
        <v>0</v>
      </c>
      <c r="CM74" s="488">
        <f t="shared" si="69"/>
        <v>0</v>
      </c>
      <c r="DD74" s="390">
        <f t="shared" si="35"/>
        <v>0</v>
      </c>
      <c r="DE74" s="31">
        <f t="shared" si="36"/>
        <v>14</v>
      </c>
      <c r="DF74" s="31">
        <f t="shared" si="37"/>
        <v>0</v>
      </c>
      <c r="DG74" s="31">
        <f t="shared" si="38"/>
        <v>0</v>
      </c>
    </row>
    <row r="75" spans="1:111" hidden="1" outlineLevel="1">
      <c r="A75" s="22"/>
      <c r="B75" s="272"/>
      <c r="C75" s="491"/>
      <c r="D75" s="492"/>
      <c r="E75" s="492"/>
      <c r="F75" s="492"/>
      <c r="G75" s="492"/>
      <c r="H75" s="492"/>
      <c r="I75" s="492"/>
      <c r="J75" s="492"/>
      <c r="K75" s="492"/>
      <c r="L75" s="492"/>
      <c r="M75" s="492"/>
      <c r="N75" s="492"/>
      <c r="O75" s="492"/>
      <c r="P75" s="469">
        <f t="shared" si="32"/>
        <v>0</v>
      </c>
      <c r="Q75" s="476">
        <f>IF(P75=0,0,(_xlfn.XLOOKUP(C75,Factors!$V$17:$V$72,Factors!$Z$17:$Z$72)*'Purchased Materials'!P75))</f>
        <v>0</v>
      </c>
      <c r="BA75" s="432" t="str">
        <f t="shared" si="40"/>
        <v/>
      </c>
      <c r="BB75" s="432" t="str">
        <f t="shared" si="41"/>
        <v/>
      </c>
      <c r="BC75" s="432">
        <v>1</v>
      </c>
      <c r="BD75" s="432" t="str">
        <f>_xlfn.LET(_xlpm.x,BB75,IF(LEN(_xlpm.x)&lt;1,"",IF(ISNUMBER(MATCH(_xlpm.x,ls_purchased_mat,0)),'Project Inputs'!$BF$14,99)))</f>
        <v/>
      </c>
      <c r="BE75" s="484" t="str">
        <f t="shared" si="42"/>
        <v/>
      </c>
      <c r="BF75" s="484" t="str">
        <f t="shared" si="43"/>
        <v/>
      </c>
      <c r="BG75" s="484" t="str">
        <f t="shared" si="44"/>
        <v/>
      </c>
      <c r="BH75" s="484" t="str">
        <f t="shared" si="45"/>
        <v/>
      </c>
      <c r="BI75" s="484" t="str">
        <f t="shared" si="46"/>
        <v/>
      </c>
      <c r="BJ75" s="484" t="str">
        <f t="shared" si="47"/>
        <v/>
      </c>
      <c r="BK75" s="484" t="str">
        <f t="shared" si="48"/>
        <v/>
      </c>
      <c r="BL75" s="484" t="str">
        <f t="shared" si="49"/>
        <v/>
      </c>
      <c r="BM75" s="484" t="str">
        <f t="shared" si="50"/>
        <v/>
      </c>
      <c r="BN75" s="484" t="str">
        <f t="shared" si="51"/>
        <v/>
      </c>
      <c r="BO75" s="484" t="str">
        <f t="shared" si="52"/>
        <v/>
      </c>
      <c r="BP75" s="484" t="str">
        <f t="shared" si="53"/>
        <v/>
      </c>
      <c r="BQ75" s="485" t="str">
        <f t="shared" si="54"/>
        <v/>
      </c>
      <c r="BR75" s="486">
        <v>2</v>
      </c>
      <c r="BS75" s="487" cm="1">
        <f t="array" ref="BS75">IFERROR(INDEX(tblPurch_Mat[],MATCH(1,(tblPurch_Mat[Dataset ID]=BD75)*(tblPurch_Mat[Material Subcategory]=BB75),0),6),"confirm")</f>
        <v>0</v>
      </c>
      <c r="BT75" s="487" cm="1">
        <f t="array" ref="BT75">IFERROR(INDEX(tblPurch_Mat[],MATCH(1,(tblPurch_Mat[Dataset ID]=BD75)*(tblPurch_Mat[Material Subcategory]=BB75),0),7),"confirm")</f>
        <v>0</v>
      </c>
      <c r="BU75" s="487">
        <f t="shared" si="55"/>
        <v>0</v>
      </c>
      <c r="BV75" s="484" t="str">
        <f t="shared" si="56"/>
        <v/>
      </c>
      <c r="BW75" s="484" t="str">
        <f t="shared" si="57"/>
        <v/>
      </c>
      <c r="BX75" s="484" t="str">
        <f t="shared" si="58"/>
        <v/>
      </c>
      <c r="BY75" s="484" t="str">
        <f t="shared" si="59"/>
        <v/>
      </c>
      <c r="BZ75" s="484" t="str">
        <f t="shared" si="60"/>
        <v/>
      </c>
      <c r="CA75" s="484" t="str">
        <f t="shared" si="61"/>
        <v/>
      </c>
      <c r="CB75" s="484" t="str">
        <f t="shared" si="62"/>
        <v/>
      </c>
      <c r="CC75" s="484" t="str">
        <f t="shared" si="63"/>
        <v/>
      </c>
      <c r="CD75" s="484" t="str">
        <f t="shared" si="64"/>
        <v/>
      </c>
      <c r="CE75" s="484" t="str">
        <f t="shared" si="65"/>
        <v/>
      </c>
      <c r="CF75" s="484" t="str">
        <f t="shared" si="66"/>
        <v/>
      </c>
      <c r="CG75" s="484" t="str">
        <f t="shared" si="67"/>
        <v/>
      </c>
      <c r="CH75" s="485">
        <f t="shared" si="33"/>
        <v>0</v>
      </c>
      <c r="CJ75" s="3"/>
      <c r="CK75" s="488" t="str">
        <f t="shared" si="39"/>
        <v>_</v>
      </c>
      <c r="CL75" s="488">
        <f t="shared" si="68"/>
        <v>0</v>
      </c>
      <c r="CM75" s="488">
        <f t="shared" si="69"/>
        <v>0</v>
      </c>
      <c r="DD75" s="390">
        <f t="shared" si="35"/>
        <v>0</v>
      </c>
      <c r="DE75" s="31">
        <f t="shared" si="36"/>
        <v>14</v>
      </c>
      <c r="DF75" s="31">
        <f t="shared" si="37"/>
        <v>0</v>
      </c>
      <c r="DG75" s="31">
        <f t="shared" si="38"/>
        <v>0</v>
      </c>
    </row>
    <row r="76" spans="1:111" hidden="1" outlineLevel="1">
      <c r="A76" s="22"/>
      <c r="B76" s="272"/>
      <c r="C76" s="491"/>
      <c r="D76" s="492"/>
      <c r="E76" s="492"/>
      <c r="F76" s="492"/>
      <c r="G76" s="492"/>
      <c r="H76" s="492"/>
      <c r="I76" s="492"/>
      <c r="J76" s="492"/>
      <c r="K76" s="492"/>
      <c r="L76" s="492"/>
      <c r="M76" s="492"/>
      <c r="N76" s="492"/>
      <c r="O76" s="492"/>
      <c r="P76" s="469">
        <f t="shared" si="32"/>
        <v>0</v>
      </c>
      <c r="Q76" s="476">
        <f>IF(P76=0,0,(_xlfn.XLOOKUP(C76,Factors!$V$17:$V$72,Factors!$Z$17:$Z$72)*'Purchased Materials'!P76))</f>
        <v>0</v>
      </c>
      <c r="BA76" s="432" t="str">
        <f t="shared" si="40"/>
        <v/>
      </c>
      <c r="BB76" s="432" t="str">
        <f t="shared" si="41"/>
        <v/>
      </c>
      <c r="BC76" s="432">
        <v>1</v>
      </c>
      <c r="BD76" s="432" t="str">
        <f>_xlfn.LET(_xlpm.x,BB76,IF(LEN(_xlpm.x)&lt;1,"",IF(ISNUMBER(MATCH(_xlpm.x,ls_purchased_mat,0)),'Project Inputs'!$BF$14,99)))</f>
        <v/>
      </c>
      <c r="BE76" s="484" t="str">
        <f t="shared" si="42"/>
        <v/>
      </c>
      <c r="BF76" s="484" t="str">
        <f t="shared" si="43"/>
        <v/>
      </c>
      <c r="BG76" s="484" t="str">
        <f t="shared" si="44"/>
        <v/>
      </c>
      <c r="BH76" s="484" t="str">
        <f t="shared" si="45"/>
        <v/>
      </c>
      <c r="BI76" s="484" t="str">
        <f t="shared" si="46"/>
        <v/>
      </c>
      <c r="BJ76" s="484" t="str">
        <f t="shared" si="47"/>
        <v/>
      </c>
      <c r="BK76" s="484" t="str">
        <f t="shared" si="48"/>
        <v/>
      </c>
      <c r="BL76" s="484" t="str">
        <f t="shared" si="49"/>
        <v/>
      </c>
      <c r="BM76" s="484" t="str">
        <f t="shared" si="50"/>
        <v/>
      </c>
      <c r="BN76" s="484" t="str">
        <f t="shared" si="51"/>
        <v/>
      </c>
      <c r="BO76" s="484" t="str">
        <f t="shared" si="52"/>
        <v/>
      </c>
      <c r="BP76" s="484" t="str">
        <f t="shared" si="53"/>
        <v/>
      </c>
      <c r="BQ76" s="485" t="str">
        <f t="shared" si="54"/>
        <v/>
      </c>
      <c r="BR76" s="486">
        <v>2</v>
      </c>
      <c r="BS76" s="487" cm="1">
        <f t="array" ref="BS76">IFERROR(INDEX(tblPurch_Mat[],MATCH(1,(tblPurch_Mat[Dataset ID]=BD76)*(tblPurch_Mat[Material Subcategory]=BB76),0),6),"confirm")</f>
        <v>0</v>
      </c>
      <c r="BT76" s="487" cm="1">
        <f t="array" ref="BT76">IFERROR(INDEX(tblPurch_Mat[],MATCH(1,(tblPurch_Mat[Dataset ID]=BD76)*(tblPurch_Mat[Material Subcategory]=BB76),0),7),"confirm")</f>
        <v>0</v>
      </c>
      <c r="BU76" s="487">
        <f t="shared" si="55"/>
        <v>0</v>
      </c>
      <c r="BV76" s="484" t="str">
        <f t="shared" si="56"/>
        <v/>
      </c>
      <c r="BW76" s="484" t="str">
        <f t="shared" si="57"/>
        <v/>
      </c>
      <c r="BX76" s="484" t="str">
        <f t="shared" si="58"/>
        <v/>
      </c>
      <c r="BY76" s="484" t="str">
        <f t="shared" si="59"/>
        <v/>
      </c>
      <c r="BZ76" s="484" t="str">
        <f t="shared" si="60"/>
        <v/>
      </c>
      <c r="CA76" s="484" t="str">
        <f t="shared" si="61"/>
        <v/>
      </c>
      <c r="CB76" s="484" t="str">
        <f t="shared" si="62"/>
        <v/>
      </c>
      <c r="CC76" s="484" t="str">
        <f t="shared" si="63"/>
        <v/>
      </c>
      <c r="CD76" s="484" t="str">
        <f t="shared" si="64"/>
        <v/>
      </c>
      <c r="CE76" s="484" t="str">
        <f t="shared" si="65"/>
        <v/>
      </c>
      <c r="CF76" s="484" t="str">
        <f t="shared" si="66"/>
        <v/>
      </c>
      <c r="CG76" s="484" t="str">
        <f t="shared" si="67"/>
        <v/>
      </c>
      <c r="CH76" s="485">
        <f t="shared" si="33"/>
        <v>0</v>
      </c>
      <c r="CJ76" s="3"/>
      <c r="CK76" s="488" t="str">
        <f t="shared" si="39"/>
        <v>_</v>
      </c>
      <c r="CL76" s="488">
        <f t="shared" si="68"/>
        <v>0</v>
      </c>
      <c r="CM76" s="488">
        <f t="shared" si="69"/>
        <v>0</v>
      </c>
      <c r="DD76" s="390">
        <f t="shared" si="35"/>
        <v>0</v>
      </c>
      <c r="DE76" s="31">
        <f t="shared" si="36"/>
        <v>14</v>
      </c>
      <c r="DF76" s="31">
        <f t="shared" si="37"/>
        <v>0</v>
      </c>
      <c r="DG76" s="31">
        <f t="shared" si="38"/>
        <v>0</v>
      </c>
    </row>
    <row r="77" spans="1:111" hidden="1" outlineLevel="1">
      <c r="A77" s="22"/>
      <c r="B77" s="272"/>
      <c r="C77" s="491"/>
      <c r="D77" s="492"/>
      <c r="E77" s="492"/>
      <c r="F77" s="492"/>
      <c r="G77" s="492"/>
      <c r="H77" s="492"/>
      <c r="I77" s="492"/>
      <c r="J77" s="492"/>
      <c r="K77" s="492"/>
      <c r="L77" s="492"/>
      <c r="M77" s="492"/>
      <c r="N77" s="492"/>
      <c r="O77" s="492"/>
      <c r="P77" s="469">
        <f t="shared" si="32"/>
        <v>0</v>
      </c>
      <c r="Q77" s="476">
        <f>IF(P77=0,0,(_xlfn.XLOOKUP(C77,Factors!$V$17:$V$72,Factors!$Z$17:$Z$72)*'Purchased Materials'!P77))</f>
        <v>0</v>
      </c>
      <c r="BA77" s="432" t="str">
        <f t="shared" si="40"/>
        <v/>
      </c>
      <c r="BB77" s="432" t="str">
        <f t="shared" si="41"/>
        <v/>
      </c>
      <c r="BC77" s="432">
        <v>1</v>
      </c>
      <c r="BD77" s="432" t="str">
        <f>_xlfn.LET(_xlpm.x,BB77,IF(LEN(_xlpm.x)&lt;1,"",IF(ISNUMBER(MATCH(_xlpm.x,ls_purchased_mat,0)),'Project Inputs'!$BF$14,99)))</f>
        <v/>
      </c>
      <c r="BE77" s="484" t="str">
        <f t="shared" si="42"/>
        <v/>
      </c>
      <c r="BF77" s="484" t="str">
        <f t="shared" si="43"/>
        <v/>
      </c>
      <c r="BG77" s="484" t="str">
        <f t="shared" si="44"/>
        <v/>
      </c>
      <c r="BH77" s="484" t="str">
        <f t="shared" si="45"/>
        <v/>
      </c>
      <c r="BI77" s="484" t="str">
        <f t="shared" si="46"/>
        <v/>
      </c>
      <c r="BJ77" s="484" t="str">
        <f t="shared" si="47"/>
        <v/>
      </c>
      <c r="BK77" s="484" t="str">
        <f t="shared" si="48"/>
        <v/>
      </c>
      <c r="BL77" s="484" t="str">
        <f t="shared" si="49"/>
        <v/>
      </c>
      <c r="BM77" s="484" t="str">
        <f t="shared" si="50"/>
        <v/>
      </c>
      <c r="BN77" s="484" t="str">
        <f t="shared" si="51"/>
        <v/>
      </c>
      <c r="BO77" s="484" t="str">
        <f t="shared" si="52"/>
        <v/>
      </c>
      <c r="BP77" s="484" t="str">
        <f t="shared" si="53"/>
        <v/>
      </c>
      <c r="BQ77" s="485" t="str">
        <f t="shared" si="54"/>
        <v/>
      </c>
      <c r="BR77" s="486">
        <v>2</v>
      </c>
      <c r="BS77" s="487" cm="1">
        <f t="array" ref="BS77">IFERROR(INDEX(tblPurch_Mat[],MATCH(1,(tblPurch_Mat[Dataset ID]=BD77)*(tblPurch_Mat[Material Subcategory]=BB77),0),6),"confirm")</f>
        <v>0</v>
      </c>
      <c r="BT77" s="487" cm="1">
        <f t="array" ref="BT77">IFERROR(INDEX(tblPurch_Mat[],MATCH(1,(tblPurch_Mat[Dataset ID]=BD77)*(tblPurch_Mat[Material Subcategory]=BB77),0),7),"confirm")</f>
        <v>0</v>
      </c>
      <c r="BU77" s="487">
        <f t="shared" si="55"/>
        <v>0</v>
      </c>
      <c r="BV77" s="484" t="str">
        <f t="shared" si="56"/>
        <v/>
      </c>
      <c r="BW77" s="484" t="str">
        <f t="shared" si="57"/>
        <v/>
      </c>
      <c r="BX77" s="484" t="str">
        <f t="shared" si="58"/>
        <v/>
      </c>
      <c r="BY77" s="484" t="str">
        <f t="shared" si="59"/>
        <v/>
      </c>
      <c r="BZ77" s="484" t="str">
        <f t="shared" si="60"/>
        <v/>
      </c>
      <c r="CA77" s="484" t="str">
        <f t="shared" si="61"/>
        <v/>
      </c>
      <c r="CB77" s="484" t="str">
        <f t="shared" si="62"/>
        <v/>
      </c>
      <c r="CC77" s="484" t="str">
        <f t="shared" si="63"/>
        <v/>
      </c>
      <c r="CD77" s="484" t="str">
        <f t="shared" si="64"/>
        <v/>
      </c>
      <c r="CE77" s="484" t="str">
        <f t="shared" si="65"/>
        <v/>
      </c>
      <c r="CF77" s="484" t="str">
        <f t="shared" si="66"/>
        <v/>
      </c>
      <c r="CG77" s="484" t="str">
        <f t="shared" si="67"/>
        <v/>
      </c>
      <c r="CH77" s="485">
        <f t="shared" si="33"/>
        <v>0</v>
      </c>
      <c r="CJ77" s="3"/>
      <c r="CK77" s="488" t="str">
        <f t="shared" si="39"/>
        <v>_</v>
      </c>
      <c r="CL77" s="488">
        <f t="shared" si="68"/>
        <v>0</v>
      </c>
      <c r="CM77" s="488">
        <f t="shared" si="69"/>
        <v>0</v>
      </c>
      <c r="DD77" s="390">
        <f t="shared" si="35"/>
        <v>0</v>
      </c>
      <c r="DE77" s="31">
        <f t="shared" si="36"/>
        <v>14</v>
      </c>
      <c r="DF77" s="31">
        <f t="shared" si="37"/>
        <v>0</v>
      </c>
      <c r="DG77" s="31">
        <f t="shared" si="38"/>
        <v>0</v>
      </c>
    </row>
    <row r="78" spans="1:111" hidden="1" outlineLevel="1">
      <c r="A78" s="22"/>
      <c r="B78" s="272"/>
      <c r="C78" s="491"/>
      <c r="D78" s="492"/>
      <c r="E78" s="492"/>
      <c r="F78" s="492"/>
      <c r="G78" s="492"/>
      <c r="H78" s="492"/>
      <c r="I78" s="492"/>
      <c r="J78" s="492"/>
      <c r="K78" s="492"/>
      <c r="L78" s="492"/>
      <c r="M78" s="492"/>
      <c r="N78" s="492"/>
      <c r="O78" s="492"/>
      <c r="P78" s="469">
        <f t="shared" si="32"/>
        <v>0</v>
      </c>
      <c r="Q78" s="476">
        <f>IF(P78=0,0,(_xlfn.XLOOKUP(C78,Factors!$V$17:$V$72,Factors!$Z$17:$Z$72)*'Purchased Materials'!P78))</f>
        <v>0</v>
      </c>
      <c r="BA78" s="432" t="str">
        <f t="shared" si="40"/>
        <v/>
      </c>
      <c r="BB78" s="432" t="str">
        <f t="shared" si="41"/>
        <v/>
      </c>
      <c r="BC78" s="432">
        <v>1</v>
      </c>
      <c r="BD78" s="432" t="str">
        <f>_xlfn.LET(_xlpm.x,BB78,IF(LEN(_xlpm.x)&lt;1,"",IF(ISNUMBER(MATCH(_xlpm.x,ls_purchased_mat,0)),'Project Inputs'!$BF$14,99)))</f>
        <v/>
      </c>
      <c r="BE78" s="484" t="str">
        <f t="shared" si="42"/>
        <v/>
      </c>
      <c r="BF78" s="484" t="str">
        <f t="shared" si="43"/>
        <v/>
      </c>
      <c r="BG78" s="484" t="str">
        <f t="shared" si="44"/>
        <v/>
      </c>
      <c r="BH78" s="484" t="str">
        <f t="shared" si="45"/>
        <v/>
      </c>
      <c r="BI78" s="484" t="str">
        <f t="shared" si="46"/>
        <v/>
      </c>
      <c r="BJ78" s="484" t="str">
        <f t="shared" si="47"/>
        <v/>
      </c>
      <c r="BK78" s="484" t="str">
        <f t="shared" si="48"/>
        <v/>
      </c>
      <c r="BL78" s="484" t="str">
        <f t="shared" si="49"/>
        <v/>
      </c>
      <c r="BM78" s="484" t="str">
        <f t="shared" si="50"/>
        <v/>
      </c>
      <c r="BN78" s="484" t="str">
        <f t="shared" si="51"/>
        <v/>
      </c>
      <c r="BO78" s="484" t="str">
        <f t="shared" si="52"/>
        <v/>
      </c>
      <c r="BP78" s="484" t="str">
        <f t="shared" si="53"/>
        <v/>
      </c>
      <c r="BQ78" s="485" t="str">
        <f t="shared" si="54"/>
        <v/>
      </c>
      <c r="BR78" s="486">
        <v>2</v>
      </c>
      <c r="BS78" s="487" cm="1">
        <f t="array" ref="BS78">IFERROR(INDEX(tblPurch_Mat[],MATCH(1,(tblPurch_Mat[Dataset ID]=BD78)*(tblPurch_Mat[Material Subcategory]=BB78),0),6),"confirm")</f>
        <v>0</v>
      </c>
      <c r="BT78" s="487" cm="1">
        <f t="array" ref="BT78">IFERROR(INDEX(tblPurch_Mat[],MATCH(1,(tblPurch_Mat[Dataset ID]=BD78)*(tblPurch_Mat[Material Subcategory]=BB78),0),7),"confirm")</f>
        <v>0</v>
      </c>
      <c r="BU78" s="487">
        <f t="shared" si="55"/>
        <v>0</v>
      </c>
      <c r="BV78" s="484" t="str">
        <f t="shared" si="56"/>
        <v/>
      </c>
      <c r="BW78" s="484" t="str">
        <f t="shared" si="57"/>
        <v/>
      </c>
      <c r="BX78" s="484" t="str">
        <f t="shared" si="58"/>
        <v/>
      </c>
      <c r="BY78" s="484" t="str">
        <f t="shared" si="59"/>
        <v/>
      </c>
      <c r="BZ78" s="484" t="str">
        <f t="shared" si="60"/>
        <v/>
      </c>
      <c r="CA78" s="484" t="str">
        <f t="shared" si="61"/>
        <v/>
      </c>
      <c r="CB78" s="484" t="str">
        <f t="shared" si="62"/>
        <v/>
      </c>
      <c r="CC78" s="484" t="str">
        <f t="shared" si="63"/>
        <v/>
      </c>
      <c r="CD78" s="484" t="str">
        <f t="shared" si="64"/>
        <v/>
      </c>
      <c r="CE78" s="484" t="str">
        <f t="shared" si="65"/>
        <v/>
      </c>
      <c r="CF78" s="484" t="str">
        <f t="shared" si="66"/>
        <v/>
      </c>
      <c r="CG78" s="484" t="str">
        <f t="shared" si="67"/>
        <v/>
      </c>
      <c r="CH78" s="485">
        <f t="shared" si="33"/>
        <v>0</v>
      </c>
      <c r="CJ78" s="3"/>
      <c r="CK78" s="488" t="str">
        <f t="shared" si="39"/>
        <v>_</v>
      </c>
      <c r="CL78" s="488">
        <f t="shared" si="68"/>
        <v>0</v>
      </c>
      <c r="CM78" s="488">
        <f t="shared" si="69"/>
        <v>0</v>
      </c>
      <c r="DD78" s="390">
        <f t="shared" si="35"/>
        <v>0</v>
      </c>
      <c r="DE78" s="31">
        <f t="shared" si="36"/>
        <v>14</v>
      </c>
      <c r="DF78" s="31">
        <f t="shared" si="37"/>
        <v>0</v>
      </c>
      <c r="DG78" s="31">
        <f t="shared" si="38"/>
        <v>0</v>
      </c>
    </row>
    <row r="79" spans="1:111" hidden="1" outlineLevel="1">
      <c r="A79" s="22"/>
      <c r="B79" s="272"/>
      <c r="C79" s="491"/>
      <c r="D79" s="492"/>
      <c r="E79" s="492"/>
      <c r="F79" s="492"/>
      <c r="G79" s="492"/>
      <c r="H79" s="492"/>
      <c r="I79" s="492"/>
      <c r="J79" s="492"/>
      <c r="K79" s="492"/>
      <c r="L79" s="492"/>
      <c r="M79" s="492"/>
      <c r="N79" s="492"/>
      <c r="O79" s="492"/>
      <c r="P79" s="469">
        <f t="shared" si="32"/>
        <v>0</v>
      </c>
      <c r="Q79" s="476">
        <f>IF(P79=0,0,(_xlfn.XLOOKUP(C79,Factors!$V$17:$V$72,Factors!$Z$17:$Z$72)*'Purchased Materials'!P79))</f>
        <v>0</v>
      </c>
      <c r="BA79" s="432" t="str">
        <f t="shared" ref="BA79:BA114" si="71">_xlfn.LET(_xlpm.x,B79,IF(OR(LEN(_xlpm.x)&lt;1,_xlpm.x=0),"",_xlpm.x))</f>
        <v/>
      </c>
      <c r="BB79" s="432" t="str">
        <f t="shared" ref="BB79:BB114" si="72">_xlfn.LET(_xlpm.x,C79,IF(OR(LEN(_xlpm.x)&lt;1,_xlpm.x=0),"",_xlpm.x))</f>
        <v/>
      </c>
      <c r="BC79" s="432">
        <v>1</v>
      </c>
      <c r="BD79" s="432" t="str">
        <f>_xlfn.LET(_xlpm.x,BB79,IF(LEN(_xlpm.x)&lt;1,"",IF(ISNUMBER(MATCH(_xlpm.x,ls_purchased_mat,0)),'Project Inputs'!$BF$14,99)))</f>
        <v/>
      </c>
      <c r="BE79" s="484" t="str">
        <f t="shared" ref="BE79:BE114" si="73">_xlfn.LET(_xlpm.x,D79,IF(OR(LEN(_xlpm.x)&lt;1,_xlpm.x=0),"",_xlpm.x))</f>
        <v/>
      </c>
      <c r="BF79" s="484" t="str">
        <f t="shared" ref="BF79:BF114" si="74">_xlfn.LET(_xlpm.x,E79,IF(OR(LEN(_xlpm.x)&lt;1,_xlpm.x=0),"",_xlpm.x))</f>
        <v/>
      </c>
      <c r="BG79" s="484" t="str">
        <f t="shared" ref="BG79:BG114" si="75">_xlfn.LET(_xlpm.x,F79,IF(OR(LEN(_xlpm.x)&lt;1,_xlpm.x=0),"",_xlpm.x))</f>
        <v/>
      </c>
      <c r="BH79" s="484" t="str">
        <f t="shared" ref="BH79:BH114" si="76">_xlfn.LET(_xlpm.x,G79,IF(OR(LEN(_xlpm.x)&lt;1,_xlpm.x=0),"",_xlpm.x))</f>
        <v/>
      </c>
      <c r="BI79" s="484" t="str">
        <f t="shared" ref="BI79:BI114" si="77">_xlfn.LET(_xlpm.x,H79,IF(OR(LEN(_xlpm.x)&lt;1,_xlpm.x=0),"",_xlpm.x))</f>
        <v/>
      </c>
      <c r="BJ79" s="484" t="str">
        <f t="shared" ref="BJ79:BJ114" si="78">_xlfn.LET(_xlpm.x,I79,IF(OR(LEN(_xlpm.x)&lt;1,_xlpm.x=0),"",_xlpm.x))</f>
        <v/>
      </c>
      <c r="BK79" s="484" t="str">
        <f t="shared" ref="BK79:BK114" si="79">_xlfn.LET(_xlpm.x,J79,IF(OR(LEN(_xlpm.x)&lt;1,_xlpm.x=0),"",_xlpm.x))</f>
        <v/>
      </c>
      <c r="BL79" s="484" t="str">
        <f t="shared" ref="BL79:BL114" si="80">_xlfn.LET(_xlpm.x,K79,IF(OR(LEN(_xlpm.x)&lt;1,_xlpm.x=0),"",_xlpm.x))</f>
        <v/>
      </c>
      <c r="BM79" s="484" t="str">
        <f t="shared" ref="BM79:BM114" si="81">_xlfn.LET(_xlpm.x,L79,IF(OR(LEN(_xlpm.x)&lt;1,_xlpm.x=0),"",_xlpm.x))</f>
        <v/>
      </c>
      <c r="BN79" s="484" t="str">
        <f t="shared" ref="BN79:BN114" si="82">_xlfn.LET(_xlpm.x,M79,IF(OR(LEN(_xlpm.x)&lt;1,_xlpm.x=0),"",_xlpm.x))</f>
        <v/>
      </c>
      <c r="BO79" s="484" t="str">
        <f t="shared" ref="BO79:BO114" si="83">_xlfn.LET(_xlpm.x,N79,IF(OR(LEN(_xlpm.x)&lt;1,_xlpm.x=0),"",_xlpm.x))</f>
        <v/>
      </c>
      <c r="BP79" s="484" t="str">
        <f t="shared" ref="BP79:BP114" si="84">_xlfn.LET(_xlpm.x,O79,IF(OR(LEN(_xlpm.x)&lt;1,_xlpm.x=0),"",_xlpm.x))</f>
        <v/>
      </c>
      <c r="BQ79" s="485" t="str">
        <f t="shared" ref="BQ79:BQ114" si="85">_xlfn.LET(_xlpm.x,P79,IF(OR(LEN(_xlpm.x)&lt;1,_xlpm.x=0),"",_xlpm.x))</f>
        <v/>
      </c>
      <c r="BR79" s="486">
        <v>2</v>
      </c>
      <c r="BS79" s="487" cm="1">
        <f t="array" ref="BS79">IFERROR(INDEX(tblPurch_Mat[],MATCH(1,(tblPurch_Mat[Dataset ID]=BD79)*(tblPurch_Mat[Material Subcategory]=BB79),0),6),"confirm")</f>
        <v>0</v>
      </c>
      <c r="BT79" s="487" cm="1">
        <f t="array" ref="BT79">IFERROR(INDEX(tblPurch_Mat[],MATCH(1,(tblPurch_Mat[Dataset ID]=BD79)*(tblPurch_Mat[Material Subcategory]=BB79),0),7),"confirm")</f>
        <v>0</v>
      </c>
      <c r="BU79" s="487">
        <f t="shared" ref="BU79:BU110" si="86">CHOOSE(BR79,BS79,BT79)</f>
        <v>0</v>
      </c>
      <c r="BV79" s="484" t="str">
        <f t="shared" ref="BV79:BV114" si="87">IFERROR($BU79*BE79,"")</f>
        <v/>
      </c>
      <c r="BW79" s="484" t="str">
        <f t="shared" ref="BW79:BW114" si="88">IFERROR($BU79*BF79,"")</f>
        <v/>
      </c>
      <c r="BX79" s="484" t="str">
        <f t="shared" ref="BX79:BX114" si="89">IFERROR($BU79*BG79,"")</f>
        <v/>
      </c>
      <c r="BY79" s="484" t="str">
        <f t="shared" ref="BY79:BY114" si="90">IFERROR($BU79*BH79,"")</f>
        <v/>
      </c>
      <c r="BZ79" s="484" t="str">
        <f t="shared" ref="BZ79:BZ114" si="91">IFERROR($BU79*BI79,"")</f>
        <v/>
      </c>
      <c r="CA79" s="484" t="str">
        <f t="shared" ref="CA79:CA114" si="92">IFERROR($BU79*BJ79,"")</f>
        <v/>
      </c>
      <c r="CB79" s="484" t="str">
        <f t="shared" ref="CB79:CB114" si="93">IFERROR($BU79*BK79,"")</f>
        <v/>
      </c>
      <c r="CC79" s="484" t="str">
        <f t="shared" ref="CC79:CC114" si="94">IFERROR($BU79*BL79,"")</f>
        <v/>
      </c>
      <c r="CD79" s="484" t="str">
        <f t="shared" ref="CD79:CD114" si="95">IFERROR($BU79*BM79,"")</f>
        <v/>
      </c>
      <c r="CE79" s="484" t="str">
        <f t="shared" ref="CE79:CE114" si="96">IFERROR($BU79*BN79,"")</f>
        <v/>
      </c>
      <c r="CF79" s="484" t="str">
        <f t="shared" ref="CF79:CF114" si="97">IFERROR($BU79*BO79,"")</f>
        <v/>
      </c>
      <c r="CG79" s="484" t="str">
        <f t="shared" ref="CG79:CG114" si="98">IFERROR($BU79*BP79,"")</f>
        <v/>
      </c>
      <c r="CH79" s="485">
        <f t="shared" si="33"/>
        <v>0</v>
      </c>
      <c r="CJ79" s="3"/>
      <c r="CK79" s="488" t="str">
        <f t="shared" si="39"/>
        <v>_</v>
      </c>
      <c r="CL79" s="488">
        <f t="shared" ref="CL79:CL114" si="99">SUMIF($BB$15:$BB$114,CJ79,$BQ$15:$BQ$114)</f>
        <v>0</v>
      </c>
      <c r="CM79" s="488">
        <f t="shared" ref="CM79:CM114" si="100">SUMIF($BB$15:$BB$114,CJ79,$CH$15:$CH$114)</f>
        <v>0</v>
      </c>
      <c r="DD79" s="390">
        <f t="shared" si="35"/>
        <v>0</v>
      </c>
      <c r="DE79" s="31">
        <f t="shared" si="36"/>
        <v>14</v>
      </c>
      <c r="DF79" s="31">
        <f t="shared" si="37"/>
        <v>0</v>
      </c>
      <c r="DG79" s="31">
        <f t="shared" si="38"/>
        <v>0</v>
      </c>
    </row>
    <row r="80" spans="1:111" hidden="1" outlineLevel="1">
      <c r="A80" s="22"/>
      <c r="B80" s="272"/>
      <c r="C80" s="491"/>
      <c r="D80" s="492"/>
      <c r="E80" s="492"/>
      <c r="F80" s="492"/>
      <c r="G80" s="492"/>
      <c r="H80" s="492"/>
      <c r="I80" s="492"/>
      <c r="J80" s="492"/>
      <c r="K80" s="492"/>
      <c r="L80" s="492"/>
      <c r="M80" s="492"/>
      <c r="N80" s="492"/>
      <c r="O80" s="492"/>
      <c r="P80" s="469">
        <f t="shared" ref="P80:P114" si="101">SUM(D80:O80)</f>
        <v>0</v>
      </c>
      <c r="Q80" s="476">
        <f>IF(P80=0,0,(_xlfn.XLOOKUP(C80,Factors!$V$17:$V$72,Factors!$Z$17:$Z$72)*'Purchased Materials'!P80))</f>
        <v>0</v>
      </c>
      <c r="BA80" s="432" t="str">
        <f t="shared" si="71"/>
        <v/>
      </c>
      <c r="BB80" s="432" t="str">
        <f t="shared" si="72"/>
        <v/>
      </c>
      <c r="BC80" s="432">
        <v>1</v>
      </c>
      <c r="BD80" s="432" t="str">
        <f>_xlfn.LET(_xlpm.x,BB80,IF(LEN(_xlpm.x)&lt;1,"",IF(ISNUMBER(MATCH(_xlpm.x,ls_purchased_mat,0)),'Project Inputs'!$BF$14,99)))</f>
        <v/>
      </c>
      <c r="BE80" s="484" t="str">
        <f t="shared" si="73"/>
        <v/>
      </c>
      <c r="BF80" s="484" t="str">
        <f t="shared" si="74"/>
        <v/>
      </c>
      <c r="BG80" s="484" t="str">
        <f t="shared" si="75"/>
        <v/>
      </c>
      <c r="BH80" s="484" t="str">
        <f t="shared" si="76"/>
        <v/>
      </c>
      <c r="BI80" s="484" t="str">
        <f t="shared" si="77"/>
        <v/>
      </c>
      <c r="BJ80" s="484" t="str">
        <f t="shared" si="78"/>
        <v/>
      </c>
      <c r="BK80" s="484" t="str">
        <f t="shared" si="79"/>
        <v/>
      </c>
      <c r="BL80" s="484" t="str">
        <f t="shared" si="80"/>
        <v/>
      </c>
      <c r="BM80" s="484" t="str">
        <f t="shared" si="81"/>
        <v/>
      </c>
      <c r="BN80" s="484" t="str">
        <f t="shared" si="82"/>
        <v/>
      </c>
      <c r="BO80" s="484" t="str">
        <f t="shared" si="83"/>
        <v/>
      </c>
      <c r="BP80" s="484" t="str">
        <f t="shared" si="84"/>
        <v/>
      </c>
      <c r="BQ80" s="485" t="str">
        <f t="shared" si="85"/>
        <v/>
      </c>
      <c r="BR80" s="486">
        <v>2</v>
      </c>
      <c r="BS80" s="487" cm="1">
        <f t="array" ref="BS80">IFERROR(INDEX(tblPurch_Mat[],MATCH(1,(tblPurch_Mat[Dataset ID]=BD80)*(tblPurch_Mat[Material Subcategory]=BB80),0),6),"confirm")</f>
        <v>0</v>
      </c>
      <c r="BT80" s="487" cm="1">
        <f t="array" ref="BT80">IFERROR(INDEX(tblPurch_Mat[],MATCH(1,(tblPurch_Mat[Dataset ID]=BD80)*(tblPurch_Mat[Material Subcategory]=BB80),0),7),"confirm")</f>
        <v>0</v>
      </c>
      <c r="BU80" s="487">
        <f t="shared" si="86"/>
        <v>0</v>
      </c>
      <c r="BV80" s="484" t="str">
        <f t="shared" si="87"/>
        <v/>
      </c>
      <c r="BW80" s="484" t="str">
        <f t="shared" si="88"/>
        <v/>
      </c>
      <c r="BX80" s="484" t="str">
        <f t="shared" si="89"/>
        <v/>
      </c>
      <c r="BY80" s="484" t="str">
        <f t="shared" si="90"/>
        <v/>
      </c>
      <c r="BZ80" s="484" t="str">
        <f t="shared" si="91"/>
        <v/>
      </c>
      <c r="CA80" s="484" t="str">
        <f t="shared" si="92"/>
        <v/>
      </c>
      <c r="CB80" s="484" t="str">
        <f t="shared" si="93"/>
        <v/>
      </c>
      <c r="CC80" s="484" t="str">
        <f t="shared" si="94"/>
        <v/>
      </c>
      <c r="CD80" s="484" t="str">
        <f t="shared" si="95"/>
        <v/>
      </c>
      <c r="CE80" s="484" t="str">
        <f t="shared" si="96"/>
        <v/>
      </c>
      <c r="CF80" s="484" t="str">
        <f t="shared" si="97"/>
        <v/>
      </c>
      <c r="CG80" s="484" t="str">
        <f t="shared" si="98"/>
        <v/>
      </c>
      <c r="CH80" s="485">
        <f t="shared" ref="CH80:CH114" si="102">SUM(BV80:CG80)</f>
        <v>0</v>
      </c>
      <c r="CJ80" s="3"/>
      <c r="CK80" s="488" t="str">
        <f t="shared" si="39"/>
        <v>_</v>
      </c>
      <c r="CL80" s="488">
        <f t="shared" si="99"/>
        <v>0</v>
      </c>
      <c r="CM80" s="488">
        <f t="shared" si="100"/>
        <v>0</v>
      </c>
      <c r="DD80" s="390">
        <f t="shared" ref="DD80:DD114" si="103">IF(DE80=14,0,SUM(DF80:DG80))</f>
        <v>0</v>
      </c>
      <c r="DE80" s="31">
        <f t="shared" ref="DE80:DE114" si="104">COUNTBLANK(B80:O80)</f>
        <v>14</v>
      </c>
      <c r="DF80" s="31">
        <f t="shared" ref="DF80:DF114" si="105">IF(DE80=14,0,IF(AND(COUNTBLANK(C80)=0,COUNTBLANK(D80:O80)&lt;12),0,1))</f>
        <v>0</v>
      </c>
      <c r="DG80" s="31">
        <f t="shared" ref="DG80:DG114" si="106">SUM(IF(OR(LEN(D80)=0,AND(ISNUMBER(D80),D80&gt;=0)),0,1),IF(OR(LEN(E80)=0,AND(ISNUMBER(E80),E80&gt;=0)),0,1),IF(OR(LEN(F80)=0,AND(ISNUMBER(F80),F80&gt;=0)),0,1),IF(OR(LEN(G80)=0,AND(ISNUMBER(G80),G80&gt;=0)),0,1),IF(OR(LEN(H80)=0,AND(ISNUMBER(H80),H80&gt;=0)),0,1),IF(OR(LEN(I80)=0,AND(ISNUMBER(I80),I80&gt;=0)),0,1),IF(OR(LEN(J80)=0,AND(ISNUMBER(J80),J80&gt;=0)),0,1),IF(OR(LEN(K80)=0,AND(ISNUMBER(K80),K80&gt;=0)),0,1),IF(OR(LEN(L80)=0,AND(ISNUMBER(L80),L80&gt;=0)),0,1),IF(OR(LEN(M80)=0,AND(ISNUMBER(M80),M80&gt;=0)),0,1),IF(OR(LEN(N80)=0,AND(ISNUMBER(N80),N80&gt;=0)),0,1),IF(OR(LEN(O80)=0,AND(ISNUMBER(O80),O80&gt;=0)),0,1))</f>
        <v>0</v>
      </c>
    </row>
    <row r="81" spans="1:111" hidden="1" outlineLevel="1">
      <c r="A81" s="22"/>
      <c r="B81" s="272"/>
      <c r="C81" s="491"/>
      <c r="D81" s="492"/>
      <c r="E81" s="492"/>
      <c r="F81" s="492"/>
      <c r="G81" s="492"/>
      <c r="H81" s="492"/>
      <c r="I81" s="492"/>
      <c r="J81" s="492"/>
      <c r="K81" s="492"/>
      <c r="L81" s="492"/>
      <c r="M81" s="492"/>
      <c r="N81" s="492"/>
      <c r="O81" s="492"/>
      <c r="P81" s="469">
        <f t="shared" si="101"/>
        <v>0</v>
      </c>
      <c r="Q81" s="476">
        <f>IF(P81=0,0,(_xlfn.XLOOKUP(C81,Factors!$V$17:$V$72,Factors!$Z$17:$Z$72)*'Purchased Materials'!P81))</f>
        <v>0</v>
      </c>
      <c r="BA81" s="432" t="str">
        <f t="shared" si="71"/>
        <v/>
      </c>
      <c r="BB81" s="432" t="str">
        <f t="shared" si="72"/>
        <v/>
      </c>
      <c r="BC81" s="432">
        <v>1</v>
      </c>
      <c r="BD81" s="432" t="str">
        <f>_xlfn.LET(_xlpm.x,BB81,IF(LEN(_xlpm.x)&lt;1,"",IF(ISNUMBER(MATCH(_xlpm.x,ls_purchased_mat,0)),'Project Inputs'!$BF$14,99)))</f>
        <v/>
      </c>
      <c r="BE81" s="484" t="str">
        <f t="shared" si="73"/>
        <v/>
      </c>
      <c r="BF81" s="484" t="str">
        <f t="shared" si="74"/>
        <v/>
      </c>
      <c r="BG81" s="484" t="str">
        <f t="shared" si="75"/>
        <v/>
      </c>
      <c r="BH81" s="484" t="str">
        <f t="shared" si="76"/>
        <v/>
      </c>
      <c r="BI81" s="484" t="str">
        <f t="shared" si="77"/>
        <v/>
      </c>
      <c r="BJ81" s="484" t="str">
        <f t="shared" si="78"/>
        <v/>
      </c>
      <c r="BK81" s="484" t="str">
        <f t="shared" si="79"/>
        <v/>
      </c>
      <c r="BL81" s="484" t="str">
        <f t="shared" si="80"/>
        <v/>
      </c>
      <c r="BM81" s="484" t="str">
        <f t="shared" si="81"/>
        <v/>
      </c>
      <c r="BN81" s="484" t="str">
        <f t="shared" si="82"/>
        <v/>
      </c>
      <c r="BO81" s="484" t="str">
        <f t="shared" si="83"/>
        <v/>
      </c>
      <c r="BP81" s="484" t="str">
        <f t="shared" si="84"/>
        <v/>
      </c>
      <c r="BQ81" s="485" t="str">
        <f t="shared" si="85"/>
        <v/>
      </c>
      <c r="BR81" s="486">
        <v>2</v>
      </c>
      <c r="BS81" s="487" cm="1">
        <f t="array" ref="BS81">IFERROR(INDEX(tblPurch_Mat[],MATCH(1,(tblPurch_Mat[Dataset ID]=BD81)*(tblPurch_Mat[Material Subcategory]=BB81),0),6),"confirm")</f>
        <v>0</v>
      </c>
      <c r="BT81" s="487" cm="1">
        <f t="array" ref="BT81">IFERROR(INDEX(tblPurch_Mat[],MATCH(1,(tblPurch_Mat[Dataset ID]=BD81)*(tblPurch_Mat[Material Subcategory]=BB81),0),7),"confirm")</f>
        <v>0</v>
      </c>
      <c r="BU81" s="487">
        <f t="shared" si="86"/>
        <v>0</v>
      </c>
      <c r="BV81" s="484" t="str">
        <f t="shared" si="87"/>
        <v/>
      </c>
      <c r="BW81" s="484" t="str">
        <f t="shared" si="88"/>
        <v/>
      </c>
      <c r="BX81" s="484" t="str">
        <f t="shared" si="89"/>
        <v/>
      </c>
      <c r="BY81" s="484" t="str">
        <f t="shared" si="90"/>
        <v/>
      </c>
      <c r="BZ81" s="484" t="str">
        <f t="shared" si="91"/>
        <v/>
      </c>
      <c r="CA81" s="484" t="str">
        <f t="shared" si="92"/>
        <v/>
      </c>
      <c r="CB81" s="484" t="str">
        <f t="shared" si="93"/>
        <v/>
      </c>
      <c r="CC81" s="484" t="str">
        <f t="shared" si="94"/>
        <v/>
      </c>
      <c r="CD81" s="484" t="str">
        <f t="shared" si="95"/>
        <v/>
      </c>
      <c r="CE81" s="484" t="str">
        <f t="shared" si="96"/>
        <v/>
      </c>
      <c r="CF81" s="484" t="str">
        <f t="shared" si="97"/>
        <v/>
      </c>
      <c r="CG81" s="484" t="str">
        <f t="shared" si="98"/>
        <v/>
      </c>
      <c r="CH81" s="485">
        <f t="shared" si="102"/>
        <v>0</v>
      </c>
      <c r="CJ81" s="3"/>
      <c r="CK81" s="488" t="str">
        <f t="shared" si="39"/>
        <v>_</v>
      </c>
      <c r="CL81" s="488">
        <f t="shared" si="99"/>
        <v>0</v>
      </c>
      <c r="CM81" s="488">
        <f t="shared" si="100"/>
        <v>0</v>
      </c>
      <c r="DD81" s="390">
        <f t="shared" si="103"/>
        <v>0</v>
      </c>
      <c r="DE81" s="31">
        <f t="shared" si="104"/>
        <v>14</v>
      </c>
      <c r="DF81" s="31">
        <f t="shared" si="105"/>
        <v>0</v>
      </c>
      <c r="DG81" s="31">
        <f t="shared" si="106"/>
        <v>0</v>
      </c>
    </row>
    <row r="82" spans="1:111" hidden="1" outlineLevel="1">
      <c r="A82" s="22"/>
      <c r="B82" s="272"/>
      <c r="C82" s="491"/>
      <c r="D82" s="492"/>
      <c r="E82" s="492"/>
      <c r="F82" s="492"/>
      <c r="G82" s="492"/>
      <c r="H82" s="492"/>
      <c r="I82" s="492"/>
      <c r="J82" s="492"/>
      <c r="K82" s="492"/>
      <c r="L82" s="492"/>
      <c r="M82" s="492"/>
      <c r="N82" s="492"/>
      <c r="O82" s="492"/>
      <c r="P82" s="469">
        <f t="shared" si="101"/>
        <v>0</v>
      </c>
      <c r="Q82" s="476">
        <f>IF(P82=0,0,(_xlfn.XLOOKUP(C82,Factors!$V$17:$V$72,Factors!$Z$17:$Z$72)*'Purchased Materials'!P82))</f>
        <v>0</v>
      </c>
      <c r="BA82" s="432" t="str">
        <f t="shared" si="71"/>
        <v/>
      </c>
      <c r="BB82" s="432" t="str">
        <f t="shared" si="72"/>
        <v/>
      </c>
      <c r="BC82" s="432">
        <v>1</v>
      </c>
      <c r="BD82" s="432" t="str">
        <f>_xlfn.LET(_xlpm.x,BB82,IF(LEN(_xlpm.x)&lt;1,"",IF(ISNUMBER(MATCH(_xlpm.x,ls_purchased_mat,0)),'Project Inputs'!$BF$14,99)))</f>
        <v/>
      </c>
      <c r="BE82" s="484" t="str">
        <f t="shared" si="73"/>
        <v/>
      </c>
      <c r="BF82" s="484" t="str">
        <f t="shared" si="74"/>
        <v/>
      </c>
      <c r="BG82" s="484" t="str">
        <f t="shared" si="75"/>
        <v/>
      </c>
      <c r="BH82" s="484" t="str">
        <f t="shared" si="76"/>
        <v/>
      </c>
      <c r="BI82" s="484" t="str">
        <f t="shared" si="77"/>
        <v/>
      </c>
      <c r="BJ82" s="484" t="str">
        <f t="shared" si="78"/>
        <v/>
      </c>
      <c r="BK82" s="484" t="str">
        <f t="shared" si="79"/>
        <v/>
      </c>
      <c r="BL82" s="484" t="str">
        <f t="shared" si="80"/>
        <v/>
      </c>
      <c r="BM82" s="484" t="str">
        <f t="shared" si="81"/>
        <v/>
      </c>
      <c r="BN82" s="484" t="str">
        <f t="shared" si="82"/>
        <v/>
      </c>
      <c r="BO82" s="484" t="str">
        <f t="shared" si="83"/>
        <v/>
      </c>
      <c r="BP82" s="484" t="str">
        <f t="shared" si="84"/>
        <v/>
      </c>
      <c r="BQ82" s="485" t="str">
        <f t="shared" si="85"/>
        <v/>
      </c>
      <c r="BR82" s="486">
        <v>2</v>
      </c>
      <c r="BS82" s="487" cm="1">
        <f t="array" ref="BS82">IFERROR(INDEX(tblPurch_Mat[],MATCH(1,(tblPurch_Mat[Dataset ID]=BD82)*(tblPurch_Mat[Material Subcategory]=BB82),0),6),"confirm")</f>
        <v>0</v>
      </c>
      <c r="BT82" s="487" cm="1">
        <f t="array" ref="BT82">IFERROR(INDEX(tblPurch_Mat[],MATCH(1,(tblPurch_Mat[Dataset ID]=BD82)*(tblPurch_Mat[Material Subcategory]=BB82),0),7),"confirm")</f>
        <v>0</v>
      </c>
      <c r="BU82" s="487">
        <f t="shared" si="86"/>
        <v>0</v>
      </c>
      <c r="BV82" s="484" t="str">
        <f t="shared" si="87"/>
        <v/>
      </c>
      <c r="BW82" s="484" t="str">
        <f t="shared" si="88"/>
        <v/>
      </c>
      <c r="BX82" s="484" t="str">
        <f t="shared" si="89"/>
        <v/>
      </c>
      <c r="BY82" s="484" t="str">
        <f t="shared" si="90"/>
        <v/>
      </c>
      <c r="BZ82" s="484" t="str">
        <f t="shared" si="91"/>
        <v/>
      </c>
      <c r="CA82" s="484" t="str">
        <f t="shared" si="92"/>
        <v/>
      </c>
      <c r="CB82" s="484" t="str">
        <f t="shared" si="93"/>
        <v/>
      </c>
      <c r="CC82" s="484" t="str">
        <f t="shared" si="94"/>
        <v/>
      </c>
      <c r="CD82" s="484" t="str">
        <f t="shared" si="95"/>
        <v/>
      </c>
      <c r="CE82" s="484" t="str">
        <f t="shared" si="96"/>
        <v/>
      </c>
      <c r="CF82" s="484" t="str">
        <f t="shared" si="97"/>
        <v/>
      </c>
      <c r="CG82" s="484" t="str">
        <f t="shared" si="98"/>
        <v/>
      </c>
      <c r="CH82" s="485">
        <f t="shared" si="102"/>
        <v>0</v>
      </c>
      <c r="CJ82" s="3"/>
      <c r="CK82" s="488" t="str">
        <f t="shared" si="39"/>
        <v>_</v>
      </c>
      <c r="CL82" s="488">
        <f t="shared" si="99"/>
        <v>0</v>
      </c>
      <c r="CM82" s="488">
        <f t="shared" si="100"/>
        <v>0</v>
      </c>
      <c r="DD82" s="390">
        <f t="shared" si="103"/>
        <v>0</v>
      </c>
      <c r="DE82" s="31">
        <f t="shared" si="104"/>
        <v>14</v>
      </c>
      <c r="DF82" s="31">
        <f t="shared" si="105"/>
        <v>0</v>
      </c>
      <c r="DG82" s="31">
        <f t="shared" si="106"/>
        <v>0</v>
      </c>
    </row>
    <row r="83" spans="1:111" hidden="1" outlineLevel="1">
      <c r="A83" s="22"/>
      <c r="B83" s="272"/>
      <c r="C83" s="491"/>
      <c r="D83" s="492"/>
      <c r="E83" s="492"/>
      <c r="F83" s="492"/>
      <c r="G83" s="492"/>
      <c r="H83" s="492"/>
      <c r="I83" s="492"/>
      <c r="J83" s="492"/>
      <c r="K83" s="492"/>
      <c r="L83" s="492"/>
      <c r="M83" s="492"/>
      <c r="N83" s="492"/>
      <c r="O83" s="492"/>
      <c r="P83" s="469">
        <f t="shared" si="101"/>
        <v>0</v>
      </c>
      <c r="Q83" s="476">
        <f>IF(P83=0,0,(_xlfn.XLOOKUP(C83,Factors!$V$17:$V$72,Factors!$Z$17:$Z$72)*'Purchased Materials'!P83))</f>
        <v>0</v>
      </c>
      <c r="BA83" s="432" t="str">
        <f t="shared" si="71"/>
        <v/>
      </c>
      <c r="BB83" s="432" t="str">
        <f t="shared" si="72"/>
        <v/>
      </c>
      <c r="BC83" s="432">
        <v>1</v>
      </c>
      <c r="BD83" s="432" t="str">
        <f>_xlfn.LET(_xlpm.x,BB83,IF(LEN(_xlpm.x)&lt;1,"",IF(ISNUMBER(MATCH(_xlpm.x,ls_purchased_mat,0)),'Project Inputs'!$BF$14,99)))</f>
        <v/>
      </c>
      <c r="BE83" s="484" t="str">
        <f t="shared" si="73"/>
        <v/>
      </c>
      <c r="BF83" s="484" t="str">
        <f t="shared" si="74"/>
        <v/>
      </c>
      <c r="BG83" s="484" t="str">
        <f t="shared" si="75"/>
        <v/>
      </c>
      <c r="BH83" s="484" t="str">
        <f t="shared" si="76"/>
        <v/>
      </c>
      <c r="BI83" s="484" t="str">
        <f t="shared" si="77"/>
        <v/>
      </c>
      <c r="BJ83" s="484" t="str">
        <f t="shared" si="78"/>
        <v/>
      </c>
      <c r="BK83" s="484" t="str">
        <f t="shared" si="79"/>
        <v/>
      </c>
      <c r="BL83" s="484" t="str">
        <f t="shared" si="80"/>
        <v/>
      </c>
      <c r="BM83" s="484" t="str">
        <f t="shared" si="81"/>
        <v/>
      </c>
      <c r="BN83" s="484" t="str">
        <f t="shared" si="82"/>
        <v/>
      </c>
      <c r="BO83" s="484" t="str">
        <f t="shared" si="83"/>
        <v/>
      </c>
      <c r="BP83" s="484" t="str">
        <f t="shared" si="84"/>
        <v/>
      </c>
      <c r="BQ83" s="485" t="str">
        <f t="shared" si="85"/>
        <v/>
      </c>
      <c r="BR83" s="486">
        <v>2</v>
      </c>
      <c r="BS83" s="487" cm="1">
        <f t="array" ref="BS83">IFERROR(INDEX(tblPurch_Mat[],MATCH(1,(tblPurch_Mat[Dataset ID]=BD83)*(tblPurch_Mat[Material Subcategory]=BB83),0),6),"confirm")</f>
        <v>0</v>
      </c>
      <c r="BT83" s="487" cm="1">
        <f t="array" ref="BT83">IFERROR(INDEX(tblPurch_Mat[],MATCH(1,(tblPurch_Mat[Dataset ID]=BD83)*(tblPurch_Mat[Material Subcategory]=BB83),0),7),"confirm")</f>
        <v>0</v>
      </c>
      <c r="BU83" s="487">
        <f t="shared" si="86"/>
        <v>0</v>
      </c>
      <c r="BV83" s="484" t="str">
        <f t="shared" si="87"/>
        <v/>
      </c>
      <c r="BW83" s="484" t="str">
        <f t="shared" si="88"/>
        <v/>
      </c>
      <c r="BX83" s="484" t="str">
        <f t="shared" si="89"/>
        <v/>
      </c>
      <c r="BY83" s="484" t="str">
        <f t="shared" si="90"/>
        <v/>
      </c>
      <c r="BZ83" s="484" t="str">
        <f t="shared" si="91"/>
        <v/>
      </c>
      <c r="CA83" s="484" t="str">
        <f t="shared" si="92"/>
        <v/>
      </c>
      <c r="CB83" s="484" t="str">
        <f t="shared" si="93"/>
        <v/>
      </c>
      <c r="CC83" s="484" t="str">
        <f t="shared" si="94"/>
        <v/>
      </c>
      <c r="CD83" s="484" t="str">
        <f t="shared" si="95"/>
        <v/>
      </c>
      <c r="CE83" s="484" t="str">
        <f t="shared" si="96"/>
        <v/>
      </c>
      <c r="CF83" s="484" t="str">
        <f t="shared" si="97"/>
        <v/>
      </c>
      <c r="CG83" s="484" t="str">
        <f t="shared" si="98"/>
        <v/>
      </c>
      <c r="CH83" s="485">
        <f t="shared" si="102"/>
        <v>0</v>
      </c>
      <c r="CJ83" s="3"/>
      <c r="CK83" s="488" t="str">
        <f t="shared" si="39"/>
        <v>_</v>
      </c>
      <c r="CL83" s="488">
        <f t="shared" si="99"/>
        <v>0</v>
      </c>
      <c r="CM83" s="488">
        <f t="shared" si="100"/>
        <v>0</v>
      </c>
      <c r="DD83" s="390">
        <f t="shared" si="103"/>
        <v>0</v>
      </c>
      <c r="DE83" s="31">
        <f t="shared" si="104"/>
        <v>14</v>
      </c>
      <c r="DF83" s="31">
        <f t="shared" si="105"/>
        <v>0</v>
      </c>
      <c r="DG83" s="31">
        <f t="shared" si="106"/>
        <v>0</v>
      </c>
    </row>
    <row r="84" spans="1:111" hidden="1" outlineLevel="1">
      <c r="A84" s="22"/>
      <c r="B84" s="272"/>
      <c r="C84" s="491"/>
      <c r="D84" s="492"/>
      <c r="E84" s="492"/>
      <c r="F84" s="492"/>
      <c r="G84" s="492"/>
      <c r="H84" s="492"/>
      <c r="I84" s="492"/>
      <c r="J84" s="492"/>
      <c r="K84" s="492"/>
      <c r="L84" s="492"/>
      <c r="M84" s="492"/>
      <c r="N84" s="492"/>
      <c r="O84" s="492"/>
      <c r="P84" s="469">
        <f t="shared" si="101"/>
        <v>0</v>
      </c>
      <c r="Q84" s="476">
        <f>IF(P84=0,0,(_xlfn.XLOOKUP(C84,Factors!$V$17:$V$72,Factors!$Z$17:$Z$72)*'Purchased Materials'!P84))</f>
        <v>0</v>
      </c>
      <c r="BA84" s="432" t="str">
        <f t="shared" si="71"/>
        <v/>
      </c>
      <c r="BB84" s="432" t="str">
        <f t="shared" si="72"/>
        <v/>
      </c>
      <c r="BC84" s="432">
        <v>1</v>
      </c>
      <c r="BD84" s="432" t="str">
        <f>_xlfn.LET(_xlpm.x,BB84,IF(LEN(_xlpm.x)&lt;1,"",IF(ISNUMBER(MATCH(_xlpm.x,ls_purchased_mat,0)),'Project Inputs'!$BF$14,99)))</f>
        <v/>
      </c>
      <c r="BE84" s="484" t="str">
        <f t="shared" si="73"/>
        <v/>
      </c>
      <c r="BF84" s="484" t="str">
        <f t="shared" si="74"/>
        <v/>
      </c>
      <c r="BG84" s="484" t="str">
        <f t="shared" si="75"/>
        <v/>
      </c>
      <c r="BH84" s="484" t="str">
        <f t="shared" si="76"/>
        <v/>
      </c>
      <c r="BI84" s="484" t="str">
        <f t="shared" si="77"/>
        <v/>
      </c>
      <c r="BJ84" s="484" t="str">
        <f t="shared" si="78"/>
        <v/>
      </c>
      <c r="BK84" s="484" t="str">
        <f t="shared" si="79"/>
        <v/>
      </c>
      <c r="BL84" s="484" t="str">
        <f t="shared" si="80"/>
        <v/>
      </c>
      <c r="BM84" s="484" t="str">
        <f t="shared" si="81"/>
        <v/>
      </c>
      <c r="BN84" s="484" t="str">
        <f t="shared" si="82"/>
        <v/>
      </c>
      <c r="BO84" s="484" t="str">
        <f t="shared" si="83"/>
        <v/>
      </c>
      <c r="BP84" s="484" t="str">
        <f t="shared" si="84"/>
        <v/>
      </c>
      <c r="BQ84" s="485" t="str">
        <f t="shared" si="85"/>
        <v/>
      </c>
      <c r="BR84" s="486">
        <v>2</v>
      </c>
      <c r="BS84" s="487" cm="1">
        <f t="array" ref="BS84">IFERROR(INDEX(tblPurch_Mat[],MATCH(1,(tblPurch_Mat[Dataset ID]=BD84)*(tblPurch_Mat[Material Subcategory]=BB84),0),6),"confirm")</f>
        <v>0</v>
      </c>
      <c r="BT84" s="487" cm="1">
        <f t="array" ref="BT84">IFERROR(INDEX(tblPurch_Mat[],MATCH(1,(tblPurch_Mat[Dataset ID]=BD84)*(tblPurch_Mat[Material Subcategory]=BB84),0),7),"confirm")</f>
        <v>0</v>
      </c>
      <c r="BU84" s="487">
        <f t="shared" si="86"/>
        <v>0</v>
      </c>
      <c r="BV84" s="484" t="str">
        <f t="shared" si="87"/>
        <v/>
      </c>
      <c r="BW84" s="484" t="str">
        <f t="shared" si="88"/>
        <v/>
      </c>
      <c r="BX84" s="484" t="str">
        <f t="shared" si="89"/>
        <v/>
      </c>
      <c r="BY84" s="484" t="str">
        <f t="shared" si="90"/>
        <v/>
      </c>
      <c r="BZ84" s="484" t="str">
        <f t="shared" si="91"/>
        <v/>
      </c>
      <c r="CA84" s="484" t="str">
        <f t="shared" si="92"/>
        <v/>
      </c>
      <c r="CB84" s="484" t="str">
        <f t="shared" si="93"/>
        <v/>
      </c>
      <c r="CC84" s="484" t="str">
        <f t="shared" si="94"/>
        <v/>
      </c>
      <c r="CD84" s="484" t="str">
        <f t="shared" si="95"/>
        <v/>
      </c>
      <c r="CE84" s="484" t="str">
        <f t="shared" si="96"/>
        <v/>
      </c>
      <c r="CF84" s="484" t="str">
        <f t="shared" si="97"/>
        <v/>
      </c>
      <c r="CG84" s="484" t="str">
        <f t="shared" si="98"/>
        <v/>
      </c>
      <c r="CH84" s="485">
        <f t="shared" si="102"/>
        <v>0</v>
      </c>
      <c r="CJ84" s="3"/>
      <c r="CK84" s="488" t="str">
        <f t="shared" si="39"/>
        <v>_</v>
      </c>
      <c r="CL84" s="488">
        <f t="shared" si="99"/>
        <v>0</v>
      </c>
      <c r="CM84" s="488">
        <f t="shared" si="100"/>
        <v>0</v>
      </c>
      <c r="DD84" s="390">
        <f t="shared" si="103"/>
        <v>0</v>
      </c>
      <c r="DE84" s="31">
        <f t="shared" si="104"/>
        <v>14</v>
      </c>
      <c r="DF84" s="31">
        <f t="shared" si="105"/>
        <v>0</v>
      </c>
      <c r="DG84" s="31">
        <f t="shared" si="106"/>
        <v>0</v>
      </c>
    </row>
    <row r="85" spans="1:111" hidden="1" outlineLevel="1">
      <c r="A85" s="22"/>
      <c r="B85" s="272"/>
      <c r="C85" s="491"/>
      <c r="D85" s="492"/>
      <c r="E85" s="492"/>
      <c r="F85" s="492"/>
      <c r="G85" s="492"/>
      <c r="H85" s="492"/>
      <c r="I85" s="492"/>
      <c r="J85" s="492"/>
      <c r="K85" s="492"/>
      <c r="L85" s="492"/>
      <c r="M85" s="492"/>
      <c r="N85" s="492"/>
      <c r="O85" s="492"/>
      <c r="P85" s="469">
        <f t="shared" si="101"/>
        <v>0</v>
      </c>
      <c r="Q85" s="476">
        <f>IF(P85=0,0,(_xlfn.XLOOKUP(C85,Factors!$V$17:$V$72,Factors!$Z$17:$Z$72)*'Purchased Materials'!P85))</f>
        <v>0</v>
      </c>
      <c r="BA85" s="432" t="str">
        <f t="shared" si="71"/>
        <v/>
      </c>
      <c r="BB85" s="432" t="str">
        <f t="shared" si="72"/>
        <v/>
      </c>
      <c r="BC85" s="432">
        <v>1</v>
      </c>
      <c r="BD85" s="432" t="str">
        <f>_xlfn.LET(_xlpm.x,BB85,IF(LEN(_xlpm.x)&lt;1,"",IF(ISNUMBER(MATCH(_xlpm.x,ls_purchased_mat,0)),'Project Inputs'!$BF$14,99)))</f>
        <v/>
      </c>
      <c r="BE85" s="484" t="str">
        <f t="shared" si="73"/>
        <v/>
      </c>
      <c r="BF85" s="484" t="str">
        <f t="shared" si="74"/>
        <v/>
      </c>
      <c r="BG85" s="484" t="str">
        <f t="shared" si="75"/>
        <v/>
      </c>
      <c r="BH85" s="484" t="str">
        <f t="shared" si="76"/>
        <v/>
      </c>
      <c r="BI85" s="484" t="str">
        <f t="shared" si="77"/>
        <v/>
      </c>
      <c r="BJ85" s="484" t="str">
        <f t="shared" si="78"/>
        <v/>
      </c>
      <c r="BK85" s="484" t="str">
        <f t="shared" si="79"/>
        <v/>
      </c>
      <c r="BL85" s="484" t="str">
        <f t="shared" si="80"/>
        <v/>
      </c>
      <c r="BM85" s="484" t="str">
        <f t="shared" si="81"/>
        <v/>
      </c>
      <c r="BN85" s="484" t="str">
        <f t="shared" si="82"/>
        <v/>
      </c>
      <c r="BO85" s="484" t="str">
        <f t="shared" si="83"/>
        <v/>
      </c>
      <c r="BP85" s="484" t="str">
        <f t="shared" si="84"/>
        <v/>
      </c>
      <c r="BQ85" s="485" t="str">
        <f t="shared" si="85"/>
        <v/>
      </c>
      <c r="BR85" s="486">
        <v>2</v>
      </c>
      <c r="BS85" s="487" cm="1">
        <f t="array" ref="BS85">IFERROR(INDEX(tblPurch_Mat[],MATCH(1,(tblPurch_Mat[Dataset ID]=BD85)*(tblPurch_Mat[Material Subcategory]=BB85),0),6),"confirm")</f>
        <v>0</v>
      </c>
      <c r="BT85" s="487" cm="1">
        <f t="array" ref="BT85">IFERROR(INDEX(tblPurch_Mat[],MATCH(1,(tblPurch_Mat[Dataset ID]=BD85)*(tblPurch_Mat[Material Subcategory]=BB85),0),7),"confirm")</f>
        <v>0</v>
      </c>
      <c r="BU85" s="487">
        <f t="shared" si="86"/>
        <v>0</v>
      </c>
      <c r="BV85" s="484" t="str">
        <f t="shared" si="87"/>
        <v/>
      </c>
      <c r="BW85" s="484" t="str">
        <f t="shared" si="88"/>
        <v/>
      </c>
      <c r="BX85" s="484" t="str">
        <f t="shared" si="89"/>
        <v/>
      </c>
      <c r="BY85" s="484" t="str">
        <f t="shared" si="90"/>
        <v/>
      </c>
      <c r="BZ85" s="484" t="str">
        <f t="shared" si="91"/>
        <v/>
      </c>
      <c r="CA85" s="484" t="str">
        <f t="shared" si="92"/>
        <v/>
      </c>
      <c r="CB85" s="484" t="str">
        <f t="shared" si="93"/>
        <v/>
      </c>
      <c r="CC85" s="484" t="str">
        <f t="shared" si="94"/>
        <v/>
      </c>
      <c r="CD85" s="484" t="str">
        <f t="shared" si="95"/>
        <v/>
      </c>
      <c r="CE85" s="484" t="str">
        <f t="shared" si="96"/>
        <v/>
      </c>
      <c r="CF85" s="484" t="str">
        <f t="shared" si="97"/>
        <v/>
      </c>
      <c r="CG85" s="484" t="str">
        <f t="shared" si="98"/>
        <v/>
      </c>
      <c r="CH85" s="485">
        <f t="shared" si="102"/>
        <v>0</v>
      </c>
      <c r="CJ85" s="3"/>
      <c r="CK85" s="488" t="str">
        <f t="shared" si="39"/>
        <v>_</v>
      </c>
      <c r="CL85" s="488">
        <f t="shared" si="99"/>
        <v>0</v>
      </c>
      <c r="CM85" s="488">
        <f t="shared" si="100"/>
        <v>0</v>
      </c>
      <c r="DD85" s="390">
        <f t="shared" si="103"/>
        <v>0</v>
      </c>
      <c r="DE85" s="31">
        <f t="shared" si="104"/>
        <v>14</v>
      </c>
      <c r="DF85" s="31">
        <f t="shared" si="105"/>
        <v>0</v>
      </c>
      <c r="DG85" s="31">
        <f t="shared" si="106"/>
        <v>0</v>
      </c>
    </row>
    <row r="86" spans="1:111" hidden="1" outlineLevel="1">
      <c r="A86" s="22"/>
      <c r="B86" s="272"/>
      <c r="C86" s="491"/>
      <c r="D86" s="492"/>
      <c r="E86" s="492"/>
      <c r="F86" s="492"/>
      <c r="G86" s="492"/>
      <c r="H86" s="492"/>
      <c r="I86" s="492"/>
      <c r="J86" s="492"/>
      <c r="K86" s="492"/>
      <c r="L86" s="492"/>
      <c r="M86" s="492"/>
      <c r="N86" s="492"/>
      <c r="O86" s="492"/>
      <c r="P86" s="469">
        <f t="shared" si="101"/>
        <v>0</v>
      </c>
      <c r="Q86" s="476">
        <f>IF(P86=0,0,(_xlfn.XLOOKUP(C86,Factors!$V$17:$V$72,Factors!$Z$17:$Z$72)*'Purchased Materials'!P86))</f>
        <v>0</v>
      </c>
      <c r="BA86" s="432" t="str">
        <f t="shared" si="71"/>
        <v/>
      </c>
      <c r="BB86" s="432" t="str">
        <f t="shared" si="72"/>
        <v/>
      </c>
      <c r="BC86" s="432">
        <v>1</v>
      </c>
      <c r="BD86" s="432" t="str">
        <f>_xlfn.LET(_xlpm.x,BB86,IF(LEN(_xlpm.x)&lt;1,"",IF(ISNUMBER(MATCH(_xlpm.x,ls_purchased_mat,0)),'Project Inputs'!$BF$14,99)))</f>
        <v/>
      </c>
      <c r="BE86" s="484" t="str">
        <f t="shared" si="73"/>
        <v/>
      </c>
      <c r="BF86" s="484" t="str">
        <f t="shared" si="74"/>
        <v/>
      </c>
      <c r="BG86" s="484" t="str">
        <f t="shared" si="75"/>
        <v/>
      </c>
      <c r="BH86" s="484" t="str">
        <f t="shared" si="76"/>
        <v/>
      </c>
      <c r="BI86" s="484" t="str">
        <f t="shared" si="77"/>
        <v/>
      </c>
      <c r="BJ86" s="484" t="str">
        <f t="shared" si="78"/>
        <v/>
      </c>
      <c r="BK86" s="484" t="str">
        <f t="shared" si="79"/>
        <v/>
      </c>
      <c r="BL86" s="484" t="str">
        <f t="shared" si="80"/>
        <v/>
      </c>
      <c r="BM86" s="484" t="str">
        <f t="shared" si="81"/>
        <v/>
      </c>
      <c r="BN86" s="484" t="str">
        <f t="shared" si="82"/>
        <v/>
      </c>
      <c r="BO86" s="484" t="str">
        <f t="shared" si="83"/>
        <v/>
      </c>
      <c r="BP86" s="484" t="str">
        <f t="shared" si="84"/>
        <v/>
      </c>
      <c r="BQ86" s="485" t="str">
        <f t="shared" si="85"/>
        <v/>
      </c>
      <c r="BR86" s="486">
        <v>2</v>
      </c>
      <c r="BS86" s="487" cm="1">
        <f t="array" ref="BS86">IFERROR(INDEX(tblPurch_Mat[],MATCH(1,(tblPurch_Mat[Dataset ID]=BD86)*(tblPurch_Mat[Material Subcategory]=BB86),0),6),"confirm")</f>
        <v>0</v>
      </c>
      <c r="BT86" s="487" cm="1">
        <f t="array" ref="BT86">IFERROR(INDEX(tblPurch_Mat[],MATCH(1,(tblPurch_Mat[Dataset ID]=BD86)*(tblPurch_Mat[Material Subcategory]=BB86),0),7),"confirm")</f>
        <v>0</v>
      </c>
      <c r="BU86" s="487">
        <f t="shared" si="86"/>
        <v>0</v>
      </c>
      <c r="BV86" s="484" t="str">
        <f t="shared" si="87"/>
        <v/>
      </c>
      <c r="BW86" s="484" t="str">
        <f t="shared" si="88"/>
        <v/>
      </c>
      <c r="BX86" s="484" t="str">
        <f t="shared" si="89"/>
        <v/>
      </c>
      <c r="BY86" s="484" t="str">
        <f t="shared" si="90"/>
        <v/>
      </c>
      <c r="BZ86" s="484" t="str">
        <f t="shared" si="91"/>
        <v/>
      </c>
      <c r="CA86" s="484" t="str">
        <f t="shared" si="92"/>
        <v/>
      </c>
      <c r="CB86" s="484" t="str">
        <f t="shared" si="93"/>
        <v/>
      </c>
      <c r="CC86" s="484" t="str">
        <f t="shared" si="94"/>
        <v/>
      </c>
      <c r="CD86" s="484" t="str">
        <f t="shared" si="95"/>
        <v/>
      </c>
      <c r="CE86" s="484" t="str">
        <f t="shared" si="96"/>
        <v/>
      </c>
      <c r="CF86" s="484" t="str">
        <f t="shared" si="97"/>
        <v/>
      </c>
      <c r="CG86" s="484" t="str">
        <f t="shared" si="98"/>
        <v/>
      </c>
      <c r="CH86" s="485">
        <f t="shared" si="102"/>
        <v>0</v>
      </c>
      <c r="CJ86" s="3"/>
      <c r="CK86" s="488" t="str">
        <f t="shared" si="39"/>
        <v>_</v>
      </c>
      <c r="CL86" s="488">
        <f t="shared" si="99"/>
        <v>0</v>
      </c>
      <c r="CM86" s="488">
        <f t="shared" si="100"/>
        <v>0</v>
      </c>
      <c r="DD86" s="390">
        <f t="shared" si="103"/>
        <v>0</v>
      </c>
      <c r="DE86" s="31">
        <f t="shared" si="104"/>
        <v>14</v>
      </c>
      <c r="DF86" s="31">
        <f t="shared" si="105"/>
        <v>0</v>
      </c>
      <c r="DG86" s="31">
        <f t="shared" si="106"/>
        <v>0</v>
      </c>
    </row>
    <row r="87" spans="1:111" hidden="1" outlineLevel="1">
      <c r="A87" s="22"/>
      <c r="B87" s="272"/>
      <c r="C87" s="491"/>
      <c r="D87" s="492"/>
      <c r="E87" s="492"/>
      <c r="F87" s="492"/>
      <c r="G87" s="492"/>
      <c r="H87" s="492"/>
      <c r="I87" s="492"/>
      <c r="J87" s="492"/>
      <c r="K87" s="492"/>
      <c r="L87" s="492"/>
      <c r="M87" s="492"/>
      <c r="N87" s="492"/>
      <c r="O87" s="492"/>
      <c r="P87" s="469">
        <f t="shared" si="101"/>
        <v>0</v>
      </c>
      <c r="Q87" s="476">
        <f>IF(P87=0,0,(_xlfn.XLOOKUP(C87,Factors!$V$17:$V$72,Factors!$Z$17:$Z$72)*'Purchased Materials'!P87))</f>
        <v>0</v>
      </c>
      <c r="BA87" s="432" t="str">
        <f t="shared" si="71"/>
        <v/>
      </c>
      <c r="BB87" s="432" t="str">
        <f t="shared" si="72"/>
        <v/>
      </c>
      <c r="BC87" s="432">
        <v>1</v>
      </c>
      <c r="BD87" s="432" t="str">
        <f>_xlfn.LET(_xlpm.x,BB87,IF(LEN(_xlpm.x)&lt;1,"",IF(ISNUMBER(MATCH(_xlpm.x,ls_purchased_mat,0)),'Project Inputs'!$BF$14,99)))</f>
        <v/>
      </c>
      <c r="BE87" s="484" t="str">
        <f t="shared" si="73"/>
        <v/>
      </c>
      <c r="BF87" s="484" t="str">
        <f t="shared" si="74"/>
        <v/>
      </c>
      <c r="BG87" s="484" t="str">
        <f t="shared" si="75"/>
        <v/>
      </c>
      <c r="BH87" s="484" t="str">
        <f t="shared" si="76"/>
        <v/>
      </c>
      <c r="BI87" s="484" t="str">
        <f t="shared" si="77"/>
        <v/>
      </c>
      <c r="BJ87" s="484" t="str">
        <f t="shared" si="78"/>
        <v/>
      </c>
      <c r="BK87" s="484" t="str">
        <f t="shared" si="79"/>
        <v/>
      </c>
      <c r="BL87" s="484" t="str">
        <f t="shared" si="80"/>
        <v/>
      </c>
      <c r="BM87" s="484" t="str">
        <f t="shared" si="81"/>
        <v/>
      </c>
      <c r="BN87" s="484" t="str">
        <f t="shared" si="82"/>
        <v/>
      </c>
      <c r="BO87" s="484" t="str">
        <f t="shared" si="83"/>
        <v/>
      </c>
      <c r="BP87" s="484" t="str">
        <f t="shared" si="84"/>
        <v/>
      </c>
      <c r="BQ87" s="485" t="str">
        <f t="shared" si="85"/>
        <v/>
      </c>
      <c r="BR87" s="486">
        <v>2</v>
      </c>
      <c r="BS87" s="487" cm="1">
        <f t="array" ref="BS87">IFERROR(INDEX(tblPurch_Mat[],MATCH(1,(tblPurch_Mat[Dataset ID]=BD87)*(tblPurch_Mat[Material Subcategory]=BB87),0),6),"confirm")</f>
        <v>0</v>
      </c>
      <c r="BT87" s="487" cm="1">
        <f t="array" ref="BT87">IFERROR(INDEX(tblPurch_Mat[],MATCH(1,(tblPurch_Mat[Dataset ID]=BD87)*(tblPurch_Mat[Material Subcategory]=BB87),0),7),"confirm")</f>
        <v>0</v>
      </c>
      <c r="BU87" s="487">
        <f t="shared" si="86"/>
        <v>0</v>
      </c>
      <c r="BV87" s="484" t="str">
        <f t="shared" si="87"/>
        <v/>
      </c>
      <c r="BW87" s="484" t="str">
        <f t="shared" si="88"/>
        <v/>
      </c>
      <c r="BX87" s="484" t="str">
        <f t="shared" si="89"/>
        <v/>
      </c>
      <c r="BY87" s="484" t="str">
        <f t="shared" si="90"/>
        <v/>
      </c>
      <c r="BZ87" s="484" t="str">
        <f t="shared" si="91"/>
        <v/>
      </c>
      <c r="CA87" s="484" t="str">
        <f t="shared" si="92"/>
        <v/>
      </c>
      <c r="CB87" s="484" t="str">
        <f t="shared" si="93"/>
        <v/>
      </c>
      <c r="CC87" s="484" t="str">
        <f t="shared" si="94"/>
        <v/>
      </c>
      <c r="CD87" s="484" t="str">
        <f t="shared" si="95"/>
        <v/>
      </c>
      <c r="CE87" s="484" t="str">
        <f t="shared" si="96"/>
        <v/>
      </c>
      <c r="CF87" s="484" t="str">
        <f t="shared" si="97"/>
        <v/>
      </c>
      <c r="CG87" s="484" t="str">
        <f t="shared" si="98"/>
        <v/>
      </c>
      <c r="CH87" s="485">
        <f t="shared" si="102"/>
        <v>0</v>
      </c>
      <c r="CJ87" s="3"/>
      <c r="CK87" s="488" t="str">
        <f t="shared" si="39"/>
        <v>_</v>
      </c>
      <c r="CL87" s="488">
        <f t="shared" si="99"/>
        <v>0</v>
      </c>
      <c r="CM87" s="488">
        <f t="shared" si="100"/>
        <v>0</v>
      </c>
      <c r="DD87" s="390">
        <f t="shared" si="103"/>
        <v>0</v>
      </c>
      <c r="DE87" s="31">
        <f t="shared" si="104"/>
        <v>14</v>
      </c>
      <c r="DF87" s="31">
        <f t="shared" si="105"/>
        <v>0</v>
      </c>
      <c r="DG87" s="31">
        <f t="shared" si="106"/>
        <v>0</v>
      </c>
    </row>
    <row r="88" spans="1:111" hidden="1" outlineLevel="1">
      <c r="A88" s="22"/>
      <c r="B88" s="272"/>
      <c r="C88" s="491"/>
      <c r="D88" s="492"/>
      <c r="E88" s="492"/>
      <c r="F88" s="492"/>
      <c r="G88" s="492"/>
      <c r="H88" s="492"/>
      <c r="I88" s="492"/>
      <c r="J88" s="492"/>
      <c r="K88" s="492"/>
      <c r="L88" s="492"/>
      <c r="M88" s="492"/>
      <c r="N88" s="492"/>
      <c r="O88" s="492"/>
      <c r="P88" s="469">
        <f t="shared" si="101"/>
        <v>0</v>
      </c>
      <c r="Q88" s="476">
        <f>IF(P88=0,0,(_xlfn.XLOOKUP(C88,Factors!$V$17:$V$72,Factors!$Z$17:$Z$72)*'Purchased Materials'!P88))</f>
        <v>0</v>
      </c>
      <c r="BA88" s="432" t="str">
        <f t="shared" si="71"/>
        <v/>
      </c>
      <c r="BB88" s="432" t="str">
        <f t="shared" si="72"/>
        <v/>
      </c>
      <c r="BC88" s="432">
        <v>1</v>
      </c>
      <c r="BD88" s="432" t="str">
        <f>_xlfn.LET(_xlpm.x,BB88,IF(LEN(_xlpm.x)&lt;1,"",IF(ISNUMBER(MATCH(_xlpm.x,ls_purchased_mat,0)),'Project Inputs'!$BF$14,99)))</f>
        <v/>
      </c>
      <c r="BE88" s="484" t="str">
        <f t="shared" si="73"/>
        <v/>
      </c>
      <c r="BF88" s="484" t="str">
        <f t="shared" si="74"/>
        <v/>
      </c>
      <c r="BG88" s="484" t="str">
        <f t="shared" si="75"/>
        <v/>
      </c>
      <c r="BH88" s="484" t="str">
        <f t="shared" si="76"/>
        <v/>
      </c>
      <c r="BI88" s="484" t="str">
        <f t="shared" si="77"/>
        <v/>
      </c>
      <c r="BJ88" s="484" t="str">
        <f t="shared" si="78"/>
        <v/>
      </c>
      <c r="BK88" s="484" t="str">
        <f t="shared" si="79"/>
        <v/>
      </c>
      <c r="BL88" s="484" t="str">
        <f t="shared" si="80"/>
        <v/>
      </c>
      <c r="BM88" s="484" t="str">
        <f t="shared" si="81"/>
        <v/>
      </c>
      <c r="BN88" s="484" t="str">
        <f t="shared" si="82"/>
        <v/>
      </c>
      <c r="BO88" s="484" t="str">
        <f t="shared" si="83"/>
        <v/>
      </c>
      <c r="BP88" s="484" t="str">
        <f t="shared" si="84"/>
        <v/>
      </c>
      <c r="BQ88" s="485" t="str">
        <f t="shared" si="85"/>
        <v/>
      </c>
      <c r="BR88" s="486">
        <v>2</v>
      </c>
      <c r="BS88" s="487" cm="1">
        <f t="array" ref="BS88">IFERROR(INDEX(tblPurch_Mat[],MATCH(1,(tblPurch_Mat[Dataset ID]=BD88)*(tblPurch_Mat[Material Subcategory]=BB88),0),6),"confirm")</f>
        <v>0</v>
      </c>
      <c r="BT88" s="487" cm="1">
        <f t="array" ref="BT88">IFERROR(INDEX(tblPurch_Mat[],MATCH(1,(tblPurch_Mat[Dataset ID]=BD88)*(tblPurch_Mat[Material Subcategory]=BB88),0),7),"confirm")</f>
        <v>0</v>
      </c>
      <c r="BU88" s="487">
        <f t="shared" si="86"/>
        <v>0</v>
      </c>
      <c r="BV88" s="484" t="str">
        <f t="shared" si="87"/>
        <v/>
      </c>
      <c r="BW88" s="484" t="str">
        <f t="shared" si="88"/>
        <v/>
      </c>
      <c r="BX88" s="484" t="str">
        <f t="shared" si="89"/>
        <v/>
      </c>
      <c r="BY88" s="484" t="str">
        <f t="shared" si="90"/>
        <v/>
      </c>
      <c r="BZ88" s="484" t="str">
        <f t="shared" si="91"/>
        <v/>
      </c>
      <c r="CA88" s="484" t="str">
        <f t="shared" si="92"/>
        <v/>
      </c>
      <c r="CB88" s="484" t="str">
        <f t="shared" si="93"/>
        <v/>
      </c>
      <c r="CC88" s="484" t="str">
        <f t="shared" si="94"/>
        <v/>
      </c>
      <c r="CD88" s="484" t="str">
        <f t="shared" si="95"/>
        <v/>
      </c>
      <c r="CE88" s="484" t="str">
        <f t="shared" si="96"/>
        <v/>
      </c>
      <c r="CF88" s="484" t="str">
        <f t="shared" si="97"/>
        <v/>
      </c>
      <c r="CG88" s="484" t="str">
        <f t="shared" si="98"/>
        <v/>
      </c>
      <c r="CH88" s="485">
        <f t="shared" si="102"/>
        <v>0</v>
      </c>
      <c r="CJ88" s="3"/>
      <c r="CK88" s="488" t="str">
        <f t="shared" si="39"/>
        <v>_</v>
      </c>
      <c r="CL88" s="488">
        <f t="shared" si="99"/>
        <v>0</v>
      </c>
      <c r="CM88" s="488">
        <f t="shared" si="100"/>
        <v>0</v>
      </c>
      <c r="DD88" s="390">
        <f t="shared" si="103"/>
        <v>0</v>
      </c>
      <c r="DE88" s="31">
        <f t="shared" si="104"/>
        <v>14</v>
      </c>
      <c r="DF88" s="31">
        <f t="shared" si="105"/>
        <v>0</v>
      </c>
      <c r="DG88" s="31">
        <f t="shared" si="106"/>
        <v>0</v>
      </c>
    </row>
    <row r="89" spans="1:111" hidden="1" outlineLevel="1">
      <c r="A89" s="22"/>
      <c r="B89" s="272"/>
      <c r="C89" s="491"/>
      <c r="D89" s="492"/>
      <c r="E89" s="492"/>
      <c r="F89" s="492"/>
      <c r="G89" s="492"/>
      <c r="H89" s="492"/>
      <c r="I89" s="492"/>
      <c r="J89" s="492"/>
      <c r="K89" s="492"/>
      <c r="L89" s="492"/>
      <c r="M89" s="492"/>
      <c r="N89" s="492"/>
      <c r="O89" s="492"/>
      <c r="P89" s="469">
        <f t="shared" si="101"/>
        <v>0</v>
      </c>
      <c r="Q89" s="476">
        <f>IF(P89=0,0,(_xlfn.XLOOKUP(C89,Factors!$V$17:$V$72,Factors!$Z$17:$Z$72)*'Purchased Materials'!P89))</f>
        <v>0</v>
      </c>
      <c r="BA89" s="432" t="str">
        <f t="shared" si="71"/>
        <v/>
      </c>
      <c r="BB89" s="432" t="str">
        <f t="shared" si="72"/>
        <v/>
      </c>
      <c r="BC89" s="432">
        <v>1</v>
      </c>
      <c r="BD89" s="432" t="str">
        <f>_xlfn.LET(_xlpm.x,BB89,IF(LEN(_xlpm.x)&lt;1,"",IF(ISNUMBER(MATCH(_xlpm.x,ls_purchased_mat,0)),'Project Inputs'!$BF$14,99)))</f>
        <v/>
      </c>
      <c r="BE89" s="484" t="str">
        <f t="shared" si="73"/>
        <v/>
      </c>
      <c r="BF89" s="484" t="str">
        <f t="shared" si="74"/>
        <v/>
      </c>
      <c r="BG89" s="484" t="str">
        <f t="shared" si="75"/>
        <v/>
      </c>
      <c r="BH89" s="484" t="str">
        <f t="shared" si="76"/>
        <v/>
      </c>
      <c r="BI89" s="484" t="str">
        <f t="shared" si="77"/>
        <v/>
      </c>
      <c r="BJ89" s="484" t="str">
        <f t="shared" si="78"/>
        <v/>
      </c>
      <c r="BK89" s="484" t="str">
        <f t="shared" si="79"/>
        <v/>
      </c>
      <c r="BL89" s="484" t="str">
        <f t="shared" si="80"/>
        <v/>
      </c>
      <c r="BM89" s="484" t="str">
        <f t="shared" si="81"/>
        <v/>
      </c>
      <c r="BN89" s="484" t="str">
        <f t="shared" si="82"/>
        <v/>
      </c>
      <c r="BO89" s="484" t="str">
        <f t="shared" si="83"/>
        <v/>
      </c>
      <c r="BP89" s="484" t="str">
        <f t="shared" si="84"/>
        <v/>
      </c>
      <c r="BQ89" s="485" t="str">
        <f t="shared" si="85"/>
        <v/>
      </c>
      <c r="BR89" s="486">
        <v>2</v>
      </c>
      <c r="BS89" s="487" cm="1">
        <f t="array" ref="BS89">IFERROR(INDEX(tblPurch_Mat[],MATCH(1,(tblPurch_Mat[Dataset ID]=BD89)*(tblPurch_Mat[Material Subcategory]=BB89),0),6),"confirm")</f>
        <v>0</v>
      </c>
      <c r="BT89" s="487" cm="1">
        <f t="array" ref="BT89">IFERROR(INDEX(tblPurch_Mat[],MATCH(1,(tblPurch_Mat[Dataset ID]=BD89)*(tblPurch_Mat[Material Subcategory]=BB89),0),7),"confirm")</f>
        <v>0</v>
      </c>
      <c r="BU89" s="487">
        <f t="shared" si="86"/>
        <v>0</v>
      </c>
      <c r="BV89" s="484" t="str">
        <f t="shared" si="87"/>
        <v/>
      </c>
      <c r="BW89" s="484" t="str">
        <f t="shared" si="88"/>
        <v/>
      </c>
      <c r="BX89" s="484" t="str">
        <f t="shared" si="89"/>
        <v/>
      </c>
      <c r="BY89" s="484" t="str">
        <f t="shared" si="90"/>
        <v/>
      </c>
      <c r="BZ89" s="484" t="str">
        <f t="shared" si="91"/>
        <v/>
      </c>
      <c r="CA89" s="484" t="str">
        <f t="shared" si="92"/>
        <v/>
      </c>
      <c r="CB89" s="484" t="str">
        <f t="shared" si="93"/>
        <v/>
      </c>
      <c r="CC89" s="484" t="str">
        <f t="shared" si="94"/>
        <v/>
      </c>
      <c r="CD89" s="484" t="str">
        <f t="shared" si="95"/>
        <v/>
      </c>
      <c r="CE89" s="484" t="str">
        <f t="shared" si="96"/>
        <v/>
      </c>
      <c r="CF89" s="484" t="str">
        <f t="shared" si="97"/>
        <v/>
      </c>
      <c r="CG89" s="484" t="str">
        <f t="shared" si="98"/>
        <v/>
      </c>
      <c r="CH89" s="485">
        <f t="shared" si="102"/>
        <v>0</v>
      </c>
      <c r="CJ89" s="3"/>
      <c r="CK89" s="488" t="str">
        <f t="shared" si="39"/>
        <v>_</v>
      </c>
      <c r="CL89" s="488">
        <f t="shared" si="99"/>
        <v>0</v>
      </c>
      <c r="CM89" s="488">
        <f t="shared" si="100"/>
        <v>0</v>
      </c>
      <c r="DD89" s="390">
        <f t="shared" si="103"/>
        <v>0</v>
      </c>
      <c r="DE89" s="31">
        <f t="shared" si="104"/>
        <v>14</v>
      </c>
      <c r="DF89" s="31">
        <f t="shared" si="105"/>
        <v>0</v>
      </c>
      <c r="DG89" s="31">
        <f t="shared" si="106"/>
        <v>0</v>
      </c>
    </row>
    <row r="90" spans="1:111" hidden="1" outlineLevel="1">
      <c r="A90" s="22"/>
      <c r="B90" s="272"/>
      <c r="C90" s="491"/>
      <c r="D90" s="492"/>
      <c r="E90" s="492"/>
      <c r="F90" s="492"/>
      <c r="G90" s="492"/>
      <c r="H90" s="492"/>
      <c r="I90" s="492"/>
      <c r="J90" s="492"/>
      <c r="K90" s="492"/>
      <c r="L90" s="492"/>
      <c r="M90" s="492"/>
      <c r="N90" s="492"/>
      <c r="O90" s="492"/>
      <c r="P90" s="469">
        <f t="shared" si="101"/>
        <v>0</v>
      </c>
      <c r="Q90" s="476">
        <f>IF(P90=0,0,(_xlfn.XLOOKUP(C90,Factors!$V$17:$V$72,Factors!$Z$17:$Z$72)*'Purchased Materials'!P90))</f>
        <v>0</v>
      </c>
      <c r="BA90" s="432" t="str">
        <f t="shared" si="71"/>
        <v/>
      </c>
      <c r="BB90" s="432" t="str">
        <f t="shared" si="72"/>
        <v/>
      </c>
      <c r="BC90" s="432">
        <v>1</v>
      </c>
      <c r="BD90" s="432" t="str">
        <f>_xlfn.LET(_xlpm.x,BB90,IF(LEN(_xlpm.x)&lt;1,"",IF(ISNUMBER(MATCH(_xlpm.x,ls_purchased_mat,0)),'Project Inputs'!$BF$14,99)))</f>
        <v/>
      </c>
      <c r="BE90" s="484" t="str">
        <f t="shared" si="73"/>
        <v/>
      </c>
      <c r="BF90" s="484" t="str">
        <f t="shared" si="74"/>
        <v/>
      </c>
      <c r="BG90" s="484" t="str">
        <f t="shared" si="75"/>
        <v/>
      </c>
      <c r="BH90" s="484" t="str">
        <f t="shared" si="76"/>
        <v/>
      </c>
      <c r="BI90" s="484" t="str">
        <f t="shared" si="77"/>
        <v/>
      </c>
      <c r="BJ90" s="484" t="str">
        <f t="shared" si="78"/>
        <v/>
      </c>
      <c r="BK90" s="484" t="str">
        <f t="shared" si="79"/>
        <v/>
      </c>
      <c r="BL90" s="484" t="str">
        <f t="shared" si="80"/>
        <v/>
      </c>
      <c r="BM90" s="484" t="str">
        <f t="shared" si="81"/>
        <v/>
      </c>
      <c r="BN90" s="484" t="str">
        <f t="shared" si="82"/>
        <v/>
      </c>
      <c r="BO90" s="484" t="str">
        <f t="shared" si="83"/>
        <v/>
      </c>
      <c r="BP90" s="484" t="str">
        <f t="shared" si="84"/>
        <v/>
      </c>
      <c r="BQ90" s="485" t="str">
        <f t="shared" si="85"/>
        <v/>
      </c>
      <c r="BR90" s="486">
        <v>2</v>
      </c>
      <c r="BS90" s="487" cm="1">
        <f t="array" ref="BS90">IFERROR(INDEX(tblPurch_Mat[],MATCH(1,(tblPurch_Mat[Dataset ID]=BD90)*(tblPurch_Mat[Material Subcategory]=BB90),0),6),"confirm")</f>
        <v>0</v>
      </c>
      <c r="BT90" s="487" cm="1">
        <f t="array" ref="BT90">IFERROR(INDEX(tblPurch_Mat[],MATCH(1,(tblPurch_Mat[Dataset ID]=BD90)*(tblPurch_Mat[Material Subcategory]=BB90),0),7),"confirm")</f>
        <v>0</v>
      </c>
      <c r="BU90" s="487">
        <f t="shared" si="86"/>
        <v>0</v>
      </c>
      <c r="BV90" s="484" t="str">
        <f t="shared" si="87"/>
        <v/>
      </c>
      <c r="BW90" s="484" t="str">
        <f t="shared" si="88"/>
        <v/>
      </c>
      <c r="BX90" s="484" t="str">
        <f t="shared" si="89"/>
        <v/>
      </c>
      <c r="BY90" s="484" t="str">
        <f t="shared" si="90"/>
        <v/>
      </c>
      <c r="BZ90" s="484" t="str">
        <f t="shared" si="91"/>
        <v/>
      </c>
      <c r="CA90" s="484" t="str">
        <f t="shared" si="92"/>
        <v/>
      </c>
      <c r="CB90" s="484" t="str">
        <f t="shared" si="93"/>
        <v/>
      </c>
      <c r="CC90" s="484" t="str">
        <f t="shared" si="94"/>
        <v/>
      </c>
      <c r="CD90" s="484" t="str">
        <f t="shared" si="95"/>
        <v/>
      </c>
      <c r="CE90" s="484" t="str">
        <f t="shared" si="96"/>
        <v/>
      </c>
      <c r="CF90" s="484" t="str">
        <f t="shared" si="97"/>
        <v/>
      </c>
      <c r="CG90" s="484" t="str">
        <f t="shared" si="98"/>
        <v/>
      </c>
      <c r="CH90" s="485">
        <f t="shared" si="102"/>
        <v>0</v>
      </c>
      <c r="CJ90" s="3"/>
      <c r="CK90" s="488" t="str">
        <f t="shared" si="39"/>
        <v>_</v>
      </c>
      <c r="CL90" s="488">
        <f t="shared" si="99"/>
        <v>0</v>
      </c>
      <c r="CM90" s="488">
        <f t="shared" si="100"/>
        <v>0</v>
      </c>
      <c r="DD90" s="390">
        <f t="shared" si="103"/>
        <v>0</v>
      </c>
      <c r="DE90" s="31">
        <f t="shared" si="104"/>
        <v>14</v>
      </c>
      <c r="DF90" s="31">
        <f t="shared" si="105"/>
        <v>0</v>
      </c>
      <c r="DG90" s="31">
        <f t="shared" si="106"/>
        <v>0</v>
      </c>
    </row>
    <row r="91" spans="1:111" hidden="1" outlineLevel="1">
      <c r="A91" s="22"/>
      <c r="B91" s="272"/>
      <c r="C91" s="491"/>
      <c r="D91" s="492"/>
      <c r="E91" s="492"/>
      <c r="F91" s="492"/>
      <c r="G91" s="492"/>
      <c r="H91" s="492"/>
      <c r="I91" s="492"/>
      <c r="J91" s="492"/>
      <c r="K91" s="492"/>
      <c r="L91" s="492"/>
      <c r="M91" s="492"/>
      <c r="N91" s="492"/>
      <c r="O91" s="492"/>
      <c r="P91" s="469">
        <f t="shared" si="101"/>
        <v>0</v>
      </c>
      <c r="Q91" s="476">
        <f>IF(P91=0,0,(_xlfn.XLOOKUP(C91,Factors!$V$17:$V$72,Factors!$Z$17:$Z$72)*'Purchased Materials'!P91))</f>
        <v>0</v>
      </c>
      <c r="BA91" s="432" t="str">
        <f t="shared" si="71"/>
        <v/>
      </c>
      <c r="BB91" s="432" t="str">
        <f t="shared" si="72"/>
        <v/>
      </c>
      <c r="BC91" s="432">
        <v>1</v>
      </c>
      <c r="BD91" s="432" t="str">
        <f>_xlfn.LET(_xlpm.x,BB91,IF(LEN(_xlpm.x)&lt;1,"",IF(ISNUMBER(MATCH(_xlpm.x,ls_purchased_mat,0)),'Project Inputs'!$BF$14,99)))</f>
        <v/>
      </c>
      <c r="BE91" s="484" t="str">
        <f t="shared" si="73"/>
        <v/>
      </c>
      <c r="BF91" s="484" t="str">
        <f t="shared" si="74"/>
        <v/>
      </c>
      <c r="BG91" s="484" t="str">
        <f t="shared" si="75"/>
        <v/>
      </c>
      <c r="BH91" s="484" t="str">
        <f t="shared" si="76"/>
        <v/>
      </c>
      <c r="BI91" s="484" t="str">
        <f t="shared" si="77"/>
        <v/>
      </c>
      <c r="BJ91" s="484" t="str">
        <f t="shared" si="78"/>
        <v/>
      </c>
      <c r="BK91" s="484" t="str">
        <f t="shared" si="79"/>
        <v/>
      </c>
      <c r="BL91" s="484" t="str">
        <f t="shared" si="80"/>
        <v/>
      </c>
      <c r="BM91" s="484" t="str">
        <f t="shared" si="81"/>
        <v/>
      </c>
      <c r="BN91" s="484" t="str">
        <f t="shared" si="82"/>
        <v/>
      </c>
      <c r="BO91" s="484" t="str">
        <f t="shared" si="83"/>
        <v/>
      </c>
      <c r="BP91" s="484" t="str">
        <f t="shared" si="84"/>
        <v/>
      </c>
      <c r="BQ91" s="485" t="str">
        <f t="shared" si="85"/>
        <v/>
      </c>
      <c r="BR91" s="486">
        <v>2</v>
      </c>
      <c r="BS91" s="487" cm="1">
        <f t="array" ref="BS91">IFERROR(INDEX(tblPurch_Mat[],MATCH(1,(tblPurch_Mat[Dataset ID]=BD91)*(tblPurch_Mat[Material Subcategory]=BB91),0),6),"confirm")</f>
        <v>0</v>
      </c>
      <c r="BT91" s="487" cm="1">
        <f t="array" ref="BT91">IFERROR(INDEX(tblPurch_Mat[],MATCH(1,(tblPurch_Mat[Dataset ID]=BD91)*(tblPurch_Mat[Material Subcategory]=BB91),0),7),"confirm")</f>
        <v>0</v>
      </c>
      <c r="BU91" s="487">
        <f t="shared" si="86"/>
        <v>0</v>
      </c>
      <c r="BV91" s="484" t="str">
        <f t="shared" si="87"/>
        <v/>
      </c>
      <c r="BW91" s="484" t="str">
        <f t="shared" si="88"/>
        <v/>
      </c>
      <c r="BX91" s="484" t="str">
        <f t="shared" si="89"/>
        <v/>
      </c>
      <c r="BY91" s="484" t="str">
        <f t="shared" si="90"/>
        <v/>
      </c>
      <c r="BZ91" s="484" t="str">
        <f t="shared" si="91"/>
        <v/>
      </c>
      <c r="CA91" s="484" t="str">
        <f t="shared" si="92"/>
        <v/>
      </c>
      <c r="CB91" s="484" t="str">
        <f t="shared" si="93"/>
        <v/>
      </c>
      <c r="CC91" s="484" t="str">
        <f t="shared" si="94"/>
        <v/>
      </c>
      <c r="CD91" s="484" t="str">
        <f t="shared" si="95"/>
        <v/>
      </c>
      <c r="CE91" s="484" t="str">
        <f t="shared" si="96"/>
        <v/>
      </c>
      <c r="CF91" s="484" t="str">
        <f t="shared" si="97"/>
        <v/>
      </c>
      <c r="CG91" s="484" t="str">
        <f t="shared" si="98"/>
        <v/>
      </c>
      <c r="CH91" s="485">
        <f t="shared" si="102"/>
        <v>0</v>
      </c>
      <c r="CJ91" s="3"/>
      <c r="CK91" s="488" t="str">
        <f t="shared" si="39"/>
        <v>_</v>
      </c>
      <c r="CL91" s="488">
        <f t="shared" si="99"/>
        <v>0</v>
      </c>
      <c r="CM91" s="488">
        <f t="shared" si="100"/>
        <v>0</v>
      </c>
      <c r="DD91" s="390">
        <f t="shared" si="103"/>
        <v>0</v>
      </c>
      <c r="DE91" s="31">
        <f t="shared" si="104"/>
        <v>14</v>
      </c>
      <c r="DF91" s="31">
        <f t="shared" si="105"/>
        <v>0</v>
      </c>
      <c r="DG91" s="31">
        <f t="shared" si="106"/>
        <v>0</v>
      </c>
    </row>
    <row r="92" spans="1:111" hidden="1" outlineLevel="1">
      <c r="A92" s="22"/>
      <c r="B92" s="272"/>
      <c r="C92" s="491"/>
      <c r="D92" s="492"/>
      <c r="E92" s="492"/>
      <c r="F92" s="492"/>
      <c r="G92" s="492"/>
      <c r="H92" s="492"/>
      <c r="I92" s="492"/>
      <c r="J92" s="492"/>
      <c r="K92" s="492"/>
      <c r="L92" s="492"/>
      <c r="M92" s="492"/>
      <c r="N92" s="492"/>
      <c r="O92" s="492"/>
      <c r="P92" s="469">
        <f t="shared" si="101"/>
        <v>0</v>
      </c>
      <c r="Q92" s="476">
        <f>IF(P92=0,0,(_xlfn.XLOOKUP(C92,Factors!$V$17:$V$72,Factors!$Z$17:$Z$72)*'Purchased Materials'!P92))</f>
        <v>0</v>
      </c>
      <c r="BA92" s="432" t="str">
        <f t="shared" si="71"/>
        <v/>
      </c>
      <c r="BB92" s="432" t="str">
        <f t="shared" si="72"/>
        <v/>
      </c>
      <c r="BC92" s="432">
        <v>1</v>
      </c>
      <c r="BD92" s="432" t="str">
        <f>_xlfn.LET(_xlpm.x,BB92,IF(LEN(_xlpm.x)&lt;1,"",IF(ISNUMBER(MATCH(_xlpm.x,ls_purchased_mat,0)),'Project Inputs'!$BF$14,99)))</f>
        <v/>
      </c>
      <c r="BE92" s="484" t="str">
        <f t="shared" si="73"/>
        <v/>
      </c>
      <c r="BF92" s="484" t="str">
        <f t="shared" si="74"/>
        <v/>
      </c>
      <c r="BG92" s="484" t="str">
        <f t="shared" si="75"/>
        <v/>
      </c>
      <c r="BH92" s="484" t="str">
        <f t="shared" si="76"/>
        <v/>
      </c>
      <c r="BI92" s="484" t="str">
        <f t="shared" si="77"/>
        <v/>
      </c>
      <c r="BJ92" s="484" t="str">
        <f t="shared" si="78"/>
        <v/>
      </c>
      <c r="BK92" s="484" t="str">
        <f t="shared" si="79"/>
        <v/>
      </c>
      <c r="BL92" s="484" t="str">
        <f t="shared" si="80"/>
        <v/>
      </c>
      <c r="BM92" s="484" t="str">
        <f t="shared" si="81"/>
        <v/>
      </c>
      <c r="BN92" s="484" t="str">
        <f t="shared" si="82"/>
        <v/>
      </c>
      <c r="BO92" s="484" t="str">
        <f t="shared" si="83"/>
        <v/>
      </c>
      <c r="BP92" s="484" t="str">
        <f t="shared" si="84"/>
        <v/>
      </c>
      <c r="BQ92" s="485" t="str">
        <f t="shared" si="85"/>
        <v/>
      </c>
      <c r="BR92" s="486">
        <v>2</v>
      </c>
      <c r="BS92" s="487" cm="1">
        <f t="array" ref="BS92">IFERROR(INDEX(tblPurch_Mat[],MATCH(1,(tblPurch_Mat[Dataset ID]=BD92)*(tblPurch_Mat[Material Subcategory]=BB92),0),6),"confirm")</f>
        <v>0</v>
      </c>
      <c r="BT92" s="487" cm="1">
        <f t="array" ref="BT92">IFERROR(INDEX(tblPurch_Mat[],MATCH(1,(tblPurch_Mat[Dataset ID]=BD92)*(tblPurch_Mat[Material Subcategory]=BB92),0),7),"confirm")</f>
        <v>0</v>
      </c>
      <c r="BU92" s="487">
        <f t="shared" si="86"/>
        <v>0</v>
      </c>
      <c r="BV92" s="484" t="str">
        <f t="shared" si="87"/>
        <v/>
      </c>
      <c r="BW92" s="484" t="str">
        <f t="shared" si="88"/>
        <v/>
      </c>
      <c r="BX92" s="484" t="str">
        <f t="shared" si="89"/>
        <v/>
      </c>
      <c r="BY92" s="484" t="str">
        <f t="shared" si="90"/>
        <v/>
      </c>
      <c r="BZ92" s="484" t="str">
        <f t="shared" si="91"/>
        <v/>
      </c>
      <c r="CA92" s="484" t="str">
        <f t="shared" si="92"/>
        <v/>
      </c>
      <c r="CB92" s="484" t="str">
        <f t="shared" si="93"/>
        <v/>
      </c>
      <c r="CC92" s="484" t="str">
        <f t="shared" si="94"/>
        <v/>
      </c>
      <c r="CD92" s="484" t="str">
        <f t="shared" si="95"/>
        <v/>
      </c>
      <c r="CE92" s="484" t="str">
        <f t="shared" si="96"/>
        <v/>
      </c>
      <c r="CF92" s="484" t="str">
        <f t="shared" si="97"/>
        <v/>
      </c>
      <c r="CG92" s="484" t="str">
        <f t="shared" si="98"/>
        <v/>
      </c>
      <c r="CH92" s="485">
        <f t="shared" si="102"/>
        <v>0</v>
      </c>
      <c r="CJ92" s="3"/>
      <c r="CK92" s="488" t="str">
        <f t="shared" si="39"/>
        <v>_</v>
      </c>
      <c r="CL92" s="488">
        <f t="shared" si="99"/>
        <v>0</v>
      </c>
      <c r="CM92" s="488">
        <f t="shared" si="100"/>
        <v>0</v>
      </c>
      <c r="DD92" s="390">
        <f t="shared" si="103"/>
        <v>0</v>
      </c>
      <c r="DE92" s="31">
        <f t="shared" si="104"/>
        <v>14</v>
      </c>
      <c r="DF92" s="31">
        <f t="shared" si="105"/>
        <v>0</v>
      </c>
      <c r="DG92" s="31">
        <f t="shared" si="106"/>
        <v>0</v>
      </c>
    </row>
    <row r="93" spans="1:111" hidden="1" outlineLevel="1">
      <c r="A93" s="22"/>
      <c r="B93" s="272"/>
      <c r="C93" s="491"/>
      <c r="D93" s="492"/>
      <c r="E93" s="492"/>
      <c r="F93" s="492"/>
      <c r="G93" s="492"/>
      <c r="H93" s="492"/>
      <c r="I93" s="492"/>
      <c r="J93" s="492"/>
      <c r="K93" s="492"/>
      <c r="L93" s="492"/>
      <c r="M93" s="492"/>
      <c r="N93" s="492"/>
      <c r="O93" s="492"/>
      <c r="P93" s="469">
        <f t="shared" si="101"/>
        <v>0</v>
      </c>
      <c r="Q93" s="476">
        <f>IF(P93=0,0,(_xlfn.XLOOKUP(C93,Factors!$V$17:$V$72,Factors!$Z$17:$Z$72)*'Purchased Materials'!P93))</f>
        <v>0</v>
      </c>
      <c r="BA93" s="432" t="str">
        <f t="shared" si="71"/>
        <v/>
      </c>
      <c r="BB93" s="432" t="str">
        <f t="shared" si="72"/>
        <v/>
      </c>
      <c r="BC93" s="432">
        <v>1</v>
      </c>
      <c r="BD93" s="432" t="str">
        <f>_xlfn.LET(_xlpm.x,BB93,IF(LEN(_xlpm.x)&lt;1,"",IF(ISNUMBER(MATCH(_xlpm.x,ls_purchased_mat,0)),'Project Inputs'!$BF$14,99)))</f>
        <v/>
      </c>
      <c r="BE93" s="484" t="str">
        <f t="shared" si="73"/>
        <v/>
      </c>
      <c r="BF93" s="484" t="str">
        <f t="shared" si="74"/>
        <v/>
      </c>
      <c r="BG93" s="484" t="str">
        <f t="shared" si="75"/>
        <v/>
      </c>
      <c r="BH93" s="484" t="str">
        <f t="shared" si="76"/>
        <v/>
      </c>
      <c r="BI93" s="484" t="str">
        <f t="shared" si="77"/>
        <v/>
      </c>
      <c r="BJ93" s="484" t="str">
        <f t="shared" si="78"/>
        <v/>
      </c>
      <c r="BK93" s="484" t="str">
        <f t="shared" si="79"/>
        <v/>
      </c>
      <c r="BL93" s="484" t="str">
        <f t="shared" si="80"/>
        <v/>
      </c>
      <c r="BM93" s="484" t="str">
        <f t="shared" si="81"/>
        <v/>
      </c>
      <c r="BN93" s="484" t="str">
        <f t="shared" si="82"/>
        <v/>
      </c>
      <c r="BO93" s="484" t="str">
        <f t="shared" si="83"/>
        <v/>
      </c>
      <c r="BP93" s="484" t="str">
        <f t="shared" si="84"/>
        <v/>
      </c>
      <c r="BQ93" s="485" t="str">
        <f t="shared" si="85"/>
        <v/>
      </c>
      <c r="BR93" s="486">
        <v>2</v>
      </c>
      <c r="BS93" s="487" cm="1">
        <f t="array" ref="BS93">IFERROR(INDEX(tblPurch_Mat[],MATCH(1,(tblPurch_Mat[Dataset ID]=BD93)*(tblPurch_Mat[Material Subcategory]=BB93),0),6),"confirm")</f>
        <v>0</v>
      </c>
      <c r="BT93" s="487" cm="1">
        <f t="array" ref="BT93">IFERROR(INDEX(tblPurch_Mat[],MATCH(1,(tblPurch_Mat[Dataset ID]=BD93)*(tblPurch_Mat[Material Subcategory]=BB93),0),7),"confirm")</f>
        <v>0</v>
      </c>
      <c r="BU93" s="487">
        <f t="shared" si="86"/>
        <v>0</v>
      </c>
      <c r="BV93" s="484" t="str">
        <f t="shared" si="87"/>
        <v/>
      </c>
      <c r="BW93" s="484" t="str">
        <f t="shared" si="88"/>
        <v/>
      </c>
      <c r="BX93" s="484" t="str">
        <f t="shared" si="89"/>
        <v/>
      </c>
      <c r="BY93" s="484" t="str">
        <f t="shared" si="90"/>
        <v/>
      </c>
      <c r="BZ93" s="484" t="str">
        <f t="shared" si="91"/>
        <v/>
      </c>
      <c r="CA93" s="484" t="str">
        <f t="shared" si="92"/>
        <v/>
      </c>
      <c r="CB93" s="484" t="str">
        <f t="shared" si="93"/>
        <v/>
      </c>
      <c r="CC93" s="484" t="str">
        <f t="shared" si="94"/>
        <v/>
      </c>
      <c r="CD93" s="484" t="str">
        <f t="shared" si="95"/>
        <v/>
      </c>
      <c r="CE93" s="484" t="str">
        <f t="shared" si="96"/>
        <v/>
      </c>
      <c r="CF93" s="484" t="str">
        <f t="shared" si="97"/>
        <v/>
      </c>
      <c r="CG93" s="484" t="str">
        <f t="shared" si="98"/>
        <v/>
      </c>
      <c r="CH93" s="485">
        <f t="shared" si="102"/>
        <v>0</v>
      </c>
      <c r="CJ93" s="3"/>
      <c r="CK93" s="488" t="str">
        <f t="shared" si="39"/>
        <v>_</v>
      </c>
      <c r="CL93" s="488">
        <f t="shared" si="99"/>
        <v>0</v>
      </c>
      <c r="CM93" s="488">
        <f t="shared" si="100"/>
        <v>0</v>
      </c>
      <c r="DD93" s="390">
        <f t="shared" si="103"/>
        <v>0</v>
      </c>
      <c r="DE93" s="31">
        <f t="shared" si="104"/>
        <v>14</v>
      </c>
      <c r="DF93" s="31">
        <f t="shared" si="105"/>
        <v>0</v>
      </c>
      <c r="DG93" s="31">
        <f t="shared" si="106"/>
        <v>0</v>
      </c>
    </row>
    <row r="94" spans="1:111" hidden="1" outlineLevel="1">
      <c r="A94" s="22"/>
      <c r="B94" s="272"/>
      <c r="C94" s="491"/>
      <c r="D94" s="492"/>
      <c r="E94" s="492"/>
      <c r="F94" s="492"/>
      <c r="G94" s="492"/>
      <c r="H94" s="492"/>
      <c r="I94" s="492"/>
      <c r="J94" s="492"/>
      <c r="K94" s="492"/>
      <c r="L94" s="492"/>
      <c r="M94" s="492"/>
      <c r="N94" s="492"/>
      <c r="O94" s="492"/>
      <c r="P94" s="469">
        <f t="shared" si="101"/>
        <v>0</v>
      </c>
      <c r="Q94" s="476">
        <f>IF(P94=0,0,(_xlfn.XLOOKUP(C94,Factors!$V$17:$V$72,Factors!$Z$17:$Z$72)*'Purchased Materials'!P94))</f>
        <v>0</v>
      </c>
      <c r="BA94" s="432" t="str">
        <f t="shared" si="71"/>
        <v/>
      </c>
      <c r="BB94" s="432" t="str">
        <f t="shared" si="72"/>
        <v/>
      </c>
      <c r="BC94" s="432">
        <v>1</v>
      </c>
      <c r="BD94" s="432" t="str">
        <f>_xlfn.LET(_xlpm.x,BB94,IF(LEN(_xlpm.x)&lt;1,"",IF(ISNUMBER(MATCH(_xlpm.x,ls_purchased_mat,0)),'Project Inputs'!$BF$14,99)))</f>
        <v/>
      </c>
      <c r="BE94" s="484" t="str">
        <f t="shared" si="73"/>
        <v/>
      </c>
      <c r="BF94" s="484" t="str">
        <f t="shared" si="74"/>
        <v/>
      </c>
      <c r="BG94" s="484" t="str">
        <f t="shared" si="75"/>
        <v/>
      </c>
      <c r="BH94" s="484" t="str">
        <f t="shared" si="76"/>
        <v/>
      </c>
      <c r="BI94" s="484" t="str">
        <f t="shared" si="77"/>
        <v/>
      </c>
      <c r="BJ94" s="484" t="str">
        <f t="shared" si="78"/>
        <v/>
      </c>
      <c r="BK94" s="484" t="str">
        <f t="shared" si="79"/>
        <v/>
      </c>
      <c r="BL94" s="484" t="str">
        <f t="shared" si="80"/>
        <v/>
      </c>
      <c r="BM94" s="484" t="str">
        <f t="shared" si="81"/>
        <v/>
      </c>
      <c r="BN94" s="484" t="str">
        <f t="shared" si="82"/>
        <v/>
      </c>
      <c r="BO94" s="484" t="str">
        <f t="shared" si="83"/>
        <v/>
      </c>
      <c r="BP94" s="484" t="str">
        <f t="shared" si="84"/>
        <v/>
      </c>
      <c r="BQ94" s="485" t="str">
        <f t="shared" si="85"/>
        <v/>
      </c>
      <c r="BR94" s="486">
        <v>2</v>
      </c>
      <c r="BS94" s="487" cm="1">
        <f t="array" ref="BS94">IFERROR(INDEX(tblPurch_Mat[],MATCH(1,(tblPurch_Mat[Dataset ID]=BD94)*(tblPurch_Mat[Material Subcategory]=BB94),0),6),"confirm")</f>
        <v>0</v>
      </c>
      <c r="BT94" s="487" cm="1">
        <f t="array" ref="BT94">IFERROR(INDEX(tblPurch_Mat[],MATCH(1,(tblPurch_Mat[Dataset ID]=BD94)*(tblPurch_Mat[Material Subcategory]=BB94),0),7),"confirm")</f>
        <v>0</v>
      </c>
      <c r="BU94" s="487">
        <f t="shared" si="86"/>
        <v>0</v>
      </c>
      <c r="BV94" s="484" t="str">
        <f t="shared" si="87"/>
        <v/>
      </c>
      <c r="BW94" s="484" t="str">
        <f t="shared" si="88"/>
        <v/>
      </c>
      <c r="BX94" s="484" t="str">
        <f t="shared" si="89"/>
        <v/>
      </c>
      <c r="BY94" s="484" t="str">
        <f t="shared" si="90"/>
        <v/>
      </c>
      <c r="BZ94" s="484" t="str">
        <f t="shared" si="91"/>
        <v/>
      </c>
      <c r="CA94" s="484" t="str">
        <f t="shared" si="92"/>
        <v/>
      </c>
      <c r="CB94" s="484" t="str">
        <f t="shared" si="93"/>
        <v/>
      </c>
      <c r="CC94" s="484" t="str">
        <f t="shared" si="94"/>
        <v/>
      </c>
      <c r="CD94" s="484" t="str">
        <f t="shared" si="95"/>
        <v/>
      </c>
      <c r="CE94" s="484" t="str">
        <f t="shared" si="96"/>
        <v/>
      </c>
      <c r="CF94" s="484" t="str">
        <f t="shared" si="97"/>
        <v/>
      </c>
      <c r="CG94" s="484" t="str">
        <f t="shared" si="98"/>
        <v/>
      </c>
      <c r="CH94" s="485">
        <f t="shared" si="102"/>
        <v>0</v>
      </c>
      <c r="CJ94" s="3"/>
      <c r="CK94" s="488" t="str">
        <f t="shared" ref="CK94:CK114" si="107">IFERROR(INDEX($BC$15:$BC$114,MATCH(CJ94,$BB$15:$BB$114,0)),"_")</f>
        <v>_</v>
      </c>
      <c r="CL94" s="488">
        <f t="shared" si="99"/>
        <v>0</v>
      </c>
      <c r="CM94" s="488">
        <f t="shared" si="100"/>
        <v>0</v>
      </c>
      <c r="DD94" s="390">
        <f t="shared" si="103"/>
        <v>0</v>
      </c>
      <c r="DE94" s="31">
        <f t="shared" si="104"/>
        <v>14</v>
      </c>
      <c r="DF94" s="31">
        <f t="shared" si="105"/>
        <v>0</v>
      </c>
      <c r="DG94" s="31">
        <f t="shared" si="106"/>
        <v>0</v>
      </c>
    </row>
    <row r="95" spans="1:111" hidden="1" outlineLevel="1">
      <c r="A95" s="22"/>
      <c r="B95" s="272"/>
      <c r="C95" s="491"/>
      <c r="D95" s="492"/>
      <c r="E95" s="492"/>
      <c r="F95" s="492"/>
      <c r="G95" s="492"/>
      <c r="H95" s="492"/>
      <c r="I95" s="492"/>
      <c r="J95" s="492"/>
      <c r="K95" s="492"/>
      <c r="L95" s="492"/>
      <c r="M95" s="492"/>
      <c r="N95" s="492"/>
      <c r="O95" s="492"/>
      <c r="P95" s="469">
        <f t="shared" si="101"/>
        <v>0</v>
      </c>
      <c r="Q95" s="476">
        <f>IF(P95=0,0,(_xlfn.XLOOKUP(C95,Factors!$V$17:$V$72,Factors!$Z$17:$Z$72)*'Purchased Materials'!P95))</f>
        <v>0</v>
      </c>
      <c r="BA95" s="432" t="str">
        <f t="shared" si="71"/>
        <v/>
      </c>
      <c r="BB95" s="432" t="str">
        <f t="shared" si="72"/>
        <v/>
      </c>
      <c r="BC95" s="432">
        <v>1</v>
      </c>
      <c r="BD95" s="432" t="str">
        <f>_xlfn.LET(_xlpm.x,BB95,IF(LEN(_xlpm.x)&lt;1,"",IF(ISNUMBER(MATCH(_xlpm.x,ls_purchased_mat,0)),'Project Inputs'!$BF$14,99)))</f>
        <v/>
      </c>
      <c r="BE95" s="484" t="str">
        <f t="shared" si="73"/>
        <v/>
      </c>
      <c r="BF95" s="484" t="str">
        <f t="shared" si="74"/>
        <v/>
      </c>
      <c r="BG95" s="484" t="str">
        <f t="shared" si="75"/>
        <v/>
      </c>
      <c r="BH95" s="484" t="str">
        <f t="shared" si="76"/>
        <v/>
      </c>
      <c r="BI95" s="484" t="str">
        <f t="shared" si="77"/>
        <v/>
      </c>
      <c r="BJ95" s="484" t="str">
        <f t="shared" si="78"/>
        <v/>
      </c>
      <c r="BK95" s="484" t="str">
        <f t="shared" si="79"/>
        <v/>
      </c>
      <c r="BL95" s="484" t="str">
        <f t="shared" si="80"/>
        <v/>
      </c>
      <c r="BM95" s="484" t="str">
        <f t="shared" si="81"/>
        <v/>
      </c>
      <c r="BN95" s="484" t="str">
        <f t="shared" si="82"/>
        <v/>
      </c>
      <c r="BO95" s="484" t="str">
        <f t="shared" si="83"/>
        <v/>
      </c>
      <c r="BP95" s="484" t="str">
        <f t="shared" si="84"/>
        <v/>
      </c>
      <c r="BQ95" s="485" t="str">
        <f t="shared" si="85"/>
        <v/>
      </c>
      <c r="BR95" s="486">
        <v>2</v>
      </c>
      <c r="BS95" s="487" cm="1">
        <f t="array" ref="BS95">IFERROR(INDEX(tblPurch_Mat[],MATCH(1,(tblPurch_Mat[Dataset ID]=BD95)*(tblPurch_Mat[Material Subcategory]=BB95),0),6),"confirm")</f>
        <v>0</v>
      </c>
      <c r="BT95" s="487" cm="1">
        <f t="array" ref="BT95">IFERROR(INDEX(tblPurch_Mat[],MATCH(1,(tblPurch_Mat[Dataset ID]=BD95)*(tblPurch_Mat[Material Subcategory]=BB95),0),7),"confirm")</f>
        <v>0</v>
      </c>
      <c r="BU95" s="487">
        <f t="shared" si="86"/>
        <v>0</v>
      </c>
      <c r="BV95" s="484" t="str">
        <f t="shared" si="87"/>
        <v/>
      </c>
      <c r="BW95" s="484" t="str">
        <f t="shared" si="88"/>
        <v/>
      </c>
      <c r="BX95" s="484" t="str">
        <f t="shared" si="89"/>
        <v/>
      </c>
      <c r="BY95" s="484" t="str">
        <f t="shared" si="90"/>
        <v/>
      </c>
      <c r="BZ95" s="484" t="str">
        <f t="shared" si="91"/>
        <v/>
      </c>
      <c r="CA95" s="484" t="str">
        <f t="shared" si="92"/>
        <v/>
      </c>
      <c r="CB95" s="484" t="str">
        <f t="shared" si="93"/>
        <v/>
      </c>
      <c r="CC95" s="484" t="str">
        <f t="shared" si="94"/>
        <v/>
      </c>
      <c r="CD95" s="484" t="str">
        <f t="shared" si="95"/>
        <v/>
      </c>
      <c r="CE95" s="484" t="str">
        <f t="shared" si="96"/>
        <v/>
      </c>
      <c r="CF95" s="484" t="str">
        <f t="shared" si="97"/>
        <v/>
      </c>
      <c r="CG95" s="484" t="str">
        <f t="shared" si="98"/>
        <v/>
      </c>
      <c r="CH95" s="485">
        <f t="shared" si="102"/>
        <v>0</v>
      </c>
      <c r="CJ95" s="3"/>
      <c r="CK95" s="488" t="str">
        <f t="shared" si="107"/>
        <v>_</v>
      </c>
      <c r="CL95" s="488">
        <f t="shared" si="99"/>
        <v>0</v>
      </c>
      <c r="CM95" s="488">
        <f t="shared" si="100"/>
        <v>0</v>
      </c>
      <c r="DD95" s="390">
        <f t="shared" si="103"/>
        <v>0</v>
      </c>
      <c r="DE95" s="31">
        <f t="shared" si="104"/>
        <v>14</v>
      </c>
      <c r="DF95" s="31">
        <f t="shared" si="105"/>
        <v>0</v>
      </c>
      <c r="DG95" s="31">
        <f t="shared" si="106"/>
        <v>0</v>
      </c>
    </row>
    <row r="96" spans="1:111" hidden="1" outlineLevel="1">
      <c r="A96" s="22"/>
      <c r="B96" s="272"/>
      <c r="C96" s="491"/>
      <c r="D96" s="492"/>
      <c r="E96" s="492"/>
      <c r="F96" s="492"/>
      <c r="G96" s="492"/>
      <c r="H96" s="492"/>
      <c r="I96" s="492"/>
      <c r="J96" s="492"/>
      <c r="K96" s="492"/>
      <c r="L96" s="492"/>
      <c r="M96" s="492"/>
      <c r="N96" s="492"/>
      <c r="O96" s="492"/>
      <c r="P96" s="469">
        <f t="shared" si="101"/>
        <v>0</v>
      </c>
      <c r="Q96" s="476">
        <f>IF(P96=0,0,(_xlfn.XLOOKUP(C96,Factors!$V$17:$V$72,Factors!$Z$17:$Z$72)*'Purchased Materials'!P96))</f>
        <v>0</v>
      </c>
      <c r="BA96" s="432" t="str">
        <f t="shared" si="71"/>
        <v/>
      </c>
      <c r="BB96" s="432" t="str">
        <f t="shared" si="72"/>
        <v/>
      </c>
      <c r="BC96" s="432">
        <v>1</v>
      </c>
      <c r="BD96" s="432" t="str">
        <f>_xlfn.LET(_xlpm.x,BB96,IF(LEN(_xlpm.x)&lt;1,"",IF(ISNUMBER(MATCH(_xlpm.x,ls_purchased_mat,0)),'Project Inputs'!$BF$14,99)))</f>
        <v/>
      </c>
      <c r="BE96" s="484" t="str">
        <f t="shared" si="73"/>
        <v/>
      </c>
      <c r="BF96" s="484" t="str">
        <f t="shared" si="74"/>
        <v/>
      </c>
      <c r="BG96" s="484" t="str">
        <f t="shared" si="75"/>
        <v/>
      </c>
      <c r="BH96" s="484" t="str">
        <f t="shared" si="76"/>
        <v/>
      </c>
      <c r="BI96" s="484" t="str">
        <f t="shared" si="77"/>
        <v/>
      </c>
      <c r="BJ96" s="484" t="str">
        <f t="shared" si="78"/>
        <v/>
      </c>
      <c r="BK96" s="484" t="str">
        <f t="shared" si="79"/>
        <v/>
      </c>
      <c r="BL96" s="484" t="str">
        <f t="shared" si="80"/>
        <v/>
      </c>
      <c r="BM96" s="484" t="str">
        <f t="shared" si="81"/>
        <v/>
      </c>
      <c r="BN96" s="484" t="str">
        <f t="shared" si="82"/>
        <v/>
      </c>
      <c r="BO96" s="484" t="str">
        <f t="shared" si="83"/>
        <v/>
      </c>
      <c r="BP96" s="484" t="str">
        <f t="shared" si="84"/>
        <v/>
      </c>
      <c r="BQ96" s="485" t="str">
        <f t="shared" si="85"/>
        <v/>
      </c>
      <c r="BR96" s="486">
        <v>2</v>
      </c>
      <c r="BS96" s="487" cm="1">
        <f t="array" ref="BS96">IFERROR(INDEX(tblPurch_Mat[],MATCH(1,(tblPurch_Mat[Dataset ID]=BD96)*(tblPurch_Mat[Material Subcategory]=BB96),0),6),"confirm")</f>
        <v>0</v>
      </c>
      <c r="BT96" s="487" cm="1">
        <f t="array" ref="BT96">IFERROR(INDEX(tblPurch_Mat[],MATCH(1,(tblPurch_Mat[Dataset ID]=BD96)*(tblPurch_Mat[Material Subcategory]=BB96),0),7),"confirm")</f>
        <v>0</v>
      </c>
      <c r="BU96" s="487">
        <f t="shared" si="86"/>
        <v>0</v>
      </c>
      <c r="BV96" s="484" t="str">
        <f t="shared" si="87"/>
        <v/>
      </c>
      <c r="BW96" s="484" t="str">
        <f t="shared" si="88"/>
        <v/>
      </c>
      <c r="BX96" s="484" t="str">
        <f t="shared" si="89"/>
        <v/>
      </c>
      <c r="BY96" s="484" t="str">
        <f t="shared" si="90"/>
        <v/>
      </c>
      <c r="BZ96" s="484" t="str">
        <f t="shared" si="91"/>
        <v/>
      </c>
      <c r="CA96" s="484" t="str">
        <f t="shared" si="92"/>
        <v/>
      </c>
      <c r="CB96" s="484" t="str">
        <f t="shared" si="93"/>
        <v/>
      </c>
      <c r="CC96" s="484" t="str">
        <f t="shared" si="94"/>
        <v/>
      </c>
      <c r="CD96" s="484" t="str">
        <f t="shared" si="95"/>
        <v/>
      </c>
      <c r="CE96" s="484" t="str">
        <f t="shared" si="96"/>
        <v/>
      </c>
      <c r="CF96" s="484" t="str">
        <f t="shared" si="97"/>
        <v/>
      </c>
      <c r="CG96" s="484" t="str">
        <f t="shared" si="98"/>
        <v/>
      </c>
      <c r="CH96" s="485">
        <f t="shared" si="102"/>
        <v>0</v>
      </c>
      <c r="CJ96" s="3"/>
      <c r="CK96" s="488" t="str">
        <f t="shared" si="107"/>
        <v>_</v>
      </c>
      <c r="CL96" s="488">
        <f t="shared" si="99"/>
        <v>0</v>
      </c>
      <c r="CM96" s="488">
        <f t="shared" si="100"/>
        <v>0</v>
      </c>
      <c r="DD96" s="390">
        <f t="shared" si="103"/>
        <v>0</v>
      </c>
      <c r="DE96" s="31">
        <f t="shared" si="104"/>
        <v>14</v>
      </c>
      <c r="DF96" s="31">
        <f t="shared" si="105"/>
        <v>0</v>
      </c>
      <c r="DG96" s="31">
        <f t="shared" si="106"/>
        <v>0</v>
      </c>
    </row>
    <row r="97" spans="1:111" hidden="1" outlineLevel="1">
      <c r="A97" s="22"/>
      <c r="B97" s="272"/>
      <c r="C97" s="491"/>
      <c r="D97" s="492"/>
      <c r="E97" s="492"/>
      <c r="F97" s="492"/>
      <c r="G97" s="492"/>
      <c r="H97" s="492"/>
      <c r="I97" s="492"/>
      <c r="J97" s="492"/>
      <c r="K97" s="492"/>
      <c r="L97" s="492"/>
      <c r="M97" s="492"/>
      <c r="N97" s="492"/>
      <c r="O97" s="492"/>
      <c r="P97" s="469">
        <f t="shared" si="101"/>
        <v>0</v>
      </c>
      <c r="Q97" s="476">
        <f>IF(P97=0,0,(_xlfn.XLOOKUP(C97,Factors!$V$17:$V$72,Factors!$Z$17:$Z$72)*'Purchased Materials'!P97))</f>
        <v>0</v>
      </c>
      <c r="BA97" s="432" t="str">
        <f t="shared" si="71"/>
        <v/>
      </c>
      <c r="BB97" s="432" t="str">
        <f t="shared" si="72"/>
        <v/>
      </c>
      <c r="BC97" s="432">
        <v>1</v>
      </c>
      <c r="BD97" s="432" t="str">
        <f>_xlfn.LET(_xlpm.x,BB97,IF(LEN(_xlpm.x)&lt;1,"",IF(ISNUMBER(MATCH(_xlpm.x,ls_purchased_mat,0)),'Project Inputs'!$BF$14,99)))</f>
        <v/>
      </c>
      <c r="BE97" s="484" t="str">
        <f t="shared" si="73"/>
        <v/>
      </c>
      <c r="BF97" s="484" t="str">
        <f t="shared" si="74"/>
        <v/>
      </c>
      <c r="BG97" s="484" t="str">
        <f t="shared" si="75"/>
        <v/>
      </c>
      <c r="BH97" s="484" t="str">
        <f t="shared" si="76"/>
        <v/>
      </c>
      <c r="BI97" s="484" t="str">
        <f t="shared" si="77"/>
        <v/>
      </c>
      <c r="BJ97" s="484" t="str">
        <f t="shared" si="78"/>
        <v/>
      </c>
      <c r="BK97" s="484" t="str">
        <f t="shared" si="79"/>
        <v/>
      </c>
      <c r="BL97" s="484" t="str">
        <f t="shared" si="80"/>
        <v/>
      </c>
      <c r="BM97" s="484" t="str">
        <f t="shared" si="81"/>
        <v/>
      </c>
      <c r="BN97" s="484" t="str">
        <f t="shared" si="82"/>
        <v/>
      </c>
      <c r="BO97" s="484" t="str">
        <f t="shared" si="83"/>
        <v/>
      </c>
      <c r="BP97" s="484" t="str">
        <f t="shared" si="84"/>
        <v/>
      </c>
      <c r="BQ97" s="485" t="str">
        <f t="shared" si="85"/>
        <v/>
      </c>
      <c r="BR97" s="486">
        <v>2</v>
      </c>
      <c r="BS97" s="487" cm="1">
        <f t="array" ref="BS97">IFERROR(INDEX(tblPurch_Mat[],MATCH(1,(tblPurch_Mat[Dataset ID]=BD97)*(tblPurch_Mat[Material Subcategory]=BB97),0),6),"confirm")</f>
        <v>0</v>
      </c>
      <c r="BT97" s="487" cm="1">
        <f t="array" ref="BT97">IFERROR(INDEX(tblPurch_Mat[],MATCH(1,(tblPurch_Mat[Dataset ID]=BD97)*(tblPurch_Mat[Material Subcategory]=BB97),0),7),"confirm")</f>
        <v>0</v>
      </c>
      <c r="BU97" s="487">
        <f t="shared" si="86"/>
        <v>0</v>
      </c>
      <c r="BV97" s="484" t="str">
        <f t="shared" si="87"/>
        <v/>
      </c>
      <c r="BW97" s="484" t="str">
        <f t="shared" si="88"/>
        <v/>
      </c>
      <c r="BX97" s="484" t="str">
        <f t="shared" si="89"/>
        <v/>
      </c>
      <c r="BY97" s="484" t="str">
        <f t="shared" si="90"/>
        <v/>
      </c>
      <c r="BZ97" s="484" t="str">
        <f t="shared" si="91"/>
        <v/>
      </c>
      <c r="CA97" s="484" t="str">
        <f t="shared" si="92"/>
        <v/>
      </c>
      <c r="CB97" s="484" t="str">
        <f t="shared" si="93"/>
        <v/>
      </c>
      <c r="CC97" s="484" t="str">
        <f t="shared" si="94"/>
        <v/>
      </c>
      <c r="CD97" s="484" t="str">
        <f t="shared" si="95"/>
        <v/>
      </c>
      <c r="CE97" s="484" t="str">
        <f t="shared" si="96"/>
        <v/>
      </c>
      <c r="CF97" s="484" t="str">
        <f t="shared" si="97"/>
        <v/>
      </c>
      <c r="CG97" s="484" t="str">
        <f t="shared" si="98"/>
        <v/>
      </c>
      <c r="CH97" s="485">
        <f t="shared" si="102"/>
        <v>0</v>
      </c>
      <c r="CJ97" s="3"/>
      <c r="CK97" s="488" t="str">
        <f t="shared" si="107"/>
        <v>_</v>
      </c>
      <c r="CL97" s="488">
        <f t="shared" si="99"/>
        <v>0</v>
      </c>
      <c r="CM97" s="488">
        <f t="shared" si="100"/>
        <v>0</v>
      </c>
      <c r="DD97" s="390">
        <f t="shared" si="103"/>
        <v>0</v>
      </c>
      <c r="DE97" s="31">
        <f t="shared" si="104"/>
        <v>14</v>
      </c>
      <c r="DF97" s="31">
        <f t="shared" si="105"/>
        <v>0</v>
      </c>
      <c r="DG97" s="31">
        <f t="shared" si="106"/>
        <v>0</v>
      </c>
    </row>
    <row r="98" spans="1:111" hidden="1" outlineLevel="1">
      <c r="A98" s="22"/>
      <c r="B98" s="272"/>
      <c r="C98" s="491"/>
      <c r="D98" s="492"/>
      <c r="E98" s="492"/>
      <c r="F98" s="492"/>
      <c r="G98" s="492"/>
      <c r="H98" s="492"/>
      <c r="I98" s="492"/>
      <c r="J98" s="492"/>
      <c r="K98" s="492"/>
      <c r="L98" s="492"/>
      <c r="M98" s="492"/>
      <c r="N98" s="492"/>
      <c r="O98" s="492"/>
      <c r="P98" s="469">
        <f t="shared" si="101"/>
        <v>0</v>
      </c>
      <c r="Q98" s="476">
        <f>IF(P98=0,0,(_xlfn.XLOOKUP(C98,Factors!$V$17:$V$72,Factors!$Z$17:$Z$72)*'Purchased Materials'!P98))</f>
        <v>0</v>
      </c>
      <c r="BA98" s="432" t="str">
        <f t="shared" si="71"/>
        <v/>
      </c>
      <c r="BB98" s="432" t="str">
        <f t="shared" si="72"/>
        <v/>
      </c>
      <c r="BC98" s="432">
        <v>1</v>
      </c>
      <c r="BD98" s="432" t="str">
        <f>_xlfn.LET(_xlpm.x,BB98,IF(LEN(_xlpm.x)&lt;1,"",IF(ISNUMBER(MATCH(_xlpm.x,ls_purchased_mat,0)),'Project Inputs'!$BF$14,99)))</f>
        <v/>
      </c>
      <c r="BE98" s="484" t="str">
        <f t="shared" si="73"/>
        <v/>
      </c>
      <c r="BF98" s="484" t="str">
        <f t="shared" si="74"/>
        <v/>
      </c>
      <c r="BG98" s="484" t="str">
        <f t="shared" si="75"/>
        <v/>
      </c>
      <c r="BH98" s="484" t="str">
        <f t="shared" si="76"/>
        <v/>
      </c>
      <c r="BI98" s="484" t="str">
        <f t="shared" si="77"/>
        <v/>
      </c>
      <c r="BJ98" s="484" t="str">
        <f t="shared" si="78"/>
        <v/>
      </c>
      <c r="BK98" s="484" t="str">
        <f t="shared" si="79"/>
        <v/>
      </c>
      <c r="BL98" s="484" t="str">
        <f t="shared" si="80"/>
        <v/>
      </c>
      <c r="BM98" s="484" t="str">
        <f t="shared" si="81"/>
        <v/>
      </c>
      <c r="BN98" s="484" t="str">
        <f t="shared" si="82"/>
        <v/>
      </c>
      <c r="BO98" s="484" t="str">
        <f t="shared" si="83"/>
        <v/>
      </c>
      <c r="BP98" s="484" t="str">
        <f t="shared" si="84"/>
        <v/>
      </c>
      <c r="BQ98" s="485" t="str">
        <f t="shared" si="85"/>
        <v/>
      </c>
      <c r="BR98" s="486">
        <v>2</v>
      </c>
      <c r="BS98" s="487" cm="1">
        <f t="array" ref="BS98">IFERROR(INDEX(tblPurch_Mat[],MATCH(1,(tblPurch_Mat[Dataset ID]=BD98)*(tblPurch_Mat[Material Subcategory]=BB98),0),6),"confirm")</f>
        <v>0</v>
      </c>
      <c r="BT98" s="487" cm="1">
        <f t="array" ref="BT98">IFERROR(INDEX(tblPurch_Mat[],MATCH(1,(tblPurch_Mat[Dataset ID]=BD98)*(tblPurch_Mat[Material Subcategory]=BB98),0),7),"confirm")</f>
        <v>0</v>
      </c>
      <c r="BU98" s="487">
        <f t="shared" si="86"/>
        <v>0</v>
      </c>
      <c r="BV98" s="484" t="str">
        <f t="shared" si="87"/>
        <v/>
      </c>
      <c r="BW98" s="484" t="str">
        <f t="shared" si="88"/>
        <v/>
      </c>
      <c r="BX98" s="484" t="str">
        <f t="shared" si="89"/>
        <v/>
      </c>
      <c r="BY98" s="484" t="str">
        <f t="shared" si="90"/>
        <v/>
      </c>
      <c r="BZ98" s="484" t="str">
        <f t="shared" si="91"/>
        <v/>
      </c>
      <c r="CA98" s="484" t="str">
        <f t="shared" si="92"/>
        <v/>
      </c>
      <c r="CB98" s="484" t="str">
        <f t="shared" si="93"/>
        <v/>
      </c>
      <c r="CC98" s="484" t="str">
        <f t="shared" si="94"/>
        <v/>
      </c>
      <c r="CD98" s="484" t="str">
        <f t="shared" si="95"/>
        <v/>
      </c>
      <c r="CE98" s="484" t="str">
        <f t="shared" si="96"/>
        <v/>
      </c>
      <c r="CF98" s="484" t="str">
        <f t="shared" si="97"/>
        <v/>
      </c>
      <c r="CG98" s="484" t="str">
        <f t="shared" si="98"/>
        <v/>
      </c>
      <c r="CH98" s="485">
        <f t="shared" si="102"/>
        <v>0</v>
      </c>
      <c r="CJ98" s="3"/>
      <c r="CK98" s="488" t="str">
        <f t="shared" si="107"/>
        <v>_</v>
      </c>
      <c r="CL98" s="488">
        <f t="shared" si="99"/>
        <v>0</v>
      </c>
      <c r="CM98" s="488">
        <f t="shared" si="100"/>
        <v>0</v>
      </c>
      <c r="DD98" s="390">
        <f t="shared" si="103"/>
        <v>0</v>
      </c>
      <c r="DE98" s="31">
        <f t="shared" si="104"/>
        <v>14</v>
      </c>
      <c r="DF98" s="31">
        <f t="shared" si="105"/>
        <v>0</v>
      </c>
      <c r="DG98" s="31">
        <f t="shared" si="106"/>
        <v>0</v>
      </c>
    </row>
    <row r="99" spans="1:111" hidden="1" outlineLevel="1">
      <c r="A99" s="22"/>
      <c r="B99" s="272"/>
      <c r="C99" s="491"/>
      <c r="D99" s="492"/>
      <c r="E99" s="492"/>
      <c r="F99" s="492"/>
      <c r="G99" s="492"/>
      <c r="H99" s="492"/>
      <c r="I99" s="492"/>
      <c r="J99" s="492"/>
      <c r="K99" s="492"/>
      <c r="L99" s="492"/>
      <c r="M99" s="492"/>
      <c r="N99" s="492"/>
      <c r="O99" s="492"/>
      <c r="P99" s="469">
        <f t="shared" si="101"/>
        <v>0</v>
      </c>
      <c r="Q99" s="476">
        <f>IF(P99=0,0,(_xlfn.XLOOKUP(C99,Factors!$V$17:$V$72,Factors!$Z$17:$Z$72)*'Purchased Materials'!P99))</f>
        <v>0</v>
      </c>
      <c r="BA99" s="432" t="str">
        <f t="shared" si="71"/>
        <v/>
      </c>
      <c r="BB99" s="432" t="str">
        <f t="shared" si="72"/>
        <v/>
      </c>
      <c r="BC99" s="432">
        <v>1</v>
      </c>
      <c r="BD99" s="432" t="str">
        <f>_xlfn.LET(_xlpm.x,BB99,IF(LEN(_xlpm.x)&lt;1,"",IF(ISNUMBER(MATCH(_xlpm.x,ls_purchased_mat,0)),'Project Inputs'!$BF$14,99)))</f>
        <v/>
      </c>
      <c r="BE99" s="484" t="str">
        <f t="shared" si="73"/>
        <v/>
      </c>
      <c r="BF99" s="484" t="str">
        <f t="shared" si="74"/>
        <v/>
      </c>
      <c r="BG99" s="484" t="str">
        <f t="shared" si="75"/>
        <v/>
      </c>
      <c r="BH99" s="484" t="str">
        <f t="shared" si="76"/>
        <v/>
      </c>
      <c r="BI99" s="484" t="str">
        <f t="shared" si="77"/>
        <v/>
      </c>
      <c r="BJ99" s="484" t="str">
        <f t="shared" si="78"/>
        <v/>
      </c>
      <c r="BK99" s="484" t="str">
        <f t="shared" si="79"/>
        <v/>
      </c>
      <c r="BL99" s="484" t="str">
        <f t="shared" si="80"/>
        <v/>
      </c>
      <c r="BM99" s="484" t="str">
        <f t="shared" si="81"/>
        <v/>
      </c>
      <c r="BN99" s="484" t="str">
        <f t="shared" si="82"/>
        <v/>
      </c>
      <c r="BO99" s="484" t="str">
        <f t="shared" si="83"/>
        <v/>
      </c>
      <c r="BP99" s="484" t="str">
        <f t="shared" si="84"/>
        <v/>
      </c>
      <c r="BQ99" s="485" t="str">
        <f t="shared" si="85"/>
        <v/>
      </c>
      <c r="BR99" s="486">
        <v>2</v>
      </c>
      <c r="BS99" s="487" cm="1">
        <f t="array" ref="BS99">IFERROR(INDEX(tblPurch_Mat[],MATCH(1,(tblPurch_Mat[Dataset ID]=BD99)*(tblPurch_Mat[Material Subcategory]=BB99),0),6),"confirm")</f>
        <v>0</v>
      </c>
      <c r="BT99" s="487" cm="1">
        <f t="array" ref="BT99">IFERROR(INDEX(tblPurch_Mat[],MATCH(1,(tblPurch_Mat[Dataset ID]=BD99)*(tblPurch_Mat[Material Subcategory]=BB99),0),7),"confirm")</f>
        <v>0</v>
      </c>
      <c r="BU99" s="487">
        <f t="shared" si="86"/>
        <v>0</v>
      </c>
      <c r="BV99" s="484" t="str">
        <f t="shared" si="87"/>
        <v/>
      </c>
      <c r="BW99" s="484" t="str">
        <f t="shared" si="88"/>
        <v/>
      </c>
      <c r="BX99" s="484" t="str">
        <f t="shared" si="89"/>
        <v/>
      </c>
      <c r="BY99" s="484" t="str">
        <f t="shared" si="90"/>
        <v/>
      </c>
      <c r="BZ99" s="484" t="str">
        <f t="shared" si="91"/>
        <v/>
      </c>
      <c r="CA99" s="484" t="str">
        <f t="shared" si="92"/>
        <v/>
      </c>
      <c r="CB99" s="484" t="str">
        <f t="shared" si="93"/>
        <v/>
      </c>
      <c r="CC99" s="484" t="str">
        <f t="shared" si="94"/>
        <v/>
      </c>
      <c r="CD99" s="484" t="str">
        <f t="shared" si="95"/>
        <v/>
      </c>
      <c r="CE99" s="484" t="str">
        <f t="shared" si="96"/>
        <v/>
      </c>
      <c r="CF99" s="484" t="str">
        <f t="shared" si="97"/>
        <v/>
      </c>
      <c r="CG99" s="484" t="str">
        <f t="shared" si="98"/>
        <v/>
      </c>
      <c r="CH99" s="485">
        <f t="shared" si="102"/>
        <v>0</v>
      </c>
      <c r="CJ99" s="3"/>
      <c r="CK99" s="488" t="str">
        <f t="shared" si="107"/>
        <v>_</v>
      </c>
      <c r="CL99" s="488">
        <f t="shared" si="99"/>
        <v>0</v>
      </c>
      <c r="CM99" s="488">
        <f t="shared" si="100"/>
        <v>0</v>
      </c>
      <c r="DD99" s="390">
        <f t="shared" si="103"/>
        <v>0</v>
      </c>
      <c r="DE99" s="31">
        <f t="shared" si="104"/>
        <v>14</v>
      </c>
      <c r="DF99" s="31">
        <f t="shared" si="105"/>
        <v>0</v>
      </c>
      <c r="DG99" s="31">
        <f t="shared" si="106"/>
        <v>0</v>
      </c>
    </row>
    <row r="100" spans="1:111" hidden="1" outlineLevel="1">
      <c r="A100" s="22"/>
      <c r="B100" s="272"/>
      <c r="C100" s="491"/>
      <c r="D100" s="492"/>
      <c r="E100" s="492"/>
      <c r="F100" s="492"/>
      <c r="G100" s="492"/>
      <c r="H100" s="492"/>
      <c r="I100" s="492"/>
      <c r="J100" s="492"/>
      <c r="K100" s="492"/>
      <c r="L100" s="492"/>
      <c r="M100" s="492"/>
      <c r="N100" s="492"/>
      <c r="O100" s="492"/>
      <c r="P100" s="469">
        <f t="shared" si="101"/>
        <v>0</v>
      </c>
      <c r="Q100" s="476">
        <f>IF(P100=0,0,(_xlfn.XLOOKUP(C100,Factors!$V$17:$V$72,Factors!$Z$17:$Z$72)*'Purchased Materials'!P100))</f>
        <v>0</v>
      </c>
      <c r="BA100" s="432" t="str">
        <f t="shared" si="71"/>
        <v/>
      </c>
      <c r="BB100" s="432" t="str">
        <f t="shared" si="72"/>
        <v/>
      </c>
      <c r="BC100" s="432">
        <v>1</v>
      </c>
      <c r="BD100" s="432" t="str">
        <f>_xlfn.LET(_xlpm.x,BB100,IF(LEN(_xlpm.x)&lt;1,"",IF(ISNUMBER(MATCH(_xlpm.x,ls_purchased_mat,0)),'Project Inputs'!$BF$14,99)))</f>
        <v/>
      </c>
      <c r="BE100" s="484" t="str">
        <f t="shared" si="73"/>
        <v/>
      </c>
      <c r="BF100" s="484" t="str">
        <f t="shared" si="74"/>
        <v/>
      </c>
      <c r="BG100" s="484" t="str">
        <f t="shared" si="75"/>
        <v/>
      </c>
      <c r="BH100" s="484" t="str">
        <f t="shared" si="76"/>
        <v/>
      </c>
      <c r="BI100" s="484" t="str">
        <f t="shared" si="77"/>
        <v/>
      </c>
      <c r="BJ100" s="484" t="str">
        <f t="shared" si="78"/>
        <v/>
      </c>
      <c r="BK100" s="484" t="str">
        <f t="shared" si="79"/>
        <v/>
      </c>
      <c r="BL100" s="484" t="str">
        <f t="shared" si="80"/>
        <v/>
      </c>
      <c r="BM100" s="484" t="str">
        <f t="shared" si="81"/>
        <v/>
      </c>
      <c r="BN100" s="484" t="str">
        <f t="shared" si="82"/>
        <v/>
      </c>
      <c r="BO100" s="484" t="str">
        <f t="shared" si="83"/>
        <v/>
      </c>
      <c r="BP100" s="484" t="str">
        <f t="shared" si="84"/>
        <v/>
      </c>
      <c r="BQ100" s="485" t="str">
        <f t="shared" si="85"/>
        <v/>
      </c>
      <c r="BR100" s="486">
        <v>2</v>
      </c>
      <c r="BS100" s="487" cm="1">
        <f t="array" ref="BS100">IFERROR(INDEX(tblPurch_Mat[],MATCH(1,(tblPurch_Mat[Dataset ID]=BD100)*(tblPurch_Mat[Material Subcategory]=BB100),0),6),"confirm")</f>
        <v>0</v>
      </c>
      <c r="BT100" s="487" cm="1">
        <f t="array" ref="BT100">IFERROR(INDEX(tblPurch_Mat[],MATCH(1,(tblPurch_Mat[Dataset ID]=BD100)*(tblPurch_Mat[Material Subcategory]=BB100),0),7),"confirm")</f>
        <v>0</v>
      </c>
      <c r="BU100" s="487">
        <f t="shared" si="86"/>
        <v>0</v>
      </c>
      <c r="BV100" s="484" t="str">
        <f t="shared" si="87"/>
        <v/>
      </c>
      <c r="BW100" s="484" t="str">
        <f t="shared" si="88"/>
        <v/>
      </c>
      <c r="BX100" s="484" t="str">
        <f t="shared" si="89"/>
        <v/>
      </c>
      <c r="BY100" s="484" t="str">
        <f t="shared" si="90"/>
        <v/>
      </c>
      <c r="BZ100" s="484" t="str">
        <f t="shared" si="91"/>
        <v/>
      </c>
      <c r="CA100" s="484" t="str">
        <f t="shared" si="92"/>
        <v/>
      </c>
      <c r="CB100" s="484" t="str">
        <f t="shared" si="93"/>
        <v/>
      </c>
      <c r="CC100" s="484" t="str">
        <f t="shared" si="94"/>
        <v/>
      </c>
      <c r="CD100" s="484" t="str">
        <f t="shared" si="95"/>
        <v/>
      </c>
      <c r="CE100" s="484" t="str">
        <f t="shared" si="96"/>
        <v/>
      </c>
      <c r="CF100" s="484" t="str">
        <f t="shared" si="97"/>
        <v/>
      </c>
      <c r="CG100" s="484" t="str">
        <f t="shared" si="98"/>
        <v/>
      </c>
      <c r="CH100" s="485">
        <f t="shared" si="102"/>
        <v>0</v>
      </c>
      <c r="CJ100" s="3"/>
      <c r="CK100" s="488" t="str">
        <f t="shared" si="107"/>
        <v>_</v>
      </c>
      <c r="CL100" s="488">
        <f t="shared" si="99"/>
        <v>0</v>
      </c>
      <c r="CM100" s="488">
        <f t="shared" si="100"/>
        <v>0</v>
      </c>
      <c r="DD100" s="390">
        <f t="shared" si="103"/>
        <v>0</v>
      </c>
      <c r="DE100" s="31">
        <f t="shared" si="104"/>
        <v>14</v>
      </c>
      <c r="DF100" s="31">
        <f t="shared" si="105"/>
        <v>0</v>
      </c>
      <c r="DG100" s="31">
        <f t="shared" si="106"/>
        <v>0</v>
      </c>
    </row>
    <row r="101" spans="1:111" hidden="1" outlineLevel="1">
      <c r="A101" s="22"/>
      <c r="B101" s="272"/>
      <c r="C101" s="491"/>
      <c r="D101" s="492"/>
      <c r="E101" s="492"/>
      <c r="F101" s="492"/>
      <c r="G101" s="492"/>
      <c r="H101" s="492"/>
      <c r="I101" s="492"/>
      <c r="J101" s="492"/>
      <c r="K101" s="492"/>
      <c r="L101" s="492"/>
      <c r="M101" s="492"/>
      <c r="N101" s="492"/>
      <c r="O101" s="492"/>
      <c r="P101" s="469">
        <f t="shared" si="101"/>
        <v>0</v>
      </c>
      <c r="Q101" s="476">
        <f>IF(P101=0,0,(_xlfn.XLOOKUP(C101,Factors!$V$17:$V$72,Factors!$Z$17:$Z$72)*'Purchased Materials'!P101))</f>
        <v>0</v>
      </c>
      <c r="BA101" s="432" t="str">
        <f t="shared" si="71"/>
        <v/>
      </c>
      <c r="BB101" s="432" t="str">
        <f t="shared" si="72"/>
        <v/>
      </c>
      <c r="BC101" s="432">
        <v>1</v>
      </c>
      <c r="BD101" s="432" t="str">
        <f>_xlfn.LET(_xlpm.x,BB101,IF(LEN(_xlpm.x)&lt;1,"",IF(ISNUMBER(MATCH(_xlpm.x,ls_purchased_mat,0)),'Project Inputs'!$BF$14,99)))</f>
        <v/>
      </c>
      <c r="BE101" s="484" t="str">
        <f t="shared" si="73"/>
        <v/>
      </c>
      <c r="BF101" s="484" t="str">
        <f t="shared" si="74"/>
        <v/>
      </c>
      <c r="BG101" s="484" t="str">
        <f t="shared" si="75"/>
        <v/>
      </c>
      <c r="BH101" s="484" t="str">
        <f t="shared" si="76"/>
        <v/>
      </c>
      <c r="BI101" s="484" t="str">
        <f t="shared" si="77"/>
        <v/>
      </c>
      <c r="BJ101" s="484" t="str">
        <f t="shared" si="78"/>
        <v/>
      </c>
      <c r="BK101" s="484" t="str">
        <f t="shared" si="79"/>
        <v/>
      </c>
      <c r="BL101" s="484" t="str">
        <f t="shared" si="80"/>
        <v/>
      </c>
      <c r="BM101" s="484" t="str">
        <f t="shared" si="81"/>
        <v/>
      </c>
      <c r="BN101" s="484" t="str">
        <f t="shared" si="82"/>
        <v/>
      </c>
      <c r="BO101" s="484" t="str">
        <f t="shared" si="83"/>
        <v/>
      </c>
      <c r="BP101" s="484" t="str">
        <f t="shared" si="84"/>
        <v/>
      </c>
      <c r="BQ101" s="485" t="str">
        <f t="shared" si="85"/>
        <v/>
      </c>
      <c r="BR101" s="486">
        <v>2</v>
      </c>
      <c r="BS101" s="487" cm="1">
        <f t="array" ref="BS101">IFERROR(INDEX(tblPurch_Mat[],MATCH(1,(tblPurch_Mat[Dataset ID]=BD101)*(tblPurch_Mat[Material Subcategory]=BB101),0),6),"confirm")</f>
        <v>0</v>
      </c>
      <c r="BT101" s="487" cm="1">
        <f t="array" ref="BT101">IFERROR(INDEX(tblPurch_Mat[],MATCH(1,(tblPurch_Mat[Dataset ID]=BD101)*(tblPurch_Mat[Material Subcategory]=BB101),0),7),"confirm")</f>
        <v>0</v>
      </c>
      <c r="BU101" s="487">
        <f t="shared" si="86"/>
        <v>0</v>
      </c>
      <c r="BV101" s="484" t="str">
        <f t="shared" si="87"/>
        <v/>
      </c>
      <c r="BW101" s="484" t="str">
        <f t="shared" si="88"/>
        <v/>
      </c>
      <c r="BX101" s="484" t="str">
        <f t="shared" si="89"/>
        <v/>
      </c>
      <c r="BY101" s="484" t="str">
        <f t="shared" si="90"/>
        <v/>
      </c>
      <c r="BZ101" s="484" t="str">
        <f t="shared" si="91"/>
        <v/>
      </c>
      <c r="CA101" s="484" t="str">
        <f t="shared" si="92"/>
        <v/>
      </c>
      <c r="CB101" s="484" t="str">
        <f t="shared" si="93"/>
        <v/>
      </c>
      <c r="CC101" s="484" t="str">
        <f t="shared" si="94"/>
        <v/>
      </c>
      <c r="CD101" s="484" t="str">
        <f t="shared" si="95"/>
        <v/>
      </c>
      <c r="CE101" s="484" t="str">
        <f t="shared" si="96"/>
        <v/>
      </c>
      <c r="CF101" s="484" t="str">
        <f t="shared" si="97"/>
        <v/>
      </c>
      <c r="CG101" s="484" t="str">
        <f t="shared" si="98"/>
        <v/>
      </c>
      <c r="CH101" s="485">
        <f t="shared" si="102"/>
        <v>0</v>
      </c>
      <c r="CJ101" s="3"/>
      <c r="CK101" s="488" t="str">
        <f t="shared" si="107"/>
        <v>_</v>
      </c>
      <c r="CL101" s="488">
        <f t="shared" si="99"/>
        <v>0</v>
      </c>
      <c r="CM101" s="488">
        <f t="shared" si="100"/>
        <v>0</v>
      </c>
      <c r="DD101" s="390">
        <f t="shared" si="103"/>
        <v>0</v>
      </c>
      <c r="DE101" s="31">
        <f t="shared" si="104"/>
        <v>14</v>
      </c>
      <c r="DF101" s="31">
        <f t="shared" si="105"/>
        <v>0</v>
      </c>
      <c r="DG101" s="31">
        <f t="shared" si="106"/>
        <v>0</v>
      </c>
    </row>
    <row r="102" spans="1:111" hidden="1" outlineLevel="1">
      <c r="A102" s="22"/>
      <c r="B102" s="272"/>
      <c r="C102" s="491"/>
      <c r="D102" s="492"/>
      <c r="E102" s="492"/>
      <c r="F102" s="492"/>
      <c r="G102" s="492"/>
      <c r="H102" s="492"/>
      <c r="I102" s="492"/>
      <c r="J102" s="492"/>
      <c r="K102" s="492"/>
      <c r="L102" s="492"/>
      <c r="M102" s="492"/>
      <c r="N102" s="492"/>
      <c r="O102" s="492"/>
      <c r="P102" s="469">
        <f t="shared" si="101"/>
        <v>0</v>
      </c>
      <c r="Q102" s="476">
        <f>IF(P102=0,0,(_xlfn.XLOOKUP(C102,Factors!$V$17:$V$72,Factors!$Z$17:$Z$72)*'Purchased Materials'!P102))</f>
        <v>0</v>
      </c>
      <c r="BA102" s="432" t="str">
        <f t="shared" si="71"/>
        <v/>
      </c>
      <c r="BB102" s="432" t="str">
        <f t="shared" si="72"/>
        <v/>
      </c>
      <c r="BC102" s="432">
        <v>1</v>
      </c>
      <c r="BD102" s="432" t="str">
        <f>_xlfn.LET(_xlpm.x,BB102,IF(LEN(_xlpm.x)&lt;1,"",IF(ISNUMBER(MATCH(_xlpm.x,ls_purchased_mat,0)),'Project Inputs'!$BF$14,99)))</f>
        <v/>
      </c>
      <c r="BE102" s="484" t="str">
        <f t="shared" si="73"/>
        <v/>
      </c>
      <c r="BF102" s="484" t="str">
        <f t="shared" si="74"/>
        <v/>
      </c>
      <c r="BG102" s="484" t="str">
        <f t="shared" si="75"/>
        <v/>
      </c>
      <c r="BH102" s="484" t="str">
        <f t="shared" si="76"/>
        <v/>
      </c>
      <c r="BI102" s="484" t="str">
        <f t="shared" si="77"/>
        <v/>
      </c>
      <c r="BJ102" s="484" t="str">
        <f t="shared" si="78"/>
        <v/>
      </c>
      <c r="BK102" s="484" t="str">
        <f t="shared" si="79"/>
        <v/>
      </c>
      <c r="BL102" s="484" t="str">
        <f t="shared" si="80"/>
        <v/>
      </c>
      <c r="BM102" s="484" t="str">
        <f t="shared" si="81"/>
        <v/>
      </c>
      <c r="BN102" s="484" t="str">
        <f t="shared" si="82"/>
        <v/>
      </c>
      <c r="BO102" s="484" t="str">
        <f t="shared" si="83"/>
        <v/>
      </c>
      <c r="BP102" s="484" t="str">
        <f t="shared" si="84"/>
        <v/>
      </c>
      <c r="BQ102" s="485" t="str">
        <f t="shared" si="85"/>
        <v/>
      </c>
      <c r="BR102" s="486">
        <v>2</v>
      </c>
      <c r="BS102" s="487" cm="1">
        <f t="array" ref="BS102">IFERROR(INDEX(tblPurch_Mat[],MATCH(1,(tblPurch_Mat[Dataset ID]=BD102)*(tblPurch_Mat[Material Subcategory]=BB102),0),6),"confirm")</f>
        <v>0</v>
      </c>
      <c r="BT102" s="487" cm="1">
        <f t="array" ref="BT102">IFERROR(INDEX(tblPurch_Mat[],MATCH(1,(tblPurch_Mat[Dataset ID]=BD102)*(tblPurch_Mat[Material Subcategory]=BB102),0),7),"confirm")</f>
        <v>0</v>
      </c>
      <c r="BU102" s="487">
        <f t="shared" si="86"/>
        <v>0</v>
      </c>
      <c r="BV102" s="484" t="str">
        <f t="shared" si="87"/>
        <v/>
      </c>
      <c r="BW102" s="484" t="str">
        <f t="shared" si="88"/>
        <v/>
      </c>
      <c r="BX102" s="484" t="str">
        <f t="shared" si="89"/>
        <v/>
      </c>
      <c r="BY102" s="484" t="str">
        <f t="shared" si="90"/>
        <v/>
      </c>
      <c r="BZ102" s="484" t="str">
        <f t="shared" si="91"/>
        <v/>
      </c>
      <c r="CA102" s="484" t="str">
        <f t="shared" si="92"/>
        <v/>
      </c>
      <c r="CB102" s="484" t="str">
        <f t="shared" si="93"/>
        <v/>
      </c>
      <c r="CC102" s="484" t="str">
        <f t="shared" si="94"/>
        <v/>
      </c>
      <c r="CD102" s="484" t="str">
        <f t="shared" si="95"/>
        <v/>
      </c>
      <c r="CE102" s="484" t="str">
        <f t="shared" si="96"/>
        <v/>
      </c>
      <c r="CF102" s="484" t="str">
        <f t="shared" si="97"/>
        <v/>
      </c>
      <c r="CG102" s="484" t="str">
        <f t="shared" si="98"/>
        <v/>
      </c>
      <c r="CH102" s="485">
        <f t="shared" si="102"/>
        <v>0</v>
      </c>
      <c r="CJ102" s="3"/>
      <c r="CK102" s="488" t="str">
        <f t="shared" si="107"/>
        <v>_</v>
      </c>
      <c r="CL102" s="488">
        <f t="shared" si="99"/>
        <v>0</v>
      </c>
      <c r="CM102" s="488">
        <f t="shared" si="100"/>
        <v>0</v>
      </c>
      <c r="DD102" s="390">
        <f t="shared" si="103"/>
        <v>0</v>
      </c>
      <c r="DE102" s="31">
        <f t="shared" si="104"/>
        <v>14</v>
      </c>
      <c r="DF102" s="31">
        <f t="shared" si="105"/>
        <v>0</v>
      </c>
      <c r="DG102" s="31">
        <f t="shared" si="106"/>
        <v>0</v>
      </c>
    </row>
    <row r="103" spans="1:111" hidden="1" outlineLevel="1">
      <c r="A103" s="22"/>
      <c r="B103" s="272"/>
      <c r="C103" s="491"/>
      <c r="D103" s="492"/>
      <c r="E103" s="492"/>
      <c r="F103" s="492"/>
      <c r="G103" s="492"/>
      <c r="H103" s="492"/>
      <c r="I103" s="492"/>
      <c r="J103" s="492"/>
      <c r="K103" s="492"/>
      <c r="L103" s="492"/>
      <c r="M103" s="492"/>
      <c r="N103" s="492"/>
      <c r="O103" s="492"/>
      <c r="P103" s="469">
        <f t="shared" si="101"/>
        <v>0</v>
      </c>
      <c r="Q103" s="476">
        <f>IF(P103=0,0,(_xlfn.XLOOKUP(C103,Factors!$V$17:$V$72,Factors!$Z$17:$Z$72)*'Purchased Materials'!P103))</f>
        <v>0</v>
      </c>
      <c r="BA103" s="432" t="str">
        <f t="shared" si="71"/>
        <v/>
      </c>
      <c r="BB103" s="432" t="str">
        <f t="shared" si="72"/>
        <v/>
      </c>
      <c r="BC103" s="432">
        <v>1</v>
      </c>
      <c r="BD103" s="432" t="str">
        <f>_xlfn.LET(_xlpm.x,BB103,IF(LEN(_xlpm.x)&lt;1,"",IF(ISNUMBER(MATCH(_xlpm.x,ls_purchased_mat,0)),'Project Inputs'!$BF$14,99)))</f>
        <v/>
      </c>
      <c r="BE103" s="484" t="str">
        <f t="shared" si="73"/>
        <v/>
      </c>
      <c r="BF103" s="484" t="str">
        <f t="shared" si="74"/>
        <v/>
      </c>
      <c r="BG103" s="484" t="str">
        <f t="shared" si="75"/>
        <v/>
      </c>
      <c r="BH103" s="484" t="str">
        <f t="shared" si="76"/>
        <v/>
      </c>
      <c r="BI103" s="484" t="str">
        <f t="shared" si="77"/>
        <v/>
      </c>
      <c r="BJ103" s="484" t="str">
        <f t="shared" si="78"/>
        <v/>
      </c>
      <c r="BK103" s="484" t="str">
        <f t="shared" si="79"/>
        <v/>
      </c>
      <c r="BL103" s="484" t="str">
        <f t="shared" si="80"/>
        <v/>
      </c>
      <c r="BM103" s="484" t="str">
        <f t="shared" si="81"/>
        <v/>
      </c>
      <c r="BN103" s="484" t="str">
        <f t="shared" si="82"/>
        <v/>
      </c>
      <c r="BO103" s="484" t="str">
        <f t="shared" si="83"/>
        <v/>
      </c>
      <c r="BP103" s="484" t="str">
        <f t="shared" si="84"/>
        <v/>
      </c>
      <c r="BQ103" s="485" t="str">
        <f t="shared" si="85"/>
        <v/>
      </c>
      <c r="BR103" s="486">
        <v>2</v>
      </c>
      <c r="BS103" s="487" cm="1">
        <f t="array" ref="BS103">IFERROR(INDEX(tblPurch_Mat[],MATCH(1,(tblPurch_Mat[Dataset ID]=BD103)*(tblPurch_Mat[Material Subcategory]=BB103),0),6),"confirm")</f>
        <v>0</v>
      </c>
      <c r="BT103" s="487" cm="1">
        <f t="array" ref="BT103">IFERROR(INDEX(tblPurch_Mat[],MATCH(1,(tblPurch_Mat[Dataset ID]=BD103)*(tblPurch_Mat[Material Subcategory]=BB103),0),7),"confirm")</f>
        <v>0</v>
      </c>
      <c r="BU103" s="487">
        <f t="shared" si="86"/>
        <v>0</v>
      </c>
      <c r="BV103" s="484" t="str">
        <f t="shared" si="87"/>
        <v/>
      </c>
      <c r="BW103" s="484" t="str">
        <f t="shared" si="88"/>
        <v/>
      </c>
      <c r="BX103" s="484" t="str">
        <f t="shared" si="89"/>
        <v/>
      </c>
      <c r="BY103" s="484" t="str">
        <f t="shared" si="90"/>
        <v/>
      </c>
      <c r="BZ103" s="484" t="str">
        <f t="shared" si="91"/>
        <v/>
      </c>
      <c r="CA103" s="484" t="str">
        <f t="shared" si="92"/>
        <v/>
      </c>
      <c r="CB103" s="484" t="str">
        <f t="shared" si="93"/>
        <v/>
      </c>
      <c r="CC103" s="484" t="str">
        <f t="shared" si="94"/>
        <v/>
      </c>
      <c r="CD103" s="484" t="str">
        <f t="shared" si="95"/>
        <v/>
      </c>
      <c r="CE103" s="484" t="str">
        <f t="shared" si="96"/>
        <v/>
      </c>
      <c r="CF103" s="484" t="str">
        <f t="shared" si="97"/>
        <v/>
      </c>
      <c r="CG103" s="484" t="str">
        <f t="shared" si="98"/>
        <v/>
      </c>
      <c r="CH103" s="485">
        <f t="shared" si="102"/>
        <v>0</v>
      </c>
      <c r="CJ103" s="3"/>
      <c r="CK103" s="488" t="str">
        <f t="shared" si="107"/>
        <v>_</v>
      </c>
      <c r="CL103" s="488">
        <f t="shared" si="99"/>
        <v>0</v>
      </c>
      <c r="CM103" s="488">
        <f t="shared" si="100"/>
        <v>0</v>
      </c>
      <c r="DD103" s="390">
        <f t="shared" si="103"/>
        <v>0</v>
      </c>
      <c r="DE103" s="31">
        <f t="shared" si="104"/>
        <v>14</v>
      </c>
      <c r="DF103" s="31">
        <f t="shared" si="105"/>
        <v>0</v>
      </c>
      <c r="DG103" s="31">
        <f t="shared" si="106"/>
        <v>0</v>
      </c>
    </row>
    <row r="104" spans="1:111" hidden="1" outlineLevel="1">
      <c r="A104" s="22"/>
      <c r="B104" s="272"/>
      <c r="C104" s="491"/>
      <c r="D104" s="492"/>
      <c r="E104" s="492"/>
      <c r="F104" s="492"/>
      <c r="G104" s="492"/>
      <c r="H104" s="492"/>
      <c r="I104" s="492"/>
      <c r="J104" s="492"/>
      <c r="K104" s="492"/>
      <c r="L104" s="492"/>
      <c r="M104" s="492"/>
      <c r="N104" s="492"/>
      <c r="O104" s="492"/>
      <c r="P104" s="469">
        <f t="shared" si="101"/>
        <v>0</v>
      </c>
      <c r="Q104" s="476">
        <f>IF(P104=0,0,(_xlfn.XLOOKUP(C104,Factors!$V$17:$V$72,Factors!$Z$17:$Z$72)*'Purchased Materials'!P104))</f>
        <v>0</v>
      </c>
      <c r="BA104" s="432" t="str">
        <f t="shared" si="71"/>
        <v/>
      </c>
      <c r="BB104" s="432" t="str">
        <f t="shared" si="72"/>
        <v/>
      </c>
      <c r="BC104" s="432">
        <v>1</v>
      </c>
      <c r="BD104" s="432" t="str">
        <f>_xlfn.LET(_xlpm.x,BB104,IF(LEN(_xlpm.x)&lt;1,"",IF(ISNUMBER(MATCH(_xlpm.x,ls_purchased_mat,0)),'Project Inputs'!$BF$14,99)))</f>
        <v/>
      </c>
      <c r="BE104" s="484" t="str">
        <f t="shared" si="73"/>
        <v/>
      </c>
      <c r="BF104" s="484" t="str">
        <f t="shared" si="74"/>
        <v/>
      </c>
      <c r="BG104" s="484" t="str">
        <f t="shared" si="75"/>
        <v/>
      </c>
      <c r="BH104" s="484" t="str">
        <f t="shared" si="76"/>
        <v/>
      </c>
      <c r="BI104" s="484" t="str">
        <f t="shared" si="77"/>
        <v/>
      </c>
      <c r="BJ104" s="484" t="str">
        <f t="shared" si="78"/>
        <v/>
      </c>
      <c r="BK104" s="484" t="str">
        <f t="shared" si="79"/>
        <v/>
      </c>
      <c r="BL104" s="484" t="str">
        <f t="shared" si="80"/>
        <v/>
      </c>
      <c r="BM104" s="484" t="str">
        <f t="shared" si="81"/>
        <v/>
      </c>
      <c r="BN104" s="484" t="str">
        <f t="shared" si="82"/>
        <v/>
      </c>
      <c r="BO104" s="484" t="str">
        <f t="shared" si="83"/>
        <v/>
      </c>
      <c r="BP104" s="484" t="str">
        <f t="shared" si="84"/>
        <v/>
      </c>
      <c r="BQ104" s="485" t="str">
        <f t="shared" si="85"/>
        <v/>
      </c>
      <c r="BR104" s="486">
        <v>2</v>
      </c>
      <c r="BS104" s="487" cm="1">
        <f t="array" ref="BS104">IFERROR(INDEX(tblPurch_Mat[],MATCH(1,(tblPurch_Mat[Dataset ID]=BD104)*(tblPurch_Mat[Material Subcategory]=BB104),0),6),"confirm")</f>
        <v>0</v>
      </c>
      <c r="BT104" s="487" cm="1">
        <f t="array" ref="BT104">IFERROR(INDEX(tblPurch_Mat[],MATCH(1,(tblPurch_Mat[Dataset ID]=BD104)*(tblPurch_Mat[Material Subcategory]=BB104),0),7),"confirm")</f>
        <v>0</v>
      </c>
      <c r="BU104" s="487">
        <f t="shared" si="86"/>
        <v>0</v>
      </c>
      <c r="BV104" s="484" t="str">
        <f t="shared" si="87"/>
        <v/>
      </c>
      <c r="BW104" s="484" t="str">
        <f t="shared" si="88"/>
        <v/>
      </c>
      <c r="BX104" s="484" t="str">
        <f t="shared" si="89"/>
        <v/>
      </c>
      <c r="BY104" s="484" t="str">
        <f t="shared" si="90"/>
        <v/>
      </c>
      <c r="BZ104" s="484" t="str">
        <f t="shared" si="91"/>
        <v/>
      </c>
      <c r="CA104" s="484" t="str">
        <f t="shared" si="92"/>
        <v/>
      </c>
      <c r="CB104" s="484" t="str">
        <f t="shared" si="93"/>
        <v/>
      </c>
      <c r="CC104" s="484" t="str">
        <f t="shared" si="94"/>
        <v/>
      </c>
      <c r="CD104" s="484" t="str">
        <f t="shared" si="95"/>
        <v/>
      </c>
      <c r="CE104" s="484" t="str">
        <f t="shared" si="96"/>
        <v/>
      </c>
      <c r="CF104" s="484" t="str">
        <f t="shared" si="97"/>
        <v/>
      </c>
      <c r="CG104" s="484" t="str">
        <f t="shared" si="98"/>
        <v/>
      </c>
      <c r="CH104" s="485">
        <f t="shared" si="102"/>
        <v>0</v>
      </c>
      <c r="CJ104" s="3"/>
      <c r="CK104" s="488" t="str">
        <f t="shared" si="107"/>
        <v>_</v>
      </c>
      <c r="CL104" s="488">
        <f t="shared" si="99"/>
        <v>0</v>
      </c>
      <c r="CM104" s="488">
        <f t="shared" si="100"/>
        <v>0</v>
      </c>
      <c r="DD104" s="390">
        <f t="shared" si="103"/>
        <v>0</v>
      </c>
      <c r="DE104" s="31">
        <f t="shared" si="104"/>
        <v>14</v>
      </c>
      <c r="DF104" s="31">
        <f t="shared" si="105"/>
        <v>0</v>
      </c>
      <c r="DG104" s="31">
        <f t="shared" si="106"/>
        <v>0</v>
      </c>
    </row>
    <row r="105" spans="1:111" hidden="1" outlineLevel="1">
      <c r="A105" s="22"/>
      <c r="B105" s="272"/>
      <c r="C105" s="491"/>
      <c r="D105" s="492"/>
      <c r="E105" s="492"/>
      <c r="F105" s="492"/>
      <c r="G105" s="492"/>
      <c r="H105" s="492"/>
      <c r="I105" s="492"/>
      <c r="J105" s="492"/>
      <c r="K105" s="492"/>
      <c r="L105" s="492"/>
      <c r="M105" s="492"/>
      <c r="N105" s="492"/>
      <c r="O105" s="492"/>
      <c r="P105" s="469">
        <f t="shared" si="101"/>
        <v>0</v>
      </c>
      <c r="Q105" s="476">
        <f>IF(P105=0,0,(_xlfn.XLOOKUP(C105,Factors!$V$17:$V$72,Factors!$Z$17:$Z$72)*'Purchased Materials'!P105))</f>
        <v>0</v>
      </c>
      <c r="BA105" s="432" t="str">
        <f t="shared" si="71"/>
        <v/>
      </c>
      <c r="BB105" s="432" t="str">
        <f t="shared" si="72"/>
        <v/>
      </c>
      <c r="BC105" s="432">
        <v>1</v>
      </c>
      <c r="BD105" s="432" t="str">
        <f>_xlfn.LET(_xlpm.x,BB105,IF(LEN(_xlpm.x)&lt;1,"",IF(ISNUMBER(MATCH(_xlpm.x,ls_purchased_mat,0)),'Project Inputs'!$BF$14,99)))</f>
        <v/>
      </c>
      <c r="BE105" s="484" t="str">
        <f t="shared" si="73"/>
        <v/>
      </c>
      <c r="BF105" s="484" t="str">
        <f t="shared" si="74"/>
        <v/>
      </c>
      <c r="BG105" s="484" t="str">
        <f t="shared" si="75"/>
        <v/>
      </c>
      <c r="BH105" s="484" t="str">
        <f t="shared" si="76"/>
        <v/>
      </c>
      <c r="BI105" s="484" t="str">
        <f t="shared" si="77"/>
        <v/>
      </c>
      <c r="BJ105" s="484" t="str">
        <f t="shared" si="78"/>
        <v/>
      </c>
      <c r="BK105" s="484" t="str">
        <f t="shared" si="79"/>
        <v/>
      </c>
      <c r="BL105" s="484" t="str">
        <f t="shared" si="80"/>
        <v/>
      </c>
      <c r="BM105" s="484" t="str">
        <f t="shared" si="81"/>
        <v/>
      </c>
      <c r="BN105" s="484" t="str">
        <f t="shared" si="82"/>
        <v/>
      </c>
      <c r="BO105" s="484" t="str">
        <f t="shared" si="83"/>
        <v/>
      </c>
      <c r="BP105" s="484" t="str">
        <f t="shared" si="84"/>
        <v/>
      </c>
      <c r="BQ105" s="485" t="str">
        <f t="shared" si="85"/>
        <v/>
      </c>
      <c r="BR105" s="486">
        <v>2</v>
      </c>
      <c r="BS105" s="487" cm="1">
        <f t="array" ref="BS105">IFERROR(INDEX(tblPurch_Mat[],MATCH(1,(tblPurch_Mat[Dataset ID]=BD105)*(tblPurch_Mat[Material Subcategory]=BB105),0),6),"confirm")</f>
        <v>0</v>
      </c>
      <c r="BT105" s="487" cm="1">
        <f t="array" ref="BT105">IFERROR(INDEX(tblPurch_Mat[],MATCH(1,(tblPurch_Mat[Dataset ID]=BD105)*(tblPurch_Mat[Material Subcategory]=BB105),0),7),"confirm")</f>
        <v>0</v>
      </c>
      <c r="BU105" s="487">
        <f t="shared" si="86"/>
        <v>0</v>
      </c>
      <c r="BV105" s="484" t="str">
        <f t="shared" si="87"/>
        <v/>
      </c>
      <c r="BW105" s="484" t="str">
        <f t="shared" si="88"/>
        <v/>
      </c>
      <c r="BX105" s="484" t="str">
        <f t="shared" si="89"/>
        <v/>
      </c>
      <c r="BY105" s="484" t="str">
        <f t="shared" si="90"/>
        <v/>
      </c>
      <c r="BZ105" s="484" t="str">
        <f t="shared" si="91"/>
        <v/>
      </c>
      <c r="CA105" s="484" t="str">
        <f t="shared" si="92"/>
        <v/>
      </c>
      <c r="CB105" s="484" t="str">
        <f t="shared" si="93"/>
        <v/>
      </c>
      <c r="CC105" s="484" t="str">
        <f t="shared" si="94"/>
        <v/>
      </c>
      <c r="CD105" s="484" t="str">
        <f t="shared" si="95"/>
        <v/>
      </c>
      <c r="CE105" s="484" t="str">
        <f t="shared" si="96"/>
        <v/>
      </c>
      <c r="CF105" s="484" t="str">
        <f t="shared" si="97"/>
        <v/>
      </c>
      <c r="CG105" s="484" t="str">
        <f t="shared" si="98"/>
        <v/>
      </c>
      <c r="CH105" s="485">
        <f t="shared" si="102"/>
        <v>0</v>
      </c>
      <c r="CJ105" s="3"/>
      <c r="CK105" s="488" t="str">
        <f t="shared" si="107"/>
        <v>_</v>
      </c>
      <c r="CL105" s="488">
        <f t="shared" si="99"/>
        <v>0</v>
      </c>
      <c r="CM105" s="488">
        <f t="shared" si="100"/>
        <v>0</v>
      </c>
      <c r="DD105" s="390">
        <f t="shared" si="103"/>
        <v>0</v>
      </c>
      <c r="DE105" s="31">
        <f t="shared" si="104"/>
        <v>14</v>
      </c>
      <c r="DF105" s="31">
        <f t="shared" si="105"/>
        <v>0</v>
      </c>
      <c r="DG105" s="31">
        <f t="shared" si="106"/>
        <v>0</v>
      </c>
    </row>
    <row r="106" spans="1:111" hidden="1" outlineLevel="1">
      <c r="A106" s="22"/>
      <c r="B106" s="272"/>
      <c r="C106" s="491"/>
      <c r="D106" s="492"/>
      <c r="E106" s="492"/>
      <c r="F106" s="492"/>
      <c r="G106" s="492"/>
      <c r="H106" s="492"/>
      <c r="I106" s="492"/>
      <c r="J106" s="492"/>
      <c r="K106" s="492"/>
      <c r="L106" s="492"/>
      <c r="M106" s="492"/>
      <c r="N106" s="492"/>
      <c r="O106" s="492"/>
      <c r="P106" s="469">
        <f t="shared" si="101"/>
        <v>0</v>
      </c>
      <c r="Q106" s="476">
        <f>IF(P106=0,0,(_xlfn.XLOOKUP(C106,Factors!$V$17:$V$72,Factors!$Z$17:$Z$72)*'Purchased Materials'!P106))</f>
        <v>0</v>
      </c>
      <c r="BA106" s="432" t="str">
        <f t="shared" si="71"/>
        <v/>
      </c>
      <c r="BB106" s="432" t="str">
        <f t="shared" si="72"/>
        <v/>
      </c>
      <c r="BC106" s="432">
        <v>1</v>
      </c>
      <c r="BD106" s="432" t="str">
        <f>_xlfn.LET(_xlpm.x,BB106,IF(LEN(_xlpm.x)&lt;1,"",IF(ISNUMBER(MATCH(_xlpm.x,ls_purchased_mat,0)),'Project Inputs'!$BF$14,99)))</f>
        <v/>
      </c>
      <c r="BE106" s="484" t="str">
        <f t="shared" si="73"/>
        <v/>
      </c>
      <c r="BF106" s="484" t="str">
        <f t="shared" si="74"/>
        <v/>
      </c>
      <c r="BG106" s="484" t="str">
        <f t="shared" si="75"/>
        <v/>
      </c>
      <c r="BH106" s="484" t="str">
        <f t="shared" si="76"/>
        <v/>
      </c>
      <c r="BI106" s="484" t="str">
        <f t="shared" si="77"/>
        <v/>
      </c>
      <c r="BJ106" s="484" t="str">
        <f t="shared" si="78"/>
        <v/>
      </c>
      <c r="BK106" s="484" t="str">
        <f t="shared" si="79"/>
        <v/>
      </c>
      <c r="BL106" s="484" t="str">
        <f t="shared" si="80"/>
        <v/>
      </c>
      <c r="BM106" s="484" t="str">
        <f t="shared" si="81"/>
        <v/>
      </c>
      <c r="BN106" s="484" t="str">
        <f t="shared" si="82"/>
        <v/>
      </c>
      <c r="BO106" s="484" t="str">
        <f t="shared" si="83"/>
        <v/>
      </c>
      <c r="BP106" s="484" t="str">
        <f t="shared" si="84"/>
        <v/>
      </c>
      <c r="BQ106" s="485" t="str">
        <f t="shared" si="85"/>
        <v/>
      </c>
      <c r="BR106" s="486">
        <v>2</v>
      </c>
      <c r="BS106" s="487" cm="1">
        <f t="array" ref="BS106">IFERROR(INDEX(tblPurch_Mat[],MATCH(1,(tblPurch_Mat[Dataset ID]=BD106)*(tblPurch_Mat[Material Subcategory]=BB106),0),6),"confirm")</f>
        <v>0</v>
      </c>
      <c r="BT106" s="487" cm="1">
        <f t="array" ref="BT106">IFERROR(INDEX(tblPurch_Mat[],MATCH(1,(tblPurch_Mat[Dataset ID]=BD106)*(tblPurch_Mat[Material Subcategory]=BB106),0),7),"confirm")</f>
        <v>0</v>
      </c>
      <c r="BU106" s="487">
        <f t="shared" si="86"/>
        <v>0</v>
      </c>
      <c r="BV106" s="484" t="str">
        <f t="shared" si="87"/>
        <v/>
      </c>
      <c r="BW106" s="484" t="str">
        <f t="shared" si="88"/>
        <v/>
      </c>
      <c r="BX106" s="484" t="str">
        <f t="shared" si="89"/>
        <v/>
      </c>
      <c r="BY106" s="484" t="str">
        <f t="shared" si="90"/>
        <v/>
      </c>
      <c r="BZ106" s="484" t="str">
        <f t="shared" si="91"/>
        <v/>
      </c>
      <c r="CA106" s="484" t="str">
        <f t="shared" si="92"/>
        <v/>
      </c>
      <c r="CB106" s="484" t="str">
        <f t="shared" si="93"/>
        <v/>
      </c>
      <c r="CC106" s="484" t="str">
        <f t="shared" si="94"/>
        <v/>
      </c>
      <c r="CD106" s="484" t="str">
        <f t="shared" si="95"/>
        <v/>
      </c>
      <c r="CE106" s="484" t="str">
        <f t="shared" si="96"/>
        <v/>
      </c>
      <c r="CF106" s="484" t="str">
        <f t="shared" si="97"/>
        <v/>
      </c>
      <c r="CG106" s="484" t="str">
        <f t="shared" si="98"/>
        <v/>
      </c>
      <c r="CH106" s="485">
        <f t="shared" si="102"/>
        <v>0</v>
      </c>
      <c r="CJ106" s="3"/>
      <c r="CK106" s="488" t="str">
        <f t="shared" si="107"/>
        <v>_</v>
      </c>
      <c r="CL106" s="488">
        <f t="shared" si="99"/>
        <v>0</v>
      </c>
      <c r="CM106" s="488">
        <f t="shared" si="100"/>
        <v>0</v>
      </c>
      <c r="DD106" s="390">
        <f t="shared" si="103"/>
        <v>0</v>
      </c>
      <c r="DE106" s="31">
        <f t="shared" si="104"/>
        <v>14</v>
      </c>
      <c r="DF106" s="31">
        <f t="shared" si="105"/>
        <v>0</v>
      </c>
      <c r="DG106" s="31">
        <f t="shared" si="106"/>
        <v>0</v>
      </c>
    </row>
    <row r="107" spans="1:111" hidden="1" outlineLevel="1">
      <c r="A107" s="22"/>
      <c r="B107" s="272"/>
      <c r="C107" s="491"/>
      <c r="D107" s="492"/>
      <c r="E107" s="492"/>
      <c r="F107" s="492"/>
      <c r="G107" s="492"/>
      <c r="H107" s="492"/>
      <c r="I107" s="492"/>
      <c r="J107" s="492"/>
      <c r="K107" s="492"/>
      <c r="L107" s="492"/>
      <c r="M107" s="492"/>
      <c r="N107" s="492"/>
      <c r="O107" s="492"/>
      <c r="P107" s="469">
        <f t="shared" si="101"/>
        <v>0</v>
      </c>
      <c r="Q107" s="476">
        <f>IF(P107=0,0,(_xlfn.XLOOKUP(C107,Factors!$V$17:$V$72,Factors!$Z$17:$Z$72)*'Purchased Materials'!P107))</f>
        <v>0</v>
      </c>
      <c r="BA107" s="432" t="str">
        <f t="shared" si="71"/>
        <v/>
      </c>
      <c r="BB107" s="432" t="str">
        <f t="shared" si="72"/>
        <v/>
      </c>
      <c r="BC107" s="432">
        <v>1</v>
      </c>
      <c r="BD107" s="432" t="str">
        <f>_xlfn.LET(_xlpm.x,BB107,IF(LEN(_xlpm.x)&lt;1,"",IF(ISNUMBER(MATCH(_xlpm.x,ls_purchased_mat,0)),'Project Inputs'!$BF$14,99)))</f>
        <v/>
      </c>
      <c r="BE107" s="484" t="str">
        <f t="shared" si="73"/>
        <v/>
      </c>
      <c r="BF107" s="484" t="str">
        <f t="shared" si="74"/>
        <v/>
      </c>
      <c r="BG107" s="484" t="str">
        <f t="shared" si="75"/>
        <v/>
      </c>
      <c r="BH107" s="484" t="str">
        <f t="shared" si="76"/>
        <v/>
      </c>
      <c r="BI107" s="484" t="str">
        <f t="shared" si="77"/>
        <v/>
      </c>
      <c r="BJ107" s="484" t="str">
        <f t="shared" si="78"/>
        <v/>
      </c>
      <c r="BK107" s="484" t="str">
        <f t="shared" si="79"/>
        <v/>
      </c>
      <c r="BL107" s="484" t="str">
        <f t="shared" si="80"/>
        <v/>
      </c>
      <c r="BM107" s="484" t="str">
        <f t="shared" si="81"/>
        <v/>
      </c>
      <c r="BN107" s="484" t="str">
        <f t="shared" si="82"/>
        <v/>
      </c>
      <c r="BO107" s="484" t="str">
        <f t="shared" si="83"/>
        <v/>
      </c>
      <c r="BP107" s="484" t="str">
        <f t="shared" si="84"/>
        <v/>
      </c>
      <c r="BQ107" s="485" t="str">
        <f t="shared" si="85"/>
        <v/>
      </c>
      <c r="BR107" s="486">
        <v>2</v>
      </c>
      <c r="BS107" s="487" cm="1">
        <f t="array" ref="BS107">IFERROR(INDEX(tblPurch_Mat[],MATCH(1,(tblPurch_Mat[Dataset ID]=BD107)*(tblPurch_Mat[Material Subcategory]=BB107),0),6),"confirm")</f>
        <v>0</v>
      </c>
      <c r="BT107" s="487" cm="1">
        <f t="array" ref="BT107">IFERROR(INDEX(tblPurch_Mat[],MATCH(1,(tblPurch_Mat[Dataset ID]=BD107)*(tblPurch_Mat[Material Subcategory]=BB107),0),7),"confirm")</f>
        <v>0</v>
      </c>
      <c r="BU107" s="487">
        <f t="shared" si="86"/>
        <v>0</v>
      </c>
      <c r="BV107" s="484" t="str">
        <f t="shared" si="87"/>
        <v/>
      </c>
      <c r="BW107" s="484" t="str">
        <f t="shared" si="88"/>
        <v/>
      </c>
      <c r="BX107" s="484" t="str">
        <f t="shared" si="89"/>
        <v/>
      </c>
      <c r="BY107" s="484" t="str">
        <f t="shared" si="90"/>
        <v/>
      </c>
      <c r="BZ107" s="484" t="str">
        <f t="shared" si="91"/>
        <v/>
      </c>
      <c r="CA107" s="484" t="str">
        <f t="shared" si="92"/>
        <v/>
      </c>
      <c r="CB107" s="484" t="str">
        <f t="shared" si="93"/>
        <v/>
      </c>
      <c r="CC107" s="484" t="str">
        <f t="shared" si="94"/>
        <v/>
      </c>
      <c r="CD107" s="484" t="str">
        <f t="shared" si="95"/>
        <v/>
      </c>
      <c r="CE107" s="484" t="str">
        <f t="shared" si="96"/>
        <v/>
      </c>
      <c r="CF107" s="484" t="str">
        <f t="shared" si="97"/>
        <v/>
      </c>
      <c r="CG107" s="484" t="str">
        <f t="shared" si="98"/>
        <v/>
      </c>
      <c r="CH107" s="485">
        <f t="shared" si="102"/>
        <v>0</v>
      </c>
      <c r="CJ107" s="3"/>
      <c r="CK107" s="488" t="str">
        <f t="shared" si="107"/>
        <v>_</v>
      </c>
      <c r="CL107" s="488">
        <f t="shared" si="99"/>
        <v>0</v>
      </c>
      <c r="CM107" s="488">
        <f t="shared" si="100"/>
        <v>0</v>
      </c>
      <c r="DD107" s="390">
        <f t="shared" si="103"/>
        <v>0</v>
      </c>
      <c r="DE107" s="31">
        <f t="shared" si="104"/>
        <v>14</v>
      </c>
      <c r="DF107" s="31">
        <f t="shared" si="105"/>
        <v>0</v>
      </c>
      <c r="DG107" s="31">
        <f t="shared" si="106"/>
        <v>0</v>
      </c>
    </row>
    <row r="108" spans="1:111" hidden="1" outlineLevel="1">
      <c r="A108" s="22"/>
      <c r="B108" s="272"/>
      <c r="C108" s="491"/>
      <c r="D108" s="492"/>
      <c r="E108" s="492"/>
      <c r="F108" s="492"/>
      <c r="G108" s="492"/>
      <c r="H108" s="492"/>
      <c r="I108" s="492"/>
      <c r="J108" s="492"/>
      <c r="K108" s="492"/>
      <c r="L108" s="492"/>
      <c r="M108" s="492"/>
      <c r="N108" s="492"/>
      <c r="O108" s="492"/>
      <c r="P108" s="469">
        <f t="shared" si="101"/>
        <v>0</v>
      </c>
      <c r="Q108" s="476">
        <f>IF(P108=0,0,(_xlfn.XLOOKUP(C108,Factors!$V$17:$V$72,Factors!$Z$17:$Z$72)*'Purchased Materials'!P108))</f>
        <v>0</v>
      </c>
      <c r="BA108" s="432" t="str">
        <f t="shared" si="71"/>
        <v/>
      </c>
      <c r="BB108" s="432" t="str">
        <f t="shared" si="72"/>
        <v/>
      </c>
      <c r="BC108" s="432">
        <v>1</v>
      </c>
      <c r="BD108" s="432" t="str">
        <f>_xlfn.LET(_xlpm.x,BB108,IF(LEN(_xlpm.x)&lt;1,"",IF(ISNUMBER(MATCH(_xlpm.x,ls_purchased_mat,0)),'Project Inputs'!$BF$14,99)))</f>
        <v/>
      </c>
      <c r="BE108" s="484" t="str">
        <f t="shared" si="73"/>
        <v/>
      </c>
      <c r="BF108" s="484" t="str">
        <f t="shared" si="74"/>
        <v/>
      </c>
      <c r="BG108" s="484" t="str">
        <f t="shared" si="75"/>
        <v/>
      </c>
      <c r="BH108" s="484" t="str">
        <f t="shared" si="76"/>
        <v/>
      </c>
      <c r="BI108" s="484" t="str">
        <f t="shared" si="77"/>
        <v/>
      </c>
      <c r="BJ108" s="484" t="str">
        <f t="shared" si="78"/>
        <v/>
      </c>
      <c r="BK108" s="484" t="str">
        <f t="shared" si="79"/>
        <v/>
      </c>
      <c r="BL108" s="484" t="str">
        <f t="shared" si="80"/>
        <v/>
      </c>
      <c r="BM108" s="484" t="str">
        <f t="shared" si="81"/>
        <v/>
      </c>
      <c r="BN108" s="484" t="str">
        <f t="shared" si="82"/>
        <v/>
      </c>
      <c r="BO108" s="484" t="str">
        <f t="shared" si="83"/>
        <v/>
      </c>
      <c r="BP108" s="484" t="str">
        <f t="shared" si="84"/>
        <v/>
      </c>
      <c r="BQ108" s="485" t="str">
        <f t="shared" si="85"/>
        <v/>
      </c>
      <c r="BR108" s="486">
        <v>2</v>
      </c>
      <c r="BS108" s="487" cm="1">
        <f t="array" ref="BS108">IFERROR(INDEX(tblPurch_Mat[],MATCH(1,(tblPurch_Mat[Dataset ID]=BD108)*(tblPurch_Mat[Material Subcategory]=BB108),0),6),"confirm")</f>
        <v>0</v>
      </c>
      <c r="BT108" s="487" cm="1">
        <f t="array" ref="BT108">IFERROR(INDEX(tblPurch_Mat[],MATCH(1,(tblPurch_Mat[Dataset ID]=BD108)*(tblPurch_Mat[Material Subcategory]=BB108),0),7),"confirm")</f>
        <v>0</v>
      </c>
      <c r="BU108" s="487">
        <f t="shared" si="86"/>
        <v>0</v>
      </c>
      <c r="BV108" s="484" t="str">
        <f t="shared" si="87"/>
        <v/>
      </c>
      <c r="BW108" s="484" t="str">
        <f t="shared" si="88"/>
        <v/>
      </c>
      <c r="BX108" s="484" t="str">
        <f t="shared" si="89"/>
        <v/>
      </c>
      <c r="BY108" s="484" t="str">
        <f t="shared" si="90"/>
        <v/>
      </c>
      <c r="BZ108" s="484" t="str">
        <f t="shared" si="91"/>
        <v/>
      </c>
      <c r="CA108" s="484" t="str">
        <f t="shared" si="92"/>
        <v/>
      </c>
      <c r="CB108" s="484" t="str">
        <f t="shared" si="93"/>
        <v/>
      </c>
      <c r="CC108" s="484" t="str">
        <f t="shared" si="94"/>
        <v/>
      </c>
      <c r="CD108" s="484" t="str">
        <f t="shared" si="95"/>
        <v/>
      </c>
      <c r="CE108" s="484" t="str">
        <f t="shared" si="96"/>
        <v/>
      </c>
      <c r="CF108" s="484" t="str">
        <f t="shared" si="97"/>
        <v/>
      </c>
      <c r="CG108" s="484" t="str">
        <f t="shared" si="98"/>
        <v/>
      </c>
      <c r="CH108" s="485">
        <f t="shared" si="102"/>
        <v>0</v>
      </c>
      <c r="CJ108" s="3"/>
      <c r="CK108" s="488" t="str">
        <f t="shared" si="107"/>
        <v>_</v>
      </c>
      <c r="CL108" s="488">
        <f t="shared" si="99"/>
        <v>0</v>
      </c>
      <c r="CM108" s="488">
        <f t="shared" si="100"/>
        <v>0</v>
      </c>
      <c r="DD108" s="390">
        <f t="shared" si="103"/>
        <v>0</v>
      </c>
      <c r="DE108" s="31">
        <f t="shared" si="104"/>
        <v>14</v>
      </c>
      <c r="DF108" s="31">
        <f t="shared" si="105"/>
        <v>0</v>
      </c>
      <c r="DG108" s="31">
        <f t="shared" si="106"/>
        <v>0</v>
      </c>
    </row>
    <row r="109" spans="1:111" hidden="1" outlineLevel="1">
      <c r="A109" s="22"/>
      <c r="B109" s="272"/>
      <c r="C109" s="491"/>
      <c r="D109" s="492"/>
      <c r="E109" s="492"/>
      <c r="F109" s="492"/>
      <c r="G109" s="492"/>
      <c r="H109" s="492"/>
      <c r="I109" s="492"/>
      <c r="J109" s="492"/>
      <c r="K109" s="492"/>
      <c r="L109" s="492"/>
      <c r="M109" s="492"/>
      <c r="N109" s="492"/>
      <c r="O109" s="492"/>
      <c r="P109" s="469">
        <f t="shared" si="101"/>
        <v>0</v>
      </c>
      <c r="Q109" s="476">
        <f>IF(P109=0,0,(_xlfn.XLOOKUP(C109,Factors!$V$17:$V$72,Factors!$Z$17:$Z$72)*'Purchased Materials'!P109))</f>
        <v>0</v>
      </c>
      <c r="BA109" s="432" t="str">
        <f t="shared" si="71"/>
        <v/>
      </c>
      <c r="BB109" s="432" t="str">
        <f t="shared" si="72"/>
        <v/>
      </c>
      <c r="BC109" s="432">
        <v>1</v>
      </c>
      <c r="BD109" s="432" t="str">
        <f>_xlfn.LET(_xlpm.x,BB109,IF(LEN(_xlpm.x)&lt;1,"",IF(ISNUMBER(MATCH(_xlpm.x,ls_purchased_mat,0)),'Project Inputs'!$BF$14,99)))</f>
        <v/>
      </c>
      <c r="BE109" s="484" t="str">
        <f t="shared" si="73"/>
        <v/>
      </c>
      <c r="BF109" s="484" t="str">
        <f t="shared" si="74"/>
        <v/>
      </c>
      <c r="BG109" s="484" t="str">
        <f t="shared" si="75"/>
        <v/>
      </c>
      <c r="BH109" s="484" t="str">
        <f t="shared" si="76"/>
        <v/>
      </c>
      <c r="BI109" s="484" t="str">
        <f t="shared" si="77"/>
        <v/>
      </c>
      <c r="BJ109" s="484" t="str">
        <f t="shared" si="78"/>
        <v/>
      </c>
      <c r="BK109" s="484" t="str">
        <f t="shared" si="79"/>
        <v/>
      </c>
      <c r="BL109" s="484" t="str">
        <f t="shared" si="80"/>
        <v/>
      </c>
      <c r="BM109" s="484" t="str">
        <f t="shared" si="81"/>
        <v/>
      </c>
      <c r="BN109" s="484" t="str">
        <f t="shared" si="82"/>
        <v/>
      </c>
      <c r="BO109" s="484" t="str">
        <f t="shared" si="83"/>
        <v/>
      </c>
      <c r="BP109" s="484" t="str">
        <f t="shared" si="84"/>
        <v/>
      </c>
      <c r="BQ109" s="485" t="str">
        <f t="shared" si="85"/>
        <v/>
      </c>
      <c r="BR109" s="486">
        <v>2</v>
      </c>
      <c r="BS109" s="487" cm="1">
        <f t="array" ref="BS109">IFERROR(INDEX(tblPurch_Mat[],MATCH(1,(tblPurch_Mat[Dataset ID]=BD109)*(tblPurch_Mat[Material Subcategory]=BB109),0),6),"confirm")</f>
        <v>0</v>
      </c>
      <c r="BT109" s="487" cm="1">
        <f t="array" ref="BT109">IFERROR(INDEX(tblPurch_Mat[],MATCH(1,(tblPurch_Mat[Dataset ID]=BD109)*(tblPurch_Mat[Material Subcategory]=BB109),0),7),"confirm")</f>
        <v>0</v>
      </c>
      <c r="BU109" s="487">
        <f t="shared" si="86"/>
        <v>0</v>
      </c>
      <c r="BV109" s="484" t="str">
        <f t="shared" si="87"/>
        <v/>
      </c>
      <c r="BW109" s="484" t="str">
        <f t="shared" si="88"/>
        <v/>
      </c>
      <c r="BX109" s="484" t="str">
        <f t="shared" si="89"/>
        <v/>
      </c>
      <c r="BY109" s="484" t="str">
        <f t="shared" si="90"/>
        <v/>
      </c>
      <c r="BZ109" s="484" t="str">
        <f t="shared" si="91"/>
        <v/>
      </c>
      <c r="CA109" s="484" t="str">
        <f t="shared" si="92"/>
        <v/>
      </c>
      <c r="CB109" s="484" t="str">
        <f t="shared" si="93"/>
        <v/>
      </c>
      <c r="CC109" s="484" t="str">
        <f t="shared" si="94"/>
        <v/>
      </c>
      <c r="CD109" s="484" t="str">
        <f t="shared" si="95"/>
        <v/>
      </c>
      <c r="CE109" s="484" t="str">
        <f t="shared" si="96"/>
        <v/>
      </c>
      <c r="CF109" s="484" t="str">
        <f t="shared" si="97"/>
        <v/>
      </c>
      <c r="CG109" s="484" t="str">
        <f t="shared" si="98"/>
        <v/>
      </c>
      <c r="CH109" s="485">
        <f t="shared" si="102"/>
        <v>0</v>
      </c>
      <c r="CJ109" s="3"/>
      <c r="CK109" s="488" t="str">
        <f t="shared" si="107"/>
        <v>_</v>
      </c>
      <c r="CL109" s="488">
        <f t="shared" si="99"/>
        <v>0</v>
      </c>
      <c r="CM109" s="488">
        <f t="shared" si="100"/>
        <v>0</v>
      </c>
      <c r="DD109" s="390">
        <f t="shared" si="103"/>
        <v>0</v>
      </c>
      <c r="DE109" s="31">
        <f t="shared" si="104"/>
        <v>14</v>
      </c>
      <c r="DF109" s="31">
        <f t="shared" si="105"/>
        <v>0</v>
      </c>
      <c r="DG109" s="31">
        <f t="shared" si="106"/>
        <v>0</v>
      </c>
    </row>
    <row r="110" spans="1:111" hidden="1" outlineLevel="1">
      <c r="A110" s="22"/>
      <c r="B110" s="272"/>
      <c r="C110" s="491"/>
      <c r="D110" s="492"/>
      <c r="E110" s="492"/>
      <c r="F110" s="492"/>
      <c r="G110" s="492"/>
      <c r="H110" s="492"/>
      <c r="I110" s="492"/>
      <c r="J110" s="492"/>
      <c r="K110" s="492"/>
      <c r="L110" s="492"/>
      <c r="M110" s="492"/>
      <c r="N110" s="492"/>
      <c r="O110" s="492"/>
      <c r="P110" s="469">
        <f t="shared" si="101"/>
        <v>0</v>
      </c>
      <c r="Q110" s="476">
        <f>IF(P110=0,0,(_xlfn.XLOOKUP(C110,Factors!$V$17:$V$72,Factors!$Z$17:$Z$72)*'Purchased Materials'!P110))</f>
        <v>0</v>
      </c>
      <c r="BA110" s="432" t="str">
        <f t="shared" si="71"/>
        <v/>
      </c>
      <c r="BB110" s="432" t="str">
        <f t="shared" si="72"/>
        <v/>
      </c>
      <c r="BC110" s="432">
        <v>1</v>
      </c>
      <c r="BD110" s="432" t="str">
        <f>_xlfn.LET(_xlpm.x,BB110,IF(LEN(_xlpm.x)&lt;1,"",IF(ISNUMBER(MATCH(_xlpm.x,ls_purchased_mat,0)),'Project Inputs'!$BF$14,99)))</f>
        <v/>
      </c>
      <c r="BE110" s="484" t="str">
        <f t="shared" si="73"/>
        <v/>
      </c>
      <c r="BF110" s="484" t="str">
        <f t="shared" si="74"/>
        <v/>
      </c>
      <c r="BG110" s="484" t="str">
        <f t="shared" si="75"/>
        <v/>
      </c>
      <c r="BH110" s="484" t="str">
        <f t="shared" si="76"/>
        <v/>
      </c>
      <c r="BI110" s="484" t="str">
        <f t="shared" si="77"/>
        <v/>
      </c>
      <c r="BJ110" s="484" t="str">
        <f t="shared" si="78"/>
        <v/>
      </c>
      <c r="BK110" s="484" t="str">
        <f t="shared" si="79"/>
        <v/>
      </c>
      <c r="BL110" s="484" t="str">
        <f t="shared" si="80"/>
        <v/>
      </c>
      <c r="BM110" s="484" t="str">
        <f t="shared" si="81"/>
        <v/>
      </c>
      <c r="BN110" s="484" t="str">
        <f t="shared" si="82"/>
        <v/>
      </c>
      <c r="BO110" s="484" t="str">
        <f t="shared" si="83"/>
        <v/>
      </c>
      <c r="BP110" s="484" t="str">
        <f t="shared" si="84"/>
        <v/>
      </c>
      <c r="BQ110" s="485" t="str">
        <f t="shared" si="85"/>
        <v/>
      </c>
      <c r="BR110" s="486">
        <v>2</v>
      </c>
      <c r="BS110" s="487" cm="1">
        <f t="array" ref="BS110">IFERROR(INDEX(tblPurch_Mat[],MATCH(1,(tblPurch_Mat[Dataset ID]=BD110)*(tblPurch_Mat[Material Subcategory]=BB110),0),6),"confirm")</f>
        <v>0</v>
      </c>
      <c r="BT110" s="487" cm="1">
        <f t="array" ref="BT110">IFERROR(INDEX(tblPurch_Mat[],MATCH(1,(tblPurch_Mat[Dataset ID]=BD110)*(tblPurch_Mat[Material Subcategory]=BB110),0),7),"confirm")</f>
        <v>0</v>
      </c>
      <c r="BU110" s="487">
        <f t="shared" si="86"/>
        <v>0</v>
      </c>
      <c r="BV110" s="484" t="str">
        <f t="shared" si="87"/>
        <v/>
      </c>
      <c r="BW110" s="484" t="str">
        <f t="shared" si="88"/>
        <v/>
      </c>
      <c r="BX110" s="484" t="str">
        <f t="shared" si="89"/>
        <v/>
      </c>
      <c r="BY110" s="484" t="str">
        <f t="shared" si="90"/>
        <v/>
      </c>
      <c r="BZ110" s="484" t="str">
        <f t="shared" si="91"/>
        <v/>
      </c>
      <c r="CA110" s="484" t="str">
        <f t="shared" si="92"/>
        <v/>
      </c>
      <c r="CB110" s="484" t="str">
        <f t="shared" si="93"/>
        <v/>
      </c>
      <c r="CC110" s="484" t="str">
        <f t="shared" si="94"/>
        <v/>
      </c>
      <c r="CD110" s="484" t="str">
        <f t="shared" si="95"/>
        <v/>
      </c>
      <c r="CE110" s="484" t="str">
        <f t="shared" si="96"/>
        <v/>
      </c>
      <c r="CF110" s="484" t="str">
        <f t="shared" si="97"/>
        <v/>
      </c>
      <c r="CG110" s="484" t="str">
        <f t="shared" si="98"/>
        <v/>
      </c>
      <c r="CH110" s="485">
        <f t="shared" si="102"/>
        <v>0</v>
      </c>
      <c r="CJ110" s="3"/>
      <c r="CK110" s="488" t="str">
        <f t="shared" si="107"/>
        <v>_</v>
      </c>
      <c r="CL110" s="488">
        <f t="shared" si="99"/>
        <v>0</v>
      </c>
      <c r="CM110" s="488">
        <f t="shared" si="100"/>
        <v>0</v>
      </c>
      <c r="DD110" s="390">
        <f t="shared" si="103"/>
        <v>0</v>
      </c>
      <c r="DE110" s="31">
        <f t="shared" si="104"/>
        <v>14</v>
      </c>
      <c r="DF110" s="31">
        <f t="shared" si="105"/>
        <v>0</v>
      </c>
      <c r="DG110" s="31">
        <f t="shared" si="106"/>
        <v>0</v>
      </c>
    </row>
    <row r="111" spans="1:111" hidden="1" outlineLevel="1">
      <c r="A111" s="22"/>
      <c r="B111" s="272"/>
      <c r="C111" s="491"/>
      <c r="D111" s="492"/>
      <c r="E111" s="492"/>
      <c r="F111" s="492"/>
      <c r="G111" s="492"/>
      <c r="H111" s="492"/>
      <c r="I111" s="492"/>
      <c r="J111" s="492"/>
      <c r="K111" s="492"/>
      <c r="L111" s="492"/>
      <c r="M111" s="492"/>
      <c r="N111" s="492"/>
      <c r="O111" s="492"/>
      <c r="P111" s="469">
        <f t="shared" si="101"/>
        <v>0</v>
      </c>
      <c r="Q111" s="476">
        <f>IF(P111=0,0,(_xlfn.XLOOKUP(C111,Factors!$V$17:$V$72,Factors!$Z$17:$Z$72)*'Purchased Materials'!P111))</f>
        <v>0</v>
      </c>
      <c r="BA111" s="432" t="str">
        <f t="shared" si="71"/>
        <v/>
      </c>
      <c r="BB111" s="432" t="str">
        <f t="shared" si="72"/>
        <v/>
      </c>
      <c r="BC111" s="432">
        <v>1</v>
      </c>
      <c r="BD111" s="432" t="str">
        <f>_xlfn.LET(_xlpm.x,BB111,IF(LEN(_xlpm.x)&lt;1,"",IF(ISNUMBER(MATCH(_xlpm.x,ls_purchased_mat,0)),'Project Inputs'!$BF$14,99)))</f>
        <v/>
      </c>
      <c r="BE111" s="484" t="str">
        <f t="shared" si="73"/>
        <v/>
      </c>
      <c r="BF111" s="484" t="str">
        <f t="shared" si="74"/>
        <v/>
      </c>
      <c r="BG111" s="484" t="str">
        <f t="shared" si="75"/>
        <v/>
      </c>
      <c r="BH111" s="484" t="str">
        <f t="shared" si="76"/>
        <v/>
      </c>
      <c r="BI111" s="484" t="str">
        <f t="shared" si="77"/>
        <v/>
      </c>
      <c r="BJ111" s="484" t="str">
        <f t="shared" si="78"/>
        <v/>
      </c>
      <c r="BK111" s="484" t="str">
        <f t="shared" si="79"/>
        <v/>
      </c>
      <c r="BL111" s="484" t="str">
        <f t="shared" si="80"/>
        <v/>
      </c>
      <c r="BM111" s="484" t="str">
        <f t="shared" si="81"/>
        <v/>
      </c>
      <c r="BN111" s="484" t="str">
        <f t="shared" si="82"/>
        <v/>
      </c>
      <c r="BO111" s="484" t="str">
        <f t="shared" si="83"/>
        <v/>
      </c>
      <c r="BP111" s="484" t="str">
        <f t="shared" si="84"/>
        <v/>
      </c>
      <c r="BQ111" s="485" t="str">
        <f t="shared" si="85"/>
        <v/>
      </c>
      <c r="BR111" s="486">
        <v>2</v>
      </c>
      <c r="BS111" s="487" cm="1">
        <f t="array" ref="BS111">IFERROR(INDEX(tblPurch_Mat[],MATCH(1,(tblPurch_Mat[Dataset ID]=BD111)*(tblPurch_Mat[Material Subcategory]=BB111),0),6),"confirm")</f>
        <v>0</v>
      </c>
      <c r="BT111" s="487" cm="1">
        <f t="array" ref="BT111">IFERROR(INDEX(tblPurch_Mat[],MATCH(1,(tblPurch_Mat[Dataset ID]=BD111)*(tblPurch_Mat[Material Subcategory]=BB111),0),7),"confirm")</f>
        <v>0</v>
      </c>
      <c r="BU111" s="487">
        <f t="shared" ref="BU111:BU114" si="108">CHOOSE(BR111,BS111,BT111)</f>
        <v>0</v>
      </c>
      <c r="BV111" s="484" t="str">
        <f t="shared" si="87"/>
        <v/>
      </c>
      <c r="BW111" s="484" t="str">
        <f t="shared" si="88"/>
        <v/>
      </c>
      <c r="BX111" s="484" t="str">
        <f t="shared" si="89"/>
        <v/>
      </c>
      <c r="BY111" s="484" t="str">
        <f t="shared" si="90"/>
        <v/>
      </c>
      <c r="BZ111" s="484" t="str">
        <f t="shared" si="91"/>
        <v/>
      </c>
      <c r="CA111" s="484" t="str">
        <f t="shared" si="92"/>
        <v/>
      </c>
      <c r="CB111" s="484" t="str">
        <f t="shared" si="93"/>
        <v/>
      </c>
      <c r="CC111" s="484" t="str">
        <f t="shared" si="94"/>
        <v/>
      </c>
      <c r="CD111" s="484" t="str">
        <f t="shared" si="95"/>
        <v/>
      </c>
      <c r="CE111" s="484" t="str">
        <f t="shared" si="96"/>
        <v/>
      </c>
      <c r="CF111" s="484" t="str">
        <f t="shared" si="97"/>
        <v/>
      </c>
      <c r="CG111" s="484" t="str">
        <f t="shared" si="98"/>
        <v/>
      </c>
      <c r="CH111" s="485">
        <f t="shared" si="102"/>
        <v>0</v>
      </c>
      <c r="CJ111" s="3"/>
      <c r="CK111" s="488" t="str">
        <f t="shared" si="107"/>
        <v>_</v>
      </c>
      <c r="CL111" s="488">
        <f t="shared" si="99"/>
        <v>0</v>
      </c>
      <c r="CM111" s="488">
        <f t="shared" si="100"/>
        <v>0</v>
      </c>
      <c r="DD111" s="390">
        <f t="shared" si="103"/>
        <v>0</v>
      </c>
      <c r="DE111" s="31">
        <f t="shared" si="104"/>
        <v>14</v>
      </c>
      <c r="DF111" s="31">
        <f t="shared" si="105"/>
        <v>0</v>
      </c>
      <c r="DG111" s="31">
        <f t="shared" si="106"/>
        <v>0</v>
      </c>
    </row>
    <row r="112" spans="1:111" hidden="1" outlineLevel="1">
      <c r="A112" s="22"/>
      <c r="B112" s="272"/>
      <c r="C112" s="491"/>
      <c r="D112" s="492"/>
      <c r="E112" s="492"/>
      <c r="F112" s="492"/>
      <c r="G112" s="492"/>
      <c r="H112" s="492"/>
      <c r="I112" s="492"/>
      <c r="J112" s="492"/>
      <c r="K112" s="492"/>
      <c r="L112" s="492"/>
      <c r="M112" s="492"/>
      <c r="N112" s="492"/>
      <c r="O112" s="492"/>
      <c r="P112" s="469">
        <f t="shared" si="101"/>
        <v>0</v>
      </c>
      <c r="Q112" s="476">
        <f>IF(P112=0,0,(_xlfn.XLOOKUP(C112,Factors!$V$17:$V$72,Factors!$Z$17:$Z$72)*'Purchased Materials'!P112))</f>
        <v>0</v>
      </c>
      <c r="BA112" s="432" t="str">
        <f t="shared" si="71"/>
        <v/>
      </c>
      <c r="BB112" s="432" t="str">
        <f t="shared" si="72"/>
        <v/>
      </c>
      <c r="BC112" s="432">
        <v>1</v>
      </c>
      <c r="BD112" s="432" t="str">
        <f>_xlfn.LET(_xlpm.x,BB112,IF(LEN(_xlpm.x)&lt;1,"",IF(ISNUMBER(MATCH(_xlpm.x,ls_purchased_mat,0)),'Project Inputs'!$BF$14,99)))</f>
        <v/>
      </c>
      <c r="BE112" s="484" t="str">
        <f t="shared" si="73"/>
        <v/>
      </c>
      <c r="BF112" s="484" t="str">
        <f t="shared" si="74"/>
        <v/>
      </c>
      <c r="BG112" s="484" t="str">
        <f t="shared" si="75"/>
        <v/>
      </c>
      <c r="BH112" s="484" t="str">
        <f t="shared" si="76"/>
        <v/>
      </c>
      <c r="BI112" s="484" t="str">
        <f t="shared" si="77"/>
        <v/>
      </c>
      <c r="BJ112" s="484" t="str">
        <f t="shared" si="78"/>
        <v/>
      </c>
      <c r="BK112" s="484" t="str">
        <f t="shared" si="79"/>
        <v/>
      </c>
      <c r="BL112" s="484" t="str">
        <f t="shared" si="80"/>
        <v/>
      </c>
      <c r="BM112" s="484" t="str">
        <f t="shared" si="81"/>
        <v/>
      </c>
      <c r="BN112" s="484" t="str">
        <f t="shared" si="82"/>
        <v/>
      </c>
      <c r="BO112" s="484" t="str">
        <f t="shared" si="83"/>
        <v/>
      </c>
      <c r="BP112" s="484" t="str">
        <f t="shared" si="84"/>
        <v/>
      </c>
      <c r="BQ112" s="485" t="str">
        <f t="shared" si="85"/>
        <v/>
      </c>
      <c r="BR112" s="486">
        <v>2</v>
      </c>
      <c r="BS112" s="487" cm="1">
        <f t="array" ref="BS112">IFERROR(INDEX(tblPurch_Mat[],MATCH(1,(tblPurch_Mat[Dataset ID]=BD112)*(tblPurch_Mat[Material Subcategory]=BB112),0),6),"confirm")</f>
        <v>0</v>
      </c>
      <c r="BT112" s="487" cm="1">
        <f t="array" ref="BT112">IFERROR(INDEX(tblPurch_Mat[],MATCH(1,(tblPurch_Mat[Dataset ID]=BD112)*(tblPurch_Mat[Material Subcategory]=BB112),0),7),"confirm")</f>
        <v>0</v>
      </c>
      <c r="BU112" s="487">
        <f t="shared" si="108"/>
        <v>0</v>
      </c>
      <c r="BV112" s="484" t="str">
        <f t="shared" si="87"/>
        <v/>
      </c>
      <c r="BW112" s="484" t="str">
        <f t="shared" si="88"/>
        <v/>
      </c>
      <c r="BX112" s="484" t="str">
        <f t="shared" si="89"/>
        <v/>
      </c>
      <c r="BY112" s="484" t="str">
        <f t="shared" si="90"/>
        <v/>
      </c>
      <c r="BZ112" s="484" t="str">
        <f t="shared" si="91"/>
        <v/>
      </c>
      <c r="CA112" s="484" t="str">
        <f t="shared" si="92"/>
        <v/>
      </c>
      <c r="CB112" s="484" t="str">
        <f t="shared" si="93"/>
        <v/>
      </c>
      <c r="CC112" s="484" t="str">
        <f t="shared" si="94"/>
        <v/>
      </c>
      <c r="CD112" s="484" t="str">
        <f t="shared" si="95"/>
        <v/>
      </c>
      <c r="CE112" s="484" t="str">
        <f t="shared" si="96"/>
        <v/>
      </c>
      <c r="CF112" s="484" t="str">
        <f t="shared" si="97"/>
        <v/>
      </c>
      <c r="CG112" s="484" t="str">
        <f t="shared" si="98"/>
        <v/>
      </c>
      <c r="CH112" s="485">
        <f t="shared" si="102"/>
        <v>0</v>
      </c>
      <c r="CJ112" s="3"/>
      <c r="CK112" s="488" t="str">
        <f t="shared" si="107"/>
        <v>_</v>
      </c>
      <c r="CL112" s="488">
        <f t="shared" si="99"/>
        <v>0</v>
      </c>
      <c r="CM112" s="488">
        <f t="shared" si="100"/>
        <v>0</v>
      </c>
      <c r="DD112" s="390">
        <f t="shared" si="103"/>
        <v>0</v>
      </c>
      <c r="DE112" s="31">
        <f t="shared" si="104"/>
        <v>14</v>
      </c>
      <c r="DF112" s="31">
        <f t="shared" si="105"/>
        <v>0</v>
      </c>
      <c r="DG112" s="31">
        <f t="shared" si="106"/>
        <v>0</v>
      </c>
    </row>
    <row r="113" spans="1:111" hidden="1" outlineLevel="1">
      <c r="A113" s="22"/>
      <c r="B113" s="272"/>
      <c r="C113" s="491"/>
      <c r="D113" s="492"/>
      <c r="E113" s="492"/>
      <c r="F113" s="492"/>
      <c r="G113" s="492"/>
      <c r="H113" s="492"/>
      <c r="I113" s="492"/>
      <c r="J113" s="492"/>
      <c r="K113" s="492"/>
      <c r="L113" s="492"/>
      <c r="M113" s="492"/>
      <c r="N113" s="492"/>
      <c r="O113" s="492"/>
      <c r="P113" s="469">
        <f t="shared" si="101"/>
        <v>0</v>
      </c>
      <c r="Q113" s="476">
        <f>IF(P113=0,0,(_xlfn.XLOOKUP(C113,Factors!$V$17:$V$72,Factors!$Z$17:$Z$72)*'Purchased Materials'!P113))</f>
        <v>0</v>
      </c>
      <c r="BA113" s="432" t="str">
        <f t="shared" si="71"/>
        <v/>
      </c>
      <c r="BB113" s="432" t="str">
        <f t="shared" si="72"/>
        <v/>
      </c>
      <c r="BC113" s="432">
        <v>1</v>
      </c>
      <c r="BD113" s="432" t="str">
        <f>_xlfn.LET(_xlpm.x,BB113,IF(LEN(_xlpm.x)&lt;1,"",IF(ISNUMBER(MATCH(_xlpm.x,ls_purchased_mat,0)),'Project Inputs'!$BF$14,99)))</f>
        <v/>
      </c>
      <c r="BE113" s="484" t="str">
        <f t="shared" si="73"/>
        <v/>
      </c>
      <c r="BF113" s="484" t="str">
        <f t="shared" si="74"/>
        <v/>
      </c>
      <c r="BG113" s="484" t="str">
        <f t="shared" si="75"/>
        <v/>
      </c>
      <c r="BH113" s="484" t="str">
        <f t="shared" si="76"/>
        <v/>
      </c>
      <c r="BI113" s="484" t="str">
        <f t="shared" si="77"/>
        <v/>
      </c>
      <c r="BJ113" s="484" t="str">
        <f t="shared" si="78"/>
        <v/>
      </c>
      <c r="BK113" s="484" t="str">
        <f t="shared" si="79"/>
        <v/>
      </c>
      <c r="BL113" s="484" t="str">
        <f t="shared" si="80"/>
        <v/>
      </c>
      <c r="BM113" s="484" t="str">
        <f t="shared" si="81"/>
        <v/>
      </c>
      <c r="BN113" s="484" t="str">
        <f t="shared" si="82"/>
        <v/>
      </c>
      <c r="BO113" s="484" t="str">
        <f t="shared" si="83"/>
        <v/>
      </c>
      <c r="BP113" s="484" t="str">
        <f t="shared" si="84"/>
        <v/>
      </c>
      <c r="BQ113" s="485" t="str">
        <f t="shared" si="85"/>
        <v/>
      </c>
      <c r="BR113" s="486">
        <v>2</v>
      </c>
      <c r="BS113" s="487" cm="1">
        <f t="array" ref="BS113">IFERROR(INDEX(tblPurch_Mat[],MATCH(1,(tblPurch_Mat[Dataset ID]=BD113)*(tblPurch_Mat[Material Subcategory]=BB113),0),6),"confirm")</f>
        <v>0</v>
      </c>
      <c r="BT113" s="487" cm="1">
        <f t="array" ref="BT113">IFERROR(INDEX(tblPurch_Mat[],MATCH(1,(tblPurch_Mat[Dataset ID]=BD113)*(tblPurch_Mat[Material Subcategory]=BB113),0),7),"confirm")</f>
        <v>0</v>
      </c>
      <c r="BU113" s="487">
        <f t="shared" si="108"/>
        <v>0</v>
      </c>
      <c r="BV113" s="484" t="str">
        <f t="shared" si="87"/>
        <v/>
      </c>
      <c r="BW113" s="484" t="str">
        <f t="shared" si="88"/>
        <v/>
      </c>
      <c r="BX113" s="484" t="str">
        <f t="shared" si="89"/>
        <v/>
      </c>
      <c r="BY113" s="484" t="str">
        <f t="shared" si="90"/>
        <v/>
      </c>
      <c r="BZ113" s="484" t="str">
        <f t="shared" si="91"/>
        <v/>
      </c>
      <c r="CA113" s="484" t="str">
        <f t="shared" si="92"/>
        <v/>
      </c>
      <c r="CB113" s="484" t="str">
        <f t="shared" si="93"/>
        <v/>
      </c>
      <c r="CC113" s="484" t="str">
        <f t="shared" si="94"/>
        <v/>
      </c>
      <c r="CD113" s="484" t="str">
        <f t="shared" si="95"/>
        <v/>
      </c>
      <c r="CE113" s="484" t="str">
        <f t="shared" si="96"/>
        <v/>
      </c>
      <c r="CF113" s="484" t="str">
        <f t="shared" si="97"/>
        <v/>
      </c>
      <c r="CG113" s="484" t="str">
        <f t="shared" si="98"/>
        <v/>
      </c>
      <c r="CH113" s="485">
        <f t="shared" si="102"/>
        <v>0</v>
      </c>
      <c r="CJ113" s="3"/>
      <c r="CK113" s="488" t="str">
        <f t="shared" si="107"/>
        <v>_</v>
      </c>
      <c r="CL113" s="488">
        <f t="shared" si="99"/>
        <v>0</v>
      </c>
      <c r="CM113" s="488">
        <f t="shared" si="100"/>
        <v>0</v>
      </c>
      <c r="DD113" s="390">
        <f t="shared" si="103"/>
        <v>0</v>
      </c>
      <c r="DE113" s="31">
        <f t="shared" si="104"/>
        <v>14</v>
      </c>
      <c r="DF113" s="31">
        <f t="shared" si="105"/>
        <v>0</v>
      </c>
      <c r="DG113" s="31">
        <f t="shared" si="106"/>
        <v>0</v>
      </c>
    </row>
    <row r="114" spans="1:111" hidden="1" outlineLevel="1">
      <c r="A114" s="22"/>
      <c r="B114" s="272"/>
      <c r="C114" s="491"/>
      <c r="D114" s="492"/>
      <c r="E114" s="492"/>
      <c r="F114" s="492"/>
      <c r="G114" s="492"/>
      <c r="H114" s="492"/>
      <c r="I114" s="492"/>
      <c r="J114" s="492"/>
      <c r="K114" s="492"/>
      <c r="L114" s="492"/>
      <c r="M114" s="492"/>
      <c r="N114" s="492"/>
      <c r="O114" s="492"/>
      <c r="P114" s="469">
        <f t="shared" si="101"/>
        <v>0</v>
      </c>
      <c r="Q114" s="476">
        <f>IF(P114=0,0,(_xlfn.XLOOKUP(C114,Factors!$V$17:$V$72,Factors!$Z$17:$Z$72)*'Purchased Materials'!P114))</f>
        <v>0</v>
      </c>
      <c r="BA114" s="432" t="str">
        <f t="shared" si="71"/>
        <v/>
      </c>
      <c r="BB114" s="432" t="str">
        <f t="shared" si="72"/>
        <v/>
      </c>
      <c r="BC114" s="432">
        <v>1</v>
      </c>
      <c r="BD114" s="432" t="str">
        <f>_xlfn.LET(_xlpm.x,BB114,IF(LEN(_xlpm.x)&lt;1,"",IF(ISNUMBER(MATCH(_xlpm.x,ls_purchased_mat,0)),'Project Inputs'!$BF$14,99)))</f>
        <v/>
      </c>
      <c r="BE114" s="484" t="str">
        <f t="shared" si="73"/>
        <v/>
      </c>
      <c r="BF114" s="484" t="str">
        <f t="shared" si="74"/>
        <v/>
      </c>
      <c r="BG114" s="484" t="str">
        <f t="shared" si="75"/>
        <v/>
      </c>
      <c r="BH114" s="484" t="str">
        <f t="shared" si="76"/>
        <v/>
      </c>
      <c r="BI114" s="484" t="str">
        <f t="shared" si="77"/>
        <v/>
      </c>
      <c r="BJ114" s="484" t="str">
        <f t="shared" si="78"/>
        <v/>
      </c>
      <c r="BK114" s="484" t="str">
        <f t="shared" si="79"/>
        <v/>
      </c>
      <c r="BL114" s="484" t="str">
        <f t="shared" si="80"/>
        <v/>
      </c>
      <c r="BM114" s="484" t="str">
        <f t="shared" si="81"/>
        <v/>
      </c>
      <c r="BN114" s="484" t="str">
        <f t="shared" si="82"/>
        <v/>
      </c>
      <c r="BO114" s="484" t="str">
        <f t="shared" si="83"/>
        <v/>
      </c>
      <c r="BP114" s="484" t="str">
        <f t="shared" si="84"/>
        <v/>
      </c>
      <c r="BQ114" s="485" t="str">
        <f t="shared" si="85"/>
        <v/>
      </c>
      <c r="BR114" s="486">
        <v>2</v>
      </c>
      <c r="BS114" s="487" cm="1">
        <f t="array" ref="BS114">IFERROR(INDEX(tblPurch_Mat[],MATCH(1,(tblPurch_Mat[Dataset ID]=BD114)*(tblPurch_Mat[Material Subcategory]=BB114),0),6),"confirm")</f>
        <v>0</v>
      </c>
      <c r="BT114" s="487" cm="1">
        <f t="array" ref="BT114">IFERROR(INDEX(tblPurch_Mat[],MATCH(1,(tblPurch_Mat[Dataset ID]=BD114)*(tblPurch_Mat[Material Subcategory]=BB114),0),7),"confirm")</f>
        <v>0</v>
      </c>
      <c r="BU114" s="487">
        <f t="shared" si="108"/>
        <v>0</v>
      </c>
      <c r="BV114" s="484" t="str">
        <f t="shared" si="87"/>
        <v/>
      </c>
      <c r="BW114" s="484" t="str">
        <f t="shared" si="88"/>
        <v/>
      </c>
      <c r="BX114" s="484" t="str">
        <f t="shared" si="89"/>
        <v/>
      </c>
      <c r="BY114" s="484" t="str">
        <f t="shared" si="90"/>
        <v/>
      </c>
      <c r="BZ114" s="484" t="str">
        <f t="shared" si="91"/>
        <v/>
      </c>
      <c r="CA114" s="484" t="str">
        <f t="shared" si="92"/>
        <v/>
      </c>
      <c r="CB114" s="484" t="str">
        <f t="shared" si="93"/>
        <v/>
      </c>
      <c r="CC114" s="484" t="str">
        <f t="shared" si="94"/>
        <v/>
      </c>
      <c r="CD114" s="484" t="str">
        <f t="shared" si="95"/>
        <v/>
      </c>
      <c r="CE114" s="484" t="str">
        <f t="shared" si="96"/>
        <v/>
      </c>
      <c r="CF114" s="484" t="str">
        <f t="shared" si="97"/>
        <v/>
      </c>
      <c r="CG114" s="484" t="str">
        <f t="shared" si="98"/>
        <v/>
      </c>
      <c r="CH114" s="485">
        <f t="shared" si="102"/>
        <v>0</v>
      </c>
      <c r="CJ114" s="3"/>
      <c r="CK114" s="488" t="str">
        <f t="shared" si="107"/>
        <v>_</v>
      </c>
      <c r="CL114" s="488">
        <f t="shared" si="99"/>
        <v>0</v>
      </c>
      <c r="CM114" s="488">
        <f t="shared" si="100"/>
        <v>0</v>
      </c>
      <c r="DD114" s="390">
        <f t="shared" si="103"/>
        <v>0</v>
      </c>
      <c r="DE114" s="31">
        <f t="shared" si="104"/>
        <v>14</v>
      </c>
      <c r="DF114" s="31">
        <f t="shared" si="105"/>
        <v>0</v>
      </c>
      <c r="DG114" s="31">
        <f t="shared" si="106"/>
        <v>0</v>
      </c>
    </row>
    <row r="115" spans="1:111" collapsed="1">
      <c r="B115" s="635" t="s">
        <v>337</v>
      </c>
      <c r="C115" s="636"/>
      <c r="D115" s="489">
        <f t="shared" ref="D115:P115" si="109">SUM(D15:D114)</f>
        <v>0</v>
      </c>
      <c r="E115" s="489">
        <f t="shared" si="109"/>
        <v>0</v>
      </c>
      <c r="F115" s="489">
        <f t="shared" si="109"/>
        <v>0</v>
      </c>
      <c r="G115" s="489">
        <f t="shared" si="109"/>
        <v>0</v>
      </c>
      <c r="H115" s="489">
        <f t="shared" si="109"/>
        <v>0</v>
      </c>
      <c r="I115" s="489">
        <f t="shared" si="109"/>
        <v>0</v>
      </c>
      <c r="J115" s="489">
        <f t="shared" si="109"/>
        <v>0</v>
      </c>
      <c r="K115" s="489">
        <f t="shared" si="109"/>
        <v>0</v>
      </c>
      <c r="L115" s="489">
        <f t="shared" si="109"/>
        <v>0</v>
      </c>
      <c r="M115" s="489">
        <f t="shared" si="109"/>
        <v>0</v>
      </c>
      <c r="N115" s="489">
        <f t="shared" si="109"/>
        <v>0</v>
      </c>
      <c r="O115" s="489">
        <f t="shared" si="109"/>
        <v>0</v>
      </c>
      <c r="P115" s="489">
        <f t="shared" si="109"/>
        <v>0</v>
      </c>
      <c r="Q115" s="490">
        <f>SUM(Q15:Q114)</f>
        <v>0</v>
      </c>
    </row>
    <row r="121" spans="1:111">
      <c r="D121" s="41"/>
    </row>
  </sheetData>
  <sheetProtection algorithmName="SHA-512" hashValue="c4HWWazTupnKeOl6pE8Dcjhd8rZoxViXHxw6XCruWP8UQ44DA/qC1aFWcZAi6Macc5pKI1+0NPZfkWNUaukndw==" saltValue="ufxad860tA2TsV08v+r9cw==" spinCount="100000" sheet="1" formatColumns="0" formatRows="0" selectLockedCells="1"/>
  <mergeCells count="5">
    <mergeCell ref="B115:C115"/>
    <mergeCell ref="BE14:BQ14"/>
    <mergeCell ref="BV14:CH14"/>
    <mergeCell ref="D14:P14"/>
    <mergeCell ref="B4:O4"/>
  </mergeCells>
  <conditionalFormatting sqref="B15:Q114">
    <cfRule type="expression" dxfId="11" priority="5" stopIfTrue="1">
      <formula>LEN(B15)&gt;0</formula>
    </cfRule>
  </conditionalFormatting>
  <dataValidations count="2">
    <dataValidation type="decimal" allowBlank="1" showInputMessage="1" showErrorMessage="1" sqref="D15:O114" xr:uid="{1CCD8DEF-DE66-4ADC-AB62-82878D88E2F7}">
      <formula1>0</formula1>
      <formula2>1E+100</formula2>
    </dataValidation>
    <dataValidation type="list" showInputMessage="1" showErrorMessage="1" sqref="C15:C114" xr:uid="{446FF712-4729-47EF-861C-AB7E29A8BCE0}">
      <formula1>ls_purchased_mat</formula1>
    </dataValidation>
  </dataValidations>
  <pageMargins left="0.7" right="0.7" top="0.75" bottom="0.75" header="0.3" footer="0.3"/>
  <pageSetup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iconSet" priority="3" id="{1503ADCD-B93A-431A-B54E-87382F376620}">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A15:A114</xm:sqref>
        </x14:conditionalFormatting>
        <x14:conditionalFormatting xmlns:xm="http://schemas.microsoft.com/office/excel/2006/main">
          <x14:cfRule type="expression" priority="2" stopIfTrue="1" id="{4D104B34-40F0-4554-BC95-5D3345168C2E}">
            <xm:f>'Project Inputs'!$F$149&lt;&gt;"Yes"</xm:f>
            <x14:dxf>
              <font>
                <strike val="0"/>
                <color theme="1" tint="0.499984740745262"/>
              </font>
              <fill>
                <patternFill patternType="solid">
                  <bgColor theme="1" tint="0.499984740745262"/>
                </patternFill>
              </fill>
              <border>
                <left/>
                <right/>
                <top/>
                <bottom/>
                <vertical/>
                <horizontal/>
              </border>
            </x14:dxf>
          </x14:cfRule>
          <xm:sqref>A11:AZ505</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B196F-4CDD-41F8-A555-8E712DBA1316}">
  <sheetPr>
    <tabColor rgb="FF0F2663"/>
  </sheetPr>
  <dimension ref="A1:DF35"/>
  <sheetViews>
    <sheetView showGridLines="0" topLeftCell="A4" zoomScaleNormal="100" workbookViewId="0">
      <selection activeCell="E15" sqref="E15"/>
    </sheetView>
  </sheetViews>
  <sheetFormatPr defaultRowHeight="14.4"/>
  <cols>
    <col min="2" max="2" width="14.5546875" customWidth="1"/>
    <col min="3" max="3" width="25.5546875" customWidth="1"/>
    <col min="4" max="4" width="17.5546875" bestFit="1" customWidth="1"/>
    <col min="5" max="5" width="19.44140625" bestFit="1" customWidth="1"/>
    <col min="6" max="6" width="18.44140625" bestFit="1" customWidth="1"/>
    <col min="7" max="8" width="19.77734375" customWidth="1"/>
    <col min="9" max="9" width="19.77734375" bestFit="1" customWidth="1"/>
    <col min="10" max="14" width="18.5546875" customWidth="1"/>
    <col min="16" max="16" width="13" customWidth="1"/>
    <col min="17" max="19" width="25.5546875" customWidth="1"/>
    <col min="50" max="51" width="9.21875" customWidth="1"/>
    <col min="52" max="56" width="18.5546875" customWidth="1"/>
    <col min="57" max="102" width="8.77734375" customWidth="1"/>
    <col min="103" max="103" width="11.77734375" customWidth="1"/>
    <col min="104" max="104" width="8.77734375" customWidth="1"/>
    <col min="105" max="105" width="70.77734375" customWidth="1"/>
    <col min="106" max="107" width="8.77734375" customWidth="1"/>
    <col min="108" max="108" width="11.77734375" customWidth="1"/>
    <col min="109" max="131" width="8.77734375" customWidth="1"/>
    <col min="16376" max="16379" width="9.44140625" bestFit="1" customWidth="1"/>
    <col min="16380" max="16384" width="9.44140625" customWidth="1"/>
  </cols>
  <sheetData>
    <row r="1" spans="1:110" ht="28.5" customHeight="1">
      <c r="A1" s="534" t="str">
        <f>_xlfn.CONCAT("Project Name: ",'Project Inputs'!$D$10)</f>
        <v xml:space="preserve">Project Name: </v>
      </c>
      <c r="B1" s="218"/>
      <c r="C1" s="218"/>
      <c r="D1" s="218"/>
      <c r="E1" s="218"/>
      <c r="F1" s="218"/>
      <c r="G1" s="218"/>
      <c r="H1" s="218"/>
      <c r="I1" s="218"/>
      <c r="J1" s="218"/>
      <c r="K1" s="218"/>
      <c r="L1" s="218"/>
      <c r="M1" s="218"/>
      <c r="N1" s="218"/>
      <c r="O1" s="218"/>
      <c r="P1" s="218"/>
      <c r="Q1" s="218"/>
      <c r="R1" s="218"/>
      <c r="S1" s="218"/>
      <c r="T1" s="218"/>
      <c r="U1" s="218"/>
      <c r="V1" s="218"/>
      <c r="W1" s="218"/>
      <c r="X1" s="218"/>
    </row>
    <row r="2" spans="1:110" ht="70.05" customHeight="1">
      <c r="A2" s="522" t="s">
        <v>338</v>
      </c>
      <c r="B2" s="218"/>
      <c r="C2" s="218"/>
      <c r="D2" s="218"/>
      <c r="E2" s="218"/>
      <c r="F2" s="218"/>
      <c r="G2" s="218"/>
      <c r="H2" s="218"/>
      <c r="I2" s="218"/>
      <c r="J2" s="218"/>
      <c r="K2" s="218"/>
      <c r="L2" s="218"/>
      <c r="M2" s="218"/>
      <c r="N2" s="218"/>
      <c r="O2" s="218"/>
      <c r="P2" s="218"/>
      <c r="Q2" s="218"/>
      <c r="R2" s="218"/>
      <c r="S2" s="218"/>
      <c r="T2" s="218"/>
      <c r="U2" s="218"/>
      <c r="V2" s="218"/>
      <c r="W2" s="218"/>
      <c r="X2" s="218"/>
      <c r="CY2" s="384" t="s">
        <v>10219</v>
      </c>
      <c r="CZ2" s="124">
        <f>COUNTIF(A2:A994,1)</f>
        <v>0</v>
      </c>
    </row>
    <row r="3" spans="1:110" ht="12.6" customHeight="1">
      <c r="A3" s="190"/>
      <c r="B3" s="190"/>
      <c r="C3" s="190"/>
      <c r="D3" s="190"/>
      <c r="E3" s="190"/>
      <c r="F3" s="190"/>
      <c r="G3" s="190"/>
      <c r="H3" s="190"/>
      <c r="I3" s="190"/>
      <c r="J3" s="190"/>
      <c r="K3" s="190"/>
      <c r="L3" s="190"/>
      <c r="M3" s="190"/>
      <c r="N3" s="190"/>
      <c r="O3" s="190"/>
      <c r="P3" s="190"/>
      <c r="Q3" s="190"/>
      <c r="R3" s="190"/>
      <c r="S3" s="190"/>
      <c r="T3" s="190"/>
      <c r="U3" s="190"/>
      <c r="V3" s="190"/>
      <c r="W3" s="190"/>
      <c r="X3" s="190"/>
    </row>
    <row r="4" spans="1:110" ht="141" customHeight="1">
      <c r="B4" s="644" t="s">
        <v>10332</v>
      </c>
      <c r="C4" s="645"/>
      <c r="D4" s="645"/>
      <c r="E4" s="645"/>
      <c r="F4" s="645"/>
      <c r="G4" s="645"/>
      <c r="H4" s="645"/>
      <c r="I4" s="645"/>
      <c r="J4" s="645"/>
      <c r="K4" s="645"/>
      <c r="L4" s="645"/>
      <c r="M4" s="646"/>
      <c r="Q4" s="40"/>
    </row>
    <row r="5" spans="1:110">
      <c r="B5" s="34"/>
    </row>
    <row r="6" spans="1:110" ht="31.2">
      <c r="B6" s="672" t="s">
        <v>63</v>
      </c>
      <c r="C6" s="673" t="s">
        <v>10287</v>
      </c>
    </row>
    <row r="7" spans="1:110" ht="57.6">
      <c r="B7" s="674" t="str">
        <f>_xlfn.CONCAT('Project Inputs'!B54,": ",'Project Inputs'!C54)</f>
        <v>MAc4: Analyze and Execute Waste Audit Findings</v>
      </c>
      <c r="C7" s="675" t="str">
        <f>_xlfn.LET(_xlpm.x,'Project Inputs'!F54,IF(ISBLANK(_xlpm.x),"n/a",_xlpm.x))</f>
        <v>n/a</v>
      </c>
    </row>
    <row r="8" spans="1:110">
      <c r="B8" s="34"/>
    </row>
    <row r="9" spans="1:110" ht="15" thickBot="1">
      <c r="B9" s="34"/>
    </row>
    <row r="10" spans="1:110" ht="25.8">
      <c r="A10" s="187" t="s">
        <v>6</v>
      </c>
      <c r="B10" s="30"/>
      <c r="C10" s="30"/>
      <c r="D10" s="30"/>
      <c r="E10" s="30"/>
      <c r="F10" s="30"/>
      <c r="G10" s="30"/>
      <c r="H10" s="30"/>
      <c r="I10" s="30"/>
      <c r="J10" s="30"/>
      <c r="K10" s="30"/>
      <c r="L10" s="30"/>
      <c r="M10" s="30"/>
      <c r="N10" s="30"/>
      <c r="O10" s="30"/>
      <c r="P10" s="30"/>
      <c r="Q10" s="30"/>
      <c r="R10" s="30"/>
      <c r="S10" s="30"/>
      <c r="T10" s="30"/>
      <c r="U10" s="30"/>
      <c r="V10" s="30"/>
      <c r="W10" s="30"/>
      <c r="X10" s="30"/>
    </row>
    <row r="12" spans="1:110">
      <c r="B12" s="112" t="s">
        <v>339</v>
      </c>
      <c r="E12" s="116"/>
      <c r="F12" s="116"/>
      <c r="G12" s="116"/>
      <c r="H12" s="116"/>
    </row>
    <row r="13" spans="1:110" ht="43.2">
      <c r="B13" s="670" t="s">
        <v>340</v>
      </c>
      <c r="C13" s="670" t="s">
        <v>10327</v>
      </c>
      <c r="D13" s="670" t="s">
        <v>10328</v>
      </c>
      <c r="E13" s="670" t="s">
        <v>10189</v>
      </c>
      <c r="F13" s="670" t="s">
        <v>341</v>
      </c>
      <c r="G13" s="670" t="s">
        <v>342</v>
      </c>
      <c r="H13" s="670" t="s">
        <v>10192</v>
      </c>
      <c r="I13" s="671" t="s">
        <v>10330</v>
      </c>
      <c r="J13" s="671" t="s">
        <v>10329</v>
      </c>
      <c r="BB13" s="106" t="s">
        <v>316</v>
      </c>
      <c r="BC13" s="106" t="s">
        <v>10190</v>
      </c>
      <c r="BD13" s="106" t="s">
        <v>345</v>
      </c>
      <c r="DC13" s="31"/>
      <c r="DD13" s="31"/>
      <c r="DE13" s="31"/>
      <c r="DF13" s="31"/>
    </row>
    <row r="14" spans="1:110">
      <c r="A14" s="22"/>
      <c r="B14" s="668">
        <v>1</v>
      </c>
      <c r="C14" s="663"/>
      <c r="D14" s="664"/>
      <c r="E14" s="493"/>
      <c r="F14" s="665" t="str">
        <f>IFERROR(INDEX('Diversion and Disposal'!$F$13:$G$33,MATCH(E14,_xlfn.CHOOSECOLS('Diversion and Disposal'!$F$13:$G$33,1),0),2),"_")</f>
        <v>_</v>
      </c>
      <c r="G14" s="493"/>
      <c r="H14" s="666" t="str">
        <f>IFERROR(INDEX('Diversion and Disposal'!$F$13:$T$33,MATCH(E14,_xlfn.CHOOSECOLS('Diversion and Disposal'!$F$13:$T$33,1),0),15),"_")</f>
        <v>_</v>
      </c>
      <c r="I14" s="494"/>
      <c r="J14" s="666" t="str">
        <f>IFERROR(I14*H14,"_")</f>
        <v>_</v>
      </c>
      <c r="BB14" s="3" t="str">
        <f>_xlfn.LET(_xlpm.x,E14,IF(LEN(_xlpm.x)&lt;1,"",IF(ISNUMBER(MATCH(_xlpm.x,ls_Mat_def,0)),'Project Inputs'!$BF$14,99)))</f>
        <v/>
      </c>
      <c r="BC14" s="3" t="str" cm="1">
        <f t="array" ref="BC14">IFERROR(INDEX(tblGWP[],MATCH(1,(tblGWP[Dataset ID]=BB14)*(tblGWP[Material Subcategory]=E14),0),MATCH(F14,ls_WHM,0)+5),"confirm")</f>
        <v>confirm</v>
      </c>
      <c r="BD14" s="3" t="str" cm="1">
        <f t="array" ref="BD14">IFERROR(INDEX(tblGWP[],MATCH(1,(tblGWP[Dataset ID]=BB14)*(tblGWP[Material Subcategory]=E14),0),MATCH(G14,ls_WHM,0)+5),"confirm")</f>
        <v>confirm</v>
      </c>
      <c r="DC14" s="390"/>
      <c r="DD14" s="31"/>
      <c r="DE14" s="31"/>
      <c r="DF14" s="31"/>
    </row>
    <row r="15" spans="1:110">
      <c r="A15" s="22"/>
      <c r="B15" s="668">
        <v>2</v>
      </c>
      <c r="C15" s="663"/>
      <c r="D15" s="664"/>
      <c r="E15" s="493"/>
      <c r="F15" s="665" t="str">
        <f>IFERROR(INDEX('Diversion and Disposal'!$F$13:$G$33,MATCH(E15,_xlfn.CHOOSECOLS('Diversion and Disposal'!$F$13:$G$33,1),0),2),"_")</f>
        <v>_</v>
      </c>
      <c r="G15" s="493"/>
      <c r="H15" s="666" t="str">
        <f>IFERROR(INDEX('Diversion and Disposal'!$F$13:$T$33,MATCH(E15,_xlfn.CHOOSECOLS('Diversion and Disposal'!$F$13:$T$33,1),0),15),"_")</f>
        <v>_</v>
      </c>
      <c r="I15" s="494"/>
      <c r="J15" s="666" t="str">
        <f>IFERROR(I15*H15,"_")</f>
        <v>_</v>
      </c>
      <c r="BB15" s="3" t="str">
        <f>_xlfn.LET(_xlpm.x,E15,IF(LEN(_xlpm.x)&lt;1,"",IF(ISNUMBER(MATCH(_xlpm.x,ls_Mat_def,0)),'Project Inputs'!$BF$14,99)))</f>
        <v/>
      </c>
      <c r="BC15" s="3" t="str" cm="1">
        <f t="array" ref="BC15">IFERROR(INDEX(tblGWP[],MATCH(1,(tblGWP[Dataset ID]=BB15)*(tblGWP[Material Subcategory]=E15),0),MATCH(F15,ls_WHM,0)+5),"confirm")</f>
        <v>confirm</v>
      </c>
      <c r="BD15" s="3" t="str" cm="1">
        <f t="array" ref="BD15">IFERROR(INDEX(tblGWP[],MATCH(1,(tblGWP[Dataset ID]=BB15)*(tblGWP[Material Subcategory]=E15),0),MATCH(G15,ls_WHM,0)+5),"confirm")</f>
        <v>confirm</v>
      </c>
      <c r="DC15" s="390"/>
      <c r="DD15" s="31"/>
      <c r="DE15" s="31"/>
      <c r="DF15" s="31"/>
    </row>
    <row r="16" spans="1:110">
      <c r="A16" s="22"/>
      <c r="B16" s="668">
        <v>3</v>
      </c>
      <c r="C16" s="663"/>
      <c r="D16" s="664"/>
      <c r="E16" s="493"/>
      <c r="F16" s="665" t="str">
        <f>IFERROR(INDEX('Diversion and Disposal'!$F$13:$G$33,MATCH(E16,_xlfn.CHOOSECOLS('Diversion and Disposal'!$F$13:$G$33,1),0),2),"_")</f>
        <v>_</v>
      </c>
      <c r="G16" s="493"/>
      <c r="H16" s="666" t="str">
        <f>IFERROR(INDEX('Diversion and Disposal'!$F$13:$T$33,MATCH(E16,_xlfn.CHOOSECOLS('Diversion and Disposal'!$F$13:$T$33,1),0),15),"_")</f>
        <v>_</v>
      </c>
      <c r="I16" s="494"/>
      <c r="J16" s="666" t="str">
        <f>IFERROR(I16*H16,"_")</f>
        <v>_</v>
      </c>
      <c r="BB16" s="3" t="str">
        <f>_xlfn.LET(_xlpm.x,E16,IF(LEN(_xlpm.x)&lt;1,"",IF(ISNUMBER(MATCH(_xlpm.x,ls_Mat_def,0)),'Project Inputs'!$BF$14,99)))</f>
        <v/>
      </c>
      <c r="BC16" s="3" t="str" cm="1">
        <f t="array" ref="BC16">IFERROR(INDEX(tblGWP[],MATCH(1,(tblGWP[Dataset ID]=BB16)*(tblGWP[Material Subcategory]=E16),0),MATCH(F16,ls_WHM,0)+5),"confirm")</f>
        <v>confirm</v>
      </c>
      <c r="BD16" s="3" t="str" cm="1">
        <f t="array" ref="BD16">IFERROR(INDEX(tblGWP[],MATCH(1,(tblGWP[Dataset ID]=BB16)*(tblGWP[Material Subcategory]=E16),0),MATCH(G16,ls_WHM,0)+5),"confirm")</f>
        <v>confirm</v>
      </c>
      <c r="DC16" s="390"/>
      <c r="DD16" s="31"/>
      <c r="DE16" s="31"/>
      <c r="DF16" s="31"/>
    </row>
    <row r="17" spans="1:110">
      <c r="A17" s="22"/>
      <c r="B17" s="668">
        <v>4</v>
      </c>
      <c r="C17" s="663"/>
      <c r="D17" s="664"/>
      <c r="E17" s="493"/>
      <c r="F17" s="665" t="str">
        <f>IFERROR(INDEX('Diversion and Disposal'!$F$13:$G$33,MATCH(E17,_xlfn.CHOOSECOLS('Diversion and Disposal'!$F$13:$G$33,1),0),2),"_")</f>
        <v>_</v>
      </c>
      <c r="G17" s="493"/>
      <c r="H17" s="666" t="str">
        <f>IFERROR(INDEX('Diversion and Disposal'!$F$13:$T$33,MATCH(E17,_xlfn.CHOOSECOLS('Diversion and Disposal'!$F$13:$T$33,1),0),15),"_")</f>
        <v>_</v>
      </c>
      <c r="I17" s="494"/>
      <c r="J17" s="666" t="str">
        <f>IFERROR(I17*H17,"_")</f>
        <v>_</v>
      </c>
      <c r="BB17" s="3" t="str">
        <f>_xlfn.LET(_xlpm.x,E17,IF(LEN(_xlpm.x)&lt;1,"",IF(ISNUMBER(MATCH(_xlpm.x,ls_Mat_def,0)),'Project Inputs'!$BF$14,99)))</f>
        <v/>
      </c>
      <c r="BC17" s="3" t="str" cm="1">
        <f t="array" ref="BC17">IFERROR(INDEX(tblGWP[],MATCH(1,(tblGWP[Dataset ID]=BB17)*(tblGWP[Material Subcategory]=E17),0),MATCH(F17,ls_WHM,0)+5),"confirm")</f>
        <v>confirm</v>
      </c>
      <c r="BD17" s="3" t="str" cm="1">
        <f t="array" ref="BD17">IFERROR(INDEX(tblGWP[],MATCH(1,(tblGWP[Dataset ID]=BB17)*(tblGWP[Material Subcategory]=E17),0),MATCH(G17,ls_WHM,0)+5),"confirm")</f>
        <v>confirm</v>
      </c>
      <c r="DC17" s="390"/>
      <c r="DD17" s="31"/>
      <c r="DE17" s="31"/>
      <c r="DF17" s="31"/>
    </row>
    <row r="18" spans="1:110">
      <c r="A18" s="22"/>
      <c r="B18" s="668">
        <v>5</v>
      </c>
      <c r="C18" s="663"/>
      <c r="D18" s="664"/>
      <c r="E18" s="493"/>
      <c r="F18" s="665" t="str">
        <f>IFERROR(INDEX('Diversion and Disposal'!$F$13:$G$33,MATCH(E18,_xlfn.CHOOSECOLS('Diversion and Disposal'!$F$13:$G$33,1),0),2),"_")</f>
        <v>_</v>
      </c>
      <c r="G18" s="493"/>
      <c r="H18" s="666" t="str">
        <f>IFERROR(INDEX('Diversion and Disposal'!$F$13:$T$33,MATCH(E18,_xlfn.CHOOSECOLS('Diversion and Disposal'!$F$13:$T$33,1),0),15),"_")</f>
        <v>_</v>
      </c>
      <c r="I18" s="494"/>
      <c r="J18" s="666" t="str">
        <f>IFERROR(I18*H18,"_")</f>
        <v>_</v>
      </c>
      <c r="BB18" s="3" t="str">
        <f>_xlfn.LET(_xlpm.x,E18,IF(LEN(_xlpm.x)&lt;1,"",IF(ISNUMBER(MATCH(_xlpm.x,ls_Mat_def,0)),'Project Inputs'!$BF$14,99)))</f>
        <v/>
      </c>
      <c r="BC18" s="3" t="str" cm="1">
        <f t="array" ref="BC18">IFERROR(INDEX(tblGWP[],MATCH(1,(tblGWP[Dataset ID]=BB18)*(tblGWP[Material Subcategory]=E18),0),MATCH(F18,ls_WHM,0)+5),"confirm")</f>
        <v>confirm</v>
      </c>
      <c r="BD18" s="3" t="str" cm="1">
        <f t="array" ref="BD18">IFERROR(INDEX(tblGWP[],MATCH(1,(tblGWP[Dataset ID]=BB18)*(tblGWP[Material Subcategory]=E18),0),MATCH(G18,ls_WHM,0)+5),"confirm")</f>
        <v>confirm</v>
      </c>
      <c r="DC18" s="390"/>
      <c r="DD18" s="31"/>
      <c r="DE18" s="31"/>
      <c r="DF18" s="31"/>
    </row>
    <row r="19" spans="1:110">
      <c r="B19" s="35"/>
      <c r="E19" s="116"/>
      <c r="F19" s="116"/>
      <c r="G19" s="116"/>
      <c r="H19" s="116"/>
    </row>
    <row r="20" spans="1:110">
      <c r="B20" s="112" t="s">
        <v>10333</v>
      </c>
      <c r="E20" s="116"/>
      <c r="F20" s="116"/>
      <c r="G20" s="116"/>
      <c r="H20" s="116"/>
    </row>
    <row r="21" spans="1:110" ht="28.8">
      <c r="B21" s="670" t="s">
        <v>340</v>
      </c>
      <c r="C21" s="670" t="s">
        <v>343</v>
      </c>
      <c r="D21" s="670" t="s">
        <v>344</v>
      </c>
      <c r="E21" s="670" t="s">
        <v>10191</v>
      </c>
      <c r="F21" s="116"/>
      <c r="G21" s="116"/>
      <c r="H21" s="116"/>
    </row>
    <row r="22" spans="1:110">
      <c r="B22" s="668">
        <v>1</v>
      </c>
      <c r="C22" s="667">
        <f>IFERROR(H14*BC14,0)</f>
        <v>0</v>
      </c>
      <c r="D22" s="667">
        <f>IFERROR(((H14-J14)*BC14)+(J14*BD14),0)</f>
        <v>0</v>
      </c>
      <c r="E22" s="666">
        <f>D22-C22</f>
        <v>0</v>
      </c>
      <c r="F22" s="116"/>
      <c r="G22" s="116"/>
      <c r="H22" s="116"/>
    </row>
    <row r="23" spans="1:110">
      <c r="B23" s="668">
        <v>2</v>
      </c>
      <c r="C23" s="667">
        <f>IFERROR(H15*BC15,0)</f>
        <v>0</v>
      </c>
      <c r="D23" s="667">
        <f>IFERROR(J15*BD15,0)</f>
        <v>0</v>
      </c>
      <c r="E23" s="666">
        <f t="shared" ref="E23:E26" si="0">D23-C23</f>
        <v>0</v>
      </c>
      <c r="F23" s="116"/>
      <c r="G23" s="116"/>
      <c r="H23" s="116"/>
    </row>
    <row r="24" spans="1:110">
      <c r="B24" s="668">
        <v>3</v>
      </c>
      <c r="C24" s="667">
        <f>IFERROR(H16*BC16,0)</f>
        <v>0</v>
      </c>
      <c r="D24" s="667">
        <f>IFERROR(J16*BD16,0)</f>
        <v>0</v>
      </c>
      <c r="E24" s="666">
        <f t="shared" si="0"/>
        <v>0</v>
      </c>
      <c r="F24" s="116"/>
      <c r="G24" s="116"/>
      <c r="H24" s="116"/>
    </row>
    <row r="25" spans="1:110">
      <c r="B25" s="668">
        <v>4</v>
      </c>
      <c r="C25" s="667">
        <f>IFERROR(H17*BC17,0)</f>
        <v>0</v>
      </c>
      <c r="D25" s="667">
        <f>IFERROR(J17*BD17,0)</f>
        <v>0</v>
      </c>
      <c r="E25" s="666">
        <f t="shared" si="0"/>
        <v>0</v>
      </c>
      <c r="F25" s="116"/>
      <c r="G25" s="116"/>
      <c r="H25" s="116"/>
    </row>
    <row r="26" spans="1:110">
      <c r="B26" s="668">
        <v>5</v>
      </c>
      <c r="C26" s="667">
        <f>IFERROR(H18*BC18,0)</f>
        <v>0</v>
      </c>
      <c r="D26" s="667">
        <f>IFERROR(J18*BD18,0)</f>
        <v>0</v>
      </c>
      <c r="E26" s="666">
        <f t="shared" si="0"/>
        <v>0</v>
      </c>
      <c r="F26" s="116"/>
      <c r="G26" s="116"/>
      <c r="H26" s="116"/>
    </row>
    <row r="27" spans="1:110">
      <c r="B27" s="35"/>
      <c r="E27" s="116"/>
      <c r="F27" s="116"/>
      <c r="G27" s="116"/>
      <c r="H27" s="116"/>
    </row>
    <row r="28" spans="1:110" ht="28.8">
      <c r="B28" s="670" t="s">
        <v>346</v>
      </c>
      <c r="D28" s="35"/>
    </row>
    <row r="29" spans="1:110">
      <c r="B29" s="665">
        <f>COUNTIF(J14:J18,"&lt;"&amp;0)</f>
        <v>0</v>
      </c>
    </row>
    <row r="30" spans="1:110">
      <c r="B30" s="22"/>
    </row>
    <row r="31" spans="1:110" ht="43.2">
      <c r="B31" s="670" t="s">
        <v>10331</v>
      </c>
    </row>
    <row r="32" spans="1:110">
      <c r="B32" s="669">
        <f>SUM(J14:J18)</f>
        <v>0</v>
      </c>
    </row>
    <row r="34" spans="2:2" ht="28.8">
      <c r="B34" s="670" t="s">
        <v>10334</v>
      </c>
    </row>
    <row r="35" spans="2:2">
      <c r="B35" s="379">
        <f>SUM(E22:E26)</f>
        <v>0</v>
      </c>
    </row>
  </sheetData>
  <sheetProtection algorithmName="SHA-512" hashValue="DL9rCWfZv0SeyfU9C9HoHlBus71q8JKS2wS6aNI3jKhSl6uZXS44G8fr2PkoC3TZGAcx46jEysiuTWpjU3EyKw==" saltValue="KLsAXam3xZwR6s1PcoP2jw==" spinCount="100000" sheet="1" selectLockedCells="1"/>
  <mergeCells count="1">
    <mergeCell ref="B4:M4"/>
  </mergeCells>
  <conditionalFormatting sqref="B32">
    <cfRule type="cellIs" dxfId="9" priority="4" operator="lessThan">
      <formula>0</formula>
    </cfRule>
    <cfRule type="cellIs" dxfId="8" priority="5" operator="greaterThan">
      <formula>0</formula>
    </cfRule>
  </conditionalFormatting>
  <conditionalFormatting sqref="B35">
    <cfRule type="cellIs" dxfId="7" priority="15" operator="greaterThan">
      <formula>0</formula>
    </cfRule>
    <cfRule type="cellIs" dxfId="6" priority="16" operator="lessThan">
      <formula>0</formula>
    </cfRule>
  </conditionalFormatting>
  <conditionalFormatting sqref="E14:E18">
    <cfRule type="expression" dxfId="5" priority="20" stopIfTrue="1">
      <formula>LEN(E14)&gt;0</formula>
    </cfRule>
  </conditionalFormatting>
  <conditionalFormatting sqref="G14:G18">
    <cfRule type="expression" dxfId="4" priority="19" stopIfTrue="1">
      <formula>LEN(G14)&gt;0</formula>
    </cfRule>
  </conditionalFormatting>
  <conditionalFormatting sqref="I14:I18">
    <cfRule type="notContainsBlanks" dxfId="3" priority="17">
      <formula>LEN(TRIM(I14))&gt;0</formula>
    </cfRule>
  </conditionalFormatting>
  <dataValidations count="3">
    <dataValidation type="decimal" allowBlank="1" showInputMessage="1" showErrorMessage="1" sqref="I14:I18" xr:uid="{58243629-F843-4FEF-AF61-4A3D7A6F7971}">
      <formula1>0</formula1>
      <formula2>1</formula2>
    </dataValidation>
    <dataValidation type="list" allowBlank="1" showInputMessage="1" showErrorMessage="1" sqref="G14:G18" xr:uid="{6D77856D-2802-4FD5-87E1-CD3F95A0127D}">
      <formula1>INDIRECT(INDEX(ls_WHM_options,MATCH(E14,ls_Mat,0)))</formula1>
    </dataValidation>
    <dataValidation type="list" allowBlank="1" showInputMessage="1" showErrorMessage="1" sqref="D14:D18" xr:uid="{B3B2111F-6A5B-4E34-A0DF-CB4071531C62}">
      <formula1>"Waste Audit, Zero Waste Audit"</formula1>
    </dataValidation>
  </dataValidations>
  <pageMargins left="0.7" right="0.7" top="0.75" bottom="0.75" header="0.3" footer="0.3"/>
  <pageSetup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iconSet" priority="959" id="{F7ECB82F-7CEF-4A6F-BFDF-5ACDCC9CA9CE}">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A14:A18</xm:sqref>
        </x14:conditionalFormatting>
        <x14:conditionalFormatting xmlns:xm="http://schemas.microsoft.com/office/excel/2006/main">
          <x14:cfRule type="iconSet" priority="960" id="{B24ED904-D98F-44C7-9CBD-77A4613DAB2F}">
            <x14:iconSet iconSet="3Symbols2" showValue="0" custom="1">
              <x14:cfvo type="percent">
                <xm:f>0</xm:f>
              </x14:cfvo>
              <x14:cfvo type="num" gte="0">
                <xm:f>0</xm:f>
              </x14:cfvo>
              <x14:cfvo type="num">
                <xm:f>1</xm:f>
              </x14:cfvo>
              <x14:cfIcon iconSet="3Symbols2" iconId="2"/>
              <x14:cfIcon iconSet="NoIcons" iconId="0"/>
              <x14:cfIcon iconSet="3Symbols2" iconId="0"/>
            </x14:iconSet>
          </x14:cfRule>
          <xm:sqref>A15:A18</xm:sqref>
        </x14:conditionalFormatting>
        <x14:conditionalFormatting xmlns:xm="http://schemas.microsoft.com/office/excel/2006/main">
          <x14:cfRule type="expression" priority="6" stopIfTrue="1" id="{F9D6E2BA-5ACB-463B-BA7A-600878D39014}">
            <xm:f>'Project Inputs'!$F$54&lt;&gt;"Yes"</xm:f>
            <x14:dxf>
              <font>
                <strike val="0"/>
                <color theme="1" tint="0.499984740745262"/>
              </font>
              <fill>
                <patternFill>
                  <bgColor theme="1" tint="0.499984740745262"/>
                </patternFill>
              </fill>
              <border>
                <left/>
                <right/>
                <top/>
                <bottom/>
                <vertical/>
                <horizontal/>
              </border>
            </x14:dxf>
          </x14:cfRule>
          <xm:sqref>A11:AZ494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474DE435-CF34-4650-A9BA-864F9B5894F3}">
          <x14:formula1>
            <xm:f>'Diversion and Disposal'!$F$14:$F$33</xm:f>
          </x14:formula1>
          <xm:sqref>E14:E18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08E44-AD84-4540-8FF4-37B7706C5A58}">
  <sheetPr>
    <tabColor rgb="FF2F8DA6"/>
  </sheetPr>
  <dimension ref="A1:X16"/>
  <sheetViews>
    <sheetView showGridLines="0" workbookViewId="0"/>
  </sheetViews>
  <sheetFormatPr defaultRowHeight="14.4"/>
  <cols>
    <col min="3" max="3" width="21.77734375" bestFit="1" customWidth="1"/>
    <col min="4" max="4" width="9.77734375" customWidth="1"/>
  </cols>
  <sheetData>
    <row r="1" spans="1:24" ht="45" customHeight="1">
      <c r="A1" s="534" t="str">
        <f>_xlfn.CONCAT("Project Name: ",'Project Inputs'!$D$10)</f>
        <v xml:space="preserve">Project Name: </v>
      </c>
      <c r="B1" s="218"/>
      <c r="C1" s="218"/>
      <c r="D1" s="218"/>
      <c r="E1" s="218"/>
      <c r="F1" s="218"/>
      <c r="G1" s="218"/>
      <c r="H1" s="218"/>
      <c r="I1" s="218"/>
      <c r="J1" s="218"/>
      <c r="K1" s="218"/>
      <c r="L1" s="218"/>
      <c r="M1" s="218"/>
      <c r="N1" s="218"/>
      <c r="O1" s="218"/>
      <c r="P1" s="218"/>
      <c r="Q1" s="218"/>
      <c r="R1" s="218"/>
      <c r="S1" s="218"/>
      <c r="T1" s="218"/>
      <c r="U1" s="218"/>
      <c r="V1" s="218"/>
      <c r="W1" s="218"/>
      <c r="X1" s="218"/>
    </row>
    <row r="2" spans="1:24" ht="41.4" customHeight="1">
      <c r="A2" s="522" t="s">
        <v>10233</v>
      </c>
      <c r="B2" s="218"/>
      <c r="C2" s="218"/>
      <c r="D2" s="218"/>
      <c r="E2" s="218"/>
      <c r="F2" s="218"/>
      <c r="G2" s="218"/>
      <c r="H2" s="218"/>
      <c r="I2" s="218"/>
      <c r="J2" s="218"/>
      <c r="K2" s="218"/>
      <c r="L2" s="218"/>
      <c r="M2" s="218"/>
      <c r="N2" s="218"/>
      <c r="O2" s="218"/>
      <c r="P2" s="218"/>
      <c r="Q2" s="218"/>
      <c r="R2" s="218"/>
      <c r="S2" s="218"/>
      <c r="T2" s="218"/>
      <c r="U2" s="218"/>
      <c r="V2" s="218"/>
      <c r="W2" s="218"/>
      <c r="X2" s="218"/>
    </row>
    <row r="4" spans="1:24">
      <c r="B4" s="391"/>
      <c r="C4" s="254"/>
      <c r="D4" s="254"/>
      <c r="E4" s="392"/>
    </row>
    <row r="5" spans="1:24">
      <c r="B5" s="393"/>
      <c r="C5" s="397" t="s">
        <v>10236</v>
      </c>
      <c r="D5" s="398">
        <f ca="1">SUM(D8:D15)</f>
        <v>0</v>
      </c>
      <c r="E5" s="394"/>
    </row>
    <row r="6" spans="1:24">
      <c r="B6" s="393"/>
      <c r="E6" s="394"/>
    </row>
    <row r="7" spans="1:24" ht="31.2">
      <c r="B7" s="393"/>
      <c r="C7" s="270" t="s">
        <v>10234</v>
      </c>
      <c r="D7" s="271" t="s">
        <v>10235</v>
      </c>
      <c r="E7" s="394"/>
    </row>
    <row r="8" spans="1:24">
      <c r="B8" s="393"/>
      <c r="C8" s="3" t="s">
        <v>494</v>
      </c>
      <c r="D8" s="3" cm="1">
        <f t="array" aca="1" ref="D8" ca="1">INDIRECT(_xlfn.CONCAT(CHAR(39),C8,CHAR(39),CHAR(33),"DA2"))</f>
        <v>0</v>
      </c>
      <c r="E8" s="394"/>
    </row>
    <row r="9" spans="1:24">
      <c r="B9" s="393"/>
      <c r="C9" s="3" t="s">
        <v>10194</v>
      </c>
      <c r="D9" s="3" cm="1">
        <f t="array" aca="1" ref="D9" ca="1">INDIRECT(_xlfn.CONCAT(CHAR(39),C9,CHAR(39),CHAR(33),"DA2"))</f>
        <v>0</v>
      </c>
      <c r="E9" s="394"/>
    </row>
    <row r="10" spans="1:24">
      <c r="B10" s="393"/>
      <c r="C10" s="3" t="s">
        <v>10196</v>
      </c>
      <c r="D10" s="3" cm="1">
        <f t="array" aca="1" ref="D10" ca="1">INDIRECT(_xlfn.CONCAT(CHAR(39),C10,CHAR(39),CHAR(33),"DA2"))</f>
        <v>0</v>
      </c>
      <c r="E10" s="394"/>
    </row>
    <row r="11" spans="1:24">
      <c r="B11" s="393"/>
      <c r="C11" s="3" t="s">
        <v>10203</v>
      </c>
      <c r="D11" s="3" cm="1">
        <f t="array" aca="1" ref="D11" ca="1">INDIRECT(_xlfn.CONCAT(CHAR(39),C11,CHAR(39),CHAR(33),"DA2"))</f>
        <v>0</v>
      </c>
      <c r="E11" s="394"/>
    </row>
    <row r="12" spans="1:24">
      <c r="B12" s="393"/>
      <c r="C12" s="3" t="s">
        <v>10186</v>
      </c>
      <c r="D12" s="3" cm="1">
        <f t="array" aca="1" ref="D12" ca="1">INDIRECT(_xlfn.CONCAT(CHAR(39),C12,CHAR(39),CHAR(33),"DA2"))</f>
        <v>0</v>
      </c>
      <c r="E12" s="394"/>
    </row>
    <row r="13" spans="1:24">
      <c r="B13" s="393"/>
      <c r="C13" s="3" t="s">
        <v>4</v>
      </c>
      <c r="D13" s="3" cm="1">
        <f t="array" aca="1" ref="D13" ca="1">INDIRECT(_xlfn.CONCAT(CHAR(39),C13,CHAR(39),CHAR(33),"DA2"))</f>
        <v>0</v>
      </c>
      <c r="E13" s="394"/>
    </row>
    <row r="14" spans="1:24">
      <c r="B14" s="393"/>
      <c r="C14" s="3" t="s">
        <v>5</v>
      </c>
      <c r="D14" s="3" cm="1">
        <f t="array" aca="1" ref="D14" ca="1">INDIRECT(_xlfn.CONCAT(CHAR(39),C14,CHAR(39),CHAR(33),"DA2"))</f>
        <v>0</v>
      </c>
      <c r="E14" s="394"/>
    </row>
    <row r="15" spans="1:24">
      <c r="B15" s="393"/>
      <c r="C15" s="3" t="s">
        <v>6</v>
      </c>
      <c r="D15" s="3" cm="1">
        <f t="array" aca="1" ref="D15" ca="1">INDIRECT(_xlfn.CONCAT(CHAR(39),C15,CHAR(39),CHAR(33),"DA2"))</f>
        <v>0</v>
      </c>
      <c r="E15" s="394"/>
    </row>
    <row r="16" spans="1:24">
      <c r="B16" s="395"/>
      <c r="C16" s="355"/>
      <c r="D16" s="355"/>
      <c r="E16" s="396"/>
    </row>
  </sheetData>
  <sheetProtection algorithmName="SHA-512" hashValue="JBTA88mmQJgk/YGJYsIP5zPJhejAmXwKamAZSqhUlgTOMsP5f43wWxng925Xu/rs5inWMluwiNFv2U9nmQ+yZA==" saltValue="lakFHGDVldboNvOeIiebdA==" spinCount="100000" sheet="1" selectLockedCells="1"/>
  <conditionalFormatting sqref="D5">
    <cfRule type="cellIs" dxfId="2" priority="1" operator="greaterThan">
      <formula>0</formula>
    </cfRule>
  </conditionalFormatting>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B0676-81C1-43C9-A250-EA3D03789EB2}">
  <sheetPr>
    <tabColor rgb="FF2F8DA6"/>
  </sheetPr>
  <dimension ref="A1:Z986"/>
  <sheetViews>
    <sheetView showGridLines="0" zoomScale="90" zoomScaleNormal="90" workbookViewId="0"/>
  </sheetViews>
  <sheetFormatPr defaultRowHeight="14.4" outlineLevelRow="1"/>
  <cols>
    <col min="2" max="2" width="34.77734375" customWidth="1"/>
    <col min="3" max="5" width="16.77734375" customWidth="1"/>
    <col min="6" max="6" width="31.77734375" customWidth="1"/>
    <col min="7" max="7" width="22.44140625" customWidth="1"/>
    <col min="8" max="8" width="15.77734375" customWidth="1"/>
    <col min="9" max="9" width="9.77734375" customWidth="1"/>
    <col min="10" max="11" width="16.77734375" customWidth="1"/>
    <col min="12" max="12" width="15" customWidth="1"/>
    <col min="13" max="13" width="9.21875" customWidth="1"/>
    <col min="15" max="15" width="34.77734375" customWidth="1"/>
    <col min="16" max="17" width="16.77734375" customWidth="1"/>
  </cols>
  <sheetData>
    <row r="1" spans="1:26" ht="30" customHeight="1">
      <c r="A1" s="534" t="str">
        <f>_xlfn.CONCAT("Project Name: ",'Project Inputs'!$D$10)</f>
        <v xml:space="preserve">Project Name: </v>
      </c>
      <c r="B1" s="218"/>
      <c r="C1" s="218"/>
      <c r="D1" s="218"/>
      <c r="E1" s="218"/>
      <c r="F1" s="218"/>
      <c r="G1" s="218"/>
      <c r="H1" s="218"/>
      <c r="I1" s="218"/>
      <c r="J1" s="218"/>
      <c r="K1" s="218"/>
      <c r="L1" s="218"/>
      <c r="M1" s="218"/>
      <c r="N1" s="218"/>
      <c r="O1" s="218"/>
      <c r="P1" s="218"/>
      <c r="Q1" s="218"/>
      <c r="R1" s="218"/>
      <c r="S1" s="218"/>
      <c r="T1" s="218"/>
      <c r="U1" s="218"/>
      <c r="V1" s="218"/>
      <c r="W1" s="218"/>
      <c r="X1" s="218"/>
      <c r="Y1" s="218"/>
      <c r="Z1" s="218"/>
    </row>
    <row r="2" spans="1:26" ht="60" customHeight="1">
      <c r="A2" s="522" t="s">
        <v>17</v>
      </c>
      <c r="B2" s="217"/>
      <c r="C2" s="217"/>
      <c r="D2" s="217"/>
      <c r="E2" s="217"/>
      <c r="F2" s="217"/>
      <c r="G2" s="217"/>
      <c r="H2" s="217"/>
      <c r="I2" s="217"/>
      <c r="J2" s="217"/>
      <c r="K2" s="217"/>
      <c r="L2" s="217"/>
      <c r="M2" s="217"/>
      <c r="N2" s="217"/>
      <c r="O2" s="217"/>
      <c r="P2" s="217"/>
      <c r="Q2" s="217"/>
      <c r="R2" s="217"/>
      <c r="S2" s="217"/>
      <c r="T2" s="217"/>
      <c r="U2" s="217"/>
      <c r="V2" s="217"/>
      <c r="W2" s="217"/>
      <c r="X2" s="217"/>
      <c r="Y2" s="217"/>
      <c r="Z2" s="217"/>
    </row>
    <row r="3" spans="1:26" ht="15" thickBot="1">
      <c r="A3" s="18"/>
      <c r="B3" s="19"/>
      <c r="C3" s="20"/>
      <c r="D3" s="18"/>
      <c r="E3" s="18"/>
      <c r="F3" s="18"/>
      <c r="G3" s="18"/>
      <c r="H3" s="18"/>
      <c r="I3" s="18"/>
      <c r="J3" s="18"/>
      <c r="K3" s="18"/>
      <c r="L3" s="18"/>
      <c r="M3" s="18"/>
      <c r="N3" s="18"/>
      <c r="O3" s="18"/>
      <c r="P3" s="18"/>
      <c r="Q3" s="18"/>
      <c r="R3" s="18"/>
      <c r="S3" s="18"/>
      <c r="T3" s="18"/>
      <c r="U3" s="18"/>
      <c r="V3" s="18"/>
      <c r="W3" s="18"/>
      <c r="X3" s="18"/>
      <c r="Y3" s="18"/>
      <c r="Z3" s="18"/>
    </row>
    <row r="4" spans="1:26" ht="21">
      <c r="A4" s="399" t="s">
        <v>347</v>
      </c>
      <c r="B4" s="215"/>
      <c r="C4" s="216"/>
      <c r="D4" s="214"/>
      <c r="E4" s="214"/>
      <c r="F4" s="214"/>
      <c r="G4" s="214"/>
      <c r="H4" s="214"/>
      <c r="I4" s="214"/>
      <c r="J4" s="214"/>
      <c r="K4" s="214"/>
      <c r="L4" s="214"/>
      <c r="M4" s="214"/>
      <c r="N4" s="214"/>
      <c r="O4" s="214"/>
      <c r="P4" s="214"/>
      <c r="Q4" s="214"/>
      <c r="R4" s="214"/>
      <c r="S4" s="214"/>
      <c r="T4" s="214"/>
      <c r="U4" s="214"/>
      <c r="V4" s="214"/>
      <c r="W4" s="214"/>
      <c r="X4" s="214"/>
      <c r="Y4" s="214"/>
      <c r="Z4" s="214"/>
    </row>
    <row r="6" spans="1:26" ht="15.6">
      <c r="B6" s="219" t="s">
        <v>348</v>
      </c>
    </row>
    <row r="7" spans="1:26" ht="30">
      <c r="B7" s="212" t="s">
        <v>349</v>
      </c>
      <c r="C7" s="205" t="s">
        <v>350</v>
      </c>
      <c r="D7" s="205" t="s">
        <v>351</v>
      </c>
      <c r="E7" s="205" t="s">
        <v>352</v>
      </c>
      <c r="F7" s="205" t="s">
        <v>353</v>
      </c>
      <c r="G7" s="205" t="s">
        <v>354</v>
      </c>
    </row>
    <row r="8" spans="1:26">
      <c r="B8" s="221" t="str">
        <f>_xlfn.LET(_xlpm.x,'Data output'!F106,IF(LEN(_xlpm.x)&gt;0,_xlpm.x,""))</f>
        <v>Reduce</v>
      </c>
      <c r="C8" s="63">
        <f>_xlfn.LET(_xlpm.x,'Data output'!G106,IF(LEN(_xlpm.x)&gt;0,_xlpm.x,""))</f>
        <v>0</v>
      </c>
      <c r="D8" s="63">
        <f>_xlfn.LET(_xlpm.x,'Data output'!H106,IF(LEN(_xlpm.x)&gt;0,_xlpm.x,""))</f>
        <v>0</v>
      </c>
      <c r="E8" s="560">
        <f>_xlfn.LET(_xlpm.x,'Data output'!I106,IF(LEN(_xlpm.x)&gt;0,_xlpm.x,""))</f>
        <v>0</v>
      </c>
      <c r="F8" s="180">
        <f>_xlfn.LET(_xlpm.x,'Data output'!J106,IF(LEN(_xlpm.x)&gt;0,_xlpm.x,""))</f>
        <v>0</v>
      </c>
      <c r="G8" s="180">
        <f>_xlfn.LET(_xlpm.x,'Data output'!K106,IF(LEN(_xlpm.x)&gt;0,_xlpm.x,""))</f>
        <v>0</v>
      </c>
    </row>
    <row r="9" spans="1:26">
      <c r="B9" s="221" t="str">
        <f>_xlfn.LET(_xlpm.x,'Data output'!F107,IF(LEN(_xlpm.x)&gt;0,_xlpm.x,""))</f>
        <v>Reuse</v>
      </c>
      <c r="C9" s="63">
        <f>_xlfn.LET(_xlpm.x,'Data output'!G107,IF(LEN(_xlpm.x)&gt;0,_xlpm.x,""))</f>
        <v>0</v>
      </c>
      <c r="D9" s="63">
        <f>_xlfn.LET(_xlpm.x,'Data output'!H107,IF(LEN(_xlpm.x)&gt;0,_xlpm.x,""))</f>
        <v>0</v>
      </c>
      <c r="E9" s="560">
        <f>_xlfn.LET(_xlpm.x,'Data output'!I107,IF(LEN(_xlpm.x)&gt;0,_xlpm.x,""))</f>
        <v>0</v>
      </c>
      <c r="F9" s="180">
        <f>_xlfn.LET(_xlpm.x,'Data output'!J107,IF(LEN(_xlpm.x)&gt;0,_xlpm.x,""))</f>
        <v>0</v>
      </c>
      <c r="G9" s="180">
        <f>_xlfn.LET(_xlpm.x,'Data output'!K107,IF(LEN(_xlpm.x)&gt;0,_xlpm.x,""))</f>
        <v>0</v>
      </c>
    </row>
    <row r="10" spans="1:26">
      <c r="B10" s="221" t="str">
        <f>_xlfn.LET(_xlpm.x,'Data output'!F108,IF(LEN(_xlpm.x)&gt;0,_xlpm.x,""))</f>
        <v>Recycle</v>
      </c>
      <c r="C10" s="63">
        <f>_xlfn.LET(_xlpm.x,'Data output'!G108,IF(LEN(_xlpm.x)&gt;0,_xlpm.x,""))</f>
        <v>0</v>
      </c>
      <c r="D10" s="63">
        <f>_xlfn.LET(_xlpm.x,'Data output'!H108,IF(LEN(_xlpm.x)&gt;0,_xlpm.x,""))</f>
        <v>0</v>
      </c>
      <c r="E10" s="560">
        <f>_xlfn.LET(_xlpm.x,'Data output'!I108,IF(LEN(_xlpm.x)&gt;0,_xlpm.x,""))</f>
        <v>0</v>
      </c>
      <c r="F10" s="180">
        <f>_xlfn.LET(_xlpm.x,'Data output'!J108,IF(LEN(_xlpm.x)&gt;0,_xlpm.x,""))</f>
        <v>0</v>
      </c>
      <c r="G10" s="180">
        <f>_xlfn.LET(_xlpm.x,'Data output'!K108,IF(LEN(_xlpm.x)&gt;0,_xlpm.x,""))</f>
        <v>0</v>
      </c>
    </row>
    <row r="11" spans="1:26">
      <c r="B11" s="221" t="str">
        <f>_xlfn.LET(_xlpm.x,'Data output'!F109,IF(LEN(_xlpm.x)&gt;0,_xlpm.x,""))</f>
        <v>Composting</v>
      </c>
      <c r="C11" s="63">
        <f>_xlfn.LET(_xlpm.x,'Data output'!G109,IF(LEN(_xlpm.x)&gt;0,_xlpm.x,""))</f>
        <v>0</v>
      </c>
      <c r="D11" s="63">
        <f>_xlfn.LET(_xlpm.x,'Data output'!H109,IF(LEN(_xlpm.x)&gt;0,_xlpm.x,""))</f>
        <v>0</v>
      </c>
      <c r="E11" s="560">
        <f>_xlfn.LET(_xlpm.x,'Data output'!I109,IF(LEN(_xlpm.x)&gt;0,_xlpm.x,""))</f>
        <v>0</v>
      </c>
      <c r="F11" s="180">
        <f>_xlfn.LET(_xlpm.x,'Data output'!J109,IF(LEN(_xlpm.x)&gt;0,_xlpm.x,""))</f>
        <v>0</v>
      </c>
      <c r="G11" s="180">
        <f>_xlfn.LET(_xlpm.x,'Data output'!K109,IF(LEN(_xlpm.x)&gt;0,_xlpm.x,""))</f>
        <v>0</v>
      </c>
    </row>
    <row r="12" spans="1:26">
      <c r="B12" s="221" t="str">
        <f>_xlfn.LET(_xlpm.x,'Data output'!F110,IF(LEN(_xlpm.x)&gt;0,_xlpm.x,""))</f>
        <v>Anaerobic Digestion</v>
      </c>
      <c r="C12" s="63">
        <f>_xlfn.LET(_xlpm.x,'Data output'!G110,IF(LEN(_xlpm.x)&gt;0,_xlpm.x,""))</f>
        <v>0</v>
      </c>
      <c r="D12" s="63">
        <f>_xlfn.LET(_xlpm.x,'Data output'!H110,IF(LEN(_xlpm.x)&gt;0,_xlpm.x,""))</f>
        <v>0</v>
      </c>
      <c r="E12" s="560">
        <f>_xlfn.LET(_xlpm.x,'Data output'!I110,IF(LEN(_xlpm.x)&gt;0,_xlpm.x,""))</f>
        <v>0</v>
      </c>
      <c r="F12" s="180">
        <f>_xlfn.LET(_xlpm.x,'Data output'!J110,IF(LEN(_xlpm.x)&gt;0,_xlpm.x,""))</f>
        <v>0</v>
      </c>
      <c r="G12" s="180">
        <f>_xlfn.LET(_xlpm.x,'Data output'!K110,IF(LEN(_xlpm.x)&gt;0,_xlpm.x,""))</f>
        <v>0</v>
      </c>
    </row>
    <row r="13" spans="1:26">
      <c r="B13" s="221" t="str">
        <f>_xlfn.LET(_xlpm.x,'Data output'!F111,IF(LEN(_xlpm.x)&gt;0,_xlpm.x,""))</f>
        <v>Landfill</v>
      </c>
      <c r="C13" s="63">
        <f>_xlfn.LET(_xlpm.x,'Data output'!G111,IF(LEN(_xlpm.x)&gt;0,_xlpm.x,""))</f>
        <v>0</v>
      </c>
      <c r="D13" s="63">
        <f>_xlfn.LET(_xlpm.x,'Data output'!H111,IF(LEN(_xlpm.x)&gt;0,_xlpm.x,""))</f>
        <v>0</v>
      </c>
      <c r="E13" s="560">
        <f>_xlfn.LET(_xlpm.x,'Data output'!I111,IF(LEN(_xlpm.x)&gt;0,_xlpm.x,""))</f>
        <v>0</v>
      </c>
      <c r="F13" s="180">
        <f>_xlfn.LET(_xlpm.x,'Data output'!J111,IF(LEN(_xlpm.x)&gt;0,_xlpm.x,""))</f>
        <v>0</v>
      </c>
      <c r="G13" s="180">
        <f>_xlfn.LET(_xlpm.x,'Data output'!K111,IF(LEN(_xlpm.x)&gt;0,_xlpm.x,""))</f>
        <v>0</v>
      </c>
    </row>
    <row r="14" spans="1:26">
      <c r="B14" s="221" t="str">
        <f>_xlfn.LET(_xlpm.x,'Data output'!F112,IF(LEN(_xlpm.x)&gt;0,_xlpm.x,""))</f>
        <v>Waste-to-Energy</v>
      </c>
      <c r="C14" s="63">
        <f>_xlfn.LET(_xlpm.x,'Data output'!G112,IF(LEN(_xlpm.x)&gt;0,_xlpm.x,""))</f>
        <v>0</v>
      </c>
      <c r="D14" s="63">
        <f>_xlfn.LET(_xlpm.x,'Data output'!H112,IF(LEN(_xlpm.x)&gt;0,_xlpm.x,""))</f>
        <v>0</v>
      </c>
      <c r="E14" s="560">
        <f>_xlfn.LET(_xlpm.x,'Data output'!I112,IF(LEN(_xlpm.x)&gt;0,_xlpm.x,""))</f>
        <v>0</v>
      </c>
      <c r="F14" s="180">
        <f>_xlfn.LET(_xlpm.x,'Data output'!J112,IF(LEN(_xlpm.x)&gt;0,_xlpm.x,""))</f>
        <v>0</v>
      </c>
      <c r="G14" s="180">
        <f>_xlfn.LET(_xlpm.x,'Data output'!K112,IF(LEN(_xlpm.x)&gt;0,_xlpm.x,""))</f>
        <v>0</v>
      </c>
    </row>
    <row r="15" spans="1:26">
      <c r="B15" s="221" t="str">
        <f>_xlfn.LET(_xlpm.x,'Data output'!F113,IF(LEN(_xlpm.x)&gt;0,_xlpm.x,""))</f>
        <v>Incineration</v>
      </c>
      <c r="C15" s="63">
        <f>_xlfn.LET(_xlpm.x,'Data output'!G113,IF(LEN(_xlpm.x)&gt;0,_xlpm.x,""))</f>
        <v>0</v>
      </c>
      <c r="D15" s="63">
        <f>_xlfn.LET(_xlpm.x,'Data output'!H113,IF(LEN(_xlpm.x)&gt;0,_xlpm.x,""))</f>
        <v>0</v>
      </c>
      <c r="E15" s="560">
        <f>_xlfn.LET(_xlpm.x,'Data output'!I113,IF(LEN(_xlpm.x)&gt;0,_xlpm.x,""))</f>
        <v>0</v>
      </c>
      <c r="F15" s="180">
        <f>_xlfn.LET(_xlpm.x,'Data output'!J113,IF(LEN(_xlpm.x)&gt;0,_xlpm.x,""))</f>
        <v>0</v>
      </c>
      <c r="G15" s="180">
        <f>_xlfn.LET(_xlpm.x,'Data output'!K113,IF(LEN(_xlpm.x)&gt;0,_xlpm.x,""))</f>
        <v>0</v>
      </c>
    </row>
    <row r="16" spans="1:26">
      <c r="B16" s="647"/>
      <c r="C16" s="648"/>
      <c r="D16" s="648"/>
      <c r="E16" s="648"/>
      <c r="F16" s="648"/>
      <c r="G16" s="649"/>
    </row>
    <row r="17" spans="1:7">
      <c r="B17" s="221" t="str">
        <f>_xlfn.LET(_xlpm.x,'Data output'!F115,IF(LEN(_xlpm.x)&gt;0,_xlpm.x,""))</f>
        <v>Total diversion</v>
      </c>
      <c r="C17" s="65">
        <f>_xlfn.LET(_xlpm.x,'Data output'!G115,IF(LEN(_xlpm.x)&gt;0,_xlpm.x,""))</f>
        <v>0</v>
      </c>
      <c r="D17" s="100">
        <f>_xlfn.LET(_xlpm.x,'Data output'!H115,IF(LEN(_xlpm.x)&gt;0,_xlpm.x,""))</f>
        <v>0</v>
      </c>
      <c r="E17" s="561">
        <f>_xlfn.LET(_xlpm.x,'Data output'!I115,IF(LEN(_xlpm.x)&gt;0,_xlpm.x,""))</f>
        <v>0</v>
      </c>
      <c r="F17" s="82">
        <f>_xlfn.LET(_xlpm.x,'Data output'!J115,IF(LEN(_xlpm.x)&gt;0,_xlpm.x,""))</f>
        <v>0</v>
      </c>
      <c r="G17" s="82">
        <f>_xlfn.LET(_xlpm.x,'Data output'!K115,IF(LEN(_xlpm.x)&gt;0,_xlpm.x,""))</f>
        <v>0</v>
      </c>
    </row>
    <row r="18" spans="1:7">
      <c r="B18" s="221" t="str">
        <f>_xlfn.LET(_xlpm.x,'Data output'!F116,IF(LEN(_xlpm.x)&gt;0,_xlpm.x,""))</f>
        <v>Total non-diversion</v>
      </c>
      <c r="C18" s="65">
        <f>_xlfn.LET(_xlpm.x,'Data output'!G116,IF(LEN(_xlpm.x)&gt;0,_xlpm.x,""))</f>
        <v>0</v>
      </c>
      <c r="D18" s="100">
        <f>_xlfn.LET(_xlpm.x,'Data output'!H116,IF(LEN(_xlpm.x)&gt;0,_xlpm.x,""))</f>
        <v>0</v>
      </c>
      <c r="E18" s="561">
        <f>_xlfn.LET(_xlpm.x,'Data output'!I116,IF(LEN(_xlpm.x)&gt;0,_xlpm.x,""))</f>
        <v>0</v>
      </c>
      <c r="F18" s="82">
        <f>_xlfn.LET(_xlpm.x,'Data output'!J116,IF(LEN(_xlpm.x)&gt;0,_xlpm.x,""))</f>
        <v>0</v>
      </c>
      <c r="G18" s="82">
        <f>_xlfn.LET(_xlpm.x,'Data output'!K116,IF(LEN(_xlpm.x)&gt;0,_xlpm.x,""))</f>
        <v>0</v>
      </c>
    </row>
    <row r="19" spans="1:7">
      <c r="B19" s="221" t="str">
        <f>_xlfn.LET(_xlpm.x,'Data output'!F117,IF(LEN(_xlpm.x)&gt;0,_xlpm.x,""))</f>
        <v>Grand total</v>
      </c>
      <c r="C19" s="65">
        <f>_xlfn.LET(_xlpm.x,'Data output'!G117,IF(LEN(_xlpm.x)&gt;0,_xlpm.x,""))</f>
        <v>0</v>
      </c>
      <c r="D19" s="100">
        <f>_xlfn.LET(_xlpm.x,'Data output'!H117,IF(LEN(_xlpm.x)&gt;0,_xlpm.x,""))</f>
        <v>0</v>
      </c>
      <c r="E19" s="561">
        <f>_xlfn.LET(_xlpm.x,'Data output'!I117,IF(LEN(_xlpm.x)&gt;0,_xlpm.x,""))</f>
        <v>0</v>
      </c>
      <c r="F19" s="82">
        <f>_xlfn.LET(_xlpm.x,'Data output'!J117,IF(LEN(_xlpm.x)&gt;0,_xlpm.x,""))</f>
        <v>0</v>
      </c>
      <c r="G19" s="82">
        <f>_xlfn.LET(_xlpm.x,'Data output'!K117,IF(LEN(_xlpm.x)&gt;0,_xlpm.x,""))</f>
        <v>0</v>
      </c>
    </row>
    <row r="20" spans="1:7">
      <c r="B20" s="221" t="str">
        <f>_xlfn.LET(_xlpm.x,'Data output'!F118,IF(LEN(_xlpm.x)&gt;0,_xlpm.x,""))</f>
        <v>Diversion rate</v>
      </c>
      <c r="C20" s="67">
        <f>_xlfn.LET(_xlpm.x,'Data output'!G118,IF(LEN(_xlpm.x)&gt;0,_xlpm.x,""))</f>
        <v>0</v>
      </c>
      <c r="D20" s="67">
        <f>_xlfn.LET(_xlpm.x,'Data output'!H118,IF(LEN(_xlpm.x)&gt;0,_xlpm.x,""))</f>
        <v>0</v>
      </c>
      <c r="E20" s="561">
        <f>_xlfn.LET(_xlpm.x,'Data output'!I118,IF(LEN(_xlpm.x)&gt;0,_xlpm.x,""))</f>
        <v>0</v>
      </c>
      <c r="F20" s="82">
        <f>_xlfn.LET(_xlpm.x,'Data output'!J118,IF(LEN(_xlpm.x)&gt;0,_xlpm.x,""))</f>
        <v>0</v>
      </c>
      <c r="G20" s="82">
        <f>_xlfn.LET(_xlpm.x,'Data output'!K118,IF(LEN(_xlpm.x)&gt;0,_xlpm.x,""))</f>
        <v>0</v>
      </c>
    </row>
    <row r="21" spans="1:7">
      <c r="B21" s="221" t="str">
        <f>_xlfn.LET(_xlpm.x,'Data output'!F119,IF(LEN(_xlpm.x)&gt;0,_xlpm.x,""))</f>
        <v>Waste Generated</v>
      </c>
      <c r="C21" s="86">
        <f>_xlfn.LET(_xlpm.x,'Data output'!G119,IF(LEN(_xlpm.x)&gt;0,_xlpm.x,""))</f>
        <v>0</v>
      </c>
      <c r="D21" s="100">
        <f>_xlfn.LET(_xlpm.x,'Data output'!H119,IF(LEN(_xlpm.x)&gt;0,_xlpm.x,""))</f>
        <v>0</v>
      </c>
      <c r="E21" s="561">
        <f>_xlfn.LET(_xlpm.x,'Data output'!I119,IF(LEN(_xlpm.x)&gt;0,_xlpm.x,""))</f>
        <v>0</v>
      </c>
      <c r="F21" s="82">
        <f>_xlfn.LET(_xlpm.x,'Data output'!J119,IF(LEN(_xlpm.x)&gt;0,_xlpm.x,""))</f>
        <v>0</v>
      </c>
      <c r="G21" s="82">
        <f>_xlfn.LET(_xlpm.x,'Data output'!K119,IF(LEN(_xlpm.x)&gt;0,_xlpm.x,""))</f>
        <v>0</v>
      </c>
    </row>
    <row r="25" spans="1:7" ht="15.6">
      <c r="B25" s="219" t="s">
        <v>355</v>
      </c>
      <c r="F25" s="220" t="s">
        <v>356</v>
      </c>
    </row>
    <row r="26" spans="1:7" ht="30">
      <c r="A26" s="183"/>
      <c r="B26" s="212" t="s">
        <v>349</v>
      </c>
      <c r="C26" s="205" t="s">
        <v>350</v>
      </c>
      <c r="D26" s="205" t="s">
        <v>351</v>
      </c>
      <c r="F26" s="205" t="s">
        <v>357</v>
      </c>
      <c r="G26" s="205" t="s">
        <v>358</v>
      </c>
    </row>
    <row r="27" spans="1:7">
      <c r="B27" s="222" t="str">
        <f>_xlfn.LET(_xlpm.x,'Data output'!F145,IF(LEN(_xlpm.x)&gt;0,_xlpm.x,""))</f>
        <v>Reduce</v>
      </c>
      <c r="C27" s="84">
        <f>_xlfn.LET(_xlpm.x,'Data output'!G145,IF(LEN(_xlpm.x)&gt;0,_xlpm.x,""))</f>
        <v>0</v>
      </c>
      <c r="D27" s="84">
        <f>_xlfn.LET(_xlpm.x,'Data output'!H145,IF(LEN(_xlpm.x)&gt;0,_xlpm.x,""))</f>
        <v>0</v>
      </c>
      <c r="F27" s="223" t="str">
        <f>_xlfn.LET(_xlpm.x,'Data output'!F272,IF(LEN(_xlpm.x)&gt;0,_xlpm.x,""))</f>
        <v>Reduce</v>
      </c>
      <c r="G27" s="79">
        <f>_xlfn.LET(_xlpm.x,'Data output'!G272,IF(LEN(_xlpm.x)&gt;0,_xlpm.x,""))</f>
        <v>0</v>
      </c>
    </row>
    <row r="28" spans="1:7">
      <c r="B28" s="222" t="str">
        <f>_xlfn.LET(_xlpm.x,'Data output'!F146,IF(LEN(_xlpm.x)&gt;0,_xlpm.x,""))</f>
        <v>Reuse</v>
      </c>
      <c r="C28" s="84">
        <f>_xlfn.LET(_xlpm.x,'Data output'!G146,IF(LEN(_xlpm.x)&gt;0,_xlpm.x,""))</f>
        <v>0</v>
      </c>
      <c r="D28" s="84">
        <f>_xlfn.LET(_xlpm.x,'Data output'!H146,IF(LEN(_xlpm.x)&gt;0,_xlpm.x,""))</f>
        <v>0</v>
      </c>
      <c r="F28" s="223" t="str">
        <f>_xlfn.LET(_xlpm.x,'Data output'!F273,IF(LEN(_xlpm.x)&gt;0,_xlpm.x,""))</f>
        <v>Reuse</v>
      </c>
      <c r="G28" s="79">
        <f>_xlfn.LET(_xlpm.x,'Data output'!G273,IF(LEN(_xlpm.x)&gt;0,_xlpm.x,""))</f>
        <v>0</v>
      </c>
    </row>
    <row r="29" spans="1:7">
      <c r="B29" s="222" t="str">
        <f>_xlfn.LET(_xlpm.x,'Data output'!F147,IF(LEN(_xlpm.x)&gt;0,_xlpm.x,""))</f>
        <v>Recycle</v>
      </c>
      <c r="C29" s="84">
        <f>_xlfn.LET(_xlpm.x,'Data output'!G147,IF(LEN(_xlpm.x)&gt;0,_xlpm.x,""))</f>
        <v>0</v>
      </c>
      <c r="D29" s="84">
        <f>_xlfn.LET(_xlpm.x,'Data output'!H147,IF(LEN(_xlpm.x)&gt;0,_xlpm.x,""))</f>
        <v>0</v>
      </c>
      <c r="F29" s="223" t="str">
        <f>_xlfn.LET(_xlpm.x,'Data output'!F274,IF(LEN(_xlpm.x)&gt;0,_xlpm.x,""))</f>
        <v>Recycle</v>
      </c>
      <c r="G29" s="79">
        <f>_xlfn.LET(_xlpm.x,'Data output'!G274,IF(LEN(_xlpm.x)&gt;0,_xlpm.x,""))</f>
        <v>0</v>
      </c>
    </row>
    <row r="30" spans="1:7">
      <c r="B30" s="222" t="str">
        <f>_xlfn.LET(_xlpm.x,'Data output'!F148,IF(LEN(_xlpm.x)&gt;0,_xlpm.x,""))</f>
        <v>Composting</v>
      </c>
      <c r="C30" s="84">
        <f>_xlfn.LET(_xlpm.x,'Data output'!G148,IF(LEN(_xlpm.x)&gt;0,_xlpm.x,""))</f>
        <v>0</v>
      </c>
      <c r="D30" s="84">
        <f>_xlfn.LET(_xlpm.x,'Data output'!H148,IF(LEN(_xlpm.x)&gt;0,_xlpm.x,""))</f>
        <v>0</v>
      </c>
      <c r="F30" s="223" t="str">
        <f>_xlfn.LET(_xlpm.x,'Data output'!F275,IF(LEN(_xlpm.x)&gt;0,_xlpm.x,""))</f>
        <v>Composting</v>
      </c>
      <c r="G30" s="79">
        <f>_xlfn.LET(_xlpm.x,'Data output'!G275,IF(LEN(_xlpm.x)&gt;0,_xlpm.x,""))</f>
        <v>0</v>
      </c>
    </row>
    <row r="31" spans="1:7" ht="15.6" customHeight="1">
      <c r="B31" s="222" t="str">
        <f>_xlfn.LET(_xlpm.x,'Data output'!F149,IF(LEN(_xlpm.x)&gt;0,_xlpm.x,""))</f>
        <v>Anaerobic Digestion</v>
      </c>
      <c r="C31" s="84">
        <f>_xlfn.LET(_xlpm.x,'Data output'!G149,IF(LEN(_xlpm.x)&gt;0,_xlpm.x,""))</f>
        <v>0</v>
      </c>
      <c r="D31" s="84">
        <f>_xlfn.LET(_xlpm.x,'Data output'!H149,IF(LEN(_xlpm.x)&gt;0,_xlpm.x,""))</f>
        <v>0</v>
      </c>
      <c r="F31" s="223" t="str">
        <f>_xlfn.LET(_xlpm.x,'Data output'!F276,IF(LEN(_xlpm.x)&gt;0,_xlpm.x,""))</f>
        <v>Anaerobic Digestion</v>
      </c>
      <c r="G31" s="79">
        <f>_xlfn.LET(_xlpm.x,'Data output'!G276,IF(LEN(_xlpm.x)&gt;0,_xlpm.x,""))</f>
        <v>0</v>
      </c>
    </row>
    <row r="32" spans="1:7">
      <c r="B32" s="222" t="str">
        <f>_xlfn.LET(_xlpm.x,'Data output'!F150,IF(LEN(_xlpm.x)&gt;0,_xlpm.x,""))</f>
        <v>Landfill</v>
      </c>
      <c r="C32" s="84">
        <f>_xlfn.LET(_xlpm.x,'Data output'!G150,IF(LEN(_xlpm.x)&gt;0,_xlpm.x,""))</f>
        <v>0</v>
      </c>
      <c r="D32" s="84">
        <f>_xlfn.LET(_xlpm.x,'Data output'!H150,IF(LEN(_xlpm.x)&gt;0,_xlpm.x,""))</f>
        <v>0</v>
      </c>
      <c r="F32" s="223" t="str">
        <f>_xlfn.LET(_xlpm.x,'Data output'!F277,IF(LEN(_xlpm.x)&gt;0,_xlpm.x,""))</f>
        <v>Landfill</v>
      </c>
      <c r="G32" s="79">
        <f>_xlfn.LET(_xlpm.x,'Data output'!G277,IF(LEN(_xlpm.x)&gt;0,_xlpm.x,""))</f>
        <v>0</v>
      </c>
    </row>
    <row r="33" spans="2:7">
      <c r="B33" s="222" t="str">
        <f>_xlfn.LET(_xlpm.x,'Data output'!F151,IF(LEN(_xlpm.x)&gt;0,_xlpm.x,""))</f>
        <v>Waste-to-Energy</v>
      </c>
      <c r="C33" s="84">
        <f>_xlfn.LET(_xlpm.x,'Data output'!G151,IF(LEN(_xlpm.x)&gt;0,_xlpm.x,""))</f>
        <v>0</v>
      </c>
      <c r="D33" s="84">
        <f>_xlfn.LET(_xlpm.x,'Data output'!H151,IF(LEN(_xlpm.x)&gt;0,_xlpm.x,""))</f>
        <v>0</v>
      </c>
      <c r="F33" s="223" t="str">
        <f>_xlfn.LET(_xlpm.x,'Data output'!F278,IF(LEN(_xlpm.x)&gt;0,_xlpm.x,""))</f>
        <v>Waste-to-Energy</v>
      </c>
      <c r="G33" s="79">
        <f>_xlfn.LET(_xlpm.x,'Data output'!G278,IF(LEN(_xlpm.x)&gt;0,_xlpm.x,""))</f>
        <v>0</v>
      </c>
    </row>
    <row r="34" spans="2:7">
      <c r="B34" s="222" t="str">
        <f>_xlfn.LET(_xlpm.x,'Data output'!F152,IF(LEN(_xlpm.x)&gt;0,_xlpm.x,""))</f>
        <v>Incineration</v>
      </c>
      <c r="C34" s="84">
        <f>_xlfn.LET(_xlpm.x,'Data output'!G152,IF(LEN(_xlpm.x)&gt;0,_xlpm.x,""))</f>
        <v>0</v>
      </c>
      <c r="D34" s="84">
        <f>_xlfn.LET(_xlpm.x,'Data output'!H152,IF(LEN(_xlpm.x)&gt;0,_xlpm.x,""))</f>
        <v>0</v>
      </c>
      <c r="F34" s="223" t="str">
        <f>_xlfn.LET(_xlpm.x,'Data output'!F279,IF(LEN(_xlpm.x)&gt;0,_xlpm.x,""))</f>
        <v>Incineration</v>
      </c>
      <c r="G34" s="79">
        <f>_xlfn.LET(_xlpm.x,'Data output'!G279,IF(LEN(_xlpm.x)&gt;0,_xlpm.x,""))</f>
        <v>0</v>
      </c>
    </row>
    <row r="35" spans="2:7">
      <c r="B35" s="650"/>
      <c r="C35" s="651"/>
      <c r="D35" s="652"/>
      <c r="F35" s="152"/>
      <c r="G35" s="152"/>
    </row>
    <row r="36" spans="2:7">
      <c r="B36" s="221" t="str">
        <f>_xlfn.LET(_xlpm.x,'Data output'!F154,IF(LEN(_xlpm.x)&gt;0,_xlpm.x,""))</f>
        <v>Total Diversion</v>
      </c>
      <c r="C36" s="109">
        <f>_xlfn.LET(_xlpm.x,'Data output'!G154,IF(LEN(_xlpm.x)&gt;0,_xlpm.x,""))</f>
        <v>0</v>
      </c>
      <c r="D36" s="87">
        <f>_xlfn.LET(_xlpm.x,'Data output'!H154,IF(LEN(_xlpm.x)&gt;0,_xlpm.x,""))</f>
        <v>0</v>
      </c>
      <c r="F36" s="223" t="str">
        <f>_xlfn.LET(_xlpm.x,'Data output'!F281,IF(LEN(_xlpm.x)&gt;0,_xlpm.x,""))</f>
        <v>Total Diversion</v>
      </c>
      <c r="G36" s="80">
        <f>_xlfn.LET(_xlpm.x,'Data output'!G281,IF(LEN(_xlpm.x)&gt;0,_xlpm.x,""))</f>
        <v>0</v>
      </c>
    </row>
    <row r="37" spans="2:7">
      <c r="B37" s="221" t="str">
        <f>_xlfn.LET(_xlpm.x,'Data output'!F155,IF(LEN(_xlpm.x)&gt;0,_xlpm.x,""))</f>
        <v>Total non-diversion</v>
      </c>
      <c r="C37" s="109">
        <f>_xlfn.LET(_xlpm.x,'Data output'!G155,IF(LEN(_xlpm.x)&gt;0,_xlpm.x,""))</f>
        <v>0</v>
      </c>
      <c r="D37" s="87">
        <f>_xlfn.LET(_xlpm.x,'Data output'!H155,IF(LEN(_xlpm.x)&gt;0,_xlpm.x,""))</f>
        <v>0</v>
      </c>
      <c r="F37" s="223" t="str">
        <f>_xlfn.LET(_xlpm.x,'Data output'!F282,IF(LEN(_xlpm.x)&gt;0,_xlpm.x,""))</f>
        <v>Total non-diversion</v>
      </c>
      <c r="G37" s="80">
        <f>_xlfn.LET(_xlpm.x,'Data output'!G282,IF(LEN(_xlpm.x)&gt;0,_xlpm.x,""))</f>
        <v>0</v>
      </c>
    </row>
    <row r="38" spans="2:7">
      <c r="B38" s="221" t="str">
        <f>_xlfn.LET(_xlpm.x,'Data output'!F156,IF(LEN(_xlpm.x)&gt;0,_xlpm.x,""))</f>
        <v>Grand Total</v>
      </c>
      <c r="C38" s="109">
        <f>_xlfn.LET(_xlpm.x,'Data output'!G156,IF(LEN(_xlpm.x)&gt;0,_xlpm.x,""))</f>
        <v>0</v>
      </c>
      <c r="D38" s="87">
        <f>_xlfn.LET(_xlpm.x,'Data output'!H156,IF(LEN(_xlpm.x)&gt;0,_xlpm.x,""))</f>
        <v>0</v>
      </c>
      <c r="F38" s="223" t="str">
        <f>_xlfn.LET(_xlpm.x,'Data output'!F283,IF(LEN(_xlpm.x)&gt;0,_xlpm.x,""))</f>
        <v>Waste Generated</v>
      </c>
      <c r="G38" s="113">
        <f>_xlfn.LET(_xlpm.x,'Data output'!G283,IF(LEN(_xlpm.x)&gt;0,_xlpm.x,""))</f>
        <v>0</v>
      </c>
    </row>
    <row r="39" spans="2:7">
      <c r="B39" s="221" t="str">
        <f>_xlfn.LET(_xlpm.x,'Data output'!F157,IF(LEN(_xlpm.x)&gt;0,_xlpm.x,""))</f>
        <v>% Diversion</v>
      </c>
      <c r="C39" s="110">
        <f>_xlfn.LET(_xlpm.x,'Data output'!G157,IF(LEN(_xlpm.x)&gt;0,_xlpm.x,""))</f>
        <v>0</v>
      </c>
      <c r="D39" s="108">
        <f>_xlfn.LET(_xlpm.x,'Data output'!H157,IF(LEN(_xlpm.x)&gt;0,_xlpm.x,""))</f>
        <v>0</v>
      </c>
      <c r="F39" s="224" t="str">
        <f>_xlfn.LET(_xlpm.x,'Data output'!F284,IF(LEN(_xlpm.x)&gt;0,_xlpm.x,""))</f>
        <v>Grand Total</v>
      </c>
      <c r="G39" s="153">
        <f>_xlfn.LET(_xlpm.x,'Data output'!G284,IF(LEN(_xlpm.x)&gt;0,_xlpm.x,""))</f>
        <v>0</v>
      </c>
    </row>
    <row r="40" spans="2:7">
      <c r="B40" s="221" t="str">
        <f>_xlfn.LET(_xlpm.x,'Data output'!F158,IF(LEN(_xlpm.x)&gt;0,_xlpm.x,""))</f>
        <v>Waste Generated</v>
      </c>
      <c r="C40" s="109">
        <f>_xlfn.LET(_xlpm.x,'Data output'!G158,IF(LEN(_xlpm.x)&gt;0,_xlpm.x,""))</f>
        <v>0</v>
      </c>
      <c r="D40" s="109">
        <f>_xlfn.LET(_xlpm.x,'Data output'!H158,IF(LEN(_xlpm.x)&gt;0,_xlpm.x,""))</f>
        <v>0</v>
      </c>
    </row>
    <row r="43" spans="2:7" ht="15.6">
      <c r="B43" s="219" t="s">
        <v>359</v>
      </c>
    </row>
    <row r="44" spans="2:7" ht="30">
      <c r="B44" s="213" t="s">
        <v>360</v>
      </c>
      <c r="C44" s="213" t="s">
        <v>361</v>
      </c>
      <c r="D44" s="213" t="s">
        <v>362</v>
      </c>
    </row>
    <row r="45" spans="2:7">
      <c r="B45" s="61" t="str">
        <f>_xlfn.LET(_xlpm.x,'Data output'!F395,IF(LEN(_xlpm.x)&gt;0,_xlpm.x,""))</f>
        <v>Barge</v>
      </c>
      <c r="C45" s="62">
        <f>_xlfn.LET(_xlpm.x,'Data output'!G395,IF(LEN(_xlpm.x)&gt;0,_xlpm.x,""))</f>
        <v>0</v>
      </c>
      <c r="D45" s="62">
        <f>_xlfn.LET(_xlpm.x,'Data output'!H395,IF(LEN(_xlpm.x)&gt;0,_xlpm.x,""))</f>
        <v>0</v>
      </c>
    </row>
    <row r="46" spans="2:7">
      <c r="B46" s="61" t="str">
        <f>_xlfn.LET(_xlpm.x,'Data output'!F396,IF(LEN(_xlpm.x)&gt;0,_xlpm.x,""))</f>
        <v>CNG Truck</v>
      </c>
      <c r="C46" s="62">
        <f>_xlfn.LET(_xlpm.x,'Data output'!G396,IF(LEN(_xlpm.x)&gt;0,_xlpm.x,""))</f>
        <v>0</v>
      </c>
      <c r="D46" s="62">
        <f>_xlfn.LET(_xlpm.x,'Data output'!H396,IF(LEN(_xlpm.x)&gt;0,_xlpm.x,""))</f>
        <v>0</v>
      </c>
    </row>
    <row r="47" spans="2:7">
      <c r="B47" s="61" t="str">
        <f>_xlfn.LET(_xlpm.x,'Data output'!F397,IF(LEN(_xlpm.x)&gt;0,_xlpm.x,""))</f>
        <v>Diesel Truck</v>
      </c>
      <c r="C47" s="62">
        <f>_xlfn.LET(_xlpm.x,'Data output'!G397,IF(LEN(_xlpm.x)&gt;0,_xlpm.x,""))</f>
        <v>0</v>
      </c>
      <c r="D47" s="62">
        <f>_xlfn.LET(_xlpm.x,'Data output'!H397,IF(LEN(_xlpm.x)&gt;0,_xlpm.x,""))</f>
        <v>0</v>
      </c>
    </row>
    <row r="48" spans="2:7">
      <c r="B48" s="61" t="str">
        <f>_xlfn.LET(_xlpm.x,'Data output'!F398,IF(LEN(_xlpm.x)&gt;0,_xlpm.x,""))</f>
        <v>Electric Truck</v>
      </c>
      <c r="C48" s="62">
        <f>_xlfn.LET(_xlpm.x,'Data output'!G398,IF(LEN(_xlpm.x)&gt;0,_xlpm.x,""))</f>
        <v>0</v>
      </c>
      <c r="D48" s="62">
        <f>_xlfn.LET(_xlpm.x,'Data output'!H398,IF(LEN(_xlpm.x)&gt;0,_xlpm.x,""))</f>
        <v>0</v>
      </c>
    </row>
    <row r="49" spans="1:26">
      <c r="B49" s="61" t="str">
        <f>_xlfn.LET(_xlpm.x,'Data output'!F399,IF(LEN(_xlpm.x)&gt;0,_xlpm.x,""))</f>
        <v>Gasoline Truck</v>
      </c>
      <c r="C49" s="62">
        <f>_xlfn.LET(_xlpm.x,'Data output'!G399,IF(LEN(_xlpm.x)&gt;0,_xlpm.x,""))</f>
        <v>0</v>
      </c>
      <c r="D49" s="62">
        <f>_xlfn.LET(_xlpm.x,'Data output'!H399,IF(LEN(_xlpm.x)&gt;0,_xlpm.x,""))</f>
        <v>0</v>
      </c>
    </row>
    <row r="50" spans="1:26">
      <c r="B50" s="61" t="str">
        <f>_xlfn.LET(_xlpm.x,'Data output'!F400,IF(LEN(_xlpm.x)&gt;0,_xlpm.x,""))</f>
        <v>Global Container Ship</v>
      </c>
      <c r="C50" s="62">
        <f>_xlfn.LET(_xlpm.x,'Data output'!G400,IF(LEN(_xlpm.x)&gt;0,_xlpm.x,""))</f>
        <v>0</v>
      </c>
      <c r="D50" s="62">
        <f>_xlfn.LET(_xlpm.x,'Data output'!H400,IF(LEN(_xlpm.x)&gt;0,_xlpm.x,""))</f>
        <v>0</v>
      </c>
    </row>
    <row r="51" spans="1:26">
      <c r="B51" s="61" t="str">
        <f>_xlfn.LET(_xlpm.x,'Data output'!F401,IF(LEN(_xlpm.x)&gt;0,_xlpm.x,""))</f>
        <v>Diesel Refuse Truck</v>
      </c>
      <c r="C51" s="62">
        <f>_xlfn.LET(_xlpm.x,'Data output'!G401,IF(LEN(_xlpm.x)&gt;0,_xlpm.x,""))</f>
        <v>0</v>
      </c>
      <c r="D51" s="62">
        <f>_xlfn.LET(_xlpm.x,'Data output'!H401,IF(LEN(_xlpm.x)&gt;0,_xlpm.x,""))</f>
        <v>0</v>
      </c>
    </row>
    <row r="52" spans="1:26">
      <c r="B52" s="61" t="str">
        <f>_xlfn.LET(_xlpm.x,'Data output'!F402,IF(LEN(_xlpm.x)&gt;0,_xlpm.x,""))</f>
        <v>Gasoline Refuse Truck</v>
      </c>
      <c r="C52" s="62">
        <f>_xlfn.LET(_xlpm.x,'Data output'!G402,IF(LEN(_xlpm.x)&gt;0,_xlpm.x,""))</f>
        <v>0</v>
      </c>
      <c r="D52" s="62">
        <f>_xlfn.LET(_xlpm.x,'Data output'!H402,IF(LEN(_xlpm.x)&gt;0,_xlpm.x,""))</f>
        <v>0</v>
      </c>
    </row>
    <row r="53" spans="1:26">
      <c r="B53" s="61" t="str">
        <f>_xlfn.LET(_xlpm.x,'Data output'!F403,IF(LEN(_xlpm.x)&gt;0,_xlpm.x,""))</f>
        <v>Train</v>
      </c>
      <c r="C53" s="62">
        <f>_xlfn.LET(_xlpm.x,'Data output'!G403,IF(LEN(_xlpm.x)&gt;0,_xlpm.x,""))</f>
        <v>0</v>
      </c>
      <c r="D53" s="62">
        <f>_xlfn.LET(_xlpm.x,'Data output'!H403,IF(LEN(_xlpm.x)&gt;0,_xlpm.x,""))</f>
        <v>0</v>
      </c>
    </row>
    <row r="54" spans="1:26" ht="15" thickBot="1">
      <c r="A54" s="18"/>
      <c r="B54" s="19"/>
      <c r="C54" s="20"/>
      <c r="D54" s="18"/>
      <c r="E54" s="18"/>
      <c r="F54" s="18"/>
      <c r="G54" s="18"/>
      <c r="H54" s="18"/>
      <c r="I54" s="18"/>
      <c r="J54" s="18"/>
      <c r="K54" s="18"/>
      <c r="L54" s="18"/>
      <c r="M54" s="18"/>
      <c r="N54" s="18"/>
      <c r="O54" s="18"/>
      <c r="P54" s="18"/>
      <c r="Q54" s="18"/>
      <c r="R54" s="18"/>
      <c r="S54" s="18"/>
      <c r="T54" s="18"/>
      <c r="U54" s="18"/>
      <c r="V54" s="18"/>
      <c r="W54" s="18"/>
      <c r="X54" s="18"/>
      <c r="Y54" s="18"/>
      <c r="Z54" s="18"/>
    </row>
    <row r="55" spans="1:26" ht="26.1" customHeight="1">
      <c r="A55" s="399" t="s">
        <v>363</v>
      </c>
      <c r="B55" s="215"/>
      <c r="C55" s="216"/>
      <c r="D55" s="214"/>
      <c r="E55" s="214"/>
      <c r="F55" s="214"/>
      <c r="G55" s="214"/>
      <c r="H55" s="214"/>
      <c r="I55" s="214"/>
      <c r="J55" s="214"/>
      <c r="K55" s="214"/>
      <c r="L55" s="214"/>
      <c r="M55" s="214"/>
      <c r="N55" s="214"/>
      <c r="O55" s="214"/>
      <c r="P55" s="214"/>
      <c r="Q55" s="214"/>
      <c r="R55" s="214"/>
      <c r="S55" s="214"/>
      <c r="T55" s="214"/>
      <c r="U55" s="214"/>
      <c r="V55" s="214"/>
      <c r="W55" s="214"/>
      <c r="X55" s="214"/>
      <c r="Y55" s="214"/>
      <c r="Z55" s="214"/>
    </row>
    <row r="56" spans="1:26">
      <c r="K56" s="39"/>
    </row>
    <row r="57" spans="1:26" ht="15.6">
      <c r="B57" s="219" t="s">
        <v>364</v>
      </c>
      <c r="F57" s="219" t="s">
        <v>365</v>
      </c>
      <c r="J57" s="219" t="s">
        <v>366</v>
      </c>
    </row>
    <row r="58" spans="1:26" ht="47.1" customHeight="1">
      <c r="B58" s="213" t="s">
        <v>224</v>
      </c>
      <c r="C58" s="213" t="s">
        <v>225</v>
      </c>
      <c r="D58" s="213" t="s">
        <v>227</v>
      </c>
      <c r="F58" s="213" t="s">
        <v>224</v>
      </c>
      <c r="G58" s="213" t="s">
        <v>225</v>
      </c>
      <c r="H58" s="213" t="s">
        <v>367</v>
      </c>
      <c r="J58" s="213" t="s">
        <v>322</v>
      </c>
      <c r="K58" s="378" t="s">
        <v>10258</v>
      </c>
      <c r="L58" s="213" t="s">
        <v>362</v>
      </c>
    </row>
    <row r="59" spans="1:26">
      <c r="B59" s="221" cm="1">
        <f t="array" ref="B59:D59">IFERROR(_xlfn.ANCHORARRAY('Data output'!M165),"No data")</f>
        <v>0</v>
      </c>
      <c r="C59" s="225">
        <v>0</v>
      </c>
      <c r="D59" s="184">
        <v>0</v>
      </c>
      <c r="F59" s="221" cm="1">
        <f t="array" ref="F59:H59">IFERROR(_xlfn.ANCHORARRAY('Data output'!M289),"No data")</f>
        <v>0</v>
      </c>
      <c r="G59" s="225">
        <v>0</v>
      </c>
      <c r="H59" s="181" t="str">
        <v>No data</v>
      </c>
      <c r="J59" s="61" t="str" cm="1">
        <f t="array" ref="J59:L59">IFERROR(_xlfn.ANCHORARRAY('Data output'!M411),"No data")</f>
        <v>no entries</v>
      </c>
      <c r="K59" s="69">
        <v>0</v>
      </c>
      <c r="L59" s="516" t="str">
        <v/>
      </c>
    </row>
    <row r="60" spans="1:26">
      <c r="B60" s="221"/>
      <c r="C60" s="225"/>
      <c r="D60" s="184"/>
      <c r="F60" s="221"/>
      <c r="G60" s="225"/>
      <c r="H60" s="181"/>
      <c r="J60" s="61"/>
      <c r="K60" s="69"/>
      <c r="L60" s="516"/>
    </row>
    <row r="61" spans="1:26">
      <c r="B61" s="221"/>
      <c r="C61" s="225"/>
      <c r="D61" s="184"/>
      <c r="F61" s="221"/>
      <c r="G61" s="225"/>
      <c r="H61" s="181"/>
      <c r="J61" s="61"/>
      <c r="K61" s="69"/>
      <c r="L61" s="516"/>
    </row>
    <row r="62" spans="1:26">
      <c r="B62" s="221"/>
      <c r="C62" s="225"/>
      <c r="D62" s="184"/>
      <c r="F62" s="221"/>
      <c r="G62" s="225"/>
      <c r="H62" s="181"/>
      <c r="J62" s="61"/>
      <c r="K62" s="69"/>
      <c r="L62" s="516"/>
    </row>
    <row r="63" spans="1:26">
      <c r="B63" s="221"/>
      <c r="C63" s="225"/>
      <c r="D63" s="184"/>
      <c r="F63" s="221"/>
      <c r="G63" s="225"/>
      <c r="H63" s="181"/>
      <c r="J63" s="61"/>
      <c r="K63" s="69"/>
      <c r="L63" s="516"/>
    </row>
    <row r="64" spans="1:26">
      <c r="B64" s="221"/>
      <c r="C64" s="225"/>
      <c r="D64" s="184"/>
      <c r="F64" s="221"/>
      <c r="G64" s="225"/>
      <c r="H64" s="181"/>
      <c r="J64" s="61"/>
      <c r="K64" s="69"/>
      <c r="L64" s="516"/>
    </row>
    <row r="65" spans="2:12">
      <c r="B65" s="221"/>
      <c r="C65" s="225"/>
      <c r="D65" s="184"/>
      <c r="F65" s="221"/>
      <c r="G65" s="225"/>
      <c r="H65" s="181"/>
      <c r="J65" s="61"/>
      <c r="K65" s="69"/>
      <c r="L65" s="516"/>
    </row>
    <row r="66" spans="2:12">
      <c r="B66" s="221"/>
      <c r="C66" s="225"/>
      <c r="D66" s="184"/>
      <c r="F66" s="221"/>
      <c r="G66" s="225"/>
      <c r="H66" s="181"/>
      <c r="J66" s="61"/>
      <c r="K66" s="69"/>
      <c r="L66" s="516"/>
    </row>
    <row r="67" spans="2:12">
      <c r="B67" s="221"/>
      <c r="C67" s="225"/>
      <c r="D67" s="184"/>
      <c r="F67" s="221"/>
      <c r="G67" s="225"/>
      <c r="H67" s="181"/>
      <c r="J67" s="61"/>
      <c r="K67" s="69"/>
      <c r="L67" s="516"/>
    </row>
    <row r="68" spans="2:12">
      <c r="B68" s="221"/>
      <c r="C68" s="225"/>
      <c r="D68" s="184"/>
      <c r="F68" s="221"/>
      <c r="G68" s="225"/>
      <c r="H68" s="181"/>
      <c r="J68" s="61"/>
      <c r="K68" s="69"/>
      <c r="L68" s="516"/>
    </row>
    <row r="69" spans="2:12">
      <c r="B69" s="221"/>
      <c r="C69" s="225"/>
      <c r="D69" s="184"/>
      <c r="F69" s="221"/>
      <c r="G69" s="225"/>
      <c r="H69" s="181"/>
      <c r="J69" s="61"/>
      <c r="K69" s="69"/>
      <c r="L69" s="516"/>
    </row>
    <row r="70" spans="2:12">
      <c r="B70" s="221"/>
      <c r="C70" s="225"/>
      <c r="D70" s="184"/>
      <c r="F70" s="221"/>
      <c r="G70" s="225"/>
      <c r="H70" s="181"/>
      <c r="J70" s="61"/>
      <c r="K70" s="69"/>
      <c r="L70" s="516"/>
    </row>
    <row r="71" spans="2:12">
      <c r="B71" s="221"/>
      <c r="C71" s="225"/>
      <c r="D71" s="184"/>
      <c r="F71" s="221"/>
      <c r="G71" s="225"/>
      <c r="H71" s="181"/>
      <c r="J71" s="61"/>
      <c r="K71" s="69"/>
      <c r="L71" s="516"/>
    </row>
    <row r="72" spans="2:12">
      <c r="B72" s="221"/>
      <c r="C72" s="225"/>
      <c r="D72" s="184"/>
      <c r="F72" s="221"/>
      <c r="G72" s="225"/>
      <c r="H72" s="181"/>
      <c r="J72" s="61"/>
      <c r="K72" s="69"/>
      <c r="L72" s="516"/>
    </row>
    <row r="73" spans="2:12">
      <c r="B73" s="221"/>
      <c r="C73" s="225"/>
      <c r="D73" s="184"/>
      <c r="F73" s="221"/>
      <c r="G73" s="225"/>
      <c r="H73" s="181"/>
      <c r="J73" s="61"/>
      <c r="K73" s="69"/>
      <c r="L73" s="516"/>
    </row>
    <row r="74" spans="2:12">
      <c r="B74" s="221"/>
      <c r="C74" s="225"/>
      <c r="D74" s="184"/>
      <c r="F74" s="221"/>
      <c r="G74" s="225"/>
      <c r="H74" s="181"/>
      <c r="J74" s="61"/>
      <c r="K74" s="69"/>
      <c r="L74" s="516"/>
    </row>
    <row r="75" spans="2:12">
      <c r="B75" s="221"/>
      <c r="C75" s="225"/>
      <c r="D75" s="184"/>
      <c r="F75" s="221"/>
      <c r="G75" s="225"/>
      <c r="H75" s="181"/>
      <c r="J75" s="61"/>
      <c r="K75" s="69"/>
      <c r="L75" s="516"/>
    </row>
    <row r="76" spans="2:12">
      <c r="B76" s="221"/>
      <c r="C76" s="225"/>
      <c r="D76" s="184"/>
      <c r="F76" s="221"/>
      <c r="G76" s="225"/>
      <c r="H76" s="181"/>
      <c r="J76" s="61"/>
      <c r="K76" s="69"/>
      <c r="L76" s="516"/>
    </row>
    <row r="77" spans="2:12">
      <c r="B77" s="221"/>
      <c r="C77" s="225"/>
      <c r="D77" s="184"/>
      <c r="F77" s="221"/>
      <c r="G77" s="225"/>
      <c r="H77" s="181"/>
      <c r="J77" s="61"/>
      <c r="K77" s="69"/>
      <c r="L77" s="516"/>
    </row>
    <row r="78" spans="2:12">
      <c r="B78" s="221"/>
      <c r="C78" s="225"/>
      <c r="D78" s="184"/>
      <c r="F78" s="221"/>
      <c r="G78" s="225"/>
      <c r="H78" s="181"/>
      <c r="J78" s="61"/>
      <c r="K78" s="69"/>
      <c r="L78" s="516"/>
    </row>
    <row r="79" spans="2:12">
      <c r="B79" s="221"/>
      <c r="C79" s="225"/>
      <c r="D79" s="184"/>
      <c r="F79" s="221"/>
      <c r="G79" s="225"/>
      <c r="H79" s="181"/>
      <c r="J79" s="61"/>
      <c r="K79" s="69"/>
      <c r="L79" s="516"/>
    </row>
    <row r="80" spans="2:12">
      <c r="B80" s="221"/>
      <c r="C80" s="225"/>
      <c r="D80" s="184"/>
      <c r="F80" s="221"/>
      <c r="G80" s="225"/>
      <c r="H80" s="181"/>
      <c r="J80" s="61"/>
      <c r="K80" s="69"/>
      <c r="L80" s="516"/>
    </row>
    <row r="81" spans="2:12">
      <c r="B81" s="221"/>
      <c r="C81" s="225"/>
      <c r="D81" s="184"/>
      <c r="F81" s="221"/>
      <c r="G81" s="225"/>
      <c r="H81" s="181"/>
      <c r="J81" s="61"/>
      <c r="K81" s="69"/>
      <c r="L81" s="516"/>
    </row>
    <row r="82" spans="2:12">
      <c r="B82" s="221"/>
      <c r="C82" s="225"/>
      <c r="D82" s="184"/>
      <c r="F82" s="221"/>
      <c r="G82" s="225"/>
      <c r="H82" s="181"/>
      <c r="J82" s="61"/>
      <c r="K82" s="69"/>
      <c r="L82" s="516"/>
    </row>
    <row r="83" spans="2:12">
      <c r="B83" s="221"/>
      <c r="C83" s="225"/>
      <c r="D83" s="184"/>
      <c r="F83" s="221"/>
      <c r="G83" s="225"/>
      <c r="H83" s="181"/>
      <c r="J83" s="61"/>
      <c r="K83" s="69"/>
      <c r="L83" s="516"/>
    </row>
    <row r="84" spans="2:12">
      <c r="B84" s="221"/>
      <c r="C84" s="225"/>
      <c r="D84" s="184"/>
      <c r="F84" s="221"/>
      <c r="G84" s="225"/>
      <c r="H84" s="181"/>
      <c r="J84" s="61"/>
      <c r="K84" s="69"/>
      <c r="L84" s="516"/>
    </row>
    <row r="85" spans="2:12">
      <c r="B85" s="221"/>
      <c r="C85" s="225"/>
      <c r="D85" s="184"/>
      <c r="F85" s="221"/>
      <c r="G85" s="225"/>
      <c r="H85" s="181"/>
      <c r="J85" s="61"/>
      <c r="K85" s="69"/>
      <c r="L85" s="516"/>
    </row>
    <row r="86" spans="2:12">
      <c r="B86" s="221"/>
      <c r="C86" s="225"/>
      <c r="D86" s="184"/>
      <c r="F86" s="221"/>
      <c r="G86" s="225"/>
      <c r="H86" s="181"/>
      <c r="J86" s="61"/>
      <c r="K86" s="69"/>
      <c r="L86" s="516"/>
    </row>
    <row r="87" spans="2:12">
      <c r="B87" s="221"/>
      <c r="C87" s="225"/>
      <c r="D87" s="184"/>
      <c r="F87" s="221"/>
      <c r="G87" s="225"/>
      <c r="H87" s="181"/>
      <c r="J87" s="61"/>
      <c r="K87" s="69"/>
      <c r="L87" s="516"/>
    </row>
    <row r="88" spans="2:12">
      <c r="B88" s="221"/>
      <c r="C88" s="225"/>
      <c r="D88" s="184"/>
      <c r="F88" s="221"/>
      <c r="G88" s="225"/>
      <c r="H88" s="181"/>
      <c r="J88" s="61"/>
      <c r="K88" s="69"/>
      <c r="L88" s="516"/>
    </row>
    <row r="89" spans="2:12">
      <c r="B89" s="221"/>
      <c r="C89" s="225"/>
      <c r="D89" s="184"/>
      <c r="F89" s="221"/>
      <c r="G89" s="225"/>
      <c r="H89" s="181"/>
      <c r="J89" s="61"/>
      <c r="K89" s="69"/>
      <c r="L89" s="516"/>
    </row>
    <row r="90" spans="2:12">
      <c r="B90" s="221"/>
      <c r="C90" s="225"/>
      <c r="D90" s="184"/>
      <c r="F90" s="221"/>
      <c r="G90" s="225"/>
      <c r="H90" s="181"/>
      <c r="J90" s="61"/>
      <c r="K90" s="69"/>
      <c r="L90" s="516"/>
    </row>
    <row r="91" spans="2:12">
      <c r="B91" s="221"/>
      <c r="C91" s="225"/>
      <c r="D91" s="184"/>
      <c r="F91" s="221"/>
      <c r="G91" s="225"/>
      <c r="H91" s="181"/>
      <c r="J91" s="61"/>
      <c r="K91" s="69"/>
      <c r="L91" s="516"/>
    </row>
    <row r="92" spans="2:12">
      <c r="B92" s="221"/>
      <c r="C92" s="225"/>
      <c r="D92" s="184"/>
      <c r="F92" s="221"/>
      <c r="G92" s="225"/>
      <c r="H92" s="181"/>
      <c r="J92" s="61"/>
      <c r="K92" s="69"/>
      <c r="L92" s="516"/>
    </row>
    <row r="93" spans="2:12">
      <c r="B93" s="221"/>
      <c r="C93" s="225"/>
      <c r="D93" s="184"/>
      <c r="F93" s="221"/>
      <c r="G93" s="225"/>
      <c r="H93" s="181"/>
      <c r="J93" s="61"/>
      <c r="K93" s="69"/>
      <c r="L93" s="516"/>
    </row>
    <row r="94" spans="2:12">
      <c r="B94" s="221"/>
      <c r="C94" s="225"/>
      <c r="D94" s="184"/>
      <c r="F94" s="221"/>
      <c r="G94" s="225"/>
      <c r="H94" s="181"/>
      <c r="J94" s="61"/>
      <c r="K94" s="69"/>
      <c r="L94" s="516"/>
    </row>
    <row r="95" spans="2:12">
      <c r="B95" s="221"/>
      <c r="C95" s="225"/>
      <c r="D95" s="184"/>
      <c r="F95" s="221"/>
      <c r="G95" s="225"/>
      <c r="H95" s="181"/>
      <c r="J95" s="61"/>
      <c r="K95" s="69"/>
      <c r="L95" s="516"/>
    </row>
    <row r="96" spans="2:12">
      <c r="B96" s="221"/>
      <c r="C96" s="225"/>
      <c r="D96" s="184"/>
      <c r="F96" s="221"/>
      <c r="G96" s="225"/>
      <c r="H96" s="181"/>
      <c r="J96" s="61"/>
      <c r="K96" s="69"/>
      <c r="L96" s="516"/>
    </row>
    <row r="97" spans="2:12">
      <c r="B97" s="221"/>
      <c r="C97" s="225"/>
      <c r="D97" s="184"/>
      <c r="F97" s="221"/>
      <c r="G97" s="225"/>
      <c r="H97" s="181"/>
      <c r="J97" s="61"/>
      <c r="K97" s="69"/>
      <c r="L97" s="516"/>
    </row>
    <row r="98" spans="2:12">
      <c r="B98" s="221"/>
      <c r="C98" s="225"/>
      <c r="D98" s="184"/>
      <c r="F98" s="221"/>
      <c r="G98" s="225"/>
      <c r="H98" s="181"/>
      <c r="J98" s="61"/>
      <c r="K98" s="69"/>
      <c r="L98" s="516"/>
    </row>
    <row r="99" spans="2:12">
      <c r="B99" s="221"/>
      <c r="C99" s="225"/>
      <c r="D99" s="184"/>
      <c r="F99" s="221"/>
      <c r="G99" s="225"/>
      <c r="H99" s="181"/>
      <c r="J99" s="61"/>
      <c r="K99" s="69"/>
      <c r="L99" s="516"/>
    </row>
    <row r="100" spans="2:12">
      <c r="B100" s="221"/>
      <c r="C100" s="225"/>
      <c r="D100" s="184"/>
      <c r="F100" s="221"/>
      <c r="G100" s="225"/>
      <c r="H100" s="181"/>
      <c r="J100" s="61"/>
      <c r="K100" s="69"/>
      <c r="L100" s="516"/>
    </row>
    <row r="101" spans="2:12">
      <c r="B101" s="221"/>
      <c r="C101" s="225"/>
      <c r="D101" s="184"/>
      <c r="F101" s="221"/>
      <c r="G101" s="225"/>
      <c r="H101" s="181"/>
      <c r="J101" s="61"/>
      <c r="K101" s="69"/>
      <c r="L101" s="516"/>
    </row>
    <row r="102" spans="2:12">
      <c r="B102" s="221"/>
      <c r="C102" s="225"/>
      <c r="D102" s="184"/>
      <c r="F102" s="221"/>
      <c r="G102" s="225"/>
      <c r="H102" s="181"/>
      <c r="J102" s="61"/>
      <c r="K102" s="69"/>
      <c r="L102" s="516"/>
    </row>
    <row r="103" spans="2:12">
      <c r="B103" s="221"/>
      <c r="C103" s="225"/>
      <c r="D103" s="184"/>
      <c r="F103" s="221"/>
      <c r="G103" s="225"/>
      <c r="H103" s="181"/>
      <c r="J103" s="61"/>
      <c r="K103" s="69"/>
      <c r="L103" s="516"/>
    </row>
    <row r="104" spans="2:12">
      <c r="B104" s="221"/>
      <c r="C104" s="225"/>
      <c r="D104" s="184"/>
      <c r="F104" s="221"/>
      <c r="G104" s="225"/>
      <c r="H104" s="181"/>
      <c r="J104" s="61"/>
      <c r="K104" s="69"/>
      <c r="L104" s="516"/>
    </row>
    <row r="105" spans="2:12">
      <c r="B105" s="221"/>
      <c r="C105" s="225"/>
      <c r="D105" s="184"/>
      <c r="F105" s="221"/>
      <c r="G105" s="225"/>
      <c r="H105" s="181"/>
      <c r="J105" s="61"/>
      <c r="K105" s="69"/>
      <c r="L105" s="516"/>
    </row>
    <row r="106" spans="2:12">
      <c r="B106" s="221"/>
      <c r="C106" s="225"/>
      <c r="D106" s="184"/>
      <c r="F106" s="221"/>
      <c r="G106" s="225"/>
      <c r="H106" s="181"/>
      <c r="J106" s="61"/>
      <c r="K106" s="69"/>
      <c r="L106" s="516"/>
    </row>
    <row r="107" spans="2:12">
      <c r="B107" s="221"/>
      <c r="C107" s="225"/>
      <c r="D107" s="184"/>
      <c r="F107" s="221"/>
      <c r="G107" s="225"/>
      <c r="H107" s="181"/>
      <c r="J107" s="61"/>
      <c r="K107" s="69"/>
      <c r="L107" s="516"/>
    </row>
    <row r="108" spans="2:12">
      <c r="B108" s="221"/>
      <c r="C108" s="225"/>
      <c r="D108" s="184"/>
      <c r="F108" s="221"/>
      <c r="G108" s="225"/>
      <c r="H108" s="181"/>
      <c r="J108" s="61"/>
      <c r="K108" s="69"/>
      <c r="L108" s="516"/>
    </row>
    <row r="109" spans="2:12">
      <c r="B109" s="221"/>
      <c r="C109" s="225"/>
      <c r="D109" s="184"/>
      <c r="F109" s="221"/>
      <c r="G109" s="225"/>
      <c r="H109" s="181"/>
      <c r="J109" s="61"/>
      <c r="K109" s="69"/>
      <c r="L109" s="516"/>
    </row>
    <row r="110" spans="2:12">
      <c r="B110" s="221"/>
      <c r="C110" s="225"/>
      <c r="D110" s="184"/>
      <c r="F110" s="221"/>
      <c r="G110" s="225"/>
      <c r="H110" s="181"/>
      <c r="J110" s="61"/>
      <c r="K110" s="69"/>
      <c r="L110" s="516"/>
    </row>
    <row r="111" spans="2:12">
      <c r="B111" s="221"/>
      <c r="C111" s="225"/>
      <c r="D111" s="184"/>
      <c r="F111" s="221"/>
      <c r="G111" s="225"/>
      <c r="H111" s="181"/>
      <c r="J111" s="61"/>
      <c r="K111" s="69"/>
      <c r="L111" s="516"/>
    </row>
    <row r="112" spans="2:12">
      <c r="B112" s="221"/>
      <c r="C112" s="225"/>
      <c r="D112" s="184"/>
      <c r="F112" s="221"/>
      <c r="G112" s="225"/>
      <c r="H112" s="181"/>
      <c r="J112" s="61"/>
      <c r="K112" s="69"/>
      <c r="L112" s="516"/>
    </row>
    <row r="113" spans="2:12">
      <c r="B113" s="221"/>
      <c r="C113" s="225"/>
      <c r="D113" s="184"/>
      <c r="F113" s="221"/>
      <c r="G113" s="225"/>
      <c r="H113" s="181"/>
      <c r="J113" s="61"/>
      <c r="K113" s="69"/>
      <c r="L113" s="516"/>
    </row>
    <row r="114" spans="2:12">
      <c r="B114" s="221"/>
      <c r="C114" s="225"/>
      <c r="D114" s="184"/>
      <c r="F114" s="221"/>
      <c r="G114" s="225"/>
      <c r="H114" s="181"/>
      <c r="J114" s="61"/>
      <c r="K114" s="69"/>
      <c r="L114" s="516"/>
    </row>
    <row r="115" spans="2:12">
      <c r="B115" s="221"/>
      <c r="C115" s="225"/>
      <c r="D115" s="184"/>
      <c r="F115" s="221"/>
      <c r="G115" s="225"/>
      <c r="H115" s="181"/>
      <c r="J115" s="61"/>
      <c r="K115" s="69"/>
      <c r="L115" s="516"/>
    </row>
    <row r="116" spans="2:12">
      <c r="B116" s="221"/>
      <c r="C116" s="225"/>
      <c r="D116" s="184"/>
      <c r="F116" s="221"/>
      <c r="G116" s="225"/>
      <c r="H116" s="181"/>
      <c r="J116" s="61"/>
      <c r="K116" s="69"/>
      <c r="L116" s="516"/>
    </row>
    <row r="117" spans="2:12">
      <c r="B117" s="221"/>
      <c r="C117" s="225"/>
      <c r="D117" s="184"/>
      <c r="F117" s="221"/>
      <c r="G117" s="225"/>
      <c r="H117" s="181"/>
      <c r="J117" s="61"/>
      <c r="K117" s="69"/>
      <c r="L117" s="516"/>
    </row>
    <row r="118" spans="2:12">
      <c r="B118" s="221"/>
      <c r="C118" s="225"/>
      <c r="D118" s="184"/>
      <c r="F118" s="221"/>
      <c r="G118" s="225"/>
      <c r="H118" s="181"/>
      <c r="J118" s="61"/>
      <c r="K118" s="69"/>
      <c r="L118" s="516"/>
    </row>
    <row r="119" spans="2:12">
      <c r="B119" s="221"/>
      <c r="C119" s="225"/>
      <c r="D119" s="184"/>
      <c r="F119" s="221"/>
      <c r="G119" s="225"/>
      <c r="H119" s="181"/>
      <c r="J119" s="61"/>
      <c r="K119" s="69"/>
      <c r="L119" s="516"/>
    </row>
    <row r="120" spans="2:12">
      <c r="B120" s="221"/>
      <c r="C120" s="225"/>
      <c r="D120" s="184"/>
      <c r="F120" s="221"/>
      <c r="G120" s="225"/>
      <c r="H120" s="181"/>
      <c r="J120" s="61"/>
      <c r="K120" s="69"/>
      <c r="L120" s="516"/>
    </row>
    <row r="121" spans="2:12">
      <c r="B121" s="221"/>
      <c r="C121" s="225"/>
      <c r="D121" s="184"/>
      <c r="F121" s="221"/>
      <c r="G121" s="225"/>
      <c r="H121" s="181"/>
      <c r="J121" s="61"/>
      <c r="K121" s="69"/>
      <c r="L121" s="516"/>
    </row>
    <row r="122" spans="2:12" outlineLevel="1">
      <c r="B122" s="221"/>
      <c r="C122" s="225"/>
      <c r="D122" s="184"/>
      <c r="F122" s="221"/>
      <c r="G122" s="225"/>
      <c r="H122" s="181"/>
      <c r="J122" s="61"/>
      <c r="K122" s="69"/>
      <c r="L122" s="516"/>
    </row>
    <row r="123" spans="2:12" outlineLevel="1">
      <c r="B123" s="221"/>
      <c r="C123" s="225"/>
      <c r="D123" s="184"/>
      <c r="F123" s="221"/>
      <c r="G123" s="225"/>
      <c r="H123" s="181"/>
      <c r="J123" s="61"/>
      <c r="K123" s="69"/>
      <c r="L123" s="516"/>
    </row>
    <row r="124" spans="2:12" outlineLevel="1">
      <c r="B124" s="221"/>
      <c r="C124" s="225"/>
      <c r="D124" s="184"/>
      <c r="F124" s="221"/>
      <c r="G124" s="225"/>
      <c r="H124" s="181"/>
      <c r="J124" s="61"/>
      <c r="K124" s="69"/>
      <c r="L124" s="516"/>
    </row>
    <row r="125" spans="2:12" outlineLevel="1">
      <c r="B125" s="221"/>
      <c r="C125" s="225"/>
      <c r="D125" s="184"/>
      <c r="F125" s="221"/>
      <c r="G125" s="225"/>
      <c r="H125" s="181"/>
      <c r="J125" s="61"/>
      <c r="K125" s="69"/>
      <c r="L125" s="516"/>
    </row>
    <row r="126" spans="2:12" outlineLevel="1">
      <c r="B126" s="221"/>
      <c r="C126" s="225"/>
      <c r="D126" s="184"/>
      <c r="F126" s="221"/>
      <c r="G126" s="225"/>
      <c r="H126" s="181"/>
      <c r="J126" s="61"/>
      <c r="K126" s="69"/>
      <c r="L126" s="516"/>
    </row>
    <row r="127" spans="2:12" outlineLevel="1">
      <c r="B127" s="221"/>
      <c r="C127" s="225"/>
      <c r="D127" s="184"/>
      <c r="F127" s="221"/>
      <c r="G127" s="225"/>
      <c r="H127" s="181"/>
      <c r="J127" s="61"/>
      <c r="K127" s="69"/>
      <c r="L127" s="516"/>
    </row>
    <row r="128" spans="2:12" outlineLevel="1">
      <c r="B128" s="221"/>
      <c r="C128" s="225"/>
      <c r="D128" s="184"/>
      <c r="F128" s="221"/>
      <c r="G128" s="225"/>
      <c r="H128" s="181"/>
      <c r="J128" s="61"/>
      <c r="K128" s="69"/>
      <c r="L128" s="516"/>
    </row>
    <row r="129" spans="2:12" outlineLevel="1">
      <c r="B129" s="221"/>
      <c r="C129" s="225"/>
      <c r="D129" s="184"/>
      <c r="F129" s="221"/>
      <c r="G129" s="225"/>
      <c r="H129" s="181"/>
      <c r="J129" s="61"/>
      <c r="K129" s="69"/>
      <c r="L129" s="516"/>
    </row>
    <row r="130" spans="2:12" outlineLevel="1">
      <c r="B130" s="221"/>
      <c r="C130" s="225"/>
      <c r="D130" s="184"/>
      <c r="F130" s="221"/>
      <c r="G130" s="225"/>
      <c r="H130" s="181"/>
      <c r="J130" s="61"/>
      <c r="K130" s="69"/>
      <c r="L130" s="516"/>
    </row>
    <row r="131" spans="2:12" outlineLevel="1">
      <c r="B131" s="221"/>
      <c r="C131" s="225"/>
      <c r="D131" s="184"/>
      <c r="F131" s="221"/>
      <c r="G131" s="225"/>
      <c r="H131" s="181"/>
      <c r="J131" s="61"/>
      <c r="K131" s="69"/>
      <c r="L131" s="516"/>
    </row>
    <row r="132" spans="2:12" outlineLevel="1">
      <c r="B132" s="221"/>
      <c r="C132" s="225"/>
      <c r="D132" s="184"/>
      <c r="F132" s="221"/>
      <c r="G132" s="225"/>
      <c r="H132" s="181"/>
      <c r="J132" s="61"/>
      <c r="K132" s="69"/>
      <c r="L132" s="516"/>
    </row>
    <row r="133" spans="2:12" outlineLevel="1">
      <c r="B133" s="221"/>
      <c r="C133" s="225"/>
      <c r="D133" s="184"/>
      <c r="F133" s="221"/>
      <c r="G133" s="225"/>
      <c r="H133" s="181"/>
      <c r="J133" s="61"/>
      <c r="K133" s="69"/>
      <c r="L133" s="516"/>
    </row>
    <row r="134" spans="2:12" outlineLevel="1">
      <c r="B134" s="221"/>
      <c r="C134" s="225"/>
      <c r="D134" s="184"/>
      <c r="F134" s="221"/>
      <c r="G134" s="225"/>
      <c r="H134" s="181"/>
      <c r="J134" s="61"/>
      <c r="K134" s="69"/>
      <c r="L134" s="516"/>
    </row>
    <row r="135" spans="2:12" outlineLevel="1">
      <c r="B135" s="221"/>
      <c r="C135" s="225"/>
      <c r="D135" s="184"/>
      <c r="F135" s="221"/>
      <c r="G135" s="225"/>
      <c r="H135" s="181"/>
      <c r="J135" s="61"/>
      <c r="K135" s="69"/>
      <c r="L135" s="516"/>
    </row>
    <row r="136" spans="2:12" outlineLevel="1">
      <c r="B136" s="221"/>
      <c r="C136" s="225"/>
      <c r="D136" s="184"/>
      <c r="F136" s="221"/>
      <c r="G136" s="225"/>
      <c r="H136" s="181"/>
      <c r="J136" s="61"/>
      <c r="K136" s="69"/>
      <c r="L136" s="516"/>
    </row>
    <row r="137" spans="2:12" outlineLevel="1">
      <c r="B137" s="221"/>
      <c r="C137" s="225"/>
      <c r="D137" s="184"/>
      <c r="F137" s="221"/>
      <c r="G137" s="225"/>
      <c r="H137" s="181"/>
      <c r="J137" s="61"/>
      <c r="K137" s="69"/>
      <c r="L137" s="516"/>
    </row>
    <row r="138" spans="2:12" outlineLevel="1">
      <c r="B138" s="221"/>
      <c r="C138" s="225"/>
      <c r="D138" s="184"/>
      <c r="F138" s="221"/>
      <c r="G138" s="225"/>
      <c r="H138" s="181"/>
      <c r="J138" s="61"/>
      <c r="K138" s="69"/>
      <c r="L138" s="516"/>
    </row>
    <row r="139" spans="2:12" outlineLevel="1">
      <c r="B139" s="221"/>
      <c r="C139" s="225"/>
      <c r="D139" s="184"/>
      <c r="F139" s="221"/>
      <c r="G139" s="225"/>
      <c r="H139" s="181"/>
      <c r="J139" s="61"/>
      <c r="K139" s="69"/>
      <c r="L139" s="516"/>
    </row>
    <row r="140" spans="2:12" outlineLevel="1">
      <c r="B140" s="221"/>
      <c r="C140" s="225"/>
      <c r="D140" s="184"/>
      <c r="F140" s="221"/>
      <c r="G140" s="225"/>
      <c r="H140" s="181"/>
      <c r="J140" s="61"/>
      <c r="K140" s="69"/>
      <c r="L140" s="516"/>
    </row>
    <row r="141" spans="2:12" outlineLevel="1">
      <c r="B141" s="221"/>
      <c r="C141" s="225"/>
      <c r="D141" s="184"/>
      <c r="F141" s="221"/>
      <c r="G141" s="225"/>
      <c r="H141" s="181"/>
      <c r="J141" s="61"/>
      <c r="K141" s="69"/>
      <c r="L141" s="516"/>
    </row>
    <row r="142" spans="2:12" outlineLevel="1">
      <c r="B142" s="221"/>
      <c r="C142" s="225"/>
      <c r="D142" s="184"/>
      <c r="F142" s="221"/>
      <c r="G142" s="225"/>
      <c r="H142" s="181"/>
      <c r="J142" s="61"/>
      <c r="K142" s="69"/>
      <c r="L142" s="516"/>
    </row>
    <row r="143" spans="2:12" outlineLevel="1">
      <c r="B143" s="221"/>
      <c r="C143" s="225"/>
      <c r="D143" s="184"/>
      <c r="F143" s="221"/>
      <c r="G143" s="225"/>
      <c r="H143" s="181"/>
      <c r="J143" s="61"/>
      <c r="K143" s="69"/>
      <c r="L143" s="516"/>
    </row>
    <row r="144" spans="2:12" outlineLevel="1">
      <c r="B144" s="221"/>
      <c r="C144" s="225"/>
      <c r="D144" s="184"/>
      <c r="F144" s="221"/>
      <c r="G144" s="225"/>
      <c r="H144" s="181"/>
      <c r="J144" s="61"/>
      <c r="K144" s="69"/>
      <c r="L144" s="516"/>
    </row>
    <row r="145" spans="2:12" outlineLevel="1">
      <c r="B145" s="221"/>
      <c r="C145" s="225"/>
      <c r="D145" s="184"/>
      <c r="F145" s="221"/>
      <c r="G145" s="225"/>
      <c r="H145" s="181"/>
      <c r="J145" s="61"/>
      <c r="K145" s="69"/>
      <c r="L145" s="516"/>
    </row>
    <row r="146" spans="2:12" outlineLevel="1">
      <c r="B146" s="221"/>
      <c r="C146" s="225"/>
      <c r="D146" s="184"/>
      <c r="F146" s="221"/>
      <c r="G146" s="225"/>
      <c r="H146" s="181"/>
      <c r="J146" s="61"/>
      <c r="K146" s="69"/>
      <c r="L146" s="516"/>
    </row>
    <row r="147" spans="2:12" outlineLevel="1">
      <c r="B147" s="221"/>
      <c r="C147" s="225"/>
      <c r="D147" s="184"/>
      <c r="F147" s="221"/>
      <c r="G147" s="225"/>
      <c r="H147" s="181"/>
      <c r="J147" s="61"/>
      <c r="K147" s="69"/>
      <c r="L147" s="516"/>
    </row>
    <row r="148" spans="2:12" outlineLevel="1">
      <c r="B148" s="221"/>
      <c r="C148" s="225"/>
      <c r="D148" s="184"/>
      <c r="F148" s="221"/>
      <c r="G148" s="225"/>
      <c r="H148" s="181"/>
      <c r="J148" s="61"/>
      <c r="K148" s="69"/>
      <c r="L148" s="516"/>
    </row>
    <row r="149" spans="2:12" outlineLevel="1">
      <c r="B149" s="221"/>
      <c r="C149" s="225"/>
      <c r="D149" s="184"/>
      <c r="F149" s="221"/>
      <c r="G149" s="225"/>
      <c r="H149" s="181"/>
      <c r="J149" s="61"/>
      <c r="K149" s="69"/>
      <c r="L149" s="516"/>
    </row>
    <row r="150" spans="2:12" outlineLevel="1">
      <c r="B150" s="221"/>
      <c r="C150" s="225"/>
      <c r="D150" s="184"/>
      <c r="F150" s="221"/>
      <c r="G150" s="225"/>
      <c r="H150" s="181"/>
      <c r="J150" s="61"/>
      <c r="K150" s="69"/>
      <c r="L150" s="516"/>
    </row>
    <row r="151" spans="2:12" outlineLevel="1">
      <c r="B151" s="221"/>
      <c r="C151" s="225"/>
      <c r="D151" s="184"/>
      <c r="F151" s="221"/>
      <c r="G151" s="225"/>
      <c r="H151" s="181"/>
      <c r="J151" s="61"/>
      <c r="K151" s="69"/>
      <c r="L151" s="516"/>
    </row>
    <row r="152" spans="2:12" outlineLevel="1">
      <c r="B152" s="221"/>
      <c r="C152" s="225"/>
      <c r="D152" s="184"/>
      <c r="F152" s="221"/>
      <c r="G152" s="225"/>
      <c r="H152" s="181"/>
      <c r="J152" s="61"/>
      <c r="K152" s="69"/>
      <c r="L152" s="516"/>
    </row>
    <row r="153" spans="2:12" outlineLevel="1">
      <c r="B153" s="221"/>
      <c r="C153" s="225"/>
      <c r="D153" s="184"/>
      <c r="F153" s="221"/>
      <c r="G153" s="225"/>
      <c r="H153" s="181"/>
      <c r="J153" s="61"/>
      <c r="K153" s="69"/>
      <c r="L153" s="516"/>
    </row>
    <row r="154" spans="2:12" outlineLevel="1">
      <c r="B154" s="221"/>
      <c r="C154" s="225"/>
      <c r="D154" s="184"/>
      <c r="F154" s="221"/>
      <c r="G154" s="225"/>
      <c r="H154" s="181"/>
      <c r="J154" s="61"/>
      <c r="K154" s="69"/>
      <c r="L154" s="516"/>
    </row>
    <row r="155" spans="2:12" outlineLevel="1">
      <c r="B155" s="221"/>
      <c r="C155" s="225"/>
      <c r="D155" s="184"/>
      <c r="F155" s="221"/>
      <c r="G155" s="225"/>
      <c r="H155" s="181"/>
      <c r="J155" s="61"/>
      <c r="K155" s="69"/>
      <c r="L155" s="516"/>
    </row>
    <row r="156" spans="2:12" outlineLevel="1">
      <c r="B156" s="221"/>
      <c r="C156" s="225"/>
      <c r="D156" s="184"/>
      <c r="F156" s="221"/>
      <c r="G156" s="225"/>
      <c r="H156" s="181"/>
      <c r="J156" s="61"/>
      <c r="K156" s="69"/>
      <c r="L156" s="516"/>
    </row>
    <row r="157" spans="2:12" outlineLevel="1">
      <c r="B157" s="221"/>
      <c r="C157" s="225"/>
      <c r="D157" s="184"/>
      <c r="F157" s="221"/>
      <c r="G157" s="225"/>
      <c r="H157" s="181"/>
      <c r="J157" s="61"/>
      <c r="K157" s="69"/>
      <c r="L157" s="516"/>
    </row>
    <row r="158" spans="2:12" outlineLevel="1">
      <c r="B158" s="221"/>
      <c r="C158" s="225"/>
      <c r="D158" s="184"/>
      <c r="F158" s="221"/>
      <c r="G158" s="225"/>
      <c r="H158" s="181"/>
      <c r="J158" s="61"/>
      <c r="K158" s="69"/>
      <c r="L158" s="516"/>
    </row>
    <row r="159" spans="2:12" outlineLevel="1">
      <c r="B159" s="221"/>
      <c r="C159" s="225"/>
      <c r="D159" s="184"/>
      <c r="F159" s="221"/>
      <c r="G159" s="225"/>
      <c r="H159" s="181"/>
    </row>
    <row r="160" spans="2:12" outlineLevel="1">
      <c r="B160" s="221"/>
      <c r="C160" s="225"/>
      <c r="D160" s="184"/>
      <c r="F160" s="221"/>
      <c r="G160" s="225"/>
      <c r="H160" s="181"/>
    </row>
    <row r="161" spans="2:8" outlineLevel="1">
      <c r="B161" s="221"/>
      <c r="C161" s="225"/>
      <c r="D161" s="184"/>
      <c r="F161" s="221"/>
      <c r="G161" s="225"/>
      <c r="H161" s="181"/>
    </row>
    <row r="162" spans="2:8" outlineLevel="1">
      <c r="B162" s="221"/>
      <c r="C162" s="225"/>
      <c r="D162" s="184"/>
      <c r="F162" s="221"/>
      <c r="G162" s="225"/>
      <c r="H162" s="181"/>
    </row>
    <row r="163" spans="2:8" outlineLevel="1">
      <c r="B163" s="221"/>
      <c r="C163" s="225"/>
      <c r="D163" s="184"/>
      <c r="F163" s="221"/>
      <c r="G163" s="225"/>
      <c r="H163" s="181"/>
    </row>
    <row r="164" spans="2:8" outlineLevel="1">
      <c r="B164" s="221"/>
      <c r="C164" s="225"/>
      <c r="D164" s="184"/>
      <c r="F164" s="221"/>
      <c r="G164" s="225"/>
      <c r="H164" s="181"/>
    </row>
    <row r="165" spans="2:8" outlineLevel="1">
      <c r="B165" s="221"/>
      <c r="C165" s="225"/>
      <c r="D165" s="184"/>
      <c r="F165" s="221"/>
      <c r="G165" s="225"/>
      <c r="H165" s="181"/>
    </row>
    <row r="166" spans="2:8" outlineLevel="1">
      <c r="B166" s="221"/>
      <c r="C166" s="225"/>
      <c r="D166" s="184"/>
      <c r="F166" s="221"/>
      <c r="G166" s="225"/>
      <c r="H166" s="181"/>
    </row>
    <row r="167" spans="2:8" outlineLevel="1">
      <c r="B167" s="221"/>
      <c r="C167" s="225"/>
      <c r="D167" s="184"/>
      <c r="F167" s="221"/>
      <c r="G167" s="225"/>
      <c r="H167" s="181"/>
    </row>
    <row r="168" spans="2:8" outlineLevel="1">
      <c r="B168" s="221"/>
      <c r="C168" s="225"/>
      <c r="D168" s="184"/>
      <c r="F168" s="221"/>
      <c r="G168" s="225"/>
      <c r="H168" s="181"/>
    </row>
    <row r="169" spans="2:8" outlineLevel="1">
      <c r="B169" s="221"/>
      <c r="C169" s="225"/>
      <c r="D169" s="184"/>
      <c r="F169" s="221"/>
      <c r="G169" s="225"/>
      <c r="H169" s="181"/>
    </row>
    <row r="170" spans="2:8" outlineLevel="1">
      <c r="B170" s="221"/>
      <c r="C170" s="225"/>
      <c r="D170" s="184"/>
      <c r="F170" s="221"/>
      <c r="G170" s="225"/>
      <c r="H170" s="181"/>
    </row>
    <row r="171" spans="2:8" outlineLevel="1">
      <c r="B171" s="221"/>
      <c r="C171" s="225"/>
      <c r="D171" s="184"/>
      <c r="F171" s="221"/>
      <c r="G171" s="225"/>
      <c r="H171" s="181"/>
    </row>
    <row r="172" spans="2:8" outlineLevel="1">
      <c r="B172" s="221"/>
      <c r="C172" s="225"/>
      <c r="D172" s="184"/>
      <c r="F172" s="221"/>
      <c r="G172" s="225"/>
      <c r="H172" s="181"/>
    </row>
    <row r="173" spans="2:8" outlineLevel="1">
      <c r="B173" s="221"/>
      <c r="C173" s="225"/>
      <c r="D173" s="184"/>
      <c r="F173" s="221"/>
      <c r="G173" s="225"/>
      <c r="H173" s="181"/>
    </row>
    <row r="174" spans="2:8" outlineLevel="1">
      <c r="B174" s="221"/>
      <c r="C174" s="225"/>
      <c r="D174" s="184"/>
      <c r="F174" s="221"/>
      <c r="G174" s="225"/>
      <c r="H174" s="181"/>
    </row>
    <row r="175" spans="2:8" outlineLevel="1">
      <c r="B175" s="221"/>
      <c r="C175" s="225"/>
      <c r="D175" s="184"/>
      <c r="F175" s="221"/>
      <c r="G175" s="225"/>
      <c r="H175" s="181"/>
    </row>
    <row r="176" spans="2:8" outlineLevel="1">
      <c r="B176" s="221"/>
      <c r="C176" s="225"/>
      <c r="D176" s="184"/>
      <c r="F176" s="221"/>
      <c r="G176" s="225"/>
      <c r="H176" s="181"/>
    </row>
    <row r="177" spans="2:8" outlineLevel="1">
      <c r="B177" s="221"/>
      <c r="C177" s="225"/>
      <c r="D177" s="184"/>
      <c r="F177" s="221"/>
      <c r="G177" s="225"/>
      <c r="H177" s="181"/>
    </row>
    <row r="178" spans="2:8" outlineLevel="1">
      <c r="B178" s="221"/>
      <c r="C178" s="225"/>
      <c r="D178" s="184"/>
      <c r="F178" s="221"/>
      <c r="G178" s="225"/>
      <c r="H178" s="181"/>
    </row>
    <row r="179" spans="2:8" outlineLevel="1">
      <c r="B179" s="221"/>
      <c r="C179" s="225"/>
      <c r="D179" s="184"/>
      <c r="F179" s="221"/>
      <c r="G179" s="225"/>
      <c r="H179" s="181"/>
    </row>
    <row r="180" spans="2:8" outlineLevel="1">
      <c r="B180" s="221"/>
      <c r="C180" s="225"/>
      <c r="D180" s="184"/>
      <c r="F180" s="221"/>
      <c r="G180" s="225"/>
      <c r="H180" s="181"/>
    </row>
    <row r="181" spans="2:8" outlineLevel="1">
      <c r="B181" s="221"/>
      <c r="C181" s="225"/>
      <c r="D181" s="184"/>
      <c r="F181" s="221"/>
      <c r="G181" s="225"/>
      <c r="H181" s="181"/>
    </row>
    <row r="182" spans="2:8" outlineLevel="1">
      <c r="B182" s="221"/>
      <c r="C182" s="225"/>
      <c r="D182" s="184"/>
      <c r="F182" s="221"/>
      <c r="G182" s="225"/>
      <c r="H182" s="181"/>
    </row>
    <row r="183" spans="2:8" outlineLevel="1">
      <c r="B183" s="221"/>
      <c r="C183" s="225"/>
      <c r="D183" s="184"/>
      <c r="F183" s="221"/>
      <c r="G183" s="225"/>
      <c r="H183" s="181"/>
    </row>
    <row r="184" spans="2:8" outlineLevel="1">
      <c r="B184" s="221"/>
      <c r="C184" s="225"/>
      <c r="D184" s="184"/>
      <c r="F184" s="221"/>
      <c r="G184" s="225"/>
      <c r="H184" s="181"/>
    </row>
    <row r="185" spans="2:8" outlineLevel="1">
      <c r="B185" s="221"/>
      <c r="C185" s="225"/>
      <c r="D185" s="184"/>
      <c r="F185" s="221"/>
      <c r="G185" s="225"/>
      <c r="H185" s="181"/>
    </row>
    <row r="186" spans="2:8" outlineLevel="1">
      <c r="B186" s="221"/>
      <c r="C186" s="225"/>
      <c r="D186" s="184"/>
      <c r="F186" s="221"/>
      <c r="G186" s="225"/>
      <c r="H186" s="181"/>
    </row>
    <row r="187" spans="2:8" outlineLevel="1">
      <c r="B187" s="221"/>
      <c r="C187" s="225"/>
      <c r="D187" s="184"/>
      <c r="F187" s="221"/>
      <c r="G187" s="225"/>
      <c r="H187" s="181"/>
    </row>
    <row r="188" spans="2:8" outlineLevel="1">
      <c r="B188" s="221"/>
      <c r="C188" s="225"/>
      <c r="D188" s="184"/>
      <c r="F188" s="221"/>
      <c r="G188" s="225"/>
      <c r="H188" s="181"/>
    </row>
    <row r="189" spans="2:8" outlineLevel="1">
      <c r="B189" s="221"/>
      <c r="C189" s="225"/>
      <c r="D189" s="184"/>
      <c r="F189" s="221"/>
      <c r="G189" s="225"/>
      <c r="H189" s="181"/>
    </row>
    <row r="190" spans="2:8" outlineLevel="1">
      <c r="B190" s="221"/>
      <c r="C190" s="225"/>
      <c r="D190" s="184"/>
      <c r="F190" s="221"/>
      <c r="G190" s="225"/>
      <c r="H190" s="181"/>
    </row>
    <row r="191" spans="2:8" outlineLevel="1">
      <c r="B191" s="221"/>
      <c r="C191" s="225"/>
      <c r="D191" s="184"/>
      <c r="F191" s="221"/>
      <c r="G191" s="225"/>
      <c r="H191" s="181"/>
    </row>
    <row r="192" spans="2:8" outlineLevel="1">
      <c r="B192" s="221"/>
      <c r="C192" s="225"/>
      <c r="D192" s="184"/>
      <c r="F192" s="221"/>
      <c r="G192" s="225"/>
      <c r="H192" s="181"/>
    </row>
    <row r="193" spans="2:8" outlineLevel="1">
      <c r="B193" s="221"/>
      <c r="C193" s="225"/>
      <c r="D193" s="184"/>
      <c r="F193" s="221"/>
      <c r="G193" s="225"/>
      <c r="H193" s="181"/>
    </row>
    <row r="194" spans="2:8" outlineLevel="1">
      <c r="B194" s="221"/>
      <c r="C194" s="225"/>
      <c r="D194" s="184"/>
      <c r="F194" s="221"/>
      <c r="G194" s="225"/>
      <c r="H194" s="181"/>
    </row>
    <row r="195" spans="2:8" outlineLevel="1">
      <c r="B195" s="221"/>
      <c r="C195" s="225"/>
      <c r="D195" s="184"/>
      <c r="F195" s="221"/>
      <c r="G195" s="225"/>
      <c r="H195" s="181"/>
    </row>
    <row r="196" spans="2:8" outlineLevel="1">
      <c r="B196" s="221"/>
      <c r="C196" s="225"/>
      <c r="D196" s="184"/>
      <c r="F196" s="221"/>
      <c r="G196" s="225"/>
      <c r="H196" s="181"/>
    </row>
    <row r="197" spans="2:8" outlineLevel="1">
      <c r="B197" s="221"/>
      <c r="C197" s="225"/>
      <c r="D197" s="184"/>
      <c r="F197" s="221"/>
      <c r="G197" s="225"/>
      <c r="H197" s="181"/>
    </row>
    <row r="198" spans="2:8" outlineLevel="1">
      <c r="B198" s="221"/>
      <c r="C198" s="225"/>
      <c r="D198" s="184"/>
      <c r="F198" s="221"/>
      <c r="G198" s="225"/>
      <c r="H198" s="181"/>
    </row>
    <row r="199" spans="2:8" outlineLevel="1">
      <c r="B199" s="221"/>
      <c r="C199" s="225"/>
      <c r="D199" s="184"/>
      <c r="F199" s="221"/>
      <c r="G199" s="225"/>
      <c r="H199" s="181"/>
    </row>
    <row r="200" spans="2:8" outlineLevel="1">
      <c r="B200" s="221"/>
      <c r="C200" s="225"/>
      <c r="D200" s="184"/>
      <c r="F200" s="221"/>
      <c r="G200" s="225"/>
      <c r="H200" s="181"/>
    </row>
    <row r="201" spans="2:8" outlineLevel="1">
      <c r="B201" s="221"/>
      <c r="C201" s="225"/>
      <c r="D201" s="184"/>
      <c r="F201" s="221"/>
      <c r="G201" s="225"/>
      <c r="H201" s="181"/>
    </row>
    <row r="202" spans="2:8" outlineLevel="1">
      <c r="B202" s="221"/>
      <c r="C202" s="225"/>
      <c r="D202" s="184"/>
      <c r="F202" s="221"/>
      <c r="G202" s="225"/>
      <c r="H202" s="181"/>
    </row>
    <row r="203" spans="2:8" outlineLevel="1">
      <c r="B203" s="221"/>
      <c r="C203" s="225"/>
      <c r="D203" s="184"/>
      <c r="F203" s="221"/>
      <c r="G203" s="225"/>
      <c r="H203" s="181"/>
    </row>
    <row r="204" spans="2:8" outlineLevel="1">
      <c r="B204" s="221"/>
      <c r="C204" s="225"/>
      <c r="D204" s="184"/>
      <c r="F204" s="221"/>
      <c r="G204" s="225"/>
      <c r="H204" s="181"/>
    </row>
    <row r="205" spans="2:8" outlineLevel="1">
      <c r="B205" s="221"/>
      <c r="C205" s="225"/>
      <c r="D205" s="184"/>
      <c r="F205" s="221"/>
      <c r="G205" s="225"/>
      <c r="H205" s="181"/>
    </row>
    <row r="206" spans="2:8" outlineLevel="1">
      <c r="B206" s="221"/>
      <c r="C206" s="225"/>
      <c r="D206" s="184"/>
      <c r="F206" s="221"/>
      <c r="G206" s="225"/>
      <c r="H206" s="181"/>
    </row>
    <row r="207" spans="2:8" outlineLevel="1">
      <c r="B207" s="221"/>
      <c r="C207" s="225"/>
      <c r="D207" s="184"/>
      <c r="F207" s="221"/>
      <c r="G207" s="225"/>
      <c r="H207" s="181"/>
    </row>
    <row r="208" spans="2:8" outlineLevel="1">
      <c r="B208" s="221"/>
      <c r="C208" s="225"/>
      <c r="D208" s="184"/>
      <c r="F208" s="221"/>
      <c r="G208" s="225"/>
      <c r="H208" s="181"/>
    </row>
    <row r="209" spans="2:8" outlineLevel="1">
      <c r="B209" s="221"/>
      <c r="C209" s="225"/>
      <c r="D209" s="184"/>
      <c r="F209" s="221"/>
      <c r="G209" s="225"/>
      <c r="H209" s="181"/>
    </row>
    <row r="210" spans="2:8" outlineLevel="1">
      <c r="B210" s="221"/>
      <c r="C210" s="225"/>
      <c r="D210" s="184"/>
      <c r="F210" s="221"/>
      <c r="G210" s="225"/>
      <c r="H210" s="181"/>
    </row>
    <row r="211" spans="2:8" outlineLevel="1">
      <c r="B211" s="221"/>
      <c r="C211" s="225"/>
      <c r="D211" s="184"/>
      <c r="F211" s="221"/>
      <c r="G211" s="225"/>
      <c r="H211" s="181"/>
    </row>
    <row r="212" spans="2:8" outlineLevel="1">
      <c r="B212" s="221"/>
      <c r="C212" s="225"/>
      <c r="D212" s="184"/>
      <c r="F212" s="221"/>
      <c r="G212" s="225"/>
      <c r="H212" s="181"/>
    </row>
    <row r="213" spans="2:8" outlineLevel="1">
      <c r="B213" s="221"/>
      <c r="C213" s="225"/>
      <c r="D213" s="184"/>
      <c r="F213" s="221"/>
      <c r="G213" s="225"/>
      <c r="H213" s="181"/>
    </row>
    <row r="214" spans="2:8" outlineLevel="1">
      <c r="B214" s="221"/>
      <c r="C214" s="225"/>
      <c r="D214" s="184"/>
      <c r="F214" s="221"/>
      <c r="G214" s="225"/>
      <c r="H214" s="181"/>
    </row>
    <row r="215" spans="2:8" outlineLevel="1">
      <c r="B215" s="221"/>
      <c r="C215" s="225"/>
      <c r="D215" s="184"/>
      <c r="F215" s="221"/>
      <c r="G215" s="225"/>
      <c r="H215" s="181"/>
    </row>
    <row r="216" spans="2:8" outlineLevel="1">
      <c r="B216" s="221"/>
      <c r="C216" s="225"/>
      <c r="D216" s="184"/>
      <c r="F216" s="221"/>
      <c r="G216" s="225"/>
      <c r="H216" s="181"/>
    </row>
    <row r="217" spans="2:8" outlineLevel="1">
      <c r="B217" s="221"/>
      <c r="C217" s="225"/>
      <c r="D217" s="184"/>
      <c r="F217" s="221"/>
      <c r="G217" s="225"/>
      <c r="H217" s="181"/>
    </row>
    <row r="218" spans="2:8" outlineLevel="1">
      <c r="B218" s="221"/>
      <c r="C218" s="225"/>
      <c r="D218" s="184"/>
      <c r="F218" s="221"/>
      <c r="G218" s="225"/>
      <c r="H218" s="181"/>
    </row>
    <row r="219" spans="2:8" outlineLevel="1">
      <c r="B219" s="221"/>
      <c r="C219" s="225"/>
      <c r="D219" s="184"/>
      <c r="F219" s="221"/>
      <c r="G219" s="225"/>
      <c r="H219" s="181"/>
    </row>
    <row r="220" spans="2:8" outlineLevel="1">
      <c r="B220" s="221"/>
      <c r="C220" s="225"/>
      <c r="D220" s="184"/>
      <c r="F220" s="221"/>
      <c r="G220" s="225"/>
      <c r="H220" s="181"/>
    </row>
    <row r="221" spans="2:8" outlineLevel="1">
      <c r="B221" s="221"/>
      <c r="C221" s="225"/>
      <c r="D221" s="184"/>
      <c r="F221" s="221"/>
      <c r="G221" s="225"/>
      <c r="H221" s="181"/>
    </row>
    <row r="222" spans="2:8" outlineLevel="1">
      <c r="B222" s="221"/>
      <c r="C222" s="225"/>
      <c r="D222" s="184"/>
      <c r="F222" s="221"/>
      <c r="G222" s="225"/>
      <c r="H222" s="181"/>
    </row>
    <row r="223" spans="2:8" outlineLevel="1">
      <c r="B223" s="221"/>
      <c r="C223" s="225"/>
      <c r="D223" s="184"/>
      <c r="F223" s="221"/>
      <c r="G223" s="225"/>
      <c r="H223" s="181"/>
    </row>
    <row r="224" spans="2:8" outlineLevel="1">
      <c r="B224" s="221"/>
      <c r="C224" s="225"/>
      <c r="D224" s="184"/>
      <c r="F224" s="221"/>
      <c r="G224" s="225"/>
      <c r="H224" s="181"/>
    </row>
    <row r="225" spans="2:8" outlineLevel="1">
      <c r="B225" s="221"/>
      <c r="C225" s="225"/>
      <c r="D225" s="184"/>
      <c r="F225" s="221"/>
      <c r="G225" s="225"/>
      <c r="H225" s="181"/>
    </row>
    <row r="226" spans="2:8" outlineLevel="1">
      <c r="B226" s="221"/>
      <c r="C226" s="225"/>
      <c r="D226" s="184"/>
      <c r="F226" s="221"/>
      <c r="G226" s="225"/>
      <c r="H226" s="181"/>
    </row>
    <row r="227" spans="2:8" outlineLevel="1">
      <c r="B227" s="221"/>
      <c r="C227" s="225"/>
      <c r="D227" s="184"/>
      <c r="F227" s="221"/>
      <c r="G227" s="225"/>
      <c r="H227" s="181"/>
    </row>
    <row r="228" spans="2:8" outlineLevel="1">
      <c r="B228" s="221"/>
      <c r="C228" s="225"/>
      <c r="D228" s="184"/>
      <c r="F228" s="221"/>
      <c r="G228" s="225"/>
      <c r="H228" s="181"/>
    </row>
    <row r="229" spans="2:8" outlineLevel="1">
      <c r="B229" s="221"/>
      <c r="C229" s="225"/>
      <c r="D229" s="184"/>
      <c r="F229" s="221"/>
      <c r="G229" s="225"/>
      <c r="H229" s="181"/>
    </row>
    <row r="230" spans="2:8" outlineLevel="1">
      <c r="B230" s="221"/>
      <c r="C230" s="225"/>
      <c r="D230" s="184"/>
      <c r="F230" s="221"/>
      <c r="G230" s="225"/>
      <c r="H230" s="181"/>
    </row>
    <row r="231" spans="2:8" outlineLevel="1">
      <c r="B231" s="221"/>
      <c r="C231" s="225"/>
      <c r="D231" s="184"/>
      <c r="F231" s="221"/>
      <c r="G231" s="225"/>
      <c r="H231" s="181"/>
    </row>
    <row r="232" spans="2:8" outlineLevel="1">
      <c r="B232" s="221"/>
      <c r="C232" s="225"/>
      <c r="D232" s="184"/>
      <c r="F232" s="221"/>
      <c r="G232" s="225"/>
      <c r="H232" s="181"/>
    </row>
    <row r="233" spans="2:8" outlineLevel="1">
      <c r="B233" s="221"/>
      <c r="C233" s="225"/>
      <c r="D233" s="184"/>
      <c r="F233" s="221"/>
      <c r="G233" s="225"/>
      <c r="H233" s="181"/>
    </row>
    <row r="234" spans="2:8" outlineLevel="1">
      <c r="B234" s="221"/>
      <c r="C234" s="225"/>
      <c r="D234" s="184"/>
      <c r="F234" s="221"/>
      <c r="G234" s="225"/>
      <c r="H234" s="181"/>
    </row>
    <row r="235" spans="2:8" outlineLevel="1">
      <c r="B235" s="221"/>
      <c r="C235" s="225"/>
      <c r="D235" s="184"/>
      <c r="F235" s="221"/>
      <c r="G235" s="225"/>
      <c r="H235" s="181"/>
    </row>
    <row r="236" spans="2:8" outlineLevel="1">
      <c r="B236" s="221"/>
      <c r="C236" s="225"/>
      <c r="D236" s="184"/>
      <c r="F236" s="221"/>
      <c r="G236" s="225"/>
      <c r="H236" s="181"/>
    </row>
    <row r="237" spans="2:8" outlineLevel="1">
      <c r="B237" s="221"/>
      <c r="C237" s="225"/>
      <c r="D237" s="184"/>
      <c r="F237" s="221"/>
      <c r="G237" s="225"/>
      <c r="H237" s="181"/>
    </row>
    <row r="238" spans="2:8" outlineLevel="1">
      <c r="B238" s="221"/>
      <c r="C238" s="225"/>
      <c r="D238" s="184"/>
      <c r="F238" s="221"/>
      <c r="G238" s="225"/>
      <c r="H238" s="181"/>
    </row>
    <row r="239" spans="2:8" outlineLevel="1">
      <c r="B239" s="221"/>
      <c r="C239" s="225"/>
      <c r="D239" s="184"/>
      <c r="F239" s="221"/>
      <c r="G239" s="225"/>
      <c r="H239" s="181"/>
    </row>
    <row r="240" spans="2:8" outlineLevel="1">
      <c r="B240" s="221"/>
      <c r="C240" s="225"/>
      <c r="D240" s="184"/>
      <c r="F240" s="221"/>
      <c r="G240" s="225"/>
      <c r="H240" s="181"/>
    </row>
    <row r="241" spans="2:8" outlineLevel="1">
      <c r="B241" s="221"/>
      <c r="C241" s="225"/>
      <c r="D241" s="184"/>
      <c r="F241" s="221"/>
      <c r="G241" s="225"/>
      <c r="H241" s="181"/>
    </row>
    <row r="242" spans="2:8" outlineLevel="1">
      <c r="B242" s="221"/>
      <c r="C242" s="225"/>
      <c r="D242" s="184"/>
      <c r="F242" s="221"/>
      <c r="G242" s="225"/>
      <c r="H242" s="181"/>
    </row>
    <row r="243" spans="2:8" outlineLevel="1">
      <c r="B243" s="221"/>
      <c r="C243" s="225"/>
      <c r="D243" s="184"/>
      <c r="F243" s="221"/>
      <c r="G243" s="225"/>
      <c r="H243" s="181"/>
    </row>
    <row r="244" spans="2:8" outlineLevel="1">
      <c r="B244" s="221"/>
      <c r="C244" s="225"/>
      <c r="D244" s="184"/>
      <c r="F244" s="221"/>
      <c r="G244" s="225"/>
      <c r="H244" s="181"/>
    </row>
    <row r="245" spans="2:8" outlineLevel="1">
      <c r="B245" s="221"/>
      <c r="C245" s="225"/>
      <c r="D245" s="184"/>
      <c r="F245" s="221"/>
      <c r="G245" s="225"/>
      <c r="H245" s="181"/>
    </row>
    <row r="246" spans="2:8" outlineLevel="1">
      <c r="B246" s="221"/>
      <c r="C246" s="225"/>
      <c r="D246" s="184"/>
      <c r="F246" s="221"/>
      <c r="G246" s="225"/>
      <c r="H246" s="181"/>
    </row>
    <row r="247" spans="2:8" outlineLevel="1">
      <c r="B247" s="221"/>
      <c r="C247" s="225"/>
      <c r="D247" s="184"/>
      <c r="F247" s="221"/>
      <c r="G247" s="225"/>
      <c r="H247" s="181"/>
    </row>
    <row r="248" spans="2:8" outlineLevel="1">
      <c r="B248" s="221"/>
      <c r="C248" s="225"/>
      <c r="D248" s="184"/>
      <c r="F248" s="221"/>
      <c r="G248" s="225"/>
      <c r="H248" s="181"/>
    </row>
    <row r="249" spans="2:8" outlineLevel="1">
      <c r="B249" s="221"/>
      <c r="C249" s="225"/>
      <c r="D249" s="184"/>
      <c r="F249" s="221"/>
      <c r="G249" s="225"/>
      <c r="H249" s="181"/>
    </row>
    <row r="250" spans="2:8" outlineLevel="1">
      <c r="B250" s="221"/>
      <c r="C250" s="225"/>
      <c r="D250" s="184"/>
      <c r="F250" s="221"/>
      <c r="G250" s="225"/>
      <c r="H250" s="181"/>
    </row>
    <row r="251" spans="2:8" outlineLevel="1">
      <c r="B251" s="221"/>
      <c r="C251" s="225"/>
      <c r="D251" s="184"/>
      <c r="F251" s="221"/>
      <c r="G251" s="225"/>
      <c r="H251" s="181"/>
    </row>
    <row r="252" spans="2:8" outlineLevel="1">
      <c r="B252" s="221"/>
      <c r="C252" s="225"/>
      <c r="D252" s="184"/>
      <c r="F252" s="221"/>
      <c r="G252" s="225"/>
      <c r="H252" s="181"/>
    </row>
    <row r="253" spans="2:8" outlineLevel="1">
      <c r="B253" s="221"/>
      <c r="C253" s="225"/>
      <c r="D253" s="184"/>
      <c r="F253" s="221"/>
      <c r="G253" s="225"/>
      <c r="H253" s="181"/>
    </row>
    <row r="254" spans="2:8" outlineLevel="1">
      <c r="B254" s="221"/>
      <c r="C254" s="225"/>
      <c r="D254" s="184"/>
      <c r="F254" s="221"/>
      <c r="G254" s="225"/>
      <c r="H254" s="181"/>
    </row>
    <row r="255" spans="2:8" outlineLevel="1">
      <c r="B255" s="221"/>
      <c r="C255" s="225"/>
      <c r="D255" s="184"/>
      <c r="F255" s="221"/>
      <c r="G255" s="225"/>
      <c r="H255" s="181"/>
    </row>
    <row r="256" spans="2:8" outlineLevel="1">
      <c r="B256" s="221"/>
      <c r="C256" s="225"/>
      <c r="D256" s="184"/>
      <c r="F256" s="221"/>
      <c r="G256" s="225"/>
      <c r="H256" s="181"/>
    </row>
    <row r="257" spans="2:8" outlineLevel="1">
      <c r="B257" s="221"/>
      <c r="C257" s="225"/>
      <c r="D257" s="184"/>
      <c r="F257" s="221"/>
      <c r="G257" s="225"/>
      <c r="H257" s="181"/>
    </row>
    <row r="258" spans="2:8" outlineLevel="1">
      <c r="B258" s="221"/>
      <c r="C258" s="225"/>
      <c r="D258" s="184"/>
      <c r="F258" s="221"/>
      <c r="G258" s="225"/>
      <c r="H258" s="181"/>
    </row>
    <row r="259" spans="2:8" outlineLevel="1">
      <c r="B259" s="221"/>
      <c r="C259" s="225"/>
      <c r="D259" s="184"/>
      <c r="F259" s="221"/>
      <c r="G259" s="225"/>
      <c r="H259" s="181"/>
    </row>
    <row r="260" spans="2:8" outlineLevel="1">
      <c r="B260" s="221"/>
      <c r="C260" s="225"/>
      <c r="D260" s="184"/>
      <c r="F260" s="221"/>
      <c r="G260" s="225"/>
      <c r="H260" s="181"/>
    </row>
    <row r="261" spans="2:8" outlineLevel="1">
      <c r="B261" s="221"/>
      <c r="C261" s="225"/>
      <c r="D261" s="184"/>
      <c r="F261" s="221"/>
      <c r="G261" s="225"/>
      <c r="H261" s="181"/>
    </row>
    <row r="262" spans="2:8" outlineLevel="1">
      <c r="B262" s="221"/>
      <c r="C262" s="225"/>
      <c r="D262" s="184"/>
      <c r="F262" s="221"/>
      <c r="G262" s="225"/>
      <c r="H262" s="181"/>
    </row>
    <row r="263" spans="2:8" outlineLevel="1">
      <c r="B263" s="221"/>
      <c r="C263" s="225"/>
      <c r="D263" s="184"/>
      <c r="F263" s="221"/>
      <c r="G263" s="225"/>
      <c r="H263" s="181"/>
    </row>
    <row r="264" spans="2:8" outlineLevel="1">
      <c r="B264" s="221"/>
      <c r="C264" s="225"/>
      <c r="D264" s="184"/>
      <c r="F264" s="221"/>
      <c r="G264" s="225"/>
      <c r="H264" s="181"/>
    </row>
    <row r="265" spans="2:8" outlineLevel="1">
      <c r="B265" s="221"/>
      <c r="C265" s="225"/>
      <c r="D265" s="184"/>
      <c r="F265" s="221"/>
      <c r="G265" s="225"/>
      <c r="H265" s="181"/>
    </row>
    <row r="266" spans="2:8" outlineLevel="1">
      <c r="B266" s="221"/>
      <c r="C266" s="225"/>
      <c r="D266" s="184"/>
      <c r="F266" s="221"/>
      <c r="G266" s="225"/>
      <c r="H266" s="181"/>
    </row>
    <row r="267" spans="2:8" outlineLevel="1">
      <c r="B267" s="221"/>
      <c r="C267" s="225"/>
      <c r="D267" s="184"/>
      <c r="F267" s="221"/>
      <c r="G267" s="225"/>
      <c r="H267" s="181"/>
    </row>
    <row r="268" spans="2:8" outlineLevel="1">
      <c r="B268" s="221"/>
      <c r="C268" s="225"/>
      <c r="D268" s="184"/>
      <c r="F268" s="221"/>
      <c r="G268" s="225"/>
      <c r="H268" s="181"/>
    </row>
    <row r="269" spans="2:8" outlineLevel="1">
      <c r="B269" s="221"/>
      <c r="C269" s="225"/>
      <c r="D269" s="184"/>
      <c r="F269" s="221"/>
      <c r="G269" s="225"/>
      <c r="H269" s="181"/>
    </row>
    <row r="270" spans="2:8" outlineLevel="1">
      <c r="B270" s="221"/>
      <c r="C270" s="225"/>
      <c r="D270" s="184"/>
      <c r="F270" s="221"/>
      <c r="G270" s="225"/>
      <c r="H270" s="181"/>
    </row>
    <row r="271" spans="2:8" outlineLevel="1">
      <c r="B271" s="221"/>
      <c r="C271" s="225"/>
      <c r="D271" s="184"/>
      <c r="F271" s="221"/>
      <c r="G271" s="225"/>
      <c r="H271" s="181"/>
    </row>
    <row r="272" spans="2:8" outlineLevel="1">
      <c r="B272" s="221"/>
      <c r="C272" s="225"/>
      <c r="D272" s="184"/>
      <c r="F272" s="221"/>
      <c r="G272" s="225"/>
      <c r="H272" s="181"/>
    </row>
    <row r="273" spans="2:8" outlineLevel="1">
      <c r="B273" s="221"/>
      <c r="C273" s="225"/>
      <c r="D273" s="184"/>
      <c r="F273" s="221"/>
      <c r="G273" s="225"/>
      <c r="H273" s="181"/>
    </row>
    <row r="274" spans="2:8" outlineLevel="1">
      <c r="B274" s="221"/>
      <c r="C274" s="225"/>
      <c r="D274" s="184"/>
      <c r="F274" s="221"/>
      <c r="G274" s="225"/>
      <c r="H274" s="181"/>
    </row>
    <row r="275" spans="2:8" outlineLevel="1">
      <c r="B275" s="221"/>
      <c r="C275" s="225"/>
      <c r="D275" s="184"/>
      <c r="F275" s="221"/>
      <c r="G275" s="225"/>
      <c r="H275" s="181"/>
    </row>
    <row r="276" spans="2:8" outlineLevel="1">
      <c r="B276" s="221"/>
      <c r="C276" s="225"/>
      <c r="D276" s="184"/>
      <c r="F276" s="221"/>
      <c r="G276" s="225"/>
      <c r="H276" s="181"/>
    </row>
    <row r="277" spans="2:8" outlineLevel="1">
      <c r="B277" s="221"/>
      <c r="C277" s="225"/>
      <c r="D277" s="184"/>
      <c r="F277" s="221"/>
      <c r="G277" s="225"/>
      <c r="H277" s="181"/>
    </row>
    <row r="278" spans="2:8" outlineLevel="1">
      <c r="B278" s="221"/>
      <c r="C278" s="225"/>
      <c r="D278" s="184"/>
      <c r="F278" s="221"/>
      <c r="G278" s="225"/>
      <c r="H278" s="181"/>
    </row>
    <row r="279" spans="2:8" outlineLevel="1">
      <c r="B279" s="221"/>
      <c r="C279" s="225"/>
      <c r="D279" s="184"/>
      <c r="F279" s="221"/>
      <c r="G279" s="225"/>
      <c r="H279" s="181"/>
    </row>
    <row r="280" spans="2:8" outlineLevel="1">
      <c r="B280" s="221"/>
      <c r="C280" s="225"/>
      <c r="D280" s="184"/>
      <c r="F280" s="221"/>
      <c r="G280" s="225"/>
      <c r="H280" s="181"/>
    </row>
    <row r="281" spans="2:8" outlineLevel="1">
      <c r="B281" s="221"/>
      <c r="C281" s="225"/>
      <c r="D281" s="184"/>
      <c r="F281" s="221"/>
      <c r="G281" s="225"/>
      <c r="H281" s="181"/>
    </row>
    <row r="282" spans="2:8" outlineLevel="1">
      <c r="B282" s="221"/>
      <c r="C282" s="225"/>
      <c r="D282" s="184"/>
      <c r="F282" s="221"/>
      <c r="G282" s="225"/>
      <c r="H282" s="181"/>
    </row>
    <row r="283" spans="2:8" outlineLevel="1">
      <c r="B283" s="221"/>
      <c r="C283" s="225"/>
      <c r="D283" s="184"/>
      <c r="F283" s="221"/>
      <c r="G283" s="225"/>
      <c r="H283" s="181"/>
    </row>
    <row r="284" spans="2:8" outlineLevel="1">
      <c r="B284" s="221"/>
      <c r="C284" s="225"/>
      <c r="D284" s="184"/>
      <c r="F284" s="221"/>
      <c r="G284" s="225"/>
      <c r="H284" s="181"/>
    </row>
    <row r="285" spans="2:8" outlineLevel="1">
      <c r="B285" s="221"/>
      <c r="C285" s="225"/>
      <c r="D285" s="184"/>
      <c r="F285" s="221"/>
      <c r="G285" s="225"/>
      <c r="H285" s="181"/>
    </row>
    <row r="286" spans="2:8" outlineLevel="1">
      <c r="B286" s="221"/>
      <c r="C286" s="225"/>
      <c r="D286" s="184"/>
      <c r="F286" s="221"/>
      <c r="G286" s="225"/>
      <c r="H286" s="181"/>
    </row>
    <row r="287" spans="2:8" outlineLevel="1">
      <c r="B287" s="221"/>
      <c r="C287" s="225"/>
      <c r="D287" s="184"/>
      <c r="F287" s="221"/>
      <c r="G287" s="225"/>
      <c r="H287" s="181"/>
    </row>
    <row r="288" spans="2:8" outlineLevel="1">
      <c r="B288" s="221"/>
      <c r="C288" s="225"/>
      <c r="D288" s="184"/>
      <c r="F288" s="221"/>
      <c r="G288" s="225"/>
      <c r="H288" s="181"/>
    </row>
    <row r="289" spans="2:8" outlineLevel="1">
      <c r="B289" s="221"/>
      <c r="C289" s="225"/>
      <c r="D289" s="184"/>
      <c r="F289" s="221"/>
      <c r="G289" s="225"/>
      <c r="H289" s="181"/>
    </row>
    <row r="290" spans="2:8" outlineLevel="1">
      <c r="B290" s="221"/>
      <c r="C290" s="225"/>
      <c r="D290" s="184"/>
      <c r="F290" s="221"/>
      <c r="G290" s="225"/>
      <c r="H290" s="181"/>
    </row>
    <row r="291" spans="2:8" outlineLevel="1">
      <c r="B291" s="221"/>
      <c r="C291" s="225"/>
      <c r="D291" s="184"/>
      <c r="F291" s="221"/>
      <c r="G291" s="225"/>
      <c r="H291" s="181"/>
    </row>
    <row r="292" spans="2:8" outlineLevel="1">
      <c r="B292" s="221"/>
      <c r="C292" s="225"/>
      <c r="D292" s="184"/>
      <c r="F292" s="221"/>
      <c r="G292" s="225"/>
      <c r="H292" s="181"/>
    </row>
    <row r="293" spans="2:8" outlineLevel="1">
      <c r="B293" s="221"/>
      <c r="C293" s="225"/>
      <c r="D293" s="184"/>
      <c r="F293" s="221"/>
      <c r="G293" s="225"/>
      <c r="H293" s="181"/>
    </row>
    <row r="294" spans="2:8" outlineLevel="1">
      <c r="B294" s="221"/>
      <c r="C294" s="225"/>
      <c r="D294" s="184"/>
      <c r="F294" s="221"/>
      <c r="G294" s="225"/>
      <c r="H294" s="181"/>
    </row>
    <row r="295" spans="2:8" outlineLevel="1">
      <c r="B295" s="221"/>
      <c r="C295" s="225"/>
      <c r="D295" s="184"/>
      <c r="F295" s="221"/>
      <c r="G295" s="225"/>
      <c r="H295" s="181"/>
    </row>
    <row r="296" spans="2:8" outlineLevel="1">
      <c r="B296" s="221"/>
      <c r="C296" s="225"/>
      <c r="D296" s="184"/>
      <c r="F296" s="221"/>
      <c r="G296" s="225"/>
      <c r="H296" s="181"/>
    </row>
    <row r="297" spans="2:8" outlineLevel="1">
      <c r="B297" s="221"/>
      <c r="C297" s="225"/>
      <c r="D297" s="184"/>
      <c r="F297" s="221"/>
      <c r="G297" s="225"/>
      <c r="H297" s="181"/>
    </row>
    <row r="298" spans="2:8" outlineLevel="1">
      <c r="B298" s="221"/>
      <c r="C298" s="225"/>
      <c r="D298" s="184"/>
      <c r="F298" s="221"/>
      <c r="G298" s="225"/>
      <c r="H298" s="181"/>
    </row>
    <row r="299" spans="2:8" outlineLevel="1">
      <c r="B299" s="221"/>
      <c r="C299" s="225"/>
      <c r="D299" s="184"/>
      <c r="F299" s="221"/>
      <c r="G299" s="225"/>
      <c r="H299" s="181"/>
    </row>
    <row r="300" spans="2:8" outlineLevel="1">
      <c r="B300" s="221"/>
      <c r="C300" s="225"/>
      <c r="D300" s="184"/>
      <c r="F300" s="221"/>
      <c r="G300" s="225"/>
      <c r="H300" s="181"/>
    </row>
    <row r="301" spans="2:8" outlineLevel="1">
      <c r="B301" s="221"/>
      <c r="C301" s="225"/>
      <c r="D301" s="184"/>
      <c r="F301" s="221"/>
      <c r="G301" s="225"/>
      <c r="H301" s="181"/>
    </row>
    <row r="302" spans="2:8" outlineLevel="1">
      <c r="B302" s="221"/>
      <c r="C302" s="225"/>
      <c r="D302" s="184"/>
      <c r="F302" s="221"/>
      <c r="G302" s="225"/>
      <c r="H302" s="181"/>
    </row>
    <row r="303" spans="2:8" outlineLevel="1">
      <c r="B303" s="221"/>
      <c r="C303" s="225"/>
      <c r="D303" s="184"/>
      <c r="F303" s="221"/>
      <c r="G303" s="225"/>
      <c r="H303" s="181"/>
    </row>
    <row r="304" spans="2:8" outlineLevel="1">
      <c r="B304" s="221"/>
      <c r="C304" s="225"/>
      <c r="D304" s="184"/>
      <c r="F304" s="221"/>
      <c r="G304" s="225"/>
      <c r="H304" s="181"/>
    </row>
    <row r="305" spans="2:8" outlineLevel="1">
      <c r="B305" s="221"/>
      <c r="C305" s="225"/>
      <c r="D305" s="184"/>
      <c r="F305" s="221"/>
      <c r="G305" s="225"/>
      <c r="H305" s="181"/>
    </row>
    <row r="306" spans="2:8" outlineLevel="1">
      <c r="B306" s="221"/>
      <c r="C306" s="225"/>
      <c r="D306" s="184"/>
      <c r="F306" s="221"/>
      <c r="G306" s="225"/>
      <c r="H306" s="181"/>
    </row>
    <row r="307" spans="2:8" outlineLevel="1">
      <c r="B307" s="221"/>
      <c r="C307" s="225"/>
      <c r="D307" s="184"/>
      <c r="F307" s="221"/>
      <c r="G307" s="225"/>
      <c r="H307" s="181"/>
    </row>
    <row r="308" spans="2:8" outlineLevel="1">
      <c r="B308" s="221"/>
      <c r="C308" s="225"/>
      <c r="D308" s="184"/>
      <c r="F308" s="221"/>
      <c r="G308" s="225"/>
      <c r="H308" s="181"/>
    </row>
    <row r="309" spans="2:8" outlineLevel="1">
      <c r="B309" s="221"/>
      <c r="C309" s="225"/>
      <c r="D309" s="184"/>
      <c r="F309" s="221"/>
      <c r="G309" s="225"/>
      <c r="H309" s="181"/>
    </row>
    <row r="310" spans="2:8" outlineLevel="1">
      <c r="B310" s="221"/>
      <c r="C310" s="225"/>
      <c r="D310" s="184"/>
      <c r="F310" s="221"/>
      <c r="G310" s="225"/>
      <c r="H310" s="181"/>
    </row>
    <row r="311" spans="2:8" outlineLevel="1">
      <c r="B311" s="221"/>
      <c r="C311" s="225"/>
      <c r="D311" s="184"/>
      <c r="F311" s="221"/>
      <c r="G311" s="225"/>
      <c r="H311" s="181"/>
    </row>
    <row r="312" spans="2:8" outlineLevel="1">
      <c r="B312" s="221"/>
      <c r="C312" s="225"/>
      <c r="D312" s="184"/>
      <c r="F312" s="221"/>
      <c r="G312" s="225"/>
      <c r="H312" s="181"/>
    </row>
    <row r="313" spans="2:8" outlineLevel="1">
      <c r="B313" s="221"/>
      <c r="C313" s="225"/>
      <c r="D313" s="184"/>
      <c r="F313" s="221"/>
      <c r="G313" s="225"/>
      <c r="H313" s="181"/>
    </row>
    <row r="314" spans="2:8" outlineLevel="1">
      <c r="B314" s="221"/>
      <c r="C314" s="225"/>
      <c r="D314" s="184"/>
      <c r="F314" s="221"/>
      <c r="G314" s="225"/>
      <c r="H314" s="181"/>
    </row>
    <row r="315" spans="2:8" outlineLevel="1">
      <c r="B315" s="221"/>
      <c r="C315" s="225"/>
      <c r="D315" s="184"/>
      <c r="F315" s="221"/>
      <c r="G315" s="225"/>
      <c r="H315" s="181"/>
    </row>
    <row r="316" spans="2:8" outlineLevel="1">
      <c r="B316" s="221"/>
      <c r="C316" s="225"/>
      <c r="D316" s="184"/>
      <c r="F316" s="221"/>
      <c r="G316" s="225"/>
      <c r="H316" s="181"/>
    </row>
    <row r="317" spans="2:8" outlineLevel="1">
      <c r="B317" s="221"/>
      <c r="C317" s="225"/>
      <c r="D317" s="184"/>
      <c r="F317" s="221"/>
      <c r="G317" s="225"/>
      <c r="H317" s="181"/>
    </row>
    <row r="318" spans="2:8" outlineLevel="1">
      <c r="B318" s="221"/>
      <c r="C318" s="225"/>
      <c r="D318" s="184"/>
      <c r="F318" s="221"/>
      <c r="G318" s="225"/>
      <c r="H318" s="181"/>
    </row>
    <row r="319" spans="2:8" outlineLevel="1">
      <c r="B319" s="221"/>
      <c r="C319" s="225"/>
      <c r="D319" s="184"/>
      <c r="F319" s="221"/>
      <c r="G319" s="225"/>
      <c r="H319" s="181"/>
    </row>
    <row r="320" spans="2:8" outlineLevel="1">
      <c r="B320" s="221"/>
      <c r="C320" s="225"/>
      <c r="D320" s="184"/>
      <c r="F320" s="221"/>
      <c r="G320" s="225"/>
      <c r="H320" s="181"/>
    </row>
    <row r="321" spans="2:8" outlineLevel="1">
      <c r="B321" s="221"/>
      <c r="C321" s="225"/>
      <c r="D321" s="184"/>
      <c r="F321" s="221"/>
      <c r="G321" s="225"/>
      <c r="H321" s="181"/>
    </row>
    <row r="322" spans="2:8" outlineLevel="1">
      <c r="B322" s="221"/>
      <c r="C322" s="225"/>
      <c r="D322" s="184"/>
      <c r="F322" s="221"/>
      <c r="G322" s="225"/>
      <c r="H322" s="181"/>
    </row>
    <row r="323" spans="2:8" outlineLevel="1">
      <c r="B323" s="221"/>
      <c r="C323" s="225"/>
      <c r="D323" s="184"/>
      <c r="F323" s="221"/>
      <c r="G323" s="225"/>
      <c r="H323" s="181"/>
    </row>
    <row r="324" spans="2:8" outlineLevel="1">
      <c r="B324" s="221"/>
      <c r="C324" s="225"/>
      <c r="D324" s="184"/>
      <c r="F324" s="221"/>
      <c r="G324" s="225"/>
      <c r="H324" s="181"/>
    </row>
    <row r="325" spans="2:8" outlineLevel="1">
      <c r="B325" s="221"/>
      <c r="C325" s="225"/>
      <c r="D325" s="184"/>
      <c r="F325" s="221"/>
      <c r="G325" s="225"/>
      <c r="H325" s="181"/>
    </row>
    <row r="326" spans="2:8" outlineLevel="1">
      <c r="B326" s="221"/>
      <c r="C326" s="225"/>
      <c r="D326" s="184"/>
      <c r="F326" s="221"/>
      <c r="G326" s="225"/>
      <c r="H326" s="181"/>
    </row>
    <row r="327" spans="2:8" outlineLevel="1">
      <c r="B327" s="221"/>
      <c r="C327" s="225"/>
      <c r="D327" s="184"/>
      <c r="F327" s="221"/>
      <c r="G327" s="225"/>
      <c r="H327" s="181"/>
    </row>
    <row r="328" spans="2:8" outlineLevel="1">
      <c r="B328" s="221"/>
      <c r="C328" s="225"/>
      <c r="D328" s="184"/>
      <c r="F328" s="221"/>
      <c r="G328" s="225"/>
      <c r="H328" s="181"/>
    </row>
    <row r="329" spans="2:8" outlineLevel="1">
      <c r="B329" s="221"/>
      <c r="C329" s="225"/>
      <c r="D329" s="184"/>
      <c r="F329" s="221"/>
      <c r="G329" s="225"/>
      <c r="H329" s="181"/>
    </row>
    <row r="330" spans="2:8" outlineLevel="1">
      <c r="B330" s="221"/>
      <c r="C330" s="225"/>
      <c r="D330" s="184"/>
      <c r="F330" s="221"/>
      <c r="G330" s="225"/>
      <c r="H330" s="181"/>
    </row>
    <row r="331" spans="2:8" outlineLevel="1">
      <c r="B331" s="221"/>
      <c r="C331" s="225"/>
      <c r="D331" s="184"/>
      <c r="F331" s="221"/>
      <c r="G331" s="225"/>
      <c r="H331" s="181"/>
    </row>
    <row r="332" spans="2:8" outlineLevel="1">
      <c r="B332" s="221"/>
      <c r="C332" s="225"/>
      <c r="D332" s="184"/>
      <c r="F332" s="221"/>
      <c r="G332" s="225"/>
      <c r="H332" s="181"/>
    </row>
    <row r="333" spans="2:8" outlineLevel="1">
      <c r="B333" s="221"/>
      <c r="C333" s="225"/>
      <c r="D333" s="184"/>
      <c r="F333" s="221"/>
      <c r="G333" s="225"/>
      <c r="H333" s="181"/>
    </row>
    <row r="334" spans="2:8" outlineLevel="1">
      <c r="B334" s="221"/>
      <c r="C334" s="225"/>
      <c r="D334" s="184"/>
      <c r="F334" s="221"/>
      <c r="G334" s="225"/>
      <c r="H334" s="181"/>
    </row>
    <row r="335" spans="2:8" outlineLevel="1">
      <c r="B335" s="221"/>
      <c r="C335" s="225"/>
      <c r="D335" s="184"/>
      <c r="F335" s="221"/>
      <c r="G335" s="225"/>
      <c r="H335" s="181"/>
    </row>
    <row r="336" spans="2:8" outlineLevel="1">
      <c r="B336" s="221"/>
      <c r="C336" s="225"/>
      <c r="D336" s="184"/>
      <c r="F336" s="221"/>
      <c r="G336" s="225"/>
      <c r="H336" s="181"/>
    </row>
    <row r="337" spans="2:8" outlineLevel="1">
      <c r="B337" s="221"/>
      <c r="C337" s="225"/>
      <c r="D337" s="184"/>
      <c r="F337" s="221"/>
      <c r="G337" s="225"/>
      <c r="H337" s="181"/>
    </row>
    <row r="338" spans="2:8" outlineLevel="1">
      <c r="B338" s="221"/>
      <c r="C338" s="225"/>
      <c r="D338" s="184"/>
      <c r="F338" s="221"/>
      <c r="G338" s="225"/>
      <c r="H338" s="181"/>
    </row>
    <row r="339" spans="2:8" outlineLevel="1">
      <c r="B339" s="221"/>
      <c r="C339" s="225"/>
      <c r="D339" s="184"/>
      <c r="F339" s="221"/>
      <c r="G339" s="225"/>
      <c r="H339" s="181"/>
    </row>
    <row r="340" spans="2:8" outlineLevel="1">
      <c r="B340" s="221"/>
      <c r="C340" s="225"/>
      <c r="D340" s="184"/>
      <c r="F340" s="221"/>
      <c r="G340" s="225"/>
      <c r="H340" s="181"/>
    </row>
    <row r="341" spans="2:8" outlineLevel="1">
      <c r="B341" s="221"/>
      <c r="C341" s="225"/>
      <c r="D341" s="184"/>
      <c r="F341" s="221"/>
      <c r="G341" s="225"/>
      <c r="H341" s="181"/>
    </row>
    <row r="342" spans="2:8" outlineLevel="1">
      <c r="B342" s="221"/>
      <c r="C342" s="225"/>
      <c r="D342" s="184"/>
      <c r="F342" s="221"/>
      <c r="G342" s="225"/>
      <c r="H342" s="181"/>
    </row>
    <row r="343" spans="2:8" outlineLevel="1">
      <c r="B343" s="221"/>
      <c r="C343" s="225"/>
      <c r="D343" s="184"/>
      <c r="F343" s="221"/>
      <c r="G343" s="225"/>
      <c r="H343" s="181"/>
    </row>
    <row r="344" spans="2:8" outlineLevel="1">
      <c r="B344" s="221"/>
      <c r="C344" s="225"/>
      <c r="D344" s="184"/>
      <c r="F344" s="221"/>
      <c r="G344" s="225"/>
      <c r="H344" s="181"/>
    </row>
    <row r="345" spans="2:8" outlineLevel="1">
      <c r="B345" s="221"/>
      <c r="C345" s="225"/>
      <c r="D345" s="184"/>
      <c r="F345" s="221"/>
      <c r="G345" s="225"/>
      <c r="H345" s="181"/>
    </row>
    <row r="346" spans="2:8" outlineLevel="1">
      <c r="B346" s="221"/>
      <c r="C346" s="225"/>
      <c r="D346" s="184"/>
      <c r="F346" s="221"/>
      <c r="G346" s="225"/>
      <c r="H346" s="181"/>
    </row>
    <row r="347" spans="2:8" outlineLevel="1">
      <c r="B347" s="221"/>
      <c r="C347" s="225"/>
      <c r="D347" s="184"/>
      <c r="F347" s="221"/>
      <c r="G347" s="225"/>
      <c r="H347" s="181"/>
    </row>
    <row r="348" spans="2:8" outlineLevel="1">
      <c r="B348" s="221"/>
      <c r="C348" s="225"/>
      <c r="D348" s="184"/>
      <c r="F348" s="221"/>
      <c r="G348" s="225"/>
      <c r="H348" s="181"/>
    </row>
    <row r="349" spans="2:8" outlineLevel="1">
      <c r="B349" s="221"/>
      <c r="C349" s="225"/>
      <c r="D349" s="184"/>
      <c r="F349" s="221"/>
      <c r="G349" s="225"/>
      <c r="H349" s="181"/>
    </row>
    <row r="350" spans="2:8" outlineLevel="1">
      <c r="B350" s="221"/>
      <c r="C350" s="225"/>
      <c r="D350" s="184"/>
      <c r="F350" s="221"/>
      <c r="G350" s="225"/>
      <c r="H350" s="181"/>
    </row>
    <row r="351" spans="2:8" outlineLevel="1">
      <c r="B351" s="221"/>
      <c r="C351" s="225"/>
      <c r="D351" s="184"/>
      <c r="F351" s="221"/>
      <c r="G351" s="225"/>
      <c r="H351" s="181"/>
    </row>
    <row r="352" spans="2:8" outlineLevel="1">
      <c r="B352" s="221"/>
      <c r="C352" s="225"/>
      <c r="D352" s="184"/>
      <c r="F352" s="221"/>
      <c r="G352" s="225"/>
      <c r="H352" s="181"/>
    </row>
    <row r="353" spans="2:8" outlineLevel="1">
      <c r="B353" s="221"/>
      <c r="C353" s="225"/>
      <c r="D353" s="184"/>
      <c r="F353" s="221"/>
      <c r="G353" s="225"/>
      <c r="H353" s="181"/>
    </row>
    <row r="354" spans="2:8" outlineLevel="1">
      <c r="B354" s="221"/>
      <c r="C354" s="225"/>
      <c r="D354" s="184"/>
      <c r="F354" s="221"/>
      <c r="G354" s="225"/>
      <c r="H354" s="181"/>
    </row>
    <row r="355" spans="2:8" outlineLevel="1">
      <c r="B355" s="221"/>
      <c r="C355" s="225"/>
      <c r="D355" s="184"/>
      <c r="F355" s="221"/>
      <c r="G355" s="225"/>
      <c r="H355" s="181"/>
    </row>
    <row r="356" spans="2:8" outlineLevel="1">
      <c r="B356" s="221"/>
      <c r="C356" s="225"/>
      <c r="D356" s="184"/>
      <c r="F356" s="221"/>
      <c r="G356" s="225"/>
      <c r="H356" s="181"/>
    </row>
    <row r="357" spans="2:8" outlineLevel="1">
      <c r="B357" s="221"/>
      <c r="C357" s="225"/>
      <c r="D357" s="184"/>
      <c r="F357" s="221"/>
      <c r="G357" s="225"/>
      <c r="H357" s="181"/>
    </row>
    <row r="358" spans="2:8" outlineLevel="1">
      <c r="B358" s="221"/>
      <c r="C358" s="225"/>
      <c r="D358" s="184"/>
      <c r="F358" s="221"/>
      <c r="G358" s="225"/>
      <c r="H358" s="181"/>
    </row>
    <row r="359" spans="2:8" outlineLevel="1">
      <c r="B359" s="221"/>
      <c r="C359" s="225"/>
      <c r="D359" s="184"/>
      <c r="F359" s="221"/>
      <c r="G359" s="225"/>
      <c r="H359" s="181"/>
    </row>
    <row r="360" spans="2:8" outlineLevel="1">
      <c r="B360" s="221"/>
      <c r="C360" s="225"/>
      <c r="D360" s="184"/>
      <c r="F360" s="221"/>
      <c r="G360" s="225"/>
      <c r="H360" s="181"/>
    </row>
    <row r="361" spans="2:8" outlineLevel="1">
      <c r="B361" s="221"/>
      <c r="C361" s="225"/>
      <c r="D361" s="184"/>
      <c r="F361" s="221"/>
      <c r="G361" s="225"/>
      <c r="H361" s="181"/>
    </row>
    <row r="362" spans="2:8" outlineLevel="1">
      <c r="B362" s="221"/>
      <c r="C362" s="225"/>
      <c r="D362" s="184"/>
      <c r="F362" s="221"/>
      <c r="G362" s="225"/>
      <c r="H362" s="181"/>
    </row>
    <row r="363" spans="2:8" outlineLevel="1">
      <c r="B363" s="221"/>
      <c r="C363" s="225"/>
      <c r="D363" s="184"/>
      <c r="F363" s="221"/>
      <c r="G363" s="225"/>
      <c r="H363" s="181"/>
    </row>
    <row r="364" spans="2:8" outlineLevel="1">
      <c r="B364" s="221"/>
      <c r="C364" s="225"/>
      <c r="D364" s="184"/>
      <c r="F364" s="221"/>
      <c r="G364" s="225"/>
      <c r="H364" s="181"/>
    </row>
    <row r="365" spans="2:8" outlineLevel="1">
      <c r="B365" s="221"/>
      <c r="C365" s="225"/>
      <c r="D365" s="184"/>
      <c r="F365" s="221"/>
      <c r="G365" s="225"/>
      <c r="H365" s="181"/>
    </row>
    <row r="366" spans="2:8" outlineLevel="1">
      <c r="B366" s="221"/>
      <c r="C366" s="225"/>
      <c r="D366" s="184"/>
      <c r="F366" s="221"/>
      <c r="G366" s="225"/>
      <c r="H366" s="181"/>
    </row>
    <row r="367" spans="2:8" outlineLevel="1">
      <c r="B367" s="221"/>
      <c r="C367" s="225"/>
      <c r="D367" s="184"/>
      <c r="F367" s="221"/>
      <c r="G367" s="225"/>
      <c r="H367" s="181"/>
    </row>
    <row r="368" spans="2:8" outlineLevel="1">
      <c r="B368" s="221"/>
      <c r="C368" s="225"/>
      <c r="D368" s="184"/>
      <c r="F368" s="221"/>
      <c r="G368" s="225"/>
      <c r="H368" s="181"/>
    </row>
    <row r="369" spans="2:8" outlineLevel="1">
      <c r="B369" s="221"/>
      <c r="C369" s="225"/>
      <c r="D369" s="184"/>
      <c r="F369" s="221"/>
      <c r="G369" s="225"/>
      <c r="H369" s="181"/>
    </row>
    <row r="370" spans="2:8" outlineLevel="1">
      <c r="B370" s="221"/>
      <c r="C370" s="225"/>
      <c r="D370" s="184"/>
      <c r="F370" s="221"/>
      <c r="G370" s="225"/>
      <c r="H370" s="181"/>
    </row>
    <row r="371" spans="2:8" outlineLevel="1">
      <c r="B371" s="221"/>
      <c r="C371" s="225"/>
      <c r="D371" s="184"/>
      <c r="F371" s="221"/>
      <c r="G371" s="225"/>
      <c r="H371" s="181"/>
    </row>
    <row r="372" spans="2:8" outlineLevel="1">
      <c r="B372" s="221"/>
      <c r="C372" s="225"/>
      <c r="D372" s="184"/>
      <c r="F372" s="221"/>
      <c r="G372" s="225"/>
      <c r="H372" s="181"/>
    </row>
    <row r="373" spans="2:8" outlineLevel="1">
      <c r="B373" s="221"/>
      <c r="C373" s="225"/>
      <c r="D373" s="184"/>
      <c r="F373" s="221"/>
      <c r="G373" s="225"/>
      <c r="H373" s="181"/>
    </row>
    <row r="374" spans="2:8" outlineLevel="1">
      <c r="B374" s="221"/>
      <c r="C374" s="225"/>
      <c r="D374" s="184"/>
      <c r="F374" s="221"/>
      <c r="G374" s="225"/>
      <c r="H374" s="181"/>
    </row>
    <row r="375" spans="2:8" outlineLevel="1">
      <c r="B375" s="221"/>
      <c r="C375" s="225"/>
      <c r="D375" s="184"/>
      <c r="F375" s="221"/>
      <c r="G375" s="225"/>
      <c r="H375" s="181"/>
    </row>
    <row r="376" spans="2:8" outlineLevel="1">
      <c r="B376" s="221"/>
      <c r="C376" s="225"/>
      <c r="D376" s="184"/>
      <c r="F376" s="221"/>
      <c r="G376" s="225"/>
      <c r="H376" s="181"/>
    </row>
    <row r="377" spans="2:8" outlineLevel="1">
      <c r="B377" s="221"/>
      <c r="C377" s="225"/>
      <c r="D377" s="184"/>
      <c r="F377" s="221"/>
      <c r="G377" s="225"/>
      <c r="H377" s="181"/>
    </row>
    <row r="378" spans="2:8" outlineLevel="1">
      <c r="B378" s="221"/>
      <c r="C378" s="225"/>
      <c r="D378" s="184"/>
      <c r="F378" s="221"/>
      <c r="G378" s="225"/>
      <c r="H378" s="181"/>
    </row>
    <row r="379" spans="2:8" outlineLevel="1">
      <c r="B379" s="221"/>
      <c r="C379" s="225"/>
      <c r="D379" s="184"/>
      <c r="F379" s="221"/>
      <c r="G379" s="225"/>
      <c r="H379" s="181"/>
    </row>
    <row r="380" spans="2:8" outlineLevel="1">
      <c r="B380" s="221"/>
      <c r="C380" s="225"/>
      <c r="D380" s="184"/>
      <c r="F380" s="221"/>
      <c r="G380" s="225"/>
      <c r="H380" s="181"/>
    </row>
    <row r="381" spans="2:8" outlineLevel="1">
      <c r="B381" s="221"/>
      <c r="C381" s="225"/>
      <c r="D381" s="184"/>
      <c r="F381" s="221"/>
      <c r="G381" s="225"/>
      <c r="H381" s="181"/>
    </row>
    <row r="382" spans="2:8" outlineLevel="1">
      <c r="B382" s="221"/>
      <c r="C382" s="225"/>
      <c r="D382" s="184"/>
      <c r="F382" s="221"/>
      <c r="G382" s="225"/>
      <c r="H382" s="181"/>
    </row>
    <row r="383" spans="2:8" outlineLevel="1">
      <c r="B383" s="221"/>
      <c r="C383" s="225"/>
      <c r="D383" s="184"/>
      <c r="F383" s="221"/>
      <c r="G383" s="225"/>
      <c r="H383" s="181"/>
    </row>
    <row r="384" spans="2:8" outlineLevel="1">
      <c r="B384" s="221"/>
      <c r="C384" s="225"/>
      <c r="D384" s="184"/>
      <c r="F384" s="221"/>
      <c r="G384" s="225"/>
      <c r="H384" s="181"/>
    </row>
    <row r="385" spans="2:8" outlineLevel="1">
      <c r="B385" s="221"/>
      <c r="C385" s="225"/>
      <c r="D385" s="184"/>
      <c r="F385" s="221"/>
      <c r="G385" s="225"/>
      <c r="H385" s="181"/>
    </row>
    <row r="386" spans="2:8" outlineLevel="1">
      <c r="B386" s="221"/>
      <c r="C386" s="225"/>
      <c r="D386" s="184"/>
      <c r="F386" s="221"/>
      <c r="G386" s="225"/>
      <c r="H386" s="181"/>
    </row>
    <row r="387" spans="2:8" outlineLevel="1">
      <c r="B387" s="221"/>
      <c r="C387" s="225"/>
      <c r="D387" s="184"/>
      <c r="F387" s="221"/>
      <c r="G387" s="225"/>
      <c r="H387" s="181"/>
    </row>
    <row r="388" spans="2:8" outlineLevel="1">
      <c r="B388" s="221"/>
      <c r="C388" s="225"/>
      <c r="D388" s="184"/>
      <c r="F388" s="221"/>
      <c r="G388" s="225"/>
      <c r="H388" s="181"/>
    </row>
    <row r="389" spans="2:8" outlineLevel="1">
      <c r="B389" s="221"/>
      <c r="C389" s="225"/>
      <c r="D389" s="184"/>
      <c r="F389" s="221"/>
      <c r="G389" s="225"/>
      <c r="H389" s="181"/>
    </row>
    <row r="390" spans="2:8" outlineLevel="1">
      <c r="B390" s="221"/>
      <c r="C390" s="225"/>
      <c r="D390" s="184"/>
      <c r="F390" s="221"/>
      <c r="G390" s="225"/>
      <c r="H390" s="181"/>
    </row>
    <row r="391" spans="2:8" outlineLevel="1">
      <c r="B391" s="221"/>
      <c r="C391" s="225"/>
      <c r="D391" s="184"/>
      <c r="F391" s="221"/>
      <c r="G391" s="225"/>
      <c r="H391" s="181"/>
    </row>
    <row r="392" spans="2:8" outlineLevel="1">
      <c r="B392" s="221"/>
      <c r="C392" s="225"/>
      <c r="D392" s="184"/>
      <c r="F392" s="221"/>
      <c r="G392" s="225"/>
      <c r="H392" s="181"/>
    </row>
    <row r="393" spans="2:8" outlineLevel="1">
      <c r="B393" s="221"/>
      <c r="C393" s="225"/>
      <c r="D393" s="184"/>
      <c r="F393" s="221"/>
      <c r="G393" s="225"/>
      <c r="H393" s="181"/>
    </row>
    <row r="394" spans="2:8" outlineLevel="1">
      <c r="B394" s="221"/>
      <c r="C394" s="225"/>
      <c r="D394" s="184"/>
      <c r="F394" s="221"/>
      <c r="G394" s="225"/>
      <c r="H394" s="181"/>
    </row>
    <row r="395" spans="2:8" outlineLevel="1">
      <c r="B395" s="221"/>
      <c r="C395" s="225"/>
      <c r="D395" s="184"/>
      <c r="F395" s="221"/>
      <c r="G395" s="225"/>
      <c r="H395" s="181"/>
    </row>
    <row r="396" spans="2:8" outlineLevel="1">
      <c r="B396" s="221"/>
      <c r="C396" s="225"/>
      <c r="D396" s="184"/>
      <c r="F396" s="221"/>
      <c r="G396" s="225"/>
      <c r="H396" s="181"/>
    </row>
    <row r="397" spans="2:8" outlineLevel="1">
      <c r="B397" s="221"/>
      <c r="C397" s="225"/>
      <c r="D397" s="184"/>
      <c r="F397" s="221"/>
      <c r="G397" s="225"/>
      <c r="H397" s="181"/>
    </row>
    <row r="398" spans="2:8" outlineLevel="1">
      <c r="B398" s="221"/>
      <c r="C398" s="225"/>
      <c r="D398" s="184"/>
      <c r="F398" s="221"/>
      <c r="G398" s="225"/>
      <c r="H398" s="181"/>
    </row>
    <row r="399" spans="2:8" outlineLevel="1">
      <c r="B399" s="221"/>
      <c r="C399" s="225"/>
      <c r="D399" s="184"/>
      <c r="F399" s="221"/>
      <c r="G399" s="225"/>
      <c r="H399" s="181"/>
    </row>
    <row r="400" spans="2:8" outlineLevel="1">
      <c r="B400" s="221"/>
      <c r="C400" s="225"/>
      <c r="D400" s="184"/>
      <c r="F400" s="221"/>
      <c r="G400" s="225"/>
      <c r="H400" s="181"/>
    </row>
    <row r="401" spans="2:8" outlineLevel="1">
      <c r="B401" s="221"/>
      <c r="C401" s="225"/>
      <c r="D401" s="184"/>
      <c r="F401" s="221"/>
      <c r="G401" s="225"/>
      <c r="H401" s="181"/>
    </row>
    <row r="402" spans="2:8" outlineLevel="1">
      <c r="B402" s="221"/>
      <c r="C402" s="225"/>
      <c r="D402" s="184"/>
      <c r="F402" s="221"/>
      <c r="G402" s="225"/>
      <c r="H402" s="181"/>
    </row>
    <row r="403" spans="2:8" outlineLevel="1">
      <c r="B403" s="221"/>
      <c r="C403" s="225"/>
      <c r="D403" s="184"/>
      <c r="F403" s="221"/>
      <c r="G403" s="225"/>
      <c r="H403" s="181"/>
    </row>
    <row r="404" spans="2:8" outlineLevel="1">
      <c r="B404" s="221"/>
      <c r="C404" s="225"/>
      <c r="D404" s="184"/>
      <c r="F404" s="221"/>
      <c r="G404" s="225"/>
      <c r="H404" s="181"/>
    </row>
    <row r="405" spans="2:8" outlineLevel="1">
      <c r="B405" s="221"/>
      <c r="C405" s="225"/>
      <c r="D405" s="184"/>
      <c r="F405" s="221"/>
      <c r="G405" s="225"/>
      <c r="H405" s="181"/>
    </row>
    <row r="406" spans="2:8" outlineLevel="1">
      <c r="B406" s="221"/>
      <c r="C406" s="225"/>
      <c r="D406" s="184"/>
      <c r="F406" s="221"/>
      <c r="G406" s="225"/>
      <c r="H406" s="181"/>
    </row>
    <row r="407" spans="2:8" outlineLevel="1">
      <c r="B407" s="221"/>
      <c r="C407" s="225"/>
      <c r="D407" s="184"/>
      <c r="F407" s="221"/>
      <c r="G407" s="225"/>
      <c r="H407" s="181"/>
    </row>
    <row r="408" spans="2:8" outlineLevel="1">
      <c r="B408" s="221"/>
      <c r="C408" s="225"/>
      <c r="D408" s="184"/>
      <c r="F408" s="221"/>
      <c r="G408" s="225"/>
      <c r="H408" s="181"/>
    </row>
    <row r="409" spans="2:8" outlineLevel="1">
      <c r="B409" s="221"/>
      <c r="C409" s="225"/>
      <c r="D409" s="184"/>
      <c r="F409" s="221"/>
      <c r="G409" s="225"/>
      <c r="H409" s="181"/>
    </row>
    <row r="410" spans="2:8" outlineLevel="1">
      <c r="B410" s="221"/>
      <c r="C410" s="225"/>
      <c r="D410" s="184"/>
      <c r="F410" s="221"/>
      <c r="G410" s="225"/>
      <c r="H410" s="181"/>
    </row>
    <row r="411" spans="2:8" outlineLevel="1">
      <c r="B411" s="221"/>
      <c r="C411" s="225"/>
      <c r="D411" s="184"/>
      <c r="F411" s="221"/>
      <c r="G411" s="225"/>
      <c r="H411" s="181"/>
    </row>
    <row r="412" spans="2:8" outlineLevel="1">
      <c r="B412" s="221"/>
      <c r="C412" s="225"/>
      <c r="D412" s="184"/>
      <c r="F412" s="221"/>
      <c r="G412" s="225"/>
      <c r="H412" s="181"/>
    </row>
    <row r="413" spans="2:8" outlineLevel="1">
      <c r="B413" s="221"/>
      <c r="C413" s="225"/>
      <c r="D413" s="184"/>
      <c r="F413" s="221"/>
      <c r="G413" s="225"/>
      <c r="H413" s="181"/>
    </row>
    <row r="414" spans="2:8" outlineLevel="1">
      <c r="B414" s="221"/>
      <c r="C414" s="225"/>
      <c r="D414" s="184"/>
      <c r="F414" s="221"/>
      <c r="G414" s="225"/>
      <c r="H414" s="181"/>
    </row>
    <row r="415" spans="2:8" outlineLevel="1">
      <c r="B415" s="221"/>
      <c r="C415" s="225"/>
      <c r="D415" s="184"/>
      <c r="F415" s="221"/>
      <c r="G415" s="225"/>
      <c r="H415" s="181"/>
    </row>
    <row r="416" spans="2:8" outlineLevel="1">
      <c r="B416" s="221"/>
      <c r="C416" s="225"/>
      <c r="D416" s="184"/>
      <c r="F416" s="221"/>
      <c r="G416" s="225"/>
      <c r="H416" s="181"/>
    </row>
    <row r="417" spans="2:8" outlineLevel="1">
      <c r="B417" s="221"/>
      <c r="C417" s="225"/>
      <c r="D417" s="184"/>
      <c r="F417" s="221"/>
      <c r="G417" s="225"/>
      <c r="H417" s="181"/>
    </row>
    <row r="418" spans="2:8" outlineLevel="1">
      <c r="B418" s="221"/>
      <c r="C418" s="225"/>
      <c r="D418" s="184"/>
      <c r="F418" s="221"/>
      <c r="G418" s="225"/>
      <c r="H418" s="181"/>
    </row>
    <row r="419" spans="2:8" outlineLevel="1">
      <c r="B419" s="221"/>
      <c r="C419" s="225"/>
      <c r="D419" s="184"/>
      <c r="F419" s="221"/>
      <c r="G419" s="225"/>
      <c r="H419" s="181"/>
    </row>
    <row r="420" spans="2:8" outlineLevel="1">
      <c r="B420" s="221"/>
      <c r="C420" s="225"/>
      <c r="D420" s="184"/>
      <c r="F420" s="221"/>
      <c r="G420" s="225"/>
      <c r="H420" s="181"/>
    </row>
    <row r="421" spans="2:8" outlineLevel="1">
      <c r="B421" s="221"/>
      <c r="C421" s="225"/>
      <c r="D421" s="184"/>
      <c r="F421" s="221"/>
      <c r="G421" s="225"/>
      <c r="H421" s="181"/>
    </row>
    <row r="422" spans="2:8" outlineLevel="1">
      <c r="B422" s="221"/>
      <c r="C422" s="225"/>
      <c r="D422" s="184"/>
      <c r="F422" s="221"/>
      <c r="G422" s="225"/>
      <c r="H422" s="181"/>
    </row>
    <row r="423" spans="2:8" outlineLevel="1">
      <c r="B423" s="221"/>
      <c r="C423" s="225"/>
      <c r="D423" s="184"/>
      <c r="F423" s="221"/>
      <c r="G423" s="225"/>
      <c r="H423" s="181"/>
    </row>
    <row r="424" spans="2:8" outlineLevel="1">
      <c r="B424" s="221"/>
      <c r="C424" s="225"/>
      <c r="D424" s="184"/>
      <c r="F424" s="221"/>
      <c r="G424" s="225"/>
      <c r="H424" s="181"/>
    </row>
    <row r="425" spans="2:8" outlineLevel="1">
      <c r="B425" s="221"/>
      <c r="C425" s="225"/>
      <c r="D425" s="184"/>
      <c r="F425" s="221"/>
      <c r="G425" s="225"/>
      <c r="H425" s="181"/>
    </row>
    <row r="426" spans="2:8" outlineLevel="1">
      <c r="B426" s="221"/>
      <c r="C426" s="225"/>
      <c r="D426" s="184"/>
      <c r="F426" s="221"/>
      <c r="G426" s="225"/>
      <c r="H426" s="181"/>
    </row>
    <row r="427" spans="2:8" outlineLevel="1">
      <c r="B427" s="221"/>
      <c r="C427" s="225"/>
      <c r="D427" s="184"/>
      <c r="F427" s="221"/>
      <c r="G427" s="225"/>
      <c r="H427" s="181"/>
    </row>
    <row r="428" spans="2:8" outlineLevel="1">
      <c r="B428" s="221"/>
      <c r="C428" s="225"/>
      <c r="D428" s="184"/>
      <c r="F428" s="221"/>
      <c r="G428" s="225"/>
      <c r="H428" s="181"/>
    </row>
    <row r="429" spans="2:8" outlineLevel="1">
      <c r="B429" s="221"/>
      <c r="C429" s="225"/>
      <c r="D429" s="184"/>
      <c r="F429" s="221"/>
      <c r="G429" s="225"/>
      <c r="H429" s="181"/>
    </row>
    <row r="430" spans="2:8" outlineLevel="1">
      <c r="B430" s="221"/>
      <c r="C430" s="225"/>
      <c r="D430" s="184"/>
      <c r="F430" s="221"/>
      <c r="G430" s="225"/>
      <c r="H430" s="181"/>
    </row>
    <row r="431" spans="2:8" outlineLevel="1">
      <c r="B431" s="221"/>
      <c r="C431" s="225"/>
      <c r="D431" s="184"/>
      <c r="F431" s="221"/>
      <c r="G431" s="225"/>
      <c r="H431" s="181"/>
    </row>
    <row r="432" spans="2:8" outlineLevel="1">
      <c r="B432" s="221"/>
      <c r="C432" s="225"/>
      <c r="D432" s="184"/>
      <c r="F432" s="221"/>
      <c r="G432" s="225"/>
      <c r="H432" s="181"/>
    </row>
    <row r="433" spans="2:8" outlineLevel="1">
      <c r="B433" s="221"/>
      <c r="C433" s="225"/>
      <c r="D433" s="184"/>
      <c r="F433" s="221"/>
      <c r="G433" s="225"/>
      <c r="H433" s="181"/>
    </row>
    <row r="434" spans="2:8" outlineLevel="1">
      <c r="B434" s="221"/>
      <c r="C434" s="225"/>
      <c r="D434" s="184"/>
      <c r="F434" s="221"/>
      <c r="G434" s="225"/>
      <c r="H434" s="181"/>
    </row>
    <row r="435" spans="2:8" outlineLevel="1">
      <c r="B435" s="221"/>
      <c r="C435" s="225"/>
      <c r="D435" s="184"/>
      <c r="F435" s="221"/>
      <c r="G435" s="225"/>
      <c r="H435" s="181"/>
    </row>
    <row r="436" spans="2:8" outlineLevel="1">
      <c r="B436" s="221"/>
      <c r="C436" s="225"/>
      <c r="D436" s="184"/>
      <c r="F436" s="221"/>
      <c r="G436" s="225"/>
      <c r="H436" s="181"/>
    </row>
    <row r="437" spans="2:8" outlineLevel="1">
      <c r="B437" s="221"/>
      <c r="C437" s="225"/>
      <c r="D437" s="184"/>
      <c r="F437" s="221"/>
      <c r="G437" s="225"/>
      <c r="H437" s="181"/>
    </row>
    <row r="438" spans="2:8" outlineLevel="1">
      <c r="B438" s="221"/>
      <c r="C438" s="225"/>
      <c r="D438" s="184"/>
      <c r="F438" s="221"/>
      <c r="G438" s="225"/>
      <c r="H438" s="181"/>
    </row>
    <row r="439" spans="2:8" outlineLevel="1">
      <c r="B439" s="221"/>
      <c r="C439" s="225"/>
      <c r="D439" s="184"/>
      <c r="F439" s="221"/>
      <c r="G439" s="225"/>
      <c r="H439" s="181"/>
    </row>
    <row r="440" spans="2:8" outlineLevel="1">
      <c r="B440" s="221"/>
      <c r="C440" s="225"/>
      <c r="D440" s="184"/>
      <c r="F440" s="221"/>
      <c r="G440" s="225"/>
      <c r="H440" s="181"/>
    </row>
    <row r="441" spans="2:8" outlineLevel="1">
      <c r="B441" s="221"/>
      <c r="C441" s="225"/>
      <c r="D441" s="184"/>
      <c r="F441" s="221"/>
      <c r="G441" s="225"/>
      <c r="H441" s="181"/>
    </row>
    <row r="442" spans="2:8" outlineLevel="1">
      <c r="B442" s="221"/>
      <c r="C442" s="225"/>
      <c r="D442" s="184"/>
      <c r="F442" s="221"/>
      <c r="G442" s="225"/>
      <c r="H442" s="181"/>
    </row>
    <row r="443" spans="2:8" outlineLevel="1">
      <c r="B443" s="221"/>
      <c r="C443" s="225"/>
      <c r="D443" s="184"/>
      <c r="F443" s="221"/>
      <c r="G443" s="225"/>
      <c r="H443" s="181"/>
    </row>
    <row r="444" spans="2:8" outlineLevel="1">
      <c r="B444" s="221"/>
      <c r="C444" s="225"/>
      <c r="D444" s="184"/>
      <c r="F444" s="221"/>
      <c r="G444" s="225"/>
      <c r="H444" s="181"/>
    </row>
    <row r="445" spans="2:8" outlineLevel="1">
      <c r="B445" s="221"/>
      <c r="C445" s="225"/>
      <c r="D445" s="184"/>
      <c r="F445" s="221"/>
      <c r="G445" s="225"/>
      <c r="H445" s="181"/>
    </row>
    <row r="446" spans="2:8" outlineLevel="1">
      <c r="B446" s="221"/>
      <c r="C446" s="225"/>
      <c r="D446" s="184"/>
      <c r="F446" s="221"/>
      <c r="G446" s="225"/>
      <c r="H446" s="181"/>
    </row>
    <row r="447" spans="2:8" outlineLevel="1">
      <c r="B447" s="221"/>
      <c r="C447" s="225"/>
      <c r="D447" s="184"/>
      <c r="F447" s="221"/>
      <c r="G447" s="225"/>
      <c r="H447" s="181"/>
    </row>
    <row r="448" spans="2:8" outlineLevel="1">
      <c r="B448" s="221"/>
      <c r="C448" s="225"/>
      <c r="D448" s="184"/>
      <c r="F448" s="221"/>
      <c r="G448" s="225"/>
      <c r="H448" s="181"/>
    </row>
    <row r="449" spans="2:8" outlineLevel="1">
      <c r="B449" s="221"/>
      <c r="C449" s="225"/>
      <c r="D449" s="184"/>
      <c r="F449" s="221"/>
      <c r="G449" s="225"/>
      <c r="H449" s="181"/>
    </row>
    <row r="450" spans="2:8" outlineLevel="1">
      <c r="B450" s="221"/>
      <c r="C450" s="225"/>
      <c r="D450" s="184"/>
      <c r="F450" s="221"/>
      <c r="G450" s="225"/>
      <c r="H450" s="181"/>
    </row>
    <row r="451" spans="2:8" outlineLevel="1">
      <c r="B451" s="221"/>
      <c r="C451" s="225"/>
      <c r="D451" s="184"/>
      <c r="F451" s="221"/>
      <c r="G451" s="225"/>
      <c r="H451" s="181"/>
    </row>
    <row r="452" spans="2:8" outlineLevel="1">
      <c r="B452" s="221"/>
      <c r="C452" s="225"/>
      <c r="D452" s="184"/>
      <c r="F452" s="221"/>
      <c r="G452" s="225"/>
      <c r="H452" s="181"/>
    </row>
    <row r="453" spans="2:8" outlineLevel="1">
      <c r="B453" s="221"/>
      <c r="C453" s="225"/>
      <c r="D453" s="184"/>
      <c r="F453" s="221"/>
      <c r="G453" s="225"/>
      <c r="H453" s="181"/>
    </row>
    <row r="454" spans="2:8" outlineLevel="1">
      <c r="B454" s="221"/>
      <c r="C454" s="225"/>
      <c r="D454" s="184"/>
      <c r="F454" s="221"/>
      <c r="G454" s="225"/>
      <c r="H454" s="181"/>
    </row>
    <row r="455" spans="2:8" outlineLevel="1">
      <c r="B455" s="221"/>
      <c r="C455" s="225"/>
      <c r="D455" s="184"/>
      <c r="F455" s="221"/>
      <c r="G455" s="225"/>
      <c r="H455" s="181"/>
    </row>
    <row r="456" spans="2:8" outlineLevel="1">
      <c r="B456" s="221"/>
      <c r="C456" s="225"/>
      <c r="D456" s="184"/>
      <c r="F456" s="221"/>
      <c r="G456" s="225"/>
      <c r="H456" s="181"/>
    </row>
    <row r="457" spans="2:8" outlineLevel="1">
      <c r="B457" s="221"/>
      <c r="C457" s="225"/>
      <c r="D457" s="184"/>
      <c r="F457" s="221"/>
      <c r="G457" s="225"/>
      <c r="H457" s="181"/>
    </row>
    <row r="458" spans="2:8" outlineLevel="1">
      <c r="B458" s="221"/>
      <c r="C458" s="225"/>
      <c r="D458" s="184"/>
      <c r="F458" s="221"/>
      <c r="G458" s="225"/>
      <c r="H458" s="181"/>
    </row>
    <row r="459" spans="2:8" outlineLevel="1">
      <c r="B459" s="221"/>
      <c r="C459" s="225"/>
      <c r="D459" s="184"/>
      <c r="F459" s="221"/>
      <c r="G459" s="225"/>
      <c r="H459" s="181"/>
    </row>
    <row r="460" spans="2:8" outlineLevel="1">
      <c r="B460" s="221"/>
      <c r="C460" s="225"/>
      <c r="D460" s="184"/>
      <c r="F460" s="221"/>
      <c r="G460" s="225"/>
      <c r="H460" s="181"/>
    </row>
    <row r="461" spans="2:8" outlineLevel="1">
      <c r="B461" s="221"/>
      <c r="C461" s="225"/>
      <c r="D461" s="184"/>
      <c r="F461" s="221"/>
      <c r="G461" s="225"/>
      <c r="H461" s="181"/>
    </row>
    <row r="462" spans="2:8" outlineLevel="1">
      <c r="B462" s="221"/>
      <c r="C462" s="225"/>
      <c r="D462" s="184"/>
      <c r="F462" s="221"/>
      <c r="G462" s="225"/>
      <c r="H462" s="181"/>
    </row>
    <row r="463" spans="2:8" outlineLevel="1">
      <c r="B463" s="221"/>
      <c r="C463" s="225"/>
      <c r="D463" s="184"/>
      <c r="F463" s="221"/>
      <c r="G463" s="225"/>
      <c r="H463" s="181"/>
    </row>
    <row r="464" spans="2:8" outlineLevel="1">
      <c r="B464" s="221"/>
      <c r="C464" s="225"/>
      <c r="D464" s="184"/>
      <c r="F464" s="221"/>
      <c r="G464" s="225"/>
      <c r="H464" s="181"/>
    </row>
    <row r="465" spans="2:8" outlineLevel="1">
      <c r="B465" s="221"/>
      <c r="C465" s="225"/>
      <c r="D465" s="184"/>
      <c r="F465" s="221"/>
      <c r="G465" s="225"/>
      <c r="H465" s="181"/>
    </row>
    <row r="466" spans="2:8" outlineLevel="1">
      <c r="B466" s="221"/>
      <c r="C466" s="225"/>
      <c r="D466" s="184"/>
      <c r="F466" s="221"/>
      <c r="G466" s="225"/>
      <c r="H466" s="181"/>
    </row>
    <row r="467" spans="2:8" outlineLevel="1">
      <c r="B467" s="221"/>
      <c r="C467" s="225"/>
      <c r="D467" s="184"/>
      <c r="F467" s="221"/>
      <c r="G467" s="225"/>
      <c r="H467" s="181"/>
    </row>
    <row r="468" spans="2:8" outlineLevel="1">
      <c r="B468" s="221"/>
      <c r="C468" s="225"/>
      <c r="D468" s="184"/>
      <c r="F468" s="221"/>
      <c r="G468" s="225"/>
      <c r="H468" s="181"/>
    </row>
    <row r="469" spans="2:8" outlineLevel="1">
      <c r="B469" s="221"/>
      <c r="C469" s="225"/>
      <c r="D469" s="184"/>
      <c r="F469" s="221"/>
      <c r="G469" s="225"/>
      <c r="H469" s="181"/>
    </row>
    <row r="470" spans="2:8" outlineLevel="1">
      <c r="B470" s="221"/>
      <c r="C470" s="225"/>
      <c r="D470" s="184"/>
      <c r="F470" s="221"/>
      <c r="G470" s="225"/>
      <c r="H470" s="181"/>
    </row>
    <row r="471" spans="2:8" outlineLevel="1">
      <c r="B471" s="221"/>
      <c r="C471" s="225"/>
      <c r="D471" s="184"/>
      <c r="F471" s="221"/>
      <c r="G471" s="225"/>
      <c r="H471" s="181"/>
    </row>
    <row r="472" spans="2:8" outlineLevel="1">
      <c r="B472" s="221"/>
      <c r="C472" s="225"/>
      <c r="D472" s="184"/>
      <c r="F472" s="221"/>
      <c r="G472" s="225"/>
      <c r="H472" s="181"/>
    </row>
    <row r="473" spans="2:8" outlineLevel="1">
      <c r="B473" s="221"/>
      <c r="C473" s="225"/>
      <c r="D473" s="184"/>
      <c r="F473" s="221"/>
      <c r="G473" s="225"/>
      <c r="H473" s="181"/>
    </row>
    <row r="474" spans="2:8" outlineLevel="1">
      <c r="B474" s="221"/>
      <c r="C474" s="225"/>
      <c r="D474" s="184"/>
      <c r="F474" s="221"/>
      <c r="G474" s="225"/>
      <c r="H474" s="181"/>
    </row>
    <row r="475" spans="2:8" outlineLevel="1">
      <c r="B475" s="221"/>
      <c r="C475" s="225"/>
      <c r="D475" s="184"/>
      <c r="F475" s="221"/>
      <c r="G475" s="225"/>
      <c r="H475" s="181"/>
    </row>
    <row r="476" spans="2:8" outlineLevel="1">
      <c r="B476" s="221"/>
      <c r="C476" s="225"/>
      <c r="D476" s="184"/>
      <c r="F476" s="221"/>
      <c r="G476" s="225"/>
      <c r="H476" s="181"/>
    </row>
    <row r="477" spans="2:8" outlineLevel="1">
      <c r="B477" s="221"/>
      <c r="C477" s="225"/>
      <c r="D477" s="184"/>
      <c r="F477" s="221"/>
      <c r="G477" s="225"/>
      <c r="H477" s="181"/>
    </row>
    <row r="478" spans="2:8" outlineLevel="1">
      <c r="B478" s="221"/>
      <c r="C478" s="225"/>
      <c r="D478" s="184"/>
      <c r="F478" s="221"/>
      <c r="G478" s="225"/>
      <c r="H478" s="181"/>
    </row>
    <row r="479" spans="2:8" outlineLevel="1">
      <c r="B479" s="221"/>
      <c r="C479" s="225"/>
      <c r="D479" s="184"/>
      <c r="F479" s="221"/>
      <c r="G479" s="225"/>
      <c r="H479" s="181"/>
    </row>
    <row r="480" spans="2:8" outlineLevel="1">
      <c r="B480" s="221"/>
      <c r="C480" s="225"/>
      <c r="D480" s="184"/>
      <c r="F480" s="221"/>
      <c r="G480" s="225"/>
      <c r="H480" s="181"/>
    </row>
    <row r="481" spans="2:8" outlineLevel="1">
      <c r="B481" s="221"/>
      <c r="C481" s="225"/>
      <c r="D481" s="184"/>
      <c r="F481" s="221"/>
      <c r="G481" s="225"/>
      <c r="H481" s="181"/>
    </row>
    <row r="482" spans="2:8" outlineLevel="1">
      <c r="B482" s="221"/>
      <c r="C482" s="225"/>
      <c r="D482" s="184"/>
      <c r="F482" s="221"/>
      <c r="G482" s="225"/>
      <c r="H482" s="181"/>
    </row>
    <row r="483" spans="2:8" outlineLevel="1">
      <c r="B483" s="221"/>
      <c r="C483" s="225"/>
      <c r="D483" s="184"/>
      <c r="F483" s="221"/>
      <c r="G483" s="225"/>
      <c r="H483" s="181"/>
    </row>
    <row r="484" spans="2:8" outlineLevel="1">
      <c r="B484" s="221"/>
      <c r="C484" s="225"/>
      <c r="D484" s="184"/>
      <c r="F484" s="221"/>
      <c r="G484" s="225"/>
      <c r="H484" s="181"/>
    </row>
    <row r="485" spans="2:8" outlineLevel="1">
      <c r="B485" s="221"/>
      <c r="C485" s="225"/>
      <c r="D485" s="184"/>
      <c r="F485" s="221"/>
      <c r="G485" s="225"/>
      <c r="H485" s="181"/>
    </row>
    <row r="486" spans="2:8" outlineLevel="1">
      <c r="B486" s="221"/>
      <c r="C486" s="225"/>
      <c r="D486" s="184"/>
      <c r="F486" s="221"/>
      <c r="G486" s="225"/>
      <c r="H486" s="181"/>
    </row>
    <row r="487" spans="2:8" outlineLevel="1">
      <c r="B487" s="221"/>
      <c r="C487" s="225"/>
      <c r="D487" s="184"/>
      <c r="F487" s="221"/>
      <c r="G487" s="225"/>
      <c r="H487" s="181"/>
    </row>
    <row r="488" spans="2:8" outlineLevel="1">
      <c r="B488" s="221"/>
      <c r="C488" s="225"/>
      <c r="D488" s="184"/>
      <c r="F488" s="221"/>
      <c r="G488" s="225"/>
      <c r="H488" s="181"/>
    </row>
    <row r="489" spans="2:8" outlineLevel="1">
      <c r="B489" s="221"/>
      <c r="C489" s="225"/>
      <c r="D489" s="184"/>
      <c r="F489" s="221"/>
      <c r="G489" s="225"/>
      <c r="H489" s="181"/>
    </row>
    <row r="490" spans="2:8" outlineLevel="1">
      <c r="B490" s="221"/>
      <c r="C490" s="225"/>
      <c r="D490" s="184"/>
      <c r="F490" s="221"/>
      <c r="G490" s="225"/>
      <c r="H490" s="181"/>
    </row>
    <row r="491" spans="2:8" outlineLevel="1">
      <c r="B491" s="221"/>
      <c r="C491" s="225"/>
      <c r="D491" s="184"/>
      <c r="F491" s="221"/>
      <c r="G491" s="225"/>
      <c r="H491" s="181"/>
    </row>
    <row r="492" spans="2:8" outlineLevel="1">
      <c r="B492" s="221"/>
      <c r="C492" s="225"/>
      <c r="D492" s="184"/>
      <c r="F492" s="221"/>
      <c r="G492" s="225"/>
      <c r="H492" s="181"/>
    </row>
    <row r="493" spans="2:8" outlineLevel="1">
      <c r="B493" s="221"/>
      <c r="C493" s="225"/>
      <c r="D493" s="184"/>
      <c r="F493" s="221"/>
      <c r="G493" s="225"/>
      <c r="H493" s="181"/>
    </row>
    <row r="494" spans="2:8" outlineLevel="1">
      <c r="B494" s="221"/>
      <c r="C494" s="225"/>
      <c r="D494" s="184"/>
      <c r="F494" s="221"/>
      <c r="G494" s="225"/>
      <c r="H494" s="181"/>
    </row>
    <row r="495" spans="2:8" outlineLevel="1">
      <c r="B495" s="221"/>
      <c r="C495" s="225"/>
      <c r="D495" s="184"/>
      <c r="F495" s="221"/>
      <c r="G495" s="225"/>
      <c r="H495" s="181"/>
    </row>
    <row r="496" spans="2:8" outlineLevel="1">
      <c r="B496" s="221"/>
      <c r="C496" s="225"/>
      <c r="D496" s="184"/>
      <c r="F496" s="221"/>
      <c r="G496" s="225"/>
      <c r="H496" s="181"/>
    </row>
    <row r="497" spans="2:8" outlineLevel="1">
      <c r="B497" s="221"/>
      <c r="C497" s="225"/>
      <c r="D497" s="184"/>
      <c r="F497" s="221"/>
      <c r="G497" s="225"/>
      <c r="H497" s="181"/>
    </row>
    <row r="498" spans="2:8" outlineLevel="1">
      <c r="B498" s="221"/>
      <c r="C498" s="225"/>
      <c r="D498" s="184"/>
      <c r="F498" s="221"/>
      <c r="G498" s="225"/>
      <c r="H498" s="181"/>
    </row>
    <row r="499" spans="2:8" outlineLevel="1">
      <c r="B499" s="221"/>
      <c r="C499" s="225"/>
      <c r="D499" s="184"/>
      <c r="F499" s="221"/>
      <c r="G499" s="225"/>
      <c r="H499" s="181"/>
    </row>
    <row r="500" spans="2:8" outlineLevel="1">
      <c r="B500" s="221"/>
      <c r="C500" s="225"/>
      <c r="D500" s="184"/>
      <c r="F500" s="221"/>
      <c r="G500" s="225"/>
      <c r="H500" s="181"/>
    </row>
    <row r="501" spans="2:8" outlineLevel="1">
      <c r="B501" s="221"/>
      <c r="C501" s="225"/>
      <c r="D501" s="184"/>
      <c r="F501" s="221"/>
      <c r="G501" s="225"/>
      <c r="H501" s="181"/>
    </row>
    <row r="502" spans="2:8" outlineLevel="1">
      <c r="B502" s="221"/>
      <c r="C502" s="225"/>
      <c r="D502" s="184"/>
      <c r="F502" s="221"/>
      <c r="G502" s="225"/>
      <c r="H502" s="181"/>
    </row>
    <row r="503" spans="2:8" outlineLevel="1">
      <c r="B503" s="221"/>
      <c r="C503" s="225"/>
      <c r="D503" s="184"/>
      <c r="F503" s="221"/>
      <c r="G503" s="225"/>
      <c r="H503" s="181"/>
    </row>
    <row r="504" spans="2:8" outlineLevel="1">
      <c r="B504" s="221"/>
      <c r="C504" s="225"/>
      <c r="D504" s="184"/>
      <c r="F504" s="221"/>
      <c r="G504" s="225"/>
      <c r="H504" s="181"/>
    </row>
    <row r="505" spans="2:8" outlineLevel="1">
      <c r="B505" s="221"/>
      <c r="C505" s="225"/>
      <c r="D505" s="184"/>
      <c r="F505" s="221"/>
      <c r="G505" s="225"/>
      <c r="H505" s="181"/>
    </row>
    <row r="506" spans="2:8" outlineLevel="1">
      <c r="B506" s="221"/>
      <c r="C506" s="225"/>
      <c r="D506" s="184"/>
      <c r="F506" s="221"/>
      <c r="G506" s="225"/>
      <c r="H506" s="181"/>
    </row>
    <row r="507" spans="2:8" outlineLevel="1">
      <c r="B507" s="221"/>
      <c r="C507" s="225"/>
      <c r="D507" s="184"/>
      <c r="F507" s="221"/>
      <c r="G507" s="225"/>
      <c r="H507" s="181"/>
    </row>
    <row r="508" spans="2:8" outlineLevel="1">
      <c r="B508" s="221"/>
      <c r="C508" s="225"/>
      <c r="D508" s="184"/>
      <c r="F508" s="221"/>
      <c r="G508" s="225"/>
      <c r="H508" s="181"/>
    </row>
    <row r="509" spans="2:8" outlineLevel="1">
      <c r="B509" s="221"/>
      <c r="C509" s="225"/>
      <c r="D509" s="184"/>
      <c r="F509" s="221"/>
      <c r="G509" s="225"/>
      <c r="H509" s="181"/>
    </row>
    <row r="510" spans="2:8" outlineLevel="1">
      <c r="B510" s="221"/>
      <c r="C510" s="225"/>
      <c r="D510" s="184"/>
      <c r="F510" s="221"/>
      <c r="G510" s="225"/>
      <c r="H510" s="181"/>
    </row>
    <row r="511" spans="2:8" outlineLevel="1">
      <c r="B511" s="221"/>
      <c r="C511" s="225"/>
      <c r="D511" s="184"/>
      <c r="F511" s="221"/>
      <c r="G511" s="225"/>
      <c r="H511" s="181"/>
    </row>
    <row r="512" spans="2:8" outlineLevel="1">
      <c r="B512" s="221"/>
      <c r="C512" s="225"/>
      <c r="D512" s="184"/>
      <c r="F512" s="221"/>
      <c r="G512" s="225"/>
      <c r="H512" s="181"/>
    </row>
    <row r="513" spans="2:8" outlineLevel="1">
      <c r="B513" s="221"/>
      <c r="C513" s="225"/>
      <c r="D513" s="184"/>
      <c r="F513" s="221"/>
      <c r="G513" s="225"/>
      <c r="H513" s="181"/>
    </row>
    <row r="514" spans="2:8" outlineLevel="1">
      <c r="B514" s="221"/>
      <c r="C514" s="225"/>
      <c r="D514" s="184"/>
      <c r="F514" s="221"/>
      <c r="G514" s="225"/>
      <c r="H514" s="181"/>
    </row>
    <row r="515" spans="2:8" outlineLevel="1">
      <c r="B515" s="221"/>
      <c r="C515" s="225"/>
      <c r="D515" s="184"/>
      <c r="F515" s="221"/>
      <c r="G515" s="225"/>
      <c r="H515" s="181"/>
    </row>
    <row r="516" spans="2:8" outlineLevel="1">
      <c r="B516" s="221"/>
      <c r="C516" s="225"/>
      <c r="D516" s="184"/>
      <c r="F516" s="221"/>
      <c r="G516" s="225"/>
      <c r="H516" s="181"/>
    </row>
    <row r="517" spans="2:8" outlineLevel="1">
      <c r="B517" s="221"/>
      <c r="C517" s="225"/>
      <c r="D517" s="184"/>
      <c r="F517" s="221"/>
      <c r="G517" s="225"/>
      <c r="H517" s="181"/>
    </row>
    <row r="518" spans="2:8" outlineLevel="1">
      <c r="B518" s="221"/>
      <c r="C518" s="225"/>
      <c r="D518" s="184"/>
      <c r="F518" s="221"/>
      <c r="G518" s="225"/>
      <c r="H518" s="181"/>
    </row>
    <row r="519" spans="2:8" outlineLevel="1">
      <c r="B519" s="221"/>
      <c r="C519" s="225"/>
      <c r="D519" s="184"/>
      <c r="F519" s="221"/>
      <c r="G519" s="225"/>
      <c r="H519" s="181"/>
    </row>
    <row r="520" spans="2:8" outlineLevel="1">
      <c r="B520" s="221"/>
      <c r="C520" s="225"/>
      <c r="D520" s="184"/>
      <c r="F520" s="221"/>
      <c r="G520" s="225"/>
      <c r="H520" s="181"/>
    </row>
    <row r="521" spans="2:8" outlineLevel="1">
      <c r="B521" s="221"/>
      <c r="C521" s="225"/>
      <c r="D521" s="184"/>
      <c r="F521" s="221"/>
      <c r="G521" s="225"/>
      <c r="H521" s="181"/>
    </row>
    <row r="522" spans="2:8" outlineLevel="1">
      <c r="B522" s="221"/>
      <c r="C522" s="225"/>
      <c r="D522" s="184"/>
      <c r="F522" s="221"/>
      <c r="G522" s="225"/>
      <c r="H522" s="181"/>
    </row>
    <row r="523" spans="2:8" outlineLevel="1">
      <c r="B523" s="221"/>
      <c r="C523" s="225"/>
      <c r="D523" s="184"/>
      <c r="F523" s="221"/>
      <c r="G523" s="225"/>
      <c r="H523" s="181"/>
    </row>
    <row r="524" spans="2:8" outlineLevel="1">
      <c r="B524" s="221"/>
      <c r="C524" s="225"/>
      <c r="D524" s="184"/>
      <c r="F524" s="221"/>
      <c r="G524" s="225"/>
      <c r="H524" s="181"/>
    </row>
    <row r="525" spans="2:8" outlineLevel="1">
      <c r="B525" s="221"/>
      <c r="C525" s="225"/>
      <c r="D525" s="184"/>
      <c r="F525" s="221"/>
      <c r="G525" s="225"/>
      <c r="H525" s="181"/>
    </row>
    <row r="526" spans="2:8" outlineLevel="1">
      <c r="B526" s="221"/>
      <c r="C526" s="225"/>
      <c r="D526" s="184"/>
      <c r="F526" s="221"/>
      <c r="G526" s="225"/>
      <c r="H526" s="181"/>
    </row>
    <row r="527" spans="2:8" outlineLevel="1">
      <c r="B527" s="221"/>
      <c r="C527" s="225"/>
      <c r="D527" s="184"/>
      <c r="F527" s="221"/>
      <c r="G527" s="225"/>
      <c r="H527" s="181"/>
    </row>
    <row r="528" spans="2:8" outlineLevel="1">
      <c r="B528" s="221"/>
      <c r="C528" s="225"/>
      <c r="D528" s="184"/>
      <c r="F528" s="221"/>
      <c r="G528" s="225"/>
      <c r="H528" s="181"/>
    </row>
    <row r="529" spans="2:8" outlineLevel="1">
      <c r="B529" s="221"/>
      <c r="C529" s="225"/>
      <c r="D529" s="184"/>
      <c r="F529" s="221"/>
      <c r="G529" s="225"/>
      <c r="H529" s="181"/>
    </row>
    <row r="530" spans="2:8" outlineLevel="1">
      <c r="B530" s="221"/>
      <c r="C530" s="225"/>
      <c r="D530" s="184"/>
      <c r="F530" s="221"/>
      <c r="G530" s="225"/>
      <c r="H530" s="181"/>
    </row>
    <row r="531" spans="2:8" outlineLevel="1">
      <c r="B531" s="221"/>
      <c r="C531" s="225"/>
      <c r="D531" s="184"/>
      <c r="F531" s="221"/>
      <c r="G531" s="225"/>
      <c r="H531" s="181"/>
    </row>
    <row r="532" spans="2:8" outlineLevel="1">
      <c r="B532" s="221"/>
      <c r="C532" s="225"/>
      <c r="D532" s="184"/>
      <c r="F532" s="221"/>
      <c r="G532" s="225"/>
      <c r="H532" s="181"/>
    </row>
    <row r="533" spans="2:8" outlineLevel="1">
      <c r="B533" s="221"/>
      <c r="C533" s="225"/>
      <c r="D533" s="184"/>
      <c r="F533" s="221"/>
      <c r="G533" s="225"/>
      <c r="H533" s="181"/>
    </row>
    <row r="534" spans="2:8" outlineLevel="1">
      <c r="B534" s="221"/>
      <c r="C534" s="225"/>
      <c r="D534" s="184"/>
      <c r="F534" s="221"/>
      <c r="G534" s="225"/>
      <c r="H534" s="181"/>
    </row>
    <row r="535" spans="2:8" outlineLevel="1">
      <c r="B535" s="221"/>
      <c r="C535" s="225"/>
      <c r="D535" s="184"/>
      <c r="F535" s="221"/>
      <c r="G535" s="225"/>
      <c r="H535" s="181"/>
    </row>
    <row r="536" spans="2:8" outlineLevel="1">
      <c r="B536" s="221"/>
      <c r="C536" s="225"/>
      <c r="D536" s="184"/>
      <c r="F536" s="221"/>
      <c r="G536" s="225"/>
      <c r="H536" s="181"/>
    </row>
    <row r="537" spans="2:8" outlineLevel="1">
      <c r="B537" s="221"/>
      <c r="C537" s="225"/>
      <c r="D537" s="184"/>
      <c r="F537" s="221"/>
      <c r="G537" s="225"/>
      <c r="H537" s="181"/>
    </row>
    <row r="538" spans="2:8" outlineLevel="1">
      <c r="B538" s="221"/>
      <c r="C538" s="225"/>
      <c r="D538" s="184"/>
      <c r="F538" s="221"/>
      <c r="G538" s="225"/>
      <c r="H538" s="181"/>
    </row>
    <row r="539" spans="2:8" outlineLevel="1">
      <c r="B539" s="221"/>
      <c r="C539" s="225"/>
      <c r="D539" s="184"/>
      <c r="F539" s="221"/>
      <c r="G539" s="225"/>
      <c r="H539" s="181"/>
    </row>
    <row r="540" spans="2:8" outlineLevel="1">
      <c r="B540" s="221"/>
      <c r="C540" s="225"/>
      <c r="D540" s="184"/>
      <c r="F540" s="221"/>
      <c r="G540" s="225"/>
      <c r="H540" s="181"/>
    </row>
    <row r="541" spans="2:8" outlineLevel="1">
      <c r="B541" s="221"/>
      <c r="C541" s="225"/>
      <c r="D541" s="184"/>
      <c r="F541" s="221"/>
      <c r="G541" s="225"/>
      <c r="H541" s="181"/>
    </row>
    <row r="542" spans="2:8" outlineLevel="1">
      <c r="B542" s="221"/>
      <c r="C542" s="225"/>
      <c r="D542" s="184"/>
      <c r="F542" s="221"/>
      <c r="G542" s="225"/>
      <c r="H542" s="181"/>
    </row>
    <row r="543" spans="2:8" outlineLevel="1">
      <c r="B543" s="221"/>
      <c r="C543" s="225"/>
      <c r="D543" s="184"/>
      <c r="F543" s="221"/>
      <c r="G543" s="225"/>
      <c r="H543" s="181"/>
    </row>
    <row r="544" spans="2:8" outlineLevel="1">
      <c r="B544" s="221"/>
      <c r="C544" s="225"/>
      <c r="D544" s="184"/>
      <c r="F544" s="221"/>
      <c r="G544" s="225"/>
      <c r="H544" s="181"/>
    </row>
    <row r="545" spans="2:8" outlineLevel="1">
      <c r="B545" s="221"/>
      <c r="C545" s="225"/>
      <c r="D545" s="184"/>
      <c r="F545" s="221"/>
      <c r="G545" s="225"/>
      <c r="H545" s="181"/>
    </row>
    <row r="546" spans="2:8" outlineLevel="1">
      <c r="B546" s="221"/>
      <c r="C546" s="225"/>
      <c r="D546" s="184"/>
      <c r="F546" s="221"/>
      <c r="G546" s="225"/>
      <c r="H546" s="181"/>
    </row>
    <row r="547" spans="2:8" outlineLevel="1">
      <c r="B547" s="221"/>
      <c r="C547" s="225"/>
      <c r="D547" s="184"/>
      <c r="F547" s="221"/>
      <c r="G547" s="225"/>
      <c r="H547" s="181"/>
    </row>
    <row r="548" spans="2:8" outlineLevel="1">
      <c r="B548" s="221"/>
      <c r="C548" s="225"/>
      <c r="D548" s="184"/>
      <c r="F548" s="221"/>
      <c r="G548" s="225"/>
      <c r="H548" s="181"/>
    </row>
    <row r="549" spans="2:8" outlineLevel="1">
      <c r="B549" s="221"/>
      <c r="C549" s="225"/>
      <c r="D549" s="184"/>
      <c r="F549" s="221"/>
      <c r="G549" s="225"/>
      <c r="H549" s="181"/>
    </row>
    <row r="550" spans="2:8" outlineLevel="1">
      <c r="B550" s="221"/>
      <c r="C550" s="225"/>
      <c r="D550" s="184"/>
      <c r="F550" s="221"/>
      <c r="G550" s="225"/>
      <c r="H550" s="181"/>
    </row>
    <row r="551" spans="2:8" outlineLevel="1">
      <c r="B551" s="221"/>
      <c r="C551" s="225"/>
      <c r="D551" s="184"/>
      <c r="F551" s="221"/>
      <c r="G551" s="225"/>
      <c r="H551" s="181"/>
    </row>
    <row r="552" spans="2:8" outlineLevel="1">
      <c r="B552" s="221"/>
      <c r="C552" s="225"/>
      <c r="D552" s="184"/>
      <c r="F552" s="221"/>
      <c r="G552" s="225"/>
      <c r="H552" s="181"/>
    </row>
    <row r="553" spans="2:8" outlineLevel="1">
      <c r="B553" s="221"/>
      <c r="C553" s="225"/>
      <c r="D553" s="184"/>
      <c r="F553" s="221"/>
      <c r="G553" s="225"/>
      <c r="H553" s="181"/>
    </row>
    <row r="554" spans="2:8" outlineLevel="1">
      <c r="B554" s="221"/>
      <c r="C554" s="225"/>
      <c r="D554" s="184"/>
      <c r="F554" s="221"/>
      <c r="G554" s="225"/>
      <c r="H554" s="181"/>
    </row>
    <row r="555" spans="2:8" outlineLevel="1">
      <c r="B555" s="221"/>
      <c r="C555" s="225"/>
      <c r="D555" s="184"/>
      <c r="F555" s="221"/>
      <c r="G555" s="225"/>
      <c r="H555" s="181"/>
    </row>
    <row r="556" spans="2:8" outlineLevel="1">
      <c r="B556" s="221"/>
      <c r="C556" s="225"/>
      <c r="D556" s="184"/>
      <c r="F556" s="221"/>
      <c r="G556" s="225"/>
      <c r="H556" s="181"/>
    </row>
    <row r="557" spans="2:8" outlineLevel="1">
      <c r="B557" s="221"/>
      <c r="C557" s="225"/>
      <c r="D557" s="184"/>
      <c r="F557" s="221"/>
      <c r="G557" s="225"/>
      <c r="H557" s="181"/>
    </row>
    <row r="558" spans="2:8" outlineLevel="1">
      <c r="B558" s="221"/>
      <c r="C558" s="225"/>
      <c r="D558" s="184"/>
      <c r="F558" s="221"/>
      <c r="G558" s="225"/>
      <c r="H558" s="181"/>
    </row>
    <row r="559" spans="2:8" outlineLevel="1">
      <c r="B559" s="221"/>
      <c r="C559" s="225"/>
      <c r="D559" s="184"/>
      <c r="F559" s="221"/>
      <c r="G559" s="225"/>
      <c r="H559" s="181"/>
    </row>
    <row r="560" spans="2:8" outlineLevel="1">
      <c r="B560" s="221"/>
      <c r="C560" s="225"/>
      <c r="D560" s="184"/>
      <c r="F560" s="221"/>
      <c r="G560" s="225"/>
      <c r="H560" s="181"/>
    </row>
    <row r="561" spans="2:8" outlineLevel="1">
      <c r="B561" s="221"/>
      <c r="C561" s="225"/>
      <c r="D561" s="184"/>
      <c r="F561" s="221"/>
      <c r="G561" s="225"/>
      <c r="H561" s="181"/>
    </row>
    <row r="562" spans="2:8" outlineLevel="1">
      <c r="B562" s="221"/>
      <c r="C562" s="225"/>
      <c r="D562" s="184"/>
      <c r="F562" s="221"/>
      <c r="G562" s="225"/>
      <c r="H562" s="181"/>
    </row>
    <row r="563" spans="2:8" outlineLevel="1">
      <c r="B563" s="221"/>
      <c r="C563" s="225"/>
      <c r="D563" s="184"/>
      <c r="F563" s="221"/>
      <c r="G563" s="225"/>
      <c r="H563" s="181"/>
    </row>
    <row r="564" spans="2:8" outlineLevel="1">
      <c r="B564" s="221"/>
      <c r="C564" s="225"/>
      <c r="D564" s="184"/>
      <c r="F564" s="221"/>
      <c r="G564" s="225"/>
      <c r="H564" s="181"/>
    </row>
    <row r="565" spans="2:8" outlineLevel="1">
      <c r="B565" s="221"/>
      <c r="C565" s="225"/>
      <c r="D565" s="184"/>
      <c r="F565" s="221"/>
      <c r="G565" s="225"/>
      <c r="H565" s="181"/>
    </row>
    <row r="566" spans="2:8" outlineLevel="1">
      <c r="B566" s="221"/>
      <c r="C566" s="225"/>
      <c r="D566" s="184"/>
      <c r="F566" s="221"/>
      <c r="G566" s="225"/>
      <c r="H566" s="181"/>
    </row>
    <row r="567" spans="2:8" outlineLevel="1">
      <c r="B567" s="221"/>
      <c r="C567" s="225"/>
      <c r="D567" s="184"/>
      <c r="F567" s="221"/>
      <c r="G567" s="225"/>
      <c r="H567" s="181"/>
    </row>
    <row r="568" spans="2:8" outlineLevel="1">
      <c r="B568" s="221"/>
      <c r="C568" s="225"/>
      <c r="D568" s="184"/>
      <c r="F568" s="221"/>
      <c r="G568" s="225"/>
      <c r="H568" s="181"/>
    </row>
    <row r="569" spans="2:8" outlineLevel="1">
      <c r="B569" s="221"/>
      <c r="C569" s="225"/>
      <c r="D569" s="184"/>
      <c r="F569" s="221"/>
      <c r="G569" s="225"/>
      <c r="H569" s="181"/>
    </row>
    <row r="570" spans="2:8" outlineLevel="1">
      <c r="B570" s="221"/>
      <c r="C570" s="225"/>
      <c r="D570" s="184"/>
      <c r="F570" s="221"/>
      <c r="G570" s="225"/>
      <c r="H570" s="181"/>
    </row>
    <row r="571" spans="2:8" outlineLevel="1">
      <c r="B571" s="221"/>
      <c r="C571" s="225"/>
      <c r="D571" s="184"/>
      <c r="F571" s="221"/>
      <c r="G571" s="225"/>
      <c r="H571" s="181"/>
    </row>
    <row r="572" spans="2:8" outlineLevel="1">
      <c r="B572" s="221"/>
      <c r="C572" s="225"/>
      <c r="D572" s="184"/>
      <c r="F572" s="221"/>
      <c r="G572" s="225"/>
      <c r="H572" s="181"/>
    </row>
    <row r="573" spans="2:8" outlineLevel="1">
      <c r="B573" s="221"/>
      <c r="C573" s="225"/>
      <c r="D573" s="184"/>
      <c r="F573" s="221"/>
      <c r="G573" s="225"/>
      <c r="H573" s="181"/>
    </row>
    <row r="574" spans="2:8" outlineLevel="1">
      <c r="B574" s="221"/>
      <c r="C574" s="225"/>
      <c r="D574" s="184"/>
      <c r="F574" s="221"/>
      <c r="G574" s="225"/>
      <c r="H574" s="181"/>
    </row>
    <row r="575" spans="2:8" outlineLevel="1">
      <c r="B575" s="221"/>
      <c r="C575" s="225"/>
      <c r="D575" s="184"/>
      <c r="F575" s="221"/>
      <c r="G575" s="225"/>
      <c r="H575" s="181"/>
    </row>
    <row r="576" spans="2:8" outlineLevel="1">
      <c r="B576" s="221"/>
      <c r="C576" s="225"/>
      <c r="D576" s="184"/>
      <c r="F576" s="221"/>
      <c r="G576" s="225"/>
      <c r="H576" s="181"/>
    </row>
    <row r="577" spans="2:8" outlineLevel="1">
      <c r="B577" s="221"/>
      <c r="C577" s="225"/>
      <c r="D577" s="184"/>
      <c r="F577" s="221"/>
      <c r="G577" s="225"/>
      <c r="H577" s="181"/>
    </row>
    <row r="578" spans="2:8" outlineLevel="1">
      <c r="B578" s="221"/>
      <c r="C578" s="225"/>
      <c r="D578" s="184"/>
      <c r="F578" s="221"/>
      <c r="G578" s="225"/>
      <c r="H578" s="181"/>
    </row>
    <row r="579" spans="2:8" outlineLevel="1">
      <c r="B579" s="221"/>
      <c r="C579" s="225"/>
      <c r="D579" s="184"/>
      <c r="F579" s="221"/>
      <c r="G579" s="225"/>
      <c r="H579" s="181"/>
    </row>
    <row r="580" spans="2:8" outlineLevel="1">
      <c r="B580" s="221"/>
      <c r="C580" s="225"/>
      <c r="D580" s="184"/>
      <c r="F580" s="221"/>
      <c r="G580" s="225"/>
      <c r="H580" s="181"/>
    </row>
    <row r="581" spans="2:8" outlineLevel="1">
      <c r="B581" s="221"/>
      <c r="C581" s="225"/>
      <c r="D581" s="184"/>
      <c r="F581" s="221"/>
      <c r="G581" s="225"/>
      <c r="H581" s="181"/>
    </row>
    <row r="582" spans="2:8" outlineLevel="1">
      <c r="B582" s="221"/>
      <c r="C582" s="225"/>
      <c r="D582" s="184"/>
      <c r="F582" s="221"/>
      <c r="G582" s="225"/>
      <c r="H582" s="181"/>
    </row>
    <row r="583" spans="2:8" outlineLevel="1">
      <c r="B583" s="221"/>
      <c r="C583" s="225"/>
      <c r="D583" s="184"/>
      <c r="F583" s="221"/>
      <c r="G583" s="225"/>
      <c r="H583" s="181"/>
    </row>
    <row r="584" spans="2:8" outlineLevel="1">
      <c r="B584" s="221"/>
      <c r="C584" s="225"/>
      <c r="D584" s="184"/>
      <c r="F584" s="221"/>
      <c r="G584" s="225"/>
      <c r="H584" s="181"/>
    </row>
    <row r="585" spans="2:8" outlineLevel="1">
      <c r="B585" s="221"/>
      <c r="C585" s="225"/>
      <c r="D585" s="184"/>
      <c r="F585" s="221"/>
      <c r="G585" s="225"/>
      <c r="H585" s="181"/>
    </row>
    <row r="586" spans="2:8" outlineLevel="1">
      <c r="B586" s="221"/>
      <c r="C586" s="225"/>
      <c r="D586" s="184"/>
      <c r="F586" s="221"/>
      <c r="G586" s="225"/>
      <c r="H586" s="181"/>
    </row>
    <row r="587" spans="2:8" outlineLevel="1">
      <c r="B587" s="221"/>
      <c r="C587" s="225"/>
      <c r="D587" s="184"/>
      <c r="F587" s="221"/>
      <c r="G587" s="225"/>
      <c r="H587" s="181"/>
    </row>
    <row r="588" spans="2:8" outlineLevel="1">
      <c r="B588" s="221"/>
      <c r="C588" s="225"/>
      <c r="D588" s="184"/>
      <c r="F588" s="221"/>
      <c r="G588" s="225"/>
      <c r="H588" s="181"/>
    </row>
    <row r="589" spans="2:8" outlineLevel="1">
      <c r="B589" s="221"/>
      <c r="C589" s="225"/>
      <c r="D589" s="184"/>
      <c r="F589" s="221"/>
      <c r="G589" s="225"/>
      <c r="H589" s="181"/>
    </row>
    <row r="590" spans="2:8" outlineLevel="1">
      <c r="B590" s="221"/>
      <c r="C590" s="225"/>
      <c r="D590" s="184"/>
      <c r="F590" s="221"/>
      <c r="G590" s="225"/>
      <c r="H590" s="181"/>
    </row>
    <row r="591" spans="2:8" outlineLevel="1">
      <c r="B591" s="221"/>
      <c r="C591" s="225"/>
      <c r="D591" s="184"/>
      <c r="F591" s="221"/>
      <c r="G591" s="225"/>
      <c r="H591" s="181"/>
    </row>
    <row r="592" spans="2:8" outlineLevel="1">
      <c r="B592" s="221"/>
      <c r="C592" s="225"/>
      <c r="D592" s="184"/>
      <c r="F592" s="221"/>
      <c r="G592" s="225"/>
      <c r="H592" s="181"/>
    </row>
    <row r="593" spans="2:8" outlineLevel="1">
      <c r="B593" s="221"/>
      <c r="C593" s="225"/>
      <c r="D593" s="184"/>
      <c r="F593" s="221"/>
      <c r="G593" s="225"/>
      <c r="H593" s="181"/>
    </row>
    <row r="594" spans="2:8" outlineLevel="1">
      <c r="B594" s="221"/>
      <c r="C594" s="225"/>
      <c r="D594" s="184"/>
      <c r="F594" s="221"/>
      <c r="G594" s="225"/>
      <c r="H594" s="181"/>
    </row>
    <row r="595" spans="2:8" outlineLevel="1">
      <c r="B595" s="221"/>
      <c r="C595" s="225"/>
      <c r="D595" s="184"/>
      <c r="F595" s="221"/>
      <c r="G595" s="225"/>
      <c r="H595" s="181"/>
    </row>
    <row r="596" spans="2:8" outlineLevel="1">
      <c r="B596" s="221"/>
      <c r="C596" s="225"/>
      <c r="D596" s="184"/>
      <c r="F596" s="221"/>
      <c r="G596" s="225"/>
      <c r="H596" s="181"/>
    </row>
    <row r="597" spans="2:8" outlineLevel="1">
      <c r="B597" s="221"/>
      <c r="C597" s="225"/>
      <c r="D597" s="184"/>
      <c r="F597" s="221"/>
      <c r="G597" s="225"/>
      <c r="H597" s="181"/>
    </row>
    <row r="598" spans="2:8" outlineLevel="1">
      <c r="B598" s="221"/>
      <c r="C598" s="225"/>
      <c r="D598" s="184"/>
      <c r="F598" s="221"/>
      <c r="G598" s="225"/>
      <c r="H598" s="181"/>
    </row>
    <row r="599" spans="2:8" outlineLevel="1">
      <c r="B599" s="221"/>
      <c r="C599" s="225"/>
      <c r="D599" s="184"/>
      <c r="F599" s="221"/>
      <c r="G599" s="225"/>
      <c r="H599" s="181"/>
    </row>
    <row r="600" spans="2:8" outlineLevel="1">
      <c r="B600" s="221"/>
      <c r="C600" s="225"/>
      <c r="D600" s="184"/>
      <c r="F600" s="221"/>
      <c r="G600" s="225"/>
      <c r="H600" s="181"/>
    </row>
    <row r="601" spans="2:8" outlineLevel="1">
      <c r="B601" s="221"/>
      <c r="C601" s="225"/>
      <c r="D601" s="184"/>
      <c r="F601" s="221"/>
      <c r="G601" s="225"/>
      <c r="H601" s="181"/>
    </row>
    <row r="602" spans="2:8" outlineLevel="1">
      <c r="B602" s="221"/>
      <c r="C602" s="225"/>
      <c r="D602" s="184"/>
      <c r="F602" s="221"/>
      <c r="G602" s="225"/>
      <c r="H602" s="181"/>
    </row>
    <row r="603" spans="2:8" outlineLevel="1">
      <c r="B603" s="221"/>
      <c r="C603" s="225"/>
      <c r="D603" s="184"/>
      <c r="F603" s="221"/>
      <c r="G603" s="225"/>
      <c r="H603" s="181"/>
    </row>
    <row r="604" spans="2:8" outlineLevel="1">
      <c r="B604" s="221"/>
      <c r="C604" s="225"/>
      <c r="D604" s="184"/>
      <c r="F604" s="221"/>
      <c r="G604" s="225"/>
      <c r="H604" s="181"/>
    </row>
    <row r="605" spans="2:8" outlineLevel="1">
      <c r="B605" s="221"/>
      <c r="C605" s="225"/>
      <c r="D605" s="184"/>
      <c r="F605" s="221"/>
      <c r="G605" s="225"/>
      <c r="H605" s="181"/>
    </row>
    <row r="606" spans="2:8" outlineLevel="1">
      <c r="B606" s="221"/>
      <c r="C606" s="225"/>
      <c r="D606" s="184"/>
      <c r="F606" s="221"/>
      <c r="G606" s="225"/>
      <c r="H606" s="181"/>
    </row>
    <row r="607" spans="2:8" outlineLevel="1">
      <c r="B607" s="221"/>
      <c r="C607" s="225"/>
      <c r="D607" s="184"/>
      <c r="F607" s="221"/>
      <c r="G607" s="225"/>
      <c r="H607" s="181"/>
    </row>
    <row r="608" spans="2:8" outlineLevel="1">
      <c r="B608" s="221"/>
      <c r="C608" s="225"/>
      <c r="D608" s="184"/>
      <c r="F608" s="221"/>
      <c r="G608" s="225"/>
      <c r="H608" s="181"/>
    </row>
    <row r="609" spans="2:8" outlineLevel="1">
      <c r="B609" s="221"/>
      <c r="C609" s="225"/>
      <c r="D609" s="184"/>
      <c r="F609" s="221"/>
      <c r="G609" s="225"/>
      <c r="H609" s="181"/>
    </row>
    <row r="610" spans="2:8" outlineLevel="1">
      <c r="B610" s="221"/>
      <c r="C610" s="225"/>
      <c r="D610" s="184"/>
      <c r="F610" s="221"/>
      <c r="G610" s="225"/>
      <c r="H610" s="181"/>
    </row>
    <row r="611" spans="2:8" outlineLevel="1">
      <c r="B611" s="221"/>
      <c r="C611" s="225"/>
      <c r="D611" s="184"/>
      <c r="F611" s="221"/>
      <c r="G611" s="225"/>
      <c r="H611" s="181"/>
    </row>
    <row r="612" spans="2:8" outlineLevel="1">
      <c r="B612" s="221"/>
      <c r="C612" s="225"/>
      <c r="D612" s="184"/>
      <c r="F612" s="221"/>
      <c r="G612" s="225"/>
      <c r="H612" s="181"/>
    </row>
    <row r="613" spans="2:8" outlineLevel="1">
      <c r="B613" s="221"/>
      <c r="C613" s="225"/>
      <c r="D613" s="184"/>
      <c r="F613" s="221"/>
      <c r="G613" s="225"/>
      <c r="H613" s="181"/>
    </row>
    <row r="614" spans="2:8" outlineLevel="1">
      <c r="B614" s="221"/>
      <c r="C614" s="225"/>
      <c r="D614" s="184"/>
      <c r="F614" s="221"/>
      <c r="G614" s="225"/>
      <c r="H614" s="181"/>
    </row>
    <row r="615" spans="2:8" outlineLevel="1">
      <c r="B615" s="221"/>
      <c r="C615" s="225"/>
      <c r="D615" s="184"/>
      <c r="F615" s="221"/>
      <c r="G615" s="225"/>
      <c r="H615" s="181"/>
    </row>
    <row r="616" spans="2:8" outlineLevel="1">
      <c r="B616" s="221"/>
      <c r="C616" s="225"/>
      <c r="D616" s="184"/>
      <c r="F616" s="221"/>
      <c r="G616" s="225"/>
      <c r="H616" s="181"/>
    </row>
    <row r="617" spans="2:8" outlineLevel="1">
      <c r="B617" s="221"/>
      <c r="C617" s="225"/>
      <c r="D617" s="184"/>
      <c r="F617" s="221"/>
      <c r="G617" s="225"/>
      <c r="H617" s="181"/>
    </row>
    <row r="618" spans="2:8" outlineLevel="1">
      <c r="B618" s="221"/>
      <c r="C618" s="225"/>
      <c r="D618" s="184"/>
      <c r="F618" s="221"/>
      <c r="G618" s="225"/>
      <c r="H618" s="181"/>
    </row>
    <row r="619" spans="2:8" outlineLevel="1">
      <c r="B619" s="221"/>
      <c r="C619" s="225"/>
      <c r="D619" s="184"/>
      <c r="F619" s="221"/>
      <c r="G619" s="225"/>
      <c r="H619" s="181"/>
    </row>
    <row r="620" spans="2:8" outlineLevel="1">
      <c r="B620" s="221"/>
      <c r="C620" s="225"/>
      <c r="D620" s="184"/>
      <c r="F620" s="221"/>
      <c r="G620" s="225"/>
      <c r="H620" s="181"/>
    </row>
    <row r="621" spans="2:8" outlineLevel="1">
      <c r="B621" s="221"/>
      <c r="C621" s="225"/>
      <c r="D621" s="184"/>
      <c r="F621" s="221"/>
      <c r="G621" s="225"/>
      <c r="H621" s="181"/>
    </row>
    <row r="622" spans="2:8" outlineLevel="1">
      <c r="B622" s="221"/>
      <c r="C622" s="225"/>
      <c r="D622" s="184"/>
      <c r="F622" s="221"/>
      <c r="G622" s="225"/>
      <c r="H622" s="181"/>
    </row>
    <row r="623" spans="2:8" outlineLevel="1">
      <c r="B623" s="221"/>
      <c r="C623" s="225"/>
      <c r="D623" s="184"/>
      <c r="F623" s="221"/>
      <c r="G623" s="225"/>
      <c r="H623" s="181"/>
    </row>
    <row r="624" spans="2:8" outlineLevel="1">
      <c r="B624" s="221"/>
      <c r="C624" s="225"/>
      <c r="D624" s="184"/>
      <c r="F624" s="221"/>
      <c r="G624" s="225"/>
      <c r="H624" s="181"/>
    </row>
    <row r="625" spans="2:8" outlineLevel="1">
      <c r="B625" s="221"/>
      <c r="C625" s="225"/>
      <c r="D625" s="184"/>
      <c r="F625" s="221"/>
      <c r="G625" s="225"/>
      <c r="H625" s="181"/>
    </row>
    <row r="626" spans="2:8" outlineLevel="1">
      <c r="B626" s="221"/>
      <c r="C626" s="225"/>
      <c r="D626" s="184"/>
      <c r="F626" s="221"/>
      <c r="G626" s="225"/>
      <c r="H626" s="181"/>
    </row>
    <row r="627" spans="2:8" outlineLevel="1">
      <c r="B627" s="221"/>
      <c r="C627" s="225"/>
      <c r="D627" s="184"/>
      <c r="F627" s="221"/>
      <c r="G627" s="225"/>
      <c r="H627" s="181"/>
    </row>
    <row r="628" spans="2:8" outlineLevel="1">
      <c r="B628" s="221"/>
      <c r="C628" s="225"/>
      <c r="D628" s="184"/>
      <c r="F628" s="221"/>
      <c r="G628" s="225"/>
      <c r="H628" s="181"/>
    </row>
    <row r="629" spans="2:8" outlineLevel="1">
      <c r="B629" s="221"/>
      <c r="C629" s="225"/>
      <c r="D629" s="184"/>
      <c r="F629" s="221"/>
      <c r="G629" s="225"/>
      <c r="H629" s="181"/>
    </row>
    <row r="630" spans="2:8" outlineLevel="1">
      <c r="B630" s="221"/>
      <c r="C630" s="225"/>
      <c r="D630" s="184"/>
      <c r="F630" s="221"/>
      <c r="G630" s="225"/>
      <c r="H630" s="181"/>
    </row>
    <row r="631" spans="2:8" outlineLevel="1">
      <c r="B631" s="221"/>
      <c r="C631" s="225"/>
      <c r="D631" s="184"/>
      <c r="F631" s="221"/>
      <c r="G631" s="225"/>
      <c r="H631" s="181"/>
    </row>
    <row r="632" spans="2:8" outlineLevel="1">
      <c r="B632" s="221"/>
      <c r="C632" s="225"/>
      <c r="D632" s="184"/>
      <c r="F632" s="221"/>
      <c r="G632" s="225"/>
      <c r="H632" s="181"/>
    </row>
    <row r="633" spans="2:8" outlineLevel="1">
      <c r="B633" s="221"/>
      <c r="C633" s="225"/>
      <c r="D633" s="184"/>
      <c r="F633" s="221"/>
      <c r="G633" s="225"/>
      <c r="H633" s="181"/>
    </row>
    <row r="634" spans="2:8" outlineLevel="1">
      <c r="B634" s="221"/>
      <c r="C634" s="225"/>
      <c r="D634" s="184"/>
      <c r="F634" s="221"/>
      <c r="G634" s="225"/>
      <c r="H634" s="181"/>
    </row>
    <row r="635" spans="2:8" outlineLevel="1">
      <c r="B635" s="221"/>
      <c r="C635" s="225"/>
      <c r="D635" s="184"/>
      <c r="F635" s="221"/>
      <c r="G635" s="225"/>
      <c r="H635" s="181"/>
    </row>
    <row r="636" spans="2:8" outlineLevel="1">
      <c r="B636" s="221"/>
      <c r="C636" s="225"/>
      <c r="D636" s="184"/>
      <c r="F636" s="221"/>
      <c r="G636" s="225"/>
      <c r="H636" s="181"/>
    </row>
    <row r="637" spans="2:8" outlineLevel="1">
      <c r="B637" s="221"/>
      <c r="C637" s="225"/>
      <c r="D637" s="184"/>
      <c r="F637" s="221"/>
      <c r="G637" s="225"/>
      <c r="H637" s="181"/>
    </row>
    <row r="638" spans="2:8" outlineLevel="1">
      <c r="B638" s="221"/>
      <c r="C638" s="225"/>
      <c r="D638" s="184"/>
      <c r="F638" s="221"/>
      <c r="G638" s="225"/>
      <c r="H638" s="181"/>
    </row>
    <row r="639" spans="2:8" outlineLevel="1">
      <c r="B639" s="221"/>
      <c r="C639" s="225"/>
      <c r="D639" s="184"/>
      <c r="F639" s="221"/>
      <c r="G639" s="225"/>
      <c r="H639" s="181"/>
    </row>
    <row r="640" spans="2:8" outlineLevel="1">
      <c r="B640" s="221"/>
      <c r="C640" s="225"/>
      <c r="D640" s="184"/>
      <c r="F640" s="221"/>
      <c r="G640" s="225"/>
      <c r="H640" s="181"/>
    </row>
    <row r="641" spans="2:8" outlineLevel="1">
      <c r="B641" s="221"/>
      <c r="C641" s="225"/>
      <c r="D641" s="184"/>
      <c r="F641" s="221"/>
      <c r="G641" s="225"/>
      <c r="H641" s="181"/>
    </row>
    <row r="642" spans="2:8" outlineLevel="1">
      <c r="B642" s="221"/>
      <c r="C642" s="225"/>
      <c r="D642" s="184"/>
      <c r="F642" s="221"/>
      <c r="G642" s="225"/>
      <c r="H642" s="181"/>
    </row>
    <row r="643" spans="2:8" outlineLevel="1">
      <c r="B643" s="221"/>
      <c r="C643" s="225"/>
      <c r="D643" s="184"/>
      <c r="F643" s="221"/>
      <c r="G643" s="225"/>
      <c r="H643" s="181"/>
    </row>
    <row r="644" spans="2:8" outlineLevel="1">
      <c r="B644" s="221"/>
      <c r="C644" s="225"/>
      <c r="D644" s="184"/>
      <c r="F644" s="221"/>
      <c r="G644" s="225"/>
      <c r="H644" s="181"/>
    </row>
    <row r="645" spans="2:8" outlineLevel="1">
      <c r="B645" s="221"/>
      <c r="C645" s="225"/>
      <c r="D645" s="184"/>
      <c r="F645" s="221"/>
      <c r="G645" s="225"/>
      <c r="H645" s="181"/>
    </row>
    <row r="646" spans="2:8" outlineLevel="1">
      <c r="B646" s="221"/>
      <c r="C646" s="225"/>
      <c r="D646" s="184"/>
      <c r="F646" s="221"/>
      <c r="G646" s="225"/>
      <c r="H646" s="181"/>
    </row>
    <row r="647" spans="2:8" outlineLevel="1">
      <c r="B647" s="221"/>
      <c r="C647" s="225"/>
      <c r="D647" s="184"/>
      <c r="F647" s="221"/>
      <c r="G647" s="225"/>
      <c r="H647" s="181"/>
    </row>
    <row r="648" spans="2:8" outlineLevel="1">
      <c r="B648" s="221"/>
      <c r="C648" s="225"/>
      <c r="D648" s="184"/>
      <c r="F648" s="221"/>
      <c r="G648" s="225"/>
      <c r="H648" s="181"/>
    </row>
    <row r="649" spans="2:8" outlineLevel="1">
      <c r="B649" s="221"/>
      <c r="C649" s="225"/>
      <c r="D649" s="184"/>
      <c r="F649" s="221"/>
      <c r="G649" s="225"/>
      <c r="H649" s="181"/>
    </row>
    <row r="650" spans="2:8" outlineLevel="1">
      <c r="B650" s="221"/>
      <c r="C650" s="225"/>
      <c r="D650" s="184"/>
      <c r="F650" s="221"/>
      <c r="G650" s="225"/>
      <c r="H650" s="181"/>
    </row>
    <row r="651" spans="2:8" outlineLevel="1">
      <c r="B651" s="221"/>
      <c r="C651" s="225"/>
      <c r="D651" s="184"/>
      <c r="F651" s="221"/>
      <c r="G651" s="225"/>
      <c r="H651" s="181"/>
    </row>
    <row r="652" spans="2:8" outlineLevel="1">
      <c r="B652" s="221"/>
      <c r="C652" s="225"/>
      <c r="D652" s="184"/>
      <c r="F652" s="221"/>
      <c r="G652" s="225"/>
      <c r="H652" s="181"/>
    </row>
    <row r="653" spans="2:8" outlineLevel="1">
      <c r="B653" s="221"/>
      <c r="C653" s="225"/>
      <c r="D653" s="184"/>
      <c r="F653" s="221"/>
      <c r="G653" s="225"/>
      <c r="H653" s="181"/>
    </row>
    <row r="654" spans="2:8" outlineLevel="1">
      <c r="B654" s="221"/>
      <c r="C654" s="225"/>
      <c r="D654" s="184"/>
      <c r="F654" s="221"/>
      <c r="G654" s="225"/>
      <c r="H654" s="181"/>
    </row>
    <row r="655" spans="2:8" outlineLevel="1">
      <c r="B655" s="221"/>
      <c r="C655" s="225"/>
      <c r="D655" s="184"/>
      <c r="F655" s="221"/>
      <c r="G655" s="225"/>
      <c r="H655" s="181"/>
    </row>
    <row r="656" spans="2:8" outlineLevel="1">
      <c r="B656" s="221"/>
      <c r="C656" s="225"/>
      <c r="D656" s="184"/>
      <c r="F656" s="221"/>
      <c r="G656" s="225"/>
      <c r="H656" s="181"/>
    </row>
    <row r="657" spans="2:8" outlineLevel="1">
      <c r="B657" s="221"/>
      <c r="C657" s="225"/>
      <c r="D657" s="184"/>
      <c r="F657" s="221"/>
      <c r="G657" s="225"/>
      <c r="H657" s="181"/>
    </row>
    <row r="658" spans="2:8" outlineLevel="1">
      <c r="B658" s="221"/>
      <c r="C658" s="225"/>
      <c r="D658" s="184"/>
      <c r="F658" s="221"/>
      <c r="G658" s="225"/>
      <c r="H658" s="181"/>
    </row>
    <row r="659" spans="2:8" outlineLevel="1">
      <c r="B659" s="221"/>
      <c r="C659" s="225"/>
      <c r="D659" s="184"/>
      <c r="F659" s="221"/>
      <c r="G659" s="225"/>
      <c r="H659" s="181"/>
    </row>
    <row r="660" spans="2:8" outlineLevel="1">
      <c r="B660" s="221"/>
      <c r="C660" s="225"/>
      <c r="D660" s="184"/>
      <c r="F660" s="221"/>
      <c r="G660" s="225"/>
      <c r="H660" s="181"/>
    </row>
    <row r="661" spans="2:8" outlineLevel="1">
      <c r="B661" s="221"/>
      <c r="C661" s="225"/>
      <c r="D661" s="184"/>
      <c r="F661" s="221"/>
      <c r="G661" s="225"/>
      <c r="H661" s="181"/>
    </row>
    <row r="662" spans="2:8" outlineLevel="1">
      <c r="B662" s="221"/>
      <c r="C662" s="225"/>
      <c r="D662" s="184"/>
      <c r="F662" s="221"/>
      <c r="G662" s="225"/>
      <c r="H662" s="181"/>
    </row>
    <row r="663" spans="2:8" outlineLevel="1">
      <c r="B663" s="221"/>
      <c r="C663" s="225"/>
      <c r="D663" s="184"/>
      <c r="F663" s="221"/>
      <c r="G663" s="225"/>
      <c r="H663" s="181"/>
    </row>
    <row r="664" spans="2:8" outlineLevel="1">
      <c r="B664" s="221"/>
      <c r="C664" s="225"/>
      <c r="D664" s="184"/>
      <c r="F664" s="221"/>
      <c r="G664" s="225"/>
      <c r="H664" s="181"/>
    </row>
    <row r="665" spans="2:8" outlineLevel="1">
      <c r="B665" s="221"/>
      <c r="C665" s="225"/>
      <c r="D665" s="184"/>
      <c r="F665" s="221"/>
      <c r="G665" s="225"/>
      <c r="H665" s="181"/>
    </row>
    <row r="666" spans="2:8" outlineLevel="1">
      <c r="B666" s="221"/>
      <c r="C666" s="225"/>
      <c r="D666" s="184"/>
      <c r="F666" s="221"/>
      <c r="G666" s="225"/>
      <c r="H666" s="181"/>
    </row>
    <row r="667" spans="2:8" outlineLevel="1">
      <c r="B667" s="221"/>
      <c r="C667" s="225"/>
      <c r="D667" s="184"/>
      <c r="F667" s="221"/>
      <c r="G667" s="225"/>
      <c r="H667" s="181"/>
    </row>
    <row r="668" spans="2:8" outlineLevel="1">
      <c r="B668" s="221"/>
      <c r="C668" s="225"/>
      <c r="D668" s="184"/>
      <c r="F668" s="221"/>
      <c r="G668" s="225"/>
      <c r="H668" s="181"/>
    </row>
    <row r="669" spans="2:8" outlineLevel="1">
      <c r="B669" s="221"/>
      <c r="C669" s="225"/>
      <c r="D669" s="184"/>
      <c r="F669" s="221"/>
      <c r="G669" s="225"/>
      <c r="H669" s="181"/>
    </row>
    <row r="670" spans="2:8" outlineLevel="1">
      <c r="B670" s="221"/>
      <c r="C670" s="225"/>
      <c r="D670" s="184"/>
      <c r="F670" s="221"/>
      <c r="G670" s="225"/>
      <c r="H670" s="181"/>
    </row>
    <row r="671" spans="2:8" outlineLevel="1">
      <c r="B671" s="221"/>
      <c r="C671" s="225"/>
      <c r="D671" s="184"/>
      <c r="F671" s="221"/>
      <c r="G671" s="225"/>
      <c r="H671" s="181"/>
    </row>
    <row r="672" spans="2:8" outlineLevel="1">
      <c r="B672" s="221"/>
      <c r="C672" s="225"/>
      <c r="D672" s="184"/>
      <c r="F672" s="221"/>
      <c r="G672" s="225"/>
      <c r="H672" s="181"/>
    </row>
    <row r="673" spans="2:8" outlineLevel="1">
      <c r="B673" s="221"/>
      <c r="C673" s="225"/>
      <c r="D673" s="184"/>
      <c r="F673" s="221"/>
      <c r="G673" s="225"/>
      <c r="H673" s="181"/>
    </row>
    <row r="674" spans="2:8" outlineLevel="1">
      <c r="B674" s="221"/>
      <c r="C674" s="225"/>
      <c r="D674" s="184"/>
      <c r="F674" s="221"/>
      <c r="G674" s="225"/>
      <c r="H674" s="181"/>
    </row>
    <row r="675" spans="2:8" outlineLevel="1">
      <c r="B675" s="221"/>
      <c r="C675" s="225"/>
      <c r="D675" s="184"/>
      <c r="F675" s="221"/>
      <c r="G675" s="225"/>
      <c r="H675" s="181"/>
    </row>
    <row r="676" spans="2:8" outlineLevel="1">
      <c r="B676" s="221"/>
      <c r="C676" s="225"/>
      <c r="D676" s="184"/>
      <c r="F676" s="221"/>
      <c r="G676" s="225"/>
      <c r="H676" s="181"/>
    </row>
    <row r="677" spans="2:8" outlineLevel="1">
      <c r="B677" s="221"/>
      <c r="C677" s="225"/>
      <c r="D677" s="184"/>
      <c r="F677" s="221"/>
      <c r="G677" s="225"/>
      <c r="H677" s="181"/>
    </row>
    <row r="678" spans="2:8" outlineLevel="1">
      <c r="B678" s="221"/>
      <c r="C678" s="225"/>
      <c r="D678" s="184"/>
      <c r="F678" s="221"/>
      <c r="G678" s="225"/>
      <c r="H678" s="181"/>
    </row>
    <row r="679" spans="2:8" outlineLevel="1">
      <c r="B679" s="221"/>
      <c r="C679" s="225"/>
      <c r="D679" s="184"/>
      <c r="F679" s="221"/>
      <c r="G679" s="225"/>
      <c r="H679" s="181"/>
    </row>
    <row r="680" spans="2:8" outlineLevel="1">
      <c r="B680" s="221"/>
      <c r="C680" s="225"/>
      <c r="D680" s="184"/>
      <c r="F680" s="221"/>
      <c r="G680" s="225"/>
      <c r="H680" s="181"/>
    </row>
    <row r="681" spans="2:8" outlineLevel="1">
      <c r="B681" s="221"/>
      <c r="C681" s="225"/>
      <c r="D681" s="184"/>
      <c r="F681" s="221"/>
      <c r="G681" s="225"/>
      <c r="H681" s="181"/>
    </row>
    <row r="682" spans="2:8" outlineLevel="1">
      <c r="B682" s="221"/>
      <c r="C682" s="225"/>
      <c r="D682" s="184"/>
      <c r="F682" s="221"/>
      <c r="G682" s="225"/>
      <c r="H682" s="181"/>
    </row>
    <row r="683" spans="2:8" outlineLevel="1">
      <c r="B683" s="221"/>
      <c r="C683" s="225"/>
      <c r="D683" s="184"/>
      <c r="F683" s="221"/>
      <c r="G683" s="225"/>
      <c r="H683" s="181"/>
    </row>
    <row r="684" spans="2:8" outlineLevel="1">
      <c r="B684" s="221"/>
      <c r="C684" s="225"/>
      <c r="D684" s="184"/>
      <c r="F684" s="221"/>
      <c r="G684" s="225"/>
      <c r="H684" s="181"/>
    </row>
    <row r="685" spans="2:8" outlineLevel="1">
      <c r="B685" s="221"/>
      <c r="C685" s="225"/>
      <c r="D685" s="184"/>
      <c r="F685" s="221"/>
      <c r="G685" s="225"/>
      <c r="H685" s="181"/>
    </row>
    <row r="686" spans="2:8" outlineLevel="1">
      <c r="B686" s="221"/>
      <c r="C686" s="225"/>
      <c r="D686" s="184"/>
      <c r="F686" s="221"/>
      <c r="G686" s="225"/>
      <c r="H686" s="181"/>
    </row>
    <row r="687" spans="2:8" outlineLevel="1">
      <c r="B687" s="221"/>
      <c r="C687" s="225"/>
      <c r="D687" s="184"/>
      <c r="F687" s="221"/>
      <c r="G687" s="225"/>
      <c r="H687" s="181"/>
    </row>
    <row r="688" spans="2:8" outlineLevel="1">
      <c r="B688" s="221"/>
      <c r="C688" s="225"/>
      <c r="D688" s="184"/>
      <c r="F688" s="221"/>
      <c r="G688" s="225"/>
      <c r="H688" s="181"/>
    </row>
    <row r="689" spans="2:8" outlineLevel="1">
      <c r="B689" s="221"/>
      <c r="C689" s="225"/>
      <c r="D689" s="184"/>
      <c r="F689" s="221"/>
      <c r="G689" s="225"/>
      <c r="H689" s="181"/>
    </row>
    <row r="690" spans="2:8" outlineLevel="1">
      <c r="B690" s="221"/>
      <c r="C690" s="225"/>
      <c r="D690" s="184"/>
      <c r="F690" s="221"/>
      <c r="G690" s="225"/>
      <c r="H690" s="181"/>
    </row>
    <row r="691" spans="2:8" outlineLevel="1">
      <c r="B691" s="221"/>
      <c r="C691" s="225"/>
      <c r="D691" s="184"/>
      <c r="F691" s="221"/>
      <c r="G691" s="225"/>
      <c r="H691" s="181"/>
    </row>
    <row r="692" spans="2:8" outlineLevel="1">
      <c r="B692" s="221"/>
      <c r="C692" s="225"/>
      <c r="D692" s="184"/>
      <c r="F692" s="221"/>
      <c r="G692" s="225"/>
      <c r="H692" s="181"/>
    </row>
    <row r="693" spans="2:8" outlineLevel="1">
      <c r="B693" s="221"/>
      <c r="C693" s="225"/>
      <c r="D693" s="184"/>
      <c r="F693" s="221"/>
      <c r="G693" s="225"/>
      <c r="H693" s="181"/>
    </row>
    <row r="694" spans="2:8" outlineLevel="1">
      <c r="B694" s="221"/>
      <c r="C694" s="225"/>
      <c r="D694" s="184"/>
      <c r="F694" s="221"/>
      <c r="G694" s="225"/>
      <c r="H694" s="181"/>
    </row>
    <row r="695" spans="2:8" outlineLevel="1">
      <c r="B695" s="221"/>
      <c r="C695" s="225"/>
      <c r="D695" s="184"/>
      <c r="F695" s="221"/>
      <c r="G695" s="225"/>
      <c r="H695" s="181"/>
    </row>
    <row r="696" spans="2:8" outlineLevel="1">
      <c r="B696" s="221"/>
      <c r="C696" s="225"/>
      <c r="D696" s="184"/>
      <c r="F696" s="221"/>
      <c r="G696" s="225"/>
      <c r="H696" s="181"/>
    </row>
    <row r="697" spans="2:8" outlineLevel="1">
      <c r="B697" s="221"/>
      <c r="C697" s="225"/>
      <c r="D697" s="184"/>
      <c r="F697" s="221"/>
      <c r="G697" s="225"/>
      <c r="H697" s="181"/>
    </row>
    <row r="698" spans="2:8" outlineLevel="1">
      <c r="B698" s="221"/>
      <c r="C698" s="225"/>
      <c r="D698" s="184"/>
      <c r="F698" s="221"/>
      <c r="G698" s="225"/>
      <c r="H698" s="181"/>
    </row>
    <row r="699" spans="2:8" outlineLevel="1">
      <c r="B699" s="221"/>
      <c r="C699" s="225"/>
      <c r="D699" s="184"/>
      <c r="F699" s="221"/>
      <c r="G699" s="225"/>
      <c r="H699" s="181"/>
    </row>
    <row r="700" spans="2:8" outlineLevel="1">
      <c r="B700" s="221"/>
      <c r="C700" s="225"/>
      <c r="D700" s="184"/>
      <c r="F700" s="221"/>
      <c r="G700" s="225"/>
      <c r="H700" s="181"/>
    </row>
    <row r="701" spans="2:8" outlineLevel="1">
      <c r="B701" s="221"/>
      <c r="C701" s="225"/>
      <c r="D701" s="184"/>
      <c r="F701" s="221"/>
      <c r="G701" s="225"/>
      <c r="H701" s="181"/>
    </row>
    <row r="702" spans="2:8" outlineLevel="1">
      <c r="B702" s="221"/>
      <c r="C702" s="225"/>
      <c r="D702" s="184"/>
      <c r="F702" s="221"/>
      <c r="G702" s="225"/>
      <c r="H702" s="181"/>
    </row>
    <row r="703" spans="2:8" outlineLevel="1">
      <c r="B703" s="221"/>
      <c r="C703" s="225"/>
      <c r="D703" s="184"/>
      <c r="F703" s="221"/>
      <c r="G703" s="225"/>
      <c r="H703" s="181"/>
    </row>
    <row r="704" spans="2:8" outlineLevel="1">
      <c r="B704" s="221"/>
      <c r="C704" s="225"/>
      <c r="D704" s="184"/>
      <c r="F704" s="221"/>
      <c r="G704" s="225"/>
      <c r="H704" s="181"/>
    </row>
    <row r="705" spans="2:8" outlineLevel="1">
      <c r="B705" s="221"/>
      <c r="C705" s="225"/>
      <c r="D705" s="184"/>
      <c r="F705" s="221"/>
      <c r="G705" s="225"/>
      <c r="H705" s="181"/>
    </row>
    <row r="706" spans="2:8" outlineLevel="1">
      <c r="B706" s="221"/>
      <c r="C706" s="225"/>
      <c r="D706" s="184"/>
      <c r="F706" s="221"/>
      <c r="G706" s="225"/>
      <c r="H706" s="181"/>
    </row>
    <row r="707" spans="2:8" outlineLevel="1">
      <c r="B707" s="221"/>
      <c r="C707" s="225"/>
      <c r="D707" s="184"/>
      <c r="F707" s="221"/>
      <c r="G707" s="225"/>
      <c r="H707" s="181"/>
    </row>
    <row r="708" spans="2:8" outlineLevel="1">
      <c r="B708" s="221"/>
      <c r="C708" s="225"/>
      <c r="D708" s="184"/>
      <c r="F708" s="221"/>
      <c r="G708" s="225"/>
      <c r="H708" s="181"/>
    </row>
    <row r="709" spans="2:8" outlineLevel="1">
      <c r="B709" s="221"/>
      <c r="C709" s="225"/>
      <c r="D709" s="184"/>
      <c r="F709" s="221"/>
      <c r="G709" s="225"/>
      <c r="H709" s="181"/>
    </row>
    <row r="710" spans="2:8" outlineLevel="1">
      <c r="B710" s="221"/>
      <c r="C710" s="225"/>
      <c r="D710" s="184"/>
      <c r="F710" s="221"/>
      <c r="G710" s="225"/>
      <c r="H710" s="181"/>
    </row>
    <row r="711" spans="2:8" outlineLevel="1">
      <c r="B711" s="221"/>
      <c r="C711" s="225"/>
      <c r="D711" s="184"/>
      <c r="F711" s="221"/>
      <c r="G711" s="225"/>
      <c r="H711" s="181"/>
    </row>
    <row r="712" spans="2:8" outlineLevel="1">
      <c r="B712" s="221"/>
      <c r="C712" s="225"/>
      <c r="D712" s="184"/>
      <c r="F712" s="221"/>
      <c r="G712" s="225"/>
      <c r="H712" s="181"/>
    </row>
    <row r="713" spans="2:8" outlineLevel="1">
      <c r="B713" s="221"/>
      <c r="C713" s="225"/>
      <c r="D713" s="184"/>
      <c r="F713" s="221"/>
      <c r="G713" s="225"/>
      <c r="H713" s="181"/>
    </row>
    <row r="714" spans="2:8" outlineLevel="1">
      <c r="B714" s="221"/>
      <c r="C714" s="225"/>
      <c r="D714" s="184"/>
      <c r="F714" s="221"/>
      <c r="G714" s="225"/>
      <c r="H714" s="181"/>
    </row>
    <row r="715" spans="2:8" outlineLevel="1">
      <c r="B715" s="221"/>
      <c r="C715" s="225"/>
      <c r="D715" s="184"/>
      <c r="F715" s="221"/>
      <c r="G715" s="225"/>
      <c r="H715" s="181"/>
    </row>
    <row r="716" spans="2:8" outlineLevel="1">
      <c r="B716" s="221"/>
      <c r="C716" s="225"/>
      <c r="D716" s="184"/>
      <c r="F716" s="221"/>
      <c r="G716" s="225"/>
      <c r="H716" s="181"/>
    </row>
    <row r="717" spans="2:8" outlineLevel="1">
      <c r="B717" s="221"/>
      <c r="C717" s="225"/>
      <c r="D717" s="184"/>
      <c r="F717" s="221"/>
      <c r="G717" s="225"/>
      <c r="H717" s="181"/>
    </row>
    <row r="718" spans="2:8" outlineLevel="1">
      <c r="B718" s="221"/>
      <c r="C718" s="225"/>
      <c r="D718" s="184"/>
      <c r="F718" s="221"/>
      <c r="G718" s="225"/>
      <c r="H718" s="181"/>
    </row>
    <row r="719" spans="2:8" outlineLevel="1">
      <c r="B719" s="221"/>
      <c r="C719" s="225"/>
      <c r="D719" s="184"/>
      <c r="F719" s="221"/>
      <c r="G719" s="225"/>
      <c r="H719" s="181"/>
    </row>
    <row r="720" spans="2:8" outlineLevel="1">
      <c r="B720" s="221"/>
      <c r="C720" s="225"/>
      <c r="D720" s="184"/>
      <c r="F720" s="221"/>
      <c r="G720" s="225"/>
      <c r="H720" s="181"/>
    </row>
    <row r="721" spans="2:8" outlineLevel="1">
      <c r="B721" s="221"/>
      <c r="C721" s="225"/>
      <c r="D721" s="184"/>
      <c r="F721" s="221"/>
      <c r="G721" s="225"/>
      <c r="H721" s="181"/>
    </row>
    <row r="722" spans="2:8" outlineLevel="1">
      <c r="B722" s="221"/>
      <c r="C722" s="225"/>
      <c r="D722" s="184"/>
      <c r="F722" s="221"/>
      <c r="G722" s="225"/>
      <c r="H722" s="181"/>
    </row>
    <row r="723" spans="2:8" outlineLevel="1">
      <c r="B723" s="221"/>
      <c r="C723" s="225"/>
      <c r="D723" s="184"/>
      <c r="F723" s="221"/>
      <c r="G723" s="225"/>
      <c r="H723" s="181"/>
    </row>
    <row r="724" spans="2:8" outlineLevel="1">
      <c r="B724" s="221"/>
      <c r="C724" s="225"/>
      <c r="D724" s="184"/>
      <c r="F724" s="221"/>
      <c r="G724" s="225"/>
      <c r="H724" s="181"/>
    </row>
    <row r="725" spans="2:8" outlineLevel="1">
      <c r="B725" s="221"/>
      <c r="C725" s="225"/>
      <c r="D725" s="184"/>
      <c r="F725" s="221"/>
      <c r="G725" s="225"/>
      <c r="H725" s="181"/>
    </row>
    <row r="726" spans="2:8" outlineLevel="1">
      <c r="B726" s="221"/>
      <c r="C726" s="225"/>
      <c r="D726" s="184"/>
      <c r="F726" s="221"/>
      <c r="G726" s="225"/>
      <c r="H726" s="181"/>
    </row>
    <row r="727" spans="2:8" outlineLevel="1">
      <c r="B727" s="221"/>
      <c r="C727" s="225"/>
      <c r="D727" s="184"/>
      <c r="F727" s="221"/>
      <c r="G727" s="225"/>
      <c r="H727" s="181"/>
    </row>
    <row r="728" spans="2:8" outlineLevel="1">
      <c r="B728" s="221"/>
      <c r="C728" s="225"/>
      <c r="D728" s="184"/>
      <c r="F728" s="221"/>
      <c r="G728" s="225"/>
      <c r="H728" s="181"/>
    </row>
    <row r="729" spans="2:8" outlineLevel="1">
      <c r="B729" s="221"/>
      <c r="C729" s="225"/>
      <c r="D729" s="184"/>
      <c r="F729" s="221"/>
      <c r="G729" s="225"/>
      <c r="H729" s="181"/>
    </row>
    <row r="730" spans="2:8" outlineLevel="1">
      <c r="B730" s="221"/>
      <c r="C730" s="225"/>
      <c r="D730" s="184"/>
      <c r="F730" s="221"/>
      <c r="G730" s="225"/>
      <c r="H730" s="181"/>
    </row>
    <row r="731" spans="2:8" outlineLevel="1">
      <c r="B731" s="221"/>
      <c r="C731" s="225"/>
      <c r="D731" s="184"/>
      <c r="F731" s="221"/>
      <c r="G731" s="225"/>
      <c r="H731" s="181"/>
    </row>
    <row r="732" spans="2:8" outlineLevel="1">
      <c r="B732" s="221"/>
      <c r="C732" s="225"/>
      <c r="D732" s="184"/>
      <c r="F732" s="221"/>
      <c r="G732" s="225"/>
      <c r="H732" s="181"/>
    </row>
    <row r="733" spans="2:8" outlineLevel="1">
      <c r="B733" s="221"/>
      <c r="C733" s="225"/>
      <c r="D733" s="184"/>
      <c r="F733" s="221"/>
      <c r="G733" s="225"/>
      <c r="H733" s="181"/>
    </row>
    <row r="734" spans="2:8" outlineLevel="1">
      <c r="B734" s="221"/>
      <c r="C734" s="225"/>
      <c r="D734" s="184"/>
      <c r="F734" s="221"/>
      <c r="G734" s="225"/>
      <c r="H734" s="181"/>
    </row>
    <row r="735" spans="2:8" outlineLevel="1">
      <c r="B735" s="221"/>
      <c r="C735" s="225"/>
      <c r="D735" s="184"/>
      <c r="F735" s="221"/>
      <c r="G735" s="225"/>
      <c r="H735" s="181"/>
    </row>
    <row r="736" spans="2:8" outlineLevel="1">
      <c r="B736" s="221"/>
      <c r="C736" s="225"/>
      <c r="D736" s="184"/>
      <c r="F736" s="221"/>
      <c r="G736" s="225"/>
      <c r="H736" s="181"/>
    </row>
    <row r="737" spans="2:8" outlineLevel="1">
      <c r="B737" s="221"/>
      <c r="C737" s="225"/>
      <c r="D737" s="184"/>
      <c r="F737" s="221"/>
      <c r="G737" s="225"/>
      <c r="H737" s="181"/>
    </row>
    <row r="738" spans="2:8" outlineLevel="1">
      <c r="B738" s="221"/>
      <c r="C738" s="225"/>
      <c r="D738" s="184"/>
      <c r="F738" s="221"/>
      <c r="G738" s="225"/>
      <c r="H738" s="181"/>
    </row>
    <row r="739" spans="2:8" outlineLevel="1">
      <c r="B739" s="221"/>
      <c r="C739" s="225"/>
      <c r="D739" s="184"/>
      <c r="F739" s="221"/>
      <c r="G739" s="225"/>
      <c r="H739" s="181"/>
    </row>
    <row r="740" spans="2:8" outlineLevel="1">
      <c r="B740" s="221"/>
      <c r="C740" s="225"/>
      <c r="D740" s="184"/>
      <c r="F740" s="221"/>
      <c r="G740" s="225"/>
      <c r="H740" s="181"/>
    </row>
    <row r="741" spans="2:8" outlineLevel="1">
      <c r="B741" s="221"/>
      <c r="C741" s="225"/>
      <c r="D741" s="184"/>
      <c r="F741" s="221"/>
      <c r="G741" s="225"/>
      <c r="H741" s="181"/>
    </row>
    <row r="742" spans="2:8" outlineLevel="1">
      <c r="B742" s="221"/>
      <c r="C742" s="225"/>
      <c r="D742" s="184"/>
      <c r="F742" s="221"/>
      <c r="G742" s="225"/>
      <c r="H742" s="181"/>
    </row>
    <row r="743" spans="2:8" outlineLevel="1">
      <c r="B743" s="221"/>
      <c r="C743" s="225"/>
      <c r="D743" s="184"/>
      <c r="F743" s="221"/>
      <c r="G743" s="225"/>
      <c r="H743" s="181"/>
    </row>
    <row r="744" spans="2:8" outlineLevel="1">
      <c r="B744" s="221"/>
      <c r="C744" s="225"/>
      <c r="D744" s="184"/>
      <c r="F744" s="221"/>
      <c r="G744" s="225"/>
      <c r="H744" s="181"/>
    </row>
    <row r="745" spans="2:8" outlineLevel="1">
      <c r="B745" s="221"/>
      <c r="C745" s="225"/>
      <c r="D745" s="184"/>
      <c r="F745" s="221"/>
      <c r="G745" s="225"/>
      <c r="H745" s="181"/>
    </row>
    <row r="746" spans="2:8" outlineLevel="1">
      <c r="B746" s="221"/>
      <c r="C746" s="225"/>
      <c r="D746" s="184"/>
      <c r="F746" s="221"/>
      <c r="G746" s="225"/>
      <c r="H746" s="181"/>
    </row>
    <row r="747" spans="2:8" outlineLevel="1">
      <c r="B747" s="221"/>
      <c r="C747" s="225"/>
      <c r="D747" s="184"/>
      <c r="F747" s="221"/>
      <c r="G747" s="225"/>
      <c r="H747" s="181"/>
    </row>
    <row r="748" spans="2:8" outlineLevel="1">
      <c r="B748" s="221"/>
      <c r="C748" s="225"/>
      <c r="D748" s="184"/>
      <c r="F748" s="221"/>
      <c r="G748" s="225"/>
      <c r="H748" s="181"/>
    </row>
    <row r="749" spans="2:8" outlineLevel="1">
      <c r="B749" s="221"/>
      <c r="C749" s="225"/>
      <c r="D749" s="184"/>
      <c r="F749" s="221"/>
      <c r="G749" s="225"/>
      <c r="H749" s="181"/>
    </row>
    <row r="750" spans="2:8" outlineLevel="1">
      <c r="B750" s="221"/>
      <c r="C750" s="225"/>
      <c r="D750" s="184"/>
      <c r="F750" s="221"/>
      <c r="G750" s="225"/>
      <c r="H750" s="181"/>
    </row>
    <row r="751" spans="2:8" outlineLevel="1">
      <c r="B751" s="221"/>
      <c r="C751" s="225"/>
      <c r="D751" s="184"/>
      <c r="F751" s="221"/>
      <c r="G751" s="225"/>
      <c r="H751" s="181"/>
    </row>
    <row r="752" spans="2:8" outlineLevel="1">
      <c r="B752" s="221"/>
      <c r="C752" s="225"/>
      <c r="D752" s="184"/>
      <c r="F752" s="221"/>
      <c r="G752" s="225"/>
      <c r="H752" s="181"/>
    </row>
    <row r="753" spans="2:8" outlineLevel="1">
      <c r="B753" s="221"/>
      <c r="C753" s="225"/>
      <c r="D753" s="184"/>
      <c r="F753" s="221"/>
      <c r="G753" s="225"/>
      <c r="H753" s="181"/>
    </row>
    <row r="754" spans="2:8" outlineLevel="1">
      <c r="B754" s="221"/>
      <c r="C754" s="225"/>
      <c r="D754" s="184"/>
      <c r="F754" s="221"/>
      <c r="G754" s="225"/>
      <c r="H754" s="181"/>
    </row>
    <row r="755" spans="2:8" outlineLevel="1">
      <c r="B755" s="221"/>
      <c r="C755" s="225"/>
      <c r="D755" s="184"/>
      <c r="F755" s="221"/>
      <c r="G755" s="225"/>
      <c r="H755" s="181"/>
    </row>
    <row r="756" spans="2:8" outlineLevel="1">
      <c r="B756" s="221"/>
      <c r="C756" s="225"/>
      <c r="D756" s="184"/>
      <c r="F756" s="221"/>
      <c r="G756" s="225"/>
      <c r="H756" s="181"/>
    </row>
    <row r="757" spans="2:8" outlineLevel="1">
      <c r="B757" s="221"/>
      <c r="C757" s="225"/>
      <c r="D757" s="184"/>
      <c r="F757" s="221"/>
      <c r="G757" s="225"/>
      <c r="H757" s="181"/>
    </row>
    <row r="758" spans="2:8" outlineLevel="1">
      <c r="B758" s="221"/>
      <c r="C758" s="225"/>
      <c r="D758" s="184"/>
      <c r="F758" s="221"/>
      <c r="G758" s="225"/>
      <c r="H758" s="181"/>
    </row>
    <row r="759" spans="2:8" outlineLevel="1">
      <c r="B759" s="221"/>
      <c r="C759" s="225"/>
      <c r="D759" s="184"/>
      <c r="F759" s="221"/>
      <c r="G759" s="225"/>
      <c r="H759" s="181"/>
    </row>
    <row r="760" spans="2:8" outlineLevel="1">
      <c r="B760" s="221"/>
      <c r="C760" s="225"/>
      <c r="D760" s="184"/>
      <c r="F760" s="221"/>
      <c r="G760" s="225"/>
      <c r="H760" s="181"/>
    </row>
    <row r="761" spans="2:8" outlineLevel="1">
      <c r="B761" s="221"/>
      <c r="C761" s="225"/>
      <c r="D761" s="184"/>
      <c r="F761" s="221"/>
      <c r="G761" s="225"/>
      <c r="H761" s="181"/>
    </row>
    <row r="762" spans="2:8" outlineLevel="1">
      <c r="B762" s="221"/>
      <c r="C762" s="225"/>
      <c r="D762" s="184"/>
      <c r="F762" s="221"/>
      <c r="G762" s="225"/>
      <c r="H762" s="181"/>
    </row>
    <row r="763" spans="2:8" outlineLevel="1">
      <c r="B763" s="221"/>
      <c r="C763" s="225"/>
      <c r="D763" s="184"/>
      <c r="F763" s="221"/>
      <c r="G763" s="225"/>
      <c r="H763" s="181"/>
    </row>
    <row r="764" spans="2:8" outlineLevel="1">
      <c r="B764" s="221"/>
      <c r="C764" s="225"/>
      <c r="D764" s="184"/>
      <c r="F764" s="221"/>
      <c r="G764" s="225"/>
      <c r="H764" s="181"/>
    </row>
    <row r="765" spans="2:8" outlineLevel="1">
      <c r="B765" s="221"/>
      <c r="C765" s="225"/>
      <c r="D765" s="184"/>
      <c r="F765" s="221"/>
      <c r="G765" s="225"/>
      <c r="H765" s="181"/>
    </row>
    <row r="766" spans="2:8" outlineLevel="1">
      <c r="B766" s="221"/>
      <c r="C766" s="225"/>
      <c r="D766" s="184"/>
      <c r="F766" s="221"/>
      <c r="G766" s="225"/>
      <c r="H766" s="181"/>
    </row>
    <row r="767" spans="2:8" outlineLevel="1">
      <c r="B767" s="221"/>
      <c r="C767" s="225"/>
      <c r="D767" s="184"/>
      <c r="F767" s="221"/>
      <c r="G767" s="225"/>
      <c r="H767" s="181"/>
    </row>
    <row r="768" spans="2:8" outlineLevel="1">
      <c r="B768" s="221"/>
      <c r="C768" s="225"/>
      <c r="D768" s="184"/>
      <c r="F768" s="221"/>
      <c r="G768" s="225"/>
      <c r="H768" s="181"/>
    </row>
    <row r="769" spans="2:8" outlineLevel="1">
      <c r="B769" s="221"/>
      <c r="C769" s="225"/>
      <c r="D769" s="184"/>
      <c r="F769" s="221"/>
      <c r="G769" s="225"/>
      <c r="H769" s="181"/>
    </row>
    <row r="770" spans="2:8" outlineLevel="1">
      <c r="B770" s="221"/>
      <c r="C770" s="225"/>
      <c r="D770" s="184"/>
      <c r="F770" s="221"/>
      <c r="G770" s="225"/>
      <c r="H770" s="181"/>
    </row>
    <row r="771" spans="2:8" outlineLevel="1">
      <c r="B771" s="221"/>
      <c r="C771" s="225"/>
      <c r="D771" s="184"/>
      <c r="F771" s="221"/>
      <c r="G771" s="225"/>
      <c r="H771" s="181"/>
    </row>
    <row r="772" spans="2:8" outlineLevel="1">
      <c r="B772" s="221"/>
      <c r="C772" s="225"/>
      <c r="D772" s="184"/>
      <c r="F772" s="221"/>
      <c r="G772" s="225"/>
      <c r="H772" s="181"/>
    </row>
    <row r="773" spans="2:8" outlineLevel="1">
      <c r="B773" s="221"/>
      <c r="C773" s="225"/>
      <c r="D773" s="184"/>
      <c r="F773" s="221"/>
      <c r="G773" s="225"/>
      <c r="H773" s="181"/>
    </row>
    <row r="774" spans="2:8" outlineLevel="1">
      <c r="B774" s="221"/>
      <c r="C774" s="225"/>
      <c r="D774" s="184"/>
      <c r="F774" s="221"/>
      <c r="G774" s="225"/>
      <c r="H774" s="181"/>
    </row>
    <row r="775" spans="2:8" outlineLevel="1">
      <c r="B775" s="221"/>
      <c r="C775" s="225"/>
      <c r="D775" s="184"/>
      <c r="F775" s="221"/>
      <c r="G775" s="225"/>
      <c r="H775" s="181"/>
    </row>
    <row r="776" spans="2:8" outlineLevel="1">
      <c r="B776" s="221"/>
      <c r="C776" s="225"/>
      <c r="D776" s="184"/>
      <c r="F776" s="221"/>
      <c r="G776" s="225"/>
      <c r="H776" s="181"/>
    </row>
    <row r="777" spans="2:8" outlineLevel="1">
      <c r="B777" s="221"/>
      <c r="C777" s="225"/>
      <c r="D777" s="184"/>
      <c r="F777" s="221"/>
      <c r="G777" s="225"/>
      <c r="H777" s="181"/>
    </row>
    <row r="778" spans="2:8" outlineLevel="1">
      <c r="B778" s="221"/>
      <c r="C778" s="225"/>
      <c r="D778" s="184"/>
      <c r="F778" s="221"/>
      <c r="G778" s="225"/>
      <c r="H778" s="181"/>
    </row>
    <row r="779" spans="2:8" outlineLevel="1">
      <c r="B779" s="221"/>
      <c r="C779" s="225"/>
      <c r="D779" s="184"/>
      <c r="F779" s="221"/>
      <c r="G779" s="225"/>
      <c r="H779" s="181"/>
    </row>
    <row r="780" spans="2:8" outlineLevel="1">
      <c r="B780" s="221"/>
      <c r="C780" s="225"/>
      <c r="D780" s="184"/>
      <c r="F780" s="221"/>
      <c r="G780" s="225"/>
      <c r="H780" s="181"/>
    </row>
    <row r="781" spans="2:8" outlineLevel="1">
      <c r="B781" s="221"/>
      <c r="C781" s="225"/>
      <c r="D781" s="184"/>
      <c r="F781" s="221"/>
      <c r="G781" s="225"/>
      <c r="H781" s="181"/>
    </row>
    <row r="782" spans="2:8" outlineLevel="1">
      <c r="B782" s="221"/>
      <c r="C782" s="225"/>
      <c r="D782" s="184"/>
      <c r="F782" s="221"/>
      <c r="G782" s="225"/>
      <c r="H782" s="181"/>
    </row>
    <row r="783" spans="2:8" outlineLevel="1">
      <c r="B783" s="221"/>
      <c r="C783" s="225"/>
      <c r="D783" s="184"/>
      <c r="F783" s="221"/>
      <c r="G783" s="225"/>
      <c r="H783" s="181"/>
    </row>
    <row r="784" spans="2:8" outlineLevel="1">
      <c r="B784" s="221"/>
      <c r="C784" s="225"/>
      <c r="D784" s="184"/>
      <c r="F784" s="221"/>
      <c r="G784" s="225"/>
      <c r="H784" s="181"/>
    </row>
    <row r="785" spans="2:8" outlineLevel="1">
      <c r="B785" s="221"/>
      <c r="C785" s="225"/>
      <c r="D785" s="184"/>
      <c r="F785" s="221"/>
      <c r="G785" s="225"/>
      <c r="H785" s="181"/>
    </row>
    <row r="786" spans="2:8" outlineLevel="1">
      <c r="B786" s="221"/>
      <c r="C786" s="225"/>
      <c r="D786" s="184"/>
      <c r="F786" s="221"/>
      <c r="G786" s="225"/>
      <c r="H786" s="181"/>
    </row>
    <row r="787" spans="2:8" outlineLevel="1">
      <c r="B787" s="221"/>
      <c r="C787" s="225"/>
      <c r="D787" s="184"/>
      <c r="F787" s="221"/>
      <c r="G787" s="225"/>
      <c r="H787" s="181"/>
    </row>
    <row r="788" spans="2:8" outlineLevel="1">
      <c r="B788" s="221"/>
      <c r="C788" s="225"/>
      <c r="D788" s="184"/>
      <c r="F788" s="221"/>
      <c r="G788" s="225"/>
      <c r="H788" s="181"/>
    </row>
    <row r="789" spans="2:8" outlineLevel="1">
      <c r="B789" s="221"/>
      <c r="C789" s="225"/>
      <c r="D789" s="184"/>
      <c r="F789" s="221"/>
      <c r="G789" s="225"/>
      <c r="H789" s="181"/>
    </row>
    <row r="790" spans="2:8" outlineLevel="1">
      <c r="B790" s="221"/>
      <c r="C790" s="225"/>
      <c r="D790" s="184"/>
      <c r="F790" s="221"/>
      <c r="G790" s="225"/>
      <c r="H790" s="181"/>
    </row>
    <row r="791" spans="2:8" outlineLevel="1">
      <c r="B791" s="221"/>
      <c r="C791" s="225"/>
      <c r="D791" s="184"/>
      <c r="F791" s="221"/>
      <c r="G791" s="225"/>
      <c r="H791" s="181"/>
    </row>
    <row r="792" spans="2:8" outlineLevel="1">
      <c r="B792" s="221"/>
      <c r="C792" s="225"/>
      <c r="D792" s="184"/>
      <c r="F792" s="221"/>
      <c r="G792" s="225"/>
      <c r="H792" s="181"/>
    </row>
    <row r="793" spans="2:8" outlineLevel="1">
      <c r="B793" s="221"/>
      <c r="C793" s="225"/>
      <c r="D793" s="184"/>
      <c r="F793" s="221"/>
      <c r="G793" s="225"/>
      <c r="H793" s="181"/>
    </row>
    <row r="794" spans="2:8" outlineLevel="1">
      <c r="B794" s="221"/>
      <c r="C794" s="225"/>
      <c r="D794" s="184"/>
      <c r="F794" s="221"/>
      <c r="G794" s="225"/>
      <c r="H794" s="181"/>
    </row>
    <row r="795" spans="2:8" outlineLevel="1">
      <c r="B795" s="221"/>
      <c r="C795" s="225"/>
      <c r="D795" s="184"/>
      <c r="F795" s="221"/>
      <c r="G795" s="225"/>
      <c r="H795" s="181"/>
    </row>
    <row r="796" spans="2:8" outlineLevel="1">
      <c r="B796" s="221"/>
      <c r="C796" s="225"/>
      <c r="D796" s="184"/>
      <c r="F796" s="221"/>
      <c r="G796" s="225"/>
      <c r="H796" s="181"/>
    </row>
    <row r="797" spans="2:8" outlineLevel="1">
      <c r="B797" s="221"/>
      <c r="C797" s="225"/>
      <c r="D797" s="184"/>
      <c r="F797" s="221"/>
      <c r="G797" s="225"/>
      <c r="H797" s="181"/>
    </row>
    <row r="798" spans="2:8" outlineLevel="1">
      <c r="B798" s="221"/>
      <c r="C798" s="225"/>
      <c r="D798" s="184"/>
      <c r="F798" s="221"/>
      <c r="G798" s="225"/>
      <c r="H798" s="181"/>
    </row>
    <row r="799" spans="2:8" outlineLevel="1">
      <c r="B799" s="221"/>
      <c r="C799" s="225"/>
      <c r="D799" s="184"/>
      <c r="F799" s="221"/>
      <c r="G799" s="225"/>
      <c r="H799" s="181"/>
    </row>
    <row r="800" spans="2:8" outlineLevel="1">
      <c r="B800" s="221"/>
      <c r="C800" s="225"/>
      <c r="D800" s="184"/>
      <c r="F800" s="221"/>
      <c r="G800" s="225"/>
      <c r="H800" s="181"/>
    </row>
    <row r="801" spans="2:8" outlineLevel="1">
      <c r="B801" s="221"/>
      <c r="C801" s="225"/>
      <c r="D801" s="184"/>
      <c r="F801" s="221"/>
      <c r="G801" s="225"/>
      <c r="H801" s="181"/>
    </row>
    <row r="802" spans="2:8" outlineLevel="1">
      <c r="B802" s="221"/>
      <c r="C802" s="225"/>
      <c r="D802" s="184"/>
      <c r="F802" s="221"/>
      <c r="G802" s="225"/>
      <c r="H802" s="181"/>
    </row>
    <row r="803" spans="2:8" outlineLevel="1">
      <c r="B803" s="221"/>
      <c r="C803" s="225"/>
      <c r="D803" s="184"/>
      <c r="F803" s="221"/>
      <c r="G803" s="225"/>
      <c r="H803" s="181"/>
    </row>
    <row r="804" spans="2:8" outlineLevel="1">
      <c r="B804" s="221"/>
      <c r="C804" s="225"/>
      <c r="D804" s="184"/>
      <c r="F804" s="221"/>
      <c r="G804" s="225"/>
      <c r="H804" s="181"/>
    </row>
    <row r="805" spans="2:8" outlineLevel="1">
      <c r="B805" s="221"/>
      <c r="C805" s="225"/>
      <c r="D805" s="184"/>
      <c r="F805" s="221"/>
      <c r="G805" s="225"/>
      <c r="H805" s="181"/>
    </row>
    <row r="806" spans="2:8" outlineLevel="1">
      <c r="B806" s="221"/>
      <c r="C806" s="225"/>
      <c r="D806" s="184"/>
      <c r="F806" s="221"/>
      <c r="G806" s="225"/>
      <c r="H806" s="181"/>
    </row>
    <row r="807" spans="2:8" outlineLevel="1">
      <c r="B807" s="221"/>
      <c r="C807" s="225"/>
      <c r="D807" s="184"/>
      <c r="F807" s="221"/>
      <c r="G807" s="225"/>
      <c r="H807" s="181"/>
    </row>
    <row r="808" spans="2:8" outlineLevel="1">
      <c r="B808" s="221"/>
      <c r="C808" s="225"/>
      <c r="D808" s="184"/>
      <c r="F808" s="221"/>
      <c r="G808" s="225"/>
      <c r="H808" s="181"/>
    </row>
    <row r="809" spans="2:8" outlineLevel="1">
      <c r="B809" s="221"/>
      <c r="C809" s="225"/>
      <c r="D809" s="184"/>
      <c r="F809" s="221"/>
      <c r="G809" s="225"/>
      <c r="H809" s="181"/>
    </row>
    <row r="810" spans="2:8" outlineLevel="1">
      <c r="B810" s="221"/>
      <c r="C810" s="225"/>
      <c r="D810" s="184"/>
      <c r="F810" s="221"/>
      <c r="G810" s="225"/>
      <c r="H810" s="181"/>
    </row>
    <row r="811" spans="2:8" outlineLevel="1">
      <c r="B811" s="221"/>
      <c r="C811" s="225"/>
      <c r="D811" s="184"/>
      <c r="F811" s="221"/>
      <c r="G811" s="225"/>
      <c r="H811" s="181"/>
    </row>
    <row r="812" spans="2:8" outlineLevel="1">
      <c r="B812" s="221"/>
      <c r="C812" s="225"/>
      <c r="D812" s="184"/>
      <c r="F812" s="221"/>
      <c r="G812" s="225"/>
      <c r="H812" s="181"/>
    </row>
    <row r="813" spans="2:8" outlineLevel="1">
      <c r="B813" s="221"/>
      <c r="C813" s="225"/>
      <c r="D813" s="184"/>
      <c r="F813" s="221"/>
      <c r="G813" s="225"/>
      <c r="H813" s="181"/>
    </row>
    <row r="814" spans="2:8" outlineLevel="1">
      <c r="B814" s="221"/>
      <c r="C814" s="225"/>
      <c r="D814" s="184"/>
      <c r="F814" s="221"/>
      <c r="G814" s="225"/>
      <c r="H814" s="181"/>
    </row>
    <row r="815" spans="2:8" outlineLevel="1">
      <c r="B815" s="221"/>
      <c r="C815" s="225"/>
      <c r="D815" s="184"/>
      <c r="F815" s="221"/>
      <c r="G815" s="225"/>
      <c r="H815" s="181"/>
    </row>
    <row r="816" spans="2:8" outlineLevel="1">
      <c r="B816" s="221"/>
      <c r="C816" s="225"/>
      <c r="D816" s="184"/>
      <c r="F816" s="221"/>
      <c r="G816" s="225"/>
      <c r="H816" s="181"/>
    </row>
    <row r="817" spans="2:8" outlineLevel="1">
      <c r="B817" s="221"/>
      <c r="C817" s="225"/>
      <c r="D817" s="184"/>
      <c r="F817" s="221"/>
      <c r="G817" s="225"/>
      <c r="H817" s="181"/>
    </row>
    <row r="818" spans="2:8" outlineLevel="1">
      <c r="B818" s="221"/>
      <c r="C818" s="225"/>
      <c r="D818" s="184"/>
      <c r="F818" s="221"/>
      <c r="G818" s="225"/>
      <c r="H818" s="181"/>
    </row>
    <row r="819" spans="2:8" outlineLevel="1">
      <c r="B819" s="221"/>
      <c r="C819" s="225"/>
      <c r="D819" s="184"/>
      <c r="F819" s="221"/>
      <c r="G819" s="225"/>
      <c r="H819" s="181"/>
    </row>
    <row r="820" spans="2:8" outlineLevel="1">
      <c r="B820" s="221"/>
      <c r="C820" s="225"/>
      <c r="D820" s="184"/>
      <c r="F820" s="221"/>
      <c r="G820" s="225"/>
      <c r="H820" s="181"/>
    </row>
    <row r="821" spans="2:8" outlineLevel="1">
      <c r="B821" s="221"/>
      <c r="C821" s="225"/>
      <c r="D821" s="184"/>
      <c r="F821" s="221"/>
      <c r="G821" s="225"/>
      <c r="H821" s="181"/>
    </row>
    <row r="822" spans="2:8" outlineLevel="1">
      <c r="B822" s="221"/>
      <c r="C822" s="225"/>
      <c r="D822" s="184"/>
      <c r="F822" s="221"/>
      <c r="G822" s="225"/>
      <c r="H822" s="181"/>
    </row>
    <row r="823" spans="2:8" outlineLevel="1">
      <c r="B823" s="221"/>
      <c r="C823" s="225"/>
      <c r="D823" s="184"/>
      <c r="F823" s="221"/>
      <c r="G823" s="225"/>
      <c r="H823" s="181"/>
    </row>
    <row r="824" spans="2:8" outlineLevel="1">
      <c r="B824" s="221"/>
      <c r="C824" s="225"/>
      <c r="D824" s="184"/>
      <c r="F824" s="221"/>
      <c r="G824" s="225"/>
      <c r="H824" s="181"/>
    </row>
    <row r="825" spans="2:8" outlineLevel="1">
      <c r="B825" s="221"/>
      <c r="C825" s="225"/>
      <c r="D825" s="184"/>
      <c r="F825" s="221"/>
      <c r="G825" s="225"/>
      <c r="H825" s="181"/>
    </row>
    <row r="826" spans="2:8" outlineLevel="1">
      <c r="B826" s="221"/>
      <c r="C826" s="225"/>
      <c r="D826" s="184"/>
      <c r="F826" s="221"/>
      <c r="G826" s="225"/>
      <c r="H826" s="181"/>
    </row>
    <row r="827" spans="2:8" outlineLevel="1">
      <c r="B827" s="221"/>
      <c r="C827" s="225"/>
      <c r="D827" s="184"/>
      <c r="F827" s="221"/>
      <c r="G827" s="225"/>
      <c r="H827" s="181"/>
    </row>
    <row r="828" spans="2:8" outlineLevel="1">
      <c r="B828" s="221"/>
      <c r="C828" s="225"/>
      <c r="D828" s="184"/>
      <c r="F828" s="221"/>
      <c r="G828" s="225"/>
      <c r="H828" s="181"/>
    </row>
    <row r="829" spans="2:8" outlineLevel="1">
      <c r="B829" s="221"/>
      <c r="C829" s="225"/>
      <c r="D829" s="184"/>
      <c r="F829" s="221"/>
      <c r="G829" s="225"/>
      <c r="H829" s="181"/>
    </row>
    <row r="830" spans="2:8" outlineLevel="1">
      <c r="B830" s="221"/>
      <c r="C830" s="225"/>
      <c r="D830" s="184"/>
      <c r="F830" s="221"/>
      <c r="G830" s="225"/>
      <c r="H830" s="181"/>
    </row>
    <row r="831" spans="2:8" outlineLevel="1">
      <c r="B831" s="221"/>
      <c r="C831" s="225"/>
      <c r="D831" s="184"/>
      <c r="F831" s="221"/>
      <c r="G831" s="225"/>
      <c r="H831" s="181"/>
    </row>
    <row r="832" spans="2:8" outlineLevel="1">
      <c r="B832" s="221"/>
      <c r="C832" s="225"/>
      <c r="D832" s="184"/>
      <c r="F832" s="221"/>
      <c r="G832" s="225"/>
      <c r="H832" s="181"/>
    </row>
    <row r="833" spans="2:8" outlineLevel="1">
      <c r="B833" s="221"/>
      <c r="C833" s="225"/>
      <c r="D833" s="184"/>
      <c r="F833" s="221"/>
      <c r="G833" s="225"/>
      <c r="H833" s="181"/>
    </row>
    <row r="834" spans="2:8" outlineLevel="1">
      <c r="B834" s="221"/>
      <c r="C834" s="225"/>
      <c r="D834" s="184"/>
      <c r="F834" s="221"/>
      <c r="G834" s="225"/>
      <c r="H834" s="181"/>
    </row>
    <row r="835" spans="2:8" outlineLevel="1">
      <c r="B835" s="221"/>
      <c r="C835" s="225"/>
      <c r="D835" s="184"/>
      <c r="F835" s="221"/>
      <c r="G835" s="225"/>
      <c r="H835" s="181"/>
    </row>
    <row r="836" spans="2:8" outlineLevel="1">
      <c r="B836" s="221"/>
      <c r="C836" s="225"/>
      <c r="D836" s="184"/>
      <c r="F836" s="221"/>
      <c r="G836" s="225"/>
      <c r="H836" s="181"/>
    </row>
    <row r="837" spans="2:8" outlineLevel="1">
      <c r="B837" s="221"/>
      <c r="C837" s="225"/>
      <c r="D837" s="184"/>
      <c r="F837" s="221"/>
      <c r="G837" s="225"/>
      <c r="H837" s="181"/>
    </row>
    <row r="838" spans="2:8" outlineLevel="1">
      <c r="B838" s="221"/>
      <c r="C838" s="225"/>
      <c r="D838" s="184"/>
      <c r="F838" s="221"/>
      <c r="G838" s="225"/>
      <c r="H838" s="181"/>
    </row>
    <row r="839" spans="2:8" outlineLevel="1">
      <c r="B839" s="221"/>
      <c r="C839" s="225"/>
      <c r="D839" s="184"/>
      <c r="F839" s="221"/>
      <c r="G839" s="225"/>
      <c r="H839" s="181"/>
    </row>
    <row r="840" spans="2:8" outlineLevel="1">
      <c r="B840" s="221"/>
      <c r="C840" s="225"/>
      <c r="D840" s="184"/>
      <c r="F840" s="221"/>
      <c r="G840" s="225"/>
      <c r="H840" s="181"/>
    </row>
    <row r="841" spans="2:8" outlineLevel="1">
      <c r="B841" s="221"/>
      <c r="C841" s="225"/>
      <c r="D841" s="184"/>
      <c r="F841" s="221"/>
      <c r="G841" s="225"/>
      <c r="H841" s="181"/>
    </row>
    <row r="842" spans="2:8" outlineLevel="1">
      <c r="B842" s="221"/>
      <c r="C842" s="225"/>
      <c r="D842" s="184"/>
      <c r="F842" s="221"/>
      <c r="G842" s="225"/>
      <c r="H842" s="181"/>
    </row>
    <row r="843" spans="2:8" outlineLevel="1">
      <c r="B843" s="221"/>
      <c r="C843" s="225"/>
      <c r="D843" s="184"/>
      <c r="F843" s="221"/>
      <c r="G843" s="225"/>
      <c r="H843" s="181"/>
    </row>
    <row r="844" spans="2:8" outlineLevel="1">
      <c r="B844" s="221"/>
      <c r="C844" s="225"/>
      <c r="D844" s="184"/>
      <c r="F844" s="221"/>
      <c r="G844" s="225"/>
      <c r="H844" s="181"/>
    </row>
    <row r="845" spans="2:8" outlineLevel="1">
      <c r="B845" s="221"/>
      <c r="C845" s="225"/>
      <c r="D845" s="184"/>
      <c r="F845" s="221"/>
      <c r="G845" s="225"/>
      <c r="H845" s="181"/>
    </row>
    <row r="846" spans="2:8" outlineLevel="1">
      <c r="B846" s="221"/>
      <c r="C846" s="225"/>
      <c r="D846" s="184"/>
      <c r="F846" s="221"/>
      <c r="G846" s="225"/>
      <c r="H846" s="181"/>
    </row>
    <row r="847" spans="2:8" outlineLevel="1">
      <c r="B847" s="221"/>
      <c r="C847" s="225"/>
      <c r="D847" s="184"/>
      <c r="F847" s="221"/>
      <c r="G847" s="225"/>
      <c r="H847" s="181"/>
    </row>
    <row r="848" spans="2:8" outlineLevel="1">
      <c r="B848" s="221"/>
      <c r="C848" s="225"/>
      <c r="D848" s="184"/>
      <c r="F848" s="221"/>
      <c r="G848" s="225"/>
      <c r="H848" s="181"/>
    </row>
    <row r="849" spans="2:8" outlineLevel="1">
      <c r="B849" s="221"/>
      <c r="C849" s="225"/>
      <c r="D849" s="184"/>
      <c r="F849" s="221"/>
      <c r="G849" s="225"/>
      <c r="H849" s="181"/>
    </row>
    <row r="850" spans="2:8" outlineLevel="1">
      <c r="B850" s="221"/>
      <c r="C850" s="225"/>
      <c r="D850" s="184"/>
      <c r="F850" s="221"/>
      <c r="G850" s="225"/>
      <c r="H850" s="181"/>
    </row>
    <row r="851" spans="2:8" outlineLevel="1">
      <c r="B851" s="221"/>
      <c r="C851" s="225"/>
      <c r="D851" s="184"/>
      <c r="F851" s="221"/>
      <c r="G851" s="225"/>
      <c r="H851" s="181"/>
    </row>
    <row r="852" spans="2:8" outlineLevel="1">
      <c r="B852" s="221"/>
      <c r="C852" s="225"/>
      <c r="D852" s="184"/>
      <c r="F852" s="221"/>
      <c r="G852" s="225"/>
      <c r="H852" s="181"/>
    </row>
    <row r="853" spans="2:8" outlineLevel="1">
      <c r="B853" s="221"/>
      <c r="C853" s="225"/>
      <c r="D853" s="184"/>
      <c r="F853" s="221"/>
      <c r="G853" s="225"/>
      <c r="H853" s="181"/>
    </row>
    <row r="854" spans="2:8" outlineLevel="1">
      <c r="B854" s="221"/>
      <c r="C854" s="225"/>
      <c r="D854" s="184"/>
      <c r="F854" s="221"/>
      <c r="G854" s="225"/>
      <c r="H854" s="181"/>
    </row>
    <row r="855" spans="2:8" outlineLevel="1">
      <c r="B855" s="221"/>
      <c r="C855" s="225"/>
      <c r="D855" s="184"/>
      <c r="F855" s="221"/>
      <c r="G855" s="225"/>
      <c r="H855" s="181"/>
    </row>
    <row r="856" spans="2:8" outlineLevel="1">
      <c r="B856" s="221"/>
      <c r="C856" s="225"/>
      <c r="D856" s="184"/>
      <c r="F856" s="221"/>
      <c r="G856" s="225"/>
      <c r="H856" s="181"/>
    </row>
    <row r="857" spans="2:8" outlineLevel="1">
      <c r="B857" s="221"/>
      <c r="C857" s="225"/>
      <c r="D857" s="184"/>
      <c r="F857" s="221"/>
      <c r="G857" s="225"/>
      <c r="H857" s="181"/>
    </row>
    <row r="858" spans="2:8" outlineLevel="1">
      <c r="B858" s="221"/>
      <c r="C858" s="225"/>
      <c r="D858" s="184"/>
      <c r="F858" s="221"/>
      <c r="G858" s="225"/>
      <c r="H858" s="181"/>
    </row>
    <row r="859" spans="2:8" outlineLevel="1">
      <c r="B859" s="221"/>
      <c r="C859" s="225"/>
      <c r="D859" s="184"/>
      <c r="F859" s="221"/>
      <c r="G859" s="225"/>
      <c r="H859" s="181"/>
    </row>
    <row r="860" spans="2:8" outlineLevel="1">
      <c r="B860" s="221"/>
      <c r="C860" s="225"/>
      <c r="D860" s="184"/>
      <c r="F860" s="221"/>
      <c r="G860" s="225"/>
      <c r="H860" s="181"/>
    </row>
    <row r="861" spans="2:8" outlineLevel="1">
      <c r="B861" s="221"/>
      <c r="C861" s="225"/>
      <c r="D861" s="184"/>
      <c r="F861" s="221"/>
      <c r="G861" s="225"/>
      <c r="H861" s="181"/>
    </row>
    <row r="862" spans="2:8" outlineLevel="1">
      <c r="B862" s="221"/>
      <c r="C862" s="225"/>
      <c r="D862" s="184"/>
      <c r="F862" s="221"/>
      <c r="G862" s="225"/>
      <c r="H862" s="181"/>
    </row>
    <row r="863" spans="2:8" outlineLevel="1">
      <c r="B863" s="221"/>
      <c r="C863" s="225"/>
      <c r="D863" s="184"/>
      <c r="F863" s="221"/>
      <c r="G863" s="225"/>
      <c r="H863" s="181"/>
    </row>
    <row r="864" spans="2:8" outlineLevel="1">
      <c r="B864" s="221"/>
      <c r="C864" s="225"/>
      <c r="D864" s="184"/>
      <c r="F864" s="221"/>
      <c r="G864" s="225"/>
      <c r="H864" s="181"/>
    </row>
    <row r="865" spans="2:8" outlineLevel="1">
      <c r="B865" s="221"/>
      <c r="C865" s="225"/>
      <c r="D865" s="184"/>
      <c r="F865" s="221"/>
      <c r="G865" s="225"/>
      <c r="H865" s="181"/>
    </row>
    <row r="866" spans="2:8" outlineLevel="1">
      <c r="B866" s="221"/>
      <c r="C866" s="225"/>
      <c r="D866" s="184"/>
      <c r="F866" s="221"/>
      <c r="G866" s="225"/>
      <c r="H866" s="181"/>
    </row>
    <row r="867" spans="2:8" outlineLevel="1">
      <c r="B867" s="221"/>
      <c r="C867" s="225"/>
      <c r="D867" s="184"/>
      <c r="F867" s="221"/>
      <c r="G867" s="225"/>
      <c r="H867" s="181"/>
    </row>
    <row r="868" spans="2:8" outlineLevel="1">
      <c r="B868" s="221"/>
      <c r="C868" s="225"/>
      <c r="D868" s="184"/>
      <c r="F868" s="221"/>
      <c r="G868" s="225"/>
      <c r="H868" s="181"/>
    </row>
    <row r="869" spans="2:8" outlineLevel="1">
      <c r="B869" s="221"/>
      <c r="C869" s="225"/>
      <c r="D869" s="184"/>
      <c r="F869" s="221"/>
      <c r="G869" s="225"/>
      <c r="H869" s="181"/>
    </row>
    <row r="870" spans="2:8" outlineLevel="1">
      <c r="B870" s="221"/>
      <c r="C870" s="225"/>
      <c r="D870" s="184"/>
      <c r="F870" s="221"/>
      <c r="G870" s="225"/>
      <c r="H870" s="181"/>
    </row>
    <row r="871" spans="2:8" outlineLevel="1">
      <c r="B871" s="221"/>
      <c r="C871" s="225"/>
      <c r="D871" s="184"/>
      <c r="F871" s="221"/>
      <c r="G871" s="225"/>
      <c r="H871" s="181"/>
    </row>
    <row r="872" spans="2:8" outlineLevel="1">
      <c r="B872" s="221"/>
      <c r="C872" s="225"/>
      <c r="D872" s="184"/>
      <c r="F872" s="221"/>
      <c r="G872" s="225"/>
      <c r="H872" s="181"/>
    </row>
    <row r="873" spans="2:8" outlineLevel="1">
      <c r="B873" s="221"/>
      <c r="C873" s="225"/>
      <c r="D873" s="184"/>
      <c r="F873" s="221"/>
      <c r="G873" s="225"/>
      <c r="H873" s="181"/>
    </row>
    <row r="874" spans="2:8" outlineLevel="1">
      <c r="B874" s="221"/>
      <c r="C874" s="225"/>
      <c r="D874" s="184"/>
      <c r="F874" s="221"/>
      <c r="G874" s="225"/>
      <c r="H874" s="181"/>
    </row>
    <row r="875" spans="2:8" outlineLevel="1">
      <c r="B875" s="221"/>
      <c r="C875" s="225"/>
      <c r="D875" s="184"/>
      <c r="F875" s="221"/>
      <c r="G875" s="225"/>
      <c r="H875" s="181"/>
    </row>
    <row r="876" spans="2:8" outlineLevel="1">
      <c r="B876" s="221"/>
      <c r="C876" s="225"/>
      <c r="D876" s="184"/>
      <c r="F876" s="221"/>
      <c r="G876" s="225"/>
      <c r="H876" s="181"/>
    </row>
    <row r="877" spans="2:8" outlineLevel="1">
      <c r="B877" s="221"/>
      <c r="C877" s="225"/>
      <c r="D877" s="184"/>
      <c r="F877" s="221"/>
      <c r="G877" s="225"/>
      <c r="H877" s="181"/>
    </row>
    <row r="878" spans="2:8" outlineLevel="1">
      <c r="B878" s="221"/>
      <c r="C878" s="225"/>
      <c r="D878" s="184"/>
      <c r="F878" s="221"/>
      <c r="G878" s="225"/>
      <c r="H878" s="181"/>
    </row>
    <row r="879" spans="2:8" outlineLevel="1">
      <c r="B879" s="221"/>
      <c r="C879" s="225"/>
      <c r="D879" s="184"/>
      <c r="F879" s="221"/>
      <c r="G879" s="225"/>
      <c r="H879" s="181"/>
    </row>
    <row r="880" spans="2:8" outlineLevel="1">
      <c r="B880" s="221"/>
      <c r="C880" s="225"/>
      <c r="D880" s="184"/>
      <c r="F880" s="221"/>
      <c r="G880" s="225"/>
      <c r="H880" s="181"/>
    </row>
    <row r="881" spans="2:8" outlineLevel="1">
      <c r="B881" s="221"/>
      <c r="C881" s="225"/>
      <c r="D881" s="184"/>
      <c r="F881" s="221"/>
      <c r="G881" s="225"/>
      <c r="H881" s="181"/>
    </row>
    <row r="882" spans="2:8" outlineLevel="1">
      <c r="B882" s="221"/>
      <c r="C882" s="225"/>
      <c r="D882" s="184"/>
      <c r="F882" s="221"/>
      <c r="G882" s="225"/>
      <c r="H882" s="181"/>
    </row>
    <row r="883" spans="2:8" outlineLevel="1">
      <c r="B883" s="221"/>
      <c r="C883" s="225"/>
      <c r="D883" s="184"/>
      <c r="F883" s="221"/>
      <c r="G883" s="225"/>
      <c r="H883" s="181"/>
    </row>
    <row r="884" spans="2:8" outlineLevel="1">
      <c r="B884" s="221"/>
      <c r="C884" s="225"/>
      <c r="D884" s="184"/>
      <c r="F884" s="221"/>
      <c r="G884" s="225"/>
      <c r="H884" s="181"/>
    </row>
    <row r="885" spans="2:8" outlineLevel="1">
      <c r="B885" s="221"/>
      <c r="C885" s="225"/>
      <c r="D885" s="184"/>
      <c r="F885" s="221"/>
      <c r="G885" s="225"/>
      <c r="H885" s="181"/>
    </row>
    <row r="886" spans="2:8" outlineLevel="1">
      <c r="B886" s="221"/>
      <c r="C886" s="225"/>
      <c r="D886" s="184"/>
      <c r="F886" s="221"/>
      <c r="G886" s="225"/>
      <c r="H886" s="181"/>
    </row>
    <row r="887" spans="2:8" outlineLevel="1">
      <c r="B887" s="221"/>
      <c r="C887" s="225"/>
      <c r="D887" s="184"/>
      <c r="F887" s="221"/>
      <c r="G887" s="225"/>
      <c r="H887" s="181"/>
    </row>
    <row r="888" spans="2:8" outlineLevel="1">
      <c r="B888" s="221"/>
      <c r="C888" s="225"/>
      <c r="D888" s="184"/>
      <c r="F888" s="221"/>
      <c r="G888" s="225"/>
      <c r="H888" s="181"/>
    </row>
    <row r="889" spans="2:8" outlineLevel="1">
      <c r="B889" s="221"/>
      <c r="C889" s="225"/>
      <c r="D889" s="184"/>
      <c r="F889" s="221"/>
      <c r="G889" s="225"/>
      <c r="H889" s="181"/>
    </row>
    <row r="890" spans="2:8" outlineLevel="1">
      <c r="B890" s="221"/>
      <c r="C890" s="225"/>
      <c r="D890" s="184"/>
      <c r="F890" s="221"/>
      <c r="G890" s="225"/>
      <c r="H890" s="181"/>
    </row>
    <row r="891" spans="2:8" outlineLevel="1">
      <c r="B891" s="221"/>
      <c r="C891" s="225"/>
      <c r="D891" s="184"/>
      <c r="F891" s="221"/>
      <c r="G891" s="225"/>
      <c r="H891" s="181"/>
    </row>
    <row r="892" spans="2:8" outlineLevel="1">
      <c r="B892" s="221"/>
      <c r="C892" s="225"/>
      <c r="D892" s="184"/>
      <c r="F892" s="221"/>
      <c r="G892" s="225"/>
      <c r="H892" s="181"/>
    </row>
    <row r="893" spans="2:8" outlineLevel="1">
      <c r="B893" s="221"/>
      <c r="C893" s="225"/>
      <c r="D893" s="184"/>
      <c r="F893" s="221"/>
      <c r="G893" s="225"/>
      <c r="H893" s="181"/>
    </row>
    <row r="894" spans="2:8" outlineLevel="1">
      <c r="B894" s="221"/>
      <c r="C894" s="225"/>
      <c r="D894" s="184"/>
      <c r="F894" s="221"/>
      <c r="G894" s="225"/>
      <c r="H894" s="181"/>
    </row>
    <row r="895" spans="2:8" outlineLevel="1">
      <c r="B895" s="221"/>
      <c r="C895" s="225"/>
      <c r="D895" s="184"/>
      <c r="F895" s="221"/>
      <c r="G895" s="225"/>
      <c r="H895" s="181"/>
    </row>
    <row r="896" spans="2:8" outlineLevel="1">
      <c r="B896" s="221"/>
      <c r="C896" s="225"/>
      <c r="D896" s="184"/>
      <c r="F896" s="221"/>
      <c r="G896" s="225"/>
      <c r="H896" s="181"/>
    </row>
    <row r="897" spans="2:8" outlineLevel="1">
      <c r="B897" s="221"/>
      <c r="C897" s="225"/>
      <c r="D897" s="184"/>
      <c r="F897" s="221"/>
      <c r="G897" s="225"/>
      <c r="H897" s="181"/>
    </row>
    <row r="898" spans="2:8" outlineLevel="1">
      <c r="B898" s="221"/>
      <c r="C898" s="225"/>
      <c r="D898" s="184"/>
      <c r="F898" s="221"/>
      <c r="G898" s="225"/>
      <c r="H898" s="181"/>
    </row>
    <row r="899" spans="2:8" outlineLevel="1">
      <c r="B899" s="221"/>
      <c r="C899" s="225"/>
      <c r="D899" s="184"/>
      <c r="F899" s="221"/>
      <c r="G899" s="225"/>
      <c r="H899" s="181"/>
    </row>
    <row r="900" spans="2:8" outlineLevel="1">
      <c r="B900" s="221"/>
      <c r="C900" s="225"/>
      <c r="D900" s="184"/>
      <c r="F900" s="221"/>
      <c r="G900" s="225"/>
      <c r="H900" s="181"/>
    </row>
    <row r="901" spans="2:8" outlineLevel="1">
      <c r="B901" s="221"/>
      <c r="C901" s="225"/>
      <c r="D901" s="184"/>
      <c r="F901" s="221"/>
      <c r="G901" s="225"/>
      <c r="H901" s="181"/>
    </row>
    <row r="902" spans="2:8" outlineLevel="1">
      <c r="B902" s="221"/>
      <c r="C902" s="225"/>
      <c r="D902" s="184"/>
      <c r="F902" s="221"/>
      <c r="G902" s="225"/>
      <c r="H902" s="181"/>
    </row>
    <row r="903" spans="2:8" outlineLevel="1">
      <c r="B903" s="221"/>
      <c r="C903" s="225"/>
      <c r="D903" s="184"/>
      <c r="F903" s="221"/>
      <c r="G903" s="225"/>
      <c r="H903" s="181"/>
    </row>
    <row r="904" spans="2:8" outlineLevel="1">
      <c r="B904" s="221"/>
      <c r="C904" s="225"/>
      <c r="D904" s="184"/>
      <c r="F904" s="221"/>
      <c r="G904" s="225"/>
      <c r="H904" s="181"/>
    </row>
    <row r="905" spans="2:8" outlineLevel="1">
      <c r="B905" s="221"/>
      <c r="C905" s="225"/>
      <c r="D905" s="184"/>
      <c r="F905" s="221"/>
      <c r="G905" s="225"/>
      <c r="H905" s="181"/>
    </row>
    <row r="906" spans="2:8" outlineLevel="1">
      <c r="B906" s="221"/>
      <c r="C906" s="225"/>
      <c r="D906" s="184"/>
      <c r="F906" s="221"/>
      <c r="G906" s="225"/>
      <c r="H906" s="181"/>
    </row>
    <row r="907" spans="2:8" outlineLevel="1">
      <c r="B907" s="221"/>
      <c r="C907" s="225"/>
      <c r="D907" s="184"/>
      <c r="F907" s="221"/>
      <c r="G907" s="225"/>
      <c r="H907" s="181"/>
    </row>
    <row r="908" spans="2:8" outlineLevel="1">
      <c r="B908" s="221"/>
      <c r="C908" s="225"/>
      <c r="D908" s="184"/>
      <c r="F908" s="221"/>
      <c r="G908" s="225"/>
      <c r="H908" s="181"/>
    </row>
    <row r="909" spans="2:8" outlineLevel="1">
      <c r="B909" s="221"/>
      <c r="C909" s="225"/>
      <c r="D909" s="184"/>
      <c r="F909" s="221"/>
      <c r="G909" s="225"/>
      <c r="H909" s="181"/>
    </row>
    <row r="910" spans="2:8" outlineLevel="1">
      <c r="B910" s="221"/>
      <c r="C910" s="225"/>
      <c r="D910" s="184"/>
      <c r="F910" s="221"/>
      <c r="G910" s="225"/>
      <c r="H910" s="181"/>
    </row>
    <row r="911" spans="2:8" outlineLevel="1">
      <c r="B911" s="221"/>
      <c r="C911" s="225"/>
      <c r="D911" s="184"/>
      <c r="F911" s="221"/>
      <c r="G911" s="225"/>
      <c r="H911" s="181"/>
    </row>
    <row r="912" spans="2:8" outlineLevel="1">
      <c r="B912" s="221"/>
      <c r="C912" s="225"/>
      <c r="D912" s="184"/>
      <c r="F912" s="221"/>
      <c r="G912" s="225"/>
      <c r="H912" s="181"/>
    </row>
    <row r="913" spans="2:8" outlineLevel="1">
      <c r="B913" s="221"/>
      <c r="C913" s="225"/>
      <c r="D913" s="184"/>
      <c r="F913" s="221"/>
      <c r="G913" s="225"/>
      <c r="H913" s="181"/>
    </row>
    <row r="914" spans="2:8" outlineLevel="1">
      <c r="B914" s="221"/>
      <c r="C914" s="225"/>
      <c r="D914" s="184"/>
      <c r="F914" s="221"/>
      <c r="G914" s="225"/>
      <c r="H914" s="181"/>
    </row>
    <row r="915" spans="2:8" outlineLevel="1">
      <c r="B915" s="221"/>
      <c r="C915" s="225"/>
      <c r="D915" s="184"/>
      <c r="F915" s="221"/>
      <c r="G915" s="225"/>
      <c r="H915" s="181"/>
    </row>
    <row r="916" spans="2:8" outlineLevel="1">
      <c r="B916" s="221"/>
      <c r="C916" s="225"/>
      <c r="D916" s="184"/>
      <c r="F916" s="221"/>
      <c r="G916" s="225"/>
      <c r="H916" s="181"/>
    </row>
    <row r="917" spans="2:8" outlineLevel="1">
      <c r="B917" s="221"/>
      <c r="C917" s="225"/>
      <c r="D917" s="184"/>
      <c r="F917" s="221"/>
      <c r="G917" s="225"/>
      <c r="H917" s="181"/>
    </row>
    <row r="918" spans="2:8" outlineLevel="1">
      <c r="B918" s="221"/>
      <c r="C918" s="225"/>
      <c r="D918" s="184"/>
      <c r="F918" s="221"/>
      <c r="G918" s="225"/>
      <c r="H918" s="181"/>
    </row>
    <row r="919" spans="2:8" outlineLevel="1">
      <c r="B919" s="221"/>
      <c r="C919" s="225"/>
      <c r="D919" s="184"/>
      <c r="F919" s="221"/>
      <c r="G919" s="225"/>
      <c r="H919" s="181"/>
    </row>
    <row r="920" spans="2:8" outlineLevel="1">
      <c r="B920" s="221"/>
      <c r="C920" s="225"/>
      <c r="D920" s="184"/>
      <c r="F920" s="221"/>
      <c r="G920" s="225"/>
      <c r="H920" s="181"/>
    </row>
    <row r="921" spans="2:8" outlineLevel="1">
      <c r="B921" s="221"/>
      <c r="C921" s="225"/>
      <c r="D921" s="184"/>
      <c r="F921" s="221"/>
      <c r="G921" s="225"/>
      <c r="H921" s="181"/>
    </row>
    <row r="922" spans="2:8" outlineLevel="1">
      <c r="B922" s="221"/>
      <c r="C922" s="225"/>
      <c r="D922" s="184"/>
      <c r="F922" s="221"/>
      <c r="G922" s="225"/>
      <c r="H922" s="181"/>
    </row>
    <row r="923" spans="2:8" outlineLevel="1">
      <c r="B923" s="221"/>
      <c r="C923" s="225"/>
      <c r="D923" s="184"/>
      <c r="F923" s="221"/>
      <c r="G923" s="225"/>
      <c r="H923" s="181"/>
    </row>
    <row r="924" spans="2:8" outlineLevel="1">
      <c r="B924" s="221"/>
      <c r="C924" s="225"/>
      <c r="D924" s="184"/>
      <c r="F924" s="221"/>
      <c r="G924" s="225"/>
      <c r="H924" s="181"/>
    </row>
    <row r="925" spans="2:8" outlineLevel="1">
      <c r="B925" s="221"/>
      <c r="C925" s="225"/>
      <c r="D925" s="184"/>
      <c r="F925" s="221"/>
      <c r="G925" s="225"/>
      <c r="H925" s="181"/>
    </row>
    <row r="926" spans="2:8" outlineLevel="1">
      <c r="B926" s="221"/>
      <c r="C926" s="225"/>
      <c r="D926" s="184"/>
      <c r="F926" s="221"/>
      <c r="G926" s="225"/>
      <c r="H926" s="181"/>
    </row>
    <row r="927" spans="2:8" outlineLevel="1">
      <c r="B927" s="221"/>
      <c r="C927" s="225"/>
      <c r="D927" s="184"/>
      <c r="F927" s="221"/>
      <c r="G927" s="225"/>
      <c r="H927" s="181"/>
    </row>
    <row r="928" spans="2:8" outlineLevel="1">
      <c r="B928" s="221"/>
      <c r="C928" s="225"/>
      <c r="D928" s="184"/>
      <c r="F928" s="221"/>
      <c r="G928" s="225"/>
      <c r="H928" s="181"/>
    </row>
    <row r="929" spans="2:8" outlineLevel="1">
      <c r="B929" s="221"/>
      <c r="C929" s="225"/>
      <c r="D929" s="184"/>
      <c r="F929" s="221"/>
      <c r="G929" s="225"/>
      <c r="H929" s="181"/>
    </row>
    <row r="930" spans="2:8" outlineLevel="1">
      <c r="B930" s="221"/>
      <c r="C930" s="225"/>
      <c r="D930" s="184"/>
      <c r="F930" s="221"/>
      <c r="G930" s="225"/>
      <c r="H930" s="181"/>
    </row>
    <row r="931" spans="2:8" outlineLevel="1">
      <c r="B931" s="221"/>
      <c r="C931" s="225"/>
      <c r="D931" s="184"/>
      <c r="F931" s="221"/>
      <c r="G931" s="225"/>
      <c r="H931" s="181"/>
    </row>
    <row r="932" spans="2:8" outlineLevel="1">
      <c r="B932" s="221"/>
      <c r="C932" s="225"/>
      <c r="D932" s="184"/>
      <c r="F932" s="221"/>
      <c r="G932" s="225"/>
      <c r="H932" s="181"/>
    </row>
    <row r="933" spans="2:8" outlineLevel="1">
      <c r="B933" s="221"/>
      <c r="C933" s="225"/>
      <c r="D933" s="184"/>
      <c r="F933" s="221"/>
      <c r="G933" s="225"/>
      <c r="H933" s="181"/>
    </row>
    <row r="934" spans="2:8" outlineLevel="1">
      <c r="B934" s="221"/>
      <c r="C934" s="225"/>
      <c r="D934" s="184"/>
      <c r="F934" s="221"/>
      <c r="G934" s="225"/>
      <c r="H934" s="181"/>
    </row>
    <row r="935" spans="2:8" outlineLevel="1">
      <c r="B935" s="221"/>
      <c r="C935" s="225"/>
      <c r="D935" s="184"/>
      <c r="F935" s="221"/>
      <c r="G935" s="225"/>
      <c r="H935" s="181"/>
    </row>
    <row r="936" spans="2:8" outlineLevel="1">
      <c r="B936" s="221"/>
      <c r="C936" s="225"/>
      <c r="D936" s="184"/>
      <c r="F936" s="221"/>
      <c r="G936" s="225"/>
      <c r="H936" s="181"/>
    </row>
    <row r="937" spans="2:8" outlineLevel="1">
      <c r="B937" s="221"/>
      <c r="C937" s="225"/>
      <c r="D937" s="184"/>
      <c r="F937" s="221"/>
      <c r="G937" s="225"/>
      <c r="H937" s="181"/>
    </row>
    <row r="938" spans="2:8" outlineLevel="1">
      <c r="B938" s="221"/>
      <c r="C938" s="225"/>
      <c r="D938" s="184"/>
      <c r="F938" s="221"/>
      <c r="G938" s="225"/>
      <c r="H938" s="181"/>
    </row>
    <row r="939" spans="2:8" outlineLevel="1">
      <c r="B939" s="221"/>
      <c r="C939" s="225"/>
      <c r="D939" s="184"/>
      <c r="F939" s="221"/>
      <c r="G939" s="225"/>
      <c r="H939" s="181"/>
    </row>
    <row r="940" spans="2:8" outlineLevel="1">
      <c r="B940" s="221"/>
      <c r="C940" s="225"/>
      <c r="D940" s="184"/>
      <c r="F940" s="221"/>
      <c r="G940" s="225"/>
      <c r="H940" s="181"/>
    </row>
    <row r="941" spans="2:8" outlineLevel="1">
      <c r="B941" s="221"/>
      <c r="C941" s="225"/>
      <c r="D941" s="184"/>
      <c r="F941" s="221"/>
      <c r="G941" s="225"/>
      <c r="H941" s="181"/>
    </row>
    <row r="942" spans="2:8" outlineLevel="1">
      <c r="B942" s="221"/>
      <c r="C942" s="225"/>
      <c r="D942" s="184"/>
      <c r="F942" s="221"/>
      <c r="G942" s="225"/>
      <c r="H942" s="181"/>
    </row>
    <row r="943" spans="2:8" outlineLevel="1">
      <c r="B943" s="221"/>
      <c r="C943" s="225"/>
      <c r="D943" s="184"/>
      <c r="F943" s="221"/>
      <c r="G943" s="225"/>
      <c r="H943" s="181"/>
    </row>
    <row r="944" spans="2:8" outlineLevel="1">
      <c r="B944" s="221"/>
      <c r="C944" s="225"/>
      <c r="D944" s="184"/>
      <c r="F944" s="221"/>
      <c r="G944" s="225"/>
      <c r="H944" s="181"/>
    </row>
    <row r="945" spans="2:8" outlineLevel="1">
      <c r="B945" s="221"/>
      <c r="C945" s="225"/>
      <c r="D945" s="184"/>
      <c r="F945" s="221"/>
      <c r="G945" s="225"/>
      <c r="H945" s="181"/>
    </row>
    <row r="946" spans="2:8" outlineLevel="1">
      <c r="B946" s="221"/>
      <c r="C946" s="225"/>
      <c r="D946" s="184"/>
      <c r="F946" s="221"/>
      <c r="G946" s="225"/>
      <c r="H946" s="181"/>
    </row>
    <row r="947" spans="2:8" outlineLevel="1">
      <c r="B947" s="221"/>
      <c r="C947" s="225"/>
      <c r="D947" s="184"/>
      <c r="F947" s="221"/>
      <c r="G947" s="225"/>
      <c r="H947" s="181"/>
    </row>
    <row r="948" spans="2:8" outlineLevel="1">
      <c r="B948" s="221"/>
      <c r="C948" s="225"/>
      <c r="D948" s="184"/>
      <c r="F948" s="221"/>
      <c r="G948" s="225"/>
      <c r="H948" s="181"/>
    </row>
    <row r="949" spans="2:8" outlineLevel="1">
      <c r="B949" s="221"/>
      <c r="C949" s="225"/>
      <c r="D949" s="184"/>
      <c r="F949" s="221"/>
      <c r="G949" s="225"/>
      <c r="H949" s="181"/>
    </row>
    <row r="950" spans="2:8" outlineLevel="1">
      <c r="B950" s="221"/>
      <c r="C950" s="225"/>
      <c r="D950" s="184"/>
      <c r="F950" s="221"/>
      <c r="G950" s="225"/>
      <c r="H950" s="181"/>
    </row>
    <row r="951" spans="2:8" outlineLevel="1">
      <c r="B951" s="221"/>
      <c r="C951" s="225"/>
      <c r="D951" s="184"/>
      <c r="F951" s="221"/>
      <c r="G951" s="225"/>
      <c r="H951" s="181"/>
    </row>
    <row r="952" spans="2:8" outlineLevel="1">
      <c r="B952" s="221"/>
      <c r="C952" s="225"/>
      <c r="D952" s="184"/>
      <c r="F952" s="221"/>
      <c r="G952" s="225"/>
      <c r="H952" s="181"/>
    </row>
    <row r="953" spans="2:8" outlineLevel="1">
      <c r="B953" s="221"/>
      <c r="C953" s="225"/>
      <c r="D953" s="184"/>
      <c r="F953" s="221"/>
      <c r="G953" s="225"/>
      <c r="H953" s="181"/>
    </row>
    <row r="954" spans="2:8" outlineLevel="1">
      <c r="B954" s="221"/>
      <c r="C954" s="225"/>
      <c r="D954" s="184"/>
      <c r="F954" s="221"/>
      <c r="G954" s="225"/>
      <c r="H954" s="181"/>
    </row>
    <row r="955" spans="2:8" outlineLevel="1">
      <c r="B955" s="221"/>
      <c r="C955" s="225"/>
      <c r="D955" s="184"/>
      <c r="F955" s="221"/>
      <c r="G955" s="225"/>
      <c r="H955" s="181"/>
    </row>
    <row r="956" spans="2:8" outlineLevel="1">
      <c r="B956" s="221"/>
      <c r="C956" s="225"/>
      <c r="D956" s="184"/>
      <c r="F956" s="221"/>
      <c r="G956" s="225"/>
      <c r="H956" s="181"/>
    </row>
    <row r="957" spans="2:8" outlineLevel="1">
      <c r="B957" s="221"/>
      <c r="C957" s="225"/>
      <c r="D957" s="184"/>
      <c r="F957" s="221"/>
      <c r="G957" s="225"/>
      <c r="H957" s="181"/>
    </row>
    <row r="958" spans="2:8" outlineLevel="1">
      <c r="B958" s="221"/>
      <c r="C958" s="225"/>
      <c r="D958" s="184"/>
      <c r="F958" s="221"/>
      <c r="G958" s="225"/>
      <c r="H958" s="181"/>
    </row>
    <row r="959" spans="2:8" outlineLevel="1">
      <c r="B959" s="221"/>
      <c r="C959" s="225"/>
      <c r="D959" s="184"/>
      <c r="F959" s="221"/>
      <c r="G959" s="225"/>
      <c r="H959" s="181"/>
    </row>
    <row r="960" spans="2:8" outlineLevel="1">
      <c r="B960" s="221"/>
      <c r="C960" s="225"/>
      <c r="D960" s="184"/>
      <c r="F960" s="221"/>
      <c r="G960" s="225"/>
      <c r="H960" s="181"/>
    </row>
    <row r="961" spans="2:8" outlineLevel="1">
      <c r="B961" s="221"/>
      <c r="C961" s="225"/>
      <c r="D961" s="184"/>
      <c r="F961" s="221"/>
      <c r="G961" s="225"/>
      <c r="H961" s="181"/>
    </row>
    <row r="962" spans="2:8" outlineLevel="1">
      <c r="B962" s="221"/>
      <c r="C962" s="225"/>
      <c r="D962" s="184"/>
      <c r="F962" s="221"/>
      <c r="G962" s="225"/>
      <c r="H962" s="181"/>
    </row>
    <row r="963" spans="2:8" outlineLevel="1">
      <c r="B963" s="221"/>
      <c r="C963" s="225"/>
      <c r="D963" s="184"/>
      <c r="F963" s="221"/>
      <c r="G963" s="225"/>
      <c r="H963" s="181"/>
    </row>
    <row r="964" spans="2:8" outlineLevel="1">
      <c r="B964" s="221"/>
      <c r="C964" s="225"/>
      <c r="D964" s="184"/>
      <c r="F964" s="221"/>
      <c r="G964" s="225"/>
      <c r="H964" s="181"/>
    </row>
    <row r="965" spans="2:8" outlineLevel="1">
      <c r="B965" s="221"/>
      <c r="C965" s="225"/>
      <c r="D965" s="184"/>
      <c r="F965" s="221"/>
      <c r="G965" s="225"/>
      <c r="H965" s="181"/>
    </row>
    <row r="966" spans="2:8" outlineLevel="1">
      <c r="B966" s="221"/>
      <c r="C966" s="225"/>
      <c r="D966" s="184"/>
      <c r="F966" s="221"/>
      <c r="G966" s="225"/>
      <c r="H966" s="181"/>
    </row>
    <row r="967" spans="2:8" outlineLevel="1">
      <c r="B967" s="221"/>
      <c r="C967" s="225"/>
      <c r="D967" s="184"/>
      <c r="F967" s="221"/>
      <c r="G967" s="225"/>
      <c r="H967" s="181"/>
    </row>
    <row r="968" spans="2:8" outlineLevel="1">
      <c r="B968" s="221"/>
      <c r="C968" s="225"/>
      <c r="D968" s="184"/>
      <c r="F968" s="221"/>
      <c r="G968" s="225"/>
      <c r="H968" s="181"/>
    </row>
    <row r="969" spans="2:8" outlineLevel="1">
      <c r="B969" s="221"/>
      <c r="C969" s="225"/>
      <c r="D969" s="184"/>
      <c r="F969" s="221"/>
      <c r="G969" s="225"/>
      <c r="H969" s="181"/>
    </row>
    <row r="970" spans="2:8" outlineLevel="1">
      <c r="B970" s="221"/>
      <c r="C970" s="225"/>
      <c r="D970" s="184"/>
      <c r="F970" s="221"/>
      <c r="G970" s="225"/>
      <c r="H970" s="181"/>
    </row>
    <row r="971" spans="2:8" outlineLevel="1">
      <c r="B971" s="221"/>
      <c r="C971" s="225"/>
      <c r="D971" s="184"/>
      <c r="F971" s="221"/>
      <c r="G971" s="225"/>
      <c r="H971" s="181"/>
    </row>
    <row r="972" spans="2:8" outlineLevel="1">
      <c r="B972" s="221"/>
      <c r="C972" s="225"/>
      <c r="D972" s="184"/>
      <c r="F972" s="221"/>
      <c r="G972" s="225"/>
      <c r="H972" s="181"/>
    </row>
    <row r="973" spans="2:8" outlineLevel="1">
      <c r="B973" s="221"/>
      <c r="C973" s="225"/>
      <c r="D973" s="184"/>
      <c r="F973" s="221"/>
      <c r="G973" s="225"/>
      <c r="H973" s="181"/>
    </row>
    <row r="974" spans="2:8" outlineLevel="1">
      <c r="B974" s="221"/>
      <c r="C974" s="225"/>
      <c r="D974" s="184"/>
      <c r="F974" s="221"/>
      <c r="G974" s="225"/>
      <c r="H974" s="181"/>
    </row>
    <row r="975" spans="2:8" outlineLevel="1">
      <c r="B975" s="221"/>
      <c r="C975" s="225"/>
      <c r="D975" s="184"/>
      <c r="F975" s="221"/>
      <c r="G975" s="225"/>
      <c r="H975" s="181"/>
    </row>
    <row r="976" spans="2:8" outlineLevel="1">
      <c r="B976" s="221"/>
      <c r="C976" s="225"/>
      <c r="D976" s="184"/>
      <c r="F976" s="221"/>
      <c r="G976" s="225"/>
      <c r="H976" s="181"/>
    </row>
    <row r="977" spans="2:11" outlineLevel="1">
      <c r="B977" s="221"/>
      <c r="C977" s="225"/>
      <c r="D977" s="184"/>
      <c r="F977" s="221"/>
      <c r="G977" s="225"/>
      <c r="H977" s="181"/>
    </row>
    <row r="978" spans="2:11" outlineLevel="1">
      <c r="B978" s="221"/>
      <c r="C978" s="225"/>
      <c r="D978" s="184"/>
      <c r="F978" s="221"/>
      <c r="G978" s="225"/>
      <c r="H978" s="181"/>
    </row>
    <row r="979" spans="2:11" outlineLevel="1">
      <c r="B979" s="221"/>
      <c r="C979" s="225"/>
      <c r="D979" s="184"/>
      <c r="F979" s="221"/>
      <c r="G979" s="225"/>
      <c r="H979" s="181"/>
    </row>
    <row r="980" spans="2:11" outlineLevel="1">
      <c r="B980" s="221"/>
      <c r="C980" s="225"/>
      <c r="D980" s="184"/>
      <c r="F980" s="221"/>
      <c r="G980" s="225"/>
      <c r="H980" s="181"/>
    </row>
    <row r="981" spans="2:11" outlineLevel="1">
      <c r="B981" s="221"/>
      <c r="C981" s="225"/>
      <c r="D981" s="184"/>
      <c r="F981" s="221"/>
      <c r="G981" s="225"/>
      <c r="H981" s="181"/>
    </row>
    <row r="982" spans="2:11" outlineLevel="1">
      <c r="B982" s="221"/>
      <c r="C982" s="225"/>
      <c r="D982" s="184"/>
      <c r="F982" s="221"/>
      <c r="G982" s="225"/>
      <c r="H982" s="181"/>
    </row>
    <row r="983" spans="2:11" outlineLevel="1">
      <c r="B983" s="221"/>
      <c r="C983" s="225"/>
      <c r="D983" s="184"/>
      <c r="F983" s="221"/>
      <c r="G983" s="225"/>
      <c r="H983" s="181"/>
    </row>
    <row r="984" spans="2:11" outlineLevel="1">
      <c r="B984" s="221"/>
      <c r="C984" s="225"/>
      <c r="D984" s="184"/>
      <c r="F984" s="221"/>
      <c r="G984" s="225"/>
      <c r="H984" s="181"/>
    </row>
    <row r="985" spans="2:11">
      <c r="B985" s="41"/>
      <c r="C985" s="41"/>
      <c r="D985" s="22"/>
      <c r="E985" s="22"/>
      <c r="F985" s="41"/>
      <c r="G985" s="41"/>
      <c r="H985" s="22"/>
      <c r="I985" s="22"/>
      <c r="J985" s="185"/>
      <c r="K985" s="22"/>
    </row>
    <row r="986" spans="2:11">
      <c r="B986" s="41"/>
      <c r="C986" s="41"/>
    </row>
  </sheetData>
  <sheetProtection algorithmName="SHA-512" hashValue="PPYN1ZVUfNiMEMx8y1dhG32sDkSCBA36J4sTSHSRE4X9P+p6X3dNxVG4KOi7kGJas5nfn4g9BgL2LLX039mu7g==" saltValue="kKoM/0JxmDOB4fyYYVGIoA==" spinCount="100000" sheet="1" selectLockedCells="1"/>
  <mergeCells count="2">
    <mergeCell ref="B16:G16"/>
    <mergeCell ref="B35:D35"/>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1" id="{5F665330-63E0-4AD1-A4CD-BEC755C18412}">
            <xm:f>Errors!$D$5&gt;0</xm:f>
            <x14:dxf>
              <font>
                <strike val="0"/>
                <color theme="1" tint="0.499984740745262"/>
              </font>
              <fill>
                <patternFill>
                  <bgColor theme="1" tint="0.499984740745262"/>
                </patternFill>
              </fill>
              <border>
                <left/>
                <right/>
                <top/>
                <bottom/>
                <vertical/>
                <horizontal/>
              </border>
            </x14:dxf>
          </x14:cfRule>
          <xm:sqref>A3:AZ1501</xm:sqref>
        </x14:conditionalFormatting>
        <x14:conditionalFormatting xmlns:xm="http://schemas.microsoft.com/office/excel/2006/main">
          <x14:cfRule type="expression" priority="2" stopIfTrue="1" id="{AE18A4C8-4CA9-49ED-8808-D358DF859918}">
            <xm:f>'Project Inputs'!$F$157="No"</xm:f>
            <x14:dxf>
              <font>
                <color theme="0" tint="-0.24994659260841701"/>
              </font>
              <fill>
                <patternFill patternType="solid">
                  <bgColor theme="0" tint="-0.24994659260841701"/>
                </patternFill>
              </fill>
              <border>
                <left/>
                <right/>
                <top/>
                <bottom/>
                <vertical/>
                <horizontal/>
              </border>
            </x14:dxf>
          </x14:cfRule>
          <xm:sqref>B25:D25 A26:D39 E36:G39 A40:G40 B43 A44:B53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1579E-336A-4633-B444-31AB3F0F6641}">
  <sheetPr>
    <tabColor theme="5"/>
  </sheetPr>
  <dimension ref="A1:AC619"/>
  <sheetViews>
    <sheetView showGridLines="0" zoomScaleNormal="100" workbookViewId="0"/>
  </sheetViews>
  <sheetFormatPr defaultRowHeight="14.4"/>
  <cols>
    <col min="1" max="1" width="5.44140625" customWidth="1"/>
    <col min="2" max="2" width="6.5546875" bestFit="1" customWidth="1"/>
    <col min="3" max="3" width="30.77734375" customWidth="1"/>
    <col min="4" max="4" width="8.44140625" bestFit="1" customWidth="1"/>
    <col min="5" max="5" width="5.5546875" customWidth="1"/>
    <col min="6" max="6" width="34.5546875" customWidth="1"/>
    <col min="7" max="7" width="20.5546875" customWidth="1"/>
    <col min="8" max="11" width="18.5546875" customWidth="1"/>
    <col min="12" max="12" width="20.44140625" bestFit="1" customWidth="1"/>
    <col min="13" max="13" width="31.21875" bestFit="1" customWidth="1"/>
    <col min="14" max="14" width="34.5546875" customWidth="1"/>
    <col min="15" max="17" width="18.5546875" customWidth="1"/>
    <col min="18" max="18" width="14.5546875" bestFit="1" customWidth="1"/>
    <col min="19" max="25" width="14.5546875" customWidth="1"/>
    <col min="26" max="26" width="11.44140625" bestFit="1" customWidth="1"/>
    <col min="31" max="31" width="10.5546875" customWidth="1"/>
  </cols>
  <sheetData>
    <row r="1" spans="1:29" ht="21">
      <c r="A1" s="12" t="s">
        <v>421</v>
      </c>
      <c r="B1" s="12"/>
      <c r="C1" s="11"/>
      <c r="D1" s="11"/>
      <c r="E1" s="11"/>
      <c r="G1" s="39" t="s">
        <v>422</v>
      </c>
      <c r="K1" s="44"/>
    </row>
    <row r="2" spans="1:29" ht="21">
      <c r="A2" s="12"/>
      <c r="B2" s="12" t="s">
        <v>423</v>
      </c>
      <c r="D2" s="11"/>
      <c r="E2" s="11"/>
      <c r="F2" s="1"/>
      <c r="K2" s="44"/>
    </row>
    <row r="3" spans="1:29" ht="50.1" customHeight="1">
      <c r="A3" s="11"/>
      <c r="B3" s="11"/>
      <c r="C3" s="133" t="str" cm="1">
        <f t="array" ref="C3:C10">_xlfn.UNIQUE(_xlfn._xlws.FILTER(E:E,E:E&lt;&gt;""))</f>
        <v>Summary: True v2 Points</v>
      </c>
      <c r="D3" s="133" t="str">
        <f t="shared" ref="D3:D10" si="0">IFERROR(ADDRESS(MATCH(C3,$E:$E,0),5),"No entry")</f>
        <v>$E$17</v>
      </c>
      <c r="E3" s="11"/>
      <c r="F3" s="34"/>
      <c r="K3" s="44"/>
    </row>
    <row r="4" spans="1:29" ht="50.1" customHeight="1">
      <c r="A4" s="11"/>
      <c r="B4" s="11"/>
      <c r="C4" s="133" t="str">
        <v>Summary: Waste Generation Certification Year</v>
      </c>
      <c r="D4" s="133" t="str">
        <f t="shared" si="0"/>
        <v>$E$101</v>
      </c>
      <c r="E4" s="11"/>
      <c r="F4" s="1"/>
      <c r="K4" s="44"/>
    </row>
    <row r="5" spans="1:29" ht="50.1" customHeight="1">
      <c r="A5" s="11"/>
      <c r="B5" s="11"/>
      <c r="C5" s="133" t="str">
        <v>Summary: Waste Generation Baseline Year</v>
      </c>
      <c r="D5" s="133" t="str">
        <f t="shared" si="0"/>
        <v>$E$141</v>
      </c>
      <c r="E5" s="11"/>
      <c r="K5" s="44"/>
    </row>
    <row r="6" spans="1:29" ht="50.1" customHeight="1">
      <c r="A6" s="11"/>
      <c r="B6" s="11"/>
      <c r="C6" s="133" t="str">
        <v>Summary: Waste Generation by Material Type and wastehandling method</v>
      </c>
      <c r="D6" s="133" t="str">
        <f t="shared" si="0"/>
        <v>$E$161</v>
      </c>
      <c r="E6" s="11"/>
      <c r="K6" s="44"/>
    </row>
    <row r="7" spans="1:29" ht="50.1" customHeight="1">
      <c r="C7" s="133" t="str">
        <v>Summary: Costs</v>
      </c>
      <c r="D7" s="133" t="str">
        <f t="shared" si="0"/>
        <v>$E$268</v>
      </c>
    </row>
    <row r="8" spans="1:29" ht="50.1" customHeight="1">
      <c r="C8" s="133" t="str">
        <v>Summary: Transportation</v>
      </c>
      <c r="D8" s="133" t="str">
        <f t="shared" si="0"/>
        <v>$E$392</v>
      </c>
    </row>
    <row r="9" spans="1:29" ht="50.1" customHeight="1">
      <c r="C9" s="133" t="str">
        <v>Summary: Purchased Material</v>
      </c>
      <c r="D9" s="133" t="str">
        <f t="shared" si="0"/>
        <v>$E$407</v>
      </c>
    </row>
    <row r="10" spans="1:29" ht="50.1" customHeight="1">
      <c r="C10" s="133" t="str">
        <v>Summary: Waste Generated by material type and handling method</v>
      </c>
      <c r="D10" s="133" t="str">
        <f t="shared" si="0"/>
        <v>$E$516</v>
      </c>
    </row>
    <row r="11" spans="1:29" ht="50.1" customHeight="1">
      <c r="C11" s="133"/>
      <c r="D11" s="133"/>
    </row>
    <row r="12" spans="1:29" ht="21">
      <c r="C12" s="111"/>
      <c r="D12" s="31"/>
    </row>
    <row r="13" spans="1:29" ht="21">
      <c r="C13" s="111"/>
      <c r="D13" s="31"/>
    </row>
    <row r="14" spans="1:29" ht="21">
      <c r="C14" s="111"/>
      <c r="D14" s="31"/>
    </row>
    <row r="15" spans="1:29" ht="21">
      <c r="C15" s="111"/>
      <c r="D15" s="31"/>
    </row>
    <row r="16" spans="1:29" ht="15" thickBo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row>
    <row r="17" spans="5:9">
      <c r="E17" s="1" t="s">
        <v>424</v>
      </c>
    </row>
    <row r="19" spans="5:9">
      <c r="F19" s="655" t="s">
        <v>425</v>
      </c>
      <c r="G19" s="655"/>
      <c r="H19" s="655"/>
      <c r="I19" s="655"/>
    </row>
    <row r="20" spans="5:9" ht="15" thickBot="1"/>
    <row r="21" spans="5:9" ht="15" thickBot="1">
      <c r="F21" s="656" t="s">
        <v>426</v>
      </c>
      <c r="G21" s="656"/>
      <c r="H21" s="76">
        <f ca="1">IFERROR(IF(Errors!D5&gt;0,0,SUM('Project Inputs'!G36,'Project Inputs'!G48,'Project Inputs'!G64,'Project Inputs'!G92,'Project Inputs'!G125,'Project Inputs'!G144,'Project Inputs'!G158)),0)</f>
        <v>0</v>
      </c>
    </row>
    <row r="22" spans="5:9" ht="15" thickBot="1">
      <c r="F22" s="656" t="s">
        <v>427</v>
      </c>
      <c r="G22" s="656"/>
      <c r="H22" s="76" t="str" cm="1">
        <f t="array" aca="1" ref="H22" ca="1">IF(Errors!D5&gt;0,"See Error Tab",_xlfn.LET(_xlpm.x,'Data output'!H21,_xlfn.IFS(_xlpm.x&gt;=Lookups!I98,Lookups!H98,_xlpm.x&gt;=Lookups!I97,Lookups!H97,_xlpm.x&gt;=Lookups!I96,Lookups!H96,_xlpm.x&gt;=Lookups!I95,Lookups!H95,_xlpm.x&lt;Lookups!$I$95,"Not certified")))</f>
        <v>Not certified</v>
      </c>
    </row>
    <row r="27" spans="5:9">
      <c r="F27" s="655" t="s">
        <v>428</v>
      </c>
      <c r="G27" s="655"/>
      <c r="H27" s="655"/>
      <c r="I27" s="655"/>
    </row>
    <row r="28" spans="5:9" ht="15" thickBot="1"/>
    <row r="29" spans="5:9" ht="15" thickBot="1">
      <c r="F29" s="656" t="s">
        <v>429</v>
      </c>
      <c r="G29" s="656"/>
      <c r="H29" s="76">
        <f>COUNTIF('Diversion and Disposal'!$CK$14:$CK$113,"Yes")</f>
        <v>0</v>
      </c>
    </row>
    <row r="30" spans="5:9" ht="15" thickBot="1">
      <c r="F30" s="656" t="s">
        <v>430</v>
      </c>
      <c r="G30" s="656"/>
      <c r="H30" s="76">
        <f>IF(H29&gt;0,1,0)</f>
        <v>0</v>
      </c>
    </row>
    <row r="33" spans="6:9">
      <c r="F33" s="655" t="s">
        <v>431</v>
      </c>
      <c r="G33" s="655"/>
      <c r="H33" s="655"/>
      <c r="I33" s="655"/>
    </row>
    <row r="34" spans="6:9" ht="15" thickBot="1"/>
    <row r="35" spans="6:9" ht="15" thickBot="1">
      <c r="F35" s="653" t="s">
        <v>432</v>
      </c>
      <c r="G35" s="653"/>
      <c r="H35" s="114">
        <f>G284</f>
        <v>0</v>
      </c>
    </row>
    <row r="36" spans="6:9" ht="15" thickBot="1">
      <c r="F36" s="653" t="s">
        <v>433</v>
      </c>
      <c r="G36" s="653"/>
      <c r="H36" s="114">
        <f>SUM(L272:L275)</f>
        <v>0</v>
      </c>
      <c r="I36" s="97"/>
    </row>
    <row r="37" spans="6:9" ht="15" thickBot="1">
      <c r="F37" s="653" t="s">
        <v>434</v>
      </c>
      <c r="G37" s="653"/>
      <c r="H37" s="78">
        <f>MAX(COUNTIF(Financial!C27:N27,"&lt;&gt;"&amp;0),COUNTIF(Financial!C72:N72,"&lt;&gt;"&amp;0))</f>
        <v>0</v>
      </c>
      <c r="I37" s="97"/>
    </row>
    <row r="38" spans="6:9" ht="15" thickBot="1">
      <c r="F38" s="653" t="s">
        <v>430</v>
      </c>
      <c r="G38" s="653"/>
      <c r="H38" s="115">
        <f>IF(AND('Project Inputs'!F52="Yes",
'Data output'!H37&gt;=3,
OR('Data output'!H35&lt;&gt;0,'Data output'!H36&lt;&gt;0)),1,0)</f>
        <v>0</v>
      </c>
    </row>
    <row r="41" spans="6:9">
      <c r="F41" s="655" t="s">
        <v>435</v>
      </c>
      <c r="G41" s="655"/>
      <c r="H41" s="655"/>
      <c r="I41" s="655"/>
    </row>
    <row r="42" spans="6:9" ht="15" thickBot="1"/>
    <row r="43" spans="6:9" ht="15" thickBot="1">
      <c r="G43" s="16" t="s">
        <v>436</v>
      </c>
      <c r="H43" s="76">
        <f>'Audit Scenarios'!B29</f>
        <v>0</v>
      </c>
    </row>
    <row r="44" spans="6:9" ht="15" thickBot="1">
      <c r="G44" s="16" t="s">
        <v>437</v>
      </c>
      <c r="H44" s="121">
        <f>SUM('Audit Scenarios'!E22:E26)</f>
        <v>0</v>
      </c>
    </row>
    <row r="45" spans="6:9" ht="15" thickBot="1">
      <c r="G45" s="16" t="s">
        <v>430</v>
      </c>
      <c r="H45" s="76">
        <f>IF(AND(H43&gt;=5,H44&gt;0),2,0)</f>
        <v>0</v>
      </c>
    </row>
    <row r="46" spans="6:9">
      <c r="F46" s="657"/>
      <c r="G46" s="657"/>
      <c r="H46" s="91"/>
    </row>
    <row r="53" spans="3:9">
      <c r="C53" s="34"/>
      <c r="F53" s="655" t="s">
        <v>438</v>
      </c>
      <c r="G53" s="655"/>
      <c r="H53" s="655"/>
      <c r="I53" s="655"/>
    </row>
    <row r="54" spans="3:9" ht="10.35" customHeight="1" thickBot="1">
      <c r="F54" s="57"/>
      <c r="G54" s="57"/>
      <c r="H54" s="57"/>
    </row>
    <row r="55" spans="3:9" ht="30" customHeight="1" thickBot="1">
      <c r="F55" s="658" t="s">
        <v>439</v>
      </c>
      <c r="G55" s="659"/>
      <c r="H55" s="74">
        <f>IFERROR(G118,0)</f>
        <v>0</v>
      </c>
    </row>
    <row r="56" spans="3:9" ht="30" customHeight="1" thickBot="1">
      <c r="F56" s="658" t="s">
        <v>430</v>
      </c>
      <c r="G56" s="659"/>
      <c r="H56" s="75">
        <f>_xlfn.LET(_xlpm.x,H55,
IF(_xlpm.x&gt;=INDEX(ls_PIc1,1),1,0)+                                                                                                                                                                                                                                                      IF(_xlpm.x&gt;=INDEX(ls_PIc1,2),1,0)+                                                                                                                                                                                                                                                               IF(_xlpm.x&gt;=INDEX(ls_PIc1,3),1,0)+                                                                                                                                                                                                                                                               IF(_xlpm.x&gt;=INDEX(ls_PIc1,4),1,0)+                                                                                                                                                                                                                                                               IF(_xlpm.x&gt;=INDEX(ls_PIc1,5),1,0)
)</f>
        <v>0</v>
      </c>
    </row>
    <row r="57" spans="3:9" ht="15" customHeight="1">
      <c r="F57" s="57"/>
      <c r="G57" s="57"/>
      <c r="H57" s="57"/>
    </row>
    <row r="58" spans="3:9" ht="15" customHeight="1">
      <c r="F58" s="57"/>
      <c r="G58" s="57"/>
      <c r="H58" s="57"/>
    </row>
    <row r="59" spans="3:9">
      <c r="C59" s="34"/>
      <c r="F59" s="655" t="s">
        <v>440</v>
      </c>
      <c r="G59" s="655"/>
      <c r="H59" s="655"/>
      <c r="I59" s="655"/>
    </row>
    <row r="60" spans="3:9" ht="10.35" customHeight="1" thickBot="1">
      <c r="F60" s="57"/>
      <c r="G60" s="57"/>
      <c r="H60" s="57"/>
    </row>
    <row r="61" spans="3:9" ht="30" customHeight="1" thickBot="1">
      <c r="F61" s="658" t="s">
        <v>234</v>
      </c>
      <c r="G61" s="659"/>
      <c r="H61" s="74">
        <f>IFERROR(G106/G117,0)</f>
        <v>0</v>
      </c>
    </row>
    <row r="62" spans="3:9" ht="30" customHeight="1" thickBot="1">
      <c r="F62" s="658" t="s">
        <v>236</v>
      </c>
      <c r="G62" s="659"/>
      <c r="H62" s="74">
        <f>IFERROR(G107/G117,0)</f>
        <v>0</v>
      </c>
    </row>
    <row r="63" spans="3:9" ht="30" customHeight="1" thickBot="1">
      <c r="F63" s="653" t="s">
        <v>441</v>
      </c>
      <c r="G63" s="654"/>
      <c r="H63" s="74">
        <f>SUM(H61:H62)</f>
        <v>0</v>
      </c>
    </row>
    <row r="64" spans="3:9" ht="30" customHeight="1" thickBot="1">
      <c r="F64" s="658" t="s">
        <v>430</v>
      </c>
      <c r="G64" s="659"/>
      <c r="H64" s="76">
        <f>_xlfn.LET(_xlpm.x,H63,
IF(_xlpm.x&gt;=INDEX(ls_PIc2,1),1,0)+                                                                                                                                                                                                                                                      IF(_xlpm.x&gt;=INDEX(ls_PIc2,2),1,0)+                                                                                                                                                                                                                                                               IF(_xlpm.x&gt;=INDEX(ls_PIc2,3),1,0)+                                                                                                                                                                                                                                                               IF(_xlpm.x&gt;=INDEX(ls_PIc2,4),1,0)+                                                                                                                                                                                                                                                               IF(_xlpm.x&gt;=INDEX(ls_PIc2,5),1,0)
)</f>
        <v>0</v>
      </c>
    </row>
    <row r="65" spans="3:9" ht="15" customHeight="1">
      <c r="F65" s="57"/>
      <c r="G65" s="57"/>
      <c r="H65" s="57"/>
    </row>
    <row r="66" spans="3:9" ht="15" customHeight="1">
      <c r="F66" s="57"/>
      <c r="G66" s="57"/>
      <c r="H66" s="57"/>
    </row>
    <row r="67" spans="3:9">
      <c r="C67" s="34"/>
      <c r="F67" s="655" t="s">
        <v>442</v>
      </c>
      <c r="G67" s="655"/>
      <c r="H67" s="655"/>
      <c r="I67" s="655"/>
    </row>
    <row r="68" spans="3:9" ht="10.35" customHeight="1" thickBot="1">
      <c r="F68" s="57"/>
      <c r="G68" s="57"/>
      <c r="H68" s="57"/>
    </row>
    <row r="69" spans="3:9" ht="30" customHeight="1" thickBot="1">
      <c r="F69" s="660" t="s">
        <v>443</v>
      </c>
      <c r="G69" s="661"/>
      <c r="H69" s="76"/>
      <c r="I69" t="s">
        <v>444</v>
      </c>
    </row>
    <row r="70" spans="3:9" ht="30" customHeight="1" thickBot="1">
      <c r="F70" s="653" t="s">
        <v>445</v>
      </c>
      <c r="G70" s="654"/>
      <c r="H70" s="76">
        <f>COUNTIF('Purchased Materials'!C15:C114,"*")</f>
        <v>0</v>
      </c>
    </row>
    <row r="71" spans="3:9" ht="30" customHeight="1" thickBot="1">
      <c r="F71" s="660" t="s">
        <v>446</v>
      </c>
      <c r="G71" s="661"/>
      <c r="H71" s="77"/>
      <c r="I71" t="s">
        <v>444</v>
      </c>
    </row>
    <row r="72" spans="3:9" ht="30" customHeight="1" thickBot="1">
      <c r="F72" s="653" t="s">
        <v>447</v>
      </c>
      <c r="G72" s="654"/>
      <c r="H72" s="77">
        <f>CONVERT(SUM('Purchased Materials'!P15:P114),"kg","Mg")</f>
        <v>0</v>
      </c>
      <c r="I72" s="116"/>
    </row>
    <row r="73" spans="3:9" ht="30" customHeight="1" thickBot="1">
      <c r="F73" s="658" t="s">
        <v>430</v>
      </c>
      <c r="G73" s="659"/>
      <c r="H73" s="78">
        <f>IF(AND(H70&gt;=20),1,0)
+IF(AND(H72&lt;&gt;0),1,0)</f>
        <v>0</v>
      </c>
    </row>
    <row r="76" spans="3:9">
      <c r="C76" s="34"/>
      <c r="F76" s="655" t="s">
        <v>448</v>
      </c>
      <c r="G76" s="655"/>
      <c r="H76" s="655"/>
      <c r="I76" s="655"/>
    </row>
    <row r="77" spans="3:9" ht="10.35" customHeight="1" thickBot="1">
      <c r="F77" s="57"/>
      <c r="G77" s="57"/>
      <c r="H77" s="57"/>
    </row>
    <row r="78" spans="3:9" ht="30" customHeight="1" thickBot="1">
      <c r="F78" s="653" t="s">
        <v>449</v>
      </c>
      <c r="G78" s="654"/>
      <c r="H78" s="76" t="str">
        <f>IF('Data output'!G405&gt;0,"Yes","No")</f>
        <v>No</v>
      </c>
    </row>
    <row r="79" spans="3:9" ht="30" customHeight="1" thickBot="1">
      <c r="F79" s="653" t="s">
        <v>450</v>
      </c>
      <c r="G79" s="654"/>
      <c r="H79" s="77">
        <f>CONVERT('Data output'!H405,"kg","Mg")</f>
        <v>0</v>
      </c>
    </row>
    <row r="80" spans="3:9" ht="30" customHeight="1" thickBot="1">
      <c r="F80" s="653" t="s">
        <v>430</v>
      </c>
      <c r="G80" s="654"/>
      <c r="H80" s="88">
        <f>_xlfn.LET(_xlpm.x,H78,_xlpm.y,H79,IF(AND(_xlpm.x="yes",ISNUMBER(_xlpm.y),_xlpm.y&lt;&gt;0),1,0))</f>
        <v>0</v>
      </c>
    </row>
    <row r="81" spans="3:9">
      <c r="F81" s="98"/>
      <c r="G81" s="98"/>
      <c r="H81" s="92"/>
    </row>
    <row r="82" spans="3:9">
      <c r="H82" s="44"/>
    </row>
    <row r="83" spans="3:9">
      <c r="C83" s="34"/>
      <c r="F83" s="655" t="s">
        <v>451</v>
      </c>
      <c r="G83" s="655"/>
      <c r="H83" s="655"/>
      <c r="I83" s="655"/>
    </row>
    <row r="84" spans="3:9" ht="15" thickBot="1">
      <c r="F84" s="57"/>
      <c r="G84" s="57"/>
      <c r="H84" s="57"/>
    </row>
    <row r="85" spans="3:9" ht="15" thickBot="1">
      <c r="F85" s="653" t="s">
        <v>452</v>
      </c>
      <c r="G85" s="654"/>
      <c r="H85" s="76" t="str">
        <f>IF('Data output'!G284&lt;&gt;0,"Yes","No")</f>
        <v>No</v>
      </c>
    </row>
    <row r="86" spans="3:9" ht="15" customHeight="1" thickBot="1">
      <c r="F86" s="653" t="s">
        <v>453</v>
      </c>
      <c r="G86" s="654"/>
      <c r="H86" s="77" t="str">
        <f>IF('Purchased Materials'!P115&lt;&gt;0,"Yes","No")</f>
        <v>No</v>
      </c>
    </row>
    <row r="87" spans="3:9" ht="15" customHeight="1" thickBot="1">
      <c r="F87" s="653" t="s">
        <v>454</v>
      </c>
      <c r="G87" s="654"/>
      <c r="H87" s="88" t="str">
        <f>IF(AND('Diversion and Disposal'!G268="Yes",'Diversion and Disposal'!G269="Yes"),"Yes","No")</f>
        <v>No</v>
      </c>
    </row>
    <row r="88" spans="3:9" ht="15" customHeight="1" thickBot="1">
      <c r="F88" s="107"/>
    </row>
    <row r="89" spans="3:9" ht="15" customHeight="1" thickBot="1">
      <c r="F89" s="653" t="s">
        <v>430</v>
      </c>
      <c r="G89" s="654"/>
      <c r="H89" s="88">
        <f>IF(AND(H85="Yes",H86="Yes"),1,0)+IF(H87="Yes",1,0)</f>
        <v>0</v>
      </c>
    </row>
    <row r="90" spans="3:9" ht="15" customHeight="1"/>
    <row r="91" spans="3:9" ht="15" customHeight="1"/>
    <row r="92" spans="3:9" ht="15" customHeight="1">
      <c r="C92" s="34"/>
      <c r="F92" s="655" t="s">
        <v>455</v>
      </c>
      <c r="G92" s="655"/>
      <c r="H92" s="655"/>
      <c r="I92" s="655"/>
    </row>
    <row r="93" spans="3:9" ht="15" customHeight="1" thickBot="1"/>
    <row r="94" spans="3:9" ht="15" thickBot="1">
      <c r="F94" s="653" t="s">
        <v>456</v>
      </c>
      <c r="G94" s="654"/>
      <c r="H94" s="76">
        <f>COUNTIF('Diversion and Disposal'!$H$14:$S$14,"&lt;&gt;"&amp;0)</f>
        <v>12</v>
      </c>
    </row>
    <row r="95" spans="3:9" ht="15" thickBot="1">
      <c r="F95" s="653" t="s">
        <v>457</v>
      </c>
      <c r="G95" s="654"/>
      <c r="H95" s="94">
        <f>IFERROR(CONVERT(G119,"kg","Mg")/'Project Inputs'!$D$22,0)</f>
        <v>0</v>
      </c>
      <c r="I95" s="97" t="str">
        <f>_xlfn.CONCAT("ton per ",'Project Inputs'!D21)</f>
        <v xml:space="preserve">ton per </v>
      </c>
    </row>
    <row r="96" spans="3:9" ht="15" thickBot="1">
      <c r="F96" s="653" t="s">
        <v>458</v>
      </c>
      <c r="G96" s="654"/>
      <c r="H96" s="77">
        <f>IFERROR(CONVERT(G158,"kg","Mg"),0)</f>
        <v>0</v>
      </c>
      <c r="I96" s="97" t="str">
        <f>_xlfn.CONCAT("ton per ",'Project Inputs'!D21)</f>
        <v xml:space="preserve">ton per </v>
      </c>
    </row>
    <row r="97" spans="1:21" ht="15" thickBot="1">
      <c r="F97" s="653" t="s">
        <v>459</v>
      </c>
      <c r="G97" s="654"/>
      <c r="H97" s="95">
        <f>IFERROR(1-H95/H96,0)</f>
        <v>0</v>
      </c>
    </row>
    <row r="98" spans="1:21" ht="15" thickBot="1">
      <c r="F98" s="653" t="s">
        <v>430</v>
      </c>
      <c r="G98" s="654"/>
      <c r="H98" s="76">
        <f>_xlfn.LET(_xlpm.x,H97,IF(_xlpm.x&gt;=Lookups!H85,1,0)+IF(_xlpm.x&gt;=Lookups!H86,1,0)+IF(_xlpm.x&gt;=Lookups!H87,1,0)+IF(_xlpm.x&gt;=Lookups!H88,1,0)+IF(_xlpm.x&gt;=Lookups!H89,1,0))</f>
        <v>0</v>
      </c>
    </row>
    <row r="100" spans="1:21">
      <c r="A100" s="18"/>
      <c r="B100" s="18"/>
      <c r="C100" s="18"/>
      <c r="D100" s="18"/>
      <c r="E100" s="18"/>
      <c r="F100" s="19"/>
      <c r="G100" s="20"/>
      <c r="H100" s="18"/>
      <c r="I100" s="18"/>
      <c r="J100" s="18"/>
      <c r="K100" s="18"/>
      <c r="L100" s="18"/>
      <c r="M100" s="18"/>
      <c r="N100" s="18"/>
      <c r="O100" s="18"/>
      <c r="P100" s="18"/>
      <c r="Q100" s="18"/>
      <c r="R100" s="18"/>
      <c r="S100" s="18"/>
      <c r="T100" s="18"/>
      <c r="U100" s="18"/>
    </row>
    <row r="101" spans="1:21">
      <c r="E101" s="1" t="s">
        <v>348</v>
      </c>
    </row>
    <row r="102" spans="1:21">
      <c r="E102" s="1"/>
    </row>
    <row r="103" spans="1:21">
      <c r="E103" s="1"/>
    </row>
    <row r="104" spans="1:21">
      <c r="E104" s="1"/>
      <c r="F104" s="1" t="s">
        <v>460</v>
      </c>
    </row>
    <row r="105" spans="1:21">
      <c r="C105" s="39"/>
      <c r="F105" s="101" t="s">
        <v>349</v>
      </c>
      <c r="G105" s="7" t="s">
        <v>227</v>
      </c>
      <c r="H105" s="7" t="s">
        <v>461</v>
      </c>
      <c r="I105" s="7" t="s">
        <v>352</v>
      </c>
      <c r="J105" s="7" t="s">
        <v>462</v>
      </c>
      <c r="K105" s="7" t="s">
        <v>463</v>
      </c>
    </row>
    <row r="106" spans="1:21">
      <c r="F106" s="45" t="str" cm="1">
        <f t="array" ref="F106:F113">ls_WHM</f>
        <v>Reduce</v>
      </c>
      <c r="G106" s="63">
        <f>SUMIF('Diversion and Disposal'!$BG$14:$BG$113,F106,'Diversion and Disposal'!$BT$14:$BT$113)</f>
        <v>0</v>
      </c>
      <c r="H106" s="63">
        <f>SUMIF('Diversion and Disposal'!$BG$14:$BG$113,F106,'Diversion and Disposal'!$CI$14:$CI$113)</f>
        <v>0</v>
      </c>
      <c r="I106" s="180">
        <f>'Data output'!G272</f>
        <v>0</v>
      </c>
      <c r="J106" s="181">
        <f>IFERROR(SUMIF(Financial!$B$37:$B$72,F106,Financial!$O$37:$O$72),"")</f>
        <v>0</v>
      </c>
      <c r="K106" s="182">
        <f>J106-I106</f>
        <v>0</v>
      </c>
    </row>
    <row r="107" spans="1:21">
      <c r="F107" s="45" t="str">
        <v>Reuse</v>
      </c>
      <c r="G107" s="63">
        <f>SUMIF('Diversion and Disposal'!$BG$14:$BG$113,F107,'Diversion and Disposal'!$BT$14:$BT$113)</f>
        <v>0</v>
      </c>
      <c r="H107" s="63">
        <f>SUMIF('Diversion and Disposal'!$BG$14:$BG$113,F107,'Diversion and Disposal'!$CI$14:$CI$113)</f>
        <v>0</v>
      </c>
      <c r="I107" s="180">
        <f>'Data output'!G273</f>
        <v>0</v>
      </c>
      <c r="J107" s="181">
        <f>IFERROR(SUMIF(Financial!$B$37:$B$72,F107,Financial!$O$37:$O$72),"")</f>
        <v>0</v>
      </c>
      <c r="K107" s="182">
        <f t="shared" ref="K107:K113" si="1">J107-I107</f>
        <v>0</v>
      </c>
    </row>
    <row r="108" spans="1:21">
      <c r="F108" s="45" t="str">
        <v>Recycle</v>
      </c>
      <c r="G108" s="63">
        <f>SUMIF('Diversion and Disposal'!$BG$14:$BG$113,F108,'Diversion and Disposal'!$BT$14:$BT$113)</f>
        <v>0</v>
      </c>
      <c r="H108" s="63">
        <f>SUMIF('Diversion and Disposal'!$BG$14:$BG$113,F108,'Diversion and Disposal'!$CI$14:$CI$113)</f>
        <v>0</v>
      </c>
      <c r="I108" s="180">
        <f>'Data output'!G274</f>
        <v>0</v>
      </c>
      <c r="J108" s="181">
        <f>IFERROR(SUMIF(Financial!$B$37:$B$72,F108,Financial!$O$37:$O$72),"")</f>
        <v>0</v>
      </c>
      <c r="K108" s="182">
        <f t="shared" si="1"/>
        <v>0</v>
      </c>
    </row>
    <row r="109" spans="1:21">
      <c r="F109" s="45" t="str">
        <v>Composting</v>
      </c>
      <c r="G109" s="63">
        <f>SUMIF('Diversion and Disposal'!$BG$14:$BG$113,F109,'Diversion and Disposal'!$BT$14:$BT$113)</f>
        <v>0</v>
      </c>
      <c r="H109" s="63">
        <f>SUMIF('Diversion and Disposal'!$BG$14:$BG$113,F109,'Diversion and Disposal'!$CI$14:$CI$113)</f>
        <v>0</v>
      </c>
      <c r="I109" s="180">
        <f>'Data output'!G275</f>
        <v>0</v>
      </c>
      <c r="J109" s="181">
        <f>IFERROR(SUMIF(Financial!$B$37:$B$72,F109,Financial!$O$37:$O$72),"")</f>
        <v>0</v>
      </c>
      <c r="K109" s="181">
        <f t="shared" si="1"/>
        <v>0</v>
      </c>
    </row>
    <row r="110" spans="1:21">
      <c r="F110" s="45" t="str">
        <v>Anaerobic Digestion</v>
      </c>
      <c r="G110" s="63">
        <f>SUMIF('Diversion and Disposal'!$BG$14:$BG$113,F110,'Diversion and Disposal'!$BT$14:$BT$113)</f>
        <v>0</v>
      </c>
      <c r="H110" s="63">
        <f>SUMIF('Diversion and Disposal'!$BG$14:$BG$113,F110,'Diversion and Disposal'!$CI$14:$CI$113)</f>
        <v>0</v>
      </c>
      <c r="I110" s="180">
        <f>'Data output'!G276</f>
        <v>0</v>
      </c>
      <c r="J110" s="181">
        <f>IFERROR(SUMIF(Financial!$B$37:$B$72,F110,Financial!$O$37:$O$72),"")</f>
        <v>0</v>
      </c>
      <c r="K110" s="181">
        <f t="shared" si="1"/>
        <v>0</v>
      </c>
    </row>
    <row r="111" spans="1:21">
      <c r="F111" s="45" t="str">
        <v>Landfill</v>
      </c>
      <c r="G111" s="63">
        <f>SUMIF('Diversion and Disposal'!$BG$14:$BG$113,F111,'Diversion and Disposal'!$BT$14:$BT$113)</f>
        <v>0</v>
      </c>
      <c r="H111" s="63">
        <f>SUMIF('Diversion and Disposal'!$BG$14:$BG$113,F111,'Diversion and Disposal'!$CI$14:$CI$113)</f>
        <v>0</v>
      </c>
      <c r="I111" s="180">
        <f>'Data output'!G277</f>
        <v>0</v>
      </c>
      <c r="J111" s="181">
        <f>IFERROR(SUMIF(Financial!$B$37:$B$72,F111,Financial!$O$37:$O$72),"")</f>
        <v>0</v>
      </c>
      <c r="K111" s="181">
        <f t="shared" si="1"/>
        <v>0</v>
      </c>
    </row>
    <row r="112" spans="1:21">
      <c r="F112" s="45" t="str">
        <v>Waste-to-Energy</v>
      </c>
      <c r="G112" s="63">
        <f>SUMIF('Diversion and Disposal'!$BG$14:$BG$113,F112,'Diversion and Disposal'!$BT$14:$BT$113)</f>
        <v>0</v>
      </c>
      <c r="H112" s="63">
        <f>SUMIF('Diversion and Disposal'!$BG$14:$BG$113,F112,'Diversion and Disposal'!$CI$14:$CI$113)</f>
        <v>0</v>
      </c>
      <c r="I112" s="180">
        <f>'Data output'!G278</f>
        <v>0</v>
      </c>
      <c r="J112" s="181">
        <f>IFERROR(SUMIF(Financial!$B$37:$B$72,F112,Financial!$O$37:$O$72),"")</f>
        <v>0</v>
      </c>
      <c r="K112" s="181">
        <f t="shared" si="1"/>
        <v>0</v>
      </c>
    </row>
    <row r="113" spans="3:16">
      <c r="F113" s="45" t="str">
        <v>Incineration</v>
      </c>
      <c r="G113" s="63">
        <f>SUMIF('Diversion and Disposal'!$BG$14:$BG$113,F113,'Diversion and Disposal'!$BT$14:$BT$113)</f>
        <v>0</v>
      </c>
      <c r="H113" s="63">
        <f>SUMIF('Diversion and Disposal'!$BG$14:$BG$113,F113,'Diversion and Disposal'!$CI$14:$CI$113)</f>
        <v>0</v>
      </c>
      <c r="I113" s="180">
        <f>'Data output'!G279</f>
        <v>0</v>
      </c>
      <c r="J113" s="181">
        <f>IFERROR(SUMIF(Financial!$B$37:$B$72,F113,Financial!$O$37:$O$72),"")</f>
        <v>0</v>
      </c>
      <c r="K113" s="181">
        <f t="shared" si="1"/>
        <v>0</v>
      </c>
    </row>
    <row r="114" spans="3:16">
      <c r="F114" s="647" t="s">
        <v>464</v>
      </c>
      <c r="G114" s="648"/>
      <c r="H114" s="648"/>
      <c r="I114" s="648"/>
      <c r="J114" s="648"/>
      <c r="K114" s="649"/>
    </row>
    <row r="115" spans="3:16">
      <c r="F115" s="64" t="s">
        <v>465</v>
      </c>
      <c r="G115" s="65">
        <f>SUM(G106:G110)</f>
        <v>0</v>
      </c>
      <c r="H115" s="100">
        <f t="shared" ref="H115" si="2">SUM(H106:H110)</f>
        <v>0</v>
      </c>
      <c r="I115" s="82">
        <f>SUM(I106:I110)</f>
        <v>0</v>
      </c>
      <c r="J115" s="82">
        <f t="shared" ref="J115:K115" si="3">SUM(J106:J110)</f>
        <v>0</v>
      </c>
      <c r="K115" s="82">
        <f t="shared" si="3"/>
        <v>0</v>
      </c>
      <c r="P115" s="1"/>
    </row>
    <row r="116" spans="3:16">
      <c r="F116" s="64" t="s">
        <v>466</v>
      </c>
      <c r="G116" s="65">
        <f>SUM(G111:G113)</f>
        <v>0</v>
      </c>
      <c r="H116" s="100">
        <f t="shared" ref="H116" si="4">SUM(H111:H113)</f>
        <v>0</v>
      </c>
      <c r="I116" s="82">
        <f>SUM(I111:I113)</f>
        <v>0</v>
      </c>
      <c r="J116" s="82">
        <f t="shared" ref="J116:K116" si="5">SUM(J111:J113)</f>
        <v>0</v>
      </c>
      <c r="K116" s="82">
        <f t="shared" si="5"/>
        <v>0</v>
      </c>
    </row>
    <row r="117" spans="3:16">
      <c r="F117" s="64" t="s">
        <v>467</v>
      </c>
      <c r="G117" s="65">
        <f>SUM(G106:G113)</f>
        <v>0</v>
      </c>
      <c r="H117" s="100">
        <f>SUM(H106:H113)</f>
        <v>0</v>
      </c>
      <c r="I117" s="82">
        <f>SUM(I115:I116)</f>
        <v>0</v>
      </c>
      <c r="J117" s="82">
        <f t="shared" ref="J117:K117" si="6">SUM(J115:J116)</f>
        <v>0</v>
      </c>
      <c r="K117" s="82">
        <f t="shared" si="6"/>
        <v>0</v>
      </c>
    </row>
    <row r="118" spans="3:16">
      <c r="F118" s="64" t="s">
        <v>439</v>
      </c>
      <c r="G118" s="66">
        <f>IFERROR(G115/G117,0)</f>
        <v>0</v>
      </c>
      <c r="H118" s="67">
        <f>IFERROR(H115/H117,0)</f>
        <v>0</v>
      </c>
      <c r="I118" s="82">
        <f>'Data output'!G283</f>
        <v>0</v>
      </c>
      <c r="J118" s="82">
        <f>IFERROR('Data output'!H283,0)</f>
        <v>0</v>
      </c>
      <c r="K118" s="82">
        <f>IFERROR('Data output'!I283,0)</f>
        <v>0</v>
      </c>
    </row>
    <row r="119" spans="3:16">
      <c r="F119" s="64" t="s">
        <v>468</v>
      </c>
      <c r="G119" s="86">
        <f>SUM(G107:G113)</f>
        <v>0</v>
      </c>
      <c r="H119" s="3">
        <f>SUM(H107:H113)</f>
        <v>0</v>
      </c>
      <c r="I119" s="82">
        <f>SUM(I107:I113)</f>
        <v>0</v>
      </c>
      <c r="J119" s="82">
        <f t="shared" ref="J119:K119" si="7">SUM(J107:J113)</f>
        <v>0</v>
      </c>
      <c r="K119" s="82">
        <f t="shared" si="7"/>
        <v>0</v>
      </c>
    </row>
    <row r="120" spans="3:16">
      <c r="G120" s="22"/>
    </row>
    <row r="121" spans="3:16">
      <c r="G121" s="22"/>
    </row>
    <row r="122" spans="3:16">
      <c r="F122" s="1" t="s">
        <v>469</v>
      </c>
    </row>
    <row r="123" spans="3:16" ht="28.8">
      <c r="C123" s="39"/>
      <c r="F123" s="101" t="s">
        <v>349</v>
      </c>
      <c r="G123" s="7" t="s">
        <v>470</v>
      </c>
      <c r="H123" s="7" t="s">
        <v>471</v>
      </c>
    </row>
    <row r="124" spans="3:16">
      <c r="F124" s="45" t="str" cm="1">
        <f t="array" ref="F124:F131">ls_WHM</f>
        <v>Reduce</v>
      </c>
      <c r="G124" s="84">
        <f>SUMIF('Diversion and Disposal'!$BG$14:$BG$113,F106,'Diversion and Disposal'!$CP$14:$CP$113)</f>
        <v>0</v>
      </c>
      <c r="H124" s="99">
        <f>G124-H106</f>
        <v>0</v>
      </c>
    </row>
    <row r="125" spans="3:16">
      <c r="F125" s="45" t="str">
        <v>Reuse</v>
      </c>
      <c r="G125" s="84">
        <f>SUMIF('Diversion and Disposal'!$BG$14:$BG$113,F107,'Diversion and Disposal'!$CP$14:$CP$113)</f>
        <v>0</v>
      </c>
      <c r="H125" s="99">
        <f>G125-H107</f>
        <v>0</v>
      </c>
    </row>
    <row r="126" spans="3:16">
      <c r="F126" s="45" t="str">
        <v>Recycle</v>
      </c>
      <c r="G126" s="84">
        <f>SUMIF('Diversion and Disposal'!$BG$14:$BG$113,F108,'Diversion and Disposal'!$CP$14:$CP$113)</f>
        <v>0</v>
      </c>
      <c r="H126" s="99">
        <f>G126-H108</f>
        <v>0</v>
      </c>
    </row>
    <row r="127" spans="3:16">
      <c r="F127" s="45" t="str">
        <v>Composting</v>
      </c>
      <c r="G127" s="84">
        <f>SUMIF('Diversion and Disposal'!$BG$14:$BG$113,F109,'Diversion and Disposal'!$CP$14:$CP$113)</f>
        <v>0</v>
      </c>
      <c r="H127" s="99">
        <f>G127-H109</f>
        <v>0</v>
      </c>
    </row>
    <row r="128" spans="3:16">
      <c r="F128" s="45" t="str">
        <v>Anaerobic Digestion</v>
      </c>
      <c r="G128" s="84">
        <f>SUMIF('Diversion and Disposal'!$BG$14:$BG$113,F110,'Diversion and Disposal'!$CP$14:$CP$113)</f>
        <v>0</v>
      </c>
      <c r="H128" s="99">
        <f t="shared" ref="H128:H131" si="8">G128-H110</f>
        <v>0</v>
      </c>
    </row>
    <row r="129" spans="1:21">
      <c r="F129" s="45" t="str">
        <v>Landfill</v>
      </c>
      <c r="G129" s="84">
        <f>SUMIF('Diversion and Disposal'!$BG$14:$BG$113,F111,'Diversion and Disposal'!$CP$14:$CP$113)</f>
        <v>0</v>
      </c>
      <c r="H129" s="99">
        <f>G129-H111</f>
        <v>0</v>
      </c>
    </row>
    <row r="130" spans="1:21">
      <c r="F130" s="45" t="str">
        <v>Waste-to-Energy</v>
      </c>
      <c r="G130" s="84">
        <f>SUMIF('Diversion and Disposal'!$BG$14:$BG$113,F112,'Diversion and Disposal'!$CP$14:$CP$113)</f>
        <v>0</v>
      </c>
      <c r="H130" s="99">
        <f>G130-H112</f>
        <v>0</v>
      </c>
    </row>
    <row r="131" spans="1:21">
      <c r="F131" s="45" t="str">
        <v>Incineration</v>
      </c>
      <c r="G131" s="84">
        <f>SUMIF('Diversion and Disposal'!$BG$14:$BG$113,F113,'Diversion and Disposal'!$CP$14:$CP$113)</f>
        <v>0</v>
      </c>
      <c r="H131" s="99">
        <f t="shared" si="8"/>
        <v>0</v>
      </c>
    </row>
    <row r="132" spans="1:21">
      <c r="G132" s="22"/>
    </row>
    <row r="134" spans="1:21">
      <c r="F134" s="103" t="s">
        <v>472</v>
      </c>
      <c r="G134" s="25" t="s">
        <v>232</v>
      </c>
    </row>
    <row r="135" spans="1:21">
      <c r="F135" s="58" t="s">
        <v>473</v>
      </c>
      <c r="G135" s="102">
        <f>SUM(G124:G131)</f>
        <v>0</v>
      </c>
    </row>
    <row r="136" spans="1:21">
      <c r="F136" s="105" t="s">
        <v>474</v>
      </c>
      <c r="G136" s="85">
        <f>H117</f>
        <v>0</v>
      </c>
    </row>
    <row r="137" spans="1:21" ht="28.8">
      <c r="F137" s="132" t="s">
        <v>475</v>
      </c>
      <c r="G137" s="128">
        <f>G136-G135</f>
        <v>0</v>
      </c>
    </row>
    <row r="138" spans="1:21">
      <c r="F138" s="58" t="s">
        <v>476</v>
      </c>
      <c r="G138" s="104">
        <f>IFERROR(1-G136/G135,0)</f>
        <v>0</v>
      </c>
    </row>
    <row r="140" spans="1:21">
      <c r="A140" s="18"/>
      <c r="B140" s="18"/>
      <c r="C140" s="18"/>
      <c r="D140" s="18"/>
      <c r="E140" s="18"/>
      <c r="F140" s="19"/>
      <c r="G140" s="20"/>
      <c r="H140" s="18"/>
      <c r="I140" s="18"/>
      <c r="J140" s="18"/>
      <c r="K140" s="18"/>
      <c r="L140" s="18"/>
      <c r="M140" s="18"/>
      <c r="N140" s="18"/>
      <c r="O140" s="18"/>
      <c r="P140" s="18"/>
      <c r="Q140" s="18"/>
      <c r="R140" s="18"/>
      <c r="S140" s="18"/>
      <c r="T140" s="18"/>
      <c r="U140" s="18"/>
    </row>
    <row r="141" spans="1:21">
      <c r="E141" s="1" t="s">
        <v>355</v>
      </c>
    </row>
    <row r="142" spans="1:21">
      <c r="E142" s="1"/>
    </row>
    <row r="143" spans="1:21">
      <c r="G143" s="22"/>
    </row>
    <row r="144" spans="1:21" ht="28.8">
      <c r="F144" s="101" t="s">
        <v>349</v>
      </c>
      <c r="G144" s="7" t="s">
        <v>477</v>
      </c>
      <c r="H144" s="7" t="s">
        <v>478</v>
      </c>
    </row>
    <row r="145" spans="1:21">
      <c r="F145" s="2" t="str" cm="1">
        <f t="array" ref="F145:F152">ls_WHM</f>
        <v>Reduce</v>
      </c>
      <c r="G145" s="84">
        <f>SUMIF(Baseline!$BG$22:$BG$121,F106,Baseline!$BT$22:$BT$121)</f>
        <v>0</v>
      </c>
      <c r="H145" s="84">
        <f>SUMIF(Baseline!$BG$22:$BG$121,F106,Baseline!$CI$22:$CI$121)</f>
        <v>0</v>
      </c>
    </row>
    <row r="146" spans="1:21">
      <c r="F146" s="2" t="str">
        <v>Reuse</v>
      </c>
      <c r="G146" s="84">
        <f>SUMIF(Baseline!$BG$22:$BG$121,F107,Baseline!$BT$22:$BT$121)</f>
        <v>0</v>
      </c>
      <c r="H146" s="84">
        <f>SUMIF(Baseline!$BG$22:$BG$121,F107,Baseline!$CI$22:$CI$121)</f>
        <v>0</v>
      </c>
    </row>
    <row r="147" spans="1:21">
      <c r="F147" s="2" t="str">
        <v>Recycle</v>
      </c>
      <c r="G147" s="84">
        <f>SUMIF(Baseline!$BG$22:$BG$121,F108,Baseline!$BT$22:$BT$121)</f>
        <v>0</v>
      </c>
      <c r="H147" s="84">
        <f>SUMIF(Baseline!$BG$22:$BG$121,F108,Baseline!$CI$22:$CI$121)</f>
        <v>0</v>
      </c>
    </row>
    <row r="148" spans="1:21">
      <c r="F148" s="2" t="str">
        <v>Composting</v>
      </c>
      <c r="G148" s="84">
        <f>SUMIF(Baseline!$BG$22:$BG$121,F109,Baseline!$BT$22:$BT$121)</f>
        <v>0</v>
      </c>
      <c r="H148" s="84">
        <f>SUMIF(Baseline!$BG$22:$BG$121,F109,Baseline!$CI$22:$CI$121)</f>
        <v>0</v>
      </c>
    </row>
    <row r="149" spans="1:21">
      <c r="F149" s="2" t="str">
        <v>Anaerobic Digestion</v>
      </c>
      <c r="G149" s="84">
        <f>SUMIF(Baseline!$BG$22:$BG$121,F110,Baseline!$BT$22:$BT$121)</f>
        <v>0</v>
      </c>
      <c r="H149" s="84">
        <f>SUMIF(Baseline!$BG$22:$BG$121,F110,Baseline!$CI$22:$CI$121)</f>
        <v>0</v>
      </c>
    </row>
    <row r="150" spans="1:21">
      <c r="F150" s="2" t="str">
        <v>Landfill</v>
      </c>
      <c r="G150" s="84">
        <f>SUMIF(Baseline!$BG$22:$BG$121,F111,Baseline!$BT$22:$BT$121)</f>
        <v>0</v>
      </c>
      <c r="H150" s="84">
        <f>SUMIF(Baseline!$BG$22:$BG$121,F111,Baseline!$CI$22:$CI$121)</f>
        <v>0</v>
      </c>
    </row>
    <row r="151" spans="1:21">
      <c r="F151" s="2" t="str">
        <v>Waste-to-Energy</v>
      </c>
      <c r="G151" s="84">
        <f>SUMIF(Baseline!$BG$22:$BG$121,F112,Baseline!$BT$22:$BT$121)</f>
        <v>0</v>
      </c>
      <c r="H151" s="84">
        <f>SUMIF(Baseline!$BG$22:$BG$121,F112,Baseline!$CI$22:$CI$121)</f>
        <v>0</v>
      </c>
    </row>
    <row r="152" spans="1:21">
      <c r="F152" s="2" t="str">
        <v>Incineration</v>
      </c>
      <c r="G152" s="84">
        <f>SUMIF(Baseline!$BG$22:$BG$121,F113,Baseline!$BT$22:$BT$121)</f>
        <v>0</v>
      </c>
      <c r="H152" s="84">
        <f>SUMIF(Baseline!$BG$22:$BG$121,F113,Baseline!$CI$22:$CI$121)</f>
        <v>0</v>
      </c>
    </row>
    <row r="153" spans="1:21">
      <c r="F153" s="650" t="s">
        <v>464</v>
      </c>
      <c r="G153" s="651"/>
      <c r="H153" s="652"/>
    </row>
    <row r="154" spans="1:21">
      <c r="F154" s="45" t="s">
        <v>374</v>
      </c>
      <c r="G154" s="109">
        <f>SUM(G145:G149)</f>
        <v>0</v>
      </c>
      <c r="H154" s="87">
        <f t="shared" ref="H154" si="9">SUM(H145:H149)</f>
        <v>0</v>
      </c>
    </row>
    <row r="155" spans="1:21">
      <c r="F155" s="45" t="s">
        <v>466</v>
      </c>
      <c r="G155" s="109">
        <f>SUM(G150:G152)</f>
        <v>0</v>
      </c>
      <c r="H155" s="87">
        <f t="shared" ref="H155" si="10">SUM(H150:H152)</f>
        <v>0</v>
      </c>
    </row>
    <row r="156" spans="1:21">
      <c r="F156" s="45" t="s">
        <v>479</v>
      </c>
      <c r="G156" s="109">
        <f>SUM(G145:G152)</f>
        <v>0</v>
      </c>
      <c r="H156" s="87">
        <f>SUM(H145:H152)</f>
        <v>0</v>
      </c>
    </row>
    <row r="157" spans="1:21">
      <c r="F157" s="45" t="s">
        <v>480</v>
      </c>
      <c r="G157" s="110">
        <f>IFERROR(G154/G156,0)</f>
        <v>0</v>
      </c>
      <c r="H157" s="108">
        <f>IFERROR(H154/H156,0)</f>
        <v>0</v>
      </c>
    </row>
    <row r="158" spans="1:21">
      <c r="F158" s="45" t="s">
        <v>468</v>
      </c>
      <c r="G158" s="109">
        <f>SUM(G146:G152)</f>
        <v>0</v>
      </c>
      <c r="H158" s="3">
        <f>SUM(H146:H152)</f>
        <v>0</v>
      </c>
    </row>
    <row r="160" spans="1:21">
      <c r="A160" s="18"/>
      <c r="B160" s="18"/>
      <c r="C160" s="18"/>
      <c r="D160" s="18"/>
      <c r="E160" s="18"/>
      <c r="F160" s="19"/>
      <c r="G160" s="20"/>
      <c r="H160" s="18"/>
      <c r="I160" s="18"/>
      <c r="J160" s="18"/>
      <c r="K160" s="18"/>
      <c r="L160" s="18"/>
      <c r="M160" s="18"/>
      <c r="N160" s="18"/>
      <c r="O160" s="18"/>
      <c r="P160" s="18"/>
      <c r="Q160" s="18"/>
      <c r="R160" s="18"/>
      <c r="S160" s="18"/>
      <c r="T160" s="18"/>
      <c r="U160" s="18"/>
    </row>
    <row r="161" spans="5:15">
      <c r="E161" s="1" t="s">
        <v>481</v>
      </c>
    </row>
    <row r="163" spans="5:15">
      <c r="F163" s="1" t="s">
        <v>482</v>
      </c>
      <c r="G163" s="21"/>
      <c r="M163" t="s">
        <v>483</v>
      </c>
    </row>
    <row r="164" spans="5:15" ht="28.8">
      <c r="F164" s="154" t="s">
        <v>224</v>
      </c>
      <c r="G164" s="154" t="s">
        <v>225</v>
      </c>
      <c r="H164" s="154" t="s">
        <v>484</v>
      </c>
      <c r="M164" s="154" t="s">
        <v>224</v>
      </c>
      <c r="N164" s="154" t="s">
        <v>225</v>
      </c>
      <c r="O164" s="154" t="s">
        <v>484</v>
      </c>
    </row>
    <row r="165" spans="5:15">
      <c r="F165" s="118" cm="1">
        <f t="array" ref="F165">IFERROR(_xlfn.UNIQUE(_xlfn._xlws.FILTER('Diversion and Disposal'!$F$14:$G$113,'Diversion and Disposal'!$F$14:$F$113&lt;&gt;"")),0)</f>
        <v>0</v>
      </c>
      <c r="G165" s="155"/>
      <c r="H165" s="159">
        <f>SUMIFS('Diversion and Disposal'!$BT$14:$BT$113,'Diversion and Disposal'!$BF$14:$BF$113,'Data output'!F165,'Diversion and Disposal'!$BG$14:$BG$113,'Data output'!G165)</f>
        <v>0</v>
      </c>
      <c r="J165" s="106" t="s">
        <v>279</v>
      </c>
      <c r="K165" s="159">
        <f>SUM(H165:H265)</f>
        <v>0</v>
      </c>
      <c r="M165" s="118" cm="1">
        <f t="array" ref="M165:O165">_xlfn._xlws.SORT(_xlfn._xlws.FILTER($F$165:$H$265,($F$165:$F$265&lt;&gt;"")*($G$165:$G$265&lt;&gt;"Reduce")),3,-1)</f>
        <v>0</v>
      </c>
      <c r="N165" s="155">
        <v>0</v>
      </c>
      <c r="O165" s="159">
        <v>0</v>
      </c>
    </row>
    <row r="166" spans="5:15">
      <c r="F166" s="118"/>
      <c r="G166" s="155"/>
      <c r="H166" s="159">
        <f>SUMIFS('Diversion and Disposal'!$BT$14:$BT$113,'Diversion and Disposal'!$BF$14:$BF$113,'Data output'!F166,'Diversion and Disposal'!$BG$14:$BG$113,'Data output'!G166)</f>
        <v>0</v>
      </c>
      <c r="M166" s="118"/>
      <c r="N166" s="155"/>
      <c r="O166" s="159"/>
    </row>
    <row r="167" spans="5:15">
      <c r="F167" s="118"/>
      <c r="G167" s="155"/>
      <c r="H167" s="159">
        <f>SUMIFS('Diversion and Disposal'!$BT$14:$BT$113,'Diversion and Disposal'!$BF$14:$BF$113,'Data output'!F167,'Diversion and Disposal'!$BG$14:$BG$113,'Data output'!G167)</f>
        <v>0</v>
      </c>
      <c r="M167" s="118"/>
      <c r="N167" s="155"/>
      <c r="O167" s="159"/>
    </row>
    <row r="168" spans="5:15">
      <c r="F168" s="118"/>
      <c r="G168" s="155"/>
      <c r="H168" s="159">
        <f>SUMIFS('Diversion and Disposal'!$BT$14:$BT$113,'Diversion and Disposal'!$BF$14:$BF$113,'Data output'!F168,'Diversion and Disposal'!$BG$14:$BG$113,'Data output'!G168)</f>
        <v>0</v>
      </c>
      <c r="M168" s="118"/>
      <c r="N168" s="155"/>
      <c r="O168" s="159"/>
    </row>
    <row r="169" spans="5:15">
      <c r="F169" s="118"/>
      <c r="G169" s="155"/>
      <c r="H169" s="159">
        <f>SUMIFS('Diversion and Disposal'!$BT$14:$BT$113,'Diversion and Disposal'!$BF$14:$BF$113,'Data output'!F169,'Diversion and Disposal'!$BG$14:$BG$113,'Data output'!G169)</f>
        <v>0</v>
      </c>
      <c r="M169" s="118"/>
      <c r="N169" s="155"/>
      <c r="O169" s="159"/>
    </row>
    <row r="170" spans="5:15">
      <c r="F170" s="118"/>
      <c r="G170" s="155"/>
      <c r="H170" s="159">
        <f>SUMIFS('Diversion and Disposal'!$BT$14:$BT$113,'Diversion and Disposal'!$BF$14:$BF$113,'Data output'!F170,'Diversion and Disposal'!$BG$14:$BG$113,'Data output'!G170)</f>
        <v>0</v>
      </c>
      <c r="M170" s="118"/>
      <c r="N170" s="155"/>
      <c r="O170" s="159"/>
    </row>
    <row r="171" spans="5:15">
      <c r="F171" s="118"/>
      <c r="G171" s="155"/>
      <c r="H171" s="159">
        <f>SUMIFS('Diversion and Disposal'!$BT$14:$BT$113,'Diversion and Disposal'!$BF$14:$BF$113,'Data output'!F171,'Diversion and Disposal'!$BG$14:$BG$113,'Data output'!G171)</f>
        <v>0</v>
      </c>
      <c r="M171" s="118"/>
      <c r="N171" s="155"/>
      <c r="O171" s="159"/>
    </row>
    <row r="172" spans="5:15">
      <c r="F172" s="118"/>
      <c r="G172" s="155"/>
      <c r="H172" s="159">
        <f>SUMIFS('Diversion and Disposal'!$BT$14:$BT$113,'Diversion and Disposal'!$BF$14:$BF$113,'Data output'!F172,'Diversion and Disposal'!$BG$14:$BG$113,'Data output'!G172)</f>
        <v>0</v>
      </c>
      <c r="M172" s="118"/>
      <c r="N172" s="155"/>
      <c r="O172" s="159"/>
    </row>
    <row r="173" spans="5:15">
      <c r="F173" s="118"/>
      <c r="G173" s="155"/>
      <c r="H173" s="159">
        <f>SUMIFS('Diversion and Disposal'!$BT$14:$BT$113,'Diversion and Disposal'!$BF$14:$BF$113,'Data output'!F173,'Diversion and Disposal'!$BG$14:$BG$113,'Data output'!G173)</f>
        <v>0</v>
      </c>
      <c r="M173" s="118"/>
      <c r="N173" s="155"/>
      <c r="O173" s="159"/>
    </row>
    <row r="174" spans="5:15">
      <c r="F174" s="118"/>
      <c r="G174" s="155"/>
      <c r="H174" s="159">
        <f>SUMIFS('Diversion and Disposal'!$BT$14:$BT$113,'Diversion and Disposal'!$BF$14:$BF$113,'Data output'!F174,'Diversion and Disposal'!$BG$14:$BG$113,'Data output'!G174)</f>
        <v>0</v>
      </c>
      <c r="M174" s="118"/>
      <c r="N174" s="155"/>
      <c r="O174" s="159"/>
    </row>
    <row r="175" spans="5:15">
      <c r="F175" s="118"/>
      <c r="G175" s="155"/>
      <c r="H175" s="159">
        <f>SUMIFS('Diversion and Disposal'!$BT$14:$BT$113,'Diversion and Disposal'!$BF$14:$BF$113,'Data output'!F175,'Diversion and Disposal'!$BG$14:$BG$113,'Data output'!G175)</f>
        <v>0</v>
      </c>
      <c r="M175" s="118"/>
      <c r="N175" s="155"/>
      <c r="O175" s="159"/>
    </row>
    <row r="176" spans="5:15">
      <c r="F176" s="118"/>
      <c r="G176" s="155"/>
      <c r="H176" s="159">
        <f>SUMIFS('Diversion and Disposal'!$BT$14:$BT$113,'Diversion and Disposal'!$BF$14:$BF$113,'Data output'!F176,'Diversion and Disposal'!$BG$14:$BG$113,'Data output'!G176)</f>
        <v>0</v>
      </c>
      <c r="M176" s="118"/>
      <c r="N176" s="155"/>
      <c r="O176" s="159"/>
    </row>
    <row r="177" spans="6:15">
      <c r="F177" s="118"/>
      <c r="G177" s="155"/>
      <c r="H177" s="159">
        <f>SUMIFS('Diversion and Disposal'!$BT$14:$BT$113,'Diversion and Disposal'!$BF$14:$BF$113,'Data output'!F177,'Diversion and Disposal'!$BG$14:$BG$113,'Data output'!G177)</f>
        <v>0</v>
      </c>
      <c r="M177" s="118"/>
      <c r="N177" s="155"/>
      <c r="O177" s="159"/>
    </row>
    <row r="178" spans="6:15">
      <c r="F178" s="118"/>
      <c r="G178" s="155"/>
      <c r="H178" s="159">
        <f>SUMIFS('Diversion and Disposal'!$BT$14:$BT$113,'Diversion and Disposal'!$BF$14:$BF$113,'Data output'!F178,'Diversion and Disposal'!$BG$14:$BG$113,'Data output'!G178)</f>
        <v>0</v>
      </c>
      <c r="M178" s="118"/>
      <c r="N178" s="155"/>
      <c r="O178" s="159"/>
    </row>
    <row r="179" spans="6:15">
      <c r="F179" s="118"/>
      <c r="G179" s="155"/>
      <c r="H179" s="159">
        <f>SUMIFS('Diversion and Disposal'!$BT$14:$BT$113,'Diversion and Disposal'!$BF$14:$BF$113,'Data output'!F179,'Diversion and Disposal'!$BG$14:$BG$113,'Data output'!G179)</f>
        <v>0</v>
      </c>
      <c r="M179" s="118"/>
      <c r="N179" s="155"/>
      <c r="O179" s="159"/>
    </row>
    <row r="180" spans="6:15">
      <c r="F180" s="118"/>
      <c r="G180" s="155"/>
      <c r="H180" s="159">
        <f>SUMIFS('Diversion and Disposal'!$BT$14:$BT$113,'Diversion and Disposal'!$BF$14:$BF$113,'Data output'!F180,'Diversion and Disposal'!$BG$14:$BG$113,'Data output'!G180)</f>
        <v>0</v>
      </c>
      <c r="M180" s="118"/>
      <c r="N180" s="155"/>
      <c r="O180" s="159"/>
    </row>
    <row r="181" spans="6:15">
      <c r="F181" s="118"/>
      <c r="G181" s="155"/>
      <c r="H181" s="159">
        <f>SUMIFS('Diversion and Disposal'!$BT$14:$BT$113,'Diversion and Disposal'!$BF$14:$BF$113,'Data output'!F181,'Diversion and Disposal'!$BG$14:$BG$113,'Data output'!G181)</f>
        <v>0</v>
      </c>
      <c r="M181" s="118"/>
      <c r="N181" s="155"/>
      <c r="O181" s="159"/>
    </row>
    <row r="182" spans="6:15">
      <c r="F182" s="118"/>
      <c r="G182" s="155"/>
      <c r="H182" s="159">
        <f>SUMIFS('Diversion and Disposal'!$BT$14:$BT$113,'Diversion and Disposal'!$BF$14:$BF$113,'Data output'!F182,'Diversion and Disposal'!$BG$14:$BG$113,'Data output'!G182)</f>
        <v>0</v>
      </c>
      <c r="M182" s="118"/>
      <c r="N182" s="155"/>
      <c r="O182" s="159"/>
    </row>
    <row r="183" spans="6:15">
      <c r="F183" s="118"/>
      <c r="G183" s="155"/>
      <c r="H183" s="159">
        <f>SUMIFS('Diversion and Disposal'!$BT$14:$BT$113,'Diversion and Disposal'!$BF$14:$BF$113,'Data output'!F183,'Diversion and Disposal'!$BG$14:$BG$113,'Data output'!G183)</f>
        <v>0</v>
      </c>
      <c r="M183" s="118"/>
      <c r="N183" s="155"/>
      <c r="O183" s="159"/>
    </row>
    <row r="184" spans="6:15">
      <c r="F184" s="118"/>
      <c r="G184" s="155"/>
      <c r="H184" s="159">
        <f>SUMIFS('Diversion and Disposal'!$BT$14:$BT$113,'Diversion and Disposal'!$BF$14:$BF$113,'Data output'!F184,'Diversion and Disposal'!$BG$14:$BG$113,'Data output'!G184)</f>
        <v>0</v>
      </c>
      <c r="M184" s="118"/>
      <c r="N184" s="155"/>
      <c r="O184" s="159"/>
    </row>
    <row r="185" spans="6:15">
      <c r="F185" s="118"/>
      <c r="G185" s="155"/>
      <c r="H185" s="159">
        <f>SUMIFS('Diversion and Disposal'!$BT$14:$BT$113,'Diversion and Disposal'!$BF$14:$BF$113,'Data output'!F185,'Diversion and Disposal'!$BG$14:$BG$113,'Data output'!G185)</f>
        <v>0</v>
      </c>
      <c r="M185" s="118"/>
      <c r="N185" s="155"/>
      <c r="O185" s="159"/>
    </row>
    <row r="186" spans="6:15">
      <c r="F186" s="118"/>
      <c r="G186" s="155"/>
      <c r="H186" s="159">
        <f>SUMIFS('Diversion and Disposal'!$BT$14:$BT$113,'Diversion and Disposal'!$BF$14:$BF$113,'Data output'!F186,'Diversion and Disposal'!$BG$14:$BG$113,'Data output'!G186)</f>
        <v>0</v>
      </c>
      <c r="M186" s="118"/>
      <c r="N186" s="155"/>
      <c r="O186" s="159"/>
    </row>
    <row r="187" spans="6:15">
      <c r="F187" s="3"/>
      <c r="G187" s="3"/>
      <c r="H187" s="159">
        <f>SUMIFS('Diversion and Disposal'!$BT$14:$BT$113,'Diversion and Disposal'!$BF$14:$BF$113,'Data output'!F187,'Diversion and Disposal'!$BG$14:$BG$113,'Data output'!G187)</f>
        <v>0</v>
      </c>
    </row>
    <row r="188" spans="6:15">
      <c r="F188" s="3"/>
      <c r="G188" s="3"/>
      <c r="H188" s="159">
        <f>SUMIFS('Diversion and Disposal'!$BT$14:$BT$113,'Diversion and Disposal'!$BF$14:$BF$113,'Data output'!F188,'Diversion and Disposal'!$BG$14:$BG$113,'Data output'!G188)</f>
        <v>0</v>
      </c>
    </row>
    <row r="189" spans="6:15">
      <c r="F189" s="3"/>
      <c r="G189" s="3"/>
      <c r="H189" s="159">
        <f>SUMIFS('Diversion and Disposal'!$BT$14:$BT$113,'Diversion and Disposal'!$BF$14:$BF$113,'Data output'!F189,'Diversion and Disposal'!$BG$14:$BG$113,'Data output'!G189)</f>
        <v>0</v>
      </c>
    </row>
    <row r="190" spans="6:15">
      <c r="F190" s="3"/>
      <c r="G190" s="3"/>
      <c r="H190" s="159">
        <f>SUMIFS('Diversion and Disposal'!$BT$14:$BT$113,'Diversion and Disposal'!$BF$14:$BF$113,'Data output'!F190,'Diversion and Disposal'!$BG$14:$BG$113,'Data output'!G190)</f>
        <v>0</v>
      </c>
    </row>
    <row r="191" spans="6:15">
      <c r="F191" s="3"/>
      <c r="G191" s="3"/>
      <c r="H191" s="159">
        <f>SUMIFS('Diversion and Disposal'!$BT$14:$BT$113,'Diversion and Disposal'!$BF$14:$BF$113,'Data output'!F191,'Diversion and Disposal'!$BG$14:$BG$113,'Data output'!G191)</f>
        <v>0</v>
      </c>
    </row>
    <row r="192" spans="6:15">
      <c r="F192" s="3"/>
      <c r="G192" s="3"/>
      <c r="H192" s="159">
        <f>SUMIFS('Diversion and Disposal'!$BT$14:$BT$113,'Diversion and Disposal'!$BF$14:$BF$113,'Data output'!F192,'Diversion and Disposal'!$BG$14:$BG$113,'Data output'!G192)</f>
        <v>0</v>
      </c>
    </row>
    <row r="193" spans="6:8">
      <c r="F193" s="3"/>
      <c r="G193" s="3"/>
      <c r="H193" s="159">
        <f>SUMIFS('Diversion and Disposal'!$BT$14:$BT$113,'Diversion and Disposal'!$BF$14:$BF$113,'Data output'!F193,'Diversion and Disposal'!$BG$14:$BG$113,'Data output'!G193)</f>
        <v>0</v>
      </c>
    </row>
    <row r="194" spans="6:8">
      <c r="F194" s="3"/>
      <c r="G194" s="3"/>
      <c r="H194" s="159">
        <f>SUMIFS('Diversion and Disposal'!$BT$14:$BT$113,'Diversion and Disposal'!$BF$14:$BF$113,'Data output'!F194,'Diversion and Disposal'!$BG$14:$BG$113,'Data output'!G194)</f>
        <v>0</v>
      </c>
    </row>
    <row r="195" spans="6:8">
      <c r="F195" s="3"/>
      <c r="G195" s="3"/>
      <c r="H195" s="159">
        <f>SUMIFS('Diversion and Disposal'!$BT$14:$BT$113,'Diversion and Disposal'!$BF$14:$BF$113,'Data output'!F195,'Diversion and Disposal'!$BG$14:$BG$113,'Data output'!G195)</f>
        <v>0</v>
      </c>
    </row>
    <row r="196" spans="6:8">
      <c r="F196" s="3"/>
      <c r="G196" s="3"/>
      <c r="H196" s="159">
        <f>SUMIFS('Diversion and Disposal'!$BT$14:$BT$113,'Diversion and Disposal'!$BF$14:$BF$113,'Data output'!F196,'Diversion and Disposal'!$BG$14:$BG$113,'Data output'!G196)</f>
        <v>0</v>
      </c>
    </row>
    <row r="197" spans="6:8">
      <c r="F197" s="3"/>
      <c r="G197" s="3"/>
      <c r="H197" s="159">
        <f>SUMIFS('Diversion and Disposal'!$BT$14:$BT$113,'Diversion and Disposal'!$BF$14:$BF$113,'Data output'!F197,'Diversion and Disposal'!$BG$14:$BG$113,'Data output'!G197)</f>
        <v>0</v>
      </c>
    </row>
    <row r="198" spans="6:8">
      <c r="F198" s="3"/>
      <c r="G198" s="3"/>
      <c r="H198" s="159">
        <f>SUMIFS('Diversion and Disposal'!$BT$14:$BT$113,'Diversion and Disposal'!$BF$14:$BF$113,'Data output'!F198,'Diversion and Disposal'!$BG$14:$BG$113,'Data output'!G198)</f>
        <v>0</v>
      </c>
    </row>
    <row r="199" spans="6:8">
      <c r="F199" s="3"/>
      <c r="G199" s="3"/>
      <c r="H199" s="159">
        <f>SUMIFS('Diversion and Disposal'!$BT$14:$BT$113,'Diversion and Disposal'!$BF$14:$BF$113,'Data output'!F199,'Diversion and Disposal'!$BG$14:$BG$113,'Data output'!G199)</f>
        <v>0</v>
      </c>
    </row>
    <row r="200" spans="6:8">
      <c r="F200" s="3"/>
      <c r="G200" s="3"/>
      <c r="H200" s="159">
        <f>SUMIFS('Diversion and Disposal'!$BT$14:$BT$113,'Diversion and Disposal'!$BF$14:$BF$113,'Data output'!F200,'Diversion and Disposal'!$BG$14:$BG$113,'Data output'!G200)</f>
        <v>0</v>
      </c>
    </row>
    <row r="201" spans="6:8">
      <c r="F201" s="3"/>
      <c r="G201" s="3"/>
      <c r="H201" s="159">
        <f>SUMIFS('Diversion and Disposal'!$BT$14:$BT$113,'Diversion and Disposal'!$BF$14:$BF$113,'Data output'!F201,'Diversion and Disposal'!$BG$14:$BG$113,'Data output'!G201)</f>
        <v>0</v>
      </c>
    </row>
    <row r="202" spans="6:8">
      <c r="F202" s="3"/>
      <c r="G202" s="3"/>
      <c r="H202" s="159">
        <f>SUMIFS('Diversion and Disposal'!$BT$14:$BT$113,'Diversion and Disposal'!$BF$14:$BF$113,'Data output'!F202,'Diversion and Disposal'!$BG$14:$BG$113,'Data output'!G202)</f>
        <v>0</v>
      </c>
    </row>
    <row r="203" spans="6:8">
      <c r="F203" s="3"/>
      <c r="G203" s="3"/>
      <c r="H203" s="159">
        <f>SUMIFS('Diversion and Disposal'!$BT$14:$BT$113,'Diversion and Disposal'!$BF$14:$BF$113,'Data output'!F203,'Diversion and Disposal'!$BG$14:$BG$113,'Data output'!G203)</f>
        <v>0</v>
      </c>
    </row>
    <row r="204" spans="6:8">
      <c r="F204" s="3"/>
      <c r="G204" s="3"/>
      <c r="H204" s="159">
        <f>SUMIFS('Diversion and Disposal'!$BT$14:$BT$113,'Diversion and Disposal'!$BF$14:$BF$113,'Data output'!F204,'Diversion and Disposal'!$BG$14:$BG$113,'Data output'!G204)</f>
        <v>0</v>
      </c>
    </row>
    <row r="205" spans="6:8">
      <c r="F205" s="3"/>
      <c r="G205" s="3"/>
      <c r="H205" s="159">
        <f>SUMIFS('Diversion and Disposal'!$BT$14:$BT$113,'Diversion and Disposal'!$BF$14:$BF$113,'Data output'!F205,'Diversion and Disposal'!$BG$14:$BG$113,'Data output'!G205)</f>
        <v>0</v>
      </c>
    </row>
    <row r="206" spans="6:8">
      <c r="F206" s="3"/>
      <c r="G206" s="3"/>
      <c r="H206" s="159">
        <f>SUMIFS('Diversion and Disposal'!$BT$14:$BT$113,'Diversion and Disposal'!$BF$14:$BF$113,'Data output'!F206,'Diversion and Disposal'!$BG$14:$BG$113,'Data output'!G206)</f>
        <v>0</v>
      </c>
    </row>
    <row r="207" spans="6:8">
      <c r="F207" s="3"/>
      <c r="G207" s="3"/>
      <c r="H207" s="159">
        <f>SUMIFS('Diversion and Disposal'!$BT$14:$BT$113,'Diversion and Disposal'!$BF$14:$BF$113,'Data output'!F207,'Diversion and Disposal'!$BG$14:$BG$113,'Data output'!G207)</f>
        <v>0</v>
      </c>
    </row>
    <row r="208" spans="6:8">
      <c r="F208" s="3"/>
      <c r="G208" s="3"/>
      <c r="H208" s="159">
        <f>SUMIFS('Diversion and Disposal'!$BT$14:$BT$113,'Diversion and Disposal'!$BF$14:$BF$113,'Data output'!F208,'Diversion and Disposal'!$BG$14:$BG$113,'Data output'!G208)</f>
        <v>0</v>
      </c>
    </row>
    <row r="209" spans="6:8">
      <c r="F209" s="3"/>
      <c r="G209" s="3"/>
      <c r="H209" s="159">
        <f>SUMIFS('Diversion and Disposal'!$BT$14:$BT$113,'Diversion and Disposal'!$BF$14:$BF$113,'Data output'!F209,'Diversion and Disposal'!$BG$14:$BG$113,'Data output'!G209)</f>
        <v>0</v>
      </c>
    </row>
    <row r="210" spans="6:8">
      <c r="F210" s="3"/>
      <c r="G210" s="3"/>
      <c r="H210" s="159">
        <f>SUMIFS('Diversion and Disposal'!$BT$14:$BT$113,'Diversion and Disposal'!$BF$14:$BF$113,'Data output'!F210,'Diversion and Disposal'!$BG$14:$BG$113,'Data output'!G210)</f>
        <v>0</v>
      </c>
    </row>
    <row r="211" spans="6:8">
      <c r="F211" s="3"/>
      <c r="G211" s="3"/>
      <c r="H211" s="159">
        <f>SUMIFS('Diversion and Disposal'!$BT$14:$BT$113,'Diversion and Disposal'!$BF$14:$BF$113,'Data output'!F211,'Diversion and Disposal'!$BG$14:$BG$113,'Data output'!G211)</f>
        <v>0</v>
      </c>
    </row>
    <row r="212" spans="6:8">
      <c r="F212" s="3"/>
      <c r="G212" s="3"/>
      <c r="H212" s="159">
        <f>SUMIFS('Diversion and Disposal'!$BT$14:$BT$113,'Diversion and Disposal'!$BF$14:$BF$113,'Data output'!F212,'Diversion and Disposal'!$BG$14:$BG$113,'Data output'!G212)</f>
        <v>0</v>
      </c>
    </row>
    <row r="213" spans="6:8">
      <c r="F213" s="3"/>
      <c r="G213" s="3"/>
      <c r="H213" s="159">
        <f>SUMIFS('Diversion and Disposal'!$BT$14:$BT$113,'Diversion and Disposal'!$BF$14:$BF$113,'Data output'!F213,'Diversion and Disposal'!$BG$14:$BG$113,'Data output'!G213)</f>
        <v>0</v>
      </c>
    </row>
    <row r="214" spans="6:8">
      <c r="F214" s="3"/>
      <c r="G214" s="3"/>
      <c r="H214" s="159">
        <f>SUMIFS('Diversion and Disposal'!$BT$14:$BT$113,'Diversion and Disposal'!$BF$14:$BF$113,'Data output'!F214,'Diversion and Disposal'!$BG$14:$BG$113,'Data output'!G214)</f>
        <v>0</v>
      </c>
    </row>
    <row r="215" spans="6:8">
      <c r="F215" s="3"/>
      <c r="G215" s="3"/>
      <c r="H215" s="159">
        <f>SUMIFS('Diversion and Disposal'!$BT$14:$BT$113,'Diversion and Disposal'!$BF$14:$BF$113,'Data output'!F215,'Diversion and Disposal'!$BG$14:$BG$113,'Data output'!G215)</f>
        <v>0</v>
      </c>
    </row>
    <row r="216" spans="6:8">
      <c r="F216" s="3"/>
      <c r="G216" s="3"/>
      <c r="H216" s="159">
        <f>SUMIFS('Diversion and Disposal'!$BT$14:$BT$113,'Diversion and Disposal'!$BF$14:$BF$113,'Data output'!F216,'Diversion and Disposal'!$BG$14:$BG$113,'Data output'!G216)</f>
        <v>0</v>
      </c>
    </row>
    <row r="217" spans="6:8">
      <c r="F217" s="3"/>
      <c r="G217" s="3"/>
      <c r="H217" s="159">
        <f>SUMIFS('Diversion and Disposal'!$BT$14:$BT$113,'Diversion and Disposal'!$BF$14:$BF$113,'Data output'!F217,'Diversion and Disposal'!$BG$14:$BG$113,'Data output'!G217)</f>
        <v>0</v>
      </c>
    </row>
    <row r="218" spans="6:8">
      <c r="F218" s="3"/>
      <c r="G218" s="3"/>
      <c r="H218" s="159">
        <f>SUMIFS('Diversion and Disposal'!$BT$14:$BT$113,'Diversion and Disposal'!$BF$14:$BF$113,'Data output'!F218,'Diversion and Disposal'!$BG$14:$BG$113,'Data output'!G218)</f>
        <v>0</v>
      </c>
    </row>
    <row r="219" spans="6:8">
      <c r="F219" s="3"/>
      <c r="G219" s="3"/>
      <c r="H219" s="159">
        <f>SUMIFS('Diversion and Disposal'!$BT$14:$BT$113,'Diversion and Disposal'!$BF$14:$BF$113,'Data output'!F219,'Diversion and Disposal'!$BG$14:$BG$113,'Data output'!G219)</f>
        <v>0</v>
      </c>
    </row>
    <row r="220" spans="6:8">
      <c r="F220" s="3"/>
      <c r="G220" s="3"/>
      <c r="H220" s="159">
        <f>SUMIFS('Diversion and Disposal'!$BT$14:$BT$113,'Diversion and Disposal'!$BF$14:$BF$113,'Data output'!F220,'Diversion and Disposal'!$BG$14:$BG$113,'Data output'!G220)</f>
        <v>0</v>
      </c>
    </row>
    <row r="221" spans="6:8">
      <c r="F221" s="3"/>
      <c r="G221" s="3"/>
      <c r="H221" s="159">
        <f>SUMIFS('Diversion and Disposal'!$BT$14:$BT$113,'Diversion and Disposal'!$BF$14:$BF$113,'Data output'!F221,'Diversion and Disposal'!$BG$14:$BG$113,'Data output'!G221)</f>
        <v>0</v>
      </c>
    </row>
    <row r="222" spans="6:8">
      <c r="F222" s="3"/>
      <c r="G222" s="3"/>
      <c r="H222" s="159">
        <f>SUMIFS('Diversion and Disposal'!$BT$14:$BT$113,'Diversion and Disposal'!$BF$14:$BF$113,'Data output'!F222,'Diversion and Disposal'!$BG$14:$BG$113,'Data output'!G222)</f>
        <v>0</v>
      </c>
    </row>
    <row r="223" spans="6:8">
      <c r="F223" s="3"/>
      <c r="G223" s="3"/>
      <c r="H223" s="159">
        <f>SUMIFS('Diversion and Disposal'!$BT$14:$BT$113,'Diversion and Disposal'!$BF$14:$BF$113,'Data output'!F223,'Diversion and Disposal'!$BG$14:$BG$113,'Data output'!G223)</f>
        <v>0</v>
      </c>
    </row>
    <row r="224" spans="6:8">
      <c r="F224" s="3"/>
      <c r="G224" s="3"/>
      <c r="H224" s="159">
        <f>SUMIFS('Diversion and Disposal'!$BT$14:$BT$113,'Diversion and Disposal'!$BF$14:$BF$113,'Data output'!F224,'Diversion and Disposal'!$BG$14:$BG$113,'Data output'!G224)</f>
        <v>0</v>
      </c>
    </row>
    <row r="225" spans="6:8">
      <c r="F225" s="3"/>
      <c r="G225" s="3"/>
      <c r="H225" s="159">
        <f>SUMIFS('Diversion and Disposal'!$BT$14:$BT$113,'Diversion and Disposal'!$BF$14:$BF$113,'Data output'!F225,'Diversion and Disposal'!$BG$14:$BG$113,'Data output'!G225)</f>
        <v>0</v>
      </c>
    </row>
    <row r="226" spans="6:8">
      <c r="F226" s="3"/>
      <c r="G226" s="3"/>
      <c r="H226" s="159">
        <f>SUMIFS('Diversion and Disposal'!$BT$14:$BT$113,'Diversion and Disposal'!$BF$14:$BF$113,'Data output'!F226,'Diversion and Disposal'!$BG$14:$BG$113,'Data output'!G226)</f>
        <v>0</v>
      </c>
    </row>
    <row r="227" spans="6:8">
      <c r="F227" s="3"/>
      <c r="G227" s="3"/>
      <c r="H227" s="159">
        <f>SUMIFS('Diversion and Disposal'!$BT$14:$BT$113,'Diversion and Disposal'!$BF$14:$BF$113,'Data output'!F227,'Diversion and Disposal'!$BG$14:$BG$113,'Data output'!G227)</f>
        <v>0</v>
      </c>
    </row>
    <row r="228" spans="6:8">
      <c r="F228" s="3"/>
      <c r="G228" s="3"/>
      <c r="H228" s="159">
        <f>SUMIFS('Diversion and Disposal'!$BT$14:$BT$113,'Diversion and Disposal'!$BF$14:$BF$113,'Data output'!F228,'Diversion and Disposal'!$BG$14:$BG$113,'Data output'!G228)</f>
        <v>0</v>
      </c>
    </row>
    <row r="229" spans="6:8">
      <c r="F229" s="3"/>
      <c r="G229" s="3"/>
      <c r="H229" s="159">
        <f>SUMIFS('Diversion and Disposal'!$BT$14:$BT$113,'Diversion and Disposal'!$BF$14:$BF$113,'Data output'!F229,'Diversion and Disposal'!$BG$14:$BG$113,'Data output'!G229)</f>
        <v>0</v>
      </c>
    </row>
    <row r="230" spans="6:8">
      <c r="F230" s="3"/>
      <c r="G230" s="3"/>
      <c r="H230" s="159">
        <f>SUMIFS('Diversion and Disposal'!$BT$14:$BT$113,'Diversion and Disposal'!$BF$14:$BF$113,'Data output'!F230,'Diversion and Disposal'!$BG$14:$BG$113,'Data output'!G230)</f>
        <v>0</v>
      </c>
    </row>
    <row r="231" spans="6:8">
      <c r="F231" s="3"/>
      <c r="G231" s="3"/>
      <c r="H231" s="159">
        <f>SUMIFS('Diversion and Disposal'!$BT$14:$BT$113,'Diversion and Disposal'!$BF$14:$BF$113,'Data output'!F231,'Diversion and Disposal'!$BG$14:$BG$113,'Data output'!G231)</f>
        <v>0</v>
      </c>
    </row>
    <row r="232" spans="6:8">
      <c r="F232" s="3"/>
      <c r="G232" s="3"/>
      <c r="H232" s="159">
        <f>SUMIFS('Diversion and Disposal'!$BT$14:$BT$113,'Diversion and Disposal'!$BF$14:$BF$113,'Data output'!F232,'Diversion and Disposal'!$BG$14:$BG$113,'Data output'!G232)</f>
        <v>0</v>
      </c>
    </row>
    <row r="233" spans="6:8">
      <c r="F233" s="3"/>
      <c r="G233" s="3"/>
      <c r="H233" s="159">
        <f>SUMIFS('Diversion and Disposal'!$BT$14:$BT$113,'Diversion and Disposal'!$BF$14:$BF$113,'Data output'!F233,'Diversion and Disposal'!$BG$14:$BG$113,'Data output'!G233)</f>
        <v>0</v>
      </c>
    </row>
    <row r="234" spans="6:8">
      <c r="F234" s="3"/>
      <c r="G234" s="3"/>
      <c r="H234" s="159">
        <f>SUMIFS('Diversion and Disposal'!$BT$14:$BT$113,'Diversion and Disposal'!$BF$14:$BF$113,'Data output'!F234,'Diversion and Disposal'!$BG$14:$BG$113,'Data output'!G234)</f>
        <v>0</v>
      </c>
    </row>
    <row r="235" spans="6:8">
      <c r="F235" s="3"/>
      <c r="G235" s="3"/>
      <c r="H235" s="159">
        <f>SUMIFS('Diversion and Disposal'!$BT$14:$BT$113,'Diversion and Disposal'!$BF$14:$BF$113,'Data output'!F235,'Diversion and Disposal'!$BG$14:$BG$113,'Data output'!G235)</f>
        <v>0</v>
      </c>
    </row>
    <row r="236" spans="6:8">
      <c r="F236" s="3"/>
      <c r="G236" s="3"/>
      <c r="H236" s="159">
        <f>SUMIFS('Diversion and Disposal'!$BT$14:$BT$113,'Diversion and Disposal'!$BF$14:$BF$113,'Data output'!F236,'Diversion and Disposal'!$BG$14:$BG$113,'Data output'!G236)</f>
        <v>0</v>
      </c>
    </row>
    <row r="237" spans="6:8">
      <c r="F237" s="3"/>
      <c r="G237" s="3"/>
      <c r="H237" s="159">
        <f>SUMIFS('Diversion and Disposal'!$BT$14:$BT$113,'Diversion and Disposal'!$BF$14:$BF$113,'Data output'!F237,'Diversion and Disposal'!$BG$14:$BG$113,'Data output'!G237)</f>
        <v>0</v>
      </c>
    </row>
    <row r="238" spans="6:8">
      <c r="F238" s="3"/>
      <c r="G238" s="3"/>
      <c r="H238" s="159">
        <f>SUMIFS('Diversion and Disposal'!$BT$14:$BT$113,'Diversion and Disposal'!$BF$14:$BF$113,'Data output'!F238,'Diversion and Disposal'!$BG$14:$BG$113,'Data output'!G238)</f>
        <v>0</v>
      </c>
    </row>
    <row r="239" spans="6:8">
      <c r="F239" s="3"/>
      <c r="G239" s="3"/>
      <c r="H239" s="159">
        <f>SUMIFS('Diversion and Disposal'!$BT$14:$BT$113,'Diversion and Disposal'!$BF$14:$BF$113,'Data output'!F239,'Diversion and Disposal'!$BG$14:$BG$113,'Data output'!G239)</f>
        <v>0</v>
      </c>
    </row>
    <row r="240" spans="6:8">
      <c r="F240" s="3"/>
      <c r="G240" s="3"/>
      <c r="H240" s="159">
        <f>SUMIFS('Diversion and Disposal'!$BT$14:$BT$113,'Diversion and Disposal'!$BF$14:$BF$113,'Data output'!F240,'Diversion and Disposal'!$BG$14:$BG$113,'Data output'!G240)</f>
        <v>0</v>
      </c>
    </row>
    <row r="241" spans="6:8">
      <c r="F241" s="3"/>
      <c r="G241" s="3"/>
      <c r="H241" s="159">
        <f>SUMIFS('Diversion and Disposal'!$BT$14:$BT$113,'Diversion and Disposal'!$BF$14:$BF$113,'Data output'!F241,'Diversion and Disposal'!$BG$14:$BG$113,'Data output'!G241)</f>
        <v>0</v>
      </c>
    </row>
    <row r="242" spans="6:8">
      <c r="F242" s="3"/>
      <c r="G242" s="3"/>
      <c r="H242" s="159">
        <f>SUMIFS('Diversion and Disposal'!$BT$14:$BT$113,'Diversion and Disposal'!$BF$14:$BF$113,'Data output'!F242,'Diversion and Disposal'!$BG$14:$BG$113,'Data output'!G242)</f>
        <v>0</v>
      </c>
    </row>
    <row r="243" spans="6:8">
      <c r="F243" s="3"/>
      <c r="G243" s="3"/>
      <c r="H243" s="159">
        <f>SUMIFS('Diversion and Disposal'!$BT$14:$BT$113,'Diversion and Disposal'!$BF$14:$BF$113,'Data output'!F243,'Diversion and Disposal'!$BG$14:$BG$113,'Data output'!G243)</f>
        <v>0</v>
      </c>
    </row>
    <row r="244" spans="6:8">
      <c r="F244" s="3"/>
      <c r="G244" s="3"/>
      <c r="H244" s="159">
        <f>SUMIFS('Diversion and Disposal'!$BT$14:$BT$113,'Diversion and Disposal'!$BF$14:$BF$113,'Data output'!F244,'Diversion and Disposal'!$BG$14:$BG$113,'Data output'!G244)</f>
        <v>0</v>
      </c>
    </row>
    <row r="245" spans="6:8">
      <c r="F245" s="3"/>
      <c r="G245" s="3"/>
      <c r="H245" s="159">
        <f>SUMIFS('Diversion and Disposal'!$BT$14:$BT$113,'Diversion and Disposal'!$BF$14:$BF$113,'Data output'!F245,'Diversion and Disposal'!$BG$14:$BG$113,'Data output'!G245)</f>
        <v>0</v>
      </c>
    </row>
    <row r="246" spans="6:8">
      <c r="F246" s="3"/>
      <c r="G246" s="3"/>
      <c r="H246" s="159">
        <f>SUMIFS('Diversion and Disposal'!$BT$14:$BT$113,'Diversion and Disposal'!$BF$14:$BF$113,'Data output'!F246,'Diversion and Disposal'!$BG$14:$BG$113,'Data output'!G246)</f>
        <v>0</v>
      </c>
    </row>
    <row r="247" spans="6:8">
      <c r="F247" s="3"/>
      <c r="G247" s="3"/>
      <c r="H247" s="159">
        <f>SUMIFS('Diversion and Disposal'!$BT$14:$BT$113,'Diversion and Disposal'!$BF$14:$BF$113,'Data output'!F247,'Diversion and Disposal'!$BG$14:$BG$113,'Data output'!G247)</f>
        <v>0</v>
      </c>
    </row>
    <row r="248" spans="6:8">
      <c r="F248" s="3"/>
      <c r="G248" s="3"/>
      <c r="H248" s="159">
        <f>SUMIFS('Diversion and Disposal'!$BT$14:$BT$113,'Diversion and Disposal'!$BF$14:$BF$113,'Data output'!F248,'Diversion and Disposal'!$BG$14:$BG$113,'Data output'!G248)</f>
        <v>0</v>
      </c>
    </row>
    <row r="249" spans="6:8">
      <c r="F249" s="3"/>
      <c r="G249" s="3"/>
      <c r="H249" s="159">
        <f>SUMIFS('Diversion and Disposal'!$BT$14:$BT$113,'Diversion and Disposal'!$BF$14:$BF$113,'Data output'!F249,'Diversion and Disposal'!$BG$14:$BG$113,'Data output'!G249)</f>
        <v>0</v>
      </c>
    </row>
    <row r="250" spans="6:8">
      <c r="F250" s="3"/>
      <c r="G250" s="3"/>
      <c r="H250" s="159">
        <f>SUMIFS('Diversion and Disposal'!$BT$14:$BT$113,'Diversion and Disposal'!$BF$14:$BF$113,'Data output'!F250,'Diversion and Disposal'!$BG$14:$BG$113,'Data output'!G250)</f>
        <v>0</v>
      </c>
    </row>
    <row r="251" spans="6:8">
      <c r="F251" s="3"/>
      <c r="G251" s="3"/>
      <c r="H251" s="159">
        <f>SUMIFS('Diversion and Disposal'!$BT$14:$BT$113,'Diversion and Disposal'!$BF$14:$BF$113,'Data output'!F251,'Diversion and Disposal'!$BG$14:$BG$113,'Data output'!G251)</f>
        <v>0</v>
      </c>
    </row>
    <row r="252" spans="6:8">
      <c r="F252" s="3"/>
      <c r="G252" s="3"/>
      <c r="H252" s="159">
        <f>SUMIFS('Diversion and Disposal'!$BT$14:$BT$113,'Diversion and Disposal'!$BF$14:$BF$113,'Data output'!F252,'Diversion and Disposal'!$BG$14:$BG$113,'Data output'!G252)</f>
        <v>0</v>
      </c>
    </row>
    <row r="253" spans="6:8">
      <c r="F253" s="3"/>
      <c r="G253" s="3"/>
      <c r="H253" s="159">
        <f>SUMIFS('Diversion and Disposal'!$BT$14:$BT$113,'Diversion and Disposal'!$BF$14:$BF$113,'Data output'!F253,'Diversion and Disposal'!$BG$14:$BG$113,'Data output'!G253)</f>
        <v>0</v>
      </c>
    </row>
    <row r="254" spans="6:8">
      <c r="F254" s="3"/>
      <c r="G254" s="3"/>
      <c r="H254" s="159">
        <f>SUMIFS('Diversion and Disposal'!$BT$14:$BT$113,'Diversion and Disposal'!$BF$14:$BF$113,'Data output'!F254,'Diversion and Disposal'!$BG$14:$BG$113,'Data output'!G254)</f>
        <v>0</v>
      </c>
    </row>
    <row r="255" spans="6:8">
      <c r="F255" s="3"/>
      <c r="G255" s="3"/>
      <c r="H255" s="159">
        <f>SUMIFS('Diversion and Disposal'!$BT$14:$BT$113,'Diversion and Disposal'!$BF$14:$BF$113,'Data output'!F255,'Diversion and Disposal'!$BG$14:$BG$113,'Data output'!G255)</f>
        <v>0</v>
      </c>
    </row>
    <row r="256" spans="6:8">
      <c r="F256" s="3"/>
      <c r="G256" s="3"/>
      <c r="H256" s="159">
        <f>SUMIFS('Diversion and Disposal'!$BT$14:$BT$113,'Diversion and Disposal'!$BF$14:$BF$113,'Data output'!F256,'Diversion and Disposal'!$BG$14:$BG$113,'Data output'!G256)</f>
        <v>0</v>
      </c>
    </row>
    <row r="257" spans="1:21">
      <c r="F257" s="3"/>
      <c r="G257" s="3"/>
      <c r="H257" s="159">
        <f>SUMIFS('Diversion and Disposal'!$BT$14:$BT$113,'Diversion and Disposal'!$BF$14:$BF$113,'Data output'!F257,'Diversion and Disposal'!$BG$14:$BG$113,'Data output'!G257)</f>
        <v>0</v>
      </c>
    </row>
    <row r="258" spans="1:21">
      <c r="F258" s="3"/>
      <c r="G258" s="3"/>
      <c r="H258" s="159">
        <f>SUMIFS('Diversion and Disposal'!$BT$14:$BT$113,'Diversion and Disposal'!$BF$14:$BF$113,'Data output'!F258,'Diversion and Disposal'!$BG$14:$BG$113,'Data output'!G258)</f>
        <v>0</v>
      </c>
    </row>
    <row r="259" spans="1:21">
      <c r="F259" s="3"/>
      <c r="G259" s="3"/>
      <c r="H259" s="159">
        <f>SUMIFS('Diversion and Disposal'!$BT$14:$BT$113,'Diversion and Disposal'!$BF$14:$BF$113,'Data output'!F259,'Diversion and Disposal'!$BG$14:$BG$113,'Data output'!G259)</f>
        <v>0</v>
      </c>
    </row>
    <row r="260" spans="1:21">
      <c r="F260" s="3"/>
      <c r="G260" s="3"/>
      <c r="H260" s="159">
        <f>SUMIFS('Diversion and Disposal'!$BT$14:$BT$113,'Diversion and Disposal'!$BF$14:$BF$113,'Data output'!F260,'Diversion and Disposal'!$BG$14:$BG$113,'Data output'!G260)</f>
        <v>0</v>
      </c>
    </row>
    <row r="261" spans="1:21">
      <c r="F261" s="3"/>
      <c r="G261" s="3"/>
      <c r="H261" s="159">
        <f>SUMIFS('Diversion and Disposal'!$BT$14:$BT$113,'Diversion and Disposal'!$BF$14:$BF$113,'Data output'!F261,'Diversion and Disposal'!$BG$14:$BG$113,'Data output'!G261)</f>
        <v>0</v>
      </c>
    </row>
    <row r="262" spans="1:21">
      <c r="F262" s="3"/>
      <c r="G262" s="3"/>
      <c r="H262" s="159">
        <f>SUMIFS('Diversion and Disposal'!$BT$14:$BT$113,'Diversion and Disposal'!$BF$14:$BF$113,'Data output'!F262,'Diversion and Disposal'!$BG$14:$BG$113,'Data output'!G262)</f>
        <v>0</v>
      </c>
    </row>
    <row r="263" spans="1:21">
      <c r="F263" s="3"/>
      <c r="G263" s="3"/>
      <c r="H263" s="159">
        <f>SUMIFS('Diversion and Disposal'!$BT$14:$BT$113,'Diversion and Disposal'!$BF$14:$BF$113,'Data output'!F263,'Diversion and Disposal'!$BG$14:$BG$113,'Data output'!G263)</f>
        <v>0</v>
      </c>
    </row>
    <row r="264" spans="1:21">
      <c r="F264" s="3"/>
      <c r="G264" s="3"/>
      <c r="H264" s="159">
        <f>SUMIFS('Diversion and Disposal'!$BT$14:$BT$113,'Diversion and Disposal'!$BF$14:$BF$113,'Data output'!F264,'Diversion and Disposal'!$BG$14:$BG$113,'Data output'!G264)</f>
        <v>0</v>
      </c>
    </row>
    <row r="266" spans="1:21">
      <c r="F266" s="16"/>
      <c r="G266" s="21"/>
    </row>
    <row r="267" spans="1:21">
      <c r="A267" s="18"/>
      <c r="B267" s="18"/>
      <c r="C267" s="18"/>
      <c r="D267" s="18"/>
      <c r="E267" s="18"/>
      <c r="F267" s="19"/>
      <c r="G267" s="20"/>
      <c r="H267" s="18"/>
      <c r="I267" s="18"/>
      <c r="J267" s="18"/>
      <c r="K267" s="18"/>
      <c r="L267" s="18"/>
      <c r="M267" s="18"/>
      <c r="N267" s="18"/>
      <c r="O267" s="18"/>
      <c r="P267" s="18"/>
      <c r="Q267" s="18"/>
      <c r="R267" s="18"/>
      <c r="S267" s="18"/>
      <c r="T267" s="18"/>
      <c r="U267" s="18"/>
    </row>
    <row r="268" spans="1:21">
      <c r="E268" s="1" t="s">
        <v>485</v>
      </c>
      <c r="F268" s="16"/>
      <c r="G268" s="29"/>
    </row>
    <row r="269" spans="1:21">
      <c r="G269" s="29"/>
    </row>
    <row r="271" spans="1:21" ht="43.2">
      <c r="C271" s="163"/>
      <c r="F271" s="106" t="s">
        <v>357</v>
      </c>
      <c r="G271" s="106" t="s">
        <v>358</v>
      </c>
      <c r="H271" s="106" t="s">
        <v>486</v>
      </c>
      <c r="I271" s="106" t="s">
        <v>487</v>
      </c>
    </row>
    <row r="272" spans="1:21">
      <c r="F272" s="6" t="str" cm="1">
        <f t="array" ref="F272:F279">ls_WHM</f>
        <v>Reduce</v>
      </c>
      <c r="G272" s="79">
        <f>IFERROR(SUMIF(Financial!$B$14:$B$26,F272,Financial!$O$14:$O$26),"")</f>
        <v>0</v>
      </c>
      <c r="H272" s="79">
        <f>IFERROR($G$277/SUMIF('Diversion and Disposal'!$G$14:$G$113,Lookups!$H$114,'Diversion and Disposal'!$T$14:$T$113)*SUMIF('Diversion and Disposal'!$G$14:$G$113,'Data output'!F272,'Diversion and Disposal'!$T$14:$T$113),0)</f>
        <v>0</v>
      </c>
      <c r="I272" s="79">
        <f>H272-G272</f>
        <v>0</v>
      </c>
    </row>
    <row r="273" spans="6:15">
      <c r="F273" s="6" t="str">
        <v>Reuse</v>
      </c>
      <c r="G273" s="79">
        <f>IFERROR(SUMIF(Financial!$B$14:$B$26,F273,Financial!$O$14:$O$26),"")</f>
        <v>0</v>
      </c>
      <c r="H273" s="79">
        <f>IFERROR($G$277/SUMIF('Diversion and Disposal'!$G$14:$G$113,Lookups!$H$114,'Diversion and Disposal'!$T$14:$T$113)*SUMIF('Diversion and Disposal'!$G$14:$G$113,'Data output'!F273,'Diversion and Disposal'!$T$14:$T$113),0)</f>
        <v>0</v>
      </c>
      <c r="I273" s="79">
        <f t="shared" ref="I273:I279" si="11">H273-G273</f>
        <v>0</v>
      </c>
    </row>
    <row r="274" spans="6:15">
      <c r="F274" s="6" t="str">
        <v>Recycle</v>
      </c>
      <c r="G274" s="79">
        <f>IFERROR(SUMIF(Financial!$B$14:$B$26,F274,Financial!$O$14:$O$26),"")</f>
        <v>0</v>
      </c>
      <c r="H274" s="79">
        <f>IFERROR($G$277/SUMIF('Diversion and Disposal'!$G$14:$G$113,Lookups!$H$114,'Diversion and Disposal'!$T$14:$T$113)*SUMIF('Diversion and Disposal'!$G$14:$G$113,'Data output'!F274,'Diversion and Disposal'!$T$14:$T$113),0)</f>
        <v>0</v>
      </c>
      <c r="I274" s="79">
        <f t="shared" si="11"/>
        <v>0</v>
      </c>
    </row>
    <row r="275" spans="6:15">
      <c r="F275" s="6" t="str">
        <v>Composting</v>
      </c>
      <c r="G275" s="79">
        <f>IFERROR(SUMIF(Financial!$B$14:$B$26,F275,Financial!$O$14:$O$26),"")</f>
        <v>0</v>
      </c>
      <c r="H275" s="79">
        <f>IFERROR($G$277/SUMIF('Diversion and Disposal'!$G$14:$G$113,Lookups!$H$114,'Diversion and Disposal'!$T$14:$T$113)*SUMIF('Diversion and Disposal'!$G$14:$G$113,'Data output'!F275,'Diversion and Disposal'!$T$14:$T$113),0)</f>
        <v>0</v>
      </c>
      <c r="I275" s="79">
        <f t="shared" si="11"/>
        <v>0</v>
      </c>
    </row>
    <row r="276" spans="6:15">
      <c r="F276" s="6" t="str">
        <v>Anaerobic Digestion</v>
      </c>
      <c r="G276" s="79">
        <f>IFERROR(SUMIF(Financial!$B$14:$B$26,F276,Financial!$O$14:$O$26),"")</f>
        <v>0</v>
      </c>
      <c r="H276" s="79">
        <f>IFERROR($G$277/SUMIF('Diversion and Disposal'!$G$14:$G$113,Lookups!$H$114,'Diversion and Disposal'!$T$14:$T$113)*SUMIF('Diversion and Disposal'!$G$14:$G$113,'Data output'!F276,'Diversion and Disposal'!$T$14:$T$113),0)</f>
        <v>0</v>
      </c>
      <c r="I276" s="79">
        <f t="shared" si="11"/>
        <v>0</v>
      </c>
    </row>
    <row r="277" spans="6:15">
      <c r="F277" s="6" t="str">
        <v>Landfill</v>
      </c>
      <c r="G277" s="79">
        <f>IFERROR(SUMIF(Financial!$B$14:$B$26,F277,Financial!$O$14:$O$26),"")</f>
        <v>0</v>
      </c>
      <c r="H277" s="79">
        <f>IFERROR($G$277/SUMIF('Diversion and Disposal'!$G$14:$G$113,Lookups!$H$114,'Diversion and Disposal'!$T$14:$T$113)*SUMIF('Diversion and Disposal'!$G$14:$G$113,'Data output'!F277,'Diversion and Disposal'!$T$14:$T$113),0)</f>
        <v>0</v>
      </c>
      <c r="I277" s="79">
        <f t="shared" si="11"/>
        <v>0</v>
      </c>
    </row>
    <row r="278" spans="6:15">
      <c r="F278" s="6" t="str">
        <v>Waste-to-Energy</v>
      </c>
      <c r="G278" s="79">
        <f>IFERROR(SUMIF(Financial!$B$14:$B$26,F278,Financial!$O$14:$O$26),"")</f>
        <v>0</v>
      </c>
      <c r="H278" s="79">
        <f>IFERROR($G$277/SUMIF('Diversion and Disposal'!$G$14:$G$113,Lookups!$H$114,'Diversion and Disposal'!$T$14:$T$113)*SUMIF('Diversion and Disposal'!$G$14:$G$113,'Data output'!F278,'Diversion and Disposal'!$T$14:$T$113),0)</f>
        <v>0</v>
      </c>
      <c r="I278" s="79">
        <f t="shared" si="11"/>
        <v>0</v>
      </c>
    </row>
    <row r="279" spans="6:15">
      <c r="F279" s="6" t="str">
        <v>Incineration</v>
      </c>
      <c r="G279" s="79">
        <f>IFERROR(SUMIF(Financial!$B$14:$B$26,F279,Financial!$O$14:$O$26),"")</f>
        <v>0</v>
      </c>
      <c r="H279" s="79">
        <f>IFERROR($G$277/SUMIF('Diversion and Disposal'!$G$14:$G$113,Lookups!$H$114,'Diversion and Disposal'!$T$14:$T$113)*SUMIF('Diversion and Disposal'!$G$14:$G$113,'Data output'!F279,'Diversion and Disposal'!$T$14:$T$113),0)</f>
        <v>0</v>
      </c>
      <c r="I279" s="79">
        <f t="shared" si="11"/>
        <v>0</v>
      </c>
    </row>
    <row r="280" spans="6:15">
      <c r="F280" s="152" t="s">
        <v>464</v>
      </c>
      <c r="G280" s="152"/>
      <c r="H280" s="152"/>
      <c r="I280" s="152"/>
    </row>
    <row r="281" spans="6:15">
      <c r="F281" s="6" t="s">
        <v>374</v>
      </c>
      <c r="G281" s="80">
        <f>SUM(G272:G276)</f>
        <v>0</v>
      </c>
      <c r="H281" s="80">
        <f t="shared" ref="H281:I281" si="12">SUM(H272:H276)</f>
        <v>0</v>
      </c>
      <c r="I281" s="80">
        <f t="shared" si="12"/>
        <v>0</v>
      </c>
    </row>
    <row r="282" spans="6:15">
      <c r="F282" s="6" t="s">
        <v>466</v>
      </c>
      <c r="G282" s="80">
        <f>SUM(G277:G279)</f>
        <v>0</v>
      </c>
      <c r="H282" s="80">
        <f t="shared" ref="H282:I282" si="13">SUM(H277:H279)</f>
        <v>0</v>
      </c>
      <c r="I282" s="80">
        <f t="shared" si="13"/>
        <v>0</v>
      </c>
    </row>
    <row r="283" spans="6:15">
      <c r="F283" s="6" t="s">
        <v>468</v>
      </c>
      <c r="G283" s="113">
        <f>SUM(G273:G279)</f>
        <v>0</v>
      </c>
      <c r="H283" s="113">
        <f>SUM(H273:H279)</f>
        <v>0</v>
      </c>
      <c r="I283" s="113">
        <f>SUM(I273:I279)</f>
        <v>0</v>
      </c>
    </row>
    <row r="284" spans="6:15">
      <c r="F284" s="56" t="s">
        <v>479</v>
      </c>
      <c r="G284" s="153">
        <f>SUM(G281:G282)</f>
        <v>0</v>
      </c>
      <c r="H284" s="153">
        <f>SUM(H281:H282)</f>
        <v>0</v>
      </c>
      <c r="I284" s="153">
        <f>SUM(I281:I282)</f>
        <v>0</v>
      </c>
    </row>
    <row r="285" spans="6:15">
      <c r="F285" s="89"/>
      <c r="G285" s="157"/>
      <c r="H285" s="157"/>
      <c r="I285" s="157"/>
    </row>
    <row r="286" spans="6:15">
      <c r="F286" s="164"/>
      <c r="M286" s="34"/>
    </row>
    <row r="287" spans="6:15">
      <c r="F287" s="1" t="s">
        <v>488</v>
      </c>
      <c r="G287" s="21"/>
      <c r="M287" t="s">
        <v>489</v>
      </c>
    </row>
    <row r="288" spans="6:15" ht="28.8">
      <c r="F288" s="154" t="s">
        <v>224</v>
      </c>
      <c r="G288" s="154" t="s">
        <v>225</v>
      </c>
      <c r="H288" s="154" t="s">
        <v>367</v>
      </c>
      <c r="M288" s="154" t="s">
        <v>224</v>
      </c>
      <c r="N288" s="154" t="s">
        <v>225</v>
      </c>
      <c r="O288" s="154" t="s">
        <v>367</v>
      </c>
    </row>
    <row r="289" spans="6:15">
      <c r="F289" s="118" cm="1">
        <f t="array" ref="F289">IFERROR(_xlfn.UNIQUE(_xlfn._xlws.FILTER('Diversion and Disposal'!$F$14:$G$113,'Diversion and Disposal'!$F$14:$F$113&lt;&gt;"")),0)</f>
        <v>0</v>
      </c>
      <c r="G289" s="155"/>
      <c r="H289" s="156" t="str">
        <f>IFERROR(INDEX($G$272:$G$279,MATCH(G289,$F$272:$F$279,0))/SUMIF('Diversion and Disposal'!$BG$14:$BG$113,G289,'Diversion and Disposal'!$BT$14:$BT$113)*SUMIFS('Diversion and Disposal'!$BT$14:$BT$113,'Diversion and Disposal'!$BG$14:$BG$113,G289,'Diversion and Disposal'!$BF$14:$BF$113,F289),"No data")</f>
        <v>No data</v>
      </c>
      <c r="J289" s="106" t="s">
        <v>279</v>
      </c>
      <c r="K289" s="156" cm="1">
        <f t="array" ref="K289">SUM(IFERROR($H$289:$H$388,0))</f>
        <v>0</v>
      </c>
      <c r="M289" s="118" cm="1">
        <f t="array" ref="M289:O289">_xlfn._xlws.SORT(_xlfn._xlws.FILTER($F$289:$H$388,$F$289:$F$388&lt;&gt;""),3,-1)</f>
        <v>0</v>
      </c>
      <c r="N289" s="155">
        <v>0</v>
      </c>
      <c r="O289" s="156" t="str">
        <v>No data</v>
      </c>
    </row>
    <row r="290" spans="6:15">
      <c r="F290" s="118"/>
      <c r="G290" s="155"/>
      <c r="H290" s="156" t="str">
        <f>IFERROR(INDEX($G$272:$G$279,MATCH(G290,$F$272:$F$279,0))/SUMIF('Diversion and Disposal'!$BG$14:$BG$113,G290,'Diversion and Disposal'!$BT$14:$BT$113)*SUMIFS('Diversion and Disposal'!$BT$14:$BT$113,'Diversion and Disposal'!$BG$14:$BG$113,G290,'Diversion and Disposal'!$BF$14:$BF$113,F290),"No data")</f>
        <v>No data</v>
      </c>
      <c r="M290" s="118"/>
      <c r="N290" s="155"/>
      <c r="O290" s="156"/>
    </row>
    <row r="291" spans="6:15">
      <c r="F291" s="118"/>
      <c r="G291" s="155"/>
      <c r="H291" s="156" t="str">
        <f>IFERROR(INDEX($G$272:$G$279,MATCH(G291,$F$272:$F$279,0))/SUMIF('Diversion and Disposal'!$BG$14:$BG$113,G291,'Diversion and Disposal'!$BT$14:$BT$113)*SUMIFS('Diversion and Disposal'!$BT$14:$BT$113,'Diversion and Disposal'!$BG$14:$BG$113,G291,'Diversion and Disposal'!$BF$14:$BF$113,F291),"No data")</f>
        <v>No data</v>
      </c>
      <c r="M291" s="118"/>
      <c r="N291" s="155"/>
      <c r="O291" s="156"/>
    </row>
    <row r="292" spans="6:15">
      <c r="F292" s="118"/>
      <c r="G292" s="155"/>
      <c r="H292" s="156" t="str">
        <f>IFERROR(INDEX($G$272:$G$279,MATCH(G292,$F$272:$F$279,0))/SUMIF('Diversion and Disposal'!$BG$14:$BG$113,G292,'Diversion and Disposal'!$BT$14:$BT$113)*SUMIFS('Diversion and Disposal'!$BT$14:$BT$113,'Diversion and Disposal'!$BG$14:$BG$113,G292,'Diversion and Disposal'!$BF$14:$BF$113,F292),"No data")</f>
        <v>No data</v>
      </c>
      <c r="M292" s="118"/>
      <c r="N292" s="155"/>
      <c r="O292" s="156"/>
    </row>
    <row r="293" spans="6:15">
      <c r="F293" s="118"/>
      <c r="G293" s="155"/>
      <c r="H293" s="156" t="str">
        <f>IFERROR(INDEX($G$272:$G$279,MATCH(G293,$F$272:$F$279,0))/SUMIF('Diversion and Disposal'!$BG$14:$BG$113,G293,'Diversion and Disposal'!$BT$14:$BT$113)*SUMIFS('Diversion and Disposal'!$BT$14:$BT$113,'Diversion and Disposal'!$BG$14:$BG$113,G293,'Diversion and Disposal'!$BF$14:$BF$113,F293),"No data")</f>
        <v>No data</v>
      </c>
      <c r="M293" s="118"/>
      <c r="N293" s="155"/>
      <c r="O293" s="156"/>
    </row>
    <row r="294" spans="6:15">
      <c r="F294" s="118"/>
      <c r="G294" s="155"/>
      <c r="H294" s="156" t="str">
        <f>IFERROR(INDEX($G$272:$G$279,MATCH(G294,$F$272:$F$279,0))/SUMIF('Diversion and Disposal'!$BG$14:$BG$113,G294,'Diversion and Disposal'!$BT$14:$BT$113)*SUMIFS('Diversion and Disposal'!$BT$14:$BT$113,'Diversion and Disposal'!$BG$14:$BG$113,G294,'Diversion and Disposal'!$BF$14:$BF$113,F294),"No data")</f>
        <v>No data</v>
      </c>
      <c r="M294" s="118"/>
      <c r="N294" s="155"/>
      <c r="O294" s="156"/>
    </row>
    <row r="295" spans="6:15">
      <c r="F295" s="118"/>
      <c r="G295" s="155"/>
      <c r="H295" s="156" t="str">
        <f>IFERROR(INDEX($G$272:$G$279,MATCH(G295,$F$272:$F$279,0))/SUMIF('Diversion and Disposal'!$BG$14:$BG$113,G295,'Diversion and Disposal'!$BT$14:$BT$113)*SUMIFS('Diversion and Disposal'!$BT$14:$BT$113,'Diversion and Disposal'!$BG$14:$BG$113,G295,'Diversion and Disposal'!$BF$14:$BF$113,F295),"No data")</f>
        <v>No data</v>
      </c>
      <c r="M295" s="118"/>
      <c r="N295" s="155"/>
      <c r="O295" s="156"/>
    </row>
    <row r="296" spans="6:15">
      <c r="F296" s="118"/>
      <c r="G296" s="155"/>
      <c r="H296" s="156" t="str">
        <f>IFERROR(INDEX($G$272:$G$279,MATCH(G296,$F$272:$F$279,0))/SUMIF('Diversion and Disposal'!$BG$14:$BG$113,G296,'Diversion and Disposal'!$BT$14:$BT$113)*SUMIFS('Diversion and Disposal'!$BT$14:$BT$113,'Diversion and Disposal'!$BG$14:$BG$113,G296,'Diversion and Disposal'!$BF$14:$BF$113,F296),"No data")</f>
        <v>No data</v>
      </c>
      <c r="M296" s="118"/>
      <c r="N296" s="155"/>
      <c r="O296" s="156"/>
    </row>
    <row r="297" spans="6:15">
      <c r="F297" s="118"/>
      <c r="G297" s="155"/>
      <c r="H297" s="156" t="str">
        <f>IFERROR(INDEX($G$272:$G$279,MATCH(G297,$F$272:$F$279,0))/SUMIF('Diversion and Disposal'!$BG$14:$BG$113,G297,'Diversion and Disposal'!$BT$14:$BT$113)*SUMIFS('Diversion and Disposal'!$BT$14:$BT$113,'Diversion and Disposal'!$BG$14:$BG$113,G297,'Diversion and Disposal'!$BF$14:$BF$113,F297),"No data")</f>
        <v>No data</v>
      </c>
      <c r="M297" s="118"/>
      <c r="N297" s="155"/>
      <c r="O297" s="156"/>
    </row>
    <row r="298" spans="6:15">
      <c r="F298" s="118"/>
      <c r="G298" s="155"/>
      <c r="H298" s="156" t="str">
        <f>IFERROR(INDEX($G$272:$G$279,MATCH(G298,$F$272:$F$279,0))/SUMIF('Diversion and Disposal'!$BG$14:$BG$113,G298,'Diversion and Disposal'!$BT$14:$BT$113)*SUMIFS('Diversion and Disposal'!$BT$14:$BT$113,'Diversion and Disposal'!$BG$14:$BG$113,G298,'Diversion and Disposal'!$BF$14:$BF$113,F298),"No data")</f>
        <v>No data</v>
      </c>
      <c r="M298" s="118"/>
      <c r="N298" s="155"/>
      <c r="O298" s="156"/>
    </row>
    <row r="299" spans="6:15">
      <c r="F299" s="118"/>
      <c r="G299" s="155"/>
      <c r="H299" s="156" t="str">
        <f>IFERROR(INDEX($G$272:$G$279,MATCH(G299,$F$272:$F$279,0))/SUMIF('Diversion and Disposal'!$BG$14:$BG$113,G299,'Diversion and Disposal'!$BT$14:$BT$113)*SUMIFS('Diversion and Disposal'!$BT$14:$BT$113,'Diversion and Disposal'!$BG$14:$BG$113,G299,'Diversion and Disposal'!$BF$14:$BF$113,F299),"No data")</f>
        <v>No data</v>
      </c>
      <c r="M299" s="118"/>
      <c r="N299" s="155"/>
      <c r="O299" s="156"/>
    </row>
    <row r="300" spans="6:15">
      <c r="F300" s="118"/>
      <c r="G300" s="155"/>
      <c r="H300" s="156" t="str">
        <f>IFERROR(INDEX($G$272:$G$279,MATCH(G300,$F$272:$F$279,0))/SUMIF('Diversion and Disposal'!$BG$14:$BG$113,G300,'Diversion and Disposal'!$BT$14:$BT$113)*SUMIFS('Diversion and Disposal'!$BT$14:$BT$113,'Diversion and Disposal'!$BG$14:$BG$113,G300,'Diversion and Disposal'!$BF$14:$BF$113,F300),"No data")</f>
        <v>No data</v>
      </c>
      <c r="M300" s="118"/>
      <c r="N300" s="155"/>
      <c r="O300" s="156"/>
    </row>
    <row r="301" spans="6:15">
      <c r="F301" s="118"/>
      <c r="G301" s="155"/>
      <c r="H301" s="156" t="str">
        <f>IFERROR(INDEX($G$272:$G$279,MATCH(G301,$F$272:$F$279,0))/SUMIF('Diversion and Disposal'!$BG$14:$BG$113,G301,'Diversion and Disposal'!$BT$14:$BT$113)*SUMIFS('Diversion and Disposal'!$BT$14:$BT$113,'Diversion and Disposal'!$BG$14:$BG$113,G301,'Diversion and Disposal'!$BF$14:$BF$113,F301),"No data")</f>
        <v>No data</v>
      </c>
      <c r="M301" s="118"/>
      <c r="N301" s="155"/>
      <c r="O301" s="156"/>
    </row>
    <row r="302" spans="6:15">
      <c r="F302" s="118"/>
      <c r="G302" s="155"/>
      <c r="H302" s="156" t="str">
        <f>IFERROR(INDEX($G$272:$G$279,MATCH(G302,$F$272:$F$279,0))/SUMIF('Diversion and Disposal'!$BG$14:$BG$113,G302,'Diversion and Disposal'!$BT$14:$BT$113)*SUMIFS('Diversion and Disposal'!$BT$14:$BT$113,'Diversion and Disposal'!$BG$14:$BG$113,G302,'Diversion and Disposal'!$BF$14:$BF$113,F302),"No data")</f>
        <v>No data</v>
      </c>
      <c r="M302" s="118"/>
      <c r="N302" s="155"/>
      <c r="O302" s="156"/>
    </row>
    <row r="303" spans="6:15">
      <c r="F303" s="118"/>
      <c r="G303" s="155"/>
      <c r="H303" s="156" t="str">
        <f>IFERROR(INDEX($G$272:$G$279,MATCH(G303,$F$272:$F$279,0))/SUMIF('Diversion and Disposal'!$BG$14:$BG$113,G303,'Diversion and Disposal'!$BT$14:$BT$113)*SUMIFS('Diversion and Disposal'!$BT$14:$BT$113,'Diversion and Disposal'!$BG$14:$BG$113,G303,'Diversion and Disposal'!$BF$14:$BF$113,F303),"No data")</f>
        <v>No data</v>
      </c>
      <c r="M303" s="118"/>
      <c r="N303" s="155"/>
      <c r="O303" s="156"/>
    </row>
    <row r="304" spans="6:15">
      <c r="F304" s="118"/>
      <c r="G304" s="155"/>
      <c r="H304" s="156" t="str">
        <f>IFERROR(INDEX($G$272:$G$279,MATCH(G304,$F$272:$F$279,0))/SUMIF('Diversion and Disposal'!$BG$14:$BG$113,G304,'Diversion and Disposal'!$BT$14:$BT$113)*SUMIFS('Diversion and Disposal'!$BT$14:$BT$113,'Diversion and Disposal'!$BG$14:$BG$113,G304,'Diversion and Disposal'!$BF$14:$BF$113,F304),"No data")</f>
        <v>No data</v>
      </c>
      <c r="M304" s="118"/>
      <c r="N304" s="155"/>
      <c r="O304" s="156"/>
    </row>
    <row r="305" spans="6:15">
      <c r="F305" s="118"/>
      <c r="G305" s="155"/>
      <c r="H305" s="156" t="str">
        <f>IFERROR(INDEX($G$272:$G$279,MATCH(G305,$F$272:$F$279,0))/SUMIF('Diversion and Disposal'!$BG$14:$BG$113,G305,'Diversion and Disposal'!$BT$14:$BT$113)*SUMIFS('Diversion and Disposal'!$BT$14:$BT$113,'Diversion and Disposal'!$BG$14:$BG$113,G305,'Diversion and Disposal'!$BF$14:$BF$113,F305),"No data")</f>
        <v>No data</v>
      </c>
      <c r="M305" s="118"/>
      <c r="N305" s="155"/>
      <c r="O305" s="156"/>
    </row>
    <row r="306" spans="6:15">
      <c r="F306" s="118"/>
      <c r="G306" s="155"/>
      <c r="H306" s="156" t="str">
        <f>IFERROR(INDEX($G$272:$G$279,MATCH(G306,$F$272:$F$279,0))/SUMIF('Diversion and Disposal'!$BG$14:$BG$113,G306,'Diversion and Disposal'!$BT$14:$BT$113)*SUMIFS('Diversion and Disposal'!$BT$14:$BT$113,'Diversion and Disposal'!$BG$14:$BG$113,G306,'Diversion and Disposal'!$BF$14:$BF$113,F306),"No data")</f>
        <v>No data</v>
      </c>
      <c r="M306" s="118"/>
      <c r="N306" s="155"/>
      <c r="O306" s="156"/>
    </row>
    <row r="307" spans="6:15">
      <c r="F307" s="118"/>
      <c r="G307" s="155"/>
      <c r="H307" s="156" t="str">
        <f>IFERROR(INDEX($G$272:$G$279,MATCH(G307,$F$272:$F$279,0))/SUMIF('Diversion and Disposal'!$BG$14:$BG$113,G307,'Diversion and Disposal'!$BT$14:$BT$113)*SUMIFS('Diversion and Disposal'!$BT$14:$BT$113,'Diversion and Disposal'!$BG$14:$BG$113,G307,'Diversion and Disposal'!$BF$14:$BF$113,F307),"No data")</f>
        <v>No data</v>
      </c>
      <c r="M307" s="118"/>
      <c r="N307" s="155"/>
      <c r="O307" s="156"/>
    </row>
    <row r="308" spans="6:15">
      <c r="F308" s="118"/>
      <c r="G308" s="155"/>
      <c r="H308" s="156" t="str">
        <f>IFERROR(INDEX($G$272:$G$279,MATCH(G308,$F$272:$F$279,0))/SUMIF('Diversion and Disposal'!$BG$14:$BG$113,G308,'Diversion and Disposal'!$BT$14:$BT$113)*SUMIFS('Diversion and Disposal'!$BT$14:$BT$113,'Diversion and Disposal'!$BG$14:$BG$113,G308,'Diversion and Disposal'!$BF$14:$BF$113,F308),"No data")</f>
        <v>No data</v>
      </c>
      <c r="M308" s="118"/>
      <c r="N308" s="155"/>
      <c r="O308" s="156"/>
    </row>
    <row r="309" spans="6:15">
      <c r="F309" s="118"/>
      <c r="G309" s="155"/>
      <c r="H309" s="156" t="str">
        <f>IFERROR(INDEX($G$272:$G$279,MATCH(G309,$F$272:$F$279,0))/SUMIF('Diversion and Disposal'!$BG$14:$BG$113,G309,'Diversion and Disposal'!$BT$14:$BT$113)*SUMIFS('Diversion and Disposal'!$BT$14:$BT$113,'Diversion and Disposal'!$BG$14:$BG$113,G309,'Diversion and Disposal'!$BF$14:$BF$113,F309),"No data")</f>
        <v>No data</v>
      </c>
      <c r="M309" s="118"/>
      <c r="N309" s="155"/>
      <c r="O309" s="156"/>
    </row>
    <row r="310" spans="6:15">
      <c r="F310" s="118"/>
      <c r="G310" s="155"/>
      <c r="H310" s="156" t="str">
        <f>IFERROR(INDEX($G$272:$G$279,MATCH(G310,$F$272:$F$279,0))/SUMIF('Diversion and Disposal'!$BG$14:$BG$113,G310,'Diversion and Disposal'!$BT$14:$BT$113)*SUMIFS('Diversion and Disposal'!$BT$14:$BT$113,'Diversion and Disposal'!$BG$14:$BG$113,G310,'Diversion and Disposal'!$BF$14:$BF$113,F310),"No data")</f>
        <v>No data</v>
      </c>
      <c r="M310" s="118"/>
      <c r="N310" s="155"/>
      <c r="O310" s="156"/>
    </row>
    <row r="311" spans="6:15">
      <c r="F311" s="118"/>
      <c r="G311" s="155"/>
      <c r="H311" s="156" t="str">
        <f>IFERROR(INDEX($G$272:$G$279,MATCH(G311,$F$272:$F$279,0))/SUMIF('Diversion and Disposal'!$BG$14:$BG$113,G311,'Diversion and Disposal'!$BT$14:$BT$113)*SUMIFS('Diversion and Disposal'!$BT$14:$BT$113,'Diversion and Disposal'!$BG$14:$BG$113,G311,'Diversion and Disposal'!$BF$14:$BF$113,F311),"No data")</f>
        <v>No data</v>
      </c>
      <c r="M311" s="118"/>
      <c r="N311" s="155"/>
      <c r="O311" s="156"/>
    </row>
    <row r="312" spans="6:15">
      <c r="F312" s="118"/>
      <c r="G312" s="155"/>
      <c r="H312" s="156" t="str">
        <f>IFERROR(INDEX($G$272:$G$279,MATCH(G312,$F$272:$F$279,0))/SUMIF('Diversion and Disposal'!$BG$14:$BG$113,G312,'Diversion and Disposal'!$BT$14:$BT$113)*SUMIFS('Diversion and Disposal'!$BT$14:$BT$113,'Diversion and Disposal'!$BG$14:$BG$113,G312,'Diversion and Disposal'!$BF$14:$BF$113,F312),"No data")</f>
        <v>No data</v>
      </c>
      <c r="M312" s="118"/>
      <c r="N312" s="155"/>
      <c r="O312" s="156"/>
    </row>
    <row r="313" spans="6:15">
      <c r="F313" s="118"/>
      <c r="G313" s="155"/>
      <c r="H313" s="156" t="str">
        <f>IFERROR(INDEX($G$272:$G$279,MATCH(G313,$F$272:$F$279,0))/SUMIF('Diversion and Disposal'!$BG$14:$BG$113,G313,'Diversion and Disposal'!$BT$14:$BT$113)*SUMIFS('Diversion and Disposal'!$BT$14:$BT$113,'Diversion and Disposal'!$BG$14:$BG$113,G313,'Diversion and Disposal'!$BF$14:$BF$113,F313),"No data")</f>
        <v>No data</v>
      </c>
      <c r="M313" s="118"/>
      <c r="N313" s="155"/>
      <c r="O313" s="156"/>
    </row>
    <row r="314" spans="6:15">
      <c r="F314" s="118"/>
      <c r="G314" s="155"/>
      <c r="H314" s="156" t="str">
        <f>IFERROR(INDEX($G$272:$G$279,MATCH(G314,$F$272:$F$279,0))/SUMIF('Diversion and Disposal'!$BG$14:$BG$113,G314,'Diversion and Disposal'!$BT$14:$BT$113)*SUMIFS('Diversion and Disposal'!$BT$14:$BT$113,'Diversion and Disposal'!$BG$14:$BG$113,G314,'Diversion and Disposal'!$BF$14:$BF$113,F314),"No data")</f>
        <v>No data</v>
      </c>
      <c r="M314" s="118"/>
      <c r="N314" s="155"/>
      <c r="O314" s="156"/>
    </row>
    <row r="315" spans="6:15">
      <c r="F315" s="118"/>
      <c r="G315" s="155"/>
      <c r="H315" s="156" t="str">
        <f>IFERROR(INDEX($G$272:$G$279,MATCH(G315,$F$272:$F$279,0))/SUMIF('Diversion and Disposal'!$BG$14:$BG$113,G315,'Diversion and Disposal'!$BT$14:$BT$113)*SUMIFS('Diversion and Disposal'!$BT$14:$BT$113,'Diversion and Disposal'!$BG$14:$BG$113,G315,'Diversion and Disposal'!$BF$14:$BF$113,F315),"No data")</f>
        <v>No data</v>
      </c>
      <c r="M315" s="118"/>
      <c r="N315" s="155"/>
      <c r="O315" s="156"/>
    </row>
    <row r="316" spans="6:15">
      <c r="F316" s="118"/>
      <c r="G316" s="155"/>
      <c r="H316" s="156" t="str">
        <f>IFERROR(INDEX($G$272:$G$279,MATCH(G316,$F$272:$F$279,0))/SUMIF('Diversion and Disposal'!$BG$14:$BG$113,G316,'Diversion and Disposal'!$BT$14:$BT$113)*SUMIFS('Diversion and Disposal'!$BT$14:$BT$113,'Diversion and Disposal'!$BG$14:$BG$113,G316,'Diversion and Disposal'!$BF$14:$BF$113,F316),"No data")</f>
        <v>No data</v>
      </c>
      <c r="M316" s="118"/>
      <c r="N316" s="155"/>
      <c r="O316" s="156"/>
    </row>
    <row r="317" spans="6:15">
      <c r="F317" s="118"/>
      <c r="G317" s="155"/>
      <c r="H317" s="156" t="str">
        <f>IFERROR(INDEX($G$272:$G$279,MATCH(G317,$F$272:$F$279,0))/SUMIF('Diversion and Disposal'!$BG$14:$BG$113,G317,'Diversion and Disposal'!$BT$14:$BT$113)*SUMIFS('Diversion and Disposal'!$BT$14:$BT$113,'Diversion and Disposal'!$BG$14:$BG$113,G317,'Diversion and Disposal'!$BF$14:$BF$113,F317),"No data")</f>
        <v>No data</v>
      </c>
      <c r="M317" s="118"/>
      <c r="N317" s="155"/>
      <c r="O317" s="156"/>
    </row>
    <row r="318" spans="6:15">
      <c r="F318" s="118"/>
      <c r="G318" s="155"/>
      <c r="H318" s="156" t="str">
        <f>IFERROR(INDEX($G$272:$G$279,MATCH(G318,$F$272:$F$279,0))/SUMIF('Diversion and Disposal'!$BG$14:$BG$113,G318,'Diversion and Disposal'!$BT$14:$BT$113)*SUMIFS('Diversion and Disposal'!$BT$14:$BT$113,'Diversion and Disposal'!$BG$14:$BG$113,G318,'Diversion and Disposal'!$BF$14:$BF$113,F318),"No data")</f>
        <v>No data</v>
      </c>
      <c r="M318" s="118"/>
      <c r="N318" s="155"/>
      <c r="O318" s="156"/>
    </row>
    <row r="319" spans="6:15">
      <c r="F319" s="118"/>
      <c r="G319" s="155"/>
      <c r="H319" s="156" t="str">
        <f>IFERROR(INDEX($G$272:$G$279,MATCH(G319,$F$272:$F$279,0))/SUMIF('Diversion and Disposal'!$BG$14:$BG$113,G319,'Diversion and Disposal'!$BT$14:$BT$113)*SUMIFS('Diversion and Disposal'!$BT$14:$BT$113,'Diversion and Disposal'!$BG$14:$BG$113,G319,'Diversion and Disposal'!$BF$14:$BF$113,F319),"No data")</f>
        <v>No data</v>
      </c>
      <c r="M319" s="118"/>
      <c r="N319" s="155"/>
      <c r="O319" s="156"/>
    </row>
    <row r="320" spans="6:15">
      <c r="F320" s="118"/>
      <c r="G320" s="155"/>
      <c r="H320" s="156" t="str">
        <f>IFERROR(INDEX($G$272:$G$279,MATCH(G320,$F$272:$F$279,0))/SUMIF('Diversion and Disposal'!$BG$14:$BG$113,G320,'Diversion and Disposal'!$BT$14:$BT$113)*SUMIFS('Diversion and Disposal'!$BT$14:$BT$113,'Diversion and Disposal'!$BG$14:$BG$113,G320,'Diversion and Disposal'!$BF$14:$BF$113,F320),"No data")</f>
        <v>No data</v>
      </c>
      <c r="M320" s="118"/>
      <c r="N320" s="155"/>
      <c r="O320" s="156"/>
    </row>
    <row r="321" spans="6:15">
      <c r="F321" s="118"/>
      <c r="G321" s="155"/>
      <c r="H321" s="156" t="str">
        <f>IFERROR(INDEX($G$272:$G$279,MATCH(G321,$F$272:$F$279,0))/SUMIF('Diversion and Disposal'!$BG$14:$BG$113,G321,'Diversion and Disposal'!$BT$14:$BT$113)*SUMIFS('Diversion and Disposal'!$BT$14:$BT$113,'Diversion and Disposal'!$BG$14:$BG$113,G321,'Diversion and Disposal'!$BF$14:$BF$113,F321),"No data")</f>
        <v>No data</v>
      </c>
      <c r="M321" s="118"/>
      <c r="N321" s="155"/>
      <c r="O321" s="156"/>
    </row>
    <row r="322" spans="6:15">
      <c r="F322" s="118"/>
      <c r="G322" s="155"/>
      <c r="H322" s="156" t="str">
        <f>IFERROR(INDEX($G$272:$G$279,MATCH(G322,$F$272:$F$279,0))/SUMIF('Diversion and Disposal'!$BG$14:$BG$113,G322,'Diversion and Disposal'!$BT$14:$BT$113)*SUMIFS('Diversion and Disposal'!$BT$14:$BT$113,'Diversion and Disposal'!$BG$14:$BG$113,G322,'Diversion and Disposal'!$BF$14:$BF$113,F322),"No data")</f>
        <v>No data</v>
      </c>
      <c r="M322" s="118"/>
      <c r="N322" s="155"/>
      <c r="O322" s="156"/>
    </row>
    <row r="323" spans="6:15">
      <c r="F323" s="118"/>
      <c r="G323" s="155"/>
      <c r="H323" s="156" t="str">
        <f>IFERROR(INDEX($G$272:$G$279,MATCH(G323,$F$272:$F$279,0))/SUMIF('Diversion and Disposal'!$BG$14:$BG$113,G323,'Diversion and Disposal'!$BT$14:$BT$113)*SUMIFS('Diversion and Disposal'!$BT$14:$BT$113,'Diversion and Disposal'!$BG$14:$BG$113,G323,'Diversion and Disposal'!$BF$14:$BF$113,F323),"No data")</f>
        <v>No data</v>
      </c>
      <c r="M323" s="118"/>
      <c r="N323" s="155"/>
      <c r="O323" s="156"/>
    </row>
    <row r="324" spans="6:15">
      <c r="F324" s="118"/>
      <c r="G324" s="155"/>
      <c r="H324" s="156" t="str">
        <f>IFERROR(INDEX($G$272:$G$279,MATCH(G324,$F$272:$F$279,0))/SUMIF('Diversion and Disposal'!$BG$14:$BG$113,G324,'Diversion and Disposal'!$BT$14:$BT$113)*SUMIFS('Diversion and Disposal'!$BT$14:$BT$113,'Diversion and Disposal'!$BG$14:$BG$113,G324,'Diversion and Disposal'!$BF$14:$BF$113,F324),"No data")</f>
        <v>No data</v>
      </c>
      <c r="M324" s="118"/>
      <c r="N324" s="155"/>
      <c r="O324" s="156"/>
    </row>
    <row r="325" spans="6:15">
      <c r="F325" s="118"/>
      <c r="G325" s="155"/>
      <c r="H325" s="156" t="str">
        <f>IFERROR(INDEX($G$272:$G$279,MATCH(G325,$F$272:$F$279,0))/SUMIF('Diversion and Disposal'!$BG$14:$BG$113,G325,'Diversion and Disposal'!$BT$14:$BT$113)*SUMIFS('Diversion and Disposal'!$BT$14:$BT$113,'Diversion and Disposal'!$BG$14:$BG$113,G325,'Diversion and Disposal'!$BF$14:$BF$113,F325),"No data")</f>
        <v>No data</v>
      </c>
      <c r="M325" s="118"/>
      <c r="N325" s="155"/>
      <c r="O325" s="156"/>
    </row>
    <row r="326" spans="6:15">
      <c r="F326" s="118"/>
      <c r="G326" s="155"/>
      <c r="H326" s="156" t="str">
        <f>IFERROR(INDEX($G$272:$G$279,MATCH(G326,$F$272:$F$279,0))/SUMIF('Diversion and Disposal'!$BG$14:$BG$113,G326,'Diversion and Disposal'!$BT$14:$BT$113)*SUMIFS('Diversion and Disposal'!$BT$14:$BT$113,'Diversion and Disposal'!$BG$14:$BG$113,G326,'Diversion and Disposal'!$BF$14:$BF$113,F326),"No data")</f>
        <v>No data</v>
      </c>
      <c r="M326" s="118"/>
      <c r="N326" s="155"/>
      <c r="O326" s="156"/>
    </row>
    <row r="327" spans="6:15">
      <c r="F327" s="118"/>
      <c r="G327" s="155"/>
      <c r="H327" s="156" t="str">
        <f>IFERROR(INDEX($G$272:$G$279,MATCH(G327,$F$272:$F$279,0))/SUMIF('Diversion and Disposal'!$BG$14:$BG$113,G327,'Diversion and Disposal'!$BT$14:$BT$113)*SUMIFS('Diversion and Disposal'!$BT$14:$BT$113,'Diversion and Disposal'!$BG$14:$BG$113,G327,'Diversion and Disposal'!$BF$14:$BF$113,F327),"No data")</f>
        <v>No data</v>
      </c>
      <c r="M327" s="118"/>
      <c r="N327" s="155"/>
      <c r="O327" s="156"/>
    </row>
    <row r="328" spans="6:15">
      <c r="F328" s="118"/>
      <c r="G328" s="155"/>
      <c r="H328" s="156" t="str">
        <f>IFERROR(INDEX($G$272:$G$279,MATCH(G328,$F$272:$F$279,0))/SUMIF('Diversion and Disposal'!$BG$14:$BG$113,G328,'Diversion and Disposal'!$BT$14:$BT$113)*SUMIFS('Diversion and Disposal'!$BT$14:$BT$113,'Diversion and Disposal'!$BG$14:$BG$113,G328,'Diversion and Disposal'!$BF$14:$BF$113,F328),"No data")</f>
        <v>No data</v>
      </c>
      <c r="M328" s="118"/>
      <c r="N328" s="155"/>
      <c r="O328" s="156"/>
    </row>
    <row r="329" spans="6:15">
      <c r="F329" s="118"/>
      <c r="G329" s="155"/>
      <c r="H329" s="156" t="str">
        <f>IFERROR(INDEX($G$272:$G$279,MATCH(G329,$F$272:$F$279,0))/SUMIF('Diversion and Disposal'!$BG$14:$BG$113,G329,'Diversion and Disposal'!$BT$14:$BT$113)*SUMIFS('Diversion and Disposal'!$BT$14:$BT$113,'Diversion and Disposal'!$BG$14:$BG$113,G329,'Diversion and Disposal'!$BF$14:$BF$113,F329),"No data")</f>
        <v>No data</v>
      </c>
      <c r="M329" s="118"/>
      <c r="N329" s="155"/>
      <c r="O329" s="156"/>
    </row>
    <row r="330" spans="6:15">
      <c r="F330" s="118"/>
      <c r="G330" s="155"/>
      <c r="H330" s="156" t="str">
        <f>IFERROR(INDEX($G$272:$G$279,MATCH(G330,$F$272:$F$279,0))/SUMIF('Diversion and Disposal'!$BG$14:$BG$113,G330,'Diversion and Disposal'!$BT$14:$BT$113)*SUMIFS('Diversion and Disposal'!$BT$14:$BT$113,'Diversion and Disposal'!$BG$14:$BG$113,G330,'Diversion and Disposal'!$BF$14:$BF$113,F330),"No data")</f>
        <v>No data</v>
      </c>
      <c r="M330" s="118"/>
      <c r="N330" s="155"/>
      <c r="O330" s="156"/>
    </row>
    <row r="331" spans="6:15">
      <c r="F331" s="118"/>
      <c r="G331" s="155"/>
      <c r="H331" s="156" t="str">
        <f>IFERROR(INDEX($G$272:$G$279,MATCH(G331,$F$272:$F$279,0))/SUMIF('Diversion and Disposal'!$BG$14:$BG$113,G331,'Diversion and Disposal'!$BT$14:$BT$113)*SUMIFS('Diversion and Disposal'!$BT$14:$BT$113,'Diversion and Disposal'!$BG$14:$BG$113,G331,'Diversion and Disposal'!$BF$14:$BF$113,F331),"No data")</f>
        <v>No data</v>
      </c>
      <c r="M331" s="118"/>
      <c r="N331" s="155"/>
      <c r="O331" s="156"/>
    </row>
    <row r="332" spans="6:15">
      <c r="F332" s="118"/>
      <c r="G332" s="155"/>
      <c r="H332" s="156" t="str">
        <f>IFERROR(INDEX($G$272:$G$279,MATCH(G332,$F$272:$F$279,0))/SUMIF('Diversion and Disposal'!$BG$14:$BG$113,G332,'Diversion and Disposal'!$BT$14:$BT$113)*SUMIFS('Diversion and Disposal'!$BT$14:$BT$113,'Diversion and Disposal'!$BG$14:$BG$113,G332,'Diversion and Disposal'!$BF$14:$BF$113,F332),"No data")</f>
        <v>No data</v>
      </c>
      <c r="M332" s="118"/>
      <c r="N332" s="155"/>
      <c r="O332" s="156"/>
    </row>
    <row r="333" spans="6:15">
      <c r="F333" s="118"/>
      <c r="G333" s="155"/>
      <c r="H333" s="156" t="str">
        <f>IFERROR(INDEX($G$272:$G$279,MATCH(G333,$F$272:$F$279,0))/SUMIF('Diversion and Disposal'!$BG$14:$BG$113,G333,'Diversion and Disposal'!$BT$14:$BT$113)*SUMIFS('Diversion and Disposal'!$BT$14:$BT$113,'Diversion and Disposal'!$BG$14:$BG$113,G333,'Diversion and Disposal'!$BF$14:$BF$113,F333),"No data")</f>
        <v>No data</v>
      </c>
      <c r="M333" s="118"/>
      <c r="N333" s="155"/>
      <c r="O333" s="156"/>
    </row>
    <row r="334" spans="6:15">
      <c r="F334" s="118"/>
      <c r="G334" s="155"/>
      <c r="H334" s="156" t="str">
        <f>IFERROR(INDEX($G$272:$G$279,MATCH(G334,$F$272:$F$279,0))/SUMIF('Diversion and Disposal'!$BG$14:$BG$113,G334,'Diversion and Disposal'!$BT$14:$BT$113)*SUMIFS('Diversion and Disposal'!$BT$14:$BT$113,'Diversion and Disposal'!$BG$14:$BG$113,G334,'Diversion and Disposal'!$BF$14:$BF$113,F334),"No data")</f>
        <v>No data</v>
      </c>
      <c r="M334" s="118"/>
      <c r="N334" s="155"/>
      <c r="O334" s="156"/>
    </row>
    <row r="335" spans="6:15">
      <c r="F335" s="118"/>
      <c r="G335" s="155"/>
      <c r="H335" s="156" t="str">
        <f>IFERROR(INDEX($G$272:$G$279,MATCH(G335,$F$272:$F$279,0))/SUMIF('Diversion and Disposal'!$BG$14:$BG$113,G335,'Diversion and Disposal'!$BT$14:$BT$113)*SUMIFS('Diversion and Disposal'!$BT$14:$BT$113,'Diversion and Disposal'!$BG$14:$BG$113,G335,'Diversion and Disposal'!$BF$14:$BF$113,F335),"No data")</f>
        <v>No data</v>
      </c>
      <c r="M335" s="118"/>
      <c r="N335" s="155"/>
      <c r="O335" s="156"/>
    </row>
    <row r="336" spans="6:15">
      <c r="F336" s="118"/>
      <c r="G336" s="155"/>
      <c r="H336" s="156" t="str">
        <f>IFERROR(INDEX($G$272:$G$279,MATCH(G336,$F$272:$F$279,0))/SUMIF('Diversion and Disposal'!$BG$14:$BG$113,G336,'Diversion and Disposal'!$BT$14:$BT$113)*SUMIFS('Diversion and Disposal'!$BT$14:$BT$113,'Diversion and Disposal'!$BG$14:$BG$113,G336,'Diversion and Disposal'!$BF$14:$BF$113,F336),"No data")</f>
        <v>No data</v>
      </c>
      <c r="M336" s="118"/>
      <c r="N336" s="155"/>
      <c r="O336" s="156"/>
    </row>
    <row r="337" spans="6:15">
      <c r="F337" s="118"/>
      <c r="G337" s="155"/>
      <c r="H337" s="156" t="str">
        <f>IFERROR(INDEX($G$272:$G$279,MATCH(G337,$F$272:$F$279,0))/SUMIF('Diversion and Disposal'!$BG$14:$BG$113,G337,'Diversion and Disposal'!$BT$14:$BT$113)*SUMIFS('Diversion and Disposal'!$BT$14:$BT$113,'Diversion and Disposal'!$BG$14:$BG$113,G337,'Diversion and Disposal'!$BF$14:$BF$113,F337),"No data")</f>
        <v>No data</v>
      </c>
      <c r="M337" s="118"/>
      <c r="N337" s="155"/>
      <c r="O337" s="156"/>
    </row>
    <row r="338" spans="6:15">
      <c r="F338" s="118"/>
      <c r="G338" s="155"/>
      <c r="H338" s="156" t="str">
        <f>IFERROR(INDEX($G$272:$G$279,MATCH(G338,$F$272:$F$279,0))/SUMIF('Diversion and Disposal'!$BG$14:$BG$113,G338,'Diversion and Disposal'!$BT$14:$BT$113)*SUMIFS('Diversion and Disposal'!$BT$14:$BT$113,'Diversion and Disposal'!$BG$14:$BG$113,G338,'Diversion and Disposal'!$BF$14:$BF$113,F338),"No data")</f>
        <v>No data</v>
      </c>
      <c r="M338" s="118"/>
      <c r="N338" s="155"/>
      <c r="O338" s="156"/>
    </row>
    <row r="339" spans="6:15">
      <c r="F339" s="118"/>
      <c r="G339" s="155"/>
      <c r="H339" s="156" t="str">
        <f>IFERROR(INDEX($G$272:$G$279,MATCH(G339,$F$272:$F$279,0))/SUMIF('Diversion and Disposal'!$BG$14:$BG$113,G339,'Diversion and Disposal'!$BT$14:$BT$113)*SUMIFS('Diversion and Disposal'!$BT$14:$BT$113,'Diversion and Disposal'!$BG$14:$BG$113,G339,'Diversion and Disposal'!$BF$14:$BF$113,F339),"No data")</f>
        <v>No data</v>
      </c>
      <c r="M339" s="118"/>
      <c r="N339" s="155"/>
      <c r="O339" s="156"/>
    </row>
    <row r="340" spans="6:15">
      <c r="F340" s="118"/>
      <c r="G340" s="155"/>
      <c r="H340" s="156" t="str">
        <f>IFERROR(INDEX($G$272:$G$279,MATCH(G340,$F$272:$F$279,0))/SUMIF('Diversion and Disposal'!$BG$14:$BG$113,G340,'Diversion and Disposal'!$BT$14:$BT$113)*SUMIFS('Diversion and Disposal'!$BT$14:$BT$113,'Diversion and Disposal'!$BG$14:$BG$113,G340,'Diversion and Disposal'!$BF$14:$BF$113,F340),"No data")</f>
        <v>No data</v>
      </c>
      <c r="M340" s="118"/>
      <c r="N340" s="155"/>
      <c r="O340" s="156"/>
    </row>
    <row r="341" spans="6:15">
      <c r="F341" s="118"/>
      <c r="G341" s="155"/>
      <c r="H341" s="156" t="str">
        <f>IFERROR(INDEX($G$272:$G$279,MATCH(G341,$F$272:$F$279,0))/SUMIF('Diversion and Disposal'!$BG$14:$BG$113,G341,'Diversion and Disposal'!$BT$14:$BT$113)*SUMIFS('Diversion and Disposal'!$BT$14:$BT$113,'Diversion and Disposal'!$BG$14:$BG$113,G341,'Diversion and Disposal'!$BF$14:$BF$113,F341),"No data")</f>
        <v>No data</v>
      </c>
      <c r="M341" s="118"/>
      <c r="N341" s="155"/>
      <c r="O341" s="156"/>
    </row>
    <row r="342" spans="6:15">
      <c r="F342" s="118"/>
      <c r="G342" s="155"/>
      <c r="H342" s="156" t="str">
        <f>IFERROR(INDEX($G$272:$G$279,MATCH(G342,$F$272:$F$279,0))/SUMIF('Diversion and Disposal'!$BG$14:$BG$113,G342,'Diversion and Disposal'!$BT$14:$BT$113)*SUMIFS('Diversion and Disposal'!$BT$14:$BT$113,'Diversion and Disposal'!$BG$14:$BG$113,G342,'Diversion and Disposal'!$BF$14:$BF$113,F342),"No data")</f>
        <v>No data</v>
      </c>
      <c r="M342" s="118"/>
      <c r="N342" s="155"/>
      <c r="O342" s="156"/>
    </row>
    <row r="343" spans="6:15">
      <c r="F343" s="118"/>
      <c r="G343" s="155"/>
      <c r="H343" s="156" t="str">
        <f>IFERROR(INDEX($G$272:$G$279,MATCH(G343,$F$272:$F$279,0))/SUMIF('Diversion and Disposal'!$BG$14:$BG$113,G343,'Diversion and Disposal'!$BT$14:$BT$113)*SUMIFS('Diversion and Disposal'!$BT$14:$BT$113,'Diversion and Disposal'!$BG$14:$BG$113,G343,'Diversion and Disposal'!$BF$14:$BF$113,F343),"No data")</f>
        <v>No data</v>
      </c>
      <c r="M343" s="118"/>
      <c r="N343" s="155"/>
      <c r="O343" s="156"/>
    </row>
    <row r="344" spans="6:15">
      <c r="F344" s="118"/>
      <c r="G344" s="155"/>
      <c r="H344" s="156" t="str">
        <f>IFERROR(INDEX($G$272:$G$279,MATCH(G344,$F$272:$F$279,0))/SUMIF('Diversion and Disposal'!$BG$14:$BG$113,G344,'Diversion and Disposal'!$BT$14:$BT$113)*SUMIFS('Diversion and Disposal'!$BT$14:$BT$113,'Diversion and Disposal'!$BG$14:$BG$113,G344,'Diversion and Disposal'!$BF$14:$BF$113,F344),"No data")</f>
        <v>No data</v>
      </c>
      <c r="M344" s="118"/>
      <c r="N344" s="155"/>
      <c r="O344" s="156"/>
    </row>
    <row r="345" spans="6:15">
      <c r="F345" s="118"/>
      <c r="G345" s="155"/>
      <c r="H345" s="156" t="str">
        <f>IFERROR(INDEX($G$272:$G$279,MATCH(G345,$F$272:$F$279,0))/SUMIF('Diversion and Disposal'!$BG$14:$BG$113,G345,'Diversion and Disposal'!$BT$14:$BT$113)*SUMIFS('Diversion and Disposal'!$BT$14:$BT$113,'Diversion and Disposal'!$BG$14:$BG$113,G345,'Diversion and Disposal'!$BF$14:$BF$113,F345),"No data")</f>
        <v>No data</v>
      </c>
      <c r="M345" s="118"/>
      <c r="N345" s="155"/>
      <c r="O345" s="156"/>
    </row>
    <row r="346" spans="6:15">
      <c r="F346" s="118"/>
      <c r="G346" s="155"/>
      <c r="H346" s="156" t="str">
        <f>IFERROR(INDEX($G$272:$G$279,MATCH(G346,$F$272:$F$279,0))/SUMIF('Diversion and Disposal'!$BG$14:$BG$113,G346,'Diversion and Disposal'!$BT$14:$BT$113)*SUMIFS('Diversion and Disposal'!$BT$14:$BT$113,'Diversion and Disposal'!$BG$14:$BG$113,G346,'Diversion and Disposal'!$BF$14:$BF$113,F346),"No data")</f>
        <v>No data</v>
      </c>
      <c r="M346" s="118"/>
      <c r="N346" s="155"/>
      <c r="O346" s="156"/>
    </row>
    <row r="347" spans="6:15">
      <c r="F347" s="118"/>
      <c r="G347" s="155"/>
      <c r="H347" s="156" t="str">
        <f>IFERROR(INDEX($G$272:$G$279,MATCH(G347,$F$272:$F$279,0))/SUMIF('Diversion and Disposal'!$BG$14:$BG$113,G347,'Diversion and Disposal'!$BT$14:$BT$113)*SUMIFS('Diversion and Disposal'!$BT$14:$BT$113,'Diversion and Disposal'!$BG$14:$BG$113,G347,'Diversion and Disposal'!$BF$14:$BF$113,F347),"No data")</f>
        <v>No data</v>
      </c>
      <c r="M347" s="118"/>
      <c r="N347" s="155"/>
      <c r="O347" s="156"/>
    </row>
    <row r="348" spans="6:15">
      <c r="F348" s="118"/>
      <c r="G348" s="155"/>
      <c r="H348" s="156" t="str">
        <f>IFERROR(INDEX($G$272:$G$279,MATCH(G348,$F$272:$F$279,0))/SUMIF('Diversion and Disposal'!$BG$14:$BG$113,G348,'Diversion and Disposal'!$BT$14:$BT$113)*SUMIFS('Diversion and Disposal'!$BT$14:$BT$113,'Diversion and Disposal'!$BG$14:$BG$113,G348,'Diversion and Disposal'!$BF$14:$BF$113,F348),"No data")</f>
        <v>No data</v>
      </c>
      <c r="M348" s="118"/>
      <c r="N348" s="155"/>
      <c r="O348" s="156"/>
    </row>
    <row r="349" spans="6:15">
      <c r="F349" s="118"/>
      <c r="G349" s="155"/>
      <c r="H349" s="156" t="str">
        <f>IFERROR(INDEX($G$272:$G$279,MATCH(G349,$F$272:$F$279,0))/SUMIF('Diversion and Disposal'!$BG$14:$BG$113,G349,'Diversion and Disposal'!$BT$14:$BT$113)*SUMIFS('Diversion and Disposal'!$BT$14:$BT$113,'Diversion and Disposal'!$BG$14:$BG$113,G349,'Diversion and Disposal'!$BF$14:$BF$113,F349),"No data")</f>
        <v>No data</v>
      </c>
      <c r="M349" s="118"/>
      <c r="N349" s="155"/>
      <c r="O349" s="156"/>
    </row>
    <row r="350" spans="6:15">
      <c r="F350" s="118"/>
      <c r="G350" s="155"/>
      <c r="H350" s="156" t="str">
        <f>IFERROR(INDEX($G$272:$G$279,MATCH(G350,$F$272:$F$279,0))/SUMIF('Diversion and Disposal'!$BG$14:$BG$113,G350,'Diversion and Disposal'!$BT$14:$BT$113)*SUMIFS('Diversion and Disposal'!$BT$14:$BT$113,'Diversion and Disposal'!$BG$14:$BG$113,G350,'Diversion and Disposal'!$BF$14:$BF$113,F350),"No data")</f>
        <v>No data</v>
      </c>
      <c r="M350" s="118"/>
      <c r="N350" s="155"/>
      <c r="O350" s="156"/>
    </row>
    <row r="351" spans="6:15">
      <c r="F351" s="118"/>
      <c r="G351" s="155"/>
      <c r="H351" s="156" t="str">
        <f>IFERROR(INDEX($G$272:$G$279,MATCH(G351,$F$272:$F$279,0))/SUMIF('Diversion and Disposal'!$BG$14:$BG$113,G351,'Diversion and Disposal'!$BT$14:$BT$113)*SUMIFS('Diversion and Disposal'!$BT$14:$BT$113,'Diversion and Disposal'!$BG$14:$BG$113,G351,'Diversion and Disposal'!$BF$14:$BF$113,F351),"No data")</f>
        <v>No data</v>
      </c>
      <c r="M351" s="118"/>
      <c r="N351" s="155"/>
      <c r="O351" s="156"/>
    </row>
    <row r="352" spans="6:15">
      <c r="F352" s="118"/>
      <c r="G352" s="155"/>
      <c r="H352" s="156" t="str">
        <f>IFERROR(INDEX($G$272:$G$279,MATCH(G352,$F$272:$F$279,0))/SUMIF('Diversion and Disposal'!$BG$14:$BG$113,G352,'Diversion and Disposal'!$BT$14:$BT$113)*SUMIFS('Diversion and Disposal'!$BT$14:$BT$113,'Diversion and Disposal'!$BG$14:$BG$113,G352,'Diversion and Disposal'!$BF$14:$BF$113,F352),"No data")</f>
        <v>No data</v>
      </c>
      <c r="M352" s="118"/>
      <c r="N352" s="155"/>
      <c r="O352" s="156"/>
    </row>
    <row r="353" spans="6:15">
      <c r="F353" s="118"/>
      <c r="G353" s="155"/>
      <c r="H353" s="156" t="str">
        <f>IFERROR(INDEX($G$272:$G$279,MATCH(G353,$F$272:$F$279,0))/SUMIF('Diversion and Disposal'!$BG$14:$BG$113,G353,'Diversion and Disposal'!$BT$14:$BT$113)*SUMIFS('Diversion and Disposal'!$BT$14:$BT$113,'Diversion and Disposal'!$BG$14:$BG$113,G353,'Diversion and Disposal'!$BF$14:$BF$113,F353),"No data")</f>
        <v>No data</v>
      </c>
      <c r="M353" s="118"/>
      <c r="N353" s="155"/>
      <c r="O353" s="156"/>
    </row>
    <row r="354" spans="6:15">
      <c r="F354" s="118"/>
      <c r="G354" s="155"/>
      <c r="H354" s="156" t="str">
        <f>IFERROR(INDEX($G$272:$G$279,MATCH(G354,$F$272:$F$279,0))/SUMIF('Diversion and Disposal'!$BG$14:$BG$113,G354,'Diversion and Disposal'!$BT$14:$BT$113)*SUMIFS('Diversion and Disposal'!$BT$14:$BT$113,'Diversion and Disposal'!$BG$14:$BG$113,G354,'Diversion and Disposal'!$BF$14:$BF$113,F354),"No data")</f>
        <v>No data</v>
      </c>
      <c r="M354" s="118"/>
      <c r="N354" s="155"/>
      <c r="O354" s="156"/>
    </row>
    <row r="355" spans="6:15">
      <c r="F355" s="118"/>
      <c r="G355" s="155"/>
      <c r="H355" s="156" t="str">
        <f>IFERROR(INDEX($G$272:$G$279,MATCH(G355,$F$272:$F$279,0))/SUMIF('Diversion and Disposal'!$BG$14:$BG$113,G355,'Diversion and Disposal'!$BT$14:$BT$113)*SUMIFS('Diversion and Disposal'!$BT$14:$BT$113,'Diversion and Disposal'!$BG$14:$BG$113,G355,'Diversion and Disposal'!$BF$14:$BF$113,F355),"No data")</f>
        <v>No data</v>
      </c>
      <c r="M355" s="118"/>
      <c r="N355" s="155"/>
      <c r="O355" s="156"/>
    </row>
    <row r="356" spans="6:15">
      <c r="F356" s="118"/>
      <c r="G356" s="155"/>
      <c r="H356" s="156" t="str">
        <f>IFERROR(INDEX($G$272:$G$279,MATCH(G356,$F$272:$F$279,0))/SUMIF('Diversion and Disposal'!$BG$14:$BG$113,G356,'Diversion and Disposal'!$BT$14:$BT$113)*SUMIFS('Diversion and Disposal'!$BT$14:$BT$113,'Diversion and Disposal'!$BG$14:$BG$113,G356,'Diversion and Disposal'!$BF$14:$BF$113,F356),"No data")</f>
        <v>No data</v>
      </c>
      <c r="M356" s="118"/>
      <c r="N356" s="155"/>
      <c r="O356" s="156"/>
    </row>
    <row r="357" spans="6:15">
      <c r="F357" s="118"/>
      <c r="G357" s="155"/>
      <c r="H357" s="156" t="str">
        <f>IFERROR(INDEX($G$272:$G$279,MATCH(G357,$F$272:$F$279,0))/SUMIF('Diversion and Disposal'!$BG$14:$BG$113,G357,'Diversion and Disposal'!$BT$14:$BT$113)*SUMIFS('Diversion and Disposal'!$BT$14:$BT$113,'Diversion and Disposal'!$BG$14:$BG$113,G357,'Diversion and Disposal'!$BF$14:$BF$113,F357),"No data")</f>
        <v>No data</v>
      </c>
      <c r="M357" s="118"/>
      <c r="N357" s="155"/>
      <c r="O357" s="156"/>
    </row>
    <row r="358" spans="6:15">
      <c r="F358" s="118"/>
      <c r="G358" s="155"/>
      <c r="H358" s="156" t="str">
        <f>IFERROR(INDEX($G$272:$G$279,MATCH(G358,$F$272:$F$279,0))/SUMIF('Diversion and Disposal'!$BG$14:$BG$113,G358,'Diversion and Disposal'!$BT$14:$BT$113)*SUMIFS('Diversion and Disposal'!$BT$14:$BT$113,'Diversion and Disposal'!$BG$14:$BG$113,G358,'Diversion and Disposal'!$BF$14:$BF$113,F358),"No data")</f>
        <v>No data</v>
      </c>
      <c r="M358" s="118"/>
      <c r="N358" s="155"/>
      <c r="O358" s="156"/>
    </row>
    <row r="359" spans="6:15">
      <c r="F359" s="118"/>
      <c r="G359" s="155"/>
      <c r="H359" s="156" t="str">
        <f>IFERROR(INDEX($G$272:$G$279,MATCH(G359,$F$272:$F$279,0))/SUMIF('Diversion and Disposal'!$BG$14:$BG$113,G359,'Diversion and Disposal'!$BT$14:$BT$113)*SUMIFS('Diversion and Disposal'!$BT$14:$BT$113,'Diversion and Disposal'!$BG$14:$BG$113,G359,'Diversion and Disposal'!$BF$14:$BF$113,F359),"No data")</f>
        <v>No data</v>
      </c>
      <c r="M359" s="118"/>
      <c r="N359" s="155"/>
      <c r="O359" s="156"/>
    </row>
    <row r="360" spans="6:15">
      <c r="F360" s="118"/>
      <c r="G360" s="155"/>
      <c r="H360" s="156" t="str">
        <f>IFERROR(INDEX($G$272:$G$279,MATCH(G360,$F$272:$F$279,0))/SUMIF('Diversion and Disposal'!$BG$14:$BG$113,G360,'Diversion and Disposal'!$BT$14:$BT$113)*SUMIFS('Diversion and Disposal'!$BT$14:$BT$113,'Diversion and Disposal'!$BG$14:$BG$113,G360,'Diversion and Disposal'!$BF$14:$BF$113,F360),"No data")</f>
        <v>No data</v>
      </c>
      <c r="M360" s="118"/>
      <c r="N360" s="155"/>
      <c r="O360" s="156"/>
    </row>
    <row r="361" spans="6:15">
      <c r="F361" s="118"/>
      <c r="G361" s="155"/>
      <c r="H361" s="156" t="str">
        <f>IFERROR(INDEX($G$272:$G$279,MATCH(G361,$F$272:$F$279,0))/SUMIF('Diversion and Disposal'!$BG$14:$BG$113,G361,'Diversion and Disposal'!$BT$14:$BT$113)*SUMIFS('Diversion and Disposal'!$BT$14:$BT$113,'Diversion and Disposal'!$BG$14:$BG$113,G361,'Diversion and Disposal'!$BF$14:$BF$113,F361),"No data")</f>
        <v>No data</v>
      </c>
      <c r="M361" s="118"/>
      <c r="N361" s="155"/>
      <c r="O361" s="156"/>
    </row>
    <row r="362" spans="6:15">
      <c r="F362" s="118"/>
      <c r="G362" s="155"/>
      <c r="H362" s="156" t="str">
        <f>IFERROR(INDEX($G$272:$G$279,MATCH(G362,$F$272:$F$279,0))/SUMIF('Diversion and Disposal'!$BG$14:$BG$113,G362,'Diversion and Disposal'!$BT$14:$BT$113)*SUMIFS('Diversion and Disposal'!$BT$14:$BT$113,'Diversion and Disposal'!$BG$14:$BG$113,G362,'Diversion and Disposal'!$BF$14:$BF$113,F362),"No data")</f>
        <v>No data</v>
      </c>
      <c r="M362" s="118"/>
      <c r="N362" s="155"/>
      <c r="O362" s="156"/>
    </row>
    <row r="363" spans="6:15">
      <c r="F363" s="118"/>
      <c r="G363" s="155"/>
      <c r="H363" s="156" t="str">
        <f>IFERROR(INDEX($G$272:$G$279,MATCH(G363,$F$272:$F$279,0))/SUMIF('Diversion and Disposal'!$BG$14:$BG$113,G363,'Diversion and Disposal'!$BT$14:$BT$113)*SUMIFS('Diversion and Disposal'!$BT$14:$BT$113,'Diversion and Disposal'!$BG$14:$BG$113,G363,'Diversion and Disposal'!$BF$14:$BF$113,F363),"No data")</f>
        <v>No data</v>
      </c>
      <c r="M363" s="118"/>
      <c r="N363" s="155"/>
      <c r="O363" s="156"/>
    </row>
    <row r="364" spans="6:15">
      <c r="F364" s="118"/>
      <c r="G364" s="155"/>
      <c r="H364" s="156" t="str">
        <f>IFERROR(INDEX($G$272:$G$279,MATCH(G364,$F$272:$F$279,0))/SUMIF('Diversion and Disposal'!$BG$14:$BG$113,G364,'Diversion and Disposal'!$BT$14:$BT$113)*SUMIFS('Diversion and Disposal'!$BT$14:$BT$113,'Diversion and Disposal'!$BG$14:$BG$113,G364,'Diversion and Disposal'!$BF$14:$BF$113,F364),"No data")</f>
        <v>No data</v>
      </c>
      <c r="M364" s="118"/>
      <c r="N364" s="155"/>
      <c r="O364" s="156"/>
    </row>
    <row r="365" spans="6:15">
      <c r="F365" s="118"/>
      <c r="G365" s="155"/>
      <c r="H365" s="156" t="str">
        <f>IFERROR(INDEX($G$272:$G$279,MATCH(G365,$F$272:$F$279,0))/SUMIF('Diversion and Disposal'!$BG$14:$BG$113,G365,'Diversion and Disposal'!$BT$14:$BT$113)*SUMIFS('Diversion and Disposal'!$BT$14:$BT$113,'Diversion and Disposal'!$BG$14:$BG$113,G365,'Diversion and Disposal'!$BF$14:$BF$113,F365),"No data")</f>
        <v>No data</v>
      </c>
      <c r="M365" s="118"/>
      <c r="N365" s="155"/>
      <c r="O365" s="156"/>
    </row>
    <row r="366" spans="6:15">
      <c r="F366" s="118"/>
      <c r="G366" s="155"/>
      <c r="H366" s="156" t="str">
        <f>IFERROR(INDEX($G$272:$G$279,MATCH(G366,$F$272:$F$279,0))/SUMIF('Diversion and Disposal'!$BG$14:$BG$113,G366,'Diversion and Disposal'!$BT$14:$BT$113)*SUMIFS('Diversion and Disposal'!$BT$14:$BT$113,'Diversion and Disposal'!$BG$14:$BG$113,G366,'Diversion and Disposal'!$BF$14:$BF$113,F366),"No data")</f>
        <v>No data</v>
      </c>
      <c r="M366" s="118"/>
      <c r="N366" s="155"/>
      <c r="O366" s="156"/>
    </row>
    <row r="367" spans="6:15">
      <c r="F367" s="118"/>
      <c r="G367" s="155"/>
      <c r="H367" s="156" t="str">
        <f>IFERROR(INDEX($G$272:$G$279,MATCH(G367,$F$272:$F$279,0))/SUMIF('Diversion and Disposal'!$BG$14:$BG$113,G367,'Diversion and Disposal'!$BT$14:$BT$113)*SUMIFS('Diversion and Disposal'!$BT$14:$BT$113,'Diversion and Disposal'!$BG$14:$BG$113,G367,'Diversion and Disposal'!$BF$14:$BF$113,F367),"No data")</f>
        <v>No data</v>
      </c>
      <c r="M367" s="118"/>
      <c r="N367" s="155"/>
      <c r="O367" s="156"/>
    </row>
    <row r="368" spans="6:15">
      <c r="F368" s="118"/>
      <c r="G368" s="155"/>
      <c r="H368" s="156" t="str">
        <f>IFERROR(INDEX($G$272:$G$279,MATCH(G368,$F$272:$F$279,0))/SUMIF('Diversion and Disposal'!$BG$14:$BG$113,G368,'Diversion and Disposal'!$BT$14:$BT$113)*SUMIFS('Diversion and Disposal'!$BT$14:$BT$113,'Diversion and Disposal'!$BG$14:$BG$113,G368,'Diversion and Disposal'!$BF$14:$BF$113,F368),"No data")</f>
        <v>No data</v>
      </c>
      <c r="M368" s="118"/>
      <c r="N368" s="155"/>
      <c r="O368" s="156"/>
    </row>
    <row r="369" spans="6:15">
      <c r="F369" s="118"/>
      <c r="G369" s="155"/>
      <c r="H369" s="156" t="str">
        <f>IFERROR(INDEX($G$272:$G$279,MATCH(G369,$F$272:$F$279,0))/SUMIF('Diversion and Disposal'!$BG$14:$BG$113,G369,'Diversion and Disposal'!$BT$14:$BT$113)*SUMIFS('Diversion and Disposal'!$BT$14:$BT$113,'Diversion and Disposal'!$BG$14:$BG$113,G369,'Diversion and Disposal'!$BF$14:$BF$113,F369),"No data")</f>
        <v>No data</v>
      </c>
      <c r="M369" s="118"/>
      <c r="N369" s="155"/>
      <c r="O369" s="156"/>
    </row>
    <row r="370" spans="6:15">
      <c r="F370" s="118"/>
      <c r="G370" s="155"/>
      <c r="H370" s="156" t="str">
        <f>IFERROR(INDEX($G$272:$G$279,MATCH(G370,$F$272:$F$279,0))/SUMIF('Diversion and Disposal'!$BG$14:$BG$113,G370,'Diversion and Disposal'!$BT$14:$BT$113)*SUMIFS('Diversion and Disposal'!$BT$14:$BT$113,'Diversion and Disposal'!$BG$14:$BG$113,G370,'Diversion and Disposal'!$BF$14:$BF$113,F370),"No data")</f>
        <v>No data</v>
      </c>
      <c r="M370" s="118"/>
      <c r="N370" s="155"/>
      <c r="O370" s="156"/>
    </row>
    <row r="371" spans="6:15">
      <c r="F371" s="118"/>
      <c r="G371" s="155"/>
      <c r="H371" s="156" t="str">
        <f>IFERROR(INDEX($G$272:$G$279,MATCH(G371,$F$272:$F$279,0))/SUMIF('Diversion and Disposal'!$BG$14:$BG$113,G371,'Diversion and Disposal'!$BT$14:$BT$113)*SUMIFS('Diversion and Disposal'!$BT$14:$BT$113,'Diversion and Disposal'!$BG$14:$BG$113,G371,'Diversion and Disposal'!$BF$14:$BF$113,F371),"No data")</f>
        <v>No data</v>
      </c>
      <c r="M371" s="118"/>
      <c r="N371" s="155"/>
      <c r="O371" s="156"/>
    </row>
    <row r="372" spans="6:15">
      <c r="F372" s="118"/>
      <c r="G372" s="155"/>
      <c r="H372" s="156" t="str">
        <f>IFERROR(INDEX($G$272:$G$279,MATCH(G372,$F$272:$F$279,0))/SUMIF('Diversion and Disposal'!$BG$14:$BG$113,G372,'Diversion and Disposal'!$BT$14:$BT$113)*SUMIFS('Diversion and Disposal'!$BT$14:$BT$113,'Diversion and Disposal'!$BG$14:$BG$113,G372,'Diversion and Disposal'!$BF$14:$BF$113,F372),"No data")</f>
        <v>No data</v>
      </c>
      <c r="M372" s="118"/>
      <c r="N372" s="155"/>
      <c r="O372" s="156"/>
    </row>
    <row r="373" spans="6:15">
      <c r="F373" s="118"/>
      <c r="G373" s="155"/>
      <c r="H373" s="156" t="str">
        <f>IFERROR(INDEX($G$272:$G$279,MATCH(G373,$F$272:$F$279,0))/SUMIF('Diversion and Disposal'!$BG$14:$BG$113,G373,'Diversion and Disposal'!$BT$14:$BT$113)*SUMIFS('Diversion and Disposal'!$BT$14:$BT$113,'Diversion and Disposal'!$BG$14:$BG$113,G373,'Diversion and Disposal'!$BF$14:$BF$113,F373),"No data")</f>
        <v>No data</v>
      </c>
      <c r="M373" s="118"/>
      <c r="N373" s="155"/>
      <c r="O373" s="156"/>
    </row>
    <row r="374" spans="6:15">
      <c r="F374" s="118"/>
      <c r="G374" s="155"/>
      <c r="H374" s="156" t="str">
        <f>IFERROR(INDEX($G$272:$G$279,MATCH(G374,$F$272:$F$279,0))/SUMIF('Diversion and Disposal'!$BG$14:$BG$113,G374,'Diversion and Disposal'!$BT$14:$BT$113)*SUMIFS('Diversion and Disposal'!$BT$14:$BT$113,'Diversion and Disposal'!$BG$14:$BG$113,G374,'Diversion and Disposal'!$BF$14:$BF$113,F374),"No data")</f>
        <v>No data</v>
      </c>
      <c r="M374" s="118"/>
      <c r="N374" s="155"/>
      <c r="O374" s="156"/>
    </row>
    <row r="375" spans="6:15">
      <c r="F375" s="118"/>
      <c r="G375" s="155"/>
      <c r="H375" s="156" t="str">
        <f>IFERROR(INDEX($G$272:$G$279,MATCH(G375,$F$272:$F$279,0))/SUMIF('Diversion and Disposal'!$BG$14:$BG$113,G375,'Diversion and Disposal'!$BT$14:$BT$113)*SUMIFS('Diversion and Disposal'!$BT$14:$BT$113,'Diversion and Disposal'!$BG$14:$BG$113,G375,'Diversion and Disposal'!$BF$14:$BF$113,F375),"No data")</f>
        <v>No data</v>
      </c>
      <c r="M375" s="118"/>
      <c r="N375" s="155"/>
      <c r="O375" s="156"/>
    </row>
    <row r="376" spans="6:15">
      <c r="F376" s="118"/>
      <c r="G376" s="155"/>
      <c r="H376" s="156" t="str">
        <f>IFERROR(INDEX($G$272:$G$279,MATCH(G376,$F$272:$F$279,0))/SUMIF('Diversion and Disposal'!$BG$14:$BG$113,G376,'Diversion and Disposal'!$BT$14:$BT$113)*SUMIFS('Diversion and Disposal'!$BT$14:$BT$113,'Diversion and Disposal'!$BG$14:$BG$113,G376,'Diversion and Disposal'!$BF$14:$BF$113,F376),"No data")</f>
        <v>No data</v>
      </c>
      <c r="M376" s="118"/>
      <c r="N376" s="155"/>
      <c r="O376" s="156"/>
    </row>
    <row r="377" spans="6:15">
      <c r="F377" s="118"/>
      <c r="G377" s="155"/>
      <c r="H377" s="156" t="str">
        <f>IFERROR(INDEX($G$272:$G$279,MATCH(G377,$F$272:$F$279,0))/SUMIF('Diversion and Disposal'!$BG$14:$BG$113,G377,'Diversion and Disposal'!$BT$14:$BT$113)*SUMIFS('Diversion and Disposal'!$BT$14:$BT$113,'Diversion and Disposal'!$BG$14:$BG$113,G377,'Diversion and Disposal'!$BF$14:$BF$113,F377),"No data")</f>
        <v>No data</v>
      </c>
      <c r="M377" s="118"/>
      <c r="N377" s="155"/>
      <c r="O377" s="156"/>
    </row>
    <row r="378" spans="6:15">
      <c r="F378" s="118"/>
      <c r="G378" s="155"/>
      <c r="H378" s="156" t="str">
        <f>IFERROR(INDEX($G$272:$G$279,MATCH(G378,$F$272:$F$279,0))/SUMIF('Diversion and Disposal'!$BG$14:$BG$113,G378,'Diversion and Disposal'!$BT$14:$BT$113)*SUMIFS('Diversion and Disposal'!$BT$14:$BT$113,'Diversion and Disposal'!$BG$14:$BG$113,G378,'Diversion and Disposal'!$BF$14:$BF$113,F378),"No data")</f>
        <v>No data</v>
      </c>
      <c r="M378" s="118"/>
      <c r="N378" s="155"/>
      <c r="O378" s="156"/>
    </row>
    <row r="379" spans="6:15">
      <c r="F379" s="118"/>
      <c r="G379" s="155"/>
      <c r="H379" s="156" t="str">
        <f>IFERROR(INDEX($G$272:$G$279,MATCH(G379,$F$272:$F$279,0))/SUMIF('Diversion and Disposal'!$BG$14:$BG$113,G379,'Diversion and Disposal'!$BT$14:$BT$113)*SUMIFS('Diversion and Disposal'!$BT$14:$BT$113,'Diversion and Disposal'!$BG$14:$BG$113,G379,'Diversion and Disposal'!$BF$14:$BF$113,F379),"No data")</f>
        <v>No data</v>
      </c>
      <c r="M379" s="118"/>
      <c r="N379" s="155"/>
      <c r="O379" s="156"/>
    </row>
    <row r="380" spans="6:15">
      <c r="F380" s="118"/>
      <c r="G380" s="155"/>
      <c r="H380" s="156" t="str">
        <f>IFERROR(INDEX($G$272:$G$279,MATCH(G380,$F$272:$F$279,0))/SUMIF('Diversion and Disposal'!$BG$14:$BG$113,G380,'Diversion and Disposal'!$BT$14:$BT$113)*SUMIFS('Diversion and Disposal'!$BT$14:$BT$113,'Diversion and Disposal'!$BG$14:$BG$113,G380,'Diversion and Disposal'!$BF$14:$BF$113,F380),"No data")</f>
        <v>No data</v>
      </c>
      <c r="M380" s="118"/>
      <c r="N380" s="155"/>
      <c r="O380" s="156"/>
    </row>
    <row r="381" spans="6:15">
      <c r="F381" s="118"/>
      <c r="G381" s="155"/>
      <c r="H381" s="156" t="str">
        <f>IFERROR(INDEX($G$272:$G$279,MATCH(G381,$F$272:$F$279,0))/SUMIF('Diversion and Disposal'!$BG$14:$BG$113,G381,'Diversion and Disposal'!$BT$14:$BT$113)*SUMIFS('Diversion and Disposal'!$BT$14:$BT$113,'Diversion and Disposal'!$BG$14:$BG$113,G381,'Diversion and Disposal'!$BF$14:$BF$113,F381),"No data")</f>
        <v>No data</v>
      </c>
      <c r="M381" s="118"/>
      <c r="N381" s="155"/>
      <c r="O381" s="156"/>
    </row>
    <row r="382" spans="6:15">
      <c r="F382" s="118"/>
      <c r="G382" s="155"/>
      <c r="H382" s="156" t="str">
        <f>IFERROR(INDEX($G$272:$G$279,MATCH(G382,$F$272:$F$279,0))/SUMIF('Diversion and Disposal'!$BG$14:$BG$113,G382,'Diversion and Disposal'!$BT$14:$BT$113)*SUMIFS('Diversion and Disposal'!$BT$14:$BT$113,'Diversion and Disposal'!$BG$14:$BG$113,G382,'Diversion and Disposal'!$BF$14:$BF$113,F382),"No data")</f>
        <v>No data</v>
      </c>
      <c r="M382" s="118"/>
      <c r="N382" s="155"/>
      <c r="O382" s="156"/>
    </row>
    <row r="383" spans="6:15">
      <c r="F383" s="118"/>
      <c r="G383" s="155"/>
      <c r="H383" s="156" t="str">
        <f>IFERROR(INDEX($G$272:$G$279,MATCH(G383,$F$272:$F$279,0))/SUMIF('Diversion and Disposal'!$BG$14:$BG$113,G383,'Diversion and Disposal'!$BT$14:$BT$113)*SUMIFS('Diversion and Disposal'!$BT$14:$BT$113,'Diversion and Disposal'!$BG$14:$BG$113,G383,'Diversion and Disposal'!$BF$14:$BF$113,F383),"No data")</f>
        <v>No data</v>
      </c>
      <c r="M383" s="118"/>
      <c r="N383" s="155"/>
      <c r="O383" s="156"/>
    </row>
    <row r="384" spans="6:15">
      <c r="F384" s="118"/>
      <c r="G384" s="155"/>
      <c r="H384" s="156" t="str">
        <f>IFERROR(INDEX($G$272:$G$279,MATCH(G384,$F$272:$F$279,0))/SUMIF('Diversion and Disposal'!$BG$14:$BG$113,G384,'Diversion and Disposal'!$BT$14:$BT$113)*SUMIFS('Diversion and Disposal'!$BT$14:$BT$113,'Diversion and Disposal'!$BG$14:$BG$113,G384,'Diversion and Disposal'!$BF$14:$BF$113,F384),"No data")</f>
        <v>No data</v>
      </c>
      <c r="M384" s="118"/>
      <c r="N384" s="155"/>
      <c r="O384" s="156"/>
    </row>
    <row r="385" spans="1:21">
      <c r="F385" s="118"/>
      <c r="G385" s="155"/>
      <c r="H385" s="156" t="str">
        <f>IFERROR(INDEX($G$272:$G$279,MATCH(G385,$F$272:$F$279,0))/SUMIF('Diversion and Disposal'!$BG$14:$BG$113,G385,'Diversion and Disposal'!$BT$14:$BT$113)*SUMIFS('Diversion and Disposal'!$BT$14:$BT$113,'Diversion and Disposal'!$BG$14:$BG$113,G385,'Diversion and Disposal'!$BF$14:$BF$113,F385),"No data")</f>
        <v>No data</v>
      </c>
      <c r="M385" s="118"/>
      <c r="N385" s="155"/>
      <c r="O385" s="156"/>
    </row>
    <row r="386" spans="1:21">
      <c r="F386" s="118"/>
      <c r="G386" s="155"/>
      <c r="H386" s="156" t="str">
        <f>IFERROR(INDEX($G$272:$G$279,MATCH(G386,$F$272:$F$279,0))/SUMIF('Diversion and Disposal'!$BG$14:$BG$113,G386,'Diversion and Disposal'!$BT$14:$BT$113)*SUMIFS('Diversion and Disposal'!$BT$14:$BT$113,'Diversion and Disposal'!$BG$14:$BG$113,G386,'Diversion and Disposal'!$BF$14:$BF$113,F386),"No data")</f>
        <v>No data</v>
      </c>
      <c r="M386" s="118"/>
      <c r="N386" s="155"/>
      <c r="O386" s="156"/>
    </row>
    <row r="387" spans="1:21">
      <c r="F387" s="118"/>
      <c r="G387" s="155"/>
      <c r="H387" s="156" t="str">
        <f>IFERROR(INDEX($G$272:$G$279,MATCH(G387,$F$272:$F$279,0))/SUMIF('Diversion and Disposal'!$BG$14:$BG$113,G387,'Diversion and Disposal'!$BT$14:$BT$113)*SUMIFS('Diversion and Disposal'!$BT$14:$BT$113,'Diversion and Disposal'!$BG$14:$BG$113,G387,'Diversion and Disposal'!$BF$14:$BF$113,F387),"No data")</f>
        <v>No data</v>
      </c>
      <c r="M387" s="118"/>
      <c r="N387" s="155"/>
      <c r="O387" s="156"/>
    </row>
    <row r="388" spans="1:21">
      <c r="F388" s="118"/>
      <c r="G388" s="155"/>
      <c r="H388" s="156" t="str">
        <f>IFERROR(INDEX($G$272:$G$279,MATCH(G388,$F$272:$F$279,0))/SUMIF('Diversion and Disposal'!$BG$14:$BG$113,G388,'Diversion and Disposal'!$BT$14:$BT$113)*SUMIFS('Diversion and Disposal'!$BT$14:$BT$113,'Diversion and Disposal'!$BG$14:$BG$113,G388,'Diversion and Disposal'!$BF$14:$BF$113,F388),"No data")</f>
        <v>No data</v>
      </c>
      <c r="M388" s="118"/>
      <c r="N388" s="155"/>
      <c r="O388" s="156"/>
    </row>
    <row r="389" spans="1:21">
      <c r="F389" s="16"/>
      <c r="G389" s="21"/>
    </row>
    <row r="390" spans="1:21">
      <c r="F390" s="16"/>
      <c r="G390" s="21"/>
    </row>
    <row r="391" spans="1:21">
      <c r="A391" s="18"/>
      <c r="B391" s="18"/>
      <c r="C391" s="18"/>
      <c r="D391" s="18"/>
      <c r="E391" s="18"/>
      <c r="F391" s="19"/>
      <c r="G391" s="20"/>
      <c r="H391" s="18"/>
      <c r="I391" s="18"/>
      <c r="J391" s="18"/>
      <c r="K391" s="18"/>
      <c r="L391" s="18"/>
      <c r="M391" s="18"/>
      <c r="N391" s="18"/>
      <c r="O391" s="18"/>
      <c r="P391" s="18"/>
      <c r="Q391" s="18"/>
      <c r="R391" s="18"/>
      <c r="S391" s="18"/>
      <c r="T391" s="18"/>
      <c r="U391" s="18"/>
    </row>
    <row r="392" spans="1:21">
      <c r="E392" s="1" t="s">
        <v>359</v>
      </c>
      <c r="F392" s="16"/>
      <c r="G392" s="29"/>
    </row>
    <row r="393" spans="1:21">
      <c r="F393" s="16"/>
      <c r="G393" s="21"/>
    </row>
    <row r="394" spans="1:21" ht="28.8">
      <c r="D394" s="39"/>
      <c r="F394" s="154" t="s">
        <v>360</v>
      </c>
      <c r="G394" s="154" t="s">
        <v>361</v>
      </c>
      <c r="H394" s="154" t="s">
        <v>301</v>
      </c>
    </row>
    <row r="395" spans="1:21">
      <c r="F395" s="61" t="str" cm="1">
        <f t="array" ref="F395:F403">ls_Transport</f>
        <v>Barge</v>
      </c>
      <c r="G395" s="62">
        <f>SUMIF(Transport!$BF$18:$BF$116,F395,Transport!$BT$18:$BT$116)</f>
        <v>0</v>
      </c>
      <c r="H395" s="62">
        <f>SUMIF(Transport!$BF$18:$BF$116,F395,Transport!$CH$18:$CH$116)</f>
        <v>0</v>
      </c>
    </row>
    <row r="396" spans="1:21">
      <c r="F396" s="61" t="str">
        <v>CNG Truck</v>
      </c>
      <c r="G396" s="62">
        <f>SUMIF(Transport!$BF$18:$BF$116,F396,Transport!$BT$18:$BT$116)</f>
        <v>0</v>
      </c>
      <c r="H396" s="62">
        <f>SUMIF(Transport!$BF$18:$BF$116,F396,Transport!$CH$18:$CH$116)</f>
        <v>0</v>
      </c>
    </row>
    <row r="397" spans="1:21">
      <c r="F397" s="61" t="str">
        <v>Diesel Truck</v>
      </c>
      <c r="G397" s="62">
        <f>SUMIF(Transport!$BF$18:$BF$116,F397,Transport!$BT$18:$BT$116)</f>
        <v>0</v>
      </c>
      <c r="H397" s="62">
        <f>SUMIF(Transport!$BF$18:$BF$116,F397,Transport!$CH$18:$CH$116)</f>
        <v>0</v>
      </c>
    </row>
    <row r="398" spans="1:21">
      <c r="F398" s="61" t="str">
        <v>Electric Truck</v>
      </c>
      <c r="G398" s="62">
        <f>SUMIF(Transport!$BF$18:$BF$116,F398,Transport!$BT$18:$BT$116)</f>
        <v>0</v>
      </c>
      <c r="H398" s="62">
        <f>SUMIF(Transport!$BF$18:$BF$116,F398,Transport!$CH$18:$CH$116)</f>
        <v>0</v>
      </c>
    </row>
    <row r="399" spans="1:21">
      <c r="F399" s="61" t="str">
        <v>Gasoline Truck</v>
      </c>
      <c r="G399" s="62">
        <f>SUMIF(Transport!$BF$18:$BF$116,F399,Transport!$BT$18:$BT$116)</f>
        <v>0</v>
      </c>
      <c r="H399" s="62">
        <f>SUMIF(Transport!$BF$18:$BF$116,F399,Transport!$CH$18:$CH$116)</f>
        <v>0</v>
      </c>
    </row>
    <row r="400" spans="1:21">
      <c r="F400" s="61" t="str">
        <v>Global Container Ship</v>
      </c>
      <c r="G400" s="62">
        <f>SUMIF(Transport!$BF$18:$BF$116,F400,Transport!$BT$18:$BT$116)</f>
        <v>0</v>
      </c>
      <c r="H400" s="62">
        <f>SUMIF(Transport!$BF$18:$BF$116,F400,Transport!$CH$18:$CH$116)</f>
        <v>0</v>
      </c>
    </row>
    <row r="401" spans="1:21">
      <c r="F401" s="61" t="str">
        <v>Diesel Refuse Truck</v>
      </c>
      <c r="G401" s="62">
        <f>SUMIF(Transport!$BF$18:$BF$116,F401,Transport!$BT$18:$BT$116)</f>
        <v>0</v>
      </c>
      <c r="H401" s="62">
        <f>SUMIF(Transport!$BF$18:$BF$116,F401,Transport!$CH$18:$CH$116)</f>
        <v>0</v>
      </c>
    </row>
    <row r="402" spans="1:21">
      <c r="F402" s="61" t="str">
        <v>Gasoline Refuse Truck</v>
      </c>
      <c r="G402" s="62">
        <f>SUMIF(Transport!$BF$18:$BF$116,F402,Transport!$BT$18:$BT$116)</f>
        <v>0</v>
      </c>
      <c r="H402" s="62">
        <f>SUMIF(Transport!$BF$18:$BF$116,F402,Transport!$CH$18:$CH$116)</f>
        <v>0</v>
      </c>
    </row>
    <row r="403" spans="1:21">
      <c r="F403" s="61" t="str">
        <v>Train</v>
      </c>
      <c r="G403" s="62">
        <f>SUMIF(Transport!$BF$18:$BF$116,F403,Transport!$BT$18:$BT$116)</f>
        <v>0</v>
      </c>
      <c r="H403" s="62">
        <f>SUMIF(Transport!$BF$18:$BF$116,F403,Transport!$CH$18:$CH$116)</f>
        <v>0</v>
      </c>
    </row>
    <row r="404" spans="1:21">
      <c r="F404" s="57"/>
    </row>
    <row r="405" spans="1:21">
      <c r="F405" s="60" t="s">
        <v>219</v>
      </c>
      <c r="G405" s="62">
        <f>SUM(G395:G403)</f>
        <v>0</v>
      </c>
      <c r="H405" s="62">
        <f>SUM(H395:H403)</f>
        <v>0</v>
      </c>
    </row>
    <row r="406" spans="1:21">
      <c r="A406" s="18"/>
      <c r="B406" s="18"/>
      <c r="C406" s="18"/>
      <c r="D406" s="18"/>
      <c r="E406" s="18"/>
      <c r="F406" s="19"/>
      <c r="G406" s="20"/>
      <c r="H406" s="18"/>
      <c r="I406" s="18"/>
      <c r="J406" s="18"/>
      <c r="K406" s="18"/>
      <c r="L406" s="18"/>
      <c r="M406" s="18"/>
      <c r="N406" s="18"/>
      <c r="O406" s="18"/>
      <c r="P406" s="18"/>
      <c r="Q406" s="18"/>
      <c r="R406" s="18"/>
      <c r="S406" s="18"/>
      <c r="T406" s="18"/>
      <c r="U406" s="18"/>
    </row>
    <row r="407" spans="1:21">
      <c r="E407" s="1" t="s">
        <v>490</v>
      </c>
      <c r="F407" s="16"/>
      <c r="G407" s="29"/>
    </row>
    <row r="408" spans="1:21">
      <c r="F408" s="16"/>
      <c r="G408" s="29"/>
    </row>
    <row r="409" spans="1:21">
      <c r="F409" s="34"/>
      <c r="G409" s="29"/>
    </row>
    <row r="410" spans="1:21" ht="28.8">
      <c r="F410" s="154" t="s">
        <v>491</v>
      </c>
      <c r="G410" s="154" t="s">
        <v>492</v>
      </c>
      <c r="H410" s="154" t="s">
        <v>301</v>
      </c>
      <c r="M410" s="106" t="s">
        <v>491</v>
      </c>
      <c r="N410" s="154" t="s">
        <v>492</v>
      </c>
      <c r="O410" s="154" t="s">
        <v>301</v>
      </c>
    </row>
    <row r="411" spans="1:21">
      <c r="F411" s="61" t="str">
        <f>_xlfn.LET(_xlpm.x,'Purchased Materials'!CJ15,IF(OR(LEN(_xlpm.x)&lt;1,_xlpm.x=0),"",_xlpm.x))</f>
        <v>no entries</v>
      </c>
      <c r="G411" s="210">
        <f>_xlfn.LET(_xlpm.x,'Purchased Materials'!CL15,IF(OR(LEN(_xlpm.x)&lt;1,_xlpm.x=0),0,_xlpm.x))</f>
        <v>0</v>
      </c>
      <c r="H411" s="210" t="str">
        <f>_xlfn.LET(_xlpm.x,'Purchased Materials'!CM15,IF(OR(LEN(_xlpm.x)&lt;1,_xlpm.x=0),"",_xlpm.x))</f>
        <v/>
      </c>
      <c r="M411" s="61" t="str" cm="1">
        <f t="array" ref="M411:O411">_xlfn._xlws.SORT(_xlfn._xlws.FILTER($F$411:$H$510,$F$411:$F$510&lt;&gt;""),3,-1)</f>
        <v>no entries</v>
      </c>
      <c r="N411" s="210">
        <v>0</v>
      </c>
      <c r="O411" s="210" t="str">
        <v/>
      </c>
    </row>
    <row r="412" spans="1:21">
      <c r="F412" s="61" t="str">
        <f>_xlfn.LET(_xlpm.x,'Purchased Materials'!CJ16,IF(OR(LEN(_xlpm.x)&lt;1,_xlpm.x=0),"",_xlpm.x))</f>
        <v/>
      </c>
      <c r="G412" s="210">
        <f>_xlfn.LET(_xlpm.x,'Purchased Materials'!CL16,IF(OR(LEN(_xlpm.x)&lt;1,_xlpm.x=0),0,_xlpm.x))</f>
        <v>0</v>
      </c>
      <c r="H412" s="210" t="str">
        <f>_xlfn.LET(_xlpm.x,'Purchased Materials'!CM16,IF(OR(LEN(_xlpm.x)&lt;1,_xlpm.x=0),"",_xlpm.x))</f>
        <v/>
      </c>
      <c r="M412" s="61"/>
      <c r="N412" s="210"/>
      <c r="O412" s="210"/>
    </row>
    <row r="413" spans="1:21">
      <c r="F413" s="61" t="str">
        <f>_xlfn.LET(_xlpm.x,'Purchased Materials'!CJ17,IF(OR(LEN(_xlpm.x)&lt;1,_xlpm.x=0),"",_xlpm.x))</f>
        <v/>
      </c>
      <c r="G413" s="210">
        <f>_xlfn.LET(_xlpm.x,'Purchased Materials'!CL17,IF(OR(LEN(_xlpm.x)&lt;1,_xlpm.x=0),0,_xlpm.x))</f>
        <v>0</v>
      </c>
      <c r="H413" s="210" t="str">
        <f>_xlfn.LET(_xlpm.x,'Purchased Materials'!CM17,IF(OR(LEN(_xlpm.x)&lt;1,_xlpm.x=0),"",_xlpm.x))</f>
        <v/>
      </c>
      <c r="M413" s="61"/>
      <c r="N413" s="210"/>
      <c r="O413" s="210"/>
    </row>
    <row r="414" spans="1:21">
      <c r="F414" s="61" t="str">
        <f>_xlfn.LET(_xlpm.x,'Purchased Materials'!CJ18,IF(OR(LEN(_xlpm.x)&lt;1,_xlpm.x=0),"",_xlpm.x))</f>
        <v/>
      </c>
      <c r="G414" s="210">
        <f>_xlfn.LET(_xlpm.x,'Purchased Materials'!CL18,IF(OR(LEN(_xlpm.x)&lt;1,_xlpm.x=0),0,_xlpm.x))</f>
        <v>0</v>
      </c>
      <c r="H414" s="210" t="str">
        <f>_xlfn.LET(_xlpm.x,'Purchased Materials'!CM18,IF(OR(LEN(_xlpm.x)&lt;1,_xlpm.x=0),"",_xlpm.x))</f>
        <v/>
      </c>
      <c r="M414" s="61"/>
      <c r="N414" s="210"/>
      <c r="O414" s="210"/>
    </row>
    <row r="415" spans="1:21">
      <c r="F415" s="61" t="str">
        <f>_xlfn.LET(_xlpm.x,'Purchased Materials'!CJ19,IF(OR(LEN(_xlpm.x)&lt;1,_xlpm.x=0),"",_xlpm.x))</f>
        <v/>
      </c>
      <c r="G415" s="210">
        <f>_xlfn.LET(_xlpm.x,'Purchased Materials'!CL19,IF(OR(LEN(_xlpm.x)&lt;1,_xlpm.x=0),0,_xlpm.x))</f>
        <v>0</v>
      </c>
      <c r="H415" s="210" t="str">
        <f>_xlfn.LET(_xlpm.x,'Purchased Materials'!CM19,IF(OR(LEN(_xlpm.x)&lt;1,_xlpm.x=0),"",_xlpm.x))</f>
        <v/>
      </c>
      <c r="M415" s="61"/>
      <c r="N415" s="210"/>
      <c r="O415" s="210"/>
    </row>
    <row r="416" spans="1:21">
      <c r="F416" s="61" t="str">
        <f>_xlfn.LET(_xlpm.x,'Purchased Materials'!CJ20,IF(OR(LEN(_xlpm.x)&lt;1,_xlpm.x=0),"",_xlpm.x))</f>
        <v/>
      </c>
      <c r="G416" s="210">
        <f>_xlfn.LET(_xlpm.x,'Purchased Materials'!CL20,IF(OR(LEN(_xlpm.x)&lt;1,_xlpm.x=0),0,_xlpm.x))</f>
        <v>0</v>
      </c>
      <c r="H416" s="210" t="str">
        <f>_xlfn.LET(_xlpm.x,'Purchased Materials'!CM20,IF(OR(LEN(_xlpm.x)&lt;1,_xlpm.x=0),"",_xlpm.x))</f>
        <v/>
      </c>
      <c r="M416" s="61"/>
      <c r="N416" s="210"/>
      <c r="O416" s="210"/>
    </row>
    <row r="417" spans="6:15">
      <c r="F417" s="61" t="str">
        <f>_xlfn.LET(_xlpm.x,'Purchased Materials'!CJ21,IF(OR(LEN(_xlpm.x)&lt;1,_xlpm.x=0),"",_xlpm.x))</f>
        <v/>
      </c>
      <c r="G417" s="210">
        <f>_xlfn.LET(_xlpm.x,'Purchased Materials'!CL21,IF(OR(LEN(_xlpm.x)&lt;1,_xlpm.x=0),0,_xlpm.x))</f>
        <v>0</v>
      </c>
      <c r="H417" s="210" t="str">
        <f>_xlfn.LET(_xlpm.x,'Purchased Materials'!CM21,IF(OR(LEN(_xlpm.x)&lt;1,_xlpm.x=0),"",_xlpm.x))</f>
        <v/>
      </c>
      <c r="M417" s="61"/>
      <c r="N417" s="210"/>
      <c r="O417" s="210"/>
    </row>
    <row r="418" spans="6:15">
      <c r="F418" s="61" t="str">
        <f>_xlfn.LET(_xlpm.x,'Purchased Materials'!CJ22,IF(OR(LEN(_xlpm.x)&lt;1,_xlpm.x=0),"",_xlpm.x))</f>
        <v/>
      </c>
      <c r="G418" s="210">
        <f>_xlfn.LET(_xlpm.x,'Purchased Materials'!CL22,IF(OR(LEN(_xlpm.x)&lt;1,_xlpm.x=0),0,_xlpm.x))</f>
        <v>0</v>
      </c>
      <c r="H418" s="210" t="str">
        <f>_xlfn.LET(_xlpm.x,'Purchased Materials'!CM22,IF(OR(LEN(_xlpm.x)&lt;1,_xlpm.x=0),"",_xlpm.x))</f>
        <v/>
      </c>
      <c r="M418" s="61"/>
      <c r="N418" s="210"/>
      <c r="O418" s="210"/>
    </row>
    <row r="419" spans="6:15">
      <c r="F419" s="61" t="str">
        <f>_xlfn.LET(_xlpm.x,'Purchased Materials'!CJ23,IF(OR(LEN(_xlpm.x)&lt;1,_xlpm.x=0),"",_xlpm.x))</f>
        <v/>
      </c>
      <c r="G419" s="210">
        <f>_xlfn.LET(_xlpm.x,'Purchased Materials'!CL23,IF(OR(LEN(_xlpm.x)&lt;1,_xlpm.x=0),0,_xlpm.x))</f>
        <v>0</v>
      </c>
      <c r="H419" s="210" t="str">
        <f>_xlfn.LET(_xlpm.x,'Purchased Materials'!CM23,IF(OR(LEN(_xlpm.x)&lt;1,_xlpm.x=0),"",_xlpm.x))</f>
        <v/>
      </c>
      <c r="M419" s="61"/>
      <c r="N419" s="210"/>
      <c r="O419" s="210"/>
    </row>
    <row r="420" spans="6:15">
      <c r="F420" s="61" t="str">
        <f>_xlfn.LET(_xlpm.x,'Purchased Materials'!CJ24,IF(OR(LEN(_xlpm.x)&lt;1,_xlpm.x=0),"",_xlpm.x))</f>
        <v/>
      </c>
      <c r="G420" s="210">
        <f>_xlfn.LET(_xlpm.x,'Purchased Materials'!CL24,IF(OR(LEN(_xlpm.x)&lt;1,_xlpm.x=0),0,_xlpm.x))</f>
        <v>0</v>
      </c>
      <c r="H420" s="210" t="str">
        <f>_xlfn.LET(_xlpm.x,'Purchased Materials'!CM24,IF(OR(LEN(_xlpm.x)&lt;1,_xlpm.x=0),"",_xlpm.x))</f>
        <v/>
      </c>
      <c r="M420" s="61"/>
      <c r="N420" s="210"/>
      <c r="O420" s="210"/>
    </row>
    <row r="421" spans="6:15">
      <c r="F421" s="61" t="str">
        <f>_xlfn.LET(_xlpm.x,'Purchased Materials'!CJ25,IF(OR(LEN(_xlpm.x)&lt;1,_xlpm.x=0),"",_xlpm.x))</f>
        <v/>
      </c>
      <c r="G421" s="210">
        <f>_xlfn.LET(_xlpm.x,'Purchased Materials'!CL25,IF(OR(LEN(_xlpm.x)&lt;1,_xlpm.x=0),0,_xlpm.x))</f>
        <v>0</v>
      </c>
      <c r="H421" s="210" t="str">
        <f>_xlfn.LET(_xlpm.x,'Purchased Materials'!CM25,IF(OR(LEN(_xlpm.x)&lt;1,_xlpm.x=0),"",_xlpm.x))</f>
        <v/>
      </c>
      <c r="M421" s="61"/>
      <c r="N421" s="210"/>
      <c r="O421" s="210"/>
    </row>
    <row r="422" spans="6:15">
      <c r="F422" s="61" t="str">
        <f>_xlfn.LET(_xlpm.x,'Purchased Materials'!CJ26,IF(OR(LEN(_xlpm.x)&lt;1,_xlpm.x=0),"",_xlpm.x))</f>
        <v/>
      </c>
      <c r="G422" s="210">
        <f>_xlfn.LET(_xlpm.x,'Purchased Materials'!CL26,IF(OR(LEN(_xlpm.x)&lt;1,_xlpm.x=0),0,_xlpm.x))</f>
        <v>0</v>
      </c>
      <c r="H422" s="210" t="str">
        <f>_xlfn.LET(_xlpm.x,'Purchased Materials'!CM26,IF(OR(LEN(_xlpm.x)&lt;1,_xlpm.x=0),"",_xlpm.x))</f>
        <v/>
      </c>
      <c r="M422" s="61"/>
      <c r="N422" s="210"/>
      <c r="O422" s="210"/>
    </row>
    <row r="423" spans="6:15">
      <c r="F423" s="61" t="str">
        <f>_xlfn.LET(_xlpm.x,'Purchased Materials'!CJ27,IF(OR(LEN(_xlpm.x)&lt;1,_xlpm.x=0),"",_xlpm.x))</f>
        <v/>
      </c>
      <c r="G423" s="210">
        <f>_xlfn.LET(_xlpm.x,'Purchased Materials'!CL27,IF(OR(LEN(_xlpm.x)&lt;1,_xlpm.x=0),0,_xlpm.x))</f>
        <v>0</v>
      </c>
      <c r="H423" s="210" t="str">
        <f>_xlfn.LET(_xlpm.x,'Purchased Materials'!CM27,IF(OR(LEN(_xlpm.x)&lt;1,_xlpm.x=0),"",_xlpm.x))</f>
        <v/>
      </c>
      <c r="M423" s="61"/>
      <c r="N423" s="210"/>
      <c r="O423" s="210"/>
    </row>
    <row r="424" spans="6:15">
      <c r="F424" s="61" t="str">
        <f>_xlfn.LET(_xlpm.x,'Purchased Materials'!CJ28,IF(OR(LEN(_xlpm.x)&lt;1,_xlpm.x=0),"",_xlpm.x))</f>
        <v/>
      </c>
      <c r="G424" s="210">
        <f>_xlfn.LET(_xlpm.x,'Purchased Materials'!CL28,IF(OR(LEN(_xlpm.x)&lt;1,_xlpm.x=0),0,_xlpm.x))</f>
        <v>0</v>
      </c>
      <c r="H424" s="210" t="str">
        <f>_xlfn.LET(_xlpm.x,'Purchased Materials'!CM28,IF(OR(LEN(_xlpm.x)&lt;1,_xlpm.x=0),"",_xlpm.x))</f>
        <v/>
      </c>
      <c r="M424" s="61"/>
      <c r="N424" s="210"/>
      <c r="O424" s="210"/>
    </row>
    <row r="425" spans="6:15">
      <c r="F425" s="61" t="str">
        <f>_xlfn.LET(_xlpm.x,'Purchased Materials'!CJ29,IF(OR(LEN(_xlpm.x)&lt;1,_xlpm.x=0),"",_xlpm.x))</f>
        <v/>
      </c>
      <c r="G425" s="210">
        <f>_xlfn.LET(_xlpm.x,'Purchased Materials'!CL29,IF(OR(LEN(_xlpm.x)&lt;1,_xlpm.x=0),0,_xlpm.x))</f>
        <v>0</v>
      </c>
      <c r="H425" s="210" t="str">
        <f>_xlfn.LET(_xlpm.x,'Purchased Materials'!CM29,IF(OR(LEN(_xlpm.x)&lt;1,_xlpm.x=0),"",_xlpm.x))</f>
        <v/>
      </c>
      <c r="M425" s="61"/>
      <c r="N425" s="210"/>
      <c r="O425" s="210"/>
    </row>
    <row r="426" spans="6:15">
      <c r="F426" s="61" t="str">
        <f>_xlfn.LET(_xlpm.x,'Purchased Materials'!CJ30,IF(OR(LEN(_xlpm.x)&lt;1,_xlpm.x=0),"",_xlpm.x))</f>
        <v/>
      </c>
      <c r="G426" s="210">
        <f>_xlfn.LET(_xlpm.x,'Purchased Materials'!CL30,IF(OR(LEN(_xlpm.x)&lt;1,_xlpm.x=0),0,_xlpm.x))</f>
        <v>0</v>
      </c>
      <c r="H426" s="210" t="str">
        <f>_xlfn.LET(_xlpm.x,'Purchased Materials'!CM30,IF(OR(LEN(_xlpm.x)&lt;1,_xlpm.x=0),"",_xlpm.x))</f>
        <v/>
      </c>
      <c r="M426" s="61"/>
      <c r="N426" s="210"/>
      <c r="O426" s="210"/>
    </row>
    <row r="427" spans="6:15">
      <c r="F427" s="61" t="str">
        <f>_xlfn.LET(_xlpm.x,'Purchased Materials'!CJ31,IF(OR(LEN(_xlpm.x)&lt;1,_xlpm.x=0),"",_xlpm.x))</f>
        <v/>
      </c>
      <c r="G427" s="210">
        <f>_xlfn.LET(_xlpm.x,'Purchased Materials'!CL31,IF(OR(LEN(_xlpm.x)&lt;1,_xlpm.x=0),0,_xlpm.x))</f>
        <v>0</v>
      </c>
      <c r="H427" s="210" t="str">
        <f>_xlfn.LET(_xlpm.x,'Purchased Materials'!CM31,IF(OR(LEN(_xlpm.x)&lt;1,_xlpm.x=0),"",_xlpm.x))</f>
        <v/>
      </c>
      <c r="M427" s="61"/>
      <c r="N427" s="210"/>
      <c r="O427" s="210"/>
    </row>
    <row r="428" spans="6:15">
      <c r="F428" s="61" t="str">
        <f>_xlfn.LET(_xlpm.x,'Purchased Materials'!CJ32,IF(OR(LEN(_xlpm.x)&lt;1,_xlpm.x=0),"",_xlpm.x))</f>
        <v/>
      </c>
      <c r="G428" s="210">
        <f>_xlfn.LET(_xlpm.x,'Purchased Materials'!CL32,IF(OR(LEN(_xlpm.x)&lt;1,_xlpm.x=0),0,_xlpm.x))</f>
        <v>0</v>
      </c>
      <c r="H428" s="210" t="str">
        <f>_xlfn.LET(_xlpm.x,'Purchased Materials'!CM32,IF(OR(LEN(_xlpm.x)&lt;1,_xlpm.x=0),"",_xlpm.x))</f>
        <v/>
      </c>
      <c r="M428" s="61"/>
      <c r="N428" s="210"/>
      <c r="O428" s="210"/>
    </row>
    <row r="429" spans="6:15">
      <c r="F429" s="61" t="str">
        <f>_xlfn.LET(_xlpm.x,'Purchased Materials'!CJ33,IF(OR(LEN(_xlpm.x)&lt;1,_xlpm.x=0),"",_xlpm.x))</f>
        <v/>
      </c>
      <c r="G429" s="210">
        <f>_xlfn.LET(_xlpm.x,'Purchased Materials'!CL33,IF(OR(LEN(_xlpm.x)&lt;1,_xlpm.x=0),0,_xlpm.x))</f>
        <v>0</v>
      </c>
      <c r="H429" s="210" t="str">
        <f>_xlfn.LET(_xlpm.x,'Purchased Materials'!CM33,IF(OR(LEN(_xlpm.x)&lt;1,_xlpm.x=0),"",_xlpm.x))</f>
        <v/>
      </c>
      <c r="M429" s="61"/>
      <c r="N429" s="79"/>
      <c r="O429" s="210"/>
    </row>
    <row r="430" spans="6:15">
      <c r="F430" s="61" t="str">
        <f>_xlfn.LET(_xlpm.x,'Purchased Materials'!CJ34,IF(OR(LEN(_xlpm.x)&lt;1,_xlpm.x=0),"",_xlpm.x))</f>
        <v/>
      </c>
      <c r="G430" s="210">
        <f>_xlfn.LET(_xlpm.x,'Purchased Materials'!CL34,IF(OR(LEN(_xlpm.x)&lt;1,_xlpm.x=0),0,_xlpm.x))</f>
        <v>0</v>
      </c>
      <c r="H430" s="210" t="str">
        <f>_xlfn.LET(_xlpm.x,'Purchased Materials'!CM34,IF(OR(LEN(_xlpm.x)&lt;1,_xlpm.x=0),"",_xlpm.x))</f>
        <v/>
      </c>
      <c r="M430" s="61"/>
      <c r="N430" s="79"/>
      <c r="O430" s="210"/>
    </row>
    <row r="431" spans="6:15">
      <c r="F431" s="61" t="str">
        <f>_xlfn.LET(_xlpm.x,'Purchased Materials'!CJ35,IF(OR(LEN(_xlpm.x)&lt;1,_xlpm.x=0),"",_xlpm.x))</f>
        <v/>
      </c>
      <c r="G431" s="210">
        <f>_xlfn.LET(_xlpm.x,'Purchased Materials'!CL35,IF(OR(LEN(_xlpm.x)&lt;1,_xlpm.x=0),0,_xlpm.x))</f>
        <v>0</v>
      </c>
      <c r="H431" s="210" t="str">
        <f>_xlfn.LET(_xlpm.x,'Purchased Materials'!CM35,IF(OR(LEN(_xlpm.x)&lt;1,_xlpm.x=0),"",_xlpm.x))</f>
        <v/>
      </c>
      <c r="M431" s="61"/>
      <c r="N431" s="79"/>
      <c r="O431" s="210"/>
    </row>
    <row r="432" spans="6:15">
      <c r="F432" s="61" t="str">
        <f>_xlfn.LET(_xlpm.x,'Purchased Materials'!CJ36,IF(OR(LEN(_xlpm.x)&lt;1,_xlpm.x=0),"",_xlpm.x))</f>
        <v/>
      </c>
      <c r="G432" s="210">
        <f>_xlfn.LET(_xlpm.x,'Purchased Materials'!CL36,IF(OR(LEN(_xlpm.x)&lt;1,_xlpm.x=0),0,_xlpm.x))</f>
        <v>0</v>
      </c>
      <c r="H432" s="210" t="str">
        <f>_xlfn.LET(_xlpm.x,'Purchased Materials'!CM36,IF(OR(LEN(_xlpm.x)&lt;1,_xlpm.x=0),"",_xlpm.x))</f>
        <v/>
      </c>
      <c r="M432" s="61"/>
      <c r="N432" s="69"/>
      <c r="O432" s="69"/>
    </row>
    <row r="433" spans="6:15">
      <c r="F433" s="61" t="str">
        <f>_xlfn.LET(_xlpm.x,'Purchased Materials'!CJ37,IF(OR(LEN(_xlpm.x)&lt;1,_xlpm.x=0),"",_xlpm.x))</f>
        <v/>
      </c>
      <c r="G433" s="210">
        <f>_xlfn.LET(_xlpm.x,'Purchased Materials'!CL37,IF(OR(LEN(_xlpm.x)&lt;1,_xlpm.x=0),0,_xlpm.x))</f>
        <v>0</v>
      </c>
      <c r="H433" s="210" t="str">
        <f>_xlfn.LET(_xlpm.x,'Purchased Materials'!CM37,IF(OR(LEN(_xlpm.x)&lt;1,_xlpm.x=0),"",_xlpm.x))</f>
        <v/>
      </c>
      <c r="M433" s="61"/>
      <c r="N433" s="69"/>
      <c r="O433" s="69"/>
    </row>
    <row r="434" spans="6:15">
      <c r="F434" s="61" t="str">
        <f>_xlfn.LET(_xlpm.x,'Purchased Materials'!CJ38,IF(OR(LEN(_xlpm.x)&lt;1,_xlpm.x=0),"",_xlpm.x))</f>
        <v/>
      </c>
      <c r="G434" s="210">
        <f>_xlfn.LET(_xlpm.x,'Purchased Materials'!CL38,IF(OR(LEN(_xlpm.x)&lt;1,_xlpm.x=0),0,_xlpm.x))</f>
        <v>0</v>
      </c>
      <c r="H434" s="210" t="str">
        <f>_xlfn.LET(_xlpm.x,'Purchased Materials'!CM38,IF(OR(LEN(_xlpm.x)&lt;1,_xlpm.x=0),"",_xlpm.x))</f>
        <v/>
      </c>
      <c r="M434" s="61"/>
      <c r="N434" s="69"/>
      <c r="O434" s="69"/>
    </row>
    <row r="435" spans="6:15">
      <c r="F435" s="61" t="str">
        <f>_xlfn.LET(_xlpm.x,'Purchased Materials'!CJ39,IF(OR(LEN(_xlpm.x)&lt;1,_xlpm.x=0),"",_xlpm.x))</f>
        <v/>
      </c>
      <c r="G435" s="210">
        <f>_xlfn.LET(_xlpm.x,'Purchased Materials'!CL39,IF(OR(LEN(_xlpm.x)&lt;1,_xlpm.x=0),0,_xlpm.x))</f>
        <v>0</v>
      </c>
      <c r="H435" s="210" t="str">
        <f>_xlfn.LET(_xlpm.x,'Purchased Materials'!CM39,IF(OR(LEN(_xlpm.x)&lt;1,_xlpm.x=0),"",_xlpm.x))</f>
        <v/>
      </c>
      <c r="M435" s="61"/>
      <c r="N435" s="69"/>
      <c r="O435" s="69"/>
    </row>
    <row r="436" spans="6:15">
      <c r="F436" s="61" t="str">
        <f>_xlfn.LET(_xlpm.x,'Purchased Materials'!CJ40,IF(OR(LEN(_xlpm.x)&lt;1,_xlpm.x=0),"",_xlpm.x))</f>
        <v/>
      </c>
      <c r="G436" s="210">
        <f>_xlfn.LET(_xlpm.x,'Purchased Materials'!CL40,IF(OR(LEN(_xlpm.x)&lt;1,_xlpm.x=0),0,_xlpm.x))</f>
        <v>0</v>
      </c>
      <c r="H436" s="210" t="str">
        <f>_xlfn.LET(_xlpm.x,'Purchased Materials'!CM40,IF(OR(LEN(_xlpm.x)&lt;1,_xlpm.x=0),"",_xlpm.x))</f>
        <v/>
      </c>
      <c r="M436" s="61"/>
      <c r="N436" s="69"/>
      <c r="O436" s="69"/>
    </row>
    <row r="437" spans="6:15">
      <c r="F437" s="61" t="str">
        <f>_xlfn.LET(_xlpm.x,'Purchased Materials'!CJ41,IF(OR(LEN(_xlpm.x)&lt;1,_xlpm.x=0),"",_xlpm.x))</f>
        <v/>
      </c>
      <c r="G437" s="210">
        <f>_xlfn.LET(_xlpm.x,'Purchased Materials'!CL41,IF(OR(LEN(_xlpm.x)&lt;1,_xlpm.x=0),0,_xlpm.x))</f>
        <v>0</v>
      </c>
      <c r="H437" s="210" t="str">
        <f>_xlfn.LET(_xlpm.x,'Purchased Materials'!CM41,IF(OR(LEN(_xlpm.x)&lt;1,_xlpm.x=0),"",_xlpm.x))</f>
        <v/>
      </c>
      <c r="M437" s="61"/>
      <c r="N437" s="69"/>
      <c r="O437" s="69"/>
    </row>
    <row r="438" spans="6:15">
      <c r="F438" s="61" t="str">
        <f>_xlfn.LET(_xlpm.x,'Purchased Materials'!CJ42,IF(OR(LEN(_xlpm.x)&lt;1,_xlpm.x=0),"",_xlpm.x))</f>
        <v/>
      </c>
      <c r="G438" s="210">
        <f>_xlfn.LET(_xlpm.x,'Purchased Materials'!CL42,IF(OR(LEN(_xlpm.x)&lt;1,_xlpm.x=0),0,_xlpm.x))</f>
        <v>0</v>
      </c>
      <c r="H438" s="210" t="str">
        <f>_xlfn.LET(_xlpm.x,'Purchased Materials'!CM42,IF(OR(LEN(_xlpm.x)&lt;1,_xlpm.x=0),"",_xlpm.x))</f>
        <v/>
      </c>
      <c r="M438" s="61"/>
      <c r="N438" s="69"/>
      <c r="O438" s="69"/>
    </row>
    <row r="439" spans="6:15">
      <c r="F439" s="61" t="str">
        <f>_xlfn.LET(_xlpm.x,'Purchased Materials'!CJ43,IF(OR(LEN(_xlpm.x)&lt;1,_xlpm.x=0),"",_xlpm.x))</f>
        <v/>
      </c>
      <c r="G439" s="210">
        <f>_xlfn.LET(_xlpm.x,'Purchased Materials'!CL43,IF(OR(LEN(_xlpm.x)&lt;1,_xlpm.x=0),0,_xlpm.x))</f>
        <v>0</v>
      </c>
      <c r="H439" s="210" t="str">
        <f>_xlfn.LET(_xlpm.x,'Purchased Materials'!CM43,IF(OR(LEN(_xlpm.x)&lt;1,_xlpm.x=0),"",_xlpm.x))</f>
        <v/>
      </c>
      <c r="M439" s="61"/>
      <c r="N439" s="69"/>
      <c r="O439" s="69"/>
    </row>
    <row r="440" spans="6:15">
      <c r="F440" s="61" t="str">
        <f>_xlfn.LET(_xlpm.x,'Purchased Materials'!CJ44,IF(OR(LEN(_xlpm.x)&lt;1,_xlpm.x=0),"",_xlpm.x))</f>
        <v/>
      </c>
      <c r="G440" s="210">
        <f>_xlfn.LET(_xlpm.x,'Purchased Materials'!CL44,IF(OR(LEN(_xlpm.x)&lt;1,_xlpm.x=0),0,_xlpm.x))</f>
        <v>0</v>
      </c>
      <c r="H440" s="210" t="str">
        <f>_xlfn.LET(_xlpm.x,'Purchased Materials'!CM44,IF(OR(LEN(_xlpm.x)&lt;1,_xlpm.x=0),"",_xlpm.x))</f>
        <v/>
      </c>
      <c r="M440" s="61"/>
      <c r="N440" s="69"/>
      <c r="O440" s="69"/>
    </row>
    <row r="441" spans="6:15">
      <c r="F441" s="61" t="str">
        <f>_xlfn.LET(_xlpm.x,'Purchased Materials'!CJ45,IF(OR(LEN(_xlpm.x)&lt;1,_xlpm.x=0),"",_xlpm.x))</f>
        <v/>
      </c>
      <c r="G441" s="210">
        <f>_xlfn.LET(_xlpm.x,'Purchased Materials'!CL45,IF(OR(LEN(_xlpm.x)&lt;1,_xlpm.x=0),0,_xlpm.x))</f>
        <v>0</v>
      </c>
      <c r="H441" s="210" t="str">
        <f>_xlfn.LET(_xlpm.x,'Purchased Materials'!CM45,IF(OR(LEN(_xlpm.x)&lt;1,_xlpm.x=0),"",_xlpm.x))</f>
        <v/>
      </c>
      <c r="M441" s="61"/>
      <c r="N441" s="69"/>
      <c r="O441" s="69"/>
    </row>
    <row r="442" spans="6:15">
      <c r="F442" s="61" t="str">
        <f>_xlfn.LET(_xlpm.x,'Purchased Materials'!CJ46,IF(OR(LEN(_xlpm.x)&lt;1,_xlpm.x=0),"",_xlpm.x))</f>
        <v/>
      </c>
      <c r="G442" s="210">
        <f>_xlfn.LET(_xlpm.x,'Purchased Materials'!CL46,IF(OR(LEN(_xlpm.x)&lt;1,_xlpm.x=0),0,_xlpm.x))</f>
        <v>0</v>
      </c>
      <c r="H442" s="210" t="str">
        <f>_xlfn.LET(_xlpm.x,'Purchased Materials'!CM46,IF(OR(LEN(_xlpm.x)&lt;1,_xlpm.x=0),"",_xlpm.x))</f>
        <v/>
      </c>
      <c r="M442" s="61"/>
      <c r="N442" s="69"/>
      <c r="O442" s="69"/>
    </row>
    <row r="443" spans="6:15">
      <c r="F443" s="61" t="str">
        <f>_xlfn.LET(_xlpm.x,'Purchased Materials'!CJ47,IF(OR(LEN(_xlpm.x)&lt;1,_xlpm.x=0),"",_xlpm.x))</f>
        <v/>
      </c>
      <c r="G443" s="210">
        <f>_xlfn.LET(_xlpm.x,'Purchased Materials'!CL47,IF(OR(LEN(_xlpm.x)&lt;1,_xlpm.x=0),0,_xlpm.x))</f>
        <v>0</v>
      </c>
      <c r="H443" s="210" t="str">
        <f>_xlfn.LET(_xlpm.x,'Purchased Materials'!CM47,IF(OR(LEN(_xlpm.x)&lt;1,_xlpm.x=0),"",_xlpm.x))</f>
        <v/>
      </c>
      <c r="M443" s="61"/>
      <c r="N443" s="69"/>
      <c r="O443" s="69"/>
    </row>
    <row r="444" spans="6:15">
      <c r="F444" s="61" t="str">
        <f>_xlfn.LET(_xlpm.x,'Purchased Materials'!CJ48,IF(OR(LEN(_xlpm.x)&lt;1,_xlpm.x=0),"",_xlpm.x))</f>
        <v/>
      </c>
      <c r="G444" s="210">
        <f>_xlfn.LET(_xlpm.x,'Purchased Materials'!CL48,IF(OR(LEN(_xlpm.x)&lt;1,_xlpm.x=0),0,_xlpm.x))</f>
        <v>0</v>
      </c>
      <c r="H444" s="210" t="str">
        <f>_xlfn.LET(_xlpm.x,'Purchased Materials'!CM48,IF(OR(LEN(_xlpm.x)&lt;1,_xlpm.x=0),"",_xlpm.x))</f>
        <v/>
      </c>
      <c r="M444" s="61"/>
      <c r="N444" s="69"/>
      <c r="O444" s="69"/>
    </row>
    <row r="445" spans="6:15">
      <c r="F445" s="61" t="str">
        <f>_xlfn.LET(_xlpm.x,'Purchased Materials'!CJ49,IF(OR(LEN(_xlpm.x)&lt;1,_xlpm.x=0),"",_xlpm.x))</f>
        <v/>
      </c>
      <c r="G445" s="210">
        <f>_xlfn.LET(_xlpm.x,'Purchased Materials'!CL49,IF(OR(LEN(_xlpm.x)&lt;1,_xlpm.x=0),0,_xlpm.x))</f>
        <v>0</v>
      </c>
      <c r="H445" s="210" t="str">
        <f>_xlfn.LET(_xlpm.x,'Purchased Materials'!CM49,IF(OR(LEN(_xlpm.x)&lt;1,_xlpm.x=0),"",_xlpm.x))</f>
        <v/>
      </c>
      <c r="M445" s="61"/>
      <c r="N445" s="69"/>
      <c r="O445" s="69"/>
    </row>
    <row r="446" spans="6:15">
      <c r="F446" s="61" t="str">
        <f>_xlfn.LET(_xlpm.x,'Purchased Materials'!CJ50,IF(OR(LEN(_xlpm.x)&lt;1,_xlpm.x=0),"",_xlpm.x))</f>
        <v/>
      </c>
      <c r="G446" s="210">
        <f>_xlfn.LET(_xlpm.x,'Purchased Materials'!CL50,IF(OR(LEN(_xlpm.x)&lt;1,_xlpm.x=0),0,_xlpm.x))</f>
        <v>0</v>
      </c>
      <c r="H446" s="210" t="str">
        <f>_xlfn.LET(_xlpm.x,'Purchased Materials'!CM50,IF(OR(LEN(_xlpm.x)&lt;1,_xlpm.x=0),"",_xlpm.x))</f>
        <v/>
      </c>
      <c r="M446" s="61"/>
      <c r="N446" s="69"/>
      <c r="O446" s="69"/>
    </row>
    <row r="447" spans="6:15">
      <c r="F447" s="61" t="str">
        <f>_xlfn.LET(_xlpm.x,'Purchased Materials'!CJ51,IF(OR(LEN(_xlpm.x)&lt;1,_xlpm.x=0),"",_xlpm.x))</f>
        <v/>
      </c>
      <c r="G447" s="210">
        <f>_xlfn.LET(_xlpm.x,'Purchased Materials'!CL51,IF(OR(LEN(_xlpm.x)&lt;1,_xlpm.x=0),0,_xlpm.x))</f>
        <v>0</v>
      </c>
      <c r="H447" s="210" t="str">
        <f>_xlfn.LET(_xlpm.x,'Purchased Materials'!CM51,IF(OR(LEN(_xlpm.x)&lt;1,_xlpm.x=0),"",_xlpm.x))</f>
        <v/>
      </c>
      <c r="M447" s="61"/>
      <c r="N447" s="69"/>
      <c r="O447" s="69"/>
    </row>
    <row r="448" spans="6:15">
      <c r="F448" s="61" t="str">
        <f>_xlfn.LET(_xlpm.x,'Purchased Materials'!CJ52,IF(OR(LEN(_xlpm.x)&lt;1,_xlpm.x=0),"",_xlpm.x))</f>
        <v/>
      </c>
      <c r="G448" s="210">
        <f>_xlfn.LET(_xlpm.x,'Purchased Materials'!CL52,IF(OR(LEN(_xlpm.x)&lt;1,_xlpm.x=0),0,_xlpm.x))</f>
        <v>0</v>
      </c>
      <c r="H448" s="210" t="str">
        <f>_xlfn.LET(_xlpm.x,'Purchased Materials'!CM52,IF(OR(LEN(_xlpm.x)&lt;1,_xlpm.x=0),"",_xlpm.x))</f>
        <v/>
      </c>
      <c r="M448" s="61"/>
      <c r="N448" s="69"/>
      <c r="O448" s="69"/>
    </row>
    <row r="449" spans="6:15">
      <c r="F449" s="61" t="str">
        <f>_xlfn.LET(_xlpm.x,'Purchased Materials'!CJ53,IF(OR(LEN(_xlpm.x)&lt;1,_xlpm.x=0),"",_xlpm.x))</f>
        <v/>
      </c>
      <c r="G449" s="210">
        <f>_xlfn.LET(_xlpm.x,'Purchased Materials'!CL53,IF(OR(LEN(_xlpm.x)&lt;1,_xlpm.x=0),0,_xlpm.x))</f>
        <v>0</v>
      </c>
      <c r="H449" s="210" t="str">
        <f>_xlfn.LET(_xlpm.x,'Purchased Materials'!CM53,IF(OR(LEN(_xlpm.x)&lt;1,_xlpm.x=0),"",_xlpm.x))</f>
        <v/>
      </c>
      <c r="M449" s="61"/>
      <c r="N449" s="69"/>
      <c r="O449" s="69"/>
    </row>
    <row r="450" spans="6:15">
      <c r="F450" s="61" t="str">
        <f>_xlfn.LET(_xlpm.x,'Purchased Materials'!CJ54,IF(OR(LEN(_xlpm.x)&lt;1,_xlpm.x=0),"",_xlpm.x))</f>
        <v/>
      </c>
      <c r="G450" s="210">
        <f>_xlfn.LET(_xlpm.x,'Purchased Materials'!CL54,IF(OR(LEN(_xlpm.x)&lt;1,_xlpm.x=0),0,_xlpm.x))</f>
        <v>0</v>
      </c>
      <c r="H450" s="210" t="str">
        <f>_xlfn.LET(_xlpm.x,'Purchased Materials'!CM54,IF(OR(LEN(_xlpm.x)&lt;1,_xlpm.x=0),"",_xlpm.x))</f>
        <v/>
      </c>
      <c r="M450" s="61"/>
      <c r="N450" s="69"/>
      <c r="O450" s="69"/>
    </row>
    <row r="451" spans="6:15">
      <c r="F451" s="61" t="str">
        <f>_xlfn.LET(_xlpm.x,'Purchased Materials'!CJ55,IF(OR(LEN(_xlpm.x)&lt;1,_xlpm.x=0),"",_xlpm.x))</f>
        <v/>
      </c>
      <c r="G451" s="210">
        <f>_xlfn.LET(_xlpm.x,'Purchased Materials'!CL55,IF(OR(LEN(_xlpm.x)&lt;1,_xlpm.x=0),0,_xlpm.x))</f>
        <v>0</v>
      </c>
      <c r="H451" s="210" t="str">
        <f>_xlfn.LET(_xlpm.x,'Purchased Materials'!CM55,IF(OR(LEN(_xlpm.x)&lt;1,_xlpm.x=0),"",_xlpm.x))</f>
        <v/>
      </c>
      <c r="M451" s="61"/>
      <c r="N451" s="69"/>
      <c r="O451" s="69"/>
    </row>
    <row r="452" spans="6:15">
      <c r="F452" s="61" t="str">
        <f>_xlfn.LET(_xlpm.x,'Purchased Materials'!CJ56,IF(OR(LEN(_xlpm.x)&lt;1,_xlpm.x=0),"",_xlpm.x))</f>
        <v/>
      </c>
      <c r="G452" s="210">
        <f>_xlfn.LET(_xlpm.x,'Purchased Materials'!CL56,IF(OR(LEN(_xlpm.x)&lt;1,_xlpm.x=0),0,_xlpm.x))</f>
        <v>0</v>
      </c>
      <c r="H452" s="210" t="str">
        <f>_xlfn.LET(_xlpm.x,'Purchased Materials'!CM56,IF(OR(LEN(_xlpm.x)&lt;1,_xlpm.x=0),"",_xlpm.x))</f>
        <v/>
      </c>
      <c r="M452" s="61"/>
      <c r="N452" s="69"/>
      <c r="O452" s="69"/>
    </row>
    <row r="453" spans="6:15">
      <c r="F453" s="61" t="str">
        <f>_xlfn.LET(_xlpm.x,'Purchased Materials'!CJ57,IF(OR(LEN(_xlpm.x)&lt;1,_xlpm.x=0),"",_xlpm.x))</f>
        <v/>
      </c>
      <c r="G453" s="210">
        <f>_xlfn.LET(_xlpm.x,'Purchased Materials'!CL57,IF(OR(LEN(_xlpm.x)&lt;1,_xlpm.x=0),0,_xlpm.x))</f>
        <v>0</v>
      </c>
      <c r="H453" s="210" t="str">
        <f>_xlfn.LET(_xlpm.x,'Purchased Materials'!CM57,IF(OR(LEN(_xlpm.x)&lt;1,_xlpm.x=0),"",_xlpm.x))</f>
        <v/>
      </c>
      <c r="M453" s="61"/>
      <c r="N453" s="69"/>
      <c r="O453" s="69"/>
    </row>
    <row r="454" spans="6:15">
      <c r="F454" s="61" t="str">
        <f>_xlfn.LET(_xlpm.x,'Purchased Materials'!CJ58,IF(OR(LEN(_xlpm.x)&lt;1,_xlpm.x=0),"",_xlpm.x))</f>
        <v/>
      </c>
      <c r="G454" s="210">
        <f>_xlfn.LET(_xlpm.x,'Purchased Materials'!CL58,IF(OR(LEN(_xlpm.x)&lt;1,_xlpm.x=0),0,_xlpm.x))</f>
        <v>0</v>
      </c>
      <c r="H454" s="210" t="str">
        <f>_xlfn.LET(_xlpm.x,'Purchased Materials'!CM58,IF(OR(LEN(_xlpm.x)&lt;1,_xlpm.x=0),"",_xlpm.x))</f>
        <v/>
      </c>
      <c r="M454" s="61"/>
      <c r="N454" s="69"/>
      <c r="O454" s="69"/>
    </row>
    <row r="455" spans="6:15">
      <c r="F455" s="61" t="str">
        <f>_xlfn.LET(_xlpm.x,'Purchased Materials'!CJ59,IF(OR(LEN(_xlpm.x)&lt;1,_xlpm.x=0),"",_xlpm.x))</f>
        <v/>
      </c>
      <c r="G455" s="210">
        <f>_xlfn.LET(_xlpm.x,'Purchased Materials'!CL59,IF(OR(LEN(_xlpm.x)&lt;1,_xlpm.x=0),0,_xlpm.x))</f>
        <v>0</v>
      </c>
      <c r="H455" s="210" t="str">
        <f>_xlfn.LET(_xlpm.x,'Purchased Materials'!CM59,IF(OR(LEN(_xlpm.x)&lt;1,_xlpm.x=0),"",_xlpm.x))</f>
        <v/>
      </c>
      <c r="M455" s="61"/>
      <c r="N455" s="69"/>
      <c r="O455" s="69"/>
    </row>
    <row r="456" spans="6:15">
      <c r="F456" s="61" t="str">
        <f>_xlfn.LET(_xlpm.x,'Purchased Materials'!CJ60,IF(OR(LEN(_xlpm.x)&lt;1,_xlpm.x=0),"",_xlpm.x))</f>
        <v/>
      </c>
      <c r="G456" s="210">
        <f>_xlfn.LET(_xlpm.x,'Purchased Materials'!CL60,IF(OR(LEN(_xlpm.x)&lt;1,_xlpm.x=0),0,_xlpm.x))</f>
        <v>0</v>
      </c>
      <c r="H456" s="210" t="str">
        <f>_xlfn.LET(_xlpm.x,'Purchased Materials'!CM60,IF(OR(LEN(_xlpm.x)&lt;1,_xlpm.x=0),"",_xlpm.x))</f>
        <v/>
      </c>
      <c r="M456" s="61"/>
      <c r="N456" s="69"/>
      <c r="O456" s="69"/>
    </row>
    <row r="457" spans="6:15">
      <c r="F457" s="61" t="str">
        <f>_xlfn.LET(_xlpm.x,'Purchased Materials'!CJ61,IF(OR(LEN(_xlpm.x)&lt;1,_xlpm.x=0),"",_xlpm.x))</f>
        <v/>
      </c>
      <c r="G457" s="210">
        <f>_xlfn.LET(_xlpm.x,'Purchased Materials'!CL61,IF(OR(LEN(_xlpm.x)&lt;1,_xlpm.x=0),0,_xlpm.x))</f>
        <v>0</v>
      </c>
      <c r="H457" s="210" t="str">
        <f>_xlfn.LET(_xlpm.x,'Purchased Materials'!CM61,IF(OR(LEN(_xlpm.x)&lt;1,_xlpm.x=0),"",_xlpm.x))</f>
        <v/>
      </c>
      <c r="M457" s="61"/>
      <c r="N457" s="69"/>
      <c r="O457" s="69"/>
    </row>
    <row r="458" spans="6:15">
      <c r="F458" s="61" t="str">
        <f>_xlfn.LET(_xlpm.x,'Purchased Materials'!CJ62,IF(OR(LEN(_xlpm.x)&lt;1,_xlpm.x=0),"",_xlpm.x))</f>
        <v/>
      </c>
      <c r="G458" s="210">
        <f>_xlfn.LET(_xlpm.x,'Purchased Materials'!CL62,IF(OR(LEN(_xlpm.x)&lt;1,_xlpm.x=0),0,_xlpm.x))</f>
        <v>0</v>
      </c>
      <c r="H458" s="210" t="str">
        <f>_xlfn.LET(_xlpm.x,'Purchased Materials'!CM62,IF(OR(LEN(_xlpm.x)&lt;1,_xlpm.x=0),"",_xlpm.x))</f>
        <v/>
      </c>
      <c r="M458" s="61"/>
      <c r="N458" s="69"/>
      <c r="O458" s="69"/>
    </row>
    <row r="459" spans="6:15">
      <c r="F459" s="61" t="str">
        <f>_xlfn.LET(_xlpm.x,'Purchased Materials'!CJ63,IF(OR(LEN(_xlpm.x)&lt;1,_xlpm.x=0),"",_xlpm.x))</f>
        <v/>
      </c>
      <c r="G459" s="210">
        <f>_xlfn.LET(_xlpm.x,'Purchased Materials'!CL63,IF(OR(LEN(_xlpm.x)&lt;1,_xlpm.x=0),0,_xlpm.x))</f>
        <v>0</v>
      </c>
      <c r="H459" s="210" t="str">
        <f>_xlfn.LET(_xlpm.x,'Purchased Materials'!CM63,IF(OR(LEN(_xlpm.x)&lt;1,_xlpm.x=0),"",_xlpm.x))</f>
        <v/>
      </c>
      <c r="M459" s="61"/>
      <c r="N459" s="69"/>
      <c r="O459" s="69"/>
    </row>
    <row r="460" spans="6:15">
      <c r="F460" s="61" t="str">
        <f>_xlfn.LET(_xlpm.x,'Purchased Materials'!CJ64,IF(OR(LEN(_xlpm.x)&lt;1,_xlpm.x=0),"",_xlpm.x))</f>
        <v/>
      </c>
      <c r="G460" s="210">
        <f>_xlfn.LET(_xlpm.x,'Purchased Materials'!CL64,IF(OR(LEN(_xlpm.x)&lt;1,_xlpm.x=0),0,_xlpm.x))</f>
        <v>0</v>
      </c>
      <c r="H460" s="210" t="str">
        <f>_xlfn.LET(_xlpm.x,'Purchased Materials'!CM64,IF(OR(LEN(_xlpm.x)&lt;1,_xlpm.x=0),"",_xlpm.x))</f>
        <v/>
      </c>
      <c r="M460" s="61"/>
      <c r="N460" s="69"/>
      <c r="O460" s="69"/>
    </row>
    <row r="461" spans="6:15">
      <c r="F461" s="61" t="str">
        <f>_xlfn.LET(_xlpm.x,'Purchased Materials'!CJ65,IF(OR(LEN(_xlpm.x)&lt;1,_xlpm.x=0),"",_xlpm.x))</f>
        <v/>
      </c>
      <c r="G461" s="210">
        <f>_xlfn.LET(_xlpm.x,'Purchased Materials'!CL65,IF(OR(LEN(_xlpm.x)&lt;1,_xlpm.x=0),0,_xlpm.x))</f>
        <v>0</v>
      </c>
      <c r="H461" s="210" t="str">
        <f>_xlfn.LET(_xlpm.x,'Purchased Materials'!CM65,IF(OR(LEN(_xlpm.x)&lt;1,_xlpm.x=0),"",_xlpm.x))</f>
        <v/>
      </c>
      <c r="M461" s="61"/>
      <c r="N461" s="69"/>
      <c r="O461" s="69"/>
    </row>
    <row r="462" spans="6:15">
      <c r="F462" s="61" t="str">
        <f>_xlfn.LET(_xlpm.x,'Purchased Materials'!CJ66,IF(OR(LEN(_xlpm.x)&lt;1,_xlpm.x=0),"",_xlpm.x))</f>
        <v/>
      </c>
      <c r="G462" s="210">
        <f>_xlfn.LET(_xlpm.x,'Purchased Materials'!CL66,IF(OR(LEN(_xlpm.x)&lt;1,_xlpm.x=0),0,_xlpm.x))</f>
        <v>0</v>
      </c>
      <c r="H462" s="210" t="str">
        <f>_xlfn.LET(_xlpm.x,'Purchased Materials'!CM66,IF(OR(LEN(_xlpm.x)&lt;1,_xlpm.x=0),"",_xlpm.x))</f>
        <v/>
      </c>
      <c r="M462" s="61"/>
      <c r="N462" s="69"/>
      <c r="O462" s="69"/>
    </row>
    <row r="463" spans="6:15">
      <c r="F463" s="61" t="str">
        <f>_xlfn.LET(_xlpm.x,'Purchased Materials'!CJ67,IF(OR(LEN(_xlpm.x)&lt;1,_xlpm.x=0),"",_xlpm.x))</f>
        <v/>
      </c>
      <c r="G463" s="210">
        <f>_xlfn.LET(_xlpm.x,'Purchased Materials'!CL67,IF(OR(LEN(_xlpm.x)&lt;1,_xlpm.x=0),0,_xlpm.x))</f>
        <v>0</v>
      </c>
      <c r="H463" s="210" t="str">
        <f>_xlfn.LET(_xlpm.x,'Purchased Materials'!CM67,IF(OR(LEN(_xlpm.x)&lt;1,_xlpm.x=0),"",_xlpm.x))</f>
        <v/>
      </c>
      <c r="M463" s="61"/>
      <c r="N463" s="69"/>
      <c r="O463" s="69"/>
    </row>
    <row r="464" spans="6:15">
      <c r="F464" s="61" t="str">
        <f>_xlfn.LET(_xlpm.x,'Purchased Materials'!CJ68,IF(OR(LEN(_xlpm.x)&lt;1,_xlpm.x=0),"",_xlpm.x))</f>
        <v/>
      </c>
      <c r="G464" s="210">
        <f>_xlfn.LET(_xlpm.x,'Purchased Materials'!CL68,IF(OR(LEN(_xlpm.x)&lt;1,_xlpm.x=0),0,_xlpm.x))</f>
        <v>0</v>
      </c>
      <c r="H464" s="210" t="str">
        <f>_xlfn.LET(_xlpm.x,'Purchased Materials'!CM68,IF(OR(LEN(_xlpm.x)&lt;1,_xlpm.x=0),"",_xlpm.x))</f>
        <v/>
      </c>
      <c r="M464" s="61"/>
      <c r="N464" s="69"/>
      <c r="O464" s="69"/>
    </row>
    <row r="465" spans="6:15">
      <c r="F465" s="61" t="str">
        <f>_xlfn.LET(_xlpm.x,'Purchased Materials'!CJ69,IF(OR(LEN(_xlpm.x)&lt;1,_xlpm.x=0),"",_xlpm.x))</f>
        <v/>
      </c>
      <c r="G465" s="210">
        <f>_xlfn.LET(_xlpm.x,'Purchased Materials'!CL69,IF(OR(LEN(_xlpm.x)&lt;1,_xlpm.x=0),0,_xlpm.x))</f>
        <v>0</v>
      </c>
      <c r="H465" s="210" t="str">
        <f>_xlfn.LET(_xlpm.x,'Purchased Materials'!CM69,IF(OR(LEN(_xlpm.x)&lt;1,_xlpm.x=0),"",_xlpm.x))</f>
        <v/>
      </c>
      <c r="M465" s="61"/>
      <c r="N465" s="69"/>
      <c r="O465" s="69"/>
    </row>
    <row r="466" spans="6:15">
      <c r="F466" s="61" t="str">
        <f>_xlfn.LET(_xlpm.x,'Purchased Materials'!CJ70,IF(OR(LEN(_xlpm.x)&lt;1,_xlpm.x=0),"",_xlpm.x))</f>
        <v/>
      </c>
      <c r="G466" s="210">
        <f>_xlfn.LET(_xlpm.x,'Purchased Materials'!CL70,IF(OR(LEN(_xlpm.x)&lt;1,_xlpm.x=0),0,_xlpm.x))</f>
        <v>0</v>
      </c>
      <c r="H466" s="210" t="str">
        <f>_xlfn.LET(_xlpm.x,'Purchased Materials'!CM70,IF(OR(LEN(_xlpm.x)&lt;1,_xlpm.x=0),"",_xlpm.x))</f>
        <v/>
      </c>
      <c r="M466" s="61"/>
      <c r="N466" s="69"/>
      <c r="O466" s="69"/>
    </row>
    <row r="467" spans="6:15">
      <c r="F467" s="61" t="str">
        <f>_xlfn.LET(_xlpm.x,'Purchased Materials'!CJ71,IF(OR(LEN(_xlpm.x)&lt;1,_xlpm.x=0),"",_xlpm.x))</f>
        <v/>
      </c>
      <c r="G467" s="210">
        <f>_xlfn.LET(_xlpm.x,'Purchased Materials'!CL71,IF(OR(LEN(_xlpm.x)&lt;1,_xlpm.x=0),0,_xlpm.x))</f>
        <v>0</v>
      </c>
      <c r="H467" s="210" t="str">
        <f>_xlfn.LET(_xlpm.x,'Purchased Materials'!CM71,IF(OR(LEN(_xlpm.x)&lt;1,_xlpm.x=0),"",_xlpm.x))</f>
        <v/>
      </c>
      <c r="M467" s="61"/>
      <c r="N467" s="69"/>
      <c r="O467" s="69"/>
    </row>
    <row r="468" spans="6:15">
      <c r="F468" s="61" t="str">
        <f>_xlfn.LET(_xlpm.x,'Purchased Materials'!CJ72,IF(OR(LEN(_xlpm.x)&lt;1,_xlpm.x=0),"",_xlpm.x))</f>
        <v/>
      </c>
      <c r="G468" s="210">
        <f>_xlfn.LET(_xlpm.x,'Purchased Materials'!CL72,IF(OR(LEN(_xlpm.x)&lt;1,_xlpm.x=0),0,_xlpm.x))</f>
        <v>0</v>
      </c>
      <c r="H468" s="210" t="str">
        <f>_xlfn.LET(_xlpm.x,'Purchased Materials'!CM72,IF(OR(LEN(_xlpm.x)&lt;1,_xlpm.x=0),"",_xlpm.x))</f>
        <v/>
      </c>
      <c r="M468" s="61"/>
      <c r="N468" s="69"/>
      <c r="O468" s="69"/>
    </row>
    <row r="469" spans="6:15">
      <c r="F469" s="61" t="str">
        <f>_xlfn.LET(_xlpm.x,'Purchased Materials'!CJ73,IF(OR(LEN(_xlpm.x)&lt;1,_xlpm.x=0),"",_xlpm.x))</f>
        <v/>
      </c>
      <c r="G469" s="210">
        <f>_xlfn.LET(_xlpm.x,'Purchased Materials'!CL73,IF(OR(LEN(_xlpm.x)&lt;1,_xlpm.x=0),0,_xlpm.x))</f>
        <v>0</v>
      </c>
      <c r="H469" s="210" t="str">
        <f>_xlfn.LET(_xlpm.x,'Purchased Materials'!CM73,IF(OR(LEN(_xlpm.x)&lt;1,_xlpm.x=0),"",_xlpm.x))</f>
        <v/>
      </c>
      <c r="M469" s="61"/>
      <c r="N469" s="69"/>
      <c r="O469" s="69"/>
    </row>
    <row r="470" spans="6:15">
      <c r="F470" s="61" t="str">
        <f>_xlfn.LET(_xlpm.x,'Purchased Materials'!CJ74,IF(OR(LEN(_xlpm.x)&lt;1,_xlpm.x=0),"",_xlpm.x))</f>
        <v/>
      </c>
      <c r="G470" s="210">
        <f>_xlfn.LET(_xlpm.x,'Purchased Materials'!CL74,IF(OR(LEN(_xlpm.x)&lt;1,_xlpm.x=0),0,_xlpm.x))</f>
        <v>0</v>
      </c>
      <c r="H470" s="210" t="str">
        <f>_xlfn.LET(_xlpm.x,'Purchased Materials'!CM74,IF(OR(LEN(_xlpm.x)&lt;1,_xlpm.x=0),"",_xlpm.x))</f>
        <v/>
      </c>
      <c r="M470" s="61"/>
      <c r="N470" s="69"/>
      <c r="O470" s="69"/>
    </row>
    <row r="471" spans="6:15">
      <c r="F471" s="61" t="str">
        <f>_xlfn.LET(_xlpm.x,'Purchased Materials'!CJ75,IF(OR(LEN(_xlpm.x)&lt;1,_xlpm.x=0),"",_xlpm.x))</f>
        <v/>
      </c>
      <c r="G471" s="210">
        <f>_xlfn.LET(_xlpm.x,'Purchased Materials'!CL75,IF(OR(LEN(_xlpm.x)&lt;1,_xlpm.x=0),0,_xlpm.x))</f>
        <v>0</v>
      </c>
      <c r="H471" s="210" t="str">
        <f>_xlfn.LET(_xlpm.x,'Purchased Materials'!CM75,IF(OR(LEN(_xlpm.x)&lt;1,_xlpm.x=0),"",_xlpm.x))</f>
        <v/>
      </c>
      <c r="M471" s="61"/>
      <c r="N471" s="69"/>
      <c r="O471" s="69"/>
    </row>
    <row r="472" spans="6:15">
      <c r="F472" s="61" t="str">
        <f>_xlfn.LET(_xlpm.x,'Purchased Materials'!CJ76,IF(OR(LEN(_xlpm.x)&lt;1,_xlpm.x=0),"",_xlpm.x))</f>
        <v/>
      </c>
      <c r="G472" s="210">
        <f>_xlfn.LET(_xlpm.x,'Purchased Materials'!CL76,IF(OR(LEN(_xlpm.x)&lt;1,_xlpm.x=0),0,_xlpm.x))</f>
        <v>0</v>
      </c>
      <c r="H472" s="210" t="str">
        <f>_xlfn.LET(_xlpm.x,'Purchased Materials'!CM76,IF(OR(LEN(_xlpm.x)&lt;1,_xlpm.x=0),"",_xlpm.x))</f>
        <v/>
      </c>
      <c r="M472" s="61"/>
      <c r="N472" s="69"/>
      <c r="O472" s="69"/>
    </row>
    <row r="473" spans="6:15">
      <c r="F473" s="61" t="str">
        <f>_xlfn.LET(_xlpm.x,'Purchased Materials'!CJ77,IF(OR(LEN(_xlpm.x)&lt;1,_xlpm.x=0),"",_xlpm.x))</f>
        <v/>
      </c>
      <c r="G473" s="210">
        <f>_xlfn.LET(_xlpm.x,'Purchased Materials'!CL77,IF(OR(LEN(_xlpm.x)&lt;1,_xlpm.x=0),0,_xlpm.x))</f>
        <v>0</v>
      </c>
      <c r="H473" s="210" t="str">
        <f>_xlfn.LET(_xlpm.x,'Purchased Materials'!CM77,IF(OR(LEN(_xlpm.x)&lt;1,_xlpm.x=0),"",_xlpm.x))</f>
        <v/>
      </c>
      <c r="M473" s="61"/>
      <c r="N473" s="69"/>
      <c r="O473" s="69"/>
    </row>
    <row r="474" spans="6:15">
      <c r="F474" s="61" t="str">
        <f>_xlfn.LET(_xlpm.x,'Purchased Materials'!CJ78,IF(OR(LEN(_xlpm.x)&lt;1,_xlpm.x=0),"",_xlpm.x))</f>
        <v/>
      </c>
      <c r="G474" s="210">
        <f>_xlfn.LET(_xlpm.x,'Purchased Materials'!CL78,IF(OR(LEN(_xlpm.x)&lt;1,_xlpm.x=0),0,_xlpm.x))</f>
        <v>0</v>
      </c>
      <c r="H474" s="210" t="str">
        <f>_xlfn.LET(_xlpm.x,'Purchased Materials'!CM78,IF(OR(LEN(_xlpm.x)&lt;1,_xlpm.x=0),"",_xlpm.x))</f>
        <v/>
      </c>
      <c r="M474" s="61"/>
      <c r="N474" s="69"/>
      <c r="O474" s="69"/>
    </row>
    <row r="475" spans="6:15">
      <c r="F475" s="61" t="str">
        <f>_xlfn.LET(_xlpm.x,'Purchased Materials'!CJ79,IF(OR(LEN(_xlpm.x)&lt;1,_xlpm.x=0),"",_xlpm.x))</f>
        <v/>
      </c>
      <c r="G475" s="210">
        <f>_xlfn.LET(_xlpm.x,'Purchased Materials'!CL79,IF(OR(LEN(_xlpm.x)&lt;1,_xlpm.x=0),0,_xlpm.x))</f>
        <v>0</v>
      </c>
      <c r="H475" s="210" t="str">
        <f>_xlfn.LET(_xlpm.x,'Purchased Materials'!CM79,IF(OR(LEN(_xlpm.x)&lt;1,_xlpm.x=0),"",_xlpm.x))</f>
        <v/>
      </c>
      <c r="M475" s="61"/>
      <c r="N475" s="69"/>
      <c r="O475" s="69"/>
    </row>
    <row r="476" spans="6:15">
      <c r="F476" s="61" t="str">
        <f>_xlfn.LET(_xlpm.x,'Purchased Materials'!CJ80,IF(OR(LEN(_xlpm.x)&lt;1,_xlpm.x=0),"",_xlpm.x))</f>
        <v/>
      </c>
      <c r="G476" s="210">
        <f>_xlfn.LET(_xlpm.x,'Purchased Materials'!CL80,IF(OR(LEN(_xlpm.x)&lt;1,_xlpm.x=0),0,_xlpm.x))</f>
        <v>0</v>
      </c>
      <c r="H476" s="210" t="str">
        <f>_xlfn.LET(_xlpm.x,'Purchased Materials'!CM80,IF(OR(LEN(_xlpm.x)&lt;1,_xlpm.x=0),"",_xlpm.x))</f>
        <v/>
      </c>
      <c r="M476" s="61"/>
      <c r="N476" s="69"/>
      <c r="O476" s="69"/>
    </row>
    <row r="477" spans="6:15">
      <c r="F477" s="61" t="str">
        <f>_xlfn.LET(_xlpm.x,'Purchased Materials'!CJ81,IF(OR(LEN(_xlpm.x)&lt;1,_xlpm.x=0),"",_xlpm.x))</f>
        <v/>
      </c>
      <c r="G477" s="210">
        <f>_xlfn.LET(_xlpm.x,'Purchased Materials'!CL81,IF(OR(LEN(_xlpm.x)&lt;1,_xlpm.x=0),0,_xlpm.x))</f>
        <v>0</v>
      </c>
      <c r="H477" s="210" t="str">
        <f>_xlfn.LET(_xlpm.x,'Purchased Materials'!CM81,IF(OR(LEN(_xlpm.x)&lt;1,_xlpm.x=0),"",_xlpm.x))</f>
        <v/>
      </c>
      <c r="M477" s="61"/>
      <c r="N477" s="69"/>
      <c r="O477" s="69"/>
    </row>
    <row r="478" spans="6:15">
      <c r="F478" s="61" t="str">
        <f>_xlfn.LET(_xlpm.x,'Purchased Materials'!CJ82,IF(OR(LEN(_xlpm.x)&lt;1,_xlpm.x=0),"",_xlpm.x))</f>
        <v/>
      </c>
      <c r="G478" s="210">
        <f>_xlfn.LET(_xlpm.x,'Purchased Materials'!CL82,IF(OR(LEN(_xlpm.x)&lt;1,_xlpm.x=0),0,_xlpm.x))</f>
        <v>0</v>
      </c>
      <c r="H478" s="210" t="str">
        <f>_xlfn.LET(_xlpm.x,'Purchased Materials'!CM82,IF(OR(LEN(_xlpm.x)&lt;1,_xlpm.x=0),"",_xlpm.x))</f>
        <v/>
      </c>
      <c r="M478" s="61"/>
      <c r="N478" s="69"/>
      <c r="O478" s="69"/>
    </row>
    <row r="479" spans="6:15">
      <c r="F479" s="61" t="str">
        <f>_xlfn.LET(_xlpm.x,'Purchased Materials'!CJ83,IF(OR(LEN(_xlpm.x)&lt;1,_xlpm.x=0),"",_xlpm.x))</f>
        <v/>
      </c>
      <c r="G479" s="210">
        <f>_xlfn.LET(_xlpm.x,'Purchased Materials'!CL83,IF(OR(LEN(_xlpm.x)&lt;1,_xlpm.x=0),0,_xlpm.x))</f>
        <v>0</v>
      </c>
      <c r="H479" s="210" t="str">
        <f>_xlfn.LET(_xlpm.x,'Purchased Materials'!CM83,IF(OR(LEN(_xlpm.x)&lt;1,_xlpm.x=0),"",_xlpm.x))</f>
        <v/>
      </c>
      <c r="M479" s="61"/>
      <c r="N479" s="69"/>
      <c r="O479" s="69"/>
    </row>
    <row r="480" spans="6:15">
      <c r="F480" s="61" t="str">
        <f>_xlfn.LET(_xlpm.x,'Purchased Materials'!CJ84,IF(OR(LEN(_xlpm.x)&lt;1,_xlpm.x=0),"",_xlpm.x))</f>
        <v/>
      </c>
      <c r="G480" s="210">
        <f>_xlfn.LET(_xlpm.x,'Purchased Materials'!CL84,IF(OR(LEN(_xlpm.x)&lt;1,_xlpm.x=0),0,_xlpm.x))</f>
        <v>0</v>
      </c>
      <c r="H480" s="210" t="str">
        <f>_xlfn.LET(_xlpm.x,'Purchased Materials'!CM84,IF(OR(LEN(_xlpm.x)&lt;1,_xlpm.x=0),"",_xlpm.x))</f>
        <v/>
      </c>
      <c r="M480" s="61"/>
      <c r="N480" s="69"/>
      <c r="O480" s="69"/>
    </row>
    <row r="481" spans="6:15">
      <c r="F481" s="61" t="str">
        <f>_xlfn.LET(_xlpm.x,'Purchased Materials'!CJ85,IF(OR(LEN(_xlpm.x)&lt;1,_xlpm.x=0),"",_xlpm.x))</f>
        <v/>
      </c>
      <c r="G481" s="210">
        <f>_xlfn.LET(_xlpm.x,'Purchased Materials'!CL85,IF(OR(LEN(_xlpm.x)&lt;1,_xlpm.x=0),0,_xlpm.x))</f>
        <v>0</v>
      </c>
      <c r="H481" s="210" t="str">
        <f>_xlfn.LET(_xlpm.x,'Purchased Materials'!CM85,IF(OR(LEN(_xlpm.x)&lt;1,_xlpm.x=0),"",_xlpm.x))</f>
        <v/>
      </c>
      <c r="M481" s="61"/>
      <c r="N481" s="69"/>
      <c r="O481" s="69"/>
    </row>
    <row r="482" spans="6:15">
      <c r="F482" s="61" t="str">
        <f>_xlfn.LET(_xlpm.x,'Purchased Materials'!CJ86,IF(OR(LEN(_xlpm.x)&lt;1,_xlpm.x=0),"",_xlpm.x))</f>
        <v/>
      </c>
      <c r="G482" s="210">
        <f>_xlfn.LET(_xlpm.x,'Purchased Materials'!CL86,IF(OR(LEN(_xlpm.x)&lt;1,_xlpm.x=0),0,_xlpm.x))</f>
        <v>0</v>
      </c>
      <c r="H482" s="210" t="str">
        <f>_xlfn.LET(_xlpm.x,'Purchased Materials'!CM86,IF(OR(LEN(_xlpm.x)&lt;1,_xlpm.x=0),"",_xlpm.x))</f>
        <v/>
      </c>
      <c r="M482" s="61"/>
      <c r="N482" s="69"/>
      <c r="O482" s="69"/>
    </row>
    <row r="483" spans="6:15">
      <c r="F483" s="61" t="str">
        <f>_xlfn.LET(_xlpm.x,'Purchased Materials'!CJ87,IF(OR(LEN(_xlpm.x)&lt;1,_xlpm.x=0),"",_xlpm.x))</f>
        <v/>
      </c>
      <c r="G483" s="210">
        <f>_xlfn.LET(_xlpm.x,'Purchased Materials'!CL87,IF(OR(LEN(_xlpm.x)&lt;1,_xlpm.x=0),0,_xlpm.x))</f>
        <v>0</v>
      </c>
      <c r="H483" s="210" t="str">
        <f>_xlfn.LET(_xlpm.x,'Purchased Materials'!CM87,IF(OR(LEN(_xlpm.x)&lt;1,_xlpm.x=0),"",_xlpm.x))</f>
        <v/>
      </c>
      <c r="M483" s="61"/>
      <c r="N483" s="69"/>
      <c r="O483" s="69"/>
    </row>
    <row r="484" spans="6:15">
      <c r="F484" s="61" t="str">
        <f>_xlfn.LET(_xlpm.x,'Purchased Materials'!CJ88,IF(OR(LEN(_xlpm.x)&lt;1,_xlpm.x=0),"",_xlpm.x))</f>
        <v/>
      </c>
      <c r="G484" s="210">
        <f>_xlfn.LET(_xlpm.x,'Purchased Materials'!CL88,IF(OR(LEN(_xlpm.x)&lt;1,_xlpm.x=0),0,_xlpm.x))</f>
        <v>0</v>
      </c>
      <c r="H484" s="210" t="str">
        <f>_xlfn.LET(_xlpm.x,'Purchased Materials'!CM88,IF(OR(LEN(_xlpm.x)&lt;1,_xlpm.x=0),"",_xlpm.x))</f>
        <v/>
      </c>
      <c r="M484" s="61"/>
      <c r="N484" s="69"/>
      <c r="O484" s="69"/>
    </row>
    <row r="485" spans="6:15">
      <c r="F485" s="61" t="str">
        <f>_xlfn.LET(_xlpm.x,'Purchased Materials'!CJ89,IF(OR(LEN(_xlpm.x)&lt;1,_xlpm.x=0),"",_xlpm.x))</f>
        <v/>
      </c>
      <c r="G485" s="210">
        <f>_xlfn.LET(_xlpm.x,'Purchased Materials'!CL89,IF(OR(LEN(_xlpm.x)&lt;1,_xlpm.x=0),0,_xlpm.x))</f>
        <v>0</v>
      </c>
      <c r="H485" s="210" t="str">
        <f>_xlfn.LET(_xlpm.x,'Purchased Materials'!CM89,IF(OR(LEN(_xlpm.x)&lt;1,_xlpm.x=0),"",_xlpm.x))</f>
        <v/>
      </c>
      <c r="M485" s="61"/>
      <c r="N485" s="69"/>
      <c r="O485" s="69"/>
    </row>
    <row r="486" spans="6:15">
      <c r="F486" s="61" t="str">
        <f>_xlfn.LET(_xlpm.x,'Purchased Materials'!CJ90,IF(OR(LEN(_xlpm.x)&lt;1,_xlpm.x=0),"",_xlpm.x))</f>
        <v/>
      </c>
      <c r="G486" s="210">
        <f>_xlfn.LET(_xlpm.x,'Purchased Materials'!CL90,IF(OR(LEN(_xlpm.x)&lt;1,_xlpm.x=0),0,_xlpm.x))</f>
        <v>0</v>
      </c>
      <c r="H486" s="210" t="str">
        <f>_xlfn.LET(_xlpm.x,'Purchased Materials'!CM90,IF(OR(LEN(_xlpm.x)&lt;1,_xlpm.x=0),"",_xlpm.x))</f>
        <v/>
      </c>
      <c r="M486" s="61"/>
      <c r="N486" s="69"/>
      <c r="O486" s="69"/>
    </row>
    <row r="487" spans="6:15">
      <c r="F487" s="61" t="str">
        <f>_xlfn.LET(_xlpm.x,'Purchased Materials'!CJ91,IF(OR(LEN(_xlpm.x)&lt;1,_xlpm.x=0),"",_xlpm.x))</f>
        <v/>
      </c>
      <c r="G487" s="210">
        <f>_xlfn.LET(_xlpm.x,'Purchased Materials'!CL91,IF(OR(LEN(_xlpm.x)&lt;1,_xlpm.x=0),0,_xlpm.x))</f>
        <v>0</v>
      </c>
      <c r="H487" s="210" t="str">
        <f>_xlfn.LET(_xlpm.x,'Purchased Materials'!CM91,IF(OR(LEN(_xlpm.x)&lt;1,_xlpm.x=0),"",_xlpm.x))</f>
        <v/>
      </c>
      <c r="M487" s="61"/>
      <c r="N487" s="69"/>
      <c r="O487" s="69"/>
    </row>
    <row r="488" spans="6:15">
      <c r="F488" s="61" t="str">
        <f>_xlfn.LET(_xlpm.x,'Purchased Materials'!CJ92,IF(OR(LEN(_xlpm.x)&lt;1,_xlpm.x=0),"",_xlpm.x))</f>
        <v/>
      </c>
      <c r="G488" s="210">
        <f>_xlfn.LET(_xlpm.x,'Purchased Materials'!CL92,IF(OR(LEN(_xlpm.x)&lt;1,_xlpm.x=0),0,_xlpm.x))</f>
        <v>0</v>
      </c>
      <c r="H488" s="210" t="str">
        <f>_xlfn.LET(_xlpm.x,'Purchased Materials'!CM92,IF(OR(LEN(_xlpm.x)&lt;1,_xlpm.x=0),"",_xlpm.x))</f>
        <v/>
      </c>
      <c r="M488" s="61"/>
      <c r="N488" s="69"/>
      <c r="O488" s="69"/>
    </row>
    <row r="489" spans="6:15">
      <c r="F489" s="61" t="str">
        <f>_xlfn.LET(_xlpm.x,'Purchased Materials'!CJ93,IF(OR(LEN(_xlpm.x)&lt;1,_xlpm.x=0),"",_xlpm.x))</f>
        <v/>
      </c>
      <c r="G489" s="210">
        <f>_xlfn.LET(_xlpm.x,'Purchased Materials'!CL93,IF(OR(LEN(_xlpm.x)&lt;1,_xlpm.x=0),0,_xlpm.x))</f>
        <v>0</v>
      </c>
      <c r="H489" s="210" t="str">
        <f>_xlfn.LET(_xlpm.x,'Purchased Materials'!CM93,IF(OR(LEN(_xlpm.x)&lt;1,_xlpm.x=0),"",_xlpm.x))</f>
        <v/>
      </c>
      <c r="M489" s="61"/>
      <c r="N489" s="69"/>
      <c r="O489" s="69"/>
    </row>
    <row r="490" spans="6:15">
      <c r="F490" s="61" t="str">
        <f>_xlfn.LET(_xlpm.x,'Purchased Materials'!CJ94,IF(OR(LEN(_xlpm.x)&lt;1,_xlpm.x=0),"",_xlpm.x))</f>
        <v/>
      </c>
      <c r="G490" s="210">
        <f>_xlfn.LET(_xlpm.x,'Purchased Materials'!CL94,IF(OR(LEN(_xlpm.x)&lt;1,_xlpm.x=0),0,_xlpm.x))</f>
        <v>0</v>
      </c>
      <c r="H490" s="210" t="str">
        <f>_xlfn.LET(_xlpm.x,'Purchased Materials'!CM94,IF(OR(LEN(_xlpm.x)&lt;1,_xlpm.x=0),"",_xlpm.x))</f>
        <v/>
      </c>
      <c r="M490" s="61"/>
      <c r="N490" s="69"/>
      <c r="O490" s="69"/>
    </row>
    <row r="491" spans="6:15">
      <c r="F491" s="61" t="str">
        <f>_xlfn.LET(_xlpm.x,'Purchased Materials'!CJ95,IF(OR(LEN(_xlpm.x)&lt;1,_xlpm.x=0),"",_xlpm.x))</f>
        <v/>
      </c>
      <c r="G491" s="210">
        <f>_xlfn.LET(_xlpm.x,'Purchased Materials'!CL95,IF(OR(LEN(_xlpm.x)&lt;1,_xlpm.x=0),0,_xlpm.x))</f>
        <v>0</v>
      </c>
      <c r="H491" s="210" t="str">
        <f>_xlfn.LET(_xlpm.x,'Purchased Materials'!CM95,IF(OR(LEN(_xlpm.x)&lt;1,_xlpm.x=0),"",_xlpm.x))</f>
        <v/>
      </c>
      <c r="M491" s="61"/>
      <c r="N491" s="69"/>
      <c r="O491" s="69"/>
    </row>
    <row r="492" spans="6:15">
      <c r="F492" s="61" t="str">
        <f>_xlfn.LET(_xlpm.x,'Purchased Materials'!CJ96,IF(OR(LEN(_xlpm.x)&lt;1,_xlpm.x=0),"",_xlpm.x))</f>
        <v/>
      </c>
      <c r="G492" s="210">
        <f>_xlfn.LET(_xlpm.x,'Purchased Materials'!CL96,IF(OR(LEN(_xlpm.x)&lt;1,_xlpm.x=0),0,_xlpm.x))</f>
        <v>0</v>
      </c>
      <c r="H492" s="210" t="str">
        <f>_xlfn.LET(_xlpm.x,'Purchased Materials'!CM96,IF(OR(LEN(_xlpm.x)&lt;1,_xlpm.x=0),"",_xlpm.x))</f>
        <v/>
      </c>
      <c r="M492" s="61"/>
      <c r="N492" s="69"/>
      <c r="O492" s="69"/>
    </row>
    <row r="493" spans="6:15">
      <c r="F493" s="61" t="str">
        <f>_xlfn.LET(_xlpm.x,'Purchased Materials'!CJ97,IF(OR(LEN(_xlpm.x)&lt;1,_xlpm.x=0),"",_xlpm.x))</f>
        <v/>
      </c>
      <c r="G493" s="210">
        <f>_xlfn.LET(_xlpm.x,'Purchased Materials'!CL97,IF(OR(LEN(_xlpm.x)&lt;1,_xlpm.x=0),0,_xlpm.x))</f>
        <v>0</v>
      </c>
      <c r="H493" s="210" t="str">
        <f>_xlfn.LET(_xlpm.x,'Purchased Materials'!CM97,IF(OR(LEN(_xlpm.x)&lt;1,_xlpm.x=0),"",_xlpm.x))</f>
        <v/>
      </c>
      <c r="M493" s="61"/>
      <c r="N493" s="69"/>
      <c r="O493" s="69"/>
    </row>
    <row r="494" spans="6:15">
      <c r="F494" s="61" t="str">
        <f>_xlfn.LET(_xlpm.x,'Purchased Materials'!CJ98,IF(OR(LEN(_xlpm.x)&lt;1,_xlpm.x=0),"",_xlpm.x))</f>
        <v/>
      </c>
      <c r="G494" s="210">
        <f>_xlfn.LET(_xlpm.x,'Purchased Materials'!CL98,IF(OR(LEN(_xlpm.x)&lt;1,_xlpm.x=0),0,_xlpm.x))</f>
        <v>0</v>
      </c>
      <c r="H494" s="210" t="str">
        <f>_xlfn.LET(_xlpm.x,'Purchased Materials'!CM98,IF(OR(LEN(_xlpm.x)&lt;1,_xlpm.x=0),"",_xlpm.x))</f>
        <v/>
      </c>
      <c r="M494" s="61"/>
      <c r="N494" s="69"/>
      <c r="O494" s="69"/>
    </row>
    <row r="495" spans="6:15">
      <c r="F495" s="61" t="str">
        <f>_xlfn.LET(_xlpm.x,'Purchased Materials'!CJ99,IF(OR(LEN(_xlpm.x)&lt;1,_xlpm.x=0),"",_xlpm.x))</f>
        <v/>
      </c>
      <c r="G495" s="210">
        <f>_xlfn.LET(_xlpm.x,'Purchased Materials'!CL99,IF(OR(LEN(_xlpm.x)&lt;1,_xlpm.x=0),0,_xlpm.x))</f>
        <v>0</v>
      </c>
      <c r="H495" s="210" t="str">
        <f>_xlfn.LET(_xlpm.x,'Purchased Materials'!CM99,IF(OR(LEN(_xlpm.x)&lt;1,_xlpm.x=0),"",_xlpm.x))</f>
        <v/>
      </c>
      <c r="M495" s="61"/>
      <c r="N495" s="69"/>
      <c r="O495" s="69"/>
    </row>
    <row r="496" spans="6:15">
      <c r="F496" s="61" t="str">
        <f>_xlfn.LET(_xlpm.x,'Purchased Materials'!CJ100,IF(OR(LEN(_xlpm.x)&lt;1,_xlpm.x=0),"",_xlpm.x))</f>
        <v/>
      </c>
      <c r="G496" s="210">
        <f>_xlfn.LET(_xlpm.x,'Purchased Materials'!CL100,IF(OR(LEN(_xlpm.x)&lt;1,_xlpm.x=0),0,_xlpm.x))</f>
        <v>0</v>
      </c>
      <c r="H496" s="210" t="str">
        <f>_xlfn.LET(_xlpm.x,'Purchased Materials'!CM100,IF(OR(LEN(_xlpm.x)&lt;1,_xlpm.x=0),"",_xlpm.x))</f>
        <v/>
      </c>
      <c r="M496" s="61"/>
      <c r="N496" s="69"/>
      <c r="O496" s="69"/>
    </row>
    <row r="497" spans="6:15">
      <c r="F497" s="61" t="str">
        <f>_xlfn.LET(_xlpm.x,'Purchased Materials'!CJ101,IF(OR(LEN(_xlpm.x)&lt;1,_xlpm.x=0),"",_xlpm.x))</f>
        <v/>
      </c>
      <c r="G497" s="210">
        <f>_xlfn.LET(_xlpm.x,'Purchased Materials'!CL101,IF(OR(LEN(_xlpm.x)&lt;1,_xlpm.x=0),0,_xlpm.x))</f>
        <v>0</v>
      </c>
      <c r="H497" s="210" t="str">
        <f>_xlfn.LET(_xlpm.x,'Purchased Materials'!CM101,IF(OR(LEN(_xlpm.x)&lt;1,_xlpm.x=0),"",_xlpm.x))</f>
        <v/>
      </c>
      <c r="M497" s="61"/>
      <c r="N497" s="69"/>
      <c r="O497" s="69"/>
    </row>
    <row r="498" spans="6:15">
      <c r="F498" s="61" t="str">
        <f>_xlfn.LET(_xlpm.x,'Purchased Materials'!CJ102,IF(OR(LEN(_xlpm.x)&lt;1,_xlpm.x=0),"",_xlpm.x))</f>
        <v/>
      </c>
      <c r="G498" s="210">
        <f>_xlfn.LET(_xlpm.x,'Purchased Materials'!CL102,IF(OR(LEN(_xlpm.x)&lt;1,_xlpm.x=0),0,_xlpm.x))</f>
        <v>0</v>
      </c>
      <c r="H498" s="210" t="str">
        <f>_xlfn.LET(_xlpm.x,'Purchased Materials'!CM102,IF(OR(LEN(_xlpm.x)&lt;1,_xlpm.x=0),"",_xlpm.x))</f>
        <v/>
      </c>
      <c r="M498" s="61"/>
      <c r="N498" s="69"/>
      <c r="O498" s="69"/>
    </row>
    <row r="499" spans="6:15">
      <c r="F499" s="61" t="str">
        <f>_xlfn.LET(_xlpm.x,'Purchased Materials'!CJ103,IF(OR(LEN(_xlpm.x)&lt;1,_xlpm.x=0),"",_xlpm.x))</f>
        <v/>
      </c>
      <c r="G499" s="210">
        <f>_xlfn.LET(_xlpm.x,'Purchased Materials'!CL103,IF(OR(LEN(_xlpm.x)&lt;1,_xlpm.x=0),0,_xlpm.x))</f>
        <v>0</v>
      </c>
      <c r="H499" s="210" t="str">
        <f>_xlfn.LET(_xlpm.x,'Purchased Materials'!CM103,IF(OR(LEN(_xlpm.x)&lt;1,_xlpm.x=0),"",_xlpm.x))</f>
        <v/>
      </c>
      <c r="M499" s="61"/>
      <c r="N499" s="69"/>
      <c r="O499" s="69"/>
    </row>
    <row r="500" spans="6:15">
      <c r="F500" s="61" t="str">
        <f>_xlfn.LET(_xlpm.x,'Purchased Materials'!CJ104,IF(OR(LEN(_xlpm.x)&lt;1,_xlpm.x=0),"",_xlpm.x))</f>
        <v/>
      </c>
      <c r="G500" s="210">
        <f>_xlfn.LET(_xlpm.x,'Purchased Materials'!CL104,IF(OR(LEN(_xlpm.x)&lt;1,_xlpm.x=0),0,_xlpm.x))</f>
        <v>0</v>
      </c>
      <c r="H500" s="210" t="str">
        <f>_xlfn.LET(_xlpm.x,'Purchased Materials'!CM104,IF(OR(LEN(_xlpm.x)&lt;1,_xlpm.x=0),"",_xlpm.x))</f>
        <v/>
      </c>
      <c r="M500" s="61"/>
      <c r="N500" s="69"/>
      <c r="O500" s="69"/>
    </row>
    <row r="501" spans="6:15">
      <c r="F501" s="61" t="str">
        <f>_xlfn.LET(_xlpm.x,'Purchased Materials'!CJ105,IF(OR(LEN(_xlpm.x)&lt;1,_xlpm.x=0),"",_xlpm.x))</f>
        <v/>
      </c>
      <c r="G501" s="210">
        <f>_xlfn.LET(_xlpm.x,'Purchased Materials'!CL105,IF(OR(LEN(_xlpm.x)&lt;1,_xlpm.x=0),0,_xlpm.x))</f>
        <v>0</v>
      </c>
      <c r="H501" s="210" t="str">
        <f>_xlfn.LET(_xlpm.x,'Purchased Materials'!CM105,IF(OR(LEN(_xlpm.x)&lt;1,_xlpm.x=0),"",_xlpm.x))</f>
        <v/>
      </c>
      <c r="M501" s="61"/>
      <c r="N501" s="69"/>
      <c r="O501" s="69"/>
    </row>
    <row r="502" spans="6:15">
      <c r="F502" s="61" t="str">
        <f>_xlfn.LET(_xlpm.x,'Purchased Materials'!CJ106,IF(OR(LEN(_xlpm.x)&lt;1,_xlpm.x=0),"",_xlpm.x))</f>
        <v/>
      </c>
      <c r="G502" s="210">
        <f>_xlfn.LET(_xlpm.x,'Purchased Materials'!CL106,IF(OR(LEN(_xlpm.x)&lt;1,_xlpm.x=0),0,_xlpm.x))</f>
        <v>0</v>
      </c>
      <c r="H502" s="210" t="str">
        <f>_xlfn.LET(_xlpm.x,'Purchased Materials'!CM106,IF(OR(LEN(_xlpm.x)&lt;1,_xlpm.x=0),"",_xlpm.x))</f>
        <v/>
      </c>
      <c r="M502" s="61"/>
      <c r="N502" s="69"/>
      <c r="O502" s="69"/>
    </row>
    <row r="503" spans="6:15">
      <c r="F503" s="61" t="str">
        <f>_xlfn.LET(_xlpm.x,'Purchased Materials'!CJ107,IF(OR(LEN(_xlpm.x)&lt;1,_xlpm.x=0),"",_xlpm.x))</f>
        <v/>
      </c>
      <c r="G503" s="210">
        <f>_xlfn.LET(_xlpm.x,'Purchased Materials'!CL107,IF(OR(LEN(_xlpm.x)&lt;1,_xlpm.x=0),0,_xlpm.x))</f>
        <v>0</v>
      </c>
      <c r="H503" s="210" t="str">
        <f>_xlfn.LET(_xlpm.x,'Purchased Materials'!CM107,IF(OR(LEN(_xlpm.x)&lt;1,_xlpm.x=0),"",_xlpm.x))</f>
        <v/>
      </c>
      <c r="M503" s="61"/>
      <c r="N503" s="69"/>
      <c r="O503" s="69"/>
    </row>
    <row r="504" spans="6:15">
      <c r="F504" s="61" t="str">
        <f>_xlfn.LET(_xlpm.x,'Purchased Materials'!CJ108,IF(OR(LEN(_xlpm.x)&lt;1,_xlpm.x=0),"",_xlpm.x))</f>
        <v/>
      </c>
      <c r="G504" s="210">
        <f>_xlfn.LET(_xlpm.x,'Purchased Materials'!CL108,IF(OR(LEN(_xlpm.x)&lt;1,_xlpm.x=0),0,_xlpm.x))</f>
        <v>0</v>
      </c>
      <c r="H504" s="210" t="str">
        <f>_xlfn.LET(_xlpm.x,'Purchased Materials'!CM108,IF(OR(LEN(_xlpm.x)&lt;1,_xlpm.x=0),"",_xlpm.x))</f>
        <v/>
      </c>
      <c r="M504" s="61"/>
      <c r="N504" s="69"/>
      <c r="O504" s="69"/>
    </row>
    <row r="505" spans="6:15">
      <c r="F505" s="61" t="str">
        <f>_xlfn.LET(_xlpm.x,'Purchased Materials'!CJ109,IF(OR(LEN(_xlpm.x)&lt;1,_xlpm.x=0),"",_xlpm.x))</f>
        <v/>
      </c>
      <c r="G505" s="210">
        <f>_xlfn.LET(_xlpm.x,'Purchased Materials'!CL109,IF(OR(LEN(_xlpm.x)&lt;1,_xlpm.x=0),0,_xlpm.x))</f>
        <v>0</v>
      </c>
      <c r="H505" s="210" t="str">
        <f>_xlfn.LET(_xlpm.x,'Purchased Materials'!CM109,IF(OR(LEN(_xlpm.x)&lt;1,_xlpm.x=0),"",_xlpm.x))</f>
        <v/>
      </c>
      <c r="M505" s="61"/>
      <c r="N505" s="69"/>
      <c r="O505" s="69"/>
    </row>
    <row r="506" spans="6:15">
      <c r="F506" s="61" t="str">
        <f>_xlfn.LET(_xlpm.x,'Purchased Materials'!CJ110,IF(OR(LEN(_xlpm.x)&lt;1,_xlpm.x=0),"",_xlpm.x))</f>
        <v/>
      </c>
      <c r="G506" s="210">
        <f>_xlfn.LET(_xlpm.x,'Purchased Materials'!CL110,IF(OR(LEN(_xlpm.x)&lt;1,_xlpm.x=0),0,_xlpm.x))</f>
        <v>0</v>
      </c>
      <c r="H506" s="210" t="str">
        <f>_xlfn.LET(_xlpm.x,'Purchased Materials'!CM110,IF(OR(LEN(_xlpm.x)&lt;1,_xlpm.x=0),"",_xlpm.x))</f>
        <v/>
      </c>
      <c r="M506" s="61"/>
      <c r="N506" s="69"/>
      <c r="O506" s="69"/>
    </row>
    <row r="507" spans="6:15">
      <c r="F507" s="61" t="str">
        <f>_xlfn.LET(_xlpm.x,'Purchased Materials'!CJ111,IF(OR(LEN(_xlpm.x)&lt;1,_xlpm.x=0),"",_xlpm.x))</f>
        <v/>
      </c>
      <c r="G507" s="210">
        <f>_xlfn.LET(_xlpm.x,'Purchased Materials'!CL111,IF(OR(LEN(_xlpm.x)&lt;1,_xlpm.x=0),0,_xlpm.x))</f>
        <v>0</v>
      </c>
      <c r="H507" s="210" t="str">
        <f>_xlfn.LET(_xlpm.x,'Purchased Materials'!CM111,IF(OR(LEN(_xlpm.x)&lt;1,_xlpm.x=0),"",_xlpm.x))</f>
        <v/>
      </c>
      <c r="M507" s="61"/>
      <c r="N507" s="69"/>
      <c r="O507" s="69"/>
    </row>
    <row r="508" spans="6:15">
      <c r="F508" s="61" t="str">
        <f>_xlfn.LET(_xlpm.x,'Purchased Materials'!CJ112,IF(OR(LEN(_xlpm.x)&lt;1,_xlpm.x=0),"",_xlpm.x))</f>
        <v/>
      </c>
      <c r="G508" s="210">
        <f>_xlfn.LET(_xlpm.x,'Purchased Materials'!CL112,IF(OR(LEN(_xlpm.x)&lt;1,_xlpm.x=0),0,_xlpm.x))</f>
        <v>0</v>
      </c>
      <c r="H508" s="210" t="str">
        <f>_xlfn.LET(_xlpm.x,'Purchased Materials'!CM112,IF(OR(LEN(_xlpm.x)&lt;1,_xlpm.x=0),"",_xlpm.x))</f>
        <v/>
      </c>
      <c r="M508" s="61"/>
      <c r="N508" s="69"/>
      <c r="O508" s="69"/>
    </row>
    <row r="509" spans="6:15">
      <c r="F509" s="61" t="str">
        <f>_xlfn.LET(_xlpm.x,'Purchased Materials'!CJ113,IF(OR(LEN(_xlpm.x)&lt;1,_xlpm.x=0),"",_xlpm.x))</f>
        <v/>
      </c>
      <c r="G509" s="210">
        <f>_xlfn.LET(_xlpm.x,'Purchased Materials'!CL113,IF(OR(LEN(_xlpm.x)&lt;1,_xlpm.x=0),0,_xlpm.x))</f>
        <v>0</v>
      </c>
      <c r="H509" s="210" t="str">
        <f>_xlfn.LET(_xlpm.x,'Purchased Materials'!CM113,IF(OR(LEN(_xlpm.x)&lt;1,_xlpm.x=0),"",_xlpm.x))</f>
        <v/>
      </c>
      <c r="M509" s="61"/>
      <c r="N509" s="69"/>
      <c r="O509" s="69"/>
    </row>
    <row r="510" spans="6:15">
      <c r="F510" s="61" t="str">
        <f>_xlfn.LET(_xlpm.x,'Purchased Materials'!CJ114,IF(OR(LEN(_xlpm.x)&lt;1,_xlpm.x=0),"",_xlpm.x))</f>
        <v/>
      </c>
      <c r="G510" s="210">
        <f>_xlfn.LET(_xlpm.x,'Purchased Materials'!CL114,IF(OR(LEN(_xlpm.x)&lt;1,_xlpm.x=0),0,_xlpm.x))</f>
        <v>0</v>
      </c>
      <c r="H510" s="210" t="str">
        <f>_xlfn.LET(_xlpm.x,'Purchased Materials'!CM114,IF(OR(LEN(_xlpm.x)&lt;1,_xlpm.x=0),"",_xlpm.x))</f>
        <v/>
      </c>
      <c r="M510" s="61"/>
      <c r="N510" s="69"/>
      <c r="O510" s="69"/>
    </row>
    <row r="511" spans="6:15">
      <c r="F511" s="16"/>
      <c r="G511" s="29"/>
    </row>
    <row r="515" spans="1:21">
      <c r="A515" s="18"/>
      <c r="B515" s="18"/>
      <c r="C515" s="18"/>
      <c r="D515" s="18"/>
      <c r="E515" s="18"/>
      <c r="F515" s="19"/>
      <c r="G515" s="20"/>
      <c r="H515" s="18"/>
      <c r="I515" s="18"/>
      <c r="J515" s="18"/>
      <c r="K515" s="18"/>
      <c r="L515" s="18"/>
      <c r="M515" s="18"/>
      <c r="N515" s="18"/>
      <c r="O515" s="18"/>
      <c r="P515" s="18"/>
      <c r="Q515" s="18"/>
      <c r="R515" s="18"/>
      <c r="S515" s="18"/>
      <c r="T515" s="18"/>
      <c r="U515" s="18"/>
    </row>
    <row r="516" spans="1:21">
      <c r="E516" s="1" t="s">
        <v>493</v>
      </c>
      <c r="F516" s="16"/>
      <c r="G516" s="29"/>
    </row>
    <row r="517" spans="1:21">
      <c r="F517" s="16"/>
      <c r="G517" s="29"/>
    </row>
    <row r="518" spans="1:21" ht="28.8">
      <c r="F518" s="7" t="s">
        <v>494</v>
      </c>
      <c r="G518" s="7" t="s">
        <v>225</v>
      </c>
      <c r="H518" s="120" t="s">
        <v>495</v>
      </c>
      <c r="K518" s="7" t="str" cm="1">
        <f t="array" ref="K518:M518">IFERROR(_xlfn.LET(_xlpm.x,F518:H617,_xlfn._xlws.SORT(_xlfn._xlws.FILTER(_xlpm.x,_xlfn.CHOOSECOLS(_xlpm.x,3)&lt;&gt;0),3,-1)),"_")</f>
        <v>Materials</v>
      </c>
      <c r="L518" s="7" t="str">
        <v>Waste Handling Method</v>
      </c>
      <c r="M518" s="119" t="str">
        <v>Waste Generated (kg)</v>
      </c>
    </row>
    <row r="519" spans="1:21">
      <c r="F519" s="117" t="str" cm="1">
        <f t="array" ref="F519">_xlfn.LET(_xlpm.x,'Diversion and Disposal'!$BF$14:$BG$113,_xlfn.UNIQUE(_xlfn._xlws.FILTER(_xlpm.x,_xlfn.CHOOSECOLS(_xlpm.x,1)&lt;&gt;"","No entries")))</f>
        <v>No entries</v>
      </c>
      <c r="G519" s="68"/>
      <c r="H519" s="99">
        <f>SUMIFS('Diversion and Disposal'!$BT$14:$BT$113,'Diversion and Disposal'!$BF$14:$BF$113,F519,'Diversion and Disposal'!$BG$14:$BG$113,'Data output'!G519,'Diversion and Disposal'!$BG$14:$BG$113,"&lt;&gt;Reduce")</f>
        <v>0</v>
      </c>
      <c r="K519" s="117"/>
      <c r="L519" s="68"/>
      <c r="M519" s="99"/>
    </row>
    <row r="520" spans="1:21">
      <c r="F520" s="117"/>
      <c r="G520" s="68"/>
      <c r="H520" s="99">
        <f>SUMIFS('Diversion and Disposal'!$BT$14:$BT$113,'Diversion and Disposal'!$BF$14:$BF$113,F520,'Diversion and Disposal'!$BG$14:$BG$113,'Data output'!G520,'Diversion and Disposal'!$BG$14:$BG$113,"&lt;&gt;Reduce")</f>
        <v>0</v>
      </c>
      <c r="K520" s="117"/>
      <c r="L520" s="68"/>
      <c r="M520" s="99"/>
    </row>
    <row r="521" spans="1:21">
      <c r="F521" s="117"/>
      <c r="G521" s="68"/>
      <c r="H521" s="99">
        <f>SUMIFS('Diversion and Disposal'!$BT$14:$BT$113,'Diversion and Disposal'!$BF$14:$BF$113,F521,'Diversion and Disposal'!$BG$14:$BG$113,'Data output'!G521,'Diversion and Disposal'!$BG$14:$BG$113,"&lt;&gt;Reduce")</f>
        <v>0</v>
      </c>
      <c r="K521" s="117"/>
      <c r="L521" s="68"/>
      <c r="M521" s="99"/>
    </row>
    <row r="522" spans="1:21">
      <c r="F522" s="117"/>
      <c r="G522" s="68"/>
      <c r="H522" s="99">
        <f>SUMIFS('Diversion and Disposal'!$BT$14:$BT$113,'Diversion and Disposal'!$BF$14:$BF$113,F522,'Diversion and Disposal'!$BG$14:$BG$113,'Data output'!G522,'Diversion and Disposal'!$BG$14:$BG$113,"&lt;&gt;Reduce")</f>
        <v>0</v>
      </c>
      <c r="K522" s="117"/>
      <c r="L522" s="68"/>
      <c r="M522" s="99"/>
    </row>
    <row r="523" spans="1:21">
      <c r="F523" s="117"/>
      <c r="G523" s="68"/>
      <c r="H523" s="99">
        <f>SUMIFS('Diversion and Disposal'!$BT$14:$BT$113,'Diversion and Disposal'!$BF$14:$BF$113,F523,'Diversion and Disposal'!$BG$14:$BG$113,'Data output'!G523,'Diversion and Disposal'!$BG$14:$BG$113,"&lt;&gt;Reduce")</f>
        <v>0</v>
      </c>
      <c r="K523" s="117"/>
      <c r="L523" s="68"/>
      <c r="M523" s="99"/>
    </row>
    <row r="524" spans="1:21">
      <c r="F524" s="117"/>
      <c r="G524" s="68"/>
      <c r="H524" s="99">
        <f>SUMIFS('Diversion and Disposal'!$BT$14:$BT$113,'Diversion and Disposal'!$BF$14:$BF$113,F524,'Diversion and Disposal'!$BG$14:$BG$113,'Data output'!G524,'Diversion and Disposal'!$BG$14:$BG$113,"&lt;&gt;Reduce")</f>
        <v>0</v>
      </c>
      <c r="K524" s="117"/>
      <c r="L524" s="68"/>
      <c r="M524" s="99"/>
    </row>
    <row r="525" spans="1:21">
      <c r="F525" s="117"/>
      <c r="G525" s="68"/>
      <c r="H525" s="99">
        <f>SUMIFS('Diversion and Disposal'!$BT$14:$BT$113,'Diversion and Disposal'!$BF$14:$BF$113,F525,'Diversion and Disposal'!$BG$14:$BG$113,'Data output'!G525,'Diversion and Disposal'!$BG$14:$BG$113,"&lt;&gt;Reduce")</f>
        <v>0</v>
      </c>
      <c r="K525" s="117"/>
      <c r="L525" s="68"/>
      <c r="M525" s="99"/>
    </row>
    <row r="526" spans="1:21">
      <c r="F526" s="117"/>
      <c r="G526" s="68"/>
      <c r="H526" s="99">
        <f>SUMIFS('Diversion and Disposal'!$BT$14:$BT$113,'Diversion and Disposal'!$BF$14:$BF$113,F526,'Diversion and Disposal'!$BG$14:$BG$113,'Data output'!G526,'Diversion and Disposal'!$BG$14:$BG$113,"&lt;&gt;Reduce")</f>
        <v>0</v>
      </c>
      <c r="K526" s="117"/>
      <c r="L526" s="68"/>
      <c r="M526" s="99"/>
    </row>
    <row r="527" spans="1:21">
      <c r="F527" s="117"/>
      <c r="G527" s="68"/>
      <c r="H527" s="99">
        <f>SUMIFS('Diversion and Disposal'!$BT$14:$BT$113,'Diversion and Disposal'!$BF$14:$BF$113,F527,'Diversion and Disposal'!$BG$14:$BG$113,'Data output'!G527,'Diversion and Disposal'!$BG$14:$BG$113,"&lt;&gt;Reduce")</f>
        <v>0</v>
      </c>
      <c r="K527" s="117"/>
      <c r="L527" s="68"/>
      <c r="M527" s="99"/>
    </row>
    <row r="528" spans="1:21">
      <c r="F528" s="117"/>
      <c r="G528" s="68"/>
      <c r="H528" s="99">
        <f>SUMIFS('Diversion and Disposal'!$BT$14:$BT$113,'Diversion and Disposal'!$BF$14:$BF$113,F528,'Diversion and Disposal'!$BG$14:$BG$113,'Data output'!G528,'Diversion and Disposal'!$BG$14:$BG$113,"&lt;&gt;Reduce")</f>
        <v>0</v>
      </c>
      <c r="K528" s="117"/>
      <c r="L528" s="68"/>
      <c r="M528" s="99"/>
    </row>
    <row r="529" spans="6:13">
      <c r="F529" s="117"/>
      <c r="G529" s="68"/>
      <c r="H529" s="99">
        <f>SUMIFS('Diversion and Disposal'!$BT$14:$BT$113,'Diversion and Disposal'!$BF$14:$BF$113,F529,'Diversion and Disposal'!$BG$14:$BG$113,'Data output'!G529,'Diversion and Disposal'!$BG$14:$BG$113,"&lt;&gt;Reduce")</f>
        <v>0</v>
      </c>
      <c r="K529" s="117"/>
      <c r="L529" s="68"/>
      <c r="M529" s="99"/>
    </row>
    <row r="530" spans="6:13">
      <c r="F530" s="117"/>
      <c r="G530" s="68"/>
      <c r="H530" s="99">
        <f>SUMIFS('Diversion and Disposal'!$BT$14:$BT$113,'Diversion and Disposal'!$BF$14:$BF$113,F530,'Diversion and Disposal'!$BG$14:$BG$113,'Data output'!G530,'Diversion and Disposal'!$BG$14:$BG$113,"&lt;&gt;Reduce")</f>
        <v>0</v>
      </c>
      <c r="K530" s="117"/>
      <c r="L530" s="68"/>
      <c r="M530" s="99"/>
    </row>
    <row r="531" spans="6:13">
      <c r="F531" s="117"/>
      <c r="G531" s="68"/>
      <c r="H531" s="99">
        <f>SUMIFS('Diversion and Disposal'!$BT$14:$BT$113,'Diversion and Disposal'!$BF$14:$BF$113,F531,'Diversion and Disposal'!$BG$14:$BG$113,'Data output'!G531,'Diversion and Disposal'!$BG$14:$BG$113,"&lt;&gt;Reduce")</f>
        <v>0</v>
      </c>
      <c r="K531" s="117"/>
      <c r="L531" s="68"/>
      <c r="M531" s="99"/>
    </row>
    <row r="532" spans="6:13">
      <c r="F532" s="117"/>
      <c r="G532" s="68"/>
      <c r="H532" s="99">
        <f>SUMIFS('Diversion and Disposal'!$BT$14:$BT$113,'Diversion and Disposal'!$BF$14:$BF$113,F532,'Diversion and Disposal'!$BG$14:$BG$113,'Data output'!G532,'Diversion and Disposal'!$BG$14:$BG$113,"&lt;&gt;Reduce")</f>
        <v>0</v>
      </c>
      <c r="K532" s="117"/>
      <c r="L532" s="68"/>
      <c r="M532" s="99"/>
    </row>
    <row r="533" spans="6:13">
      <c r="F533" s="117"/>
      <c r="G533" s="68"/>
      <c r="H533" s="99">
        <f>SUMIFS('Diversion and Disposal'!$BT$14:$BT$113,'Diversion and Disposal'!$BF$14:$BF$113,F533,'Diversion and Disposal'!$BG$14:$BG$113,'Data output'!G533,'Diversion and Disposal'!$BG$14:$BG$113,"&lt;&gt;Reduce")</f>
        <v>0</v>
      </c>
      <c r="K533" s="117"/>
      <c r="L533" s="68"/>
      <c r="M533" s="99"/>
    </row>
    <row r="534" spans="6:13">
      <c r="F534" s="117"/>
      <c r="G534" s="68"/>
      <c r="H534" s="99">
        <f>SUMIFS('Diversion and Disposal'!$BT$14:$BT$113,'Diversion and Disposal'!$BF$14:$BF$113,F534,'Diversion and Disposal'!$BG$14:$BG$113,'Data output'!G534,'Diversion and Disposal'!$BG$14:$BG$113,"&lt;&gt;Reduce")</f>
        <v>0</v>
      </c>
      <c r="K534" s="117"/>
      <c r="L534" s="68"/>
      <c r="M534" s="99"/>
    </row>
    <row r="535" spans="6:13">
      <c r="F535" s="117"/>
      <c r="G535" s="68"/>
      <c r="H535" s="99">
        <f>SUMIFS('Diversion and Disposal'!$BT$14:$BT$113,'Diversion and Disposal'!$BF$14:$BF$113,F535,'Diversion and Disposal'!$BG$14:$BG$113,'Data output'!G535,'Diversion and Disposal'!$BG$14:$BG$113,"&lt;&gt;Reduce")</f>
        <v>0</v>
      </c>
      <c r="K535" s="117"/>
      <c r="L535" s="68"/>
      <c r="M535" s="99"/>
    </row>
    <row r="536" spans="6:13">
      <c r="F536" s="117"/>
      <c r="G536" s="68"/>
      <c r="H536" s="99">
        <f>SUMIFS('Diversion and Disposal'!$BT$14:$BT$113,'Diversion and Disposal'!$BF$14:$BF$113,F536,'Diversion and Disposal'!$BG$14:$BG$113,'Data output'!G536,'Diversion and Disposal'!$BG$14:$BG$113,"&lt;&gt;Reduce")</f>
        <v>0</v>
      </c>
      <c r="K536" s="117"/>
      <c r="L536" s="68"/>
      <c r="M536" s="99"/>
    </row>
    <row r="537" spans="6:13">
      <c r="F537" s="117"/>
      <c r="G537" s="68"/>
      <c r="H537" s="99">
        <f>SUMIFS('Diversion and Disposal'!$BT$14:$BT$113,'Diversion and Disposal'!$BF$14:$BF$113,F537,'Diversion and Disposal'!$BG$14:$BG$113,'Data output'!G537,'Diversion and Disposal'!$BG$14:$BG$113,"&lt;&gt;Reduce")</f>
        <v>0</v>
      </c>
      <c r="K537" s="117"/>
      <c r="L537" s="68"/>
      <c r="M537" s="99"/>
    </row>
    <row r="538" spans="6:13">
      <c r="F538" s="117"/>
      <c r="G538" s="68"/>
      <c r="H538" s="99">
        <f>SUMIFS('Diversion and Disposal'!$BT$14:$BT$113,'Diversion and Disposal'!$BF$14:$BF$113,F538,'Diversion and Disposal'!$BG$14:$BG$113,'Data output'!G538,'Diversion and Disposal'!$BG$14:$BG$113,"&lt;&gt;Reduce")</f>
        <v>0</v>
      </c>
      <c r="K538" s="117"/>
      <c r="L538" s="68"/>
      <c r="M538" s="99"/>
    </row>
    <row r="539" spans="6:13">
      <c r="F539" s="117"/>
      <c r="G539" s="68"/>
      <c r="H539" s="99">
        <f>SUMIFS('Diversion and Disposal'!$BT$14:$BT$113,'Diversion and Disposal'!$BF$14:$BF$113,F539,'Diversion and Disposal'!$BG$14:$BG$113,'Data output'!G539,'Diversion and Disposal'!$BG$14:$BG$113,"&lt;&gt;Reduce")</f>
        <v>0</v>
      </c>
      <c r="K539" s="117"/>
      <c r="L539" s="68"/>
      <c r="M539" s="99"/>
    </row>
    <row r="540" spans="6:13">
      <c r="F540" s="117"/>
      <c r="G540" s="68"/>
      <c r="H540" s="99">
        <f>SUMIFS('Diversion and Disposal'!$BT$14:$BT$113,'Diversion and Disposal'!$BF$14:$BF$113,F540,'Diversion and Disposal'!$BG$14:$BG$113,'Data output'!G540,'Diversion and Disposal'!$BG$14:$BG$113,"&lt;&gt;Reduce")</f>
        <v>0</v>
      </c>
      <c r="K540" s="117"/>
      <c r="L540" s="68"/>
      <c r="M540" s="99"/>
    </row>
    <row r="541" spans="6:13">
      <c r="F541" s="118"/>
      <c r="G541" s="68"/>
      <c r="H541" s="99">
        <f>SUMIFS('Diversion and Disposal'!$BT$14:$BT$113,'Diversion and Disposal'!$BF$14:$BF$113,F541,'Diversion and Disposal'!$BG$14:$BG$113,'Data output'!G541,'Diversion and Disposal'!$BG$14:$BG$113,"&lt;&gt;Reduce")</f>
        <v>0</v>
      </c>
      <c r="K541" s="118"/>
      <c r="L541" s="68"/>
      <c r="M541" s="99"/>
    </row>
    <row r="542" spans="6:13">
      <c r="F542" s="118"/>
      <c r="G542" s="68"/>
      <c r="H542" s="99">
        <f>SUMIFS('Diversion and Disposal'!$BT$14:$BT$113,'Diversion and Disposal'!$BF$14:$BF$113,F542,'Diversion and Disposal'!$BG$14:$BG$113,'Data output'!G542,'Diversion and Disposal'!$BG$14:$BG$113,"&lt;&gt;Reduce")</f>
        <v>0</v>
      </c>
      <c r="K542" s="118"/>
      <c r="L542" s="68"/>
      <c r="M542" s="99"/>
    </row>
    <row r="543" spans="6:13">
      <c r="F543" s="118"/>
      <c r="G543" s="68"/>
      <c r="H543" s="99">
        <f>SUMIFS('Diversion and Disposal'!$BT$14:$BT$113,'Diversion and Disposal'!$BF$14:$BF$113,F543,'Diversion and Disposal'!$BG$14:$BG$113,'Data output'!G543,'Diversion and Disposal'!$BG$14:$BG$113,"&lt;&gt;Reduce")</f>
        <v>0</v>
      </c>
      <c r="K543" s="118"/>
      <c r="L543" s="68"/>
      <c r="M543" s="99"/>
    </row>
    <row r="544" spans="6:13">
      <c r="F544" s="118"/>
      <c r="G544" s="68"/>
      <c r="H544" s="99">
        <f>SUMIFS('Diversion and Disposal'!$BT$14:$BT$113,'Diversion and Disposal'!$BF$14:$BF$113,F544,'Diversion and Disposal'!$BG$14:$BG$113,'Data output'!G544,'Diversion and Disposal'!$BG$14:$BG$113,"&lt;&gt;Reduce")</f>
        <v>0</v>
      </c>
      <c r="K544" s="118"/>
      <c r="L544" s="68"/>
      <c r="M544" s="99"/>
    </row>
    <row r="545" spans="6:13">
      <c r="F545" s="118"/>
      <c r="G545" s="68"/>
      <c r="H545" s="99">
        <f>SUMIFS('Diversion and Disposal'!$BT$14:$BT$113,'Diversion and Disposal'!$BF$14:$BF$113,F545,'Diversion and Disposal'!$BG$14:$BG$113,'Data output'!G545,'Diversion and Disposal'!$BG$14:$BG$113,"&lt;&gt;Reduce")</f>
        <v>0</v>
      </c>
      <c r="K545" s="118"/>
      <c r="L545" s="68"/>
      <c r="M545" s="99"/>
    </row>
    <row r="546" spans="6:13">
      <c r="F546" s="118"/>
      <c r="G546" s="68"/>
      <c r="H546" s="99">
        <f>SUMIFS('Diversion and Disposal'!$BT$14:$BT$113,'Diversion and Disposal'!$BF$14:$BF$113,F546,'Diversion and Disposal'!$BG$14:$BG$113,'Data output'!G546,'Diversion and Disposal'!$BG$14:$BG$113,"&lt;&gt;Reduce")</f>
        <v>0</v>
      </c>
      <c r="K546" s="118"/>
      <c r="L546" s="68"/>
      <c r="M546" s="99"/>
    </row>
    <row r="547" spans="6:13">
      <c r="F547" s="118"/>
      <c r="G547" s="68"/>
      <c r="H547" s="99">
        <f>SUMIFS('Diversion and Disposal'!$BT$14:$BT$113,'Diversion and Disposal'!$BF$14:$BF$113,F547,'Diversion and Disposal'!$BG$14:$BG$113,'Data output'!G547,'Diversion and Disposal'!$BG$14:$BG$113,"&lt;&gt;Reduce")</f>
        <v>0</v>
      </c>
      <c r="K547" s="118"/>
      <c r="L547" s="68"/>
      <c r="M547" s="99"/>
    </row>
    <row r="548" spans="6:13">
      <c r="F548" s="118"/>
      <c r="G548" s="68"/>
      <c r="H548" s="99">
        <f>SUMIFS('Diversion and Disposal'!$BT$14:$BT$113,'Diversion and Disposal'!$BF$14:$BF$113,F548,'Diversion and Disposal'!$BG$14:$BG$113,'Data output'!G548,'Diversion and Disposal'!$BG$14:$BG$113,"&lt;&gt;Reduce")</f>
        <v>0</v>
      </c>
      <c r="K548" s="118"/>
      <c r="L548" s="68"/>
      <c r="M548" s="99"/>
    </row>
    <row r="549" spans="6:13">
      <c r="F549" s="118"/>
      <c r="G549" s="68"/>
      <c r="H549" s="99">
        <f>SUMIFS('Diversion and Disposal'!$BT$14:$BT$113,'Diversion and Disposal'!$BF$14:$BF$113,F549,'Diversion and Disposal'!$BG$14:$BG$113,'Data output'!G549,'Diversion and Disposal'!$BG$14:$BG$113,"&lt;&gt;Reduce")</f>
        <v>0</v>
      </c>
      <c r="K549" s="118"/>
      <c r="L549" s="68"/>
      <c r="M549" s="99"/>
    </row>
    <row r="550" spans="6:13">
      <c r="F550" s="118"/>
      <c r="G550" s="68"/>
      <c r="H550" s="99">
        <f>SUMIFS('Diversion and Disposal'!$BT$14:$BT$113,'Diversion and Disposal'!$BF$14:$BF$113,F550,'Diversion and Disposal'!$BG$14:$BG$113,'Data output'!G550,'Diversion and Disposal'!$BG$14:$BG$113,"&lt;&gt;Reduce")</f>
        <v>0</v>
      </c>
      <c r="K550" s="118"/>
      <c r="L550" s="68"/>
      <c r="M550" s="99"/>
    </row>
    <row r="551" spans="6:13">
      <c r="F551" s="118"/>
      <c r="G551" s="68"/>
      <c r="H551" s="99">
        <f>SUMIFS('Diversion and Disposal'!$BT$14:$BT$113,'Diversion and Disposal'!$BF$14:$BF$113,F551,'Diversion and Disposal'!$BG$14:$BG$113,'Data output'!G551,'Diversion and Disposal'!$BG$14:$BG$113,"&lt;&gt;Reduce")</f>
        <v>0</v>
      </c>
      <c r="K551" s="118"/>
      <c r="L551" s="68"/>
      <c r="M551" s="99"/>
    </row>
    <row r="552" spans="6:13">
      <c r="F552" s="118"/>
      <c r="G552" s="68"/>
      <c r="H552" s="99">
        <f>SUMIFS('Diversion and Disposal'!$BT$14:$BT$113,'Diversion and Disposal'!$BF$14:$BF$113,F552,'Diversion and Disposal'!$BG$14:$BG$113,'Data output'!G552,'Diversion and Disposal'!$BG$14:$BG$113,"&lt;&gt;Reduce")</f>
        <v>0</v>
      </c>
      <c r="K552" s="118"/>
      <c r="L552" s="68"/>
      <c r="M552" s="99"/>
    </row>
    <row r="553" spans="6:13">
      <c r="F553" s="118"/>
      <c r="G553" s="68"/>
      <c r="H553" s="99">
        <f>SUMIFS('Diversion and Disposal'!$BT$14:$BT$113,'Diversion and Disposal'!$BF$14:$BF$113,F553,'Diversion and Disposal'!$BG$14:$BG$113,'Data output'!G553,'Diversion and Disposal'!$BG$14:$BG$113,"&lt;&gt;Reduce")</f>
        <v>0</v>
      </c>
      <c r="K553" s="118"/>
      <c r="L553" s="68"/>
      <c r="M553" s="99"/>
    </row>
    <row r="554" spans="6:13">
      <c r="F554" s="118"/>
      <c r="G554" s="68"/>
      <c r="H554" s="99">
        <f>SUMIFS('Diversion and Disposal'!$BT$14:$BT$113,'Diversion and Disposal'!$BF$14:$BF$113,F554,'Diversion and Disposal'!$BG$14:$BG$113,'Data output'!G554,'Diversion and Disposal'!$BG$14:$BG$113,"&lt;&gt;Reduce")</f>
        <v>0</v>
      </c>
      <c r="K554" s="118"/>
      <c r="L554" s="68"/>
      <c r="M554" s="99"/>
    </row>
    <row r="555" spans="6:13">
      <c r="F555" s="118"/>
      <c r="G555" s="68"/>
      <c r="H555" s="99">
        <f>SUMIFS('Diversion and Disposal'!$BT$14:$BT$113,'Diversion and Disposal'!$BF$14:$BF$113,F555,'Diversion and Disposal'!$BG$14:$BG$113,'Data output'!G555,'Diversion and Disposal'!$BG$14:$BG$113,"&lt;&gt;Reduce")</f>
        <v>0</v>
      </c>
      <c r="K555" s="118"/>
      <c r="L555" s="68"/>
      <c r="M555" s="99"/>
    </row>
    <row r="556" spans="6:13">
      <c r="F556" s="118"/>
      <c r="G556" s="68"/>
      <c r="H556" s="99">
        <f>SUMIFS('Diversion and Disposal'!$BT$14:$BT$113,'Diversion and Disposal'!$BF$14:$BF$113,F556,'Diversion and Disposal'!$BG$14:$BG$113,'Data output'!G556,'Diversion and Disposal'!$BG$14:$BG$113,"&lt;&gt;Reduce")</f>
        <v>0</v>
      </c>
      <c r="K556" s="118"/>
      <c r="L556" s="68"/>
      <c r="M556" s="99"/>
    </row>
    <row r="557" spans="6:13">
      <c r="F557" s="118"/>
      <c r="G557" s="68"/>
      <c r="H557" s="99">
        <f>SUMIFS('Diversion and Disposal'!$BT$14:$BT$113,'Diversion and Disposal'!$BF$14:$BF$113,F557,'Diversion and Disposal'!$BG$14:$BG$113,'Data output'!G557,'Diversion and Disposal'!$BG$14:$BG$113,"&lt;&gt;Reduce")</f>
        <v>0</v>
      </c>
      <c r="K557" s="118"/>
      <c r="L557" s="68"/>
      <c r="M557" s="99"/>
    </row>
    <row r="558" spans="6:13">
      <c r="F558" s="118"/>
      <c r="G558" s="68"/>
      <c r="H558" s="99">
        <f>SUMIFS('Diversion and Disposal'!$BT$14:$BT$113,'Diversion and Disposal'!$BF$14:$BF$113,F558,'Diversion and Disposal'!$BG$14:$BG$113,'Data output'!G558,'Diversion and Disposal'!$BG$14:$BG$113,"&lt;&gt;Reduce")</f>
        <v>0</v>
      </c>
      <c r="K558" s="118"/>
      <c r="L558" s="68"/>
      <c r="M558" s="99"/>
    </row>
    <row r="559" spans="6:13">
      <c r="F559" s="118"/>
      <c r="G559" s="68"/>
      <c r="H559" s="99">
        <f>SUMIFS('Diversion and Disposal'!$BT$14:$BT$113,'Diversion and Disposal'!$BF$14:$BF$113,F559,'Diversion and Disposal'!$BG$14:$BG$113,'Data output'!G559,'Diversion and Disposal'!$BG$14:$BG$113,"&lt;&gt;Reduce")</f>
        <v>0</v>
      </c>
      <c r="K559" s="118"/>
      <c r="L559" s="68"/>
      <c r="M559" s="99"/>
    </row>
    <row r="560" spans="6:13">
      <c r="F560" s="118"/>
      <c r="G560" s="68"/>
      <c r="H560" s="99">
        <f>SUMIFS('Diversion and Disposal'!$BT$14:$BT$113,'Diversion and Disposal'!$BF$14:$BF$113,F560,'Diversion and Disposal'!$BG$14:$BG$113,'Data output'!G560,'Diversion and Disposal'!$BG$14:$BG$113,"&lt;&gt;Reduce")</f>
        <v>0</v>
      </c>
      <c r="K560" s="118"/>
      <c r="L560" s="68"/>
      <c r="M560" s="99"/>
    </row>
    <row r="561" spans="6:13">
      <c r="F561" s="118"/>
      <c r="G561" s="68"/>
      <c r="H561" s="99">
        <f>SUMIFS('Diversion and Disposal'!$BT$14:$BT$113,'Diversion and Disposal'!$BF$14:$BF$113,F561,'Diversion and Disposal'!$BG$14:$BG$113,'Data output'!G561,'Diversion and Disposal'!$BG$14:$BG$113,"&lt;&gt;Reduce")</f>
        <v>0</v>
      </c>
      <c r="K561" s="118"/>
      <c r="L561" s="68"/>
      <c r="M561" s="99"/>
    </row>
    <row r="562" spans="6:13">
      <c r="F562" s="118"/>
      <c r="G562" s="68"/>
      <c r="H562" s="99">
        <f>SUMIFS('Diversion and Disposal'!$BT$14:$BT$113,'Diversion and Disposal'!$BF$14:$BF$113,F562,'Diversion and Disposal'!$BG$14:$BG$113,'Data output'!G562,'Diversion and Disposal'!$BG$14:$BG$113,"&lt;&gt;Reduce")</f>
        <v>0</v>
      </c>
      <c r="K562" s="118"/>
      <c r="L562" s="68"/>
      <c r="M562" s="99"/>
    </row>
    <row r="563" spans="6:13">
      <c r="F563" s="118"/>
      <c r="G563" s="68"/>
      <c r="H563" s="99">
        <f>SUMIFS('Diversion and Disposal'!$BT$14:$BT$113,'Diversion and Disposal'!$BF$14:$BF$113,F563,'Diversion and Disposal'!$BG$14:$BG$113,'Data output'!G563,'Diversion and Disposal'!$BG$14:$BG$113,"&lt;&gt;Reduce")</f>
        <v>0</v>
      </c>
      <c r="K563" s="118"/>
      <c r="L563" s="68"/>
      <c r="M563" s="99"/>
    </row>
    <row r="564" spans="6:13">
      <c r="F564" s="118"/>
      <c r="G564" s="68"/>
      <c r="H564" s="99">
        <f>SUMIFS('Diversion and Disposal'!$BT$14:$BT$113,'Diversion and Disposal'!$BF$14:$BF$113,F564,'Diversion and Disposal'!$BG$14:$BG$113,'Data output'!G564,'Diversion and Disposal'!$BG$14:$BG$113,"&lt;&gt;Reduce")</f>
        <v>0</v>
      </c>
      <c r="K564" s="118"/>
      <c r="L564" s="68"/>
      <c r="M564" s="99"/>
    </row>
    <row r="565" spans="6:13">
      <c r="F565" s="118"/>
      <c r="G565" s="68"/>
      <c r="H565" s="99">
        <f>SUMIFS('Diversion and Disposal'!$BT$14:$BT$113,'Diversion and Disposal'!$BF$14:$BF$113,F565,'Diversion and Disposal'!$BG$14:$BG$113,'Data output'!G565,'Diversion and Disposal'!$BG$14:$BG$113,"&lt;&gt;Reduce")</f>
        <v>0</v>
      </c>
      <c r="K565" s="118"/>
      <c r="L565" s="68"/>
      <c r="M565" s="99"/>
    </row>
    <row r="566" spans="6:13">
      <c r="F566" s="118"/>
      <c r="G566" s="68"/>
      <c r="H566" s="99">
        <f>SUMIFS('Diversion and Disposal'!$BT$14:$BT$113,'Diversion and Disposal'!$BF$14:$BF$113,F566,'Diversion and Disposal'!$BG$14:$BG$113,'Data output'!G566,'Diversion and Disposal'!$BG$14:$BG$113,"&lt;&gt;Reduce")</f>
        <v>0</v>
      </c>
      <c r="K566" s="118"/>
      <c r="L566" s="68"/>
      <c r="M566" s="99"/>
    </row>
    <row r="567" spans="6:13">
      <c r="F567" s="118"/>
      <c r="G567" s="68"/>
      <c r="H567" s="99">
        <f>SUMIFS('Diversion and Disposal'!$BT$14:$BT$113,'Diversion and Disposal'!$BF$14:$BF$113,F567,'Diversion and Disposal'!$BG$14:$BG$113,'Data output'!G567,'Diversion and Disposal'!$BG$14:$BG$113,"&lt;&gt;Reduce")</f>
        <v>0</v>
      </c>
      <c r="K567" s="118"/>
      <c r="L567" s="68"/>
      <c r="M567" s="99"/>
    </row>
    <row r="568" spans="6:13">
      <c r="F568" s="118"/>
      <c r="G568" s="68"/>
      <c r="H568" s="99">
        <f>SUMIFS('Diversion and Disposal'!$BT$14:$BT$113,'Diversion and Disposal'!$BF$14:$BF$113,F568,'Diversion and Disposal'!$BG$14:$BG$113,'Data output'!G568,'Diversion and Disposal'!$BG$14:$BG$113,"&lt;&gt;Reduce")</f>
        <v>0</v>
      </c>
      <c r="K568" s="118"/>
      <c r="L568" s="68"/>
      <c r="M568" s="99"/>
    </row>
    <row r="569" spans="6:13">
      <c r="F569" s="118"/>
      <c r="G569" s="68"/>
      <c r="H569" s="99">
        <f>SUMIFS('Diversion and Disposal'!$BT$14:$BT$113,'Diversion and Disposal'!$BF$14:$BF$113,F569,'Diversion and Disposal'!$BG$14:$BG$113,'Data output'!G569,'Diversion and Disposal'!$BG$14:$BG$113,"&lt;&gt;Reduce")</f>
        <v>0</v>
      </c>
      <c r="K569" s="118"/>
      <c r="L569" s="68"/>
      <c r="M569" s="99"/>
    </row>
    <row r="570" spans="6:13">
      <c r="F570" s="118"/>
      <c r="G570" s="68"/>
      <c r="H570" s="99">
        <f>SUMIFS('Diversion and Disposal'!$BT$14:$BT$113,'Diversion and Disposal'!$BF$14:$BF$113,F570,'Diversion and Disposal'!$BG$14:$BG$113,'Data output'!G570,'Diversion and Disposal'!$BG$14:$BG$113,"&lt;&gt;Reduce")</f>
        <v>0</v>
      </c>
      <c r="K570" s="118"/>
      <c r="L570" s="68"/>
      <c r="M570" s="99"/>
    </row>
    <row r="571" spans="6:13">
      <c r="F571" s="118"/>
      <c r="G571" s="68"/>
      <c r="H571" s="99">
        <f>SUMIFS('Diversion and Disposal'!$BT$14:$BT$113,'Diversion and Disposal'!$BF$14:$BF$113,F571,'Diversion and Disposal'!$BG$14:$BG$113,'Data output'!G571,'Diversion and Disposal'!$BG$14:$BG$113,"&lt;&gt;Reduce")</f>
        <v>0</v>
      </c>
      <c r="K571" s="118"/>
      <c r="L571" s="68"/>
      <c r="M571" s="99"/>
    </row>
    <row r="572" spans="6:13">
      <c r="F572" s="118"/>
      <c r="G572" s="68"/>
      <c r="H572" s="99">
        <f>SUMIFS('Diversion and Disposal'!$BT$14:$BT$113,'Diversion and Disposal'!$BF$14:$BF$113,F572,'Diversion and Disposal'!$BG$14:$BG$113,'Data output'!G572,'Diversion and Disposal'!$BG$14:$BG$113,"&lt;&gt;Reduce")</f>
        <v>0</v>
      </c>
      <c r="K572" s="118"/>
      <c r="L572" s="68"/>
      <c r="M572" s="99"/>
    </row>
    <row r="573" spans="6:13">
      <c r="F573" s="118"/>
      <c r="G573" s="68"/>
      <c r="H573" s="99">
        <f>SUMIFS('Diversion and Disposal'!$BT$14:$BT$113,'Diversion and Disposal'!$BF$14:$BF$113,F573,'Diversion and Disposal'!$BG$14:$BG$113,'Data output'!G573,'Diversion and Disposal'!$BG$14:$BG$113,"&lt;&gt;Reduce")</f>
        <v>0</v>
      </c>
      <c r="K573" s="118"/>
      <c r="L573" s="68"/>
      <c r="M573" s="99"/>
    </row>
    <row r="574" spans="6:13">
      <c r="F574" s="118"/>
      <c r="G574" s="68"/>
      <c r="H574" s="99">
        <f>SUMIFS('Diversion and Disposal'!$BT$14:$BT$113,'Diversion and Disposal'!$BF$14:$BF$113,F574,'Diversion and Disposal'!$BG$14:$BG$113,'Data output'!G574,'Diversion and Disposal'!$BG$14:$BG$113,"&lt;&gt;Reduce")</f>
        <v>0</v>
      </c>
      <c r="K574" s="118"/>
      <c r="L574" s="68"/>
      <c r="M574" s="99"/>
    </row>
    <row r="575" spans="6:13">
      <c r="F575" s="118"/>
      <c r="G575" s="68"/>
      <c r="H575" s="99">
        <f>SUMIFS('Diversion and Disposal'!$BT$14:$BT$113,'Diversion and Disposal'!$BF$14:$BF$113,F575,'Diversion and Disposal'!$BG$14:$BG$113,'Data output'!G575,'Diversion and Disposal'!$BG$14:$BG$113,"&lt;&gt;Reduce")</f>
        <v>0</v>
      </c>
      <c r="K575" s="118"/>
      <c r="L575" s="68"/>
      <c r="M575" s="99"/>
    </row>
    <row r="576" spans="6:13">
      <c r="F576" s="118"/>
      <c r="G576" s="68"/>
      <c r="H576" s="99">
        <f>SUMIFS('Diversion and Disposal'!$BT$14:$BT$113,'Diversion and Disposal'!$BF$14:$BF$113,F576,'Diversion and Disposal'!$BG$14:$BG$113,'Data output'!G576,'Diversion and Disposal'!$BG$14:$BG$113,"&lt;&gt;Reduce")</f>
        <v>0</v>
      </c>
      <c r="K576" s="118"/>
      <c r="L576" s="68"/>
      <c r="M576" s="99"/>
    </row>
    <row r="577" spans="6:13">
      <c r="F577" s="118"/>
      <c r="G577" s="68"/>
      <c r="H577" s="99">
        <f>SUMIFS('Diversion and Disposal'!$BT$14:$BT$113,'Diversion and Disposal'!$BF$14:$BF$113,F577,'Diversion and Disposal'!$BG$14:$BG$113,'Data output'!G577,'Diversion and Disposal'!$BG$14:$BG$113,"&lt;&gt;Reduce")</f>
        <v>0</v>
      </c>
      <c r="K577" s="118"/>
      <c r="L577" s="68"/>
      <c r="M577" s="99"/>
    </row>
    <row r="578" spans="6:13">
      <c r="F578" s="118"/>
      <c r="G578" s="68"/>
      <c r="H578" s="99">
        <f>SUMIFS('Diversion and Disposal'!$BT$14:$BT$113,'Diversion and Disposal'!$BF$14:$BF$113,F578,'Diversion and Disposal'!$BG$14:$BG$113,'Data output'!G578,'Diversion and Disposal'!$BG$14:$BG$113,"&lt;&gt;Reduce")</f>
        <v>0</v>
      </c>
      <c r="K578" s="118"/>
      <c r="L578" s="68"/>
      <c r="M578" s="99"/>
    </row>
    <row r="579" spans="6:13">
      <c r="F579" s="118"/>
      <c r="G579" s="68"/>
      <c r="H579" s="99">
        <f>SUMIFS('Diversion and Disposal'!$BT$14:$BT$113,'Diversion and Disposal'!$BF$14:$BF$113,F579,'Diversion and Disposal'!$BG$14:$BG$113,'Data output'!G579,'Diversion and Disposal'!$BG$14:$BG$113,"&lt;&gt;Reduce")</f>
        <v>0</v>
      </c>
      <c r="K579" s="118"/>
      <c r="L579" s="68"/>
      <c r="M579" s="99"/>
    </row>
    <row r="580" spans="6:13">
      <c r="F580" s="118"/>
      <c r="G580" s="68"/>
      <c r="H580" s="99">
        <f>SUMIFS('Diversion and Disposal'!$BT$14:$BT$113,'Diversion and Disposal'!$BF$14:$BF$113,F580,'Diversion and Disposal'!$BG$14:$BG$113,'Data output'!G580,'Diversion and Disposal'!$BG$14:$BG$113,"&lt;&gt;Reduce")</f>
        <v>0</v>
      </c>
      <c r="K580" s="118"/>
      <c r="L580" s="68"/>
      <c r="M580" s="99"/>
    </row>
    <row r="581" spans="6:13">
      <c r="F581" s="118"/>
      <c r="G581" s="68"/>
      <c r="H581" s="99">
        <f>SUMIFS('Diversion and Disposal'!$BT$14:$BT$113,'Diversion and Disposal'!$BF$14:$BF$113,F581,'Diversion and Disposal'!$BG$14:$BG$113,'Data output'!G581,'Diversion and Disposal'!$BG$14:$BG$113,"&lt;&gt;Reduce")</f>
        <v>0</v>
      </c>
      <c r="K581" s="118"/>
      <c r="L581" s="68"/>
      <c r="M581" s="99"/>
    </row>
    <row r="582" spans="6:13">
      <c r="F582" s="118"/>
      <c r="G582" s="68"/>
      <c r="H582" s="99">
        <f>SUMIFS('Diversion and Disposal'!$BT$14:$BT$113,'Diversion and Disposal'!$BF$14:$BF$113,F582,'Diversion and Disposal'!$BG$14:$BG$113,'Data output'!G582,'Diversion and Disposal'!$BG$14:$BG$113,"&lt;&gt;Reduce")</f>
        <v>0</v>
      </c>
      <c r="K582" s="118"/>
      <c r="L582" s="68"/>
      <c r="M582" s="99"/>
    </row>
    <row r="583" spans="6:13">
      <c r="F583" s="118"/>
      <c r="G583" s="68"/>
      <c r="H583" s="99">
        <f>SUMIFS('Diversion and Disposal'!$BT$14:$BT$113,'Diversion and Disposal'!$BF$14:$BF$113,F583,'Diversion and Disposal'!$BG$14:$BG$113,'Data output'!G583,'Diversion and Disposal'!$BG$14:$BG$113,"&lt;&gt;Reduce")</f>
        <v>0</v>
      </c>
      <c r="K583" s="118"/>
      <c r="L583" s="68"/>
      <c r="M583" s="99"/>
    </row>
    <row r="584" spans="6:13">
      <c r="F584" s="118"/>
      <c r="G584" s="68"/>
      <c r="H584" s="99">
        <f>SUMIFS('Diversion and Disposal'!$BT$14:$BT$113,'Diversion and Disposal'!$BF$14:$BF$113,F584,'Diversion and Disposal'!$BG$14:$BG$113,'Data output'!G584,'Diversion and Disposal'!$BG$14:$BG$113,"&lt;&gt;Reduce")</f>
        <v>0</v>
      </c>
      <c r="K584" s="118"/>
      <c r="L584" s="68"/>
      <c r="M584" s="99"/>
    </row>
    <row r="585" spans="6:13">
      <c r="F585" s="118"/>
      <c r="G585" s="68"/>
      <c r="H585" s="99">
        <f>SUMIFS('Diversion and Disposal'!$BT$14:$BT$113,'Diversion and Disposal'!$BF$14:$BF$113,F585,'Diversion and Disposal'!$BG$14:$BG$113,'Data output'!G585,'Diversion and Disposal'!$BG$14:$BG$113,"&lt;&gt;Reduce")</f>
        <v>0</v>
      </c>
      <c r="K585" s="118"/>
      <c r="L585" s="68"/>
      <c r="M585" s="99"/>
    </row>
    <row r="586" spans="6:13">
      <c r="F586" s="118"/>
      <c r="G586" s="68"/>
      <c r="H586" s="99">
        <f>SUMIFS('Diversion and Disposal'!$BT$14:$BT$113,'Diversion and Disposal'!$BF$14:$BF$113,F586,'Diversion and Disposal'!$BG$14:$BG$113,'Data output'!G586,'Diversion and Disposal'!$BG$14:$BG$113,"&lt;&gt;Reduce")</f>
        <v>0</v>
      </c>
      <c r="K586" s="118"/>
      <c r="L586" s="68"/>
      <c r="M586" s="99"/>
    </row>
    <row r="587" spans="6:13">
      <c r="F587" s="118"/>
      <c r="G587" s="68"/>
      <c r="H587" s="99">
        <f>SUMIFS('Diversion and Disposal'!$BT$14:$BT$113,'Diversion and Disposal'!$BF$14:$BF$113,F587,'Diversion and Disposal'!$BG$14:$BG$113,'Data output'!G587,'Diversion and Disposal'!$BG$14:$BG$113,"&lt;&gt;Reduce")</f>
        <v>0</v>
      </c>
      <c r="K587" s="118"/>
      <c r="L587" s="68"/>
      <c r="M587" s="99"/>
    </row>
    <row r="588" spans="6:13">
      <c r="F588" s="118"/>
      <c r="G588" s="68"/>
      <c r="H588" s="99">
        <f>SUMIFS('Diversion and Disposal'!$BT$14:$BT$113,'Diversion and Disposal'!$BF$14:$BF$113,F588,'Diversion and Disposal'!$BG$14:$BG$113,'Data output'!G588,'Diversion and Disposal'!$BG$14:$BG$113,"&lt;&gt;Reduce")</f>
        <v>0</v>
      </c>
      <c r="K588" s="118"/>
      <c r="L588" s="68"/>
      <c r="M588" s="99"/>
    </row>
    <row r="589" spans="6:13">
      <c r="F589" s="118"/>
      <c r="G589" s="68"/>
      <c r="H589" s="99">
        <f>SUMIFS('Diversion and Disposal'!$BT$14:$BT$113,'Diversion and Disposal'!$BF$14:$BF$113,F589,'Diversion and Disposal'!$BG$14:$BG$113,'Data output'!G589,'Diversion and Disposal'!$BG$14:$BG$113,"&lt;&gt;Reduce")</f>
        <v>0</v>
      </c>
      <c r="K589" s="118"/>
      <c r="L589" s="68"/>
      <c r="M589" s="99"/>
    </row>
    <row r="590" spans="6:13">
      <c r="F590" s="118"/>
      <c r="G590" s="68"/>
      <c r="H590" s="99">
        <f>SUMIFS('Diversion and Disposal'!$BT$14:$BT$113,'Diversion and Disposal'!$BF$14:$BF$113,F590,'Diversion and Disposal'!$BG$14:$BG$113,'Data output'!G590,'Diversion and Disposal'!$BG$14:$BG$113,"&lt;&gt;Reduce")</f>
        <v>0</v>
      </c>
      <c r="K590" s="118"/>
      <c r="L590" s="68"/>
      <c r="M590" s="99"/>
    </row>
    <row r="591" spans="6:13">
      <c r="F591" s="118"/>
      <c r="G591" s="68"/>
      <c r="H591" s="99">
        <f>SUMIFS('Diversion and Disposal'!$BT$14:$BT$113,'Diversion and Disposal'!$BF$14:$BF$113,F591,'Diversion and Disposal'!$BG$14:$BG$113,'Data output'!G591,'Diversion and Disposal'!$BG$14:$BG$113,"&lt;&gt;Reduce")</f>
        <v>0</v>
      </c>
      <c r="K591" s="118"/>
      <c r="L591" s="68"/>
      <c r="M591" s="99"/>
    </row>
    <row r="592" spans="6:13">
      <c r="F592" s="118"/>
      <c r="G592" s="68"/>
      <c r="H592" s="99">
        <f>SUMIFS('Diversion and Disposal'!$BT$14:$BT$113,'Diversion and Disposal'!$BF$14:$BF$113,F592,'Diversion and Disposal'!$BG$14:$BG$113,'Data output'!G592,'Diversion and Disposal'!$BG$14:$BG$113,"&lt;&gt;Reduce")</f>
        <v>0</v>
      </c>
      <c r="K592" s="118"/>
      <c r="L592" s="68"/>
      <c r="M592" s="99"/>
    </row>
    <row r="593" spans="6:13">
      <c r="F593" s="118"/>
      <c r="G593" s="68"/>
      <c r="H593" s="99">
        <f>SUMIFS('Diversion and Disposal'!$BT$14:$BT$113,'Diversion and Disposal'!$BF$14:$BF$113,F593,'Diversion and Disposal'!$BG$14:$BG$113,'Data output'!G593,'Diversion and Disposal'!$BG$14:$BG$113,"&lt;&gt;Reduce")</f>
        <v>0</v>
      </c>
      <c r="K593" s="118"/>
      <c r="L593" s="68"/>
      <c r="M593" s="99"/>
    </row>
    <row r="594" spans="6:13">
      <c r="F594" s="118"/>
      <c r="G594" s="68"/>
      <c r="H594" s="99">
        <f>SUMIFS('Diversion and Disposal'!$BT$14:$BT$113,'Diversion and Disposal'!$BF$14:$BF$113,F594,'Diversion and Disposal'!$BG$14:$BG$113,'Data output'!G594,'Diversion and Disposal'!$BG$14:$BG$113,"&lt;&gt;Reduce")</f>
        <v>0</v>
      </c>
      <c r="K594" s="118"/>
      <c r="L594" s="68"/>
      <c r="M594" s="99"/>
    </row>
    <row r="595" spans="6:13">
      <c r="F595" s="118"/>
      <c r="G595" s="68"/>
      <c r="H595" s="99">
        <f>SUMIFS('Diversion and Disposal'!$BT$14:$BT$113,'Diversion and Disposal'!$BF$14:$BF$113,F595,'Diversion and Disposal'!$BG$14:$BG$113,'Data output'!G595,'Diversion and Disposal'!$BG$14:$BG$113,"&lt;&gt;Reduce")</f>
        <v>0</v>
      </c>
      <c r="K595" s="118"/>
      <c r="L595" s="68"/>
      <c r="M595" s="99"/>
    </row>
    <row r="596" spans="6:13">
      <c r="F596" s="118"/>
      <c r="G596" s="68"/>
      <c r="H596" s="99">
        <f>SUMIFS('Diversion and Disposal'!$BT$14:$BT$113,'Diversion and Disposal'!$BF$14:$BF$113,F596,'Diversion and Disposal'!$BG$14:$BG$113,'Data output'!G596,'Diversion and Disposal'!$BG$14:$BG$113,"&lt;&gt;Reduce")</f>
        <v>0</v>
      </c>
      <c r="K596" s="118"/>
      <c r="L596" s="68"/>
      <c r="M596" s="99"/>
    </row>
    <row r="597" spans="6:13">
      <c r="F597" s="118"/>
      <c r="G597" s="68"/>
      <c r="H597" s="99">
        <f>SUMIFS('Diversion and Disposal'!$BT$14:$BT$113,'Diversion and Disposal'!$BF$14:$BF$113,F597,'Diversion and Disposal'!$BG$14:$BG$113,'Data output'!G597,'Diversion and Disposal'!$BG$14:$BG$113,"&lt;&gt;Reduce")</f>
        <v>0</v>
      </c>
      <c r="K597" s="118"/>
      <c r="L597" s="68"/>
      <c r="M597" s="99"/>
    </row>
    <row r="598" spans="6:13">
      <c r="F598" s="118"/>
      <c r="G598" s="68"/>
      <c r="H598" s="99">
        <f>SUMIFS('Diversion and Disposal'!$BT$14:$BT$113,'Diversion and Disposal'!$BF$14:$BF$113,F598,'Diversion and Disposal'!$BG$14:$BG$113,'Data output'!G598,'Diversion and Disposal'!$BG$14:$BG$113,"&lt;&gt;Reduce")</f>
        <v>0</v>
      </c>
      <c r="K598" s="118"/>
      <c r="L598" s="68"/>
      <c r="M598" s="99"/>
    </row>
    <row r="599" spans="6:13">
      <c r="F599" s="118"/>
      <c r="G599" s="68"/>
      <c r="H599" s="99">
        <f>SUMIFS('Diversion and Disposal'!$BT$14:$BT$113,'Diversion and Disposal'!$BF$14:$BF$113,F599,'Diversion and Disposal'!$BG$14:$BG$113,'Data output'!G599,'Diversion and Disposal'!$BG$14:$BG$113,"&lt;&gt;Reduce")</f>
        <v>0</v>
      </c>
      <c r="K599" s="118"/>
      <c r="L599" s="68"/>
      <c r="M599" s="99"/>
    </row>
    <row r="600" spans="6:13">
      <c r="F600" s="118"/>
      <c r="G600" s="68"/>
      <c r="H600" s="99">
        <f>SUMIFS('Diversion and Disposal'!$BT$14:$BT$113,'Diversion and Disposal'!$BF$14:$BF$113,F600,'Diversion and Disposal'!$BG$14:$BG$113,'Data output'!G600,'Diversion and Disposal'!$BG$14:$BG$113,"&lt;&gt;Reduce")</f>
        <v>0</v>
      </c>
      <c r="K600" s="118"/>
      <c r="L600" s="68"/>
      <c r="M600" s="99"/>
    </row>
    <row r="601" spans="6:13">
      <c r="F601" s="118"/>
      <c r="G601" s="68"/>
      <c r="H601" s="99">
        <f>SUMIFS('Diversion and Disposal'!$BT$14:$BT$113,'Diversion and Disposal'!$BF$14:$BF$113,F601,'Diversion and Disposal'!$BG$14:$BG$113,'Data output'!G601,'Diversion and Disposal'!$BG$14:$BG$113,"&lt;&gt;Reduce")</f>
        <v>0</v>
      </c>
      <c r="K601" s="118"/>
      <c r="L601" s="68"/>
      <c r="M601" s="99"/>
    </row>
    <row r="602" spans="6:13">
      <c r="F602" s="118"/>
      <c r="G602" s="68"/>
      <c r="H602" s="99">
        <f>SUMIFS('Diversion and Disposal'!$BT$14:$BT$113,'Diversion and Disposal'!$BF$14:$BF$113,F602,'Diversion and Disposal'!$BG$14:$BG$113,'Data output'!G602,'Diversion and Disposal'!$BG$14:$BG$113,"&lt;&gt;Reduce")</f>
        <v>0</v>
      </c>
      <c r="K602" s="118"/>
      <c r="L602" s="68"/>
      <c r="M602" s="99"/>
    </row>
    <row r="603" spans="6:13">
      <c r="F603" s="118"/>
      <c r="G603" s="68"/>
      <c r="H603" s="99">
        <f>SUMIFS('Diversion and Disposal'!$BT$14:$BT$113,'Diversion and Disposal'!$BF$14:$BF$113,F603,'Diversion and Disposal'!$BG$14:$BG$113,'Data output'!G603,'Diversion and Disposal'!$BG$14:$BG$113,"&lt;&gt;Reduce")</f>
        <v>0</v>
      </c>
      <c r="K603" s="118"/>
      <c r="L603" s="68"/>
      <c r="M603" s="99"/>
    </row>
    <row r="604" spans="6:13">
      <c r="F604" s="118"/>
      <c r="G604" s="68"/>
      <c r="H604" s="99">
        <f>SUMIFS('Diversion and Disposal'!$BT$14:$BT$113,'Diversion and Disposal'!$BF$14:$BF$113,F604,'Diversion and Disposal'!$BG$14:$BG$113,'Data output'!G604,'Diversion and Disposal'!$BG$14:$BG$113,"&lt;&gt;Reduce")</f>
        <v>0</v>
      </c>
      <c r="K604" s="118"/>
      <c r="L604" s="68"/>
      <c r="M604" s="99"/>
    </row>
    <row r="605" spans="6:13">
      <c r="F605" s="118"/>
      <c r="G605" s="68"/>
      <c r="H605" s="99">
        <f>SUMIFS('Diversion and Disposal'!$BT$14:$BT$113,'Diversion and Disposal'!$BF$14:$BF$113,F605,'Diversion and Disposal'!$BG$14:$BG$113,'Data output'!G605,'Diversion and Disposal'!$BG$14:$BG$113,"&lt;&gt;Reduce")</f>
        <v>0</v>
      </c>
      <c r="K605" s="118"/>
      <c r="L605" s="68"/>
      <c r="M605" s="99"/>
    </row>
    <row r="606" spans="6:13">
      <c r="F606" s="118"/>
      <c r="G606" s="68"/>
      <c r="H606" s="99">
        <f>SUMIFS('Diversion and Disposal'!$BT$14:$BT$113,'Diversion and Disposal'!$BF$14:$BF$113,F606,'Diversion and Disposal'!$BG$14:$BG$113,'Data output'!G606,'Diversion and Disposal'!$BG$14:$BG$113,"&lt;&gt;Reduce")</f>
        <v>0</v>
      </c>
      <c r="K606" s="118"/>
      <c r="L606" s="68"/>
      <c r="M606" s="99"/>
    </row>
    <row r="607" spans="6:13">
      <c r="F607" s="118"/>
      <c r="G607" s="68"/>
      <c r="H607" s="99">
        <f>SUMIFS('Diversion and Disposal'!$BT$14:$BT$113,'Diversion and Disposal'!$BF$14:$BF$113,F607,'Diversion and Disposal'!$BG$14:$BG$113,'Data output'!G607,'Diversion and Disposal'!$BG$14:$BG$113,"&lt;&gt;Reduce")</f>
        <v>0</v>
      </c>
      <c r="K607" s="118"/>
      <c r="L607" s="68"/>
      <c r="M607" s="99"/>
    </row>
    <row r="608" spans="6:13">
      <c r="F608" s="118"/>
      <c r="G608" s="68"/>
      <c r="H608" s="99">
        <f>SUMIFS('Diversion and Disposal'!$BT$14:$BT$113,'Diversion and Disposal'!$BF$14:$BF$113,F608,'Diversion and Disposal'!$BG$14:$BG$113,'Data output'!G608,'Diversion and Disposal'!$BG$14:$BG$113,"&lt;&gt;Reduce")</f>
        <v>0</v>
      </c>
      <c r="K608" s="118"/>
      <c r="L608" s="68"/>
      <c r="M608" s="99"/>
    </row>
    <row r="609" spans="6:13">
      <c r="F609" s="118"/>
      <c r="G609" s="68"/>
      <c r="H609" s="99">
        <f>SUMIFS('Diversion and Disposal'!$BT$14:$BT$113,'Diversion and Disposal'!$BF$14:$BF$113,F609,'Diversion and Disposal'!$BG$14:$BG$113,'Data output'!G609,'Diversion and Disposal'!$BG$14:$BG$113,"&lt;&gt;Reduce")</f>
        <v>0</v>
      </c>
      <c r="K609" s="118"/>
      <c r="L609" s="68"/>
      <c r="M609" s="99"/>
    </row>
    <row r="610" spans="6:13">
      <c r="F610" s="118"/>
      <c r="G610" s="68"/>
      <c r="H610" s="99">
        <f>SUMIFS('Diversion and Disposal'!$BT$14:$BT$113,'Diversion and Disposal'!$BF$14:$BF$113,F610,'Diversion and Disposal'!$BG$14:$BG$113,'Data output'!G610,'Diversion and Disposal'!$BG$14:$BG$113,"&lt;&gt;Reduce")</f>
        <v>0</v>
      </c>
      <c r="K610" s="118"/>
      <c r="L610" s="68"/>
      <c r="M610" s="99"/>
    </row>
    <row r="611" spans="6:13">
      <c r="F611" s="118"/>
      <c r="G611" s="68"/>
      <c r="H611" s="99">
        <f>SUMIFS('Diversion and Disposal'!$BT$14:$BT$113,'Diversion and Disposal'!$BF$14:$BF$113,F611,'Diversion and Disposal'!$BG$14:$BG$113,'Data output'!G611,'Diversion and Disposal'!$BG$14:$BG$113,"&lt;&gt;Reduce")</f>
        <v>0</v>
      </c>
      <c r="K611" s="118"/>
      <c r="L611" s="68"/>
      <c r="M611" s="99"/>
    </row>
    <row r="612" spans="6:13">
      <c r="F612" s="118"/>
      <c r="G612" s="68"/>
      <c r="H612" s="99">
        <f>SUMIFS('Diversion and Disposal'!$BT$14:$BT$113,'Diversion and Disposal'!$BF$14:$BF$113,F612,'Diversion and Disposal'!$BG$14:$BG$113,'Data output'!G612,'Diversion and Disposal'!$BG$14:$BG$113,"&lt;&gt;Reduce")</f>
        <v>0</v>
      </c>
      <c r="K612" s="118"/>
      <c r="L612" s="68"/>
      <c r="M612" s="99"/>
    </row>
    <row r="613" spans="6:13">
      <c r="F613" s="118"/>
      <c r="G613" s="68"/>
      <c r="H613" s="99">
        <f>SUMIFS('Diversion and Disposal'!$BT$14:$BT$113,'Diversion and Disposal'!$BF$14:$BF$113,F613,'Diversion and Disposal'!$BG$14:$BG$113,'Data output'!G613,'Diversion and Disposal'!$BG$14:$BG$113,"&lt;&gt;Reduce")</f>
        <v>0</v>
      </c>
      <c r="K613" s="118"/>
      <c r="L613" s="68"/>
      <c r="M613" s="99"/>
    </row>
    <row r="614" spans="6:13">
      <c r="F614" s="118"/>
      <c r="G614" s="68"/>
      <c r="H614" s="99">
        <f>SUMIFS('Diversion and Disposal'!$BT$14:$BT$113,'Diversion and Disposal'!$BF$14:$BF$113,F614,'Diversion and Disposal'!$BG$14:$BG$113,'Data output'!G614,'Diversion and Disposal'!$BG$14:$BG$113,"&lt;&gt;Reduce")</f>
        <v>0</v>
      </c>
      <c r="K614" s="118"/>
      <c r="L614" s="68"/>
      <c r="M614" s="99"/>
    </row>
    <row r="615" spans="6:13">
      <c r="F615" s="118"/>
      <c r="G615" s="68"/>
      <c r="H615" s="99">
        <f>SUMIFS('Diversion and Disposal'!$BT$14:$BT$113,'Diversion and Disposal'!$BF$14:$BF$113,F615,'Diversion and Disposal'!$BG$14:$BG$113,'Data output'!G615,'Diversion and Disposal'!$BG$14:$BG$113,"&lt;&gt;Reduce")</f>
        <v>0</v>
      </c>
      <c r="K615" s="118"/>
      <c r="L615" s="68"/>
      <c r="M615" s="99"/>
    </row>
    <row r="616" spans="6:13">
      <c r="F616" s="118"/>
      <c r="G616" s="68"/>
      <c r="H616" s="99">
        <f>SUMIFS('Diversion and Disposal'!$BT$14:$BT$113,'Diversion and Disposal'!$BF$14:$BF$113,F616,'Diversion and Disposal'!$BG$14:$BG$113,'Data output'!G616,'Diversion and Disposal'!$BG$14:$BG$113,"&lt;&gt;Reduce")</f>
        <v>0</v>
      </c>
      <c r="K616" s="118"/>
      <c r="L616" s="68"/>
      <c r="M616" s="99"/>
    </row>
    <row r="617" spans="6:13">
      <c r="F617" s="118"/>
      <c r="G617" s="68"/>
      <c r="H617" s="99">
        <f>SUMIFS('Diversion and Disposal'!$BT$14:$BT$113,'Diversion and Disposal'!$BF$14:$BF$113,F617,'Diversion and Disposal'!$BG$14:$BG$113,'Data output'!G617,'Diversion and Disposal'!$BG$14:$BG$113,"&lt;&gt;Reduce")</f>
        <v>0</v>
      </c>
      <c r="K617" s="118"/>
      <c r="L617" s="68"/>
      <c r="M617" s="99"/>
    </row>
    <row r="618" spans="6:13">
      <c r="F618" s="16"/>
      <c r="G618" s="29"/>
    </row>
    <row r="619" spans="6:13">
      <c r="F619" s="16"/>
      <c r="G619" s="29"/>
    </row>
  </sheetData>
  <sheetProtection algorithmName="SHA-512" hashValue="2Nj0k46E5XLiqJcalPeKbs32EYLyeBgG6E9h18N0pG+TcOrKeSX3XfJTC3P/hfskHZ1crJ/0F24mbtbZ+sy5wQ==" saltValue="yalOHzSHneQ3VmqQAEuoPw==" spinCount="100000" sheet="1" selectLockedCells="1"/>
  <mergeCells count="44">
    <mergeCell ref="F78:G78"/>
    <mergeCell ref="F79:G79"/>
    <mergeCell ref="F70:G70"/>
    <mergeCell ref="F71:G71"/>
    <mergeCell ref="F72:G72"/>
    <mergeCell ref="F73:G73"/>
    <mergeCell ref="F76:I76"/>
    <mergeCell ref="F69:G69"/>
    <mergeCell ref="F67:I67"/>
    <mergeCell ref="F56:G56"/>
    <mergeCell ref="F63:G63"/>
    <mergeCell ref="F61:G61"/>
    <mergeCell ref="F62:G62"/>
    <mergeCell ref="F64:G64"/>
    <mergeCell ref="F21:G21"/>
    <mergeCell ref="F19:I19"/>
    <mergeCell ref="F22:G22"/>
    <mergeCell ref="F59:I59"/>
    <mergeCell ref="F53:I53"/>
    <mergeCell ref="F27:I27"/>
    <mergeCell ref="F46:G46"/>
    <mergeCell ref="F33:I33"/>
    <mergeCell ref="F35:G35"/>
    <mergeCell ref="F36:G36"/>
    <mergeCell ref="F37:G37"/>
    <mergeCell ref="F38:G38"/>
    <mergeCell ref="F41:I41"/>
    <mergeCell ref="F29:G29"/>
    <mergeCell ref="F30:G30"/>
    <mergeCell ref="F55:G55"/>
    <mergeCell ref="F80:G80"/>
    <mergeCell ref="F153:H153"/>
    <mergeCell ref="F87:G87"/>
    <mergeCell ref="F96:G96"/>
    <mergeCell ref="F97:G97"/>
    <mergeCell ref="F98:G98"/>
    <mergeCell ref="F94:G94"/>
    <mergeCell ref="F92:I92"/>
    <mergeCell ref="F114:K114"/>
    <mergeCell ref="F95:G95"/>
    <mergeCell ref="F86:G86"/>
    <mergeCell ref="F89:G89"/>
    <mergeCell ref="F85:G85"/>
    <mergeCell ref="F83:I8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5E8D0-6678-43C6-9E72-336275172993}">
  <sheetPr codeName="Sheet5">
    <tabColor theme="5"/>
  </sheetPr>
  <dimension ref="A1:AK1097"/>
  <sheetViews>
    <sheetView topLeftCell="A5" zoomScaleNormal="100" workbookViewId="0"/>
  </sheetViews>
  <sheetFormatPr defaultRowHeight="14.4"/>
  <cols>
    <col min="1" max="1" width="1.5546875" customWidth="1"/>
    <col min="2" max="3" width="26.44140625" customWidth="1"/>
    <col min="6" max="6" width="11.5546875" customWidth="1"/>
    <col min="7" max="8" width="22.5546875" customWidth="1"/>
    <col min="9" max="9" width="19.5546875" customWidth="1"/>
    <col min="10" max="17" width="18.5546875" customWidth="1"/>
    <col min="18" max="18" width="17.5546875" customWidth="1"/>
    <col min="19" max="19" width="10.44140625" customWidth="1"/>
    <col min="20" max="20" width="8.5546875" customWidth="1"/>
    <col min="21" max="24" width="22.5546875" customWidth="1"/>
    <col min="25" max="25" width="18.21875" bestFit="1" customWidth="1"/>
    <col min="26" max="26" width="19.44140625" customWidth="1"/>
    <col min="27" max="27" width="15.5546875" bestFit="1" customWidth="1"/>
    <col min="28" max="28" width="22.44140625" customWidth="1"/>
    <col min="29" max="29" width="29.44140625" customWidth="1"/>
    <col min="30" max="30" width="27.44140625" customWidth="1"/>
    <col min="31" max="31" width="16.5546875" customWidth="1"/>
    <col min="33" max="33" width="18.77734375" customWidth="1"/>
    <col min="35" max="37" width="8.77734375" bestFit="1" customWidth="1"/>
  </cols>
  <sheetData>
    <row r="1" spans="1:37">
      <c r="A1" s="1" t="s">
        <v>423</v>
      </c>
      <c r="G1" s="26"/>
      <c r="H1" s="26"/>
      <c r="I1" s="26"/>
      <c r="J1" s="26"/>
      <c r="K1" s="26"/>
      <c r="L1" s="27" t="s">
        <v>10144</v>
      </c>
      <c r="M1" s="26"/>
    </row>
    <row r="2" spans="1:37">
      <c r="B2" s="1" t="s">
        <v>16</v>
      </c>
      <c r="C2" s="17" t="s">
        <v>496</v>
      </c>
      <c r="G2" s="26"/>
      <c r="H2" s="26"/>
      <c r="I2" s="26"/>
      <c r="J2" s="26"/>
      <c r="K2" s="26"/>
      <c r="L2" s="662" t="s">
        <v>10151</v>
      </c>
      <c r="M2" s="662"/>
      <c r="N2" s="662"/>
      <c r="O2" s="662"/>
      <c r="P2" s="662"/>
      <c r="Q2" s="662"/>
      <c r="R2" s="662"/>
    </row>
    <row r="3" spans="1:37" ht="57.6">
      <c r="B3" s="17" t="str" cm="1">
        <f t="array" ref="B3:B6">_xlfn.LET(_xlpm.x,E:E,_xlfn._xlws.FILTER(_xlpm.x,_xlpm.x&lt;&gt;"",""))</f>
        <v>Factor List ranges</v>
      </c>
      <c r="C3" s="1" t="str">
        <f>IFERROR(ADDRESS(MATCH(B3,$E:$E,0),5),"No entry")</f>
        <v>$E$3</v>
      </c>
      <c r="E3" s="1" t="s">
        <v>497</v>
      </c>
      <c r="F3" s="1"/>
      <c r="G3" s="26"/>
      <c r="H3" s="26"/>
      <c r="I3" s="161" t="s">
        <v>498</v>
      </c>
      <c r="J3" s="161" t="s">
        <v>10174</v>
      </c>
      <c r="K3" s="346">
        <v>46296</v>
      </c>
      <c r="L3" s="662"/>
      <c r="M3" s="662"/>
      <c r="N3" s="662"/>
      <c r="O3" s="662"/>
      <c r="P3" s="662"/>
      <c r="Q3" s="662"/>
      <c r="R3" s="662"/>
    </row>
    <row r="4" spans="1:37">
      <c r="B4" s="17" t="str">
        <v>Full Material List</v>
      </c>
      <c r="C4" s="1" t="str">
        <f>IFERROR(ADDRESS(MATCH(B4,$E:$E,0),5),"No entry")</f>
        <v>$E$14</v>
      </c>
      <c r="E4" s="1"/>
      <c r="F4" s="1"/>
      <c r="G4" s="26" t="s">
        <v>16</v>
      </c>
      <c r="H4" s="26" t="s">
        <v>499</v>
      </c>
      <c r="I4" s="26" t="s">
        <v>500</v>
      </c>
      <c r="J4" s="26"/>
      <c r="K4" s="345"/>
      <c r="L4" s="662"/>
      <c r="M4" s="662"/>
      <c r="N4" s="662"/>
      <c r="O4" s="662"/>
      <c r="P4" s="662"/>
      <c r="Q4" s="662"/>
      <c r="R4" s="662"/>
    </row>
    <row r="5" spans="1:37" ht="28.8">
      <c r="B5" s="1" t="str">
        <v>Waste Handling Options</v>
      </c>
      <c r="C5" s="1" t="str">
        <f>IFERROR(ADDRESS(MATCH(B5,$E:$E,0),5),"No entry")</f>
        <v>$E$949</v>
      </c>
      <c r="G5" s="17" t="s">
        <v>501</v>
      </c>
      <c r="H5" s="41">
        <f>COUNTA(tblGWP[Material Subcategory])</f>
        <v>927</v>
      </c>
      <c r="I5" s="41">
        <v>927</v>
      </c>
      <c r="L5" s="662"/>
      <c r="M5" s="662"/>
      <c r="N5" s="662"/>
      <c r="O5" s="662"/>
      <c r="P5" s="662"/>
      <c r="Q5" s="662"/>
      <c r="R5" s="662"/>
    </row>
    <row r="6" spans="1:37" ht="18">
      <c r="B6" s="1" t="str">
        <v>Default Material Types</v>
      </c>
      <c r="C6" s="1" t="str">
        <f>IFERROR(ADDRESS(MATCH(B6,$E:$E,0),5),"No entry")</f>
        <v>$E$1038</v>
      </c>
      <c r="G6" s="17" t="s">
        <v>502</v>
      </c>
      <c r="H6" t="str">
        <f>_xlfn.CONCAT("Factors!",ADDRESS(ROW(F17),COLUMN(F17)),":",ADDRESS(ROW(F17)+H5-1,COLUMN(R15)))</f>
        <v>Factors!$F$17:$R$943</v>
      </c>
      <c r="I6" s="41" t="s">
        <v>10171</v>
      </c>
      <c r="J6" s="43"/>
      <c r="L6" s="662"/>
      <c r="M6" s="662"/>
      <c r="N6" s="662"/>
      <c r="O6" s="662"/>
      <c r="P6" s="662"/>
      <c r="Q6" s="662"/>
      <c r="R6" s="662"/>
    </row>
    <row r="7" spans="1:37" ht="57.6">
      <c r="B7" s="1"/>
      <c r="C7" s="1"/>
      <c r="G7" s="17" t="s">
        <v>503</v>
      </c>
      <c r="H7" s="1">
        <f>COUNTA(ls_Mat)</f>
        <v>72</v>
      </c>
      <c r="I7" s="1">
        <v>72</v>
      </c>
      <c r="J7" s="1"/>
    </row>
    <row r="8" spans="1:37" ht="28.8">
      <c r="B8" s="1"/>
      <c r="C8" s="1"/>
      <c r="G8" s="44" t="s">
        <v>504</v>
      </c>
      <c r="H8">
        <f>ROW(G952)</f>
        <v>952</v>
      </c>
      <c r="I8">
        <v>952</v>
      </c>
      <c r="L8" t="s">
        <v>10145</v>
      </c>
    </row>
    <row r="9" spans="1:37" ht="28.8">
      <c r="B9" s="1"/>
      <c r="C9" s="1"/>
      <c r="G9" s="44" t="s">
        <v>505</v>
      </c>
      <c r="H9">
        <f>H8+H7-1</f>
        <v>1023</v>
      </c>
      <c r="I9">
        <v>1023</v>
      </c>
      <c r="L9" t="s">
        <v>10146</v>
      </c>
    </row>
    <row r="10" spans="1:37">
      <c r="B10" s="1"/>
      <c r="C10" s="1"/>
      <c r="G10" s="44" t="s">
        <v>506</v>
      </c>
      <c r="H10" t="str">
        <f>_xlfn.CONCAT("Factors!",ADDRESS(H8,COLUMN(J21)),":",ADDRESS(H9,COLUMN(Q19)))</f>
        <v>Factors!$J$952:$Q$1023</v>
      </c>
      <c r="I10" t="s">
        <v>10172</v>
      </c>
      <c r="L10" t="s">
        <v>10147</v>
      </c>
    </row>
    <row r="11" spans="1:37">
      <c r="B11" s="1"/>
      <c r="C11" s="1"/>
      <c r="G11" s="44" t="s">
        <v>507</v>
      </c>
      <c r="H11" t="str">
        <f>_xlfn.CONCAT("Factors!",ADDRESS(H8,COLUMN(H21)),":",ADDRESS(H9,COLUMN(H21)))</f>
        <v>Factors!$H$952:$H$1023</v>
      </c>
      <c r="I11" t="s">
        <v>10173</v>
      </c>
      <c r="L11" t="s">
        <v>10175</v>
      </c>
    </row>
    <row r="12" spans="1:37">
      <c r="B12" s="1"/>
      <c r="C12" s="1"/>
    </row>
    <row r="13" spans="1:37">
      <c r="B13" s="1"/>
      <c r="C13" s="1"/>
      <c r="G13" s="44"/>
    </row>
    <row r="14" spans="1:37">
      <c r="B14" s="1"/>
      <c r="C14" s="1"/>
      <c r="E14" s="1" t="s">
        <v>508</v>
      </c>
      <c r="G14" s="44"/>
    </row>
    <row r="15" spans="1:37">
      <c r="B15" s="1"/>
      <c r="F15" s="24" t="s">
        <v>509</v>
      </c>
      <c r="G15" s="26"/>
      <c r="H15" s="26"/>
      <c r="T15" s="1" t="s">
        <v>510</v>
      </c>
      <c r="Y15" t="s">
        <v>511</v>
      </c>
      <c r="Z15" t="s">
        <v>512</v>
      </c>
    </row>
    <row r="16" spans="1:37" ht="43.2">
      <c r="B16" s="1"/>
      <c r="F16" s="50" t="s">
        <v>316</v>
      </c>
      <c r="G16" s="50" t="s">
        <v>223</v>
      </c>
      <c r="H16" s="54" t="s">
        <v>224</v>
      </c>
      <c r="I16" s="54" t="s">
        <v>201</v>
      </c>
      <c r="J16" s="54" t="s">
        <v>202</v>
      </c>
      <c r="K16" s="54" t="s">
        <v>234</v>
      </c>
      <c r="L16" s="54" t="s">
        <v>236</v>
      </c>
      <c r="M16" s="54" t="s">
        <v>244</v>
      </c>
      <c r="N16" s="54" t="s">
        <v>241</v>
      </c>
      <c r="O16" s="54" t="s">
        <v>255</v>
      </c>
      <c r="P16" s="54" t="s">
        <v>235</v>
      </c>
      <c r="Q16" s="54" t="s">
        <v>513</v>
      </c>
      <c r="R16" s="55" t="s">
        <v>397</v>
      </c>
      <c r="T16" s="55" t="s">
        <v>316</v>
      </c>
      <c r="U16" s="55" t="s">
        <v>223</v>
      </c>
      <c r="V16" s="55" t="s">
        <v>224</v>
      </c>
      <c r="W16" s="55" t="s">
        <v>201</v>
      </c>
      <c r="X16" s="55" t="s">
        <v>202</v>
      </c>
      <c r="Y16" s="52" t="s">
        <v>514</v>
      </c>
      <c r="Z16" s="146" t="s">
        <v>515</v>
      </c>
      <c r="AB16" s="4" t="s">
        <v>516</v>
      </c>
      <c r="AC16" s="4" t="s">
        <v>517</v>
      </c>
      <c r="AD16" s="4" t="s">
        <v>518</v>
      </c>
      <c r="AE16" s="4" t="s">
        <v>519</v>
      </c>
      <c r="AF16" s="4" t="s">
        <v>520</v>
      </c>
      <c r="AG16" s="4" t="s">
        <v>521</v>
      </c>
      <c r="AI16" s="167" t="s">
        <v>522</v>
      </c>
      <c r="AJ16" t="s">
        <v>523</v>
      </c>
      <c r="AK16" s="44"/>
    </row>
    <row r="17" spans="2:33" ht="28.8">
      <c r="B17" s="1"/>
      <c r="F17" s="137">
        <v>1</v>
      </c>
      <c r="G17" s="137" t="s">
        <v>233</v>
      </c>
      <c r="H17" s="136" t="s">
        <v>10178</v>
      </c>
      <c r="I17" s="136" t="s">
        <v>524</v>
      </c>
      <c r="J17" s="136" t="s">
        <v>203</v>
      </c>
      <c r="K17" s="191">
        <v>0</v>
      </c>
      <c r="L17" s="191">
        <v>-0.13905086666666666</v>
      </c>
      <c r="M17" s="191">
        <v>0</v>
      </c>
      <c r="N17" s="191">
        <v>-1.4457032923644069</v>
      </c>
      <c r="O17" s="191">
        <v>-2.0492481362116273</v>
      </c>
      <c r="P17" s="191">
        <v>-1.0025628690827271</v>
      </c>
      <c r="Q17" s="191">
        <v>-0.88215315599304789</v>
      </c>
      <c r="R17" s="191">
        <v>3.3141393988636712E-2</v>
      </c>
      <c r="T17" s="46">
        <v>1</v>
      </c>
      <c r="U17" s="53"/>
      <c r="V17" s="47"/>
      <c r="W17" s="47" t="s">
        <v>524</v>
      </c>
      <c r="X17" s="47" t="s">
        <v>203</v>
      </c>
      <c r="Y17" s="58" t="s">
        <v>525</v>
      </c>
      <c r="Z17" s="192" t="s">
        <v>525</v>
      </c>
      <c r="AB17" s="126"/>
      <c r="AC17" s="126"/>
      <c r="AD17" s="3"/>
      <c r="AE17" s="23"/>
      <c r="AF17" s="3"/>
      <c r="AG17" s="3"/>
    </row>
    <row r="18" spans="2:33" ht="28.8">
      <c r="B18" s="1"/>
      <c r="F18" s="137">
        <v>1</v>
      </c>
      <c r="G18" s="137" t="s">
        <v>233</v>
      </c>
      <c r="H18" s="136" t="s">
        <v>250</v>
      </c>
      <c r="I18" s="136" t="s">
        <v>524</v>
      </c>
      <c r="J18" s="136" t="s">
        <v>203</v>
      </c>
      <c r="K18" s="191">
        <v>0</v>
      </c>
      <c r="L18" s="191">
        <v>0</v>
      </c>
      <c r="M18" s="191">
        <v>0</v>
      </c>
      <c r="N18" s="191">
        <v>-1.7442016291342965</v>
      </c>
      <c r="O18" s="191">
        <v>-2.1492900679710245</v>
      </c>
      <c r="P18" s="191">
        <v>-1.0218667750242141</v>
      </c>
      <c r="Q18" s="191">
        <v>-0.94503634720448815</v>
      </c>
      <c r="R18" s="191">
        <v>2.8432406050740187E-2</v>
      </c>
      <c r="T18" s="46">
        <v>1</v>
      </c>
      <c r="U18" s="53"/>
      <c r="V18" s="47"/>
      <c r="W18" s="47" t="s">
        <v>524</v>
      </c>
      <c r="X18" s="47" t="s">
        <v>203</v>
      </c>
      <c r="Y18" s="58" t="s">
        <v>525</v>
      </c>
      <c r="Z18" s="192" t="s">
        <v>525</v>
      </c>
      <c r="AB18" s="3"/>
      <c r="AC18" s="3"/>
      <c r="AD18" s="3"/>
      <c r="AE18" s="23"/>
      <c r="AF18" s="3"/>
      <c r="AG18" s="3"/>
    </row>
    <row r="19" spans="2:33" ht="28.8">
      <c r="B19" s="1"/>
      <c r="F19" s="137">
        <v>1</v>
      </c>
      <c r="G19" s="137" t="s">
        <v>233</v>
      </c>
      <c r="H19" s="136" t="s">
        <v>249</v>
      </c>
      <c r="I19" s="136" t="s">
        <v>524</v>
      </c>
      <c r="J19" s="136" t="s">
        <v>203</v>
      </c>
      <c r="K19" s="191">
        <v>0</v>
      </c>
      <c r="L19" s="191">
        <v>0</v>
      </c>
      <c r="M19" s="191">
        <v>0</v>
      </c>
      <c r="N19" s="191">
        <v>-0.54324565921076096</v>
      </c>
      <c r="O19" s="191">
        <v>-0.74429362559926537</v>
      </c>
      <c r="P19" s="191">
        <v>5.0853166296821364E-2</v>
      </c>
      <c r="Q19" s="191">
        <v>-0.20032639562564444</v>
      </c>
      <c r="R19" s="191">
        <v>2.5753561484204924E-2</v>
      </c>
      <c r="T19" s="46">
        <v>1</v>
      </c>
      <c r="U19" s="53"/>
      <c r="V19" s="47"/>
      <c r="W19" s="47" t="s">
        <v>524</v>
      </c>
      <c r="X19" s="47" t="s">
        <v>203</v>
      </c>
      <c r="Y19" s="58" t="s">
        <v>525</v>
      </c>
      <c r="Z19" s="192" t="s">
        <v>525</v>
      </c>
      <c r="AB19" s="3"/>
      <c r="AC19" s="3"/>
      <c r="AD19" s="3"/>
      <c r="AE19" s="23"/>
      <c r="AF19" s="3"/>
      <c r="AG19" s="3"/>
    </row>
    <row r="20" spans="2:33" ht="28.8">
      <c r="B20" s="1"/>
      <c r="F20" s="137">
        <v>1</v>
      </c>
      <c r="G20" s="137" t="s">
        <v>233</v>
      </c>
      <c r="H20" s="136" t="s">
        <v>273</v>
      </c>
      <c r="I20" s="136" t="s">
        <v>524</v>
      </c>
      <c r="J20" s="136" t="s">
        <v>203</v>
      </c>
      <c r="K20" s="191">
        <v>0</v>
      </c>
      <c r="L20" s="191">
        <v>0</v>
      </c>
      <c r="M20" s="191">
        <v>0</v>
      </c>
      <c r="N20" s="191">
        <v>-1.6470230578256588</v>
      </c>
      <c r="O20" s="191">
        <v>-2.0995747918607091</v>
      </c>
      <c r="P20" s="191">
        <v>-0.7990619932617421</v>
      </c>
      <c r="Q20" s="191">
        <v>-0.91787147076802933</v>
      </c>
      <c r="R20" s="191">
        <v>2.720848183037728E-2</v>
      </c>
      <c r="T20" s="46">
        <v>1</v>
      </c>
      <c r="U20" s="53"/>
      <c r="V20" s="47"/>
      <c r="W20" s="47" t="s">
        <v>524</v>
      </c>
      <c r="X20" s="47" t="s">
        <v>203</v>
      </c>
      <c r="Y20" s="58" t="s">
        <v>525</v>
      </c>
      <c r="Z20" s="192" t="s">
        <v>525</v>
      </c>
      <c r="AB20" s="3" t="s">
        <v>526</v>
      </c>
      <c r="AC20" s="125">
        <v>0.77500000000000002</v>
      </c>
      <c r="AD20" s="3">
        <v>0</v>
      </c>
      <c r="AE20" s="23" t="s">
        <v>527</v>
      </c>
      <c r="AF20" s="3"/>
      <c r="AG20" s="3"/>
    </row>
    <row r="21" spans="2:33">
      <c r="B21" s="1"/>
      <c r="F21" s="137">
        <v>1</v>
      </c>
      <c r="G21" s="137" t="s">
        <v>233</v>
      </c>
      <c r="H21" s="136" t="s">
        <v>330</v>
      </c>
      <c r="I21" s="136" t="s">
        <v>524</v>
      </c>
      <c r="J21" s="136" t="s">
        <v>203</v>
      </c>
      <c r="K21" s="191">
        <v>-0.14119999999999999</v>
      </c>
      <c r="L21" s="191">
        <v>-0.1076582</v>
      </c>
      <c r="M21" s="191">
        <v>0</v>
      </c>
      <c r="N21" s="191">
        <v>0</v>
      </c>
      <c r="O21" s="191">
        <v>0</v>
      </c>
      <c r="P21" s="191">
        <v>-1.4791678335593277</v>
      </c>
      <c r="Q21" s="191">
        <v>-1.0684353077910853</v>
      </c>
      <c r="R21" s="191">
        <v>5.3036552208542455E-2</v>
      </c>
      <c r="T21" s="46">
        <v>1</v>
      </c>
      <c r="U21" s="53" t="s">
        <v>330</v>
      </c>
      <c r="V21" s="47" t="s">
        <v>330</v>
      </c>
      <c r="W21" s="47" t="s">
        <v>524</v>
      </c>
      <c r="X21" s="47" t="s">
        <v>203</v>
      </c>
      <c r="Y21" s="58">
        <v>0.14119999999999999</v>
      </c>
      <c r="Z21" s="192">
        <v>0.43014000000000002</v>
      </c>
      <c r="AB21" s="3" t="s">
        <v>526</v>
      </c>
      <c r="AC21" s="125">
        <v>0.77500000000000002</v>
      </c>
      <c r="AD21" s="3">
        <v>0</v>
      </c>
      <c r="AE21" s="23" t="s">
        <v>527</v>
      </c>
      <c r="AF21" s="3"/>
      <c r="AG21" s="3"/>
    </row>
    <row r="22" spans="2:33">
      <c r="B22" s="1"/>
      <c r="F22" s="137">
        <v>1</v>
      </c>
      <c r="G22" s="137" t="s">
        <v>233</v>
      </c>
      <c r="H22" s="136" t="s">
        <v>335</v>
      </c>
      <c r="I22" s="136" t="s">
        <v>524</v>
      </c>
      <c r="J22" s="136" t="s">
        <v>203</v>
      </c>
      <c r="K22" s="191">
        <v>-0.26272000000000001</v>
      </c>
      <c r="L22" s="191">
        <v>-0.20183620000000002</v>
      </c>
      <c r="M22" s="191">
        <v>0</v>
      </c>
      <c r="N22" s="191">
        <v>-1.6470230578256588</v>
      </c>
      <c r="O22" s="191">
        <v>-2.6265410978135688</v>
      </c>
      <c r="P22" s="191">
        <v>-1.38306688947395</v>
      </c>
      <c r="Q22" s="191">
        <v>-1.0806247072845201</v>
      </c>
      <c r="R22" s="191">
        <v>3.2208681178977711E-2</v>
      </c>
      <c r="T22" s="46">
        <v>1</v>
      </c>
      <c r="U22" s="53" t="s">
        <v>330</v>
      </c>
      <c r="V22" s="47" t="s">
        <v>335</v>
      </c>
      <c r="W22" s="47" t="s">
        <v>524</v>
      </c>
      <c r="X22" s="47" t="s">
        <v>203</v>
      </c>
      <c r="Y22" s="58">
        <v>0.26272000000000001</v>
      </c>
      <c r="Z22" s="192">
        <v>0.43014000000000002</v>
      </c>
      <c r="AB22" s="3" t="s">
        <v>526</v>
      </c>
      <c r="AC22" s="125">
        <v>0.77500000000000002</v>
      </c>
      <c r="AD22" s="3">
        <v>0</v>
      </c>
      <c r="AE22" s="23" t="s">
        <v>527</v>
      </c>
      <c r="AF22" s="3"/>
      <c r="AG22" s="3"/>
    </row>
    <row r="23" spans="2:33">
      <c r="B23" s="1"/>
      <c r="F23" s="137">
        <v>1</v>
      </c>
      <c r="G23" s="137" t="s">
        <v>233</v>
      </c>
      <c r="H23" s="136" t="s">
        <v>326</v>
      </c>
      <c r="I23" s="136" t="s">
        <v>524</v>
      </c>
      <c r="J23" s="136" t="s">
        <v>203</v>
      </c>
      <c r="K23" s="191">
        <v>-0.14119999999999999</v>
      </c>
      <c r="L23" s="191">
        <v>-0.1076582</v>
      </c>
      <c r="M23" s="191">
        <v>0</v>
      </c>
      <c r="N23" s="191">
        <v>-1.6470230578256588</v>
      </c>
      <c r="O23" s="191">
        <v>-2.6265410978135688</v>
      </c>
      <c r="P23" s="191">
        <v>-1.38306688947395</v>
      </c>
      <c r="Q23" s="191">
        <v>-1.0806247072845201</v>
      </c>
      <c r="R23" s="191">
        <v>3.2208681178977711E-2</v>
      </c>
      <c r="T23" s="46">
        <v>1</v>
      </c>
      <c r="U23" s="53" t="s">
        <v>330</v>
      </c>
      <c r="V23" s="47" t="s">
        <v>326</v>
      </c>
      <c r="W23" s="47" t="s">
        <v>524</v>
      </c>
      <c r="X23" s="47" t="s">
        <v>203</v>
      </c>
      <c r="Y23" s="58">
        <v>0.14119999999999999</v>
      </c>
      <c r="Z23" s="192">
        <v>0.43014000000000002</v>
      </c>
      <c r="AB23" s="3" t="s">
        <v>526</v>
      </c>
      <c r="AC23" s="83">
        <v>0.5</v>
      </c>
      <c r="AD23" s="3">
        <v>0</v>
      </c>
      <c r="AE23" s="23" t="s">
        <v>528</v>
      </c>
      <c r="AF23" s="3"/>
      <c r="AG23" s="3"/>
    </row>
    <row r="24" spans="2:33">
      <c r="B24" s="1"/>
      <c r="F24" s="137">
        <v>1</v>
      </c>
      <c r="G24" s="137" t="s">
        <v>261</v>
      </c>
      <c r="H24" s="136" t="s">
        <v>10179</v>
      </c>
      <c r="I24" s="136" t="s">
        <v>524</v>
      </c>
      <c r="J24" s="136" t="s">
        <v>203</v>
      </c>
      <c r="K24" s="191">
        <v>-4.72241</v>
      </c>
      <c r="L24" s="191">
        <v>-2.3594331999999998</v>
      </c>
      <c r="M24" s="191">
        <v>0</v>
      </c>
      <c r="N24" s="191">
        <v>-0.36333970432942508</v>
      </c>
      <c r="O24" s="191">
        <v>-0.59770780645320598</v>
      </c>
      <c r="P24" s="191">
        <v>0.16493754829677582</v>
      </c>
      <c r="Q24" s="191">
        <v>-0.18481456261112406</v>
      </c>
      <c r="R24" s="191">
        <v>2.5406941114668E-2</v>
      </c>
      <c r="T24" s="46">
        <v>1</v>
      </c>
      <c r="U24" s="53" t="s">
        <v>529</v>
      </c>
      <c r="V24" s="47" t="s">
        <v>529</v>
      </c>
      <c r="W24" s="47" t="s">
        <v>524</v>
      </c>
      <c r="X24" s="47" t="s">
        <v>203</v>
      </c>
      <c r="Y24" s="58">
        <v>4.72241</v>
      </c>
      <c r="Z24" s="192">
        <v>1.758</v>
      </c>
      <c r="AB24" s="3" t="s">
        <v>526</v>
      </c>
      <c r="AC24" s="83">
        <v>0.5</v>
      </c>
      <c r="AD24" s="3">
        <v>0</v>
      </c>
      <c r="AE24" s="23" t="s">
        <v>528</v>
      </c>
      <c r="AF24" s="3"/>
      <c r="AG24" s="3"/>
    </row>
    <row r="25" spans="2:33" ht="28.8">
      <c r="F25" s="137">
        <v>1</v>
      </c>
      <c r="G25" s="137" t="s">
        <v>261</v>
      </c>
      <c r="H25" s="136" t="s">
        <v>269</v>
      </c>
      <c r="I25" s="136" t="s">
        <v>524</v>
      </c>
      <c r="J25" s="136" t="s">
        <v>203</v>
      </c>
      <c r="K25" s="191">
        <v>-0.25034000000000001</v>
      </c>
      <c r="L25" s="191">
        <v>-0.1233982</v>
      </c>
      <c r="M25" s="191">
        <v>0</v>
      </c>
      <c r="N25" s="191">
        <v>-0.30329904885507891</v>
      </c>
      <c r="O25" s="191">
        <v>-0.50710695117458426</v>
      </c>
      <c r="P25" s="191">
        <v>0.19475852015457942</v>
      </c>
      <c r="Q25" s="191">
        <v>-0.12793727439152991</v>
      </c>
      <c r="R25" s="191">
        <v>2.5084794741041635E-2</v>
      </c>
      <c r="T25" s="46">
        <v>1</v>
      </c>
      <c r="U25" s="53" t="s">
        <v>529</v>
      </c>
      <c r="V25" s="47" t="s">
        <v>327</v>
      </c>
      <c r="W25" s="47" t="s">
        <v>524</v>
      </c>
      <c r="X25" s="47" t="s">
        <v>203</v>
      </c>
      <c r="Y25" s="58">
        <v>0.25034000000000001</v>
      </c>
      <c r="Z25" s="192">
        <v>0.99672000000000005</v>
      </c>
      <c r="AB25" s="3"/>
      <c r="AC25" s="3"/>
      <c r="AD25" s="3"/>
      <c r="AE25" s="23"/>
      <c r="AF25" s="3"/>
      <c r="AG25" s="3"/>
    </row>
    <row r="26" spans="2:33" ht="28.8">
      <c r="F26" s="137">
        <v>1</v>
      </c>
      <c r="G26" s="137" t="s">
        <v>261</v>
      </c>
      <c r="H26" s="136" t="s">
        <v>530</v>
      </c>
      <c r="I26" s="136" t="s">
        <v>524</v>
      </c>
      <c r="J26" s="136" t="s">
        <v>203</v>
      </c>
      <c r="K26" s="191">
        <v>-9.1944800000000004</v>
      </c>
      <c r="L26" s="191">
        <v>-4.5954682</v>
      </c>
      <c r="M26" s="191">
        <v>0</v>
      </c>
      <c r="N26" s="191">
        <v>-0.42338035980377131</v>
      </c>
      <c r="O26" s="191">
        <v>-0.68830866173182781</v>
      </c>
      <c r="P26" s="191">
        <v>0.13511657643897224</v>
      </c>
      <c r="Q26" s="191">
        <v>-0.24169185083071826</v>
      </c>
      <c r="R26" s="191">
        <v>2.5729087488294364E-2</v>
      </c>
      <c r="T26" s="46">
        <v>1</v>
      </c>
      <c r="U26" s="53" t="s">
        <v>529</v>
      </c>
      <c r="V26" s="47" t="s">
        <v>331</v>
      </c>
      <c r="W26" s="47" t="s">
        <v>524</v>
      </c>
      <c r="X26" s="47" t="s">
        <v>203</v>
      </c>
      <c r="Y26" s="58">
        <v>9.1944800000000004</v>
      </c>
      <c r="Z26" s="192">
        <v>2.5192800000000002</v>
      </c>
      <c r="AB26" s="3" t="s">
        <v>526</v>
      </c>
      <c r="AC26" s="125">
        <v>0.77500000000000002</v>
      </c>
      <c r="AD26" s="3">
        <v>8.1306407300000008E-2</v>
      </c>
      <c r="AE26" s="23" t="s">
        <v>531</v>
      </c>
      <c r="AF26" s="3" t="s">
        <v>526</v>
      </c>
      <c r="AG26" s="83">
        <v>0.85</v>
      </c>
    </row>
    <row r="27" spans="2:33">
      <c r="F27" s="137">
        <v>1</v>
      </c>
      <c r="G27" s="137" t="s">
        <v>261</v>
      </c>
      <c r="H27" s="136" t="s">
        <v>262</v>
      </c>
      <c r="I27" s="136" t="s">
        <v>524</v>
      </c>
      <c r="J27" s="136" t="s">
        <v>203</v>
      </c>
      <c r="K27" s="191">
        <v>-2.5034000000000001</v>
      </c>
      <c r="L27" s="191">
        <v>0</v>
      </c>
      <c r="M27" s="191">
        <v>0</v>
      </c>
      <c r="N27" s="191">
        <v>-0.42338035980377131</v>
      </c>
      <c r="O27" s="191">
        <v>-0.68830866173182781</v>
      </c>
      <c r="P27" s="191">
        <v>0.13511657643897224</v>
      </c>
      <c r="Q27" s="191">
        <v>-0.24169185083071826</v>
      </c>
      <c r="R27" s="191">
        <v>2.5729087488294364E-2</v>
      </c>
      <c r="T27" s="46">
        <v>1</v>
      </c>
      <c r="U27" s="53" t="s">
        <v>529</v>
      </c>
      <c r="V27" s="47" t="s">
        <v>332</v>
      </c>
      <c r="W27" s="47" t="s">
        <v>524</v>
      </c>
      <c r="X27" s="47" t="s">
        <v>203</v>
      </c>
      <c r="Y27" s="58">
        <v>2.5034000000000001</v>
      </c>
      <c r="Z27" s="192">
        <v>1.0183800000000001</v>
      </c>
      <c r="AB27" s="3" t="s">
        <v>526</v>
      </c>
      <c r="AC27" s="125">
        <v>0.77500000000000002</v>
      </c>
      <c r="AD27" s="3">
        <v>8.1306407300000008E-2</v>
      </c>
      <c r="AE27" s="23" t="s">
        <v>531</v>
      </c>
      <c r="AF27" s="3" t="s">
        <v>526</v>
      </c>
      <c r="AG27" s="83">
        <v>0.7</v>
      </c>
    </row>
    <row r="28" spans="2:33">
      <c r="F28" s="137">
        <v>1</v>
      </c>
      <c r="G28" s="137" t="s">
        <v>252</v>
      </c>
      <c r="H28" s="136" t="s">
        <v>10180</v>
      </c>
      <c r="I28" s="136" t="s">
        <v>524</v>
      </c>
      <c r="J28" s="136" t="s">
        <v>203</v>
      </c>
      <c r="K28" s="191">
        <v>-2.0953266666666663</v>
      </c>
      <c r="L28" s="191">
        <v>-1.5407999593666664</v>
      </c>
      <c r="M28" s="191">
        <v>-4.4029413122431871</v>
      </c>
      <c r="N28" s="191">
        <v>0</v>
      </c>
      <c r="O28" s="191">
        <v>0</v>
      </c>
      <c r="P28" s="191">
        <v>2.6028899631859132E-2</v>
      </c>
      <c r="Q28" s="191">
        <v>0.56977298272817556</v>
      </c>
      <c r="R28" s="191">
        <v>2.1870253230519587</v>
      </c>
      <c r="T28" s="46">
        <v>1</v>
      </c>
      <c r="U28" s="53" t="s">
        <v>252</v>
      </c>
      <c r="V28" s="47" t="s">
        <v>252</v>
      </c>
      <c r="W28" s="47" t="s">
        <v>524</v>
      </c>
      <c r="X28" s="47" t="s">
        <v>203</v>
      </c>
      <c r="Y28" s="58">
        <v>2.0953266666666663</v>
      </c>
      <c r="Z28" s="192">
        <v>1.77911</v>
      </c>
      <c r="AB28" s="3"/>
      <c r="AC28" s="3"/>
      <c r="AD28" s="3"/>
      <c r="AE28" s="23"/>
      <c r="AF28" s="3" t="s">
        <v>526</v>
      </c>
      <c r="AG28" s="83">
        <v>0.8</v>
      </c>
    </row>
    <row r="29" spans="2:33" ht="57.6">
      <c r="F29" s="137">
        <v>1</v>
      </c>
      <c r="G29" s="137" t="s">
        <v>252</v>
      </c>
      <c r="H29" s="136" t="s">
        <v>10163</v>
      </c>
      <c r="I29" s="136" t="s">
        <v>524</v>
      </c>
      <c r="J29" s="136" t="s">
        <v>203</v>
      </c>
      <c r="K29" s="191">
        <v>-2.04928</v>
      </c>
      <c r="L29" s="191">
        <v>0</v>
      </c>
      <c r="M29" s="191">
        <v>-3.8565406332079442</v>
      </c>
      <c r="N29" s="191">
        <v>0</v>
      </c>
      <c r="O29" s="191">
        <v>0</v>
      </c>
      <c r="P29" s="191">
        <v>2.6028896620911176E-2</v>
      </c>
      <c r="Q29" s="191">
        <v>0.39268567418861661</v>
      </c>
      <c r="R29" s="191">
        <v>3.1831778029161137</v>
      </c>
      <c r="T29" s="46">
        <v>1</v>
      </c>
      <c r="U29" s="53" t="s">
        <v>252</v>
      </c>
      <c r="V29" s="47" t="s">
        <v>253</v>
      </c>
      <c r="W29" s="47" t="s">
        <v>524</v>
      </c>
      <c r="X29" s="47" t="s">
        <v>203</v>
      </c>
      <c r="Y29" s="58">
        <v>2.04928</v>
      </c>
      <c r="Z29" s="192">
        <v>1.77911</v>
      </c>
      <c r="AB29" s="3" t="s">
        <v>526</v>
      </c>
      <c r="AC29" s="125">
        <v>0.77500000000000002</v>
      </c>
      <c r="AD29" s="3">
        <v>8.1306407300000008E-2</v>
      </c>
      <c r="AE29" s="23" t="s">
        <v>531</v>
      </c>
      <c r="AF29" s="3" t="s">
        <v>526</v>
      </c>
      <c r="AG29" s="83">
        <v>0.7</v>
      </c>
    </row>
    <row r="30" spans="2:33" ht="28.8">
      <c r="F30" s="137">
        <v>1</v>
      </c>
      <c r="G30" s="137" t="s">
        <v>252</v>
      </c>
      <c r="H30" s="136" t="s">
        <v>10164</v>
      </c>
      <c r="I30" s="136" t="s">
        <v>524</v>
      </c>
      <c r="J30" s="136" t="s">
        <v>203</v>
      </c>
      <c r="K30" s="191">
        <v>-2.3231199999999999</v>
      </c>
      <c r="L30" s="191">
        <v>0</v>
      </c>
      <c r="M30" s="191">
        <v>-4.5591191767744519</v>
      </c>
      <c r="N30" s="191">
        <v>0</v>
      </c>
      <c r="O30" s="191">
        <v>0</v>
      </c>
      <c r="P30" s="191">
        <v>2.6028897417981478E-2</v>
      </c>
      <c r="Q30" s="191">
        <v>0.4627556309562551</v>
      </c>
      <c r="R30" s="191">
        <v>2.4956084818158142</v>
      </c>
      <c r="T30" s="46">
        <v>1</v>
      </c>
      <c r="U30" s="53" t="s">
        <v>252</v>
      </c>
      <c r="V30" s="47" t="s">
        <v>328</v>
      </c>
      <c r="W30" s="47" t="s">
        <v>524</v>
      </c>
      <c r="X30" s="47" t="s">
        <v>203</v>
      </c>
      <c r="Y30" s="58">
        <v>2.3231199999999999</v>
      </c>
      <c r="Z30" s="192">
        <v>1.77911</v>
      </c>
      <c r="AB30" s="3"/>
      <c r="AC30" s="3"/>
      <c r="AD30" s="3"/>
      <c r="AE30" s="23"/>
      <c r="AF30" s="3"/>
      <c r="AG30" s="83"/>
    </row>
    <row r="31" spans="2:33" ht="28.8">
      <c r="F31" s="137">
        <v>1</v>
      </c>
      <c r="G31" s="137" t="s">
        <v>252</v>
      </c>
      <c r="H31" s="136" t="s">
        <v>10165</v>
      </c>
      <c r="I31" s="136" t="s">
        <v>524</v>
      </c>
      <c r="J31" s="136" t="s">
        <v>203</v>
      </c>
      <c r="K31" s="191">
        <v>-2.1485799999999999</v>
      </c>
      <c r="L31" s="191">
        <v>0</v>
      </c>
      <c r="M31" s="191">
        <v>-4.6369862622158982</v>
      </c>
      <c r="N31" s="191">
        <v>0</v>
      </c>
      <c r="O31" s="191">
        <v>0</v>
      </c>
      <c r="P31" s="191">
        <v>2.6028896620907578E-2</v>
      </c>
      <c r="Q31" s="191">
        <v>0.62911806514979396</v>
      </c>
      <c r="R31" s="191">
        <v>2.5363327446823636</v>
      </c>
      <c r="T31" s="46">
        <v>1</v>
      </c>
      <c r="U31" s="53" t="s">
        <v>252</v>
      </c>
      <c r="V31" s="47" t="s">
        <v>254</v>
      </c>
      <c r="W31" s="47" t="s">
        <v>524</v>
      </c>
      <c r="X31" s="47" t="s">
        <v>203</v>
      </c>
      <c r="Y31" s="58">
        <v>2.1485799999999999</v>
      </c>
      <c r="Z31" s="192">
        <v>1.77911</v>
      </c>
      <c r="AB31" s="3" t="s">
        <v>526</v>
      </c>
      <c r="AC31" s="125">
        <v>0.77500000000000002</v>
      </c>
      <c r="AD31" s="3">
        <v>8.1306407300000008E-2</v>
      </c>
      <c r="AE31" s="23" t="s">
        <v>531</v>
      </c>
      <c r="AF31" s="3"/>
      <c r="AG31" s="3"/>
    </row>
    <row r="32" spans="2:33" ht="28.8">
      <c r="F32" s="137">
        <v>1</v>
      </c>
      <c r="G32" s="137" t="s">
        <v>252</v>
      </c>
      <c r="H32" s="136" t="s">
        <v>10166</v>
      </c>
      <c r="I32" s="136" t="s">
        <v>524</v>
      </c>
      <c r="J32" s="136" t="s">
        <v>203</v>
      </c>
      <c r="K32" s="191">
        <v>-1.9492499999999999</v>
      </c>
      <c r="L32" s="191">
        <v>0</v>
      </c>
      <c r="M32" s="191">
        <v>-4.5591191767744519</v>
      </c>
      <c r="N32" s="191">
        <v>0</v>
      </c>
      <c r="O32" s="191">
        <v>0</v>
      </c>
      <c r="P32" s="191">
        <v>2.6028897417981478E-2</v>
      </c>
      <c r="Q32" s="191">
        <v>0.4627556309562551</v>
      </c>
      <c r="R32" s="191">
        <v>2.4956084818158142</v>
      </c>
      <c r="T32" s="46">
        <v>1</v>
      </c>
      <c r="U32" s="53" t="s">
        <v>252</v>
      </c>
      <c r="V32" s="47" t="s">
        <v>532</v>
      </c>
      <c r="W32" s="47" t="s">
        <v>524</v>
      </c>
      <c r="X32" s="47" t="s">
        <v>203</v>
      </c>
      <c r="Y32" s="58">
        <v>1.9492499999999999</v>
      </c>
      <c r="Z32" s="192">
        <v>1.77911</v>
      </c>
      <c r="AB32" s="3" t="s">
        <v>526</v>
      </c>
      <c r="AC32" s="125">
        <v>0.72499999999999998</v>
      </c>
      <c r="AD32" s="3">
        <v>8.1306407300000008E-2</v>
      </c>
      <c r="AE32" s="23" t="s">
        <v>531</v>
      </c>
      <c r="AF32" s="3"/>
      <c r="AG32" s="3"/>
    </row>
    <row r="33" spans="6:33">
      <c r="F33" s="137">
        <v>1</v>
      </c>
      <c r="G33" s="137" t="s">
        <v>252</v>
      </c>
      <c r="H33" s="136" t="s">
        <v>10167</v>
      </c>
      <c r="I33" s="136" t="s">
        <v>524</v>
      </c>
      <c r="J33" s="136" t="s">
        <v>203</v>
      </c>
      <c r="K33" s="191">
        <v>-2.0269300000000001</v>
      </c>
      <c r="L33" s="191">
        <v>0</v>
      </c>
      <c r="M33" s="191">
        <v>0</v>
      </c>
      <c r="N33" s="191">
        <v>0</v>
      </c>
      <c r="O33" s="191">
        <v>0</v>
      </c>
      <c r="P33" s="191">
        <v>2.6028897537060423E-2</v>
      </c>
      <c r="Q33" s="191">
        <v>0.34568758784508752</v>
      </c>
      <c r="R33" s="191">
        <v>3.1833671128182166</v>
      </c>
      <c r="T33" s="46">
        <v>1</v>
      </c>
      <c r="U33" s="53" t="s">
        <v>252</v>
      </c>
      <c r="V33" s="47" t="s">
        <v>245</v>
      </c>
      <c r="W33" s="47" t="s">
        <v>524</v>
      </c>
      <c r="X33" s="47" t="s">
        <v>203</v>
      </c>
      <c r="Y33" s="58">
        <v>2.0269300000000001</v>
      </c>
      <c r="Z33" s="192">
        <v>1.77911</v>
      </c>
      <c r="AB33" s="3" t="s">
        <v>526</v>
      </c>
      <c r="AC33" s="125">
        <v>0.72499999999999998</v>
      </c>
      <c r="AD33" s="3">
        <v>8.1306407300000008E-2</v>
      </c>
      <c r="AE33" s="23" t="s">
        <v>531</v>
      </c>
      <c r="AF33" s="3"/>
      <c r="AG33" s="3"/>
    </row>
    <row r="34" spans="6:33">
      <c r="F34" s="137">
        <v>1</v>
      </c>
      <c r="G34" s="137" t="s">
        <v>252</v>
      </c>
      <c r="H34" s="136" t="s">
        <v>10168</v>
      </c>
      <c r="I34" s="136" t="s">
        <v>524</v>
      </c>
      <c r="J34" s="136" t="s">
        <v>203</v>
      </c>
      <c r="K34" s="191">
        <v>-2.0748000000000002</v>
      </c>
      <c r="L34" s="191">
        <v>0</v>
      </c>
      <c r="M34" s="191">
        <v>0</v>
      </c>
      <c r="N34" s="191">
        <v>0</v>
      </c>
      <c r="O34" s="191">
        <v>0</v>
      </c>
      <c r="P34" s="191">
        <v>2.6028892366729981E-2</v>
      </c>
      <c r="Q34" s="191">
        <v>0.55653275334072805</v>
      </c>
      <c r="R34" s="191">
        <v>3.0368308927987773</v>
      </c>
      <c r="T34" s="46">
        <v>1</v>
      </c>
      <c r="U34" s="53" t="s">
        <v>252</v>
      </c>
      <c r="V34" s="47" t="s">
        <v>533</v>
      </c>
      <c r="W34" s="47" t="s">
        <v>524</v>
      </c>
      <c r="X34" s="47" t="s">
        <v>203</v>
      </c>
      <c r="Y34" s="58">
        <v>2.0748000000000002</v>
      </c>
      <c r="Z34" s="192">
        <v>1.77911</v>
      </c>
      <c r="AB34" s="3" t="s">
        <v>526</v>
      </c>
      <c r="AC34" s="125">
        <v>0.64600000000000002</v>
      </c>
      <c r="AD34" s="3">
        <v>8.1306407300000008E-2</v>
      </c>
      <c r="AE34" s="23" t="s">
        <v>531</v>
      </c>
      <c r="AF34" s="3" t="s">
        <v>526</v>
      </c>
      <c r="AG34" s="83">
        <v>0.8</v>
      </c>
    </row>
    <row r="35" spans="6:33">
      <c r="F35" s="137">
        <v>1</v>
      </c>
      <c r="G35" s="137" t="s">
        <v>242</v>
      </c>
      <c r="H35" s="136" t="s">
        <v>10181</v>
      </c>
      <c r="I35" s="136" t="s">
        <v>524</v>
      </c>
      <c r="J35" s="136" t="s">
        <v>203</v>
      </c>
      <c r="K35" s="191">
        <v>-38.486130000000003</v>
      </c>
      <c r="L35" s="191">
        <v>-27.900672450000002</v>
      </c>
      <c r="M35" s="191">
        <v>-3.2868550000000001</v>
      </c>
      <c r="N35" s="191">
        <v>0</v>
      </c>
      <c r="O35" s="191">
        <v>0</v>
      </c>
      <c r="P35" s="191">
        <v>2.5859999999999998E-2</v>
      </c>
      <c r="Q35" s="191">
        <v>4.1544504253524454E-2</v>
      </c>
      <c r="R35" s="191">
        <v>4.8920490039414649E-2</v>
      </c>
      <c r="T35" s="46">
        <v>1</v>
      </c>
      <c r="U35" s="53" t="s">
        <v>242</v>
      </c>
      <c r="V35" s="47" t="s">
        <v>242</v>
      </c>
      <c r="W35" s="47" t="s">
        <v>524</v>
      </c>
      <c r="X35" s="47" t="s">
        <v>203</v>
      </c>
      <c r="Y35" s="58">
        <v>38.486130000000003</v>
      </c>
      <c r="Z35" s="192">
        <v>0.20843</v>
      </c>
      <c r="AB35" s="3"/>
      <c r="AC35" s="3"/>
      <c r="AD35" s="3"/>
      <c r="AE35" s="23"/>
      <c r="AF35" s="3" t="s">
        <v>526</v>
      </c>
      <c r="AG35" s="83">
        <v>0.88</v>
      </c>
    </row>
    <row r="36" spans="6:33">
      <c r="F36" s="137">
        <v>1</v>
      </c>
      <c r="G36" s="137" t="s">
        <v>242</v>
      </c>
      <c r="H36" s="136" t="s">
        <v>274</v>
      </c>
      <c r="I36" s="136" t="s">
        <v>524</v>
      </c>
      <c r="J36" s="136" t="s">
        <v>203</v>
      </c>
      <c r="K36" s="191">
        <v>-38.486130000000003</v>
      </c>
      <c r="L36" s="191">
        <v>-27.900672450000002</v>
      </c>
      <c r="M36" s="191">
        <v>-8.5278425000000002</v>
      </c>
      <c r="N36" s="191">
        <v>0</v>
      </c>
      <c r="O36" s="191">
        <v>0</v>
      </c>
      <c r="P36" s="191">
        <v>2.5859999999999998E-2</v>
      </c>
      <c r="Q36" s="191">
        <v>4.1544504253524454E-2</v>
      </c>
      <c r="R36" s="191">
        <v>4.8920490039414649E-2</v>
      </c>
      <c r="T36" s="46">
        <v>1</v>
      </c>
      <c r="U36" s="53" t="s">
        <v>242</v>
      </c>
      <c r="V36" s="47" t="s">
        <v>242</v>
      </c>
      <c r="W36" s="47" t="s">
        <v>524</v>
      </c>
      <c r="X36" s="47" t="s">
        <v>203</v>
      </c>
      <c r="Y36" s="58">
        <v>38.486130000000003</v>
      </c>
      <c r="Z36" s="192">
        <v>0.20843</v>
      </c>
      <c r="AB36" s="3" t="s">
        <v>526</v>
      </c>
      <c r="AC36" s="125">
        <v>0.64600000000000002</v>
      </c>
      <c r="AD36" s="3">
        <v>8.1306407300000008E-2</v>
      </c>
      <c r="AE36" s="23" t="s">
        <v>531</v>
      </c>
      <c r="AF36" s="3" t="s">
        <v>526</v>
      </c>
      <c r="AG36" s="83">
        <v>0.8</v>
      </c>
    </row>
    <row r="37" spans="6:33">
      <c r="F37" s="137">
        <v>1</v>
      </c>
      <c r="G37" s="137" t="s">
        <v>242</v>
      </c>
      <c r="H37" s="136" t="s">
        <v>534</v>
      </c>
      <c r="I37" s="136" t="s">
        <v>524</v>
      </c>
      <c r="J37" s="136" t="s">
        <v>203</v>
      </c>
      <c r="K37" s="191">
        <v>-15.0122</v>
      </c>
      <c r="L37" s="191">
        <v>-10.882073199999999</v>
      </c>
      <c r="M37" s="191">
        <v>-3.19428</v>
      </c>
      <c r="N37" s="191">
        <v>0</v>
      </c>
      <c r="O37" s="191">
        <v>0</v>
      </c>
      <c r="P37" s="191">
        <v>2.5859999999999998E-2</v>
      </c>
      <c r="Q37" s="191">
        <v>4.1544504253524454E-2</v>
      </c>
      <c r="R37" s="191">
        <v>4.8920490039414649E-2</v>
      </c>
      <c r="T37" s="46">
        <v>1</v>
      </c>
      <c r="U37" s="53" t="s">
        <v>242</v>
      </c>
      <c r="V37" s="47" t="s">
        <v>534</v>
      </c>
      <c r="W37" s="47" t="s">
        <v>524</v>
      </c>
      <c r="X37" s="47" t="s">
        <v>203</v>
      </c>
      <c r="Y37" s="58">
        <v>15.0122</v>
      </c>
      <c r="Z37" s="192">
        <v>0.37092000000000003</v>
      </c>
      <c r="AB37" s="3"/>
      <c r="AC37" s="3"/>
      <c r="AD37" s="3"/>
      <c r="AE37" s="23"/>
      <c r="AF37" s="3" t="s">
        <v>526</v>
      </c>
      <c r="AG37" s="83">
        <v>0.65</v>
      </c>
    </row>
    <row r="38" spans="6:33">
      <c r="F38" s="137">
        <v>1</v>
      </c>
      <c r="G38" s="137" t="s">
        <v>239</v>
      </c>
      <c r="H38" s="136" t="s">
        <v>10182</v>
      </c>
      <c r="I38" s="136" t="s">
        <v>524</v>
      </c>
      <c r="J38" s="136" t="s">
        <v>203</v>
      </c>
      <c r="K38" s="191">
        <v>-2.6644477777777777</v>
      </c>
      <c r="L38" s="191">
        <v>-1.7194614644444446</v>
      </c>
      <c r="M38" s="191">
        <v>-0.85315144198853521</v>
      </c>
      <c r="N38" s="191">
        <v>-1.6307049553261799</v>
      </c>
      <c r="O38" s="191">
        <v>-2.3905586632960283</v>
      </c>
      <c r="P38" s="191">
        <v>-0.64514726219802043</v>
      </c>
      <c r="Q38" s="191">
        <v>-0.87223081739780683</v>
      </c>
      <c r="R38" s="191">
        <v>2.7472078555399088E-2</v>
      </c>
      <c r="T38" s="46">
        <v>1</v>
      </c>
      <c r="U38" s="53" t="s">
        <v>239</v>
      </c>
      <c r="V38" s="47" t="s">
        <v>239</v>
      </c>
      <c r="W38" s="47" t="s">
        <v>524</v>
      </c>
      <c r="X38" s="47" t="s">
        <v>203</v>
      </c>
      <c r="Y38" s="58">
        <v>2.6644477777777777</v>
      </c>
      <c r="Z38" s="192">
        <v>0.64099666666666666</v>
      </c>
      <c r="AB38" s="3"/>
      <c r="AC38" s="3"/>
      <c r="AD38" s="3"/>
      <c r="AE38" s="23"/>
      <c r="AF38" s="3" t="s">
        <v>526</v>
      </c>
      <c r="AG38" s="83">
        <v>0.65</v>
      </c>
    </row>
    <row r="39" spans="6:33">
      <c r="F39" s="137">
        <v>1</v>
      </c>
      <c r="G39" s="137" t="s">
        <v>239</v>
      </c>
      <c r="H39" s="136" t="s">
        <v>324</v>
      </c>
      <c r="I39" s="136" t="s">
        <v>524</v>
      </c>
      <c r="J39" s="136" t="s">
        <v>203</v>
      </c>
      <c r="K39" s="191">
        <v>-1.66</v>
      </c>
      <c r="L39" s="191">
        <v>0</v>
      </c>
      <c r="M39" s="191">
        <v>0.19533902733555172</v>
      </c>
      <c r="N39" s="191">
        <v>-1.6413056085609865</v>
      </c>
      <c r="O39" s="191">
        <v>-2.2418379878626342</v>
      </c>
      <c r="P39" s="191">
        <v>-1.1284225175410434</v>
      </c>
      <c r="Q39" s="191">
        <v>-0.94830209986859515</v>
      </c>
      <c r="R39" s="191">
        <v>2.6682692249793423E-2</v>
      </c>
      <c r="T39" s="46">
        <v>1</v>
      </c>
      <c r="U39" s="53" t="s">
        <v>239</v>
      </c>
      <c r="V39" s="47" t="s">
        <v>324</v>
      </c>
      <c r="W39" s="47" t="s">
        <v>524</v>
      </c>
      <c r="X39" s="47" t="s">
        <v>203</v>
      </c>
      <c r="Y39" s="58">
        <v>1.66</v>
      </c>
      <c r="Z39" s="192">
        <v>0.13142999999999999</v>
      </c>
      <c r="AB39" s="3"/>
      <c r="AC39" s="3"/>
      <c r="AD39" s="3"/>
      <c r="AE39" s="23"/>
      <c r="AF39" s="3" t="s">
        <v>526</v>
      </c>
      <c r="AG39" s="83">
        <v>0.65</v>
      </c>
    </row>
    <row r="40" spans="6:33">
      <c r="F40" s="137">
        <v>1</v>
      </c>
      <c r="G40" s="137" t="s">
        <v>239</v>
      </c>
      <c r="H40" s="136" t="s">
        <v>272</v>
      </c>
      <c r="I40" s="136" t="s">
        <v>524</v>
      </c>
      <c r="J40" s="136" t="s">
        <v>203</v>
      </c>
      <c r="K40" s="191">
        <v>-2.1278299999999999</v>
      </c>
      <c r="L40" s="191">
        <v>-1.3728063799999999</v>
      </c>
      <c r="M40" s="191">
        <v>-1.0167328937020145E-3</v>
      </c>
      <c r="N40" s="191">
        <v>-1.4681258792000011</v>
      </c>
      <c r="O40" s="191">
        <v>-2.2524603608202898</v>
      </c>
      <c r="P40" s="191">
        <v>3.5723333333333336E-2</v>
      </c>
      <c r="Q40" s="191">
        <v>-0.74567791795272709</v>
      </c>
      <c r="R40" s="191">
        <v>3.4585705715859789E-2</v>
      </c>
      <c r="T40" s="46">
        <v>1</v>
      </c>
      <c r="U40" s="53" t="s">
        <v>239</v>
      </c>
      <c r="V40" s="47" t="s">
        <v>272</v>
      </c>
      <c r="W40" s="47" t="s">
        <v>524</v>
      </c>
      <c r="X40" s="47" t="s">
        <v>203</v>
      </c>
      <c r="Y40" s="58">
        <v>2.1278299999999999</v>
      </c>
      <c r="Z40" s="192">
        <v>1.2152400000000001</v>
      </c>
      <c r="AB40" s="3"/>
      <c r="AC40" s="3"/>
      <c r="AD40" s="3"/>
      <c r="AE40" s="23"/>
      <c r="AF40" s="3" t="s">
        <v>526</v>
      </c>
      <c r="AG40" s="83">
        <v>0.8</v>
      </c>
    </row>
    <row r="41" spans="6:33">
      <c r="F41" s="137">
        <v>1</v>
      </c>
      <c r="G41" s="137" t="s">
        <v>239</v>
      </c>
      <c r="H41" s="136" t="s">
        <v>329</v>
      </c>
      <c r="I41" s="136" t="s">
        <v>524</v>
      </c>
      <c r="J41" s="136" t="s">
        <v>203</v>
      </c>
      <c r="K41" s="191">
        <v>-3.4792200000000002</v>
      </c>
      <c r="L41" s="191">
        <v>0</v>
      </c>
      <c r="M41" s="191">
        <v>-3.0331627850076162</v>
      </c>
      <c r="N41" s="191">
        <v>-1.5906608309884076</v>
      </c>
      <c r="O41" s="191">
        <v>-2.5029824878793678</v>
      </c>
      <c r="P41" s="191">
        <v>0.4613315110382612</v>
      </c>
      <c r="Q41" s="191">
        <v>-0.74843830150133328</v>
      </c>
      <c r="R41" s="191">
        <v>3.7249003868795864E-2</v>
      </c>
      <c r="T41" s="46">
        <v>1</v>
      </c>
      <c r="U41" s="53" t="s">
        <v>239</v>
      </c>
      <c r="V41" s="47" t="s">
        <v>329</v>
      </c>
      <c r="W41" s="47" t="s">
        <v>524</v>
      </c>
      <c r="X41" s="47" t="s">
        <v>203</v>
      </c>
      <c r="Y41" s="58">
        <v>3.4792200000000002</v>
      </c>
      <c r="Z41" s="192">
        <v>1.0383</v>
      </c>
      <c r="AB41" s="3"/>
      <c r="AC41" s="3"/>
      <c r="AD41" s="3"/>
      <c r="AE41" s="23"/>
      <c r="AF41" s="3"/>
      <c r="AG41" s="3"/>
    </row>
    <row r="42" spans="6:33">
      <c r="F42" s="137">
        <v>1</v>
      </c>
      <c r="G42" s="137" t="s">
        <v>239</v>
      </c>
      <c r="H42" s="136" t="s">
        <v>271</v>
      </c>
      <c r="I42" s="136" t="s">
        <v>524</v>
      </c>
      <c r="J42" s="136" t="s">
        <v>203</v>
      </c>
      <c r="K42" s="191">
        <v>-3.1045600000000002</v>
      </c>
      <c r="L42" s="191">
        <v>0</v>
      </c>
      <c r="M42" s="191">
        <v>-0.9597953722371021</v>
      </c>
      <c r="N42" s="191">
        <v>-1.5059830415829445</v>
      </c>
      <c r="O42" s="191">
        <v>-2.5998556723118025</v>
      </c>
      <c r="P42" s="191">
        <v>-0.64271962024790241</v>
      </c>
      <c r="Q42" s="191">
        <v>-0.71302928516299235</v>
      </c>
      <c r="R42" s="191">
        <v>4.0394563764438104E-2</v>
      </c>
      <c r="T42" s="46">
        <v>1</v>
      </c>
      <c r="U42" s="53" t="s">
        <v>239</v>
      </c>
      <c r="V42" s="47" t="s">
        <v>271</v>
      </c>
      <c r="W42" s="47" t="s">
        <v>524</v>
      </c>
      <c r="X42" s="47" t="s">
        <v>203</v>
      </c>
      <c r="Y42" s="58">
        <v>3.1045600000000002</v>
      </c>
      <c r="Z42" s="192">
        <v>0.12864</v>
      </c>
      <c r="AB42" s="3"/>
      <c r="AC42" s="3"/>
      <c r="AD42" s="3"/>
      <c r="AE42" s="23"/>
      <c r="AF42" s="3"/>
      <c r="AG42" s="3"/>
    </row>
    <row r="43" spans="6:33">
      <c r="F43" s="137">
        <v>1</v>
      </c>
      <c r="G43" s="137" t="s">
        <v>239</v>
      </c>
      <c r="H43" s="136" t="s">
        <v>535</v>
      </c>
      <c r="I43" s="136" t="s">
        <v>524</v>
      </c>
      <c r="J43" s="136" t="s">
        <v>203</v>
      </c>
      <c r="K43" s="191">
        <v>-3.1045600000000002</v>
      </c>
      <c r="L43" s="191">
        <v>0</v>
      </c>
      <c r="M43" s="191">
        <v>-0.9597953722371021</v>
      </c>
      <c r="N43" s="191">
        <v>-1.6146343724230023</v>
      </c>
      <c r="O43" s="191">
        <v>-2.6070301376718885</v>
      </c>
      <c r="P43" s="191">
        <v>-0.84215246587938797</v>
      </c>
      <c r="Q43" s="191">
        <v>-0.79389725730667005</v>
      </c>
      <c r="R43" s="191">
        <v>2.9213775914909288E-2</v>
      </c>
      <c r="T43" s="46">
        <v>1</v>
      </c>
      <c r="U43" s="53" t="s">
        <v>239</v>
      </c>
      <c r="V43" s="47" t="s">
        <v>535</v>
      </c>
      <c r="W43" s="47" t="s">
        <v>524</v>
      </c>
      <c r="X43" s="47" t="s">
        <v>203</v>
      </c>
      <c r="Y43" s="58">
        <v>3.1045600000000002</v>
      </c>
      <c r="Z43" s="192">
        <v>0.12864</v>
      </c>
      <c r="AB43" s="3"/>
      <c r="AC43" s="3"/>
      <c r="AD43" s="3"/>
      <c r="AE43" s="23"/>
      <c r="AF43" s="3" t="s">
        <v>526</v>
      </c>
      <c r="AG43" s="83">
        <v>0.95</v>
      </c>
    </row>
    <row r="44" spans="6:33">
      <c r="F44" s="137">
        <v>1</v>
      </c>
      <c r="G44" s="137" t="s">
        <v>239</v>
      </c>
      <c r="H44" s="136" t="s">
        <v>259</v>
      </c>
      <c r="I44" s="136" t="s">
        <v>524</v>
      </c>
      <c r="J44" s="136" t="s">
        <v>203</v>
      </c>
      <c r="K44" s="191">
        <v>-2.86965</v>
      </c>
      <c r="L44" s="191">
        <v>0</v>
      </c>
      <c r="M44" s="191">
        <v>-0.9597953722371021</v>
      </c>
      <c r="N44" s="191">
        <v>-1.3297235970823111</v>
      </c>
      <c r="O44" s="191">
        <v>-2.0242250520794318</v>
      </c>
      <c r="P44" s="191">
        <v>-0.36906138434115371</v>
      </c>
      <c r="Q44" s="191">
        <v>-0.64663721552880338</v>
      </c>
      <c r="R44" s="191">
        <v>2.8421398170194585E-2</v>
      </c>
      <c r="T44" s="46">
        <v>1</v>
      </c>
      <c r="U44" s="53" t="s">
        <v>239</v>
      </c>
      <c r="V44" s="47" t="s">
        <v>259</v>
      </c>
      <c r="W44" s="47" t="s">
        <v>524</v>
      </c>
      <c r="X44" s="47" t="s">
        <v>203</v>
      </c>
      <c r="Y44" s="58">
        <v>2.86965</v>
      </c>
      <c r="Z44" s="192">
        <v>0.79600000000000004</v>
      </c>
      <c r="AB44" s="3" t="s">
        <v>526</v>
      </c>
      <c r="AC44" s="125">
        <v>1</v>
      </c>
      <c r="AD44" s="3">
        <v>8.1306407300000008E-2</v>
      </c>
      <c r="AE44" s="23" t="s">
        <v>531</v>
      </c>
      <c r="AF44" s="3" t="s">
        <v>526</v>
      </c>
      <c r="AG44" s="83">
        <v>0.95</v>
      </c>
    </row>
    <row r="45" spans="6:33">
      <c r="F45" s="137">
        <v>1</v>
      </c>
      <c r="G45" s="137" t="s">
        <v>239</v>
      </c>
      <c r="H45" s="136" t="s">
        <v>334</v>
      </c>
      <c r="I45" s="136" t="s">
        <v>524</v>
      </c>
      <c r="J45" s="136" t="s">
        <v>203</v>
      </c>
      <c r="K45" s="191">
        <v>-2.86965</v>
      </c>
      <c r="L45" s="191">
        <v>0</v>
      </c>
      <c r="M45" s="191">
        <v>-0.9597953722371021</v>
      </c>
      <c r="N45" s="191">
        <v>-1.7401631040049645</v>
      </c>
      <c r="O45" s="191">
        <v>-2.4907655634964225</v>
      </c>
      <c r="P45" s="191">
        <v>-0.30654885845744267</v>
      </c>
      <c r="Q45" s="191">
        <v>-0.94415150066797848</v>
      </c>
      <c r="R45" s="191">
        <v>2.6389893041559712E-2</v>
      </c>
      <c r="T45" s="46">
        <v>1</v>
      </c>
      <c r="U45" s="53" t="s">
        <v>239</v>
      </c>
      <c r="V45" s="47" t="s">
        <v>334</v>
      </c>
      <c r="W45" s="47" t="s">
        <v>524</v>
      </c>
      <c r="X45" s="47" t="s">
        <v>203</v>
      </c>
      <c r="Y45" s="58">
        <v>2.86965</v>
      </c>
      <c r="Z45" s="192">
        <v>0.76736000000000004</v>
      </c>
      <c r="AB45" s="3" t="s">
        <v>526</v>
      </c>
      <c r="AC45" s="125">
        <v>1</v>
      </c>
      <c r="AD45" s="3">
        <v>8.1306407300000008E-2</v>
      </c>
      <c r="AE45" s="23" t="s">
        <v>531</v>
      </c>
      <c r="AF45" s="3" t="s">
        <v>526</v>
      </c>
      <c r="AG45" s="83">
        <v>0.95</v>
      </c>
    </row>
    <row r="46" spans="6:33">
      <c r="F46" s="137">
        <v>1</v>
      </c>
      <c r="G46" s="137" t="s">
        <v>239</v>
      </c>
      <c r="H46" s="136" t="s">
        <v>240</v>
      </c>
      <c r="I46" s="136" t="s">
        <v>524</v>
      </c>
      <c r="J46" s="136" t="s">
        <v>203</v>
      </c>
      <c r="K46" s="191">
        <v>-3.1045600000000002</v>
      </c>
      <c r="L46" s="191">
        <v>0</v>
      </c>
      <c r="M46" s="191">
        <v>0</v>
      </c>
      <c r="N46" s="191">
        <v>-1.7689163523637113</v>
      </c>
      <c r="O46" s="191">
        <v>-2.5690955387840706</v>
      </c>
      <c r="P46" s="191">
        <v>-0.65326559732324874</v>
      </c>
      <c r="Q46" s="191">
        <v>0.42721108386873957</v>
      </c>
      <c r="R46" s="191">
        <v>2.3670127713768023</v>
      </c>
      <c r="T46" s="46">
        <v>1</v>
      </c>
      <c r="U46" s="53" t="s">
        <v>239</v>
      </c>
      <c r="V46" s="47" t="s">
        <v>240</v>
      </c>
      <c r="W46" s="47" t="s">
        <v>524</v>
      </c>
      <c r="X46" s="47" t="s">
        <v>203</v>
      </c>
      <c r="Y46" s="58">
        <v>3.1045600000000002</v>
      </c>
      <c r="Z46" s="192">
        <v>0.76736000000000004</v>
      </c>
      <c r="AB46" s="3" t="s">
        <v>526</v>
      </c>
      <c r="AC46" s="125">
        <v>1</v>
      </c>
      <c r="AD46" s="3">
        <v>8.1306407300000008E-2</v>
      </c>
      <c r="AE46" s="23" t="s">
        <v>531</v>
      </c>
      <c r="AF46" s="3"/>
      <c r="AG46" s="3"/>
    </row>
    <row r="47" spans="6:33" ht="28.8">
      <c r="F47" s="137">
        <v>1</v>
      </c>
      <c r="G47" s="137" t="s">
        <v>239</v>
      </c>
      <c r="H47" s="136" t="s">
        <v>325</v>
      </c>
      <c r="I47" s="136" t="s">
        <v>524</v>
      </c>
      <c r="J47" s="136" t="s">
        <v>203</v>
      </c>
      <c r="K47" s="191">
        <v>-1.66</v>
      </c>
      <c r="L47" s="191">
        <v>0</v>
      </c>
      <c r="M47" s="191">
        <v>0</v>
      </c>
      <c r="N47" s="191">
        <v>-1.6307049553261799</v>
      </c>
      <c r="O47" s="191">
        <v>-2.3905586632960283</v>
      </c>
      <c r="P47" s="191">
        <v>-0.64514726219802043</v>
      </c>
      <c r="Q47" s="191">
        <v>-0.87223081739780683</v>
      </c>
      <c r="R47" s="191">
        <v>2.7472078555399088E-2</v>
      </c>
      <c r="T47" s="46">
        <v>1</v>
      </c>
      <c r="U47" s="53" t="s">
        <v>239</v>
      </c>
      <c r="V47" s="47" t="s">
        <v>325</v>
      </c>
      <c r="W47" s="47" t="s">
        <v>524</v>
      </c>
      <c r="X47" s="47" t="s">
        <v>203</v>
      </c>
      <c r="Y47" s="58">
        <v>1.66</v>
      </c>
      <c r="Z47" s="192">
        <v>0.79600000000000004</v>
      </c>
      <c r="AB47" s="3"/>
      <c r="AC47" s="3"/>
      <c r="AD47" s="3"/>
      <c r="AE47" s="23"/>
      <c r="AF47" s="3" t="s">
        <v>526</v>
      </c>
      <c r="AG47" s="83">
        <v>0.95</v>
      </c>
    </row>
    <row r="48" spans="6:33">
      <c r="F48" s="137">
        <v>1</v>
      </c>
      <c r="G48" s="137" t="s">
        <v>256</v>
      </c>
      <c r="H48" s="136" t="s">
        <v>10183</v>
      </c>
      <c r="I48" s="136" t="s">
        <v>524</v>
      </c>
      <c r="J48" s="136" t="s">
        <v>203</v>
      </c>
      <c r="K48" s="191">
        <v>-3.3097799999999999</v>
      </c>
      <c r="L48" s="191">
        <v>-3.2267017926999997</v>
      </c>
      <c r="M48" s="191">
        <v>-12.682946159209184</v>
      </c>
      <c r="N48" s="191">
        <v>0</v>
      </c>
      <c r="O48" s="191">
        <v>0</v>
      </c>
      <c r="P48" s="191">
        <v>2.5935423428995526E-2</v>
      </c>
      <c r="Q48" s="191">
        <v>-0.10024994517024936</v>
      </c>
      <c r="R48" s="191">
        <v>-8.3039622379862385E-2</v>
      </c>
      <c r="T48" s="46">
        <v>1</v>
      </c>
      <c r="U48" s="53" t="s">
        <v>256</v>
      </c>
      <c r="V48" s="47" t="s">
        <v>256</v>
      </c>
      <c r="W48" s="47" t="s">
        <v>524</v>
      </c>
      <c r="X48" s="47" t="s">
        <v>203</v>
      </c>
      <c r="Y48" s="58">
        <v>3.3097799999999999</v>
      </c>
      <c r="Z48" s="192">
        <v>1.0068550000000001</v>
      </c>
      <c r="AB48" s="3" t="s">
        <v>526</v>
      </c>
      <c r="AC48" s="125">
        <v>1</v>
      </c>
      <c r="AD48" s="3">
        <v>0</v>
      </c>
      <c r="AE48" s="23" t="s">
        <v>527</v>
      </c>
      <c r="AF48" s="3" t="s">
        <v>526</v>
      </c>
      <c r="AG48" s="83">
        <v>0.9</v>
      </c>
    </row>
    <row r="49" spans="6:33">
      <c r="F49" s="137">
        <v>1</v>
      </c>
      <c r="G49" s="137" t="s">
        <v>256</v>
      </c>
      <c r="H49" s="136" t="s">
        <v>536</v>
      </c>
      <c r="I49" s="136" t="s">
        <v>524</v>
      </c>
      <c r="J49" s="136" t="s">
        <v>203</v>
      </c>
      <c r="K49" s="191">
        <v>-1.9798800000000001</v>
      </c>
      <c r="L49" s="191">
        <v>-1.8968017927</v>
      </c>
      <c r="M49" s="191">
        <v>-2.2908212041417428</v>
      </c>
      <c r="N49" s="191">
        <v>0</v>
      </c>
      <c r="O49" s="191">
        <v>0</v>
      </c>
      <c r="P49" s="191">
        <v>2.6029702715239939E-2</v>
      </c>
      <c r="Q49" s="191">
        <v>-0.14905212377108365</v>
      </c>
      <c r="R49" s="191">
        <v>-0.1222708920399822</v>
      </c>
      <c r="T49" s="46">
        <v>1</v>
      </c>
      <c r="U49" s="53" t="s">
        <v>256</v>
      </c>
      <c r="V49" s="47" t="s">
        <v>536</v>
      </c>
      <c r="W49" s="47" t="s">
        <v>524</v>
      </c>
      <c r="X49" s="47" t="s">
        <v>203</v>
      </c>
      <c r="Y49" s="58">
        <v>1.9798800000000001</v>
      </c>
      <c r="Z49" s="192">
        <v>0.72957000000000005</v>
      </c>
      <c r="AB49" s="3" t="s">
        <v>526</v>
      </c>
      <c r="AC49" s="125">
        <v>1</v>
      </c>
      <c r="AD49" s="3">
        <v>8.1306407300000008E-2</v>
      </c>
      <c r="AE49" s="23" t="s">
        <v>531</v>
      </c>
      <c r="AF49" s="3" t="s">
        <v>526</v>
      </c>
      <c r="AG49" s="83">
        <v>0.9</v>
      </c>
    </row>
    <row r="50" spans="6:33">
      <c r="F50" s="137">
        <v>1</v>
      </c>
      <c r="G50" s="137" t="s">
        <v>256</v>
      </c>
      <c r="H50" s="136" t="s">
        <v>257</v>
      </c>
      <c r="I50" s="136" t="s">
        <v>524</v>
      </c>
      <c r="J50" s="136" t="s">
        <v>203</v>
      </c>
      <c r="K50" s="191">
        <v>-1.9798800000000001</v>
      </c>
      <c r="L50" s="191">
        <v>-1.8968017927</v>
      </c>
      <c r="M50" s="191">
        <v>-2.2908212041417428</v>
      </c>
      <c r="N50" s="191">
        <v>0</v>
      </c>
      <c r="O50" s="191">
        <v>0</v>
      </c>
      <c r="P50" s="191">
        <v>2.6028878443344672E-2</v>
      </c>
      <c r="Q50" s="191">
        <v>-0.14905212377108365</v>
      </c>
      <c r="R50" s="191">
        <v>-0.12227089203998195</v>
      </c>
      <c r="T50" s="46">
        <v>1</v>
      </c>
      <c r="U50" s="53" t="s">
        <v>256</v>
      </c>
      <c r="V50" s="47" t="s">
        <v>257</v>
      </c>
      <c r="W50" s="47" t="s">
        <v>524</v>
      </c>
      <c r="X50" s="47" t="s">
        <v>203</v>
      </c>
      <c r="Y50" s="58">
        <v>1.9798800000000001</v>
      </c>
      <c r="Z50" s="192">
        <v>0.46493000000000001</v>
      </c>
      <c r="AB50" s="3" t="s">
        <v>526</v>
      </c>
      <c r="AC50" s="125">
        <v>1</v>
      </c>
      <c r="AD50" s="3">
        <v>8.1306407300000008E-2</v>
      </c>
      <c r="AE50" s="23" t="s">
        <v>531</v>
      </c>
      <c r="AF50" s="3" t="s">
        <v>526</v>
      </c>
      <c r="AG50" s="83">
        <v>0.95</v>
      </c>
    </row>
    <row r="51" spans="6:33">
      <c r="F51" s="137">
        <v>1</v>
      </c>
      <c r="G51" s="137" t="s">
        <v>256</v>
      </c>
      <c r="H51" s="136" t="s">
        <v>537</v>
      </c>
      <c r="I51" s="136" t="s">
        <v>524</v>
      </c>
      <c r="J51" s="136" t="s">
        <v>203</v>
      </c>
      <c r="K51" s="191">
        <v>-5.0082800000000001</v>
      </c>
      <c r="L51" s="191">
        <v>-4.9252017927000002</v>
      </c>
      <c r="M51" s="191">
        <v>-5.0163198072708548</v>
      </c>
      <c r="N51" s="191">
        <v>0</v>
      </c>
      <c r="O51" s="191">
        <v>0</v>
      </c>
      <c r="P51" s="191">
        <v>2.5859999999999998E-2</v>
      </c>
      <c r="Q51" s="191">
        <v>-5.144776656941509E-2</v>
      </c>
      <c r="R51" s="191">
        <v>-4.380835271974258E-2</v>
      </c>
      <c r="T51" s="46">
        <v>1</v>
      </c>
      <c r="U51" s="53" t="s">
        <v>256</v>
      </c>
      <c r="V51" s="47" t="s">
        <v>537</v>
      </c>
      <c r="W51" s="47" t="s">
        <v>524</v>
      </c>
      <c r="X51" s="47" t="s">
        <v>203</v>
      </c>
      <c r="Y51" s="58">
        <v>5.0082800000000001</v>
      </c>
      <c r="Z51" s="193">
        <v>1.54878</v>
      </c>
      <c r="AB51" s="3" t="s">
        <v>526</v>
      </c>
      <c r="AC51" s="125">
        <v>1</v>
      </c>
      <c r="AD51" s="3">
        <v>8.1306407300000008E-2</v>
      </c>
      <c r="AE51" s="23" t="s">
        <v>531</v>
      </c>
      <c r="AF51" s="3" t="s">
        <v>526</v>
      </c>
      <c r="AG51" s="83">
        <v>0.7</v>
      </c>
    </row>
    <row r="52" spans="6:33">
      <c r="F52" s="137">
        <v>1</v>
      </c>
      <c r="G52" s="137" t="s">
        <v>256</v>
      </c>
      <c r="H52" s="136" t="s">
        <v>538</v>
      </c>
      <c r="I52" s="136" t="s">
        <v>524</v>
      </c>
      <c r="J52" s="136" t="s">
        <v>203</v>
      </c>
      <c r="K52" s="191">
        <v>-4.6396800000000002</v>
      </c>
      <c r="L52" s="191">
        <v>0</v>
      </c>
      <c r="M52" s="191">
        <v>0</v>
      </c>
      <c r="N52" s="191">
        <v>0</v>
      </c>
      <c r="O52" s="191">
        <v>0</v>
      </c>
      <c r="P52" s="191">
        <v>2.5859999999999998E-2</v>
      </c>
      <c r="Q52" s="191">
        <v>-4.7847583031063748E-2</v>
      </c>
      <c r="R52" s="191">
        <v>-4.3808352719742601E-2</v>
      </c>
      <c r="T52" s="46">
        <v>1</v>
      </c>
      <c r="U52" s="53" t="s">
        <v>256</v>
      </c>
      <c r="V52" s="47" t="s">
        <v>538</v>
      </c>
      <c r="W52" s="47" t="s">
        <v>524</v>
      </c>
      <c r="X52" s="47" t="s">
        <v>203</v>
      </c>
      <c r="Y52" s="58">
        <v>4.6396800000000002</v>
      </c>
      <c r="Z52" s="193">
        <v>1.54878</v>
      </c>
      <c r="AB52" s="3" t="s">
        <v>526</v>
      </c>
      <c r="AC52" s="125">
        <v>1</v>
      </c>
      <c r="AD52" s="3">
        <v>8.1306407300000008E-2</v>
      </c>
      <c r="AE52" s="23" t="s">
        <v>531</v>
      </c>
      <c r="AF52" s="3"/>
      <c r="AG52" s="3"/>
    </row>
    <row r="53" spans="6:33">
      <c r="F53" s="137">
        <v>1</v>
      </c>
      <c r="G53" s="137" t="s">
        <v>256</v>
      </c>
      <c r="H53" s="136" t="s">
        <v>258</v>
      </c>
      <c r="I53" s="136" t="s">
        <v>524</v>
      </c>
      <c r="J53" s="136" t="s">
        <v>203</v>
      </c>
      <c r="K53" s="191">
        <v>-4.6396800000000002</v>
      </c>
      <c r="L53" s="191">
        <v>-4.5566017927000004</v>
      </c>
      <c r="M53" s="191">
        <v>-4.8627589968441942</v>
      </c>
      <c r="N53" s="191">
        <v>0</v>
      </c>
      <c r="O53" s="191">
        <v>0</v>
      </c>
      <c r="P53" s="191">
        <v>2.5859999999999998E-2</v>
      </c>
      <c r="Q53" s="191">
        <v>-5.1447766569414841E-2</v>
      </c>
      <c r="R53" s="191">
        <v>-4.3808352719742621E-2</v>
      </c>
      <c r="T53" s="46">
        <v>1</v>
      </c>
      <c r="U53" s="53" t="s">
        <v>256</v>
      </c>
      <c r="V53" s="47" t="s">
        <v>258</v>
      </c>
      <c r="W53" s="47" t="s">
        <v>524</v>
      </c>
      <c r="X53" s="47" t="s">
        <v>203</v>
      </c>
      <c r="Y53" s="58">
        <v>4.6396800000000002</v>
      </c>
      <c r="Z53" s="193">
        <v>1.54878</v>
      </c>
      <c r="AB53" s="3" t="s">
        <v>526</v>
      </c>
      <c r="AC53" s="83">
        <v>0.5</v>
      </c>
      <c r="AD53" s="3">
        <v>8.1306407300000008E-2</v>
      </c>
      <c r="AE53" s="23" t="s">
        <v>531</v>
      </c>
      <c r="AF53" s="3"/>
      <c r="AG53" s="3"/>
    </row>
    <row r="54" spans="6:33">
      <c r="F54" s="137">
        <v>1</v>
      </c>
      <c r="G54" s="137" t="s">
        <v>247</v>
      </c>
      <c r="H54" s="136" t="s">
        <v>247</v>
      </c>
      <c r="I54" s="136" t="s">
        <v>524</v>
      </c>
      <c r="J54" s="136" t="s">
        <v>203</v>
      </c>
      <c r="K54" s="191">
        <v>-1.0505633333333335</v>
      </c>
      <c r="L54" s="191">
        <v>-0.96748512603333348</v>
      </c>
      <c r="M54" s="191">
        <v>-0.31702454478282194</v>
      </c>
      <c r="N54" s="191">
        <v>0</v>
      </c>
      <c r="O54" s="191">
        <v>0</v>
      </c>
      <c r="P54" s="191">
        <v>2.6028892864916598E-2</v>
      </c>
      <c r="Q54" s="191">
        <v>3.0359676588963682E-2</v>
      </c>
      <c r="R54" s="191">
        <v>4.8922006766599684E-2</v>
      </c>
      <c r="T54" s="46">
        <v>1</v>
      </c>
      <c r="U54" s="53" t="s">
        <v>247</v>
      </c>
      <c r="V54" s="47" t="s">
        <v>247</v>
      </c>
      <c r="W54" s="47" t="s">
        <v>524</v>
      </c>
      <c r="X54" s="47" t="s">
        <v>203</v>
      </c>
      <c r="Y54" s="58">
        <v>1.0505633333333335</v>
      </c>
      <c r="Z54" s="193">
        <v>0.89563000000000004</v>
      </c>
      <c r="AB54" s="3"/>
      <c r="AC54" s="3"/>
      <c r="AD54" s="3"/>
      <c r="AE54" s="23"/>
      <c r="AF54" s="3"/>
      <c r="AG54" s="3"/>
    </row>
    <row r="55" spans="6:33">
      <c r="F55" s="137">
        <v>1</v>
      </c>
      <c r="G55" s="137" t="s">
        <v>247</v>
      </c>
      <c r="H55" s="136" t="s">
        <v>248</v>
      </c>
      <c r="I55" s="136" t="s">
        <v>524</v>
      </c>
      <c r="J55" s="136" t="s">
        <v>203</v>
      </c>
      <c r="K55" s="191">
        <v>-1.0606100000000001</v>
      </c>
      <c r="L55" s="191">
        <v>-0.97753179270000001</v>
      </c>
      <c r="M55" s="191">
        <v>-0.16837245758635677</v>
      </c>
      <c r="N55" s="191">
        <v>0</v>
      </c>
      <c r="O55" s="191">
        <v>0</v>
      </c>
      <c r="P55" s="191">
        <v>2.6028898877801399E-2</v>
      </c>
      <c r="Q55" s="191">
        <v>3.4237394220494662E-2</v>
      </c>
      <c r="R55" s="191">
        <v>4.8920823160993041E-2</v>
      </c>
      <c r="T55" s="46">
        <v>1</v>
      </c>
      <c r="U55" s="53" t="s">
        <v>247</v>
      </c>
      <c r="V55" s="47" t="s">
        <v>248</v>
      </c>
      <c r="W55" s="47" t="s">
        <v>524</v>
      </c>
      <c r="X55" s="47" t="s">
        <v>203</v>
      </c>
      <c r="Y55" s="58">
        <v>1.0606100000000001</v>
      </c>
      <c r="Z55" s="193">
        <v>0.89563000000000004</v>
      </c>
      <c r="AB55" s="3"/>
      <c r="AC55" s="3"/>
      <c r="AD55" s="3"/>
      <c r="AE55" s="23"/>
      <c r="AF55" s="3"/>
      <c r="AG55" s="3"/>
    </row>
    <row r="56" spans="6:33">
      <c r="F56" s="137">
        <v>1</v>
      </c>
      <c r="G56" s="137" t="s">
        <v>247</v>
      </c>
      <c r="H56" s="136" t="s">
        <v>263</v>
      </c>
      <c r="I56" s="136" t="s">
        <v>524</v>
      </c>
      <c r="J56" s="136" t="s">
        <v>203</v>
      </c>
      <c r="K56" s="191">
        <v>-1.0341199999999999</v>
      </c>
      <c r="L56" s="191">
        <v>-0.95104179269999989</v>
      </c>
      <c r="M56" s="191">
        <v>-0.16837245758635688</v>
      </c>
      <c r="N56" s="191">
        <v>0</v>
      </c>
      <c r="O56" s="191">
        <v>0</v>
      </c>
      <c r="P56" s="191">
        <v>2.6028902604259274E-2</v>
      </c>
      <c r="Q56" s="191">
        <v>3.6561904986917859E-2</v>
      </c>
      <c r="R56" s="191">
        <v>4.8920898729131385E-2</v>
      </c>
      <c r="T56" s="46">
        <v>1</v>
      </c>
      <c r="U56" s="53" t="s">
        <v>247</v>
      </c>
      <c r="V56" s="47" t="s">
        <v>263</v>
      </c>
      <c r="W56" s="47" t="s">
        <v>524</v>
      </c>
      <c r="X56" s="47" t="s">
        <v>203</v>
      </c>
      <c r="Y56" s="58">
        <v>1.0341199999999999</v>
      </c>
      <c r="Z56" s="193">
        <v>0.89563000000000004</v>
      </c>
      <c r="AB56" s="3"/>
      <c r="AC56" s="3"/>
      <c r="AD56" s="3"/>
      <c r="AE56" s="23"/>
      <c r="AF56" s="3" t="s">
        <v>526</v>
      </c>
      <c r="AG56" s="83">
        <v>0.7</v>
      </c>
    </row>
    <row r="57" spans="6:33">
      <c r="F57" s="137">
        <v>1</v>
      </c>
      <c r="G57" s="137" t="s">
        <v>247</v>
      </c>
      <c r="H57" s="136" t="s">
        <v>539</v>
      </c>
      <c r="I57" s="136" t="s">
        <v>524</v>
      </c>
      <c r="J57" s="136" t="s">
        <v>203</v>
      </c>
      <c r="K57" s="191">
        <v>-1.0569599999999999</v>
      </c>
      <c r="L57" s="191">
        <v>-0.97388179269999986</v>
      </c>
      <c r="M57" s="191">
        <v>-0.17368948256276895</v>
      </c>
      <c r="N57" s="191">
        <v>0</v>
      </c>
      <c r="O57" s="191">
        <v>0</v>
      </c>
      <c r="P57" s="191">
        <v>2.6028883134887146E-2</v>
      </c>
      <c r="Q57" s="191">
        <v>2.41140317462438E-2</v>
      </c>
      <c r="R57" s="191">
        <v>4.8923281519270043E-2</v>
      </c>
      <c r="T57" s="46">
        <v>1</v>
      </c>
      <c r="U57" s="53" t="s">
        <v>247</v>
      </c>
      <c r="V57" s="47" t="s">
        <v>539</v>
      </c>
      <c r="W57" s="47" t="s">
        <v>524</v>
      </c>
      <c r="X57" s="47" t="s">
        <v>203</v>
      </c>
      <c r="Y57" s="58">
        <v>1.0569599999999999</v>
      </c>
      <c r="Z57" s="193">
        <v>0.89563000000000004</v>
      </c>
      <c r="AB57" s="3"/>
      <c r="AC57" s="3"/>
      <c r="AD57" s="3"/>
      <c r="AE57" s="23"/>
      <c r="AF57" s="3" t="s">
        <v>526</v>
      </c>
      <c r="AG57" s="83">
        <v>0.65</v>
      </c>
    </row>
    <row r="58" spans="6:33">
      <c r="F58" s="137">
        <v>1</v>
      </c>
      <c r="G58" s="137" t="s">
        <v>247</v>
      </c>
      <c r="H58" s="136" t="s">
        <v>270</v>
      </c>
      <c r="I58" s="136" t="s">
        <v>524</v>
      </c>
      <c r="J58" s="136" t="s">
        <v>203</v>
      </c>
      <c r="K58" s="191">
        <v>-1.0505633333333335</v>
      </c>
      <c r="L58" s="191">
        <v>-0.96748512603333348</v>
      </c>
      <c r="M58" s="191">
        <v>-0.31702454478282194</v>
      </c>
      <c r="N58" s="191">
        <v>0</v>
      </c>
      <c r="O58" s="191">
        <v>0</v>
      </c>
      <c r="P58" s="191">
        <v>2.6028892864916598E-2</v>
      </c>
      <c r="Q58" s="191">
        <v>3.0359676588963682E-2</v>
      </c>
      <c r="R58" s="191">
        <v>4.8922006766599684E-2</v>
      </c>
      <c r="T58" s="46">
        <v>1</v>
      </c>
      <c r="U58" s="53" t="s">
        <v>247</v>
      </c>
      <c r="V58" s="47" t="s">
        <v>270</v>
      </c>
      <c r="W58" s="47" t="s">
        <v>524</v>
      </c>
      <c r="X58" s="47" t="s">
        <v>203</v>
      </c>
      <c r="Y58" s="58">
        <v>1.0505633333333335</v>
      </c>
      <c r="Z58" s="193">
        <v>0.89563000000000004</v>
      </c>
      <c r="AB58" s="3"/>
      <c r="AC58" s="3"/>
      <c r="AD58" s="3"/>
      <c r="AE58" s="23"/>
      <c r="AF58" s="3"/>
      <c r="AG58" s="3"/>
    </row>
    <row r="59" spans="6:33">
      <c r="F59" s="137">
        <v>1</v>
      </c>
      <c r="G59" s="137" t="s">
        <v>247</v>
      </c>
      <c r="H59" s="136" t="s">
        <v>540</v>
      </c>
      <c r="I59" s="136" t="s">
        <v>524</v>
      </c>
      <c r="J59" s="136" t="s">
        <v>203</v>
      </c>
      <c r="K59" s="191">
        <v>-1.0473650000000001</v>
      </c>
      <c r="L59" s="191">
        <v>-0.96428679270000006</v>
      </c>
      <c r="M59" s="191">
        <v>0</v>
      </c>
      <c r="N59" s="191">
        <v>0</v>
      </c>
      <c r="O59" s="191">
        <v>0</v>
      </c>
      <c r="P59" s="191">
        <v>2.6028876304522913E-2</v>
      </c>
      <c r="Q59" s="191">
        <v>2.6438022357439701E-2</v>
      </c>
      <c r="R59" s="191">
        <v>4.8922836932181288E-2</v>
      </c>
      <c r="T59" s="46">
        <v>1</v>
      </c>
      <c r="U59" s="53" t="s">
        <v>247</v>
      </c>
      <c r="V59" s="47" t="s">
        <v>540</v>
      </c>
      <c r="W59" s="47" t="s">
        <v>524</v>
      </c>
      <c r="X59" s="47" t="s">
        <v>203</v>
      </c>
      <c r="Y59" s="58">
        <v>1.0473650000000001</v>
      </c>
      <c r="Z59" s="193">
        <v>0.89563000000000004</v>
      </c>
      <c r="AB59" s="3"/>
      <c r="AC59" s="3"/>
      <c r="AD59" s="3"/>
      <c r="AE59" s="23"/>
      <c r="AF59" s="3"/>
      <c r="AG59" s="3"/>
    </row>
    <row r="60" spans="6:33">
      <c r="F60" s="137">
        <v>1</v>
      </c>
      <c r="G60" s="137" t="s">
        <v>261</v>
      </c>
      <c r="H60" s="136" t="s">
        <v>260</v>
      </c>
      <c r="I60" s="136" t="s">
        <v>524</v>
      </c>
      <c r="J60" s="136" t="s">
        <v>203</v>
      </c>
      <c r="K60" s="191">
        <v>-4.0364225925925927</v>
      </c>
      <c r="L60" s="191">
        <v>0</v>
      </c>
      <c r="M60" s="191">
        <v>0</v>
      </c>
      <c r="N60" s="191">
        <v>-0.50305138727811594</v>
      </c>
      <c r="O60" s="191">
        <v>-0.86579299296834056</v>
      </c>
      <c r="P60" s="191">
        <v>-0.16418413538846663</v>
      </c>
      <c r="Q60" s="191">
        <v>-0.24963671094074869</v>
      </c>
      <c r="R60" s="191">
        <v>2.7530512404165396E-2</v>
      </c>
      <c r="T60" s="46">
        <v>1</v>
      </c>
      <c r="U60" s="53" t="s">
        <v>529</v>
      </c>
      <c r="V60" s="47" t="s">
        <v>260</v>
      </c>
      <c r="W60" s="47" t="s">
        <v>524</v>
      </c>
      <c r="X60" s="47" t="s">
        <v>203</v>
      </c>
      <c r="Y60" s="58">
        <v>4.0364225925925927</v>
      </c>
      <c r="Z60" s="193">
        <v>1.3856655555555555</v>
      </c>
      <c r="AB60" s="3" t="s">
        <v>526</v>
      </c>
      <c r="AC60" s="125">
        <v>0.64600000000000002</v>
      </c>
      <c r="AD60" s="3">
        <v>0</v>
      </c>
      <c r="AE60" s="23"/>
      <c r="AF60" s="3"/>
      <c r="AG60" s="3"/>
    </row>
    <row r="61" spans="6:33">
      <c r="F61" s="137">
        <v>1</v>
      </c>
      <c r="G61" s="137" t="s">
        <v>10157</v>
      </c>
      <c r="H61" s="136" t="s">
        <v>10157</v>
      </c>
      <c r="I61" s="136" t="s">
        <v>524</v>
      </c>
      <c r="J61" s="136" t="s">
        <v>203</v>
      </c>
      <c r="K61" s="191">
        <v>-2.8533815875203707</v>
      </c>
      <c r="L61" s="191">
        <v>-1.4249189937601854</v>
      </c>
      <c r="M61" s="191">
        <v>0</v>
      </c>
      <c r="N61" s="191">
        <v>0</v>
      </c>
      <c r="O61" s="191">
        <v>0</v>
      </c>
      <c r="P61" s="191">
        <v>-0.46049082276355691</v>
      </c>
      <c r="Q61" s="191">
        <v>-0.55970098771042198</v>
      </c>
      <c r="R61" s="191">
        <v>2.7969477872377062E-2</v>
      </c>
      <c r="T61" s="46">
        <v>1</v>
      </c>
      <c r="U61" s="53" t="s">
        <v>237</v>
      </c>
      <c r="V61" s="47" t="s">
        <v>237</v>
      </c>
      <c r="W61" s="47" t="s">
        <v>524</v>
      </c>
      <c r="X61" s="47" t="s">
        <v>203</v>
      </c>
      <c r="Y61" s="58">
        <v>2.8533815875203707</v>
      </c>
      <c r="Z61" s="193">
        <v>1.0711602172222223</v>
      </c>
      <c r="AB61" s="3" t="s">
        <v>526</v>
      </c>
      <c r="AC61" s="125">
        <v>0.72499999999999998</v>
      </c>
      <c r="AD61" s="3">
        <v>0</v>
      </c>
      <c r="AE61" s="23"/>
      <c r="AF61" s="3"/>
      <c r="AG61" s="3"/>
    </row>
    <row r="62" spans="6:33">
      <c r="F62" s="137">
        <v>1</v>
      </c>
      <c r="G62" s="137" t="s">
        <v>10157</v>
      </c>
      <c r="H62" s="136" t="s">
        <v>246</v>
      </c>
      <c r="I62" s="136" t="s">
        <v>524</v>
      </c>
      <c r="J62" s="136" t="s">
        <v>203</v>
      </c>
      <c r="K62" s="191">
        <v>-7.3412433500000009</v>
      </c>
      <c r="L62" s="191">
        <v>0</v>
      </c>
      <c r="M62" s="191">
        <v>0</v>
      </c>
      <c r="N62" s="191">
        <v>0</v>
      </c>
      <c r="O62" s="191">
        <v>0</v>
      </c>
      <c r="P62" s="191">
        <v>2.6028927352485211E-2</v>
      </c>
      <c r="Q62" s="191">
        <v>4.1544504253524434E-2</v>
      </c>
      <c r="R62" s="191">
        <v>4.8920490039415225E-2</v>
      </c>
      <c r="T62" s="46">
        <v>1</v>
      </c>
      <c r="U62" s="53" t="s">
        <v>237</v>
      </c>
      <c r="V62" s="47" t="s">
        <v>246</v>
      </c>
      <c r="W62" s="47" t="s">
        <v>524</v>
      </c>
      <c r="X62" s="47" t="s">
        <v>203</v>
      </c>
      <c r="Y62" s="58">
        <v>7.3412433500000009</v>
      </c>
      <c r="Z62" s="193">
        <v>0.66842500000000005</v>
      </c>
      <c r="AB62" s="3" t="s">
        <v>526</v>
      </c>
      <c r="AC62" s="125">
        <v>0.64600000000000002</v>
      </c>
      <c r="AD62" s="3">
        <v>0</v>
      </c>
      <c r="AE62" s="23"/>
      <c r="AF62" s="3" t="s">
        <v>526</v>
      </c>
      <c r="AG62" s="83">
        <v>0.5</v>
      </c>
    </row>
    <row r="63" spans="6:33" ht="28.8">
      <c r="F63" s="137">
        <v>1</v>
      </c>
      <c r="G63" s="137" t="s">
        <v>10157</v>
      </c>
      <c r="H63" s="136" t="s">
        <v>10162</v>
      </c>
      <c r="I63" s="136" t="s">
        <v>524</v>
      </c>
      <c r="J63" s="136" t="s">
        <v>203</v>
      </c>
      <c r="K63" s="191">
        <v>-2.8533815875203707</v>
      </c>
      <c r="L63" s="191">
        <v>0</v>
      </c>
      <c r="M63" s="191">
        <v>0</v>
      </c>
      <c r="N63" s="191">
        <v>-1.0291057012353388</v>
      </c>
      <c r="O63" s="191">
        <v>-1.5981537109780228</v>
      </c>
      <c r="P63" s="191">
        <v>-0.46049082276355691</v>
      </c>
      <c r="Q63" s="191">
        <v>-0.55970098771042198</v>
      </c>
      <c r="R63" s="191">
        <v>2.7969477872377062E-2</v>
      </c>
      <c r="T63" s="46">
        <v>1</v>
      </c>
      <c r="U63" s="53" t="s">
        <v>237</v>
      </c>
      <c r="V63" s="28" t="s">
        <v>10162</v>
      </c>
      <c r="W63" s="47" t="s">
        <v>524</v>
      </c>
      <c r="X63" s="47" t="s">
        <v>203</v>
      </c>
      <c r="Y63" s="58">
        <v>2.8533815875203707</v>
      </c>
      <c r="Z63" s="193">
        <v>1.0711602172222223</v>
      </c>
      <c r="AB63" s="3" t="s">
        <v>526</v>
      </c>
      <c r="AC63" s="125">
        <v>0.72499999999999998</v>
      </c>
      <c r="AD63" s="3">
        <v>0.14482945764999999</v>
      </c>
      <c r="AE63" s="23" t="s">
        <v>541</v>
      </c>
      <c r="AF63" s="3"/>
      <c r="AG63" s="3"/>
    </row>
    <row r="64" spans="6:33">
      <c r="F64" s="370">
        <v>1</v>
      </c>
      <c r="G64" s="137" t="s">
        <v>252</v>
      </c>
      <c r="H64" s="136" t="s">
        <v>333</v>
      </c>
      <c r="I64" s="136" t="s">
        <v>524</v>
      </c>
      <c r="J64" s="136" t="s">
        <v>203</v>
      </c>
      <c r="K64" s="191">
        <v>-2.0953266666666663</v>
      </c>
      <c r="L64" s="191">
        <v>0</v>
      </c>
      <c r="M64" s="191">
        <v>-4.4029413122431871</v>
      </c>
      <c r="N64" s="191">
        <v>0</v>
      </c>
      <c r="O64" s="191">
        <v>0</v>
      </c>
      <c r="P64" s="191">
        <v>2.6028899631859132E-2</v>
      </c>
      <c r="Q64" s="191">
        <v>0.56977298272817556</v>
      </c>
      <c r="R64" s="191">
        <v>2.1870253230519587</v>
      </c>
      <c r="T64" s="46">
        <v>1</v>
      </c>
      <c r="U64" s="53" t="s">
        <v>252</v>
      </c>
      <c r="V64" s="28" t="s">
        <v>333</v>
      </c>
      <c r="W64" s="47" t="s">
        <v>524</v>
      </c>
      <c r="X64" s="47" t="s">
        <v>203</v>
      </c>
      <c r="Y64" s="58">
        <v>2.0953266666666663</v>
      </c>
      <c r="Z64" s="193">
        <v>1.77911</v>
      </c>
      <c r="AB64" s="3"/>
      <c r="AC64" s="3"/>
      <c r="AD64" s="3"/>
      <c r="AE64" s="3"/>
      <c r="AF64" s="3"/>
      <c r="AG64" s="3"/>
    </row>
    <row r="65" spans="6:33">
      <c r="F65" s="370">
        <v>1</v>
      </c>
      <c r="G65" s="137" t="s">
        <v>239</v>
      </c>
      <c r="H65" s="136" t="s">
        <v>542</v>
      </c>
      <c r="I65" s="136" t="s">
        <v>524</v>
      </c>
      <c r="J65" s="136" t="s">
        <v>203</v>
      </c>
      <c r="K65" s="191">
        <v>-2.6644477777777777</v>
      </c>
      <c r="L65" s="191">
        <v>0</v>
      </c>
      <c r="M65" s="191">
        <v>-0.85315144198853521</v>
      </c>
      <c r="N65" s="191">
        <v>-1.6307049553261799</v>
      </c>
      <c r="O65" s="191">
        <v>-2.3905586632960283</v>
      </c>
      <c r="P65" s="191">
        <v>-0.64514726219802043</v>
      </c>
      <c r="Q65" s="191">
        <v>-0.87223081739780683</v>
      </c>
      <c r="R65" s="191">
        <v>2.7472078555399088E-2</v>
      </c>
      <c r="T65" s="46">
        <v>1</v>
      </c>
      <c r="U65" s="53" t="s">
        <v>239</v>
      </c>
      <c r="V65" s="3" t="s">
        <v>542</v>
      </c>
      <c r="W65" s="47" t="s">
        <v>524</v>
      </c>
      <c r="X65" s="47" t="s">
        <v>203</v>
      </c>
      <c r="Y65" s="58">
        <v>2.6644477777777777</v>
      </c>
      <c r="Z65" s="193">
        <v>0.64099666666666666</v>
      </c>
      <c r="AB65" s="3"/>
      <c r="AC65" s="3"/>
      <c r="AD65" s="3"/>
      <c r="AE65" s="3"/>
      <c r="AF65" s="3"/>
      <c r="AG65" s="3"/>
    </row>
    <row r="66" spans="6:33">
      <c r="F66" s="372">
        <v>1</v>
      </c>
      <c r="G66" s="373" t="s">
        <v>10157</v>
      </c>
      <c r="H66" s="6" t="s">
        <v>238</v>
      </c>
      <c r="I66" s="136" t="s">
        <v>524</v>
      </c>
      <c r="J66" s="136" t="s">
        <v>203</v>
      </c>
      <c r="K66" s="191">
        <v>-2.7046544444444445</v>
      </c>
      <c r="L66" s="191">
        <v>0</v>
      </c>
      <c r="M66" s="191">
        <v>0</v>
      </c>
      <c r="N66" s="191">
        <v>0</v>
      </c>
      <c r="O66" s="191">
        <v>0</v>
      </c>
      <c r="P66" s="191">
        <v>-0.1417885115680623</v>
      </c>
      <c r="Q66" s="191">
        <v>-9.3087025812729193E-2</v>
      </c>
      <c r="R66" s="191">
        <v>0.54509494649852375</v>
      </c>
      <c r="T66" s="46">
        <v>1</v>
      </c>
      <c r="U66" s="53" t="s">
        <v>237</v>
      </c>
      <c r="V66" s="3" t="s">
        <v>238</v>
      </c>
      <c r="W66" s="47" t="s">
        <v>524</v>
      </c>
      <c r="X66" s="47" t="s">
        <v>203</v>
      </c>
      <c r="Y66" s="58">
        <v>2.7046544444444445</v>
      </c>
      <c r="Z66" s="193">
        <v>1.2161291666666667</v>
      </c>
      <c r="AB66" s="3"/>
      <c r="AC66" s="3"/>
      <c r="AD66" s="3"/>
      <c r="AE66" s="3"/>
      <c r="AF66" s="3"/>
      <c r="AG66" s="3"/>
    </row>
    <row r="67" spans="6:33" ht="28.8">
      <c r="F67" s="372">
        <v>1</v>
      </c>
      <c r="G67" s="373" t="s">
        <v>264</v>
      </c>
      <c r="H67" s="6" t="s">
        <v>10184</v>
      </c>
      <c r="I67" s="136" t="s">
        <v>524</v>
      </c>
      <c r="J67" s="136" t="s">
        <v>203</v>
      </c>
      <c r="K67" s="191">
        <v>-1.9287117500000002</v>
      </c>
      <c r="L67" s="191">
        <v>-1.1070613798500002</v>
      </c>
      <c r="M67" s="191">
        <v>0.15112249999999994</v>
      </c>
      <c r="N67" s="191">
        <v>0</v>
      </c>
      <c r="O67" s="191">
        <v>0</v>
      </c>
      <c r="P67" s="191">
        <v>-0.34061625573241483</v>
      </c>
      <c r="Q67" s="191">
        <v>-0.52090358989870056</v>
      </c>
      <c r="R67" s="191">
        <v>0.4604220986258532</v>
      </c>
      <c r="T67" s="46">
        <v>1</v>
      </c>
      <c r="U67" s="53" t="s">
        <v>264</v>
      </c>
      <c r="V67" s="3" t="s">
        <v>264</v>
      </c>
      <c r="W67" s="47" t="s">
        <v>524</v>
      </c>
      <c r="X67" s="47" t="s">
        <v>203</v>
      </c>
      <c r="Y67" s="58">
        <v>1.9287117500000002</v>
      </c>
      <c r="Z67" s="193">
        <v>0.467055</v>
      </c>
      <c r="AB67" s="3" t="s">
        <v>526</v>
      </c>
      <c r="AC67" s="125">
        <v>0.77500000000000002</v>
      </c>
      <c r="AD67" s="3">
        <v>0</v>
      </c>
      <c r="AE67" s="3" t="s">
        <v>527</v>
      </c>
      <c r="AF67" s="3"/>
      <c r="AG67" s="3"/>
    </row>
    <row r="68" spans="6:33">
      <c r="F68" s="372">
        <v>1</v>
      </c>
      <c r="G68" s="373" t="s">
        <v>264</v>
      </c>
      <c r="H68" s="6" t="s">
        <v>336</v>
      </c>
      <c r="I68" s="136" t="s">
        <v>524</v>
      </c>
      <c r="J68" s="136" t="s">
        <v>203</v>
      </c>
      <c r="K68" s="191">
        <v>-0.76351350000000007</v>
      </c>
      <c r="L68" s="191">
        <v>-0.34968251735000005</v>
      </c>
      <c r="M68" s="191">
        <v>0</v>
      </c>
      <c r="N68" s="191">
        <v>-1.6470230578256588</v>
      </c>
      <c r="O68" s="191">
        <v>-2.6265410978135688</v>
      </c>
      <c r="P68" s="191">
        <v>-0.99849482060934003</v>
      </c>
      <c r="Q68" s="191">
        <v>-0.7564579954406071</v>
      </c>
      <c r="R68" s="191">
        <v>0.2115485550219019</v>
      </c>
      <c r="T68" s="46">
        <v>1</v>
      </c>
      <c r="U68" s="53" t="s">
        <v>264</v>
      </c>
      <c r="V68" s="3" t="s">
        <v>336</v>
      </c>
      <c r="W68" s="47" t="s">
        <v>524</v>
      </c>
      <c r="X68" s="47" t="s">
        <v>203</v>
      </c>
      <c r="Y68" s="58">
        <v>0.76351350000000007</v>
      </c>
      <c r="Z68" s="193">
        <v>0.43603999999999998</v>
      </c>
      <c r="AB68" s="3" t="s">
        <v>526</v>
      </c>
      <c r="AC68" s="125">
        <v>0.77500000000000002</v>
      </c>
      <c r="AD68" s="3">
        <v>0</v>
      </c>
      <c r="AE68" s="3" t="s">
        <v>527</v>
      </c>
      <c r="AF68" s="3"/>
      <c r="AG68" s="3"/>
    </row>
    <row r="69" spans="6:33">
      <c r="F69" s="372">
        <v>1</v>
      </c>
      <c r="G69" s="373" t="s">
        <v>242</v>
      </c>
      <c r="H69" s="6" t="s">
        <v>251</v>
      </c>
      <c r="I69" s="136" t="s">
        <v>524</v>
      </c>
      <c r="J69" s="136" t="s">
        <v>203</v>
      </c>
      <c r="K69" s="191">
        <v>-4.9218200000000003</v>
      </c>
      <c r="L69" s="191">
        <v>-3.5665477000000001</v>
      </c>
      <c r="M69" s="191">
        <v>-1.2190350000000001</v>
      </c>
      <c r="N69" s="191">
        <v>0</v>
      </c>
      <c r="O69" s="191">
        <v>0</v>
      </c>
      <c r="P69" s="191">
        <v>2.5957729224341867E-2</v>
      </c>
      <c r="Q69" s="191">
        <v>0.19611811587387543</v>
      </c>
      <c r="R69" s="191">
        <v>0.85137837827672158</v>
      </c>
      <c r="T69" s="46">
        <v>1</v>
      </c>
      <c r="U69" s="53" t="s">
        <v>242</v>
      </c>
      <c r="V69" s="3" t="s">
        <v>251</v>
      </c>
      <c r="W69" s="47" t="s">
        <v>524</v>
      </c>
      <c r="X69" s="47" t="s">
        <v>203</v>
      </c>
      <c r="Y69" s="58">
        <v>4.9218200000000003</v>
      </c>
      <c r="Z69" s="193">
        <v>0.15096000000000001</v>
      </c>
      <c r="AB69" s="3" t="s">
        <v>526</v>
      </c>
      <c r="AC69" s="125">
        <v>0.77500000000000002</v>
      </c>
      <c r="AD69" s="3">
        <v>0</v>
      </c>
      <c r="AE69" s="3" t="s">
        <v>527</v>
      </c>
      <c r="AF69" s="3"/>
      <c r="AG69" s="3"/>
    </row>
    <row r="70" spans="6:33">
      <c r="F70" s="372">
        <v>1</v>
      </c>
      <c r="G70" s="373" t="s">
        <v>242</v>
      </c>
      <c r="H70" s="6" t="s">
        <v>543</v>
      </c>
      <c r="I70" s="136" t="s">
        <v>524</v>
      </c>
      <c r="J70" s="136" t="s">
        <v>203</v>
      </c>
      <c r="K70" s="191">
        <v>-1.00081</v>
      </c>
      <c r="L70" s="191">
        <v>-0.72381545000000003</v>
      </c>
      <c r="M70" s="191">
        <v>-0.20626249999999999</v>
      </c>
      <c r="N70" s="191">
        <v>0</v>
      </c>
      <c r="O70" s="191">
        <v>0</v>
      </c>
      <c r="P70" s="191">
        <v>2.5859999999999998E-2</v>
      </c>
      <c r="Q70" s="191">
        <v>4.1544504253524454E-2</v>
      </c>
      <c r="R70" s="191">
        <v>4.8920490039414649E-2</v>
      </c>
      <c r="T70" s="46">
        <v>1</v>
      </c>
      <c r="U70" s="53" t="s">
        <v>242</v>
      </c>
      <c r="V70" s="3" t="s">
        <v>543</v>
      </c>
      <c r="W70" s="47" t="s">
        <v>524</v>
      </c>
      <c r="X70" s="47" t="s">
        <v>203</v>
      </c>
      <c r="Y70" s="58">
        <v>1.00081</v>
      </c>
      <c r="Z70" s="193">
        <v>0.33138000000000001</v>
      </c>
      <c r="AB70" s="3" t="s">
        <v>526</v>
      </c>
      <c r="AC70" s="83">
        <v>0.5</v>
      </c>
      <c r="AD70" s="3">
        <v>0</v>
      </c>
      <c r="AE70" s="3" t="s">
        <v>528</v>
      </c>
      <c r="AF70" s="3"/>
      <c r="AG70" s="3"/>
    </row>
    <row r="71" spans="6:33">
      <c r="F71" s="372">
        <v>1</v>
      </c>
      <c r="G71" s="373" t="s">
        <v>264</v>
      </c>
      <c r="H71" s="6" t="s">
        <v>544</v>
      </c>
      <c r="I71" s="136" t="s">
        <v>524</v>
      </c>
      <c r="J71" s="136" t="s">
        <v>203</v>
      </c>
      <c r="K71" s="191">
        <v>-3.0939100000000002</v>
      </c>
      <c r="L71" s="191">
        <v>-1.8644402423500002</v>
      </c>
      <c r="M71" s="191">
        <v>0.15112249999999994</v>
      </c>
      <c r="N71" s="191">
        <v>0</v>
      </c>
      <c r="O71" s="191">
        <v>0</v>
      </c>
      <c r="P71" s="191">
        <v>0.31726230914451042</v>
      </c>
      <c r="Q71" s="191">
        <v>-0.28534918435679391</v>
      </c>
      <c r="R71" s="191">
        <v>0.70929564222980457</v>
      </c>
      <c r="T71" s="46">
        <v>1</v>
      </c>
      <c r="U71" s="53" t="s">
        <v>264</v>
      </c>
      <c r="V71" s="3" t="s">
        <v>544</v>
      </c>
      <c r="W71" s="47" t="s">
        <v>524</v>
      </c>
      <c r="X71" s="47" t="s">
        <v>203</v>
      </c>
      <c r="Y71" s="58">
        <v>3.0939100000000002</v>
      </c>
      <c r="Z71" s="193">
        <v>0.49807000000000001</v>
      </c>
      <c r="AB71" s="3" t="s">
        <v>526</v>
      </c>
      <c r="AC71" s="83">
        <v>0.5</v>
      </c>
      <c r="AD71" s="3">
        <v>0</v>
      </c>
      <c r="AE71" s="3" t="s">
        <v>528</v>
      </c>
      <c r="AF71" s="3"/>
      <c r="AG71" s="3"/>
    </row>
    <row r="72" spans="6:33">
      <c r="F72" s="372">
        <v>1</v>
      </c>
      <c r="G72" s="373" t="s">
        <v>10157</v>
      </c>
      <c r="H72" s="6" t="s">
        <v>545</v>
      </c>
      <c r="I72" s="136" t="s">
        <v>524</v>
      </c>
      <c r="J72" s="136" t="s">
        <v>203</v>
      </c>
      <c r="K72" s="191">
        <v>-2.8533815875203707</v>
      </c>
      <c r="L72" s="191">
        <v>0</v>
      </c>
      <c r="M72" s="191">
        <v>0</v>
      </c>
      <c r="N72" s="191">
        <v>0</v>
      </c>
      <c r="O72" s="191">
        <v>0</v>
      </c>
      <c r="P72" s="191">
        <v>-0.46049082276355691</v>
      </c>
      <c r="Q72" s="191">
        <v>-0.55970098771042198</v>
      </c>
      <c r="R72" s="191">
        <v>2.7969477872377062E-2</v>
      </c>
      <c r="T72" s="46">
        <v>1</v>
      </c>
      <c r="U72" s="53" t="s">
        <v>237</v>
      </c>
      <c r="V72" s="3" t="s">
        <v>545</v>
      </c>
      <c r="W72" s="47" t="s">
        <v>524</v>
      </c>
      <c r="X72" s="47" t="s">
        <v>203</v>
      </c>
      <c r="Y72" s="58">
        <v>2.8533815875203707</v>
      </c>
      <c r="Z72" s="193">
        <v>1.0711602172222223</v>
      </c>
      <c r="AB72" s="3"/>
      <c r="AC72" s="3"/>
      <c r="AD72" s="3"/>
      <c r="AE72" s="3"/>
      <c r="AF72" s="3"/>
      <c r="AG72" s="3"/>
    </row>
    <row r="73" spans="6:33" ht="28.8">
      <c r="F73" s="372">
        <v>1</v>
      </c>
      <c r="G73" s="373" t="s">
        <v>10169</v>
      </c>
      <c r="H73" s="6" t="s">
        <v>10170</v>
      </c>
      <c r="I73" s="136" t="s">
        <v>524</v>
      </c>
      <c r="J73" s="136" t="s">
        <v>203</v>
      </c>
      <c r="K73" s="191">
        <v>-0.74582333333333339</v>
      </c>
      <c r="L73" s="191">
        <v>-0.58351400000000009</v>
      </c>
      <c r="M73" s="191">
        <v>0.3259926084346883</v>
      </c>
      <c r="N73" s="191">
        <v>0</v>
      </c>
      <c r="O73" s="191">
        <v>0</v>
      </c>
      <c r="P73" s="191">
        <v>0.45668176288049178</v>
      </c>
      <c r="Q73" s="191">
        <v>1.0683983533052401</v>
      </c>
      <c r="R73" s="191">
        <v>1.142290877337675</v>
      </c>
      <c r="T73" s="46">
        <v>1</v>
      </c>
      <c r="U73" s="53"/>
      <c r="V73" s="47"/>
      <c r="W73" s="47" t="s">
        <v>546</v>
      </c>
      <c r="X73" s="47" t="s">
        <v>203</v>
      </c>
      <c r="Y73" s="58" t="s">
        <v>525</v>
      </c>
      <c r="Z73" s="193" t="s">
        <v>525</v>
      </c>
      <c r="AB73" s="3" t="s">
        <v>526</v>
      </c>
      <c r="AC73" s="125">
        <v>0.77500000000000002</v>
      </c>
      <c r="AD73" s="3">
        <v>8.1306407300000008E-2</v>
      </c>
      <c r="AE73" s="3" t="s">
        <v>531</v>
      </c>
      <c r="AF73" s="3" t="s">
        <v>526</v>
      </c>
      <c r="AG73" s="83">
        <v>0.85</v>
      </c>
    </row>
    <row r="74" spans="6:33" ht="28.8">
      <c r="F74" s="372">
        <v>1</v>
      </c>
      <c r="G74" s="373" t="s">
        <v>233</v>
      </c>
      <c r="H74" s="6" t="s">
        <v>10178</v>
      </c>
      <c r="I74" s="136" t="s">
        <v>546</v>
      </c>
      <c r="J74" s="136" t="s">
        <v>203</v>
      </c>
      <c r="K74" s="191">
        <v>0</v>
      </c>
      <c r="L74" s="191">
        <v>-0.13905086666666666</v>
      </c>
      <c r="M74" s="191">
        <v>0</v>
      </c>
      <c r="N74" s="191">
        <v>-1.4414069883318792</v>
      </c>
      <c r="O74" s="191">
        <v>-2.0497940328886326</v>
      </c>
      <c r="P74" s="191">
        <v>-0.95369676715598761</v>
      </c>
      <c r="Q74" s="191">
        <v>-0.94188890176929407</v>
      </c>
      <c r="R74" s="191">
        <v>3.3142922198131336E-2</v>
      </c>
      <c r="T74" s="46">
        <v>1</v>
      </c>
      <c r="U74" s="53"/>
      <c r="V74" s="47"/>
      <c r="W74" s="47" t="s">
        <v>546</v>
      </c>
      <c r="X74" s="47" t="s">
        <v>203</v>
      </c>
      <c r="Y74" s="58" t="s">
        <v>525</v>
      </c>
      <c r="Z74" s="193" t="s">
        <v>525</v>
      </c>
      <c r="AB74" s="3" t="s">
        <v>526</v>
      </c>
      <c r="AC74" s="125">
        <v>0.77500000000000002</v>
      </c>
      <c r="AD74" s="3">
        <v>8.1306407300000008E-2</v>
      </c>
      <c r="AE74" s="3" t="s">
        <v>531</v>
      </c>
      <c r="AF74" s="3" t="s">
        <v>526</v>
      </c>
      <c r="AG74" s="83">
        <v>0.7</v>
      </c>
    </row>
    <row r="75" spans="6:33">
      <c r="F75" s="372">
        <v>1</v>
      </c>
      <c r="G75" s="373" t="s">
        <v>233</v>
      </c>
      <c r="H75" s="6" t="s">
        <v>250</v>
      </c>
      <c r="I75" s="136" t="s">
        <v>546</v>
      </c>
      <c r="J75" s="136" t="s">
        <v>203</v>
      </c>
      <c r="K75" s="191">
        <v>0</v>
      </c>
      <c r="L75" s="191">
        <v>0</v>
      </c>
      <c r="M75" s="191">
        <v>0</v>
      </c>
      <c r="N75" s="191">
        <v>-1.7428299748564999</v>
      </c>
      <c r="O75" s="191">
        <v>-2.15119062242628</v>
      </c>
      <c r="P75" s="191">
        <v>-0.91901570762681595</v>
      </c>
      <c r="Q75" s="191">
        <v>-1.00856923529019</v>
      </c>
      <c r="R75" s="191">
        <v>2.84335678847604E-2</v>
      </c>
      <c r="T75" s="46">
        <v>1</v>
      </c>
      <c r="U75" s="53"/>
      <c r="V75" s="47"/>
      <c r="W75" s="47" t="s">
        <v>546</v>
      </c>
      <c r="X75" s="47" t="s">
        <v>203</v>
      </c>
      <c r="Y75" s="58" t="s">
        <v>525</v>
      </c>
      <c r="Z75" s="193" t="s">
        <v>525</v>
      </c>
      <c r="AB75" s="3"/>
      <c r="AC75" s="3"/>
      <c r="AD75" s="3"/>
      <c r="AE75" s="3"/>
      <c r="AF75" s="3" t="s">
        <v>526</v>
      </c>
      <c r="AG75" s="83">
        <v>0.8</v>
      </c>
    </row>
    <row r="76" spans="6:33">
      <c r="F76" s="372">
        <v>1</v>
      </c>
      <c r="G76" s="373" t="s">
        <v>233</v>
      </c>
      <c r="H76" s="6" t="s">
        <v>249</v>
      </c>
      <c r="I76" s="136" t="s">
        <v>546</v>
      </c>
      <c r="J76" s="136" t="s">
        <v>203</v>
      </c>
      <c r="K76" s="191">
        <v>0</v>
      </c>
      <c r="L76" s="191">
        <v>0</v>
      </c>
      <c r="M76" s="191">
        <v>0</v>
      </c>
      <c r="N76" s="191">
        <v>-0.54274589725327604</v>
      </c>
      <c r="O76" s="191">
        <v>-0.74997857749286201</v>
      </c>
      <c r="P76" s="191">
        <v>0.20327821719234701</v>
      </c>
      <c r="Q76" s="191">
        <v>-0.215080705508578</v>
      </c>
      <c r="R76" s="191">
        <v>2.5754502073186199E-2</v>
      </c>
      <c r="T76" s="46">
        <v>1</v>
      </c>
      <c r="U76" s="53"/>
      <c r="V76" s="47"/>
      <c r="W76" s="47" t="s">
        <v>546</v>
      </c>
      <c r="X76" s="47" t="s">
        <v>203</v>
      </c>
      <c r="Y76" s="58" t="s">
        <v>525</v>
      </c>
      <c r="Z76" s="193" t="s">
        <v>525</v>
      </c>
      <c r="AB76" s="3" t="s">
        <v>526</v>
      </c>
      <c r="AC76" s="125">
        <v>0.77500000000000002</v>
      </c>
      <c r="AD76" s="3">
        <v>8.1306407300000008E-2</v>
      </c>
      <c r="AE76" s="3" t="s">
        <v>531</v>
      </c>
      <c r="AF76" s="3" t="s">
        <v>526</v>
      </c>
      <c r="AG76" s="83">
        <v>0.7</v>
      </c>
    </row>
    <row r="77" spans="6:33">
      <c r="F77" s="372">
        <v>1</v>
      </c>
      <c r="G77" s="373" t="s">
        <v>233</v>
      </c>
      <c r="H77" s="6" t="s">
        <v>273</v>
      </c>
      <c r="I77" s="136" t="s">
        <v>546</v>
      </c>
      <c r="J77" s="136" t="s">
        <v>203</v>
      </c>
      <c r="K77" s="191">
        <v>0</v>
      </c>
      <c r="L77" s="191">
        <v>0</v>
      </c>
      <c r="M77" s="191">
        <v>0</v>
      </c>
      <c r="N77" s="191">
        <v>-1.64048635651654</v>
      </c>
      <c r="O77" s="191">
        <v>-2.0946209450596398</v>
      </c>
      <c r="P77" s="191">
        <v>-0.78894878429316695</v>
      </c>
      <c r="Q77" s="191">
        <v>-0.97955204166985599</v>
      </c>
      <c r="R77" s="191">
        <v>2.7209147933534902E-2</v>
      </c>
      <c r="T77" s="46">
        <v>1</v>
      </c>
      <c r="U77" s="53" t="s">
        <v>330</v>
      </c>
      <c r="V77" s="47" t="s">
        <v>330</v>
      </c>
      <c r="W77" s="47" t="s">
        <v>546</v>
      </c>
      <c r="X77" s="47" t="s">
        <v>203</v>
      </c>
      <c r="Y77" s="58">
        <v>0.14119999999999999</v>
      </c>
      <c r="Z77" s="193">
        <v>0.43014000000000002</v>
      </c>
      <c r="AB77" s="3"/>
      <c r="AC77" s="3"/>
      <c r="AD77" s="3"/>
      <c r="AE77" s="3"/>
      <c r="AF77" s="3"/>
      <c r="AG77" s="83"/>
    </row>
    <row r="78" spans="6:33">
      <c r="F78" s="372">
        <v>1</v>
      </c>
      <c r="G78" s="373" t="s">
        <v>233</v>
      </c>
      <c r="H78" s="6" t="s">
        <v>330</v>
      </c>
      <c r="I78" s="136" t="s">
        <v>546</v>
      </c>
      <c r="J78" s="136" t="s">
        <v>203</v>
      </c>
      <c r="K78" s="191">
        <v>-0.14119999999999999</v>
      </c>
      <c r="L78" s="191">
        <v>-0.1076582</v>
      </c>
      <c r="M78" s="191">
        <v>0</v>
      </c>
      <c r="N78" s="191">
        <v>0</v>
      </c>
      <c r="O78" s="191">
        <v>0</v>
      </c>
      <c r="P78" s="191">
        <v>-1.4691234067535699</v>
      </c>
      <c r="Q78" s="191">
        <v>-1.1416276075298999</v>
      </c>
      <c r="R78" s="191">
        <v>5.3037818157875102E-2</v>
      </c>
      <c r="T78" s="46">
        <v>1</v>
      </c>
      <c r="U78" s="53" t="s">
        <v>330</v>
      </c>
      <c r="V78" s="47" t="s">
        <v>335</v>
      </c>
      <c r="W78" s="47" t="s">
        <v>546</v>
      </c>
      <c r="X78" s="47" t="s">
        <v>203</v>
      </c>
      <c r="Y78" s="58">
        <v>0.26272000000000001</v>
      </c>
      <c r="Z78" s="193">
        <v>0.43014000000000002</v>
      </c>
      <c r="AB78" s="3" t="s">
        <v>526</v>
      </c>
      <c r="AC78" s="125">
        <v>0.77500000000000002</v>
      </c>
      <c r="AD78" s="3">
        <v>8.1306407300000008E-2</v>
      </c>
      <c r="AE78" s="3" t="s">
        <v>531</v>
      </c>
      <c r="AF78" s="3"/>
      <c r="AG78" s="3"/>
    </row>
    <row r="79" spans="6:33">
      <c r="F79" s="372">
        <v>1</v>
      </c>
      <c r="G79" s="373" t="s">
        <v>233</v>
      </c>
      <c r="H79" s="6" t="s">
        <v>335</v>
      </c>
      <c r="I79" s="136" t="s">
        <v>546</v>
      </c>
      <c r="J79" s="136" t="s">
        <v>203</v>
      </c>
      <c r="K79" s="191">
        <v>-0.26272000000000001</v>
      </c>
      <c r="L79" s="191">
        <v>-0.20183620000000002</v>
      </c>
      <c r="M79" s="191">
        <v>0</v>
      </c>
      <c r="N79" s="191">
        <v>-1.64048635651654</v>
      </c>
      <c r="O79" s="191">
        <v>-2.6265900097321899</v>
      </c>
      <c r="P79" s="191">
        <v>-1.37418546072736</v>
      </c>
      <c r="Q79" s="191">
        <v>-1.1532519103086201</v>
      </c>
      <c r="R79" s="191">
        <v>3.2211248569715703E-2</v>
      </c>
      <c r="T79" s="46">
        <v>1</v>
      </c>
      <c r="U79" s="53" t="s">
        <v>330</v>
      </c>
      <c r="V79" s="47" t="s">
        <v>326</v>
      </c>
      <c r="W79" s="47" t="s">
        <v>546</v>
      </c>
      <c r="X79" s="47" t="s">
        <v>203</v>
      </c>
      <c r="Y79" s="58">
        <v>0.14119999999999999</v>
      </c>
      <c r="Z79" s="193">
        <v>0.43014000000000002</v>
      </c>
      <c r="AB79" s="3" t="s">
        <v>526</v>
      </c>
      <c r="AC79" s="125">
        <v>0.72499999999999998</v>
      </c>
      <c r="AD79" s="3">
        <v>8.1306407300000008E-2</v>
      </c>
      <c r="AE79" s="3" t="s">
        <v>531</v>
      </c>
      <c r="AF79" s="3"/>
      <c r="AG79" s="3"/>
    </row>
    <row r="80" spans="6:33">
      <c r="F80" s="372">
        <v>1</v>
      </c>
      <c r="G80" s="373" t="s">
        <v>233</v>
      </c>
      <c r="H80" s="6" t="s">
        <v>326</v>
      </c>
      <c r="I80" s="136" t="s">
        <v>546</v>
      </c>
      <c r="J80" s="136" t="s">
        <v>203</v>
      </c>
      <c r="K80" s="191">
        <v>-0.14119999999999999</v>
      </c>
      <c r="L80" s="191">
        <v>-0.1076582</v>
      </c>
      <c r="M80" s="191">
        <v>0</v>
      </c>
      <c r="N80" s="191">
        <v>-1.64048635651654</v>
      </c>
      <c r="O80" s="191">
        <v>-2.6265900097321899</v>
      </c>
      <c r="P80" s="191">
        <v>-1.37418546072736</v>
      </c>
      <c r="Q80" s="191">
        <v>-1.1532519103086201</v>
      </c>
      <c r="R80" s="191">
        <v>3.2211248569715703E-2</v>
      </c>
      <c r="T80" s="46">
        <v>1</v>
      </c>
      <c r="U80" s="53" t="s">
        <v>529</v>
      </c>
      <c r="V80" s="47" t="s">
        <v>529</v>
      </c>
      <c r="W80" s="47" t="s">
        <v>546</v>
      </c>
      <c r="X80" s="47" t="s">
        <v>203</v>
      </c>
      <c r="Y80" s="58">
        <v>4.72241</v>
      </c>
      <c r="Z80" s="193">
        <v>1.758</v>
      </c>
      <c r="AB80" s="3" t="s">
        <v>526</v>
      </c>
      <c r="AC80" s="125">
        <v>0.72499999999999998</v>
      </c>
      <c r="AD80" s="3">
        <v>8.1306407300000008E-2</v>
      </c>
      <c r="AE80" s="3" t="s">
        <v>531</v>
      </c>
      <c r="AF80" s="3"/>
      <c r="AG80" s="3"/>
    </row>
    <row r="81" spans="6:33">
      <c r="F81" s="372">
        <v>1</v>
      </c>
      <c r="G81" s="373" t="s">
        <v>261</v>
      </c>
      <c r="H81" s="6" t="s">
        <v>10179</v>
      </c>
      <c r="I81" s="136" t="s">
        <v>546</v>
      </c>
      <c r="J81" s="136" t="s">
        <v>203</v>
      </c>
      <c r="K81" s="191">
        <v>-4.72241</v>
      </c>
      <c r="L81" s="191">
        <v>-2.3594331999999998</v>
      </c>
      <c r="M81" s="191">
        <v>0</v>
      </c>
      <c r="N81" s="191">
        <v>-0.36295620134676754</v>
      </c>
      <c r="O81" s="191">
        <v>-0.61088976877090895</v>
      </c>
      <c r="P81" s="191">
        <v>0.30189800859006249</v>
      </c>
      <c r="Q81" s="191">
        <v>-0.1985340031353065</v>
      </c>
      <c r="R81" s="191">
        <v>2.5407739136658898E-2</v>
      </c>
      <c r="T81" s="46">
        <v>1</v>
      </c>
      <c r="U81" s="53" t="s">
        <v>529</v>
      </c>
      <c r="V81" s="47" t="s">
        <v>327</v>
      </c>
      <c r="W81" s="47" t="s">
        <v>546</v>
      </c>
      <c r="X81" s="47" t="s">
        <v>203</v>
      </c>
      <c r="Y81" s="58">
        <v>0.25034000000000001</v>
      </c>
      <c r="Z81" s="193">
        <v>0.99672000000000005</v>
      </c>
      <c r="AB81" s="3" t="s">
        <v>526</v>
      </c>
      <c r="AC81" s="125">
        <v>0.64600000000000002</v>
      </c>
      <c r="AD81" s="3">
        <v>8.1306407300000008E-2</v>
      </c>
      <c r="AE81" s="3" t="s">
        <v>531</v>
      </c>
      <c r="AF81" s="3" t="s">
        <v>526</v>
      </c>
      <c r="AG81" s="83">
        <v>0.8</v>
      </c>
    </row>
    <row r="82" spans="6:33">
      <c r="F82" s="372">
        <v>1</v>
      </c>
      <c r="G82" s="373" t="s">
        <v>261</v>
      </c>
      <c r="H82" s="6" t="s">
        <v>269</v>
      </c>
      <c r="I82" s="136" t="s">
        <v>546</v>
      </c>
      <c r="J82" s="136" t="s">
        <v>203</v>
      </c>
      <c r="K82" s="191">
        <v>-0.25034000000000001</v>
      </c>
      <c r="L82" s="191">
        <v>-0.1233982</v>
      </c>
      <c r="M82" s="191">
        <v>0</v>
      </c>
      <c r="N82" s="191">
        <v>-0.30296260744822501</v>
      </c>
      <c r="O82" s="191">
        <v>-0.51921970764736303</v>
      </c>
      <c r="P82" s="191">
        <v>0.32349939747501499</v>
      </c>
      <c r="Q82" s="191">
        <v>-0.13792362353586499</v>
      </c>
      <c r="R82" s="191">
        <v>2.5085527099398E-2</v>
      </c>
      <c r="T82" s="46">
        <v>1</v>
      </c>
      <c r="U82" s="53" t="s">
        <v>529</v>
      </c>
      <c r="V82" s="47" t="s">
        <v>331</v>
      </c>
      <c r="W82" s="47" t="s">
        <v>546</v>
      </c>
      <c r="X82" s="47" t="s">
        <v>203</v>
      </c>
      <c r="Y82" s="58">
        <v>9.1944800000000004</v>
      </c>
      <c r="Z82" s="193">
        <v>2.5192800000000002</v>
      </c>
      <c r="AB82" s="3"/>
      <c r="AC82" s="3"/>
      <c r="AD82" s="3"/>
      <c r="AE82" s="3"/>
      <c r="AF82" s="3" t="s">
        <v>526</v>
      </c>
      <c r="AG82" s="83">
        <v>0.88</v>
      </c>
    </row>
    <row r="83" spans="6:33" ht="28.8">
      <c r="F83" s="372">
        <v>1</v>
      </c>
      <c r="G83" s="373" t="s">
        <v>261</v>
      </c>
      <c r="H83" s="6" t="s">
        <v>530</v>
      </c>
      <c r="I83" s="136" t="s">
        <v>546</v>
      </c>
      <c r="J83" s="136" t="s">
        <v>203</v>
      </c>
      <c r="K83" s="191">
        <v>-9.1944800000000004</v>
      </c>
      <c r="L83" s="191">
        <v>-4.5954682</v>
      </c>
      <c r="M83" s="191">
        <v>0</v>
      </c>
      <c r="N83" s="191">
        <v>-0.42294979524531001</v>
      </c>
      <c r="O83" s="191">
        <v>-0.70255982989445498</v>
      </c>
      <c r="P83" s="191">
        <v>0.28029661970511</v>
      </c>
      <c r="Q83" s="191">
        <v>-0.25914438273474799</v>
      </c>
      <c r="R83" s="191">
        <v>2.57299511739198E-2</v>
      </c>
      <c r="T83" s="46">
        <v>1</v>
      </c>
      <c r="U83" s="53" t="s">
        <v>529</v>
      </c>
      <c r="V83" s="47" t="s">
        <v>332</v>
      </c>
      <c r="W83" s="47" t="s">
        <v>546</v>
      </c>
      <c r="X83" s="47" t="s">
        <v>203</v>
      </c>
      <c r="Y83" s="58">
        <v>2.5034000000000001</v>
      </c>
      <c r="Z83" s="193">
        <v>1.0183800000000001</v>
      </c>
      <c r="AB83" s="3" t="s">
        <v>526</v>
      </c>
      <c r="AC83" s="125">
        <v>0.64600000000000002</v>
      </c>
      <c r="AD83" s="3">
        <v>8.1306407300000008E-2</v>
      </c>
      <c r="AE83" s="3" t="s">
        <v>531</v>
      </c>
      <c r="AF83" s="3" t="s">
        <v>526</v>
      </c>
      <c r="AG83" s="83">
        <v>0.8</v>
      </c>
    </row>
    <row r="84" spans="6:33">
      <c r="F84" s="372">
        <v>1</v>
      </c>
      <c r="G84" s="373" t="s">
        <v>261</v>
      </c>
      <c r="H84" s="6" t="s">
        <v>262</v>
      </c>
      <c r="I84" s="136" t="s">
        <v>546</v>
      </c>
      <c r="J84" s="136" t="s">
        <v>203</v>
      </c>
      <c r="K84" s="191">
        <v>-2.5034000000000001</v>
      </c>
      <c r="L84" s="191">
        <v>0</v>
      </c>
      <c r="M84" s="191">
        <v>0</v>
      </c>
      <c r="N84" s="191">
        <v>-0.42294979524531001</v>
      </c>
      <c r="O84" s="191">
        <v>-0.70255982989445498</v>
      </c>
      <c r="P84" s="191">
        <v>0.28029661970511</v>
      </c>
      <c r="Q84" s="191">
        <v>-0.25914438273474799</v>
      </c>
      <c r="R84" s="191">
        <v>2.57299511739198E-2</v>
      </c>
      <c r="T84" s="46">
        <v>1</v>
      </c>
      <c r="U84" s="53" t="s">
        <v>252</v>
      </c>
      <c r="V84" s="47" t="s">
        <v>252</v>
      </c>
      <c r="W84" s="47" t="s">
        <v>546</v>
      </c>
      <c r="X84" s="47" t="s">
        <v>203</v>
      </c>
      <c r="Y84" s="58">
        <v>2.0953266666666663</v>
      </c>
      <c r="Z84" s="193">
        <v>1.77911</v>
      </c>
      <c r="AB84" s="3"/>
      <c r="AC84" s="3"/>
      <c r="AD84" s="3"/>
      <c r="AE84" s="3"/>
      <c r="AF84" s="3" t="s">
        <v>526</v>
      </c>
      <c r="AG84" s="83">
        <v>0.65</v>
      </c>
    </row>
    <row r="85" spans="6:33" ht="28.8">
      <c r="F85" s="372">
        <v>1</v>
      </c>
      <c r="G85" s="373" t="s">
        <v>252</v>
      </c>
      <c r="H85" s="6" t="s">
        <v>10180</v>
      </c>
      <c r="I85" s="136" t="s">
        <v>546</v>
      </c>
      <c r="J85" s="136" t="s">
        <v>203</v>
      </c>
      <c r="K85" s="191">
        <v>-2.0953266666666663</v>
      </c>
      <c r="L85" s="191">
        <v>-1.5407999593666664</v>
      </c>
      <c r="M85" s="191">
        <v>-4.4026458801754389</v>
      </c>
      <c r="N85" s="191">
        <v>0</v>
      </c>
      <c r="O85" s="191">
        <v>0</v>
      </c>
      <c r="P85" s="191">
        <v>2.6040731092765699E-2</v>
      </c>
      <c r="Q85" s="191">
        <v>0.464223353037373</v>
      </c>
      <c r="R85" s="191">
        <v>2.1870266836515802</v>
      </c>
      <c r="T85" s="46">
        <v>1</v>
      </c>
      <c r="U85" s="53" t="s">
        <v>252</v>
      </c>
      <c r="V85" s="47" t="s">
        <v>253</v>
      </c>
      <c r="W85" s="47" t="s">
        <v>546</v>
      </c>
      <c r="X85" s="47" t="s">
        <v>203</v>
      </c>
      <c r="Y85" s="58">
        <v>2.04928</v>
      </c>
      <c r="Z85" s="193">
        <v>1.77911</v>
      </c>
      <c r="AB85" s="3"/>
      <c r="AC85" s="3"/>
      <c r="AD85" s="3"/>
      <c r="AE85" s="3"/>
      <c r="AF85" s="3" t="s">
        <v>526</v>
      </c>
      <c r="AG85" s="83">
        <v>0.65</v>
      </c>
    </row>
    <row r="86" spans="6:33" ht="43.2">
      <c r="F86" s="372">
        <v>1</v>
      </c>
      <c r="G86" s="373" t="s">
        <v>252</v>
      </c>
      <c r="H86" s="6" t="s">
        <v>10163</v>
      </c>
      <c r="I86" s="136" t="s">
        <v>546</v>
      </c>
      <c r="J86" s="136" t="s">
        <v>203</v>
      </c>
      <c r="K86" s="191">
        <v>-2.04928</v>
      </c>
      <c r="L86" s="191">
        <v>0</v>
      </c>
      <c r="M86" s="191">
        <v>-3.8381380796100326</v>
      </c>
      <c r="N86" s="191">
        <v>0</v>
      </c>
      <c r="O86" s="191">
        <v>0</v>
      </c>
      <c r="P86" s="191">
        <v>2.6040728044352601E-2</v>
      </c>
      <c r="Q86" s="191">
        <v>0.210562605639705</v>
      </c>
      <c r="R86" s="191">
        <v>3.1831779567246001</v>
      </c>
      <c r="T86" s="46">
        <v>1</v>
      </c>
      <c r="U86" s="53" t="s">
        <v>252</v>
      </c>
      <c r="V86" s="47" t="s">
        <v>328</v>
      </c>
      <c r="W86" s="47" t="s">
        <v>546</v>
      </c>
      <c r="X86" s="47" t="s">
        <v>203</v>
      </c>
      <c r="Y86" s="58">
        <v>2.3231199999999999</v>
      </c>
      <c r="Z86" s="193">
        <v>1.77911</v>
      </c>
      <c r="AB86" s="3"/>
      <c r="AC86" s="3"/>
      <c r="AD86" s="3"/>
      <c r="AE86" s="3"/>
      <c r="AF86" s="3" t="s">
        <v>526</v>
      </c>
      <c r="AG86" s="83">
        <v>0.65</v>
      </c>
    </row>
    <row r="87" spans="6:33" ht="28.8">
      <c r="F87" s="372">
        <v>1</v>
      </c>
      <c r="G87" s="373" t="s">
        <v>252</v>
      </c>
      <c r="H87" s="6" t="s">
        <v>10164</v>
      </c>
      <c r="I87" s="136" t="s">
        <v>546</v>
      </c>
      <c r="J87" s="136" t="s">
        <v>203</v>
      </c>
      <c r="K87" s="191">
        <v>-2.3231199999999999</v>
      </c>
      <c r="L87" s="191">
        <v>0</v>
      </c>
      <c r="M87" s="191">
        <v>-4.5666853324341119</v>
      </c>
      <c r="N87" s="191">
        <v>0</v>
      </c>
      <c r="O87" s="191">
        <v>0</v>
      </c>
      <c r="P87" s="191">
        <v>2.6040728847734299E-2</v>
      </c>
      <c r="Q87" s="191">
        <v>0.33008116104865598</v>
      </c>
      <c r="R87" s="191">
        <v>2.4956094306866898</v>
      </c>
      <c r="T87" s="46">
        <v>1</v>
      </c>
      <c r="U87" s="53" t="s">
        <v>252</v>
      </c>
      <c r="V87" s="47" t="s">
        <v>254</v>
      </c>
      <c r="W87" s="47" t="s">
        <v>546</v>
      </c>
      <c r="X87" s="47" t="s">
        <v>203</v>
      </c>
      <c r="Y87" s="58">
        <v>2.1485799999999999</v>
      </c>
      <c r="Z87" s="193">
        <v>1.77911</v>
      </c>
      <c r="AB87" s="3"/>
      <c r="AC87" s="3"/>
      <c r="AD87" s="3"/>
      <c r="AE87" s="3"/>
      <c r="AF87" s="3" t="s">
        <v>526</v>
      </c>
      <c r="AG87" s="83">
        <v>0.8</v>
      </c>
    </row>
    <row r="88" spans="6:33" ht="28.8">
      <c r="F88" s="372">
        <v>1</v>
      </c>
      <c r="G88" s="373" t="s">
        <v>252</v>
      </c>
      <c r="H88" s="6" t="s">
        <v>10165</v>
      </c>
      <c r="I88" s="136" t="s">
        <v>546</v>
      </c>
      <c r="J88" s="136" t="s">
        <v>203</v>
      </c>
      <c r="K88" s="191">
        <v>-2.1485799999999999</v>
      </c>
      <c r="L88" s="191">
        <v>0</v>
      </c>
      <c r="M88" s="191">
        <v>-4.6390747762234978</v>
      </c>
      <c r="N88" s="191">
        <v>0</v>
      </c>
      <c r="O88" s="191">
        <v>0</v>
      </c>
      <c r="P88" s="191">
        <v>2.60407280443203E-2</v>
      </c>
      <c r="Q88" s="191">
        <v>0.50464281528936294</v>
      </c>
      <c r="R88" s="191">
        <v>2.5363330593963398</v>
      </c>
      <c r="T88" s="46">
        <v>1</v>
      </c>
      <c r="U88" s="53" t="s">
        <v>252</v>
      </c>
      <c r="V88" s="47" t="s">
        <v>532</v>
      </c>
      <c r="W88" s="47" t="s">
        <v>546</v>
      </c>
      <c r="X88" s="47" t="s">
        <v>203</v>
      </c>
      <c r="Y88" s="58">
        <v>1.9492499999999999</v>
      </c>
      <c r="Z88" s="193">
        <v>1.77911</v>
      </c>
      <c r="AB88" s="3"/>
      <c r="AC88" s="3"/>
      <c r="AD88" s="3"/>
      <c r="AE88" s="3"/>
      <c r="AF88" s="3"/>
      <c r="AG88" s="3"/>
    </row>
    <row r="89" spans="6:33" ht="28.8">
      <c r="F89" s="372">
        <v>1</v>
      </c>
      <c r="G89" s="373" t="s">
        <v>252</v>
      </c>
      <c r="H89" s="6" t="s">
        <v>10166</v>
      </c>
      <c r="I89" s="136" t="s">
        <v>546</v>
      </c>
      <c r="J89" s="136" t="s">
        <v>203</v>
      </c>
      <c r="K89" s="191">
        <v>-1.9492499999999999</v>
      </c>
      <c r="L89" s="191">
        <v>0</v>
      </c>
      <c r="M89" s="191">
        <v>-4.5666853324341119</v>
      </c>
      <c r="N89" s="191">
        <v>0</v>
      </c>
      <c r="O89" s="191">
        <v>0</v>
      </c>
      <c r="P89" s="191">
        <v>2.6040728847734299E-2</v>
      </c>
      <c r="Q89" s="191">
        <v>0.33008116104865598</v>
      </c>
      <c r="R89" s="191">
        <v>2.4956094306866898</v>
      </c>
      <c r="T89" s="46">
        <v>1</v>
      </c>
      <c r="U89" s="53" t="s">
        <v>252</v>
      </c>
      <c r="V89" s="47" t="s">
        <v>245</v>
      </c>
      <c r="W89" s="47" t="s">
        <v>546</v>
      </c>
      <c r="X89" s="47" t="s">
        <v>203</v>
      </c>
      <c r="Y89" s="58">
        <v>2.0269300000000001</v>
      </c>
      <c r="Z89" s="193">
        <v>1.77911</v>
      </c>
      <c r="AB89" s="3"/>
      <c r="AC89" s="3"/>
      <c r="AD89" s="3"/>
      <c r="AE89" s="3"/>
      <c r="AF89" s="3"/>
      <c r="AG89" s="3"/>
    </row>
    <row r="90" spans="6:33">
      <c r="F90" s="372">
        <v>1</v>
      </c>
      <c r="G90" s="373" t="s">
        <v>252</v>
      </c>
      <c r="H90" s="6" t="s">
        <v>10167</v>
      </c>
      <c r="I90" s="136" t="s">
        <v>546</v>
      </c>
      <c r="J90" s="136" t="s">
        <v>203</v>
      </c>
      <c r="K90" s="191">
        <v>-2.0269300000000001</v>
      </c>
      <c r="L90" s="191">
        <v>0</v>
      </c>
      <c r="M90" s="191">
        <v>0</v>
      </c>
      <c r="N90" s="191">
        <v>0</v>
      </c>
      <c r="O90" s="191">
        <v>0</v>
      </c>
      <c r="P90" s="191">
        <v>2.6040728968980201E-2</v>
      </c>
      <c r="Q90" s="191">
        <v>0.16048480422712499</v>
      </c>
      <c r="R90" s="191">
        <v>3.1833672666267101</v>
      </c>
      <c r="T90" s="46">
        <v>1</v>
      </c>
      <c r="U90" s="53" t="s">
        <v>252</v>
      </c>
      <c r="V90" s="47" t="s">
        <v>533</v>
      </c>
      <c r="W90" s="47" t="s">
        <v>546</v>
      </c>
      <c r="X90" s="47" t="s">
        <v>203</v>
      </c>
      <c r="Y90" s="58">
        <v>2.0748000000000002</v>
      </c>
      <c r="Z90" s="193">
        <v>1.77911</v>
      </c>
      <c r="AB90" s="3"/>
      <c r="AC90" s="3"/>
      <c r="AD90" s="3"/>
      <c r="AE90" s="3"/>
      <c r="AF90" s="3" t="s">
        <v>526</v>
      </c>
      <c r="AG90" s="83">
        <v>0.95</v>
      </c>
    </row>
    <row r="91" spans="6:33">
      <c r="F91" s="372">
        <v>1</v>
      </c>
      <c r="G91" s="373" t="s">
        <v>252</v>
      </c>
      <c r="H91" s="6" t="s">
        <v>10168</v>
      </c>
      <c r="I91" s="136" t="s">
        <v>546</v>
      </c>
      <c r="J91" s="136" t="s">
        <v>203</v>
      </c>
      <c r="K91" s="191">
        <v>-2.0748000000000002</v>
      </c>
      <c r="L91" s="191">
        <v>0</v>
      </c>
      <c r="M91" s="191">
        <v>0</v>
      </c>
      <c r="N91" s="191">
        <v>0</v>
      </c>
      <c r="O91" s="191">
        <v>0</v>
      </c>
      <c r="P91" s="191">
        <v>2.6040723761235202E-2</v>
      </c>
      <c r="Q91" s="191">
        <v>0.394654844237527</v>
      </c>
      <c r="R91" s="191">
        <v>3.0368312004139799</v>
      </c>
      <c r="T91" s="46">
        <v>1</v>
      </c>
      <c r="U91" s="53" t="s">
        <v>242</v>
      </c>
      <c r="V91" s="47" t="s">
        <v>242</v>
      </c>
      <c r="W91" s="47" t="s">
        <v>546</v>
      </c>
      <c r="X91" s="47" t="s">
        <v>203</v>
      </c>
      <c r="Y91" s="58">
        <v>38.486130000000003</v>
      </c>
      <c r="Z91" s="193">
        <v>0.20843</v>
      </c>
      <c r="AB91" s="3" t="s">
        <v>526</v>
      </c>
      <c r="AC91" s="125">
        <v>1</v>
      </c>
      <c r="AD91" s="3">
        <v>8.1306407300000008E-2</v>
      </c>
      <c r="AE91" s="3" t="s">
        <v>531</v>
      </c>
      <c r="AF91" s="3" t="s">
        <v>526</v>
      </c>
      <c r="AG91" s="83">
        <v>0.95</v>
      </c>
    </row>
    <row r="92" spans="6:33">
      <c r="F92" s="372">
        <v>1</v>
      </c>
      <c r="G92" s="373" t="s">
        <v>242</v>
      </c>
      <c r="H92" s="6" t="s">
        <v>10181</v>
      </c>
      <c r="I92" s="136" t="s">
        <v>546</v>
      </c>
      <c r="J92" s="136" t="s">
        <v>203</v>
      </c>
      <c r="K92" s="191">
        <v>-38.486130000000003</v>
      </c>
      <c r="L92" s="191">
        <v>-27.900672450000002</v>
      </c>
      <c r="M92" s="191">
        <v>-3.2868550000000001</v>
      </c>
      <c r="N92" s="191">
        <v>0</v>
      </c>
      <c r="O92" s="191">
        <v>0</v>
      </c>
      <c r="P92" s="191">
        <v>2.5860000000000001E-2</v>
      </c>
      <c r="Q92" s="191">
        <v>4.1075091000055998E-2</v>
      </c>
      <c r="R92" s="191">
        <v>4.8932475133413401E-2</v>
      </c>
      <c r="T92" s="46">
        <v>1</v>
      </c>
      <c r="U92" s="53" t="s">
        <v>242</v>
      </c>
      <c r="V92" s="47" t="s">
        <v>242</v>
      </c>
      <c r="W92" s="47" t="s">
        <v>546</v>
      </c>
      <c r="X92" s="47" t="s">
        <v>203</v>
      </c>
      <c r="Y92" s="58">
        <v>38.486130000000003</v>
      </c>
      <c r="Z92" s="193">
        <v>0.20843</v>
      </c>
      <c r="AB92" s="3" t="s">
        <v>526</v>
      </c>
      <c r="AC92" s="125">
        <v>1</v>
      </c>
      <c r="AD92" s="3">
        <v>8.1306407300000008E-2</v>
      </c>
      <c r="AE92" s="3" t="s">
        <v>531</v>
      </c>
      <c r="AF92" s="3" t="s">
        <v>526</v>
      </c>
      <c r="AG92" s="83">
        <v>0.95</v>
      </c>
    </row>
    <row r="93" spans="6:33">
      <c r="F93" s="372">
        <v>1</v>
      </c>
      <c r="G93" s="373" t="s">
        <v>242</v>
      </c>
      <c r="H93" s="6" t="s">
        <v>274</v>
      </c>
      <c r="I93" s="136" t="s">
        <v>546</v>
      </c>
      <c r="J93" s="136" t="s">
        <v>203</v>
      </c>
      <c r="K93" s="191">
        <v>-38.486130000000003</v>
      </c>
      <c r="L93" s="191">
        <v>-27.900672450000002</v>
      </c>
      <c r="M93" s="191">
        <v>-8.5278425000000002</v>
      </c>
      <c r="N93" s="191">
        <v>0</v>
      </c>
      <c r="O93" s="191">
        <v>0</v>
      </c>
      <c r="P93" s="191">
        <v>2.5860000000000001E-2</v>
      </c>
      <c r="Q93" s="191">
        <v>4.1075091000055998E-2</v>
      </c>
      <c r="R93" s="191">
        <v>4.8932475133413401E-2</v>
      </c>
      <c r="T93" s="46">
        <v>1</v>
      </c>
      <c r="U93" s="53" t="s">
        <v>242</v>
      </c>
      <c r="V93" s="47" t="s">
        <v>534</v>
      </c>
      <c r="W93" s="47" t="s">
        <v>546</v>
      </c>
      <c r="X93" s="47" t="s">
        <v>203</v>
      </c>
      <c r="Y93" s="58">
        <v>15.0122</v>
      </c>
      <c r="Z93" s="193">
        <v>0.37092000000000003</v>
      </c>
      <c r="AB93" s="3" t="s">
        <v>526</v>
      </c>
      <c r="AC93" s="125">
        <v>1</v>
      </c>
      <c r="AD93" s="3">
        <v>8.1306407300000008E-2</v>
      </c>
      <c r="AE93" s="3" t="s">
        <v>531</v>
      </c>
      <c r="AF93" s="3"/>
      <c r="AG93" s="3"/>
    </row>
    <row r="94" spans="6:33">
      <c r="F94" s="372">
        <v>1</v>
      </c>
      <c r="G94" s="373" t="s">
        <v>242</v>
      </c>
      <c r="H94" s="6" t="s">
        <v>534</v>
      </c>
      <c r="I94" s="136" t="s">
        <v>546</v>
      </c>
      <c r="J94" s="136" t="s">
        <v>203</v>
      </c>
      <c r="K94" s="191">
        <v>-15.0122</v>
      </c>
      <c r="L94" s="191">
        <v>-10.882073199999999</v>
      </c>
      <c r="M94" s="191">
        <v>-3.19428</v>
      </c>
      <c r="N94" s="191">
        <v>0</v>
      </c>
      <c r="O94" s="191">
        <v>0</v>
      </c>
      <c r="P94" s="191">
        <v>2.5860000000000001E-2</v>
      </c>
      <c r="Q94" s="191">
        <v>4.1075091000055998E-2</v>
      </c>
      <c r="R94" s="191">
        <v>4.8932475133413401E-2</v>
      </c>
      <c r="T94" s="46">
        <v>1</v>
      </c>
      <c r="U94" s="53" t="s">
        <v>239</v>
      </c>
      <c r="V94" s="47" t="s">
        <v>239</v>
      </c>
      <c r="W94" s="47" t="s">
        <v>546</v>
      </c>
      <c r="X94" s="47" t="s">
        <v>203</v>
      </c>
      <c r="Y94" s="58">
        <v>2.6644477777777777</v>
      </c>
      <c r="Z94" s="193">
        <v>0.64099666666666666</v>
      </c>
      <c r="AB94" s="3"/>
      <c r="AC94" s="3"/>
      <c r="AD94" s="3"/>
      <c r="AE94" s="3"/>
      <c r="AF94" s="3" t="s">
        <v>526</v>
      </c>
      <c r="AG94" s="83">
        <v>0.95</v>
      </c>
    </row>
    <row r="95" spans="6:33">
      <c r="F95" s="372">
        <v>1</v>
      </c>
      <c r="G95" s="373" t="s">
        <v>239</v>
      </c>
      <c r="H95" s="6" t="s">
        <v>10182</v>
      </c>
      <c r="I95" s="136" t="s">
        <v>546</v>
      </c>
      <c r="J95" s="136" t="s">
        <v>203</v>
      </c>
      <c r="K95" s="191">
        <v>-2.6644477777777777</v>
      </c>
      <c r="L95" s="191">
        <v>-1.7194614644444446</v>
      </c>
      <c r="M95" s="191">
        <v>-0.90244815300206405</v>
      </c>
      <c r="N95" s="191">
        <v>-1.5823914514950801</v>
      </c>
      <c r="O95" s="191">
        <v>-2.39025290122775</v>
      </c>
      <c r="P95" s="191">
        <v>-0.60576406900190205</v>
      </c>
      <c r="Q95" s="191">
        <v>-0.93094962859978103</v>
      </c>
      <c r="R95" s="191">
        <v>2.7472942241024201E-2</v>
      </c>
      <c r="T95" s="46">
        <v>1</v>
      </c>
      <c r="U95" s="53" t="s">
        <v>239</v>
      </c>
      <c r="V95" s="47" t="s">
        <v>324</v>
      </c>
      <c r="W95" s="47" t="s">
        <v>546</v>
      </c>
      <c r="X95" s="47" t="s">
        <v>203</v>
      </c>
      <c r="Y95" s="58">
        <v>1.66</v>
      </c>
      <c r="Z95" s="193">
        <v>0.13142999999999999</v>
      </c>
      <c r="AB95" s="3" t="s">
        <v>526</v>
      </c>
      <c r="AC95" s="125">
        <v>1</v>
      </c>
      <c r="AD95" s="3">
        <v>0</v>
      </c>
      <c r="AE95" s="3" t="s">
        <v>527</v>
      </c>
      <c r="AF95" s="3" t="s">
        <v>526</v>
      </c>
      <c r="AG95" s="83">
        <v>0.9</v>
      </c>
    </row>
    <row r="96" spans="6:33">
      <c r="F96" s="372">
        <v>1</v>
      </c>
      <c r="G96" s="373" t="s">
        <v>239</v>
      </c>
      <c r="H96" s="6" t="s">
        <v>324</v>
      </c>
      <c r="I96" s="136" t="s">
        <v>546</v>
      </c>
      <c r="J96" s="136" t="s">
        <v>203</v>
      </c>
      <c r="K96" s="191">
        <v>-1.66</v>
      </c>
      <c r="L96" s="191">
        <v>0</v>
      </c>
      <c r="M96" s="191">
        <v>0.1396947306964815</v>
      </c>
      <c r="N96" s="191">
        <v>-1.5931961690249401</v>
      </c>
      <c r="O96" s="191">
        <v>-2.2369298238349402</v>
      </c>
      <c r="P96" s="191">
        <v>-1.10780997520734</v>
      </c>
      <c r="Q96" s="191">
        <v>-1.01193471996385</v>
      </c>
      <c r="R96" s="191">
        <v>2.6683067303327399E-2</v>
      </c>
      <c r="T96" s="46">
        <v>1</v>
      </c>
      <c r="U96" s="53" t="s">
        <v>239</v>
      </c>
      <c r="V96" s="47" t="s">
        <v>272</v>
      </c>
      <c r="W96" s="47" t="s">
        <v>546</v>
      </c>
      <c r="X96" s="47" t="s">
        <v>203</v>
      </c>
      <c r="Y96" s="58">
        <v>2.1278299999999999</v>
      </c>
      <c r="Z96" s="193">
        <v>1.2152400000000001</v>
      </c>
      <c r="AB96" s="3" t="s">
        <v>526</v>
      </c>
      <c r="AC96" s="125">
        <v>1</v>
      </c>
      <c r="AD96" s="3">
        <v>8.1306407300000008E-2</v>
      </c>
      <c r="AE96" s="3" t="s">
        <v>531</v>
      </c>
      <c r="AF96" s="3" t="s">
        <v>526</v>
      </c>
      <c r="AG96" s="83">
        <v>0.9</v>
      </c>
    </row>
    <row r="97" spans="6:33">
      <c r="F97" s="372">
        <v>1</v>
      </c>
      <c r="G97" s="373" t="s">
        <v>239</v>
      </c>
      <c r="H97" s="6" t="s">
        <v>272</v>
      </c>
      <c r="I97" s="136" t="s">
        <v>546</v>
      </c>
      <c r="J97" s="136" t="s">
        <v>203</v>
      </c>
      <c r="K97" s="191">
        <v>-2.1278299999999999</v>
      </c>
      <c r="L97" s="191">
        <v>-1.3728063799999999</v>
      </c>
      <c r="M97" s="191">
        <v>1.5053973137750708E-2</v>
      </c>
      <c r="N97" s="191">
        <v>-1.4198911030999699</v>
      </c>
      <c r="O97" s="191">
        <v>-2.25405904094508</v>
      </c>
      <c r="P97" s="191">
        <v>6.7720000000000002E-2</v>
      </c>
      <c r="Q97" s="191">
        <v>-0.79660085842781303</v>
      </c>
      <c r="R97" s="191">
        <v>3.4587160965760602E-2</v>
      </c>
      <c r="T97" s="46">
        <v>1</v>
      </c>
      <c r="U97" s="53" t="s">
        <v>239</v>
      </c>
      <c r="V97" s="47" t="s">
        <v>329</v>
      </c>
      <c r="W97" s="47" t="s">
        <v>546</v>
      </c>
      <c r="X97" s="47" t="s">
        <v>203</v>
      </c>
      <c r="Y97" s="58">
        <v>3.4792200000000002</v>
      </c>
      <c r="Z97" s="193">
        <v>1.0383</v>
      </c>
      <c r="AB97" s="3" t="s">
        <v>526</v>
      </c>
      <c r="AC97" s="125">
        <v>1</v>
      </c>
      <c r="AD97" s="3">
        <v>8.1306407300000008E-2</v>
      </c>
      <c r="AE97" s="3" t="s">
        <v>531</v>
      </c>
      <c r="AF97" s="3" t="s">
        <v>526</v>
      </c>
      <c r="AG97" s="83">
        <v>0.95</v>
      </c>
    </row>
    <row r="98" spans="6:33">
      <c r="F98" s="372">
        <v>1</v>
      </c>
      <c r="G98" s="373" t="s">
        <v>239</v>
      </c>
      <c r="H98" s="6" t="s">
        <v>329</v>
      </c>
      <c r="I98" s="136" t="s">
        <v>546</v>
      </c>
      <c r="J98" s="136" t="s">
        <v>203</v>
      </c>
      <c r="K98" s="191">
        <v>-3.4792200000000002</v>
      </c>
      <c r="L98" s="191">
        <v>0</v>
      </c>
      <c r="M98" s="191">
        <v>-3.0248820626613884</v>
      </c>
      <c r="N98" s="191">
        <v>-1.54203431894792</v>
      </c>
      <c r="O98" s="191">
        <v>-2.5192196780422198</v>
      </c>
      <c r="P98" s="191">
        <v>0.54061914698270197</v>
      </c>
      <c r="Q98" s="191">
        <v>-0.79971407433627795</v>
      </c>
      <c r="R98" s="191">
        <v>3.7251606753389899E-2</v>
      </c>
      <c r="T98" s="46">
        <v>1</v>
      </c>
      <c r="U98" s="53" t="s">
        <v>239</v>
      </c>
      <c r="V98" s="47" t="s">
        <v>271</v>
      </c>
      <c r="W98" s="47" t="s">
        <v>546</v>
      </c>
      <c r="X98" s="47" t="s">
        <v>203</v>
      </c>
      <c r="Y98" s="58">
        <v>3.1045600000000002</v>
      </c>
      <c r="Z98" s="193">
        <v>0.12864</v>
      </c>
      <c r="AB98" s="3" t="s">
        <v>526</v>
      </c>
      <c r="AC98" s="125">
        <v>1</v>
      </c>
      <c r="AD98" s="3">
        <v>8.1306407300000008E-2</v>
      </c>
      <c r="AE98" s="3" t="s">
        <v>531</v>
      </c>
      <c r="AF98" s="3" t="s">
        <v>526</v>
      </c>
      <c r="AG98" s="83">
        <v>0.7</v>
      </c>
    </row>
    <row r="99" spans="6:33">
      <c r="F99" s="372">
        <v>1</v>
      </c>
      <c r="G99" s="373" t="s">
        <v>239</v>
      </c>
      <c r="H99" s="6" t="s">
        <v>271</v>
      </c>
      <c r="I99" s="136" t="s">
        <v>546</v>
      </c>
      <c r="J99" s="136" t="s">
        <v>203</v>
      </c>
      <c r="K99" s="191">
        <v>-3.1045600000000002</v>
      </c>
      <c r="L99" s="191">
        <v>0</v>
      </c>
      <c r="M99" s="191">
        <v>-1.0152541721273221</v>
      </c>
      <c r="N99" s="191">
        <v>-1.45740757820858</v>
      </c>
      <c r="O99" s="191">
        <v>-2.6029245012209099</v>
      </c>
      <c r="P99" s="191">
        <v>-0.53637594297431002</v>
      </c>
      <c r="Q99" s="191">
        <v>-0.76219778967752105</v>
      </c>
      <c r="R99" s="191">
        <v>4.0398740210004398E-2</v>
      </c>
      <c r="T99" s="46">
        <v>1</v>
      </c>
      <c r="U99" s="53" t="s">
        <v>239</v>
      </c>
      <c r="V99" s="47" t="s">
        <v>535</v>
      </c>
      <c r="W99" s="47" t="s">
        <v>546</v>
      </c>
      <c r="X99" s="47" t="s">
        <v>203</v>
      </c>
      <c r="Y99" s="58">
        <v>3.1045600000000002</v>
      </c>
      <c r="Z99" s="193">
        <v>0.12864</v>
      </c>
      <c r="AB99" s="3" t="s">
        <v>526</v>
      </c>
      <c r="AC99" s="125">
        <v>1</v>
      </c>
      <c r="AD99" s="3">
        <v>8.1306407300000008E-2</v>
      </c>
      <c r="AE99" s="3" t="s">
        <v>531</v>
      </c>
      <c r="AF99" s="3"/>
      <c r="AG99" s="3"/>
    </row>
    <row r="100" spans="6:33">
      <c r="F100" s="372">
        <v>1</v>
      </c>
      <c r="G100" s="373" t="s">
        <v>239</v>
      </c>
      <c r="H100" s="6" t="s">
        <v>535</v>
      </c>
      <c r="I100" s="136" t="s">
        <v>546</v>
      </c>
      <c r="J100" s="136" t="s">
        <v>203</v>
      </c>
      <c r="K100" s="191">
        <v>-3.1045600000000002</v>
      </c>
      <c r="L100" s="191">
        <v>0</v>
      </c>
      <c r="M100" s="191">
        <v>-1.0152541721273221</v>
      </c>
      <c r="N100" s="191">
        <v>-1.5661000736097901</v>
      </c>
      <c r="O100" s="191">
        <v>-2.6084866875958999</v>
      </c>
      <c r="P100" s="191">
        <v>-0.74483748111485704</v>
      </c>
      <c r="Q100" s="191">
        <v>-0.84761634144731002</v>
      </c>
      <c r="R100" s="191">
        <v>2.9215550609518599E-2</v>
      </c>
      <c r="T100" s="46">
        <v>1</v>
      </c>
      <c r="U100" s="53" t="s">
        <v>239</v>
      </c>
      <c r="V100" s="47" t="s">
        <v>259</v>
      </c>
      <c r="W100" s="47" t="s">
        <v>546</v>
      </c>
      <c r="X100" s="47" t="s">
        <v>203</v>
      </c>
      <c r="Y100" s="58">
        <v>2.86965</v>
      </c>
      <c r="Z100" s="193">
        <v>0.79600000000000004</v>
      </c>
      <c r="AB100" s="3" t="s">
        <v>526</v>
      </c>
      <c r="AC100" s="83">
        <v>0.5</v>
      </c>
      <c r="AD100" s="3">
        <v>8.1306407300000008E-2</v>
      </c>
      <c r="AE100" s="3" t="s">
        <v>531</v>
      </c>
      <c r="AF100" s="3"/>
      <c r="AG100" s="3"/>
    </row>
    <row r="101" spans="6:33">
      <c r="F101" s="372">
        <v>1</v>
      </c>
      <c r="G101" s="373" t="s">
        <v>239</v>
      </c>
      <c r="H101" s="6" t="s">
        <v>259</v>
      </c>
      <c r="I101" s="136" t="s">
        <v>546</v>
      </c>
      <c r="J101" s="136" t="s">
        <v>203</v>
      </c>
      <c r="K101" s="191">
        <v>-2.86965</v>
      </c>
      <c r="L101" s="191">
        <v>0</v>
      </c>
      <c r="M101" s="191">
        <v>-1.0152541721273221</v>
      </c>
      <c r="N101" s="191">
        <v>-1.2816704575259601</v>
      </c>
      <c r="O101" s="191">
        <v>-2.0222494460176099</v>
      </c>
      <c r="P101" s="191">
        <v>-0.35151709373397</v>
      </c>
      <c r="Q101" s="191">
        <v>-0.69069374294081098</v>
      </c>
      <c r="R101" s="191">
        <v>2.8422995395521299E-2</v>
      </c>
      <c r="T101" s="46">
        <v>1</v>
      </c>
      <c r="U101" s="53" t="s">
        <v>239</v>
      </c>
      <c r="V101" s="47" t="s">
        <v>334</v>
      </c>
      <c r="W101" s="47" t="s">
        <v>546</v>
      </c>
      <c r="X101" s="47" t="s">
        <v>203</v>
      </c>
      <c r="Y101" s="58">
        <v>2.86965</v>
      </c>
      <c r="Z101" s="193">
        <v>0.76736000000000004</v>
      </c>
      <c r="AB101" s="3"/>
      <c r="AC101" s="3"/>
      <c r="AD101" s="3"/>
      <c r="AE101" s="3"/>
      <c r="AF101" s="3"/>
      <c r="AG101" s="3"/>
    </row>
    <row r="102" spans="6:33">
      <c r="F102" s="372">
        <v>1</v>
      </c>
      <c r="G102" s="373" t="s">
        <v>239</v>
      </c>
      <c r="H102" s="6" t="s">
        <v>334</v>
      </c>
      <c r="I102" s="136" t="s">
        <v>546</v>
      </c>
      <c r="J102" s="136" t="s">
        <v>203</v>
      </c>
      <c r="K102" s="191">
        <v>-2.86965</v>
      </c>
      <c r="L102" s="191">
        <v>0</v>
      </c>
      <c r="M102" s="191">
        <v>-1.0152541721273221</v>
      </c>
      <c r="N102" s="191">
        <v>-1.69179267729399</v>
      </c>
      <c r="O102" s="191">
        <v>-2.4951886010564799</v>
      </c>
      <c r="P102" s="191">
        <v>-0.27760316470718299</v>
      </c>
      <c r="Q102" s="191">
        <v>-1.0074942142240799</v>
      </c>
      <c r="R102" s="191">
        <v>2.6390173444809501E-2</v>
      </c>
      <c r="T102" s="46">
        <v>1</v>
      </c>
      <c r="U102" s="53" t="s">
        <v>239</v>
      </c>
      <c r="V102" s="47" t="s">
        <v>240</v>
      </c>
      <c r="W102" s="47" t="s">
        <v>546</v>
      </c>
      <c r="X102" s="47" t="s">
        <v>203</v>
      </c>
      <c r="Y102" s="58">
        <v>3.1045600000000002</v>
      </c>
      <c r="Z102" s="193">
        <v>0.76736000000000004</v>
      </c>
      <c r="AB102" s="3"/>
      <c r="AC102" s="3"/>
      <c r="AD102" s="3"/>
      <c r="AE102" s="3"/>
      <c r="AF102" s="3"/>
      <c r="AG102" s="3"/>
    </row>
    <row r="103" spans="6:33" ht="28.8">
      <c r="F103" s="372">
        <v>1</v>
      </c>
      <c r="G103" s="373" t="s">
        <v>239</v>
      </c>
      <c r="H103" s="6" t="s">
        <v>240</v>
      </c>
      <c r="I103" s="136" t="s">
        <v>546</v>
      </c>
      <c r="J103" s="136" t="s">
        <v>203</v>
      </c>
      <c r="K103" s="191">
        <v>-3.1045600000000002</v>
      </c>
      <c r="L103" s="191">
        <v>0</v>
      </c>
      <c r="M103" s="191">
        <v>0</v>
      </c>
      <c r="N103" s="191">
        <v>-1.72053188057342</v>
      </c>
      <c r="O103" s="191">
        <v>-2.5864136483045601</v>
      </c>
      <c r="P103" s="191">
        <v>-0.46135779183343001</v>
      </c>
      <c r="Q103" s="191">
        <v>0.30060951226996901</v>
      </c>
      <c r="R103" s="191">
        <v>2.3670135759059998</v>
      </c>
      <c r="T103" s="46">
        <v>1</v>
      </c>
      <c r="U103" s="53" t="s">
        <v>239</v>
      </c>
      <c r="V103" s="47" t="s">
        <v>325</v>
      </c>
      <c r="W103" s="47" t="s">
        <v>546</v>
      </c>
      <c r="X103" s="47" t="s">
        <v>203</v>
      </c>
      <c r="Y103" s="58">
        <v>1.66</v>
      </c>
      <c r="Z103" s="193">
        <v>0.79600000000000004</v>
      </c>
      <c r="AB103" s="3"/>
      <c r="AC103" s="3"/>
      <c r="AD103" s="3"/>
      <c r="AE103" s="3"/>
      <c r="AF103" s="3" t="s">
        <v>526</v>
      </c>
      <c r="AG103" s="83">
        <v>0.7</v>
      </c>
    </row>
    <row r="104" spans="6:33" ht="28.8">
      <c r="F104" s="372">
        <v>1</v>
      </c>
      <c r="G104" s="373" t="s">
        <v>239</v>
      </c>
      <c r="H104" s="6" t="s">
        <v>325</v>
      </c>
      <c r="I104" s="136" t="s">
        <v>546</v>
      </c>
      <c r="J104" s="136" t="s">
        <v>203</v>
      </c>
      <c r="K104" s="191">
        <v>-1.66</v>
      </c>
      <c r="L104" s="191">
        <v>0</v>
      </c>
      <c r="M104" s="191">
        <v>0</v>
      </c>
      <c r="N104" s="191">
        <v>-1.5823914514950801</v>
      </c>
      <c r="O104" s="191">
        <v>-2.39025290122775</v>
      </c>
      <c r="P104" s="191">
        <v>-0.60576406900190205</v>
      </c>
      <c r="Q104" s="191">
        <v>-0.93094962859978103</v>
      </c>
      <c r="R104" s="191">
        <v>2.7472942241024201E-2</v>
      </c>
      <c r="T104" s="46">
        <v>1</v>
      </c>
      <c r="U104" s="53" t="s">
        <v>256</v>
      </c>
      <c r="V104" s="47" t="s">
        <v>256</v>
      </c>
      <c r="W104" s="47" t="s">
        <v>546</v>
      </c>
      <c r="X104" s="47" t="s">
        <v>203</v>
      </c>
      <c r="Y104" s="58">
        <v>3.3097799999999999</v>
      </c>
      <c r="Z104" s="193">
        <v>1.0068550000000001</v>
      </c>
      <c r="AB104" s="3"/>
      <c r="AC104" s="3"/>
      <c r="AD104" s="3"/>
      <c r="AE104" s="3"/>
      <c r="AF104" s="3" t="s">
        <v>526</v>
      </c>
      <c r="AG104" s="83">
        <v>0.65</v>
      </c>
    </row>
    <row r="105" spans="6:33">
      <c r="F105" s="372">
        <v>1</v>
      </c>
      <c r="G105" s="373" t="s">
        <v>256</v>
      </c>
      <c r="H105" s="6" t="s">
        <v>10183</v>
      </c>
      <c r="I105" s="136" t="s">
        <v>546</v>
      </c>
      <c r="J105" s="136" t="s">
        <v>203</v>
      </c>
      <c r="K105" s="191">
        <v>-3.3097799999999999</v>
      </c>
      <c r="L105" s="191">
        <v>-3.2267017926999997</v>
      </c>
      <c r="M105" s="191">
        <v>-13.227645163878373</v>
      </c>
      <c r="N105" s="191">
        <v>0</v>
      </c>
      <c r="O105" s="191">
        <v>0</v>
      </c>
      <c r="P105" s="191">
        <v>2.5950354883421449E-2</v>
      </c>
      <c r="Q105" s="191">
        <v>-5.6060397839324247E-2</v>
      </c>
      <c r="R105" s="191">
        <v>-3.7726832516865899E-2</v>
      </c>
      <c r="T105" s="46">
        <v>1</v>
      </c>
      <c r="U105" s="53" t="s">
        <v>256</v>
      </c>
      <c r="V105" s="47" t="s">
        <v>536</v>
      </c>
      <c r="W105" s="47" t="s">
        <v>546</v>
      </c>
      <c r="X105" s="47" t="s">
        <v>203</v>
      </c>
      <c r="Y105" s="58">
        <v>1.9798800000000001</v>
      </c>
      <c r="Z105" s="193">
        <v>0.72957000000000005</v>
      </c>
      <c r="AB105" s="3"/>
      <c r="AC105" s="3"/>
      <c r="AD105" s="3"/>
      <c r="AE105" s="3"/>
      <c r="AF105" s="3"/>
      <c r="AG105" s="3"/>
    </row>
    <row r="106" spans="6:33">
      <c r="F106" s="372">
        <v>1</v>
      </c>
      <c r="G106" s="373" t="s">
        <v>256</v>
      </c>
      <c r="H106" s="6" t="s">
        <v>536</v>
      </c>
      <c r="I106" s="136" t="s">
        <v>546</v>
      </c>
      <c r="J106" s="136" t="s">
        <v>203</v>
      </c>
      <c r="K106" s="191">
        <v>-1.9798800000000001</v>
      </c>
      <c r="L106" s="191">
        <v>-1.8968017927</v>
      </c>
      <c r="M106" s="191">
        <v>-2.3459229452538106</v>
      </c>
      <c r="N106" s="191">
        <v>0</v>
      </c>
      <c r="O106" s="191">
        <v>0</v>
      </c>
      <c r="P106" s="191">
        <v>2.60407097668429E-2</v>
      </c>
      <c r="Q106" s="191">
        <v>-9.2019421003423599E-2</v>
      </c>
      <c r="R106" s="191">
        <v>-6.3490295353769793E-2</v>
      </c>
      <c r="T106" s="46">
        <v>1</v>
      </c>
      <c r="U106" s="53" t="s">
        <v>256</v>
      </c>
      <c r="V106" s="47" t="s">
        <v>257</v>
      </c>
      <c r="W106" s="47" t="s">
        <v>546</v>
      </c>
      <c r="X106" s="47" t="s">
        <v>203</v>
      </c>
      <c r="Y106" s="58">
        <v>1.9798800000000001</v>
      </c>
      <c r="Z106" s="193">
        <v>0.46493000000000001</v>
      </c>
      <c r="AB106" s="3"/>
      <c r="AC106" s="3"/>
      <c r="AD106" s="3"/>
      <c r="AE106" s="3"/>
      <c r="AF106" s="3"/>
      <c r="AG106" s="3"/>
    </row>
    <row r="107" spans="6:33">
      <c r="F107" s="372">
        <v>1</v>
      </c>
      <c r="G107" s="373" t="s">
        <v>256</v>
      </c>
      <c r="H107" s="6" t="s">
        <v>257</v>
      </c>
      <c r="I107" s="136" t="s">
        <v>546</v>
      </c>
      <c r="J107" s="136" t="s">
        <v>203</v>
      </c>
      <c r="K107" s="191">
        <v>-1.9798800000000001</v>
      </c>
      <c r="L107" s="191">
        <v>-1.8968017927</v>
      </c>
      <c r="M107" s="191">
        <v>-2.3459229452538106</v>
      </c>
      <c r="N107" s="191">
        <v>0</v>
      </c>
      <c r="O107" s="191">
        <v>0</v>
      </c>
      <c r="P107" s="191">
        <v>2.60407097668429E-2</v>
      </c>
      <c r="Q107" s="191">
        <v>-9.2019421003423696E-2</v>
      </c>
      <c r="R107" s="191">
        <v>-6.3490295353769502E-2</v>
      </c>
      <c r="T107" s="46">
        <v>1</v>
      </c>
      <c r="U107" s="53" t="s">
        <v>256</v>
      </c>
      <c r="V107" s="47" t="s">
        <v>537</v>
      </c>
      <c r="W107" s="47" t="s">
        <v>546</v>
      </c>
      <c r="X107" s="47" t="s">
        <v>203</v>
      </c>
      <c r="Y107" s="58">
        <v>5.0082800000000001</v>
      </c>
      <c r="Z107" s="193">
        <v>1.54878</v>
      </c>
      <c r="AB107" s="3" t="s">
        <v>526</v>
      </c>
      <c r="AC107" s="125">
        <v>0.64600000000000002</v>
      </c>
      <c r="AD107" s="3">
        <v>0</v>
      </c>
      <c r="AE107" s="3"/>
      <c r="AF107" s="3"/>
      <c r="AG107" s="3"/>
    </row>
    <row r="108" spans="6:33">
      <c r="F108" s="372">
        <v>1</v>
      </c>
      <c r="G108" s="373" t="s">
        <v>256</v>
      </c>
      <c r="H108" s="6" t="s">
        <v>537</v>
      </c>
      <c r="I108" s="136" t="s">
        <v>546</v>
      </c>
      <c r="J108" s="136" t="s">
        <v>203</v>
      </c>
      <c r="K108" s="191">
        <v>-5.0082800000000001</v>
      </c>
      <c r="L108" s="191">
        <v>-4.9252017927000002</v>
      </c>
      <c r="M108" s="191">
        <v>-5.2411668220945575</v>
      </c>
      <c r="N108" s="191">
        <v>0</v>
      </c>
      <c r="O108" s="191">
        <v>0</v>
      </c>
      <c r="P108" s="191">
        <v>2.5860000000000001E-2</v>
      </c>
      <c r="Q108" s="191">
        <v>-2.0101374675224899E-2</v>
      </c>
      <c r="R108" s="191">
        <v>-1.1963369679962E-2</v>
      </c>
      <c r="T108" s="46">
        <v>1</v>
      </c>
      <c r="U108" s="53" t="s">
        <v>256</v>
      </c>
      <c r="V108" s="47" t="s">
        <v>538</v>
      </c>
      <c r="W108" s="47" t="s">
        <v>546</v>
      </c>
      <c r="X108" s="47" t="s">
        <v>203</v>
      </c>
      <c r="Y108" s="58">
        <v>4.6396800000000002</v>
      </c>
      <c r="Z108" s="193">
        <v>1.54878</v>
      </c>
      <c r="AB108" s="3" t="s">
        <v>526</v>
      </c>
      <c r="AC108" s="125">
        <v>0.72499999999999998</v>
      </c>
      <c r="AD108" s="3">
        <v>0</v>
      </c>
      <c r="AE108" s="3"/>
      <c r="AF108" s="3"/>
      <c r="AG108" s="3"/>
    </row>
    <row r="109" spans="6:33">
      <c r="F109" s="372">
        <v>1</v>
      </c>
      <c r="G109" s="373" t="s">
        <v>256</v>
      </c>
      <c r="H109" s="6" t="s">
        <v>538</v>
      </c>
      <c r="I109" s="136" t="s">
        <v>546</v>
      </c>
      <c r="J109" s="136" t="s">
        <v>203</v>
      </c>
      <c r="K109" s="191">
        <v>-4.6396800000000002</v>
      </c>
      <c r="L109" s="191">
        <v>0</v>
      </c>
      <c r="M109" s="191">
        <v>0</v>
      </c>
      <c r="N109" s="191">
        <v>0</v>
      </c>
      <c r="O109" s="191">
        <v>0</v>
      </c>
      <c r="P109" s="191">
        <v>2.5860000000000001E-2</v>
      </c>
      <c r="Q109" s="191">
        <v>-1.6266222895848101E-2</v>
      </c>
      <c r="R109" s="191">
        <v>-1.1963369679962E-2</v>
      </c>
      <c r="T109" s="46">
        <v>1</v>
      </c>
      <c r="U109" s="53" t="s">
        <v>256</v>
      </c>
      <c r="V109" s="47" t="s">
        <v>258</v>
      </c>
      <c r="W109" s="47" t="s">
        <v>546</v>
      </c>
      <c r="X109" s="47" t="s">
        <v>203</v>
      </c>
      <c r="Y109" s="58">
        <v>4.6396800000000002</v>
      </c>
      <c r="Z109" s="193">
        <v>1.54878</v>
      </c>
      <c r="AB109" s="3" t="s">
        <v>526</v>
      </c>
      <c r="AC109" s="125">
        <v>0.64600000000000002</v>
      </c>
      <c r="AD109" s="3">
        <v>0</v>
      </c>
      <c r="AE109" s="3"/>
      <c r="AF109" s="3" t="s">
        <v>526</v>
      </c>
      <c r="AG109" s="83">
        <v>0.5</v>
      </c>
    </row>
    <row r="110" spans="6:33">
      <c r="F110" s="372">
        <v>1</v>
      </c>
      <c r="G110" s="373" t="s">
        <v>256</v>
      </c>
      <c r="H110" s="6" t="s">
        <v>258</v>
      </c>
      <c r="I110" s="136" t="s">
        <v>546</v>
      </c>
      <c r="J110" s="136" t="s">
        <v>203</v>
      </c>
      <c r="K110" s="191">
        <v>-4.6396800000000002</v>
      </c>
      <c r="L110" s="191">
        <v>-4.5566017927000004</v>
      </c>
      <c r="M110" s="191">
        <v>-5.0807229397855505</v>
      </c>
      <c r="N110" s="191">
        <v>0</v>
      </c>
      <c r="O110" s="191">
        <v>0</v>
      </c>
      <c r="P110" s="191">
        <v>2.5860000000000001E-2</v>
      </c>
      <c r="Q110" s="191">
        <v>-2.0101374675224899E-2</v>
      </c>
      <c r="R110" s="191">
        <v>-1.1963369679962E-2</v>
      </c>
      <c r="T110" s="46">
        <v>1</v>
      </c>
      <c r="U110" s="53" t="s">
        <v>247</v>
      </c>
      <c r="V110" s="47" t="s">
        <v>247</v>
      </c>
      <c r="W110" s="47" t="s">
        <v>546</v>
      </c>
      <c r="X110" s="47" t="s">
        <v>203</v>
      </c>
      <c r="Y110" s="58">
        <v>1.0505633333333335</v>
      </c>
      <c r="Z110" s="193">
        <v>0.89563000000000004</v>
      </c>
      <c r="AB110" s="3" t="s">
        <v>526</v>
      </c>
      <c r="AC110" s="125">
        <v>0.72499999999999998</v>
      </c>
      <c r="AD110" s="3">
        <v>0.14482945764999999</v>
      </c>
      <c r="AE110" s="3" t="s">
        <v>541</v>
      </c>
      <c r="AF110" s="3"/>
      <c r="AG110" s="3"/>
    </row>
    <row r="111" spans="6:33">
      <c r="F111" s="372">
        <v>1</v>
      </c>
      <c r="G111" s="373" t="s">
        <v>247</v>
      </c>
      <c r="H111" s="6" t="s">
        <v>247</v>
      </c>
      <c r="I111" s="136" t="s">
        <v>546</v>
      </c>
      <c r="J111" s="136" t="s">
        <v>203</v>
      </c>
      <c r="K111" s="191">
        <v>-1.0505633333333335</v>
      </c>
      <c r="L111" s="191">
        <v>-0.96748512603333348</v>
      </c>
      <c r="M111" s="191">
        <v>-0.31964666691719285</v>
      </c>
      <c r="N111" s="191">
        <v>0</v>
      </c>
      <c r="O111" s="191">
        <v>0</v>
      </c>
      <c r="P111" s="191">
        <v>2.6040724293187999E-2</v>
      </c>
      <c r="Q111" s="191">
        <v>2.9160179539146E-2</v>
      </c>
      <c r="R111" s="191">
        <v>4.8933991860598297E-2</v>
      </c>
      <c r="T111" s="46">
        <v>1</v>
      </c>
      <c r="U111" s="53" t="s">
        <v>247</v>
      </c>
      <c r="V111" s="47" t="s">
        <v>248</v>
      </c>
      <c r="W111" s="47" t="s">
        <v>546</v>
      </c>
      <c r="X111" s="47" t="s">
        <v>203</v>
      </c>
      <c r="Y111" s="58">
        <v>1.0606100000000001</v>
      </c>
      <c r="Z111" s="193">
        <v>0.89563000000000004</v>
      </c>
      <c r="AB111" s="3"/>
      <c r="AC111" s="3"/>
      <c r="AD111" s="3"/>
      <c r="AE111" s="3"/>
      <c r="AF111" s="3"/>
      <c r="AG111" s="3"/>
    </row>
    <row r="112" spans="6:33">
      <c r="F112" s="372">
        <v>1</v>
      </c>
      <c r="G112" s="373" t="s">
        <v>247</v>
      </c>
      <c r="H112" s="6" t="s">
        <v>248</v>
      </c>
      <c r="I112" s="136" t="s">
        <v>546</v>
      </c>
      <c r="J112" s="136" t="s">
        <v>203</v>
      </c>
      <c r="K112" s="191">
        <v>-1.0606100000000001</v>
      </c>
      <c r="L112" s="191">
        <v>-0.97753179270000001</v>
      </c>
      <c r="M112" s="191">
        <v>-0.16792281557286154</v>
      </c>
      <c r="N112" s="191">
        <v>0</v>
      </c>
      <c r="O112" s="191">
        <v>0</v>
      </c>
      <c r="P112" s="191">
        <v>2.6040730347760901E-2</v>
      </c>
      <c r="Q112" s="191">
        <v>3.3291056097463002E-2</v>
      </c>
      <c r="R112" s="191">
        <v>4.89328082549913E-2</v>
      </c>
      <c r="T112" s="46">
        <v>1</v>
      </c>
      <c r="U112" s="53" t="s">
        <v>247</v>
      </c>
      <c r="V112" s="47" t="s">
        <v>263</v>
      </c>
      <c r="W112" s="47" t="s">
        <v>546</v>
      </c>
      <c r="X112" s="47" t="s">
        <v>203</v>
      </c>
      <c r="Y112" s="58">
        <v>1.0341199999999999</v>
      </c>
      <c r="Z112" s="193">
        <v>0.89563000000000004</v>
      </c>
      <c r="AB112" s="3"/>
      <c r="AC112" s="3"/>
      <c r="AD112" s="3"/>
      <c r="AE112" s="3"/>
      <c r="AF112" s="3"/>
      <c r="AG112" s="3"/>
    </row>
    <row r="113" spans="6:33">
      <c r="F113" s="372">
        <v>1</v>
      </c>
      <c r="G113" s="373" t="s">
        <v>247</v>
      </c>
      <c r="H113" s="6" t="s">
        <v>263</v>
      </c>
      <c r="I113" s="136" t="s">
        <v>546</v>
      </c>
      <c r="J113" s="136" t="s">
        <v>203</v>
      </c>
      <c r="K113" s="191">
        <v>-1.0341199999999999</v>
      </c>
      <c r="L113" s="191">
        <v>-0.95104179269999989</v>
      </c>
      <c r="M113" s="191">
        <v>-0.16792281557286154</v>
      </c>
      <c r="N113" s="191">
        <v>0</v>
      </c>
      <c r="O113" s="191">
        <v>0</v>
      </c>
      <c r="P113" s="191">
        <v>2.6040734100342699E-2</v>
      </c>
      <c r="Q113" s="191">
        <v>3.5767272587802802E-2</v>
      </c>
      <c r="R113" s="191">
        <v>4.8932883823129603E-2</v>
      </c>
      <c r="T113" s="46">
        <v>1</v>
      </c>
      <c r="U113" s="53" t="s">
        <v>247</v>
      </c>
      <c r="V113" s="47" t="s">
        <v>539</v>
      </c>
      <c r="W113" s="47" t="s">
        <v>546</v>
      </c>
      <c r="X113" s="47" t="s">
        <v>203</v>
      </c>
      <c r="Y113" s="58">
        <v>1.0569599999999999</v>
      </c>
      <c r="Z113" s="193">
        <v>0.89563000000000004</v>
      </c>
      <c r="AB113" s="3"/>
      <c r="AC113" s="3"/>
      <c r="AD113" s="3"/>
      <c r="AE113" s="3"/>
      <c r="AF113" s="3"/>
      <c r="AG113" s="3"/>
    </row>
    <row r="114" spans="6:33">
      <c r="F114" s="372">
        <v>1</v>
      </c>
      <c r="G114" s="373" t="s">
        <v>247</v>
      </c>
      <c r="H114" s="6" t="s">
        <v>539</v>
      </c>
      <c r="I114" s="136" t="s">
        <v>546</v>
      </c>
      <c r="J114" s="136" t="s">
        <v>203</v>
      </c>
      <c r="K114" s="191">
        <v>-1.0569599999999999</v>
      </c>
      <c r="L114" s="191">
        <v>-0.97388179269999986</v>
      </c>
      <c r="M114" s="191">
        <v>-0.17322564132779403</v>
      </c>
      <c r="N114" s="191">
        <v>0</v>
      </c>
      <c r="O114" s="191">
        <v>0</v>
      </c>
      <c r="P114" s="191">
        <v>2.6040714495594499E-2</v>
      </c>
      <c r="Q114" s="191">
        <v>2.25068255633998E-2</v>
      </c>
      <c r="R114" s="191">
        <v>4.8935266613268302E-2</v>
      </c>
      <c r="T114" s="46">
        <v>1</v>
      </c>
      <c r="U114" s="53" t="s">
        <v>247</v>
      </c>
      <c r="V114" s="47" t="s">
        <v>270</v>
      </c>
      <c r="W114" s="47" t="s">
        <v>546</v>
      </c>
      <c r="X114" s="47" t="s">
        <v>203</v>
      </c>
      <c r="Y114" s="58">
        <v>1.0505633333333335</v>
      </c>
      <c r="Z114" s="193">
        <v>0.89563000000000004</v>
      </c>
      <c r="AB114" s="3" t="s">
        <v>526</v>
      </c>
      <c r="AC114" s="125">
        <v>0.77500000000000002</v>
      </c>
      <c r="AD114" s="3">
        <v>0</v>
      </c>
      <c r="AE114" s="3" t="s">
        <v>527</v>
      </c>
      <c r="AF114" s="3"/>
      <c r="AG114" s="3"/>
    </row>
    <row r="115" spans="6:33">
      <c r="F115" s="372">
        <v>1</v>
      </c>
      <c r="G115" s="373" t="s">
        <v>247</v>
      </c>
      <c r="H115" s="6" t="s">
        <v>270</v>
      </c>
      <c r="I115" s="136" t="s">
        <v>546</v>
      </c>
      <c r="J115" s="136" t="s">
        <v>203</v>
      </c>
      <c r="K115" s="191">
        <v>-1.0505633333333335</v>
      </c>
      <c r="L115" s="191">
        <v>-0.96748512603333348</v>
      </c>
      <c r="M115" s="191">
        <v>-0.31964666691719285</v>
      </c>
      <c r="N115" s="191">
        <v>0</v>
      </c>
      <c r="O115" s="191">
        <v>0</v>
      </c>
      <c r="P115" s="191">
        <v>2.6040724293187999E-2</v>
      </c>
      <c r="Q115" s="191">
        <v>2.9160179539146E-2</v>
      </c>
      <c r="R115" s="191">
        <v>4.8933991860598297E-2</v>
      </c>
      <c r="T115" s="46">
        <v>1</v>
      </c>
      <c r="U115" s="53" t="s">
        <v>247</v>
      </c>
      <c r="V115" s="47" t="s">
        <v>540</v>
      </c>
      <c r="W115" s="47" t="s">
        <v>546</v>
      </c>
      <c r="X115" s="47" t="s">
        <v>203</v>
      </c>
      <c r="Y115" s="58">
        <v>1.0473650000000001</v>
      </c>
      <c r="Z115" s="193">
        <v>0.89563000000000004</v>
      </c>
      <c r="AB115" s="3" t="s">
        <v>526</v>
      </c>
      <c r="AC115" s="125">
        <v>0.77500000000000002</v>
      </c>
      <c r="AD115" s="3">
        <v>0</v>
      </c>
      <c r="AE115" s="3" t="s">
        <v>527</v>
      </c>
      <c r="AF115" s="3"/>
      <c r="AG115" s="3"/>
    </row>
    <row r="116" spans="6:33">
      <c r="F116" s="370">
        <v>1</v>
      </c>
      <c r="G116" s="137" t="s">
        <v>247</v>
      </c>
      <c r="H116" s="136" t="s">
        <v>540</v>
      </c>
      <c r="I116" s="136" t="s">
        <v>546</v>
      </c>
      <c r="J116" s="136" t="s">
        <v>203</v>
      </c>
      <c r="K116" s="191">
        <v>-1.0473650000000001</v>
      </c>
      <c r="L116" s="191">
        <v>-0.96428679270000006</v>
      </c>
      <c r="M116" s="191">
        <v>0</v>
      </c>
      <c r="N116" s="191">
        <v>0</v>
      </c>
      <c r="O116" s="191">
        <v>0</v>
      </c>
      <c r="P116" s="191">
        <v>2.6040707593329899E-2</v>
      </c>
      <c r="Q116" s="191">
        <v>2.4982521898512501E-2</v>
      </c>
      <c r="R116" s="191">
        <v>4.8934822026179499E-2</v>
      </c>
      <c r="T116" s="46">
        <v>1</v>
      </c>
      <c r="U116" s="53" t="s">
        <v>529</v>
      </c>
      <c r="V116" s="47" t="s">
        <v>260</v>
      </c>
      <c r="W116" s="47" t="s">
        <v>546</v>
      </c>
      <c r="X116" s="47" t="s">
        <v>203</v>
      </c>
      <c r="Y116" s="58">
        <v>4.0364225925925927</v>
      </c>
      <c r="Z116" s="193">
        <v>1.3856655555555555</v>
      </c>
      <c r="AB116" s="3" t="s">
        <v>526</v>
      </c>
      <c r="AC116" s="125">
        <v>0.77500000000000002</v>
      </c>
      <c r="AD116" s="3">
        <v>0</v>
      </c>
      <c r="AE116" s="3" t="s">
        <v>527</v>
      </c>
      <c r="AF116" s="3"/>
      <c r="AG116" s="3"/>
    </row>
    <row r="117" spans="6:33">
      <c r="F117" s="372">
        <v>1</v>
      </c>
      <c r="G117" s="373" t="s">
        <v>261</v>
      </c>
      <c r="H117" s="6" t="s">
        <v>260</v>
      </c>
      <c r="I117" s="136" t="s">
        <v>546</v>
      </c>
      <c r="J117" s="136" t="s">
        <v>203</v>
      </c>
      <c r="K117" s="191">
        <v>-4.0364225925925927</v>
      </c>
      <c r="L117" s="191">
        <v>0</v>
      </c>
      <c r="M117" s="191">
        <v>0</v>
      </c>
      <c r="N117" s="191">
        <v>-0.49804123014899998</v>
      </c>
      <c r="O117" s="191">
        <v>-0.86469964244274</v>
      </c>
      <c r="P117" s="191">
        <v>-9.8873846785501499E-2</v>
      </c>
      <c r="Q117" s="191">
        <v>-0.26772451207168102</v>
      </c>
      <c r="R117" s="191">
        <v>2.7532204279775999E-2</v>
      </c>
      <c r="T117" s="46">
        <v>1</v>
      </c>
      <c r="U117" s="53" t="s">
        <v>237</v>
      </c>
      <c r="V117" s="47" t="s">
        <v>237</v>
      </c>
      <c r="W117" s="47" t="s">
        <v>546</v>
      </c>
      <c r="X117" s="47" t="s">
        <v>203</v>
      </c>
      <c r="Y117" s="58">
        <v>2.8533815875203707</v>
      </c>
      <c r="Z117" s="193">
        <v>1.0711602172222223</v>
      </c>
      <c r="AB117" s="3" t="s">
        <v>526</v>
      </c>
      <c r="AC117" s="83">
        <v>0.5</v>
      </c>
      <c r="AD117" s="3">
        <v>0</v>
      </c>
      <c r="AE117" s="3" t="s">
        <v>528</v>
      </c>
      <c r="AF117" s="3"/>
      <c r="AG117" s="3"/>
    </row>
    <row r="118" spans="6:33">
      <c r="F118" s="372">
        <v>1</v>
      </c>
      <c r="G118" s="373" t="s">
        <v>10157</v>
      </c>
      <c r="H118" s="6" t="s">
        <v>10157</v>
      </c>
      <c r="I118" s="136" t="s">
        <v>546</v>
      </c>
      <c r="J118" s="136" t="s">
        <v>203</v>
      </c>
      <c r="K118" s="191">
        <v>-2.8533815875203707</v>
      </c>
      <c r="L118" s="191">
        <v>-1.4249189937601854</v>
      </c>
      <c r="M118" s="191">
        <v>0</v>
      </c>
      <c r="N118" s="191">
        <v>0</v>
      </c>
      <c r="O118" s="191">
        <v>0</v>
      </c>
      <c r="P118" s="191">
        <v>-0.41024045217658678</v>
      </c>
      <c r="Q118" s="191">
        <v>-0.59805419557752437</v>
      </c>
      <c r="R118" s="191">
        <v>2.7970952240132501E-2</v>
      </c>
      <c r="T118" s="46">
        <v>1</v>
      </c>
      <c r="U118" s="53" t="s">
        <v>237</v>
      </c>
      <c r="V118" s="47" t="s">
        <v>246</v>
      </c>
      <c r="W118" s="47" t="s">
        <v>546</v>
      </c>
      <c r="X118" s="47" t="s">
        <v>203</v>
      </c>
      <c r="Y118" s="58">
        <v>7.3412433500000009</v>
      </c>
      <c r="Z118" s="193">
        <v>0.66842500000000005</v>
      </c>
      <c r="AB118" s="3" t="s">
        <v>526</v>
      </c>
      <c r="AC118" s="83">
        <v>0.5</v>
      </c>
      <c r="AD118" s="3">
        <v>0</v>
      </c>
      <c r="AE118" s="3" t="s">
        <v>528</v>
      </c>
      <c r="AF118" s="3"/>
      <c r="AG118" s="3"/>
    </row>
    <row r="119" spans="6:33">
      <c r="F119" s="372">
        <v>1</v>
      </c>
      <c r="G119" s="373" t="s">
        <v>10157</v>
      </c>
      <c r="H119" s="6" t="s">
        <v>246</v>
      </c>
      <c r="I119" s="136" t="s">
        <v>546</v>
      </c>
      <c r="J119" s="136" t="s">
        <v>203</v>
      </c>
      <c r="K119" s="191">
        <v>-7.3412433500000009</v>
      </c>
      <c r="L119" s="191">
        <v>0</v>
      </c>
      <c r="M119" s="191">
        <v>0</v>
      </c>
      <c r="N119" s="191">
        <v>0</v>
      </c>
      <c r="O119" s="191">
        <v>0</v>
      </c>
      <c r="P119" s="191">
        <v>2.60407590601959E-2</v>
      </c>
      <c r="Q119" s="191">
        <v>4.1075091000055998E-2</v>
      </c>
      <c r="R119" s="191">
        <v>4.8932475133413603E-2</v>
      </c>
      <c r="T119" s="46">
        <v>1</v>
      </c>
      <c r="U119" s="53" t="s">
        <v>237</v>
      </c>
      <c r="V119" s="28" t="s">
        <v>10162</v>
      </c>
      <c r="W119" s="47" t="s">
        <v>546</v>
      </c>
      <c r="X119" s="47" t="s">
        <v>203</v>
      </c>
      <c r="Y119" s="58">
        <v>2.8533815875203707</v>
      </c>
      <c r="Z119" s="193">
        <v>1.0711602172222223</v>
      </c>
      <c r="AB119" s="3"/>
      <c r="AC119" s="3"/>
      <c r="AD119" s="3"/>
      <c r="AE119" s="3"/>
      <c r="AF119" s="3"/>
      <c r="AG119" s="3"/>
    </row>
    <row r="120" spans="6:33" ht="28.8">
      <c r="F120" s="372">
        <v>1</v>
      </c>
      <c r="G120" s="373" t="s">
        <v>10157</v>
      </c>
      <c r="H120" s="6" t="s">
        <v>10162</v>
      </c>
      <c r="I120" s="136" t="s">
        <v>546</v>
      </c>
      <c r="J120" s="136" t="s">
        <v>203</v>
      </c>
      <c r="K120" s="191">
        <v>-2.8533815875203707</v>
      </c>
      <c r="L120" s="191">
        <v>0</v>
      </c>
      <c r="M120" s="191">
        <v>0</v>
      </c>
      <c r="N120" s="191">
        <v>-1.0080674189834951</v>
      </c>
      <c r="O120" s="191">
        <v>-1.5974615560162053</v>
      </c>
      <c r="P120" s="191">
        <v>-0.41024045217658678</v>
      </c>
      <c r="Q120" s="191">
        <v>-0.59805419557752437</v>
      </c>
      <c r="R120" s="191">
        <v>2.7970952240132501E-2</v>
      </c>
      <c r="T120" s="46">
        <v>1</v>
      </c>
      <c r="U120" s="53" t="s">
        <v>252</v>
      </c>
      <c r="V120" s="28" t="s">
        <v>333</v>
      </c>
      <c r="W120" s="47" t="s">
        <v>546</v>
      </c>
      <c r="X120" s="47" t="s">
        <v>203</v>
      </c>
      <c r="Y120" s="58">
        <v>2.0953266666666663</v>
      </c>
      <c r="Z120" s="193">
        <v>1.77911</v>
      </c>
      <c r="AB120" s="3" t="s">
        <v>526</v>
      </c>
      <c r="AC120" s="125">
        <v>0.77500000000000002</v>
      </c>
      <c r="AD120" s="3">
        <v>8.1306407300000008E-2</v>
      </c>
      <c r="AE120" s="3" t="s">
        <v>531</v>
      </c>
      <c r="AF120" s="3" t="s">
        <v>526</v>
      </c>
      <c r="AG120" s="83">
        <v>0.85</v>
      </c>
    </row>
    <row r="121" spans="6:33">
      <c r="F121" s="372">
        <v>1</v>
      </c>
      <c r="G121" s="373" t="s">
        <v>252</v>
      </c>
      <c r="H121" s="6" t="s">
        <v>333</v>
      </c>
      <c r="I121" s="136" t="s">
        <v>546</v>
      </c>
      <c r="J121" s="136" t="s">
        <v>203</v>
      </c>
      <c r="K121" s="191">
        <v>-2.0953266666666663</v>
      </c>
      <c r="L121" s="191">
        <v>0</v>
      </c>
      <c r="M121" s="191">
        <v>-4.4026458801754389</v>
      </c>
      <c r="N121" s="191">
        <v>0</v>
      </c>
      <c r="O121" s="191">
        <v>0</v>
      </c>
      <c r="P121" s="191">
        <v>2.6040731092765699E-2</v>
      </c>
      <c r="Q121" s="191">
        <v>0.464223353037373</v>
      </c>
      <c r="R121" s="191">
        <v>2.1870266836515802</v>
      </c>
      <c r="T121" s="46">
        <v>1</v>
      </c>
      <c r="U121" s="53" t="s">
        <v>239</v>
      </c>
      <c r="V121" s="3" t="s">
        <v>542</v>
      </c>
      <c r="W121" s="47" t="s">
        <v>546</v>
      </c>
      <c r="X121" s="47" t="s">
        <v>203</v>
      </c>
      <c r="Y121" s="58">
        <v>2.6644477777777777</v>
      </c>
      <c r="Z121" s="193">
        <v>0.64099666666666666</v>
      </c>
      <c r="AB121" s="3" t="s">
        <v>526</v>
      </c>
      <c r="AC121" s="125">
        <v>0.77500000000000002</v>
      </c>
      <c r="AD121" s="3">
        <v>8.1306407300000008E-2</v>
      </c>
      <c r="AE121" s="3" t="s">
        <v>531</v>
      </c>
      <c r="AF121" s="3" t="s">
        <v>526</v>
      </c>
      <c r="AG121" s="83">
        <v>0.7</v>
      </c>
    </row>
    <row r="122" spans="6:33">
      <c r="F122" s="372">
        <v>1</v>
      </c>
      <c r="G122" s="373" t="s">
        <v>239</v>
      </c>
      <c r="H122" s="6" t="s">
        <v>542</v>
      </c>
      <c r="I122" s="136" t="s">
        <v>546</v>
      </c>
      <c r="J122" s="136" t="s">
        <v>203</v>
      </c>
      <c r="K122" s="191">
        <v>-2.6644477777777777</v>
      </c>
      <c r="L122" s="191">
        <v>0</v>
      </c>
      <c r="M122" s="191">
        <v>-0.90244815300206405</v>
      </c>
      <c r="N122" s="191">
        <v>-1.5823914514950801</v>
      </c>
      <c r="O122" s="191">
        <v>-2.39025290122775</v>
      </c>
      <c r="P122" s="191">
        <v>-0.60576406900190205</v>
      </c>
      <c r="Q122" s="191">
        <v>-0.93094962859978103</v>
      </c>
      <c r="R122" s="191">
        <v>2.7472942241024201E-2</v>
      </c>
      <c r="T122" s="46">
        <v>1</v>
      </c>
      <c r="U122" s="53" t="s">
        <v>237</v>
      </c>
      <c r="V122" s="3" t="s">
        <v>238</v>
      </c>
      <c r="W122" s="47" t="s">
        <v>546</v>
      </c>
      <c r="X122" s="47" t="s">
        <v>203</v>
      </c>
      <c r="Y122" s="58">
        <v>2.7046544444444445</v>
      </c>
      <c r="Z122" s="193">
        <v>1.2161291666666667</v>
      </c>
      <c r="AB122" s="3"/>
      <c r="AC122" s="3"/>
      <c r="AD122" s="3"/>
      <c r="AE122" s="3"/>
      <c r="AF122" s="3" t="s">
        <v>526</v>
      </c>
      <c r="AG122" s="83">
        <v>0.8</v>
      </c>
    </row>
    <row r="123" spans="6:33">
      <c r="F123" s="372">
        <v>1</v>
      </c>
      <c r="G123" s="373" t="s">
        <v>10157</v>
      </c>
      <c r="H123" s="6" t="s">
        <v>238</v>
      </c>
      <c r="I123" s="136" t="s">
        <v>546</v>
      </c>
      <c r="J123" s="136" t="s">
        <v>203</v>
      </c>
      <c r="K123" s="191">
        <v>-2.7046544444444445</v>
      </c>
      <c r="L123" s="191">
        <v>0</v>
      </c>
      <c r="M123" s="191">
        <v>0</v>
      </c>
      <c r="N123" s="191">
        <v>0</v>
      </c>
      <c r="O123" s="191">
        <v>0</v>
      </c>
      <c r="P123" s="191">
        <v>-0.13193306468313171</v>
      </c>
      <c r="Q123" s="191">
        <v>-0.12340662346564657</v>
      </c>
      <c r="R123" s="191">
        <v>0.55642669630908426</v>
      </c>
      <c r="T123" s="46">
        <v>1</v>
      </c>
      <c r="U123" s="53" t="s">
        <v>264</v>
      </c>
      <c r="V123" s="3" t="s">
        <v>264</v>
      </c>
      <c r="W123" s="47" t="s">
        <v>546</v>
      </c>
      <c r="X123" s="47" t="s">
        <v>203</v>
      </c>
      <c r="Y123" s="58">
        <v>1.9287117500000002</v>
      </c>
      <c r="Z123" s="193">
        <v>0.467055</v>
      </c>
      <c r="AB123" s="3" t="s">
        <v>526</v>
      </c>
      <c r="AC123" s="125">
        <v>0.77500000000000002</v>
      </c>
      <c r="AD123" s="3">
        <v>8.1306407300000008E-2</v>
      </c>
      <c r="AE123" s="3" t="s">
        <v>531</v>
      </c>
      <c r="AF123" s="3" t="s">
        <v>526</v>
      </c>
      <c r="AG123" s="83">
        <v>0.7</v>
      </c>
    </row>
    <row r="124" spans="6:33" ht="28.8">
      <c r="F124" s="372">
        <v>1</v>
      </c>
      <c r="G124" s="373" t="s">
        <v>264</v>
      </c>
      <c r="H124" s="6" t="s">
        <v>10184</v>
      </c>
      <c r="I124" s="136" t="s">
        <v>546</v>
      </c>
      <c r="J124" s="136" t="s">
        <v>203</v>
      </c>
      <c r="K124" s="191">
        <v>-1.9287117500000002</v>
      </c>
      <c r="L124" s="191">
        <v>-1.1070613798500002</v>
      </c>
      <c r="M124" s="191">
        <v>0.15112249999999994</v>
      </c>
      <c r="N124" s="191">
        <v>0</v>
      </c>
      <c r="O124" s="191">
        <v>0</v>
      </c>
      <c r="P124" s="191">
        <v>-0.30792172898100867</v>
      </c>
      <c r="Q124" s="191">
        <v>-0.58268383572280236</v>
      </c>
      <c r="R124" s="191">
        <v>0.46268869053918082</v>
      </c>
      <c r="T124" s="46">
        <v>1</v>
      </c>
      <c r="U124" s="53" t="s">
        <v>264</v>
      </c>
      <c r="V124" s="3" t="s">
        <v>336</v>
      </c>
      <c r="W124" s="47" t="s">
        <v>546</v>
      </c>
      <c r="X124" s="47" t="s">
        <v>203</v>
      </c>
      <c r="Y124" s="58">
        <v>0.76351350000000007</v>
      </c>
      <c r="Z124" s="193">
        <v>0.43603999999999998</v>
      </c>
      <c r="AB124" s="3"/>
      <c r="AC124" s="3"/>
      <c r="AD124" s="3"/>
      <c r="AE124" s="3"/>
      <c r="AF124" s="3"/>
      <c r="AG124" s="83"/>
    </row>
    <row r="125" spans="6:33">
      <c r="F125" s="372">
        <v>1</v>
      </c>
      <c r="G125" s="373" t="s">
        <v>264</v>
      </c>
      <c r="H125" s="6" t="s">
        <v>336</v>
      </c>
      <c r="I125" s="136" t="s">
        <v>546</v>
      </c>
      <c r="J125" s="136" t="s">
        <v>203</v>
      </c>
      <c r="K125" s="191">
        <v>-0.76351350000000007</v>
      </c>
      <c r="L125" s="191">
        <v>-0.34968251735000005</v>
      </c>
      <c r="M125" s="191">
        <v>0</v>
      </c>
      <c r="N125" s="191">
        <v>-1.64048635651654</v>
      </c>
      <c r="O125" s="191">
        <v>-2.6265900097321899</v>
      </c>
      <c r="P125" s="191">
        <v>-0.98615602024187332</v>
      </c>
      <c r="Q125" s="191">
        <v>-0.81510268688236076</v>
      </c>
      <c r="R125" s="191">
        <v>0.21608141940206463</v>
      </c>
      <c r="T125" s="46">
        <v>1</v>
      </c>
      <c r="U125" s="53" t="s">
        <v>242</v>
      </c>
      <c r="V125" s="3" t="s">
        <v>251</v>
      </c>
      <c r="W125" s="47" t="s">
        <v>546</v>
      </c>
      <c r="X125" s="47" t="s">
        <v>203</v>
      </c>
      <c r="Y125" s="58">
        <v>4.9218200000000003</v>
      </c>
      <c r="Z125" s="193">
        <v>0.15096000000000001</v>
      </c>
      <c r="AB125" s="3" t="s">
        <v>526</v>
      </c>
      <c r="AC125" s="125">
        <v>0.77500000000000002</v>
      </c>
      <c r="AD125" s="3">
        <v>8.1306407300000008E-2</v>
      </c>
      <c r="AE125" s="3" t="s">
        <v>531</v>
      </c>
      <c r="AF125" s="3"/>
      <c r="AG125" s="3"/>
    </row>
    <row r="126" spans="6:33">
      <c r="F126" s="372">
        <v>1</v>
      </c>
      <c r="G126" s="373" t="s">
        <v>242</v>
      </c>
      <c r="H126" s="6" t="s">
        <v>251</v>
      </c>
      <c r="I126" s="136" t="s">
        <v>546</v>
      </c>
      <c r="J126" s="136" t="s">
        <v>203</v>
      </c>
      <c r="K126" s="191">
        <v>-4.9218200000000003</v>
      </c>
      <c r="L126" s="191">
        <v>-3.5665477000000001</v>
      </c>
      <c r="M126" s="191">
        <v>-1.2190350000000001</v>
      </c>
      <c r="N126" s="191">
        <v>0</v>
      </c>
      <c r="O126" s="191">
        <v>0</v>
      </c>
      <c r="P126" s="191">
        <v>2.5968434390474859E-2</v>
      </c>
      <c r="Q126" s="191">
        <v>0.17148020027923069</v>
      </c>
      <c r="R126" s="191">
        <v>0.8695064354805685</v>
      </c>
      <c r="T126" s="46">
        <v>1</v>
      </c>
      <c r="U126" s="53" t="s">
        <v>242</v>
      </c>
      <c r="V126" s="3" t="s">
        <v>543</v>
      </c>
      <c r="W126" s="47" t="s">
        <v>546</v>
      </c>
      <c r="X126" s="47" t="s">
        <v>203</v>
      </c>
      <c r="Y126" s="58">
        <v>1.00081</v>
      </c>
      <c r="Z126" s="193">
        <v>0.33138000000000001</v>
      </c>
      <c r="AB126" s="3" t="s">
        <v>526</v>
      </c>
      <c r="AC126" s="125">
        <v>0.72499999999999998</v>
      </c>
      <c r="AD126" s="3">
        <v>8.1306407300000008E-2</v>
      </c>
      <c r="AE126" s="3" t="s">
        <v>531</v>
      </c>
      <c r="AF126" s="3"/>
      <c r="AG126" s="3"/>
    </row>
    <row r="127" spans="6:33">
      <c r="F127" s="372">
        <v>1</v>
      </c>
      <c r="G127" s="373" t="s">
        <v>242</v>
      </c>
      <c r="H127" s="6" t="s">
        <v>543</v>
      </c>
      <c r="I127" s="136" t="s">
        <v>546</v>
      </c>
      <c r="J127" s="136" t="s">
        <v>203</v>
      </c>
      <c r="K127" s="191">
        <v>-1.00081</v>
      </c>
      <c r="L127" s="191">
        <v>-0.72381545000000003</v>
      </c>
      <c r="M127" s="191">
        <v>-0.20626249999999999</v>
      </c>
      <c r="N127" s="191">
        <v>0</v>
      </c>
      <c r="O127" s="191">
        <v>0</v>
      </c>
      <c r="P127" s="191">
        <v>2.5860000000000001E-2</v>
      </c>
      <c r="Q127" s="191">
        <v>4.1075091000055998E-2</v>
      </c>
      <c r="R127" s="191">
        <v>4.8932475133413401E-2</v>
      </c>
      <c r="T127" s="46">
        <v>1</v>
      </c>
      <c r="U127" s="53" t="s">
        <v>264</v>
      </c>
      <c r="V127" s="3" t="s">
        <v>544</v>
      </c>
      <c r="W127" s="47" t="s">
        <v>546</v>
      </c>
      <c r="X127" s="47" t="s">
        <v>203</v>
      </c>
      <c r="Y127" s="58">
        <v>3.0939100000000002</v>
      </c>
      <c r="Z127" s="193">
        <v>0.49807000000000001</v>
      </c>
      <c r="AB127" s="3" t="s">
        <v>526</v>
      </c>
      <c r="AC127" s="125">
        <v>0.72499999999999998</v>
      </c>
      <c r="AD127" s="3">
        <v>8.1306407300000008E-2</v>
      </c>
      <c r="AE127" s="3" t="s">
        <v>531</v>
      </c>
      <c r="AF127" s="3"/>
      <c r="AG127" s="3"/>
    </row>
    <row r="128" spans="6:33">
      <c r="F128" s="372">
        <v>1</v>
      </c>
      <c r="G128" s="373" t="s">
        <v>264</v>
      </c>
      <c r="H128" s="6" t="s">
        <v>544</v>
      </c>
      <c r="I128" s="136" t="s">
        <v>546</v>
      </c>
      <c r="J128" s="136" t="s">
        <v>203</v>
      </c>
      <c r="K128" s="191">
        <v>-3.0939100000000002</v>
      </c>
      <c r="L128" s="191">
        <v>-1.8644402423500002</v>
      </c>
      <c r="M128" s="191">
        <v>0.15112249999999994</v>
      </c>
      <c r="N128" s="191">
        <v>0</v>
      </c>
      <c r="O128" s="191">
        <v>0</v>
      </c>
      <c r="P128" s="191">
        <v>0.37031256227985598</v>
      </c>
      <c r="Q128" s="191">
        <v>-0.35026498456324401</v>
      </c>
      <c r="R128" s="191">
        <v>0.70929596167629705</v>
      </c>
      <c r="T128" s="46">
        <v>1</v>
      </c>
      <c r="U128" s="53" t="s">
        <v>237</v>
      </c>
      <c r="V128" s="3" t="s">
        <v>545</v>
      </c>
      <c r="W128" s="47" t="s">
        <v>546</v>
      </c>
      <c r="X128" s="47" t="s">
        <v>203</v>
      </c>
      <c r="Y128" s="58">
        <v>2.8533815875203707</v>
      </c>
      <c r="Z128" s="193">
        <v>1.0711602172222223</v>
      </c>
      <c r="AB128" s="3" t="s">
        <v>526</v>
      </c>
      <c r="AC128" s="125">
        <v>0.64600000000000002</v>
      </c>
      <c r="AD128" s="3">
        <v>8.1306407300000008E-2</v>
      </c>
      <c r="AE128" s="3" t="s">
        <v>531</v>
      </c>
      <c r="AF128" s="3" t="s">
        <v>526</v>
      </c>
      <c r="AG128" s="83">
        <v>0.8</v>
      </c>
    </row>
    <row r="129" spans="6:33">
      <c r="F129" s="372">
        <v>1</v>
      </c>
      <c r="G129" s="373" t="s">
        <v>10157</v>
      </c>
      <c r="H129" s="6" t="s">
        <v>545</v>
      </c>
      <c r="I129" s="136" t="s">
        <v>546</v>
      </c>
      <c r="J129" s="136" t="s">
        <v>203</v>
      </c>
      <c r="K129" s="191">
        <v>-2.8533815875203707</v>
      </c>
      <c r="L129" s="191">
        <v>0</v>
      </c>
      <c r="M129" s="191">
        <v>0</v>
      </c>
      <c r="N129" s="191">
        <v>0</v>
      </c>
      <c r="O129" s="191">
        <v>0</v>
      </c>
      <c r="P129" s="191">
        <v>-0.41024045217658678</v>
      </c>
      <c r="Q129" s="191">
        <v>-0.59805419557752437</v>
      </c>
      <c r="R129" s="191">
        <v>2.7970952240132501E-2</v>
      </c>
      <c r="T129" s="46">
        <v>1</v>
      </c>
      <c r="U129" s="53"/>
      <c r="V129" s="47"/>
      <c r="W129" s="47" t="s">
        <v>547</v>
      </c>
      <c r="X129" s="47" t="s">
        <v>203</v>
      </c>
      <c r="Y129" s="58" t="s">
        <v>525</v>
      </c>
      <c r="Z129" s="193" t="s">
        <v>525</v>
      </c>
      <c r="AB129" s="3"/>
      <c r="AC129" s="3"/>
      <c r="AD129" s="3"/>
      <c r="AE129" s="3"/>
      <c r="AF129" s="3" t="s">
        <v>526</v>
      </c>
      <c r="AG129" s="83">
        <v>0.88</v>
      </c>
    </row>
    <row r="130" spans="6:33" ht="28.8">
      <c r="F130" s="372">
        <v>1</v>
      </c>
      <c r="G130" s="373" t="s">
        <v>10169</v>
      </c>
      <c r="H130" s="6" t="s">
        <v>10170</v>
      </c>
      <c r="I130" s="136" t="s">
        <v>546</v>
      </c>
      <c r="J130" s="136" t="s">
        <v>203</v>
      </c>
      <c r="K130" s="191">
        <v>-0.74582333333333339</v>
      </c>
      <c r="L130" s="191">
        <v>-0.58351400000000009</v>
      </c>
      <c r="M130" s="191">
        <v>0.3259926084346883</v>
      </c>
      <c r="N130" s="191">
        <v>0</v>
      </c>
      <c r="O130" s="191">
        <v>0</v>
      </c>
      <c r="P130" s="191">
        <v>0.45668176288049178</v>
      </c>
      <c r="Q130" s="191">
        <v>1.0683983533052401</v>
      </c>
      <c r="R130" s="191">
        <v>1.142290877337675</v>
      </c>
      <c r="T130" s="46">
        <v>1</v>
      </c>
      <c r="U130" s="53"/>
      <c r="V130" s="47"/>
      <c r="W130" s="47" t="s">
        <v>547</v>
      </c>
      <c r="X130" s="47" t="s">
        <v>203</v>
      </c>
      <c r="Y130" s="58" t="s">
        <v>525</v>
      </c>
      <c r="Z130" s="193" t="s">
        <v>525</v>
      </c>
      <c r="AB130" s="3" t="s">
        <v>526</v>
      </c>
      <c r="AC130" s="125">
        <v>0.64600000000000002</v>
      </c>
      <c r="AD130" s="3">
        <v>8.1306407300000008E-2</v>
      </c>
      <c r="AE130" s="3" t="s">
        <v>531</v>
      </c>
      <c r="AF130" s="3" t="s">
        <v>526</v>
      </c>
      <c r="AG130" s="83">
        <v>0.8</v>
      </c>
    </row>
    <row r="131" spans="6:33" ht="28.8">
      <c r="F131" s="372">
        <v>1</v>
      </c>
      <c r="G131" s="373" t="s">
        <v>233</v>
      </c>
      <c r="H131" s="6" t="s">
        <v>10178</v>
      </c>
      <c r="I131" s="136" t="s">
        <v>547</v>
      </c>
      <c r="J131" s="136" t="s">
        <v>203</v>
      </c>
      <c r="K131" s="191">
        <v>0</v>
      </c>
      <c r="L131" s="191">
        <v>-0.13905086666666666</v>
      </c>
      <c r="M131" s="191">
        <v>0</v>
      </c>
      <c r="N131" s="191">
        <v>-1.4435372087645422</v>
      </c>
      <c r="O131" s="191">
        <v>-2.0471139703112522</v>
      </c>
      <c r="P131" s="191">
        <v>-0.97598277846820758</v>
      </c>
      <c r="Q131" s="191">
        <v>-0.88660493884261338</v>
      </c>
      <c r="R131" s="191">
        <v>3.314157551840885E-2</v>
      </c>
      <c r="T131" s="46">
        <v>1</v>
      </c>
      <c r="U131" s="53"/>
      <c r="V131" s="47"/>
      <c r="W131" s="47" t="s">
        <v>547</v>
      </c>
      <c r="X131" s="47" t="s">
        <v>203</v>
      </c>
      <c r="Y131" s="58" t="s">
        <v>525</v>
      </c>
      <c r="Z131" s="193" t="s">
        <v>525</v>
      </c>
      <c r="AB131" s="3"/>
      <c r="AC131" s="3"/>
      <c r="AD131" s="3"/>
      <c r="AE131" s="3"/>
      <c r="AF131" s="3" t="s">
        <v>526</v>
      </c>
      <c r="AG131" s="83">
        <v>0.65</v>
      </c>
    </row>
    <row r="132" spans="6:33">
      <c r="F132" s="372">
        <v>1</v>
      </c>
      <c r="G132" s="373" t="s">
        <v>233</v>
      </c>
      <c r="H132" s="6" t="s">
        <v>250</v>
      </c>
      <c r="I132" s="136" t="s">
        <v>547</v>
      </c>
      <c r="J132" s="136" t="s">
        <v>203</v>
      </c>
      <c r="K132" s="191">
        <v>0</v>
      </c>
      <c r="L132" s="191">
        <v>0</v>
      </c>
      <c r="M132" s="191">
        <v>0</v>
      </c>
      <c r="N132" s="191">
        <v>-1.743544869595175</v>
      </c>
      <c r="O132" s="191">
        <v>-2.1480724274098897</v>
      </c>
      <c r="P132" s="191">
        <v>-0.96725508784601799</v>
      </c>
      <c r="Q132" s="191">
        <v>-0.94977113109922151</v>
      </c>
      <c r="R132" s="191">
        <v>2.8432544060640601E-2</v>
      </c>
      <c r="T132" s="46">
        <v>1</v>
      </c>
      <c r="U132" s="53"/>
      <c r="V132" s="47"/>
      <c r="W132" s="47" t="s">
        <v>547</v>
      </c>
      <c r="X132" s="47" t="s">
        <v>203</v>
      </c>
      <c r="Y132" s="58" t="s">
        <v>525</v>
      </c>
      <c r="Z132" s="193" t="s">
        <v>525</v>
      </c>
      <c r="AB132" s="3"/>
      <c r="AC132" s="3"/>
      <c r="AD132" s="3"/>
      <c r="AE132" s="3"/>
      <c r="AF132" s="3" t="s">
        <v>526</v>
      </c>
      <c r="AG132" s="83">
        <v>0.65</v>
      </c>
    </row>
    <row r="133" spans="6:33">
      <c r="F133" s="372">
        <v>1</v>
      </c>
      <c r="G133" s="373" t="s">
        <v>233</v>
      </c>
      <c r="H133" s="6" t="s">
        <v>249</v>
      </c>
      <c r="I133" s="136" t="s">
        <v>547</v>
      </c>
      <c r="J133" s="136" t="s">
        <v>203</v>
      </c>
      <c r="K133" s="191">
        <v>0</v>
      </c>
      <c r="L133" s="191">
        <v>0</v>
      </c>
      <c r="M133" s="191">
        <v>0</v>
      </c>
      <c r="N133" s="191">
        <v>-0.54302315804424595</v>
      </c>
      <c r="O133" s="191">
        <v>-0.74335802004689999</v>
      </c>
      <c r="P133" s="191">
        <v>0.13046283087899135</v>
      </c>
      <c r="Q133" s="191">
        <v>-0.20142592981461999</v>
      </c>
      <c r="R133" s="191">
        <v>2.5753673213536901E-2</v>
      </c>
      <c r="T133" s="46">
        <v>1</v>
      </c>
      <c r="U133" s="53" t="s">
        <v>330</v>
      </c>
      <c r="V133" s="47" t="s">
        <v>330</v>
      </c>
      <c r="W133" s="47" t="s">
        <v>547</v>
      </c>
      <c r="X133" s="47" t="s">
        <v>203</v>
      </c>
      <c r="Y133" s="58">
        <v>0.14119999999999999</v>
      </c>
      <c r="Z133" s="193">
        <v>0.43014000000000002</v>
      </c>
      <c r="AB133" s="3"/>
      <c r="AC133" s="3"/>
      <c r="AD133" s="3"/>
      <c r="AE133" s="3"/>
      <c r="AF133" s="3" t="s">
        <v>526</v>
      </c>
      <c r="AG133" s="83">
        <v>0.65</v>
      </c>
    </row>
    <row r="134" spans="6:33">
      <c r="F134" s="372">
        <v>1</v>
      </c>
      <c r="G134" s="373" t="s">
        <v>233</v>
      </c>
      <c r="H134" s="6" t="s">
        <v>273</v>
      </c>
      <c r="I134" s="136" t="s">
        <v>547</v>
      </c>
      <c r="J134" s="136" t="s">
        <v>203</v>
      </c>
      <c r="K134" s="191">
        <v>0</v>
      </c>
      <c r="L134" s="191">
        <v>0</v>
      </c>
      <c r="M134" s="191">
        <v>0</v>
      </c>
      <c r="N134" s="191">
        <v>-1.6437060053944301</v>
      </c>
      <c r="O134" s="191">
        <v>-2.0964870412103096</v>
      </c>
      <c r="P134" s="191">
        <v>-0.79016391301572853</v>
      </c>
      <c r="Q134" s="191">
        <v>-0.92246823129980848</v>
      </c>
      <c r="R134" s="191">
        <v>2.7208560954939849E-2</v>
      </c>
      <c r="T134" s="46">
        <v>1</v>
      </c>
      <c r="U134" s="53" t="s">
        <v>330</v>
      </c>
      <c r="V134" s="47" t="s">
        <v>335</v>
      </c>
      <c r="W134" s="47" t="s">
        <v>547</v>
      </c>
      <c r="X134" s="47" t="s">
        <v>203</v>
      </c>
      <c r="Y134" s="58">
        <v>0.26272000000000001</v>
      </c>
      <c r="Z134" s="193">
        <v>0.43014000000000002</v>
      </c>
      <c r="AB134" s="3"/>
      <c r="AC134" s="3"/>
      <c r="AD134" s="3"/>
      <c r="AE134" s="3"/>
      <c r="AF134" s="3" t="s">
        <v>526</v>
      </c>
      <c r="AG134" s="83">
        <v>0.8</v>
      </c>
    </row>
    <row r="135" spans="6:33">
      <c r="F135" s="372">
        <v>1</v>
      </c>
      <c r="G135" s="373" t="s">
        <v>233</v>
      </c>
      <c r="H135" s="6" t="s">
        <v>330</v>
      </c>
      <c r="I135" s="136" t="s">
        <v>547</v>
      </c>
      <c r="J135" s="136" t="s">
        <v>203</v>
      </c>
      <c r="K135" s="191">
        <v>-0.14119999999999999</v>
      </c>
      <c r="L135" s="191">
        <v>-0.1076582</v>
      </c>
      <c r="M135" s="191">
        <v>0</v>
      </c>
      <c r="N135" s="191">
        <v>0</v>
      </c>
      <c r="O135" s="191">
        <v>0</v>
      </c>
      <c r="P135" s="191">
        <v>-1.4732574782743599</v>
      </c>
      <c r="Q135" s="191">
        <v>-1.07388996185167</v>
      </c>
      <c r="R135" s="191">
        <v>5.3036702585769147E-2</v>
      </c>
      <c r="T135" s="46">
        <v>1</v>
      </c>
      <c r="U135" s="53" t="s">
        <v>330</v>
      </c>
      <c r="V135" s="47" t="s">
        <v>326</v>
      </c>
      <c r="W135" s="47" t="s">
        <v>547</v>
      </c>
      <c r="X135" s="47" t="s">
        <v>203</v>
      </c>
      <c r="Y135" s="58">
        <v>0.14119999999999999</v>
      </c>
      <c r="Z135" s="193">
        <v>0.43014000000000002</v>
      </c>
      <c r="AB135" s="3"/>
      <c r="AC135" s="3"/>
      <c r="AD135" s="3"/>
      <c r="AE135" s="3"/>
      <c r="AF135" s="3"/>
      <c r="AG135" s="3"/>
    </row>
    <row r="136" spans="6:33">
      <c r="F136" s="372">
        <v>1</v>
      </c>
      <c r="G136" s="373" t="s">
        <v>233</v>
      </c>
      <c r="H136" s="6" t="s">
        <v>335</v>
      </c>
      <c r="I136" s="136" t="s">
        <v>547</v>
      </c>
      <c r="J136" s="136" t="s">
        <v>203</v>
      </c>
      <c r="K136" s="191">
        <v>-0.26272000000000001</v>
      </c>
      <c r="L136" s="191">
        <v>-0.20183620000000002</v>
      </c>
      <c r="M136" s="191">
        <v>0</v>
      </c>
      <c r="N136" s="191">
        <v>-1.6437060053944301</v>
      </c>
      <c r="O136" s="191">
        <v>-2.62382618144458</v>
      </c>
      <c r="P136" s="191">
        <v>-1.3778415112760651</v>
      </c>
      <c r="Q136" s="191">
        <v>-1.0860371894951801</v>
      </c>
      <c r="R136" s="191">
        <v>3.2208986147783301E-2</v>
      </c>
      <c r="T136" s="46">
        <v>1</v>
      </c>
      <c r="U136" s="53" t="s">
        <v>529</v>
      </c>
      <c r="V136" s="47" t="s">
        <v>529</v>
      </c>
      <c r="W136" s="47" t="s">
        <v>547</v>
      </c>
      <c r="X136" s="47" t="s">
        <v>203</v>
      </c>
      <c r="Y136" s="58">
        <v>4.72241</v>
      </c>
      <c r="Z136" s="193">
        <v>1.758</v>
      </c>
      <c r="AB136" s="3"/>
      <c r="AC136" s="3"/>
      <c r="AD136" s="3"/>
      <c r="AE136" s="3"/>
      <c r="AF136" s="3"/>
      <c r="AG136" s="3"/>
    </row>
    <row r="137" spans="6:33">
      <c r="F137" s="372">
        <v>1</v>
      </c>
      <c r="G137" s="373" t="s">
        <v>233</v>
      </c>
      <c r="H137" s="6" t="s">
        <v>326</v>
      </c>
      <c r="I137" s="136" t="s">
        <v>547</v>
      </c>
      <c r="J137" s="136" t="s">
        <v>203</v>
      </c>
      <c r="K137" s="191">
        <v>-0.14119999999999999</v>
      </c>
      <c r="L137" s="191">
        <v>-0.1076582</v>
      </c>
      <c r="M137" s="191">
        <v>0</v>
      </c>
      <c r="N137" s="191">
        <v>-1.6437060053944301</v>
      </c>
      <c r="O137" s="191">
        <v>-2.62382618144458</v>
      </c>
      <c r="P137" s="191">
        <v>-1.3778415112760651</v>
      </c>
      <c r="Q137" s="191">
        <v>-1.0860371894951801</v>
      </c>
      <c r="R137" s="191">
        <v>3.2208986147783301E-2</v>
      </c>
      <c r="T137" s="46">
        <v>1</v>
      </c>
      <c r="U137" s="53" t="s">
        <v>529</v>
      </c>
      <c r="V137" s="47" t="s">
        <v>327</v>
      </c>
      <c r="W137" s="47" t="s">
        <v>547</v>
      </c>
      <c r="X137" s="47" t="s">
        <v>203</v>
      </c>
      <c r="Y137" s="58">
        <v>0.25034000000000001</v>
      </c>
      <c r="Z137" s="193">
        <v>0.99672000000000005</v>
      </c>
      <c r="AB137" s="3"/>
      <c r="AC137" s="3"/>
      <c r="AD137" s="3"/>
      <c r="AE137" s="3"/>
      <c r="AF137" s="3" t="s">
        <v>526</v>
      </c>
      <c r="AG137" s="83">
        <v>0.95</v>
      </c>
    </row>
    <row r="138" spans="6:33">
      <c r="F138" s="372">
        <v>1</v>
      </c>
      <c r="G138" s="373" t="s">
        <v>261</v>
      </c>
      <c r="H138" s="6" t="s">
        <v>10179</v>
      </c>
      <c r="I138" s="136" t="s">
        <v>547</v>
      </c>
      <c r="J138" s="136" t="s">
        <v>203</v>
      </c>
      <c r="K138" s="191">
        <v>-4.72241</v>
      </c>
      <c r="L138" s="191">
        <v>-2.3594331999999998</v>
      </c>
      <c r="M138" s="191">
        <v>0</v>
      </c>
      <c r="N138" s="191">
        <v>-0.36317510759907728</v>
      </c>
      <c r="O138" s="191">
        <v>-0.59733092112914177</v>
      </c>
      <c r="P138" s="191">
        <v>0.2383225522139315</v>
      </c>
      <c r="Q138" s="191">
        <v>-0.18583697870817426</v>
      </c>
      <c r="R138" s="191">
        <v>2.5407035909195099E-2</v>
      </c>
      <c r="T138" s="46">
        <v>1</v>
      </c>
      <c r="U138" s="53" t="s">
        <v>529</v>
      </c>
      <c r="V138" s="47" t="s">
        <v>331</v>
      </c>
      <c r="W138" s="47" t="s">
        <v>547</v>
      </c>
      <c r="X138" s="47" t="s">
        <v>203</v>
      </c>
      <c r="Y138" s="58">
        <v>9.1944800000000004</v>
      </c>
      <c r="Z138" s="193">
        <v>2.5192800000000002</v>
      </c>
      <c r="AB138" s="3" t="s">
        <v>526</v>
      </c>
      <c r="AC138" s="125">
        <v>1</v>
      </c>
      <c r="AD138" s="3">
        <v>8.1306407300000008E-2</v>
      </c>
      <c r="AE138" s="3" t="s">
        <v>531</v>
      </c>
      <c r="AF138" s="3" t="s">
        <v>526</v>
      </c>
      <c r="AG138" s="83">
        <v>0.95</v>
      </c>
    </row>
    <row r="139" spans="6:33">
      <c r="F139" s="372">
        <v>1</v>
      </c>
      <c r="G139" s="373" t="s">
        <v>261</v>
      </c>
      <c r="H139" s="6" t="s">
        <v>269</v>
      </c>
      <c r="I139" s="136" t="s">
        <v>547</v>
      </c>
      <c r="J139" s="136" t="s">
        <v>203</v>
      </c>
      <c r="K139" s="191">
        <v>-0.25034000000000001</v>
      </c>
      <c r="L139" s="191">
        <v>-0.1233982</v>
      </c>
      <c r="M139" s="191">
        <v>0</v>
      </c>
      <c r="N139" s="191">
        <v>-0.30315789181200103</v>
      </c>
      <c r="O139" s="191">
        <v>-0.50665038249675698</v>
      </c>
      <c r="P139" s="191">
        <v>0.26373907990636947</v>
      </c>
      <c r="Q139" s="191">
        <v>-0.12868148200785201</v>
      </c>
      <c r="R139" s="191">
        <v>2.5084881735720949E-2</v>
      </c>
      <c r="T139" s="46">
        <v>1</v>
      </c>
      <c r="U139" s="53" t="s">
        <v>529</v>
      </c>
      <c r="V139" s="47" t="s">
        <v>332</v>
      </c>
      <c r="W139" s="47" t="s">
        <v>547</v>
      </c>
      <c r="X139" s="47" t="s">
        <v>203</v>
      </c>
      <c r="Y139" s="58">
        <v>2.5034000000000001</v>
      </c>
      <c r="Z139" s="193">
        <v>1.0183800000000001</v>
      </c>
      <c r="AB139" s="3" t="s">
        <v>526</v>
      </c>
      <c r="AC139" s="125">
        <v>1</v>
      </c>
      <c r="AD139" s="3">
        <v>8.1306407300000008E-2</v>
      </c>
      <c r="AE139" s="3" t="s">
        <v>531</v>
      </c>
      <c r="AF139" s="3" t="s">
        <v>526</v>
      </c>
      <c r="AG139" s="83">
        <v>0.95</v>
      </c>
    </row>
    <row r="140" spans="6:33" ht="28.8">
      <c r="F140" s="372">
        <v>1</v>
      </c>
      <c r="G140" s="373" t="s">
        <v>261</v>
      </c>
      <c r="H140" s="6" t="s">
        <v>530</v>
      </c>
      <c r="I140" s="136" t="s">
        <v>547</v>
      </c>
      <c r="J140" s="136" t="s">
        <v>203</v>
      </c>
      <c r="K140" s="191">
        <v>-9.1944800000000004</v>
      </c>
      <c r="L140" s="191">
        <v>-4.5954682</v>
      </c>
      <c r="M140" s="191">
        <v>0</v>
      </c>
      <c r="N140" s="191">
        <v>-0.42319232338615353</v>
      </c>
      <c r="O140" s="191">
        <v>-0.68801145976152656</v>
      </c>
      <c r="P140" s="191">
        <v>0.21290602452149349</v>
      </c>
      <c r="Q140" s="191">
        <v>-0.2429924754084965</v>
      </c>
      <c r="R140" s="191">
        <v>2.5729190082669252E-2</v>
      </c>
      <c r="T140" s="46">
        <v>1</v>
      </c>
      <c r="U140" s="53" t="s">
        <v>252</v>
      </c>
      <c r="V140" s="47" t="s">
        <v>252</v>
      </c>
      <c r="W140" s="47" t="s">
        <v>547</v>
      </c>
      <c r="X140" s="47" t="s">
        <v>203</v>
      </c>
      <c r="Y140" s="58">
        <v>2.0953266666666663</v>
      </c>
      <c r="Z140" s="193">
        <v>1.77911</v>
      </c>
      <c r="AB140" s="3" t="s">
        <v>526</v>
      </c>
      <c r="AC140" s="125">
        <v>1</v>
      </c>
      <c r="AD140" s="3">
        <v>8.1306407300000008E-2</v>
      </c>
      <c r="AE140" s="3" t="s">
        <v>531</v>
      </c>
      <c r="AF140" s="3"/>
      <c r="AG140" s="3"/>
    </row>
    <row r="141" spans="6:33" ht="28.8">
      <c r="F141" s="372">
        <v>1</v>
      </c>
      <c r="G141" s="373" t="s">
        <v>261</v>
      </c>
      <c r="H141" s="6" t="s">
        <v>262</v>
      </c>
      <c r="I141" s="136" t="s">
        <v>547</v>
      </c>
      <c r="J141" s="136" t="s">
        <v>203</v>
      </c>
      <c r="K141" s="191">
        <v>-2.5034000000000001</v>
      </c>
      <c r="L141" s="191">
        <v>0</v>
      </c>
      <c r="M141" s="191">
        <v>0</v>
      </c>
      <c r="N141" s="191">
        <v>-0.42319232338615353</v>
      </c>
      <c r="O141" s="191">
        <v>-0.68801145976152656</v>
      </c>
      <c r="P141" s="191">
        <v>0.21290602452149349</v>
      </c>
      <c r="Q141" s="191">
        <v>-0.2429924754084965</v>
      </c>
      <c r="R141" s="191">
        <v>2.5729190082669252E-2</v>
      </c>
      <c r="T141" s="46">
        <v>1</v>
      </c>
      <c r="U141" s="53" t="s">
        <v>252</v>
      </c>
      <c r="V141" s="47" t="s">
        <v>253</v>
      </c>
      <c r="W141" s="47" t="s">
        <v>547</v>
      </c>
      <c r="X141" s="47" t="s">
        <v>203</v>
      </c>
      <c r="Y141" s="58">
        <v>2.04928</v>
      </c>
      <c r="Z141" s="193">
        <v>1.77911</v>
      </c>
      <c r="AB141" s="3"/>
      <c r="AC141" s="3"/>
      <c r="AD141" s="3"/>
      <c r="AE141" s="3"/>
      <c r="AF141" s="3" t="s">
        <v>526</v>
      </c>
      <c r="AG141" s="83">
        <v>0.95</v>
      </c>
    </row>
    <row r="142" spans="6:33">
      <c r="F142" s="372">
        <v>1</v>
      </c>
      <c r="G142" s="373" t="s">
        <v>252</v>
      </c>
      <c r="H142" s="6" t="s">
        <v>10180</v>
      </c>
      <c r="I142" s="136" t="s">
        <v>547</v>
      </c>
      <c r="J142" s="136" t="s">
        <v>203</v>
      </c>
      <c r="K142" s="191">
        <v>-2.0953266666666663</v>
      </c>
      <c r="L142" s="191">
        <v>-1.5407999593666664</v>
      </c>
      <c r="M142" s="191">
        <v>-4.4029192949505358</v>
      </c>
      <c r="N142" s="191">
        <v>0</v>
      </c>
      <c r="O142" s="191">
        <v>0</v>
      </c>
      <c r="P142" s="191">
        <v>2.6030305185259402E-2</v>
      </c>
      <c r="Q142" s="191">
        <v>0.56190687898974445</v>
      </c>
      <c r="R142" s="191">
        <v>2.1870254846722101</v>
      </c>
      <c r="T142" s="46">
        <v>1</v>
      </c>
      <c r="U142" s="53" t="s">
        <v>252</v>
      </c>
      <c r="V142" s="47" t="s">
        <v>328</v>
      </c>
      <c r="W142" s="47" t="s">
        <v>547</v>
      </c>
      <c r="X142" s="47" t="s">
        <v>203</v>
      </c>
      <c r="Y142" s="58">
        <v>2.3231199999999999</v>
      </c>
      <c r="Z142" s="193">
        <v>1.77911</v>
      </c>
      <c r="AB142" s="3" t="s">
        <v>526</v>
      </c>
      <c r="AC142" s="125">
        <v>1</v>
      </c>
      <c r="AD142" s="3">
        <v>0</v>
      </c>
      <c r="AE142" s="3" t="s">
        <v>527</v>
      </c>
      <c r="AF142" s="3" t="s">
        <v>526</v>
      </c>
      <c r="AG142" s="83">
        <v>0.9</v>
      </c>
    </row>
    <row r="143" spans="6:33" ht="43.2">
      <c r="F143" s="372">
        <v>1</v>
      </c>
      <c r="G143" s="373" t="s">
        <v>252</v>
      </c>
      <c r="H143" s="6" t="s">
        <v>10163</v>
      </c>
      <c r="I143" s="136" t="s">
        <v>547</v>
      </c>
      <c r="J143" s="136" t="s">
        <v>203</v>
      </c>
      <c r="K143" s="191">
        <v>-2.04928</v>
      </c>
      <c r="L143" s="191">
        <v>0</v>
      </c>
      <c r="M143" s="191">
        <v>-3.8551691693355163</v>
      </c>
      <c r="N143" s="191">
        <v>0</v>
      </c>
      <c r="O143" s="191">
        <v>0</v>
      </c>
      <c r="P143" s="191">
        <v>2.6030302136830198E-2</v>
      </c>
      <c r="Q143" s="191">
        <v>0.37911282506133048</v>
      </c>
      <c r="R143" s="191">
        <v>3.183177821187805</v>
      </c>
      <c r="T143" s="46">
        <v>1</v>
      </c>
      <c r="U143" s="53" t="s">
        <v>252</v>
      </c>
      <c r="V143" s="47" t="s">
        <v>254</v>
      </c>
      <c r="W143" s="47" t="s">
        <v>547</v>
      </c>
      <c r="X143" s="47" t="s">
        <v>203</v>
      </c>
      <c r="Y143" s="58">
        <v>2.1485799999999999</v>
      </c>
      <c r="Z143" s="193">
        <v>1.77911</v>
      </c>
      <c r="AB143" s="3" t="s">
        <v>526</v>
      </c>
      <c r="AC143" s="125">
        <v>1</v>
      </c>
      <c r="AD143" s="3">
        <v>8.1306407300000008E-2</v>
      </c>
      <c r="AE143" s="3" t="s">
        <v>531</v>
      </c>
      <c r="AF143" s="3" t="s">
        <v>526</v>
      </c>
      <c r="AG143" s="83">
        <v>0.9</v>
      </c>
    </row>
    <row r="144" spans="6:33" ht="28.8">
      <c r="F144" s="372">
        <v>1</v>
      </c>
      <c r="G144" s="373" t="s">
        <v>252</v>
      </c>
      <c r="H144" s="6" t="s">
        <v>10164</v>
      </c>
      <c r="I144" s="136" t="s">
        <v>547</v>
      </c>
      <c r="J144" s="136" t="s">
        <v>203</v>
      </c>
      <c r="K144" s="191">
        <v>-2.3231199999999999</v>
      </c>
      <c r="L144" s="191">
        <v>0</v>
      </c>
      <c r="M144" s="191">
        <v>-4.5596830501023762</v>
      </c>
      <c r="N144" s="191">
        <v>0</v>
      </c>
      <c r="O144" s="191">
        <v>0</v>
      </c>
      <c r="P144" s="191">
        <v>2.6030302940227998E-2</v>
      </c>
      <c r="Q144" s="191">
        <v>0.4528680102827185</v>
      </c>
      <c r="R144" s="191">
        <v>2.4956085945289099</v>
      </c>
      <c r="T144" s="46">
        <v>1</v>
      </c>
      <c r="U144" s="53" t="s">
        <v>252</v>
      </c>
      <c r="V144" s="47" t="s">
        <v>532</v>
      </c>
      <c r="W144" s="47" t="s">
        <v>547</v>
      </c>
      <c r="X144" s="47" t="s">
        <v>203</v>
      </c>
      <c r="Y144" s="58">
        <v>1.9492499999999999</v>
      </c>
      <c r="Z144" s="193">
        <v>1.77911</v>
      </c>
      <c r="AB144" s="3" t="s">
        <v>526</v>
      </c>
      <c r="AC144" s="125">
        <v>1</v>
      </c>
      <c r="AD144" s="3">
        <v>8.1306407300000008E-2</v>
      </c>
      <c r="AE144" s="3" t="s">
        <v>531</v>
      </c>
      <c r="AF144" s="3" t="s">
        <v>526</v>
      </c>
      <c r="AG144" s="83">
        <v>0.95</v>
      </c>
    </row>
    <row r="145" spans="6:33" ht="28.8">
      <c r="F145" s="372">
        <v>1</v>
      </c>
      <c r="G145" s="373" t="s">
        <v>252</v>
      </c>
      <c r="H145" s="6" t="s">
        <v>10165</v>
      </c>
      <c r="I145" s="136" t="s">
        <v>547</v>
      </c>
      <c r="J145" s="136" t="s">
        <v>203</v>
      </c>
      <c r="K145" s="191">
        <v>-2.1485799999999999</v>
      </c>
      <c r="L145" s="191">
        <v>0</v>
      </c>
      <c r="M145" s="191">
        <v>-4.6371419102618727</v>
      </c>
      <c r="N145" s="191">
        <v>0</v>
      </c>
      <c r="O145" s="191">
        <v>0</v>
      </c>
      <c r="P145" s="191">
        <v>2.6030302136814051E-2</v>
      </c>
      <c r="Q145" s="191">
        <v>0.61984146932710904</v>
      </c>
      <c r="R145" s="191">
        <v>2.5363327820672001</v>
      </c>
      <c r="T145" s="46">
        <v>1</v>
      </c>
      <c r="U145" s="53" t="s">
        <v>252</v>
      </c>
      <c r="V145" s="47" t="s">
        <v>245</v>
      </c>
      <c r="W145" s="47" t="s">
        <v>547</v>
      </c>
      <c r="X145" s="47" t="s">
        <v>203</v>
      </c>
      <c r="Y145" s="58">
        <v>2.0269300000000001</v>
      </c>
      <c r="Z145" s="193">
        <v>1.77911</v>
      </c>
      <c r="AB145" s="3" t="s">
        <v>526</v>
      </c>
      <c r="AC145" s="125">
        <v>1</v>
      </c>
      <c r="AD145" s="3">
        <v>8.1306407300000008E-2</v>
      </c>
      <c r="AE145" s="3" t="s">
        <v>531</v>
      </c>
      <c r="AF145" s="3" t="s">
        <v>526</v>
      </c>
      <c r="AG145" s="83">
        <v>0.7</v>
      </c>
    </row>
    <row r="146" spans="6:33" ht="28.8">
      <c r="F146" s="372">
        <v>1</v>
      </c>
      <c r="G146" s="373" t="s">
        <v>252</v>
      </c>
      <c r="H146" s="6" t="s">
        <v>10166</v>
      </c>
      <c r="I146" s="136" t="s">
        <v>547</v>
      </c>
      <c r="J146" s="136" t="s">
        <v>203</v>
      </c>
      <c r="K146" s="191">
        <v>-1.9492499999999999</v>
      </c>
      <c r="L146" s="191">
        <v>0</v>
      </c>
      <c r="M146" s="191">
        <v>-4.5596830501023762</v>
      </c>
      <c r="N146" s="191">
        <v>0</v>
      </c>
      <c r="O146" s="191">
        <v>0</v>
      </c>
      <c r="P146" s="191">
        <v>2.6030302940227998E-2</v>
      </c>
      <c r="Q146" s="191">
        <v>0.4528680102827185</v>
      </c>
      <c r="R146" s="191">
        <v>2.4956085945289099</v>
      </c>
      <c r="T146" s="46">
        <v>1</v>
      </c>
      <c r="U146" s="53" t="s">
        <v>252</v>
      </c>
      <c r="V146" s="47" t="s">
        <v>533</v>
      </c>
      <c r="W146" s="47" t="s">
        <v>547</v>
      </c>
      <c r="X146" s="47" t="s">
        <v>203</v>
      </c>
      <c r="Y146" s="58">
        <v>2.0748000000000002</v>
      </c>
      <c r="Z146" s="193">
        <v>1.77911</v>
      </c>
      <c r="AB146" s="3" t="s">
        <v>526</v>
      </c>
      <c r="AC146" s="125">
        <v>1</v>
      </c>
      <c r="AD146" s="3">
        <v>8.1306407300000008E-2</v>
      </c>
      <c r="AE146" s="3" t="s">
        <v>531</v>
      </c>
      <c r="AF146" s="3"/>
      <c r="AG146" s="3"/>
    </row>
    <row r="147" spans="6:33">
      <c r="F147" s="372">
        <v>1</v>
      </c>
      <c r="G147" s="373" t="s">
        <v>252</v>
      </c>
      <c r="H147" s="6" t="s">
        <v>10167</v>
      </c>
      <c r="I147" s="136" t="s">
        <v>547</v>
      </c>
      <c r="J147" s="136" t="s">
        <v>203</v>
      </c>
      <c r="K147" s="191">
        <v>-2.0269300000000001</v>
      </c>
      <c r="L147" s="191">
        <v>0</v>
      </c>
      <c r="M147" s="191">
        <v>0</v>
      </c>
      <c r="N147" s="191">
        <v>0</v>
      </c>
      <c r="O147" s="191">
        <v>0</v>
      </c>
      <c r="P147" s="191">
        <v>2.60303030614739E-2</v>
      </c>
      <c r="Q147" s="191">
        <v>0.3318852206820565</v>
      </c>
      <c r="R147" s="191">
        <v>3.1833671310899101</v>
      </c>
      <c r="T147" s="46">
        <v>1</v>
      </c>
      <c r="U147" s="53" t="s">
        <v>242</v>
      </c>
      <c r="V147" s="47" t="s">
        <v>242</v>
      </c>
      <c r="W147" s="47" t="s">
        <v>547</v>
      </c>
      <c r="X147" s="47" t="s">
        <v>203</v>
      </c>
      <c r="Y147" s="58">
        <v>38.486130000000003</v>
      </c>
      <c r="Z147" s="193">
        <v>0.20843</v>
      </c>
      <c r="AB147" s="3" t="s">
        <v>526</v>
      </c>
      <c r="AC147" s="83">
        <v>0.5</v>
      </c>
      <c r="AD147" s="3">
        <v>8.1306407300000008E-2</v>
      </c>
      <c r="AE147" s="3" t="s">
        <v>531</v>
      </c>
      <c r="AF147" s="3"/>
      <c r="AG147" s="3"/>
    </row>
    <row r="148" spans="6:33">
      <c r="F148" s="372">
        <v>1</v>
      </c>
      <c r="G148" s="373" t="s">
        <v>252</v>
      </c>
      <c r="H148" s="6" t="s">
        <v>10168</v>
      </c>
      <c r="I148" s="136" t="s">
        <v>547</v>
      </c>
      <c r="J148" s="136" t="s">
        <v>203</v>
      </c>
      <c r="K148" s="191">
        <v>-2.0748000000000002</v>
      </c>
      <c r="L148" s="191">
        <v>0</v>
      </c>
      <c r="M148" s="191">
        <v>0</v>
      </c>
      <c r="N148" s="191">
        <v>0</v>
      </c>
      <c r="O148" s="191">
        <v>0</v>
      </c>
      <c r="P148" s="191">
        <v>2.6030297853728949E-2</v>
      </c>
      <c r="Q148" s="191">
        <v>0.54446869645228302</v>
      </c>
      <c r="R148" s="191">
        <v>3.0368309293403852</v>
      </c>
      <c r="T148" s="46">
        <v>1</v>
      </c>
      <c r="U148" s="53" t="s">
        <v>242</v>
      </c>
      <c r="V148" s="47" t="s">
        <v>242</v>
      </c>
      <c r="W148" s="47" t="s">
        <v>547</v>
      </c>
      <c r="X148" s="47" t="s">
        <v>203</v>
      </c>
      <c r="Y148" s="58">
        <v>38.486130000000003</v>
      </c>
      <c r="Z148" s="193">
        <v>0.20843</v>
      </c>
      <c r="AB148" s="3"/>
      <c r="AC148" s="3"/>
      <c r="AD148" s="3"/>
      <c r="AE148" s="3"/>
      <c r="AF148" s="3"/>
      <c r="AG148" s="3"/>
    </row>
    <row r="149" spans="6:33">
      <c r="F149" s="372">
        <v>1</v>
      </c>
      <c r="G149" s="373" t="s">
        <v>242</v>
      </c>
      <c r="H149" s="6" t="s">
        <v>10181</v>
      </c>
      <c r="I149" s="136" t="s">
        <v>547</v>
      </c>
      <c r="J149" s="136" t="s">
        <v>203</v>
      </c>
      <c r="K149" s="191">
        <v>-38.486130000000003</v>
      </c>
      <c r="L149" s="191">
        <v>-27.900672450000002</v>
      </c>
      <c r="M149" s="191">
        <v>-3.2868550000000001</v>
      </c>
      <c r="N149" s="191">
        <v>0</v>
      </c>
      <c r="O149" s="191">
        <v>0</v>
      </c>
      <c r="P149" s="191">
        <v>2.5860000000000001E-2</v>
      </c>
      <c r="Q149" s="191">
        <v>4.1510051336500847E-2</v>
      </c>
      <c r="R149" s="191">
        <v>4.8921913689100351E-2</v>
      </c>
      <c r="T149" s="46">
        <v>1</v>
      </c>
      <c r="U149" s="53" t="s">
        <v>242</v>
      </c>
      <c r="V149" s="47" t="s">
        <v>534</v>
      </c>
      <c r="W149" s="47" t="s">
        <v>547</v>
      </c>
      <c r="X149" s="47" t="s">
        <v>203</v>
      </c>
      <c r="Y149" s="58">
        <v>15.0122</v>
      </c>
      <c r="Z149" s="193">
        <v>0.37092000000000003</v>
      </c>
      <c r="AB149" s="3"/>
      <c r="AC149" s="3"/>
      <c r="AD149" s="3"/>
      <c r="AE149" s="3"/>
      <c r="AF149" s="3"/>
      <c r="AG149" s="3"/>
    </row>
    <row r="150" spans="6:33">
      <c r="F150" s="372">
        <v>1</v>
      </c>
      <c r="G150" s="373" t="s">
        <v>242</v>
      </c>
      <c r="H150" s="6" t="s">
        <v>274</v>
      </c>
      <c r="I150" s="136" t="s">
        <v>547</v>
      </c>
      <c r="J150" s="136" t="s">
        <v>203</v>
      </c>
      <c r="K150" s="191">
        <v>-38.486130000000003</v>
      </c>
      <c r="L150" s="191">
        <v>-27.900672450000002</v>
      </c>
      <c r="M150" s="191">
        <v>-8.5278425000000002</v>
      </c>
      <c r="N150" s="191">
        <v>0</v>
      </c>
      <c r="O150" s="191">
        <v>0</v>
      </c>
      <c r="P150" s="191">
        <v>2.5860000000000001E-2</v>
      </c>
      <c r="Q150" s="191">
        <v>4.1510051336500847E-2</v>
      </c>
      <c r="R150" s="191">
        <v>4.8921913689100351E-2</v>
      </c>
      <c r="T150" s="46">
        <v>1</v>
      </c>
      <c r="U150" s="53" t="s">
        <v>239</v>
      </c>
      <c r="V150" s="47" t="s">
        <v>239</v>
      </c>
      <c r="W150" s="47" t="s">
        <v>547</v>
      </c>
      <c r="X150" s="47" t="s">
        <v>203</v>
      </c>
      <c r="Y150" s="58">
        <v>2.6644477777777777</v>
      </c>
      <c r="Z150" s="193">
        <v>0.64099666666666666</v>
      </c>
      <c r="AB150" s="3"/>
      <c r="AC150" s="3"/>
      <c r="AD150" s="3"/>
      <c r="AE150" s="3"/>
      <c r="AF150" s="3" t="s">
        <v>526</v>
      </c>
      <c r="AG150" s="83">
        <v>0.7</v>
      </c>
    </row>
    <row r="151" spans="6:33">
      <c r="F151" s="372">
        <v>1</v>
      </c>
      <c r="G151" s="373" t="s">
        <v>242</v>
      </c>
      <c r="H151" s="6" t="s">
        <v>534</v>
      </c>
      <c r="I151" s="136" t="s">
        <v>547</v>
      </c>
      <c r="J151" s="136" t="s">
        <v>203</v>
      </c>
      <c r="K151" s="191">
        <v>-15.0122</v>
      </c>
      <c r="L151" s="191">
        <v>-10.882073199999999</v>
      </c>
      <c r="M151" s="191">
        <v>-3.19428</v>
      </c>
      <c r="N151" s="191">
        <v>0</v>
      </c>
      <c r="O151" s="191">
        <v>0</v>
      </c>
      <c r="P151" s="191">
        <v>2.5860000000000001E-2</v>
      </c>
      <c r="Q151" s="191">
        <v>4.1510051336500847E-2</v>
      </c>
      <c r="R151" s="191">
        <v>4.8921913689100351E-2</v>
      </c>
      <c r="T151" s="46">
        <v>1</v>
      </c>
      <c r="U151" s="53" t="s">
        <v>239</v>
      </c>
      <c r="V151" s="47" t="s">
        <v>324</v>
      </c>
      <c r="W151" s="47" t="s">
        <v>547</v>
      </c>
      <c r="X151" s="47" t="s">
        <v>203</v>
      </c>
      <c r="Y151" s="58">
        <v>1.66</v>
      </c>
      <c r="Z151" s="193">
        <v>0.13142999999999999</v>
      </c>
      <c r="AB151" s="3"/>
      <c r="AC151" s="3"/>
      <c r="AD151" s="3"/>
      <c r="AE151" s="3"/>
      <c r="AF151" s="3" t="s">
        <v>526</v>
      </c>
      <c r="AG151" s="83">
        <v>0.65</v>
      </c>
    </row>
    <row r="152" spans="6:33">
      <c r="F152" s="370">
        <v>1</v>
      </c>
      <c r="G152" s="137" t="s">
        <v>239</v>
      </c>
      <c r="H152" s="136" t="s">
        <v>10182</v>
      </c>
      <c r="I152" s="136" t="s">
        <v>547</v>
      </c>
      <c r="J152" s="136" t="s">
        <v>203</v>
      </c>
      <c r="K152" s="191">
        <v>-2.6644477777777777</v>
      </c>
      <c r="L152" s="191">
        <v>-1.7194614644444446</v>
      </c>
      <c r="M152" s="191">
        <v>-0.85682531571611209</v>
      </c>
      <c r="N152" s="191">
        <v>-1.6056559573269851</v>
      </c>
      <c r="O152" s="191">
        <v>-2.3878173145866999</v>
      </c>
      <c r="P152" s="191">
        <v>-0.61788219420844359</v>
      </c>
      <c r="Q152" s="191">
        <v>-0.87660684185985005</v>
      </c>
      <c r="R152" s="191">
        <v>2.7472181149774001E-2</v>
      </c>
      <c r="T152" s="46">
        <v>1</v>
      </c>
      <c r="U152" s="53" t="s">
        <v>239</v>
      </c>
      <c r="V152" s="47" t="s">
        <v>272</v>
      </c>
      <c r="W152" s="47" t="s">
        <v>547</v>
      </c>
      <c r="X152" s="47" t="s">
        <v>203</v>
      </c>
      <c r="Y152" s="58">
        <v>2.1278299999999999</v>
      </c>
      <c r="Z152" s="193">
        <v>1.2152400000000001</v>
      </c>
      <c r="AB152" s="3"/>
      <c r="AC152" s="3"/>
      <c r="AD152" s="3"/>
      <c r="AE152" s="3"/>
      <c r="AF152" s="3"/>
      <c r="AG152" s="3"/>
    </row>
    <row r="153" spans="6:33">
      <c r="F153" s="370">
        <v>1</v>
      </c>
      <c r="G153" s="137" t="s">
        <v>239</v>
      </c>
      <c r="H153" s="136" t="s">
        <v>324</v>
      </c>
      <c r="I153" s="136" t="s">
        <v>547</v>
      </c>
      <c r="J153" s="136" t="s">
        <v>203</v>
      </c>
      <c r="K153" s="191">
        <v>-1.66</v>
      </c>
      <c r="L153" s="191">
        <v>0</v>
      </c>
      <c r="M153" s="191">
        <v>0.19119209511012797</v>
      </c>
      <c r="N153" s="191">
        <v>-1.6163617345818451</v>
      </c>
      <c r="O153" s="191">
        <v>-2.2387536417545801</v>
      </c>
      <c r="P153" s="191">
        <v>-1.11437293761495</v>
      </c>
      <c r="Q153" s="191">
        <v>-0.95304435118708697</v>
      </c>
      <c r="R153" s="191">
        <v>2.6682736802057398E-2</v>
      </c>
      <c r="T153" s="46">
        <v>1</v>
      </c>
      <c r="U153" s="53" t="s">
        <v>239</v>
      </c>
      <c r="V153" s="47" t="s">
        <v>329</v>
      </c>
      <c r="W153" s="47" t="s">
        <v>547</v>
      </c>
      <c r="X153" s="47" t="s">
        <v>203</v>
      </c>
      <c r="Y153" s="58">
        <v>3.4792200000000002</v>
      </c>
      <c r="Z153" s="193">
        <v>1.0383</v>
      </c>
      <c r="AB153" s="3"/>
      <c r="AC153" s="3"/>
      <c r="AD153" s="3"/>
      <c r="AE153" s="3"/>
      <c r="AF153" s="3"/>
      <c r="AG153" s="3"/>
    </row>
    <row r="154" spans="6:33">
      <c r="F154" s="370">
        <v>1</v>
      </c>
      <c r="G154" s="137" t="s">
        <v>239</v>
      </c>
      <c r="H154" s="136" t="s">
        <v>272</v>
      </c>
      <c r="I154" s="136" t="s">
        <v>547</v>
      </c>
      <c r="J154" s="136" t="s">
        <v>203</v>
      </c>
      <c r="K154" s="191">
        <v>-2.1278299999999999</v>
      </c>
      <c r="L154" s="191">
        <v>-1.3728063799999999</v>
      </c>
      <c r="M154" s="191">
        <v>1.8094831987163201E-4</v>
      </c>
      <c r="N154" s="191">
        <v>-1.443117437906615</v>
      </c>
      <c r="O154" s="191">
        <v>-2.2498609420692448</v>
      </c>
      <c r="P154" s="191">
        <v>5.2225000000000001E-2</v>
      </c>
      <c r="Q154" s="191">
        <v>-0.74947292321995951</v>
      </c>
      <c r="R154" s="191">
        <v>3.4585878579134297E-2</v>
      </c>
      <c r="T154" s="46">
        <v>1</v>
      </c>
      <c r="U154" s="53" t="s">
        <v>239</v>
      </c>
      <c r="V154" s="47" t="s">
        <v>271</v>
      </c>
      <c r="W154" s="47" t="s">
        <v>547</v>
      </c>
      <c r="X154" s="47" t="s">
        <v>203</v>
      </c>
      <c r="Y154" s="58">
        <v>3.1045600000000002</v>
      </c>
      <c r="Z154" s="193">
        <v>0.12864</v>
      </c>
      <c r="AB154" s="3" t="s">
        <v>526</v>
      </c>
      <c r="AC154" s="125">
        <v>0.64600000000000002</v>
      </c>
      <c r="AD154" s="3">
        <v>0</v>
      </c>
      <c r="AE154" s="3"/>
      <c r="AF154" s="3"/>
      <c r="AG154" s="3"/>
    </row>
    <row r="155" spans="6:33">
      <c r="F155" s="370">
        <v>1</v>
      </c>
      <c r="G155" s="137" t="s">
        <v>239</v>
      </c>
      <c r="H155" s="136" t="s">
        <v>329</v>
      </c>
      <c r="I155" s="136" t="s">
        <v>547</v>
      </c>
      <c r="J155" s="136" t="s">
        <v>203</v>
      </c>
      <c r="K155" s="191">
        <v>-3.4792200000000002</v>
      </c>
      <c r="L155" s="191">
        <v>0</v>
      </c>
      <c r="M155" s="191">
        <v>-3.0325456580706023</v>
      </c>
      <c r="N155" s="191">
        <v>-1.56545058635232</v>
      </c>
      <c r="O155" s="191">
        <v>-2.5014740148797698</v>
      </c>
      <c r="P155" s="191">
        <v>0.51720456385529401</v>
      </c>
      <c r="Q155" s="191">
        <v>-0.75225955106693199</v>
      </c>
      <c r="R155" s="191">
        <v>3.7249313053735349E-2</v>
      </c>
      <c r="T155" s="46">
        <v>1</v>
      </c>
      <c r="U155" s="53" t="s">
        <v>239</v>
      </c>
      <c r="V155" s="47" t="s">
        <v>535</v>
      </c>
      <c r="W155" s="47" t="s">
        <v>547</v>
      </c>
      <c r="X155" s="47" t="s">
        <v>203</v>
      </c>
      <c r="Y155" s="58">
        <v>3.1045600000000002</v>
      </c>
      <c r="Z155" s="193">
        <v>0.12864</v>
      </c>
      <c r="AB155" s="3" t="s">
        <v>526</v>
      </c>
      <c r="AC155" s="125">
        <v>0.72499999999999998</v>
      </c>
      <c r="AD155" s="3">
        <v>0</v>
      </c>
      <c r="AE155" s="3"/>
      <c r="AF155" s="3"/>
      <c r="AG155" s="3"/>
    </row>
    <row r="156" spans="6:33">
      <c r="F156" s="370">
        <v>1</v>
      </c>
      <c r="G156" s="137" t="s">
        <v>239</v>
      </c>
      <c r="H156" s="136" t="s">
        <v>271</v>
      </c>
      <c r="I156" s="136" t="s">
        <v>547</v>
      </c>
      <c r="J156" s="136" t="s">
        <v>203</v>
      </c>
      <c r="K156" s="191">
        <v>-3.1045600000000002</v>
      </c>
      <c r="L156" s="191">
        <v>0</v>
      </c>
      <c r="M156" s="191">
        <v>-0.96392848018062605</v>
      </c>
      <c r="N156" s="191">
        <v>-1.480799094741875</v>
      </c>
      <c r="O156" s="191">
        <v>-2.5973658174826548</v>
      </c>
      <c r="P156" s="191">
        <v>-0.58508329579533402</v>
      </c>
      <c r="Q156" s="191">
        <v>-0.71669341935915098</v>
      </c>
      <c r="R156" s="191">
        <v>4.0395059864650348E-2</v>
      </c>
      <c r="T156" s="46">
        <v>1</v>
      </c>
      <c r="U156" s="53" t="s">
        <v>239</v>
      </c>
      <c r="V156" s="47" t="s">
        <v>259</v>
      </c>
      <c r="W156" s="47" t="s">
        <v>547</v>
      </c>
      <c r="X156" s="47" t="s">
        <v>203</v>
      </c>
      <c r="Y156" s="58">
        <v>2.86965</v>
      </c>
      <c r="Z156" s="193">
        <v>0.79600000000000004</v>
      </c>
      <c r="AB156" s="3" t="s">
        <v>526</v>
      </c>
      <c r="AC156" s="125">
        <v>0.64600000000000002</v>
      </c>
      <c r="AD156" s="3">
        <v>0</v>
      </c>
      <c r="AE156" s="3"/>
      <c r="AF156" s="3" t="s">
        <v>526</v>
      </c>
      <c r="AG156" s="83">
        <v>0.5</v>
      </c>
    </row>
    <row r="157" spans="6:33">
      <c r="F157" s="370">
        <v>1</v>
      </c>
      <c r="G157" s="137" t="s">
        <v>239</v>
      </c>
      <c r="H157" s="136" t="s">
        <v>535</v>
      </c>
      <c r="I157" s="136" t="s">
        <v>547</v>
      </c>
      <c r="J157" s="136" t="s">
        <v>203</v>
      </c>
      <c r="K157" s="191">
        <v>-3.1045600000000002</v>
      </c>
      <c r="L157" s="191">
        <v>0</v>
      </c>
      <c r="M157" s="191">
        <v>-0.96392848018062605</v>
      </c>
      <c r="N157" s="191">
        <v>-1.589471631565825</v>
      </c>
      <c r="O157" s="191">
        <v>-2.60442012656282</v>
      </c>
      <c r="P157" s="191">
        <v>-0.78940995245794754</v>
      </c>
      <c r="Q157" s="191">
        <v>-0.79790063310341353</v>
      </c>
      <c r="R157" s="191">
        <v>2.9213986723389599E-2</v>
      </c>
      <c r="T157" s="46">
        <v>1</v>
      </c>
      <c r="U157" s="53" t="s">
        <v>239</v>
      </c>
      <c r="V157" s="47" t="s">
        <v>334</v>
      </c>
      <c r="W157" s="47" t="s">
        <v>547</v>
      </c>
      <c r="X157" s="47" t="s">
        <v>203</v>
      </c>
      <c r="Y157" s="58">
        <v>2.86965</v>
      </c>
      <c r="Z157" s="193">
        <v>0.76736000000000004</v>
      </c>
      <c r="AB157" s="3" t="s">
        <v>526</v>
      </c>
      <c r="AC157" s="125">
        <v>0.72499999999999998</v>
      </c>
      <c r="AD157" s="3">
        <v>0.14482945764999999</v>
      </c>
      <c r="AE157" s="3" t="s">
        <v>541</v>
      </c>
      <c r="AF157" s="3"/>
      <c r="AG157" s="3"/>
    </row>
    <row r="158" spans="6:33">
      <c r="F158" s="370">
        <v>1</v>
      </c>
      <c r="G158" s="137" t="s">
        <v>239</v>
      </c>
      <c r="H158" s="136" t="s">
        <v>259</v>
      </c>
      <c r="I158" s="136" t="s">
        <v>547</v>
      </c>
      <c r="J158" s="136" t="s">
        <v>203</v>
      </c>
      <c r="K158" s="191">
        <v>-2.86965</v>
      </c>
      <c r="L158" s="191">
        <v>0</v>
      </c>
      <c r="M158" s="191">
        <v>-0.96392848018062605</v>
      </c>
      <c r="N158" s="191">
        <v>-1.30480872612007</v>
      </c>
      <c r="O158" s="191">
        <v>-2.021359257015515</v>
      </c>
      <c r="P158" s="191">
        <v>-0.35498843759764354</v>
      </c>
      <c r="Q158" s="191">
        <v>-0.64992049001719598</v>
      </c>
      <c r="R158" s="191">
        <v>2.842158789800505E-2</v>
      </c>
      <c r="T158" s="46">
        <v>1</v>
      </c>
      <c r="U158" s="53" t="s">
        <v>239</v>
      </c>
      <c r="V158" s="47" t="s">
        <v>240</v>
      </c>
      <c r="W158" s="47" t="s">
        <v>547</v>
      </c>
      <c r="X158" s="47" t="s">
        <v>203</v>
      </c>
      <c r="Y158" s="58">
        <v>3.1045600000000002</v>
      </c>
      <c r="Z158" s="193">
        <v>0.76736000000000004</v>
      </c>
      <c r="AB158" s="3"/>
      <c r="AC158" s="3"/>
      <c r="AD158" s="3"/>
      <c r="AE158" s="3"/>
      <c r="AF158" s="3"/>
      <c r="AG158" s="3"/>
    </row>
    <row r="159" spans="6:33" ht="28.8">
      <c r="F159" s="370">
        <v>1</v>
      </c>
      <c r="G159" s="137" t="s">
        <v>239</v>
      </c>
      <c r="H159" s="136" t="s">
        <v>334</v>
      </c>
      <c r="I159" s="136" t="s">
        <v>547</v>
      </c>
      <c r="J159" s="136" t="s">
        <v>203</v>
      </c>
      <c r="K159" s="191">
        <v>-2.86965</v>
      </c>
      <c r="L159" s="191">
        <v>0</v>
      </c>
      <c r="M159" s="191">
        <v>-0.96392848018062605</v>
      </c>
      <c r="N159" s="191">
        <v>-1.7150847821009401</v>
      </c>
      <c r="O159" s="191">
        <v>-2.4883766320652452</v>
      </c>
      <c r="P159" s="191">
        <v>-0.28332515231497402</v>
      </c>
      <c r="Q159" s="191">
        <v>-0.94887215067707453</v>
      </c>
      <c r="R159" s="191">
        <v>2.6389926350799651E-2</v>
      </c>
      <c r="T159" s="46">
        <v>1</v>
      </c>
      <c r="U159" s="53" t="s">
        <v>239</v>
      </c>
      <c r="V159" s="47" t="s">
        <v>325</v>
      </c>
      <c r="W159" s="47" t="s">
        <v>547</v>
      </c>
      <c r="X159" s="47" t="s">
        <v>203</v>
      </c>
      <c r="Y159" s="58">
        <v>1.66</v>
      </c>
      <c r="Z159" s="193">
        <v>0.79600000000000004</v>
      </c>
      <c r="AB159" s="3"/>
      <c r="AC159" s="3"/>
      <c r="AD159" s="3"/>
      <c r="AE159" s="3"/>
      <c r="AF159" s="3"/>
      <c r="AG159" s="3"/>
    </row>
    <row r="160" spans="6:33">
      <c r="F160" s="370">
        <v>1</v>
      </c>
      <c r="G160" s="137" t="s">
        <v>239</v>
      </c>
      <c r="H160" s="136" t="s">
        <v>240</v>
      </c>
      <c r="I160" s="136" t="s">
        <v>547</v>
      </c>
      <c r="J160" s="136" t="s">
        <v>203</v>
      </c>
      <c r="K160" s="191">
        <v>-3.1045600000000002</v>
      </c>
      <c r="L160" s="191">
        <v>0</v>
      </c>
      <c r="M160" s="191">
        <v>0</v>
      </c>
      <c r="N160" s="191">
        <v>-1.743830795116535</v>
      </c>
      <c r="O160" s="191">
        <v>-2.5676676220963204</v>
      </c>
      <c r="P160" s="191">
        <v>-0.54925105418944398</v>
      </c>
      <c r="Q160" s="191">
        <v>0.417776044029886</v>
      </c>
      <c r="R160" s="191">
        <v>2.3670128669442896</v>
      </c>
      <c r="T160" s="46">
        <v>1</v>
      </c>
      <c r="U160" s="53" t="s">
        <v>256</v>
      </c>
      <c r="V160" s="47" t="s">
        <v>256</v>
      </c>
      <c r="W160" s="47" t="s">
        <v>547</v>
      </c>
      <c r="X160" s="47" t="s">
        <v>203</v>
      </c>
      <c r="Y160" s="58">
        <v>3.3097799999999999</v>
      </c>
      <c r="Z160" s="193">
        <v>1.0068550000000001</v>
      </c>
      <c r="AB160" s="3"/>
      <c r="AC160" s="3"/>
      <c r="AD160" s="3"/>
      <c r="AE160" s="3"/>
      <c r="AF160" s="3"/>
      <c r="AG160" s="3"/>
    </row>
    <row r="161" spans="6:33" ht="28.8">
      <c r="F161" s="370">
        <v>1</v>
      </c>
      <c r="G161" s="137" t="s">
        <v>239</v>
      </c>
      <c r="H161" s="136" t="s">
        <v>325</v>
      </c>
      <c r="I161" s="136" t="s">
        <v>547</v>
      </c>
      <c r="J161" s="136" t="s">
        <v>203</v>
      </c>
      <c r="K161" s="191">
        <v>-1.66</v>
      </c>
      <c r="L161" s="191">
        <v>0</v>
      </c>
      <c r="M161" s="191">
        <v>0</v>
      </c>
      <c r="N161" s="191">
        <v>-1.6056559573269851</v>
      </c>
      <c r="O161" s="191">
        <v>-2.3878173145866999</v>
      </c>
      <c r="P161" s="191">
        <v>-0.61788219420844359</v>
      </c>
      <c r="Q161" s="191">
        <v>-0.87660684185985005</v>
      </c>
      <c r="R161" s="191">
        <v>2.7472181149774001E-2</v>
      </c>
      <c r="T161" s="46">
        <v>1</v>
      </c>
      <c r="U161" s="53" t="s">
        <v>256</v>
      </c>
      <c r="V161" s="47" t="s">
        <v>536</v>
      </c>
      <c r="W161" s="47" t="s">
        <v>547</v>
      </c>
      <c r="X161" s="47" t="s">
        <v>203</v>
      </c>
      <c r="Y161" s="58">
        <v>1.9798800000000001</v>
      </c>
      <c r="Z161" s="193">
        <v>0.72957000000000005</v>
      </c>
      <c r="AB161" s="3" t="s">
        <v>526</v>
      </c>
      <c r="AC161" s="125">
        <v>0.77500000000000002</v>
      </c>
      <c r="AD161" s="3">
        <v>0</v>
      </c>
      <c r="AE161" s="3" t="s">
        <v>527</v>
      </c>
      <c r="AF161" s="3"/>
      <c r="AG161" s="3"/>
    </row>
    <row r="162" spans="6:33">
      <c r="F162" s="370">
        <v>1</v>
      </c>
      <c r="G162" s="137" t="s">
        <v>256</v>
      </c>
      <c r="H162" s="136" t="s">
        <v>10183</v>
      </c>
      <c r="I162" s="136" t="s">
        <v>547</v>
      </c>
      <c r="J162" s="136" t="s">
        <v>203</v>
      </c>
      <c r="K162" s="191">
        <v>-3.3097799999999999</v>
      </c>
      <c r="L162" s="191">
        <v>-3.2267017926999997</v>
      </c>
      <c r="M162" s="191">
        <v>-12.723540254059138</v>
      </c>
      <c r="N162" s="191">
        <v>0</v>
      </c>
      <c r="O162" s="191">
        <v>0</v>
      </c>
      <c r="P162" s="191">
        <v>2.5945141929668299E-2</v>
      </c>
      <c r="Q162" s="191">
        <v>-7.5007634100093229E-2</v>
      </c>
      <c r="R162" s="191">
        <v>-5.7713600832001555E-2</v>
      </c>
      <c r="T162" s="46">
        <v>1</v>
      </c>
      <c r="U162" s="53" t="s">
        <v>256</v>
      </c>
      <c r="V162" s="47" t="s">
        <v>257</v>
      </c>
      <c r="W162" s="47" t="s">
        <v>547</v>
      </c>
      <c r="X162" s="47" t="s">
        <v>203</v>
      </c>
      <c r="Y162" s="58">
        <v>1.9798800000000001</v>
      </c>
      <c r="Z162" s="193">
        <v>0.46493000000000001</v>
      </c>
      <c r="AB162" s="3" t="s">
        <v>526</v>
      </c>
      <c r="AC162" s="125">
        <v>0.77500000000000002</v>
      </c>
      <c r="AD162" s="3">
        <v>0</v>
      </c>
      <c r="AE162" s="3" t="s">
        <v>527</v>
      </c>
      <c r="AF162" s="3"/>
      <c r="AG162" s="3"/>
    </row>
    <row r="163" spans="6:33">
      <c r="F163" s="370">
        <v>1</v>
      </c>
      <c r="G163" s="137" t="s">
        <v>256</v>
      </c>
      <c r="H163" s="136" t="s">
        <v>536</v>
      </c>
      <c r="I163" s="136" t="s">
        <v>547</v>
      </c>
      <c r="J163" s="136" t="s">
        <v>203</v>
      </c>
      <c r="K163" s="191">
        <v>-1.9798800000000001</v>
      </c>
      <c r="L163" s="191">
        <v>-1.8968017927</v>
      </c>
      <c r="M163" s="191">
        <v>-2.294927702016567</v>
      </c>
      <c r="N163" s="191">
        <v>0</v>
      </c>
      <c r="O163" s="191">
        <v>0</v>
      </c>
      <c r="P163" s="191">
        <v>2.60302838593366E-2</v>
      </c>
      <c r="Q163" s="191">
        <v>-0.11632743079570079</v>
      </c>
      <c r="R163" s="191">
        <v>-8.9415935981853406E-2</v>
      </c>
      <c r="T163" s="46">
        <v>1</v>
      </c>
      <c r="U163" s="53" t="s">
        <v>256</v>
      </c>
      <c r="V163" s="47" t="s">
        <v>537</v>
      </c>
      <c r="W163" s="47" t="s">
        <v>547</v>
      </c>
      <c r="X163" s="47" t="s">
        <v>203</v>
      </c>
      <c r="Y163" s="58">
        <v>5.0082800000000001</v>
      </c>
      <c r="Z163" s="193">
        <v>1.54878</v>
      </c>
      <c r="AB163" s="3" t="s">
        <v>526</v>
      </c>
      <c r="AC163" s="125">
        <v>0.77500000000000002</v>
      </c>
      <c r="AD163" s="3">
        <v>0</v>
      </c>
      <c r="AE163" s="3" t="s">
        <v>527</v>
      </c>
      <c r="AF163" s="3"/>
      <c r="AG163" s="3"/>
    </row>
    <row r="164" spans="6:33">
      <c r="F164" s="370">
        <v>1</v>
      </c>
      <c r="G164" s="137" t="s">
        <v>256</v>
      </c>
      <c r="H164" s="136" t="s">
        <v>257</v>
      </c>
      <c r="I164" s="136" t="s">
        <v>547</v>
      </c>
      <c r="J164" s="136" t="s">
        <v>203</v>
      </c>
      <c r="K164" s="191">
        <v>-1.9798800000000001</v>
      </c>
      <c r="L164" s="191">
        <v>-1.8968017927</v>
      </c>
      <c r="M164" s="191">
        <v>-2.294927702016567</v>
      </c>
      <c r="N164" s="191">
        <v>0</v>
      </c>
      <c r="O164" s="191">
        <v>0</v>
      </c>
      <c r="P164" s="191">
        <v>2.60302838593366E-2</v>
      </c>
      <c r="Q164" s="191">
        <v>-0.11632743079570085</v>
      </c>
      <c r="R164" s="191">
        <v>-8.9415935981853253E-2</v>
      </c>
      <c r="T164" s="46">
        <v>1</v>
      </c>
      <c r="U164" s="53" t="s">
        <v>256</v>
      </c>
      <c r="V164" s="47" t="s">
        <v>538</v>
      </c>
      <c r="W164" s="47" t="s">
        <v>547</v>
      </c>
      <c r="X164" s="47" t="s">
        <v>203</v>
      </c>
      <c r="Y164" s="58">
        <v>4.6396800000000002</v>
      </c>
      <c r="Z164" s="193">
        <v>1.54878</v>
      </c>
      <c r="AB164" s="3" t="s">
        <v>526</v>
      </c>
      <c r="AC164" s="83">
        <v>0.5</v>
      </c>
      <c r="AD164" s="3">
        <v>0</v>
      </c>
      <c r="AE164" s="3" t="s">
        <v>528</v>
      </c>
      <c r="AF164" s="3"/>
      <c r="AG164" s="3"/>
    </row>
    <row r="165" spans="6:33">
      <c r="F165" s="370">
        <v>1</v>
      </c>
      <c r="G165" s="137" t="s">
        <v>256</v>
      </c>
      <c r="H165" s="136" t="s">
        <v>537</v>
      </c>
      <c r="I165" s="136" t="s">
        <v>547</v>
      </c>
      <c r="J165" s="136" t="s">
        <v>203</v>
      </c>
      <c r="K165" s="191">
        <v>-5.0082800000000001</v>
      </c>
      <c r="L165" s="191">
        <v>-4.9252017927000002</v>
      </c>
      <c r="M165" s="191">
        <v>-5.0330766967974405</v>
      </c>
      <c r="N165" s="191">
        <v>0</v>
      </c>
      <c r="O165" s="191">
        <v>0</v>
      </c>
      <c r="P165" s="191">
        <v>2.5860000000000001E-2</v>
      </c>
      <c r="Q165" s="191">
        <v>-3.3687837404485652E-2</v>
      </c>
      <c r="R165" s="191">
        <v>-2.60112656821497E-2</v>
      </c>
      <c r="T165" s="46">
        <v>1</v>
      </c>
      <c r="U165" s="53" t="s">
        <v>256</v>
      </c>
      <c r="V165" s="47" t="s">
        <v>258</v>
      </c>
      <c r="W165" s="47" t="s">
        <v>547</v>
      </c>
      <c r="X165" s="47" t="s">
        <v>203</v>
      </c>
      <c r="Y165" s="58">
        <v>4.6396800000000002</v>
      </c>
      <c r="Z165" s="193">
        <v>1.54878</v>
      </c>
      <c r="AB165" s="3" t="s">
        <v>526</v>
      </c>
      <c r="AC165" s="83">
        <v>0.5</v>
      </c>
      <c r="AD165" s="3">
        <v>0</v>
      </c>
      <c r="AE165" s="3" t="s">
        <v>528</v>
      </c>
      <c r="AF165" s="3"/>
      <c r="AG165" s="3"/>
    </row>
    <row r="166" spans="6:33">
      <c r="F166" s="370">
        <v>1</v>
      </c>
      <c r="G166" s="137" t="s">
        <v>256</v>
      </c>
      <c r="H166" s="136" t="s">
        <v>538</v>
      </c>
      <c r="I166" s="136" t="s">
        <v>547</v>
      </c>
      <c r="J166" s="136" t="s">
        <v>203</v>
      </c>
      <c r="K166" s="191">
        <v>-4.6396800000000002</v>
      </c>
      <c r="L166" s="191">
        <v>0</v>
      </c>
      <c r="M166" s="191">
        <v>0</v>
      </c>
      <c r="N166" s="191">
        <v>0</v>
      </c>
      <c r="O166" s="191">
        <v>0</v>
      </c>
      <c r="P166" s="191">
        <v>2.5860000000000001E-2</v>
      </c>
      <c r="Q166" s="191">
        <v>-3.0070142684764149E-2</v>
      </c>
      <c r="R166" s="191">
        <v>-2.6011265682149749E-2</v>
      </c>
      <c r="T166" s="46">
        <v>1</v>
      </c>
      <c r="U166" s="53" t="s">
        <v>247</v>
      </c>
      <c r="V166" s="47" t="s">
        <v>247</v>
      </c>
      <c r="W166" s="47" t="s">
        <v>547</v>
      </c>
      <c r="X166" s="47" t="s">
        <v>203</v>
      </c>
      <c r="Y166" s="58">
        <v>1.0505633333333335</v>
      </c>
      <c r="Z166" s="193">
        <v>0.89563000000000004</v>
      </c>
      <c r="AB166" s="3"/>
      <c r="AC166" s="3"/>
      <c r="AD166" s="3"/>
      <c r="AE166" s="3"/>
      <c r="AF166" s="3"/>
      <c r="AG166" s="3"/>
    </row>
    <row r="167" spans="6:33">
      <c r="F167" s="370">
        <v>1</v>
      </c>
      <c r="G167" s="137" t="s">
        <v>256</v>
      </c>
      <c r="H167" s="136" t="s">
        <v>258</v>
      </c>
      <c r="I167" s="136" t="s">
        <v>547</v>
      </c>
      <c r="J167" s="136" t="s">
        <v>203</v>
      </c>
      <c r="K167" s="191">
        <v>-4.6396800000000002</v>
      </c>
      <c r="L167" s="191">
        <v>-4.5566017927000004</v>
      </c>
      <c r="M167" s="191">
        <v>-4.8790029203648668</v>
      </c>
      <c r="N167" s="191">
        <v>0</v>
      </c>
      <c r="O167" s="191">
        <v>0</v>
      </c>
      <c r="P167" s="191">
        <v>2.5860000000000001E-2</v>
      </c>
      <c r="Q167" s="191">
        <v>-3.3687837404485596E-2</v>
      </c>
      <c r="R167" s="191">
        <v>-2.6011265682149749E-2</v>
      </c>
      <c r="T167" s="46">
        <v>1</v>
      </c>
      <c r="U167" s="53" t="s">
        <v>247</v>
      </c>
      <c r="V167" s="47" t="s">
        <v>248</v>
      </c>
      <c r="W167" s="47" t="s">
        <v>547</v>
      </c>
      <c r="X167" s="47" t="s">
        <v>203</v>
      </c>
      <c r="Y167" s="58">
        <v>1.0606100000000001</v>
      </c>
      <c r="Z167" s="193">
        <v>0.89563000000000004</v>
      </c>
      <c r="AB167" s="3" t="s">
        <v>526</v>
      </c>
      <c r="AC167" s="125">
        <v>0.77500000000000002</v>
      </c>
      <c r="AD167" s="3">
        <v>8.1306407300000008E-2</v>
      </c>
      <c r="AE167" s="3" t="s">
        <v>531</v>
      </c>
      <c r="AF167" s="3" t="s">
        <v>526</v>
      </c>
      <c r="AG167" s="83">
        <v>0.85</v>
      </c>
    </row>
    <row r="168" spans="6:33">
      <c r="F168" s="370">
        <v>1</v>
      </c>
      <c r="G168" s="137" t="s">
        <v>247</v>
      </c>
      <c r="H168" s="136" t="s">
        <v>247</v>
      </c>
      <c r="I168" s="136" t="s">
        <v>547</v>
      </c>
      <c r="J168" s="136" t="s">
        <v>203</v>
      </c>
      <c r="K168" s="191">
        <v>-1.0505633333333335</v>
      </c>
      <c r="L168" s="191">
        <v>-0.96748512603333348</v>
      </c>
      <c r="M168" s="191">
        <v>-0.31721996036779287</v>
      </c>
      <c r="N168" s="191">
        <v>0</v>
      </c>
      <c r="O168" s="191">
        <v>0</v>
      </c>
      <c r="P168" s="191">
        <v>2.6030298385681702E-2</v>
      </c>
      <c r="Q168" s="191">
        <v>3.027081363883255E-2</v>
      </c>
      <c r="R168" s="191">
        <v>4.8923430416285746E-2</v>
      </c>
      <c r="T168" s="46">
        <v>1</v>
      </c>
      <c r="U168" s="53" t="s">
        <v>247</v>
      </c>
      <c r="V168" s="47" t="s">
        <v>263</v>
      </c>
      <c r="W168" s="47" t="s">
        <v>547</v>
      </c>
      <c r="X168" s="47" t="s">
        <v>203</v>
      </c>
      <c r="Y168" s="58">
        <v>1.0341199999999999</v>
      </c>
      <c r="Z168" s="193">
        <v>0.89563000000000004</v>
      </c>
      <c r="AB168" s="3" t="s">
        <v>526</v>
      </c>
      <c r="AC168" s="125">
        <v>0.77500000000000002</v>
      </c>
      <c r="AD168" s="3">
        <v>8.1306407300000008E-2</v>
      </c>
      <c r="AE168" s="3" t="s">
        <v>531</v>
      </c>
      <c r="AF168" s="3" t="s">
        <v>526</v>
      </c>
      <c r="AG168" s="83">
        <v>0.7</v>
      </c>
    </row>
    <row r="169" spans="6:33">
      <c r="F169" s="370">
        <v>1</v>
      </c>
      <c r="G169" s="137" t="s">
        <v>247</v>
      </c>
      <c r="H169" s="136" t="s">
        <v>248</v>
      </c>
      <c r="I169" s="136" t="s">
        <v>547</v>
      </c>
      <c r="J169" s="136" t="s">
        <v>203</v>
      </c>
      <c r="K169" s="191">
        <v>-1.0606100000000001</v>
      </c>
      <c r="L169" s="191">
        <v>-0.97753179270000001</v>
      </c>
      <c r="M169" s="191">
        <v>-0.16833894768384622</v>
      </c>
      <c r="N169" s="191">
        <v>0</v>
      </c>
      <c r="O169" s="191">
        <v>0</v>
      </c>
      <c r="P169" s="191">
        <v>2.6030304440254601E-2</v>
      </c>
      <c r="Q169" s="191">
        <v>3.4167398126000198E-2</v>
      </c>
      <c r="R169" s="191">
        <v>4.8922246810678846E-2</v>
      </c>
      <c r="T169" s="46">
        <v>1</v>
      </c>
      <c r="U169" s="53" t="s">
        <v>247</v>
      </c>
      <c r="V169" s="47" t="s">
        <v>539</v>
      </c>
      <c r="W169" s="47" t="s">
        <v>547</v>
      </c>
      <c r="X169" s="47" t="s">
        <v>203</v>
      </c>
      <c r="Y169" s="58">
        <v>1.0569599999999999</v>
      </c>
      <c r="Z169" s="193">
        <v>0.89563000000000004</v>
      </c>
      <c r="AB169" s="3"/>
      <c r="AC169" s="3"/>
      <c r="AD169" s="3"/>
      <c r="AE169" s="3"/>
      <c r="AF169" s="3" t="s">
        <v>526</v>
      </c>
      <c r="AG169" s="83">
        <v>0.8</v>
      </c>
    </row>
    <row r="170" spans="6:33">
      <c r="F170" s="370">
        <v>1</v>
      </c>
      <c r="G170" s="137" t="s">
        <v>247</v>
      </c>
      <c r="H170" s="136" t="s">
        <v>263</v>
      </c>
      <c r="I170" s="136" t="s">
        <v>547</v>
      </c>
      <c r="J170" s="136" t="s">
        <v>203</v>
      </c>
      <c r="K170" s="191">
        <v>-1.0341199999999999</v>
      </c>
      <c r="L170" s="191">
        <v>-0.95104179269999989</v>
      </c>
      <c r="M170" s="191">
        <v>-0.16833894768384622</v>
      </c>
      <c r="N170" s="191">
        <v>0</v>
      </c>
      <c r="O170" s="191">
        <v>0</v>
      </c>
      <c r="P170" s="191">
        <v>2.603030819283635E-2</v>
      </c>
      <c r="Q170" s="191">
        <v>3.6503214873328652E-2</v>
      </c>
      <c r="R170" s="191">
        <v>4.8922322378817149E-2</v>
      </c>
      <c r="T170" s="46">
        <v>1</v>
      </c>
      <c r="U170" s="53" t="s">
        <v>247</v>
      </c>
      <c r="V170" s="47" t="s">
        <v>270</v>
      </c>
      <c r="W170" s="47" t="s">
        <v>547</v>
      </c>
      <c r="X170" s="47" t="s">
        <v>203</v>
      </c>
      <c r="Y170" s="58">
        <v>1.0505633333333335</v>
      </c>
      <c r="Z170" s="193">
        <v>0.89563000000000004</v>
      </c>
      <c r="AB170" s="3" t="s">
        <v>526</v>
      </c>
      <c r="AC170" s="125">
        <v>0.77500000000000002</v>
      </c>
      <c r="AD170" s="3">
        <v>8.1306407300000008E-2</v>
      </c>
      <c r="AE170" s="3" t="s">
        <v>531</v>
      </c>
      <c r="AF170" s="3" t="s">
        <v>526</v>
      </c>
      <c r="AG170" s="83">
        <v>0.7</v>
      </c>
    </row>
    <row r="171" spans="6:33">
      <c r="F171" s="370">
        <v>1</v>
      </c>
      <c r="G171" s="137" t="s">
        <v>247</v>
      </c>
      <c r="H171" s="136" t="s">
        <v>539</v>
      </c>
      <c r="I171" s="136" t="s">
        <v>547</v>
      </c>
      <c r="J171" s="136" t="s">
        <v>203</v>
      </c>
      <c r="K171" s="191">
        <v>-1.0569599999999999</v>
      </c>
      <c r="L171" s="191">
        <v>-0.97388179269999986</v>
      </c>
      <c r="M171" s="191">
        <v>-0.17365491445280978</v>
      </c>
      <c r="N171" s="191">
        <v>0</v>
      </c>
      <c r="O171" s="191">
        <v>0</v>
      </c>
      <c r="P171" s="191">
        <v>2.603028858808815E-2</v>
      </c>
      <c r="Q171" s="191">
        <v>2.3994783972430499E-2</v>
      </c>
      <c r="R171" s="191">
        <v>4.8924705168955848E-2</v>
      </c>
      <c r="T171" s="46">
        <v>1</v>
      </c>
      <c r="U171" s="53" t="s">
        <v>247</v>
      </c>
      <c r="V171" s="47" t="s">
        <v>540</v>
      </c>
      <c r="W171" s="47" t="s">
        <v>547</v>
      </c>
      <c r="X171" s="47" t="s">
        <v>203</v>
      </c>
      <c r="Y171" s="58">
        <v>1.0473650000000001</v>
      </c>
      <c r="Z171" s="193">
        <v>0.89563000000000004</v>
      </c>
      <c r="AB171" s="3"/>
      <c r="AC171" s="3"/>
      <c r="AD171" s="3"/>
      <c r="AE171" s="3"/>
      <c r="AF171" s="3"/>
      <c r="AG171" s="83"/>
    </row>
    <row r="172" spans="6:33">
      <c r="F172" s="370">
        <v>1</v>
      </c>
      <c r="G172" s="137" t="s">
        <v>247</v>
      </c>
      <c r="H172" s="136" t="s">
        <v>270</v>
      </c>
      <c r="I172" s="136" t="s">
        <v>547</v>
      </c>
      <c r="J172" s="136" t="s">
        <v>203</v>
      </c>
      <c r="K172" s="191">
        <v>-1.0505633333333335</v>
      </c>
      <c r="L172" s="191">
        <v>-0.96748512603333348</v>
      </c>
      <c r="M172" s="191">
        <v>-0.31721996036779287</v>
      </c>
      <c r="N172" s="191">
        <v>0</v>
      </c>
      <c r="O172" s="191">
        <v>0</v>
      </c>
      <c r="P172" s="191">
        <v>2.6030298385681702E-2</v>
      </c>
      <c r="Q172" s="191">
        <v>3.027081363883255E-2</v>
      </c>
      <c r="R172" s="191">
        <v>4.8923430416285746E-2</v>
      </c>
      <c r="T172" s="46">
        <v>1</v>
      </c>
      <c r="U172" s="53" t="s">
        <v>529</v>
      </c>
      <c r="V172" s="47" t="s">
        <v>260</v>
      </c>
      <c r="W172" s="47" t="s">
        <v>547</v>
      </c>
      <c r="X172" s="47" t="s">
        <v>203</v>
      </c>
      <c r="Y172" s="58">
        <v>4.0364225925925927</v>
      </c>
      <c r="Z172" s="193">
        <v>1.3856655555555555</v>
      </c>
      <c r="AB172" s="3" t="s">
        <v>526</v>
      </c>
      <c r="AC172" s="125">
        <v>0.77500000000000002</v>
      </c>
      <c r="AD172" s="3">
        <v>8.1306407300000008E-2</v>
      </c>
      <c r="AE172" s="3" t="s">
        <v>531</v>
      </c>
      <c r="AF172" s="3"/>
      <c r="AG172" s="3"/>
    </row>
    <row r="173" spans="6:33">
      <c r="F173" s="370">
        <v>1</v>
      </c>
      <c r="G173" s="137" t="s">
        <v>247</v>
      </c>
      <c r="H173" s="136" t="s">
        <v>540</v>
      </c>
      <c r="I173" s="136" t="s">
        <v>547</v>
      </c>
      <c r="J173" s="136" t="s">
        <v>203</v>
      </c>
      <c r="K173" s="191">
        <v>-1.0473650000000001</v>
      </c>
      <c r="L173" s="191">
        <v>-0.96428679270000006</v>
      </c>
      <c r="M173" s="191">
        <v>0</v>
      </c>
      <c r="N173" s="191">
        <v>0</v>
      </c>
      <c r="O173" s="191">
        <v>0</v>
      </c>
      <c r="P173" s="191">
        <v>2.603028168582355E-2</v>
      </c>
      <c r="Q173" s="191">
        <v>2.6330080564531001E-2</v>
      </c>
      <c r="R173" s="191">
        <v>4.8924260581867052E-2</v>
      </c>
      <c r="T173" s="46">
        <v>1</v>
      </c>
      <c r="U173" s="53" t="s">
        <v>237</v>
      </c>
      <c r="V173" s="47" t="s">
        <v>237</v>
      </c>
      <c r="W173" s="47" t="s">
        <v>547</v>
      </c>
      <c r="X173" s="47" t="s">
        <v>203</v>
      </c>
      <c r="Y173" s="58">
        <v>2.8533815875203707</v>
      </c>
      <c r="Z173" s="193">
        <v>1.0711602172222223</v>
      </c>
      <c r="AB173" s="3" t="s">
        <v>526</v>
      </c>
      <c r="AC173" s="125">
        <v>0.72499999999999998</v>
      </c>
      <c r="AD173" s="3">
        <v>8.1306407300000008E-2</v>
      </c>
      <c r="AE173" s="3" t="s">
        <v>531</v>
      </c>
      <c r="AF173" s="3"/>
      <c r="AG173" s="3"/>
    </row>
    <row r="174" spans="6:33">
      <c r="F174" s="370">
        <v>1</v>
      </c>
      <c r="G174" s="137" t="s">
        <v>261</v>
      </c>
      <c r="H174" s="136" t="s">
        <v>260</v>
      </c>
      <c r="I174" s="136" t="s">
        <v>547</v>
      </c>
      <c r="J174" s="136" t="s">
        <v>203</v>
      </c>
      <c r="K174" s="191">
        <v>-4.0364225925925927</v>
      </c>
      <c r="L174" s="191">
        <v>0</v>
      </c>
      <c r="M174" s="191">
        <v>0</v>
      </c>
      <c r="N174" s="191">
        <v>-0.50051057013022104</v>
      </c>
      <c r="O174" s="191">
        <v>-0.86435222943154244</v>
      </c>
      <c r="P174" s="191">
        <v>-0.12767880511941876</v>
      </c>
      <c r="Q174" s="191">
        <v>-0.2509846427709625</v>
      </c>
      <c r="R174" s="191">
        <v>2.75307133749997E-2</v>
      </c>
      <c r="T174" s="46">
        <v>1</v>
      </c>
      <c r="U174" s="53" t="s">
        <v>237</v>
      </c>
      <c r="V174" s="47" t="s">
        <v>246</v>
      </c>
      <c r="W174" s="47" t="s">
        <v>547</v>
      </c>
      <c r="X174" s="47" t="s">
        <v>203</v>
      </c>
      <c r="Y174" s="58">
        <v>7.3412433500000009</v>
      </c>
      <c r="Z174" s="193">
        <v>0.66842500000000005</v>
      </c>
      <c r="AB174" s="3" t="s">
        <v>526</v>
      </c>
      <c r="AC174" s="125">
        <v>0.72499999999999998</v>
      </c>
      <c r="AD174" s="3">
        <v>8.1306407300000008E-2</v>
      </c>
      <c r="AE174" s="3" t="s">
        <v>531</v>
      </c>
      <c r="AF174" s="3"/>
      <c r="AG174" s="3"/>
    </row>
    <row r="175" spans="6:33">
      <c r="F175" s="370">
        <v>1</v>
      </c>
      <c r="G175" s="137" t="s">
        <v>10157</v>
      </c>
      <c r="H175" s="136" t="s">
        <v>10157</v>
      </c>
      <c r="I175" s="136" t="s">
        <v>547</v>
      </c>
      <c r="J175" s="136" t="s">
        <v>203</v>
      </c>
      <c r="K175" s="191">
        <v>-2.8533815875203707</v>
      </c>
      <c r="L175" s="191">
        <v>-1.4249189937601854</v>
      </c>
      <c r="M175" s="191">
        <v>0</v>
      </c>
      <c r="N175" s="191">
        <v>0</v>
      </c>
      <c r="O175" s="191">
        <v>0</v>
      </c>
      <c r="P175" s="191">
        <v>-0.43045193315319141</v>
      </c>
      <c r="Q175" s="191">
        <v>-0.56255922354308074</v>
      </c>
      <c r="R175" s="191">
        <v>2.7969653006563899E-2</v>
      </c>
      <c r="T175" s="46">
        <v>1</v>
      </c>
      <c r="U175" s="53" t="s">
        <v>237</v>
      </c>
      <c r="V175" s="28" t="s">
        <v>10162</v>
      </c>
      <c r="W175" s="47" t="s">
        <v>547</v>
      </c>
      <c r="X175" s="47" t="s">
        <v>203</v>
      </c>
      <c r="Y175" s="58">
        <v>2.8533815875203707</v>
      </c>
      <c r="Z175" s="193">
        <v>1.0711602172222223</v>
      </c>
      <c r="AB175" s="3" t="s">
        <v>526</v>
      </c>
      <c r="AC175" s="125">
        <v>0.64600000000000002</v>
      </c>
      <c r="AD175" s="3">
        <v>8.1306407300000008E-2</v>
      </c>
      <c r="AE175" s="3" t="s">
        <v>531</v>
      </c>
      <c r="AF175" s="3" t="s">
        <v>526</v>
      </c>
      <c r="AG175" s="83">
        <v>0.8</v>
      </c>
    </row>
    <row r="176" spans="6:33">
      <c r="F176" s="370">
        <v>1</v>
      </c>
      <c r="G176" s="137" t="s">
        <v>10157</v>
      </c>
      <c r="H176" s="136" t="s">
        <v>246</v>
      </c>
      <c r="I176" s="136" t="s">
        <v>547</v>
      </c>
      <c r="J176" s="136" t="s">
        <v>203</v>
      </c>
      <c r="K176" s="191">
        <v>-7.3412433500000009</v>
      </c>
      <c r="L176" s="191">
        <v>0</v>
      </c>
      <c r="M176" s="191">
        <v>0</v>
      </c>
      <c r="N176" s="191">
        <v>0</v>
      </c>
      <c r="O176" s="191">
        <v>0</v>
      </c>
      <c r="P176" s="191">
        <v>2.6030333152689648E-2</v>
      </c>
      <c r="Q176" s="191">
        <v>4.1510051336499799E-2</v>
      </c>
      <c r="R176" s="191">
        <v>4.8921913689101051E-2</v>
      </c>
      <c r="T176" s="46">
        <v>1</v>
      </c>
      <c r="U176" s="53" t="s">
        <v>252</v>
      </c>
      <c r="V176" s="28" t="s">
        <v>333</v>
      </c>
      <c r="W176" s="47" t="s">
        <v>547</v>
      </c>
      <c r="X176" s="47" t="s">
        <v>203</v>
      </c>
      <c r="Y176" s="58">
        <v>2.0953266666666663</v>
      </c>
      <c r="Z176" s="193">
        <v>1.77911</v>
      </c>
      <c r="AB176" s="3"/>
      <c r="AC176" s="3"/>
      <c r="AD176" s="3"/>
      <c r="AE176" s="3"/>
      <c r="AF176" s="3" t="s">
        <v>526</v>
      </c>
      <c r="AG176" s="83">
        <v>0.88</v>
      </c>
    </row>
    <row r="177" spans="6:33" ht="28.8">
      <c r="F177" s="370">
        <v>1</v>
      </c>
      <c r="G177" s="137" t="s">
        <v>10157</v>
      </c>
      <c r="H177" s="136" t="s">
        <v>10162</v>
      </c>
      <c r="I177" s="136" t="s">
        <v>547</v>
      </c>
      <c r="J177" s="136" t="s">
        <v>203</v>
      </c>
      <c r="K177" s="191">
        <v>-2.8533815875203707</v>
      </c>
      <c r="L177" s="191">
        <v>0</v>
      </c>
      <c r="M177" s="191">
        <v>0</v>
      </c>
      <c r="N177" s="191">
        <v>-1.0182354930331312</v>
      </c>
      <c r="O177" s="191">
        <v>-1.5961106733928911</v>
      </c>
      <c r="P177" s="191">
        <v>-0.43045193315319141</v>
      </c>
      <c r="Q177" s="191">
        <v>-0.56255922354308074</v>
      </c>
      <c r="R177" s="191">
        <v>2.7969653006563899E-2</v>
      </c>
      <c r="T177" s="46">
        <v>1</v>
      </c>
      <c r="U177" s="53" t="s">
        <v>239</v>
      </c>
      <c r="V177" s="3" t="s">
        <v>542</v>
      </c>
      <c r="W177" s="47" t="s">
        <v>547</v>
      </c>
      <c r="X177" s="47" t="s">
        <v>203</v>
      </c>
      <c r="Y177" s="58">
        <v>2.6644477777777777</v>
      </c>
      <c r="Z177" s="193">
        <v>0.64099666666666666</v>
      </c>
      <c r="AB177" s="3" t="s">
        <v>526</v>
      </c>
      <c r="AC177" s="125">
        <v>0.64600000000000002</v>
      </c>
      <c r="AD177" s="3">
        <v>8.1306407300000008E-2</v>
      </c>
      <c r="AE177" s="3" t="s">
        <v>531</v>
      </c>
      <c r="AF177" s="3" t="s">
        <v>526</v>
      </c>
      <c r="AG177" s="83">
        <v>0.8</v>
      </c>
    </row>
    <row r="178" spans="6:33">
      <c r="F178" s="370">
        <v>1</v>
      </c>
      <c r="G178" s="137" t="s">
        <v>252</v>
      </c>
      <c r="H178" s="136" t="s">
        <v>333</v>
      </c>
      <c r="I178" s="136" t="s">
        <v>547</v>
      </c>
      <c r="J178" s="136" t="s">
        <v>203</v>
      </c>
      <c r="K178" s="191">
        <v>-2.0953266666666663</v>
      </c>
      <c r="L178" s="191">
        <v>0</v>
      </c>
      <c r="M178" s="191">
        <v>-4.4029192949505358</v>
      </c>
      <c r="N178" s="191">
        <v>0</v>
      </c>
      <c r="O178" s="191">
        <v>0</v>
      </c>
      <c r="P178" s="191">
        <v>2.6030305185259402E-2</v>
      </c>
      <c r="Q178" s="191">
        <v>0.56190687898974445</v>
      </c>
      <c r="R178" s="191">
        <v>2.1870254846722101</v>
      </c>
      <c r="T178" s="46">
        <v>1</v>
      </c>
      <c r="U178" s="53" t="s">
        <v>237</v>
      </c>
      <c r="V178" s="3" t="s">
        <v>238</v>
      </c>
      <c r="W178" s="47" t="s">
        <v>547</v>
      </c>
      <c r="X178" s="47" t="s">
        <v>203</v>
      </c>
      <c r="Y178" s="58">
        <v>2.7046544444444445</v>
      </c>
      <c r="Z178" s="193">
        <v>1.2161291666666667</v>
      </c>
      <c r="AB178" s="3"/>
      <c r="AC178" s="3"/>
      <c r="AD178" s="3"/>
      <c r="AE178" s="3"/>
      <c r="AF178" s="3" t="s">
        <v>526</v>
      </c>
      <c r="AG178" s="83">
        <v>0.65</v>
      </c>
    </row>
    <row r="179" spans="6:33">
      <c r="F179" s="370">
        <v>1</v>
      </c>
      <c r="G179" s="137" t="s">
        <v>239</v>
      </c>
      <c r="H179" s="136" t="s">
        <v>542</v>
      </c>
      <c r="I179" s="136" t="s">
        <v>547</v>
      </c>
      <c r="J179" s="136" t="s">
        <v>203</v>
      </c>
      <c r="K179" s="191">
        <v>-2.6644477777777777</v>
      </c>
      <c r="L179" s="191">
        <v>0</v>
      </c>
      <c r="M179" s="191">
        <v>-0.85682531571611209</v>
      </c>
      <c r="N179" s="191">
        <v>-1.6056559573269851</v>
      </c>
      <c r="O179" s="191">
        <v>-2.3878173145866999</v>
      </c>
      <c r="P179" s="191">
        <v>-0.61788219420844359</v>
      </c>
      <c r="Q179" s="191">
        <v>-0.87660684185985005</v>
      </c>
      <c r="R179" s="191">
        <v>2.7472181149774001E-2</v>
      </c>
      <c r="T179" s="46">
        <v>1</v>
      </c>
      <c r="U179" s="53" t="s">
        <v>264</v>
      </c>
      <c r="V179" s="3" t="s">
        <v>264</v>
      </c>
      <c r="W179" s="47" t="s">
        <v>547</v>
      </c>
      <c r="X179" s="47" t="s">
        <v>203</v>
      </c>
      <c r="Y179" s="58">
        <v>1.9287117500000002</v>
      </c>
      <c r="Z179" s="193">
        <v>0.467055</v>
      </c>
      <c r="AB179" s="3"/>
      <c r="AC179" s="3"/>
      <c r="AD179" s="3"/>
      <c r="AE179" s="3"/>
      <c r="AF179" s="3" t="s">
        <v>526</v>
      </c>
      <c r="AG179" s="83">
        <v>0.65</v>
      </c>
    </row>
    <row r="180" spans="6:33">
      <c r="F180" s="370">
        <v>1</v>
      </c>
      <c r="G180" s="137" t="s">
        <v>10157</v>
      </c>
      <c r="H180" s="136" t="s">
        <v>238</v>
      </c>
      <c r="I180" s="136" t="s">
        <v>547</v>
      </c>
      <c r="J180" s="136" t="s">
        <v>203</v>
      </c>
      <c r="K180" s="191">
        <v>-2.7046544444444445</v>
      </c>
      <c r="L180" s="191">
        <v>0</v>
      </c>
      <c r="M180" s="191">
        <v>0</v>
      </c>
      <c r="N180" s="191">
        <v>0</v>
      </c>
      <c r="O180" s="191">
        <v>0</v>
      </c>
      <c r="P180" s="191">
        <v>-0.13496911217695853</v>
      </c>
      <c r="Q180" s="191">
        <v>-8.9859195832841549E-2</v>
      </c>
      <c r="R180" s="191">
        <v>0.55142687385156708</v>
      </c>
      <c r="T180" s="46">
        <v>1</v>
      </c>
      <c r="U180" s="53" t="s">
        <v>264</v>
      </c>
      <c r="V180" s="3" t="s">
        <v>336</v>
      </c>
      <c r="W180" s="47" t="s">
        <v>547</v>
      </c>
      <c r="X180" s="47" t="s">
        <v>203</v>
      </c>
      <c r="Y180" s="58">
        <v>0.76351350000000007</v>
      </c>
      <c r="Z180" s="193">
        <v>0.43603999999999998</v>
      </c>
      <c r="AB180" s="3"/>
      <c r="AC180" s="3"/>
      <c r="AD180" s="3"/>
      <c r="AE180" s="3"/>
      <c r="AF180" s="3" t="s">
        <v>526</v>
      </c>
      <c r="AG180" s="83">
        <v>0.65</v>
      </c>
    </row>
    <row r="181" spans="6:33" ht="28.8">
      <c r="F181" s="370">
        <v>1</v>
      </c>
      <c r="G181" s="137" t="s">
        <v>264</v>
      </c>
      <c r="H181" s="136" t="s">
        <v>10184</v>
      </c>
      <c r="I181" s="136" t="s">
        <v>547</v>
      </c>
      <c r="J181" s="136" t="s">
        <v>203</v>
      </c>
      <c r="K181" s="191">
        <v>-1.9287117500000002</v>
      </c>
      <c r="L181" s="191">
        <v>-1.1070613798500002</v>
      </c>
      <c r="M181" s="191">
        <v>0.15112249999999994</v>
      </c>
      <c r="N181" s="191">
        <v>0</v>
      </c>
      <c r="O181" s="191">
        <v>0</v>
      </c>
      <c r="P181" s="191">
        <v>-0.31798720212359771</v>
      </c>
      <c r="Q181" s="191">
        <v>-0.52441031348142686</v>
      </c>
      <c r="R181" s="191">
        <v>0.4616885128378671</v>
      </c>
      <c r="T181" s="46">
        <v>1</v>
      </c>
      <c r="U181" s="53" t="s">
        <v>242</v>
      </c>
      <c r="V181" s="3" t="s">
        <v>251</v>
      </c>
      <c r="W181" s="47" t="s">
        <v>547</v>
      </c>
      <c r="X181" s="47" t="s">
        <v>203</v>
      </c>
      <c r="Y181" s="58">
        <v>4.9218200000000003</v>
      </c>
      <c r="Z181" s="193">
        <v>0.15096000000000001</v>
      </c>
      <c r="AB181" s="3"/>
      <c r="AC181" s="3"/>
      <c r="AD181" s="3"/>
      <c r="AE181" s="3"/>
      <c r="AF181" s="3" t="s">
        <v>526</v>
      </c>
      <c r="AG181" s="83">
        <v>0.8</v>
      </c>
    </row>
    <row r="182" spans="6:33">
      <c r="F182" s="370">
        <v>1</v>
      </c>
      <c r="G182" s="137" t="s">
        <v>264</v>
      </c>
      <c r="H182" s="136" t="s">
        <v>336</v>
      </c>
      <c r="I182" s="136" t="s">
        <v>547</v>
      </c>
      <c r="J182" s="136" t="s">
        <v>203</v>
      </c>
      <c r="K182" s="191">
        <v>-0.76351350000000007</v>
      </c>
      <c r="L182" s="191">
        <v>-0.34968251735000005</v>
      </c>
      <c r="M182" s="191">
        <v>0</v>
      </c>
      <c r="N182" s="191">
        <v>-1.6437060053944301</v>
      </c>
      <c r="O182" s="191">
        <v>-2.62382618144458</v>
      </c>
      <c r="P182" s="191">
        <v>-0.99061830076841595</v>
      </c>
      <c r="Q182" s="191">
        <v>-0.75863355888275885</v>
      </c>
      <c r="R182" s="191">
        <v>0.21408134549894225</v>
      </c>
      <c r="T182" s="46">
        <v>1</v>
      </c>
      <c r="U182" s="53" t="s">
        <v>242</v>
      </c>
      <c r="V182" s="3" t="s">
        <v>543</v>
      </c>
      <c r="W182" s="47" t="s">
        <v>547</v>
      </c>
      <c r="X182" s="47" t="s">
        <v>203</v>
      </c>
      <c r="Y182" s="58">
        <v>1.00081</v>
      </c>
      <c r="Z182" s="193">
        <v>0.33138000000000001</v>
      </c>
      <c r="AB182" s="3"/>
      <c r="AC182" s="3"/>
      <c r="AD182" s="3"/>
      <c r="AE182" s="3"/>
      <c r="AF182" s="3"/>
      <c r="AG182" s="3"/>
    </row>
    <row r="183" spans="6:33">
      <c r="F183" s="370">
        <v>1</v>
      </c>
      <c r="G183" s="137" t="s">
        <v>242</v>
      </c>
      <c r="H183" s="136" t="s">
        <v>251</v>
      </c>
      <c r="I183" s="136" t="s">
        <v>547</v>
      </c>
      <c r="J183" s="136" t="s">
        <v>203</v>
      </c>
      <c r="K183" s="191">
        <v>-4.9218200000000003</v>
      </c>
      <c r="L183" s="191">
        <v>-3.5665477000000001</v>
      </c>
      <c r="M183" s="191">
        <v>-1.2190350000000001</v>
      </c>
      <c r="N183" s="191">
        <v>0</v>
      </c>
      <c r="O183" s="191">
        <v>0</v>
      </c>
      <c r="P183" s="191">
        <v>2.596217884597108E-2</v>
      </c>
      <c r="Q183" s="191">
        <v>0.20306170822316066</v>
      </c>
      <c r="R183" s="191">
        <v>0.86150913627390358</v>
      </c>
      <c r="T183" s="46">
        <v>1</v>
      </c>
      <c r="U183" s="53" t="s">
        <v>264</v>
      </c>
      <c r="V183" s="3" t="s">
        <v>544</v>
      </c>
      <c r="W183" s="47" t="s">
        <v>547</v>
      </c>
      <c r="X183" s="47" t="s">
        <v>203</v>
      </c>
      <c r="Y183" s="58">
        <v>3.0939100000000002</v>
      </c>
      <c r="Z183" s="193">
        <v>0.49807000000000001</v>
      </c>
      <c r="AB183" s="3"/>
      <c r="AC183" s="3"/>
      <c r="AD183" s="3"/>
      <c r="AE183" s="3"/>
      <c r="AF183" s="3"/>
      <c r="AG183" s="3"/>
    </row>
    <row r="184" spans="6:33">
      <c r="F184" s="370">
        <v>1</v>
      </c>
      <c r="G184" s="137" t="s">
        <v>242</v>
      </c>
      <c r="H184" s="136" t="s">
        <v>543</v>
      </c>
      <c r="I184" s="136" t="s">
        <v>547</v>
      </c>
      <c r="J184" s="136" t="s">
        <v>203</v>
      </c>
      <c r="K184" s="191">
        <v>-1.00081</v>
      </c>
      <c r="L184" s="191">
        <v>-0.72381545000000003</v>
      </c>
      <c r="M184" s="191">
        <v>-0.20626249999999999</v>
      </c>
      <c r="N184" s="191">
        <v>0</v>
      </c>
      <c r="O184" s="191">
        <v>0</v>
      </c>
      <c r="P184" s="191">
        <v>2.5860000000000001E-2</v>
      </c>
      <c r="Q184" s="191">
        <v>4.1510051336500847E-2</v>
      </c>
      <c r="R184" s="191">
        <v>4.8921913689100351E-2</v>
      </c>
      <c r="T184" s="46">
        <v>1</v>
      </c>
      <c r="U184" s="53" t="s">
        <v>237</v>
      </c>
      <c r="V184" s="3" t="s">
        <v>545</v>
      </c>
      <c r="W184" s="47" t="s">
        <v>547</v>
      </c>
      <c r="X184" s="47" t="s">
        <v>203</v>
      </c>
      <c r="Y184" s="58">
        <v>2.8533815875203707</v>
      </c>
      <c r="Z184" s="193">
        <v>1.0711602172222223</v>
      </c>
      <c r="AB184" s="3"/>
      <c r="AC184" s="3"/>
      <c r="AD184" s="3"/>
      <c r="AE184" s="3"/>
      <c r="AF184" s="3" t="s">
        <v>526</v>
      </c>
      <c r="AG184" s="83">
        <v>0.95</v>
      </c>
    </row>
    <row r="185" spans="6:33">
      <c r="F185" s="370">
        <v>1</v>
      </c>
      <c r="G185" s="137" t="s">
        <v>264</v>
      </c>
      <c r="H185" s="136" t="s">
        <v>544</v>
      </c>
      <c r="I185" s="136" t="s">
        <v>547</v>
      </c>
      <c r="J185" s="136" t="s">
        <v>203</v>
      </c>
      <c r="K185" s="191">
        <v>-3.0939100000000002</v>
      </c>
      <c r="L185" s="191">
        <v>-1.8644402423500002</v>
      </c>
      <c r="M185" s="191">
        <v>0.15112249999999994</v>
      </c>
      <c r="N185" s="191">
        <v>0</v>
      </c>
      <c r="O185" s="191">
        <v>0</v>
      </c>
      <c r="P185" s="191">
        <v>0.35464389652122053</v>
      </c>
      <c r="Q185" s="191">
        <v>-0.29018706808009498</v>
      </c>
      <c r="R185" s="191">
        <v>0.70929568017679201</v>
      </c>
      <c r="T185" s="46">
        <v>1</v>
      </c>
      <c r="U185" s="53"/>
      <c r="V185" s="47"/>
      <c r="W185" s="47" t="s">
        <v>548</v>
      </c>
      <c r="X185" s="47" t="s">
        <v>203</v>
      </c>
      <c r="Y185" s="58" t="s">
        <v>525</v>
      </c>
      <c r="Z185" s="193" t="s">
        <v>525</v>
      </c>
      <c r="AB185" s="3" t="s">
        <v>526</v>
      </c>
      <c r="AC185" s="125">
        <v>1</v>
      </c>
      <c r="AD185" s="3">
        <v>8.1306407300000008E-2</v>
      </c>
      <c r="AE185" s="3" t="s">
        <v>531</v>
      </c>
      <c r="AF185" s="3" t="s">
        <v>526</v>
      </c>
      <c r="AG185" s="83">
        <v>0.95</v>
      </c>
    </row>
    <row r="186" spans="6:33">
      <c r="F186" s="370">
        <v>1</v>
      </c>
      <c r="G186" s="137" t="s">
        <v>10157</v>
      </c>
      <c r="H186" s="136" t="s">
        <v>545</v>
      </c>
      <c r="I186" s="136" t="s">
        <v>547</v>
      </c>
      <c r="J186" s="136" t="s">
        <v>203</v>
      </c>
      <c r="K186" s="191">
        <v>-2.8533815875203707</v>
      </c>
      <c r="L186" s="191">
        <v>0</v>
      </c>
      <c r="M186" s="191">
        <v>0</v>
      </c>
      <c r="N186" s="191">
        <v>0</v>
      </c>
      <c r="O186" s="191">
        <v>0</v>
      </c>
      <c r="P186" s="191">
        <v>-0.43045193315319141</v>
      </c>
      <c r="Q186" s="191">
        <v>-0.56255922354308074</v>
      </c>
      <c r="R186" s="191">
        <v>2.7969653006563899E-2</v>
      </c>
      <c r="T186" s="46">
        <v>1</v>
      </c>
      <c r="U186" s="53"/>
      <c r="V186" s="47"/>
      <c r="W186" s="47" t="s">
        <v>548</v>
      </c>
      <c r="X186" s="47" t="s">
        <v>203</v>
      </c>
      <c r="Y186" s="58" t="s">
        <v>525</v>
      </c>
      <c r="Z186" s="193" t="s">
        <v>525</v>
      </c>
      <c r="AB186" s="3" t="s">
        <v>526</v>
      </c>
      <c r="AC186" s="125">
        <v>1</v>
      </c>
      <c r="AD186" s="3">
        <v>8.1306407300000008E-2</v>
      </c>
      <c r="AE186" s="3" t="s">
        <v>531</v>
      </c>
      <c r="AF186" s="3" t="s">
        <v>526</v>
      </c>
      <c r="AG186" s="83">
        <v>0.95</v>
      </c>
    </row>
    <row r="187" spans="6:33" ht="28.8">
      <c r="F187" s="370">
        <v>1</v>
      </c>
      <c r="G187" s="137" t="s">
        <v>10169</v>
      </c>
      <c r="H187" s="136" t="s">
        <v>10170</v>
      </c>
      <c r="I187" s="136" t="s">
        <v>547</v>
      </c>
      <c r="J187" s="136" t="s">
        <v>203</v>
      </c>
      <c r="K187" s="191">
        <v>-0.74582333333333339</v>
      </c>
      <c r="L187" s="191">
        <v>-0.58351400000000009</v>
      </c>
      <c r="M187" s="191">
        <v>0.3259926084346883</v>
      </c>
      <c r="N187" s="191">
        <v>0</v>
      </c>
      <c r="O187" s="191">
        <v>0</v>
      </c>
      <c r="P187" s="191">
        <v>0.45668176288049178</v>
      </c>
      <c r="Q187" s="191">
        <v>1.0683983533052401</v>
      </c>
      <c r="R187" s="191">
        <v>1.142290877337675</v>
      </c>
      <c r="T187" s="46">
        <v>1</v>
      </c>
      <c r="U187" s="53"/>
      <c r="V187" s="47"/>
      <c r="W187" s="47" t="s">
        <v>548</v>
      </c>
      <c r="X187" s="47" t="s">
        <v>203</v>
      </c>
      <c r="Y187" s="58" t="s">
        <v>525</v>
      </c>
      <c r="Z187" s="193" t="s">
        <v>525</v>
      </c>
      <c r="AB187" s="3" t="s">
        <v>526</v>
      </c>
      <c r="AC187" s="125">
        <v>1</v>
      </c>
      <c r="AD187" s="3">
        <v>8.1306407300000008E-2</v>
      </c>
      <c r="AE187" s="3" t="s">
        <v>531</v>
      </c>
      <c r="AF187" s="3"/>
      <c r="AG187" s="3"/>
    </row>
    <row r="188" spans="6:33" ht="28.8">
      <c r="F188" s="370">
        <v>1</v>
      </c>
      <c r="G188" s="137" t="s">
        <v>233</v>
      </c>
      <c r="H188" s="136" t="s">
        <v>10178</v>
      </c>
      <c r="I188" s="136" t="s">
        <v>548</v>
      </c>
      <c r="J188" s="136" t="s">
        <v>203</v>
      </c>
      <c r="K188" s="191">
        <v>0</v>
      </c>
      <c r="L188" s="191">
        <v>-0.13905086666666666</v>
      </c>
      <c r="M188" s="191">
        <v>0</v>
      </c>
      <c r="N188" s="191">
        <v>-1.4466149770683279</v>
      </c>
      <c r="O188" s="191">
        <v>-2.050911389892994</v>
      </c>
      <c r="P188" s="191">
        <v>-1.01413429774312</v>
      </c>
      <c r="Q188" s="191">
        <v>-0.88842844978498614</v>
      </c>
      <c r="R188" s="191">
        <v>3.3141484317552879E-2</v>
      </c>
      <c r="T188" s="46">
        <v>1</v>
      </c>
      <c r="U188" s="53"/>
      <c r="V188" s="47"/>
      <c r="W188" s="47" t="s">
        <v>548</v>
      </c>
      <c r="X188" s="47" t="s">
        <v>203</v>
      </c>
      <c r="Y188" s="58" t="s">
        <v>525</v>
      </c>
      <c r="Z188" s="193" t="s">
        <v>525</v>
      </c>
      <c r="AB188" s="3"/>
      <c r="AC188" s="3"/>
      <c r="AD188" s="3"/>
      <c r="AE188" s="3"/>
      <c r="AF188" s="3" t="s">
        <v>526</v>
      </c>
      <c r="AG188" s="83">
        <v>0.95</v>
      </c>
    </row>
    <row r="189" spans="6:33" ht="28.8">
      <c r="F189" s="370">
        <v>1</v>
      </c>
      <c r="G189" s="137" t="s">
        <v>233</v>
      </c>
      <c r="H189" s="136" t="s">
        <v>250</v>
      </c>
      <c r="I189" s="136" t="s">
        <v>548</v>
      </c>
      <c r="J189" s="136" t="s">
        <v>203</v>
      </c>
      <c r="K189" s="191">
        <v>0</v>
      </c>
      <c r="L189" s="191">
        <v>0</v>
      </c>
      <c r="M189" s="191">
        <v>0</v>
      </c>
      <c r="N189" s="191">
        <v>-1.7444670062767949</v>
      </c>
      <c r="O189" s="191">
        <v>-2.1504934128077098</v>
      </c>
      <c r="P189" s="191">
        <v>-1.0452247267483399</v>
      </c>
      <c r="Q189" s="191">
        <v>-0.95171051291483044</v>
      </c>
      <c r="R189" s="191">
        <v>2.8432474723685652E-2</v>
      </c>
      <c r="T189" s="46">
        <v>1</v>
      </c>
      <c r="U189" s="53" t="s">
        <v>330</v>
      </c>
      <c r="V189" s="47" t="s">
        <v>330</v>
      </c>
      <c r="W189" s="47" t="s">
        <v>548</v>
      </c>
      <c r="X189" s="47" t="s">
        <v>203</v>
      </c>
      <c r="Y189" s="58">
        <v>0.14119999999999999</v>
      </c>
      <c r="Z189" s="193">
        <v>0.43014000000000002</v>
      </c>
      <c r="AB189" s="3" t="s">
        <v>526</v>
      </c>
      <c r="AC189" s="125">
        <v>1</v>
      </c>
      <c r="AD189" s="3">
        <v>0</v>
      </c>
      <c r="AE189" s="3" t="s">
        <v>527</v>
      </c>
      <c r="AF189" s="3" t="s">
        <v>526</v>
      </c>
      <c r="AG189" s="83">
        <v>0.9</v>
      </c>
    </row>
    <row r="190" spans="6:33" ht="28.8">
      <c r="F190" s="370">
        <v>1</v>
      </c>
      <c r="G190" s="137" t="s">
        <v>233</v>
      </c>
      <c r="H190" s="136" t="s">
        <v>249</v>
      </c>
      <c r="I190" s="136" t="s">
        <v>548</v>
      </c>
      <c r="J190" s="136" t="s">
        <v>203</v>
      </c>
      <c r="K190" s="191">
        <v>0</v>
      </c>
      <c r="L190" s="191">
        <v>0</v>
      </c>
      <c r="M190" s="191">
        <v>0</v>
      </c>
      <c r="N190" s="191">
        <v>-0.54332995230300396</v>
      </c>
      <c r="O190" s="191">
        <v>-0.74589452034084003</v>
      </c>
      <c r="P190" s="191">
        <v>1.685362342088435E-2</v>
      </c>
      <c r="Q190" s="191">
        <v>-0.20187637501393249</v>
      </c>
      <c r="R190" s="191">
        <v>2.57536170796481E-2</v>
      </c>
      <c r="T190" s="46">
        <v>1</v>
      </c>
      <c r="U190" s="53" t="s">
        <v>330</v>
      </c>
      <c r="V190" s="47" t="s">
        <v>335</v>
      </c>
      <c r="W190" s="47" t="s">
        <v>548</v>
      </c>
      <c r="X190" s="47" t="s">
        <v>203</v>
      </c>
      <c r="Y190" s="58">
        <v>0.26272000000000001</v>
      </c>
      <c r="Z190" s="193">
        <v>0.43014000000000002</v>
      </c>
      <c r="AB190" s="3" t="s">
        <v>526</v>
      </c>
      <c r="AC190" s="125">
        <v>1</v>
      </c>
      <c r="AD190" s="3">
        <v>8.1306407300000008E-2</v>
      </c>
      <c r="AE190" s="3" t="s">
        <v>531</v>
      </c>
      <c r="AF190" s="3" t="s">
        <v>526</v>
      </c>
      <c r="AG190" s="83">
        <v>0.9</v>
      </c>
    </row>
    <row r="191" spans="6:33" ht="28.8">
      <c r="F191" s="370">
        <v>1</v>
      </c>
      <c r="G191" s="137" t="s">
        <v>233</v>
      </c>
      <c r="H191" s="136" t="s">
        <v>273</v>
      </c>
      <c r="I191" s="136" t="s">
        <v>548</v>
      </c>
      <c r="J191" s="136" t="s">
        <v>203</v>
      </c>
      <c r="K191" s="191">
        <v>0</v>
      </c>
      <c r="L191" s="191">
        <v>0</v>
      </c>
      <c r="M191" s="191">
        <v>0</v>
      </c>
      <c r="N191" s="191">
        <v>-1.6484259755872799</v>
      </c>
      <c r="O191" s="191">
        <v>-2.1010617758563699</v>
      </c>
      <c r="P191" s="191">
        <v>-0.80379438484857491</v>
      </c>
      <c r="Q191" s="191">
        <v>-0.92435102829579896</v>
      </c>
      <c r="R191" s="191">
        <v>2.7208521201325751E-2</v>
      </c>
      <c r="T191" s="46">
        <v>1</v>
      </c>
      <c r="U191" s="53" t="s">
        <v>330</v>
      </c>
      <c r="V191" s="47" t="s">
        <v>326</v>
      </c>
      <c r="W191" s="47" t="s">
        <v>548</v>
      </c>
      <c r="X191" s="47" t="s">
        <v>203</v>
      </c>
      <c r="Y191" s="58">
        <v>0.14119999999999999</v>
      </c>
      <c r="Z191" s="193">
        <v>0.43014000000000002</v>
      </c>
      <c r="AB191" s="3" t="s">
        <v>526</v>
      </c>
      <c r="AC191" s="125">
        <v>1</v>
      </c>
      <c r="AD191" s="3">
        <v>8.1306407300000008E-2</v>
      </c>
      <c r="AE191" s="3" t="s">
        <v>531</v>
      </c>
      <c r="AF191" s="3" t="s">
        <v>526</v>
      </c>
      <c r="AG191" s="83">
        <v>0.95</v>
      </c>
    </row>
    <row r="192" spans="6:33">
      <c r="F192" s="370">
        <v>1</v>
      </c>
      <c r="G192" s="137" t="s">
        <v>233</v>
      </c>
      <c r="H192" s="136" t="s">
        <v>330</v>
      </c>
      <c r="I192" s="136" t="s">
        <v>548</v>
      </c>
      <c r="J192" s="136" t="s">
        <v>203</v>
      </c>
      <c r="K192" s="191">
        <v>-0.14119999999999999</v>
      </c>
      <c r="L192" s="191">
        <v>-0.1076582</v>
      </c>
      <c r="M192" s="191">
        <v>0</v>
      </c>
      <c r="N192" s="191">
        <v>0</v>
      </c>
      <c r="O192" s="191">
        <v>0</v>
      </c>
      <c r="P192" s="191">
        <v>-1.4818190020127502</v>
      </c>
      <c r="Q192" s="191">
        <v>-1.076124196808905</v>
      </c>
      <c r="R192" s="191">
        <v>5.3036627035606604E-2</v>
      </c>
      <c r="T192" s="46">
        <v>1</v>
      </c>
      <c r="U192" s="53" t="s">
        <v>529</v>
      </c>
      <c r="V192" s="47" t="s">
        <v>529</v>
      </c>
      <c r="W192" s="47" t="s">
        <v>548</v>
      </c>
      <c r="X192" s="47" t="s">
        <v>203</v>
      </c>
      <c r="Y192" s="58">
        <v>4.72241</v>
      </c>
      <c r="Z192" s="193">
        <v>1.758</v>
      </c>
      <c r="AB192" s="3" t="s">
        <v>526</v>
      </c>
      <c r="AC192" s="125">
        <v>1</v>
      </c>
      <c r="AD192" s="3">
        <v>8.1306407300000008E-2</v>
      </c>
      <c r="AE192" s="3" t="s">
        <v>531</v>
      </c>
      <c r="AF192" s="3" t="s">
        <v>526</v>
      </c>
      <c r="AG192" s="83">
        <v>0.7</v>
      </c>
    </row>
    <row r="193" spans="6:33">
      <c r="F193" s="370">
        <v>1</v>
      </c>
      <c r="G193" s="137" t="s">
        <v>233</v>
      </c>
      <c r="H193" s="136" t="s">
        <v>335</v>
      </c>
      <c r="I193" s="136" t="s">
        <v>548</v>
      </c>
      <c r="J193" s="136" t="s">
        <v>203</v>
      </c>
      <c r="K193" s="191">
        <v>-0.26272000000000001</v>
      </c>
      <c r="L193" s="191">
        <v>-0.20183620000000002</v>
      </c>
      <c r="M193" s="191">
        <v>0</v>
      </c>
      <c r="N193" s="191">
        <v>-1.6484259755872799</v>
      </c>
      <c r="O193" s="191">
        <v>-2.6285536202300248</v>
      </c>
      <c r="P193" s="191">
        <v>-1.3854106481349699</v>
      </c>
      <c r="Q193" s="191">
        <v>-1.0882542928382248</v>
      </c>
      <c r="R193" s="191">
        <v>3.2208832932525605E-2</v>
      </c>
      <c r="T193" s="46">
        <v>1</v>
      </c>
      <c r="U193" s="53" t="s">
        <v>529</v>
      </c>
      <c r="V193" s="47" t="s">
        <v>327</v>
      </c>
      <c r="W193" s="47" t="s">
        <v>548</v>
      </c>
      <c r="X193" s="47" t="s">
        <v>203</v>
      </c>
      <c r="Y193" s="58">
        <v>0.25034000000000001</v>
      </c>
      <c r="Z193" s="193">
        <v>0.99672000000000005</v>
      </c>
      <c r="AB193" s="3" t="s">
        <v>526</v>
      </c>
      <c r="AC193" s="125">
        <v>1</v>
      </c>
      <c r="AD193" s="3">
        <v>8.1306407300000008E-2</v>
      </c>
      <c r="AE193" s="3" t="s">
        <v>531</v>
      </c>
      <c r="AF193" s="3"/>
      <c r="AG193" s="3"/>
    </row>
    <row r="194" spans="6:33">
      <c r="F194" s="370">
        <v>1</v>
      </c>
      <c r="G194" s="137" t="s">
        <v>233</v>
      </c>
      <c r="H194" s="136" t="s">
        <v>326</v>
      </c>
      <c r="I194" s="136" t="s">
        <v>548</v>
      </c>
      <c r="J194" s="136" t="s">
        <v>203</v>
      </c>
      <c r="K194" s="191">
        <v>-0.14119999999999999</v>
      </c>
      <c r="L194" s="191">
        <v>-0.1076582</v>
      </c>
      <c r="M194" s="191">
        <v>0</v>
      </c>
      <c r="N194" s="191">
        <v>-1.6484259755872799</v>
      </c>
      <c r="O194" s="191">
        <v>-2.6285536202300248</v>
      </c>
      <c r="P194" s="191">
        <v>-1.3854106481349699</v>
      </c>
      <c r="Q194" s="191">
        <v>-1.0882542928382248</v>
      </c>
      <c r="R194" s="191">
        <v>3.2208832932525605E-2</v>
      </c>
      <c r="T194" s="46">
        <v>1</v>
      </c>
      <c r="U194" s="53" t="s">
        <v>529</v>
      </c>
      <c r="V194" s="47" t="s">
        <v>331</v>
      </c>
      <c r="W194" s="47" t="s">
        <v>548</v>
      </c>
      <c r="X194" s="47" t="s">
        <v>203</v>
      </c>
      <c r="Y194" s="58">
        <v>9.1944800000000004</v>
      </c>
      <c r="Z194" s="193">
        <v>2.5192800000000002</v>
      </c>
      <c r="AB194" s="3" t="s">
        <v>526</v>
      </c>
      <c r="AC194" s="83">
        <v>0.5</v>
      </c>
      <c r="AD194" s="3">
        <v>8.1306407300000008E-2</v>
      </c>
      <c r="AE194" s="3" t="s">
        <v>531</v>
      </c>
      <c r="AF194" s="3"/>
      <c r="AG194" s="3"/>
    </row>
    <row r="195" spans="6:33">
      <c r="F195" s="370">
        <v>1</v>
      </c>
      <c r="G195" s="137" t="s">
        <v>261</v>
      </c>
      <c r="H195" s="136" t="s">
        <v>10179</v>
      </c>
      <c r="I195" s="136" t="s">
        <v>548</v>
      </c>
      <c r="J195" s="136" t="s">
        <v>203</v>
      </c>
      <c r="K195" s="191">
        <v>-4.72241</v>
      </c>
      <c r="L195" s="191">
        <v>-2.3594331999999998</v>
      </c>
      <c r="M195" s="191">
        <v>0</v>
      </c>
      <c r="N195" s="191">
        <v>-0.36339985149728427</v>
      </c>
      <c r="O195" s="191">
        <v>-0.60009626006766448</v>
      </c>
      <c r="P195" s="191">
        <v>0.133465930092207</v>
      </c>
      <c r="Q195" s="191">
        <v>-0.18625582270963725</v>
      </c>
      <c r="R195" s="191">
        <v>2.5406988283164577E-2</v>
      </c>
      <c r="T195" s="46">
        <v>1</v>
      </c>
      <c r="U195" s="53" t="s">
        <v>529</v>
      </c>
      <c r="V195" s="47" t="s">
        <v>332</v>
      </c>
      <c r="W195" s="47" t="s">
        <v>548</v>
      </c>
      <c r="X195" s="47" t="s">
        <v>203</v>
      </c>
      <c r="Y195" s="58">
        <v>2.5034000000000001</v>
      </c>
      <c r="Z195" s="193">
        <v>1.0183800000000001</v>
      </c>
      <c r="AB195" s="3"/>
      <c r="AC195" s="3"/>
      <c r="AD195" s="3"/>
      <c r="AE195" s="3"/>
      <c r="AF195" s="3"/>
      <c r="AG195" s="3"/>
    </row>
    <row r="196" spans="6:33" ht="28.8">
      <c r="F196" s="370">
        <v>1</v>
      </c>
      <c r="G196" s="137" t="s">
        <v>261</v>
      </c>
      <c r="H196" s="136" t="s">
        <v>269</v>
      </c>
      <c r="I196" s="136" t="s">
        <v>548</v>
      </c>
      <c r="J196" s="136" t="s">
        <v>203</v>
      </c>
      <c r="K196" s="191">
        <v>-0.25034000000000001</v>
      </c>
      <c r="L196" s="191">
        <v>-0.1233982</v>
      </c>
      <c r="M196" s="191">
        <v>0</v>
      </c>
      <c r="N196" s="191">
        <v>-0.30334942176462953</v>
      </c>
      <c r="O196" s="191">
        <v>-0.50938308501056051</v>
      </c>
      <c r="P196" s="191">
        <v>0.165175853618374</v>
      </c>
      <c r="Q196" s="191">
        <v>-0.12898637125575851</v>
      </c>
      <c r="R196" s="191">
        <v>2.5084838028247451E-2</v>
      </c>
      <c r="T196" s="46">
        <v>1</v>
      </c>
      <c r="U196" s="53" t="s">
        <v>252</v>
      </c>
      <c r="V196" s="47" t="s">
        <v>252</v>
      </c>
      <c r="W196" s="47" t="s">
        <v>548</v>
      </c>
      <c r="X196" s="47" t="s">
        <v>203</v>
      </c>
      <c r="Y196" s="58">
        <v>2.0953266666666663</v>
      </c>
      <c r="Z196" s="193">
        <v>1.77911</v>
      </c>
      <c r="AB196" s="3"/>
      <c r="AC196" s="3"/>
      <c r="AD196" s="3"/>
      <c r="AE196" s="3"/>
      <c r="AF196" s="3"/>
      <c r="AG196" s="3"/>
    </row>
    <row r="197" spans="6:33" ht="28.8">
      <c r="F197" s="370">
        <v>1</v>
      </c>
      <c r="G197" s="137" t="s">
        <v>261</v>
      </c>
      <c r="H197" s="136" t="s">
        <v>530</v>
      </c>
      <c r="I197" s="136" t="s">
        <v>548</v>
      </c>
      <c r="J197" s="136" t="s">
        <v>203</v>
      </c>
      <c r="K197" s="191">
        <v>-9.1944800000000004</v>
      </c>
      <c r="L197" s="191">
        <v>-4.5954682</v>
      </c>
      <c r="M197" s="191">
        <v>0</v>
      </c>
      <c r="N197" s="191">
        <v>-0.423450281229939</v>
      </c>
      <c r="O197" s="191">
        <v>-0.69080943512476845</v>
      </c>
      <c r="P197" s="191">
        <v>0.10175600656604</v>
      </c>
      <c r="Q197" s="191">
        <v>-0.24352527416351599</v>
      </c>
      <c r="R197" s="191">
        <v>2.5729138538081703E-2</v>
      </c>
      <c r="T197" s="46">
        <v>1</v>
      </c>
      <c r="U197" s="53" t="s">
        <v>252</v>
      </c>
      <c r="V197" s="47" t="s">
        <v>253</v>
      </c>
      <c r="W197" s="47" t="s">
        <v>548</v>
      </c>
      <c r="X197" s="47" t="s">
        <v>203</v>
      </c>
      <c r="Y197" s="58">
        <v>2.04928</v>
      </c>
      <c r="Z197" s="193">
        <v>1.77911</v>
      </c>
      <c r="AB197" s="3"/>
      <c r="AC197" s="3"/>
      <c r="AD197" s="3"/>
      <c r="AE197" s="3"/>
      <c r="AF197" s="3" t="s">
        <v>526</v>
      </c>
      <c r="AG197" s="83">
        <v>0.7</v>
      </c>
    </row>
    <row r="198" spans="6:33">
      <c r="F198" s="370">
        <v>1</v>
      </c>
      <c r="G198" s="137" t="s">
        <v>261</v>
      </c>
      <c r="H198" s="136" t="s">
        <v>262</v>
      </c>
      <c r="I198" s="136" t="s">
        <v>548</v>
      </c>
      <c r="J198" s="136" t="s">
        <v>203</v>
      </c>
      <c r="K198" s="191">
        <v>-2.5034000000000001</v>
      </c>
      <c r="L198" s="191">
        <v>0</v>
      </c>
      <c r="M198" s="191">
        <v>0</v>
      </c>
      <c r="N198" s="191">
        <v>-0.423450281229939</v>
      </c>
      <c r="O198" s="191">
        <v>-0.69080943512476845</v>
      </c>
      <c r="P198" s="191">
        <v>0.10175600656604</v>
      </c>
      <c r="Q198" s="191">
        <v>-0.24352527416351599</v>
      </c>
      <c r="R198" s="191">
        <v>2.5729138538081703E-2</v>
      </c>
      <c r="T198" s="46">
        <v>1</v>
      </c>
      <c r="U198" s="53" t="s">
        <v>252</v>
      </c>
      <c r="V198" s="47" t="s">
        <v>328</v>
      </c>
      <c r="W198" s="47" t="s">
        <v>548</v>
      </c>
      <c r="X198" s="47" t="s">
        <v>203</v>
      </c>
      <c r="Y198" s="58">
        <v>2.3231199999999999</v>
      </c>
      <c r="Z198" s="193">
        <v>1.77911</v>
      </c>
      <c r="AB198" s="3"/>
      <c r="AC198" s="3"/>
      <c r="AD198" s="3"/>
      <c r="AE198" s="3"/>
      <c r="AF198" s="3" t="s">
        <v>526</v>
      </c>
      <c r="AG198" s="83">
        <v>0.65</v>
      </c>
    </row>
    <row r="199" spans="6:33">
      <c r="F199" s="370">
        <v>1</v>
      </c>
      <c r="G199" s="137" t="s">
        <v>252</v>
      </c>
      <c r="H199" s="136" t="s">
        <v>10180</v>
      </c>
      <c r="I199" s="136" t="s">
        <v>548</v>
      </c>
      <c r="J199" s="136" t="s">
        <v>203</v>
      </c>
      <c r="K199" s="191">
        <v>-2.0953266666666663</v>
      </c>
      <c r="L199" s="191">
        <v>-1.5407999593666664</v>
      </c>
      <c r="M199" s="191">
        <v>-4.4029102771861357</v>
      </c>
      <c r="N199" s="191">
        <v>0</v>
      </c>
      <c r="O199" s="191">
        <v>0</v>
      </c>
      <c r="P199" s="191">
        <v>2.602959882319645E-2</v>
      </c>
      <c r="Q199" s="191">
        <v>0.55868496079411156</v>
      </c>
      <c r="R199" s="191">
        <v>2.18702540347368</v>
      </c>
      <c r="T199" s="46">
        <v>1</v>
      </c>
      <c r="U199" s="53" t="s">
        <v>252</v>
      </c>
      <c r="V199" s="47" t="s">
        <v>254</v>
      </c>
      <c r="W199" s="47" t="s">
        <v>548</v>
      </c>
      <c r="X199" s="47" t="s">
        <v>203</v>
      </c>
      <c r="Y199" s="58">
        <v>2.1485799999999999</v>
      </c>
      <c r="Z199" s="193">
        <v>1.77911</v>
      </c>
      <c r="AB199" s="3"/>
      <c r="AC199" s="3"/>
      <c r="AD199" s="3"/>
      <c r="AE199" s="3"/>
      <c r="AF199" s="3"/>
      <c r="AG199" s="3"/>
    </row>
    <row r="200" spans="6:33" ht="57.6">
      <c r="F200" s="370">
        <v>1</v>
      </c>
      <c r="G200" s="137" t="s">
        <v>252</v>
      </c>
      <c r="H200" s="136" t="s">
        <v>10163</v>
      </c>
      <c r="I200" s="136" t="s">
        <v>548</v>
      </c>
      <c r="J200" s="136" t="s">
        <v>203</v>
      </c>
      <c r="K200" s="191">
        <v>-2.04928</v>
      </c>
      <c r="L200" s="191">
        <v>0</v>
      </c>
      <c r="M200" s="191">
        <v>-3.8546074500389462</v>
      </c>
      <c r="N200" s="191">
        <v>0</v>
      </c>
      <c r="O200" s="191">
        <v>0</v>
      </c>
      <c r="P200" s="191">
        <v>2.6029595842242199E-2</v>
      </c>
      <c r="Q200" s="191">
        <v>0.37355368910860748</v>
      </c>
      <c r="R200" s="191">
        <v>3.1831778120059999</v>
      </c>
      <c r="T200" s="46">
        <v>1</v>
      </c>
      <c r="U200" s="53" t="s">
        <v>252</v>
      </c>
      <c r="V200" s="47" t="s">
        <v>532</v>
      </c>
      <c r="W200" s="47" t="s">
        <v>548</v>
      </c>
      <c r="X200" s="47" t="s">
        <v>203</v>
      </c>
      <c r="Y200" s="58">
        <v>1.9492499999999999</v>
      </c>
      <c r="Z200" s="193">
        <v>1.77911</v>
      </c>
      <c r="AB200" s="3"/>
      <c r="AC200" s="3"/>
      <c r="AD200" s="3"/>
      <c r="AE200" s="3"/>
      <c r="AF200" s="3"/>
      <c r="AG200" s="3"/>
    </row>
    <row r="201" spans="6:33" ht="28.8">
      <c r="F201" s="370">
        <v>1</v>
      </c>
      <c r="G201" s="137" t="s">
        <v>252</v>
      </c>
      <c r="H201" s="136" t="s">
        <v>10164</v>
      </c>
      <c r="I201" s="136" t="s">
        <v>548</v>
      </c>
      <c r="J201" s="136" t="s">
        <v>203</v>
      </c>
      <c r="K201" s="191">
        <v>-2.3231199999999999</v>
      </c>
      <c r="L201" s="191">
        <v>0</v>
      </c>
      <c r="M201" s="191">
        <v>-4.5599139993352242</v>
      </c>
      <c r="N201" s="191">
        <v>0</v>
      </c>
      <c r="O201" s="191">
        <v>0</v>
      </c>
      <c r="P201" s="191">
        <v>2.6029596634248302E-2</v>
      </c>
      <c r="Q201" s="191">
        <v>0.44881817096995547</v>
      </c>
      <c r="R201" s="191">
        <v>2.49560853790079</v>
      </c>
      <c r="T201" s="46">
        <v>1</v>
      </c>
      <c r="U201" s="53" t="s">
        <v>252</v>
      </c>
      <c r="V201" s="47" t="s">
        <v>245</v>
      </c>
      <c r="W201" s="47" t="s">
        <v>548</v>
      </c>
      <c r="X201" s="47" t="s">
        <v>203</v>
      </c>
      <c r="Y201" s="58">
        <v>2.0269300000000001</v>
      </c>
      <c r="Z201" s="193">
        <v>1.77911</v>
      </c>
      <c r="AB201" s="3" t="s">
        <v>526</v>
      </c>
      <c r="AC201" s="125">
        <v>0.64600000000000002</v>
      </c>
      <c r="AD201" s="3">
        <v>0</v>
      </c>
      <c r="AE201" s="3"/>
      <c r="AF201" s="3"/>
      <c r="AG201" s="3"/>
    </row>
    <row r="202" spans="6:33" ht="28.8">
      <c r="F202" s="370">
        <v>1</v>
      </c>
      <c r="G202" s="137" t="s">
        <v>252</v>
      </c>
      <c r="H202" s="136" t="s">
        <v>10165</v>
      </c>
      <c r="I202" s="136" t="s">
        <v>548</v>
      </c>
      <c r="J202" s="136" t="s">
        <v>203</v>
      </c>
      <c r="K202" s="191">
        <v>-2.1485799999999999</v>
      </c>
      <c r="L202" s="191">
        <v>0</v>
      </c>
      <c r="M202" s="191">
        <v>-4.6372056600351463</v>
      </c>
      <c r="N202" s="191">
        <v>0</v>
      </c>
      <c r="O202" s="191">
        <v>0</v>
      </c>
      <c r="P202" s="191">
        <v>2.6029595842242251E-2</v>
      </c>
      <c r="Q202" s="191">
        <v>0.61604196009701906</v>
      </c>
      <c r="R202" s="191">
        <v>2.5363327632831649</v>
      </c>
      <c r="T202" s="46">
        <v>1</v>
      </c>
      <c r="U202" s="53" t="s">
        <v>252</v>
      </c>
      <c r="V202" s="47" t="s">
        <v>533</v>
      </c>
      <c r="W202" s="47" t="s">
        <v>548</v>
      </c>
      <c r="X202" s="47" t="s">
        <v>203</v>
      </c>
      <c r="Y202" s="58">
        <v>2.0748000000000002</v>
      </c>
      <c r="Z202" s="193">
        <v>1.77911</v>
      </c>
      <c r="AB202" s="3" t="s">
        <v>526</v>
      </c>
      <c r="AC202" s="125">
        <v>0.72499999999999998</v>
      </c>
      <c r="AD202" s="3">
        <v>0</v>
      </c>
      <c r="AE202" s="3"/>
      <c r="AF202" s="3"/>
      <c r="AG202" s="3"/>
    </row>
    <row r="203" spans="6:33" ht="28.8">
      <c r="F203" s="370">
        <v>1</v>
      </c>
      <c r="G203" s="137" t="s">
        <v>252</v>
      </c>
      <c r="H203" s="136" t="s">
        <v>10166</v>
      </c>
      <c r="I203" s="136" t="s">
        <v>548</v>
      </c>
      <c r="J203" s="136" t="s">
        <v>203</v>
      </c>
      <c r="K203" s="191">
        <v>-1.9492499999999999</v>
      </c>
      <c r="L203" s="191">
        <v>0</v>
      </c>
      <c r="M203" s="191">
        <v>-4.5599139993352242</v>
      </c>
      <c r="N203" s="191">
        <v>0</v>
      </c>
      <c r="O203" s="191">
        <v>0</v>
      </c>
      <c r="P203" s="191">
        <v>2.6029596634248302E-2</v>
      </c>
      <c r="Q203" s="191">
        <v>0.44881817096995547</v>
      </c>
      <c r="R203" s="191">
        <v>2.49560853790079</v>
      </c>
      <c r="T203" s="46">
        <v>1</v>
      </c>
      <c r="U203" s="53" t="s">
        <v>242</v>
      </c>
      <c r="V203" s="47" t="s">
        <v>242</v>
      </c>
      <c r="W203" s="47" t="s">
        <v>548</v>
      </c>
      <c r="X203" s="47" t="s">
        <v>203</v>
      </c>
      <c r="Y203" s="58">
        <v>38.486130000000003</v>
      </c>
      <c r="Z203" s="193">
        <v>0.20843</v>
      </c>
      <c r="AB203" s="3" t="s">
        <v>526</v>
      </c>
      <c r="AC203" s="125">
        <v>0.64600000000000002</v>
      </c>
      <c r="AD203" s="3">
        <v>0</v>
      </c>
      <c r="AE203" s="3"/>
      <c r="AF203" s="3" t="s">
        <v>526</v>
      </c>
      <c r="AG203" s="83">
        <v>0.5</v>
      </c>
    </row>
    <row r="204" spans="6:33">
      <c r="F204" s="370">
        <v>1</v>
      </c>
      <c r="G204" s="137" t="s">
        <v>252</v>
      </c>
      <c r="H204" s="136" t="s">
        <v>10167</v>
      </c>
      <c r="I204" s="136" t="s">
        <v>548</v>
      </c>
      <c r="J204" s="136" t="s">
        <v>203</v>
      </c>
      <c r="K204" s="191">
        <v>-2.0269300000000001</v>
      </c>
      <c r="L204" s="191">
        <v>0</v>
      </c>
      <c r="M204" s="191">
        <v>0</v>
      </c>
      <c r="N204" s="191">
        <v>0</v>
      </c>
      <c r="O204" s="191">
        <v>0</v>
      </c>
      <c r="P204" s="191">
        <v>2.6029596751589598E-2</v>
      </c>
      <c r="Q204" s="191">
        <v>0.32623207954830602</v>
      </c>
      <c r="R204" s="191">
        <v>3.183367121908105</v>
      </c>
      <c r="T204" s="46">
        <v>1</v>
      </c>
      <c r="U204" s="53" t="s">
        <v>242</v>
      </c>
      <c r="V204" s="47" t="s">
        <v>242</v>
      </c>
      <c r="W204" s="47" t="s">
        <v>548</v>
      </c>
      <c r="X204" s="47" t="s">
        <v>203</v>
      </c>
      <c r="Y204" s="58">
        <v>38.486130000000003</v>
      </c>
      <c r="Z204" s="193">
        <v>0.20843</v>
      </c>
      <c r="AB204" s="3" t="s">
        <v>526</v>
      </c>
      <c r="AC204" s="125">
        <v>0.72499999999999998</v>
      </c>
      <c r="AD204" s="3">
        <v>0.14482945764999999</v>
      </c>
      <c r="AE204" s="3" t="s">
        <v>541</v>
      </c>
      <c r="AF204" s="3"/>
      <c r="AG204" s="3"/>
    </row>
    <row r="205" spans="6:33">
      <c r="F205" s="370">
        <v>1</v>
      </c>
      <c r="G205" s="137" t="s">
        <v>252</v>
      </c>
      <c r="H205" s="136" t="s">
        <v>10168</v>
      </c>
      <c r="I205" s="136" t="s">
        <v>548</v>
      </c>
      <c r="J205" s="136" t="s">
        <v>203</v>
      </c>
      <c r="K205" s="191">
        <v>-2.0748000000000002</v>
      </c>
      <c r="L205" s="191">
        <v>0</v>
      </c>
      <c r="M205" s="191">
        <v>0</v>
      </c>
      <c r="N205" s="191">
        <v>0</v>
      </c>
      <c r="O205" s="191">
        <v>0</v>
      </c>
      <c r="P205" s="191">
        <v>2.6029591611187401E-2</v>
      </c>
      <c r="Q205" s="191">
        <v>0.53952750959870199</v>
      </c>
      <c r="R205" s="191">
        <v>3.0368309109799752</v>
      </c>
      <c r="T205" s="46">
        <v>1</v>
      </c>
      <c r="U205" s="53" t="s">
        <v>242</v>
      </c>
      <c r="V205" s="47" t="s">
        <v>534</v>
      </c>
      <c r="W205" s="47" t="s">
        <v>548</v>
      </c>
      <c r="X205" s="47" t="s">
        <v>203</v>
      </c>
      <c r="Y205" s="58">
        <v>15.0122</v>
      </c>
      <c r="Z205" s="193">
        <v>0.37092000000000003</v>
      </c>
      <c r="AB205" s="3"/>
      <c r="AC205" s="3"/>
      <c r="AD205" s="3"/>
      <c r="AE205" s="3"/>
      <c r="AF205" s="3"/>
      <c r="AG205" s="3"/>
    </row>
    <row r="206" spans="6:33">
      <c r="F206" s="370">
        <v>1</v>
      </c>
      <c r="G206" s="137" t="s">
        <v>242</v>
      </c>
      <c r="H206" s="136" t="s">
        <v>10181</v>
      </c>
      <c r="I206" s="136" t="s">
        <v>548</v>
      </c>
      <c r="J206" s="136" t="s">
        <v>203</v>
      </c>
      <c r="K206" s="191">
        <v>-38.486130000000003</v>
      </c>
      <c r="L206" s="191">
        <v>-27.900672450000002</v>
      </c>
      <c r="M206" s="191">
        <v>-3.2868550000000001</v>
      </c>
      <c r="N206" s="191">
        <v>0</v>
      </c>
      <c r="O206" s="191">
        <v>0</v>
      </c>
      <c r="P206" s="191">
        <v>2.5860000000000001E-2</v>
      </c>
      <c r="Q206" s="191">
        <v>4.149464191173885E-2</v>
      </c>
      <c r="R206" s="191">
        <v>4.8921198460972599E-2</v>
      </c>
      <c r="T206" s="46">
        <v>1</v>
      </c>
      <c r="U206" s="53" t="s">
        <v>239</v>
      </c>
      <c r="V206" s="47" t="s">
        <v>239</v>
      </c>
      <c r="W206" s="47" t="s">
        <v>548</v>
      </c>
      <c r="X206" s="47" t="s">
        <v>203</v>
      </c>
      <c r="Y206" s="58">
        <v>2.6644477777777777</v>
      </c>
      <c r="Z206" s="193">
        <v>0.64099666666666666</v>
      </c>
      <c r="AB206" s="3"/>
      <c r="AC206" s="3"/>
      <c r="AD206" s="3"/>
      <c r="AE206" s="3"/>
      <c r="AF206" s="3"/>
      <c r="AG206" s="3"/>
    </row>
    <row r="207" spans="6:33">
      <c r="F207" s="370">
        <v>1</v>
      </c>
      <c r="G207" s="137" t="s">
        <v>242</v>
      </c>
      <c r="H207" s="136" t="s">
        <v>274</v>
      </c>
      <c r="I207" s="136" t="s">
        <v>548</v>
      </c>
      <c r="J207" s="136" t="s">
        <v>203</v>
      </c>
      <c r="K207" s="191">
        <v>-38.486130000000003</v>
      </c>
      <c r="L207" s="191">
        <v>-27.900672450000002</v>
      </c>
      <c r="M207" s="191">
        <v>-8.5278425000000002</v>
      </c>
      <c r="N207" s="191">
        <v>0</v>
      </c>
      <c r="O207" s="191">
        <v>0</v>
      </c>
      <c r="P207" s="191">
        <v>2.5860000000000001E-2</v>
      </c>
      <c r="Q207" s="191">
        <v>4.149464191173885E-2</v>
      </c>
      <c r="R207" s="191">
        <v>4.8921198460972599E-2</v>
      </c>
      <c r="T207" s="46">
        <v>1</v>
      </c>
      <c r="U207" s="53" t="s">
        <v>239</v>
      </c>
      <c r="V207" s="47" t="s">
        <v>324</v>
      </c>
      <c r="W207" s="47" t="s">
        <v>548</v>
      </c>
      <c r="X207" s="47" t="s">
        <v>203</v>
      </c>
      <c r="Y207" s="58">
        <v>1.66</v>
      </c>
      <c r="Z207" s="193">
        <v>0.13142999999999999</v>
      </c>
      <c r="AB207" s="3"/>
      <c r="AC207" s="3"/>
      <c r="AD207" s="3"/>
      <c r="AE207" s="3"/>
      <c r="AF207" s="3"/>
      <c r="AG207" s="3"/>
    </row>
    <row r="208" spans="6:33">
      <c r="F208" s="370">
        <v>1</v>
      </c>
      <c r="G208" s="137" t="s">
        <v>242</v>
      </c>
      <c r="H208" s="136" t="s">
        <v>534</v>
      </c>
      <c r="I208" s="136" t="s">
        <v>548</v>
      </c>
      <c r="J208" s="136" t="s">
        <v>203</v>
      </c>
      <c r="K208" s="191">
        <v>-15.0122</v>
      </c>
      <c r="L208" s="191">
        <v>-10.882073199999999</v>
      </c>
      <c r="M208" s="191">
        <v>-3.19428</v>
      </c>
      <c r="N208" s="191">
        <v>0</v>
      </c>
      <c r="O208" s="191">
        <v>0</v>
      </c>
      <c r="P208" s="191">
        <v>2.5860000000000001E-2</v>
      </c>
      <c r="Q208" s="191">
        <v>4.149464191173885E-2</v>
      </c>
      <c r="R208" s="191">
        <v>4.8921198460972599E-2</v>
      </c>
      <c r="T208" s="46">
        <v>1</v>
      </c>
      <c r="U208" s="53" t="s">
        <v>239</v>
      </c>
      <c r="V208" s="47" t="s">
        <v>272</v>
      </c>
      <c r="W208" s="47" t="s">
        <v>548</v>
      </c>
      <c r="X208" s="47" t="s">
        <v>203</v>
      </c>
      <c r="Y208" s="58">
        <v>2.1278299999999999</v>
      </c>
      <c r="Z208" s="193">
        <v>1.2152400000000001</v>
      </c>
      <c r="AB208" s="3" t="s">
        <v>526</v>
      </c>
      <c r="AC208" s="125">
        <v>0.77500000000000002</v>
      </c>
      <c r="AD208" s="3">
        <v>0</v>
      </c>
      <c r="AE208" s="3" t="s">
        <v>527</v>
      </c>
      <c r="AF208" s="3"/>
      <c r="AG208" s="3"/>
    </row>
    <row r="209" spans="6:33">
      <c r="F209" s="370">
        <v>1</v>
      </c>
      <c r="G209" s="137" t="s">
        <v>239</v>
      </c>
      <c r="H209" s="136" t="s">
        <v>10182</v>
      </c>
      <c r="I209" s="136" t="s">
        <v>548</v>
      </c>
      <c r="J209" s="136" t="s">
        <v>203</v>
      </c>
      <c r="K209" s="191">
        <v>-2.6644477777777777</v>
      </c>
      <c r="L209" s="191">
        <v>-1.7194614644444446</v>
      </c>
      <c r="M209" s="191">
        <v>-0.85833004785491607</v>
      </c>
      <c r="N209" s="191">
        <v>-1.6414671197248598</v>
      </c>
      <c r="O209" s="191">
        <v>-2.3925339273081798</v>
      </c>
      <c r="P209" s="191">
        <v>-0.65837821830812748</v>
      </c>
      <c r="Q209" s="191">
        <v>-0.87839925196487956</v>
      </c>
      <c r="R209" s="191">
        <v>2.747212960518635E-2</v>
      </c>
      <c r="T209" s="46">
        <v>1</v>
      </c>
      <c r="U209" s="53" t="s">
        <v>239</v>
      </c>
      <c r="V209" s="47" t="s">
        <v>329</v>
      </c>
      <c r="W209" s="47" t="s">
        <v>548</v>
      </c>
      <c r="X209" s="47" t="s">
        <v>203</v>
      </c>
      <c r="Y209" s="58">
        <v>3.4792200000000002</v>
      </c>
      <c r="Z209" s="193">
        <v>1.0383</v>
      </c>
      <c r="AB209" s="3" t="s">
        <v>526</v>
      </c>
      <c r="AC209" s="125">
        <v>0.77500000000000002</v>
      </c>
      <c r="AD209" s="3">
        <v>0</v>
      </c>
      <c r="AE209" s="3" t="s">
        <v>527</v>
      </c>
      <c r="AF209" s="3"/>
      <c r="AG209" s="3"/>
    </row>
    <row r="210" spans="6:33">
      <c r="F210" s="370">
        <v>1</v>
      </c>
      <c r="G210" s="137" t="s">
        <v>239</v>
      </c>
      <c r="H210" s="136" t="s">
        <v>324</v>
      </c>
      <c r="I210" s="136" t="s">
        <v>548</v>
      </c>
      <c r="J210" s="136" t="s">
        <v>203</v>
      </c>
      <c r="K210" s="191">
        <v>-1.66</v>
      </c>
      <c r="L210" s="191">
        <v>0</v>
      </c>
      <c r="M210" s="191">
        <v>0.18949360935366541</v>
      </c>
      <c r="N210" s="191">
        <v>-1.652022815953095</v>
      </c>
      <c r="O210" s="191">
        <v>-2.24332977082106</v>
      </c>
      <c r="P210" s="191">
        <v>-1.1351931530606949</v>
      </c>
      <c r="Q210" s="191">
        <v>-0.95498670625346649</v>
      </c>
      <c r="R210" s="191">
        <v>2.6682714417182649E-2</v>
      </c>
      <c r="T210" s="46">
        <v>1</v>
      </c>
      <c r="U210" s="53" t="s">
        <v>239</v>
      </c>
      <c r="V210" s="47" t="s">
        <v>271</v>
      </c>
      <c r="W210" s="47" t="s">
        <v>548</v>
      </c>
      <c r="X210" s="47" t="s">
        <v>203</v>
      </c>
      <c r="Y210" s="58">
        <v>3.1045600000000002</v>
      </c>
      <c r="Z210" s="193">
        <v>0.12864</v>
      </c>
      <c r="AB210" s="3" t="s">
        <v>526</v>
      </c>
      <c r="AC210" s="125">
        <v>0.77500000000000002</v>
      </c>
      <c r="AD210" s="3">
        <v>0</v>
      </c>
      <c r="AE210" s="3" t="s">
        <v>527</v>
      </c>
      <c r="AF210" s="3"/>
      <c r="AG210" s="3"/>
    </row>
    <row r="211" spans="6:33">
      <c r="F211" s="370">
        <v>1</v>
      </c>
      <c r="G211" s="137" t="s">
        <v>239</v>
      </c>
      <c r="H211" s="136" t="s">
        <v>272</v>
      </c>
      <c r="I211" s="136" t="s">
        <v>548</v>
      </c>
      <c r="J211" s="136" t="s">
        <v>203</v>
      </c>
      <c r="K211" s="191">
        <v>-2.1278299999999999</v>
      </c>
      <c r="L211" s="191">
        <v>-1.3728063799999999</v>
      </c>
      <c r="M211" s="191">
        <v>6.7149033296869348E-4</v>
      </c>
      <c r="N211" s="191">
        <v>-1.4788706992459</v>
      </c>
      <c r="O211" s="191">
        <v>-2.2546356859584602</v>
      </c>
      <c r="P211" s="191">
        <v>2.8719999999999999E-2</v>
      </c>
      <c r="Q211" s="191">
        <v>-0.75102742563179503</v>
      </c>
      <c r="R211" s="191">
        <v>3.458579173223085E-2</v>
      </c>
      <c r="T211" s="46">
        <v>1</v>
      </c>
      <c r="U211" s="53" t="s">
        <v>239</v>
      </c>
      <c r="V211" s="47" t="s">
        <v>535</v>
      </c>
      <c r="W211" s="47" t="s">
        <v>548</v>
      </c>
      <c r="X211" s="47" t="s">
        <v>203</v>
      </c>
      <c r="Y211" s="58">
        <v>3.1045600000000002</v>
      </c>
      <c r="Z211" s="193">
        <v>0.12864</v>
      </c>
      <c r="AB211" s="3" t="s">
        <v>526</v>
      </c>
      <c r="AC211" s="83">
        <v>0.5</v>
      </c>
      <c r="AD211" s="3">
        <v>0</v>
      </c>
      <c r="AE211" s="3" t="s">
        <v>528</v>
      </c>
      <c r="AF211" s="3"/>
      <c r="AG211" s="3"/>
    </row>
    <row r="212" spans="6:33">
      <c r="F212" s="370">
        <v>1</v>
      </c>
      <c r="G212" s="137" t="s">
        <v>239</v>
      </c>
      <c r="H212" s="136" t="s">
        <v>329</v>
      </c>
      <c r="I212" s="136" t="s">
        <v>548</v>
      </c>
      <c r="J212" s="136" t="s">
        <v>203</v>
      </c>
      <c r="K212" s="191">
        <v>-3.4792200000000002</v>
      </c>
      <c r="L212" s="191">
        <v>0</v>
      </c>
      <c r="M212" s="191">
        <v>-3.0322928974139289</v>
      </c>
      <c r="N212" s="191">
        <v>-1.6014919536148251</v>
      </c>
      <c r="O212" s="191">
        <v>-2.50669558445095</v>
      </c>
      <c r="P212" s="191">
        <v>0.43400677480849797</v>
      </c>
      <c r="Q212" s="191">
        <v>-0.75382492684581703</v>
      </c>
      <c r="R212" s="191">
        <v>3.7249157720338544E-2</v>
      </c>
      <c r="T212" s="46">
        <v>1</v>
      </c>
      <c r="U212" s="53" t="s">
        <v>239</v>
      </c>
      <c r="V212" s="47" t="s">
        <v>259</v>
      </c>
      <c r="W212" s="47" t="s">
        <v>548</v>
      </c>
      <c r="X212" s="47" t="s">
        <v>203</v>
      </c>
      <c r="Y212" s="58">
        <v>2.86965</v>
      </c>
      <c r="Z212" s="193">
        <v>0.79600000000000004</v>
      </c>
      <c r="AB212" s="3" t="s">
        <v>526</v>
      </c>
      <c r="AC212" s="83">
        <v>0.5</v>
      </c>
      <c r="AD212" s="3">
        <v>0</v>
      </c>
      <c r="AE212" s="3" t="s">
        <v>528</v>
      </c>
      <c r="AF212" s="3"/>
      <c r="AG212" s="3"/>
    </row>
    <row r="213" spans="6:33">
      <c r="F213" s="370">
        <v>1</v>
      </c>
      <c r="G213" s="137" t="s">
        <v>239</v>
      </c>
      <c r="H213" s="136" t="s">
        <v>271</v>
      </c>
      <c r="I213" s="136" t="s">
        <v>548</v>
      </c>
      <c r="J213" s="136" t="s">
        <v>203</v>
      </c>
      <c r="K213" s="191">
        <v>-3.1045600000000002</v>
      </c>
      <c r="L213" s="191">
        <v>0</v>
      </c>
      <c r="M213" s="191">
        <v>-0.96562130383678069</v>
      </c>
      <c r="N213" s="191">
        <v>-1.5168029177773601</v>
      </c>
      <c r="O213" s="191">
        <v>-2.6021854361733499</v>
      </c>
      <c r="P213" s="191">
        <v>-0.66754541152750402</v>
      </c>
      <c r="Q213" s="191">
        <v>-0.71819461484389702</v>
      </c>
      <c r="R213" s="191">
        <v>4.0394810627093151E-2</v>
      </c>
      <c r="T213" s="46">
        <v>1</v>
      </c>
      <c r="U213" s="53" t="s">
        <v>239</v>
      </c>
      <c r="V213" s="47" t="s">
        <v>334</v>
      </c>
      <c r="W213" s="47" t="s">
        <v>548</v>
      </c>
      <c r="X213" s="47" t="s">
        <v>203</v>
      </c>
      <c r="Y213" s="58">
        <v>2.86965</v>
      </c>
      <c r="Z213" s="193">
        <v>0.76736000000000004</v>
      </c>
      <c r="AB213" s="3"/>
      <c r="AC213" s="3"/>
      <c r="AD213" s="3"/>
      <c r="AE213" s="3"/>
      <c r="AF213" s="3"/>
      <c r="AG213" s="3"/>
    </row>
    <row r="214" spans="6:33">
      <c r="F214" s="370">
        <v>1</v>
      </c>
      <c r="G214" s="137" t="s">
        <v>239</v>
      </c>
      <c r="H214" s="136" t="s">
        <v>535</v>
      </c>
      <c r="I214" s="136" t="s">
        <v>548</v>
      </c>
      <c r="J214" s="136" t="s">
        <v>203</v>
      </c>
      <c r="K214" s="191">
        <v>-3.1045600000000002</v>
      </c>
      <c r="L214" s="191">
        <v>0</v>
      </c>
      <c r="M214" s="191">
        <v>-0.96562130383678069</v>
      </c>
      <c r="N214" s="191">
        <v>-1.6254451797332852</v>
      </c>
      <c r="O214" s="191">
        <v>-2.6091905320718602</v>
      </c>
      <c r="P214" s="191">
        <v>-0.86487022690543491</v>
      </c>
      <c r="Q214" s="191">
        <v>-0.79954051378057045</v>
      </c>
      <c r="R214" s="191">
        <v>2.9213880813235199E-2</v>
      </c>
      <c r="T214" s="46">
        <v>1</v>
      </c>
      <c r="U214" s="53" t="s">
        <v>239</v>
      </c>
      <c r="V214" s="47" t="s">
        <v>240</v>
      </c>
      <c r="W214" s="47" t="s">
        <v>548</v>
      </c>
      <c r="X214" s="47" t="s">
        <v>203</v>
      </c>
      <c r="Y214" s="58">
        <v>3.1045600000000002</v>
      </c>
      <c r="Z214" s="193">
        <v>0.76736000000000004</v>
      </c>
      <c r="AB214" s="3" t="s">
        <v>526</v>
      </c>
      <c r="AC214" s="125">
        <v>0.77500000000000002</v>
      </c>
      <c r="AD214" s="3">
        <v>8.1306407300000008E-2</v>
      </c>
      <c r="AE214" s="3" t="s">
        <v>531</v>
      </c>
      <c r="AF214" s="3" t="s">
        <v>526</v>
      </c>
      <c r="AG214" s="83">
        <v>0.85</v>
      </c>
    </row>
    <row r="215" spans="6:33" ht="28.8">
      <c r="F215" s="370">
        <v>1</v>
      </c>
      <c r="G215" s="137" t="s">
        <v>239</v>
      </c>
      <c r="H215" s="136" t="s">
        <v>259</v>
      </c>
      <c r="I215" s="136" t="s">
        <v>548</v>
      </c>
      <c r="J215" s="136" t="s">
        <v>203</v>
      </c>
      <c r="K215" s="191">
        <v>-2.86965</v>
      </c>
      <c r="L215" s="191">
        <v>0</v>
      </c>
      <c r="M215" s="191">
        <v>-0.96562130383678069</v>
      </c>
      <c r="N215" s="191">
        <v>-1.340428401135765</v>
      </c>
      <c r="O215" s="191">
        <v>-2.026024899441615</v>
      </c>
      <c r="P215" s="191">
        <v>-0.3763094184737435</v>
      </c>
      <c r="Q215" s="191">
        <v>-0.65126541493596546</v>
      </c>
      <c r="R215" s="191">
        <v>2.8421492578545551E-2</v>
      </c>
      <c r="T215" s="46">
        <v>1</v>
      </c>
      <c r="U215" s="53" t="s">
        <v>239</v>
      </c>
      <c r="V215" s="47" t="s">
        <v>325</v>
      </c>
      <c r="W215" s="47" t="s">
        <v>548</v>
      </c>
      <c r="X215" s="47" t="s">
        <v>203</v>
      </c>
      <c r="Y215" s="58">
        <v>1.66</v>
      </c>
      <c r="Z215" s="193">
        <v>0.79600000000000004</v>
      </c>
      <c r="AB215" s="3" t="s">
        <v>526</v>
      </c>
      <c r="AC215" s="125">
        <v>0.77500000000000002</v>
      </c>
      <c r="AD215" s="3">
        <v>8.1306407300000008E-2</v>
      </c>
      <c r="AE215" s="3" t="s">
        <v>531</v>
      </c>
      <c r="AF215" s="3" t="s">
        <v>526</v>
      </c>
      <c r="AG215" s="83">
        <v>0.7</v>
      </c>
    </row>
    <row r="216" spans="6:33">
      <c r="F216" s="370">
        <v>1</v>
      </c>
      <c r="G216" s="137" t="s">
        <v>239</v>
      </c>
      <c r="H216" s="136" t="s">
        <v>334</v>
      </c>
      <c r="I216" s="136" t="s">
        <v>548</v>
      </c>
      <c r="J216" s="136" t="s">
        <v>203</v>
      </c>
      <c r="K216" s="191">
        <v>-2.86965</v>
      </c>
      <c r="L216" s="191">
        <v>0</v>
      </c>
      <c r="M216" s="191">
        <v>-0.96562130383678069</v>
      </c>
      <c r="N216" s="191">
        <v>-1.7509378089722198</v>
      </c>
      <c r="O216" s="191">
        <v>-2.4932375866024952</v>
      </c>
      <c r="P216" s="191">
        <v>-0.31851076261191252</v>
      </c>
      <c r="Q216" s="191">
        <v>-0.95080564810270896</v>
      </c>
      <c r="R216" s="191">
        <v>2.638990961429585E-2</v>
      </c>
      <c r="T216" s="46">
        <v>1</v>
      </c>
      <c r="U216" s="53" t="s">
        <v>256</v>
      </c>
      <c r="V216" s="47" t="s">
        <v>256</v>
      </c>
      <c r="W216" s="47" t="s">
        <v>548</v>
      </c>
      <c r="X216" s="47" t="s">
        <v>203</v>
      </c>
      <c r="Y216" s="58">
        <v>3.3097799999999999</v>
      </c>
      <c r="Z216" s="193">
        <v>1.0068550000000001</v>
      </c>
      <c r="AB216" s="3"/>
      <c r="AC216" s="3"/>
      <c r="AD216" s="3"/>
      <c r="AE216" s="3"/>
      <c r="AF216" s="3" t="s">
        <v>526</v>
      </c>
      <c r="AG216" s="83">
        <v>0.8</v>
      </c>
    </row>
    <row r="217" spans="6:33">
      <c r="F217" s="370">
        <v>1</v>
      </c>
      <c r="G217" s="137" t="s">
        <v>239</v>
      </c>
      <c r="H217" s="136" t="s">
        <v>240</v>
      </c>
      <c r="I217" s="136" t="s">
        <v>548</v>
      </c>
      <c r="J217" s="136" t="s">
        <v>203</v>
      </c>
      <c r="K217" s="191">
        <v>-3.1045600000000002</v>
      </c>
      <c r="L217" s="191">
        <v>0</v>
      </c>
      <c r="M217" s="191">
        <v>0</v>
      </c>
      <c r="N217" s="191">
        <v>-1.7796941515749749</v>
      </c>
      <c r="O217" s="191">
        <v>-2.5729221856354401</v>
      </c>
      <c r="P217" s="191">
        <v>-0.69806900684888995</v>
      </c>
      <c r="Q217" s="191">
        <v>0.4139115868024455</v>
      </c>
      <c r="R217" s="191">
        <v>2.36701281892993</v>
      </c>
      <c r="T217" s="46">
        <v>1</v>
      </c>
      <c r="U217" s="53" t="s">
        <v>256</v>
      </c>
      <c r="V217" s="47" t="s">
        <v>536</v>
      </c>
      <c r="W217" s="47" t="s">
        <v>548</v>
      </c>
      <c r="X217" s="47" t="s">
        <v>203</v>
      </c>
      <c r="Y217" s="58">
        <v>1.9798800000000001</v>
      </c>
      <c r="Z217" s="193">
        <v>0.72957000000000005</v>
      </c>
      <c r="AB217" s="3" t="s">
        <v>526</v>
      </c>
      <c r="AC217" s="125">
        <v>0.77500000000000002</v>
      </c>
      <c r="AD217" s="3">
        <v>8.1306407300000008E-2</v>
      </c>
      <c r="AE217" s="3" t="s">
        <v>531</v>
      </c>
      <c r="AF217" s="3" t="s">
        <v>526</v>
      </c>
      <c r="AG217" s="83">
        <v>0.7</v>
      </c>
    </row>
    <row r="218" spans="6:33" ht="28.8">
      <c r="F218" s="370">
        <v>1</v>
      </c>
      <c r="G218" s="137" t="s">
        <v>239</v>
      </c>
      <c r="H218" s="136" t="s">
        <v>325</v>
      </c>
      <c r="I218" s="136" t="s">
        <v>548</v>
      </c>
      <c r="J218" s="136" t="s">
        <v>203</v>
      </c>
      <c r="K218" s="191">
        <v>-1.66</v>
      </c>
      <c r="L218" s="191">
        <v>0</v>
      </c>
      <c r="M218" s="191">
        <v>0</v>
      </c>
      <c r="N218" s="191">
        <v>-1.6414671197248598</v>
      </c>
      <c r="O218" s="191">
        <v>-2.3925339273081798</v>
      </c>
      <c r="P218" s="191">
        <v>-0.65837821830812748</v>
      </c>
      <c r="Q218" s="191">
        <v>-0.87839925196487956</v>
      </c>
      <c r="R218" s="191">
        <v>2.747212960518635E-2</v>
      </c>
      <c r="T218" s="46">
        <v>1</v>
      </c>
      <c r="U218" s="53" t="s">
        <v>256</v>
      </c>
      <c r="V218" s="47" t="s">
        <v>257</v>
      </c>
      <c r="W218" s="47" t="s">
        <v>548</v>
      </c>
      <c r="X218" s="47" t="s">
        <v>203</v>
      </c>
      <c r="Y218" s="58">
        <v>1.9798800000000001</v>
      </c>
      <c r="Z218" s="193">
        <v>0.46493000000000001</v>
      </c>
      <c r="AB218" s="3"/>
      <c r="AC218" s="3"/>
      <c r="AD218" s="3"/>
      <c r="AE218" s="3"/>
      <c r="AF218" s="3"/>
      <c r="AG218" s="83"/>
    </row>
    <row r="219" spans="6:33">
      <c r="F219" s="370">
        <v>1</v>
      </c>
      <c r="G219" s="137" t="s">
        <v>256</v>
      </c>
      <c r="H219" s="136" t="s">
        <v>10183</v>
      </c>
      <c r="I219" s="136" t="s">
        <v>548</v>
      </c>
      <c r="J219" s="136" t="s">
        <v>203</v>
      </c>
      <c r="K219" s="191">
        <v>-3.3097799999999999</v>
      </c>
      <c r="L219" s="191">
        <v>-3.2267017926999997</v>
      </c>
      <c r="M219" s="191">
        <v>-12.740166639094927</v>
      </c>
      <c r="N219" s="191">
        <v>0</v>
      </c>
      <c r="O219" s="191">
        <v>0</v>
      </c>
      <c r="P219" s="191">
        <v>2.5944788872302275E-2</v>
      </c>
      <c r="Q219" s="191">
        <v>-0.11143343733964284</v>
      </c>
      <c r="R219" s="191">
        <v>-9.4105118231725432E-2</v>
      </c>
      <c r="T219" s="46">
        <v>1</v>
      </c>
      <c r="U219" s="53" t="s">
        <v>256</v>
      </c>
      <c r="V219" s="47" t="s">
        <v>537</v>
      </c>
      <c r="W219" s="47" t="s">
        <v>548</v>
      </c>
      <c r="X219" s="47" t="s">
        <v>203</v>
      </c>
      <c r="Y219" s="58">
        <v>5.0082800000000001</v>
      </c>
      <c r="Z219" s="193">
        <v>1.54878</v>
      </c>
      <c r="AB219" s="3" t="s">
        <v>526</v>
      </c>
      <c r="AC219" s="125">
        <v>0.77500000000000002</v>
      </c>
      <c r="AD219" s="3">
        <v>8.1306407300000008E-2</v>
      </c>
      <c r="AE219" s="3" t="s">
        <v>531</v>
      </c>
      <c r="AF219" s="3"/>
      <c r="AG219" s="3"/>
    </row>
    <row r="220" spans="6:33">
      <c r="F220" s="370">
        <v>1</v>
      </c>
      <c r="G220" s="137" t="s">
        <v>256</v>
      </c>
      <c r="H220" s="136" t="s">
        <v>536</v>
      </c>
      <c r="I220" s="136" t="s">
        <v>548</v>
      </c>
      <c r="J220" s="136" t="s">
        <v>203</v>
      </c>
      <c r="K220" s="191">
        <v>-1.9798800000000001</v>
      </c>
      <c r="L220" s="191">
        <v>-1.8968017927</v>
      </c>
      <c r="M220" s="191">
        <v>-2.2966096268154939</v>
      </c>
      <c r="N220" s="191">
        <v>0</v>
      </c>
      <c r="O220" s="191">
        <v>0</v>
      </c>
      <c r="P220" s="191">
        <v>2.602957774460455E-2</v>
      </c>
      <c r="Q220" s="191">
        <v>-0.16359118801780148</v>
      </c>
      <c r="R220" s="191">
        <v>-0.13662634051367301</v>
      </c>
      <c r="T220" s="46">
        <v>1</v>
      </c>
      <c r="U220" s="53" t="s">
        <v>256</v>
      </c>
      <c r="V220" s="47" t="s">
        <v>538</v>
      </c>
      <c r="W220" s="47" t="s">
        <v>548</v>
      </c>
      <c r="X220" s="47" t="s">
        <v>203</v>
      </c>
      <c r="Y220" s="58">
        <v>4.6396800000000002</v>
      </c>
      <c r="Z220" s="193">
        <v>1.54878</v>
      </c>
      <c r="AB220" s="3" t="s">
        <v>526</v>
      </c>
      <c r="AC220" s="125">
        <v>0.72499999999999998</v>
      </c>
      <c r="AD220" s="3">
        <v>8.1306407300000008E-2</v>
      </c>
      <c r="AE220" s="3" t="s">
        <v>531</v>
      </c>
      <c r="AF220" s="3"/>
      <c r="AG220" s="3"/>
    </row>
    <row r="221" spans="6:33">
      <c r="F221" s="370">
        <v>1</v>
      </c>
      <c r="G221" s="137" t="s">
        <v>256</v>
      </c>
      <c r="H221" s="136" t="s">
        <v>257</v>
      </c>
      <c r="I221" s="136" t="s">
        <v>548</v>
      </c>
      <c r="J221" s="136" t="s">
        <v>203</v>
      </c>
      <c r="K221" s="191">
        <v>-1.9798800000000001</v>
      </c>
      <c r="L221" s="191">
        <v>-1.8968017927</v>
      </c>
      <c r="M221" s="191">
        <v>-2.2966096268154939</v>
      </c>
      <c r="N221" s="191">
        <v>0</v>
      </c>
      <c r="O221" s="191">
        <v>0</v>
      </c>
      <c r="P221" s="191">
        <v>2.60295777446043E-2</v>
      </c>
      <c r="Q221" s="191">
        <v>-0.16359118801780148</v>
      </c>
      <c r="R221" s="191">
        <v>-0.13662634051367201</v>
      </c>
      <c r="T221" s="46">
        <v>1</v>
      </c>
      <c r="U221" s="53" t="s">
        <v>256</v>
      </c>
      <c r="V221" s="47" t="s">
        <v>258</v>
      </c>
      <c r="W221" s="47" t="s">
        <v>548</v>
      </c>
      <c r="X221" s="47" t="s">
        <v>203</v>
      </c>
      <c r="Y221" s="58">
        <v>4.6396800000000002</v>
      </c>
      <c r="Z221" s="193">
        <v>1.54878</v>
      </c>
      <c r="AB221" s="3" t="s">
        <v>526</v>
      </c>
      <c r="AC221" s="125">
        <v>0.72499999999999998</v>
      </c>
      <c r="AD221" s="3">
        <v>8.1306407300000008E-2</v>
      </c>
      <c r="AE221" s="3" t="s">
        <v>531</v>
      </c>
      <c r="AF221" s="3"/>
      <c r="AG221" s="3"/>
    </row>
    <row r="222" spans="6:33">
      <c r="F222" s="370">
        <v>1</v>
      </c>
      <c r="G222" s="137" t="s">
        <v>256</v>
      </c>
      <c r="H222" s="136" t="s">
        <v>537</v>
      </c>
      <c r="I222" s="136" t="s">
        <v>548</v>
      </c>
      <c r="J222" s="136" t="s">
        <v>203</v>
      </c>
      <c r="K222" s="191">
        <v>-5.0082800000000001</v>
      </c>
      <c r="L222" s="191">
        <v>-4.9252017927000002</v>
      </c>
      <c r="M222" s="191">
        <v>-5.0399399240303886</v>
      </c>
      <c r="N222" s="191">
        <v>0</v>
      </c>
      <c r="O222" s="191">
        <v>0</v>
      </c>
      <c r="P222" s="191">
        <v>2.5860000000000001E-2</v>
      </c>
      <c r="Q222" s="191">
        <v>-5.9275686661484195E-2</v>
      </c>
      <c r="R222" s="191">
        <v>-5.1583895949777851E-2</v>
      </c>
      <c r="T222" s="46">
        <v>1</v>
      </c>
      <c r="U222" s="53" t="s">
        <v>247</v>
      </c>
      <c r="V222" s="47" t="s">
        <v>247</v>
      </c>
      <c r="W222" s="47" t="s">
        <v>548</v>
      </c>
      <c r="X222" s="47" t="s">
        <v>203</v>
      </c>
      <c r="Y222" s="58">
        <v>1.0505633333333335</v>
      </c>
      <c r="Z222" s="193">
        <v>0.89563000000000004</v>
      </c>
      <c r="AB222" s="3" t="s">
        <v>526</v>
      </c>
      <c r="AC222" s="125">
        <v>0.64600000000000002</v>
      </c>
      <c r="AD222" s="3">
        <v>8.1306407300000008E-2</v>
      </c>
      <c r="AE222" s="3" t="s">
        <v>531</v>
      </c>
      <c r="AF222" s="3" t="s">
        <v>526</v>
      </c>
      <c r="AG222" s="83">
        <v>0.8</v>
      </c>
    </row>
    <row r="223" spans="6:33">
      <c r="F223" s="370">
        <v>1</v>
      </c>
      <c r="G223" s="137" t="s">
        <v>256</v>
      </c>
      <c r="H223" s="136" t="s">
        <v>538</v>
      </c>
      <c r="I223" s="136" t="s">
        <v>548</v>
      </c>
      <c r="J223" s="136" t="s">
        <v>203</v>
      </c>
      <c r="K223" s="191">
        <v>-4.6396800000000002</v>
      </c>
      <c r="L223" s="191">
        <v>0</v>
      </c>
      <c r="M223" s="191">
        <v>0</v>
      </c>
      <c r="N223" s="191">
        <v>0</v>
      </c>
      <c r="O223" s="191">
        <v>0</v>
      </c>
      <c r="P223" s="191">
        <v>2.5860000000000001E-2</v>
      </c>
      <c r="Q223" s="191">
        <v>-5.56508197743582E-2</v>
      </c>
      <c r="R223" s="191">
        <v>-5.1583895949777851E-2</v>
      </c>
      <c r="T223" s="46">
        <v>1</v>
      </c>
      <c r="U223" s="53" t="s">
        <v>247</v>
      </c>
      <c r="V223" s="47" t="s">
        <v>248</v>
      </c>
      <c r="W223" s="47" t="s">
        <v>548</v>
      </c>
      <c r="X223" s="47" t="s">
        <v>203</v>
      </c>
      <c r="Y223" s="58">
        <v>1.0606100000000001</v>
      </c>
      <c r="Z223" s="193">
        <v>0.89563000000000004</v>
      </c>
      <c r="AB223" s="3"/>
      <c r="AC223" s="3"/>
      <c r="AD223" s="3"/>
      <c r="AE223" s="3"/>
      <c r="AF223" s="3" t="s">
        <v>526</v>
      </c>
      <c r="AG223" s="83">
        <v>0.88</v>
      </c>
    </row>
    <row r="224" spans="6:33">
      <c r="F224" s="370">
        <v>1</v>
      </c>
      <c r="G224" s="137" t="s">
        <v>256</v>
      </c>
      <c r="H224" s="136" t="s">
        <v>258</v>
      </c>
      <c r="I224" s="136" t="s">
        <v>548</v>
      </c>
      <c r="J224" s="136" t="s">
        <v>203</v>
      </c>
      <c r="K224" s="191">
        <v>-4.6396800000000002</v>
      </c>
      <c r="L224" s="191">
        <v>-4.5566017927000004</v>
      </c>
      <c r="M224" s="191">
        <v>-4.8856560488049539</v>
      </c>
      <c r="N224" s="191">
        <v>0</v>
      </c>
      <c r="O224" s="191">
        <v>0</v>
      </c>
      <c r="P224" s="191">
        <v>2.5860000000000001E-2</v>
      </c>
      <c r="Q224" s="191">
        <v>-5.9275686661484153E-2</v>
      </c>
      <c r="R224" s="191">
        <v>-5.15838959497779E-2</v>
      </c>
      <c r="T224" s="46">
        <v>1</v>
      </c>
      <c r="U224" s="53" t="s">
        <v>247</v>
      </c>
      <c r="V224" s="47" t="s">
        <v>263</v>
      </c>
      <c r="W224" s="47" t="s">
        <v>548</v>
      </c>
      <c r="X224" s="47" t="s">
        <v>203</v>
      </c>
      <c r="Y224" s="58">
        <v>1.0341199999999999</v>
      </c>
      <c r="Z224" s="193">
        <v>0.89563000000000004</v>
      </c>
      <c r="AB224" s="3" t="s">
        <v>526</v>
      </c>
      <c r="AC224" s="125">
        <v>0.64600000000000002</v>
      </c>
      <c r="AD224" s="3">
        <v>8.1306407300000008E-2</v>
      </c>
      <c r="AE224" s="3" t="s">
        <v>531</v>
      </c>
      <c r="AF224" s="3" t="s">
        <v>526</v>
      </c>
      <c r="AG224" s="83">
        <v>0.8</v>
      </c>
    </row>
    <row r="225" spans="6:33">
      <c r="F225" s="370">
        <v>1</v>
      </c>
      <c r="G225" s="137" t="s">
        <v>247</v>
      </c>
      <c r="H225" s="136" t="s">
        <v>247</v>
      </c>
      <c r="I225" s="136" t="s">
        <v>548</v>
      </c>
      <c r="J225" s="136" t="s">
        <v>203</v>
      </c>
      <c r="K225" s="191">
        <v>-1.0505633333333335</v>
      </c>
      <c r="L225" s="191">
        <v>-0.96748512603333348</v>
      </c>
      <c r="M225" s="191">
        <v>-0.31729999798828479</v>
      </c>
      <c r="N225" s="191">
        <v>0</v>
      </c>
      <c r="O225" s="191">
        <v>0</v>
      </c>
      <c r="P225" s="191">
        <v>2.6029592082361448E-2</v>
      </c>
      <c r="Q225" s="191">
        <v>3.0233119146166498E-2</v>
      </c>
      <c r="R225" s="191">
        <v>4.8922715188156496E-2</v>
      </c>
      <c r="T225" s="46">
        <v>1</v>
      </c>
      <c r="U225" s="53" t="s">
        <v>247</v>
      </c>
      <c r="V225" s="47" t="s">
        <v>539</v>
      </c>
      <c r="W225" s="47" t="s">
        <v>548</v>
      </c>
      <c r="X225" s="47" t="s">
        <v>203</v>
      </c>
      <c r="Y225" s="58">
        <v>1.0569599999999999</v>
      </c>
      <c r="Z225" s="193">
        <v>0.89563000000000004</v>
      </c>
      <c r="AB225" s="3"/>
      <c r="AC225" s="3"/>
      <c r="AD225" s="3"/>
      <c r="AE225" s="3"/>
      <c r="AF225" s="3" t="s">
        <v>526</v>
      </c>
      <c r="AG225" s="83">
        <v>0.65</v>
      </c>
    </row>
    <row r="226" spans="6:33">
      <c r="F226" s="370">
        <v>1</v>
      </c>
      <c r="G226" s="137" t="s">
        <v>247</v>
      </c>
      <c r="H226" s="136" t="s">
        <v>248</v>
      </c>
      <c r="I226" s="136" t="s">
        <v>548</v>
      </c>
      <c r="J226" s="136" t="s">
        <v>203</v>
      </c>
      <c r="K226" s="191">
        <v>-1.0606100000000001</v>
      </c>
      <c r="L226" s="191">
        <v>-0.97753179270000001</v>
      </c>
      <c r="M226" s="191">
        <v>-0.16832522281711892</v>
      </c>
      <c r="N226" s="191">
        <v>0</v>
      </c>
      <c r="O226" s="191">
        <v>0</v>
      </c>
      <c r="P226" s="191">
        <v>2.6029598061898848E-2</v>
      </c>
      <c r="Q226" s="191">
        <v>3.4137431052983253E-2</v>
      </c>
      <c r="R226" s="191">
        <v>4.892153158255045E-2</v>
      </c>
      <c r="T226" s="46">
        <v>1</v>
      </c>
      <c r="U226" s="53" t="s">
        <v>247</v>
      </c>
      <c r="V226" s="47" t="s">
        <v>270</v>
      </c>
      <c r="W226" s="47" t="s">
        <v>548</v>
      </c>
      <c r="X226" s="47" t="s">
        <v>203</v>
      </c>
      <c r="Y226" s="58">
        <v>1.0505633333333335</v>
      </c>
      <c r="Z226" s="193">
        <v>0.89563000000000004</v>
      </c>
      <c r="AB226" s="3"/>
      <c r="AC226" s="3"/>
      <c r="AD226" s="3"/>
      <c r="AE226" s="3"/>
      <c r="AF226" s="3" t="s">
        <v>526</v>
      </c>
      <c r="AG226" s="83">
        <v>0.65</v>
      </c>
    </row>
    <row r="227" spans="6:33">
      <c r="F227" s="370">
        <v>1</v>
      </c>
      <c r="G227" s="137" t="s">
        <v>247</v>
      </c>
      <c r="H227" s="136" t="s">
        <v>263</v>
      </c>
      <c r="I227" s="136" t="s">
        <v>548</v>
      </c>
      <c r="J227" s="136" t="s">
        <v>203</v>
      </c>
      <c r="K227" s="191">
        <v>-1.0341199999999999</v>
      </c>
      <c r="L227" s="191">
        <v>-0.95104179269999989</v>
      </c>
      <c r="M227" s="191">
        <v>-0.16832522281711987</v>
      </c>
      <c r="N227" s="191">
        <v>0</v>
      </c>
      <c r="O227" s="191">
        <v>0</v>
      </c>
      <c r="P227" s="191">
        <v>2.6029601767455848E-2</v>
      </c>
      <c r="Q227" s="191">
        <v>3.6477878463772401E-2</v>
      </c>
      <c r="R227" s="191">
        <v>4.8921607150688752E-2</v>
      </c>
      <c r="T227" s="46">
        <v>1</v>
      </c>
      <c r="U227" s="53" t="s">
        <v>247</v>
      </c>
      <c r="V227" s="47" t="s">
        <v>540</v>
      </c>
      <c r="W227" s="47" t="s">
        <v>548</v>
      </c>
      <c r="X227" s="47" t="s">
        <v>203</v>
      </c>
      <c r="Y227" s="58">
        <v>1.0473650000000001</v>
      </c>
      <c r="Z227" s="193">
        <v>0.89563000000000004</v>
      </c>
      <c r="AB227" s="3"/>
      <c r="AC227" s="3"/>
      <c r="AD227" s="3"/>
      <c r="AE227" s="3"/>
      <c r="AF227" s="3" t="s">
        <v>526</v>
      </c>
      <c r="AG227" s="83">
        <v>0.65</v>
      </c>
    </row>
    <row r="228" spans="6:33">
      <c r="F228" s="370">
        <v>1</v>
      </c>
      <c r="G228" s="137" t="s">
        <v>247</v>
      </c>
      <c r="H228" s="136" t="s">
        <v>539</v>
      </c>
      <c r="I228" s="136" t="s">
        <v>548</v>
      </c>
      <c r="J228" s="136" t="s">
        <v>203</v>
      </c>
      <c r="K228" s="191">
        <v>-1.0569599999999999</v>
      </c>
      <c r="L228" s="191">
        <v>-0.97388179269999986</v>
      </c>
      <c r="M228" s="191">
        <v>-0.17364075616923944</v>
      </c>
      <c r="N228" s="191">
        <v>0</v>
      </c>
      <c r="O228" s="191">
        <v>0</v>
      </c>
      <c r="P228" s="191">
        <v>2.6029582406386399E-2</v>
      </c>
      <c r="Q228" s="191">
        <v>2.394464457171265E-2</v>
      </c>
      <c r="R228" s="191">
        <v>4.8923989940827452E-2</v>
      </c>
      <c r="T228" s="46">
        <v>1</v>
      </c>
      <c r="U228" s="53" t="s">
        <v>529</v>
      </c>
      <c r="V228" s="47" t="s">
        <v>260</v>
      </c>
      <c r="W228" s="47" t="s">
        <v>548</v>
      </c>
      <c r="X228" s="47" t="s">
        <v>203</v>
      </c>
      <c r="Y228" s="58">
        <v>4.0364225925925927</v>
      </c>
      <c r="Z228" s="193">
        <v>1.3856655555555555</v>
      </c>
      <c r="AB228" s="3"/>
      <c r="AC228" s="3"/>
      <c r="AD228" s="3"/>
      <c r="AE228" s="3"/>
      <c r="AF228" s="3" t="s">
        <v>526</v>
      </c>
      <c r="AG228" s="83">
        <v>0.8</v>
      </c>
    </row>
    <row r="229" spans="6:33">
      <c r="F229" s="370">
        <v>1</v>
      </c>
      <c r="G229" s="137" t="s">
        <v>247</v>
      </c>
      <c r="H229" s="136" t="s">
        <v>270</v>
      </c>
      <c r="I229" s="136" t="s">
        <v>548</v>
      </c>
      <c r="J229" s="136" t="s">
        <v>203</v>
      </c>
      <c r="K229" s="191">
        <v>-1.0505633333333335</v>
      </c>
      <c r="L229" s="191">
        <v>-0.96748512603333348</v>
      </c>
      <c r="M229" s="191">
        <v>-0.31729999798828479</v>
      </c>
      <c r="N229" s="191">
        <v>0</v>
      </c>
      <c r="O229" s="191">
        <v>0</v>
      </c>
      <c r="P229" s="191">
        <v>2.6029592082361448E-2</v>
      </c>
      <c r="Q229" s="191">
        <v>3.0233119146166498E-2</v>
      </c>
      <c r="R229" s="191">
        <v>4.8922715188156496E-2</v>
      </c>
      <c r="T229" s="46">
        <v>1</v>
      </c>
      <c r="U229" s="53" t="s">
        <v>237</v>
      </c>
      <c r="V229" s="47" t="s">
        <v>237</v>
      </c>
      <c r="W229" s="47" t="s">
        <v>548</v>
      </c>
      <c r="X229" s="47" t="s">
        <v>203</v>
      </c>
      <c r="Y229" s="58">
        <v>2.8533815875203707</v>
      </c>
      <c r="Z229" s="193">
        <v>1.0711602172222223</v>
      </c>
      <c r="AB229" s="3"/>
      <c r="AC229" s="3"/>
      <c r="AD229" s="3"/>
      <c r="AE229" s="3"/>
      <c r="AF229" s="3"/>
      <c r="AG229" s="3"/>
    </row>
    <row r="230" spans="6:33">
      <c r="F230" s="370">
        <v>1</v>
      </c>
      <c r="G230" s="137" t="s">
        <v>247</v>
      </c>
      <c r="H230" s="136" t="s">
        <v>540</v>
      </c>
      <c r="I230" s="136" t="s">
        <v>548</v>
      </c>
      <c r="J230" s="136" t="s">
        <v>203</v>
      </c>
      <c r="K230" s="191">
        <v>-1.0473650000000001</v>
      </c>
      <c r="L230" s="191">
        <v>-0.96428679270000006</v>
      </c>
      <c r="M230" s="191">
        <v>0</v>
      </c>
      <c r="N230" s="191">
        <v>0</v>
      </c>
      <c r="O230" s="191">
        <v>0</v>
      </c>
      <c r="P230" s="191">
        <v>2.6029575633542447E-2</v>
      </c>
      <c r="Q230" s="191">
        <v>2.6284571827274651E-2</v>
      </c>
      <c r="R230" s="191">
        <v>4.8923545353738704E-2</v>
      </c>
      <c r="T230" s="46">
        <v>1</v>
      </c>
      <c r="U230" s="53" t="s">
        <v>237</v>
      </c>
      <c r="V230" s="47" t="s">
        <v>246</v>
      </c>
      <c r="W230" s="47" t="s">
        <v>548</v>
      </c>
      <c r="X230" s="47" t="s">
        <v>203</v>
      </c>
      <c r="Y230" s="58">
        <v>7.3412433500000009</v>
      </c>
      <c r="Z230" s="193">
        <v>0.66842500000000005</v>
      </c>
      <c r="AB230" s="3"/>
      <c r="AC230" s="3"/>
      <c r="AD230" s="3"/>
      <c r="AE230" s="3"/>
      <c r="AF230" s="3"/>
      <c r="AG230" s="3"/>
    </row>
    <row r="231" spans="6:33">
      <c r="F231" s="370">
        <v>1</v>
      </c>
      <c r="G231" s="137" t="s">
        <v>261</v>
      </c>
      <c r="H231" s="136" t="s">
        <v>260</v>
      </c>
      <c r="I231" s="136" t="s">
        <v>548</v>
      </c>
      <c r="J231" s="136" t="s">
        <v>203</v>
      </c>
      <c r="K231" s="191">
        <v>-4.0364225925925927</v>
      </c>
      <c r="L231" s="191">
        <v>0</v>
      </c>
      <c r="M231" s="191">
        <v>0</v>
      </c>
      <c r="N231" s="191">
        <v>-0.50412550177472648</v>
      </c>
      <c r="O231" s="191">
        <v>-0.86668182891430401</v>
      </c>
      <c r="P231" s="191">
        <v>-0.18013472149019349</v>
      </c>
      <c r="Q231" s="191">
        <v>-0.25153690717815702</v>
      </c>
      <c r="R231" s="191">
        <v>2.75306124071697E-2</v>
      </c>
      <c r="T231" s="46">
        <v>1</v>
      </c>
      <c r="U231" s="53" t="s">
        <v>237</v>
      </c>
      <c r="V231" s="28" t="s">
        <v>10162</v>
      </c>
      <c r="W231" s="47" t="s">
        <v>548</v>
      </c>
      <c r="X231" s="47" t="s">
        <v>203</v>
      </c>
      <c r="Y231" s="58">
        <v>2.8533815875203707</v>
      </c>
      <c r="Z231" s="193">
        <v>1.0711602172222223</v>
      </c>
      <c r="AB231" s="3"/>
      <c r="AC231" s="3"/>
      <c r="AD231" s="3"/>
      <c r="AE231" s="3"/>
      <c r="AF231" s="3" t="s">
        <v>526</v>
      </c>
      <c r="AG231" s="83">
        <v>0.95</v>
      </c>
    </row>
    <row r="232" spans="6:33">
      <c r="F232" s="370">
        <v>1</v>
      </c>
      <c r="G232" s="137" t="s">
        <v>10157</v>
      </c>
      <c r="H232" s="136" t="s">
        <v>10157</v>
      </c>
      <c r="I232" s="136" t="s">
        <v>548</v>
      </c>
      <c r="J232" s="136" t="s">
        <v>203</v>
      </c>
      <c r="K232" s="191">
        <v>-2.8533815875203707</v>
      </c>
      <c r="L232" s="191">
        <v>-1.4249189937601854</v>
      </c>
      <c r="M232" s="191">
        <v>0</v>
      </c>
      <c r="N232" s="191">
        <v>0</v>
      </c>
      <c r="O232" s="191">
        <v>0</v>
      </c>
      <c r="P232" s="191">
        <v>-0.47410512659641396</v>
      </c>
      <c r="Q232" s="191">
        <v>-0.563730049331581</v>
      </c>
      <c r="R232" s="191">
        <v>2.7969565018779084E-2</v>
      </c>
      <c r="T232" s="46">
        <v>1</v>
      </c>
      <c r="U232" s="53" t="s">
        <v>252</v>
      </c>
      <c r="V232" s="28" t="s">
        <v>333</v>
      </c>
      <c r="W232" s="47" t="s">
        <v>548</v>
      </c>
      <c r="X232" s="47" t="s">
        <v>203</v>
      </c>
      <c r="Y232" s="58">
        <v>2.0953266666666663</v>
      </c>
      <c r="Z232" s="193">
        <v>1.77911</v>
      </c>
      <c r="AB232" s="3" t="s">
        <v>526</v>
      </c>
      <c r="AC232" s="125">
        <v>1</v>
      </c>
      <c r="AD232" s="3">
        <v>8.1306407300000008E-2</v>
      </c>
      <c r="AE232" s="3" t="s">
        <v>531</v>
      </c>
      <c r="AF232" s="3" t="s">
        <v>526</v>
      </c>
      <c r="AG232" s="83">
        <v>0.95</v>
      </c>
    </row>
    <row r="233" spans="6:33">
      <c r="F233" s="370">
        <v>1</v>
      </c>
      <c r="G233" s="137" t="s">
        <v>10157</v>
      </c>
      <c r="H233" s="136" t="s">
        <v>246</v>
      </c>
      <c r="I233" s="136" t="s">
        <v>548</v>
      </c>
      <c r="J233" s="136" t="s">
        <v>203</v>
      </c>
      <c r="K233" s="191">
        <v>-7.3412433500000009</v>
      </c>
      <c r="L233" s="191">
        <v>0</v>
      </c>
      <c r="M233" s="191">
        <v>0</v>
      </c>
      <c r="N233" s="191">
        <v>0</v>
      </c>
      <c r="O233" s="191">
        <v>0</v>
      </c>
      <c r="P233" s="191">
        <v>2.6029626346381451E-2</v>
      </c>
      <c r="Q233" s="191">
        <v>4.149464191173885E-2</v>
      </c>
      <c r="R233" s="191">
        <v>4.8921198460972648E-2</v>
      </c>
      <c r="T233" s="46">
        <v>1</v>
      </c>
      <c r="U233" s="53" t="s">
        <v>239</v>
      </c>
      <c r="V233" s="3" t="s">
        <v>542</v>
      </c>
      <c r="W233" s="47" t="s">
        <v>548</v>
      </c>
      <c r="X233" s="47" t="s">
        <v>203</v>
      </c>
      <c r="Y233" s="58">
        <v>2.6644477777777777</v>
      </c>
      <c r="Z233" s="193">
        <v>0.64099666666666666</v>
      </c>
      <c r="AB233" s="3" t="s">
        <v>526</v>
      </c>
      <c r="AC233" s="125">
        <v>1</v>
      </c>
      <c r="AD233" s="3">
        <v>8.1306407300000008E-2</v>
      </c>
      <c r="AE233" s="3" t="s">
        <v>531</v>
      </c>
      <c r="AF233" s="3" t="s">
        <v>526</v>
      </c>
      <c r="AG233" s="83">
        <v>0.95</v>
      </c>
    </row>
    <row r="234" spans="6:33" ht="28.8">
      <c r="F234" s="370">
        <v>1</v>
      </c>
      <c r="G234" s="137" t="s">
        <v>10157</v>
      </c>
      <c r="H234" s="136" t="s">
        <v>10162</v>
      </c>
      <c r="I234" s="136" t="s">
        <v>548</v>
      </c>
      <c r="J234" s="136" t="s">
        <v>203</v>
      </c>
      <c r="K234" s="191">
        <v>-2.8533815875203707</v>
      </c>
      <c r="L234" s="191">
        <v>0</v>
      </c>
      <c r="M234" s="191">
        <v>0</v>
      </c>
      <c r="N234" s="191">
        <v>-1.0337644591125981</v>
      </c>
      <c r="O234" s="191">
        <v>-1.5995514888993199</v>
      </c>
      <c r="P234" s="191">
        <v>-0.47410512659641396</v>
      </c>
      <c r="Q234" s="191">
        <v>-0.563730049331581</v>
      </c>
      <c r="R234" s="191">
        <v>2.7969565018779084E-2</v>
      </c>
      <c r="T234" s="46">
        <v>1</v>
      </c>
      <c r="U234" s="53" t="s">
        <v>237</v>
      </c>
      <c r="V234" s="3" t="s">
        <v>238</v>
      </c>
      <c r="W234" s="47" t="s">
        <v>548</v>
      </c>
      <c r="X234" s="47" t="s">
        <v>203</v>
      </c>
      <c r="Y234" s="58">
        <v>2.7046544444444445</v>
      </c>
      <c r="Z234" s="193">
        <v>1.2161291666666667</v>
      </c>
      <c r="AB234" s="3" t="s">
        <v>526</v>
      </c>
      <c r="AC234" s="125">
        <v>1</v>
      </c>
      <c r="AD234" s="3">
        <v>8.1306407300000008E-2</v>
      </c>
      <c r="AE234" s="3" t="s">
        <v>531</v>
      </c>
      <c r="AF234" s="3"/>
      <c r="AG234" s="3"/>
    </row>
    <row r="235" spans="6:33">
      <c r="F235" s="370">
        <v>1</v>
      </c>
      <c r="G235" s="137" t="s">
        <v>252</v>
      </c>
      <c r="H235" s="136" t="s">
        <v>333</v>
      </c>
      <c r="I235" s="136" t="s">
        <v>548</v>
      </c>
      <c r="J235" s="136" t="s">
        <v>203</v>
      </c>
      <c r="K235" s="191">
        <v>-2.0953266666666663</v>
      </c>
      <c r="L235" s="191">
        <v>0</v>
      </c>
      <c r="M235" s="191">
        <v>-4.4029102771861357</v>
      </c>
      <c r="N235" s="191">
        <v>0</v>
      </c>
      <c r="O235" s="191">
        <v>0</v>
      </c>
      <c r="P235" s="191">
        <v>2.602959882319645E-2</v>
      </c>
      <c r="Q235" s="191">
        <v>0.55868496079411156</v>
      </c>
      <c r="R235" s="191">
        <v>2.18702540347368</v>
      </c>
      <c r="T235" s="46">
        <v>1</v>
      </c>
      <c r="U235" s="53" t="s">
        <v>264</v>
      </c>
      <c r="V235" s="3" t="s">
        <v>264</v>
      </c>
      <c r="W235" s="47" t="s">
        <v>548</v>
      </c>
      <c r="X235" s="47" t="s">
        <v>203</v>
      </c>
      <c r="Y235" s="58">
        <v>1.9287117500000002</v>
      </c>
      <c r="Z235" s="193">
        <v>0.467055</v>
      </c>
      <c r="AB235" s="3"/>
      <c r="AC235" s="3"/>
      <c r="AD235" s="3"/>
      <c r="AE235" s="3"/>
      <c r="AF235" s="3" t="s">
        <v>526</v>
      </c>
      <c r="AG235" s="83">
        <v>0.95</v>
      </c>
    </row>
    <row r="236" spans="6:33">
      <c r="F236" s="370">
        <v>1</v>
      </c>
      <c r="G236" s="137" t="s">
        <v>239</v>
      </c>
      <c r="H236" s="136" t="s">
        <v>542</v>
      </c>
      <c r="I236" s="136" t="s">
        <v>548</v>
      </c>
      <c r="J236" s="136" t="s">
        <v>203</v>
      </c>
      <c r="K236" s="191">
        <v>-2.6644477777777777</v>
      </c>
      <c r="L236" s="191">
        <v>0</v>
      </c>
      <c r="M236" s="191">
        <v>-0.85833004785491607</v>
      </c>
      <c r="N236" s="191">
        <v>-1.6414671197248598</v>
      </c>
      <c r="O236" s="191">
        <v>-2.3925339273081798</v>
      </c>
      <c r="P236" s="191">
        <v>-0.65837821830812748</v>
      </c>
      <c r="Q236" s="191">
        <v>-0.87839925196487956</v>
      </c>
      <c r="R236" s="191">
        <v>2.747212960518635E-2</v>
      </c>
      <c r="T236" s="46">
        <v>1</v>
      </c>
      <c r="U236" s="53" t="s">
        <v>264</v>
      </c>
      <c r="V236" s="3" t="s">
        <v>336</v>
      </c>
      <c r="W236" s="47" t="s">
        <v>548</v>
      </c>
      <c r="X236" s="47" t="s">
        <v>203</v>
      </c>
      <c r="Y236" s="58">
        <v>0.76351350000000007</v>
      </c>
      <c r="Z236" s="193">
        <v>0.43603999999999998</v>
      </c>
      <c r="AB236" s="3" t="s">
        <v>526</v>
      </c>
      <c r="AC236" s="125">
        <v>1</v>
      </c>
      <c r="AD236" s="3">
        <v>0</v>
      </c>
      <c r="AE236" s="3" t="s">
        <v>527</v>
      </c>
      <c r="AF236" s="3" t="s">
        <v>526</v>
      </c>
      <c r="AG236" s="83">
        <v>0.9</v>
      </c>
    </row>
    <row r="237" spans="6:33">
      <c r="F237" s="370">
        <v>1</v>
      </c>
      <c r="G237" s="137" t="s">
        <v>10157</v>
      </c>
      <c r="H237" s="136" t="s">
        <v>238</v>
      </c>
      <c r="I237" s="136" t="s">
        <v>548</v>
      </c>
      <c r="J237" s="136" t="s">
        <v>203</v>
      </c>
      <c r="K237" s="191">
        <v>-2.7046544444444445</v>
      </c>
      <c r="L237" s="191">
        <v>0</v>
      </c>
      <c r="M237" s="191">
        <v>0</v>
      </c>
      <c r="N237" s="191">
        <v>0</v>
      </c>
      <c r="O237" s="191">
        <v>0</v>
      </c>
      <c r="P237" s="191">
        <v>-0.14509355963256682</v>
      </c>
      <c r="Q237" s="191">
        <v>-0.10022865234106108</v>
      </c>
      <c r="R237" s="191">
        <v>0.54232878250882444</v>
      </c>
      <c r="T237" s="46">
        <v>1</v>
      </c>
      <c r="U237" s="53" t="s">
        <v>242</v>
      </c>
      <c r="V237" s="3" t="s">
        <v>251</v>
      </c>
      <c r="W237" s="47" t="s">
        <v>548</v>
      </c>
      <c r="X237" s="47" t="s">
        <v>203</v>
      </c>
      <c r="Y237" s="58">
        <v>4.9218200000000003</v>
      </c>
      <c r="Z237" s="193">
        <v>0.15096000000000001</v>
      </c>
      <c r="AB237" s="3" t="s">
        <v>526</v>
      </c>
      <c r="AC237" s="125">
        <v>1</v>
      </c>
      <c r="AD237" s="3">
        <v>8.1306407300000008E-2</v>
      </c>
      <c r="AE237" s="3" t="s">
        <v>531</v>
      </c>
      <c r="AF237" s="3" t="s">
        <v>526</v>
      </c>
      <c r="AG237" s="83">
        <v>0.9</v>
      </c>
    </row>
    <row r="238" spans="6:33" ht="28.8">
      <c r="F238" s="370">
        <v>1</v>
      </c>
      <c r="G238" s="137" t="s">
        <v>264</v>
      </c>
      <c r="H238" s="136" t="s">
        <v>10184</v>
      </c>
      <c r="I238" s="136" t="s">
        <v>548</v>
      </c>
      <c r="J238" s="136" t="s">
        <v>203</v>
      </c>
      <c r="K238" s="191">
        <v>-1.9287117500000002</v>
      </c>
      <c r="L238" s="191">
        <v>-1.1070613798500002</v>
      </c>
      <c r="M238" s="191">
        <v>0.15112249999999994</v>
      </c>
      <c r="N238" s="191">
        <v>0</v>
      </c>
      <c r="O238" s="191">
        <v>0</v>
      </c>
      <c r="P238" s="191">
        <v>-0.35159822223575132</v>
      </c>
      <c r="Q238" s="191">
        <v>-0.52818491099825726</v>
      </c>
      <c r="R238" s="191">
        <v>0.45986888012810623</v>
      </c>
      <c r="T238" s="46">
        <v>1</v>
      </c>
      <c r="U238" s="53" t="s">
        <v>242</v>
      </c>
      <c r="V238" s="3" t="s">
        <v>543</v>
      </c>
      <c r="W238" s="47" t="s">
        <v>548</v>
      </c>
      <c r="X238" s="47" t="s">
        <v>203</v>
      </c>
      <c r="Y238" s="58">
        <v>1.00081</v>
      </c>
      <c r="Z238" s="193">
        <v>0.33138000000000001</v>
      </c>
      <c r="AB238" s="3" t="s">
        <v>526</v>
      </c>
      <c r="AC238" s="125">
        <v>1</v>
      </c>
      <c r="AD238" s="3">
        <v>8.1306407300000008E-2</v>
      </c>
      <c r="AE238" s="3" t="s">
        <v>531</v>
      </c>
      <c r="AF238" s="3" t="s">
        <v>526</v>
      </c>
      <c r="AG238" s="83">
        <v>0.95</v>
      </c>
    </row>
    <row r="239" spans="6:33">
      <c r="F239" s="370">
        <v>1</v>
      </c>
      <c r="G239" s="137" t="s">
        <v>264</v>
      </c>
      <c r="H239" s="136" t="s">
        <v>336</v>
      </c>
      <c r="I239" s="136" t="s">
        <v>548</v>
      </c>
      <c r="J239" s="136" t="s">
        <v>203</v>
      </c>
      <c r="K239" s="191">
        <v>-0.76351350000000007</v>
      </c>
      <c r="L239" s="191">
        <v>-0.34968251735000005</v>
      </c>
      <c r="M239" s="191">
        <v>0</v>
      </c>
      <c r="N239" s="191">
        <v>-1.6484259755872799</v>
      </c>
      <c r="O239" s="191">
        <v>-2.6285536202300248</v>
      </c>
      <c r="P239" s="191">
        <v>-1.0021777340214246</v>
      </c>
      <c r="Q239" s="191">
        <v>-0.76420123609348667</v>
      </c>
      <c r="R239" s="191">
        <v>0.21044209914587741</v>
      </c>
      <c r="T239" s="46">
        <v>1</v>
      </c>
      <c r="U239" s="53" t="s">
        <v>264</v>
      </c>
      <c r="V239" s="3" t="s">
        <v>544</v>
      </c>
      <c r="W239" s="47" t="s">
        <v>548</v>
      </c>
      <c r="X239" s="47" t="s">
        <v>203</v>
      </c>
      <c r="Y239" s="58">
        <v>3.0939100000000002</v>
      </c>
      <c r="Z239" s="193">
        <v>0.49807000000000001</v>
      </c>
      <c r="AB239" s="3" t="s">
        <v>526</v>
      </c>
      <c r="AC239" s="125">
        <v>1</v>
      </c>
      <c r="AD239" s="3">
        <v>8.1306407300000008E-2</v>
      </c>
      <c r="AE239" s="3" t="s">
        <v>531</v>
      </c>
      <c r="AF239" s="3" t="s">
        <v>526</v>
      </c>
      <c r="AG239" s="83">
        <v>0.7</v>
      </c>
    </row>
    <row r="240" spans="6:33">
      <c r="F240" s="370">
        <v>1</v>
      </c>
      <c r="G240" s="137" t="s">
        <v>242</v>
      </c>
      <c r="H240" s="136" t="s">
        <v>251</v>
      </c>
      <c r="I240" s="136" t="s">
        <v>548</v>
      </c>
      <c r="J240" s="136" t="s">
        <v>203</v>
      </c>
      <c r="K240" s="191">
        <v>-4.9218200000000003</v>
      </c>
      <c r="L240" s="191">
        <v>-3.5665477000000001</v>
      </c>
      <c r="M240" s="191">
        <v>-1.2190350000000001</v>
      </c>
      <c r="N240" s="191">
        <v>0</v>
      </c>
      <c r="O240" s="191">
        <v>0</v>
      </c>
      <c r="P240" s="191">
        <v>2.5961755078199492E-2</v>
      </c>
      <c r="Q240" s="191">
        <v>0.18719953776413523</v>
      </c>
      <c r="R240" s="191">
        <v>0.84695235378897638</v>
      </c>
      <c r="T240" s="46">
        <v>1</v>
      </c>
      <c r="U240" s="53" t="s">
        <v>237</v>
      </c>
      <c r="V240" s="3" t="s">
        <v>545</v>
      </c>
      <c r="W240" s="47" t="s">
        <v>548</v>
      </c>
      <c r="X240" s="47" t="s">
        <v>203</v>
      </c>
      <c r="Y240" s="58">
        <v>2.8533815875203707</v>
      </c>
      <c r="Z240" s="193">
        <v>1.0711602172222223</v>
      </c>
      <c r="AB240" s="3" t="s">
        <v>526</v>
      </c>
      <c r="AC240" s="125">
        <v>1</v>
      </c>
      <c r="AD240" s="3">
        <v>8.1306407300000008E-2</v>
      </c>
      <c r="AE240" s="3" t="s">
        <v>531</v>
      </c>
      <c r="AF240" s="3"/>
      <c r="AG240" s="3"/>
    </row>
    <row r="241" spans="6:33">
      <c r="F241" s="370">
        <v>1</v>
      </c>
      <c r="G241" s="137" t="s">
        <v>242</v>
      </c>
      <c r="H241" s="136" t="s">
        <v>543</v>
      </c>
      <c r="I241" s="136" t="s">
        <v>548</v>
      </c>
      <c r="J241" s="136" t="s">
        <v>203</v>
      </c>
      <c r="K241" s="191">
        <v>-1.00081</v>
      </c>
      <c r="L241" s="191">
        <v>-0.72381545000000003</v>
      </c>
      <c r="M241" s="191">
        <v>-0.20626249999999999</v>
      </c>
      <c r="N241" s="191">
        <v>0</v>
      </c>
      <c r="O241" s="191">
        <v>0</v>
      </c>
      <c r="P241" s="191">
        <v>2.5860000000000001E-2</v>
      </c>
      <c r="Q241" s="191">
        <v>4.149464191173885E-2</v>
      </c>
      <c r="R241" s="191">
        <v>4.8921198460972599E-2</v>
      </c>
      <c r="T241" s="46">
        <v>1</v>
      </c>
      <c r="U241" s="53"/>
      <c r="V241" s="47"/>
      <c r="W241" s="47" t="s">
        <v>549</v>
      </c>
      <c r="X241" s="47" t="s">
        <v>203</v>
      </c>
      <c r="Y241" s="58" t="s">
        <v>525</v>
      </c>
      <c r="Z241" s="193" t="s">
        <v>525</v>
      </c>
      <c r="AB241" s="3" t="s">
        <v>526</v>
      </c>
      <c r="AC241" s="83">
        <v>0.5</v>
      </c>
      <c r="AD241" s="3">
        <v>8.1306407300000008E-2</v>
      </c>
      <c r="AE241" s="3" t="s">
        <v>531</v>
      </c>
      <c r="AF241" s="3"/>
      <c r="AG241" s="3"/>
    </row>
    <row r="242" spans="6:33">
      <c r="F242" s="370">
        <v>1</v>
      </c>
      <c r="G242" s="137" t="s">
        <v>264</v>
      </c>
      <c r="H242" s="136" t="s">
        <v>544</v>
      </c>
      <c r="I242" s="136" t="s">
        <v>548</v>
      </c>
      <c r="J242" s="136" t="s">
        <v>203</v>
      </c>
      <c r="K242" s="191">
        <v>-3.0939100000000002</v>
      </c>
      <c r="L242" s="191">
        <v>-1.8644402423500002</v>
      </c>
      <c r="M242" s="191">
        <v>0.15112249999999994</v>
      </c>
      <c r="N242" s="191">
        <v>0</v>
      </c>
      <c r="O242" s="191">
        <v>0</v>
      </c>
      <c r="P242" s="191">
        <v>0.29898128954992198</v>
      </c>
      <c r="Q242" s="191">
        <v>-0.29216858590302802</v>
      </c>
      <c r="R242" s="191">
        <v>0.70929566111033493</v>
      </c>
      <c r="T242" s="46">
        <v>1</v>
      </c>
      <c r="U242" s="53"/>
      <c r="V242" s="47"/>
      <c r="W242" s="47" t="s">
        <v>549</v>
      </c>
      <c r="X242" s="47" t="s">
        <v>203</v>
      </c>
      <c r="Y242" s="58" t="s">
        <v>525</v>
      </c>
      <c r="Z242" s="193" t="s">
        <v>525</v>
      </c>
      <c r="AB242" s="3"/>
      <c r="AC242" s="3"/>
      <c r="AD242" s="3"/>
      <c r="AE242" s="3"/>
      <c r="AF242" s="3"/>
      <c r="AG242" s="3"/>
    </row>
    <row r="243" spans="6:33">
      <c r="F243" s="370">
        <v>1</v>
      </c>
      <c r="G243" s="137" t="s">
        <v>10157</v>
      </c>
      <c r="H243" s="136" t="s">
        <v>545</v>
      </c>
      <c r="I243" s="136" t="s">
        <v>548</v>
      </c>
      <c r="J243" s="136" t="s">
        <v>203</v>
      </c>
      <c r="K243" s="191">
        <v>-2.8533815875203707</v>
      </c>
      <c r="L243" s="191">
        <v>0</v>
      </c>
      <c r="M243" s="191">
        <v>0</v>
      </c>
      <c r="N243" s="191">
        <v>0</v>
      </c>
      <c r="O243" s="191">
        <v>0</v>
      </c>
      <c r="P243" s="191">
        <v>-0.47410512659641396</v>
      </c>
      <c r="Q243" s="191">
        <v>-0.563730049331581</v>
      </c>
      <c r="R243" s="191">
        <v>2.7969565018779084E-2</v>
      </c>
      <c r="T243" s="46">
        <v>1</v>
      </c>
      <c r="U243" s="53"/>
      <c r="V243" s="47"/>
      <c r="W243" s="47" t="s">
        <v>549</v>
      </c>
      <c r="X243" s="47" t="s">
        <v>203</v>
      </c>
      <c r="Y243" s="58" t="s">
        <v>525</v>
      </c>
      <c r="Z243" s="193" t="s">
        <v>525</v>
      </c>
      <c r="AB243" s="3"/>
      <c r="AC243" s="3"/>
      <c r="AD243" s="3"/>
      <c r="AE243" s="3"/>
      <c r="AF243" s="3"/>
      <c r="AG243" s="3"/>
    </row>
    <row r="244" spans="6:33" ht="28.8">
      <c r="F244" s="370">
        <v>1</v>
      </c>
      <c r="G244" s="137" t="s">
        <v>10169</v>
      </c>
      <c r="H244" s="136" t="s">
        <v>10170</v>
      </c>
      <c r="I244" s="136" t="s">
        <v>548</v>
      </c>
      <c r="J244" s="136" t="s">
        <v>203</v>
      </c>
      <c r="K244" s="191">
        <v>-0.74582333333333339</v>
      </c>
      <c r="L244" s="191">
        <v>-0.58351400000000009</v>
      </c>
      <c r="M244" s="191">
        <v>0.3259926084346883</v>
      </c>
      <c r="N244" s="191">
        <v>0</v>
      </c>
      <c r="O244" s="191">
        <v>0</v>
      </c>
      <c r="P244" s="191">
        <v>0.45668176288049178</v>
      </c>
      <c r="Q244" s="191">
        <v>1.0683983533052401</v>
      </c>
      <c r="R244" s="191">
        <v>1.142290877337675</v>
      </c>
      <c r="T244" s="46">
        <v>1</v>
      </c>
      <c r="U244" s="53"/>
      <c r="V244" s="47"/>
      <c r="W244" s="47" t="s">
        <v>549</v>
      </c>
      <c r="X244" s="47" t="s">
        <v>203</v>
      </c>
      <c r="Y244" s="58" t="s">
        <v>525</v>
      </c>
      <c r="Z244" s="193" t="s">
        <v>525</v>
      </c>
      <c r="AB244" s="3"/>
      <c r="AC244" s="3"/>
      <c r="AD244" s="3"/>
      <c r="AE244" s="3"/>
      <c r="AF244" s="3" t="s">
        <v>526</v>
      </c>
      <c r="AG244" s="83">
        <v>0.7</v>
      </c>
    </row>
    <row r="245" spans="6:33" ht="28.8">
      <c r="F245" s="370">
        <v>1</v>
      </c>
      <c r="G245" s="137" t="s">
        <v>233</v>
      </c>
      <c r="H245" s="136" t="s">
        <v>10178</v>
      </c>
      <c r="I245" s="136" t="s">
        <v>549</v>
      </c>
      <c r="J245" s="136" t="s">
        <v>203</v>
      </c>
      <c r="K245" s="191">
        <v>0</v>
      </c>
      <c r="L245" s="191">
        <v>-0.13905086666666666</v>
      </c>
      <c r="M245" s="191">
        <v>0</v>
      </c>
      <c r="N245" s="191">
        <v>-1.4463173754122476</v>
      </c>
      <c r="O245" s="191">
        <v>-2.0480932548359161</v>
      </c>
      <c r="P245" s="191">
        <v>-1.0083948792270045</v>
      </c>
      <c r="Q245" s="191">
        <v>-0.86214406530898835</v>
      </c>
      <c r="R245" s="191">
        <v>3.3140894122044136E-2</v>
      </c>
      <c r="T245" s="46">
        <v>1</v>
      </c>
      <c r="U245" s="53" t="s">
        <v>330</v>
      </c>
      <c r="V245" s="47" t="s">
        <v>330</v>
      </c>
      <c r="W245" s="47" t="s">
        <v>549</v>
      </c>
      <c r="X245" s="47" t="s">
        <v>203</v>
      </c>
      <c r="Y245" s="58">
        <v>0.14119999999999999</v>
      </c>
      <c r="Z245" s="193">
        <v>0.43014000000000002</v>
      </c>
      <c r="AB245" s="3"/>
      <c r="AC245" s="3"/>
      <c r="AD245" s="3"/>
      <c r="AE245" s="3"/>
      <c r="AF245" s="3" t="s">
        <v>526</v>
      </c>
      <c r="AG245" s="83">
        <v>0.65</v>
      </c>
    </row>
    <row r="246" spans="6:33" ht="28.8">
      <c r="F246" s="370">
        <v>1</v>
      </c>
      <c r="G246" s="137" t="s">
        <v>233</v>
      </c>
      <c r="H246" s="136" t="s">
        <v>250</v>
      </c>
      <c r="I246" s="136" t="s">
        <v>549</v>
      </c>
      <c r="J246" s="136" t="s">
        <v>203</v>
      </c>
      <c r="K246" s="191">
        <v>0</v>
      </c>
      <c r="L246" s="191">
        <v>0</v>
      </c>
      <c r="M246" s="191">
        <v>0</v>
      </c>
      <c r="N246" s="191">
        <v>-1.7444132337854867</v>
      </c>
      <c r="O246" s="191">
        <v>-2.14804594103621</v>
      </c>
      <c r="P246" s="191">
        <v>-1.0347224077277033</v>
      </c>
      <c r="Q246" s="191">
        <v>-0.92375536904329858</v>
      </c>
      <c r="R246" s="191">
        <v>2.8432026023046467E-2</v>
      </c>
      <c r="T246" s="46">
        <v>1</v>
      </c>
      <c r="U246" s="53" t="s">
        <v>330</v>
      </c>
      <c r="V246" s="47" t="s">
        <v>335</v>
      </c>
      <c r="W246" s="47" t="s">
        <v>549</v>
      </c>
      <c r="X246" s="47" t="s">
        <v>203</v>
      </c>
      <c r="Y246" s="58">
        <v>0.26272000000000001</v>
      </c>
      <c r="Z246" s="193">
        <v>0.43014000000000002</v>
      </c>
      <c r="AB246" s="3"/>
      <c r="AC246" s="3"/>
      <c r="AD246" s="3"/>
      <c r="AE246" s="3"/>
      <c r="AF246" s="3"/>
      <c r="AG246" s="3"/>
    </row>
    <row r="247" spans="6:33" ht="28.8">
      <c r="F247" s="370">
        <v>1</v>
      </c>
      <c r="G247" s="137" t="s">
        <v>233</v>
      </c>
      <c r="H247" s="136" t="s">
        <v>249</v>
      </c>
      <c r="I247" s="136" t="s">
        <v>549</v>
      </c>
      <c r="J247" s="136" t="s">
        <v>203</v>
      </c>
      <c r="K247" s="191">
        <v>0</v>
      </c>
      <c r="L247" s="191">
        <v>0</v>
      </c>
      <c r="M247" s="191">
        <v>0</v>
      </c>
      <c r="N247" s="191">
        <v>-0.54333026102102233</v>
      </c>
      <c r="O247" s="191">
        <v>-0.74178187732574641</v>
      </c>
      <c r="P247" s="191">
        <v>3.07716767476966E-2</v>
      </c>
      <c r="Q247" s="191">
        <v>-0.19538428625322299</v>
      </c>
      <c r="R247" s="191">
        <v>2.5753253824242466E-2</v>
      </c>
      <c r="T247" s="46">
        <v>1</v>
      </c>
      <c r="U247" s="53" t="s">
        <v>330</v>
      </c>
      <c r="V247" s="47" t="s">
        <v>326</v>
      </c>
      <c r="W247" s="47" t="s">
        <v>549</v>
      </c>
      <c r="X247" s="47" t="s">
        <v>203</v>
      </c>
      <c r="Y247" s="58">
        <v>0.14119999999999999</v>
      </c>
      <c r="Z247" s="193">
        <v>0.43014000000000002</v>
      </c>
      <c r="AB247" s="3"/>
      <c r="AC247" s="3"/>
      <c r="AD247" s="3"/>
      <c r="AE247" s="3"/>
      <c r="AF247" s="3"/>
      <c r="AG247" s="3"/>
    </row>
    <row r="248" spans="6:33" ht="28.8">
      <c r="F248" s="370">
        <v>1</v>
      </c>
      <c r="G248" s="137" t="s">
        <v>233</v>
      </c>
      <c r="H248" s="136" t="s">
        <v>273</v>
      </c>
      <c r="I248" s="136" t="s">
        <v>549</v>
      </c>
      <c r="J248" s="136" t="s">
        <v>203</v>
      </c>
      <c r="K248" s="191">
        <v>0</v>
      </c>
      <c r="L248" s="191">
        <v>0</v>
      </c>
      <c r="M248" s="191">
        <v>0</v>
      </c>
      <c r="N248" s="191">
        <v>-1.6479477940849101</v>
      </c>
      <c r="O248" s="191">
        <v>-2.1000190969679733</v>
      </c>
      <c r="P248" s="191">
        <v>-0.79854269939773104</v>
      </c>
      <c r="Q248" s="191">
        <v>-0.89721094846143501</v>
      </c>
      <c r="R248" s="191">
        <v>2.7208263952840733E-2</v>
      </c>
      <c r="T248" s="46">
        <v>1</v>
      </c>
      <c r="U248" s="53" t="s">
        <v>529</v>
      </c>
      <c r="V248" s="47" t="s">
        <v>529</v>
      </c>
      <c r="W248" s="47" t="s">
        <v>549</v>
      </c>
      <c r="X248" s="47" t="s">
        <v>203</v>
      </c>
      <c r="Y248" s="58">
        <v>4.72241</v>
      </c>
      <c r="Z248" s="193">
        <v>1.758</v>
      </c>
      <c r="AB248" s="3" t="s">
        <v>526</v>
      </c>
      <c r="AC248" s="125">
        <v>0.64600000000000002</v>
      </c>
      <c r="AD248" s="3">
        <v>0</v>
      </c>
      <c r="AE248" s="3"/>
      <c r="AF248" s="3"/>
      <c r="AG248" s="3"/>
    </row>
    <row r="249" spans="6:33">
      <c r="F249" s="370">
        <v>1</v>
      </c>
      <c r="G249" s="137" t="s">
        <v>233</v>
      </c>
      <c r="H249" s="136" t="s">
        <v>330</v>
      </c>
      <c r="I249" s="136" t="s">
        <v>549</v>
      </c>
      <c r="J249" s="136" t="s">
        <v>203</v>
      </c>
      <c r="K249" s="191">
        <v>-0.14119999999999999</v>
      </c>
      <c r="L249" s="191">
        <v>-0.1076582</v>
      </c>
      <c r="M249" s="191">
        <v>0</v>
      </c>
      <c r="N249" s="191">
        <v>0</v>
      </c>
      <c r="O249" s="191">
        <v>0</v>
      </c>
      <c r="P249" s="191">
        <v>-1.48009745429205</v>
      </c>
      <c r="Q249" s="191">
        <v>-1.0439188133739399</v>
      </c>
      <c r="R249" s="191">
        <v>5.3036138125445893E-2</v>
      </c>
      <c r="T249" s="46">
        <v>1</v>
      </c>
      <c r="U249" s="53" t="s">
        <v>529</v>
      </c>
      <c r="V249" s="47" t="s">
        <v>327</v>
      </c>
      <c r="W249" s="47" t="s">
        <v>549</v>
      </c>
      <c r="X249" s="47" t="s">
        <v>203</v>
      </c>
      <c r="Y249" s="58">
        <v>0.25034000000000001</v>
      </c>
      <c r="Z249" s="193">
        <v>0.99672000000000005</v>
      </c>
      <c r="AB249" s="3" t="s">
        <v>526</v>
      </c>
      <c r="AC249" s="125">
        <v>0.72499999999999998</v>
      </c>
      <c r="AD249" s="3">
        <v>0</v>
      </c>
      <c r="AE249" s="3"/>
      <c r="AF249" s="3"/>
      <c r="AG249" s="3"/>
    </row>
    <row r="250" spans="6:33">
      <c r="F250" s="370">
        <v>1</v>
      </c>
      <c r="G250" s="137" t="s">
        <v>233</v>
      </c>
      <c r="H250" s="136" t="s">
        <v>335</v>
      </c>
      <c r="I250" s="136" t="s">
        <v>549</v>
      </c>
      <c r="J250" s="136" t="s">
        <v>203</v>
      </c>
      <c r="K250" s="191">
        <v>-0.26272000000000001</v>
      </c>
      <c r="L250" s="191">
        <v>-0.20183620000000002</v>
      </c>
      <c r="M250" s="191">
        <v>0</v>
      </c>
      <c r="N250" s="191">
        <v>-1.6479477940849101</v>
      </c>
      <c r="O250" s="191">
        <v>-2.6253096794248267</v>
      </c>
      <c r="P250" s="191">
        <v>-1.3838891953461199</v>
      </c>
      <c r="Q250" s="191">
        <v>-1.0562974873610167</v>
      </c>
      <c r="R250" s="191">
        <v>3.2207841403344636E-2</v>
      </c>
      <c r="T250" s="46">
        <v>1</v>
      </c>
      <c r="U250" s="53" t="s">
        <v>529</v>
      </c>
      <c r="V250" s="47" t="s">
        <v>331</v>
      </c>
      <c r="W250" s="47" t="s">
        <v>549</v>
      </c>
      <c r="X250" s="47" t="s">
        <v>203</v>
      </c>
      <c r="Y250" s="58">
        <v>9.1944800000000004</v>
      </c>
      <c r="Z250" s="193">
        <v>2.5192800000000002</v>
      </c>
      <c r="AB250" s="3" t="s">
        <v>526</v>
      </c>
      <c r="AC250" s="125">
        <v>0.64600000000000002</v>
      </c>
      <c r="AD250" s="3">
        <v>0</v>
      </c>
      <c r="AE250" s="3"/>
      <c r="AF250" s="3" t="s">
        <v>526</v>
      </c>
      <c r="AG250" s="83">
        <v>0.5</v>
      </c>
    </row>
    <row r="251" spans="6:33">
      <c r="F251" s="370">
        <v>1</v>
      </c>
      <c r="G251" s="137" t="s">
        <v>233</v>
      </c>
      <c r="H251" s="136" t="s">
        <v>326</v>
      </c>
      <c r="I251" s="136" t="s">
        <v>549</v>
      </c>
      <c r="J251" s="136" t="s">
        <v>203</v>
      </c>
      <c r="K251" s="191">
        <v>-0.14119999999999999</v>
      </c>
      <c r="L251" s="191">
        <v>-0.1076582</v>
      </c>
      <c r="M251" s="191">
        <v>0</v>
      </c>
      <c r="N251" s="191">
        <v>-1.6479477940849101</v>
      </c>
      <c r="O251" s="191">
        <v>-2.6253096794248267</v>
      </c>
      <c r="P251" s="191">
        <v>-1.3838891953461199</v>
      </c>
      <c r="Q251" s="191">
        <v>-1.0562974873610167</v>
      </c>
      <c r="R251" s="191">
        <v>3.2207841403344636E-2</v>
      </c>
      <c r="T251" s="46">
        <v>1</v>
      </c>
      <c r="U251" s="53" t="s">
        <v>529</v>
      </c>
      <c r="V251" s="47" t="s">
        <v>332</v>
      </c>
      <c r="W251" s="47" t="s">
        <v>549</v>
      </c>
      <c r="X251" s="47" t="s">
        <v>203</v>
      </c>
      <c r="Y251" s="58">
        <v>2.5034000000000001</v>
      </c>
      <c r="Z251" s="193">
        <v>1.0183800000000001</v>
      </c>
      <c r="AB251" s="3" t="s">
        <v>526</v>
      </c>
      <c r="AC251" s="125">
        <v>0.72499999999999998</v>
      </c>
      <c r="AD251" s="3">
        <v>0.14482945764999999</v>
      </c>
      <c r="AE251" s="3" t="s">
        <v>541</v>
      </c>
      <c r="AF251" s="3"/>
      <c r="AG251" s="3"/>
    </row>
    <row r="252" spans="6:33">
      <c r="F252" s="370">
        <v>1</v>
      </c>
      <c r="G252" s="137" t="s">
        <v>261</v>
      </c>
      <c r="H252" s="136" t="s">
        <v>10179</v>
      </c>
      <c r="I252" s="136" t="s">
        <v>549</v>
      </c>
      <c r="J252" s="136" t="s">
        <v>203</v>
      </c>
      <c r="K252" s="191">
        <v>-4.72241</v>
      </c>
      <c r="L252" s="191">
        <v>-2.3594331999999998</v>
      </c>
      <c r="M252" s="191">
        <v>0</v>
      </c>
      <c r="N252" s="191">
        <v>-0.3634073714566548</v>
      </c>
      <c r="O252" s="191">
        <v>-0.5926848604143482</v>
      </c>
      <c r="P252" s="191">
        <v>0.14826167031641715</v>
      </c>
      <c r="Q252" s="191">
        <v>-0.18021909408382583</v>
      </c>
      <c r="R252" s="191">
        <v>2.5406680087387983E-2</v>
      </c>
      <c r="T252" s="46">
        <v>1</v>
      </c>
      <c r="U252" s="53" t="s">
        <v>252</v>
      </c>
      <c r="V252" s="47" t="s">
        <v>252</v>
      </c>
      <c r="W252" s="47" t="s">
        <v>549</v>
      </c>
      <c r="X252" s="47" t="s">
        <v>203</v>
      </c>
      <c r="Y252" s="58">
        <v>2.0953266666666663</v>
      </c>
      <c r="Z252" s="193">
        <v>1.77911</v>
      </c>
      <c r="AB252" s="3"/>
      <c r="AC252" s="3"/>
      <c r="AD252" s="3"/>
      <c r="AE252" s="3"/>
      <c r="AF252" s="3"/>
      <c r="AG252" s="3"/>
    </row>
    <row r="253" spans="6:33" ht="28.8">
      <c r="F253" s="370">
        <v>1</v>
      </c>
      <c r="G253" s="137" t="s">
        <v>261</v>
      </c>
      <c r="H253" s="136" t="s">
        <v>269</v>
      </c>
      <c r="I253" s="136" t="s">
        <v>549</v>
      </c>
      <c r="J253" s="136" t="s">
        <v>203</v>
      </c>
      <c r="K253" s="191">
        <v>-0.25034000000000001</v>
      </c>
      <c r="L253" s="191">
        <v>-0.1233982</v>
      </c>
      <c r="M253" s="191">
        <v>0</v>
      </c>
      <c r="N253" s="191">
        <v>-0.30335986083094563</v>
      </c>
      <c r="O253" s="191">
        <v>-0.50244214620484595</v>
      </c>
      <c r="P253" s="191">
        <v>0.17908328713614932</v>
      </c>
      <c r="Q253" s="191">
        <v>-0.124592242247965</v>
      </c>
      <c r="R253" s="191">
        <v>2.5084555191885068E-2</v>
      </c>
      <c r="T253" s="46">
        <v>1</v>
      </c>
      <c r="U253" s="53" t="s">
        <v>252</v>
      </c>
      <c r="V253" s="47" t="s">
        <v>253</v>
      </c>
      <c r="W253" s="47" t="s">
        <v>549</v>
      </c>
      <c r="X253" s="47" t="s">
        <v>203</v>
      </c>
      <c r="Y253" s="58">
        <v>2.04928</v>
      </c>
      <c r="Z253" s="193">
        <v>1.77911</v>
      </c>
      <c r="AB253" s="3"/>
      <c r="AC253" s="3"/>
      <c r="AD253" s="3"/>
      <c r="AE253" s="3"/>
      <c r="AF253" s="3"/>
      <c r="AG253" s="3"/>
    </row>
    <row r="254" spans="6:33" ht="28.8">
      <c r="F254" s="370">
        <v>1</v>
      </c>
      <c r="G254" s="137" t="s">
        <v>261</v>
      </c>
      <c r="H254" s="136" t="s">
        <v>530</v>
      </c>
      <c r="I254" s="136" t="s">
        <v>549</v>
      </c>
      <c r="J254" s="136" t="s">
        <v>203</v>
      </c>
      <c r="K254" s="191">
        <v>-9.1944800000000004</v>
      </c>
      <c r="L254" s="191">
        <v>-4.5954682</v>
      </c>
      <c r="M254" s="191">
        <v>0</v>
      </c>
      <c r="N254" s="191">
        <v>-0.42345488208236404</v>
      </c>
      <c r="O254" s="191">
        <v>-0.68292757462385045</v>
      </c>
      <c r="P254" s="191">
        <v>0.117440053496685</v>
      </c>
      <c r="Q254" s="191">
        <v>-0.23584594591968666</v>
      </c>
      <c r="R254" s="191">
        <v>2.5728804982890902E-2</v>
      </c>
      <c r="T254" s="46">
        <v>1</v>
      </c>
      <c r="U254" s="53" t="s">
        <v>252</v>
      </c>
      <c r="V254" s="47" t="s">
        <v>328</v>
      </c>
      <c r="W254" s="47" t="s">
        <v>549</v>
      </c>
      <c r="X254" s="47" t="s">
        <v>203</v>
      </c>
      <c r="Y254" s="58">
        <v>2.3231199999999999</v>
      </c>
      <c r="Z254" s="193">
        <v>1.77911</v>
      </c>
      <c r="AB254" s="3"/>
      <c r="AC254" s="3"/>
      <c r="AD254" s="3"/>
      <c r="AE254" s="3"/>
      <c r="AF254" s="3"/>
      <c r="AG254" s="3"/>
    </row>
    <row r="255" spans="6:33">
      <c r="F255" s="370">
        <v>1</v>
      </c>
      <c r="G255" s="137" t="s">
        <v>261</v>
      </c>
      <c r="H255" s="136" t="s">
        <v>262</v>
      </c>
      <c r="I255" s="136" t="s">
        <v>549</v>
      </c>
      <c r="J255" s="136" t="s">
        <v>203</v>
      </c>
      <c r="K255" s="191">
        <v>-2.5034000000000001</v>
      </c>
      <c r="L255" s="191">
        <v>0</v>
      </c>
      <c r="M255" s="191">
        <v>0</v>
      </c>
      <c r="N255" s="191">
        <v>-0.42345488208236404</v>
      </c>
      <c r="O255" s="191">
        <v>-0.68292757462385045</v>
      </c>
      <c r="P255" s="191">
        <v>0.117440053496685</v>
      </c>
      <c r="Q255" s="191">
        <v>-0.23584594591968666</v>
      </c>
      <c r="R255" s="191">
        <v>2.5728804982890902E-2</v>
      </c>
      <c r="T255" s="46">
        <v>1</v>
      </c>
      <c r="U255" s="53" t="s">
        <v>252</v>
      </c>
      <c r="V255" s="47" t="s">
        <v>254</v>
      </c>
      <c r="W255" s="47" t="s">
        <v>549</v>
      </c>
      <c r="X255" s="47" t="s">
        <v>203</v>
      </c>
      <c r="Y255" s="58">
        <v>2.1485799999999999</v>
      </c>
      <c r="Z255" s="193">
        <v>1.77911</v>
      </c>
      <c r="AB255" s="3" t="s">
        <v>526</v>
      </c>
      <c r="AC255" s="125">
        <v>0.77500000000000002</v>
      </c>
      <c r="AD255" s="3">
        <v>0</v>
      </c>
      <c r="AE255" s="3" t="s">
        <v>527</v>
      </c>
      <c r="AF255" s="3"/>
      <c r="AG255" s="3"/>
    </row>
    <row r="256" spans="6:33">
      <c r="F256" s="370">
        <v>1</v>
      </c>
      <c r="G256" s="137" t="s">
        <v>252</v>
      </c>
      <c r="H256" s="136" t="s">
        <v>10180</v>
      </c>
      <c r="I256" s="136" t="s">
        <v>549</v>
      </c>
      <c r="J256" s="136" t="s">
        <v>203</v>
      </c>
      <c r="K256" s="191">
        <v>-2.0953266666666663</v>
      </c>
      <c r="L256" s="191">
        <v>-1.5407999593666664</v>
      </c>
      <c r="M256" s="191">
        <v>-4.4030402701352562</v>
      </c>
      <c r="N256" s="191">
        <v>0</v>
      </c>
      <c r="O256" s="191">
        <v>0</v>
      </c>
      <c r="P256" s="191">
        <v>2.6025029664629367E-2</v>
      </c>
      <c r="Q256" s="191">
        <v>0.60512788547787932</v>
      </c>
      <c r="R256" s="191">
        <v>2.1870248780094035</v>
      </c>
      <c r="T256" s="46">
        <v>1</v>
      </c>
      <c r="U256" s="53" t="s">
        <v>252</v>
      </c>
      <c r="V256" s="47" t="s">
        <v>532</v>
      </c>
      <c r="W256" s="47" t="s">
        <v>549</v>
      </c>
      <c r="X256" s="47" t="s">
        <v>203</v>
      </c>
      <c r="Y256" s="58">
        <v>1.9492499999999999</v>
      </c>
      <c r="Z256" s="193">
        <v>1.77911</v>
      </c>
      <c r="AB256" s="3" t="s">
        <v>526</v>
      </c>
      <c r="AC256" s="125">
        <v>0.77500000000000002</v>
      </c>
      <c r="AD256" s="3">
        <v>0</v>
      </c>
      <c r="AE256" s="3" t="s">
        <v>527</v>
      </c>
      <c r="AF256" s="3"/>
      <c r="AG256" s="3"/>
    </row>
    <row r="257" spans="6:33" ht="57.6">
      <c r="F257" s="370">
        <v>1</v>
      </c>
      <c r="G257" s="137" t="s">
        <v>252</v>
      </c>
      <c r="H257" s="136" t="s">
        <v>10163</v>
      </c>
      <c r="I257" s="136" t="s">
        <v>549</v>
      </c>
      <c r="J257" s="136" t="s">
        <v>203</v>
      </c>
      <c r="K257" s="191">
        <v>-2.04928</v>
      </c>
      <c r="L257" s="191">
        <v>0</v>
      </c>
      <c r="M257" s="191">
        <v>-3.8627047504836902</v>
      </c>
      <c r="N257" s="191">
        <v>0</v>
      </c>
      <c r="O257" s="191">
        <v>0</v>
      </c>
      <c r="P257" s="191">
        <v>2.60250266611744E-2</v>
      </c>
      <c r="Q257" s="191">
        <v>0.45368959788048563</v>
      </c>
      <c r="R257" s="191">
        <v>3.1831777526066403</v>
      </c>
      <c r="T257" s="46">
        <v>1</v>
      </c>
      <c r="U257" s="53" t="s">
        <v>252</v>
      </c>
      <c r="V257" s="47" t="s">
        <v>245</v>
      </c>
      <c r="W257" s="47" t="s">
        <v>549</v>
      </c>
      <c r="X257" s="47" t="s">
        <v>203</v>
      </c>
      <c r="Y257" s="58">
        <v>2.0269300000000001</v>
      </c>
      <c r="Z257" s="193">
        <v>1.77911</v>
      </c>
      <c r="AB257" s="3" t="s">
        <v>526</v>
      </c>
      <c r="AC257" s="125">
        <v>0.77500000000000002</v>
      </c>
      <c r="AD257" s="3">
        <v>0</v>
      </c>
      <c r="AE257" s="3" t="s">
        <v>527</v>
      </c>
      <c r="AF257" s="3"/>
      <c r="AG257" s="3"/>
    </row>
    <row r="258" spans="6:33" ht="28.8">
      <c r="F258" s="370">
        <v>1</v>
      </c>
      <c r="G258" s="137" t="s">
        <v>252</v>
      </c>
      <c r="H258" s="136" t="s">
        <v>10164</v>
      </c>
      <c r="I258" s="136" t="s">
        <v>549</v>
      </c>
      <c r="J258" s="136" t="s">
        <v>203</v>
      </c>
      <c r="K258" s="191">
        <v>-2.3231199999999999</v>
      </c>
      <c r="L258" s="191">
        <v>0</v>
      </c>
      <c r="M258" s="191">
        <v>-4.5565848181288349</v>
      </c>
      <c r="N258" s="191">
        <v>0</v>
      </c>
      <c r="O258" s="191">
        <v>0</v>
      </c>
      <c r="P258" s="191">
        <v>2.6025027456978402E-2</v>
      </c>
      <c r="Q258" s="191">
        <v>0.50719626388394135</v>
      </c>
      <c r="R258" s="191">
        <v>2.4956081714469001</v>
      </c>
      <c r="T258" s="46">
        <v>1</v>
      </c>
      <c r="U258" s="53" t="s">
        <v>252</v>
      </c>
      <c r="V258" s="47" t="s">
        <v>533</v>
      </c>
      <c r="W258" s="47" t="s">
        <v>549</v>
      </c>
      <c r="X258" s="47" t="s">
        <v>203</v>
      </c>
      <c r="Y258" s="58">
        <v>2.0748000000000002</v>
      </c>
      <c r="Z258" s="193">
        <v>1.77911</v>
      </c>
      <c r="AB258" s="3" t="s">
        <v>526</v>
      </c>
      <c r="AC258" s="83">
        <v>0.5</v>
      </c>
      <c r="AD258" s="3">
        <v>0</v>
      </c>
      <c r="AE258" s="3" t="s">
        <v>528</v>
      </c>
      <c r="AF258" s="3"/>
      <c r="AG258" s="3"/>
    </row>
    <row r="259" spans="6:33" ht="28.8">
      <c r="F259" s="370">
        <v>1</v>
      </c>
      <c r="G259" s="137" t="s">
        <v>252</v>
      </c>
      <c r="H259" s="136" t="s">
        <v>10165</v>
      </c>
      <c r="I259" s="136" t="s">
        <v>549</v>
      </c>
      <c r="J259" s="136" t="s">
        <v>203</v>
      </c>
      <c r="K259" s="191">
        <v>-2.1485799999999999</v>
      </c>
      <c r="L259" s="191">
        <v>0</v>
      </c>
      <c r="M259" s="191">
        <v>-4.6362866937996658</v>
      </c>
      <c r="N259" s="191">
        <v>0</v>
      </c>
      <c r="O259" s="191">
        <v>0</v>
      </c>
      <c r="P259" s="191">
        <v>2.602502666117433E-2</v>
      </c>
      <c r="Q259" s="191">
        <v>0.67081228326731235</v>
      </c>
      <c r="R259" s="191">
        <v>2.5363326417418097</v>
      </c>
      <c r="T259" s="46">
        <v>1</v>
      </c>
      <c r="U259" s="53" t="s">
        <v>242</v>
      </c>
      <c r="V259" s="47" t="s">
        <v>242</v>
      </c>
      <c r="W259" s="47" t="s">
        <v>549</v>
      </c>
      <c r="X259" s="47" t="s">
        <v>203</v>
      </c>
      <c r="Y259" s="58">
        <v>38.486130000000003</v>
      </c>
      <c r="Z259" s="193">
        <v>0.20843</v>
      </c>
      <c r="AB259" s="3" t="s">
        <v>526</v>
      </c>
      <c r="AC259" s="83">
        <v>0.5</v>
      </c>
      <c r="AD259" s="3">
        <v>0</v>
      </c>
      <c r="AE259" s="3" t="s">
        <v>528</v>
      </c>
      <c r="AF259" s="3"/>
      <c r="AG259" s="3"/>
    </row>
    <row r="260" spans="6:33" ht="28.8">
      <c r="F260" s="370">
        <v>1</v>
      </c>
      <c r="G260" s="137" t="s">
        <v>252</v>
      </c>
      <c r="H260" s="136" t="s">
        <v>10166</v>
      </c>
      <c r="I260" s="136" t="s">
        <v>549</v>
      </c>
      <c r="J260" s="136" t="s">
        <v>203</v>
      </c>
      <c r="K260" s="191">
        <v>-1.9492499999999999</v>
      </c>
      <c r="L260" s="191">
        <v>0</v>
      </c>
      <c r="M260" s="191">
        <v>-4.5565848181288349</v>
      </c>
      <c r="N260" s="191">
        <v>0</v>
      </c>
      <c r="O260" s="191">
        <v>0</v>
      </c>
      <c r="P260" s="191">
        <v>2.6025027456978402E-2</v>
      </c>
      <c r="Q260" s="191">
        <v>0.50719626388394135</v>
      </c>
      <c r="R260" s="191">
        <v>2.4956081714469001</v>
      </c>
      <c r="T260" s="46">
        <v>1</v>
      </c>
      <c r="U260" s="53" t="s">
        <v>242</v>
      </c>
      <c r="V260" s="47" t="s">
        <v>242</v>
      </c>
      <c r="W260" s="47" t="s">
        <v>549</v>
      </c>
      <c r="X260" s="47" t="s">
        <v>203</v>
      </c>
      <c r="Y260" s="58">
        <v>38.486130000000003</v>
      </c>
      <c r="Z260" s="193">
        <v>0.20843</v>
      </c>
      <c r="AB260" s="3"/>
      <c r="AC260" s="3"/>
      <c r="AD260" s="3"/>
      <c r="AE260" s="3"/>
      <c r="AF260" s="3"/>
      <c r="AG260" s="3"/>
    </row>
    <row r="261" spans="6:33">
      <c r="F261" s="370">
        <v>1</v>
      </c>
      <c r="G261" s="137" t="s">
        <v>252</v>
      </c>
      <c r="H261" s="136" t="s">
        <v>10167</v>
      </c>
      <c r="I261" s="136" t="s">
        <v>549</v>
      </c>
      <c r="J261" s="136" t="s">
        <v>203</v>
      </c>
      <c r="K261" s="191">
        <v>-2.0269300000000001</v>
      </c>
      <c r="L261" s="191">
        <v>0</v>
      </c>
      <c r="M261" s="191">
        <v>0</v>
      </c>
      <c r="N261" s="191">
        <v>0</v>
      </c>
      <c r="O261" s="191">
        <v>0</v>
      </c>
      <c r="P261" s="191">
        <v>2.6025027575625633E-2</v>
      </c>
      <c r="Q261" s="191">
        <v>0.407723092548824</v>
      </c>
      <c r="R261" s="191">
        <v>3.1833670625087436</v>
      </c>
      <c r="T261" s="46">
        <v>1</v>
      </c>
      <c r="U261" s="53" t="s">
        <v>242</v>
      </c>
      <c r="V261" s="47" t="s">
        <v>534</v>
      </c>
      <c r="W261" s="47" t="s">
        <v>549</v>
      </c>
      <c r="X261" s="47" t="s">
        <v>203</v>
      </c>
      <c r="Y261" s="58">
        <v>15.0122</v>
      </c>
      <c r="Z261" s="193">
        <v>0.37092000000000003</v>
      </c>
      <c r="AB261" s="3" t="s">
        <v>526</v>
      </c>
      <c r="AC261" s="125">
        <v>0.77500000000000002</v>
      </c>
      <c r="AD261" s="3">
        <v>8.1306407300000008E-2</v>
      </c>
      <c r="AE261" s="3" t="s">
        <v>531</v>
      </c>
      <c r="AF261" s="3" t="s">
        <v>526</v>
      </c>
      <c r="AG261" s="83">
        <v>0.85</v>
      </c>
    </row>
    <row r="262" spans="6:33">
      <c r="F262" s="370">
        <v>1</v>
      </c>
      <c r="G262" s="137" t="s">
        <v>252</v>
      </c>
      <c r="H262" s="136" t="s">
        <v>10168</v>
      </c>
      <c r="I262" s="136" t="s">
        <v>549</v>
      </c>
      <c r="J262" s="136" t="s">
        <v>203</v>
      </c>
      <c r="K262" s="191">
        <v>-2.0748000000000002</v>
      </c>
      <c r="L262" s="191">
        <v>0</v>
      </c>
      <c r="M262" s="191">
        <v>0</v>
      </c>
      <c r="N262" s="191">
        <v>0</v>
      </c>
      <c r="O262" s="191">
        <v>0</v>
      </c>
      <c r="P262" s="191">
        <v>2.6025022412781467E-2</v>
      </c>
      <c r="Q262" s="191">
        <v>0.61075536192005531</v>
      </c>
      <c r="R262" s="191">
        <v>3.0368307921801865</v>
      </c>
      <c r="T262" s="46">
        <v>1</v>
      </c>
      <c r="U262" s="53" t="s">
        <v>239</v>
      </c>
      <c r="V262" s="47" t="s">
        <v>239</v>
      </c>
      <c r="W262" s="47" t="s">
        <v>549</v>
      </c>
      <c r="X262" s="47" t="s">
        <v>203</v>
      </c>
      <c r="Y262" s="58">
        <v>2.6644477777777777</v>
      </c>
      <c r="Z262" s="193">
        <v>0.64099666666666666</v>
      </c>
      <c r="AB262" s="3" t="s">
        <v>526</v>
      </c>
      <c r="AC262" s="125">
        <v>0.77500000000000002</v>
      </c>
      <c r="AD262" s="3">
        <v>8.1306407300000008E-2</v>
      </c>
      <c r="AE262" s="3" t="s">
        <v>531</v>
      </c>
      <c r="AF262" s="3" t="s">
        <v>526</v>
      </c>
      <c r="AG262" s="83">
        <v>0.7</v>
      </c>
    </row>
    <row r="263" spans="6:33">
      <c r="F263" s="370">
        <v>1</v>
      </c>
      <c r="G263" s="137" t="s">
        <v>242</v>
      </c>
      <c r="H263" s="136" t="s">
        <v>10181</v>
      </c>
      <c r="I263" s="136" t="s">
        <v>549</v>
      </c>
      <c r="J263" s="136" t="s">
        <v>203</v>
      </c>
      <c r="K263" s="191">
        <v>-38.486130000000003</v>
      </c>
      <c r="L263" s="191">
        <v>-27.900672450000002</v>
      </c>
      <c r="M263" s="191">
        <v>-3.2868550000000001</v>
      </c>
      <c r="N263" s="191">
        <v>0</v>
      </c>
      <c r="O263" s="191">
        <v>0</v>
      </c>
      <c r="P263" s="191">
        <v>2.5860000000000005E-2</v>
      </c>
      <c r="Q263" s="191">
        <v>4.1701833148022838E-2</v>
      </c>
      <c r="R263" s="191">
        <v>4.8916569797789571E-2</v>
      </c>
      <c r="T263" s="46">
        <v>1</v>
      </c>
      <c r="U263" s="53" t="s">
        <v>239</v>
      </c>
      <c r="V263" s="47" t="s">
        <v>324</v>
      </c>
      <c r="W263" s="47" t="s">
        <v>549</v>
      </c>
      <c r="X263" s="47" t="s">
        <v>203</v>
      </c>
      <c r="Y263" s="58">
        <v>1.66</v>
      </c>
      <c r="Z263" s="193">
        <v>0.13142999999999999</v>
      </c>
      <c r="AB263" s="3"/>
      <c r="AC263" s="3"/>
      <c r="AD263" s="3"/>
      <c r="AE263" s="3"/>
      <c r="AF263" s="3" t="s">
        <v>526</v>
      </c>
      <c r="AG263" s="83">
        <v>0.8</v>
      </c>
    </row>
    <row r="264" spans="6:33">
      <c r="F264" s="370">
        <v>1</v>
      </c>
      <c r="G264" s="137" t="s">
        <v>242</v>
      </c>
      <c r="H264" s="136" t="s">
        <v>274</v>
      </c>
      <c r="I264" s="136" t="s">
        <v>549</v>
      </c>
      <c r="J264" s="136" t="s">
        <v>203</v>
      </c>
      <c r="K264" s="191">
        <v>-38.486130000000003</v>
      </c>
      <c r="L264" s="191">
        <v>-27.900672450000002</v>
      </c>
      <c r="M264" s="191">
        <v>-8.5278425000000002</v>
      </c>
      <c r="N264" s="191">
        <v>0</v>
      </c>
      <c r="O264" s="191">
        <v>0</v>
      </c>
      <c r="P264" s="191">
        <v>2.5860000000000005E-2</v>
      </c>
      <c r="Q264" s="191">
        <v>4.1701833148022838E-2</v>
      </c>
      <c r="R264" s="191">
        <v>4.8916569797789571E-2</v>
      </c>
      <c r="T264" s="46">
        <v>1</v>
      </c>
      <c r="U264" s="53" t="s">
        <v>239</v>
      </c>
      <c r="V264" s="47" t="s">
        <v>272</v>
      </c>
      <c r="W264" s="47" t="s">
        <v>549</v>
      </c>
      <c r="X264" s="47" t="s">
        <v>203</v>
      </c>
      <c r="Y264" s="58">
        <v>2.1278299999999999</v>
      </c>
      <c r="Z264" s="193">
        <v>1.2152400000000001</v>
      </c>
      <c r="AB264" s="3" t="s">
        <v>526</v>
      </c>
      <c r="AC264" s="125">
        <v>0.77500000000000002</v>
      </c>
      <c r="AD264" s="3">
        <v>8.1306407300000008E-2</v>
      </c>
      <c r="AE264" s="3" t="s">
        <v>531</v>
      </c>
      <c r="AF264" s="3" t="s">
        <v>526</v>
      </c>
      <c r="AG264" s="83">
        <v>0.7</v>
      </c>
    </row>
    <row r="265" spans="6:33">
      <c r="F265" s="370">
        <v>1</v>
      </c>
      <c r="G265" s="137" t="s">
        <v>242</v>
      </c>
      <c r="H265" s="136" t="s">
        <v>534</v>
      </c>
      <c r="I265" s="136" t="s">
        <v>549</v>
      </c>
      <c r="J265" s="136" t="s">
        <v>203</v>
      </c>
      <c r="K265" s="191">
        <v>-15.0122</v>
      </c>
      <c r="L265" s="191">
        <v>-10.882073199999999</v>
      </c>
      <c r="M265" s="191">
        <v>-3.19428</v>
      </c>
      <c r="N265" s="191">
        <v>0</v>
      </c>
      <c r="O265" s="191">
        <v>0</v>
      </c>
      <c r="P265" s="191">
        <v>2.5860000000000005E-2</v>
      </c>
      <c r="Q265" s="191">
        <v>4.1701833148022838E-2</v>
      </c>
      <c r="R265" s="191">
        <v>4.8916569797789571E-2</v>
      </c>
      <c r="T265" s="46">
        <v>1</v>
      </c>
      <c r="U265" s="53" t="s">
        <v>239</v>
      </c>
      <c r="V265" s="47" t="s">
        <v>329</v>
      </c>
      <c r="W265" s="47" t="s">
        <v>549</v>
      </c>
      <c r="X265" s="47" t="s">
        <v>203</v>
      </c>
      <c r="Y265" s="58">
        <v>3.4792200000000002</v>
      </c>
      <c r="Z265" s="193">
        <v>1.0383</v>
      </c>
      <c r="AB265" s="3"/>
      <c r="AC265" s="3"/>
      <c r="AD265" s="3"/>
      <c r="AE265" s="3"/>
      <c r="AF265" s="3"/>
      <c r="AG265" s="83"/>
    </row>
    <row r="266" spans="6:33">
      <c r="F266" s="370">
        <v>1</v>
      </c>
      <c r="G266" s="137" t="s">
        <v>239</v>
      </c>
      <c r="H266" s="136" t="s">
        <v>10182</v>
      </c>
      <c r="I266" s="136" t="s">
        <v>549</v>
      </c>
      <c r="J266" s="136" t="s">
        <v>203</v>
      </c>
      <c r="K266" s="191">
        <v>-2.6644477777777777</v>
      </c>
      <c r="L266" s="191">
        <v>-1.7194614644444446</v>
      </c>
      <c r="M266" s="191">
        <v>-0.83663902123242406</v>
      </c>
      <c r="N266" s="191">
        <v>-1.6373018863756965</v>
      </c>
      <c r="O266" s="191">
        <v>-2.3894460464658995</v>
      </c>
      <c r="P266" s="191">
        <v>-0.6467389853567006</v>
      </c>
      <c r="Q266" s="191">
        <v>-0.85256236423159593</v>
      </c>
      <c r="R266" s="191">
        <v>2.7471796049995733E-2</v>
      </c>
      <c r="T266" s="46">
        <v>1</v>
      </c>
      <c r="U266" s="53" t="s">
        <v>239</v>
      </c>
      <c r="V266" s="47" t="s">
        <v>271</v>
      </c>
      <c r="W266" s="47" t="s">
        <v>549</v>
      </c>
      <c r="X266" s="47" t="s">
        <v>203</v>
      </c>
      <c r="Y266" s="58">
        <v>3.1045600000000002</v>
      </c>
      <c r="Z266" s="193">
        <v>0.12864</v>
      </c>
      <c r="AB266" s="3" t="s">
        <v>526</v>
      </c>
      <c r="AC266" s="125">
        <v>0.77500000000000002</v>
      </c>
      <c r="AD266" s="3">
        <v>8.1306407300000008E-2</v>
      </c>
      <c r="AE266" s="3" t="s">
        <v>531</v>
      </c>
      <c r="AF266" s="3"/>
      <c r="AG266" s="3"/>
    </row>
    <row r="267" spans="6:33">
      <c r="F267" s="370">
        <v>1</v>
      </c>
      <c r="G267" s="137" t="s">
        <v>239</v>
      </c>
      <c r="H267" s="136" t="s">
        <v>324</v>
      </c>
      <c r="I267" s="136" t="s">
        <v>549</v>
      </c>
      <c r="J267" s="136" t="s">
        <v>203</v>
      </c>
      <c r="K267" s="191">
        <v>-1.66</v>
      </c>
      <c r="L267" s="191">
        <v>0</v>
      </c>
      <c r="M267" s="191">
        <v>0.21397763465621492</v>
      </c>
      <c r="N267" s="191">
        <v>-1.64787437333598</v>
      </c>
      <c r="O267" s="191">
        <v>-2.2422669910732633</v>
      </c>
      <c r="P267" s="191">
        <v>-1.1293646113399698</v>
      </c>
      <c r="Q267" s="191">
        <v>-0.92698772167415167</v>
      </c>
      <c r="R267" s="191">
        <v>2.6682569572587897E-2</v>
      </c>
      <c r="T267" s="46">
        <v>1</v>
      </c>
      <c r="U267" s="53" t="s">
        <v>239</v>
      </c>
      <c r="V267" s="47" t="s">
        <v>535</v>
      </c>
      <c r="W267" s="47" t="s">
        <v>549</v>
      </c>
      <c r="X267" s="47" t="s">
        <v>203</v>
      </c>
      <c r="Y267" s="58">
        <v>3.1045600000000002</v>
      </c>
      <c r="Z267" s="193">
        <v>0.12864</v>
      </c>
      <c r="AB267" s="3" t="s">
        <v>526</v>
      </c>
      <c r="AC267" s="125">
        <v>0.72499999999999998</v>
      </c>
      <c r="AD267" s="3">
        <v>8.1306407300000008E-2</v>
      </c>
      <c r="AE267" s="3" t="s">
        <v>531</v>
      </c>
      <c r="AF267" s="3"/>
      <c r="AG267" s="3"/>
    </row>
    <row r="268" spans="6:33">
      <c r="F268" s="370">
        <v>1</v>
      </c>
      <c r="G268" s="137" t="s">
        <v>239</v>
      </c>
      <c r="H268" s="136" t="s">
        <v>272</v>
      </c>
      <c r="I268" s="136" t="s">
        <v>549</v>
      </c>
      <c r="J268" s="136" t="s">
        <v>203</v>
      </c>
      <c r="K268" s="191">
        <v>-2.1278299999999999</v>
      </c>
      <c r="L268" s="191">
        <v>-1.3728063799999999</v>
      </c>
      <c r="M268" s="191">
        <v>-6.3997747718106601E-3</v>
      </c>
      <c r="N268" s="191">
        <v>-1.4747119437386234</v>
      </c>
      <c r="O268" s="191">
        <v>-2.2507098322481234</v>
      </c>
      <c r="P268" s="191">
        <v>3.1389999999999994E-2</v>
      </c>
      <c r="Q268" s="191">
        <v>-0.72862076411143928</v>
      </c>
      <c r="R268" s="191">
        <v>3.4585229713848704E-2</v>
      </c>
      <c r="T268" s="46">
        <v>1</v>
      </c>
      <c r="U268" s="53" t="s">
        <v>239</v>
      </c>
      <c r="V268" s="47" t="s">
        <v>259</v>
      </c>
      <c r="W268" s="47" t="s">
        <v>549</v>
      </c>
      <c r="X268" s="47" t="s">
        <v>203</v>
      </c>
      <c r="Y268" s="58">
        <v>2.86965</v>
      </c>
      <c r="Z268" s="193">
        <v>0.79600000000000004</v>
      </c>
      <c r="AB268" s="3" t="s">
        <v>526</v>
      </c>
      <c r="AC268" s="125">
        <v>0.72499999999999998</v>
      </c>
      <c r="AD268" s="3">
        <v>8.1306407300000008E-2</v>
      </c>
      <c r="AE268" s="3" t="s">
        <v>531</v>
      </c>
      <c r="AF268" s="3"/>
      <c r="AG268" s="3"/>
    </row>
    <row r="269" spans="6:33">
      <c r="F269" s="370">
        <v>1</v>
      </c>
      <c r="G269" s="137" t="s">
        <v>239</v>
      </c>
      <c r="H269" s="136" t="s">
        <v>329</v>
      </c>
      <c r="I269" s="136" t="s">
        <v>549</v>
      </c>
      <c r="J269" s="136" t="s">
        <v>203</v>
      </c>
      <c r="K269" s="191">
        <v>-3.4792200000000002</v>
      </c>
      <c r="L269" s="191">
        <v>0</v>
      </c>
      <c r="M269" s="191">
        <v>-3.0359364948299157</v>
      </c>
      <c r="N269" s="191">
        <v>-1.5973009654564798</v>
      </c>
      <c r="O269" s="191">
        <v>-2.4963286456373734</v>
      </c>
      <c r="P269" s="191">
        <v>0.45861148441439831</v>
      </c>
      <c r="Q269" s="191">
        <v>-0.73126295394444896</v>
      </c>
      <c r="R269" s="191">
        <v>3.7248152483366499E-2</v>
      </c>
      <c r="T269" s="46">
        <v>1</v>
      </c>
      <c r="U269" s="53" t="s">
        <v>239</v>
      </c>
      <c r="V269" s="47" t="s">
        <v>334</v>
      </c>
      <c r="W269" s="47" t="s">
        <v>549</v>
      </c>
      <c r="X269" s="47" t="s">
        <v>203</v>
      </c>
      <c r="Y269" s="58">
        <v>2.86965</v>
      </c>
      <c r="Z269" s="193">
        <v>0.76736000000000004</v>
      </c>
      <c r="AB269" s="3" t="s">
        <v>526</v>
      </c>
      <c r="AC269" s="125">
        <v>0.64600000000000002</v>
      </c>
      <c r="AD269" s="3">
        <v>8.1306407300000008E-2</v>
      </c>
      <c r="AE269" s="3" t="s">
        <v>531</v>
      </c>
      <c r="AF269" s="3" t="s">
        <v>526</v>
      </c>
      <c r="AG269" s="83">
        <v>0.8</v>
      </c>
    </row>
    <row r="270" spans="6:33">
      <c r="F270" s="370">
        <v>1</v>
      </c>
      <c r="G270" s="137" t="s">
        <v>239</v>
      </c>
      <c r="H270" s="136" t="s">
        <v>271</v>
      </c>
      <c r="I270" s="136" t="s">
        <v>549</v>
      </c>
      <c r="J270" s="136" t="s">
        <v>203</v>
      </c>
      <c r="K270" s="191">
        <v>-3.1045600000000002</v>
      </c>
      <c r="L270" s="191">
        <v>0</v>
      </c>
      <c r="M270" s="191">
        <v>-0.94121889888647692</v>
      </c>
      <c r="N270" s="191">
        <v>-1.5126161299837868</v>
      </c>
      <c r="O270" s="191">
        <v>-2.5976127028688434</v>
      </c>
      <c r="P270" s="191">
        <v>-0.65525922104237366</v>
      </c>
      <c r="Q270" s="191">
        <v>-0.69655977558600035</v>
      </c>
      <c r="R270" s="191">
        <v>4.0393197678032532E-2</v>
      </c>
      <c r="T270" s="46">
        <v>1</v>
      </c>
      <c r="U270" s="53" t="s">
        <v>239</v>
      </c>
      <c r="V270" s="47" t="s">
        <v>240</v>
      </c>
      <c r="W270" s="47" t="s">
        <v>549</v>
      </c>
      <c r="X270" s="47" t="s">
        <v>203</v>
      </c>
      <c r="Y270" s="58">
        <v>3.1045600000000002</v>
      </c>
      <c r="Z270" s="193">
        <v>0.76736000000000004</v>
      </c>
      <c r="AB270" s="3"/>
      <c r="AC270" s="3"/>
      <c r="AD270" s="3"/>
      <c r="AE270" s="3"/>
      <c r="AF270" s="3" t="s">
        <v>526</v>
      </c>
      <c r="AG270" s="83">
        <v>0.88</v>
      </c>
    </row>
    <row r="271" spans="6:33" ht="28.8">
      <c r="F271" s="370">
        <v>1</v>
      </c>
      <c r="G271" s="137" t="s">
        <v>239</v>
      </c>
      <c r="H271" s="136" t="s">
        <v>535</v>
      </c>
      <c r="I271" s="136" t="s">
        <v>549</v>
      </c>
      <c r="J271" s="136" t="s">
        <v>203</v>
      </c>
      <c r="K271" s="191">
        <v>-3.1045600000000002</v>
      </c>
      <c r="L271" s="191">
        <v>0</v>
      </c>
      <c r="M271" s="191">
        <v>-0.94121889888647692</v>
      </c>
      <c r="N271" s="191">
        <v>-1.6212617790247268</v>
      </c>
      <c r="O271" s="191">
        <v>-2.6053272170157333</v>
      </c>
      <c r="P271" s="191">
        <v>-0.8536276512293991</v>
      </c>
      <c r="Q271" s="191">
        <v>-0.77590350498582572</v>
      </c>
      <c r="R271" s="191">
        <v>2.9213195424730234E-2</v>
      </c>
      <c r="T271" s="46">
        <v>1</v>
      </c>
      <c r="U271" s="53" t="s">
        <v>239</v>
      </c>
      <c r="V271" s="47" t="s">
        <v>325</v>
      </c>
      <c r="W271" s="47" t="s">
        <v>549</v>
      </c>
      <c r="X271" s="47" t="s">
        <v>203</v>
      </c>
      <c r="Y271" s="58">
        <v>1.66</v>
      </c>
      <c r="Z271" s="193">
        <v>0.79600000000000004</v>
      </c>
      <c r="AB271" s="3" t="s">
        <v>526</v>
      </c>
      <c r="AC271" s="125">
        <v>0.64600000000000002</v>
      </c>
      <c r="AD271" s="3">
        <v>8.1306407300000008E-2</v>
      </c>
      <c r="AE271" s="3" t="s">
        <v>531</v>
      </c>
      <c r="AF271" s="3" t="s">
        <v>526</v>
      </c>
      <c r="AG271" s="83">
        <v>0.8</v>
      </c>
    </row>
    <row r="272" spans="6:33">
      <c r="F272" s="370">
        <v>1</v>
      </c>
      <c r="G272" s="137" t="s">
        <v>239</v>
      </c>
      <c r="H272" s="136" t="s">
        <v>259</v>
      </c>
      <c r="I272" s="136" t="s">
        <v>549</v>
      </c>
      <c r="J272" s="136" t="s">
        <v>203</v>
      </c>
      <c r="K272" s="191">
        <v>-2.86965</v>
      </c>
      <c r="L272" s="191">
        <v>0</v>
      </c>
      <c r="M272" s="191">
        <v>-0.94121889888647692</v>
      </c>
      <c r="N272" s="191">
        <v>-1.3362845909697765</v>
      </c>
      <c r="O272" s="191">
        <v>-2.0236717660048869</v>
      </c>
      <c r="P272" s="191">
        <v>-0.36882504533810367</v>
      </c>
      <c r="Q272" s="191">
        <v>-0.63188003351510369</v>
      </c>
      <c r="R272" s="191">
        <v>2.8420875728997767E-2</v>
      </c>
      <c r="T272" s="46">
        <v>1</v>
      </c>
      <c r="U272" s="53" t="s">
        <v>256</v>
      </c>
      <c r="V272" s="47" t="s">
        <v>256</v>
      </c>
      <c r="W272" s="47" t="s">
        <v>549</v>
      </c>
      <c r="X272" s="47" t="s">
        <v>203</v>
      </c>
      <c r="Y272" s="58">
        <v>3.3097799999999999</v>
      </c>
      <c r="Z272" s="193">
        <v>1.0068550000000001</v>
      </c>
      <c r="AB272" s="3"/>
      <c r="AC272" s="3"/>
      <c r="AD272" s="3"/>
      <c r="AE272" s="3"/>
      <c r="AF272" s="3" t="s">
        <v>526</v>
      </c>
      <c r="AG272" s="83">
        <v>0.65</v>
      </c>
    </row>
    <row r="273" spans="6:33">
      <c r="F273" s="370">
        <v>1</v>
      </c>
      <c r="G273" s="137" t="s">
        <v>239</v>
      </c>
      <c r="H273" s="136" t="s">
        <v>334</v>
      </c>
      <c r="I273" s="136" t="s">
        <v>549</v>
      </c>
      <c r="J273" s="136" t="s">
        <v>203</v>
      </c>
      <c r="K273" s="191">
        <v>-2.86965</v>
      </c>
      <c r="L273" s="191">
        <v>0</v>
      </c>
      <c r="M273" s="191">
        <v>-0.94121889888647692</v>
      </c>
      <c r="N273" s="191">
        <v>-1.7467678919187166</v>
      </c>
      <c r="O273" s="191">
        <v>-2.4880689884766101</v>
      </c>
      <c r="P273" s="191">
        <v>-0.30615631102942903</v>
      </c>
      <c r="Q273" s="191">
        <v>-0.92293423027975263</v>
      </c>
      <c r="R273" s="191">
        <v>2.6389801323811368E-2</v>
      </c>
      <c r="T273" s="46">
        <v>1</v>
      </c>
      <c r="U273" s="53" t="s">
        <v>256</v>
      </c>
      <c r="V273" s="47" t="s">
        <v>536</v>
      </c>
      <c r="W273" s="47" t="s">
        <v>549</v>
      </c>
      <c r="X273" s="47" t="s">
        <v>203</v>
      </c>
      <c r="Y273" s="58">
        <v>1.9798800000000001</v>
      </c>
      <c r="Z273" s="193">
        <v>0.72957000000000005</v>
      </c>
      <c r="AB273" s="3"/>
      <c r="AC273" s="3"/>
      <c r="AD273" s="3"/>
      <c r="AE273" s="3"/>
      <c r="AF273" s="3" t="s">
        <v>526</v>
      </c>
      <c r="AG273" s="83">
        <v>0.65</v>
      </c>
    </row>
    <row r="274" spans="6:33">
      <c r="F274" s="370">
        <v>1</v>
      </c>
      <c r="G274" s="137" t="s">
        <v>239</v>
      </c>
      <c r="H274" s="136" t="s">
        <v>240</v>
      </c>
      <c r="I274" s="136" t="s">
        <v>549</v>
      </c>
      <c r="J274" s="136" t="s">
        <v>203</v>
      </c>
      <c r="K274" s="191">
        <v>-3.1045600000000002</v>
      </c>
      <c r="L274" s="191">
        <v>0</v>
      </c>
      <c r="M274" s="191">
        <v>0</v>
      </c>
      <c r="N274" s="191">
        <v>-1.7755230788701934</v>
      </c>
      <c r="O274" s="191">
        <v>-2.5620796319160433</v>
      </c>
      <c r="P274" s="191">
        <v>-0.6758925700891707</v>
      </c>
      <c r="Q274" s="191">
        <v>0.46961753832895603</v>
      </c>
      <c r="R274" s="191">
        <v>2.3670125082210602</v>
      </c>
      <c r="T274" s="46">
        <v>1</v>
      </c>
      <c r="U274" s="53" t="s">
        <v>256</v>
      </c>
      <c r="V274" s="47" t="s">
        <v>257</v>
      </c>
      <c r="W274" s="47" t="s">
        <v>549</v>
      </c>
      <c r="X274" s="47" t="s">
        <v>203</v>
      </c>
      <c r="Y274" s="58">
        <v>1.9798800000000001</v>
      </c>
      <c r="Z274" s="193">
        <v>0.46493000000000001</v>
      </c>
      <c r="AB274" s="3"/>
      <c r="AC274" s="3"/>
      <c r="AD274" s="3"/>
      <c r="AE274" s="3"/>
      <c r="AF274" s="3" t="s">
        <v>526</v>
      </c>
      <c r="AG274" s="83">
        <v>0.65</v>
      </c>
    </row>
    <row r="275" spans="6:33" ht="28.8">
      <c r="F275" s="370">
        <v>1</v>
      </c>
      <c r="G275" s="137" t="s">
        <v>239</v>
      </c>
      <c r="H275" s="136" t="s">
        <v>325</v>
      </c>
      <c r="I275" s="136" t="s">
        <v>549</v>
      </c>
      <c r="J275" s="136" t="s">
        <v>203</v>
      </c>
      <c r="K275" s="191">
        <v>-1.66</v>
      </c>
      <c r="L275" s="191">
        <v>0</v>
      </c>
      <c r="M275" s="191">
        <v>0</v>
      </c>
      <c r="N275" s="191">
        <v>-1.6373018863756965</v>
      </c>
      <c r="O275" s="191">
        <v>-2.3894460464658995</v>
      </c>
      <c r="P275" s="191">
        <v>-0.6467389853567006</v>
      </c>
      <c r="Q275" s="191">
        <v>-0.85256236423159593</v>
      </c>
      <c r="R275" s="191">
        <v>2.7471796049995733E-2</v>
      </c>
      <c r="T275" s="46">
        <v>1</v>
      </c>
      <c r="U275" s="53" t="s">
        <v>256</v>
      </c>
      <c r="V275" s="47" t="s">
        <v>537</v>
      </c>
      <c r="W275" s="47" t="s">
        <v>549</v>
      </c>
      <c r="X275" s="47" t="s">
        <v>203</v>
      </c>
      <c r="Y275" s="58">
        <v>5.0082800000000001</v>
      </c>
      <c r="Z275" s="193">
        <v>1.54878</v>
      </c>
      <c r="AB275" s="3"/>
      <c r="AC275" s="3"/>
      <c r="AD275" s="3"/>
      <c r="AE275" s="3"/>
      <c r="AF275" s="3" t="s">
        <v>526</v>
      </c>
      <c r="AG275" s="83">
        <v>0.8</v>
      </c>
    </row>
    <row r="276" spans="6:33">
      <c r="F276" s="370">
        <v>1</v>
      </c>
      <c r="G276" s="137" t="s">
        <v>256</v>
      </c>
      <c r="H276" s="136" t="s">
        <v>10183</v>
      </c>
      <c r="I276" s="136" t="s">
        <v>549</v>
      </c>
      <c r="J276" s="136" t="s">
        <v>203</v>
      </c>
      <c r="K276" s="191">
        <v>-3.3097799999999999</v>
      </c>
      <c r="L276" s="191">
        <v>-3.2267017926999997</v>
      </c>
      <c r="M276" s="191">
        <v>-12.500493842095237</v>
      </c>
      <c r="N276" s="191">
        <v>0</v>
      </c>
      <c r="O276" s="191">
        <v>0</v>
      </c>
      <c r="P276" s="191">
        <v>2.5942504251795086E-2</v>
      </c>
      <c r="Q276" s="191">
        <v>-0.10477764541028994</v>
      </c>
      <c r="R276" s="191">
        <v>-8.7943563811644865E-2</v>
      </c>
      <c r="T276" s="46">
        <v>1</v>
      </c>
      <c r="U276" s="53" t="s">
        <v>256</v>
      </c>
      <c r="V276" s="47" t="s">
        <v>538</v>
      </c>
      <c r="W276" s="47" t="s">
        <v>549</v>
      </c>
      <c r="X276" s="47" t="s">
        <v>203</v>
      </c>
      <c r="Y276" s="58">
        <v>4.6396800000000002</v>
      </c>
      <c r="Z276" s="193">
        <v>1.54878</v>
      </c>
      <c r="AB276" s="3"/>
      <c r="AC276" s="3"/>
      <c r="AD276" s="3"/>
      <c r="AE276" s="3"/>
      <c r="AF276" s="3"/>
      <c r="AG276" s="3"/>
    </row>
    <row r="277" spans="6:33">
      <c r="F277" s="370">
        <v>1</v>
      </c>
      <c r="G277" s="137" t="s">
        <v>256</v>
      </c>
      <c r="H277" s="136" t="s">
        <v>536</v>
      </c>
      <c r="I277" s="136" t="s">
        <v>549</v>
      </c>
      <c r="J277" s="136" t="s">
        <v>203</v>
      </c>
      <c r="K277" s="191">
        <v>-1.9798800000000001</v>
      </c>
      <c r="L277" s="191">
        <v>-1.8968017927</v>
      </c>
      <c r="M277" s="191">
        <v>-2.272364331159153</v>
      </c>
      <c r="N277" s="191">
        <v>0</v>
      </c>
      <c r="O277" s="191">
        <v>0</v>
      </c>
      <c r="P277" s="191">
        <v>2.6025008503590168E-2</v>
      </c>
      <c r="Q277" s="191">
        <v>-0.15482735390975735</v>
      </c>
      <c r="R277" s="191">
        <v>-0.12863159652829767</v>
      </c>
      <c r="T277" s="46">
        <v>1</v>
      </c>
      <c r="U277" s="53" t="s">
        <v>256</v>
      </c>
      <c r="V277" s="47" t="s">
        <v>258</v>
      </c>
      <c r="W277" s="47" t="s">
        <v>549</v>
      </c>
      <c r="X277" s="47" t="s">
        <v>203</v>
      </c>
      <c r="Y277" s="58">
        <v>4.6396800000000002</v>
      </c>
      <c r="Z277" s="193">
        <v>1.54878</v>
      </c>
      <c r="AB277" s="3"/>
      <c r="AC277" s="3"/>
      <c r="AD277" s="3"/>
      <c r="AE277" s="3"/>
      <c r="AF277" s="3"/>
      <c r="AG277" s="3"/>
    </row>
    <row r="278" spans="6:33">
      <c r="F278" s="370">
        <v>1</v>
      </c>
      <c r="G278" s="137" t="s">
        <v>256</v>
      </c>
      <c r="H278" s="136" t="s">
        <v>257</v>
      </c>
      <c r="I278" s="136" t="s">
        <v>549</v>
      </c>
      <c r="J278" s="136" t="s">
        <v>203</v>
      </c>
      <c r="K278" s="191">
        <v>-1.9798800000000001</v>
      </c>
      <c r="L278" s="191">
        <v>-1.8968017927</v>
      </c>
      <c r="M278" s="191">
        <v>-2.272364331159153</v>
      </c>
      <c r="N278" s="191">
        <v>0</v>
      </c>
      <c r="O278" s="191">
        <v>0</v>
      </c>
      <c r="P278" s="191">
        <v>2.6025008503590168E-2</v>
      </c>
      <c r="Q278" s="191">
        <v>-0.15482735390975735</v>
      </c>
      <c r="R278" s="191">
        <v>-0.12863159652829767</v>
      </c>
      <c r="T278" s="46">
        <v>1</v>
      </c>
      <c r="U278" s="53" t="s">
        <v>247</v>
      </c>
      <c r="V278" s="47" t="s">
        <v>247</v>
      </c>
      <c r="W278" s="47" t="s">
        <v>549</v>
      </c>
      <c r="X278" s="47" t="s">
        <v>203</v>
      </c>
      <c r="Y278" s="58">
        <v>1.0505633333333335</v>
      </c>
      <c r="Z278" s="193">
        <v>0.89563000000000004</v>
      </c>
      <c r="AB278" s="3"/>
      <c r="AC278" s="3"/>
      <c r="AD278" s="3"/>
      <c r="AE278" s="3"/>
      <c r="AF278" s="3" t="s">
        <v>526</v>
      </c>
      <c r="AG278" s="83">
        <v>0.95</v>
      </c>
    </row>
    <row r="279" spans="6:33">
      <c r="F279" s="370">
        <v>1</v>
      </c>
      <c r="G279" s="137" t="s">
        <v>256</v>
      </c>
      <c r="H279" s="136" t="s">
        <v>537</v>
      </c>
      <c r="I279" s="136" t="s">
        <v>549</v>
      </c>
      <c r="J279" s="136" t="s">
        <v>203</v>
      </c>
      <c r="K279" s="191">
        <v>-5.0082800000000001</v>
      </c>
      <c r="L279" s="191">
        <v>-4.9252017927000002</v>
      </c>
      <c r="M279" s="191">
        <v>-4.9410050765680671</v>
      </c>
      <c r="N279" s="191">
        <v>0</v>
      </c>
      <c r="O279" s="191">
        <v>0</v>
      </c>
      <c r="P279" s="191">
        <v>2.5860000000000005E-2</v>
      </c>
      <c r="Q279" s="191">
        <v>-5.4727936910822533E-2</v>
      </c>
      <c r="R279" s="191">
        <v>-4.7255531094992066E-2</v>
      </c>
      <c r="T279" s="46">
        <v>1</v>
      </c>
      <c r="U279" s="53" t="s">
        <v>247</v>
      </c>
      <c r="V279" s="47" t="s">
        <v>248</v>
      </c>
      <c r="W279" s="47" t="s">
        <v>549</v>
      </c>
      <c r="X279" s="47" t="s">
        <v>203</v>
      </c>
      <c r="Y279" s="58">
        <v>1.0606100000000001</v>
      </c>
      <c r="Z279" s="193">
        <v>0.89563000000000004</v>
      </c>
      <c r="AB279" s="3" t="s">
        <v>526</v>
      </c>
      <c r="AC279" s="125">
        <v>1</v>
      </c>
      <c r="AD279" s="3">
        <v>8.1306407300000008E-2</v>
      </c>
      <c r="AE279" s="3" t="s">
        <v>531</v>
      </c>
      <c r="AF279" s="3" t="s">
        <v>526</v>
      </c>
      <c r="AG279" s="83">
        <v>0.95</v>
      </c>
    </row>
    <row r="280" spans="6:33">
      <c r="F280" s="370">
        <v>1</v>
      </c>
      <c r="G280" s="137" t="s">
        <v>256</v>
      </c>
      <c r="H280" s="136" t="s">
        <v>538</v>
      </c>
      <c r="I280" s="136" t="s">
        <v>549</v>
      </c>
      <c r="J280" s="136" t="s">
        <v>203</v>
      </c>
      <c r="K280" s="191">
        <v>-4.6396800000000002</v>
      </c>
      <c r="L280" s="191">
        <v>0</v>
      </c>
      <c r="M280" s="191">
        <v>0</v>
      </c>
      <c r="N280" s="191">
        <v>0</v>
      </c>
      <c r="O280" s="191">
        <v>0</v>
      </c>
      <c r="P280" s="191">
        <v>2.5860000000000005E-2</v>
      </c>
      <c r="Q280" s="191">
        <v>-5.1206458307960001E-2</v>
      </c>
      <c r="R280" s="191">
        <v>-4.7255531094992066E-2</v>
      </c>
      <c r="T280" s="46">
        <v>1</v>
      </c>
      <c r="U280" s="53" t="s">
        <v>247</v>
      </c>
      <c r="V280" s="47" t="s">
        <v>263</v>
      </c>
      <c r="W280" s="47" t="s">
        <v>549</v>
      </c>
      <c r="X280" s="47" t="s">
        <v>203</v>
      </c>
      <c r="Y280" s="58">
        <v>1.0341199999999999</v>
      </c>
      <c r="Z280" s="193">
        <v>0.89563000000000004</v>
      </c>
      <c r="AB280" s="3" t="s">
        <v>526</v>
      </c>
      <c r="AC280" s="125">
        <v>1</v>
      </c>
      <c r="AD280" s="3">
        <v>8.1306407300000008E-2</v>
      </c>
      <c r="AE280" s="3" t="s">
        <v>531</v>
      </c>
      <c r="AF280" s="3" t="s">
        <v>526</v>
      </c>
      <c r="AG280" s="83">
        <v>0.95</v>
      </c>
    </row>
    <row r="281" spans="6:33">
      <c r="F281" s="370">
        <v>1</v>
      </c>
      <c r="G281" s="137" t="s">
        <v>256</v>
      </c>
      <c r="H281" s="136" t="s">
        <v>258</v>
      </c>
      <c r="I281" s="136" t="s">
        <v>549</v>
      </c>
      <c r="J281" s="136" t="s">
        <v>203</v>
      </c>
      <c r="K281" s="191">
        <v>-4.6396800000000002</v>
      </c>
      <c r="L281" s="191">
        <v>-4.5566017927000004</v>
      </c>
      <c r="M281" s="191">
        <v>-4.7897498191221057</v>
      </c>
      <c r="N281" s="191">
        <v>0</v>
      </c>
      <c r="O281" s="191">
        <v>0</v>
      </c>
      <c r="P281" s="191">
        <v>2.5860000000000005E-2</v>
      </c>
      <c r="Q281" s="191">
        <v>-5.4727936910821867E-2</v>
      </c>
      <c r="R281" s="191">
        <v>-4.7255531094992108E-2</v>
      </c>
      <c r="T281" s="46">
        <v>1</v>
      </c>
      <c r="U281" s="53" t="s">
        <v>247</v>
      </c>
      <c r="V281" s="47" t="s">
        <v>539</v>
      </c>
      <c r="W281" s="47" t="s">
        <v>549</v>
      </c>
      <c r="X281" s="47" t="s">
        <v>203</v>
      </c>
      <c r="Y281" s="58">
        <v>1.0569599999999999</v>
      </c>
      <c r="Z281" s="193">
        <v>0.89563000000000004</v>
      </c>
      <c r="AB281" s="3" t="s">
        <v>526</v>
      </c>
      <c r="AC281" s="125">
        <v>1</v>
      </c>
      <c r="AD281" s="3">
        <v>8.1306407300000008E-2</v>
      </c>
      <c r="AE281" s="3" t="s">
        <v>531</v>
      </c>
      <c r="AF281" s="3"/>
      <c r="AG281" s="3"/>
    </row>
    <row r="282" spans="6:33">
      <c r="F282" s="370">
        <v>1</v>
      </c>
      <c r="G282" s="137" t="s">
        <v>247</v>
      </c>
      <c r="H282" s="136" t="s">
        <v>247</v>
      </c>
      <c r="I282" s="136" t="s">
        <v>549</v>
      </c>
      <c r="J282" s="136" t="s">
        <v>203</v>
      </c>
      <c r="K282" s="191">
        <v>-1.0505633333333335</v>
      </c>
      <c r="L282" s="191">
        <v>-0.96748512603333348</v>
      </c>
      <c r="M282" s="191">
        <v>-0.3161462390486986</v>
      </c>
      <c r="N282" s="191">
        <v>0</v>
      </c>
      <c r="O282" s="191">
        <v>0</v>
      </c>
      <c r="P282" s="191">
        <v>2.6025022904209633E-2</v>
      </c>
      <c r="Q282" s="191">
        <v>3.07615542694703E-2</v>
      </c>
      <c r="R282" s="191">
        <v>4.8918086524974959E-2</v>
      </c>
      <c r="T282" s="46">
        <v>1</v>
      </c>
      <c r="U282" s="53" t="s">
        <v>247</v>
      </c>
      <c r="V282" s="47" t="s">
        <v>270</v>
      </c>
      <c r="W282" s="47" t="s">
        <v>549</v>
      </c>
      <c r="X282" s="47" t="s">
        <v>203</v>
      </c>
      <c r="Y282" s="58">
        <v>1.0505633333333335</v>
      </c>
      <c r="Z282" s="193">
        <v>0.89563000000000004</v>
      </c>
      <c r="AB282" s="3"/>
      <c r="AC282" s="3"/>
      <c r="AD282" s="3"/>
      <c r="AE282" s="3"/>
      <c r="AF282" s="3" t="s">
        <v>526</v>
      </c>
      <c r="AG282" s="83">
        <v>0.95</v>
      </c>
    </row>
    <row r="283" spans="6:33">
      <c r="F283" s="370">
        <v>1</v>
      </c>
      <c r="G283" s="137" t="s">
        <v>247</v>
      </c>
      <c r="H283" s="136" t="s">
        <v>248</v>
      </c>
      <c r="I283" s="136" t="s">
        <v>549</v>
      </c>
      <c r="J283" s="136" t="s">
        <v>203</v>
      </c>
      <c r="K283" s="191">
        <v>-1.0606100000000001</v>
      </c>
      <c r="L283" s="191">
        <v>-0.97753179270000001</v>
      </c>
      <c r="M283" s="191">
        <v>-0.16852306962443819</v>
      </c>
      <c r="N283" s="191">
        <v>0</v>
      </c>
      <c r="O283" s="191">
        <v>0</v>
      </c>
      <c r="P283" s="191">
        <v>2.6025028908758668E-2</v>
      </c>
      <c r="Q283" s="191">
        <v>3.45544738154627E-2</v>
      </c>
      <c r="R283" s="191">
        <v>4.8916902919368233E-2</v>
      </c>
      <c r="T283" s="46">
        <v>1</v>
      </c>
      <c r="U283" s="53" t="s">
        <v>247</v>
      </c>
      <c r="V283" s="47" t="s">
        <v>540</v>
      </c>
      <c r="W283" s="47" t="s">
        <v>549</v>
      </c>
      <c r="X283" s="47" t="s">
        <v>203</v>
      </c>
      <c r="Y283" s="58">
        <v>1.0473650000000001</v>
      </c>
      <c r="Z283" s="193">
        <v>0.89563000000000004</v>
      </c>
      <c r="AB283" s="3" t="s">
        <v>526</v>
      </c>
      <c r="AC283" s="125">
        <v>1</v>
      </c>
      <c r="AD283" s="3">
        <v>0</v>
      </c>
      <c r="AE283" s="3" t="s">
        <v>527</v>
      </c>
      <c r="AF283" s="3" t="s">
        <v>526</v>
      </c>
      <c r="AG283" s="83">
        <v>0.9</v>
      </c>
    </row>
    <row r="284" spans="6:33">
      <c r="F284" s="370">
        <v>1</v>
      </c>
      <c r="G284" s="137" t="s">
        <v>247</v>
      </c>
      <c r="H284" s="136" t="s">
        <v>263</v>
      </c>
      <c r="I284" s="136" t="s">
        <v>549</v>
      </c>
      <c r="J284" s="136" t="s">
        <v>203</v>
      </c>
      <c r="K284" s="191">
        <v>-1.0341199999999999</v>
      </c>
      <c r="L284" s="191">
        <v>-0.95104179269999989</v>
      </c>
      <c r="M284" s="191">
        <v>-0.16852306962443819</v>
      </c>
      <c r="N284" s="191">
        <v>0</v>
      </c>
      <c r="O284" s="191">
        <v>0</v>
      </c>
      <c r="P284" s="191">
        <v>2.6025032629993599E-2</v>
      </c>
      <c r="Q284" s="191">
        <v>3.6828169249728669E-2</v>
      </c>
      <c r="R284" s="191">
        <v>4.8916978487506597E-2</v>
      </c>
      <c r="T284" s="46">
        <v>1</v>
      </c>
      <c r="U284" s="53" t="s">
        <v>529</v>
      </c>
      <c r="V284" s="47" t="s">
        <v>260</v>
      </c>
      <c r="W284" s="47" t="s">
        <v>549</v>
      </c>
      <c r="X284" s="47" t="s">
        <v>203</v>
      </c>
      <c r="Y284" s="58">
        <v>4.0364225925925927</v>
      </c>
      <c r="Z284" s="193">
        <v>1.3856655555555555</v>
      </c>
      <c r="AB284" s="3" t="s">
        <v>526</v>
      </c>
      <c r="AC284" s="125">
        <v>1</v>
      </c>
      <c r="AD284" s="3">
        <v>8.1306407300000008E-2</v>
      </c>
      <c r="AE284" s="3" t="s">
        <v>531</v>
      </c>
      <c r="AF284" s="3" t="s">
        <v>526</v>
      </c>
      <c r="AG284" s="83">
        <v>0.9</v>
      </c>
    </row>
    <row r="285" spans="6:33">
      <c r="F285" s="370">
        <v>1</v>
      </c>
      <c r="G285" s="137" t="s">
        <v>247</v>
      </c>
      <c r="H285" s="136" t="s">
        <v>539</v>
      </c>
      <c r="I285" s="136" t="s">
        <v>549</v>
      </c>
      <c r="J285" s="136" t="s">
        <v>203</v>
      </c>
      <c r="K285" s="191">
        <v>-1.0569599999999999</v>
      </c>
      <c r="L285" s="191">
        <v>-0.97388179269999986</v>
      </c>
      <c r="M285" s="191">
        <v>-0.17384485077047307</v>
      </c>
      <c r="N285" s="191">
        <v>0</v>
      </c>
      <c r="O285" s="191">
        <v>0</v>
      </c>
      <c r="P285" s="191">
        <v>2.6025013187695133E-2</v>
      </c>
      <c r="Q285" s="191">
        <v>2.4652475631922632E-2</v>
      </c>
      <c r="R285" s="191">
        <v>4.8919361277645235E-2</v>
      </c>
      <c r="T285" s="46">
        <v>1</v>
      </c>
      <c r="U285" s="53" t="s">
        <v>237</v>
      </c>
      <c r="V285" s="47" t="s">
        <v>237</v>
      </c>
      <c r="W285" s="47" t="s">
        <v>549</v>
      </c>
      <c r="X285" s="47" t="s">
        <v>203</v>
      </c>
      <c r="Y285" s="58">
        <v>2.8533815875203707</v>
      </c>
      <c r="Z285" s="193">
        <v>1.0711602172222223</v>
      </c>
      <c r="AB285" s="3" t="s">
        <v>526</v>
      </c>
      <c r="AC285" s="125">
        <v>1</v>
      </c>
      <c r="AD285" s="3">
        <v>8.1306407300000008E-2</v>
      </c>
      <c r="AE285" s="3" t="s">
        <v>531</v>
      </c>
      <c r="AF285" s="3" t="s">
        <v>526</v>
      </c>
      <c r="AG285" s="83">
        <v>0.95</v>
      </c>
    </row>
    <row r="286" spans="6:33">
      <c r="F286" s="370">
        <v>1</v>
      </c>
      <c r="G286" s="137" t="s">
        <v>247</v>
      </c>
      <c r="H286" s="136" t="s">
        <v>270</v>
      </c>
      <c r="I286" s="136" t="s">
        <v>549</v>
      </c>
      <c r="J286" s="136" t="s">
        <v>203</v>
      </c>
      <c r="K286" s="191">
        <v>-1.0505633333333335</v>
      </c>
      <c r="L286" s="191">
        <v>-0.96748512603333348</v>
      </c>
      <c r="M286" s="191">
        <v>-0.3161462390486986</v>
      </c>
      <c r="N286" s="191">
        <v>0</v>
      </c>
      <c r="O286" s="191">
        <v>0</v>
      </c>
      <c r="P286" s="191">
        <v>2.6025022904209633E-2</v>
      </c>
      <c r="Q286" s="191">
        <v>3.07615542694703E-2</v>
      </c>
      <c r="R286" s="191">
        <v>4.8918086524974959E-2</v>
      </c>
      <c r="T286" s="46">
        <v>1</v>
      </c>
      <c r="U286" s="53" t="s">
        <v>237</v>
      </c>
      <c r="V286" s="47" t="s">
        <v>246</v>
      </c>
      <c r="W286" s="47" t="s">
        <v>549</v>
      </c>
      <c r="X286" s="47" t="s">
        <v>203</v>
      </c>
      <c r="Y286" s="58">
        <v>7.3412433500000009</v>
      </c>
      <c r="Z286" s="193">
        <v>0.66842500000000005</v>
      </c>
      <c r="AB286" s="3" t="s">
        <v>526</v>
      </c>
      <c r="AC286" s="125">
        <v>1</v>
      </c>
      <c r="AD286" s="3">
        <v>8.1306407300000008E-2</v>
      </c>
      <c r="AE286" s="3" t="s">
        <v>531</v>
      </c>
      <c r="AF286" s="3" t="s">
        <v>526</v>
      </c>
      <c r="AG286" s="83">
        <v>0.7</v>
      </c>
    </row>
    <row r="287" spans="6:33">
      <c r="F287" s="370">
        <v>1</v>
      </c>
      <c r="G287" s="137" t="s">
        <v>247</v>
      </c>
      <c r="H287" s="136" t="s">
        <v>540</v>
      </c>
      <c r="I287" s="136" t="s">
        <v>549</v>
      </c>
      <c r="J287" s="136" t="s">
        <v>203</v>
      </c>
      <c r="K287" s="191">
        <v>-1.0473650000000001</v>
      </c>
      <c r="L287" s="191">
        <v>-0.96428679270000006</v>
      </c>
      <c r="M287" s="191">
        <v>0</v>
      </c>
      <c r="N287" s="191">
        <v>0</v>
      </c>
      <c r="O287" s="191">
        <v>0</v>
      </c>
      <c r="P287" s="191">
        <v>2.6025006371710669E-2</v>
      </c>
      <c r="Q287" s="191">
        <v>2.6925650910961468E-2</v>
      </c>
      <c r="R287" s="191">
        <v>4.8918916690556501E-2</v>
      </c>
      <c r="T287" s="46">
        <v>1</v>
      </c>
      <c r="U287" s="53" t="s">
        <v>237</v>
      </c>
      <c r="V287" s="28" t="s">
        <v>10162</v>
      </c>
      <c r="W287" s="47" t="s">
        <v>549</v>
      </c>
      <c r="X287" s="47" t="s">
        <v>203</v>
      </c>
      <c r="Y287" s="58">
        <v>2.8533815875203707</v>
      </c>
      <c r="Z287" s="193">
        <v>1.0711602172222223</v>
      </c>
      <c r="AB287" s="3" t="s">
        <v>526</v>
      </c>
      <c r="AC287" s="125">
        <v>1</v>
      </c>
      <c r="AD287" s="3">
        <v>8.1306407300000008E-2</v>
      </c>
      <c r="AE287" s="3" t="s">
        <v>531</v>
      </c>
      <c r="AF287" s="3"/>
      <c r="AG287" s="3"/>
    </row>
    <row r="288" spans="6:33">
      <c r="F288" s="370">
        <v>1</v>
      </c>
      <c r="G288" s="137" t="s">
        <v>261</v>
      </c>
      <c r="H288" s="136" t="s">
        <v>260</v>
      </c>
      <c r="I288" s="136" t="s">
        <v>549</v>
      </c>
      <c r="J288" s="136" t="s">
        <v>203</v>
      </c>
      <c r="K288" s="191">
        <v>-4.0364225925925927</v>
      </c>
      <c r="L288" s="191">
        <v>0</v>
      </c>
      <c r="M288" s="191">
        <v>0</v>
      </c>
      <c r="N288" s="191">
        <v>-0.50376087635348876</v>
      </c>
      <c r="O288" s="191">
        <v>-0.86555170410796034</v>
      </c>
      <c r="P288" s="191">
        <v>-0.17125109892660831</v>
      </c>
      <c r="Q288" s="191">
        <v>-0.24357800980601399</v>
      </c>
      <c r="R288" s="191">
        <v>2.7529959003511434E-2</v>
      </c>
      <c r="T288" s="46">
        <v>1</v>
      </c>
      <c r="U288" s="53" t="s">
        <v>252</v>
      </c>
      <c r="V288" s="28" t="s">
        <v>333</v>
      </c>
      <c r="W288" s="47" t="s">
        <v>549</v>
      </c>
      <c r="X288" s="47" t="s">
        <v>203</v>
      </c>
      <c r="Y288" s="58">
        <v>2.0953266666666663</v>
      </c>
      <c r="Z288" s="193">
        <v>1.77911</v>
      </c>
      <c r="AB288" s="3" t="s">
        <v>526</v>
      </c>
      <c r="AC288" s="83">
        <v>0.5</v>
      </c>
      <c r="AD288" s="3">
        <v>8.1306407300000008E-2</v>
      </c>
      <c r="AE288" s="3" t="s">
        <v>531</v>
      </c>
      <c r="AF288" s="3"/>
      <c r="AG288" s="3"/>
    </row>
    <row r="289" spans="6:33">
      <c r="F289" s="370">
        <v>1</v>
      </c>
      <c r="G289" s="137" t="s">
        <v>10157</v>
      </c>
      <c r="H289" s="136" t="s">
        <v>10157</v>
      </c>
      <c r="I289" s="136" t="s">
        <v>549</v>
      </c>
      <c r="J289" s="136" t="s">
        <v>203</v>
      </c>
      <c r="K289" s="191">
        <v>-2.8533815875203707</v>
      </c>
      <c r="L289" s="191">
        <v>-1.4249189937601854</v>
      </c>
      <c r="M289" s="191">
        <v>0</v>
      </c>
      <c r="N289" s="191">
        <v>0</v>
      </c>
      <c r="O289" s="191">
        <v>0</v>
      </c>
      <c r="P289" s="191">
        <v>-0.4649356445509909</v>
      </c>
      <c r="Q289" s="191">
        <v>-0.54685418993414026</v>
      </c>
      <c r="R289" s="191">
        <v>2.7968995617047198E-2</v>
      </c>
      <c r="T289" s="46">
        <v>1</v>
      </c>
      <c r="U289" s="53" t="s">
        <v>239</v>
      </c>
      <c r="V289" s="3" t="s">
        <v>542</v>
      </c>
      <c r="W289" s="47" t="s">
        <v>549</v>
      </c>
      <c r="X289" s="47" t="s">
        <v>203</v>
      </c>
      <c r="Y289" s="58">
        <v>2.6644477777777777</v>
      </c>
      <c r="Z289" s="193">
        <v>0.64099666666666666</v>
      </c>
      <c r="AB289" s="3"/>
      <c r="AC289" s="3"/>
      <c r="AD289" s="3"/>
      <c r="AE289" s="3"/>
      <c r="AF289" s="3"/>
      <c r="AG289" s="3"/>
    </row>
    <row r="290" spans="6:33">
      <c r="F290" s="370">
        <v>1</v>
      </c>
      <c r="G290" s="137" t="s">
        <v>10157</v>
      </c>
      <c r="H290" s="136" t="s">
        <v>246</v>
      </c>
      <c r="I290" s="136" t="s">
        <v>549</v>
      </c>
      <c r="J290" s="136" t="s">
        <v>203</v>
      </c>
      <c r="K290" s="191">
        <v>-7.3412433500000009</v>
      </c>
      <c r="L290" s="191">
        <v>0</v>
      </c>
      <c r="M290" s="191">
        <v>0</v>
      </c>
      <c r="N290" s="191">
        <v>0</v>
      </c>
      <c r="O290" s="191">
        <v>0</v>
      </c>
      <c r="P290" s="191">
        <v>2.6025057335892433E-2</v>
      </c>
      <c r="Q290" s="191">
        <v>4.1701833148023365E-2</v>
      </c>
      <c r="R290" s="191">
        <v>4.8916569797790334E-2</v>
      </c>
      <c r="T290" s="46">
        <v>1</v>
      </c>
      <c r="U290" s="53" t="s">
        <v>237</v>
      </c>
      <c r="V290" s="3" t="s">
        <v>238</v>
      </c>
      <c r="W290" s="47" t="s">
        <v>549</v>
      </c>
      <c r="X290" s="47" t="s">
        <v>203</v>
      </c>
      <c r="Y290" s="58">
        <v>2.7046544444444445</v>
      </c>
      <c r="Z290" s="193">
        <v>1.2161291666666667</v>
      </c>
      <c r="AB290" s="3"/>
      <c r="AC290" s="3"/>
      <c r="AD290" s="3"/>
      <c r="AE290" s="3"/>
      <c r="AF290" s="3"/>
      <c r="AG290" s="3"/>
    </row>
    <row r="291" spans="6:33" ht="28.8">
      <c r="F291" s="370">
        <v>1</v>
      </c>
      <c r="G291" s="137" t="s">
        <v>10157</v>
      </c>
      <c r="H291" s="136" t="s">
        <v>10162</v>
      </c>
      <c r="I291" s="136" t="s">
        <v>549</v>
      </c>
      <c r="J291" s="136" t="s">
        <v>203</v>
      </c>
      <c r="K291" s="191">
        <v>-2.8533815875203707</v>
      </c>
      <c r="L291" s="191">
        <v>0</v>
      </c>
      <c r="M291" s="191">
        <v>0</v>
      </c>
      <c r="N291" s="191">
        <v>-1.0319951020907556</v>
      </c>
      <c r="O291" s="191">
        <v>-1.5974954938767374</v>
      </c>
      <c r="P291" s="191">
        <v>-0.4649356445509909</v>
      </c>
      <c r="Q291" s="191">
        <v>-0.54685418993414026</v>
      </c>
      <c r="R291" s="191">
        <v>2.7968995617047198E-2</v>
      </c>
      <c r="T291" s="46">
        <v>1</v>
      </c>
      <c r="U291" s="53" t="s">
        <v>264</v>
      </c>
      <c r="V291" s="3" t="s">
        <v>264</v>
      </c>
      <c r="W291" s="47" t="s">
        <v>549</v>
      </c>
      <c r="X291" s="47" t="s">
        <v>203</v>
      </c>
      <c r="Y291" s="58">
        <v>1.9287117500000002</v>
      </c>
      <c r="Z291" s="193">
        <v>0.467055</v>
      </c>
      <c r="AB291" s="3"/>
      <c r="AC291" s="3"/>
      <c r="AD291" s="3"/>
      <c r="AE291" s="3"/>
      <c r="AF291" s="3" t="s">
        <v>526</v>
      </c>
      <c r="AG291" s="83">
        <v>0.7</v>
      </c>
    </row>
    <row r="292" spans="6:33">
      <c r="F292" s="370">
        <v>1</v>
      </c>
      <c r="G292" s="137" t="s">
        <v>252</v>
      </c>
      <c r="H292" s="136" t="s">
        <v>333</v>
      </c>
      <c r="I292" s="136" t="s">
        <v>549</v>
      </c>
      <c r="J292" s="136" t="s">
        <v>203</v>
      </c>
      <c r="K292" s="191">
        <v>-2.0953266666666663</v>
      </c>
      <c r="L292" s="191">
        <v>0</v>
      </c>
      <c r="M292" s="191">
        <v>-4.4030402701352562</v>
      </c>
      <c r="N292" s="191">
        <v>0</v>
      </c>
      <c r="O292" s="191">
        <v>0</v>
      </c>
      <c r="P292" s="191">
        <v>2.6025029664629367E-2</v>
      </c>
      <c r="Q292" s="191">
        <v>0.60512788547787932</v>
      </c>
      <c r="R292" s="191">
        <v>2.1870248780094035</v>
      </c>
      <c r="T292" s="46">
        <v>1</v>
      </c>
      <c r="U292" s="53" t="s">
        <v>264</v>
      </c>
      <c r="V292" s="3" t="s">
        <v>336</v>
      </c>
      <c r="W292" s="47" t="s">
        <v>549</v>
      </c>
      <c r="X292" s="47" t="s">
        <v>203</v>
      </c>
      <c r="Y292" s="58">
        <v>0.76351350000000007</v>
      </c>
      <c r="Z292" s="193">
        <v>0.43603999999999998</v>
      </c>
      <c r="AB292" s="3"/>
      <c r="AC292" s="3"/>
      <c r="AD292" s="3"/>
      <c r="AE292" s="3"/>
      <c r="AF292" s="3" t="s">
        <v>526</v>
      </c>
      <c r="AG292" s="83">
        <v>0.65</v>
      </c>
    </row>
    <row r="293" spans="6:33">
      <c r="F293" s="370">
        <v>1</v>
      </c>
      <c r="G293" s="137" t="s">
        <v>239</v>
      </c>
      <c r="H293" s="136" t="s">
        <v>542</v>
      </c>
      <c r="I293" s="136" t="s">
        <v>549</v>
      </c>
      <c r="J293" s="136" t="s">
        <v>203</v>
      </c>
      <c r="K293" s="191">
        <v>-2.6644477777777777</v>
      </c>
      <c r="L293" s="191">
        <v>0</v>
      </c>
      <c r="M293" s="191">
        <v>-0.83663902123242406</v>
      </c>
      <c r="N293" s="191">
        <v>-1.6373018863756965</v>
      </c>
      <c r="O293" s="191">
        <v>-2.3894460464658995</v>
      </c>
      <c r="P293" s="191">
        <v>-0.6467389853567006</v>
      </c>
      <c r="Q293" s="191">
        <v>-0.85256236423159593</v>
      </c>
      <c r="R293" s="191">
        <v>2.7471796049995733E-2</v>
      </c>
      <c r="T293" s="46">
        <v>1</v>
      </c>
      <c r="U293" s="53" t="s">
        <v>242</v>
      </c>
      <c r="V293" s="3" t="s">
        <v>251</v>
      </c>
      <c r="W293" s="47" t="s">
        <v>549</v>
      </c>
      <c r="X293" s="47" t="s">
        <v>203</v>
      </c>
      <c r="Y293" s="58">
        <v>4.9218200000000003</v>
      </c>
      <c r="Z293" s="193">
        <v>0.15096000000000001</v>
      </c>
      <c r="AB293" s="3"/>
      <c r="AC293" s="3"/>
      <c r="AD293" s="3"/>
      <c r="AE293" s="3"/>
      <c r="AF293" s="3"/>
      <c r="AG293" s="3"/>
    </row>
    <row r="294" spans="6:33">
      <c r="F294" s="370">
        <v>1</v>
      </c>
      <c r="G294" s="137" t="s">
        <v>10157</v>
      </c>
      <c r="H294" s="136" t="s">
        <v>238</v>
      </c>
      <c r="I294" s="136" t="s">
        <v>549</v>
      </c>
      <c r="J294" s="136" t="s">
        <v>203</v>
      </c>
      <c r="K294" s="191">
        <v>-2.7046544444444445</v>
      </c>
      <c r="L294" s="191">
        <v>0</v>
      </c>
      <c r="M294" s="191">
        <v>0</v>
      </c>
      <c r="N294" s="191">
        <v>0</v>
      </c>
      <c r="O294" s="191">
        <v>0</v>
      </c>
      <c r="P294" s="191">
        <v>-0.14218660713401665</v>
      </c>
      <c r="Q294" s="191">
        <v>-8.0362642473634074E-2</v>
      </c>
      <c r="R294" s="191">
        <v>0.5438677991931824</v>
      </c>
      <c r="T294" s="46">
        <v>1</v>
      </c>
      <c r="U294" s="53" t="s">
        <v>242</v>
      </c>
      <c r="V294" s="3" t="s">
        <v>543</v>
      </c>
      <c r="W294" s="47" t="s">
        <v>549</v>
      </c>
      <c r="X294" s="47" t="s">
        <v>203</v>
      </c>
      <c r="Y294" s="58">
        <v>1.00081</v>
      </c>
      <c r="Z294" s="193">
        <v>0.33138000000000001</v>
      </c>
      <c r="AB294" s="3"/>
      <c r="AC294" s="3"/>
      <c r="AD294" s="3"/>
      <c r="AE294" s="3"/>
      <c r="AF294" s="3"/>
      <c r="AG294" s="3"/>
    </row>
    <row r="295" spans="6:33" ht="28.8">
      <c r="F295" s="370">
        <v>1</v>
      </c>
      <c r="G295" s="137" t="s">
        <v>264</v>
      </c>
      <c r="H295" s="136" t="s">
        <v>10184</v>
      </c>
      <c r="I295" s="136" t="s">
        <v>549</v>
      </c>
      <c r="J295" s="136" t="s">
        <v>203</v>
      </c>
      <c r="K295" s="191">
        <v>-1.9287117500000002</v>
      </c>
      <c r="L295" s="191">
        <v>-1.1070613798500002</v>
      </c>
      <c r="M295" s="191">
        <v>0.15112249999999994</v>
      </c>
      <c r="N295" s="191">
        <v>0</v>
      </c>
      <c r="O295" s="191">
        <v>0</v>
      </c>
      <c r="P295" s="191">
        <v>-0.34194305557191457</v>
      </c>
      <c r="Q295" s="191">
        <v>-0.49969597696174411</v>
      </c>
      <c r="R295" s="191">
        <v>0.46017659002438727</v>
      </c>
      <c r="T295" s="46">
        <v>1</v>
      </c>
      <c r="U295" s="53" t="s">
        <v>264</v>
      </c>
      <c r="V295" s="3" t="s">
        <v>544</v>
      </c>
      <c r="W295" s="47" t="s">
        <v>549</v>
      </c>
      <c r="X295" s="47" t="s">
        <v>203</v>
      </c>
      <c r="Y295" s="58">
        <v>3.0939100000000002</v>
      </c>
      <c r="Z295" s="193">
        <v>0.49807000000000001</v>
      </c>
      <c r="AB295" s="3" t="s">
        <v>526</v>
      </c>
      <c r="AC295" s="125">
        <v>0.64600000000000002</v>
      </c>
      <c r="AD295" s="3">
        <v>0</v>
      </c>
      <c r="AE295" s="3"/>
      <c r="AF295" s="3"/>
      <c r="AG295" s="3"/>
    </row>
    <row r="296" spans="6:33">
      <c r="F296" s="370">
        <v>1</v>
      </c>
      <c r="G296" s="137" t="s">
        <v>264</v>
      </c>
      <c r="H296" s="136" t="s">
        <v>336</v>
      </c>
      <c r="I296" s="136" t="s">
        <v>549</v>
      </c>
      <c r="J296" s="136" t="s">
        <v>203</v>
      </c>
      <c r="K296" s="191">
        <v>-0.76351350000000007</v>
      </c>
      <c r="L296" s="191">
        <v>-0.34968251735000005</v>
      </c>
      <c r="M296" s="191">
        <v>0</v>
      </c>
      <c r="N296" s="191">
        <v>-1.6479477940849101</v>
      </c>
      <c r="O296" s="191">
        <v>-2.6253096794248267</v>
      </c>
      <c r="P296" s="191">
        <v>-0.99932734187745142</v>
      </c>
      <c r="Q296" s="191">
        <v>-0.73578696118888021</v>
      </c>
      <c r="R296" s="191">
        <v>0.21105764230749458</v>
      </c>
      <c r="T296" s="46">
        <v>1</v>
      </c>
      <c r="U296" s="53" t="s">
        <v>237</v>
      </c>
      <c r="V296" s="3" t="s">
        <v>545</v>
      </c>
      <c r="W296" s="47" t="s">
        <v>549</v>
      </c>
      <c r="X296" s="47" t="s">
        <v>203</v>
      </c>
      <c r="Y296" s="58">
        <v>2.8533815875203707</v>
      </c>
      <c r="Z296" s="193">
        <v>1.0711602172222223</v>
      </c>
      <c r="AB296" s="3" t="s">
        <v>526</v>
      </c>
      <c r="AC296" s="125">
        <v>0.72499999999999998</v>
      </c>
      <c r="AD296" s="3">
        <v>0</v>
      </c>
      <c r="AE296" s="3"/>
      <c r="AF296" s="3"/>
      <c r="AG296" s="3"/>
    </row>
    <row r="297" spans="6:33">
      <c r="F297" s="370">
        <v>1</v>
      </c>
      <c r="G297" s="137" t="s">
        <v>242</v>
      </c>
      <c r="H297" s="136" t="s">
        <v>251</v>
      </c>
      <c r="I297" s="136" t="s">
        <v>549</v>
      </c>
      <c r="J297" s="136" t="s">
        <v>203</v>
      </c>
      <c r="K297" s="191">
        <v>-4.9218200000000003</v>
      </c>
      <c r="L297" s="191">
        <v>-3.5665477000000001</v>
      </c>
      <c r="M297" s="191">
        <v>-1.2190350000000001</v>
      </c>
      <c r="N297" s="191">
        <v>0</v>
      </c>
      <c r="O297" s="191">
        <v>0</v>
      </c>
      <c r="P297" s="191">
        <v>2.5959013566569784E-2</v>
      </c>
      <c r="Q297" s="191">
        <v>0.20848046265664033</v>
      </c>
      <c r="R297" s="191">
        <v>0.84941583963866141</v>
      </c>
      <c r="T297" s="46">
        <v>2</v>
      </c>
      <c r="U297" s="53"/>
      <c r="V297" s="47"/>
      <c r="W297" s="47" t="s">
        <v>550</v>
      </c>
      <c r="X297" s="47" t="s">
        <v>203</v>
      </c>
      <c r="Y297" s="58" t="s">
        <v>525</v>
      </c>
      <c r="Z297" s="193" t="s">
        <v>525</v>
      </c>
      <c r="AB297" s="3" t="s">
        <v>526</v>
      </c>
      <c r="AC297" s="125">
        <v>0.64600000000000002</v>
      </c>
      <c r="AD297" s="3">
        <v>0</v>
      </c>
      <c r="AE297" s="3"/>
      <c r="AF297" s="3" t="s">
        <v>526</v>
      </c>
      <c r="AG297" s="83">
        <v>0.5</v>
      </c>
    </row>
    <row r="298" spans="6:33">
      <c r="F298" s="370">
        <v>1</v>
      </c>
      <c r="G298" s="137" t="s">
        <v>242</v>
      </c>
      <c r="H298" s="136" t="s">
        <v>543</v>
      </c>
      <c r="I298" s="136" t="s">
        <v>549</v>
      </c>
      <c r="J298" s="136" t="s">
        <v>203</v>
      </c>
      <c r="K298" s="191">
        <v>-1.00081</v>
      </c>
      <c r="L298" s="191">
        <v>-0.72381545000000003</v>
      </c>
      <c r="M298" s="191">
        <v>-0.20626249999999999</v>
      </c>
      <c r="N298" s="191">
        <v>0</v>
      </c>
      <c r="O298" s="191">
        <v>0</v>
      </c>
      <c r="P298" s="191">
        <v>2.5860000000000005E-2</v>
      </c>
      <c r="Q298" s="191">
        <v>4.1701833148022838E-2</v>
      </c>
      <c r="R298" s="191">
        <v>4.8916569797789571E-2</v>
      </c>
      <c r="T298" s="46">
        <v>2</v>
      </c>
      <c r="U298" s="53"/>
      <c r="V298" s="47"/>
      <c r="W298" s="47" t="s">
        <v>550</v>
      </c>
      <c r="X298" s="47" t="s">
        <v>203</v>
      </c>
      <c r="Y298" s="58" t="s">
        <v>525</v>
      </c>
      <c r="Z298" s="193" t="s">
        <v>525</v>
      </c>
      <c r="AB298" s="3" t="s">
        <v>526</v>
      </c>
      <c r="AC298" s="125">
        <v>0.72499999999999998</v>
      </c>
      <c r="AD298" s="3">
        <v>0.14482945764999999</v>
      </c>
      <c r="AE298" s="3" t="s">
        <v>541</v>
      </c>
      <c r="AF298" s="3"/>
      <c r="AG298" s="3"/>
    </row>
    <row r="299" spans="6:33">
      <c r="F299" s="370">
        <v>1</v>
      </c>
      <c r="G299" s="137" t="s">
        <v>264</v>
      </c>
      <c r="H299" s="136" t="s">
        <v>544</v>
      </c>
      <c r="I299" s="136" t="s">
        <v>549</v>
      </c>
      <c r="J299" s="136" t="s">
        <v>203</v>
      </c>
      <c r="K299" s="191">
        <v>-3.0939100000000002</v>
      </c>
      <c r="L299" s="191">
        <v>-1.8644402423500002</v>
      </c>
      <c r="M299" s="191">
        <v>0.15112249999999994</v>
      </c>
      <c r="N299" s="191">
        <v>0</v>
      </c>
      <c r="O299" s="191">
        <v>0</v>
      </c>
      <c r="P299" s="191">
        <v>0.31544123073362235</v>
      </c>
      <c r="Q299" s="191">
        <v>-0.26360499273460797</v>
      </c>
      <c r="R299" s="191">
        <v>0.70929553774127996</v>
      </c>
      <c r="T299" s="46">
        <v>2</v>
      </c>
      <c r="U299" s="53"/>
      <c r="V299" s="47"/>
      <c r="W299" s="47" t="s">
        <v>550</v>
      </c>
      <c r="X299" s="47" t="s">
        <v>203</v>
      </c>
      <c r="Y299" s="58" t="s">
        <v>525</v>
      </c>
      <c r="Z299" s="193" t="s">
        <v>525</v>
      </c>
      <c r="AB299" s="3"/>
      <c r="AC299" s="3"/>
      <c r="AD299" s="3"/>
      <c r="AE299" s="3"/>
      <c r="AF299" s="3"/>
      <c r="AG299" s="3"/>
    </row>
    <row r="300" spans="6:33">
      <c r="F300" s="370">
        <v>1</v>
      </c>
      <c r="G300" s="137" t="s">
        <v>10157</v>
      </c>
      <c r="H300" s="136" t="s">
        <v>545</v>
      </c>
      <c r="I300" s="136" t="s">
        <v>549</v>
      </c>
      <c r="J300" s="136" t="s">
        <v>203</v>
      </c>
      <c r="K300" s="191">
        <v>-2.8533815875203707</v>
      </c>
      <c r="L300" s="191">
        <v>0</v>
      </c>
      <c r="M300" s="191">
        <v>0</v>
      </c>
      <c r="N300" s="191">
        <v>0</v>
      </c>
      <c r="O300" s="191">
        <v>0</v>
      </c>
      <c r="P300" s="191">
        <v>-0.4649356445509909</v>
      </c>
      <c r="Q300" s="191">
        <v>-0.54685418993414026</v>
      </c>
      <c r="R300" s="191">
        <v>2.7968995617047198E-2</v>
      </c>
      <c r="T300" s="46">
        <v>2</v>
      </c>
      <c r="U300" s="53"/>
      <c r="V300" s="47"/>
      <c r="W300" s="47" t="s">
        <v>550</v>
      </c>
      <c r="X300" s="47" t="s">
        <v>203</v>
      </c>
      <c r="Y300" s="58" t="s">
        <v>525</v>
      </c>
      <c r="Z300" s="193" t="s">
        <v>525</v>
      </c>
      <c r="AB300" s="3"/>
      <c r="AC300" s="3"/>
      <c r="AD300" s="3"/>
      <c r="AE300" s="3"/>
      <c r="AF300" s="3"/>
      <c r="AG300" s="3"/>
    </row>
    <row r="301" spans="6:33" ht="28.8">
      <c r="F301" s="372">
        <v>1</v>
      </c>
      <c r="G301" s="373" t="s">
        <v>10169</v>
      </c>
      <c r="H301" s="6" t="s">
        <v>10170</v>
      </c>
      <c r="I301" s="136" t="s">
        <v>549</v>
      </c>
      <c r="J301" s="136" t="s">
        <v>203</v>
      </c>
      <c r="K301" s="191">
        <v>-0.74582333333333339</v>
      </c>
      <c r="L301" s="191">
        <v>-0.58351400000000009</v>
      </c>
      <c r="M301" s="191">
        <v>0.3259926084346883</v>
      </c>
      <c r="N301" s="191">
        <v>0</v>
      </c>
      <c r="O301" s="191">
        <v>0</v>
      </c>
      <c r="P301" s="191">
        <v>0.45668176288049178</v>
      </c>
      <c r="Q301" s="191">
        <v>1.0683983533052401</v>
      </c>
      <c r="R301" s="191">
        <v>1.142290877337675</v>
      </c>
      <c r="T301" s="46">
        <v>2</v>
      </c>
      <c r="U301" s="53" t="s">
        <v>330</v>
      </c>
      <c r="V301" s="47" t="s">
        <v>330</v>
      </c>
      <c r="W301" s="47" t="s">
        <v>550</v>
      </c>
      <c r="X301" s="47" t="s">
        <v>203</v>
      </c>
      <c r="Y301" s="58">
        <v>0.14119999999999999</v>
      </c>
      <c r="Z301" s="193">
        <v>0.43014000000000002</v>
      </c>
      <c r="AB301" s="3"/>
      <c r="AC301" s="3"/>
      <c r="AD301" s="3"/>
      <c r="AE301" s="3"/>
      <c r="AF301" s="3"/>
      <c r="AG301" s="3"/>
    </row>
    <row r="302" spans="6:33" ht="28.8">
      <c r="F302" s="372">
        <v>2</v>
      </c>
      <c r="G302" s="373" t="s">
        <v>233</v>
      </c>
      <c r="H302" s="6" t="s">
        <v>10178</v>
      </c>
      <c r="I302" s="136" t="s">
        <v>550</v>
      </c>
      <c r="J302" s="136" t="s">
        <v>203</v>
      </c>
      <c r="K302" s="191">
        <v>0</v>
      </c>
      <c r="L302" s="191">
        <v>-0.13905086666666666</v>
      </c>
      <c r="M302" s="191">
        <v>0</v>
      </c>
      <c r="N302" s="191">
        <v>-1.4467129262285372</v>
      </c>
      <c r="O302" s="191">
        <v>-2.0473741651862505</v>
      </c>
      <c r="P302" s="191">
        <v>-1.0116897927652853</v>
      </c>
      <c r="Q302" s="191">
        <v>-0.849519845769099</v>
      </c>
      <c r="R302" s="191">
        <v>3.3140542243510901E-2</v>
      </c>
      <c r="T302" s="46">
        <v>2</v>
      </c>
      <c r="U302" s="53" t="s">
        <v>330</v>
      </c>
      <c r="V302" s="47" t="s">
        <v>335</v>
      </c>
      <c r="W302" s="47" t="s">
        <v>550</v>
      </c>
      <c r="X302" s="47" t="s">
        <v>203</v>
      </c>
      <c r="Y302" s="58">
        <v>0.26272000000000001</v>
      </c>
      <c r="Z302" s="193">
        <v>0.43014000000000002</v>
      </c>
      <c r="AB302" s="3" t="s">
        <v>526</v>
      </c>
      <c r="AC302" s="125">
        <v>0.77500000000000002</v>
      </c>
      <c r="AD302" s="3">
        <v>0</v>
      </c>
      <c r="AE302" s="3" t="s">
        <v>527</v>
      </c>
      <c r="AF302" s="3"/>
      <c r="AG302" s="3"/>
    </row>
    <row r="303" spans="6:33">
      <c r="F303" s="372">
        <v>2</v>
      </c>
      <c r="G303" s="373" t="s">
        <v>233</v>
      </c>
      <c r="H303" s="6" t="s">
        <v>250</v>
      </c>
      <c r="I303" s="136" t="s">
        <v>550</v>
      </c>
      <c r="J303" s="136" t="s">
        <v>203</v>
      </c>
      <c r="K303" s="191">
        <v>0</v>
      </c>
      <c r="L303" s="191">
        <v>0</v>
      </c>
      <c r="M303" s="191">
        <v>0</v>
      </c>
      <c r="N303" s="191">
        <v>-1.7445491769864401</v>
      </c>
      <c r="O303" s="191">
        <v>-2.1472669608911699</v>
      </c>
      <c r="P303" s="191">
        <v>-1.04199171049873</v>
      </c>
      <c r="Q303" s="191">
        <v>-0.91032867384352301</v>
      </c>
      <c r="R303" s="191">
        <v>2.84317585042979E-2</v>
      </c>
      <c r="T303" s="46">
        <v>2</v>
      </c>
      <c r="U303" s="53" t="s">
        <v>330</v>
      </c>
      <c r="V303" s="47" t="s">
        <v>326</v>
      </c>
      <c r="W303" s="47" t="s">
        <v>550</v>
      </c>
      <c r="X303" s="47" t="s">
        <v>203</v>
      </c>
      <c r="Y303" s="58">
        <v>0.14119999999999999</v>
      </c>
      <c r="Z303" s="193">
        <v>0.43014000000000002</v>
      </c>
      <c r="AB303" s="3" t="s">
        <v>526</v>
      </c>
      <c r="AC303" s="125">
        <v>0.77500000000000002</v>
      </c>
      <c r="AD303" s="3">
        <v>0</v>
      </c>
      <c r="AE303" s="3" t="s">
        <v>527</v>
      </c>
      <c r="AF303" s="3"/>
      <c r="AG303" s="3"/>
    </row>
    <row r="304" spans="6:33">
      <c r="F304" s="372">
        <v>2</v>
      </c>
      <c r="G304" s="373" t="s">
        <v>233</v>
      </c>
      <c r="H304" s="6" t="s">
        <v>249</v>
      </c>
      <c r="I304" s="136" t="s">
        <v>550</v>
      </c>
      <c r="J304" s="136" t="s">
        <v>203</v>
      </c>
      <c r="K304" s="191">
        <v>0</v>
      </c>
      <c r="L304" s="191">
        <v>0</v>
      </c>
      <c r="M304" s="191">
        <v>0</v>
      </c>
      <c r="N304" s="191">
        <v>-0.54338445241578603</v>
      </c>
      <c r="O304" s="191">
        <v>-0.74020312188889104</v>
      </c>
      <c r="P304" s="191">
        <v>1.8604858580971498E-2</v>
      </c>
      <c r="Q304" s="191">
        <v>-0.19226620329942801</v>
      </c>
      <c r="R304" s="191">
        <v>2.5753037248270098E-2</v>
      </c>
      <c r="T304" s="46">
        <v>2</v>
      </c>
      <c r="U304" s="53" t="s">
        <v>529</v>
      </c>
      <c r="V304" s="47" t="s">
        <v>529</v>
      </c>
      <c r="W304" s="47" t="s">
        <v>550</v>
      </c>
      <c r="X304" s="47" t="s">
        <v>203</v>
      </c>
      <c r="Y304" s="58">
        <v>4.72241</v>
      </c>
      <c r="Z304" s="193">
        <v>1.758</v>
      </c>
      <c r="AB304" s="3" t="s">
        <v>526</v>
      </c>
      <c r="AC304" s="125">
        <v>0.77500000000000002</v>
      </c>
      <c r="AD304" s="3">
        <v>0</v>
      </c>
      <c r="AE304" s="3" t="s">
        <v>527</v>
      </c>
      <c r="AF304" s="3"/>
      <c r="AG304" s="3"/>
    </row>
    <row r="305" spans="6:33">
      <c r="F305" s="372">
        <v>2</v>
      </c>
      <c r="G305" s="373" t="s">
        <v>233</v>
      </c>
      <c r="H305" s="6" t="s">
        <v>273</v>
      </c>
      <c r="I305" s="136" t="s">
        <v>550</v>
      </c>
      <c r="J305" s="136" t="s">
        <v>203</v>
      </c>
      <c r="K305" s="191">
        <v>0</v>
      </c>
      <c r="L305" s="191">
        <v>0</v>
      </c>
      <c r="M305" s="191">
        <v>0</v>
      </c>
      <c r="N305" s="191">
        <v>-1.6485436672468201</v>
      </c>
      <c r="O305" s="191">
        <v>-2.1003113644548699</v>
      </c>
      <c r="P305" s="191">
        <v>-0.79779467300472295</v>
      </c>
      <c r="Q305" s="191">
        <v>-0.88417570316763305</v>
      </c>
      <c r="R305" s="191">
        <v>2.72081105786014E-2</v>
      </c>
      <c r="T305" s="46">
        <v>2</v>
      </c>
      <c r="U305" s="53" t="s">
        <v>529</v>
      </c>
      <c r="V305" s="47" t="s">
        <v>327</v>
      </c>
      <c r="W305" s="47" t="s">
        <v>550</v>
      </c>
      <c r="X305" s="47" t="s">
        <v>203</v>
      </c>
      <c r="Y305" s="58">
        <v>0.25034000000000001</v>
      </c>
      <c r="Z305" s="193">
        <v>0.99672000000000005</v>
      </c>
      <c r="AB305" s="3" t="s">
        <v>526</v>
      </c>
      <c r="AC305" s="83">
        <v>0.5</v>
      </c>
      <c r="AD305" s="3">
        <v>0</v>
      </c>
      <c r="AE305" s="3" t="s">
        <v>528</v>
      </c>
      <c r="AF305" s="3"/>
      <c r="AG305" s="3"/>
    </row>
    <row r="306" spans="6:33">
      <c r="F306" s="372">
        <v>2</v>
      </c>
      <c r="G306" s="373" t="s">
        <v>233</v>
      </c>
      <c r="H306" s="6" t="s">
        <v>330</v>
      </c>
      <c r="I306" s="136" t="s">
        <v>550</v>
      </c>
      <c r="J306" s="136" t="s">
        <v>203</v>
      </c>
      <c r="K306" s="191">
        <v>-0.14119999999999999</v>
      </c>
      <c r="L306" s="191">
        <v>-0.1076582</v>
      </c>
      <c r="M306" s="191">
        <v>0</v>
      </c>
      <c r="N306" s="191">
        <v>0</v>
      </c>
      <c r="O306" s="191">
        <v>0</v>
      </c>
      <c r="P306" s="191">
        <v>-1.4804878785558699</v>
      </c>
      <c r="Q306" s="191">
        <v>-1.02845074925215</v>
      </c>
      <c r="R306" s="191">
        <v>5.3035846633626003E-2</v>
      </c>
      <c r="T306" s="46">
        <v>2</v>
      </c>
      <c r="U306" s="53" t="s">
        <v>529</v>
      </c>
      <c r="V306" s="47" t="s">
        <v>331</v>
      </c>
      <c r="W306" s="47" t="s">
        <v>550</v>
      </c>
      <c r="X306" s="47" t="s">
        <v>203</v>
      </c>
      <c r="Y306" s="58">
        <v>9.1944800000000004</v>
      </c>
      <c r="Z306" s="193">
        <v>2.5192800000000002</v>
      </c>
      <c r="AB306" s="3" t="s">
        <v>526</v>
      </c>
      <c r="AC306" s="83">
        <v>0.5</v>
      </c>
      <c r="AD306" s="3">
        <v>0</v>
      </c>
      <c r="AE306" s="3" t="s">
        <v>528</v>
      </c>
      <c r="AF306" s="3"/>
      <c r="AG306" s="3"/>
    </row>
    <row r="307" spans="6:33">
      <c r="F307" s="372">
        <v>2</v>
      </c>
      <c r="G307" s="373" t="s">
        <v>233</v>
      </c>
      <c r="H307" s="6" t="s">
        <v>335</v>
      </c>
      <c r="I307" s="136" t="s">
        <v>550</v>
      </c>
      <c r="J307" s="136" t="s">
        <v>203</v>
      </c>
      <c r="K307" s="191">
        <v>-0.26272000000000001</v>
      </c>
      <c r="L307" s="191">
        <v>-0.20183620000000002</v>
      </c>
      <c r="M307" s="191">
        <v>0</v>
      </c>
      <c r="N307" s="191">
        <v>-1.6485436672468201</v>
      </c>
      <c r="O307" s="191">
        <v>-2.6245446893481601</v>
      </c>
      <c r="P307" s="191">
        <v>-1.38423467655668</v>
      </c>
      <c r="Q307" s="191">
        <v>-1.0409488725259299</v>
      </c>
      <c r="R307" s="191">
        <v>3.2207250248134998E-2</v>
      </c>
      <c r="T307" s="46">
        <v>2</v>
      </c>
      <c r="U307" s="53" t="s">
        <v>529</v>
      </c>
      <c r="V307" s="47" t="s">
        <v>332</v>
      </c>
      <c r="W307" s="47" t="s">
        <v>550</v>
      </c>
      <c r="X307" s="47" t="s">
        <v>203</v>
      </c>
      <c r="Y307" s="58">
        <v>2.5034000000000001</v>
      </c>
      <c r="Z307" s="193">
        <v>1.0183800000000001</v>
      </c>
      <c r="AB307" s="3"/>
      <c r="AC307" s="3"/>
      <c r="AD307" s="3"/>
      <c r="AE307" s="3"/>
      <c r="AF307" s="3"/>
      <c r="AG307" s="3"/>
    </row>
    <row r="308" spans="6:33">
      <c r="F308" s="372">
        <v>2</v>
      </c>
      <c r="G308" s="373" t="s">
        <v>233</v>
      </c>
      <c r="H308" s="6" t="s">
        <v>326</v>
      </c>
      <c r="I308" s="136" t="s">
        <v>550</v>
      </c>
      <c r="J308" s="136" t="s">
        <v>203</v>
      </c>
      <c r="K308" s="191">
        <v>-0.14119999999999999</v>
      </c>
      <c r="L308" s="191">
        <v>-0.1076582</v>
      </c>
      <c r="M308" s="191">
        <v>0</v>
      </c>
      <c r="N308" s="191">
        <v>-1.6485436672468201</v>
      </c>
      <c r="O308" s="191">
        <v>-2.6245446893481601</v>
      </c>
      <c r="P308" s="191">
        <v>-1.38423467655668</v>
      </c>
      <c r="Q308" s="191">
        <v>-1.0409488725259299</v>
      </c>
      <c r="R308" s="191">
        <v>3.2207250248134998E-2</v>
      </c>
      <c r="T308" s="46">
        <v>2</v>
      </c>
      <c r="U308" s="53" t="s">
        <v>252</v>
      </c>
      <c r="V308" s="47" t="s">
        <v>252</v>
      </c>
      <c r="W308" s="47" t="s">
        <v>550</v>
      </c>
      <c r="X308" s="47" t="s">
        <v>203</v>
      </c>
      <c r="Y308" s="58">
        <v>2.0953266666666663</v>
      </c>
      <c r="Z308" s="193">
        <v>1.77911</v>
      </c>
      <c r="AB308" s="3" t="s">
        <v>526</v>
      </c>
      <c r="AC308" s="125">
        <v>0.77500000000000002</v>
      </c>
      <c r="AD308" s="3">
        <v>8.1306407300000008E-2</v>
      </c>
      <c r="AE308" s="3" t="s">
        <v>531</v>
      </c>
      <c r="AF308" s="3" t="s">
        <v>526</v>
      </c>
      <c r="AG308" s="83">
        <v>0.85</v>
      </c>
    </row>
    <row r="309" spans="6:33" ht="28.8">
      <c r="F309" s="372">
        <v>2</v>
      </c>
      <c r="G309" s="373" t="s">
        <v>261</v>
      </c>
      <c r="H309" s="6" t="s">
        <v>10179</v>
      </c>
      <c r="I309" s="136" t="s">
        <v>550</v>
      </c>
      <c r="J309" s="136" t="s">
        <v>203</v>
      </c>
      <c r="K309" s="191">
        <v>-4.72241</v>
      </c>
      <c r="L309" s="191">
        <v>-2.3594331999999998</v>
      </c>
      <c r="M309" s="191">
        <v>0</v>
      </c>
      <c r="N309" s="191">
        <v>-0.36345066198561049</v>
      </c>
      <c r="O309" s="191">
        <v>-0.58952172495462496</v>
      </c>
      <c r="P309" s="191">
        <v>0.13911075984299401</v>
      </c>
      <c r="Q309" s="191">
        <v>-0.17731971245539049</v>
      </c>
      <c r="R309" s="191">
        <v>2.5406496338178101E-2</v>
      </c>
      <c r="T309" s="46">
        <v>2</v>
      </c>
      <c r="U309" s="53" t="s">
        <v>252</v>
      </c>
      <c r="V309" s="47" t="s">
        <v>253</v>
      </c>
      <c r="W309" s="47" t="s">
        <v>550</v>
      </c>
      <c r="X309" s="47" t="s">
        <v>203</v>
      </c>
      <c r="Y309" s="58">
        <v>2.04928</v>
      </c>
      <c r="Z309" s="193">
        <v>1.77911</v>
      </c>
      <c r="AB309" s="3" t="s">
        <v>526</v>
      </c>
      <c r="AC309" s="125">
        <v>0.77500000000000002</v>
      </c>
      <c r="AD309" s="3">
        <v>8.1306407300000008E-2</v>
      </c>
      <c r="AE309" s="3" t="s">
        <v>531</v>
      </c>
      <c r="AF309" s="3" t="s">
        <v>526</v>
      </c>
      <c r="AG309" s="83">
        <v>0.7</v>
      </c>
    </row>
    <row r="310" spans="6:33">
      <c r="F310" s="372">
        <v>2</v>
      </c>
      <c r="G310" s="373" t="s">
        <v>261</v>
      </c>
      <c r="H310" s="6" t="s">
        <v>269</v>
      </c>
      <c r="I310" s="136" t="s">
        <v>550</v>
      </c>
      <c r="J310" s="136" t="s">
        <v>203</v>
      </c>
      <c r="K310" s="191">
        <v>-0.25034000000000001</v>
      </c>
      <c r="L310" s="191">
        <v>-0.1233982</v>
      </c>
      <c r="M310" s="191">
        <v>0</v>
      </c>
      <c r="N310" s="191">
        <v>-0.303398738694796</v>
      </c>
      <c r="O310" s="191">
        <v>-0.49950497126607302</v>
      </c>
      <c r="P310" s="191">
        <v>0.17048144598486401</v>
      </c>
      <c r="Q310" s="191">
        <v>-0.122481791907762</v>
      </c>
      <c r="R310" s="191">
        <v>2.5084386562055101E-2</v>
      </c>
      <c r="T310" s="46">
        <v>2</v>
      </c>
      <c r="U310" s="53" t="s">
        <v>252</v>
      </c>
      <c r="V310" s="47" t="s">
        <v>328</v>
      </c>
      <c r="W310" s="47" t="s">
        <v>550</v>
      </c>
      <c r="X310" s="47" t="s">
        <v>203</v>
      </c>
      <c r="Y310" s="58">
        <v>2.3231199999999999</v>
      </c>
      <c r="Z310" s="193">
        <v>1.77911</v>
      </c>
      <c r="AB310" s="3"/>
      <c r="AC310" s="3"/>
      <c r="AD310" s="3"/>
      <c r="AE310" s="3"/>
      <c r="AF310" s="3" t="s">
        <v>526</v>
      </c>
      <c r="AG310" s="83">
        <v>0.8</v>
      </c>
    </row>
    <row r="311" spans="6:33" ht="28.8">
      <c r="F311" s="372">
        <v>2</v>
      </c>
      <c r="G311" s="373" t="s">
        <v>261</v>
      </c>
      <c r="H311" s="6" t="s">
        <v>530</v>
      </c>
      <c r="I311" s="136" t="s">
        <v>550</v>
      </c>
      <c r="J311" s="136" t="s">
        <v>203</v>
      </c>
      <c r="K311" s="191">
        <v>-9.1944800000000004</v>
      </c>
      <c r="L311" s="191">
        <v>-4.5954682</v>
      </c>
      <c r="M311" s="191">
        <v>0</v>
      </c>
      <c r="N311" s="191">
        <v>-0.42350258527642498</v>
      </c>
      <c r="O311" s="191">
        <v>-0.67953847864317696</v>
      </c>
      <c r="P311" s="191">
        <v>0.107740073701124</v>
      </c>
      <c r="Q311" s="191">
        <v>-0.232157633003019</v>
      </c>
      <c r="R311" s="191">
        <v>2.5728606114301101E-2</v>
      </c>
      <c r="T311" s="46">
        <v>2</v>
      </c>
      <c r="U311" s="53" t="s">
        <v>252</v>
      </c>
      <c r="V311" s="47" t="s">
        <v>254</v>
      </c>
      <c r="W311" s="47" t="s">
        <v>550</v>
      </c>
      <c r="X311" s="47" t="s">
        <v>203</v>
      </c>
      <c r="Y311" s="58">
        <v>2.1485799999999999</v>
      </c>
      <c r="Z311" s="193">
        <v>1.77911</v>
      </c>
      <c r="AB311" s="3" t="s">
        <v>526</v>
      </c>
      <c r="AC311" s="125">
        <v>0.77500000000000002</v>
      </c>
      <c r="AD311" s="3">
        <v>8.1306407300000008E-2</v>
      </c>
      <c r="AE311" s="3" t="s">
        <v>531</v>
      </c>
      <c r="AF311" s="3" t="s">
        <v>526</v>
      </c>
      <c r="AG311" s="83">
        <v>0.7</v>
      </c>
    </row>
    <row r="312" spans="6:33">
      <c r="F312" s="372">
        <v>2</v>
      </c>
      <c r="G312" s="373" t="s">
        <v>261</v>
      </c>
      <c r="H312" s="6" t="s">
        <v>262</v>
      </c>
      <c r="I312" s="136" t="s">
        <v>550</v>
      </c>
      <c r="J312" s="136" t="s">
        <v>203</v>
      </c>
      <c r="K312" s="191">
        <v>-2.5034000000000001</v>
      </c>
      <c r="L312" s="191">
        <v>0</v>
      </c>
      <c r="M312" s="191">
        <v>0</v>
      </c>
      <c r="N312" s="191">
        <v>-0.42350258527642498</v>
      </c>
      <c r="O312" s="191">
        <v>-0.67953847864317696</v>
      </c>
      <c r="P312" s="191">
        <v>0.107740073701124</v>
      </c>
      <c r="Q312" s="191">
        <v>-0.232157633003019</v>
      </c>
      <c r="R312" s="191">
        <v>2.5728606114301101E-2</v>
      </c>
      <c r="T312" s="46">
        <v>2</v>
      </c>
      <c r="U312" s="53" t="s">
        <v>252</v>
      </c>
      <c r="V312" s="47" t="s">
        <v>532</v>
      </c>
      <c r="W312" s="47" t="s">
        <v>550</v>
      </c>
      <c r="X312" s="47" t="s">
        <v>203</v>
      </c>
      <c r="Y312" s="58">
        <v>1.9492499999999999</v>
      </c>
      <c r="Z312" s="193">
        <v>1.77911</v>
      </c>
      <c r="AB312" s="3"/>
      <c r="AC312" s="3"/>
      <c r="AD312" s="3"/>
      <c r="AE312" s="3"/>
      <c r="AF312" s="3"/>
      <c r="AG312" s="83"/>
    </row>
    <row r="313" spans="6:33">
      <c r="F313" s="372">
        <v>2</v>
      </c>
      <c r="G313" s="373" t="s">
        <v>252</v>
      </c>
      <c r="H313" s="6" t="s">
        <v>10180</v>
      </c>
      <c r="I313" s="136" t="s">
        <v>550</v>
      </c>
      <c r="J313" s="136" t="s">
        <v>203</v>
      </c>
      <c r="K313" s="191">
        <v>-2.0953266666666663</v>
      </c>
      <c r="L313" s="191">
        <v>-1.5407999593666664</v>
      </c>
      <c r="M313" s="191">
        <v>-4.4031027052446881</v>
      </c>
      <c r="N313" s="191">
        <v>0</v>
      </c>
      <c r="O313" s="191">
        <v>0</v>
      </c>
      <c r="P313" s="191">
        <v>2.6022305346742901E-2</v>
      </c>
      <c r="Q313" s="191">
        <v>0.62743418122049499</v>
      </c>
      <c r="R313" s="191">
        <v>2.1870245647238802</v>
      </c>
      <c r="T313" s="46">
        <v>2</v>
      </c>
      <c r="U313" s="53" t="s">
        <v>252</v>
      </c>
      <c r="V313" s="47" t="s">
        <v>245</v>
      </c>
      <c r="W313" s="47" t="s">
        <v>550</v>
      </c>
      <c r="X313" s="47" t="s">
        <v>203</v>
      </c>
      <c r="Y313" s="58">
        <v>2.0269300000000001</v>
      </c>
      <c r="Z313" s="193">
        <v>1.77911</v>
      </c>
      <c r="AB313" s="3" t="s">
        <v>526</v>
      </c>
      <c r="AC313" s="125">
        <v>0.77500000000000002</v>
      </c>
      <c r="AD313" s="3">
        <v>8.1306407300000008E-2</v>
      </c>
      <c r="AE313" s="3" t="s">
        <v>531</v>
      </c>
      <c r="AF313" s="3"/>
      <c r="AG313" s="3"/>
    </row>
    <row r="314" spans="6:33" ht="43.2">
      <c r="F314" s="372">
        <v>2</v>
      </c>
      <c r="G314" s="373" t="s">
        <v>252</v>
      </c>
      <c r="H314" s="6" t="s">
        <v>10163</v>
      </c>
      <c r="I314" s="136" t="s">
        <v>550</v>
      </c>
      <c r="J314" s="136" t="s">
        <v>203</v>
      </c>
      <c r="K314" s="191">
        <v>-2.04928</v>
      </c>
      <c r="L314" s="191">
        <v>0</v>
      </c>
      <c r="M314" s="191">
        <v>-3.8665938524911381</v>
      </c>
      <c r="N314" s="191">
        <v>0</v>
      </c>
      <c r="O314" s="191">
        <v>0</v>
      </c>
      <c r="P314" s="191">
        <v>2.60223023657884E-2</v>
      </c>
      <c r="Q314" s="191">
        <v>0.49217855726131798</v>
      </c>
      <c r="R314" s="191">
        <v>3.18317771719081</v>
      </c>
      <c r="T314" s="46">
        <v>2</v>
      </c>
      <c r="U314" s="53" t="s">
        <v>252</v>
      </c>
      <c r="V314" s="47" t="s">
        <v>533</v>
      </c>
      <c r="W314" s="47" t="s">
        <v>550</v>
      </c>
      <c r="X314" s="47" t="s">
        <v>203</v>
      </c>
      <c r="Y314" s="58">
        <v>2.0748000000000002</v>
      </c>
      <c r="Z314" s="193">
        <v>1.77911</v>
      </c>
      <c r="AB314" s="3" t="s">
        <v>526</v>
      </c>
      <c r="AC314" s="125">
        <v>0.72499999999999998</v>
      </c>
      <c r="AD314" s="3">
        <v>8.1306407300000008E-2</v>
      </c>
      <c r="AE314" s="3" t="s">
        <v>531</v>
      </c>
      <c r="AF314" s="3"/>
      <c r="AG314" s="3"/>
    </row>
    <row r="315" spans="6:33" ht="28.8">
      <c r="F315" s="372">
        <v>2</v>
      </c>
      <c r="G315" s="373" t="s">
        <v>252</v>
      </c>
      <c r="H315" s="6" t="s">
        <v>10164</v>
      </c>
      <c r="I315" s="136" t="s">
        <v>550</v>
      </c>
      <c r="J315" s="136" t="s">
        <v>203</v>
      </c>
      <c r="K315" s="191">
        <v>-2.3231199999999999</v>
      </c>
      <c r="L315" s="191">
        <v>0</v>
      </c>
      <c r="M315" s="191">
        <v>-4.5549858253038238</v>
      </c>
      <c r="N315" s="191">
        <v>0</v>
      </c>
      <c r="O315" s="191">
        <v>0</v>
      </c>
      <c r="P315" s="191">
        <v>2.6022303157787401E-2</v>
      </c>
      <c r="Q315" s="191">
        <v>0.53523499308112499</v>
      </c>
      <c r="R315" s="191">
        <v>2.4956079529639799</v>
      </c>
      <c r="T315" s="46">
        <v>2</v>
      </c>
      <c r="U315" s="53" t="s">
        <v>242</v>
      </c>
      <c r="V315" s="47" t="s">
        <v>242</v>
      </c>
      <c r="W315" s="47" t="s">
        <v>550</v>
      </c>
      <c r="X315" s="47" t="s">
        <v>203</v>
      </c>
      <c r="Y315" s="58">
        <v>38.486130000000003</v>
      </c>
      <c r="Z315" s="193">
        <v>0.20843</v>
      </c>
      <c r="AB315" s="3" t="s">
        <v>526</v>
      </c>
      <c r="AC315" s="125">
        <v>0.72499999999999998</v>
      </c>
      <c r="AD315" s="3">
        <v>8.1306407300000008E-2</v>
      </c>
      <c r="AE315" s="3" t="s">
        <v>531</v>
      </c>
      <c r="AF315" s="3"/>
      <c r="AG315" s="3"/>
    </row>
    <row r="316" spans="6:33" ht="28.8">
      <c r="F316" s="372">
        <v>2</v>
      </c>
      <c r="G316" s="373" t="s">
        <v>252</v>
      </c>
      <c r="H316" s="6" t="s">
        <v>10165</v>
      </c>
      <c r="I316" s="136" t="s">
        <v>550</v>
      </c>
      <c r="J316" s="136" t="s">
        <v>203</v>
      </c>
      <c r="K316" s="191">
        <v>-2.1485799999999999</v>
      </c>
      <c r="L316" s="191">
        <v>0</v>
      </c>
      <c r="M316" s="191">
        <v>-4.6358453178799648</v>
      </c>
      <c r="N316" s="191">
        <v>0</v>
      </c>
      <c r="O316" s="191">
        <v>0</v>
      </c>
      <c r="P316" s="191">
        <v>2.60223023657884E-2</v>
      </c>
      <c r="Q316" s="191">
        <v>0.69711824303247505</v>
      </c>
      <c r="R316" s="191">
        <v>2.53633256927669</v>
      </c>
      <c r="T316" s="46">
        <v>2</v>
      </c>
      <c r="U316" s="53" t="s">
        <v>242</v>
      </c>
      <c r="V316" s="47" t="s">
        <v>242</v>
      </c>
      <c r="W316" s="47" t="s">
        <v>550</v>
      </c>
      <c r="X316" s="47" t="s">
        <v>203</v>
      </c>
      <c r="Y316" s="58">
        <v>38.486130000000003</v>
      </c>
      <c r="Z316" s="193">
        <v>0.20843</v>
      </c>
      <c r="AB316" s="3" t="s">
        <v>526</v>
      </c>
      <c r="AC316" s="125">
        <v>0.64600000000000002</v>
      </c>
      <c r="AD316" s="3">
        <v>8.1306407300000008E-2</v>
      </c>
      <c r="AE316" s="3" t="s">
        <v>531</v>
      </c>
      <c r="AF316" s="3" t="s">
        <v>526</v>
      </c>
      <c r="AG316" s="83">
        <v>0.8</v>
      </c>
    </row>
    <row r="317" spans="6:33" ht="28.8">
      <c r="F317" s="372">
        <v>2</v>
      </c>
      <c r="G317" s="373" t="s">
        <v>252</v>
      </c>
      <c r="H317" s="6" t="s">
        <v>10166</v>
      </c>
      <c r="I317" s="136" t="s">
        <v>550</v>
      </c>
      <c r="J317" s="136" t="s">
        <v>203</v>
      </c>
      <c r="K317" s="191">
        <v>-1.9492499999999999</v>
      </c>
      <c r="L317" s="191">
        <v>0</v>
      </c>
      <c r="M317" s="191">
        <v>-4.5549858253038238</v>
      </c>
      <c r="N317" s="191">
        <v>0</v>
      </c>
      <c r="O317" s="191">
        <v>0</v>
      </c>
      <c r="P317" s="191">
        <v>2.6022303157787401E-2</v>
      </c>
      <c r="Q317" s="191">
        <v>0.53523499308112499</v>
      </c>
      <c r="R317" s="191">
        <v>2.4956079529639799</v>
      </c>
      <c r="T317" s="46">
        <v>2</v>
      </c>
      <c r="U317" s="53" t="s">
        <v>242</v>
      </c>
      <c r="V317" s="47" t="s">
        <v>534</v>
      </c>
      <c r="W317" s="47" t="s">
        <v>550</v>
      </c>
      <c r="X317" s="47" t="s">
        <v>203</v>
      </c>
      <c r="Y317" s="58">
        <v>15.0122</v>
      </c>
      <c r="Z317" s="193">
        <v>0.37092000000000003</v>
      </c>
      <c r="AB317" s="3"/>
      <c r="AC317" s="3"/>
      <c r="AD317" s="3"/>
      <c r="AE317" s="3"/>
      <c r="AF317" s="3" t="s">
        <v>526</v>
      </c>
      <c r="AG317" s="83">
        <v>0.88</v>
      </c>
    </row>
    <row r="318" spans="6:33">
      <c r="F318" s="372">
        <v>2</v>
      </c>
      <c r="G318" s="373" t="s">
        <v>252</v>
      </c>
      <c r="H318" s="6" t="s">
        <v>10167</v>
      </c>
      <c r="I318" s="136" t="s">
        <v>550</v>
      </c>
      <c r="J318" s="136" t="s">
        <v>203</v>
      </c>
      <c r="K318" s="191">
        <v>-2.0269300000000001</v>
      </c>
      <c r="L318" s="191">
        <v>0</v>
      </c>
      <c r="M318" s="191">
        <v>0</v>
      </c>
      <c r="N318" s="191">
        <v>0</v>
      </c>
      <c r="O318" s="191">
        <v>0</v>
      </c>
      <c r="P318" s="191">
        <v>2.60223032751358E-2</v>
      </c>
      <c r="Q318" s="191">
        <v>0.44686290323644601</v>
      </c>
      <c r="R318" s="191">
        <v>3.1833670270929102</v>
      </c>
      <c r="T318" s="46">
        <v>2</v>
      </c>
      <c r="U318" s="53" t="s">
        <v>239</v>
      </c>
      <c r="V318" s="47" t="s">
        <v>239</v>
      </c>
      <c r="W318" s="47" t="s">
        <v>550</v>
      </c>
      <c r="X318" s="47" t="s">
        <v>203</v>
      </c>
      <c r="Y318" s="58">
        <v>2.6644477777777777</v>
      </c>
      <c r="Z318" s="193">
        <v>0.64099666666666666</v>
      </c>
      <c r="AB318" s="3" t="s">
        <v>526</v>
      </c>
      <c r="AC318" s="125">
        <v>0.64600000000000002</v>
      </c>
      <c r="AD318" s="3">
        <v>8.1306407300000008E-2</v>
      </c>
      <c r="AE318" s="3" t="s">
        <v>531</v>
      </c>
      <c r="AF318" s="3" t="s">
        <v>526</v>
      </c>
      <c r="AG318" s="83">
        <v>0.8</v>
      </c>
    </row>
    <row r="319" spans="6:33">
      <c r="F319" s="372">
        <v>2</v>
      </c>
      <c r="G319" s="373" t="s">
        <v>252</v>
      </c>
      <c r="H319" s="6" t="s">
        <v>10168</v>
      </c>
      <c r="I319" s="136" t="s">
        <v>550</v>
      </c>
      <c r="J319" s="136" t="s">
        <v>203</v>
      </c>
      <c r="K319" s="191">
        <v>-2.0748000000000002</v>
      </c>
      <c r="L319" s="191">
        <v>0</v>
      </c>
      <c r="M319" s="191">
        <v>0</v>
      </c>
      <c r="N319" s="191">
        <v>0</v>
      </c>
      <c r="O319" s="191">
        <v>0</v>
      </c>
      <c r="P319" s="191">
        <v>2.6022298134733599E-2</v>
      </c>
      <c r="Q319" s="191">
        <v>0.64496580944247495</v>
      </c>
      <c r="R319" s="191">
        <v>3.03683072134959</v>
      </c>
      <c r="T319" s="46">
        <v>2</v>
      </c>
      <c r="U319" s="53" t="s">
        <v>239</v>
      </c>
      <c r="V319" s="47" t="s">
        <v>324</v>
      </c>
      <c r="W319" s="47" t="s">
        <v>550</v>
      </c>
      <c r="X319" s="47" t="s">
        <v>203</v>
      </c>
      <c r="Y319" s="58">
        <v>1.66</v>
      </c>
      <c r="Z319" s="193">
        <v>0.13142999999999999</v>
      </c>
      <c r="AB319" s="3"/>
      <c r="AC319" s="3"/>
      <c r="AD319" s="3"/>
      <c r="AE319" s="3"/>
      <c r="AF319" s="3" t="s">
        <v>526</v>
      </c>
      <c r="AG319" s="83">
        <v>0.65</v>
      </c>
    </row>
    <row r="320" spans="6:33">
      <c r="F320" s="372">
        <v>2</v>
      </c>
      <c r="G320" s="373" t="s">
        <v>242</v>
      </c>
      <c r="H320" s="6" t="s">
        <v>10181</v>
      </c>
      <c r="I320" s="136" t="s">
        <v>550</v>
      </c>
      <c r="J320" s="136" t="s">
        <v>203</v>
      </c>
      <c r="K320" s="191">
        <v>-38.486130000000003</v>
      </c>
      <c r="L320" s="191">
        <v>-27.900672450000002</v>
      </c>
      <c r="M320" s="191">
        <v>-3.2868550000000001</v>
      </c>
      <c r="N320" s="191">
        <v>0</v>
      </c>
      <c r="O320" s="191">
        <v>0</v>
      </c>
      <c r="P320" s="191">
        <v>2.5860000000000001E-2</v>
      </c>
      <c r="Q320" s="191">
        <v>4.1800809795969597E-2</v>
      </c>
      <c r="R320" s="191">
        <v>4.8913810169323599E-2</v>
      </c>
      <c r="T320" s="46">
        <v>2</v>
      </c>
      <c r="U320" s="53" t="s">
        <v>239</v>
      </c>
      <c r="V320" s="47" t="s">
        <v>272</v>
      </c>
      <c r="W320" s="47" t="s">
        <v>550</v>
      </c>
      <c r="X320" s="47" t="s">
        <v>203</v>
      </c>
      <c r="Y320" s="58">
        <v>2.1278299999999999</v>
      </c>
      <c r="Z320" s="193">
        <v>1.2152400000000001</v>
      </c>
      <c r="AB320" s="3"/>
      <c r="AC320" s="3"/>
      <c r="AD320" s="3"/>
      <c r="AE320" s="3"/>
      <c r="AF320" s="3" t="s">
        <v>526</v>
      </c>
      <c r="AG320" s="83">
        <v>0.65</v>
      </c>
    </row>
    <row r="321" spans="6:33">
      <c r="F321" s="372">
        <v>2</v>
      </c>
      <c r="G321" s="373" t="s">
        <v>242</v>
      </c>
      <c r="H321" s="6" t="s">
        <v>274</v>
      </c>
      <c r="I321" s="136" t="s">
        <v>550</v>
      </c>
      <c r="J321" s="136" t="s">
        <v>203</v>
      </c>
      <c r="K321" s="191">
        <v>-38.486130000000003</v>
      </c>
      <c r="L321" s="191">
        <v>-27.900672450000002</v>
      </c>
      <c r="M321" s="191">
        <v>-8.5278425000000002</v>
      </c>
      <c r="N321" s="191">
        <v>0</v>
      </c>
      <c r="O321" s="191">
        <v>0</v>
      </c>
      <c r="P321" s="191">
        <v>2.5860000000000001E-2</v>
      </c>
      <c r="Q321" s="191">
        <v>4.1800809795969597E-2</v>
      </c>
      <c r="R321" s="191">
        <v>4.8913810169323599E-2</v>
      </c>
      <c r="T321" s="46">
        <v>2</v>
      </c>
      <c r="U321" s="53" t="s">
        <v>239</v>
      </c>
      <c r="V321" s="47" t="s">
        <v>329</v>
      </c>
      <c r="W321" s="47" t="s">
        <v>550</v>
      </c>
      <c r="X321" s="47" t="s">
        <v>203</v>
      </c>
      <c r="Y321" s="58">
        <v>3.4792200000000002</v>
      </c>
      <c r="Z321" s="193">
        <v>1.0383</v>
      </c>
      <c r="AB321" s="3"/>
      <c r="AC321" s="3"/>
      <c r="AD321" s="3"/>
      <c r="AE321" s="3"/>
      <c r="AF321" s="3" t="s">
        <v>526</v>
      </c>
      <c r="AG321" s="83">
        <v>0.65</v>
      </c>
    </row>
    <row r="322" spans="6:33">
      <c r="F322" s="372">
        <v>2</v>
      </c>
      <c r="G322" s="373" t="s">
        <v>242</v>
      </c>
      <c r="H322" s="6" t="s">
        <v>534</v>
      </c>
      <c r="I322" s="136" t="s">
        <v>550</v>
      </c>
      <c r="J322" s="136" t="s">
        <v>203</v>
      </c>
      <c r="K322" s="191">
        <v>-15.0122</v>
      </c>
      <c r="L322" s="191">
        <v>-10.882073199999999</v>
      </c>
      <c r="M322" s="191">
        <v>-3.19428</v>
      </c>
      <c r="N322" s="191">
        <v>0</v>
      </c>
      <c r="O322" s="191">
        <v>0</v>
      </c>
      <c r="P322" s="191">
        <v>2.5860000000000001E-2</v>
      </c>
      <c r="Q322" s="191">
        <v>4.1800809795969597E-2</v>
      </c>
      <c r="R322" s="191">
        <v>4.8913810169323599E-2</v>
      </c>
      <c r="T322" s="46">
        <v>2</v>
      </c>
      <c r="U322" s="53" t="s">
        <v>239</v>
      </c>
      <c r="V322" s="47" t="s">
        <v>271</v>
      </c>
      <c r="W322" s="47" t="s">
        <v>550</v>
      </c>
      <c r="X322" s="47" t="s">
        <v>203</v>
      </c>
      <c r="Y322" s="58">
        <v>3.1045600000000002</v>
      </c>
      <c r="Z322" s="193">
        <v>0.12864</v>
      </c>
      <c r="AB322" s="3"/>
      <c r="AC322" s="3"/>
      <c r="AD322" s="3"/>
      <c r="AE322" s="3"/>
      <c r="AF322" s="3" t="s">
        <v>526</v>
      </c>
      <c r="AG322" s="83">
        <v>0.8</v>
      </c>
    </row>
    <row r="323" spans="6:33">
      <c r="F323" s="372">
        <v>2</v>
      </c>
      <c r="G323" s="373" t="s">
        <v>239</v>
      </c>
      <c r="H323" s="6" t="s">
        <v>10182</v>
      </c>
      <c r="I323" s="136" t="s">
        <v>550</v>
      </c>
      <c r="J323" s="136" t="s">
        <v>203</v>
      </c>
      <c r="K323" s="191">
        <v>-2.6644477777777777</v>
      </c>
      <c r="L323" s="191">
        <v>-1.7194614644444446</v>
      </c>
      <c r="M323" s="191">
        <v>-0.82622090524955993</v>
      </c>
      <c r="N323" s="191">
        <v>-1.6415582940675599</v>
      </c>
      <c r="O323" s="191">
        <v>-2.38875601138436</v>
      </c>
      <c r="P323" s="191">
        <v>-0.64660766527578795</v>
      </c>
      <c r="Q323" s="191">
        <v>-0.84015304589553597</v>
      </c>
      <c r="R323" s="191">
        <v>2.7471597181405401E-2</v>
      </c>
      <c r="T323" s="46">
        <v>2</v>
      </c>
      <c r="U323" s="53" t="s">
        <v>239</v>
      </c>
      <c r="V323" s="47" t="s">
        <v>535</v>
      </c>
      <c r="W323" s="47" t="s">
        <v>550</v>
      </c>
      <c r="X323" s="47" t="s">
        <v>203</v>
      </c>
      <c r="Y323" s="58">
        <v>3.1045600000000002</v>
      </c>
      <c r="Z323" s="193">
        <v>0.12864</v>
      </c>
      <c r="AB323" s="3"/>
      <c r="AC323" s="3"/>
      <c r="AD323" s="3"/>
      <c r="AE323" s="3"/>
      <c r="AF323" s="3"/>
      <c r="AG323" s="3"/>
    </row>
    <row r="324" spans="6:33">
      <c r="F324" s="372">
        <v>2</v>
      </c>
      <c r="G324" s="373" t="s">
        <v>239</v>
      </c>
      <c r="H324" s="6" t="s">
        <v>324</v>
      </c>
      <c r="I324" s="136" t="s">
        <v>550</v>
      </c>
      <c r="J324" s="136" t="s">
        <v>203</v>
      </c>
      <c r="K324" s="191">
        <v>-1.66</v>
      </c>
      <c r="L324" s="191">
        <v>0</v>
      </c>
      <c r="M324" s="191">
        <v>0.2257372170756459</v>
      </c>
      <c r="N324" s="191">
        <v>-1.6521126151519701</v>
      </c>
      <c r="O324" s="191">
        <v>-2.2425496041953599</v>
      </c>
      <c r="P324" s="191">
        <v>-1.1293815758271</v>
      </c>
      <c r="Q324" s="191">
        <v>-0.91353993473315398</v>
      </c>
      <c r="R324" s="191">
        <v>2.66824832139794E-2</v>
      </c>
      <c r="T324" s="46">
        <v>2</v>
      </c>
      <c r="U324" s="53" t="s">
        <v>239</v>
      </c>
      <c r="V324" s="47" t="s">
        <v>259</v>
      </c>
      <c r="W324" s="47" t="s">
        <v>550</v>
      </c>
      <c r="X324" s="47" t="s">
        <v>203</v>
      </c>
      <c r="Y324" s="58">
        <v>2.86965</v>
      </c>
      <c r="Z324" s="193">
        <v>0.79600000000000004</v>
      </c>
      <c r="AB324" s="3"/>
      <c r="AC324" s="3"/>
      <c r="AD324" s="3"/>
      <c r="AE324" s="3"/>
      <c r="AF324" s="3"/>
      <c r="AG324" s="3"/>
    </row>
    <row r="325" spans="6:33">
      <c r="F325" s="372">
        <v>2</v>
      </c>
      <c r="G325" s="373" t="s">
        <v>239</v>
      </c>
      <c r="H325" s="6" t="s">
        <v>272</v>
      </c>
      <c r="I325" s="136" t="s">
        <v>550</v>
      </c>
      <c r="J325" s="136" t="s">
        <v>203</v>
      </c>
      <c r="K325" s="191">
        <v>-2.1278299999999999</v>
      </c>
      <c r="L325" s="191">
        <v>-1.3728063799999999</v>
      </c>
      <c r="M325" s="191">
        <v>-9.7960759837963044E-3</v>
      </c>
      <c r="N325" s="191">
        <v>-1.47896134305996</v>
      </c>
      <c r="O325" s="191">
        <v>-2.2496173220472202</v>
      </c>
      <c r="P325" s="191">
        <v>2.8719999999999999E-2</v>
      </c>
      <c r="Q325" s="191">
        <v>-0.71785899660587404</v>
      </c>
      <c r="R325" s="191">
        <v>3.4584894634626703E-2</v>
      </c>
      <c r="T325" s="46">
        <v>2</v>
      </c>
      <c r="U325" s="53" t="s">
        <v>239</v>
      </c>
      <c r="V325" s="47" t="s">
        <v>334</v>
      </c>
      <c r="W325" s="47" t="s">
        <v>550</v>
      </c>
      <c r="X325" s="47" t="s">
        <v>203</v>
      </c>
      <c r="Y325" s="58">
        <v>2.86965</v>
      </c>
      <c r="Z325" s="193">
        <v>0.76736000000000004</v>
      </c>
      <c r="AB325" s="3"/>
      <c r="AC325" s="3"/>
      <c r="AD325" s="3"/>
      <c r="AE325" s="3"/>
      <c r="AF325" s="3" t="s">
        <v>526</v>
      </c>
      <c r="AG325" s="83">
        <v>0.95</v>
      </c>
    </row>
    <row r="326" spans="6:33">
      <c r="F326" s="372">
        <v>2</v>
      </c>
      <c r="G326" s="373" t="s">
        <v>239</v>
      </c>
      <c r="H326" s="6" t="s">
        <v>329</v>
      </c>
      <c r="I326" s="136" t="s">
        <v>550</v>
      </c>
      <c r="J326" s="136" t="s">
        <v>203</v>
      </c>
      <c r="K326" s="191">
        <v>-3.4792200000000002</v>
      </c>
      <c r="L326" s="191">
        <v>0</v>
      </c>
      <c r="M326" s="191">
        <v>-3.0376865005412763</v>
      </c>
      <c r="N326" s="191">
        <v>-1.60158523725014</v>
      </c>
      <c r="O326" s="191">
        <v>-2.4921425072357501</v>
      </c>
      <c r="P326" s="191">
        <v>0.45925517082806799</v>
      </c>
      <c r="Q326" s="191">
        <v>-0.72042664235723797</v>
      </c>
      <c r="R326" s="191">
        <v>3.7247553155519197E-2</v>
      </c>
      <c r="T326" s="46">
        <v>2</v>
      </c>
      <c r="U326" s="53" t="s">
        <v>239</v>
      </c>
      <c r="V326" s="47" t="s">
        <v>240</v>
      </c>
      <c r="W326" s="47" t="s">
        <v>550</v>
      </c>
      <c r="X326" s="47" t="s">
        <v>203</v>
      </c>
      <c r="Y326" s="58">
        <v>3.1045600000000002</v>
      </c>
      <c r="Z326" s="193">
        <v>0.76736000000000004</v>
      </c>
      <c r="AB326" s="3" t="s">
        <v>526</v>
      </c>
      <c r="AC326" s="125">
        <v>1</v>
      </c>
      <c r="AD326" s="3">
        <v>8.1306407300000008E-2</v>
      </c>
      <c r="AE326" s="3" t="s">
        <v>531</v>
      </c>
      <c r="AF326" s="3" t="s">
        <v>526</v>
      </c>
      <c r="AG326" s="83">
        <v>0.95</v>
      </c>
    </row>
    <row r="327" spans="6:33" ht="28.8">
      <c r="F327" s="372">
        <v>2</v>
      </c>
      <c r="G327" s="373" t="s">
        <v>239</v>
      </c>
      <c r="H327" s="6" t="s">
        <v>271</v>
      </c>
      <c r="I327" s="136" t="s">
        <v>550</v>
      </c>
      <c r="J327" s="136" t="s">
        <v>203</v>
      </c>
      <c r="K327" s="191">
        <v>-3.1045600000000002</v>
      </c>
      <c r="L327" s="191">
        <v>0</v>
      </c>
      <c r="M327" s="191">
        <v>-0.92949851840575493</v>
      </c>
      <c r="N327" s="191">
        <v>-1.5168958574070699</v>
      </c>
      <c r="O327" s="191">
        <v>-2.5962094989069802</v>
      </c>
      <c r="P327" s="191">
        <v>-0.66191224294392803</v>
      </c>
      <c r="Q327" s="191">
        <v>-0.68616883313143695</v>
      </c>
      <c r="R327" s="191">
        <v>4.0392236029905E-2</v>
      </c>
      <c r="T327" s="46">
        <v>2</v>
      </c>
      <c r="U327" s="53" t="s">
        <v>239</v>
      </c>
      <c r="V327" s="47" t="s">
        <v>325</v>
      </c>
      <c r="W327" s="47" t="s">
        <v>550</v>
      </c>
      <c r="X327" s="47" t="s">
        <v>203</v>
      </c>
      <c r="Y327" s="58">
        <v>1.66</v>
      </c>
      <c r="Z327" s="193">
        <v>0.79600000000000004</v>
      </c>
      <c r="AB327" s="3" t="s">
        <v>526</v>
      </c>
      <c r="AC327" s="125">
        <v>1</v>
      </c>
      <c r="AD327" s="3">
        <v>8.1306407300000008E-2</v>
      </c>
      <c r="AE327" s="3" t="s">
        <v>531</v>
      </c>
      <c r="AF327" s="3" t="s">
        <v>526</v>
      </c>
      <c r="AG327" s="83">
        <v>0.95</v>
      </c>
    </row>
    <row r="328" spans="6:33">
      <c r="F328" s="372">
        <v>2</v>
      </c>
      <c r="G328" s="373" t="s">
        <v>239</v>
      </c>
      <c r="H328" s="6" t="s">
        <v>535</v>
      </c>
      <c r="I328" s="136" t="s">
        <v>550</v>
      </c>
      <c r="J328" s="136" t="s">
        <v>203</v>
      </c>
      <c r="K328" s="191">
        <v>-3.1045600000000002</v>
      </c>
      <c r="L328" s="191">
        <v>0</v>
      </c>
      <c r="M328" s="191">
        <v>-0.92949851840575493</v>
      </c>
      <c r="N328" s="191">
        <v>-1.6255378419641999</v>
      </c>
      <c r="O328" s="191">
        <v>-2.60426474388799</v>
      </c>
      <c r="P328" s="191">
        <v>-0.85971599289899203</v>
      </c>
      <c r="Q328" s="191">
        <v>-0.76455082075441605</v>
      </c>
      <c r="R328" s="191">
        <v>2.9212786791767201E-2</v>
      </c>
      <c r="T328" s="46">
        <v>2</v>
      </c>
      <c r="U328" s="53" t="s">
        <v>256</v>
      </c>
      <c r="V328" s="47" t="s">
        <v>256</v>
      </c>
      <c r="W328" s="47" t="s">
        <v>550</v>
      </c>
      <c r="X328" s="47" t="s">
        <v>203</v>
      </c>
      <c r="Y328" s="58">
        <v>3.3097799999999999</v>
      </c>
      <c r="Z328" s="193">
        <v>1.0068550000000001</v>
      </c>
      <c r="AB328" s="3" t="s">
        <v>526</v>
      </c>
      <c r="AC328" s="125">
        <v>1</v>
      </c>
      <c r="AD328" s="3">
        <v>8.1306407300000008E-2</v>
      </c>
      <c r="AE328" s="3" t="s">
        <v>531</v>
      </c>
      <c r="AF328" s="3"/>
      <c r="AG328" s="3"/>
    </row>
    <row r="329" spans="6:33">
      <c r="F329" s="372">
        <v>2</v>
      </c>
      <c r="G329" s="373" t="s">
        <v>239</v>
      </c>
      <c r="H329" s="6" t="s">
        <v>259</v>
      </c>
      <c r="I329" s="136" t="s">
        <v>550</v>
      </c>
      <c r="J329" s="136" t="s">
        <v>203</v>
      </c>
      <c r="K329" s="191">
        <v>-2.86965</v>
      </c>
      <c r="L329" s="191">
        <v>0</v>
      </c>
      <c r="M329" s="191">
        <v>-0.92949851840575493</v>
      </c>
      <c r="N329" s="191">
        <v>-1.34051782094162</v>
      </c>
      <c r="O329" s="191">
        <v>-2.0233346272533499</v>
      </c>
      <c r="P329" s="191">
        <v>-0.36803475835338001</v>
      </c>
      <c r="Q329" s="191">
        <v>-0.62256938148208896</v>
      </c>
      <c r="R329" s="191">
        <v>2.8420507959224201E-2</v>
      </c>
      <c r="T329" s="46">
        <v>2</v>
      </c>
      <c r="U329" s="53" t="s">
        <v>256</v>
      </c>
      <c r="V329" s="47" t="s">
        <v>536</v>
      </c>
      <c r="W329" s="47" t="s">
        <v>550</v>
      </c>
      <c r="X329" s="47" t="s">
        <v>203</v>
      </c>
      <c r="Y329" s="58">
        <v>1.9798800000000001</v>
      </c>
      <c r="Z329" s="193">
        <v>0.72957000000000005</v>
      </c>
      <c r="AB329" s="3"/>
      <c r="AC329" s="3"/>
      <c r="AD329" s="3"/>
      <c r="AE329" s="3"/>
      <c r="AF329" s="3" t="s">
        <v>526</v>
      </c>
      <c r="AG329" s="83">
        <v>0.95</v>
      </c>
    </row>
    <row r="330" spans="6:33">
      <c r="F330" s="372">
        <v>2</v>
      </c>
      <c r="G330" s="373" t="s">
        <v>239</v>
      </c>
      <c r="H330" s="6" t="s">
        <v>334</v>
      </c>
      <c r="I330" s="136" t="s">
        <v>550</v>
      </c>
      <c r="J330" s="136" t="s">
        <v>203</v>
      </c>
      <c r="K330" s="191">
        <v>-2.86965</v>
      </c>
      <c r="L330" s="191">
        <v>0</v>
      </c>
      <c r="M330" s="191">
        <v>-0.92949851840575493</v>
      </c>
      <c r="N330" s="191">
        <v>-1.7510293669055299</v>
      </c>
      <c r="O330" s="191">
        <v>-2.4863795929514398</v>
      </c>
      <c r="P330" s="191">
        <v>-0.30485032701584303</v>
      </c>
      <c r="Q330" s="191">
        <v>-0.909547708920311</v>
      </c>
      <c r="R330" s="191">
        <v>2.6389736758903899E-2</v>
      </c>
      <c r="T330" s="46">
        <v>2</v>
      </c>
      <c r="U330" s="53" t="s">
        <v>256</v>
      </c>
      <c r="V330" s="47" t="s">
        <v>257</v>
      </c>
      <c r="W330" s="47" t="s">
        <v>550</v>
      </c>
      <c r="X330" s="47" t="s">
        <v>203</v>
      </c>
      <c r="Y330" s="58">
        <v>1.9798800000000001</v>
      </c>
      <c r="Z330" s="193">
        <v>0.46493000000000001</v>
      </c>
      <c r="AB330" s="3" t="s">
        <v>526</v>
      </c>
      <c r="AC330" s="125">
        <v>1</v>
      </c>
      <c r="AD330" s="3">
        <v>0</v>
      </c>
      <c r="AE330" s="3" t="s">
        <v>527</v>
      </c>
      <c r="AF330" s="3" t="s">
        <v>526</v>
      </c>
      <c r="AG330" s="83">
        <v>0.9</v>
      </c>
    </row>
    <row r="331" spans="6:33">
      <c r="F331" s="372">
        <v>2</v>
      </c>
      <c r="G331" s="373" t="s">
        <v>239</v>
      </c>
      <c r="H331" s="6" t="s">
        <v>240</v>
      </c>
      <c r="I331" s="136" t="s">
        <v>550</v>
      </c>
      <c r="J331" s="136" t="s">
        <v>203</v>
      </c>
      <c r="K331" s="191">
        <v>-3.1045600000000002</v>
      </c>
      <c r="L331" s="191">
        <v>0</v>
      </c>
      <c r="M331" s="191">
        <v>0</v>
      </c>
      <c r="N331" s="191">
        <v>-1.7797858041549699</v>
      </c>
      <c r="O331" s="191">
        <v>-2.5576650575192899</v>
      </c>
      <c r="P331" s="191">
        <v>-0.68789701723431895</v>
      </c>
      <c r="Q331" s="191">
        <v>0.49637285483986199</v>
      </c>
      <c r="R331" s="191">
        <v>2.36701232297353</v>
      </c>
      <c r="T331" s="46">
        <v>2</v>
      </c>
      <c r="U331" s="53" t="s">
        <v>256</v>
      </c>
      <c r="V331" s="47" t="s">
        <v>537</v>
      </c>
      <c r="W331" s="47" t="s">
        <v>550</v>
      </c>
      <c r="X331" s="47" t="s">
        <v>203</v>
      </c>
      <c r="Y331" s="58">
        <v>5.0082800000000001</v>
      </c>
      <c r="Z331" s="193">
        <v>1.54878</v>
      </c>
      <c r="AB331" s="3" t="s">
        <v>526</v>
      </c>
      <c r="AC331" s="125">
        <v>1</v>
      </c>
      <c r="AD331" s="3">
        <v>8.1306407300000008E-2</v>
      </c>
      <c r="AE331" s="3" t="s">
        <v>531</v>
      </c>
      <c r="AF331" s="3" t="s">
        <v>526</v>
      </c>
      <c r="AG331" s="83">
        <v>0.9</v>
      </c>
    </row>
    <row r="332" spans="6:33" ht="28.8">
      <c r="F332" s="372">
        <v>2</v>
      </c>
      <c r="G332" s="373" t="s">
        <v>239</v>
      </c>
      <c r="H332" s="6" t="s">
        <v>325</v>
      </c>
      <c r="I332" s="136" t="s">
        <v>550</v>
      </c>
      <c r="J332" s="136" t="s">
        <v>203</v>
      </c>
      <c r="K332" s="191">
        <v>-1.66</v>
      </c>
      <c r="L332" s="191">
        <v>0</v>
      </c>
      <c r="M332" s="191">
        <v>0</v>
      </c>
      <c r="N332" s="191">
        <v>-1.6415582940675599</v>
      </c>
      <c r="O332" s="191">
        <v>-2.38875601138436</v>
      </c>
      <c r="P332" s="191">
        <v>-0.64660766527578795</v>
      </c>
      <c r="Q332" s="191">
        <v>-0.84015304589553597</v>
      </c>
      <c r="R332" s="191">
        <v>2.7471597181405401E-2</v>
      </c>
      <c r="T332" s="46">
        <v>2</v>
      </c>
      <c r="U332" s="53" t="s">
        <v>256</v>
      </c>
      <c r="V332" s="47" t="s">
        <v>538</v>
      </c>
      <c r="W332" s="47" t="s">
        <v>550</v>
      </c>
      <c r="X332" s="47" t="s">
        <v>203</v>
      </c>
      <c r="Y332" s="58">
        <v>4.6396800000000002</v>
      </c>
      <c r="Z332" s="193">
        <v>1.54878</v>
      </c>
      <c r="AB332" s="3" t="s">
        <v>526</v>
      </c>
      <c r="AC332" s="125">
        <v>1</v>
      </c>
      <c r="AD332" s="3">
        <v>8.1306407300000008E-2</v>
      </c>
      <c r="AE332" s="3" t="s">
        <v>531</v>
      </c>
      <c r="AF332" s="3" t="s">
        <v>526</v>
      </c>
      <c r="AG332" s="83">
        <v>0.95</v>
      </c>
    </row>
    <row r="333" spans="6:33">
      <c r="F333" s="372">
        <v>2</v>
      </c>
      <c r="G333" s="373" t="s">
        <v>256</v>
      </c>
      <c r="H333" s="6" t="s">
        <v>10183</v>
      </c>
      <c r="I333" s="136" t="s">
        <v>550</v>
      </c>
      <c r="J333" s="136" t="s">
        <v>203</v>
      </c>
      <c r="K333" s="191">
        <v>-3.3097799999999999</v>
      </c>
      <c r="L333" s="191">
        <v>-3.2267017926999997</v>
      </c>
      <c r="M333" s="191">
        <v>-12.385379926993377</v>
      </c>
      <c r="N333" s="191">
        <v>0</v>
      </c>
      <c r="O333" s="191">
        <v>0</v>
      </c>
      <c r="P333" s="191">
        <v>2.5860000000000001E-2</v>
      </c>
      <c r="Q333" s="191">
        <v>-0.10693658489197445</v>
      </c>
      <c r="R333" s="191">
        <v>-9.0339883652696892E-2</v>
      </c>
      <c r="T333" s="46">
        <v>2</v>
      </c>
      <c r="U333" s="53" t="s">
        <v>256</v>
      </c>
      <c r="V333" s="47" t="s">
        <v>258</v>
      </c>
      <c r="W333" s="47" t="s">
        <v>550</v>
      </c>
      <c r="X333" s="47" t="s">
        <v>203</v>
      </c>
      <c r="Y333" s="58">
        <v>4.6396800000000002</v>
      </c>
      <c r="Z333" s="193">
        <v>1.54878</v>
      </c>
      <c r="AB333" s="3" t="s">
        <v>526</v>
      </c>
      <c r="AC333" s="125">
        <v>1</v>
      </c>
      <c r="AD333" s="3">
        <v>8.1306407300000008E-2</v>
      </c>
      <c r="AE333" s="3" t="s">
        <v>531</v>
      </c>
      <c r="AF333" s="3" t="s">
        <v>526</v>
      </c>
      <c r="AG333" s="83">
        <v>0.7</v>
      </c>
    </row>
    <row r="334" spans="6:33">
      <c r="F334" s="372">
        <v>2</v>
      </c>
      <c r="G334" s="373" t="s">
        <v>256</v>
      </c>
      <c r="H334" s="6" t="s">
        <v>536</v>
      </c>
      <c r="I334" s="136" t="s">
        <v>550</v>
      </c>
      <c r="J334" s="136" t="s">
        <v>203</v>
      </c>
      <c r="K334" s="191">
        <v>-1.9798800000000001</v>
      </c>
      <c r="L334" s="191">
        <v>-1.8968017927</v>
      </c>
      <c r="M334" s="191">
        <v>-2.2607194096631558</v>
      </c>
      <c r="N334" s="191">
        <v>0</v>
      </c>
      <c r="O334" s="191">
        <v>0</v>
      </c>
      <c r="P334" s="191" t="s">
        <v>551</v>
      </c>
      <c r="Q334" s="191">
        <v>-0.157565881729051</v>
      </c>
      <c r="R334" s="191">
        <v>-0.13173951535147099</v>
      </c>
      <c r="T334" s="46">
        <v>2</v>
      </c>
      <c r="U334" s="53" t="s">
        <v>247</v>
      </c>
      <c r="V334" s="47" t="s">
        <v>247</v>
      </c>
      <c r="W334" s="47" t="s">
        <v>550</v>
      </c>
      <c r="X334" s="47" t="s">
        <v>203</v>
      </c>
      <c r="Y334" s="58">
        <v>1.0505633333333335</v>
      </c>
      <c r="Z334" s="193">
        <v>0.89563000000000004</v>
      </c>
      <c r="AB334" s="3" t="s">
        <v>526</v>
      </c>
      <c r="AC334" s="125">
        <v>1</v>
      </c>
      <c r="AD334" s="3">
        <v>8.1306407300000008E-2</v>
      </c>
      <c r="AE334" s="3" t="s">
        <v>531</v>
      </c>
      <c r="AF334" s="3"/>
      <c r="AG334" s="3"/>
    </row>
    <row r="335" spans="6:33">
      <c r="F335" s="372">
        <v>2</v>
      </c>
      <c r="G335" s="373" t="s">
        <v>256</v>
      </c>
      <c r="H335" s="6" t="s">
        <v>257</v>
      </c>
      <c r="I335" s="136" t="s">
        <v>550</v>
      </c>
      <c r="J335" s="136" t="s">
        <v>203</v>
      </c>
      <c r="K335" s="191">
        <v>-1.9798800000000001</v>
      </c>
      <c r="L335" s="191">
        <v>-1.8968017927</v>
      </c>
      <c r="M335" s="191">
        <v>-2.2607194096631558</v>
      </c>
      <c r="N335" s="191">
        <v>0</v>
      </c>
      <c r="O335" s="191">
        <v>0</v>
      </c>
      <c r="P335" s="191">
        <v>2.6022284268183E-2</v>
      </c>
      <c r="Q335" s="191">
        <v>-0.157565881729051</v>
      </c>
      <c r="R335" s="191">
        <v>-0.13173951535147099</v>
      </c>
      <c r="T335" s="46">
        <v>2</v>
      </c>
      <c r="U335" s="53" t="s">
        <v>247</v>
      </c>
      <c r="V335" s="47" t="s">
        <v>248</v>
      </c>
      <c r="W335" s="47" t="s">
        <v>550</v>
      </c>
      <c r="X335" s="47" t="s">
        <v>203</v>
      </c>
      <c r="Y335" s="58">
        <v>1.0606100000000001</v>
      </c>
      <c r="Z335" s="193">
        <v>0.89563000000000004</v>
      </c>
      <c r="AB335" s="3" t="s">
        <v>526</v>
      </c>
      <c r="AC335" s="83">
        <v>0.5</v>
      </c>
      <c r="AD335" s="3">
        <v>8.1306407300000008E-2</v>
      </c>
      <c r="AE335" s="3" t="s">
        <v>531</v>
      </c>
      <c r="AF335" s="3"/>
      <c r="AG335" s="3"/>
    </row>
    <row r="336" spans="6:33">
      <c r="F336" s="372">
        <v>2</v>
      </c>
      <c r="G336" s="373" t="s">
        <v>256</v>
      </c>
      <c r="H336" s="6" t="s">
        <v>537</v>
      </c>
      <c r="I336" s="136" t="s">
        <v>550</v>
      </c>
      <c r="J336" s="136" t="s">
        <v>203</v>
      </c>
      <c r="K336" s="191">
        <v>-5.0082800000000001</v>
      </c>
      <c r="L336" s="191">
        <v>-4.9252017927000002</v>
      </c>
      <c r="M336" s="191">
        <v>-4.8934870529376608</v>
      </c>
      <c r="N336" s="191">
        <v>0</v>
      </c>
      <c r="O336" s="191">
        <v>0</v>
      </c>
      <c r="P336" s="191">
        <v>2.5860000000000001E-2</v>
      </c>
      <c r="Q336" s="191">
        <v>-5.6307288054897903E-2</v>
      </c>
      <c r="R336" s="191">
        <v>-4.8940251953922799E-2</v>
      </c>
      <c r="T336" s="46">
        <v>2</v>
      </c>
      <c r="U336" s="53" t="s">
        <v>247</v>
      </c>
      <c r="V336" s="47" t="s">
        <v>263</v>
      </c>
      <c r="W336" s="47" t="s">
        <v>550</v>
      </c>
      <c r="X336" s="47" t="s">
        <v>203</v>
      </c>
      <c r="Y336" s="58">
        <v>1.0341199999999999</v>
      </c>
      <c r="Z336" s="193">
        <v>0.89563000000000004</v>
      </c>
      <c r="AB336" s="3"/>
      <c r="AC336" s="3"/>
      <c r="AD336" s="3"/>
      <c r="AE336" s="3"/>
      <c r="AF336" s="3"/>
      <c r="AG336" s="3"/>
    </row>
    <row r="337" spans="6:33">
      <c r="F337" s="372">
        <v>2</v>
      </c>
      <c r="G337" s="373" t="s">
        <v>256</v>
      </c>
      <c r="H337" s="6" t="s">
        <v>538</v>
      </c>
      <c r="I337" s="136" t="s">
        <v>550</v>
      </c>
      <c r="J337" s="136" t="s">
        <v>203</v>
      </c>
      <c r="K337" s="191">
        <v>-4.6396800000000002</v>
      </c>
      <c r="L337" s="191">
        <v>0</v>
      </c>
      <c r="M337" s="191">
        <v>0</v>
      </c>
      <c r="N337" s="191">
        <v>0</v>
      </c>
      <c r="O337" s="191">
        <v>0</v>
      </c>
      <c r="P337" s="191">
        <v>2.5860000000000001E-2</v>
      </c>
      <c r="Q337" s="191">
        <v>-5.2835466444093697E-2</v>
      </c>
      <c r="R337" s="191">
        <v>-4.8940251953922799E-2</v>
      </c>
      <c r="T337" s="46">
        <v>2</v>
      </c>
      <c r="U337" s="53" t="s">
        <v>247</v>
      </c>
      <c r="V337" s="47" t="s">
        <v>539</v>
      </c>
      <c r="W337" s="47" t="s">
        <v>550</v>
      </c>
      <c r="X337" s="47" t="s">
        <v>203</v>
      </c>
      <c r="Y337" s="58">
        <v>1.0569599999999999</v>
      </c>
      <c r="Z337" s="193">
        <v>0.89563000000000004</v>
      </c>
      <c r="AB337" s="3"/>
      <c r="AC337" s="3"/>
      <c r="AD337" s="3"/>
      <c r="AE337" s="3"/>
      <c r="AF337" s="3"/>
      <c r="AG337" s="3"/>
    </row>
    <row r="338" spans="6:33">
      <c r="F338" s="372">
        <v>2</v>
      </c>
      <c r="G338" s="373" t="s">
        <v>256</v>
      </c>
      <c r="H338" s="6" t="s">
        <v>258</v>
      </c>
      <c r="I338" s="136" t="s">
        <v>550</v>
      </c>
      <c r="J338" s="136" t="s">
        <v>203</v>
      </c>
      <c r="K338" s="191">
        <v>-4.6396800000000002</v>
      </c>
      <c r="L338" s="191">
        <v>-4.5566017927000004</v>
      </c>
      <c r="M338" s="191">
        <v>-4.7436864288681404</v>
      </c>
      <c r="N338" s="191">
        <v>0</v>
      </c>
      <c r="O338" s="191">
        <v>0</v>
      </c>
      <c r="P338" s="191">
        <v>2.5860000000000001E-2</v>
      </c>
      <c r="Q338" s="191">
        <v>-5.6307288054897903E-2</v>
      </c>
      <c r="R338" s="191">
        <v>-4.8940251953922799E-2</v>
      </c>
      <c r="T338" s="46">
        <v>2</v>
      </c>
      <c r="U338" s="53" t="s">
        <v>247</v>
      </c>
      <c r="V338" s="47" t="s">
        <v>270</v>
      </c>
      <c r="W338" s="47" t="s">
        <v>550</v>
      </c>
      <c r="X338" s="47" t="s">
        <v>203</v>
      </c>
      <c r="Y338" s="58">
        <v>1.0505633333333335</v>
      </c>
      <c r="Z338" s="193">
        <v>0.89563000000000004</v>
      </c>
      <c r="AB338" s="3"/>
      <c r="AC338" s="3"/>
      <c r="AD338" s="3"/>
      <c r="AE338" s="3"/>
      <c r="AF338" s="3" t="s">
        <v>526</v>
      </c>
      <c r="AG338" s="83">
        <v>0.7</v>
      </c>
    </row>
    <row r="339" spans="6:33">
      <c r="F339" s="372">
        <v>2</v>
      </c>
      <c r="G339" s="373" t="s">
        <v>247</v>
      </c>
      <c r="H339" s="6" t="s">
        <v>247</v>
      </c>
      <c r="I339" s="136" t="s">
        <v>550</v>
      </c>
      <c r="J339" s="136" t="s">
        <v>203</v>
      </c>
      <c r="K339" s="191">
        <v>-1.0505633333333335</v>
      </c>
      <c r="L339" s="191">
        <v>-0.96748512603333348</v>
      </c>
      <c r="M339" s="191">
        <v>-0.31559209310355407</v>
      </c>
      <c r="N339" s="191">
        <v>0</v>
      </c>
      <c r="O339" s="191">
        <v>0</v>
      </c>
      <c r="P339" s="191">
        <v>2.6022298605907601E-2</v>
      </c>
      <c r="Q339" s="191">
        <v>3.10148231107726E-2</v>
      </c>
      <c r="R339" s="191">
        <v>4.8915326896509501E-2</v>
      </c>
      <c r="T339" s="46">
        <v>2</v>
      </c>
      <c r="U339" s="53" t="s">
        <v>247</v>
      </c>
      <c r="V339" s="47" t="s">
        <v>540</v>
      </c>
      <c r="W339" s="47" t="s">
        <v>550</v>
      </c>
      <c r="X339" s="47" t="s">
        <v>203</v>
      </c>
      <c r="Y339" s="58">
        <v>1.0473650000000001</v>
      </c>
      <c r="Z339" s="193">
        <v>0.89563000000000004</v>
      </c>
      <c r="AB339" s="3"/>
      <c r="AC339" s="3"/>
      <c r="AD339" s="3"/>
      <c r="AE339" s="3"/>
      <c r="AF339" s="3" t="s">
        <v>526</v>
      </c>
      <c r="AG339" s="83">
        <v>0.65</v>
      </c>
    </row>
    <row r="340" spans="6:33">
      <c r="F340" s="372">
        <v>2</v>
      </c>
      <c r="G340" s="373" t="s">
        <v>247</v>
      </c>
      <c r="H340" s="6" t="s">
        <v>248</v>
      </c>
      <c r="I340" s="136" t="s">
        <v>550</v>
      </c>
      <c r="J340" s="136" t="s">
        <v>203</v>
      </c>
      <c r="K340" s="191">
        <v>-1.0606100000000001</v>
      </c>
      <c r="L340" s="191">
        <v>-0.97753179270000001</v>
      </c>
      <c r="M340" s="191">
        <v>-0.16861809467887115</v>
      </c>
      <c r="N340" s="191">
        <v>0</v>
      </c>
      <c r="O340" s="191">
        <v>0</v>
      </c>
      <c r="P340" s="191">
        <v>2.6022304585445001E-2</v>
      </c>
      <c r="Q340" s="191">
        <v>3.4754241337771698E-2</v>
      </c>
      <c r="R340" s="191">
        <v>4.8914143290902802E-2</v>
      </c>
      <c r="T340" s="46">
        <v>2</v>
      </c>
      <c r="U340" s="53" t="s">
        <v>529</v>
      </c>
      <c r="V340" s="47" t="s">
        <v>260</v>
      </c>
      <c r="W340" s="47" t="s">
        <v>550</v>
      </c>
      <c r="X340" s="47" t="s">
        <v>203</v>
      </c>
      <c r="Y340" s="58">
        <v>4.0364225925925927</v>
      </c>
      <c r="Z340" s="193">
        <v>1.3856655555555555</v>
      </c>
      <c r="AB340" s="3"/>
      <c r="AC340" s="3"/>
      <c r="AD340" s="3"/>
      <c r="AE340" s="3"/>
      <c r="AF340" s="3"/>
      <c r="AG340" s="3"/>
    </row>
    <row r="341" spans="6:33">
      <c r="F341" s="372">
        <v>2</v>
      </c>
      <c r="G341" s="373" t="s">
        <v>247</v>
      </c>
      <c r="H341" s="6" t="s">
        <v>263</v>
      </c>
      <c r="I341" s="136" t="s">
        <v>550</v>
      </c>
      <c r="J341" s="136" t="s">
        <v>203</v>
      </c>
      <c r="K341" s="191">
        <v>-1.0341199999999999</v>
      </c>
      <c r="L341" s="191">
        <v>-0.95104179269999989</v>
      </c>
      <c r="M341" s="191">
        <v>-0.16861809467887018</v>
      </c>
      <c r="N341" s="191">
        <v>0</v>
      </c>
      <c r="O341" s="191">
        <v>0</v>
      </c>
      <c r="P341" s="191">
        <v>2.6022308291002001E-2</v>
      </c>
      <c r="Q341" s="191">
        <v>3.69958760565346E-2</v>
      </c>
      <c r="R341" s="191">
        <v>4.8914218859041098E-2</v>
      </c>
      <c r="T341" s="46">
        <v>2</v>
      </c>
      <c r="U341" s="53" t="s">
        <v>237</v>
      </c>
      <c r="V341" s="47" t="s">
        <v>237</v>
      </c>
      <c r="W341" s="47" t="s">
        <v>550</v>
      </c>
      <c r="X341" s="47" t="s">
        <v>203</v>
      </c>
      <c r="Y341" s="58">
        <v>2.8533815875203707</v>
      </c>
      <c r="Z341" s="193">
        <v>1.0711602172222223</v>
      </c>
      <c r="AB341" s="3"/>
      <c r="AC341" s="3"/>
      <c r="AD341" s="3"/>
      <c r="AE341" s="3"/>
      <c r="AF341" s="3"/>
      <c r="AG341" s="3"/>
    </row>
    <row r="342" spans="6:33">
      <c r="F342" s="372">
        <v>2</v>
      </c>
      <c r="G342" s="373" t="s">
        <v>247</v>
      </c>
      <c r="H342" s="6" t="s">
        <v>539</v>
      </c>
      <c r="I342" s="136" t="s">
        <v>550</v>
      </c>
      <c r="J342" s="136" t="s">
        <v>203</v>
      </c>
      <c r="K342" s="191">
        <v>-1.0569599999999999</v>
      </c>
      <c r="L342" s="191">
        <v>-0.97388179269999986</v>
      </c>
      <c r="M342" s="191">
        <v>-0.17394287661610452</v>
      </c>
      <c r="N342" s="191">
        <v>0</v>
      </c>
      <c r="O342" s="191">
        <v>0</v>
      </c>
      <c r="P342" s="191">
        <v>2.60222889299325E-2</v>
      </c>
      <c r="Q342" s="191">
        <v>2.4991907646140801E-2</v>
      </c>
      <c r="R342" s="191">
        <v>4.8916601649179797E-2</v>
      </c>
      <c r="T342" s="46">
        <v>2</v>
      </c>
      <c r="U342" s="53" t="s">
        <v>237</v>
      </c>
      <c r="V342" s="47" t="s">
        <v>246</v>
      </c>
      <c r="W342" s="47" t="s">
        <v>550</v>
      </c>
      <c r="X342" s="47" t="s">
        <v>203</v>
      </c>
      <c r="Y342" s="58">
        <v>7.3412433500000009</v>
      </c>
      <c r="Z342" s="193">
        <v>0.66842500000000005</v>
      </c>
      <c r="AB342" s="3" t="s">
        <v>526</v>
      </c>
      <c r="AC342" s="125">
        <v>0.64600000000000002</v>
      </c>
      <c r="AD342" s="3">
        <v>0</v>
      </c>
      <c r="AE342" s="3"/>
      <c r="AF342" s="3"/>
      <c r="AG342" s="3"/>
    </row>
    <row r="343" spans="6:33">
      <c r="F343" s="372">
        <v>2</v>
      </c>
      <c r="G343" s="373" t="s">
        <v>247</v>
      </c>
      <c r="H343" s="6" t="s">
        <v>270</v>
      </c>
      <c r="I343" s="136" t="s">
        <v>550</v>
      </c>
      <c r="J343" s="136" t="s">
        <v>203</v>
      </c>
      <c r="K343" s="191">
        <v>-1.0505633333333335</v>
      </c>
      <c r="L343" s="191">
        <v>-0.96748512603333348</v>
      </c>
      <c r="M343" s="191">
        <v>-0.31559209310355407</v>
      </c>
      <c r="N343" s="191">
        <v>0</v>
      </c>
      <c r="O343" s="191">
        <v>0</v>
      </c>
      <c r="P343" s="191">
        <v>2.6022298605907601E-2</v>
      </c>
      <c r="Q343" s="191">
        <v>3.10148231107726E-2</v>
      </c>
      <c r="R343" s="191">
        <v>4.8915326896509501E-2</v>
      </c>
      <c r="T343" s="46">
        <v>2</v>
      </c>
      <c r="U343" s="53" t="s">
        <v>237</v>
      </c>
      <c r="V343" s="28" t="s">
        <v>10162</v>
      </c>
      <c r="W343" s="47" t="s">
        <v>550</v>
      </c>
      <c r="X343" s="47" t="s">
        <v>203</v>
      </c>
      <c r="Y343" s="58">
        <v>2.8533815875203707</v>
      </c>
      <c r="Z343" s="193">
        <v>1.0711602172222223</v>
      </c>
      <c r="AB343" s="3" t="s">
        <v>526</v>
      </c>
      <c r="AC343" s="125">
        <v>0.72499999999999998</v>
      </c>
      <c r="AD343" s="3">
        <v>0</v>
      </c>
      <c r="AE343" s="3"/>
      <c r="AF343" s="3"/>
      <c r="AG343" s="3"/>
    </row>
    <row r="344" spans="6:33">
      <c r="F344" s="372">
        <v>2</v>
      </c>
      <c r="G344" s="373" t="s">
        <v>247</v>
      </c>
      <c r="H344" s="6" t="s">
        <v>540</v>
      </c>
      <c r="I344" s="136" t="s">
        <v>550</v>
      </c>
      <c r="J344" s="136" t="s">
        <v>203</v>
      </c>
      <c r="K344" s="191">
        <v>-1.0473650000000001</v>
      </c>
      <c r="L344" s="191">
        <v>-0.96428679270000006</v>
      </c>
      <c r="M344" s="191">
        <v>0</v>
      </c>
      <c r="N344" s="191">
        <v>0</v>
      </c>
      <c r="O344" s="191">
        <v>0</v>
      </c>
      <c r="P344" s="191">
        <v>2.60222821570886E-2</v>
      </c>
      <c r="Q344" s="191">
        <v>2.7233022209676799E-2</v>
      </c>
      <c r="R344" s="191">
        <v>4.8916157062091001E-2</v>
      </c>
      <c r="T344" s="46">
        <v>2</v>
      </c>
      <c r="U344" s="53" t="s">
        <v>252</v>
      </c>
      <c r="V344" s="28" t="s">
        <v>333</v>
      </c>
      <c r="W344" s="47" t="s">
        <v>550</v>
      </c>
      <c r="X344" s="47" t="s">
        <v>203</v>
      </c>
      <c r="Y344" s="58">
        <v>2.0953266666666663</v>
      </c>
      <c r="Z344" s="193">
        <v>1.77911</v>
      </c>
      <c r="AB344" s="3" t="s">
        <v>526</v>
      </c>
      <c r="AC344" s="125">
        <v>0.64600000000000002</v>
      </c>
      <c r="AD344" s="3">
        <v>0</v>
      </c>
      <c r="AE344" s="3"/>
      <c r="AF344" s="3" t="s">
        <v>526</v>
      </c>
      <c r="AG344" s="83">
        <v>0.5</v>
      </c>
    </row>
    <row r="345" spans="6:33">
      <c r="F345" s="372">
        <v>2</v>
      </c>
      <c r="G345" s="373" t="s">
        <v>261</v>
      </c>
      <c r="H345" s="6" t="s">
        <v>260</v>
      </c>
      <c r="I345" s="136" t="s">
        <v>550</v>
      </c>
      <c r="J345" s="136" t="s">
        <v>203</v>
      </c>
      <c r="K345" s="191">
        <v>-4.0364225925925927</v>
      </c>
      <c r="L345" s="191">
        <v>0</v>
      </c>
      <c r="M345" s="191">
        <v>0</v>
      </c>
      <c r="N345" s="191">
        <v>-0.50421803395133402</v>
      </c>
      <c r="O345" s="191">
        <v>-0.86540544060248603</v>
      </c>
      <c r="P345" s="191">
        <v>-0.17470400001792399</v>
      </c>
      <c r="Q345" s="191">
        <v>-0.23975545799391401</v>
      </c>
      <c r="R345" s="191">
        <v>2.7529569440036799E-2</v>
      </c>
      <c r="T345" s="46">
        <v>2</v>
      </c>
      <c r="U345" s="53" t="s">
        <v>239</v>
      </c>
      <c r="V345" s="3" t="s">
        <v>542</v>
      </c>
      <c r="W345" s="47" t="s">
        <v>550</v>
      </c>
      <c r="X345" s="47" t="s">
        <v>203</v>
      </c>
      <c r="Y345" s="58">
        <v>2.6644477777777777</v>
      </c>
      <c r="Z345" s="193">
        <v>0.64099666666666666</v>
      </c>
      <c r="AB345" s="3" t="s">
        <v>526</v>
      </c>
      <c r="AC345" s="125">
        <v>0.72499999999999998</v>
      </c>
      <c r="AD345" s="3">
        <v>0.14482945764999999</v>
      </c>
      <c r="AE345" s="3" t="s">
        <v>541</v>
      </c>
      <c r="AF345" s="3"/>
      <c r="AG345" s="3"/>
    </row>
    <row r="346" spans="6:33">
      <c r="F346" s="372">
        <v>2</v>
      </c>
      <c r="G346" s="373" t="s">
        <v>10157</v>
      </c>
      <c r="H346" s="6" t="s">
        <v>10157</v>
      </c>
      <c r="I346" s="136" t="s">
        <v>550</v>
      </c>
      <c r="J346" s="136" t="s">
        <v>203</v>
      </c>
      <c r="K346" s="191">
        <v>-2.8533815875203707</v>
      </c>
      <c r="L346" s="191">
        <v>-1.4249189937601854</v>
      </c>
      <c r="M346" s="191">
        <v>0</v>
      </c>
      <c r="N346" s="191">
        <v>0</v>
      </c>
      <c r="O346" s="191">
        <v>0</v>
      </c>
      <c r="P346" s="191">
        <v>-0.46676852163692306</v>
      </c>
      <c r="Q346" s="191">
        <v>-0.53874884609908802</v>
      </c>
      <c r="R346" s="191">
        <v>2.7968656135843518E-2</v>
      </c>
      <c r="T346" s="46">
        <v>2</v>
      </c>
      <c r="U346" s="53" t="s">
        <v>237</v>
      </c>
      <c r="V346" s="3" t="s">
        <v>238</v>
      </c>
      <c r="W346" s="47" t="s">
        <v>550</v>
      </c>
      <c r="X346" s="47" t="s">
        <v>203</v>
      </c>
      <c r="Y346" s="58">
        <v>2.7046544444444445</v>
      </c>
      <c r="Z346" s="193">
        <v>1.2161291666666667</v>
      </c>
      <c r="AB346" s="3"/>
      <c r="AC346" s="3"/>
      <c r="AD346" s="3"/>
      <c r="AE346" s="3"/>
      <c r="AF346" s="3"/>
      <c r="AG346" s="3"/>
    </row>
    <row r="347" spans="6:33">
      <c r="F347" s="372">
        <v>2</v>
      </c>
      <c r="G347" s="373" t="s">
        <v>10157</v>
      </c>
      <c r="H347" s="6" t="s">
        <v>246</v>
      </c>
      <c r="I347" s="136" t="s">
        <v>550</v>
      </c>
      <c r="J347" s="136" t="s">
        <v>203</v>
      </c>
      <c r="K347" s="191">
        <v>-7.3412433500000009</v>
      </c>
      <c r="L347" s="191">
        <v>0</v>
      </c>
      <c r="M347" s="191">
        <v>0</v>
      </c>
      <c r="N347" s="191">
        <v>0</v>
      </c>
      <c r="O347" s="191">
        <v>0</v>
      </c>
      <c r="P347" s="191">
        <v>2.6022332869927601E-2</v>
      </c>
      <c r="Q347" s="191">
        <v>4.180080979597E-2</v>
      </c>
      <c r="R347" s="191">
        <v>4.8913810169324903E-2</v>
      </c>
      <c r="T347" s="46">
        <v>2</v>
      </c>
      <c r="U347" s="53" t="s">
        <v>264</v>
      </c>
      <c r="V347" s="3" t="s">
        <v>264</v>
      </c>
      <c r="W347" s="47" t="s">
        <v>550</v>
      </c>
      <c r="X347" s="47" t="s">
        <v>203</v>
      </c>
      <c r="Y347" s="58">
        <v>1.9287117500000002</v>
      </c>
      <c r="Z347" s="193">
        <v>0.467055</v>
      </c>
      <c r="AB347" s="3"/>
      <c r="AC347" s="3"/>
      <c r="AD347" s="3"/>
      <c r="AE347" s="3"/>
      <c r="AF347" s="3"/>
      <c r="AG347" s="3"/>
    </row>
    <row r="348" spans="6:33" ht="28.8">
      <c r="F348" s="372">
        <v>2</v>
      </c>
      <c r="G348" s="373" t="s">
        <v>10157</v>
      </c>
      <c r="H348" s="6" t="s">
        <v>10162</v>
      </c>
      <c r="I348" s="136" t="s">
        <v>550</v>
      </c>
      <c r="J348" s="136" t="s">
        <v>203</v>
      </c>
      <c r="K348" s="191">
        <v>-2.8533815875203707</v>
      </c>
      <c r="L348" s="191">
        <v>0</v>
      </c>
      <c r="M348" s="191">
        <v>0</v>
      </c>
      <c r="N348" s="191">
        <v>-1.0338589694293789</v>
      </c>
      <c r="O348" s="191">
        <v>-1.5970889569085887</v>
      </c>
      <c r="P348" s="191">
        <v>-0.46676852163692306</v>
      </c>
      <c r="Q348" s="191">
        <v>-0.53874884609908802</v>
      </c>
      <c r="R348" s="191">
        <v>2.7968656135843518E-2</v>
      </c>
      <c r="T348" s="46">
        <v>2</v>
      </c>
      <c r="U348" s="53" t="s">
        <v>264</v>
      </c>
      <c r="V348" s="3" t="s">
        <v>336</v>
      </c>
      <c r="W348" s="47" t="s">
        <v>550</v>
      </c>
      <c r="X348" s="47" t="s">
        <v>203</v>
      </c>
      <c r="Y348" s="58">
        <v>0.76351350000000007</v>
      </c>
      <c r="Z348" s="193">
        <v>0.43603999999999998</v>
      </c>
      <c r="AB348" s="3"/>
      <c r="AC348" s="3"/>
      <c r="AD348" s="3"/>
      <c r="AE348" s="3"/>
      <c r="AF348" s="3"/>
      <c r="AG348" s="3"/>
    </row>
    <row r="349" spans="6:33">
      <c r="F349" s="372">
        <v>2</v>
      </c>
      <c r="G349" s="373" t="s">
        <v>252</v>
      </c>
      <c r="H349" s="6" t="s">
        <v>333</v>
      </c>
      <c r="I349" s="136" t="s">
        <v>550</v>
      </c>
      <c r="J349" s="136" t="s">
        <v>203</v>
      </c>
      <c r="K349" s="191">
        <v>-2.0953266666666663</v>
      </c>
      <c r="L349" s="191">
        <v>0</v>
      </c>
      <c r="M349" s="191">
        <v>-4.4031027052446881</v>
      </c>
      <c r="N349" s="191">
        <v>0</v>
      </c>
      <c r="O349" s="191">
        <v>0</v>
      </c>
      <c r="P349" s="191">
        <v>2.6022305346742901E-2</v>
      </c>
      <c r="Q349" s="191">
        <v>0.62743418122049499</v>
      </c>
      <c r="R349" s="191">
        <v>2.1870245647238802</v>
      </c>
      <c r="T349" s="46">
        <v>2</v>
      </c>
      <c r="U349" s="53" t="s">
        <v>242</v>
      </c>
      <c r="V349" s="3" t="s">
        <v>251</v>
      </c>
      <c r="W349" s="47" t="s">
        <v>550</v>
      </c>
      <c r="X349" s="47" t="s">
        <v>203</v>
      </c>
      <c r="Y349" s="58">
        <v>4.9218200000000003</v>
      </c>
      <c r="Z349" s="193">
        <v>0.15096000000000001</v>
      </c>
      <c r="AB349" s="3" t="s">
        <v>526</v>
      </c>
      <c r="AC349" s="125">
        <v>0.77500000000000002</v>
      </c>
      <c r="AD349" s="3">
        <v>0</v>
      </c>
      <c r="AE349" s="3" t="s">
        <v>527</v>
      </c>
      <c r="AF349" s="3"/>
      <c r="AG349" s="3"/>
    </row>
    <row r="350" spans="6:33">
      <c r="F350" s="372">
        <v>2</v>
      </c>
      <c r="G350" s="373" t="s">
        <v>239</v>
      </c>
      <c r="H350" s="6" t="s">
        <v>542</v>
      </c>
      <c r="I350" s="136" t="s">
        <v>550</v>
      </c>
      <c r="J350" s="136" t="s">
        <v>203</v>
      </c>
      <c r="K350" s="191">
        <v>-2.6644477777777777</v>
      </c>
      <c r="L350" s="191">
        <v>0</v>
      </c>
      <c r="M350" s="191">
        <v>-0.82622090524955993</v>
      </c>
      <c r="N350" s="191">
        <v>-1.6415582940675599</v>
      </c>
      <c r="O350" s="191">
        <v>-2.38875601138436</v>
      </c>
      <c r="P350" s="191">
        <v>-0.64660766527578795</v>
      </c>
      <c r="Q350" s="191">
        <v>-0.84015304589553597</v>
      </c>
      <c r="R350" s="191">
        <v>2.7471597181405401E-2</v>
      </c>
      <c r="T350" s="46">
        <v>2</v>
      </c>
      <c r="U350" s="53" t="s">
        <v>242</v>
      </c>
      <c r="V350" s="3" t="s">
        <v>543</v>
      </c>
      <c r="W350" s="47" t="s">
        <v>550</v>
      </c>
      <c r="X350" s="47" t="s">
        <v>203</v>
      </c>
      <c r="Y350" s="58">
        <v>1.00081</v>
      </c>
      <c r="Z350" s="193">
        <v>0.33138000000000001</v>
      </c>
      <c r="AB350" s="3" t="s">
        <v>526</v>
      </c>
      <c r="AC350" s="125">
        <v>0.77500000000000002</v>
      </c>
      <c r="AD350" s="3">
        <v>0</v>
      </c>
      <c r="AE350" s="3" t="s">
        <v>527</v>
      </c>
      <c r="AF350" s="3"/>
      <c r="AG350" s="3"/>
    </row>
    <row r="351" spans="6:33">
      <c r="F351" s="370">
        <v>2</v>
      </c>
      <c r="G351" s="137" t="s">
        <v>10157</v>
      </c>
      <c r="H351" s="136" t="s">
        <v>238</v>
      </c>
      <c r="I351" s="136" t="s">
        <v>550</v>
      </c>
      <c r="J351" s="136" t="s">
        <v>203</v>
      </c>
      <c r="K351" s="191">
        <v>-2.7046544444444445</v>
      </c>
      <c r="L351" s="191">
        <v>0</v>
      </c>
      <c r="M351" s="191">
        <v>0</v>
      </c>
      <c r="N351" s="191">
        <v>0</v>
      </c>
      <c r="O351" s="191">
        <v>0</v>
      </c>
      <c r="P351" s="191">
        <v>-0.14217576533078435</v>
      </c>
      <c r="Q351" s="191">
        <v>-7.2160156614060708E-2</v>
      </c>
      <c r="R351" s="191">
        <v>0.54326790128727453</v>
      </c>
      <c r="T351" s="46">
        <v>2</v>
      </c>
      <c r="U351" s="53" t="s">
        <v>264</v>
      </c>
      <c r="V351" s="3" t="s">
        <v>544</v>
      </c>
      <c r="W351" s="47" t="s">
        <v>550</v>
      </c>
      <c r="X351" s="47" t="s">
        <v>203</v>
      </c>
      <c r="Y351" s="58">
        <v>3.0939100000000002</v>
      </c>
      <c r="Z351" s="193">
        <v>0.49807000000000001</v>
      </c>
      <c r="AB351" s="3" t="s">
        <v>526</v>
      </c>
      <c r="AC351" s="125">
        <v>0.77500000000000002</v>
      </c>
      <c r="AD351" s="3">
        <v>0</v>
      </c>
      <c r="AE351" s="3" t="s">
        <v>527</v>
      </c>
      <c r="AF351" s="3"/>
      <c r="AG351" s="3"/>
    </row>
    <row r="352" spans="6:33" ht="28.8">
      <c r="F352" s="372">
        <v>2</v>
      </c>
      <c r="G352" s="373" t="s">
        <v>264</v>
      </c>
      <c r="H352" s="6" t="s">
        <v>10184</v>
      </c>
      <c r="I352" s="136" t="s">
        <v>550</v>
      </c>
      <c r="J352" s="136" t="s">
        <v>203</v>
      </c>
      <c r="K352" s="191">
        <v>-1.9287117500000002</v>
      </c>
      <c r="L352" s="191">
        <v>-1.1070613798500002</v>
      </c>
      <c r="M352" s="191">
        <v>0.15112249999999994</v>
      </c>
      <c r="N352" s="191">
        <v>0</v>
      </c>
      <c r="O352" s="191">
        <v>0</v>
      </c>
      <c r="P352" s="191">
        <v>-0.34184760397441188</v>
      </c>
      <c r="Q352" s="191">
        <v>-0.48628067956811966</v>
      </c>
      <c r="R352" s="191">
        <v>0.46005655473220308</v>
      </c>
      <c r="T352" s="46">
        <v>2</v>
      </c>
      <c r="U352" s="53" t="s">
        <v>237</v>
      </c>
      <c r="V352" s="3" t="s">
        <v>545</v>
      </c>
      <c r="W352" s="47" t="s">
        <v>550</v>
      </c>
      <c r="X352" s="47" t="s">
        <v>203</v>
      </c>
      <c r="Y352" s="58">
        <v>2.8533815875203707</v>
      </c>
      <c r="Z352" s="193">
        <v>1.0711602172222223</v>
      </c>
      <c r="AB352" s="3" t="s">
        <v>526</v>
      </c>
      <c r="AC352" s="83">
        <v>0.5</v>
      </c>
      <c r="AD352" s="3">
        <v>0</v>
      </c>
      <c r="AE352" s="3" t="s">
        <v>528</v>
      </c>
      <c r="AF352" s="3"/>
      <c r="AG352" s="3"/>
    </row>
    <row r="353" spans="6:33">
      <c r="F353" s="372">
        <v>2</v>
      </c>
      <c r="G353" s="373" t="s">
        <v>264</v>
      </c>
      <c r="H353" s="6" t="s">
        <v>336</v>
      </c>
      <c r="I353" s="136" t="s">
        <v>550</v>
      </c>
      <c r="J353" s="136" t="s">
        <v>203</v>
      </c>
      <c r="K353" s="191">
        <v>-0.76351350000000007</v>
      </c>
      <c r="L353" s="191">
        <v>-0.34968251735000005</v>
      </c>
      <c r="M353" s="191">
        <v>0</v>
      </c>
      <c r="N353" s="191">
        <v>-1.6485436672468201</v>
      </c>
      <c r="O353" s="191">
        <v>-2.6245446893481601</v>
      </c>
      <c r="P353" s="191">
        <v>-0.99956618689668975</v>
      </c>
      <c r="Q353" s="191">
        <v>-0.72267533514796634</v>
      </c>
      <c r="R353" s="191">
        <v>0.21081764527793512</v>
      </c>
      <c r="T353" s="46">
        <v>3</v>
      </c>
      <c r="U353" s="53"/>
      <c r="V353" s="47"/>
      <c r="W353" s="47" t="s">
        <v>552</v>
      </c>
      <c r="X353" s="47" t="s">
        <v>203</v>
      </c>
      <c r="Y353" s="58" t="s">
        <v>525</v>
      </c>
      <c r="Z353" s="193" t="s">
        <v>525</v>
      </c>
      <c r="AB353" s="3" t="s">
        <v>526</v>
      </c>
      <c r="AC353" s="83">
        <v>0.5</v>
      </c>
      <c r="AD353" s="3">
        <v>0</v>
      </c>
      <c r="AE353" s="3" t="s">
        <v>528</v>
      </c>
      <c r="AF353" s="3"/>
      <c r="AG353" s="3"/>
    </row>
    <row r="354" spans="6:33">
      <c r="F354" s="372">
        <v>2</v>
      </c>
      <c r="G354" s="373" t="s">
        <v>242</v>
      </c>
      <c r="H354" s="6" t="s">
        <v>251</v>
      </c>
      <c r="I354" s="136" t="s">
        <v>550</v>
      </c>
      <c r="J354" s="136" t="s">
        <v>203</v>
      </c>
      <c r="K354" s="191">
        <v>-4.9218200000000003</v>
      </c>
      <c r="L354" s="191">
        <v>-3.5665477000000001</v>
      </c>
      <c r="M354" s="191">
        <v>-1.2190350000000001</v>
      </c>
      <c r="N354" s="191">
        <v>0</v>
      </c>
      <c r="O354" s="191">
        <v>0</v>
      </c>
      <c r="P354" s="191">
        <v>2.5924922138697161E-2</v>
      </c>
      <c r="Q354" s="191">
        <v>0.21655920049060215</v>
      </c>
      <c r="R354" s="191">
        <v>0.8484566344623381</v>
      </c>
      <c r="T354" s="46">
        <v>3</v>
      </c>
      <c r="U354" s="53"/>
      <c r="V354" s="47"/>
      <c r="W354" s="47" t="s">
        <v>552</v>
      </c>
      <c r="X354" s="47" t="s">
        <v>203</v>
      </c>
      <c r="Y354" s="58" t="s">
        <v>525</v>
      </c>
      <c r="Z354" s="193" t="s">
        <v>525</v>
      </c>
      <c r="AB354" s="3"/>
      <c r="AC354" s="3"/>
      <c r="AD354" s="3"/>
      <c r="AE354" s="3"/>
      <c r="AF354" s="3"/>
      <c r="AG354" s="3"/>
    </row>
    <row r="355" spans="6:33">
      <c r="F355" s="372">
        <v>2</v>
      </c>
      <c r="G355" s="373" t="s">
        <v>242</v>
      </c>
      <c r="H355" s="6" t="s">
        <v>543</v>
      </c>
      <c r="I355" s="136" t="s">
        <v>550</v>
      </c>
      <c r="J355" s="136" t="s">
        <v>203</v>
      </c>
      <c r="K355" s="191">
        <v>-1.00081</v>
      </c>
      <c r="L355" s="191">
        <v>-0.72381545000000003</v>
      </c>
      <c r="M355" s="191">
        <v>-0.20626249999999999</v>
      </c>
      <c r="N355" s="191">
        <v>0</v>
      </c>
      <c r="O355" s="191">
        <v>0</v>
      </c>
      <c r="P355" s="191">
        <v>2.5860000000000001E-2</v>
      </c>
      <c r="Q355" s="191">
        <v>4.1800809795969597E-2</v>
      </c>
      <c r="R355" s="191">
        <v>4.8913810169323599E-2</v>
      </c>
      <c r="T355" s="46">
        <v>3</v>
      </c>
      <c r="U355" s="53"/>
      <c r="V355" s="47"/>
      <c r="W355" s="47" t="s">
        <v>552</v>
      </c>
      <c r="X355" s="47" t="s">
        <v>203</v>
      </c>
      <c r="Y355" s="58" t="s">
        <v>525</v>
      </c>
      <c r="Z355" s="193" t="s">
        <v>525</v>
      </c>
      <c r="AB355" s="3" t="s">
        <v>526</v>
      </c>
      <c r="AC355" s="125">
        <v>0.77500000000000002</v>
      </c>
      <c r="AD355" s="3">
        <v>8.1306407300000008E-2</v>
      </c>
      <c r="AE355" s="3" t="s">
        <v>531</v>
      </c>
      <c r="AF355" s="3" t="s">
        <v>526</v>
      </c>
      <c r="AG355" s="83">
        <v>0.85</v>
      </c>
    </row>
    <row r="356" spans="6:33">
      <c r="F356" s="372">
        <v>2</v>
      </c>
      <c r="G356" s="373" t="s">
        <v>264</v>
      </c>
      <c r="H356" s="6" t="s">
        <v>544</v>
      </c>
      <c r="I356" s="136" t="s">
        <v>550</v>
      </c>
      <c r="J356" s="136" t="s">
        <v>203</v>
      </c>
      <c r="K356" s="191">
        <v>-3.0939100000000002</v>
      </c>
      <c r="L356" s="191">
        <v>-1.8644402423500002</v>
      </c>
      <c r="M356" s="191">
        <v>0.15112249999999994</v>
      </c>
      <c r="N356" s="191">
        <v>0</v>
      </c>
      <c r="O356" s="191">
        <v>0</v>
      </c>
      <c r="P356" s="191">
        <v>0.31587097894786598</v>
      </c>
      <c r="Q356" s="191">
        <v>-0.249886023988273</v>
      </c>
      <c r="R356" s="191">
        <v>0.70929546418647105</v>
      </c>
      <c r="T356" s="46">
        <v>3</v>
      </c>
      <c r="U356" s="53"/>
      <c r="V356" s="47"/>
      <c r="W356" s="47" t="s">
        <v>552</v>
      </c>
      <c r="X356" s="47" t="s">
        <v>203</v>
      </c>
      <c r="Y356" s="58" t="s">
        <v>525</v>
      </c>
      <c r="Z356" s="193" t="s">
        <v>525</v>
      </c>
      <c r="AB356" s="3" t="s">
        <v>526</v>
      </c>
      <c r="AC356" s="125">
        <v>0.77500000000000002</v>
      </c>
      <c r="AD356" s="3">
        <v>8.1306407300000008E-2</v>
      </c>
      <c r="AE356" s="3" t="s">
        <v>531</v>
      </c>
      <c r="AF356" s="3" t="s">
        <v>526</v>
      </c>
      <c r="AG356" s="83">
        <v>0.7</v>
      </c>
    </row>
    <row r="357" spans="6:33">
      <c r="F357" s="372">
        <v>2</v>
      </c>
      <c r="G357" s="373" t="s">
        <v>10157</v>
      </c>
      <c r="H357" s="6" t="s">
        <v>545</v>
      </c>
      <c r="I357" s="136" t="s">
        <v>550</v>
      </c>
      <c r="J357" s="136" t="s">
        <v>203</v>
      </c>
      <c r="K357" s="191">
        <v>-2.8533815875203707</v>
      </c>
      <c r="L357" s="191">
        <v>0</v>
      </c>
      <c r="M357" s="191">
        <v>0</v>
      </c>
      <c r="N357" s="191">
        <v>0</v>
      </c>
      <c r="O357" s="191">
        <v>0</v>
      </c>
      <c r="P357" s="191">
        <v>-0.46676852163692306</v>
      </c>
      <c r="Q357" s="191">
        <v>-0.53874884609908802</v>
      </c>
      <c r="R357" s="191">
        <v>2.7968656135843518E-2</v>
      </c>
      <c r="T357" s="46">
        <v>3</v>
      </c>
      <c r="U357" s="53" t="s">
        <v>330</v>
      </c>
      <c r="V357" s="47" t="s">
        <v>330</v>
      </c>
      <c r="W357" s="47" t="s">
        <v>552</v>
      </c>
      <c r="X357" s="47" t="s">
        <v>203</v>
      </c>
      <c r="Y357" s="58">
        <v>0.14119999999999999</v>
      </c>
      <c r="Z357" s="193">
        <v>0.43014000000000002</v>
      </c>
      <c r="AB357" s="3"/>
      <c r="AC357" s="3"/>
      <c r="AD357" s="3"/>
      <c r="AE357" s="3"/>
      <c r="AF357" s="3" t="s">
        <v>526</v>
      </c>
      <c r="AG357" s="83">
        <v>0.8</v>
      </c>
    </row>
    <row r="358" spans="6:33" ht="28.8">
      <c r="F358" s="372">
        <v>2</v>
      </c>
      <c r="G358" s="373" t="s">
        <v>10169</v>
      </c>
      <c r="H358" s="6" t="s">
        <v>10170</v>
      </c>
      <c r="I358" s="136" t="s">
        <v>550</v>
      </c>
      <c r="J358" s="136" t="s">
        <v>203</v>
      </c>
      <c r="K358" s="191">
        <v>-0.74582333333333339</v>
      </c>
      <c r="L358" s="191">
        <v>-0.58351400000000009</v>
      </c>
      <c r="M358" s="191">
        <v>0.3259926084346883</v>
      </c>
      <c r="N358" s="191">
        <v>0</v>
      </c>
      <c r="O358" s="191">
        <v>0</v>
      </c>
      <c r="P358" s="191">
        <v>0.45668176288049178</v>
      </c>
      <c r="Q358" s="191">
        <v>1.0683983533052401</v>
      </c>
      <c r="R358" s="191">
        <v>1.142290877337675</v>
      </c>
      <c r="T358" s="46">
        <v>3</v>
      </c>
      <c r="U358" s="53" t="s">
        <v>330</v>
      </c>
      <c r="V358" s="47" t="s">
        <v>335</v>
      </c>
      <c r="W358" s="47" t="s">
        <v>552</v>
      </c>
      <c r="X358" s="47" t="s">
        <v>203</v>
      </c>
      <c r="Y358" s="58">
        <v>0.26272000000000001</v>
      </c>
      <c r="Z358" s="193">
        <v>0.43014000000000002</v>
      </c>
      <c r="AB358" s="3" t="s">
        <v>526</v>
      </c>
      <c r="AC358" s="125">
        <v>0.77500000000000002</v>
      </c>
      <c r="AD358" s="3">
        <v>8.1306407300000008E-2</v>
      </c>
      <c r="AE358" s="3" t="s">
        <v>531</v>
      </c>
      <c r="AF358" s="3" t="s">
        <v>526</v>
      </c>
      <c r="AG358" s="83">
        <v>0.7</v>
      </c>
    </row>
    <row r="359" spans="6:33" ht="28.8">
      <c r="F359" s="372">
        <v>3</v>
      </c>
      <c r="G359" s="373" t="s">
        <v>233</v>
      </c>
      <c r="H359" s="6" t="s">
        <v>10178</v>
      </c>
      <c r="I359" s="136" t="s">
        <v>552</v>
      </c>
      <c r="J359" s="136" t="s">
        <v>203</v>
      </c>
      <c r="K359" s="191">
        <v>0</v>
      </c>
      <c r="L359" s="191">
        <v>-0.13905086666666666</v>
      </c>
      <c r="M359" s="191">
        <v>0</v>
      </c>
      <c r="N359" s="191">
        <v>-1.4453602071486411</v>
      </c>
      <c r="O359" s="191">
        <v>-2.0555285758021533</v>
      </c>
      <c r="P359" s="191">
        <v>-1.0059572388755897</v>
      </c>
      <c r="Q359" s="191">
        <v>-0.9533595849861678</v>
      </c>
      <c r="R359" s="191">
        <v>3.3143201616163631E-2</v>
      </c>
      <c r="T359" s="46">
        <v>3</v>
      </c>
      <c r="U359" s="53" t="s">
        <v>330</v>
      </c>
      <c r="V359" s="47" t="s">
        <v>326</v>
      </c>
      <c r="W359" s="47" t="s">
        <v>552</v>
      </c>
      <c r="X359" s="47" t="s">
        <v>203</v>
      </c>
      <c r="Y359" s="58">
        <v>0.14119999999999999</v>
      </c>
      <c r="Z359" s="193">
        <v>0.43014000000000002</v>
      </c>
      <c r="AB359" s="3"/>
      <c r="AC359" s="3"/>
      <c r="AD359" s="3"/>
      <c r="AE359" s="3"/>
      <c r="AF359" s="3"/>
      <c r="AG359" s="83"/>
    </row>
    <row r="360" spans="6:33">
      <c r="F360" s="372">
        <v>3</v>
      </c>
      <c r="G360" s="373" t="s">
        <v>233</v>
      </c>
      <c r="H360" s="6" t="s">
        <v>250</v>
      </c>
      <c r="I360" s="136" t="s">
        <v>552</v>
      </c>
      <c r="J360" s="136" t="s">
        <v>203</v>
      </c>
      <c r="K360" s="191">
        <v>0</v>
      </c>
      <c r="L360" s="191">
        <v>0</v>
      </c>
      <c r="M360" s="191">
        <v>0</v>
      </c>
      <c r="N360" s="191">
        <v>-1.7440020321218299</v>
      </c>
      <c r="O360" s="191">
        <v>-2.1550741473042199</v>
      </c>
      <c r="P360" s="191">
        <v>-1.02568241234737</v>
      </c>
      <c r="Q360" s="191">
        <v>-1.02076905583887</v>
      </c>
      <c r="R360" s="191">
        <v>2.8433780314571899E-2</v>
      </c>
      <c r="T360" s="46">
        <v>3</v>
      </c>
      <c r="U360" s="53" t="s">
        <v>529</v>
      </c>
      <c r="V360" s="47" t="s">
        <v>529</v>
      </c>
      <c r="W360" s="47" t="s">
        <v>552</v>
      </c>
      <c r="X360" s="47" t="s">
        <v>203</v>
      </c>
      <c r="Y360" s="58">
        <v>4.72241</v>
      </c>
      <c r="Z360" s="193">
        <v>1.758</v>
      </c>
      <c r="AB360" s="3" t="s">
        <v>526</v>
      </c>
      <c r="AC360" s="125">
        <v>0.77500000000000002</v>
      </c>
      <c r="AD360" s="3">
        <v>8.1306407300000008E-2</v>
      </c>
      <c r="AE360" s="3" t="s">
        <v>531</v>
      </c>
      <c r="AF360" s="3"/>
      <c r="AG360" s="3"/>
    </row>
    <row r="361" spans="6:33">
      <c r="F361" s="372">
        <v>3</v>
      </c>
      <c r="G361" s="373" t="s">
        <v>233</v>
      </c>
      <c r="H361" s="6" t="s">
        <v>249</v>
      </c>
      <c r="I361" s="136" t="s">
        <v>552</v>
      </c>
      <c r="J361" s="136" t="s">
        <v>203</v>
      </c>
      <c r="K361" s="191">
        <v>0</v>
      </c>
      <c r="L361" s="191">
        <v>0</v>
      </c>
      <c r="M361" s="191">
        <v>0</v>
      </c>
      <c r="N361" s="191">
        <v>-0.54312947672349599</v>
      </c>
      <c r="O361" s="191">
        <v>-0.75458879575177795</v>
      </c>
      <c r="P361" s="191">
        <v>5.21256992475796E-2</v>
      </c>
      <c r="Q361" s="191">
        <v>-0.21791388891459801</v>
      </c>
      <c r="R361" s="191">
        <v>2.5754674050476802E-2</v>
      </c>
      <c r="T361" s="46">
        <v>3</v>
      </c>
      <c r="U361" s="53" t="s">
        <v>529</v>
      </c>
      <c r="V361" s="47" t="s">
        <v>327</v>
      </c>
      <c r="W361" s="47" t="s">
        <v>552</v>
      </c>
      <c r="X361" s="47" t="s">
        <v>203</v>
      </c>
      <c r="Y361" s="58">
        <v>0.25034000000000001</v>
      </c>
      <c r="Z361" s="193">
        <v>0.99672000000000005</v>
      </c>
      <c r="AB361" s="3" t="s">
        <v>526</v>
      </c>
      <c r="AC361" s="125">
        <v>0.72499999999999998</v>
      </c>
      <c r="AD361" s="3">
        <v>8.1306407300000008E-2</v>
      </c>
      <c r="AE361" s="3" t="s">
        <v>531</v>
      </c>
      <c r="AF361" s="3"/>
      <c r="AG361" s="3"/>
    </row>
    <row r="362" spans="6:33">
      <c r="F362" s="372">
        <v>3</v>
      </c>
      <c r="G362" s="373" t="s">
        <v>233</v>
      </c>
      <c r="H362" s="6" t="s">
        <v>273</v>
      </c>
      <c r="I362" s="136" t="s">
        <v>552</v>
      </c>
      <c r="J362" s="136" t="s">
        <v>203</v>
      </c>
      <c r="K362" s="191">
        <v>0</v>
      </c>
      <c r="L362" s="191">
        <v>0</v>
      </c>
      <c r="M362" s="191">
        <v>0</v>
      </c>
      <c r="N362" s="191">
        <v>-1.64655650896596</v>
      </c>
      <c r="O362" s="191">
        <v>-2.1007068372542301</v>
      </c>
      <c r="P362" s="191">
        <v>-0.81021857242915696</v>
      </c>
      <c r="Q362" s="191">
        <v>-0.99139616916911</v>
      </c>
      <c r="R362" s="191">
        <v>2.7209269723740701E-2</v>
      </c>
      <c r="T362" s="46">
        <v>3</v>
      </c>
      <c r="U362" s="53" t="s">
        <v>529</v>
      </c>
      <c r="V362" s="47" t="s">
        <v>331</v>
      </c>
      <c r="W362" s="47" t="s">
        <v>552</v>
      </c>
      <c r="X362" s="47" t="s">
        <v>203</v>
      </c>
      <c r="Y362" s="58">
        <v>9.1944800000000004</v>
      </c>
      <c r="Z362" s="193">
        <v>2.5192800000000002</v>
      </c>
      <c r="AB362" s="3" t="s">
        <v>526</v>
      </c>
      <c r="AC362" s="125">
        <v>0.72499999999999998</v>
      </c>
      <c r="AD362" s="3">
        <v>8.1306407300000008E-2</v>
      </c>
      <c r="AE362" s="3" t="s">
        <v>531</v>
      </c>
      <c r="AF362" s="3"/>
      <c r="AG362" s="3"/>
    </row>
    <row r="363" spans="6:33">
      <c r="F363" s="372">
        <v>3</v>
      </c>
      <c r="G363" s="373" t="s">
        <v>233</v>
      </c>
      <c r="H363" s="6" t="s">
        <v>330</v>
      </c>
      <c r="I363" s="136" t="s">
        <v>552</v>
      </c>
      <c r="J363" s="136" t="s">
        <v>203</v>
      </c>
      <c r="K363" s="191">
        <v>-0.14119999999999999</v>
      </c>
      <c r="L363" s="191">
        <v>-0.1076582</v>
      </c>
      <c r="M363" s="191">
        <v>0</v>
      </c>
      <c r="N363" s="191">
        <v>0</v>
      </c>
      <c r="O363" s="191">
        <v>0</v>
      </c>
      <c r="P363" s="191">
        <v>-1.4815773000277099</v>
      </c>
      <c r="Q363" s="191">
        <v>-1.15568226342465</v>
      </c>
      <c r="R363" s="191">
        <v>5.3038049624167E-2</v>
      </c>
      <c r="T363" s="46">
        <v>3</v>
      </c>
      <c r="U363" s="53" t="s">
        <v>529</v>
      </c>
      <c r="V363" s="47" t="s">
        <v>332</v>
      </c>
      <c r="W363" s="47" t="s">
        <v>552</v>
      </c>
      <c r="X363" s="47" t="s">
        <v>203</v>
      </c>
      <c r="Y363" s="58">
        <v>2.5034000000000001</v>
      </c>
      <c r="Z363" s="193">
        <v>1.0183800000000001</v>
      </c>
      <c r="AB363" s="3" t="s">
        <v>526</v>
      </c>
      <c r="AC363" s="125">
        <v>0.64600000000000002</v>
      </c>
      <c r="AD363" s="3">
        <v>8.1306407300000008E-2</v>
      </c>
      <c r="AE363" s="3" t="s">
        <v>531</v>
      </c>
      <c r="AF363" s="3" t="s">
        <v>526</v>
      </c>
      <c r="AG363" s="83">
        <v>0.8</v>
      </c>
    </row>
    <row r="364" spans="6:33">
      <c r="F364" s="372">
        <v>3</v>
      </c>
      <c r="G364" s="373" t="s">
        <v>233</v>
      </c>
      <c r="H364" s="6" t="s">
        <v>335</v>
      </c>
      <c r="I364" s="136" t="s">
        <v>552</v>
      </c>
      <c r="J364" s="136" t="s">
        <v>203</v>
      </c>
      <c r="K364" s="191">
        <v>-0.26272000000000001</v>
      </c>
      <c r="L364" s="191">
        <v>-0.20183620000000002</v>
      </c>
      <c r="M364" s="191">
        <v>0</v>
      </c>
      <c r="N364" s="191">
        <v>-1.64655650896596</v>
      </c>
      <c r="O364" s="191">
        <v>-2.6336365493502698</v>
      </c>
      <c r="P364" s="191">
        <v>-1.3851954238484401</v>
      </c>
      <c r="Q364" s="191">
        <v>-1.16719806628489</v>
      </c>
      <c r="R364" s="191">
        <v>3.2211717992012702E-2</v>
      </c>
      <c r="T364" s="46">
        <v>3</v>
      </c>
      <c r="U364" s="53" t="s">
        <v>252</v>
      </c>
      <c r="V364" s="47" t="s">
        <v>252</v>
      </c>
      <c r="W364" s="47" t="s">
        <v>552</v>
      </c>
      <c r="X364" s="47" t="s">
        <v>203</v>
      </c>
      <c r="Y364" s="58">
        <v>2.0953266666666663</v>
      </c>
      <c r="Z364" s="193">
        <v>1.77911</v>
      </c>
      <c r="AB364" s="3"/>
      <c r="AC364" s="3"/>
      <c r="AD364" s="3"/>
      <c r="AE364" s="3"/>
      <c r="AF364" s="3" t="s">
        <v>526</v>
      </c>
      <c r="AG364" s="83">
        <v>0.88</v>
      </c>
    </row>
    <row r="365" spans="6:33" ht="28.8">
      <c r="F365" s="372">
        <v>3</v>
      </c>
      <c r="G365" s="373" t="s">
        <v>233</v>
      </c>
      <c r="H365" s="6" t="s">
        <v>326</v>
      </c>
      <c r="I365" s="136" t="s">
        <v>552</v>
      </c>
      <c r="J365" s="136" t="s">
        <v>203</v>
      </c>
      <c r="K365" s="191">
        <v>-0.14119999999999999</v>
      </c>
      <c r="L365" s="191">
        <v>-0.1076582</v>
      </c>
      <c r="M365" s="191">
        <v>0</v>
      </c>
      <c r="N365" s="191">
        <v>-1.64655650896596</v>
      </c>
      <c r="O365" s="191">
        <v>-2.6336365493502698</v>
      </c>
      <c r="P365" s="191">
        <v>-1.3851954238484401</v>
      </c>
      <c r="Q365" s="191">
        <v>-1.16719806628489</v>
      </c>
      <c r="R365" s="191">
        <v>3.2211717992012702E-2</v>
      </c>
      <c r="T365" s="46">
        <v>3</v>
      </c>
      <c r="U365" s="53" t="s">
        <v>252</v>
      </c>
      <c r="V365" s="47" t="s">
        <v>253</v>
      </c>
      <c r="W365" s="47" t="s">
        <v>552</v>
      </c>
      <c r="X365" s="47" t="s">
        <v>203</v>
      </c>
      <c r="Y365" s="58">
        <v>2.04928</v>
      </c>
      <c r="Z365" s="193">
        <v>1.77911</v>
      </c>
      <c r="AB365" s="3" t="s">
        <v>526</v>
      </c>
      <c r="AC365" s="125">
        <v>0.64600000000000002</v>
      </c>
      <c r="AD365" s="3">
        <v>8.1306407300000008E-2</v>
      </c>
      <c r="AE365" s="3" t="s">
        <v>531</v>
      </c>
      <c r="AF365" s="3" t="s">
        <v>526</v>
      </c>
      <c r="AG365" s="83">
        <v>0.8</v>
      </c>
    </row>
    <row r="366" spans="6:33">
      <c r="F366" s="372">
        <v>3</v>
      </c>
      <c r="G366" s="373" t="s">
        <v>261</v>
      </c>
      <c r="H366" s="6" t="s">
        <v>10179</v>
      </c>
      <c r="I366" s="136" t="s">
        <v>552</v>
      </c>
      <c r="J366" s="136" t="s">
        <v>203</v>
      </c>
      <c r="K366" s="191">
        <v>-4.72241</v>
      </c>
      <c r="L366" s="191">
        <v>-2.3594331999999998</v>
      </c>
      <c r="M366" s="191">
        <v>0</v>
      </c>
      <c r="N366" s="191">
        <v>-0.36323464441652753</v>
      </c>
      <c r="O366" s="191">
        <v>-0.61693958948757244</v>
      </c>
      <c r="P366" s="191">
        <v>0.15696519926646002</v>
      </c>
      <c r="Q366" s="191">
        <v>-0.2011684659576255</v>
      </c>
      <c r="R366" s="191">
        <v>2.5407885046950601E-2</v>
      </c>
      <c r="T366" s="46">
        <v>3</v>
      </c>
      <c r="U366" s="53" t="s">
        <v>252</v>
      </c>
      <c r="V366" s="47" t="s">
        <v>328</v>
      </c>
      <c r="W366" s="47" t="s">
        <v>552</v>
      </c>
      <c r="X366" s="47" t="s">
        <v>203</v>
      </c>
      <c r="Y366" s="58">
        <v>2.3231199999999999</v>
      </c>
      <c r="Z366" s="193">
        <v>1.77911</v>
      </c>
      <c r="AB366" s="3"/>
      <c r="AC366" s="3"/>
      <c r="AD366" s="3"/>
      <c r="AE366" s="3"/>
      <c r="AF366" s="3" t="s">
        <v>526</v>
      </c>
      <c r="AG366" s="83">
        <v>0.65</v>
      </c>
    </row>
    <row r="367" spans="6:33">
      <c r="F367" s="372">
        <v>3</v>
      </c>
      <c r="G367" s="373" t="s">
        <v>261</v>
      </c>
      <c r="H367" s="6" t="s">
        <v>269</v>
      </c>
      <c r="I367" s="136" t="s">
        <v>552</v>
      </c>
      <c r="J367" s="136" t="s">
        <v>203</v>
      </c>
      <c r="K367" s="191">
        <v>-0.25034000000000001</v>
      </c>
      <c r="L367" s="191">
        <v>-0.1233982</v>
      </c>
      <c r="M367" s="191">
        <v>0</v>
      </c>
      <c r="N367" s="191">
        <v>-0.30319849135481602</v>
      </c>
      <c r="O367" s="191">
        <v>-0.52506421567601302</v>
      </c>
      <c r="P367" s="191">
        <v>0.18726550694841601</v>
      </c>
      <c r="Q367" s="191">
        <v>-0.13984124434489101</v>
      </c>
      <c r="R367" s="191">
        <v>2.50856610037276E-2</v>
      </c>
      <c r="T367" s="46">
        <v>3</v>
      </c>
      <c r="U367" s="53" t="s">
        <v>252</v>
      </c>
      <c r="V367" s="47" t="s">
        <v>254</v>
      </c>
      <c r="W367" s="47" t="s">
        <v>552</v>
      </c>
      <c r="X367" s="47" t="s">
        <v>203</v>
      </c>
      <c r="Y367" s="58">
        <v>2.1485799999999999</v>
      </c>
      <c r="Z367" s="193">
        <v>1.77911</v>
      </c>
      <c r="AB367" s="3"/>
      <c r="AC367" s="3"/>
      <c r="AD367" s="3"/>
      <c r="AE367" s="3"/>
      <c r="AF367" s="3" t="s">
        <v>526</v>
      </c>
      <c r="AG367" s="83">
        <v>0.65</v>
      </c>
    </row>
    <row r="368" spans="6:33" ht="28.8">
      <c r="F368" s="372">
        <v>3</v>
      </c>
      <c r="G368" s="373" t="s">
        <v>261</v>
      </c>
      <c r="H368" s="6" t="s">
        <v>530</v>
      </c>
      <c r="I368" s="136" t="s">
        <v>552</v>
      </c>
      <c r="J368" s="136" t="s">
        <v>203</v>
      </c>
      <c r="K368" s="191">
        <v>-9.1944800000000004</v>
      </c>
      <c r="L368" s="191">
        <v>-4.5954682</v>
      </c>
      <c r="M368" s="191">
        <v>0</v>
      </c>
      <c r="N368" s="191">
        <v>-0.42327079747823898</v>
      </c>
      <c r="O368" s="191">
        <v>-0.70881496329913196</v>
      </c>
      <c r="P368" s="191">
        <v>0.126664891584504</v>
      </c>
      <c r="Q368" s="191">
        <v>-0.26249568757036001</v>
      </c>
      <c r="R368" s="191">
        <v>2.5730109090173599E-2</v>
      </c>
      <c r="T368" s="46">
        <v>3</v>
      </c>
      <c r="U368" s="53" t="s">
        <v>252</v>
      </c>
      <c r="V368" s="47" t="s">
        <v>532</v>
      </c>
      <c r="W368" s="47" t="s">
        <v>552</v>
      </c>
      <c r="X368" s="47" t="s">
        <v>203</v>
      </c>
      <c r="Y368" s="58">
        <v>1.9492499999999999</v>
      </c>
      <c r="Z368" s="193">
        <v>1.77911</v>
      </c>
      <c r="AB368" s="3"/>
      <c r="AC368" s="3"/>
      <c r="AD368" s="3"/>
      <c r="AE368" s="3"/>
      <c r="AF368" s="3" t="s">
        <v>526</v>
      </c>
      <c r="AG368" s="83">
        <v>0.65</v>
      </c>
    </row>
    <row r="369" spans="6:33">
      <c r="F369" s="372">
        <v>3</v>
      </c>
      <c r="G369" s="373" t="s">
        <v>261</v>
      </c>
      <c r="H369" s="6" t="s">
        <v>262</v>
      </c>
      <c r="I369" s="136" t="s">
        <v>552</v>
      </c>
      <c r="J369" s="136" t="s">
        <v>203</v>
      </c>
      <c r="K369" s="191">
        <v>-2.5034000000000001</v>
      </c>
      <c r="L369" s="191">
        <v>0</v>
      </c>
      <c r="M369" s="191">
        <v>0</v>
      </c>
      <c r="N369" s="191">
        <v>-0.42327079747823898</v>
      </c>
      <c r="O369" s="191">
        <v>-0.70881496329913196</v>
      </c>
      <c r="P369" s="191">
        <v>0.126664891584504</v>
      </c>
      <c r="Q369" s="191">
        <v>-0.26249568757036001</v>
      </c>
      <c r="R369" s="191">
        <v>2.5730109090173599E-2</v>
      </c>
      <c r="T369" s="46">
        <v>3</v>
      </c>
      <c r="U369" s="53" t="s">
        <v>252</v>
      </c>
      <c r="V369" s="47" t="s">
        <v>245</v>
      </c>
      <c r="W369" s="47" t="s">
        <v>552</v>
      </c>
      <c r="X369" s="47" t="s">
        <v>203</v>
      </c>
      <c r="Y369" s="58">
        <v>2.0269300000000001</v>
      </c>
      <c r="Z369" s="193">
        <v>1.77911</v>
      </c>
      <c r="AB369" s="3"/>
      <c r="AC369" s="3"/>
      <c r="AD369" s="3"/>
      <c r="AE369" s="3"/>
      <c r="AF369" s="3" t="s">
        <v>526</v>
      </c>
      <c r="AG369" s="83">
        <v>0.8</v>
      </c>
    </row>
    <row r="370" spans="6:33">
      <c r="F370" s="372">
        <v>3</v>
      </c>
      <c r="G370" s="373" t="s">
        <v>252</v>
      </c>
      <c r="H370" s="6" t="s">
        <v>10180</v>
      </c>
      <c r="I370" s="136" t="s">
        <v>552</v>
      </c>
      <c r="J370" s="136" t="s">
        <v>203</v>
      </c>
      <c r="K370" s="191">
        <v>-2.0953266666666663</v>
      </c>
      <c r="L370" s="191">
        <v>-1.5407999593666664</v>
      </c>
      <c r="M370" s="191">
        <v>-4.4025891502648795</v>
      </c>
      <c r="N370" s="191">
        <v>0</v>
      </c>
      <c r="O370" s="191">
        <v>0</v>
      </c>
      <c r="P370" s="191">
        <v>2.6042894329189499E-2</v>
      </c>
      <c r="Q370" s="191">
        <v>0.44395532733173598</v>
      </c>
      <c r="R370" s="191">
        <v>2.1870269324237599</v>
      </c>
      <c r="T370" s="46">
        <v>3</v>
      </c>
      <c r="U370" s="53" t="s">
        <v>252</v>
      </c>
      <c r="V370" s="47" t="s">
        <v>533</v>
      </c>
      <c r="W370" s="47" t="s">
        <v>552</v>
      </c>
      <c r="X370" s="47" t="s">
        <v>203</v>
      </c>
      <c r="Y370" s="58">
        <v>2.0748000000000002</v>
      </c>
      <c r="Z370" s="193">
        <v>1.77911</v>
      </c>
      <c r="AB370" s="3"/>
      <c r="AC370" s="3"/>
      <c r="AD370" s="3"/>
      <c r="AE370" s="3"/>
      <c r="AF370" s="3"/>
      <c r="AG370" s="3"/>
    </row>
    <row r="371" spans="6:33" ht="43.2">
      <c r="F371" s="372">
        <v>3</v>
      </c>
      <c r="G371" s="373" t="s">
        <v>252</v>
      </c>
      <c r="H371" s="6" t="s">
        <v>10163</v>
      </c>
      <c r="I371" s="136" t="s">
        <v>552</v>
      </c>
      <c r="J371" s="136" t="s">
        <v>203</v>
      </c>
      <c r="K371" s="191">
        <v>-2.04928</v>
      </c>
      <c r="L371" s="191">
        <v>0</v>
      </c>
      <c r="M371" s="191">
        <v>-3.8346043561803635</v>
      </c>
      <c r="N371" s="191">
        <v>0</v>
      </c>
      <c r="O371" s="191">
        <v>0</v>
      </c>
      <c r="P371" s="191">
        <v>2.6042891280744201E-2</v>
      </c>
      <c r="Q371" s="191">
        <v>0.175590688454898</v>
      </c>
      <c r="R371" s="191">
        <v>3.1831779848466799</v>
      </c>
      <c r="T371" s="46">
        <v>3</v>
      </c>
      <c r="U371" s="53" t="s">
        <v>242</v>
      </c>
      <c r="V371" s="47" t="s">
        <v>242</v>
      </c>
      <c r="W371" s="47" t="s">
        <v>552</v>
      </c>
      <c r="X371" s="47" t="s">
        <v>203</v>
      </c>
      <c r="Y371" s="58">
        <v>38.486130000000003</v>
      </c>
      <c r="Z371" s="193">
        <v>0.20843</v>
      </c>
      <c r="AB371" s="3"/>
      <c r="AC371" s="3"/>
      <c r="AD371" s="3"/>
      <c r="AE371" s="3"/>
      <c r="AF371" s="3"/>
      <c r="AG371" s="3"/>
    </row>
    <row r="372" spans="6:33" ht="28.8">
      <c r="F372" s="372">
        <v>3</v>
      </c>
      <c r="G372" s="373" t="s">
        <v>252</v>
      </c>
      <c r="H372" s="6" t="s">
        <v>10164</v>
      </c>
      <c r="I372" s="136" t="s">
        <v>552</v>
      </c>
      <c r="J372" s="136" t="s">
        <v>203</v>
      </c>
      <c r="K372" s="191">
        <v>-2.3231199999999999</v>
      </c>
      <c r="L372" s="191">
        <v>0</v>
      </c>
      <c r="M372" s="191">
        <v>-4.5681382124045369</v>
      </c>
      <c r="N372" s="191">
        <v>0</v>
      </c>
      <c r="O372" s="191">
        <v>0</v>
      </c>
      <c r="P372" s="191">
        <v>2.6042892084158099E-2</v>
      </c>
      <c r="Q372" s="191">
        <v>0.30460453136799898</v>
      </c>
      <c r="R372" s="191">
        <v>2.4956096041782501</v>
      </c>
      <c r="T372" s="46">
        <v>3</v>
      </c>
      <c r="U372" s="53" t="s">
        <v>242</v>
      </c>
      <c r="V372" s="47" t="s">
        <v>242</v>
      </c>
      <c r="W372" s="47" t="s">
        <v>552</v>
      </c>
      <c r="X372" s="47" t="s">
        <v>203</v>
      </c>
      <c r="Y372" s="58">
        <v>38.486130000000003</v>
      </c>
      <c r="Z372" s="193">
        <v>0.20843</v>
      </c>
      <c r="AB372" s="3"/>
      <c r="AC372" s="3"/>
      <c r="AD372" s="3"/>
      <c r="AE372" s="3"/>
      <c r="AF372" s="3" t="s">
        <v>526</v>
      </c>
      <c r="AG372" s="83">
        <v>0.95</v>
      </c>
    </row>
    <row r="373" spans="6:33" ht="28.8">
      <c r="F373" s="372">
        <v>3</v>
      </c>
      <c r="G373" s="373" t="s">
        <v>252</v>
      </c>
      <c r="H373" s="6" t="s">
        <v>10165</v>
      </c>
      <c r="I373" s="136" t="s">
        <v>552</v>
      </c>
      <c r="J373" s="136" t="s">
        <v>203</v>
      </c>
      <c r="K373" s="191">
        <v>-2.1485799999999999</v>
      </c>
      <c r="L373" s="191">
        <v>0</v>
      </c>
      <c r="M373" s="191">
        <v>-4.6394758200700803</v>
      </c>
      <c r="N373" s="191">
        <v>0</v>
      </c>
      <c r="O373" s="191">
        <v>0</v>
      </c>
      <c r="P373" s="191">
        <v>2.6042891280744201E-2</v>
      </c>
      <c r="Q373" s="191">
        <v>0.48074063466547701</v>
      </c>
      <c r="R373" s="191">
        <v>2.5363331169384198</v>
      </c>
      <c r="T373" s="46">
        <v>3</v>
      </c>
      <c r="U373" s="53" t="s">
        <v>242</v>
      </c>
      <c r="V373" s="47" t="s">
        <v>534</v>
      </c>
      <c r="W373" s="47" t="s">
        <v>552</v>
      </c>
      <c r="X373" s="47" t="s">
        <v>203</v>
      </c>
      <c r="Y373" s="58">
        <v>15.0122</v>
      </c>
      <c r="Z373" s="193">
        <v>0.37092000000000003</v>
      </c>
      <c r="AB373" s="3" t="s">
        <v>526</v>
      </c>
      <c r="AC373" s="125">
        <v>1</v>
      </c>
      <c r="AD373" s="3">
        <v>8.1306407300000008E-2</v>
      </c>
      <c r="AE373" s="3" t="s">
        <v>531</v>
      </c>
      <c r="AF373" s="3" t="s">
        <v>526</v>
      </c>
      <c r="AG373" s="83">
        <v>0.95</v>
      </c>
    </row>
    <row r="374" spans="6:33" ht="28.8">
      <c r="F374" s="372">
        <v>3</v>
      </c>
      <c r="G374" s="373" t="s">
        <v>252</v>
      </c>
      <c r="H374" s="6" t="s">
        <v>10166</v>
      </c>
      <c r="I374" s="136" t="s">
        <v>552</v>
      </c>
      <c r="J374" s="136" t="s">
        <v>203</v>
      </c>
      <c r="K374" s="191">
        <v>-1.9492499999999999</v>
      </c>
      <c r="L374" s="191">
        <v>0</v>
      </c>
      <c r="M374" s="191">
        <v>-4.5681382124045369</v>
      </c>
      <c r="N374" s="191">
        <v>0</v>
      </c>
      <c r="O374" s="191">
        <v>0</v>
      </c>
      <c r="P374" s="191">
        <v>2.6042892084158099E-2</v>
      </c>
      <c r="Q374" s="191">
        <v>0.30460453136799898</v>
      </c>
      <c r="R374" s="191">
        <v>2.4956096041782501</v>
      </c>
      <c r="T374" s="46">
        <v>3</v>
      </c>
      <c r="U374" s="53" t="s">
        <v>239</v>
      </c>
      <c r="V374" s="47" t="s">
        <v>239</v>
      </c>
      <c r="W374" s="47" t="s">
        <v>552</v>
      </c>
      <c r="X374" s="47" t="s">
        <v>203</v>
      </c>
      <c r="Y374" s="58">
        <v>2.6644477777777777</v>
      </c>
      <c r="Z374" s="193">
        <v>0.64099666666666666</v>
      </c>
      <c r="AB374" s="3" t="s">
        <v>526</v>
      </c>
      <c r="AC374" s="125">
        <v>1</v>
      </c>
      <c r="AD374" s="3">
        <v>8.1306407300000008E-2</v>
      </c>
      <c r="AE374" s="3" t="s">
        <v>531</v>
      </c>
      <c r="AF374" s="3" t="s">
        <v>526</v>
      </c>
      <c r="AG374" s="83">
        <v>0.95</v>
      </c>
    </row>
    <row r="375" spans="6:33">
      <c r="F375" s="372">
        <v>3</v>
      </c>
      <c r="G375" s="373" t="s">
        <v>252</v>
      </c>
      <c r="H375" s="6" t="s">
        <v>10167</v>
      </c>
      <c r="I375" s="136" t="s">
        <v>552</v>
      </c>
      <c r="J375" s="136" t="s">
        <v>203</v>
      </c>
      <c r="K375" s="191">
        <v>-2.0269300000000001</v>
      </c>
      <c r="L375" s="191">
        <v>0</v>
      </c>
      <c r="M375" s="191">
        <v>0</v>
      </c>
      <c r="N375" s="191">
        <v>0</v>
      </c>
      <c r="O375" s="191">
        <v>0</v>
      </c>
      <c r="P375" s="191">
        <v>2.6042892205404101E-2</v>
      </c>
      <c r="Q375" s="191">
        <v>0.124921509262145</v>
      </c>
      <c r="R375" s="191">
        <v>3.1833672947487801</v>
      </c>
      <c r="T375" s="46">
        <v>3</v>
      </c>
      <c r="U375" s="53" t="s">
        <v>239</v>
      </c>
      <c r="V375" s="47" t="s">
        <v>324</v>
      </c>
      <c r="W375" s="47" t="s">
        <v>552</v>
      </c>
      <c r="X375" s="47" t="s">
        <v>203</v>
      </c>
      <c r="Y375" s="58">
        <v>1.66</v>
      </c>
      <c r="Z375" s="193">
        <v>0.13142999999999999</v>
      </c>
      <c r="AB375" s="3" t="s">
        <v>526</v>
      </c>
      <c r="AC375" s="125">
        <v>1</v>
      </c>
      <c r="AD375" s="3">
        <v>8.1306407300000008E-2</v>
      </c>
      <c r="AE375" s="3" t="s">
        <v>531</v>
      </c>
      <c r="AF375" s="3"/>
      <c r="AG375" s="3"/>
    </row>
    <row r="376" spans="6:33">
      <c r="F376" s="372">
        <v>3</v>
      </c>
      <c r="G376" s="373" t="s">
        <v>252</v>
      </c>
      <c r="H376" s="6" t="s">
        <v>10168</v>
      </c>
      <c r="I376" s="136" t="s">
        <v>552</v>
      </c>
      <c r="J376" s="136" t="s">
        <v>203</v>
      </c>
      <c r="K376" s="191">
        <v>-2.0748000000000002</v>
      </c>
      <c r="L376" s="191">
        <v>0</v>
      </c>
      <c r="M376" s="191">
        <v>0</v>
      </c>
      <c r="N376" s="191">
        <v>0</v>
      </c>
      <c r="O376" s="191">
        <v>0</v>
      </c>
      <c r="P376" s="191">
        <v>2.6042886997659099E-2</v>
      </c>
      <c r="Q376" s="191">
        <v>0.36357047276194199</v>
      </c>
      <c r="R376" s="191">
        <v>3.0368312566581301</v>
      </c>
      <c r="T376" s="46">
        <v>3</v>
      </c>
      <c r="U376" s="53" t="s">
        <v>239</v>
      </c>
      <c r="V376" s="47" t="s">
        <v>272</v>
      </c>
      <c r="W376" s="47" t="s">
        <v>552</v>
      </c>
      <c r="X376" s="47" t="s">
        <v>203</v>
      </c>
      <c r="Y376" s="58">
        <v>2.1278299999999999</v>
      </c>
      <c r="Z376" s="193">
        <v>1.2152400000000001</v>
      </c>
      <c r="AB376" s="3"/>
      <c r="AC376" s="3"/>
      <c r="AD376" s="3"/>
      <c r="AE376" s="3"/>
      <c r="AF376" s="3" t="s">
        <v>526</v>
      </c>
      <c r="AG376" s="83">
        <v>0.95</v>
      </c>
    </row>
    <row r="377" spans="6:33">
      <c r="F377" s="372">
        <v>3</v>
      </c>
      <c r="G377" s="373" t="s">
        <v>242</v>
      </c>
      <c r="H377" s="6" t="s">
        <v>10181</v>
      </c>
      <c r="I377" s="136" t="s">
        <v>552</v>
      </c>
      <c r="J377" s="136" t="s">
        <v>203</v>
      </c>
      <c r="K377" s="191">
        <v>-38.486130000000003</v>
      </c>
      <c r="L377" s="191">
        <v>-27.900672450000002</v>
      </c>
      <c r="M377" s="191">
        <v>-3.2868550000000001</v>
      </c>
      <c r="N377" s="191">
        <v>0</v>
      </c>
      <c r="O377" s="191">
        <v>0</v>
      </c>
      <c r="P377" s="191">
        <v>2.5860000000000001E-2</v>
      </c>
      <c r="Q377" s="191">
        <v>4.0984842545202599E-2</v>
      </c>
      <c r="R377" s="191">
        <v>4.8934666491893597E-2</v>
      </c>
      <c r="T377" s="46">
        <v>3</v>
      </c>
      <c r="U377" s="53" t="s">
        <v>239</v>
      </c>
      <c r="V377" s="47" t="s">
        <v>329</v>
      </c>
      <c r="W377" s="47" t="s">
        <v>552</v>
      </c>
      <c r="X377" s="47" t="s">
        <v>203</v>
      </c>
      <c r="Y377" s="58">
        <v>3.4792200000000002</v>
      </c>
      <c r="Z377" s="193">
        <v>1.0383</v>
      </c>
      <c r="AB377" s="3" t="s">
        <v>526</v>
      </c>
      <c r="AC377" s="125">
        <v>1</v>
      </c>
      <c r="AD377" s="3">
        <v>0</v>
      </c>
      <c r="AE377" s="3" t="s">
        <v>527</v>
      </c>
      <c r="AF377" s="3" t="s">
        <v>526</v>
      </c>
      <c r="AG377" s="83">
        <v>0.9</v>
      </c>
    </row>
    <row r="378" spans="6:33">
      <c r="F378" s="372">
        <v>3</v>
      </c>
      <c r="G378" s="373" t="s">
        <v>242</v>
      </c>
      <c r="H378" s="6" t="s">
        <v>274</v>
      </c>
      <c r="I378" s="136" t="s">
        <v>552</v>
      </c>
      <c r="J378" s="136" t="s">
        <v>203</v>
      </c>
      <c r="K378" s="191">
        <v>-38.486130000000003</v>
      </c>
      <c r="L378" s="191">
        <v>-27.900672450000002</v>
      </c>
      <c r="M378" s="191">
        <v>-8.5278425000000002</v>
      </c>
      <c r="N378" s="191">
        <v>0</v>
      </c>
      <c r="O378" s="191">
        <v>0</v>
      </c>
      <c r="P378" s="191">
        <v>2.5860000000000001E-2</v>
      </c>
      <c r="Q378" s="191">
        <v>4.0984842545202599E-2</v>
      </c>
      <c r="R378" s="191">
        <v>4.8934666491893597E-2</v>
      </c>
      <c r="T378" s="46">
        <v>3</v>
      </c>
      <c r="U378" s="53" t="s">
        <v>239</v>
      </c>
      <c r="V378" s="47" t="s">
        <v>271</v>
      </c>
      <c r="W378" s="47" t="s">
        <v>552</v>
      </c>
      <c r="X378" s="47" t="s">
        <v>203</v>
      </c>
      <c r="Y378" s="58">
        <v>3.1045600000000002</v>
      </c>
      <c r="Z378" s="193">
        <v>0.12864</v>
      </c>
      <c r="AB378" s="3" t="s">
        <v>526</v>
      </c>
      <c r="AC378" s="125">
        <v>1</v>
      </c>
      <c r="AD378" s="3">
        <v>8.1306407300000008E-2</v>
      </c>
      <c r="AE378" s="3" t="s">
        <v>531</v>
      </c>
      <c r="AF378" s="3" t="s">
        <v>526</v>
      </c>
      <c r="AG378" s="83">
        <v>0.9</v>
      </c>
    </row>
    <row r="379" spans="6:33">
      <c r="F379" s="372">
        <v>3</v>
      </c>
      <c r="G379" s="373" t="s">
        <v>242</v>
      </c>
      <c r="H379" s="6" t="s">
        <v>534</v>
      </c>
      <c r="I379" s="136" t="s">
        <v>552</v>
      </c>
      <c r="J379" s="136" t="s">
        <v>203</v>
      </c>
      <c r="K379" s="191">
        <v>-15.0122</v>
      </c>
      <c r="L379" s="191">
        <v>-10.882073199999999</v>
      </c>
      <c r="M379" s="191">
        <v>-3.19428</v>
      </c>
      <c r="N379" s="191">
        <v>0</v>
      </c>
      <c r="O379" s="191">
        <v>0</v>
      </c>
      <c r="P379" s="191">
        <v>2.5860000000000001E-2</v>
      </c>
      <c r="Q379" s="191">
        <v>4.0984842545202599E-2</v>
      </c>
      <c r="R379" s="191">
        <v>4.8934666491893597E-2</v>
      </c>
      <c r="T379" s="46">
        <v>3</v>
      </c>
      <c r="U379" s="53" t="s">
        <v>239</v>
      </c>
      <c r="V379" s="47" t="s">
        <v>535</v>
      </c>
      <c r="W379" s="47" t="s">
        <v>552</v>
      </c>
      <c r="X379" s="47" t="s">
        <v>203</v>
      </c>
      <c r="Y379" s="58">
        <v>3.1045600000000002</v>
      </c>
      <c r="Z379" s="193">
        <v>0.12864</v>
      </c>
      <c r="AB379" s="3" t="s">
        <v>526</v>
      </c>
      <c r="AC379" s="125">
        <v>1</v>
      </c>
      <c r="AD379" s="3">
        <v>8.1306407300000008E-2</v>
      </c>
      <c r="AE379" s="3" t="s">
        <v>531</v>
      </c>
      <c r="AF379" s="3" t="s">
        <v>526</v>
      </c>
      <c r="AG379" s="83">
        <v>0.95</v>
      </c>
    </row>
    <row r="380" spans="6:33">
      <c r="F380" s="372">
        <v>3</v>
      </c>
      <c r="G380" s="373" t="s">
        <v>239</v>
      </c>
      <c r="H380" s="6" t="s">
        <v>10182</v>
      </c>
      <c r="I380" s="136" t="s">
        <v>552</v>
      </c>
      <c r="J380" s="136" t="s">
        <v>203</v>
      </c>
      <c r="K380" s="191">
        <v>-2.6644477777777777</v>
      </c>
      <c r="L380" s="191">
        <v>-1.7194614644444446</v>
      </c>
      <c r="M380" s="191">
        <v>-0.91191428180792811</v>
      </c>
      <c r="N380" s="191">
        <v>-1.6286344906372801</v>
      </c>
      <c r="O380" s="191">
        <v>-2.3972313350924299</v>
      </c>
      <c r="P380" s="191">
        <v>-0.66697991340315199</v>
      </c>
      <c r="Q380" s="191">
        <v>-0.942225030340478</v>
      </c>
      <c r="R380" s="191">
        <v>2.74731001572785E-2</v>
      </c>
      <c r="T380" s="46">
        <v>3</v>
      </c>
      <c r="U380" s="53" t="s">
        <v>239</v>
      </c>
      <c r="V380" s="47" t="s">
        <v>259</v>
      </c>
      <c r="W380" s="47" t="s">
        <v>552</v>
      </c>
      <c r="X380" s="47" t="s">
        <v>203</v>
      </c>
      <c r="Y380" s="58">
        <v>2.86965</v>
      </c>
      <c r="Z380" s="193">
        <v>0.79600000000000004</v>
      </c>
      <c r="AB380" s="3" t="s">
        <v>526</v>
      </c>
      <c r="AC380" s="125">
        <v>1</v>
      </c>
      <c r="AD380" s="3">
        <v>8.1306407300000008E-2</v>
      </c>
      <c r="AE380" s="3" t="s">
        <v>531</v>
      </c>
      <c r="AF380" s="3" t="s">
        <v>526</v>
      </c>
      <c r="AG380" s="83">
        <v>0.7</v>
      </c>
    </row>
    <row r="381" spans="6:33">
      <c r="F381" s="372">
        <v>3</v>
      </c>
      <c r="G381" s="373" t="s">
        <v>239</v>
      </c>
      <c r="H381" s="6" t="s">
        <v>324</v>
      </c>
      <c r="I381" s="136" t="s">
        <v>552</v>
      </c>
      <c r="J381" s="136" t="s">
        <v>203</v>
      </c>
      <c r="K381" s="191">
        <v>-1.66</v>
      </c>
      <c r="L381" s="191">
        <v>0</v>
      </c>
      <c r="M381" s="191">
        <v>0.129009716048088</v>
      </c>
      <c r="N381" s="191">
        <v>-1.6392456408190901</v>
      </c>
      <c r="O381" s="191">
        <v>-2.2430244881972801</v>
      </c>
      <c r="P381" s="191">
        <v>-1.1391950666710899</v>
      </c>
      <c r="Q381" s="191">
        <v>-1.02415368418064</v>
      </c>
      <c r="R381" s="191">
        <v>2.66831358779176E-2</v>
      </c>
      <c r="T381" s="46">
        <v>3</v>
      </c>
      <c r="U381" s="53" t="s">
        <v>239</v>
      </c>
      <c r="V381" s="47" t="s">
        <v>334</v>
      </c>
      <c r="W381" s="47" t="s">
        <v>552</v>
      </c>
      <c r="X381" s="47" t="s">
        <v>203</v>
      </c>
      <c r="Y381" s="58">
        <v>2.86965</v>
      </c>
      <c r="Z381" s="193">
        <v>0.76736000000000004</v>
      </c>
      <c r="AB381" s="3" t="s">
        <v>526</v>
      </c>
      <c r="AC381" s="125">
        <v>1</v>
      </c>
      <c r="AD381" s="3">
        <v>8.1306407300000008E-2</v>
      </c>
      <c r="AE381" s="3" t="s">
        <v>531</v>
      </c>
      <c r="AF381" s="3"/>
      <c r="AG381" s="3"/>
    </row>
    <row r="382" spans="6:33">
      <c r="F382" s="372">
        <v>3</v>
      </c>
      <c r="G382" s="373" t="s">
        <v>239</v>
      </c>
      <c r="H382" s="6" t="s">
        <v>272</v>
      </c>
      <c r="I382" s="136" t="s">
        <v>552</v>
      </c>
      <c r="J382" s="136" t="s">
        <v>203</v>
      </c>
      <c r="K382" s="191">
        <v>-2.1278299999999999</v>
      </c>
      <c r="L382" s="191">
        <v>-1.3728063799999999</v>
      </c>
      <c r="M382" s="191">
        <v>1.81399269502295E-2</v>
      </c>
      <c r="N382" s="191">
        <v>-1.46605946421915</v>
      </c>
      <c r="O382" s="191">
        <v>-2.2614031725356099</v>
      </c>
      <c r="P382" s="191">
        <v>3.6729999999999999E-2</v>
      </c>
      <c r="Q382" s="191">
        <v>-0.80637927493084305</v>
      </c>
      <c r="R382" s="191">
        <v>3.4587427043835002E-2</v>
      </c>
      <c r="T382" s="46">
        <v>3</v>
      </c>
      <c r="U382" s="53" t="s">
        <v>239</v>
      </c>
      <c r="V382" s="47" t="s">
        <v>240</v>
      </c>
      <c r="W382" s="47" t="s">
        <v>552</v>
      </c>
      <c r="X382" s="47" t="s">
        <v>203</v>
      </c>
      <c r="Y382" s="58">
        <v>3.1045600000000002</v>
      </c>
      <c r="Z382" s="193">
        <v>0.76736000000000004</v>
      </c>
      <c r="AB382" s="3" t="s">
        <v>526</v>
      </c>
      <c r="AC382" s="83">
        <v>0.5</v>
      </c>
      <c r="AD382" s="3">
        <v>8.1306407300000008E-2</v>
      </c>
      <c r="AE382" s="3" t="s">
        <v>531</v>
      </c>
      <c r="AF382" s="3"/>
      <c r="AG382" s="3"/>
    </row>
    <row r="383" spans="6:33" ht="28.8">
      <c r="F383" s="372">
        <v>3</v>
      </c>
      <c r="G383" s="373" t="s">
        <v>239</v>
      </c>
      <c r="H383" s="6" t="s">
        <v>329</v>
      </c>
      <c r="I383" s="136" t="s">
        <v>552</v>
      </c>
      <c r="J383" s="136" t="s">
        <v>203</v>
      </c>
      <c r="K383" s="191">
        <v>-3.4792200000000002</v>
      </c>
      <c r="L383" s="191">
        <v>0</v>
      </c>
      <c r="M383" s="191">
        <v>-3.0232919690684583</v>
      </c>
      <c r="N383" s="191">
        <v>-1.5885742653418</v>
      </c>
      <c r="O383" s="191">
        <v>-2.529374748105</v>
      </c>
      <c r="P383" s="191">
        <v>0.41447129794550402</v>
      </c>
      <c r="Q383" s="191">
        <v>-0.80956025349591698</v>
      </c>
      <c r="R383" s="191">
        <v>3.7252082665396299E-2</v>
      </c>
      <c r="T383" s="46">
        <v>3</v>
      </c>
      <c r="U383" s="53" t="s">
        <v>239</v>
      </c>
      <c r="V383" s="47" t="s">
        <v>325</v>
      </c>
      <c r="W383" s="47" t="s">
        <v>552</v>
      </c>
      <c r="X383" s="47" t="s">
        <v>203</v>
      </c>
      <c r="Y383" s="58">
        <v>1.66</v>
      </c>
      <c r="Z383" s="193">
        <v>0.79600000000000004</v>
      </c>
      <c r="AB383" s="3"/>
      <c r="AC383" s="3"/>
      <c r="AD383" s="3"/>
      <c r="AE383" s="3"/>
      <c r="AF383" s="3"/>
      <c r="AG383" s="3"/>
    </row>
    <row r="384" spans="6:33">
      <c r="F384" s="372">
        <v>3</v>
      </c>
      <c r="G384" s="373" t="s">
        <v>239</v>
      </c>
      <c r="H384" s="6" t="s">
        <v>271</v>
      </c>
      <c r="I384" s="136" t="s">
        <v>552</v>
      </c>
      <c r="J384" s="136" t="s">
        <v>203</v>
      </c>
      <c r="K384" s="191">
        <v>-3.1045600000000002</v>
      </c>
      <c r="L384" s="191">
        <v>0</v>
      </c>
      <c r="M384" s="191">
        <v>-1.0259035670339192</v>
      </c>
      <c r="N384" s="191">
        <v>-1.5038991018496</v>
      </c>
      <c r="O384" s="191">
        <v>-2.6105509359807</v>
      </c>
      <c r="P384" s="191">
        <v>-0.65152926151439705</v>
      </c>
      <c r="Q384" s="191">
        <v>-0.77163933817139796</v>
      </c>
      <c r="R384" s="191">
        <v>4.0399503832453401E-2</v>
      </c>
      <c r="T384" s="46">
        <v>3</v>
      </c>
      <c r="U384" s="53" t="s">
        <v>256</v>
      </c>
      <c r="V384" s="47" t="s">
        <v>256</v>
      </c>
      <c r="W384" s="47" t="s">
        <v>552</v>
      </c>
      <c r="X384" s="47" t="s">
        <v>203</v>
      </c>
      <c r="Y384" s="58">
        <v>3.3097799999999999</v>
      </c>
      <c r="Z384" s="193">
        <v>1.0068550000000001</v>
      </c>
      <c r="AB384" s="3"/>
      <c r="AC384" s="3"/>
      <c r="AD384" s="3"/>
      <c r="AE384" s="3"/>
      <c r="AF384" s="3"/>
      <c r="AG384" s="3"/>
    </row>
    <row r="385" spans="6:33">
      <c r="F385" s="372">
        <v>3</v>
      </c>
      <c r="G385" s="373" t="s">
        <v>239</v>
      </c>
      <c r="H385" s="6" t="s">
        <v>535</v>
      </c>
      <c r="I385" s="136" t="s">
        <v>552</v>
      </c>
      <c r="J385" s="136" t="s">
        <v>203</v>
      </c>
      <c r="K385" s="191">
        <v>-3.1045600000000002</v>
      </c>
      <c r="L385" s="191">
        <v>0</v>
      </c>
      <c r="M385" s="191">
        <v>-1.0259035670339192</v>
      </c>
      <c r="N385" s="191">
        <v>-1.6125525501704201</v>
      </c>
      <c r="O385" s="191">
        <v>-2.6158035268424502</v>
      </c>
      <c r="P385" s="191">
        <v>-0.85021288760053804</v>
      </c>
      <c r="Q385" s="191">
        <v>-0.85793168628016903</v>
      </c>
      <c r="R385" s="191">
        <v>2.9215875094976099E-2</v>
      </c>
      <c r="T385" s="46">
        <v>3</v>
      </c>
      <c r="U385" s="53" t="s">
        <v>256</v>
      </c>
      <c r="V385" s="47" t="s">
        <v>536</v>
      </c>
      <c r="W385" s="47" t="s">
        <v>552</v>
      </c>
      <c r="X385" s="47" t="s">
        <v>203</v>
      </c>
      <c r="Y385" s="58">
        <v>1.9798800000000001</v>
      </c>
      <c r="Z385" s="193">
        <v>0.72957000000000005</v>
      </c>
      <c r="AB385" s="3"/>
      <c r="AC385" s="3"/>
      <c r="AD385" s="3"/>
      <c r="AE385" s="3"/>
      <c r="AF385" s="3" t="s">
        <v>526</v>
      </c>
      <c r="AG385" s="83">
        <v>0.7</v>
      </c>
    </row>
    <row r="386" spans="6:33">
      <c r="F386" s="372">
        <v>3</v>
      </c>
      <c r="G386" s="373" t="s">
        <v>239</v>
      </c>
      <c r="H386" s="6" t="s">
        <v>259</v>
      </c>
      <c r="I386" s="136" t="s">
        <v>552</v>
      </c>
      <c r="J386" s="136" t="s">
        <v>203</v>
      </c>
      <c r="K386" s="191">
        <v>-2.86965</v>
      </c>
      <c r="L386" s="191">
        <v>0</v>
      </c>
      <c r="M386" s="191">
        <v>-1.0259035670339192</v>
      </c>
      <c r="N386" s="191">
        <v>-1.3276665253781801</v>
      </c>
      <c r="O386" s="191">
        <v>-2.0289072305326199</v>
      </c>
      <c r="P386" s="191">
        <v>-0.38444685255991901</v>
      </c>
      <c r="Q386" s="191">
        <v>-0.69915364782550704</v>
      </c>
      <c r="R386" s="191">
        <v>2.8423287432432599E-2</v>
      </c>
      <c r="T386" s="46">
        <v>3</v>
      </c>
      <c r="U386" s="53" t="s">
        <v>256</v>
      </c>
      <c r="V386" s="47" t="s">
        <v>257</v>
      </c>
      <c r="W386" s="47" t="s">
        <v>552</v>
      </c>
      <c r="X386" s="47" t="s">
        <v>203</v>
      </c>
      <c r="Y386" s="58">
        <v>1.9798800000000001</v>
      </c>
      <c r="Z386" s="193">
        <v>0.46493000000000001</v>
      </c>
      <c r="AB386" s="3"/>
      <c r="AC386" s="3"/>
      <c r="AD386" s="3"/>
      <c r="AE386" s="3"/>
      <c r="AF386" s="3" t="s">
        <v>526</v>
      </c>
      <c r="AG386" s="83">
        <v>0.65</v>
      </c>
    </row>
    <row r="387" spans="6:33">
      <c r="F387" s="370">
        <v>3</v>
      </c>
      <c r="G387" s="137" t="s">
        <v>239</v>
      </c>
      <c r="H387" s="136" t="s">
        <v>334</v>
      </c>
      <c r="I387" s="136" t="s">
        <v>552</v>
      </c>
      <c r="J387" s="136" t="s">
        <v>203</v>
      </c>
      <c r="K387" s="191">
        <v>-2.86965</v>
      </c>
      <c r="L387" s="191">
        <v>0</v>
      </c>
      <c r="M387" s="191">
        <v>-1.0259035670339192</v>
      </c>
      <c r="N387" s="191">
        <v>-1.73808971123668</v>
      </c>
      <c r="O387" s="191">
        <v>-2.5030750757510498</v>
      </c>
      <c r="P387" s="191">
        <v>-0.33194863615908099</v>
      </c>
      <c r="Q387" s="191">
        <v>-1.01965750869267</v>
      </c>
      <c r="R387" s="191">
        <v>2.6390224713508399E-2</v>
      </c>
      <c r="T387" s="46">
        <v>3</v>
      </c>
      <c r="U387" s="53" t="s">
        <v>256</v>
      </c>
      <c r="V387" s="47" t="s">
        <v>537</v>
      </c>
      <c r="W387" s="47" t="s">
        <v>552</v>
      </c>
      <c r="X387" s="47" t="s">
        <v>203</v>
      </c>
      <c r="Y387" s="58">
        <v>5.0082800000000001</v>
      </c>
      <c r="Z387" s="193">
        <v>1.54878</v>
      </c>
      <c r="AB387" s="3"/>
      <c r="AC387" s="3"/>
      <c r="AD387" s="3"/>
      <c r="AE387" s="3"/>
      <c r="AF387" s="3"/>
      <c r="AG387" s="3"/>
    </row>
    <row r="388" spans="6:33">
      <c r="F388" s="370">
        <v>3</v>
      </c>
      <c r="G388" s="137" t="s">
        <v>239</v>
      </c>
      <c r="H388" s="136" t="s">
        <v>240</v>
      </c>
      <c r="I388" s="136" t="s">
        <v>552</v>
      </c>
      <c r="J388" s="136" t="s">
        <v>203</v>
      </c>
      <c r="K388" s="191">
        <v>-3.1045600000000002</v>
      </c>
      <c r="L388" s="191">
        <v>0</v>
      </c>
      <c r="M388" s="191">
        <v>0</v>
      </c>
      <c r="N388" s="191">
        <v>-1.76684223712483</v>
      </c>
      <c r="O388" s="191">
        <v>-2.59677628032569</v>
      </c>
      <c r="P388" s="191">
        <v>-0.66917552633073896</v>
      </c>
      <c r="Q388" s="191">
        <v>0.27629902332726303</v>
      </c>
      <c r="R388" s="191">
        <v>2.3670137230060702</v>
      </c>
      <c r="T388" s="46">
        <v>3</v>
      </c>
      <c r="U388" s="53" t="s">
        <v>256</v>
      </c>
      <c r="V388" s="47" t="s">
        <v>538</v>
      </c>
      <c r="W388" s="47" t="s">
        <v>552</v>
      </c>
      <c r="X388" s="47" t="s">
        <v>203</v>
      </c>
      <c r="Y388" s="58">
        <v>4.6396800000000002</v>
      </c>
      <c r="Z388" s="193">
        <v>1.54878</v>
      </c>
      <c r="AB388" s="3"/>
      <c r="AC388" s="3"/>
      <c r="AD388" s="3"/>
      <c r="AE388" s="3"/>
      <c r="AF388" s="3"/>
      <c r="AG388" s="3"/>
    </row>
    <row r="389" spans="6:33" ht="28.8">
      <c r="F389" s="370">
        <v>3</v>
      </c>
      <c r="G389" s="137" t="s">
        <v>239</v>
      </c>
      <c r="H389" s="136" t="s">
        <v>325</v>
      </c>
      <c r="I389" s="136" t="s">
        <v>552</v>
      </c>
      <c r="J389" s="136" t="s">
        <v>203</v>
      </c>
      <c r="K389" s="191">
        <v>-1.66</v>
      </c>
      <c r="L389" s="191">
        <v>0</v>
      </c>
      <c r="M389" s="191">
        <v>0</v>
      </c>
      <c r="N389" s="191">
        <v>-1.6286344906372801</v>
      </c>
      <c r="O389" s="191">
        <v>-2.3972313350924299</v>
      </c>
      <c r="P389" s="191">
        <v>-0.66697991340315199</v>
      </c>
      <c r="Q389" s="191">
        <v>-0.942225030340478</v>
      </c>
      <c r="R389" s="191">
        <v>2.74731001572785E-2</v>
      </c>
      <c r="T389" s="46">
        <v>3</v>
      </c>
      <c r="U389" s="53" t="s">
        <v>256</v>
      </c>
      <c r="V389" s="47" t="s">
        <v>258</v>
      </c>
      <c r="W389" s="47" t="s">
        <v>552</v>
      </c>
      <c r="X389" s="47" t="s">
        <v>203</v>
      </c>
      <c r="Y389" s="58">
        <v>4.6396800000000002</v>
      </c>
      <c r="Z389" s="193">
        <v>1.54878</v>
      </c>
      <c r="AB389" s="3" t="s">
        <v>526</v>
      </c>
      <c r="AC389" s="125">
        <v>0.64600000000000002</v>
      </c>
      <c r="AD389" s="3">
        <v>0</v>
      </c>
      <c r="AE389" s="3"/>
      <c r="AF389" s="3"/>
      <c r="AG389" s="3"/>
    </row>
    <row r="390" spans="6:33">
      <c r="F390" s="370">
        <v>3</v>
      </c>
      <c r="G390" s="137" t="s">
        <v>256</v>
      </c>
      <c r="H390" s="136" t="s">
        <v>10183</v>
      </c>
      <c r="I390" s="136" t="s">
        <v>552</v>
      </c>
      <c r="J390" s="136" t="s">
        <v>203</v>
      </c>
      <c r="K390" s="191">
        <v>-3.3097799999999999</v>
      </c>
      <c r="L390" s="191">
        <v>-3.2267017926999997</v>
      </c>
      <c r="M390" s="191">
        <v>-13.332240193295439</v>
      </c>
      <c r="N390" s="191">
        <v>0</v>
      </c>
      <c r="O390" s="191">
        <v>0</v>
      </c>
      <c r="P390" s="191">
        <v>2.5951436501633351E-2</v>
      </c>
      <c r="Q390" s="191">
        <v>-0.1080978425299278</v>
      </c>
      <c r="R390" s="191">
        <v>-8.9548588203676061E-2</v>
      </c>
      <c r="T390" s="46">
        <v>3</v>
      </c>
      <c r="U390" s="53" t="s">
        <v>247</v>
      </c>
      <c r="V390" s="47" t="s">
        <v>247</v>
      </c>
      <c r="W390" s="47" t="s">
        <v>552</v>
      </c>
      <c r="X390" s="47" t="s">
        <v>203</v>
      </c>
      <c r="Y390" s="58">
        <v>1.0505633333333335</v>
      </c>
      <c r="Z390" s="193">
        <v>0.89563000000000004</v>
      </c>
      <c r="AB390" s="3" t="s">
        <v>526</v>
      </c>
      <c r="AC390" s="125">
        <v>0.72499999999999998</v>
      </c>
      <c r="AD390" s="3">
        <v>0</v>
      </c>
      <c r="AE390" s="3"/>
      <c r="AF390" s="3"/>
      <c r="AG390" s="3"/>
    </row>
    <row r="391" spans="6:33">
      <c r="F391" s="370">
        <v>3</v>
      </c>
      <c r="G391" s="137" t="s">
        <v>256</v>
      </c>
      <c r="H391" s="136" t="s">
        <v>536</v>
      </c>
      <c r="I391" s="136" t="s">
        <v>552</v>
      </c>
      <c r="J391" s="136" t="s">
        <v>203</v>
      </c>
      <c r="K391" s="191">
        <v>-1.9798800000000001</v>
      </c>
      <c r="L391" s="191">
        <v>-1.8968017927</v>
      </c>
      <c r="M391" s="191">
        <v>-2.3565037764709471</v>
      </c>
      <c r="N391" s="191">
        <v>0</v>
      </c>
      <c r="O391" s="191">
        <v>0</v>
      </c>
      <c r="P391" s="191">
        <v>2.6042873003266701E-2</v>
      </c>
      <c r="Q391" s="191">
        <v>-0.15958393285442499</v>
      </c>
      <c r="R391" s="191">
        <v>-0.13071917043242301</v>
      </c>
      <c r="T391" s="46">
        <v>3</v>
      </c>
      <c r="U391" s="53" t="s">
        <v>247</v>
      </c>
      <c r="V391" s="47" t="s">
        <v>248</v>
      </c>
      <c r="W391" s="47" t="s">
        <v>552</v>
      </c>
      <c r="X391" s="47" t="s">
        <v>203</v>
      </c>
      <c r="Y391" s="58">
        <v>1.0606100000000001</v>
      </c>
      <c r="Z391" s="193">
        <v>0.89563000000000004</v>
      </c>
      <c r="AB391" s="3" t="s">
        <v>526</v>
      </c>
      <c r="AC391" s="125">
        <v>0.64600000000000002</v>
      </c>
      <c r="AD391" s="3">
        <v>0</v>
      </c>
      <c r="AE391" s="3"/>
      <c r="AF391" s="3" t="s">
        <v>526</v>
      </c>
      <c r="AG391" s="83">
        <v>0.5</v>
      </c>
    </row>
    <row r="392" spans="6:33">
      <c r="F392" s="370">
        <v>3</v>
      </c>
      <c r="G392" s="137" t="s">
        <v>256</v>
      </c>
      <c r="H392" s="136" t="s">
        <v>257</v>
      </c>
      <c r="I392" s="136" t="s">
        <v>552</v>
      </c>
      <c r="J392" s="136" t="s">
        <v>203</v>
      </c>
      <c r="K392" s="191">
        <v>-1.9798800000000001</v>
      </c>
      <c r="L392" s="191">
        <v>-1.8968017927</v>
      </c>
      <c r="M392" s="191">
        <v>-2.3565037764709471</v>
      </c>
      <c r="N392" s="191">
        <v>0</v>
      </c>
      <c r="O392" s="191">
        <v>0</v>
      </c>
      <c r="P392" s="191">
        <v>2.6042873003266701E-2</v>
      </c>
      <c r="Q392" s="191">
        <v>-0.15958393285442499</v>
      </c>
      <c r="R392" s="191">
        <v>-0.13071917043242301</v>
      </c>
      <c r="T392" s="46">
        <v>3</v>
      </c>
      <c r="U392" s="53" t="s">
        <v>247</v>
      </c>
      <c r="V392" s="47" t="s">
        <v>263</v>
      </c>
      <c r="W392" s="47" t="s">
        <v>552</v>
      </c>
      <c r="X392" s="47" t="s">
        <v>203</v>
      </c>
      <c r="Y392" s="58">
        <v>1.0341199999999999</v>
      </c>
      <c r="Z392" s="193">
        <v>0.89563000000000004</v>
      </c>
      <c r="AB392" s="3" t="s">
        <v>526</v>
      </c>
      <c r="AC392" s="125">
        <v>0.72499999999999998</v>
      </c>
      <c r="AD392" s="3">
        <v>0.14482945764999999</v>
      </c>
      <c r="AE392" s="3" t="s">
        <v>541</v>
      </c>
      <c r="AF392" s="3"/>
      <c r="AG392" s="3"/>
    </row>
    <row r="393" spans="6:33">
      <c r="F393" s="370">
        <v>3</v>
      </c>
      <c r="G393" s="137" t="s">
        <v>256</v>
      </c>
      <c r="H393" s="136" t="s">
        <v>537</v>
      </c>
      <c r="I393" s="136" t="s">
        <v>552</v>
      </c>
      <c r="J393" s="136" t="s">
        <v>203</v>
      </c>
      <c r="K393" s="191">
        <v>-5.0082800000000001</v>
      </c>
      <c r="L393" s="191">
        <v>-4.9252017927000002</v>
      </c>
      <c r="M393" s="191">
        <v>-5.2843427411401773</v>
      </c>
      <c r="N393" s="191">
        <v>0</v>
      </c>
      <c r="O393" s="191">
        <v>0</v>
      </c>
      <c r="P393" s="191">
        <v>2.5860000000000001E-2</v>
      </c>
      <c r="Q393" s="191">
        <v>-5.6611752205430597E-2</v>
      </c>
      <c r="R393" s="191">
        <v>-4.8378005974929097E-2</v>
      </c>
      <c r="T393" s="46">
        <v>3</v>
      </c>
      <c r="U393" s="53" t="s">
        <v>247</v>
      </c>
      <c r="V393" s="47" t="s">
        <v>539</v>
      </c>
      <c r="W393" s="47" t="s">
        <v>552</v>
      </c>
      <c r="X393" s="47" t="s">
        <v>203</v>
      </c>
      <c r="Y393" s="58">
        <v>1.0569599999999999</v>
      </c>
      <c r="Z393" s="193">
        <v>0.89563000000000004</v>
      </c>
      <c r="AB393" s="3"/>
      <c r="AC393" s="3"/>
      <c r="AD393" s="3"/>
      <c r="AE393" s="3"/>
      <c r="AF393" s="3"/>
      <c r="AG393" s="3"/>
    </row>
    <row r="394" spans="6:33">
      <c r="F394" s="370">
        <v>3</v>
      </c>
      <c r="G394" s="137" t="s">
        <v>256</v>
      </c>
      <c r="H394" s="136" t="s">
        <v>538</v>
      </c>
      <c r="I394" s="136" t="s">
        <v>552</v>
      </c>
      <c r="J394" s="136" t="s">
        <v>203</v>
      </c>
      <c r="K394" s="191">
        <v>-4.6396800000000002</v>
      </c>
      <c r="L394" s="191">
        <v>0</v>
      </c>
      <c r="M394" s="191">
        <v>0</v>
      </c>
      <c r="N394" s="191">
        <v>0</v>
      </c>
      <c r="O394" s="191">
        <v>0</v>
      </c>
      <c r="P394" s="191">
        <v>2.5860000000000001E-2</v>
      </c>
      <c r="Q394" s="191">
        <v>-5.2731480993355298E-2</v>
      </c>
      <c r="R394" s="191">
        <v>-4.8378005974929202E-2</v>
      </c>
      <c r="T394" s="46">
        <v>3</v>
      </c>
      <c r="U394" s="53" t="s">
        <v>247</v>
      </c>
      <c r="V394" s="47" t="s">
        <v>270</v>
      </c>
      <c r="W394" s="47" t="s">
        <v>552</v>
      </c>
      <c r="X394" s="47" t="s">
        <v>203</v>
      </c>
      <c r="Y394" s="58">
        <v>1.0505633333333335</v>
      </c>
      <c r="Z394" s="193">
        <v>0.89563000000000004</v>
      </c>
      <c r="AB394" s="3"/>
      <c r="AC394" s="3"/>
      <c r="AD394" s="3"/>
      <c r="AE394" s="3"/>
      <c r="AF394" s="3"/>
      <c r="AG394" s="3"/>
    </row>
    <row r="395" spans="6:33">
      <c r="F395" s="370">
        <v>3</v>
      </c>
      <c r="G395" s="137" t="s">
        <v>256</v>
      </c>
      <c r="H395" s="136" t="s">
        <v>258</v>
      </c>
      <c r="I395" s="136" t="s">
        <v>552</v>
      </c>
      <c r="J395" s="136" t="s">
        <v>203</v>
      </c>
      <c r="K395" s="191">
        <v>-4.6396800000000002</v>
      </c>
      <c r="L395" s="191">
        <v>-4.5566017927000004</v>
      </c>
      <c r="M395" s="191">
        <v>-5.1225771470236534</v>
      </c>
      <c r="N395" s="191">
        <v>0</v>
      </c>
      <c r="O395" s="191">
        <v>0</v>
      </c>
      <c r="P395" s="191">
        <v>2.5860000000000001E-2</v>
      </c>
      <c r="Q395" s="191">
        <v>-5.6611752205430597E-2</v>
      </c>
      <c r="R395" s="191">
        <v>-4.8378005974929202E-2</v>
      </c>
      <c r="T395" s="46">
        <v>3</v>
      </c>
      <c r="U395" s="53" t="s">
        <v>247</v>
      </c>
      <c r="V395" s="47" t="s">
        <v>540</v>
      </c>
      <c r="W395" s="47" t="s">
        <v>552</v>
      </c>
      <c r="X395" s="47" t="s">
        <v>203</v>
      </c>
      <c r="Y395" s="58">
        <v>1.0473650000000001</v>
      </c>
      <c r="Z395" s="193">
        <v>0.89563000000000004</v>
      </c>
      <c r="AB395" s="3"/>
      <c r="AC395" s="3"/>
      <c r="AD395" s="3"/>
      <c r="AE395" s="3"/>
      <c r="AF395" s="3"/>
      <c r="AG395" s="3"/>
    </row>
    <row r="396" spans="6:33">
      <c r="F396" s="370">
        <v>3</v>
      </c>
      <c r="G396" s="137" t="s">
        <v>247</v>
      </c>
      <c r="H396" s="136" t="s">
        <v>247</v>
      </c>
      <c r="I396" s="136" t="s">
        <v>552</v>
      </c>
      <c r="J396" s="136" t="s">
        <v>203</v>
      </c>
      <c r="K396" s="191">
        <v>-1.0505633333333335</v>
      </c>
      <c r="L396" s="191">
        <v>-0.96748512603333348</v>
      </c>
      <c r="M396" s="191">
        <v>-0.32015017608359242</v>
      </c>
      <c r="N396" s="191">
        <v>0</v>
      </c>
      <c r="O396" s="191">
        <v>0</v>
      </c>
      <c r="P396" s="191">
        <v>2.60428875296266E-2</v>
      </c>
      <c r="Q396" s="191">
        <v>2.89297378114915E-2</v>
      </c>
      <c r="R396" s="191">
        <v>4.8936183219078298E-2</v>
      </c>
      <c r="T396" s="46">
        <v>3</v>
      </c>
      <c r="U396" s="53" t="s">
        <v>529</v>
      </c>
      <c r="V396" s="47" t="s">
        <v>260</v>
      </c>
      <c r="W396" s="47" t="s">
        <v>552</v>
      </c>
      <c r="X396" s="47" t="s">
        <v>203</v>
      </c>
      <c r="Y396" s="58">
        <v>4.0364225925925927</v>
      </c>
      <c r="Z396" s="193">
        <v>1.3856655555555555</v>
      </c>
      <c r="AB396" s="3" t="s">
        <v>526</v>
      </c>
      <c r="AC396" s="125">
        <v>0.77500000000000002</v>
      </c>
      <c r="AD396" s="3">
        <v>0</v>
      </c>
      <c r="AE396" s="3" t="s">
        <v>527</v>
      </c>
      <c r="AF396" s="3"/>
      <c r="AG396" s="3"/>
    </row>
    <row r="397" spans="6:33">
      <c r="F397" s="370">
        <v>3</v>
      </c>
      <c r="G397" s="137" t="s">
        <v>247</v>
      </c>
      <c r="H397" s="136" t="s">
        <v>248</v>
      </c>
      <c r="I397" s="136" t="s">
        <v>552</v>
      </c>
      <c r="J397" s="136" t="s">
        <v>203</v>
      </c>
      <c r="K397" s="191">
        <v>-1.0606100000000001</v>
      </c>
      <c r="L397" s="191">
        <v>-0.97753179270000001</v>
      </c>
      <c r="M397" s="191">
        <v>-0.16783647372309501</v>
      </c>
      <c r="N397" s="191">
        <v>0</v>
      </c>
      <c r="O397" s="191">
        <v>0</v>
      </c>
      <c r="P397" s="191">
        <v>2.6042893584184702E-2</v>
      </c>
      <c r="Q397" s="191">
        <v>3.3109226842325201E-2</v>
      </c>
      <c r="R397" s="191">
        <v>4.8934999613471301E-2</v>
      </c>
      <c r="T397" s="46">
        <v>3</v>
      </c>
      <c r="U397" s="53" t="s">
        <v>237</v>
      </c>
      <c r="V397" s="47" t="s">
        <v>237</v>
      </c>
      <c r="W397" s="47" t="s">
        <v>552</v>
      </c>
      <c r="X397" s="47" t="s">
        <v>203</v>
      </c>
      <c r="Y397" s="58">
        <v>2.8533815875203707</v>
      </c>
      <c r="Z397" s="193">
        <v>1.0711602172222223</v>
      </c>
      <c r="AB397" s="3" t="s">
        <v>526</v>
      </c>
      <c r="AC397" s="125">
        <v>0.77500000000000002</v>
      </c>
      <c r="AD397" s="3">
        <v>0</v>
      </c>
      <c r="AE397" s="3" t="s">
        <v>527</v>
      </c>
      <c r="AF397" s="3"/>
      <c r="AG397" s="3"/>
    </row>
    <row r="398" spans="6:33">
      <c r="F398" s="370">
        <v>3</v>
      </c>
      <c r="G398" s="137" t="s">
        <v>247</v>
      </c>
      <c r="H398" s="136" t="s">
        <v>263</v>
      </c>
      <c r="I398" s="136" t="s">
        <v>552</v>
      </c>
      <c r="J398" s="136" t="s">
        <v>203</v>
      </c>
      <c r="K398" s="191">
        <v>-1.0341199999999999</v>
      </c>
      <c r="L398" s="191">
        <v>-0.95104179269999989</v>
      </c>
      <c r="M398" s="191">
        <v>-0.16783647372309501</v>
      </c>
      <c r="N398" s="191">
        <v>0</v>
      </c>
      <c r="O398" s="191">
        <v>0</v>
      </c>
      <c r="P398" s="191">
        <v>2.6042897336766301E-2</v>
      </c>
      <c r="Q398" s="191">
        <v>3.5614574402337999E-2</v>
      </c>
      <c r="R398" s="191">
        <v>4.8935075181609701E-2</v>
      </c>
      <c r="T398" s="46">
        <v>3</v>
      </c>
      <c r="U398" s="53" t="s">
        <v>237</v>
      </c>
      <c r="V398" s="47" t="s">
        <v>246</v>
      </c>
      <c r="W398" s="47" t="s">
        <v>552</v>
      </c>
      <c r="X398" s="47" t="s">
        <v>203</v>
      </c>
      <c r="Y398" s="58">
        <v>7.3412433500000009</v>
      </c>
      <c r="Z398" s="193">
        <v>0.66842500000000005</v>
      </c>
      <c r="AB398" s="3" t="s">
        <v>526</v>
      </c>
      <c r="AC398" s="125">
        <v>0.77500000000000002</v>
      </c>
      <c r="AD398" s="3">
        <v>0</v>
      </c>
      <c r="AE398" s="3" t="s">
        <v>527</v>
      </c>
      <c r="AF398" s="3"/>
      <c r="AG398" s="3"/>
    </row>
    <row r="399" spans="6:33">
      <c r="F399" s="370">
        <v>3</v>
      </c>
      <c r="G399" s="137" t="s">
        <v>247</v>
      </c>
      <c r="H399" s="136" t="s">
        <v>539</v>
      </c>
      <c r="I399" s="136" t="s">
        <v>552</v>
      </c>
      <c r="J399" s="136" t="s">
        <v>203</v>
      </c>
      <c r="K399" s="191">
        <v>-1.0569599999999999</v>
      </c>
      <c r="L399" s="191">
        <v>-0.97388179269999986</v>
      </c>
      <c r="M399" s="191">
        <v>-0.17313657289329801</v>
      </c>
      <c r="N399" s="191">
        <v>0</v>
      </c>
      <c r="O399" s="191">
        <v>0</v>
      </c>
      <c r="P399" s="191">
        <v>2.60428777320173E-2</v>
      </c>
      <c r="Q399" s="191">
        <v>2.2198094085999199E-2</v>
      </c>
      <c r="R399" s="191">
        <v>4.8937457971748297E-2</v>
      </c>
      <c r="T399" s="46">
        <v>3</v>
      </c>
      <c r="U399" s="53" t="s">
        <v>237</v>
      </c>
      <c r="V399" s="28" t="s">
        <v>10162</v>
      </c>
      <c r="W399" s="47" t="s">
        <v>552</v>
      </c>
      <c r="X399" s="47" t="s">
        <v>203</v>
      </c>
      <c r="Y399" s="58">
        <v>2.8533815875203707</v>
      </c>
      <c r="Z399" s="193">
        <v>1.0711602172222223</v>
      </c>
      <c r="AB399" s="3" t="s">
        <v>526</v>
      </c>
      <c r="AC399" s="83">
        <v>0.5</v>
      </c>
      <c r="AD399" s="3">
        <v>0</v>
      </c>
      <c r="AE399" s="3" t="s">
        <v>528</v>
      </c>
      <c r="AF399" s="3"/>
      <c r="AG399" s="3"/>
    </row>
    <row r="400" spans="6:33">
      <c r="F400" s="370">
        <v>3</v>
      </c>
      <c r="G400" s="137" t="s">
        <v>247</v>
      </c>
      <c r="H400" s="136" t="s">
        <v>270</v>
      </c>
      <c r="I400" s="136" t="s">
        <v>552</v>
      </c>
      <c r="J400" s="136" t="s">
        <v>203</v>
      </c>
      <c r="K400" s="191">
        <v>-1.0505633333333335</v>
      </c>
      <c r="L400" s="191">
        <v>-0.96748512603333348</v>
      </c>
      <c r="M400" s="191">
        <v>-0.32015017608359242</v>
      </c>
      <c r="N400" s="191">
        <v>0</v>
      </c>
      <c r="O400" s="191">
        <v>0</v>
      </c>
      <c r="P400" s="191">
        <v>2.60428875296266E-2</v>
      </c>
      <c r="Q400" s="191">
        <v>2.89297378114915E-2</v>
      </c>
      <c r="R400" s="191">
        <v>4.8936183219078298E-2</v>
      </c>
      <c r="T400" s="46">
        <v>3</v>
      </c>
      <c r="U400" s="53" t="s">
        <v>252</v>
      </c>
      <c r="V400" s="28" t="s">
        <v>333</v>
      </c>
      <c r="W400" s="47" t="s">
        <v>552</v>
      </c>
      <c r="X400" s="47" t="s">
        <v>203</v>
      </c>
      <c r="Y400" s="58">
        <v>2.0953266666666663</v>
      </c>
      <c r="Z400" s="193">
        <v>1.77911</v>
      </c>
      <c r="AB400" s="3" t="s">
        <v>526</v>
      </c>
      <c r="AC400" s="83">
        <v>0.5</v>
      </c>
      <c r="AD400" s="3">
        <v>0</v>
      </c>
      <c r="AE400" s="3" t="s">
        <v>528</v>
      </c>
      <c r="AF400" s="3"/>
      <c r="AG400" s="3"/>
    </row>
    <row r="401" spans="6:36">
      <c r="F401" s="370">
        <v>3</v>
      </c>
      <c r="G401" s="137" t="s">
        <v>247</v>
      </c>
      <c r="H401" s="136" t="s">
        <v>540</v>
      </c>
      <c r="I401" s="136" t="s">
        <v>552</v>
      </c>
      <c r="J401" s="136" t="s">
        <v>203</v>
      </c>
      <c r="K401" s="191">
        <v>-1.0473650000000001</v>
      </c>
      <c r="L401" s="191">
        <v>-0.96428679270000006</v>
      </c>
      <c r="M401" s="191">
        <v>0</v>
      </c>
      <c r="N401" s="191">
        <v>0</v>
      </c>
      <c r="O401" s="191">
        <v>0</v>
      </c>
      <c r="P401" s="191">
        <v>2.6042870829753598E-2</v>
      </c>
      <c r="Q401" s="191">
        <v>2.4702921490784801E-2</v>
      </c>
      <c r="R401" s="191">
        <v>4.8937013384659597E-2</v>
      </c>
      <c r="T401" s="46">
        <v>3</v>
      </c>
      <c r="U401" s="53" t="s">
        <v>239</v>
      </c>
      <c r="V401" s="3" t="s">
        <v>542</v>
      </c>
      <c r="W401" s="47" t="s">
        <v>552</v>
      </c>
      <c r="X401" s="47" t="s">
        <v>203</v>
      </c>
      <c r="Y401" s="58">
        <v>2.6644477777777777</v>
      </c>
      <c r="Z401" s="193">
        <v>0.64099666666666666</v>
      </c>
      <c r="AB401" s="3"/>
      <c r="AC401" s="3"/>
      <c r="AD401" s="3"/>
      <c r="AE401" s="3"/>
      <c r="AF401" s="3"/>
      <c r="AG401" s="3"/>
    </row>
    <row r="402" spans="6:36">
      <c r="F402" s="370">
        <v>3</v>
      </c>
      <c r="G402" s="137" t="s">
        <v>261</v>
      </c>
      <c r="H402" s="136" t="s">
        <v>260</v>
      </c>
      <c r="I402" s="136" t="s">
        <v>552</v>
      </c>
      <c r="J402" s="136" t="s">
        <v>203</v>
      </c>
      <c r="K402" s="191">
        <v>-4.0364225925925927</v>
      </c>
      <c r="L402" s="191">
        <v>0</v>
      </c>
      <c r="M402" s="191">
        <v>0</v>
      </c>
      <c r="N402" s="191">
        <v>-0.50268967868134895</v>
      </c>
      <c r="O402" s="191">
        <v>-0.86800826709700496</v>
      </c>
      <c r="P402" s="191">
        <v>-0.17357286847922601</v>
      </c>
      <c r="Q402" s="191">
        <v>-0.27119781115654301</v>
      </c>
      <c r="R402" s="191">
        <v>2.7532513622578698E-2</v>
      </c>
      <c r="T402" s="46">
        <v>3</v>
      </c>
      <c r="U402" s="53" t="s">
        <v>237</v>
      </c>
      <c r="V402" s="3" t="s">
        <v>238</v>
      </c>
      <c r="W402" s="47" t="s">
        <v>552</v>
      </c>
      <c r="X402" s="47" t="s">
        <v>203</v>
      </c>
      <c r="Y402" s="58">
        <v>2.7046544444444445</v>
      </c>
      <c r="Z402" s="193">
        <v>1.2161291666666667</v>
      </c>
      <c r="AB402" s="3" t="s">
        <v>526</v>
      </c>
      <c r="AC402" s="125">
        <v>0.77500000000000002</v>
      </c>
      <c r="AD402" s="3">
        <v>8.1306407300000008E-2</v>
      </c>
      <c r="AE402" s="3" t="s">
        <v>531</v>
      </c>
      <c r="AF402" s="3" t="s">
        <v>526</v>
      </c>
      <c r="AG402" s="83">
        <v>0.85</v>
      </c>
    </row>
    <row r="403" spans="6:36">
      <c r="F403" s="370">
        <v>3</v>
      </c>
      <c r="G403" s="137" t="s">
        <v>10157</v>
      </c>
      <c r="H403" s="136" t="s">
        <v>10157</v>
      </c>
      <c r="I403" s="136" t="s">
        <v>552</v>
      </c>
      <c r="J403" s="136" t="s">
        <v>203</v>
      </c>
      <c r="K403" s="191">
        <v>-2.8533815875203707</v>
      </c>
      <c r="L403" s="191">
        <v>-1.4249189937601854</v>
      </c>
      <c r="M403" s="191">
        <v>0</v>
      </c>
      <c r="N403" s="191">
        <v>0</v>
      </c>
      <c r="O403" s="191">
        <v>0</v>
      </c>
      <c r="P403" s="191">
        <v>-0.47372783008290564</v>
      </c>
      <c r="Q403" s="191">
        <v>-0.60541892774296602</v>
      </c>
      <c r="R403" s="191">
        <v>2.7971221813722445E-2</v>
      </c>
      <c r="T403" s="46">
        <v>3</v>
      </c>
      <c r="U403" s="53" t="s">
        <v>264</v>
      </c>
      <c r="V403" s="3" t="s">
        <v>264</v>
      </c>
      <c r="W403" s="47" t="s">
        <v>552</v>
      </c>
      <c r="X403" s="47" t="s">
        <v>203</v>
      </c>
      <c r="Y403" s="58">
        <v>1.9287117500000002</v>
      </c>
      <c r="Z403" s="193">
        <v>0.467055</v>
      </c>
      <c r="AB403" s="3" t="s">
        <v>526</v>
      </c>
      <c r="AC403" s="125">
        <v>0.77500000000000002</v>
      </c>
      <c r="AD403" s="3">
        <v>8.1306407300000008E-2</v>
      </c>
      <c r="AE403" s="3" t="s">
        <v>531</v>
      </c>
      <c r="AF403" s="3" t="s">
        <v>526</v>
      </c>
      <c r="AG403" s="83">
        <v>0.7</v>
      </c>
    </row>
    <row r="404" spans="6:36">
      <c r="F404" s="370">
        <v>3</v>
      </c>
      <c r="G404" s="137" t="s">
        <v>10157</v>
      </c>
      <c r="H404" s="136" t="s">
        <v>246</v>
      </c>
      <c r="I404" s="136" t="s">
        <v>552</v>
      </c>
      <c r="J404" s="136" t="s">
        <v>203</v>
      </c>
      <c r="K404" s="191">
        <v>-7.3412433500000009</v>
      </c>
      <c r="L404" s="191">
        <v>0</v>
      </c>
      <c r="M404" s="191">
        <v>0</v>
      </c>
      <c r="N404" s="191">
        <v>0</v>
      </c>
      <c r="O404" s="191">
        <v>0</v>
      </c>
      <c r="P404" s="191">
        <v>2.6042922296619801E-2</v>
      </c>
      <c r="Q404" s="191">
        <v>4.0984842545202502E-2</v>
      </c>
      <c r="R404" s="191">
        <v>4.8934666491893701E-2</v>
      </c>
      <c r="T404" s="46">
        <v>3</v>
      </c>
      <c r="U404" s="53" t="s">
        <v>264</v>
      </c>
      <c r="V404" s="3" t="s">
        <v>336</v>
      </c>
      <c r="W404" s="47" t="s">
        <v>552</v>
      </c>
      <c r="X404" s="47" t="s">
        <v>203</v>
      </c>
      <c r="Y404" s="58">
        <v>0.76351350000000007</v>
      </c>
      <c r="Z404" s="193">
        <v>0.43603999999999998</v>
      </c>
      <c r="AB404" s="3"/>
      <c r="AC404" s="3"/>
      <c r="AD404" s="3"/>
      <c r="AE404" s="3"/>
      <c r="AF404" s="3" t="s">
        <v>526</v>
      </c>
      <c r="AG404" s="83">
        <v>0.8</v>
      </c>
    </row>
    <row r="405" spans="6:36" ht="28.8">
      <c r="F405" s="370">
        <v>3</v>
      </c>
      <c r="G405" s="137" t="s">
        <v>10157</v>
      </c>
      <c r="H405" s="136" t="s">
        <v>10162</v>
      </c>
      <c r="I405" s="136" t="s">
        <v>552</v>
      </c>
      <c r="J405" s="136" t="s">
        <v>203</v>
      </c>
      <c r="K405" s="191">
        <v>-2.8533815875203707</v>
      </c>
      <c r="L405" s="191">
        <v>0</v>
      </c>
      <c r="M405" s="191">
        <v>0</v>
      </c>
      <c r="N405" s="191">
        <v>-1.0281071311249455</v>
      </c>
      <c r="O405" s="191">
        <v>-1.602483635678982</v>
      </c>
      <c r="P405" s="191">
        <v>-0.47372783008290564</v>
      </c>
      <c r="Q405" s="191">
        <v>-0.60541892774296602</v>
      </c>
      <c r="R405" s="191">
        <v>2.7971221813722445E-2</v>
      </c>
      <c r="T405" s="46">
        <v>3</v>
      </c>
      <c r="U405" s="53" t="s">
        <v>242</v>
      </c>
      <c r="V405" s="3" t="s">
        <v>251</v>
      </c>
      <c r="W405" s="47" t="s">
        <v>552</v>
      </c>
      <c r="X405" s="47" t="s">
        <v>203</v>
      </c>
      <c r="Y405" s="58">
        <v>4.9218200000000003</v>
      </c>
      <c r="Z405" s="193">
        <v>0.15096000000000001</v>
      </c>
      <c r="AB405" s="3" t="s">
        <v>526</v>
      </c>
      <c r="AC405" s="125">
        <v>0.77500000000000002</v>
      </c>
      <c r="AD405" s="3">
        <v>8.1306407300000008E-2</v>
      </c>
      <c r="AE405" s="3" t="s">
        <v>531</v>
      </c>
      <c r="AF405" s="3" t="s">
        <v>526</v>
      </c>
      <c r="AG405" s="83">
        <v>0.7</v>
      </c>
    </row>
    <row r="406" spans="6:36">
      <c r="F406" s="370">
        <v>3</v>
      </c>
      <c r="G406" s="137" t="s">
        <v>252</v>
      </c>
      <c r="H406" s="136" t="s">
        <v>333</v>
      </c>
      <c r="I406" s="136" t="s">
        <v>552</v>
      </c>
      <c r="J406" s="136" t="s">
        <v>203</v>
      </c>
      <c r="K406" s="191">
        <v>-2.0953266666666663</v>
      </c>
      <c r="L406" s="191">
        <v>0</v>
      </c>
      <c r="M406" s="191">
        <v>-4.4025891502648795</v>
      </c>
      <c r="N406" s="191">
        <v>0</v>
      </c>
      <c r="O406" s="191">
        <v>0</v>
      </c>
      <c r="P406" s="191">
        <v>2.6042894329189499E-2</v>
      </c>
      <c r="Q406" s="191">
        <v>0.44395532733173598</v>
      </c>
      <c r="R406" s="191">
        <v>2.1870269324237599</v>
      </c>
      <c r="T406" s="46">
        <v>3</v>
      </c>
      <c r="U406" s="53" t="s">
        <v>242</v>
      </c>
      <c r="V406" s="3" t="s">
        <v>543</v>
      </c>
      <c r="W406" s="47" t="s">
        <v>552</v>
      </c>
      <c r="X406" s="47" t="s">
        <v>203</v>
      </c>
      <c r="Y406" s="58">
        <v>1.00081</v>
      </c>
      <c r="Z406" s="193">
        <v>0.33138000000000001</v>
      </c>
      <c r="AB406" s="3"/>
      <c r="AC406" s="3"/>
      <c r="AD406" s="3"/>
      <c r="AE406" s="3"/>
      <c r="AF406" s="3"/>
      <c r="AG406" s="83"/>
    </row>
    <row r="407" spans="6:36">
      <c r="F407" s="370">
        <v>3</v>
      </c>
      <c r="G407" s="137" t="s">
        <v>239</v>
      </c>
      <c r="H407" s="136" t="s">
        <v>542</v>
      </c>
      <c r="I407" s="136" t="s">
        <v>552</v>
      </c>
      <c r="J407" s="136" t="s">
        <v>203</v>
      </c>
      <c r="K407" s="191">
        <v>-2.6644477777777777</v>
      </c>
      <c r="L407" s="191">
        <v>0</v>
      </c>
      <c r="M407" s="191">
        <v>-0.91191428180792811</v>
      </c>
      <c r="N407" s="191">
        <v>-1.6286344906372801</v>
      </c>
      <c r="O407" s="191">
        <v>-2.3972313350924299</v>
      </c>
      <c r="P407" s="191">
        <v>-0.66697991340315199</v>
      </c>
      <c r="Q407" s="191">
        <v>-0.942225030340478</v>
      </c>
      <c r="R407" s="191">
        <v>2.74731001572785E-2</v>
      </c>
      <c r="T407" s="46">
        <v>3</v>
      </c>
      <c r="U407" s="53" t="s">
        <v>264</v>
      </c>
      <c r="V407" s="3" t="s">
        <v>544</v>
      </c>
      <c r="W407" s="47" t="s">
        <v>552</v>
      </c>
      <c r="X407" s="47" t="s">
        <v>203</v>
      </c>
      <c r="Y407" s="58">
        <v>3.0939100000000002</v>
      </c>
      <c r="Z407" s="193">
        <v>0.49807000000000001</v>
      </c>
      <c r="AB407" s="3" t="s">
        <v>526</v>
      </c>
      <c r="AC407" s="125">
        <v>0.77500000000000002</v>
      </c>
      <c r="AD407" s="3">
        <v>8.1306407300000008E-2</v>
      </c>
      <c r="AE407" s="3" t="s">
        <v>531</v>
      </c>
      <c r="AF407" s="3"/>
      <c r="AG407" s="3"/>
    </row>
    <row r="408" spans="6:36">
      <c r="F408" s="370">
        <v>3</v>
      </c>
      <c r="G408" s="137" t="s">
        <v>10157</v>
      </c>
      <c r="H408" s="136" t="s">
        <v>238</v>
      </c>
      <c r="I408" s="136" t="s">
        <v>552</v>
      </c>
      <c r="J408" s="136" t="s">
        <v>203</v>
      </c>
      <c r="K408" s="191">
        <v>-2.7046544444444445</v>
      </c>
      <c r="L408" s="191">
        <v>0</v>
      </c>
      <c r="M408" s="191">
        <v>0</v>
      </c>
      <c r="N408" s="191">
        <v>0</v>
      </c>
      <c r="O408" s="191">
        <v>0</v>
      </c>
      <c r="P408" s="191">
        <v>-0.14723567376067564</v>
      </c>
      <c r="Q408" s="191">
        <v>-0.14435945193179459</v>
      </c>
      <c r="R408" s="191">
        <v>0.54347190689911018</v>
      </c>
      <c r="T408" s="46">
        <v>3</v>
      </c>
      <c r="U408" s="53" t="s">
        <v>237</v>
      </c>
      <c r="V408" s="3" t="s">
        <v>545</v>
      </c>
      <c r="W408" s="47" t="s">
        <v>552</v>
      </c>
      <c r="X408" s="47" t="s">
        <v>203</v>
      </c>
      <c r="Y408" s="58">
        <v>2.8533815875203707</v>
      </c>
      <c r="Z408" s="193">
        <v>1.0711602172222223</v>
      </c>
      <c r="AB408" s="3" t="s">
        <v>526</v>
      </c>
      <c r="AC408" s="125">
        <v>0.72499999999999998</v>
      </c>
      <c r="AD408" s="3">
        <v>8.1306407300000008E-2</v>
      </c>
      <c r="AE408" s="3" t="s">
        <v>531</v>
      </c>
      <c r="AF408" s="3"/>
      <c r="AG408" s="3"/>
    </row>
    <row r="409" spans="6:36" ht="28.8">
      <c r="F409" s="370">
        <v>3</v>
      </c>
      <c r="G409" s="137" t="s">
        <v>264</v>
      </c>
      <c r="H409" s="136" t="s">
        <v>10184</v>
      </c>
      <c r="I409" s="136" t="s">
        <v>552</v>
      </c>
      <c r="J409" s="136" t="s">
        <v>203</v>
      </c>
      <c r="K409" s="191">
        <v>-1.9287117500000002</v>
      </c>
      <c r="L409" s="191">
        <v>-1.1070613798500002</v>
      </c>
      <c r="M409" s="191">
        <v>0.15112249999999994</v>
      </c>
      <c r="N409" s="191">
        <v>0</v>
      </c>
      <c r="O409" s="191">
        <v>0</v>
      </c>
      <c r="P409" s="191">
        <v>-0.35869868218287954</v>
      </c>
      <c r="Q409" s="191">
        <v>-0.59757324967558434</v>
      </c>
      <c r="R409" s="191">
        <v>0.46009777689536741</v>
      </c>
      <c r="T409" s="46">
        <v>5</v>
      </c>
      <c r="U409" s="53"/>
      <c r="V409" s="47"/>
      <c r="W409" s="47" t="s">
        <v>547</v>
      </c>
      <c r="X409" s="47" t="s">
        <v>553</v>
      </c>
      <c r="Y409" s="58" t="s">
        <v>525</v>
      </c>
      <c r="Z409" s="193" t="s">
        <v>525</v>
      </c>
      <c r="AB409" s="3" t="s">
        <v>526</v>
      </c>
      <c r="AC409" s="125">
        <v>0.72499999999999998</v>
      </c>
      <c r="AD409" s="3">
        <v>8.1306407300000008E-2</v>
      </c>
      <c r="AE409" s="3" t="s">
        <v>531</v>
      </c>
      <c r="AF409" s="3"/>
      <c r="AG409" s="3"/>
      <c r="AI409" t="s">
        <v>554</v>
      </c>
      <c r="AJ409">
        <v>20</v>
      </c>
    </row>
    <row r="410" spans="6:36">
      <c r="F410" s="370">
        <v>3</v>
      </c>
      <c r="G410" s="137" t="s">
        <v>264</v>
      </c>
      <c r="H410" s="136" t="s">
        <v>336</v>
      </c>
      <c r="I410" s="136" t="s">
        <v>552</v>
      </c>
      <c r="J410" s="136" t="s">
        <v>203</v>
      </c>
      <c r="K410" s="191">
        <v>-0.76351350000000007</v>
      </c>
      <c r="L410" s="191">
        <v>-0.34968251735000005</v>
      </c>
      <c r="M410" s="191">
        <v>0</v>
      </c>
      <c r="N410" s="191">
        <v>-1.64655650896596</v>
      </c>
      <c r="O410" s="191">
        <v>-2.6336365493502698</v>
      </c>
      <c r="P410" s="191">
        <v>-1.0033131033753351</v>
      </c>
      <c r="Q410" s="191">
        <v>-0.83241615029836658</v>
      </c>
      <c r="R410" s="191">
        <v>0.21089953370705883</v>
      </c>
      <c r="T410" s="46">
        <v>5</v>
      </c>
      <c r="U410" s="53"/>
      <c r="V410" s="47"/>
      <c r="W410" s="47" t="s">
        <v>547</v>
      </c>
      <c r="X410" s="47" t="s">
        <v>553</v>
      </c>
      <c r="Y410" s="58" t="s">
        <v>525</v>
      </c>
      <c r="Z410" s="193" t="s">
        <v>525</v>
      </c>
      <c r="AB410" s="3" t="s">
        <v>526</v>
      </c>
      <c r="AC410" s="125">
        <v>0.64600000000000002</v>
      </c>
      <c r="AD410" s="3">
        <v>8.1306407300000008E-2</v>
      </c>
      <c r="AE410" s="3" t="s">
        <v>531</v>
      </c>
      <c r="AF410" s="3" t="s">
        <v>526</v>
      </c>
      <c r="AG410" s="83">
        <v>0.8</v>
      </c>
      <c r="AI410" t="s">
        <v>555</v>
      </c>
      <c r="AJ410">
        <v>20</v>
      </c>
    </row>
    <row r="411" spans="6:36">
      <c r="F411" s="370">
        <v>3</v>
      </c>
      <c r="G411" s="137" t="s">
        <v>242</v>
      </c>
      <c r="H411" s="136" t="s">
        <v>251</v>
      </c>
      <c r="I411" s="136" t="s">
        <v>552</v>
      </c>
      <c r="J411" s="136" t="s">
        <v>203</v>
      </c>
      <c r="K411" s="191">
        <v>-4.9218200000000003</v>
      </c>
      <c r="L411" s="191">
        <v>-3.5665477000000001</v>
      </c>
      <c r="M411" s="191">
        <v>-1.2190350000000001</v>
      </c>
      <c r="N411" s="191">
        <v>0</v>
      </c>
      <c r="O411" s="191">
        <v>0</v>
      </c>
      <c r="P411" s="191">
        <v>2.5969732332329142E-2</v>
      </c>
      <c r="Q411" s="191">
        <v>0.1425399624297638</v>
      </c>
      <c r="R411" s="191">
        <v>0.84877827098641234</v>
      </c>
      <c r="T411" s="46">
        <v>5</v>
      </c>
      <c r="U411" s="53"/>
      <c r="V411" s="47"/>
      <c r="W411" s="47" t="s">
        <v>547</v>
      </c>
      <c r="X411" s="47" t="s">
        <v>553</v>
      </c>
      <c r="Y411" s="58" t="s">
        <v>525</v>
      </c>
      <c r="Z411" s="193" t="s">
        <v>525</v>
      </c>
      <c r="AB411" s="3"/>
      <c r="AC411" s="3"/>
      <c r="AD411" s="3"/>
      <c r="AE411" s="3"/>
      <c r="AF411" s="3" t="s">
        <v>526</v>
      </c>
      <c r="AG411" s="83">
        <v>0.88</v>
      </c>
      <c r="AI411" t="s">
        <v>556</v>
      </c>
      <c r="AJ411">
        <v>20</v>
      </c>
    </row>
    <row r="412" spans="6:36">
      <c r="F412" s="370">
        <v>3</v>
      </c>
      <c r="G412" s="137" t="s">
        <v>242</v>
      </c>
      <c r="H412" s="136" t="s">
        <v>543</v>
      </c>
      <c r="I412" s="136" t="s">
        <v>552</v>
      </c>
      <c r="J412" s="136" t="s">
        <v>203</v>
      </c>
      <c r="K412" s="191">
        <v>-1.00081</v>
      </c>
      <c r="L412" s="191">
        <v>-0.72381545000000003</v>
      </c>
      <c r="M412" s="191">
        <v>-0.20626249999999999</v>
      </c>
      <c r="N412" s="191">
        <v>0</v>
      </c>
      <c r="O412" s="191">
        <v>0</v>
      </c>
      <c r="P412" s="191">
        <v>2.5860000000000001E-2</v>
      </c>
      <c r="Q412" s="191">
        <v>4.0984842545202599E-2</v>
      </c>
      <c r="R412" s="191">
        <v>4.8934666491893597E-2</v>
      </c>
      <c r="T412" s="46">
        <v>5</v>
      </c>
      <c r="U412" s="53"/>
      <c r="V412" s="47"/>
      <c r="W412" s="47" t="s">
        <v>547</v>
      </c>
      <c r="X412" s="47" t="s">
        <v>553</v>
      </c>
      <c r="Y412" s="58" t="s">
        <v>525</v>
      </c>
      <c r="Z412" s="193" t="s">
        <v>525</v>
      </c>
      <c r="AB412" s="3" t="s">
        <v>526</v>
      </c>
      <c r="AC412" s="125">
        <v>0.64600000000000002</v>
      </c>
      <c r="AD412" s="3">
        <v>8.1306407300000008E-2</v>
      </c>
      <c r="AE412" s="3" t="s">
        <v>531</v>
      </c>
      <c r="AF412" s="3" t="s">
        <v>526</v>
      </c>
      <c r="AG412" s="83">
        <v>0.8</v>
      </c>
      <c r="AI412" t="s">
        <v>553</v>
      </c>
      <c r="AJ412">
        <v>20</v>
      </c>
    </row>
    <row r="413" spans="6:36">
      <c r="F413" s="370">
        <v>3</v>
      </c>
      <c r="G413" s="137" t="s">
        <v>264</v>
      </c>
      <c r="H413" s="136" t="s">
        <v>544</v>
      </c>
      <c r="I413" s="136" t="s">
        <v>552</v>
      </c>
      <c r="J413" s="136" t="s">
        <v>203</v>
      </c>
      <c r="K413" s="191">
        <v>-3.0939100000000002</v>
      </c>
      <c r="L413" s="191">
        <v>-1.8644402423500002</v>
      </c>
      <c r="M413" s="191">
        <v>0.15112249999999994</v>
      </c>
      <c r="N413" s="191">
        <v>0</v>
      </c>
      <c r="O413" s="191">
        <v>0</v>
      </c>
      <c r="P413" s="191">
        <v>0.28591573900957601</v>
      </c>
      <c r="Q413" s="191">
        <v>-0.36273034905280199</v>
      </c>
      <c r="R413" s="191">
        <v>0.70929602008367598</v>
      </c>
      <c r="T413" s="46">
        <v>5</v>
      </c>
      <c r="U413" s="53" t="s">
        <v>330</v>
      </c>
      <c r="V413" s="47" t="s">
        <v>330</v>
      </c>
      <c r="W413" s="47" t="s">
        <v>547</v>
      </c>
      <c r="X413" s="47" t="s">
        <v>553</v>
      </c>
      <c r="Y413" s="58">
        <v>0.14119999999999999</v>
      </c>
      <c r="Z413" s="193">
        <v>0.43014000000000002</v>
      </c>
      <c r="AB413" s="3"/>
      <c r="AC413" s="3"/>
      <c r="AD413" s="3"/>
      <c r="AE413" s="3"/>
      <c r="AF413" s="3" t="s">
        <v>526</v>
      </c>
      <c r="AG413" s="83">
        <v>0.65</v>
      </c>
      <c r="AI413" t="s">
        <v>557</v>
      </c>
      <c r="AJ413">
        <v>10</v>
      </c>
    </row>
    <row r="414" spans="6:36">
      <c r="F414" s="370">
        <v>3</v>
      </c>
      <c r="G414" s="137" t="s">
        <v>10157</v>
      </c>
      <c r="H414" s="136" t="s">
        <v>545</v>
      </c>
      <c r="I414" s="136" t="s">
        <v>552</v>
      </c>
      <c r="J414" s="136" t="s">
        <v>203</v>
      </c>
      <c r="K414" s="191">
        <v>-2.8533815875203707</v>
      </c>
      <c r="L414" s="191">
        <v>0</v>
      </c>
      <c r="M414" s="191">
        <v>0</v>
      </c>
      <c r="N414" s="191">
        <v>0</v>
      </c>
      <c r="O414" s="191">
        <v>0</v>
      </c>
      <c r="P414" s="191">
        <v>-0.47372783008290564</v>
      </c>
      <c r="Q414" s="191">
        <v>-0.60541892774296602</v>
      </c>
      <c r="R414" s="191">
        <v>2.7971221813722445E-2</v>
      </c>
      <c r="T414" s="46">
        <v>5</v>
      </c>
      <c r="U414" s="53" t="s">
        <v>330</v>
      </c>
      <c r="V414" s="47" t="s">
        <v>335</v>
      </c>
      <c r="W414" s="47" t="s">
        <v>547</v>
      </c>
      <c r="X414" s="47" t="s">
        <v>553</v>
      </c>
      <c r="Y414" s="58">
        <v>0.26272000000000001</v>
      </c>
      <c r="Z414" s="193">
        <v>0.43014000000000002</v>
      </c>
      <c r="AB414" s="3"/>
      <c r="AC414" s="3"/>
      <c r="AD414" s="3"/>
      <c r="AE414" s="3"/>
      <c r="AF414" s="3" t="s">
        <v>526</v>
      </c>
      <c r="AG414" s="83">
        <v>0.65</v>
      </c>
      <c r="AI414" t="s">
        <v>558</v>
      </c>
      <c r="AJ414">
        <v>20</v>
      </c>
    </row>
    <row r="415" spans="6:36" ht="28.8">
      <c r="F415" s="370">
        <v>3</v>
      </c>
      <c r="G415" s="137" t="s">
        <v>10169</v>
      </c>
      <c r="H415" s="136" t="s">
        <v>10170</v>
      </c>
      <c r="I415" s="136" t="s">
        <v>552</v>
      </c>
      <c r="J415" s="136" t="s">
        <v>203</v>
      </c>
      <c r="K415" s="191">
        <v>-0.74582333333333339</v>
      </c>
      <c r="L415" s="191">
        <v>-0.58351400000000009</v>
      </c>
      <c r="M415" s="191">
        <v>0.3259926084346883</v>
      </c>
      <c r="N415" s="191">
        <v>0</v>
      </c>
      <c r="O415" s="191">
        <v>0</v>
      </c>
      <c r="P415" s="191">
        <v>0.45668176288049178</v>
      </c>
      <c r="Q415" s="191">
        <v>1.0683983533052401</v>
      </c>
      <c r="R415" s="191">
        <v>1.142290877337675</v>
      </c>
      <c r="T415" s="46">
        <v>5</v>
      </c>
      <c r="U415" s="53" t="s">
        <v>330</v>
      </c>
      <c r="V415" s="47" t="s">
        <v>326</v>
      </c>
      <c r="W415" s="47" t="s">
        <v>547</v>
      </c>
      <c r="X415" s="47" t="s">
        <v>553</v>
      </c>
      <c r="Y415" s="58">
        <v>0.14119999999999999</v>
      </c>
      <c r="Z415" s="193">
        <v>0.43014000000000002</v>
      </c>
      <c r="AB415" s="3"/>
      <c r="AC415" s="3"/>
      <c r="AD415" s="3"/>
      <c r="AE415" s="3"/>
      <c r="AF415" s="3" t="s">
        <v>526</v>
      </c>
      <c r="AG415" s="83">
        <v>0.65</v>
      </c>
      <c r="AI415" t="s">
        <v>559</v>
      </c>
      <c r="AJ415">
        <v>20</v>
      </c>
    </row>
    <row r="416" spans="6:36" ht="28.8">
      <c r="F416" s="370">
        <v>5</v>
      </c>
      <c r="G416" s="137" t="s">
        <v>233</v>
      </c>
      <c r="H416" s="136" t="s">
        <v>10178</v>
      </c>
      <c r="I416" s="136" t="s">
        <v>547</v>
      </c>
      <c r="J416" s="136" t="s">
        <v>553</v>
      </c>
      <c r="K416" s="191">
        <v>0</v>
      </c>
      <c r="L416" s="191">
        <v>-0.13905086666666666</v>
      </c>
      <c r="M416" s="191">
        <v>0</v>
      </c>
      <c r="N416" s="191">
        <v>-1.4456674291972054</v>
      </c>
      <c r="O416" s="191">
        <v>-2.0444339077338718</v>
      </c>
      <c r="P416" s="191">
        <v>-0.99826878978042755</v>
      </c>
      <c r="Q416" s="191">
        <v>-0.83132097591593268</v>
      </c>
      <c r="R416" s="191">
        <v>3.3140228838686371E-2</v>
      </c>
      <c r="T416" s="46">
        <v>5</v>
      </c>
      <c r="U416" s="53" t="s">
        <v>529</v>
      </c>
      <c r="V416" s="47" t="s">
        <v>529</v>
      </c>
      <c r="W416" s="47" t="s">
        <v>547</v>
      </c>
      <c r="X416" s="47" t="s">
        <v>553</v>
      </c>
      <c r="Y416" s="58">
        <v>4.72241</v>
      </c>
      <c r="Z416" s="193">
        <v>1.758</v>
      </c>
      <c r="AB416" s="3"/>
      <c r="AC416" s="3"/>
      <c r="AD416" s="3"/>
      <c r="AE416" s="3"/>
      <c r="AF416" s="3" t="s">
        <v>526</v>
      </c>
      <c r="AG416" s="83">
        <v>0.8</v>
      </c>
      <c r="AI416" t="s">
        <v>560</v>
      </c>
      <c r="AJ416">
        <v>10</v>
      </c>
    </row>
    <row r="417" spans="6:36" ht="28.8">
      <c r="F417" s="370">
        <v>5</v>
      </c>
      <c r="G417" s="137" t="s">
        <v>233</v>
      </c>
      <c r="H417" s="136" t="s">
        <v>250</v>
      </c>
      <c r="I417" s="136" t="s">
        <v>547</v>
      </c>
      <c r="J417" s="136" t="s">
        <v>553</v>
      </c>
      <c r="K417" s="191">
        <v>0</v>
      </c>
      <c r="L417" s="191">
        <v>0</v>
      </c>
      <c r="M417" s="191">
        <v>0</v>
      </c>
      <c r="N417" s="191">
        <v>-1.74425976433385</v>
      </c>
      <c r="O417" s="191">
        <v>-2.1449542323934998</v>
      </c>
      <c r="P417" s="191">
        <v>-1.01549446806522</v>
      </c>
      <c r="Q417" s="191">
        <v>-0.89097302690825297</v>
      </c>
      <c r="R417" s="191">
        <v>2.8431520236520801E-2</v>
      </c>
      <c r="T417" s="46">
        <v>5</v>
      </c>
      <c r="U417" s="53" t="s">
        <v>529</v>
      </c>
      <c r="V417" s="47" t="s">
        <v>327</v>
      </c>
      <c r="W417" s="47" t="s">
        <v>547</v>
      </c>
      <c r="X417" s="47" t="s">
        <v>553</v>
      </c>
      <c r="Y417" s="58">
        <v>0.25034000000000001</v>
      </c>
      <c r="Z417" s="193">
        <v>0.99672000000000005</v>
      </c>
      <c r="AB417" s="3"/>
      <c r="AC417" s="3"/>
      <c r="AD417" s="3"/>
      <c r="AE417" s="3"/>
      <c r="AF417" s="3"/>
      <c r="AG417" s="3"/>
      <c r="AI417" t="s">
        <v>561</v>
      </c>
      <c r="AJ417">
        <v>20</v>
      </c>
    </row>
    <row r="418" spans="6:36" ht="28.8">
      <c r="F418" s="370">
        <v>5</v>
      </c>
      <c r="G418" s="137" t="s">
        <v>233</v>
      </c>
      <c r="H418" s="136" t="s">
        <v>249</v>
      </c>
      <c r="I418" s="136" t="s">
        <v>547</v>
      </c>
      <c r="J418" s="136" t="s">
        <v>553</v>
      </c>
      <c r="K418" s="191">
        <v>0</v>
      </c>
      <c r="L418" s="191">
        <v>0</v>
      </c>
      <c r="M418" s="191">
        <v>0</v>
      </c>
      <c r="N418" s="191">
        <v>-0.54330041883521596</v>
      </c>
      <c r="O418" s="191">
        <v>-0.73673746260093798</v>
      </c>
      <c r="P418" s="191">
        <v>5.7647444565635697E-2</v>
      </c>
      <c r="Q418" s="191">
        <v>-0.187771154120662</v>
      </c>
      <c r="R418" s="191">
        <v>2.57528443538876E-2</v>
      </c>
      <c r="T418" s="46">
        <v>5</v>
      </c>
      <c r="U418" s="53" t="s">
        <v>529</v>
      </c>
      <c r="V418" s="47" t="s">
        <v>331</v>
      </c>
      <c r="W418" s="47" t="s">
        <v>547</v>
      </c>
      <c r="X418" s="47" t="s">
        <v>553</v>
      </c>
      <c r="Y418" s="58">
        <v>9.1944800000000004</v>
      </c>
      <c r="Z418" s="193">
        <v>2.5192800000000002</v>
      </c>
      <c r="AB418" s="3"/>
      <c r="AC418" s="3"/>
      <c r="AD418" s="3"/>
      <c r="AE418" s="3"/>
      <c r="AF418" s="3"/>
      <c r="AG418" s="3"/>
    </row>
    <row r="419" spans="6:36" ht="28.8">
      <c r="F419" s="370">
        <v>5</v>
      </c>
      <c r="G419" s="137" t="s">
        <v>233</v>
      </c>
      <c r="H419" s="136" t="s">
        <v>273</v>
      </c>
      <c r="I419" s="136" t="s">
        <v>547</v>
      </c>
      <c r="J419" s="136" t="s">
        <v>553</v>
      </c>
      <c r="K419" s="191">
        <v>0</v>
      </c>
      <c r="L419" s="191">
        <v>0</v>
      </c>
      <c r="M419" s="191">
        <v>0</v>
      </c>
      <c r="N419" s="191">
        <v>-1.6469256542723201</v>
      </c>
      <c r="O419" s="191">
        <v>-2.0983531373609798</v>
      </c>
      <c r="P419" s="191">
        <v>-0.79137904173828999</v>
      </c>
      <c r="Q419" s="191">
        <v>-0.86538442092976098</v>
      </c>
      <c r="R419" s="191">
        <v>2.72079739763448E-2</v>
      </c>
      <c r="T419" s="46">
        <v>5</v>
      </c>
      <c r="U419" s="53" t="s">
        <v>529</v>
      </c>
      <c r="V419" s="47" t="s">
        <v>332</v>
      </c>
      <c r="W419" s="47" t="s">
        <v>547</v>
      </c>
      <c r="X419" s="47" t="s">
        <v>553</v>
      </c>
      <c r="Y419" s="58">
        <v>2.5034000000000001</v>
      </c>
      <c r="Z419" s="193">
        <v>1.0183800000000001</v>
      </c>
      <c r="AB419" s="3"/>
      <c r="AC419" s="3"/>
      <c r="AD419" s="3"/>
      <c r="AE419" s="3"/>
      <c r="AF419" s="3" t="s">
        <v>526</v>
      </c>
      <c r="AG419" s="83">
        <v>0.95</v>
      </c>
    </row>
    <row r="420" spans="6:36">
      <c r="F420" s="370">
        <v>5</v>
      </c>
      <c r="G420" s="137" t="s">
        <v>233</v>
      </c>
      <c r="H420" s="136" t="s">
        <v>330</v>
      </c>
      <c r="I420" s="136" t="s">
        <v>547</v>
      </c>
      <c r="J420" s="136" t="s">
        <v>553</v>
      </c>
      <c r="K420" s="191">
        <v>-0.14119999999999999</v>
      </c>
      <c r="L420" s="191">
        <v>-0.1076582</v>
      </c>
      <c r="M420" s="191">
        <v>0</v>
      </c>
      <c r="N420" s="191">
        <v>0</v>
      </c>
      <c r="O420" s="191">
        <v>0</v>
      </c>
      <c r="P420" s="191">
        <v>-1.47739154979515</v>
      </c>
      <c r="Q420" s="191">
        <v>-1.00615231617344</v>
      </c>
      <c r="R420" s="191">
        <v>5.3035587013663198E-2</v>
      </c>
      <c r="T420" s="46">
        <v>5</v>
      </c>
      <c r="U420" s="53" t="s">
        <v>252</v>
      </c>
      <c r="V420" s="47" t="s">
        <v>252</v>
      </c>
      <c r="W420" s="47" t="s">
        <v>547</v>
      </c>
      <c r="X420" s="47" t="s">
        <v>553</v>
      </c>
      <c r="Y420" s="58">
        <v>2.0953266666666663</v>
      </c>
      <c r="Z420" s="193">
        <v>1.77911</v>
      </c>
      <c r="AB420" s="3" t="s">
        <v>526</v>
      </c>
      <c r="AC420" s="125">
        <v>1</v>
      </c>
      <c r="AD420" s="3">
        <v>8.1306407300000008E-2</v>
      </c>
      <c r="AE420" s="3" t="s">
        <v>531</v>
      </c>
      <c r="AF420" s="3" t="s">
        <v>526</v>
      </c>
      <c r="AG420" s="83">
        <v>0.95</v>
      </c>
    </row>
    <row r="421" spans="6:36" ht="28.8">
      <c r="F421" s="370">
        <v>5</v>
      </c>
      <c r="G421" s="137" t="s">
        <v>233</v>
      </c>
      <c r="H421" s="136" t="s">
        <v>335</v>
      </c>
      <c r="I421" s="136" t="s">
        <v>547</v>
      </c>
      <c r="J421" s="136" t="s">
        <v>553</v>
      </c>
      <c r="K421" s="191">
        <v>-0.26272000000000001</v>
      </c>
      <c r="L421" s="191">
        <v>-0.20183620000000002</v>
      </c>
      <c r="M421" s="191">
        <v>0</v>
      </c>
      <c r="N421" s="191">
        <v>-1.6469256542723201</v>
      </c>
      <c r="O421" s="191">
        <v>-2.6210623531569701</v>
      </c>
      <c r="P421" s="191">
        <v>-1.38149756182477</v>
      </c>
      <c r="Q421" s="191">
        <v>-1.01882246868174</v>
      </c>
      <c r="R421" s="191">
        <v>3.22067237258509E-2</v>
      </c>
      <c r="T421" s="46">
        <v>5</v>
      </c>
      <c r="U421" s="53" t="s">
        <v>252</v>
      </c>
      <c r="V421" s="47" t="s">
        <v>253</v>
      </c>
      <c r="W421" s="47" t="s">
        <v>547</v>
      </c>
      <c r="X421" s="47" t="s">
        <v>553</v>
      </c>
      <c r="Y421" s="58">
        <v>2.04928</v>
      </c>
      <c r="Z421" s="193">
        <v>1.77911</v>
      </c>
      <c r="AB421" s="3" t="s">
        <v>526</v>
      </c>
      <c r="AC421" s="125">
        <v>1</v>
      </c>
      <c r="AD421" s="3">
        <v>8.1306407300000008E-2</v>
      </c>
      <c r="AE421" s="3" t="s">
        <v>531</v>
      </c>
      <c r="AF421" s="3" t="s">
        <v>526</v>
      </c>
      <c r="AG421" s="83">
        <v>0.95</v>
      </c>
    </row>
    <row r="422" spans="6:36">
      <c r="F422" s="370">
        <v>5</v>
      </c>
      <c r="G422" s="137" t="s">
        <v>233</v>
      </c>
      <c r="H422" s="136" t="s">
        <v>326</v>
      </c>
      <c r="I422" s="136" t="s">
        <v>547</v>
      </c>
      <c r="J422" s="136" t="s">
        <v>553</v>
      </c>
      <c r="K422" s="191">
        <v>-0.14119999999999999</v>
      </c>
      <c r="L422" s="191">
        <v>-0.1076582</v>
      </c>
      <c r="M422" s="191">
        <v>0</v>
      </c>
      <c r="N422" s="191">
        <v>-1.6469256542723201</v>
      </c>
      <c r="O422" s="191">
        <v>-2.6210623531569701</v>
      </c>
      <c r="P422" s="191">
        <v>-1.38149756182477</v>
      </c>
      <c r="Q422" s="191">
        <v>-1.01882246868174</v>
      </c>
      <c r="R422" s="191">
        <v>3.22067237258509E-2</v>
      </c>
      <c r="T422" s="46">
        <v>5</v>
      </c>
      <c r="U422" s="53" t="s">
        <v>252</v>
      </c>
      <c r="V422" s="47" t="s">
        <v>328</v>
      </c>
      <c r="W422" s="47" t="s">
        <v>547</v>
      </c>
      <c r="X422" s="47" t="s">
        <v>553</v>
      </c>
      <c r="Y422" s="58">
        <v>2.3231199999999999</v>
      </c>
      <c r="Z422" s="193">
        <v>1.77911</v>
      </c>
      <c r="AB422" s="3" t="s">
        <v>526</v>
      </c>
      <c r="AC422" s="125">
        <v>1</v>
      </c>
      <c r="AD422" s="3">
        <v>8.1306407300000008E-2</v>
      </c>
      <c r="AE422" s="3" t="s">
        <v>531</v>
      </c>
      <c r="AF422" s="3"/>
      <c r="AG422" s="3"/>
    </row>
    <row r="423" spans="6:36">
      <c r="F423" s="370">
        <v>5</v>
      </c>
      <c r="G423" s="137" t="s">
        <v>261</v>
      </c>
      <c r="H423" s="136" t="s">
        <v>10179</v>
      </c>
      <c r="I423" s="136" t="s">
        <v>547</v>
      </c>
      <c r="J423" s="136" t="s">
        <v>553</v>
      </c>
      <c r="K423" s="191">
        <v>-4.72241</v>
      </c>
      <c r="L423" s="191">
        <v>-2.3594331999999998</v>
      </c>
      <c r="M423" s="191">
        <v>0</v>
      </c>
      <c r="N423" s="191">
        <v>-0.36339401385138703</v>
      </c>
      <c r="O423" s="191">
        <v>-0.58377207348737448</v>
      </c>
      <c r="P423" s="191">
        <v>0.17474709583780051</v>
      </c>
      <c r="Q423" s="191">
        <v>-0.17313995428104201</v>
      </c>
      <c r="R423" s="191">
        <v>2.54063326817313E-2</v>
      </c>
      <c r="T423" s="46">
        <v>5</v>
      </c>
      <c r="U423" s="53" t="s">
        <v>252</v>
      </c>
      <c r="V423" s="47" t="s">
        <v>254</v>
      </c>
      <c r="W423" s="47" t="s">
        <v>547</v>
      </c>
      <c r="X423" s="47" t="s">
        <v>553</v>
      </c>
      <c r="Y423" s="58">
        <v>2.1485799999999999</v>
      </c>
      <c r="Z423" s="193">
        <v>1.77911</v>
      </c>
      <c r="AB423" s="3"/>
      <c r="AC423" s="3"/>
      <c r="AD423" s="3"/>
      <c r="AE423" s="3"/>
      <c r="AF423" s="3" t="s">
        <v>526</v>
      </c>
      <c r="AG423" s="83">
        <v>0.95</v>
      </c>
    </row>
    <row r="424" spans="6:36" ht="28.8">
      <c r="F424" s="370">
        <v>5</v>
      </c>
      <c r="G424" s="137" t="s">
        <v>261</v>
      </c>
      <c r="H424" s="136" t="s">
        <v>269</v>
      </c>
      <c r="I424" s="136" t="s">
        <v>547</v>
      </c>
      <c r="J424" s="136" t="s">
        <v>553</v>
      </c>
      <c r="K424" s="191">
        <v>-0.25034000000000001</v>
      </c>
      <c r="L424" s="191">
        <v>-0.1233982</v>
      </c>
      <c r="M424" s="191">
        <v>0</v>
      </c>
      <c r="N424" s="191">
        <v>-0.30335317617577701</v>
      </c>
      <c r="O424" s="191">
        <v>-0.49408105734615099</v>
      </c>
      <c r="P424" s="191">
        <v>0.203978762337724</v>
      </c>
      <c r="Q424" s="191">
        <v>-0.11943934047983901</v>
      </c>
      <c r="R424" s="191">
        <v>2.5084236372043898E-2</v>
      </c>
      <c r="T424" s="46">
        <v>5</v>
      </c>
      <c r="U424" s="53" t="s">
        <v>252</v>
      </c>
      <c r="V424" s="47" t="s">
        <v>532</v>
      </c>
      <c r="W424" s="47" t="s">
        <v>547</v>
      </c>
      <c r="X424" s="47" t="s">
        <v>553</v>
      </c>
      <c r="Y424" s="58">
        <v>1.9492499999999999</v>
      </c>
      <c r="Z424" s="193">
        <v>1.77911</v>
      </c>
      <c r="AB424" s="3" t="s">
        <v>526</v>
      </c>
      <c r="AC424" s="125">
        <v>1</v>
      </c>
      <c r="AD424" s="3">
        <v>0</v>
      </c>
      <c r="AE424" s="3" t="s">
        <v>527</v>
      </c>
      <c r="AF424" s="3" t="s">
        <v>526</v>
      </c>
      <c r="AG424" s="83">
        <v>0.9</v>
      </c>
    </row>
    <row r="425" spans="6:36" ht="28.8">
      <c r="F425" s="370">
        <v>5</v>
      </c>
      <c r="G425" s="137" t="s">
        <v>261</v>
      </c>
      <c r="H425" s="136" t="s">
        <v>530</v>
      </c>
      <c r="I425" s="136" t="s">
        <v>547</v>
      </c>
      <c r="J425" s="136" t="s">
        <v>553</v>
      </c>
      <c r="K425" s="191">
        <v>-9.1944800000000004</v>
      </c>
      <c r="L425" s="191">
        <v>-4.5954682</v>
      </c>
      <c r="M425" s="191">
        <v>0</v>
      </c>
      <c r="N425" s="191">
        <v>-0.423434851526997</v>
      </c>
      <c r="O425" s="191">
        <v>-0.67346308962859802</v>
      </c>
      <c r="P425" s="191">
        <v>0.14551542933787701</v>
      </c>
      <c r="Q425" s="191">
        <v>-0.22684056808224501</v>
      </c>
      <c r="R425" s="191">
        <v>2.5728428991418702E-2</v>
      </c>
      <c r="T425" s="46">
        <v>5</v>
      </c>
      <c r="U425" s="53" t="s">
        <v>252</v>
      </c>
      <c r="V425" s="47" t="s">
        <v>245</v>
      </c>
      <c r="W425" s="47" t="s">
        <v>547</v>
      </c>
      <c r="X425" s="47" t="s">
        <v>553</v>
      </c>
      <c r="Y425" s="58">
        <v>2.0269300000000001</v>
      </c>
      <c r="Z425" s="193">
        <v>1.77911</v>
      </c>
      <c r="AB425" s="3" t="s">
        <v>526</v>
      </c>
      <c r="AC425" s="125">
        <v>1</v>
      </c>
      <c r="AD425" s="3">
        <v>8.1306407300000008E-2</v>
      </c>
      <c r="AE425" s="3" t="s">
        <v>531</v>
      </c>
      <c r="AF425" s="3" t="s">
        <v>526</v>
      </c>
      <c r="AG425" s="83">
        <v>0.9</v>
      </c>
    </row>
    <row r="426" spans="6:36">
      <c r="F426" s="370">
        <v>5</v>
      </c>
      <c r="G426" s="137" t="s">
        <v>261</v>
      </c>
      <c r="H426" s="136" t="s">
        <v>262</v>
      </c>
      <c r="I426" s="136" t="s">
        <v>547</v>
      </c>
      <c r="J426" s="136" t="s">
        <v>553</v>
      </c>
      <c r="K426" s="191">
        <v>-2.5034000000000001</v>
      </c>
      <c r="L426" s="191">
        <v>0</v>
      </c>
      <c r="M426" s="191">
        <v>0</v>
      </c>
      <c r="N426" s="191">
        <v>-0.423434851526997</v>
      </c>
      <c r="O426" s="191">
        <v>-0.67346308962859802</v>
      </c>
      <c r="P426" s="191">
        <v>0.14551542933787701</v>
      </c>
      <c r="Q426" s="191">
        <v>-0.22684056808224501</v>
      </c>
      <c r="R426" s="191">
        <v>2.5728428991418702E-2</v>
      </c>
      <c r="T426" s="46">
        <v>5</v>
      </c>
      <c r="U426" s="53" t="s">
        <v>252</v>
      </c>
      <c r="V426" s="47" t="s">
        <v>533</v>
      </c>
      <c r="W426" s="47" t="s">
        <v>547</v>
      </c>
      <c r="X426" s="47" t="s">
        <v>553</v>
      </c>
      <c r="Y426" s="58">
        <v>2.0748000000000002</v>
      </c>
      <c r="Z426" s="193">
        <v>1.77911</v>
      </c>
      <c r="AB426" s="3" t="s">
        <v>526</v>
      </c>
      <c r="AC426" s="125">
        <v>1</v>
      </c>
      <c r="AD426" s="3">
        <v>8.1306407300000008E-2</v>
      </c>
      <c r="AE426" s="3" t="s">
        <v>531</v>
      </c>
      <c r="AF426" s="3" t="s">
        <v>526</v>
      </c>
      <c r="AG426" s="83">
        <v>0.95</v>
      </c>
    </row>
    <row r="427" spans="6:36">
      <c r="F427" s="370">
        <v>5</v>
      </c>
      <c r="G427" s="137" t="s">
        <v>252</v>
      </c>
      <c r="H427" s="136" t="s">
        <v>10180</v>
      </c>
      <c r="I427" s="136" t="s">
        <v>547</v>
      </c>
      <c r="J427" s="136" t="s">
        <v>553</v>
      </c>
      <c r="K427" s="191">
        <v>-2.0953266666666663</v>
      </c>
      <c r="L427" s="191">
        <v>-1.5407999593666664</v>
      </c>
      <c r="M427" s="191">
        <v>-4.4031927097256318</v>
      </c>
      <c r="N427" s="191">
        <v>0</v>
      </c>
      <c r="O427" s="191">
        <v>0</v>
      </c>
      <c r="P427" s="191">
        <v>2.6019879277753101E-2</v>
      </c>
      <c r="Q427" s="191">
        <v>0.65959040494211596</v>
      </c>
      <c r="R427" s="191">
        <v>2.1870242856928401</v>
      </c>
      <c r="T427" s="46">
        <v>5</v>
      </c>
      <c r="U427" s="53" t="s">
        <v>242</v>
      </c>
      <c r="V427" s="47" t="s">
        <v>242</v>
      </c>
      <c r="W427" s="47" t="s">
        <v>547</v>
      </c>
      <c r="X427" s="47" t="s">
        <v>553</v>
      </c>
      <c r="Y427" s="58">
        <v>38.486130000000003</v>
      </c>
      <c r="Z427" s="193">
        <v>0.20843</v>
      </c>
      <c r="AB427" s="3" t="s">
        <v>526</v>
      </c>
      <c r="AC427" s="125">
        <v>1</v>
      </c>
      <c r="AD427" s="3">
        <v>8.1306407300000008E-2</v>
      </c>
      <c r="AE427" s="3" t="s">
        <v>531</v>
      </c>
      <c r="AF427" s="3" t="s">
        <v>526</v>
      </c>
      <c r="AG427" s="83">
        <v>0.7</v>
      </c>
    </row>
    <row r="428" spans="6:36" ht="57.6">
      <c r="F428" s="370">
        <v>5</v>
      </c>
      <c r="G428" s="137" t="s">
        <v>252</v>
      </c>
      <c r="H428" s="136" t="s">
        <v>10163</v>
      </c>
      <c r="I428" s="136" t="s">
        <v>547</v>
      </c>
      <c r="J428" s="136" t="s">
        <v>553</v>
      </c>
      <c r="K428" s="191">
        <v>-2.04928</v>
      </c>
      <c r="L428" s="191">
        <v>0</v>
      </c>
      <c r="M428" s="191">
        <v>-3.8722002590609996</v>
      </c>
      <c r="N428" s="191">
        <v>0</v>
      </c>
      <c r="O428" s="191">
        <v>0</v>
      </c>
      <c r="P428" s="191">
        <v>2.6019876229307799E-2</v>
      </c>
      <c r="Q428" s="191">
        <v>0.547663044482956</v>
      </c>
      <c r="R428" s="191">
        <v>3.1831776856510099</v>
      </c>
      <c r="T428" s="46">
        <v>5</v>
      </c>
      <c r="U428" s="53" t="s">
        <v>242</v>
      </c>
      <c r="V428" s="47" t="s">
        <v>242</v>
      </c>
      <c r="W428" s="47" t="s">
        <v>547</v>
      </c>
      <c r="X428" s="47" t="s">
        <v>553</v>
      </c>
      <c r="Y428" s="58">
        <v>38.486130000000003</v>
      </c>
      <c r="Z428" s="193">
        <v>0.20843</v>
      </c>
      <c r="AB428" s="3" t="s">
        <v>526</v>
      </c>
      <c r="AC428" s="125">
        <v>1</v>
      </c>
      <c r="AD428" s="3">
        <v>8.1306407300000008E-2</v>
      </c>
      <c r="AE428" s="3" t="s">
        <v>531</v>
      </c>
      <c r="AF428" s="3"/>
      <c r="AG428" s="3"/>
    </row>
    <row r="429" spans="6:36" ht="28.8">
      <c r="F429" s="370">
        <v>5</v>
      </c>
      <c r="G429" s="137" t="s">
        <v>252</v>
      </c>
      <c r="H429" s="136" t="s">
        <v>10164</v>
      </c>
      <c r="I429" s="136" t="s">
        <v>547</v>
      </c>
      <c r="J429" s="136" t="s">
        <v>553</v>
      </c>
      <c r="K429" s="191">
        <v>-2.3231199999999999</v>
      </c>
      <c r="L429" s="191">
        <v>0</v>
      </c>
      <c r="M429" s="191">
        <v>-4.5526807677706405</v>
      </c>
      <c r="N429" s="191">
        <v>0</v>
      </c>
      <c r="O429" s="191">
        <v>0</v>
      </c>
      <c r="P429" s="191">
        <v>2.6019877032721701E-2</v>
      </c>
      <c r="Q429" s="191">
        <v>0.57565485951678097</v>
      </c>
      <c r="R429" s="191">
        <v>2.49560775837113</v>
      </c>
      <c r="T429" s="46">
        <v>5</v>
      </c>
      <c r="U429" s="53" t="s">
        <v>242</v>
      </c>
      <c r="V429" s="47" t="s">
        <v>534</v>
      </c>
      <c r="W429" s="47" t="s">
        <v>547</v>
      </c>
      <c r="X429" s="47" t="s">
        <v>553</v>
      </c>
      <c r="Y429" s="58">
        <v>15.0122</v>
      </c>
      <c r="Z429" s="193">
        <v>0.37092000000000003</v>
      </c>
      <c r="AB429" s="3" t="s">
        <v>526</v>
      </c>
      <c r="AC429" s="83">
        <v>0.5</v>
      </c>
      <c r="AD429" s="3">
        <v>8.1306407300000008E-2</v>
      </c>
      <c r="AE429" s="3" t="s">
        <v>531</v>
      </c>
      <c r="AF429" s="3"/>
      <c r="AG429" s="3"/>
    </row>
    <row r="430" spans="6:36" ht="28.8">
      <c r="F430" s="370">
        <v>5</v>
      </c>
      <c r="G430" s="137" t="s">
        <v>252</v>
      </c>
      <c r="H430" s="136" t="s">
        <v>10165</v>
      </c>
      <c r="I430" s="136" t="s">
        <v>547</v>
      </c>
      <c r="J430" s="136" t="s">
        <v>553</v>
      </c>
      <c r="K430" s="191">
        <v>-2.1485799999999999</v>
      </c>
      <c r="L430" s="191">
        <v>0</v>
      </c>
      <c r="M430" s="191">
        <v>-4.6352090443002485</v>
      </c>
      <c r="N430" s="191">
        <v>0</v>
      </c>
      <c r="O430" s="191">
        <v>0</v>
      </c>
      <c r="P430" s="191">
        <v>2.6019876229307799E-2</v>
      </c>
      <c r="Q430" s="191">
        <v>0.73504012336485502</v>
      </c>
      <c r="R430" s="191">
        <v>2.53633250473806</v>
      </c>
      <c r="T430" s="46">
        <v>5</v>
      </c>
      <c r="U430" s="53" t="s">
        <v>239</v>
      </c>
      <c r="V430" s="47" t="s">
        <v>239</v>
      </c>
      <c r="W430" s="47" t="s">
        <v>547</v>
      </c>
      <c r="X430" s="47" t="s">
        <v>553</v>
      </c>
      <c r="Y430" s="58">
        <v>2.6644477777777777</v>
      </c>
      <c r="Z430" s="193">
        <v>0.64099666666666666</v>
      </c>
      <c r="AB430" s="3"/>
      <c r="AC430" s="3"/>
      <c r="AD430" s="3"/>
      <c r="AE430" s="3"/>
      <c r="AF430" s="3"/>
      <c r="AG430" s="3"/>
    </row>
    <row r="431" spans="6:36" ht="28.8">
      <c r="F431" s="370">
        <v>5</v>
      </c>
      <c r="G431" s="137" t="s">
        <v>252</v>
      </c>
      <c r="H431" s="136" t="s">
        <v>10166</v>
      </c>
      <c r="I431" s="136" t="s">
        <v>547</v>
      </c>
      <c r="J431" s="136" t="s">
        <v>553</v>
      </c>
      <c r="K431" s="191">
        <v>-1.9492499999999999</v>
      </c>
      <c r="L431" s="191">
        <v>0</v>
      </c>
      <c r="M431" s="191">
        <v>-4.5526807677706405</v>
      </c>
      <c r="N431" s="191">
        <v>0</v>
      </c>
      <c r="O431" s="191">
        <v>0</v>
      </c>
      <c r="P431" s="191">
        <v>2.6019877032721701E-2</v>
      </c>
      <c r="Q431" s="191">
        <v>0.57565485951678097</v>
      </c>
      <c r="R431" s="191">
        <v>2.49560775837113</v>
      </c>
      <c r="T431" s="46">
        <v>5</v>
      </c>
      <c r="U431" s="53" t="s">
        <v>239</v>
      </c>
      <c r="V431" s="47" t="s">
        <v>324</v>
      </c>
      <c r="W431" s="47" t="s">
        <v>547</v>
      </c>
      <c r="X431" s="47" t="s">
        <v>553</v>
      </c>
      <c r="Y431" s="58">
        <v>1.66</v>
      </c>
      <c r="Z431" s="193">
        <v>0.13142999999999999</v>
      </c>
      <c r="AB431" s="3"/>
      <c r="AC431" s="3"/>
      <c r="AD431" s="3"/>
      <c r="AE431" s="3"/>
      <c r="AF431" s="3"/>
      <c r="AG431" s="3"/>
    </row>
    <row r="432" spans="6:36">
      <c r="F432" s="370">
        <v>5</v>
      </c>
      <c r="G432" s="137" t="s">
        <v>252</v>
      </c>
      <c r="H432" s="136" t="s">
        <v>10167</v>
      </c>
      <c r="I432" s="136" t="s">
        <v>547</v>
      </c>
      <c r="J432" s="136" t="s">
        <v>553</v>
      </c>
      <c r="K432" s="191">
        <v>-2.0269300000000001</v>
      </c>
      <c r="L432" s="191">
        <v>0</v>
      </c>
      <c r="M432" s="191">
        <v>0</v>
      </c>
      <c r="N432" s="191">
        <v>0</v>
      </c>
      <c r="O432" s="191">
        <v>0</v>
      </c>
      <c r="P432" s="191">
        <v>2.6019877153967599E-2</v>
      </c>
      <c r="Q432" s="191">
        <v>0.50328563713698804</v>
      </c>
      <c r="R432" s="191">
        <v>3.1833669955531101</v>
      </c>
      <c r="T432" s="46">
        <v>5</v>
      </c>
      <c r="U432" s="53" t="s">
        <v>239</v>
      </c>
      <c r="V432" s="47" t="s">
        <v>272</v>
      </c>
      <c r="W432" s="47" t="s">
        <v>547</v>
      </c>
      <c r="X432" s="47" t="s">
        <v>553</v>
      </c>
      <c r="Y432" s="58">
        <v>2.1278299999999999</v>
      </c>
      <c r="Z432" s="193">
        <v>1.2152400000000001</v>
      </c>
      <c r="AB432" s="3"/>
      <c r="AC432" s="3"/>
      <c r="AD432" s="3"/>
      <c r="AE432" s="3"/>
      <c r="AF432" s="3" t="s">
        <v>526</v>
      </c>
      <c r="AG432" s="83">
        <v>0.7</v>
      </c>
    </row>
    <row r="433" spans="6:33">
      <c r="F433" s="370">
        <v>5</v>
      </c>
      <c r="G433" s="137" t="s">
        <v>252</v>
      </c>
      <c r="H433" s="136" t="s">
        <v>10168</v>
      </c>
      <c r="I433" s="136" t="s">
        <v>547</v>
      </c>
      <c r="J433" s="136" t="s">
        <v>553</v>
      </c>
      <c r="K433" s="191">
        <v>-2.0748000000000002</v>
      </c>
      <c r="L433" s="191">
        <v>0</v>
      </c>
      <c r="M433" s="191">
        <v>0</v>
      </c>
      <c r="N433" s="191">
        <v>0</v>
      </c>
      <c r="O433" s="191">
        <v>0</v>
      </c>
      <c r="P433" s="191">
        <v>2.6019871946222701E-2</v>
      </c>
      <c r="Q433" s="191">
        <v>0.69428254866703898</v>
      </c>
      <c r="R433" s="191">
        <v>3.0368306582667901</v>
      </c>
      <c r="T433" s="46">
        <v>5</v>
      </c>
      <c r="U433" s="53" t="s">
        <v>239</v>
      </c>
      <c r="V433" s="47" t="s">
        <v>329</v>
      </c>
      <c r="W433" s="47" t="s">
        <v>547</v>
      </c>
      <c r="X433" s="47" t="s">
        <v>553</v>
      </c>
      <c r="Y433" s="58">
        <v>3.4792200000000002</v>
      </c>
      <c r="Z433" s="193">
        <v>1.0383</v>
      </c>
      <c r="AB433" s="3"/>
      <c r="AC433" s="3"/>
      <c r="AD433" s="3"/>
      <c r="AE433" s="3"/>
      <c r="AF433" s="3" t="s">
        <v>526</v>
      </c>
      <c r="AG433" s="83">
        <v>0.65</v>
      </c>
    </row>
    <row r="434" spans="6:33">
      <c r="F434" s="370">
        <v>5</v>
      </c>
      <c r="G434" s="137" t="s">
        <v>242</v>
      </c>
      <c r="H434" s="136" t="s">
        <v>10181</v>
      </c>
      <c r="I434" s="136" t="s">
        <v>547</v>
      </c>
      <c r="J434" s="136" t="s">
        <v>553</v>
      </c>
      <c r="K434" s="191">
        <v>-38.486130000000003</v>
      </c>
      <c r="L434" s="191">
        <v>-27.900672450000002</v>
      </c>
      <c r="M434" s="191">
        <v>-3.2868550000000001</v>
      </c>
      <c r="N434" s="191">
        <v>0</v>
      </c>
      <c r="O434" s="191">
        <v>0</v>
      </c>
      <c r="P434" s="191">
        <v>2.5860000000000001E-2</v>
      </c>
      <c r="Q434" s="191">
        <v>4.1945011672945703E-2</v>
      </c>
      <c r="R434" s="191">
        <v>4.89113522447873E-2</v>
      </c>
      <c r="T434" s="46">
        <v>5</v>
      </c>
      <c r="U434" s="53" t="s">
        <v>239</v>
      </c>
      <c r="V434" s="47" t="s">
        <v>271</v>
      </c>
      <c r="W434" s="47" t="s">
        <v>547</v>
      </c>
      <c r="X434" s="47" t="s">
        <v>553</v>
      </c>
      <c r="Y434" s="58">
        <v>3.1045600000000002</v>
      </c>
      <c r="Z434" s="193">
        <v>0.12864</v>
      </c>
      <c r="AB434" s="3"/>
      <c r="AC434" s="3"/>
      <c r="AD434" s="3"/>
      <c r="AE434" s="3"/>
      <c r="AF434" s="3"/>
      <c r="AG434" s="3"/>
    </row>
    <row r="435" spans="6:33">
      <c r="F435" s="370">
        <v>5</v>
      </c>
      <c r="G435" s="137" t="s">
        <v>242</v>
      </c>
      <c r="H435" s="136" t="s">
        <v>274</v>
      </c>
      <c r="I435" s="136" t="s">
        <v>547</v>
      </c>
      <c r="J435" s="136" t="s">
        <v>553</v>
      </c>
      <c r="K435" s="191">
        <v>-38.486130000000003</v>
      </c>
      <c r="L435" s="191">
        <v>-27.900672450000002</v>
      </c>
      <c r="M435" s="191">
        <v>-8.5278425000000002</v>
      </c>
      <c r="N435" s="191">
        <v>0</v>
      </c>
      <c r="O435" s="191">
        <v>0</v>
      </c>
      <c r="P435" s="191">
        <v>2.5860000000000001E-2</v>
      </c>
      <c r="Q435" s="191">
        <v>4.1945011672945703E-2</v>
      </c>
      <c r="R435" s="191">
        <v>4.89113522447873E-2</v>
      </c>
      <c r="T435" s="46">
        <v>5</v>
      </c>
      <c r="U435" s="53" t="s">
        <v>239</v>
      </c>
      <c r="V435" s="47" t="s">
        <v>535</v>
      </c>
      <c r="W435" s="47" t="s">
        <v>547</v>
      </c>
      <c r="X435" s="47" t="s">
        <v>553</v>
      </c>
      <c r="Y435" s="58">
        <v>3.1045600000000002</v>
      </c>
      <c r="Z435" s="193">
        <v>0.12864</v>
      </c>
      <c r="AB435" s="3"/>
      <c r="AC435" s="3"/>
      <c r="AD435" s="3"/>
      <c r="AE435" s="3"/>
      <c r="AF435" s="3"/>
      <c r="AG435" s="3"/>
    </row>
    <row r="436" spans="6:33">
      <c r="F436" s="370">
        <v>5</v>
      </c>
      <c r="G436" s="137" t="s">
        <v>242</v>
      </c>
      <c r="H436" s="136" t="s">
        <v>534</v>
      </c>
      <c r="I436" s="136" t="s">
        <v>547</v>
      </c>
      <c r="J436" s="136" t="s">
        <v>553</v>
      </c>
      <c r="K436" s="191">
        <v>-15.0122</v>
      </c>
      <c r="L436" s="191">
        <v>-10.882073199999999</v>
      </c>
      <c r="M436" s="191">
        <v>-3.19428</v>
      </c>
      <c r="N436" s="191">
        <v>0</v>
      </c>
      <c r="O436" s="191">
        <v>0</v>
      </c>
      <c r="P436" s="191">
        <v>2.5860000000000001E-2</v>
      </c>
      <c r="Q436" s="191">
        <v>4.1945011672945703E-2</v>
      </c>
      <c r="R436" s="191">
        <v>4.89113522447873E-2</v>
      </c>
      <c r="T436" s="46">
        <v>5</v>
      </c>
      <c r="U436" s="53" t="s">
        <v>239</v>
      </c>
      <c r="V436" s="47" t="s">
        <v>259</v>
      </c>
      <c r="W436" s="47" t="s">
        <v>547</v>
      </c>
      <c r="X436" s="47" t="s">
        <v>553</v>
      </c>
      <c r="Y436" s="58">
        <v>2.86965</v>
      </c>
      <c r="Z436" s="193">
        <v>0.79600000000000004</v>
      </c>
      <c r="AB436" s="3" t="s">
        <v>526</v>
      </c>
      <c r="AC436" s="125">
        <v>0.64600000000000002</v>
      </c>
      <c r="AD436" s="3">
        <v>0</v>
      </c>
      <c r="AE436" s="3"/>
      <c r="AF436" s="3"/>
      <c r="AG436" s="3"/>
    </row>
    <row r="437" spans="6:33">
      <c r="F437" s="370">
        <v>5</v>
      </c>
      <c r="G437" s="137" t="s">
        <v>239</v>
      </c>
      <c r="H437" s="136" t="s">
        <v>10182</v>
      </c>
      <c r="I437" s="136" t="s">
        <v>547</v>
      </c>
      <c r="J437" s="136" t="s">
        <v>553</v>
      </c>
      <c r="K437" s="191">
        <v>-2.6644477777777777</v>
      </c>
      <c r="L437" s="191">
        <v>-1.7194614644444446</v>
      </c>
      <c r="M437" s="191">
        <v>-0.81120247843016002</v>
      </c>
      <c r="N437" s="191">
        <v>-1.6289204631588901</v>
      </c>
      <c r="O437" s="191">
        <v>-2.3853817279456502</v>
      </c>
      <c r="P437" s="191">
        <v>-0.63000031941498502</v>
      </c>
      <c r="Q437" s="191">
        <v>-0.82226405511991896</v>
      </c>
      <c r="R437" s="191">
        <v>2.74714200585238E-2</v>
      </c>
      <c r="T437" s="46">
        <v>5</v>
      </c>
      <c r="U437" s="53" t="s">
        <v>239</v>
      </c>
      <c r="V437" s="47" t="s">
        <v>334</v>
      </c>
      <c r="W437" s="47" t="s">
        <v>547</v>
      </c>
      <c r="X437" s="47" t="s">
        <v>553</v>
      </c>
      <c r="Y437" s="58">
        <v>2.86965</v>
      </c>
      <c r="Z437" s="193">
        <v>0.76736000000000004</v>
      </c>
      <c r="AB437" s="3" t="s">
        <v>526</v>
      </c>
      <c r="AC437" s="125">
        <v>0.72499999999999998</v>
      </c>
      <c r="AD437" s="3">
        <v>0</v>
      </c>
      <c r="AE437" s="3"/>
      <c r="AF437" s="3"/>
      <c r="AG437" s="3"/>
    </row>
    <row r="438" spans="6:33">
      <c r="F438" s="370">
        <v>5</v>
      </c>
      <c r="G438" s="137" t="s">
        <v>239</v>
      </c>
      <c r="H438" s="136" t="s">
        <v>324</v>
      </c>
      <c r="I438" s="136" t="s">
        <v>547</v>
      </c>
      <c r="J438" s="136" t="s">
        <v>553</v>
      </c>
      <c r="K438" s="191">
        <v>-1.66</v>
      </c>
      <c r="L438" s="191">
        <v>0</v>
      </c>
      <c r="M438" s="191">
        <v>0.24268945952377441</v>
      </c>
      <c r="N438" s="191">
        <v>-1.63952730013875</v>
      </c>
      <c r="O438" s="191">
        <v>-2.2405774596742201</v>
      </c>
      <c r="P438" s="191">
        <v>-1.1209359000225601</v>
      </c>
      <c r="Q438" s="191">
        <v>-0.89415398241032396</v>
      </c>
      <c r="R438" s="191">
        <v>2.6682406300787401E-2</v>
      </c>
      <c r="T438" s="46">
        <v>5</v>
      </c>
      <c r="U438" s="53" t="s">
        <v>239</v>
      </c>
      <c r="V438" s="47" t="s">
        <v>240</v>
      </c>
      <c r="W438" s="47" t="s">
        <v>547</v>
      </c>
      <c r="X438" s="47" t="s">
        <v>553</v>
      </c>
      <c r="Y438" s="58">
        <v>3.1045600000000002</v>
      </c>
      <c r="Z438" s="193">
        <v>0.76736000000000004</v>
      </c>
      <c r="AB438" s="3" t="s">
        <v>526</v>
      </c>
      <c r="AC438" s="125">
        <v>0.64600000000000002</v>
      </c>
      <c r="AD438" s="3">
        <v>0</v>
      </c>
      <c r="AE438" s="3"/>
      <c r="AF438" s="3" t="s">
        <v>526</v>
      </c>
      <c r="AG438" s="83">
        <v>0.5</v>
      </c>
    </row>
    <row r="439" spans="6:33" ht="28.8">
      <c r="F439" s="370">
        <v>5</v>
      </c>
      <c r="G439" s="137" t="s">
        <v>239</v>
      </c>
      <c r="H439" s="136" t="s">
        <v>272</v>
      </c>
      <c r="I439" s="136" t="s">
        <v>547</v>
      </c>
      <c r="J439" s="136" t="s">
        <v>553</v>
      </c>
      <c r="K439" s="191">
        <v>-2.1278299999999999</v>
      </c>
      <c r="L439" s="191">
        <v>-1.3728063799999999</v>
      </c>
      <c r="M439" s="191">
        <v>-1.4692076498007444E-2</v>
      </c>
      <c r="N439" s="191">
        <v>-1.46634377271326</v>
      </c>
      <c r="O439" s="191">
        <v>-2.24566284319341</v>
      </c>
      <c r="P439" s="191">
        <v>3.6729999999999999E-2</v>
      </c>
      <c r="Q439" s="191">
        <v>-0.70234498801210599</v>
      </c>
      <c r="R439" s="191">
        <v>3.4584596192507998E-2</v>
      </c>
      <c r="T439" s="46">
        <v>5</v>
      </c>
      <c r="U439" s="53" t="s">
        <v>239</v>
      </c>
      <c r="V439" s="47" t="s">
        <v>325</v>
      </c>
      <c r="W439" s="47" t="s">
        <v>547</v>
      </c>
      <c r="X439" s="47" t="s">
        <v>553</v>
      </c>
      <c r="Y439" s="58">
        <v>1.66</v>
      </c>
      <c r="Z439" s="193">
        <v>0.79600000000000004</v>
      </c>
      <c r="AB439" s="3" t="s">
        <v>526</v>
      </c>
      <c r="AC439" s="125">
        <v>0.72499999999999998</v>
      </c>
      <c r="AD439" s="3">
        <v>0.14482945764999999</v>
      </c>
      <c r="AE439" s="3" t="s">
        <v>541</v>
      </c>
      <c r="AF439" s="3"/>
      <c r="AG439" s="3"/>
    </row>
    <row r="440" spans="6:33">
      <c r="F440" s="370">
        <v>5</v>
      </c>
      <c r="G440" s="137" t="s">
        <v>239</v>
      </c>
      <c r="H440" s="136" t="s">
        <v>329</v>
      </c>
      <c r="I440" s="136" t="s">
        <v>547</v>
      </c>
      <c r="J440" s="136" t="s">
        <v>553</v>
      </c>
      <c r="K440" s="191">
        <v>-3.4792200000000002</v>
      </c>
      <c r="L440" s="191">
        <v>0</v>
      </c>
      <c r="M440" s="191">
        <v>-3.0402092534798166</v>
      </c>
      <c r="N440" s="191">
        <v>-1.5888668537567201</v>
      </c>
      <c r="O440" s="191">
        <v>-2.4837283517173199</v>
      </c>
      <c r="P440" s="191">
        <v>0.49378998072788599</v>
      </c>
      <c r="Q440" s="191">
        <v>-0.70480502779758603</v>
      </c>
      <c r="R440" s="191">
        <v>3.7247019354080799E-2</v>
      </c>
      <c r="T440" s="46">
        <v>5</v>
      </c>
      <c r="U440" s="53" t="s">
        <v>256</v>
      </c>
      <c r="V440" s="47" t="s">
        <v>256</v>
      </c>
      <c r="W440" s="47" t="s">
        <v>547</v>
      </c>
      <c r="X440" s="47" t="s">
        <v>553</v>
      </c>
      <c r="Y440" s="58">
        <v>3.3097799999999999</v>
      </c>
      <c r="Z440" s="193">
        <v>1.0068550000000001</v>
      </c>
      <c r="AB440" s="3"/>
      <c r="AC440" s="3"/>
      <c r="AD440" s="3"/>
      <c r="AE440" s="3"/>
      <c r="AF440" s="3"/>
      <c r="AG440" s="3"/>
    </row>
    <row r="441" spans="6:33">
      <c r="F441" s="370">
        <v>5</v>
      </c>
      <c r="G441" s="137" t="s">
        <v>239</v>
      </c>
      <c r="H441" s="136" t="s">
        <v>271</v>
      </c>
      <c r="I441" s="136" t="s">
        <v>547</v>
      </c>
      <c r="J441" s="136" t="s">
        <v>553</v>
      </c>
      <c r="K441" s="191">
        <v>-3.1045600000000002</v>
      </c>
      <c r="L441" s="191">
        <v>0</v>
      </c>
      <c r="M441" s="191">
        <v>-0.91260278823392993</v>
      </c>
      <c r="N441" s="191">
        <v>-1.50419061127517</v>
      </c>
      <c r="O441" s="191">
        <v>-2.5918071337444002</v>
      </c>
      <c r="P441" s="191">
        <v>-0.63379064861635803</v>
      </c>
      <c r="Q441" s="191">
        <v>-0.67118904904078103</v>
      </c>
      <c r="R441" s="191">
        <v>4.0391379519296298E-2</v>
      </c>
      <c r="T441" s="46">
        <v>5</v>
      </c>
      <c r="U441" s="53" t="s">
        <v>256</v>
      </c>
      <c r="V441" s="47" t="s">
        <v>536</v>
      </c>
      <c r="W441" s="47" t="s">
        <v>547</v>
      </c>
      <c r="X441" s="47" t="s">
        <v>553</v>
      </c>
      <c r="Y441" s="58">
        <v>1.9798800000000001</v>
      </c>
      <c r="Z441" s="193">
        <v>0.72957000000000005</v>
      </c>
      <c r="AB441" s="3"/>
      <c r="AC441" s="3"/>
      <c r="AD441" s="3"/>
      <c r="AE441" s="3"/>
      <c r="AF441" s="3"/>
      <c r="AG441" s="3"/>
    </row>
    <row r="442" spans="6:33">
      <c r="F442" s="370">
        <v>5</v>
      </c>
      <c r="G442" s="137" t="s">
        <v>239</v>
      </c>
      <c r="H442" s="136" t="s">
        <v>535</v>
      </c>
      <c r="I442" s="136" t="s">
        <v>547</v>
      </c>
      <c r="J442" s="136" t="s">
        <v>553</v>
      </c>
      <c r="K442" s="191">
        <v>-3.1045600000000002</v>
      </c>
      <c r="L442" s="191">
        <v>0</v>
      </c>
      <c r="M442" s="191">
        <v>-0.91260278823392993</v>
      </c>
      <c r="N442" s="191">
        <v>-1.61284318952186</v>
      </c>
      <c r="O442" s="191">
        <v>-2.6003535655297401</v>
      </c>
      <c r="P442" s="191">
        <v>-0.83398242380103804</v>
      </c>
      <c r="Q442" s="191">
        <v>-0.74818492475951703</v>
      </c>
      <c r="R442" s="191">
        <v>2.9212422837260599E-2</v>
      </c>
      <c r="T442" s="46">
        <v>5</v>
      </c>
      <c r="U442" s="53" t="s">
        <v>256</v>
      </c>
      <c r="V442" s="47" t="s">
        <v>257</v>
      </c>
      <c r="W442" s="47" t="s">
        <v>547</v>
      </c>
      <c r="X442" s="47" t="s">
        <v>553</v>
      </c>
      <c r="Y442" s="58">
        <v>1.9798800000000001</v>
      </c>
      <c r="Z442" s="193">
        <v>0.46493000000000001</v>
      </c>
      <c r="AB442" s="3"/>
      <c r="AC442" s="3"/>
      <c r="AD442" s="3"/>
      <c r="AE442" s="3"/>
      <c r="AF442" s="3"/>
      <c r="AG442" s="3"/>
    </row>
    <row r="443" spans="6:33">
      <c r="F443" s="370">
        <v>5</v>
      </c>
      <c r="G443" s="137" t="s">
        <v>239</v>
      </c>
      <c r="H443" s="136" t="s">
        <v>259</v>
      </c>
      <c r="I443" s="136" t="s">
        <v>547</v>
      </c>
      <c r="J443" s="136" t="s">
        <v>553</v>
      </c>
      <c r="K443" s="191">
        <v>-2.86965</v>
      </c>
      <c r="L443" s="191">
        <v>0</v>
      </c>
      <c r="M443" s="191">
        <v>-0.91260278823392993</v>
      </c>
      <c r="N443" s="191">
        <v>-1.32794699471418</v>
      </c>
      <c r="O443" s="191">
        <v>-2.0204690680134201</v>
      </c>
      <c r="P443" s="191">
        <v>-0.35845978146131702</v>
      </c>
      <c r="Q443" s="191">
        <v>-0.60914723709358098</v>
      </c>
      <c r="R443" s="191">
        <v>2.8420180400488802E-2</v>
      </c>
      <c r="T443" s="46">
        <v>5</v>
      </c>
      <c r="U443" s="53" t="s">
        <v>256</v>
      </c>
      <c r="V443" s="47" t="s">
        <v>537</v>
      </c>
      <c r="W443" s="47" t="s">
        <v>547</v>
      </c>
      <c r="X443" s="47" t="s">
        <v>553</v>
      </c>
      <c r="Y443" s="58">
        <v>5.0082800000000001</v>
      </c>
      <c r="Z443" s="193">
        <v>1.54878</v>
      </c>
      <c r="AB443" s="3" t="s">
        <v>526</v>
      </c>
      <c r="AC443" s="125">
        <v>0.77500000000000002</v>
      </c>
      <c r="AD443" s="3">
        <v>0</v>
      </c>
      <c r="AE443" s="3" t="s">
        <v>527</v>
      </c>
      <c r="AF443" s="3"/>
      <c r="AG443" s="3"/>
    </row>
    <row r="444" spans="6:33">
      <c r="F444" s="370">
        <v>5</v>
      </c>
      <c r="G444" s="137" t="s">
        <v>239</v>
      </c>
      <c r="H444" s="136" t="s">
        <v>334</v>
      </c>
      <c r="I444" s="136" t="s">
        <v>547</v>
      </c>
      <c r="J444" s="136" t="s">
        <v>553</v>
      </c>
      <c r="K444" s="191">
        <v>-2.86965</v>
      </c>
      <c r="L444" s="191">
        <v>0</v>
      </c>
      <c r="M444" s="191">
        <v>-0.91260278823392993</v>
      </c>
      <c r="N444" s="191">
        <v>-1.7383768869078899</v>
      </c>
      <c r="O444" s="191">
        <v>-2.48156466307401</v>
      </c>
      <c r="P444" s="191">
        <v>-0.28904713992276498</v>
      </c>
      <c r="Q444" s="191">
        <v>-0.89025008713006903</v>
      </c>
      <c r="R444" s="191">
        <v>2.63896792567898E-2</v>
      </c>
      <c r="T444" s="46">
        <v>5</v>
      </c>
      <c r="U444" s="53" t="s">
        <v>256</v>
      </c>
      <c r="V444" s="47" t="s">
        <v>538</v>
      </c>
      <c r="W444" s="47" t="s">
        <v>547</v>
      </c>
      <c r="X444" s="47" t="s">
        <v>553</v>
      </c>
      <c r="Y444" s="58">
        <v>4.6396800000000002</v>
      </c>
      <c r="Z444" s="193">
        <v>1.54878</v>
      </c>
      <c r="AB444" s="3" t="s">
        <v>526</v>
      </c>
      <c r="AC444" s="125">
        <v>0.77500000000000002</v>
      </c>
      <c r="AD444" s="3">
        <v>0</v>
      </c>
      <c r="AE444" s="3" t="s">
        <v>527</v>
      </c>
      <c r="AF444" s="3"/>
      <c r="AG444" s="3"/>
    </row>
    <row r="445" spans="6:33">
      <c r="F445" s="370">
        <v>5</v>
      </c>
      <c r="G445" s="137" t="s">
        <v>239</v>
      </c>
      <c r="H445" s="136" t="s">
        <v>240</v>
      </c>
      <c r="I445" s="136" t="s">
        <v>547</v>
      </c>
      <c r="J445" s="136" t="s">
        <v>553</v>
      </c>
      <c r="K445" s="191">
        <v>-3.1045600000000002</v>
      </c>
      <c r="L445" s="191">
        <v>0</v>
      </c>
      <c r="M445" s="191">
        <v>0</v>
      </c>
      <c r="N445" s="191">
        <v>-1.7671297096596501</v>
      </c>
      <c r="O445" s="191">
        <v>-2.5489215958880802</v>
      </c>
      <c r="P445" s="191">
        <v>-0.637144316545458</v>
      </c>
      <c r="Q445" s="191">
        <v>0.53494257578980298</v>
      </c>
      <c r="R445" s="191">
        <v>2.3670121579825798</v>
      </c>
      <c r="T445" s="46">
        <v>5</v>
      </c>
      <c r="U445" s="53" t="s">
        <v>256</v>
      </c>
      <c r="V445" s="47" t="s">
        <v>258</v>
      </c>
      <c r="W445" s="47" t="s">
        <v>547</v>
      </c>
      <c r="X445" s="47" t="s">
        <v>553</v>
      </c>
      <c r="Y445" s="58">
        <v>4.6396800000000002</v>
      </c>
      <c r="Z445" s="193">
        <v>1.54878</v>
      </c>
      <c r="AB445" s="3" t="s">
        <v>526</v>
      </c>
      <c r="AC445" s="125">
        <v>0.77500000000000002</v>
      </c>
      <c r="AD445" s="3">
        <v>0</v>
      </c>
      <c r="AE445" s="3" t="s">
        <v>527</v>
      </c>
      <c r="AF445" s="3"/>
      <c r="AG445" s="3"/>
    </row>
    <row r="446" spans="6:33" ht="28.8">
      <c r="F446" s="370">
        <v>5</v>
      </c>
      <c r="G446" s="137" t="s">
        <v>239</v>
      </c>
      <c r="H446" s="136" t="s">
        <v>325</v>
      </c>
      <c r="I446" s="136" t="s">
        <v>547</v>
      </c>
      <c r="J446" s="136" t="s">
        <v>553</v>
      </c>
      <c r="K446" s="191">
        <v>-1.66</v>
      </c>
      <c r="L446" s="191">
        <v>0</v>
      </c>
      <c r="M446" s="191">
        <v>0</v>
      </c>
      <c r="N446" s="191">
        <v>-1.6289204631588901</v>
      </c>
      <c r="O446" s="191">
        <v>-2.3853817279456502</v>
      </c>
      <c r="P446" s="191">
        <v>-0.63000031941498502</v>
      </c>
      <c r="Q446" s="191">
        <v>-0.82226405511991896</v>
      </c>
      <c r="R446" s="191">
        <v>2.74714200585238E-2</v>
      </c>
      <c r="T446" s="46">
        <v>5</v>
      </c>
      <c r="U446" s="53" t="s">
        <v>247</v>
      </c>
      <c r="V446" s="47" t="s">
        <v>247</v>
      </c>
      <c r="W446" s="47" t="s">
        <v>547</v>
      </c>
      <c r="X446" s="47" t="s">
        <v>553</v>
      </c>
      <c r="Y446" s="58">
        <v>1.0505633333333335</v>
      </c>
      <c r="Z446" s="193">
        <v>0.89563000000000004</v>
      </c>
      <c r="AB446" s="3" t="s">
        <v>526</v>
      </c>
      <c r="AC446" s="83">
        <v>0.5</v>
      </c>
      <c r="AD446" s="3">
        <v>0</v>
      </c>
      <c r="AE446" s="3" t="s">
        <v>528</v>
      </c>
      <c r="AF446" s="3"/>
      <c r="AG446" s="3"/>
    </row>
    <row r="447" spans="6:33">
      <c r="F447" s="370">
        <v>5</v>
      </c>
      <c r="G447" s="137" t="s">
        <v>256</v>
      </c>
      <c r="H447" s="136" t="s">
        <v>10183</v>
      </c>
      <c r="I447" s="136" t="s">
        <v>547</v>
      </c>
      <c r="J447" s="136" t="s">
        <v>553</v>
      </c>
      <c r="K447" s="191">
        <v>-3.3097799999999999</v>
      </c>
      <c r="L447" s="191">
        <v>-3.2267017926999997</v>
      </c>
      <c r="M447" s="191">
        <v>-12.219435344239905</v>
      </c>
      <c r="N447" s="191">
        <v>0</v>
      </c>
      <c r="O447" s="191">
        <v>0</v>
      </c>
      <c r="P447" s="191">
        <v>2.5939928975915148E-2</v>
      </c>
      <c r="Q447" s="191">
        <v>-9.3954870360862197E-2</v>
      </c>
      <c r="R447" s="191">
        <v>-7.770036914713721E-2</v>
      </c>
      <c r="T447" s="46">
        <v>5</v>
      </c>
      <c r="U447" s="53" t="s">
        <v>247</v>
      </c>
      <c r="V447" s="47" t="s">
        <v>248</v>
      </c>
      <c r="W447" s="47" t="s">
        <v>547</v>
      </c>
      <c r="X447" s="47" t="s">
        <v>553</v>
      </c>
      <c r="Y447" s="58">
        <v>1.0606100000000001</v>
      </c>
      <c r="Z447" s="193">
        <v>0.89563000000000004</v>
      </c>
      <c r="AB447" s="3" t="s">
        <v>526</v>
      </c>
      <c r="AC447" s="83">
        <v>0.5</v>
      </c>
      <c r="AD447" s="3">
        <v>0</v>
      </c>
      <c r="AE447" s="3" t="s">
        <v>528</v>
      </c>
      <c r="AF447" s="3"/>
      <c r="AG447" s="3"/>
    </row>
    <row r="448" spans="6:33">
      <c r="F448" s="370">
        <v>5</v>
      </c>
      <c r="G448" s="137" t="s">
        <v>256</v>
      </c>
      <c r="H448" s="136" t="s">
        <v>536</v>
      </c>
      <c r="I448" s="136" t="s">
        <v>547</v>
      </c>
      <c r="J448" s="136" t="s">
        <v>553</v>
      </c>
      <c r="K448" s="191">
        <v>-1.9798800000000001</v>
      </c>
      <c r="L448" s="191">
        <v>-1.8968017927</v>
      </c>
      <c r="M448" s="191">
        <v>-2.243932458779323</v>
      </c>
      <c r="N448" s="191">
        <v>0</v>
      </c>
      <c r="O448" s="191">
        <v>0</v>
      </c>
      <c r="P448" s="191">
        <v>2.6019857951830299E-2</v>
      </c>
      <c r="Q448" s="191">
        <v>-0.140635440587978</v>
      </c>
      <c r="R448" s="191">
        <v>-0.115341576609937</v>
      </c>
      <c r="T448" s="46">
        <v>5</v>
      </c>
      <c r="U448" s="53" t="s">
        <v>247</v>
      </c>
      <c r="V448" s="47" t="s">
        <v>263</v>
      </c>
      <c r="W448" s="47" t="s">
        <v>547</v>
      </c>
      <c r="X448" s="47" t="s">
        <v>553</v>
      </c>
      <c r="Y448" s="58">
        <v>1.0341199999999999</v>
      </c>
      <c r="Z448" s="193">
        <v>0.89563000000000004</v>
      </c>
      <c r="AB448" s="3"/>
      <c r="AC448" s="3"/>
      <c r="AD448" s="3"/>
      <c r="AE448" s="3"/>
      <c r="AF448" s="3"/>
      <c r="AG448" s="3"/>
    </row>
    <row r="449" spans="6:33">
      <c r="F449" s="370">
        <v>5</v>
      </c>
      <c r="G449" s="137" t="s">
        <v>256</v>
      </c>
      <c r="H449" s="136" t="s">
        <v>257</v>
      </c>
      <c r="I449" s="136" t="s">
        <v>547</v>
      </c>
      <c r="J449" s="136" t="s">
        <v>553</v>
      </c>
      <c r="K449" s="191">
        <v>-1.9798800000000001</v>
      </c>
      <c r="L449" s="191">
        <v>-1.8968017927</v>
      </c>
      <c r="M449" s="191">
        <v>-2.243932458779323</v>
      </c>
      <c r="N449" s="191">
        <v>0</v>
      </c>
      <c r="O449" s="191">
        <v>0</v>
      </c>
      <c r="P449" s="191">
        <v>2.6019857951830299E-2</v>
      </c>
      <c r="Q449" s="191">
        <v>-0.140635440587978</v>
      </c>
      <c r="R449" s="191">
        <v>-0.115341576609937</v>
      </c>
      <c r="T449" s="46">
        <v>5</v>
      </c>
      <c r="U449" s="53" t="s">
        <v>247</v>
      </c>
      <c r="V449" s="47" t="s">
        <v>539</v>
      </c>
      <c r="W449" s="47" t="s">
        <v>547</v>
      </c>
      <c r="X449" s="47" t="s">
        <v>553</v>
      </c>
      <c r="Y449" s="58">
        <v>1.0569599999999999</v>
      </c>
      <c r="Z449" s="193">
        <v>0.89563000000000004</v>
      </c>
      <c r="AB449" s="3" t="s">
        <v>526</v>
      </c>
      <c r="AC449" s="125">
        <v>0.77500000000000002</v>
      </c>
      <c r="AD449" s="3">
        <v>8.1306407300000008E-2</v>
      </c>
      <c r="AE449" s="3" t="s">
        <v>531</v>
      </c>
      <c r="AF449" s="3" t="s">
        <v>526</v>
      </c>
      <c r="AG449" s="83">
        <v>0.85</v>
      </c>
    </row>
    <row r="450" spans="6:33">
      <c r="F450" s="370">
        <v>5</v>
      </c>
      <c r="G450" s="137" t="s">
        <v>256</v>
      </c>
      <c r="H450" s="136" t="s">
        <v>537</v>
      </c>
      <c r="I450" s="136" t="s">
        <v>547</v>
      </c>
      <c r="J450" s="136" t="s">
        <v>553</v>
      </c>
      <c r="K450" s="191">
        <v>-5.0082800000000001</v>
      </c>
      <c r="L450" s="191">
        <v>-4.9252017927000002</v>
      </c>
      <c r="M450" s="191">
        <v>-4.8249865715003226</v>
      </c>
      <c r="N450" s="191">
        <v>0</v>
      </c>
      <c r="O450" s="191">
        <v>0</v>
      </c>
      <c r="P450" s="191">
        <v>2.5860000000000001E-2</v>
      </c>
      <c r="Q450" s="191">
        <v>-4.7274300133746401E-2</v>
      </c>
      <c r="R450" s="191">
        <v>-4.0059161684337402E-2</v>
      </c>
      <c r="T450" s="46">
        <v>5</v>
      </c>
      <c r="U450" s="53" t="s">
        <v>247</v>
      </c>
      <c r="V450" s="47" t="s">
        <v>270</v>
      </c>
      <c r="W450" s="47" t="s">
        <v>547</v>
      </c>
      <c r="X450" s="47" t="s">
        <v>553</v>
      </c>
      <c r="Y450" s="58">
        <v>1.0505633333333335</v>
      </c>
      <c r="Z450" s="193">
        <v>0.89563000000000004</v>
      </c>
      <c r="AB450" s="3" t="s">
        <v>526</v>
      </c>
      <c r="AC450" s="125">
        <v>0.77500000000000002</v>
      </c>
      <c r="AD450" s="3">
        <v>8.1306407300000008E-2</v>
      </c>
      <c r="AE450" s="3" t="s">
        <v>531</v>
      </c>
      <c r="AF450" s="3" t="s">
        <v>526</v>
      </c>
      <c r="AG450" s="83">
        <v>0.7</v>
      </c>
    </row>
    <row r="451" spans="6:33">
      <c r="F451" s="370">
        <v>5</v>
      </c>
      <c r="G451" s="137" t="s">
        <v>256</v>
      </c>
      <c r="H451" s="136" t="s">
        <v>538</v>
      </c>
      <c r="I451" s="136" t="s">
        <v>547</v>
      </c>
      <c r="J451" s="136" t="s">
        <v>553</v>
      </c>
      <c r="K451" s="191">
        <v>-4.6396800000000002</v>
      </c>
      <c r="L451" s="191">
        <v>0</v>
      </c>
      <c r="M451" s="191">
        <v>0</v>
      </c>
      <c r="N451" s="191">
        <v>0</v>
      </c>
      <c r="O451" s="191">
        <v>0</v>
      </c>
      <c r="P451" s="191">
        <v>2.5860000000000001E-2</v>
      </c>
      <c r="Q451" s="191">
        <v>-4.3874062473680198E-2</v>
      </c>
      <c r="R451" s="191">
        <v>-4.0059161684337499E-2</v>
      </c>
      <c r="T451" s="46">
        <v>5</v>
      </c>
      <c r="U451" s="53" t="s">
        <v>247</v>
      </c>
      <c r="V451" s="47" t="s">
        <v>540</v>
      </c>
      <c r="W451" s="47" t="s">
        <v>547</v>
      </c>
      <c r="X451" s="47" t="s">
        <v>553</v>
      </c>
      <c r="Y451" s="58">
        <v>1.0473650000000001</v>
      </c>
      <c r="Z451" s="193">
        <v>0.89563000000000004</v>
      </c>
      <c r="AB451" s="3"/>
      <c r="AC451" s="3"/>
      <c r="AD451" s="3"/>
      <c r="AE451" s="3"/>
      <c r="AF451" s="3" t="s">
        <v>526</v>
      </c>
      <c r="AG451" s="83">
        <v>0.8</v>
      </c>
    </row>
    <row r="452" spans="6:33">
      <c r="F452" s="370">
        <v>5</v>
      </c>
      <c r="G452" s="137" t="s">
        <v>256</v>
      </c>
      <c r="H452" s="136" t="s">
        <v>258</v>
      </c>
      <c r="I452" s="136" t="s">
        <v>547</v>
      </c>
      <c r="J452" s="136" t="s">
        <v>553</v>
      </c>
      <c r="K452" s="191">
        <v>-4.6396800000000002</v>
      </c>
      <c r="L452" s="191">
        <v>-4.5566017927000004</v>
      </c>
      <c r="M452" s="191">
        <v>-4.6772829009441832</v>
      </c>
      <c r="N452" s="191">
        <v>0</v>
      </c>
      <c r="O452" s="191">
        <v>0</v>
      </c>
      <c r="P452" s="191">
        <v>2.5860000000000001E-2</v>
      </c>
      <c r="Q452" s="191">
        <v>-4.7274300133746297E-2</v>
      </c>
      <c r="R452" s="191">
        <v>-4.0059161684337499E-2</v>
      </c>
      <c r="T452" s="46">
        <v>5</v>
      </c>
      <c r="U452" s="53" t="s">
        <v>529</v>
      </c>
      <c r="V452" s="47" t="s">
        <v>260</v>
      </c>
      <c r="W452" s="47" t="s">
        <v>547</v>
      </c>
      <c r="X452" s="47" t="s">
        <v>553</v>
      </c>
      <c r="Y452" s="58">
        <v>4.0364225925925927</v>
      </c>
      <c r="Z452" s="193">
        <v>1.3856655555555555</v>
      </c>
      <c r="AB452" s="3" t="s">
        <v>526</v>
      </c>
      <c r="AC452" s="125">
        <v>0.77500000000000002</v>
      </c>
      <c r="AD452" s="3">
        <v>8.1306407300000008E-2</v>
      </c>
      <c r="AE452" s="3" t="s">
        <v>531</v>
      </c>
      <c r="AF452" s="3" t="s">
        <v>526</v>
      </c>
      <c r="AG452" s="83">
        <v>0.7</v>
      </c>
    </row>
    <row r="453" spans="6:33">
      <c r="F453" s="370">
        <v>5</v>
      </c>
      <c r="G453" s="137" t="s">
        <v>247</v>
      </c>
      <c r="H453" s="136" t="s">
        <v>247</v>
      </c>
      <c r="I453" s="136" t="s">
        <v>547</v>
      </c>
      <c r="J453" s="136" t="s">
        <v>553</v>
      </c>
      <c r="K453" s="191">
        <v>-1.0505633333333335</v>
      </c>
      <c r="L453" s="191">
        <v>-0.96748512603333348</v>
      </c>
      <c r="M453" s="191">
        <v>-0.31479325381839296</v>
      </c>
      <c r="N453" s="191">
        <v>0</v>
      </c>
      <c r="O453" s="191">
        <v>0</v>
      </c>
      <c r="P453" s="191">
        <v>2.6019872478175401E-2</v>
      </c>
      <c r="Q453" s="191">
        <v>3.13814477385191E-2</v>
      </c>
      <c r="R453" s="191">
        <v>4.8912868971973202E-2</v>
      </c>
      <c r="T453" s="46">
        <v>5</v>
      </c>
      <c r="U453" s="53" t="s">
        <v>237</v>
      </c>
      <c r="V453" s="47" t="s">
        <v>237</v>
      </c>
      <c r="W453" s="47" t="s">
        <v>547</v>
      </c>
      <c r="X453" s="47" t="s">
        <v>553</v>
      </c>
      <c r="Y453" s="58">
        <v>2.8533815875203707</v>
      </c>
      <c r="Z453" s="193">
        <v>1.0711602172222223</v>
      </c>
      <c r="AB453" s="3"/>
      <c r="AC453" s="3"/>
      <c r="AD453" s="3"/>
      <c r="AE453" s="3"/>
      <c r="AF453" s="3"/>
      <c r="AG453" s="83"/>
    </row>
    <row r="454" spans="6:33">
      <c r="F454" s="370">
        <v>5</v>
      </c>
      <c r="G454" s="137" t="s">
        <v>247</v>
      </c>
      <c r="H454" s="136" t="s">
        <v>248</v>
      </c>
      <c r="I454" s="136" t="s">
        <v>547</v>
      </c>
      <c r="J454" s="136" t="s">
        <v>553</v>
      </c>
      <c r="K454" s="191">
        <v>-1.0606100000000001</v>
      </c>
      <c r="L454" s="191">
        <v>-0.97753179270000001</v>
      </c>
      <c r="M454" s="191">
        <v>-0.1687550797948309</v>
      </c>
      <c r="N454" s="191">
        <v>0</v>
      </c>
      <c r="O454" s="191">
        <v>0</v>
      </c>
      <c r="P454" s="191">
        <v>2.60198785327483E-2</v>
      </c>
      <c r="Q454" s="191">
        <v>3.5043740154537401E-2</v>
      </c>
      <c r="R454" s="191">
        <v>4.8911685366366399E-2</v>
      </c>
      <c r="T454" s="46">
        <v>5</v>
      </c>
      <c r="U454" s="53" t="s">
        <v>237</v>
      </c>
      <c r="V454" s="47" t="s">
        <v>246</v>
      </c>
      <c r="W454" s="47" t="s">
        <v>547</v>
      </c>
      <c r="X454" s="47" t="s">
        <v>553</v>
      </c>
      <c r="Y454" s="58">
        <v>7.3412433500000009</v>
      </c>
      <c r="Z454" s="193">
        <v>0.66842500000000005</v>
      </c>
      <c r="AB454" s="3" t="s">
        <v>526</v>
      </c>
      <c r="AC454" s="125">
        <v>0.77500000000000002</v>
      </c>
      <c r="AD454" s="3">
        <v>8.1306407300000008E-2</v>
      </c>
      <c r="AE454" s="3" t="s">
        <v>531</v>
      </c>
      <c r="AF454" s="3"/>
      <c r="AG454" s="3"/>
    </row>
    <row r="455" spans="6:33">
      <c r="F455" s="370">
        <v>5</v>
      </c>
      <c r="G455" s="137" t="s">
        <v>247</v>
      </c>
      <c r="H455" s="136" t="s">
        <v>263</v>
      </c>
      <c r="I455" s="136" t="s">
        <v>547</v>
      </c>
      <c r="J455" s="136" t="s">
        <v>553</v>
      </c>
      <c r="K455" s="191">
        <v>-1.0341199999999999</v>
      </c>
      <c r="L455" s="191">
        <v>-0.95104179269999989</v>
      </c>
      <c r="M455" s="191">
        <v>-0.1687550797948309</v>
      </c>
      <c r="N455" s="191">
        <v>0</v>
      </c>
      <c r="O455" s="191">
        <v>0</v>
      </c>
      <c r="P455" s="191">
        <v>2.601988228533E-2</v>
      </c>
      <c r="Q455" s="191">
        <v>3.7239157158854501E-2</v>
      </c>
      <c r="R455" s="191">
        <v>4.8911760934504701E-2</v>
      </c>
      <c r="T455" s="46">
        <v>5</v>
      </c>
      <c r="U455" s="53" t="s">
        <v>237</v>
      </c>
      <c r="V455" s="28" t="s">
        <v>10162</v>
      </c>
      <c r="W455" s="47" t="s">
        <v>547</v>
      </c>
      <c r="X455" s="47" t="s">
        <v>553</v>
      </c>
      <c r="Y455" s="58">
        <v>2.8533815875203707</v>
      </c>
      <c r="Z455" s="193">
        <v>1.0711602172222223</v>
      </c>
      <c r="AB455" s="3" t="s">
        <v>526</v>
      </c>
      <c r="AC455" s="125">
        <v>0.72499999999999998</v>
      </c>
      <c r="AD455" s="3">
        <v>8.1306407300000008E-2</v>
      </c>
      <c r="AE455" s="3" t="s">
        <v>531</v>
      </c>
      <c r="AF455" s="3"/>
      <c r="AG455" s="3"/>
    </row>
    <row r="456" spans="6:33">
      <c r="F456" s="370">
        <v>5</v>
      </c>
      <c r="G456" s="137" t="s">
        <v>247</v>
      </c>
      <c r="H456" s="136" t="s">
        <v>539</v>
      </c>
      <c r="I456" s="136" t="s">
        <v>547</v>
      </c>
      <c r="J456" s="136" t="s">
        <v>553</v>
      </c>
      <c r="K456" s="191">
        <v>-1.0569599999999999</v>
      </c>
      <c r="L456" s="191">
        <v>-0.97388179269999986</v>
      </c>
      <c r="M456" s="191">
        <v>-0.17408418757782557</v>
      </c>
      <c r="N456" s="191">
        <v>0</v>
      </c>
      <c r="O456" s="191">
        <v>0</v>
      </c>
      <c r="P456" s="191">
        <v>2.60198626805818E-2</v>
      </c>
      <c r="Q456" s="191">
        <v>2.5482742381461199E-2</v>
      </c>
      <c r="R456" s="191">
        <v>4.8914143724643401E-2</v>
      </c>
      <c r="T456" s="46">
        <v>5</v>
      </c>
      <c r="U456" s="53" t="s">
        <v>252</v>
      </c>
      <c r="V456" s="28" t="s">
        <v>333</v>
      </c>
      <c r="W456" s="47" t="s">
        <v>547</v>
      </c>
      <c r="X456" s="47" t="s">
        <v>553</v>
      </c>
      <c r="Y456" s="58">
        <v>2.0953266666666663</v>
      </c>
      <c r="Z456" s="193">
        <v>1.77911</v>
      </c>
      <c r="AB456" s="3" t="s">
        <v>526</v>
      </c>
      <c r="AC456" s="125">
        <v>0.72499999999999998</v>
      </c>
      <c r="AD456" s="3">
        <v>8.1306407300000008E-2</v>
      </c>
      <c r="AE456" s="3" t="s">
        <v>531</v>
      </c>
      <c r="AF456" s="3"/>
      <c r="AG456" s="3"/>
    </row>
    <row r="457" spans="6:33">
      <c r="F457" s="370">
        <v>5</v>
      </c>
      <c r="G457" s="137" t="s">
        <v>247</v>
      </c>
      <c r="H457" s="136" t="s">
        <v>270</v>
      </c>
      <c r="I457" s="136" t="s">
        <v>547</v>
      </c>
      <c r="J457" s="136" t="s">
        <v>553</v>
      </c>
      <c r="K457" s="191">
        <v>-1.0505633333333335</v>
      </c>
      <c r="L457" s="191">
        <v>-0.96748512603333348</v>
      </c>
      <c r="M457" s="191">
        <v>-0.31479325381839296</v>
      </c>
      <c r="N457" s="191">
        <v>0</v>
      </c>
      <c r="O457" s="191">
        <v>0</v>
      </c>
      <c r="P457" s="191">
        <v>2.6019872478175401E-2</v>
      </c>
      <c r="Q457" s="191">
        <v>3.13814477385191E-2</v>
      </c>
      <c r="R457" s="191">
        <v>4.8912868971973202E-2</v>
      </c>
      <c r="T457" s="46">
        <v>5</v>
      </c>
      <c r="U457" s="53" t="s">
        <v>239</v>
      </c>
      <c r="V457" s="3" t="s">
        <v>542</v>
      </c>
      <c r="W457" s="47" t="s">
        <v>547</v>
      </c>
      <c r="X457" s="47" t="s">
        <v>553</v>
      </c>
      <c r="Y457" s="58">
        <v>2.6644477777777777</v>
      </c>
      <c r="Z457" s="193">
        <v>0.64099666666666666</v>
      </c>
      <c r="AB457" s="3" t="s">
        <v>526</v>
      </c>
      <c r="AC457" s="125">
        <v>0.64600000000000002</v>
      </c>
      <c r="AD457" s="3">
        <v>8.1306407300000008E-2</v>
      </c>
      <c r="AE457" s="3" t="s">
        <v>531</v>
      </c>
      <c r="AF457" s="3" t="s">
        <v>526</v>
      </c>
      <c r="AG457" s="83">
        <v>0.8</v>
      </c>
    </row>
    <row r="458" spans="6:33">
      <c r="F458" s="370">
        <v>5</v>
      </c>
      <c r="G458" s="137" t="s">
        <v>247</v>
      </c>
      <c r="H458" s="136" t="s">
        <v>540</v>
      </c>
      <c r="I458" s="136" t="s">
        <v>547</v>
      </c>
      <c r="J458" s="136" t="s">
        <v>553</v>
      </c>
      <c r="K458" s="191">
        <v>-1.0473650000000001</v>
      </c>
      <c r="L458" s="191">
        <v>-0.96428679270000006</v>
      </c>
      <c r="M458" s="191">
        <v>0</v>
      </c>
      <c r="N458" s="191">
        <v>0</v>
      </c>
      <c r="O458" s="191">
        <v>0</v>
      </c>
      <c r="P458" s="191">
        <v>2.60198557783172E-2</v>
      </c>
      <c r="Q458" s="191">
        <v>2.76776392305495E-2</v>
      </c>
      <c r="R458" s="191">
        <v>4.8913699137554598E-2</v>
      </c>
      <c r="T458" s="46">
        <v>5</v>
      </c>
      <c r="U458" s="53" t="s">
        <v>237</v>
      </c>
      <c r="V458" s="3" t="s">
        <v>238</v>
      </c>
      <c r="W458" s="47" t="s">
        <v>547</v>
      </c>
      <c r="X458" s="47" t="s">
        <v>553</v>
      </c>
      <c r="Y458" s="58">
        <v>2.7046544444444445</v>
      </c>
      <c r="Z458" s="193">
        <v>1.2161291666666667</v>
      </c>
      <c r="AB458" s="3"/>
      <c r="AC458" s="3"/>
      <c r="AD458" s="3"/>
      <c r="AE458" s="3"/>
      <c r="AF458" s="3" t="s">
        <v>526</v>
      </c>
      <c r="AG458" s="83">
        <v>0.88</v>
      </c>
    </row>
    <row r="459" spans="6:33">
      <c r="F459" s="370">
        <v>5</v>
      </c>
      <c r="G459" s="137" t="s">
        <v>261</v>
      </c>
      <c r="H459" s="136" t="s">
        <v>260</v>
      </c>
      <c r="I459" s="136" t="s">
        <v>547</v>
      </c>
      <c r="J459" s="136" t="s">
        <v>553</v>
      </c>
      <c r="K459" s="191">
        <v>-4.0364225925925927</v>
      </c>
      <c r="L459" s="191">
        <v>0</v>
      </c>
      <c r="M459" s="191">
        <v>0</v>
      </c>
      <c r="N459" s="191">
        <v>-0.50297991011144205</v>
      </c>
      <c r="O459" s="191">
        <v>-0.86400481642034499</v>
      </c>
      <c r="P459" s="191">
        <v>-0.15648376345333601</v>
      </c>
      <c r="Q459" s="191">
        <v>-0.234244773470244</v>
      </c>
      <c r="R459" s="191">
        <v>2.7529222470223401E-2</v>
      </c>
      <c r="T459" s="46">
        <v>5</v>
      </c>
      <c r="U459" s="53" t="s">
        <v>264</v>
      </c>
      <c r="V459" s="3" t="s">
        <v>264</v>
      </c>
      <c r="W459" s="47" t="s">
        <v>547</v>
      </c>
      <c r="X459" s="47" t="s">
        <v>553</v>
      </c>
      <c r="Y459" s="58">
        <v>1.9287117500000002</v>
      </c>
      <c r="Z459" s="193">
        <v>0.467055</v>
      </c>
      <c r="AB459" s="3" t="s">
        <v>526</v>
      </c>
      <c r="AC459" s="125">
        <v>0.64600000000000002</v>
      </c>
      <c r="AD459" s="3">
        <v>8.1306407300000008E-2</v>
      </c>
      <c r="AE459" s="3" t="s">
        <v>531</v>
      </c>
      <c r="AF459" s="3" t="s">
        <v>526</v>
      </c>
      <c r="AG459" s="83">
        <v>0.8</v>
      </c>
    </row>
    <row r="460" spans="6:33">
      <c r="F460" s="370">
        <v>5</v>
      </c>
      <c r="G460" s="137" t="s">
        <v>10157</v>
      </c>
      <c r="H460" s="136" t="s">
        <v>10157</v>
      </c>
      <c r="I460" s="136" t="s">
        <v>547</v>
      </c>
      <c r="J460" s="136" t="s">
        <v>553</v>
      </c>
      <c r="K460" s="191">
        <v>-2.8533815875203707</v>
      </c>
      <c r="L460" s="191">
        <v>-1.4249189937601854</v>
      </c>
      <c r="M460" s="191">
        <v>0</v>
      </c>
      <c r="N460" s="191">
        <v>0</v>
      </c>
      <c r="O460" s="191">
        <v>0</v>
      </c>
      <c r="P460" s="191">
        <v>-0.45066341412979605</v>
      </c>
      <c r="Q460" s="191">
        <v>-0.52706425150863701</v>
      </c>
      <c r="R460" s="191">
        <v>2.7968353772995301E-2</v>
      </c>
      <c r="T460" s="46">
        <v>5</v>
      </c>
      <c r="U460" s="53" t="s">
        <v>264</v>
      </c>
      <c r="V460" s="3" t="s">
        <v>336</v>
      </c>
      <c r="W460" s="47" t="s">
        <v>547</v>
      </c>
      <c r="X460" s="47" t="s">
        <v>553</v>
      </c>
      <c r="Y460" s="58">
        <v>0.76351350000000007</v>
      </c>
      <c r="Z460" s="193">
        <v>0.43603999999999998</v>
      </c>
      <c r="AB460" s="3"/>
      <c r="AC460" s="3"/>
      <c r="AD460" s="3"/>
      <c r="AE460" s="3"/>
      <c r="AF460" s="3" t="s">
        <v>526</v>
      </c>
      <c r="AG460" s="83">
        <v>0.65</v>
      </c>
    </row>
    <row r="461" spans="6:33">
      <c r="F461" s="370">
        <v>5</v>
      </c>
      <c r="G461" s="137" t="s">
        <v>10157</v>
      </c>
      <c r="H461" s="136" t="s">
        <v>246</v>
      </c>
      <c r="I461" s="136" t="s">
        <v>547</v>
      </c>
      <c r="J461" s="136" t="s">
        <v>553</v>
      </c>
      <c r="K461" s="191">
        <v>-7.3412433500000009</v>
      </c>
      <c r="L461" s="191">
        <v>0</v>
      </c>
      <c r="M461" s="191">
        <v>0</v>
      </c>
      <c r="N461" s="191">
        <v>0</v>
      </c>
      <c r="O461" s="191">
        <v>0</v>
      </c>
      <c r="P461" s="191">
        <v>2.60199072451834E-2</v>
      </c>
      <c r="Q461" s="191">
        <v>4.1945011672943601E-2</v>
      </c>
      <c r="R461" s="191">
        <v>4.89113522447885E-2</v>
      </c>
      <c r="T461" s="46">
        <v>5</v>
      </c>
      <c r="U461" s="53" t="s">
        <v>242</v>
      </c>
      <c r="V461" s="3" t="s">
        <v>251</v>
      </c>
      <c r="W461" s="47" t="s">
        <v>547</v>
      </c>
      <c r="X461" s="47" t="s">
        <v>553</v>
      </c>
      <c r="Y461" s="58">
        <v>4.9218200000000003</v>
      </c>
      <c r="Z461" s="193">
        <v>0.15096000000000001</v>
      </c>
      <c r="AB461" s="3"/>
      <c r="AC461" s="3"/>
      <c r="AD461" s="3"/>
      <c r="AE461" s="3"/>
      <c r="AF461" s="3" t="s">
        <v>526</v>
      </c>
      <c r="AG461" s="83">
        <v>0.65</v>
      </c>
    </row>
    <row r="462" spans="6:33" ht="28.8">
      <c r="F462" s="370">
        <v>5</v>
      </c>
      <c r="G462" s="137" t="s">
        <v>10157</v>
      </c>
      <c r="H462" s="136" t="s">
        <v>10162</v>
      </c>
      <c r="I462" s="136" t="s">
        <v>547</v>
      </c>
      <c r="J462" s="136" t="s">
        <v>553</v>
      </c>
      <c r="K462" s="191">
        <v>-2.8533815875203707</v>
      </c>
      <c r="L462" s="191">
        <v>0</v>
      </c>
      <c r="M462" s="191">
        <v>0</v>
      </c>
      <c r="N462" s="191">
        <v>-1.0284035670827674</v>
      </c>
      <c r="O462" s="191">
        <v>-1.594759790769577</v>
      </c>
      <c r="P462" s="191">
        <v>-0.45066341412979605</v>
      </c>
      <c r="Q462" s="191">
        <v>-0.52706425150863701</v>
      </c>
      <c r="R462" s="191">
        <v>2.7968353772995301E-2</v>
      </c>
      <c r="T462" s="46">
        <v>5</v>
      </c>
      <c r="U462" s="53" t="s">
        <v>242</v>
      </c>
      <c r="V462" s="3" t="s">
        <v>543</v>
      </c>
      <c r="W462" s="47" t="s">
        <v>547</v>
      </c>
      <c r="X462" s="47" t="s">
        <v>553</v>
      </c>
      <c r="Y462" s="58">
        <v>1.00081</v>
      </c>
      <c r="Z462" s="193">
        <v>0.33138000000000001</v>
      </c>
      <c r="AB462" s="3"/>
      <c r="AC462" s="3"/>
      <c r="AD462" s="3"/>
      <c r="AE462" s="3"/>
      <c r="AF462" s="3" t="s">
        <v>526</v>
      </c>
      <c r="AG462" s="83">
        <v>0.65</v>
      </c>
    </row>
    <row r="463" spans="6:33">
      <c r="F463" s="370">
        <v>5</v>
      </c>
      <c r="G463" s="137" t="s">
        <v>252</v>
      </c>
      <c r="H463" s="136" t="s">
        <v>333</v>
      </c>
      <c r="I463" s="136" t="s">
        <v>547</v>
      </c>
      <c r="J463" s="136" t="s">
        <v>553</v>
      </c>
      <c r="K463" s="191">
        <v>-2.0953266666666663</v>
      </c>
      <c r="L463" s="191">
        <v>0</v>
      </c>
      <c r="M463" s="191">
        <v>-4.4031927097256318</v>
      </c>
      <c r="N463" s="191">
        <v>0</v>
      </c>
      <c r="O463" s="191">
        <v>0</v>
      </c>
      <c r="P463" s="191">
        <v>2.6019879277753101E-2</v>
      </c>
      <c r="Q463" s="191">
        <v>0.65959040494211596</v>
      </c>
      <c r="R463" s="191">
        <v>2.1870242856928401</v>
      </c>
      <c r="T463" s="46">
        <v>5</v>
      </c>
      <c r="U463" s="53" t="s">
        <v>264</v>
      </c>
      <c r="V463" s="3" t="s">
        <v>544</v>
      </c>
      <c r="W463" s="47" t="s">
        <v>547</v>
      </c>
      <c r="X463" s="47" t="s">
        <v>553</v>
      </c>
      <c r="Y463" s="58">
        <v>3.0939100000000002</v>
      </c>
      <c r="Z463" s="193">
        <v>0.49807000000000001</v>
      </c>
      <c r="AB463" s="3"/>
      <c r="AC463" s="3"/>
      <c r="AD463" s="3"/>
      <c r="AE463" s="3"/>
      <c r="AF463" s="3" t="s">
        <v>526</v>
      </c>
      <c r="AG463" s="83">
        <v>0.8</v>
      </c>
    </row>
    <row r="464" spans="6:33">
      <c r="F464" s="370">
        <v>5</v>
      </c>
      <c r="G464" s="137" t="s">
        <v>239</v>
      </c>
      <c r="H464" s="136" t="s">
        <v>542</v>
      </c>
      <c r="I464" s="136" t="s">
        <v>547</v>
      </c>
      <c r="J464" s="136" t="s">
        <v>553</v>
      </c>
      <c r="K464" s="191">
        <v>-2.6644477777777777</v>
      </c>
      <c r="L464" s="191">
        <v>0</v>
      </c>
      <c r="M464" s="191">
        <v>-0.81120247843016002</v>
      </c>
      <c r="N464" s="191">
        <v>-1.6289204631588901</v>
      </c>
      <c r="O464" s="191">
        <v>-2.3853817279456502</v>
      </c>
      <c r="P464" s="191">
        <v>-0.63000031941498502</v>
      </c>
      <c r="Q464" s="191">
        <v>-0.82226405511991896</v>
      </c>
      <c r="R464" s="191">
        <v>2.74714200585238E-2</v>
      </c>
      <c r="T464" s="46">
        <v>5</v>
      </c>
      <c r="U464" s="53" t="s">
        <v>237</v>
      </c>
      <c r="V464" s="3" t="s">
        <v>545</v>
      </c>
      <c r="W464" s="47" t="s">
        <v>547</v>
      </c>
      <c r="X464" s="47" t="s">
        <v>553</v>
      </c>
      <c r="Y464" s="58">
        <v>2.8533815875203707</v>
      </c>
      <c r="Z464" s="193">
        <v>1.0711602172222223</v>
      </c>
      <c r="AB464" s="3"/>
      <c r="AC464" s="3"/>
      <c r="AD464" s="3"/>
      <c r="AE464" s="3"/>
      <c r="AF464" s="3"/>
      <c r="AG464" s="3"/>
    </row>
    <row r="465" spans="6:33">
      <c r="F465" s="370">
        <v>5</v>
      </c>
      <c r="G465" s="137" t="s">
        <v>10157</v>
      </c>
      <c r="H465" s="136" t="s">
        <v>238</v>
      </c>
      <c r="I465" s="136" t="s">
        <v>547</v>
      </c>
      <c r="J465" s="136" t="s">
        <v>553</v>
      </c>
      <c r="K465" s="191">
        <v>-2.7046544444444445</v>
      </c>
      <c r="L465" s="191">
        <v>0</v>
      </c>
      <c r="M465" s="191">
        <v>0</v>
      </c>
      <c r="N465" s="191">
        <v>0</v>
      </c>
      <c r="O465" s="191">
        <v>0</v>
      </c>
      <c r="P465" s="191">
        <v>-0.13800515967078536</v>
      </c>
      <c r="Q465" s="191">
        <v>-5.6311768200036527E-2</v>
      </c>
      <c r="R465" s="191">
        <v>0.5464270513940499</v>
      </c>
      <c r="T465" s="46">
        <v>6</v>
      </c>
      <c r="U465" s="53"/>
      <c r="V465" s="47"/>
      <c r="W465" s="47" t="s">
        <v>547</v>
      </c>
      <c r="X465" s="47" t="s">
        <v>556</v>
      </c>
      <c r="Y465" s="58" t="s">
        <v>525</v>
      </c>
      <c r="Z465" s="193" t="s">
        <v>525</v>
      </c>
      <c r="AB465" s="3"/>
      <c r="AC465" s="3"/>
      <c r="AD465" s="3"/>
      <c r="AE465" s="3"/>
      <c r="AF465" s="3"/>
      <c r="AG465" s="3"/>
    </row>
    <row r="466" spans="6:33" ht="28.8">
      <c r="F466" s="370">
        <v>5</v>
      </c>
      <c r="G466" s="137" t="s">
        <v>264</v>
      </c>
      <c r="H466" s="136" t="s">
        <v>10184</v>
      </c>
      <c r="I466" s="136" t="s">
        <v>547</v>
      </c>
      <c r="J466" s="136" t="s">
        <v>553</v>
      </c>
      <c r="K466" s="191">
        <v>-1.9287117500000002</v>
      </c>
      <c r="L466" s="191">
        <v>-1.1070613798500002</v>
      </c>
      <c r="M466" s="191">
        <v>0.15112249999999994</v>
      </c>
      <c r="N466" s="191">
        <v>0</v>
      </c>
      <c r="O466" s="191">
        <v>0</v>
      </c>
      <c r="P466" s="191">
        <v>-0.32805267526618676</v>
      </c>
      <c r="Q466" s="191">
        <v>-0.46613679124005147</v>
      </c>
      <c r="R466" s="191">
        <v>0.46068833513655338</v>
      </c>
      <c r="T466" s="46">
        <v>6</v>
      </c>
      <c r="U466" s="53"/>
      <c r="V466" s="47"/>
      <c r="W466" s="47" t="s">
        <v>547</v>
      </c>
      <c r="X466" s="47" t="s">
        <v>556</v>
      </c>
      <c r="Y466" s="58" t="s">
        <v>525</v>
      </c>
      <c r="Z466" s="193" t="s">
        <v>525</v>
      </c>
      <c r="AB466" s="3"/>
      <c r="AC466" s="3"/>
      <c r="AD466" s="3"/>
      <c r="AE466" s="3"/>
      <c r="AF466" s="3" t="s">
        <v>526</v>
      </c>
      <c r="AG466" s="83">
        <v>0.95</v>
      </c>
    </row>
    <row r="467" spans="6:33">
      <c r="F467" s="370">
        <v>5</v>
      </c>
      <c r="G467" s="137" t="s">
        <v>264</v>
      </c>
      <c r="H467" s="136" t="s">
        <v>336</v>
      </c>
      <c r="I467" s="136" t="s">
        <v>547</v>
      </c>
      <c r="J467" s="136" t="s">
        <v>553</v>
      </c>
      <c r="K467" s="191">
        <v>-0.76351350000000007</v>
      </c>
      <c r="L467" s="191">
        <v>-0.34968251735000005</v>
      </c>
      <c r="M467" s="191">
        <v>0</v>
      </c>
      <c r="N467" s="191">
        <v>-1.6469256542723201</v>
      </c>
      <c r="O467" s="191">
        <v>-2.6210623531569701</v>
      </c>
      <c r="P467" s="191">
        <v>-0.99508058129495847</v>
      </c>
      <c r="Q467" s="191">
        <v>-0.70216443088315694</v>
      </c>
      <c r="R467" s="191">
        <v>0.21208127159581985</v>
      </c>
      <c r="T467" s="46">
        <v>6</v>
      </c>
      <c r="U467" s="53"/>
      <c r="V467" s="47"/>
      <c r="W467" s="47" t="s">
        <v>547</v>
      </c>
      <c r="X467" s="47" t="s">
        <v>556</v>
      </c>
      <c r="Y467" s="58" t="s">
        <v>525</v>
      </c>
      <c r="Z467" s="193" t="s">
        <v>525</v>
      </c>
      <c r="AB467" s="3" t="s">
        <v>526</v>
      </c>
      <c r="AC467" s="125">
        <v>1</v>
      </c>
      <c r="AD467" s="3">
        <v>8.1306407300000008E-2</v>
      </c>
      <c r="AE467" s="3" t="s">
        <v>531</v>
      </c>
      <c r="AF467" s="3" t="s">
        <v>526</v>
      </c>
      <c r="AG467" s="83">
        <v>0.95</v>
      </c>
    </row>
    <row r="468" spans="6:33">
      <c r="F468" s="370">
        <v>5</v>
      </c>
      <c r="G468" s="137" t="s">
        <v>242</v>
      </c>
      <c r="H468" s="136" t="s">
        <v>251</v>
      </c>
      <c r="I468" s="136" t="s">
        <v>547</v>
      </c>
      <c r="J468" s="136" t="s">
        <v>553</v>
      </c>
      <c r="K468" s="191">
        <v>-4.9218200000000003</v>
      </c>
      <c r="L468" s="191">
        <v>-3.5665477000000001</v>
      </c>
      <c r="M468" s="191">
        <v>-1.2190350000000001</v>
      </c>
      <c r="N468" s="191">
        <v>0</v>
      </c>
      <c r="O468" s="191">
        <v>0</v>
      </c>
      <c r="P468" s="191">
        <v>2.5955923301467301E-2</v>
      </c>
      <c r="Q468" s="191">
        <v>0.23464321616709066</v>
      </c>
      <c r="R468" s="191">
        <v>0.85351183706723865</v>
      </c>
      <c r="T468" s="46">
        <v>6</v>
      </c>
      <c r="U468" s="53"/>
      <c r="V468" s="47"/>
      <c r="W468" s="47" t="s">
        <v>547</v>
      </c>
      <c r="X468" s="47" t="s">
        <v>556</v>
      </c>
      <c r="Y468" s="58" t="s">
        <v>525</v>
      </c>
      <c r="Z468" s="193" t="s">
        <v>525</v>
      </c>
      <c r="AB468" s="3" t="s">
        <v>526</v>
      </c>
      <c r="AC468" s="125">
        <v>1</v>
      </c>
      <c r="AD468" s="3">
        <v>8.1306407300000008E-2</v>
      </c>
      <c r="AE468" s="3" t="s">
        <v>531</v>
      </c>
      <c r="AF468" s="3" t="s">
        <v>526</v>
      </c>
      <c r="AG468" s="83">
        <v>0.95</v>
      </c>
    </row>
    <row r="469" spans="6:33">
      <c r="F469" s="370">
        <v>5</v>
      </c>
      <c r="G469" s="137" t="s">
        <v>242</v>
      </c>
      <c r="H469" s="136" t="s">
        <v>543</v>
      </c>
      <c r="I469" s="136" t="s">
        <v>547</v>
      </c>
      <c r="J469" s="136" t="s">
        <v>553</v>
      </c>
      <c r="K469" s="191">
        <v>-1.00081</v>
      </c>
      <c r="L469" s="191">
        <v>-0.72381545000000003</v>
      </c>
      <c r="M469" s="191">
        <v>-0.20626249999999999</v>
      </c>
      <c r="N469" s="191">
        <v>0</v>
      </c>
      <c r="O469" s="191">
        <v>0</v>
      </c>
      <c r="P469" s="191">
        <v>2.5860000000000001E-2</v>
      </c>
      <c r="Q469" s="191">
        <v>4.1945011672945703E-2</v>
      </c>
      <c r="R469" s="191">
        <v>4.89113522447873E-2</v>
      </c>
      <c r="T469" s="46">
        <v>6</v>
      </c>
      <c r="U469" s="53" t="s">
        <v>330</v>
      </c>
      <c r="V469" s="47" t="s">
        <v>330</v>
      </c>
      <c r="W469" s="47" t="s">
        <v>547</v>
      </c>
      <c r="X469" s="47" t="s">
        <v>556</v>
      </c>
      <c r="Y469" s="58">
        <v>0.14119999999999999</v>
      </c>
      <c r="Z469" s="193">
        <v>0.43014000000000002</v>
      </c>
      <c r="AB469" s="3" t="s">
        <v>526</v>
      </c>
      <c r="AC469" s="125">
        <v>1</v>
      </c>
      <c r="AD469" s="3">
        <v>8.1306407300000008E-2</v>
      </c>
      <c r="AE469" s="3" t="s">
        <v>531</v>
      </c>
      <c r="AF469" s="3"/>
      <c r="AG469" s="3"/>
    </row>
    <row r="470" spans="6:33">
      <c r="F470" s="370">
        <v>5</v>
      </c>
      <c r="G470" s="137" t="s">
        <v>264</v>
      </c>
      <c r="H470" s="136" t="s">
        <v>544</v>
      </c>
      <c r="I470" s="136" t="s">
        <v>547</v>
      </c>
      <c r="J470" s="136" t="s">
        <v>553</v>
      </c>
      <c r="K470" s="191">
        <v>-3.0939100000000002</v>
      </c>
      <c r="L470" s="191">
        <v>-1.8644402423500002</v>
      </c>
      <c r="M470" s="191">
        <v>0.15112249999999994</v>
      </c>
      <c r="N470" s="191">
        <v>0</v>
      </c>
      <c r="O470" s="191">
        <v>0</v>
      </c>
      <c r="P470" s="191">
        <v>0.33897523076258501</v>
      </c>
      <c r="Q470" s="191">
        <v>-0.230109151596946</v>
      </c>
      <c r="R470" s="191">
        <v>0.70929539867728697</v>
      </c>
      <c r="T470" s="46">
        <v>6</v>
      </c>
      <c r="U470" s="53" t="s">
        <v>330</v>
      </c>
      <c r="V470" s="47" t="s">
        <v>335</v>
      </c>
      <c r="W470" s="47" t="s">
        <v>547</v>
      </c>
      <c r="X470" s="47" t="s">
        <v>556</v>
      </c>
      <c r="Y470" s="58">
        <v>0.26272000000000001</v>
      </c>
      <c r="Z470" s="193">
        <v>0.43014000000000002</v>
      </c>
      <c r="AB470" s="3"/>
      <c r="AC470" s="3"/>
      <c r="AD470" s="3"/>
      <c r="AE470" s="3"/>
      <c r="AF470" s="3" t="s">
        <v>526</v>
      </c>
      <c r="AG470" s="83">
        <v>0.95</v>
      </c>
    </row>
    <row r="471" spans="6:33">
      <c r="F471" s="370">
        <v>5</v>
      </c>
      <c r="G471" s="137" t="s">
        <v>10157</v>
      </c>
      <c r="H471" s="136" t="s">
        <v>545</v>
      </c>
      <c r="I471" s="136" t="s">
        <v>547</v>
      </c>
      <c r="J471" s="136" t="s">
        <v>553</v>
      </c>
      <c r="K471" s="191">
        <v>-2.8533815875203707</v>
      </c>
      <c r="L471" s="191">
        <v>0</v>
      </c>
      <c r="M471" s="191">
        <v>0</v>
      </c>
      <c r="N471" s="191">
        <v>0</v>
      </c>
      <c r="O471" s="191">
        <v>0</v>
      </c>
      <c r="P471" s="191">
        <v>-0.45066341412979605</v>
      </c>
      <c r="Q471" s="191">
        <v>-0.52706425150863701</v>
      </c>
      <c r="R471" s="191">
        <v>2.7968353772995301E-2</v>
      </c>
      <c r="T471" s="46">
        <v>6</v>
      </c>
      <c r="U471" s="53" t="s">
        <v>330</v>
      </c>
      <c r="V471" s="47" t="s">
        <v>326</v>
      </c>
      <c r="W471" s="47" t="s">
        <v>547</v>
      </c>
      <c r="X471" s="47" t="s">
        <v>556</v>
      </c>
      <c r="Y471" s="58">
        <v>0.14119999999999999</v>
      </c>
      <c r="Z471" s="193">
        <v>0.43014000000000002</v>
      </c>
      <c r="AB471" s="3" t="s">
        <v>526</v>
      </c>
      <c r="AC471" s="125">
        <v>1</v>
      </c>
      <c r="AD471" s="3">
        <v>0</v>
      </c>
      <c r="AE471" s="3" t="s">
        <v>527</v>
      </c>
      <c r="AF471" s="3" t="s">
        <v>526</v>
      </c>
      <c r="AG471" s="83">
        <v>0.9</v>
      </c>
    </row>
    <row r="472" spans="6:33" ht="28.8">
      <c r="F472" s="370">
        <v>5</v>
      </c>
      <c r="G472" s="137" t="s">
        <v>10169</v>
      </c>
      <c r="H472" s="136" t="s">
        <v>10170</v>
      </c>
      <c r="I472" s="136" t="s">
        <v>547</v>
      </c>
      <c r="J472" s="136" t="s">
        <v>553</v>
      </c>
      <c r="K472" s="191">
        <v>-0.74582333333333339</v>
      </c>
      <c r="L472" s="191">
        <v>-0.58351400000000009</v>
      </c>
      <c r="M472" s="191">
        <v>0.3259926084346883</v>
      </c>
      <c r="N472" s="191">
        <v>0</v>
      </c>
      <c r="O472" s="191">
        <v>0</v>
      </c>
      <c r="P472" s="191">
        <v>0.45668176288049178</v>
      </c>
      <c r="Q472" s="191">
        <v>1.0683983533052401</v>
      </c>
      <c r="R472" s="191">
        <v>1.142290877337675</v>
      </c>
      <c r="T472" s="46">
        <v>6</v>
      </c>
      <c r="U472" s="53" t="s">
        <v>529</v>
      </c>
      <c r="V472" s="47" t="s">
        <v>529</v>
      </c>
      <c r="W472" s="47" t="s">
        <v>547</v>
      </c>
      <c r="X472" s="47" t="s">
        <v>556</v>
      </c>
      <c r="Y472" s="58">
        <v>4.72241</v>
      </c>
      <c r="Z472" s="193">
        <v>1.758</v>
      </c>
      <c r="AB472" s="3" t="s">
        <v>526</v>
      </c>
      <c r="AC472" s="125">
        <v>1</v>
      </c>
      <c r="AD472" s="3">
        <v>8.1306407300000008E-2</v>
      </c>
      <c r="AE472" s="3" t="s">
        <v>531</v>
      </c>
      <c r="AF472" s="3" t="s">
        <v>526</v>
      </c>
      <c r="AG472" s="83">
        <v>0.9</v>
      </c>
    </row>
    <row r="473" spans="6:33" ht="28.8">
      <c r="F473" s="370">
        <v>6</v>
      </c>
      <c r="G473" s="137" t="s">
        <v>233</v>
      </c>
      <c r="H473" s="136" t="s">
        <v>10178</v>
      </c>
      <c r="I473" s="136" t="s">
        <v>547</v>
      </c>
      <c r="J473" s="136" t="s">
        <v>556</v>
      </c>
      <c r="K473" s="191">
        <v>0</v>
      </c>
      <c r="L473" s="191">
        <v>-0.13905086666666666</v>
      </c>
      <c r="M473" s="191">
        <v>0</v>
      </c>
      <c r="N473" s="191">
        <v>-1.4414069883318792</v>
      </c>
      <c r="O473" s="191">
        <v>-2.0497940328886326</v>
      </c>
      <c r="P473" s="191">
        <v>-0.95369676715598761</v>
      </c>
      <c r="Q473" s="191">
        <v>-0.94188890176929407</v>
      </c>
      <c r="R473" s="191">
        <v>3.3142922198131336E-2</v>
      </c>
      <c r="T473" s="46">
        <v>6</v>
      </c>
      <c r="U473" s="53" t="s">
        <v>529</v>
      </c>
      <c r="V473" s="47" t="s">
        <v>327</v>
      </c>
      <c r="W473" s="47" t="s">
        <v>547</v>
      </c>
      <c r="X473" s="47" t="s">
        <v>556</v>
      </c>
      <c r="Y473" s="58">
        <v>0.25034000000000001</v>
      </c>
      <c r="Z473" s="193">
        <v>0.99672000000000005</v>
      </c>
      <c r="AB473" s="3" t="s">
        <v>526</v>
      </c>
      <c r="AC473" s="125">
        <v>1</v>
      </c>
      <c r="AD473" s="3">
        <v>8.1306407300000008E-2</v>
      </c>
      <c r="AE473" s="3" t="s">
        <v>531</v>
      </c>
      <c r="AF473" s="3" t="s">
        <v>526</v>
      </c>
      <c r="AG473" s="83">
        <v>0.95</v>
      </c>
    </row>
    <row r="474" spans="6:33" ht="28.8">
      <c r="F474" s="370">
        <v>6</v>
      </c>
      <c r="G474" s="137" t="s">
        <v>233</v>
      </c>
      <c r="H474" s="136" t="s">
        <v>250</v>
      </c>
      <c r="I474" s="136" t="s">
        <v>547</v>
      </c>
      <c r="J474" s="136" t="s">
        <v>556</v>
      </c>
      <c r="K474" s="191">
        <v>0</v>
      </c>
      <c r="L474" s="191">
        <v>0</v>
      </c>
      <c r="M474" s="191">
        <v>0</v>
      </c>
      <c r="N474" s="191">
        <v>-1.7428299748564999</v>
      </c>
      <c r="O474" s="191">
        <v>-2.15119062242628</v>
      </c>
      <c r="P474" s="191">
        <v>-0.91901570762681595</v>
      </c>
      <c r="Q474" s="191">
        <v>-1.00856923529019</v>
      </c>
      <c r="R474" s="191">
        <v>2.84335678847604E-2</v>
      </c>
      <c r="T474" s="46">
        <v>6</v>
      </c>
      <c r="U474" s="53" t="s">
        <v>529</v>
      </c>
      <c r="V474" s="47" t="s">
        <v>331</v>
      </c>
      <c r="W474" s="47" t="s">
        <v>547</v>
      </c>
      <c r="X474" s="47" t="s">
        <v>556</v>
      </c>
      <c r="Y474" s="58">
        <v>9.1944800000000004</v>
      </c>
      <c r="Z474" s="193">
        <v>2.5192800000000002</v>
      </c>
      <c r="AB474" s="3" t="s">
        <v>526</v>
      </c>
      <c r="AC474" s="125">
        <v>1</v>
      </c>
      <c r="AD474" s="3">
        <v>8.1306407300000008E-2</v>
      </c>
      <c r="AE474" s="3" t="s">
        <v>531</v>
      </c>
      <c r="AF474" s="3" t="s">
        <v>526</v>
      </c>
      <c r="AG474" s="83">
        <v>0.7</v>
      </c>
    </row>
    <row r="475" spans="6:33" ht="28.8">
      <c r="F475" s="370">
        <v>6</v>
      </c>
      <c r="G475" s="137" t="s">
        <v>233</v>
      </c>
      <c r="H475" s="136" t="s">
        <v>249</v>
      </c>
      <c r="I475" s="136" t="s">
        <v>547</v>
      </c>
      <c r="J475" s="136" t="s">
        <v>556</v>
      </c>
      <c r="K475" s="191">
        <v>0</v>
      </c>
      <c r="L475" s="191">
        <v>0</v>
      </c>
      <c r="M475" s="191">
        <v>0</v>
      </c>
      <c r="N475" s="191">
        <v>-0.54274589725327604</v>
      </c>
      <c r="O475" s="191">
        <v>-0.74997857749286201</v>
      </c>
      <c r="P475" s="191">
        <v>0.20327821719234701</v>
      </c>
      <c r="Q475" s="191">
        <v>-0.215080705508578</v>
      </c>
      <c r="R475" s="191">
        <v>2.5754502073186199E-2</v>
      </c>
      <c r="T475" s="46">
        <v>6</v>
      </c>
      <c r="U475" s="53" t="s">
        <v>529</v>
      </c>
      <c r="V475" s="47" t="s">
        <v>332</v>
      </c>
      <c r="W475" s="47" t="s">
        <v>547</v>
      </c>
      <c r="X475" s="47" t="s">
        <v>556</v>
      </c>
      <c r="Y475" s="58">
        <v>2.5034000000000001</v>
      </c>
      <c r="Z475" s="193">
        <v>1.0183800000000001</v>
      </c>
      <c r="AB475" s="3" t="s">
        <v>526</v>
      </c>
      <c r="AC475" s="125">
        <v>1</v>
      </c>
      <c r="AD475" s="3">
        <v>8.1306407300000008E-2</v>
      </c>
      <c r="AE475" s="3" t="s">
        <v>531</v>
      </c>
      <c r="AF475" s="3"/>
      <c r="AG475" s="3"/>
    </row>
    <row r="476" spans="6:33" ht="28.8">
      <c r="F476" s="370">
        <v>6</v>
      </c>
      <c r="G476" s="137" t="s">
        <v>233</v>
      </c>
      <c r="H476" s="136" t="s">
        <v>273</v>
      </c>
      <c r="I476" s="136" t="s">
        <v>547</v>
      </c>
      <c r="J476" s="136" t="s">
        <v>556</v>
      </c>
      <c r="K476" s="191">
        <v>0</v>
      </c>
      <c r="L476" s="191">
        <v>0</v>
      </c>
      <c r="M476" s="191">
        <v>0</v>
      </c>
      <c r="N476" s="191">
        <v>-1.64048635651654</v>
      </c>
      <c r="O476" s="191">
        <v>-2.0946209450596398</v>
      </c>
      <c r="P476" s="191">
        <v>-0.78894878429316695</v>
      </c>
      <c r="Q476" s="191">
        <v>-0.97955204166985599</v>
      </c>
      <c r="R476" s="191">
        <v>2.7209147933534902E-2</v>
      </c>
      <c r="T476" s="46">
        <v>6</v>
      </c>
      <c r="U476" s="53" t="s">
        <v>252</v>
      </c>
      <c r="V476" s="47" t="s">
        <v>252</v>
      </c>
      <c r="W476" s="47" t="s">
        <v>547</v>
      </c>
      <c r="X476" s="47" t="s">
        <v>556</v>
      </c>
      <c r="Y476" s="58">
        <v>2.0953266666666663</v>
      </c>
      <c r="Z476" s="193">
        <v>1.77911</v>
      </c>
      <c r="AB476" s="3" t="s">
        <v>526</v>
      </c>
      <c r="AC476" s="83">
        <v>0.5</v>
      </c>
      <c r="AD476" s="3">
        <v>8.1306407300000008E-2</v>
      </c>
      <c r="AE476" s="3" t="s">
        <v>531</v>
      </c>
      <c r="AF476" s="3"/>
      <c r="AG476" s="3"/>
    </row>
    <row r="477" spans="6:33" ht="28.8">
      <c r="F477" s="370">
        <v>6</v>
      </c>
      <c r="G477" s="137" t="s">
        <v>233</v>
      </c>
      <c r="H477" s="136" t="s">
        <v>330</v>
      </c>
      <c r="I477" s="136" t="s">
        <v>547</v>
      </c>
      <c r="J477" s="136" t="s">
        <v>556</v>
      </c>
      <c r="K477" s="191">
        <v>-0.14119999999999999</v>
      </c>
      <c r="L477" s="191">
        <v>-0.1076582</v>
      </c>
      <c r="M477" s="191">
        <v>0</v>
      </c>
      <c r="N477" s="191">
        <v>0</v>
      </c>
      <c r="O477" s="191">
        <v>0</v>
      </c>
      <c r="P477" s="191">
        <v>-1.4691234067535699</v>
      </c>
      <c r="Q477" s="191">
        <v>-1.1416276075298999</v>
      </c>
      <c r="R477" s="191">
        <v>5.3037818157875102E-2</v>
      </c>
      <c r="T477" s="46">
        <v>6</v>
      </c>
      <c r="U477" s="53" t="s">
        <v>252</v>
      </c>
      <c r="V477" s="47" t="s">
        <v>253</v>
      </c>
      <c r="W477" s="47" t="s">
        <v>547</v>
      </c>
      <c r="X477" s="47" t="s">
        <v>556</v>
      </c>
      <c r="Y477" s="58">
        <v>2.04928</v>
      </c>
      <c r="Z477" s="193">
        <v>1.77911</v>
      </c>
      <c r="AB477" s="3"/>
      <c r="AC477" s="3"/>
      <c r="AD477" s="3"/>
      <c r="AE477" s="3"/>
      <c r="AF477" s="3"/>
      <c r="AG477" s="3"/>
    </row>
    <row r="478" spans="6:33">
      <c r="F478" s="370">
        <v>6</v>
      </c>
      <c r="G478" s="137" t="s">
        <v>233</v>
      </c>
      <c r="H478" s="136" t="s">
        <v>335</v>
      </c>
      <c r="I478" s="136" t="s">
        <v>547</v>
      </c>
      <c r="J478" s="136" t="s">
        <v>556</v>
      </c>
      <c r="K478" s="191">
        <v>-0.26272000000000001</v>
      </c>
      <c r="L478" s="191">
        <v>-0.20183620000000002</v>
      </c>
      <c r="M478" s="191">
        <v>0</v>
      </c>
      <c r="N478" s="191">
        <v>-1.64048635651654</v>
      </c>
      <c r="O478" s="191">
        <v>-2.6265900097321899</v>
      </c>
      <c r="P478" s="191">
        <v>-1.37418546072736</v>
      </c>
      <c r="Q478" s="191">
        <v>-1.1532519103086201</v>
      </c>
      <c r="R478" s="191">
        <v>3.2211248569715703E-2</v>
      </c>
      <c r="T478" s="46">
        <v>6</v>
      </c>
      <c r="U478" s="53" t="s">
        <v>252</v>
      </c>
      <c r="V478" s="47" t="s">
        <v>328</v>
      </c>
      <c r="W478" s="47" t="s">
        <v>547</v>
      </c>
      <c r="X478" s="47" t="s">
        <v>556</v>
      </c>
      <c r="Y478" s="58">
        <v>2.3231199999999999</v>
      </c>
      <c r="Z478" s="193">
        <v>1.77911</v>
      </c>
      <c r="AB478" s="3"/>
      <c r="AC478" s="3"/>
      <c r="AD478" s="3"/>
      <c r="AE478" s="3"/>
      <c r="AF478" s="3"/>
      <c r="AG478" s="3"/>
    </row>
    <row r="479" spans="6:33">
      <c r="F479" s="370">
        <v>6</v>
      </c>
      <c r="G479" s="137" t="s">
        <v>233</v>
      </c>
      <c r="H479" s="136" t="s">
        <v>326</v>
      </c>
      <c r="I479" s="136" t="s">
        <v>547</v>
      </c>
      <c r="J479" s="136" t="s">
        <v>556</v>
      </c>
      <c r="K479" s="191">
        <v>-0.14119999999999999</v>
      </c>
      <c r="L479" s="191">
        <v>-0.1076582</v>
      </c>
      <c r="M479" s="191">
        <v>0</v>
      </c>
      <c r="N479" s="191">
        <v>-1.64048635651654</v>
      </c>
      <c r="O479" s="191">
        <v>-2.6265900097321899</v>
      </c>
      <c r="P479" s="191">
        <v>-1.37418546072736</v>
      </c>
      <c r="Q479" s="191">
        <v>-1.1532519103086201</v>
      </c>
      <c r="R479" s="191">
        <v>3.2211248569715703E-2</v>
      </c>
      <c r="T479" s="46">
        <v>6</v>
      </c>
      <c r="U479" s="53" t="s">
        <v>252</v>
      </c>
      <c r="V479" s="47" t="s">
        <v>254</v>
      </c>
      <c r="W479" s="47" t="s">
        <v>547</v>
      </c>
      <c r="X479" s="47" t="s">
        <v>556</v>
      </c>
      <c r="Y479" s="58">
        <v>2.1485799999999999</v>
      </c>
      <c r="Z479" s="193">
        <v>1.77911</v>
      </c>
      <c r="AB479" s="3"/>
      <c r="AC479" s="3"/>
      <c r="AD479" s="3"/>
      <c r="AE479" s="3"/>
      <c r="AF479" s="3" t="s">
        <v>526</v>
      </c>
      <c r="AG479" s="83">
        <v>0.7</v>
      </c>
    </row>
    <row r="480" spans="6:33">
      <c r="F480" s="370">
        <v>6</v>
      </c>
      <c r="G480" s="137" t="s">
        <v>261</v>
      </c>
      <c r="H480" s="136" t="s">
        <v>10179</v>
      </c>
      <c r="I480" s="136" t="s">
        <v>547</v>
      </c>
      <c r="J480" s="136" t="s">
        <v>556</v>
      </c>
      <c r="K480" s="191">
        <v>-4.72241</v>
      </c>
      <c r="L480" s="191">
        <v>-2.3594331999999998</v>
      </c>
      <c r="M480" s="191">
        <v>0</v>
      </c>
      <c r="N480" s="191">
        <v>-0.36295620134676754</v>
      </c>
      <c r="O480" s="191">
        <v>-0.61088976877090895</v>
      </c>
      <c r="P480" s="191">
        <v>0.30189800859006249</v>
      </c>
      <c r="Q480" s="191">
        <v>-0.1985340031353065</v>
      </c>
      <c r="R480" s="191">
        <v>2.5407739136658898E-2</v>
      </c>
      <c r="T480" s="46">
        <v>6</v>
      </c>
      <c r="U480" s="53" t="s">
        <v>252</v>
      </c>
      <c r="V480" s="47" t="s">
        <v>532</v>
      </c>
      <c r="W480" s="47" t="s">
        <v>547</v>
      </c>
      <c r="X480" s="47" t="s">
        <v>556</v>
      </c>
      <c r="Y480" s="58">
        <v>1.9492499999999999</v>
      </c>
      <c r="Z480" s="193">
        <v>1.77911</v>
      </c>
      <c r="AB480" s="3"/>
      <c r="AC480" s="3"/>
      <c r="AD480" s="3"/>
      <c r="AE480" s="3"/>
      <c r="AF480" s="3" t="s">
        <v>526</v>
      </c>
      <c r="AG480" s="83">
        <v>0.65</v>
      </c>
    </row>
    <row r="481" spans="6:33" ht="28.8">
      <c r="F481" s="370">
        <v>6</v>
      </c>
      <c r="G481" s="137" t="s">
        <v>261</v>
      </c>
      <c r="H481" s="136" t="s">
        <v>269</v>
      </c>
      <c r="I481" s="136" t="s">
        <v>547</v>
      </c>
      <c r="J481" s="136" t="s">
        <v>556</v>
      </c>
      <c r="K481" s="191">
        <v>-0.25034000000000001</v>
      </c>
      <c r="L481" s="191">
        <v>-0.1233982</v>
      </c>
      <c r="M481" s="191">
        <v>0</v>
      </c>
      <c r="N481" s="191">
        <v>-0.30296260744822501</v>
      </c>
      <c r="O481" s="191">
        <v>-0.51921970764736303</v>
      </c>
      <c r="P481" s="191">
        <v>0.32349939747501499</v>
      </c>
      <c r="Q481" s="191">
        <v>-0.13792362353586499</v>
      </c>
      <c r="R481" s="191">
        <v>2.5085527099398E-2</v>
      </c>
      <c r="T481" s="46">
        <v>6</v>
      </c>
      <c r="U481" s="53" t="s">
        <v>252</v>
      </c>
      <c r="V481" s="47" t="s">
        <v>245</v>
      </c>
      <c r="W481" s="47" t="s">
        <v>547</v>
      </c>
      <c r="X481" s="47" t="s">
        <v>556</v>
      </c>
      <c r="Y481" s="58">
        <v>2.0269300000000001</v>
      </c>
      <c r="Z481" s="193">
        <v>1.77911</v>
      </c>
      <c r="AB481" s="3"/>
      <c r="AC481" s="3"/>
      <c r="AD481" s="3"/>
      <c r="AE481" s="3"/>
      <c r="AF481" s="3"/>
      <c r="AG481" s="3"/>
    </row>
    <row r="482" spans="6:33" ht="28.8">
      <c r="F482" s="370">
        <v>6</v>
      </c>
      <c r="G482" s="137" t="s">
        <v>261</v>
      </c>
      <c r="H482" s="136" t="s">
        <v>530</v>
      </c>
      <c r="I482" s="136" t="s">
        <v>547</v>
      </c>
      <c r="J482" s="136" t="s">
        <v>556</v>
      </c>
      <c r="K482" s="191">
        <v>-9.1944800000000004</v>
      </c>
      <c r="L482" s="191">
        <v>-4.5954682</v>
      </c>
      <c r="M482" s="191">
        <v>0</v>
      </c>
      <c r="N482" s="191">
        <v>-0.42294979524531001</v>
      </c>
      <c r="O482" s="191">
        <v>-0.70255982989445498</v>
      </c>
      <c r="P482" s="191">
        <v>0.28029661970511</v>
      </c>
      <c r="Q482" s="191">
        <v>-0.25914438273474799</v>
      </c>
      <c r="R482" s="191">
        <v>2.57299511739198E-2</v>
      </c>
      <c r="T482" s="46">
        <v>6</v>
      </c>
      <c r="U482" s="53" t="s">
        <v>252</v>
      </c>
      <c r="V482" s="47" t="s">
        <v>533</v>
      </c>
      <c r="W482" s="47" t="s">
        <v>547</v>
      </c>
      <c r="X482" s="47" t="s">
        <v>556</v>
      </c>
      <c r="Y482" s="58">
        <v>2.0748000000000002</v>
      </c>
      <c r="Z482" s="193">
        <v>1.77911</v>
      </c>
      <c r="AB482" s="3"/>
      <c r="AC482" s="3"/>
      <c r="AD482" s="3"/>
      <c r="AE482" s="3"/>
      <c r="AF482" s="3"/>
      <c r="AG482" s="3"/>
    </row>
    <row r="483" spans="6:33">
      <c r="F483" s="370">
        <v>6</v>
      </c>
      <c r="G483" s="137" t="s">
        <v>261</v>
      </c>
      <c r="H483" s="136" t="s">
        <v>262</v>
      </c>
      <c r="I483" s="136" t="s">
        <v>547</v>
      </c>
      <c r="J483" s="136" t="s">
        <v>556</v>
      </c>
      <c r="K483" s="191">
        <v>-2.5034000000000001</v>
      </c>
      <c r="L483" s="191">
        <v>0</v>
      </c>
      <c r="M483" s="191">
        <v>0</v>
      </c>
      <c r="N483" s="191">
        <v>-0.42294979524531001</v>
      </c>
      <c r="O483" s="191">
        <v>-0.70255982989445498</v>
      </c>
      <c r="P483" s="191">
        <v>0.28029661970511</v>
      </c>
      <c r="Q483" s="191">
        <v>-0.25914438273474799</v>
      </c>
      <c r="R483" s="191">
        <v>2.57299511739198E-2</v>
      </c>
      <c r="T483" s="46">
        <v>6</v>
      </c>
      <c r="U483" s="53" t="s">
        <v>242</v>
      </c>
      <c r="V483" s="47" t="s">
        <v>242</v>
      </c>
      <c r="W483" s="47" t="s">
        <v>547</v>
      </c>
      <c r="X483" s="47" t="s">
        <v>556</v>
      </c>
      <c r="Y483" s="58">
        <v>38.486130000000003</v>
      </c>
      <c r="Z483" s="193">
        <v>0.20843</v>
      </c>
      <c r="AB483" s="3" t="s">
        <v>526</v>
      </c>
      <c r="AC483" s="125">
        <v>0.64600000000000002</v>
      </c>
      <c r="AD483" s="3">
        <v>0</v>
      </c>
      <c r="AE483" s="3"/>
      <c r="AF483" s="3"/>
      <c r="AG483" s="3"/>
    </row>
    <row r="484" spans="6:33">
      <c r="F484" s="370">
        <v>6</v>
      </c>
      <c r="G484" s="137" t="s">
        <v>252</v>
      </c>
      <c r="H484" s="136" t="s">
        <v>10180</v>
      </c>
      <c r="I484" s="136" t="s">
        <v>547</v>
      </c>
      <c r="J484" s="136" t="s">
        <v>556</v>
      </c>
      <c r="K484" s="191">
        <v>-2.0953266666666663</v>
      </c>
      <c r="L484" s="191">
        <v>-1.5407999593666664</v>
      </c>
      <c r="M484" s="191">
        <v>-4.4026458801754389</v>
      </c>
      <c r="N484" s="191">
        <v>0</v>
      </c>
      <c r="O484" s="191">
        <v>0</v>
      </c>
      <c r="P484" s="191">
        <v>2.6040731092765699E-2</v>
      </c>
      <c r="Q484" s="191">
        <v>0.464223353037373</v>
      </c>
      <c r="R484" s="191">
        <v>2.1870266836515802</v>
      </c>
      <c r="T484" s="46">
        <v>6</v>
      </c>
      <c r="U484" s="53" t="s">
        <v>242</v>
      </c>
      <c r="V484" s="47" t="s">
        <v>242</v>
      </c>
      <c r="W484" s="47" t="s">
        <v>547</v>
      </c>
      <c r="X484" s="47" t="s">
        <v>556</v>
      </c>
      <c r="Y484" s="58">
        <v>38.486130000000003</v>
      </c>
      <c r="Z484" s="193">
        <v>0.20843</v>
      </c>
      <c r="AB484" s="3" t="s">
        <v>526</v>
      </c>
      <c r="AC484" s="125">
        <v>0.72499999999999998</v>
      </c>
      <c r="AD484" s="3">
        <v>0</v>
      </c>
      <c r="AE484" s="3"/>
      <c r="AF484" s="3"/>
      <c r="AG484" s="3"/>
    </row>
    <row r="485" spans="6:33" ht="57.6">
      <c r="F485" s="370">
        <v>6</v>
      </c>
      <c r="G485" s="137" t="s">
        <v>252</v>
      </c>
      <c r="H485" s="136" t="s">
        <v>10163</v>
      </c>
      <c r="I485" s="136" t="s">
        <v>547</v>
      </c>
      <c r="J485" s="136" t="s">
        <v>556</v>
      </c>
      <c r="K485" s="191">
        <v>-2.04928</v>
      </c>
      <c r="L485" s="191">
        <v>0</v>
      </c>
      <c r="M485" s="191">
        <v>-3.8381380796100326</v>
      </c>
      <c r="N485" s="191">
        <v>0</v>
      </c>
      <c r="O485" s="191">
        <v>0</v>
      </c>
      <c r="P485" s="191">
        <v>2.6040728044352601E-2</v>
      </c>
      <c r="Q485" s="191">
        <v>0.210562605639705</v>
      </c>
      <c r="R485" s="191">
        <v>3.1831779567246001</v>
      </c>
      <c r="T485" s="46">
        <v>6</v>
      </c>
      <c r="U485" s="53" t="s">
        <v>242</v>
      </c>
      <c r="V485" s="47" t="s">
        <v>534</v>
      </c>
      <c r="W485" s="47" t="s">
        <v>547</v>
      </c>
      <c r="X485" s="47" t="s">
        <v>556</v>
      </c>
      <c r="Y485" s="58">
        <v>15.0122</v>
      </c>
      <c r="Z485" s="193">
        <v>0.37092000000000003</v>
      </c>
      <c r="AB485" s="3" t="s">
        <v>526</v>
      </c>
      <c r="AC485" s="125">
        <v>0.64600000000000002</v>
      </c>
      <c r="AD485" s="3">
        <v>0</v>
      </c>
      <c r="AE485" s="3"/>
      <c r="AF485" s="3" t="s">
        <v>526</v>
      </c>
      <c r="AG485" s="83">
        <v>0.5</v>
      </c>
    </row>
    <row r="486" spans="6:33" ht="28.8">
      <c r="F486" s="370">
        <v>6</v>
      </c>
      <c r="G486" s="137" t="s">
        <v>252</v>
      </c>
      <c r="H486" s="136" t="s">
        <v>10164</v>
      </c>
      <c r="I486" s="136" t="s">
        <v>547</v>
      </c>
      <c r="J486" s="136" t="s">
        <v>556</v>
      </c>
      <c r="K486" s="191">
        <v>-2.3231199999999999</v>
      </c>
      <c r="L486" s="191">
        <v>0</v>
      </c>
      <c r="M486" s="191">
        <v>-4.5666853324341119</v>
      </c>
      <c r="N486" s="191">
        <v>0</v>
      </c>
      <c r="O486" s="191">
        <v>0</v>
      </c>
      <c r="P486" s="191">
        <v>2.6040728847734299E-2</v>
      </c>
      <c r="Q486" s="191">
        <v>0.33008116104865598</v>
      </c>
      <c r="R486" s="191">
        <v>2.4956094306866898</v>
      </c>
      <c r="T486" s="46">
        <v>6</v>
      </c>
      <c r="U486" s="53" t="s">
        <v>239</v>
      </c>
      <c r="V486" s="47" t="s">
        <v>239</v>
      </c>
      <c r="W486" s="47" t="s">
        <v>547</v>
      </c>
      <c r="X486" s="47" t="s">
        <v>556</v>
      </c>
      <c r="Y486" s="58">
        <v>2.6644477777777777</v>
      </c>
      <c r="Z486" s="193">
        <v>0.64099666666666666</v>
      </c>
      <c r="AB486" s="3" t="s">
        <v>526</v>
      </c>
      <c r="AC486" s="125">
        <v>0.72499999999999998</v>
      </c>
      <c r="AD486" s="3">
        <v>0.14482945764999999</v>
      </c>
      <c r="AE486" s="3" t="s">
        <v>541</v>
      </c>
      <c r="AF486" s="3"/>
      <c r="AG486" s="3"/>
    </row>
    <row r="487" spans="6:33" ht="28.8">
      <c r="F487" s="370">
        <v>6</v>
      </c>
      <c r="G487" s="137" t="s">
        <v>252</v>
      </c>
      <c r="H487" s="136" t="s">
        <v>10165</v>
      </c>
      <c r="I487" s="136" t="s">
        <v>547</v>
      </c>
      <c r="J487" s="136" t="s">
        <v>556</v>
      </c>
      <c r="K487" s="191">
        <v>-2.1485799999999999</v>
      </c>
      <c r="L487" s="191">
        <v>0</v>
      </c>
      <c r="M487" s="191">
        <v>-4.6390747762234978</v>
      </c>
      <c r="N487" s="191">
        <v>0</v>
      </c>
      <c r="O487" s="191">
        <v>0</v>
      </c>
      <c r="P487" s="191">
        <v>2.60407280443203E-2</v>
      </c>
      <c r="Q487" s="191">
        <v>0.50464281528936294</v>
      </c>
      <c r="R487" s="191">
        <v>2.5363330593963398</v>
      </c>
      <c r="T487" s="46">
        <v>6</v>
      </c>
      <c r="U487" s="53" t="s">
        <v>239</v>
      </c>
      <c r="V487" s="47" t="s">
        <v>324</v>
      </c>
      <c r="W487" s="47" t="s">
        <v>547</v>
      </c>
      <c r="X487" s="47" t="s">
        <v>556</v>
      </c>
      <c r="Y487" s="58">
        <v>1.66</v>
      </c>
      <c r="Z487" s="193">
        <v>0.13142999999999999</v>
      </c>
      <c r="AB487" s="3"/>
      <c r="AC487" s="3"/>
      <c r="AD487" s="3"/>
      <c r="AE487" s="3"/>
      <c r="AF487" s="3"/>
      <c r="AG487" s="3"/>
    </row>
    <row r="488" spans="6:33" ht="28.8">
      <c r="F488" s="370">
        <v>6</v>
      </c>
      <c r="G488" s="137" t="s">
        <v>252</v>
      </c>
      <c r="H488" s="136" t="s">
        <v>10166</v>
      </c>
      <c r="I488" s="136" t="s">
        <v>547</v>
      </c>
      <c r="J488" s="136" t="s">
        <v>556</v>
      </c>
      <c r="K488" s="191">
        <v>-1.9492499999999999</v>
      </c>
      <c r="L488" s="191">
        <v>0</v>
      </c>
      <c r="M488" s="191">
        <v>-4.5666853324341119</v>
      </c>
      <c r="N488" s="191">
        <v>0</v>
      </c>
      <c r="O488" s="191">
        <v>0</v>
      </c>
      <c r="P488" s="191">
        <v>2.6040728847734299E-2</v>
      </c>
      <c r="Q488" s="191">
        <v>0.33008116104865598</v>
      </c>
      <c r="R488" s="191">
        <v>2.4956094306866898</v>
      </c>
      <c r="T488" s="46">
        <v>6</v>
      </c>
      <c r="U488" s="53" t="s">
        <v>239</v>
      </c>
      <c r="V488" s="47" t="s">
        <v>272</v>
      </c>
      <c r="W488" s="47" t="s">
        <v>547</v>
      </c>
      <c r="X488" s="47" t="s">
        <v>556</v>
      </c>
      <c r="Y488" s="58">
        <v>2.1278299999999999</v>
      </c>
      <c r="Z488" s="193">
        <v>1.2152400000000001</v>
      </c>
      <c r="AB488" s="3"/>
      <c r="AC488" s="3"/>
      <c r="AD488" s="3"/>
      <c r="AE488" s="3"/>
      <c r="AF488" s="3"/>
      <c r="AG488" s="3"/>
    </row>
    <row r="489" spans="6:33">
      <c r="F489" s="370">
        <v>6</v>
      </c>
      <c r="G489" s="137" t="s">
        <v>252</v>
      </c>
      <c r="H489" s="136" t="s">
        <v>10167</v>
      </c>
      <c r="I489" s="136" t="s">
        <v>547</v>
      </c>
      <c r="J489" s="136" t="s">
        <v>556</v>
      </c>
      <c r="K489" s="191">
        <v>-2.0269300000000001</v>
      </c>
      <c r="L489" s="191">
        <v>0</v>
      </c>
      <c r="M489" s="191">
        <v>0</v>
      </c>
      <c r="N489" s="191">
        <v>0</v>
      </c>
      <c r="O489" s="191">
        <v>0</v>
      </c>
      <c r="P489" s="191">
        <v>2.6040728968980201E-2</v>
      </c>
      <c r="Q489" s="191">
        <v>0.16048480422712499</v>
      </c>
      <c r="R489" s="191">
        <v>3.1833672666267101</v>
      </c>
      <c r="T489" s="46">
        <v>6</v>
      </c>
      <c r="U489" s="53" t="s">
        <v>239</v>
      </c>
      <c r="V489" s="47" t="s">
        <v>329</v>
      </c>
      <c r="W489" s="47" t="s">
        <v>547</v>
      </c>
      <c r="X489" s="47" t="s">
        <v>556</v>
      </c>
      <c r="Y489" s="58">
        <v>3.4792200000000002</v>
      </c>
      <c r="Z489" s="193">
        <v>1.0383</v>
      </c>
      <c r="AB489" s="3"/>
      <c r="AC489" s="3"/>
      <c r="AD489" s="3"/>
      <c r="AE489" s="3"/>
      <c r="AF489" s="3"/>
      <c r="AG489" s="3"/>
    </row>
    <row r="490" spans="6:33">
      <c r="F490" s="370">
        <v>6</v>
      </c>
      <c r="G490" s="137" t="s">
        <v>252</v>
      </c>
      <c r="H490" s="136" t="s">
        <v>10168</v>
      </c>
      <c r="I490" s="136" t="s">
        <v>547</v>
      </c>
      <c r="J490" s="136" t="s">
        <v>556</v>
      </c>
      <c r="K490" s="191">
        <v>-2.0748000000000002</v>
      </c>
      <c r="L490" s="191">
        <v>0</v>
      </c>
      <c r="M490" s="191">
        <v>0</v>
      </c>
      <c r="N490" s="191">
        <v>0</v>
      </c>
      <c r="O490" s="191">
        <v>0</v>
      </c>
      <c r="P490" s="191">
        <v>2.6040723761235202E-2</v>
      </c>
      <c r="Q490" s="191">
        <v>0.394654844237527</v>
      </c>
      <c r="R490" s="191">
        <v>3.0368312004139799</v>
      </c>
      <c r="T490" s="46">
        <v>6</v>
      </c>
      <c r="U490" s="53" t="s">
        <v>239</v>
      </c>
      <c r="V490" s="47" t="s">
        <v>271</v>
      </c>
      <c r="W490" s="47" t="s">
        <v>547</v>
      </c>
      <c r="X490" s="47" t="s">
        <v>556</v>
      </c>
      <c r="Y490" s="58">
        <v>3.1045600000000002</v>
      </c>
      <c r="Z490" s="193">
        <v>0.12864</v>
      </c>
      <c r="AB490" s="3" t="s">
        <v>526</v>
      </c>
      <c r="AC490" s="125">
        <v>0.77500000000000002</v>
      </c>
      <c r="AD490" s="3">
        <v>0</v>
      </c>
      <c r="AE490" s="3" t="s">
        <v>527</v>
      </c>
      <c r="AF490" s="3"/>
      <c r="AG490" s="3"/>
    </row>
    <row r="491" spans="6:33">
      <c r="F491" s="370">
        <v>6</v>
      </c>
      <c r="G491" s="137" t="s">
        <v>242</v>
      </c>
      <c r="H491" s="136" t="s">
        <v>10181</v>
      </c>
      <c r="I491" s="136" t="s">
        <v>547</v>
      </c>
      <c r="J491" s="136" t="s">
        <v>556</v>
      </c>
      <c r="K491" s="191">
        <v>-38.486130000000003</v>
      </c>
      <c r="L491" s="191">
        <v>-27.900672450000002</v>
      </c>
      <c r="M491" s="191">
        <v>-3.2868550000000001</v>
      </c>
      <c r="N491" s="191">
        <v>0</v>
      </c>
      <c r="O491" s="191">
        <v>0</v>
      </c>
      <c r="P491" s="191">
        <v>2.5860000000000001E-2</v>
      </c>
      <c r="Q491" s="191">
        <v>4.1075091000055998E-2</v>
      </c>
      <c r="R491" s="191">
        <v>4.8932475133413401E-2</v>
      </c>
      <c r="T491" s="46">
        <v>6</v>
      </c>
      <c r="U491" s="53" t="s">
        <v>239</v>
      </c>
      <c r="V491" s="47" t="s">
        <v>535</v>
      </c>
      <c r="W491" s="47" t="s">
        <v>547</v>
      </c>
      <c r="X491" s="47" t="s">
        <v>556</v>
      </c>
      <c r="Y491" s="58">
        <v>3.1045600000000002</v>
      </c>
      <c r="Z491" s="193">
        <v>0.12864</v>
      </c>
      <c r="AB491" s="3" t="s">
        <v>526</v>
      </c>
      <c r="AC491" s="125">
        <v>0.77500000000000002</v>
      </c>
      <c r="AD491" s="3">
        <v>0</v>
      </c>
      <c r="AE491" s="3" t="s">
        <v>527</v>
      </c>
      <c r="AF491" s="3"/>
      <c r="AG491" s="3"/>
    </row>
    <row r="492" spans="6:33">
      <c r="F492" s="370">
        <v>6</v>
      </c>
      <c r="G492" s="137" t="s">
        <v>242</v>
      </c>
      <c r="H492" s="136" t="s">
        <v>274</v>
      </c>
      <c r="I492" s="136" t="s">
        <v>547</v>
      </c>
      <c r="J492" s="136" t="s">
        <v>556</v>
      </c>
      <c r="K492" s="191">
        <v>-38.486130000000003</v>
      </c>
      <c r="L492" s="191">
        <v>-27.900672450000002</v>
      </c>
      <c r="M492" s="191">
        <v>-8.5278425000000002</v>
      </c>
      <c r="N492" s="191">
        <v>0</v>
      </c>
      <c r="O492" s="191">
        <v>0</v>
      </c>
      <c r="P492" s="191">
        <v>2.5860000000000001E-2</v>
      </c>
      <c r="Q492" s="191">
        <v>4.1075091000055998E-2</v>
      </c>
      <c r="R492" s="191">
        <v>4.8932475133413401E-2</v>
      </c>
      <c r="T492" s="46">
        <v>6</v>
      </c>
      <c r="U492" s="53" t="s">
        <v>239</v>
      </c>
      <c r="V492" s="47" t="s">
        <v>259</v>
      </c>
      <c r="W492" s="47" t="s">
        <v>547</v>
      </c>
      <c r="X492" s="47" t="s">
        <v>556</v>
      </c>
      <c r="Y492" s="58">
        <v>2.86965</v>
      </c>
      <c r="Z492" s="193">
        <v>0.79600000000000004</v>
      </c>
      <c r="AB492" s="3" t="s">
        <v>526</v>
      </c>
      <c r="AC492" s="125">
        <v>0.77500000000000002</v>
      </c>
      <c r="AD492" s="3">
        <v>0</v>
      </c>
      <c r="AE492" s="3" t="s">
        <v>527</v>
      </c>
      <c r="AF492" s="3"/>
      <c r="AG492" s="3"/>
    </row>
    <row r="493" spans="6:33">
      <c r="F493" s="370">
        <v>6</v>
      </c>
      <c r="G493" s="137" t="s">
        <v>242</v>
      </c>
      <c r="H493" s="136" t="s">
        <v>534</v>
      </c>
      <c r="I493" s="136" t="s">
        <v>547</v>
      </c>
      <c r="J493" s="136" t="s">
        <v>556</v>
      </c>
      <c r="K493" s="191">
        <v>-15.0122</v>
      </c>
      <c r="L493" s="191">
        <v>-10.882073199999999</v>
      </c>
      <c r="M493" s="191">
        <v>-3.19428</v>
      </c>
      <c r="N493" s="191">
        <v>0</v>
      </c>
      <c r="O493" s="191">
        <v>0</v>
      </c>
      <c r="P493" s="191">
        <v>2.5860000000000001E-2</v>
      </c>
      <c r="Q493" s="191">
        <v>4.1075091000055998E-2</v>
      </c>
      <c r="R493" s="191">
        <v>4.8932475133413401E-2</v>
      </c>
      <c r="T493" s="46">
        <v>6</v>
      </c>
      <c r="U493" s="53" t="s">
        <v>239</v>
      </c>
      <c r="V493" s="47" t="s">
        <v>334</v>
      </c>
      <c r="W493" s="47" t="s">
        <v>547</v>
      </c>
      <c r="X493" s="47" t="s">
        <v>556</v>
      </c>
      <c r="Y493" s="58">
        <v>2.86965</v>
      </c>
      <c r="Z493" s="193">
        <v>0.76736000000000004</v>
      </c>
      <c r="AB493" s="3" t="s">
        <v>526</v>
      </c>
      <c r="AC493" s="83">
        <v>0.5</v>
      </c>
      <c r="AD493" s="3">
        <v>0</v>
      </c>
      <c r="AE493" s="3" t="s">
        <v>528</v>
      </c>
      <c r="AF493" s="3"/>
      <c r="AG493" s="3"/>
    </row>
    <row r="494" spans="6:33">
      <c r="F494" s="370">
        <v>6</v>
      </c>
      <c r="G494" s="137" t="s">
        <v>239</v>
      </c>
      <c r="H494" s="136" t="s">
        <v>10182</v>
      </c>
      <c r="I494" s="136" t="s">
        <v>547</v>
      </c>
      <c r="J494" s="136" t="s">
        <v>556</v>
      </c>
      <c r="K494" s="191">
        <v>-2.6644477777777777</v>
      </c>
      <c r="L494" s="191">
        <v>-1.7194614644444446</v>
      </c>
      <c r="M494" s="191">
        <v>-0.90244815300206405</v>
      </c>
      <c r="N494" s="191">
        <v>-1.5823914514950801</v>
      </c>
      <c r="O494" s="191">
        <v>-2.39025290122775</v>
      </c>
      <c r="P494" s="191">
        <v>-0.60576406900190205</v>
      </c>
      <c r="Q494" s="191">
        <v>-0.93094962859978103</v>
      </c>
      <c r="R494" s="191">
        <v>2.7472942241024201E-2</v>
      </c>
      <c r="T494" s="46">
        <v>6</v>
      </c>
      <c r="U494" s="53" t="s">
        <v>239</v>
      </c>
      <c r="V494" s="47" t="s">
        <v>240</v>
      </c>
      <c r="W494" s="47" t="s">
        <v>547</v>
      </c>
      <c r="X494" s="47" t="s">
        <v>556</v>
      </c>
      <c r="Y494" s="58">
        <v>3.1045600000000002</v>
      </c>
      <c r="Z494" s="193">
        <v>0.76736000000000004</v>
      </c>
      <c r="AB494" s="3" t="s">
        <v>526</v>
      </c>
      <c r="AC494" s="83">
        <v>0.5</v>
      </c>
      <c r="AD494" s="3">
        <v>0</v>
      </c>
      <c r="AE494" s="3" t="s">
        <v>528</v>
      </c>
      <c r="AF494" s="3"/>
      <c r="AG494" s="3"/>
    </row>
    <row r="495" spans="6:33" ht="28.8">
      <c r="F495" s="370">
        <v>6</v>
      </c>
      <c r="G495" s="137" t="s">
        <v>239</v>
      </c>
      <c r="H495" s="136" t="s">
        <v>324</v>
      </c>
      <c r="I495" s="136" t="s">
        <v>547</v>
      </c>
      <c r="J495" s="136" t="s">
        <v>556</v>
      </c>
      <c r="K495" s="191">
        <v>-1.66</v>
      </c>
      <c r="L495" s="191">
        <v>0</v>
      </c>
      <c r="M495" s="191">
        <v>0.1396947306964815</v>
      </c>
      <c r="N495" s="191">
        <v>-1.5931961690249401</v>
      </c>
      <c r="O495" s="191">
        <v>-2.2369298238349402</v>
      </c>
      <c r="P495" s="191">
        <v>-1.10780997520734</v>
      </c>
      <c r="Q495" s="191">
        <v>-1.01193471996385</v>
      </c>
      <c r="R495" s="191">
        <v>2.6683067303327399E-2</v>
      </c>
      <c r="T495" s="46">
        <v>6</v>
      </c>
      <c r="U495" s="53" t="s">
        <v>239</v>
      </c>
      <c r="V495" s="47" t="s">
        <v>325</v>
      </c>
      <c r="W495" s="47" t="s">
        <v>547</v>
      </c>
      <c r="X495" s="47" t="s">
        <v>556</v>
      </c>
      <c r="Y495" s="58">
        <v>1.66</v>
      </c>
      <c r="Z495" s="193">
        <v>0.79600000000000004</v>
      </c>
      <c r="AB495" s="3"/>
      <c r="AC495" s="3"/>
      <c r="AD495" s="3"/>
      <c r="AE495" s="3"/>
      <c r="AF495" s="3"/>
      <c r="AG495" s="3"/>
    </row>
    <row r="496" spans="6:33">
      <c r="F496" s="370">
        <v>6</v>
      </c>
      <c r="G496" s="137" t="s">
        <v>239</v>
      </c>
      <c r="H496" s="136" t="s">
        <v>272</v>
      </c>
      <c r="I496" s="136" t="s">
        <v>547</v>
      </c>
      <c r="J496" s="136" t="s">
        <v>556</v>
      </c>
      <c r="K496" s="191">
        <v>-2.1278299999999999</v>
      </c>
      <c r="L496" s="191">
        <v>-1.3728063799999999</v>
      </c>
      <c r="M496" s="191">
        <v>1.5053973137750708E-2</v>
      </c>
      <c r="N496" s="191">
        <v>-1.4198911030999699</v>
      </c>
      <c r="O496" s="191">
        <v>-2.25405904094508</v>
      </c>
      <c r="P496" s="191">
        <v>6.7720000000000002E-2</v>
      </c>
      <c r="Q496" s="191">
        <v>-0.79660085842781303</v>
      </c>
      <c r="R496" s="191">
        <v>3.4587160965760602E-2</v>
      </c>
      <c r="T496" s="46">
        <v>6</v>
      </c>
      <c r="U496" s="53" t="s">
        <v>256</v>
      </c>
      <c r="V496" s="47" t="s">
        <v>256</v>
      </c>
      <c r="W496" s="47" t="s">
        <v>547</v>
      </c>
      <c r="X496" s="47" t="s">
        <v>556</v>
      </c>
      <c r="Y496" s="58">
        <v>3.3097799999999999</v>
      </c>
      <c r="Z496" s="193">
        <v>1.0068550000000001</v>
      </c>
      <c r="AB496" s="3" t="s">
        <v>526</v>
      </c>
      <c r="AC496" s="125">
        <v>0.77500000000000002</v>
      </c>
      <c r="AD496" s="3">
        <v>8.1306407300000008E-2</v>
      </c>
      <c r="AE496" s="3" t="s">
        <v>531</v>
      </c>
      <c r="AF496" s="3" t="s">
        <v>526</v>
      </c>
      <c r="AG496" s="83">
        <v>0.85</v>
      </c>
    </row>
    <row r="497" spans="6:33">
      <c r="F497" s="370">
        <v>6</v>
      </c>
      <c r="G497" s="137" t="s">
        <v>239</v>
      </c>
      <c r="H497" s="136" t="s">
        <v>329</v>
      </c>
      <c r="I497" s="136" t="s">
        <v>547</v>
      </c>
      <c r="J497" s="136" t="s">
        <v>556</v>
      </c>
      <c r="K497" s="191">
        <v>-3.4792200000000002</v>
      </c>
      <c r="L497" s="191">
        <v>0</v>
      </c>
      <c r="M497" s="191">
        <v>-3.0248820626613884</v>
      </c>
      <c r="N497" s="191">
        <v>-1.54203431894792</v>
      </c>
      <c r="O497" s="191">
        <v>-2.5192196780422198</v>
      </c>
      <c r="P497" s="191">
        <v>0.54061914698270197</v>
      </c>
      <c r="Q497" s="191">
        <v>-0.79971407433627795</v>
      </c>
      <c r="R497" s="191">
        <v>3.7251606753389899E-2</v>
      </c>
      <c r="T497" s="46">
        <v>6</v>
      </c>
      <c r="U497" s="53" t="s">
        <v>256</v>
      </c>
      <c r="V497" s="47" t="s">
        <v>536</v>
      </c>
      <c r="W497" s="47" t="s">
        <v>547</v>
      </c>
      <c r="X497" s="47" t="s">
        <v>556</v>
      </c>
      <c r="Y497" s="58">
        <v>1.9798800000000001</v>
      </c>
      <c r="Z497" s="193">
        <v>0.72957000000000005</v>
      </c>
      <c r="AB497" s="3" t="s">
        <v>526</v>
      </c>
      <c r="AC497" s="125">
        <v>0.77500000000000002</v>
      </c>
      <c r="AD497" s="3">
        <v>8.1306407300000008E-2</v>
      </c>
      <c r="AE497" s="3" t="s">
        <v>531</v>
      </c>
      <c r="AF497" s="3" t="s">
        <v>526</v>
      </c>
      <c r="AG497" s="83">
        <v>0.7</v>
      </c>
    </row>
    <row r="498" spans="6:33">
      <c r="F498" s="370">
        <v>6</v>
      </c>
      <c r="G498" s="137" t="s">
        <v>239</v>
      </c>
      <c r="H498" s="136" t="s">
        <v>271</v>
      </c>
      <c r="I498" s="136" t="s">
        <v>547</v>
      </c>
      <c r="J498" s="136" t="s">
        <v>556</v>
      </c>
      <c r="K498" s="191">
        <v>-3.1045600000000002</v>
      </c>
      <c r="L498" s="191">
        <v>0</v>
      </c>
      <c r="M498" s="191">
        <v>-1.0152541721273221</v>
      </c>
      <c r="N498" s="191">
        <v>-1.45740757820858</v>
      </c>
      <c r="O498" s="191">
        <v>-2.6029245012209099</v>
      </c>
      <c r="P498" s="191">
        <v>-0.53637594297431002</v>
      </c>
      <c r="Q498" s="191">
        <v>-0.76219778967752105</v>
      </c>
      <c r="R498" s="191">
        <v>4.0398740210004398E-2</v>
      </c>
      <c r="T498" s="46">
        <v>6</v>
      </c>
      <c r="U498" s="53" t="s">
        <v>256</v>
      </c>
      <c r="V498" s="47" t="s">
        <v>257</v>
      </c>
      <c r="W498" s="47" t="s">
        <v>547</v>
      </c>
      <c r="X498" s="47" t="s">
        <v>556</v>
      </c>
      <c r="Y498" s="58">
        <v>1.9798800000000001</v>
      </c>
      <c r="Z498" s="193">
        <v>0.46493000000000001</v>
      </c>
      <c r="AB498" s="3"/>
      <c r="AC498" s="3"/>
      <c r="AD498" s="3"/>
      <c r="AE498" s="3"/>
      <c r="AF498" s="3" t="s">
        <v>526</v>
      </c>
      <c r="AG498" s="83">
        <v>0.8</v>
      </c>
    </row>
    <row r="499" spans="6:33">
      <c r="F499" s="370">
        <v>6</v>
      </c>
      <c r="G499" s="137" t="s">
        <v>239</v>
      </c>
      <c r="H499" s="136" t="s">
        <v>535</v>
      </c>
      <c r="I499" s="136" t="s">
        <v>547</v>
      </c>
      <c r="J499" s="136" t="s">
        <v>556</v>
      </c>
      <c r="K499" s="191">
        <v>-3.1045600000000002</v>
      </c>
      <c r="L499" s="191">
        <v>0</v>
      </c>
      <c r="M499" s="191">
        <v>-1.0152541721273221</v>
      </c>
      <c r="N499" s="191">
        <v>-1.5661000736097901</v>
      </c>
      <c r="O499" s="191">
        <v>-2.6084866875958999</v>
      </c>
      <c r="P499" s="191">
        <v>-0.74483748111485704</v>
      </c>
      <c r="Q499" s="191">
        <v>-0.84761634144731002</v>
      </c>
      <c r="R499" s="191">
        <v>2.9215550609518599E-2</v>
      </c>
      <c r="T499" s="46">
        <v>6</v>
      </c>
      <c r="U499" s="53" t="s">
        <v>256</v>
      </c>
      <c r="V499" s="47" t="s">
        <v>537</v>
      </c>
      <c r="W499" s="47" t="s">
        <v>547</v>
      </c>
      <c r="X499" s="47" t="s">
        <v>556</v>
      </c>
      <c r="Y499" s="58">
        <v>5.0082800000000001</v>
      </c>
      <c r="Z499" s="193">
        <v>1.54878</v>
      </c>
      <c r="AB499" s="3" t="s">
        <v>526</v>
      </c>
      <c r="AC499" s="125">
        <v>0.77500000000000002</v>
      </c>
      <c r="AD499" s="3">
        <v>8.1306407300000008E-2</v>
      </c>
      <c r="AE499" s="3" t="s">
        <v>531</v>
      </c>
      <c r="AF499" s="3" t="s">
        <v>526</v>
      </c>
      <c r="AG499" s="83">
        <v>0.7</v>
      </c>
    </row>
    <row r="500" spans="6:33">
      <c r="F500" s="370">
        <v>6</v>
      </c>
      <c r="G500" s="137" t="s">
        <v>239</v>
      </c>
      <c r="H500" s="136" t="s">
        <v>259</v>
      </c>
      <c r="I500" s="136" t="s">
        <v>547</v>
      </c>
      <c r="J500" s="136" t="s">
        <v>556</v>
      </c>
      <c r="K500" s="191">
        <v>-2.86965</v>
      </c>
      <c r="L500" s="191">
        <v>0</v>
      </c>
      <c r="M500" s="191">
        <v>-1.0152541721273221</v>
      </c>
      <c r="N500" s="191">
        <v>-1.2816704575259601</v>
      </c>
      <c r="O500" s="191">
        <v>-2.0222494460176099</v>
      </c>
      <c r="P500" s="191">
        <v>-0.35151709373397</v>
      </c>
      <c r="Q500" s="191">
        <v>-0.69069374294081098</v>
      </c>
      <c r="R500" s="191">
        <v>2.8422995395521299E-2</v>
      </c>
      <c r="T500" s="46">
        <v>6</v>
      </c>
      <c r="U500" s="53" t="s">
        <v>256</v>
      </c>
      <c r="V500" s="47" t="s">
        <v>538</v>
      </c>
      <c r="W500" s="47" t="s">
        <v>547</v>
      </c>
      <c r="X500" s="47" t="s">
        <v>556</v>
      </c>
      <c r="Y500" s="58">
        <v>4.6396800000000002</v>
      </c>
      <c r="Z500" s="193">
        <v>1.54878</v>
      </c>
      <c r="AB500" s="3"/>
      <c r="AC500" s="3"/>
      <c r="AD500" s="3"/>
      <c r="AE500" s="3"/>
      <c r="AF500" s="3"/>
      <c r="AG500" s="83"/>
    </row>
    <row r="501" spans="6:33">
      <c r="F501" s="370">
        <v>6</v>
      </c>
      <c r="G501" s="137" t="s">
        <v>239</v>
      </c>
      <c r="H501" s="136" t="s">
        <v>334</v>
      </c>
      <c r="I501" s="136" t="s">
        <v>547</v>
      </c>
      <c r="J501" s="136" t="s">
        <v>556</v>
      </c>
      <c r="K501" s="191">
        <v>-2.86965</v>
      </c>
      <c r="L501" s="191">
        <v>0</v>
      </c>
      <c r="M501" s="191">
        <v>-1.0152541721273221</v>
      </c>
      <c r="N501" s="191">
        <v>-1.69179267729399</v>
      </c>
      <c r="O501" s="191">
        <v>-2.4951886010564799</v>
      </c>
      <c r="P501" s="191">
        <v>-0.27760316470718299</v>
      </c>
      <c r="Q501" s="191">
        <v>-1.0074942142240799</v>
      </c>
      <c r="R501" s="191">
        <v>2.6390173444809501E-2</v>
      </c>
      <c r="T501" s="46">
        <v>6</v>
      </c>
      <c r="U501" s="53" t="s">
        <v>256</v>
      </c>
      <c r="V501" s="47" t="s">
        <v>258</v>
      </c>
      <c r="W501" s="47" t="s">
        <v>547</v>
      </c>
      <c r="X501" s="47" t="s">
        <v>556</v>
      </c>
      <c r="Y501" s="58">
        <v>4.6396800000000002</v>
      </c>
      <c r="Z501" s="193">
        <v>1.54878</v>
      </c>
      <c r="AB501" s="3" t="s">
        <v>526</v>
      </c>
      <c r="AC501" s="125">
        <v>0.77500000000000002</v>
      </c>
      <c r="AD501" s="3">
        <v>8.1306407300000008E-2</v>
      </c>
      <c r="AE501" s="3" t="s">
        <v>531</v>
      </c>
      <c r="AF501" s="3"/>
      <c r="AG501" s="3"/>
    </row>
    <row r="502" spans="6:33">
      <c r="F502" s="370">
        <v>6</v>
      </c>
      <c r="G502" s="137" t="s">
        <v>239</v>
      </c>
      <c r="H502" s="136" t="s">
        <v>240</v>
      </c>
      <c r="I502" s="136" t="s">
        <v>547</v>
      </c>
      <c r="J502" s="136" t="s">
        <v>556</v>
      </c>
      <c r="K502" s="191">
        <v>-3.1045600000000002</v>
      </c>
      <c r="L502" s="191">
        <v>0</v>
      </c>
      <c r="M502" s="191">
        <v>0</v>
      </c>
      <c r="N502" s="191">
        <v>-1.72053188057342</v>
      </c>
      <c r="O502" s="191">
        <v>-2.5864136483045601</v>
      </c>
      <c r="P502" s="191">
        <v>-0.46135779183343001</v>
      </c>
      <c r="Q502" s="191">
        <v>0.30060951226996901</v>
      </c>
      <c r="R502" s="191">
        <v>2.3670135759059998</v>
      </c>
      <c r="T502" s="46">
        <v>6</v>
      </c>
      <c r="U502" s="53" t="s">
        <v>247</v>
      </c>
      <c r="V502" s="47" t="s">
        <v>247</v>
      </c>
      <c r="W502" s="47" t="s">
        <v>547</v>
      </c>
      <c r="X502" s="47" t="s">
        <v>556</v>
      </c>
      <c r="Y502" s="58">
        <v>1.0505633333333335</v>
      </c>
      <c r="Z502" s="193">
        <v>0.89563000000000004</v>
      </c>
      <c r="AB502" s="3" t="s">
        <v>526</v>
      </c>
      <c r="AC502" s="125">
        <v>0.72499999999999998</v>
      </c>
      <c r="AD502" s="3">
        <v>8.1306407300000008E-2</v>
      </c>
      <c r="AE502" s="3" t="s">
        <v>531</v>
      </c>
      <c r="AF502" s="3"/>
      <c r="AG502" s="3"/>
    </row>
    <row r="503" spans="6:33" ht="28.8">
      <c r="F503" s="370">
        <v>6</v>
      </c>
      <c r="G503" s="137" t="s">
        <v>239</v>
      </c>
      <c r="H503" s="136" t="s">
        <v>325</v>
      </c>
      <c r="I503" s="136" t="s">
        <v>547</v>
      </c>
      <c r="J503" s="136" t="s">
        <v>556</v>
      </c>
      <c r="K503" s="191">
        <v>-1.66</v>
      </c>
      <c r="L503" s="191">
        <v>0</v>
      </c>
      <c r="M503" s="191">
        <v>0</v>
      </c>
      <c r="N503" s="191">
        <v>-1.5823914514950801</v>
      </c>
      <c r="O503" s="191">
        <v>-2.39025290122775</v>
      </c>
      <c r="P503" s="191">
        <v>-0.60576406900190205</v>
      </c>
      <c r="Q503" s="191">
        <v>-0.93094962859978103</v>
      </c>
      <c r="R503" s="191">
        <v>2.7472942241024201E-2</v>
      </c>
      <c r="T503" s="46">
        <v>6</v>
      </c>
      <c r="U503" s="53" t="s">
        <v>247</v>
      </c>
      <c r="V503" s="47" t="s">
        <v>248</v>
      </c>
      <c r="W503" s="47" t="s">
        <v>547</v>
      </c>
      <c r="X503" s="47" t="s">
        <v>556</v>
      </c>
      <c r="Y503" s="58">
        <v>1.0606100000000001</v>
      </c>
      <c r="Z503" s="193">
        <v>0.89563000000000004</v>
      </c>
      <c r="AB503" s="3" t="s">
        <v>526</v>
      </c>
      <c r="AC503" s="125">
        <v>0.72499999999999998</v>
      </c>
      <c r="AD503" s="3">
        <v>8.1306407300000008E-2</v>
      </c>
      <c r="AE503" s="3" t="s">
        <v>531</v>
      </c>
      <c r="AF503" s="3"/>
      <c r="AG503" s="3"/>
    </row>
    <row r="504" spans="6:33">
      <c r="F504" s="370">
        <v>6</v>
      </c>
      <c r="G504" s="137" t="s">
        <v>256</v>
      </c>
      <c r="H504" s="136" t="s">
        <v>10183</v>
      </c>
      <c r="I504" s="136" t="s">
        <v>547</v>
      </c>
      <c r="J504" s="136" t="s">
        <v>556</v>
      </c>
      <c r="K504" s="191">
        <v>-3.3097799999999999</v>
      </c>
      <c r="L504" s="191">
        <v>-3.2267017926999997</v>
      </c>
      <c r="M504" s="191">
        <v>-13.227645163878373</v>
      </c>
      <c r="N504" s="191">
        <v>0</v>
      </c>
      <c r="O504" s="191">
        <v>0</v>
      </c>
      <c r="P504" s="191">
        <v>2.5950354883421449E-2</v>
      </c>
      <c r="Q504" s="191">
        <v>-5.6060397839324247E-2</v>
      </c>
      <c r="R504" s="191">
        <v>-3.7726832516865899E-2</v>
      </c>
      <c r="T504" s="46">
        <v>6</v>
      </c>
      <c r="U504" s="53" t="s">
        <v>247</v>
      </c>
      <c r="V504" s="47" t="s">
        <v>263</v>
      </c>
      <c r="W504" s="47" t="s">
        <v>547</v>
      </c>
      <c r="X504" s="47" t="s">
        <v>556</v>
      </c>
      <c r="Y504" s="58">
        <v>1.0341199999999999</v>
      </c>
      <c r="Z504" s="193">
        <v>0.89563000000000004</v>
      </c>
      <c r="AB504" s="3" t="s">
        <v>526</v>
      </c>
      <c r="AC504" s="125">
        <v>0.64600000000000002</v>
      </c>
      <c r="AD504" s="3">
        <v>8.1306407300000008E-2</v>
      </c>
      <c r="AE504" s="3" t="s">
        <v>531</v>
      </c>
      <c r="AF504" s="3" t="s">
        <v>526</v>
      </c>
      <c r="AG504" s="83">
        <v>0.8</v>
      </c>
    </row>
    <row r="505" spans="6:33">
      <c r="F505" s="370">
        <v>6</v>
      </c>
      <c r="G505" s="137" t="s">
        <v>256</v>
      </c>
      <c r="H505" s="136" t="s">
        <v>536</v>
      </c>
      <c r="I505" s="136" t="s">
        <v>547</v>
      </c>
      <c r="J505" s="136" t="s">
        <v>556</v>
      </c>
      <c r="K505" s="191">
        <v>-1.9798800000000001</v>
      </c>
      <c r="L505" s="191">
        <v>-1.8968017927</v>
      </c>
      <c r="M505" s="191">
        <v>-2.3459229452538106</v>
      </c>
      <c r="N505" s="191">
        <v>0</v>
      </c>
      <c r="O505" s="191">
        <v>0</v>
      </c>
      <c r="P505" s="191">
        <v>2.60407097668429E-2</v>
      </c>
      <c r="Q505" s="191">
        <v>-9.2019421003423599E-2</v>
      </c>
      <c r="R505" s="191">
        <v>-6.3490295353769793E-2</v>
      </c>
      <c r="T505" s="46">
        <v>6</v>
      </c>
      <c r="U505" s="53" t="s">
        <v>247</v>
      </c>
      <c r="V505" s="47" t="s">
        <v>539</v>
      </c>
      <c r="W505" s="47" t="s">
        <v>547</v>
      </c>
      <c r="X505" s="47" t="s">
        <v>556</v>
      </c>
      <c r="Y505" s="58">
        <v>1.0569599999999999</v>
      </c>
      <c r="Z505" s="193">
        <v>0.89563000000000004</v>
      </c>
      <c r="AB505" s="3"/>
      <c r="AC505" s="3"/>
      <c r="AD505" s="3"/>
      <c r="AE505" s="3"/>
      <c r="AF505" s="3" t="s">
        <v>526</v>
      </c>
      <c r="AG505" s="83">
        <v>0.88</v>
      </c>
    </row>
    <row r="506" spans="6:33">
      <c r="F506" s="370">
        <v>6</v>
      </c>
      <c r="G506" s="137" t="s">
        <v>256</v>
      </c>
      <c r="H506" s="136" t="s">
        <v>257</v>
      </c>
      <c r="I506" s="136" t="s">
        <v>547</v>
      </c>
      <c r="J506" s="136" t="s">
        <v>556</v>
      </c>
      <c r="K506" s="191">
        <v>-1.9798800000000001</v>
      </c>
      <c r="L506" s="191">
        <v>-1.8968017927</v>
      </c>
      <c r="M506" s="191">
        <v>-2.3459229452538106</v>
      </c>
      <c r="N506" s="191">
        <v>0</v>
      </c>
      <c r="O506" s="191">
        <v>0</v>
      </c>
      <c r="P506" s="191">
        <v>2.60407097668429E-2</v>
      </c>
      <c r="Q506" s="191">
        <v>-9.2019421003423696E-2</v>
      </c>
      <c r="R506" s="191">
        <v>-6.3490295353769502E-2</v>
      </c>
      <c r="T506" s="46">
        <v>6</v>
      </c>
      <c r="U506" s="53" t="s">
        <v>247</v>
      </c>
      <c r="V506" s="47" t="s">
        <v>270</v>
      </c>
      <c r="W506" s="47" t="s">
        <v>547</v>
      </c>
      <c r="X506" s="47" t="s">
        <v>556</v>
      </c>
      <c r="Y506" s="58">
        <v>1.0505633333333335</v>
      </c>
      <c r="Z506" s="193">
        <v>0.89563000000000004</v>
      </c>
      <c r="AB506" s="3" t="s">
        <v>526</v>
      </c>
      <c r="AC506" s="125">
        <v>0.64600000000000002</v>
      </c>
      <c r="AD506" s="3">
        <v>8.1306407300000008E-2</v>
      </c>
      <c r="AE506" s="3" t="s">
        <v>531</v>
      </c>
      <c r="AF506" s="3" t="s">
        <v>526</v>
      </c>
      <c r="AG506" s="83">
        <v>0.8</v>
      </c>
    </row>
    <row r="507" spans="6:33">
      <c r="F507" s="370">
        <v>6</v>
      </c>
      <c r="G507" s="137" t="s">
        <v>256</v>
      </c>
      <c r="H507" s="136" t="s">
        <v>537</v>
      </c>
      <c r="I507" s="136" t="s">
        <v>547</v>
      </c>
      <c r="J507" s="136" t="s">
        <v>556</v>
      </c>
      <c r="K507" s="191">
        <v>-5.0082800000000001</v>
      </c>
      <c r="L507" s="191">
        <v>-4.9252017927000002</v>
      </c>
      <c r="M507" s="191">
        <v>-5.2411668220945575</v>
      </c>
      <c r="N507" s="191">
        <v>0</v>
      </c>
      <c r="O507" s="191">
        <v>0</v>
      </c>
      <c r="P507" s="191">
        <v>2.5860000000000001E-2</v>
      </c>
      <c r="Q507" s="191">
        <v>-2.0101374675224899E-2</v>
      </c>
      <c r="R507" s="191">
        <v>-1.1963369679962E-2</v>
      </c>
      <c r="T507" s="46">
        <v>6</v>
      </c>
      <c r="U507" s="53" t="s">
        <v>247</v>
      </c>
      <c r="V507" s="47" t="s">
        <v>540</v>
      </c>
      <c r="W507" s="47" t="s">
        <v>547</v>
      </c>
      <c r="X507" s="47" t="s">
        <v>556</v>
      </c>
      <c r="Y507" s="58">
        <v>1.0473650000000001</v>
      </c>
      <c r="Z507" s="193">
        <v>0.89563000000000004</v>
      </c>
      <c r="AB507" s="3"/>
      <c r="AC507" s="3"/>
      <c r="AD507" s="3"/>
      <c r="AE507" s="3"/>
      <c r="AF507" s="3" t="s">
        <v>526</v>
      </c>
      <c r="AG507" s="83">
        <v>0.65</v>
      </c>
    </row>
    <row r="508" spans="6:33">
      <c r="F508" s="370">
        <v>6</v>
      </c>
      <c r="G508" s="137" t="s">
        <v>256</v>
      </c>
      <c r="H508" s="136" t="s">
        <v>538</v>
      </c>
      <c r="I508" s="136" t="s">
        <v>547</v>
      </c>
      <c r="J508" s="136" t="s">
        <v>556</v>
      </c>
      <c r="K508" s="191">
        <v>-4.6396800000000002</v>
      </c>
      <c r="L508" s="191">
        <v>0</v>
      </c>
      <c r="M508" s="191">
        <v>0</v>
      </c>
      <c r="N508" s="191">
        <v>0</v>
      </c>
      <c r="O508" s="191">
        <v>0</v>
      </c>
      <c r="P508" s="191">
        <v>2.5860000000000001E-2</v>
      </c>
      <c r="Q508" s="191">
        <v>-1.6266222895848101E-2</v>
      </c>
      <c r="R508" s="191">
        <v>-1.1963369679962E-2</v>
      </c>
      <c r="T508" s="46">
        <v>6</v>
      </c>
      <c r="U508" s="53" t="s">
        <v>529</v>
      </c>
      <c r="V508" s="47" t="s">
        <v>260</v>
      </c>
      <c r="W508" s="47" t="s">
        <v>547</v>
      </c>
      <c r="X508" s="47" t="s">
        <v>556</v>
      </c>
      <c r="Y508" s="58">
        <v>4.0364225925925927</v>
      </c>
      <c r="Z508" s="193">
        <v>1.3856655555555555</v>
      </c>
      <c r="AB508" s="3"/>
      <c r="AC508" s="3"/>
      <c r="AD508" s="3"/>
      <c r="AE508" s="3"/>
      <c r="AF508" s="3" t="s">
        <v>526</v>
      </c>
      <c r="AG508" s="83">
        <v>0.65</v>
      </c>
    </row>
    <row r="509" spans="6:33">
      <c r="F509" s="370">
        <v>6</v>
      </c>
      <c r="G509" s="137" t="s">
        <v>256</v>
      </c>
      <c r="H509" s="136" t="s">
        <v>258</v>
      </c>
      <c r="I509" s="136" t="s">
        <v>547</v>
      </c>
      <c r="J509" s="136" t="s">
        <v>556</v>
      </c>
      <c r="K509" s="191">
        <v>-4.6396800000000002</v>
      </c>
      <c r="L509" s="191">
        <v>-4.5566017927000004</v>
      </c>
      <c r="M509" s="191">
        <v>-5.0807229397855505</v>
      </c>
      <c r="N509" s="191">
        <v>0</v>
      </c>
      <c r="O509" s="191">
        <v>0</v>
      </c>
      <c r="P509" s="191">
        <v>2.5860000000000001E-2</v>
      </c>
      <c r="Q509" s="191">
        <v>-2.0101374675224899E-2</v>
      </c>
      <c r="R509" s="191">
        <v>-1.1963369679962E-2</v>
      </c>
      <c r="T509" s="46">
        <v>6</v>
      </c>
      <c r="U509" s="53" t="s">
        <v>237</v>
      </c>
      <c r="V509" s="47" t="s">
        <v>237</v>
      </c>
      <c r="W509" s="47" t="s">
        <v>547</v>
      </c>
      <c r="X509" s="47" t="s">
        <v>556</v>
      </c>
      <c r="Y509" s="58">
        <v>2.8533815875203707</v>
      </c>
      <c r="Z509" s="193">
        <v>1.0711602172222223</v>
      </c>
      <c r="AB509" s="3"/>
      <c r="AC509" s="3"/>
      <c r="AD509" s="3"/>
      <c r="AE509" s="3"/>
      <c r="AF509" s="3" t="s">
        <v>526</v>
      </c>
      <c r="AG509" s="83">
        <v>0.65</v>
      </c>
    </row>
    <row r="510" spans="6:33">
      <c r="F510" s="370">
        <v>6</v>
      </c>
      <c r="G510" s="137" t="s">
        <v>247</v>
      </c>
      <c r="H510" s="136" t="s">
        <v>247</v>
      </c>
      <c r="I510" s="136" t="s">
        <v>547</v>
      </c>
      <c r="J510" s="136" t="s">
        <v>556</v>
      </c>
      <c r="K510" s="191">
        <v>-1.0505633333333335</v>
      </c>
      <c r="L510" s="191">
        <v>-0.96748512603333348</v>
      </c>
      <c r="M510" s="191">
        <v>-0.31964666691719285</v>
      </c>
      <c r="N510" s="191">
        <v>0</v>
      </c>
      <c r="O510" s="191">
        <v>0</v>
      </c>
      <c r="P510" s="191">
        <v>2.6040724293187999E-2</v>
      </c>
      <c r="Q510" s="191">
        <v>2.9160179539146E-2</v>
      </c>
      <c r="R510" s="191">
        <v>4.8933991860598297E-2</v>
      </c>
      <c r="T510" s="46">
        <v>6</v>
      </c>
      <c r="U510" s="53" t="s">
        <v>237</v>
      </c>
      <c r="V510" s="47" t="s">
        <v>246</v>
      </c>
      <c r="W510" s="47" t="s">
        <v>547</v>
      </c>
      <c r="X510" s="47" t="s">
        <v>556</v>
      </c>
      <c r="Y510" s="58">
        <v>7.3412433500000009</v>
      </c>
      <c r="Z510" s="193">
        <v>0.66842500000000005</v>
      </c>
      <c r="AB510" s="3"/>
      <c r="AC510" s="3"/>
      <c r="AD510" s="3"/>
      <c r="AE510" s="3"/>
      <c r="AF510" s="3" t="s">
        <v>526</v>
      </c>
      <c r="AG510" s="83">
        <v>0.8</v>
      </c>
    </row>
    <row r="511" spans="6:33">
      <c r="F511" s="370">
        <v>6</v>
      </c>
      <c r="G511" s="137" t="s">
        <v>247</v>
      </c>
      <c r="H511" s="136" t="s">
        <v>248</v>
      </c>
      <c r="I511" s="136" t="s">
        <v>547</v>
      </c>
      <c r="J511" s="136" t="s">
        <v>556</v>
      </c>
      <c r="K511" s="191">
        <v>-1.0606100000000001</v>
      </c>
      <c r="L511" s="191">
        <v>-0.97753179270000001</v>
      </c>
      <c r="M511" s="191">
        <v>-0.16792281557286154</v>
      </c>
      <c r="N511" s="191">
        <v>0</v>
      </c>
      <c r="O511" s="191">
        <v>0</v>
      </c>
      <c r="P511" s="191">
        <v>2.6040730347760901E-2</v>
      </c>
      <c r="Q511" s="191">
        <v>3.3291056097463002E-2</v>
      </c>
      <c r="R511" s="191">
        <v>4.89328082549913E-2</v>
      </c>
      <c r="T511" s="46">
        <v>6</v>
      </c>
      <c r="U511" s="53" t="s">
        <v>237</v>
      </c>
      <c r="V511" s="28" t="s">
        <v>10162</v>
      </c>
      <c r="W511" s="47" t="s">
        <v>547</v>
      </c>
      <c r="X511" s="47" t="s">
        <v>556</v>
      </c>
      <c r="Y511" s="58">
        <v>2.8533815875203707</v>
      </c>
      <c r="Z511" s="193">
        <v>1.0711602172222223</v>
      </c>
      <c r="AB511" s="3"/>
      <c r="AC511" s="3"/>
      <c r="AD511" s="3"/>
      <c r="AE511" s="3"/>
      <c r="AF511" s="3"/>
      <c r="AG511" s="3"/>
    </row>
    <row r="512" spans="6:33">
      <c r="F512" s="370">
        <v>6</v>
      </c>
      <c r="G512" s="137" t="s">
        <v>247</v>
      </c>
      <c r="H512" s="136" t="s">
        <v>263</v>
      </c>
      <c r="I512" s="136" t="s">
        <v>547</v>
      </c>
      <c r="J512" s="136" t="s">
        <v>556</v>
      </c>
      <c r="K512" s="191">
        <v>-1.0341199999999999</v>
      </c>
      <c r="L512" s="191">
        <v>-0.95104179269999989</v>
      </c>
      <c r="M512" s="191">
        <v>-0.16792281557286154</v>
      </c>
      <c r="N512" s="191">
        <v>0</v>
      </c>
      <c r="O512" s="191">
        <v>0</v>
      </c>
      <c r="P512" s="191">
        <v>2.6040734100342699E-2</v>
      </c>
      <c r="Q512" s="191">
        <v>3.5767272587802802E-2</v>
      </c>
      <c r="R512" s="191">
        <v>4.8932883823129603E-2</v>
      </c>
      <c r="T512" s="46">
        <v>6</v>
      </c>
      <c r="U512" s="53" t="s">
        <v>252</v>
      </c>
      <c r="V512" s="28" t="s">
        <v>333</v>
      </c>
      <c r="W512" s="47" t="s">
        <v>547</v>
      </c>
      <c r="X512" s="47" t="s">
        <v>556</v>
      </c>
      <c r="Y512" s="58">
        <v>2.0953266666666663</v>
      </c>
      <c r="Z512" s="193">
        <v>1.77911</v>
      </c>
      <c r="AB512" s="3"/>
      <c r="AC512" s="3"/>
      <c r="AD512" s="3"/>
      <c r="AE512" s="3"/>
      <c r="AF512" s="3"/>
      <c r="AG512" s="3"/>
    </row>
    <row r="513" spans="6:33">
      <c r="F513" s="370">
        <v>6</v>
      </c>
      <c r="G513" s="137" t="s">
        <v>247</v>
      </c>
      <c r="H513" s="136" t="s">
        <v>539</v>
      </c>
      <c r="I513" s="136" t="s">
        <v>547</v>
      </c>
      <c r="J513" s="136" t="s">
        <v>556</v>
      </c>
      <c r="K513" s="191">
        <v>-1.0569599999999999</v>
      </c>
      <c r="L513" s="191">
        <v>-0.97388179269999986</v>
      </c>
      <c r="M513" s="191">
        <v>-0.17322564132779403</v>
      </c>
      <c r="N513" s="191">
        <v>0</v>
      </c>
      <c r="O513" s="191">
        <v>0</v>
      </c>
      <c r="P513" s="191">
        <v>2.6040714495594499E-2</v>
      </c>
      <c r="Q513" s="191">
        <v>2.25068255633998E-2</v>
      </c>
      <c r="R513" s="191">
        <v>4.8935266613268302E-2</v>
      </c>
      <c r="T513" s="46">
        <v>6</v>
      </c>
      <c r="U513" s="53" t="s">
        <v>239</v>
      </c>
      <c r="V513" s="3" t="s">
        <v>542</v>
      </c>
      <c r="W513" s="47" t="s">
        <v>547</v>
      </c>
      <c r="X513" s="47" t="s">
        <v>556</v>
      </c>
      <c r="Y513" s="58">
        <v>2.6644477777777777</v>
      </c>
      <c r="Z513" s="193">
        <v>0.64099666666666666</v>
      </c>
      <c r="AB513" s="3"/>
      <c r="AC513" s="3"/>
      <c r="AD513" s="3"/>
      <c r="AE513" s="3"/>
      <c r="AF513" s="3" t="s">
        <v>526</v>
      </c>
      <c r="AG513" s="83">
        <v>0.95</v>
      </c>
    </row>
    <row r="514" spans="6:33">
      <c r="F514" s="370">
        <v>6</v>
      </c>
      <c r="G514" s="137" t="s">
        <v>247</v>
      </c>
      <c r="H514" s="136" t="s">
        <v>270</v>
      </c>
      <c r="I514" s="136" t="s">
        <v>547</v>
      </c>
      <c r="J514" s="136" t="s">
        <v>556</v>
      </c>
      <c r="K514" s="191">
        <v>-1.0505633333333335</v>
      </c>
      <c r="L514" s="191">
        <v>-0.96748512603333348</v>
      </c>
      <c r="M514" s="191">
        <v>-0.31964666691719285</v>
      </c>
      <c r="N514" s="191">
        <v>0</v>
      </c>
      <c r="O514" s="191">
        <v>0</v>
      </c>
      <c r="P514" s="191">
        <v>2.6040724293187999E-2</v>
      </c>
      <c r="Q514" s="191">
        <v>2.9160179539146E-2</v>
      </c>
      <c r="R514" s="191">
        <v>4.8933991860598297E-2</v>
      </c>
      <c r="T514" s="46">
        <v>6</v>
      </c>
      <c r="U514" s="53" t="s">
        <v>237</v>
      </c>
      <c r="V514" s="3" t="s">
        <v>238</v>
      </c>
      <c r="W514" s="47" t="s">
        <v>547</v>
      </c>
      <c r="X514" s="47" t="s">
        <v>556</v>
      </c>
      <c r="Y514" s="58">
        <v>2.7046544444444445</v>
      </c>
      <c r="Z514" s="193">
        <v>1.2161291666666667</v>
      </c>
      <c r="AB514" s="3" t="s">
        <v>526</v>
      </c>
      <c r="AC514" s="125">
        <v>1</v>
      </c>
      <c r="AD514" s="3">
        <v>8.1306407300000008E-2</v>
      </c>
      <c r="AE514" s="3" t="s">
        <v>531</v>
      </c>
      <c r="AF514" s="3" t="s">
        <v>526</v>
      </c>
      <c r="AG514" s="83">
        <v>0.95</v>
      </c>
    </row>
    <row r="515" spans="6:33">
      <c r="F515" s="370">
        <v>6</v>
      </c>
      <c r="G515" s="137" t="s">
        <v>247</v>
      </c>
      <c r="H515" s="136" t="s">
        <v>540</v>
      </c>
      <c r="I515" s="136" t="s">
        <v>547</v>
      </c>
      <c r="J515" s="136" t="s">
        <v>556</v>
      </c>
      <c r="K515" s="191">
        <v>-1.0473650000000001</v>
      </c>
      <c r="L515" s="191">
        <v>-0.96428679270000006</v>
      </c>
      <c r="M515" s="191">
        <v>0</v>
      </c>
      <c r="N515" s="191">
        <v>0</v>
      </c>
      <c r="O515" s="191">
        <v>0</v>
      </c>
      <c r="P515" s="191">
        <v>2.6040707593329899E-2</v>
      </c>
      <c r="Q515" s="191">
        <v>2.4982521898512501E-2</v>
      </c>
      <c r="R515" s="191">
        <v>4.8934822026179499E-2</v>
      </c>
      <c r="T515" s="46">
        <v>6</v>
      </c>
      <c r="U515" s="53" t="s">
        <v>264</v>
      </c>
      <c r="V515" s="3" t="s">
        <v>264</v>
      </c>
      <c r="W515" s="47" t="s">
        <v>547</v>
      </c>
      <c r="X515" s="47" t="s">
        <v>556</v>
      </c>
      <c r="Y515" s="58">
        <v>1.9287117500000002</v>
      </c>
      <c r="Z515" s="193">
        <v>0.467055</v>
      </c>
      <c r="AB515" s="3" t="s">
        <v>526</v>
      </c>
      <c r="AC515" s="125">
        <v>1</v>
      </c>
      <c r="AD515" s="3">
        <v>8.1306407300000008E-2</v>
      </c>
      <c r="AE515" s="3" t="s">
        <v>531</v>
      </c>
      <c r="AF515" s="3" t="s">
        <v>526</v>
      </c>
      <c r="AG515" s="83">
        <v>0.95</v>
      </c>
    </row>
    <row r="516" spans="6:33">
      <c r="F516" s="370">
        <v>6</v>
      </c>
      <c r="G516" s="137" t="s">
        <v>261</v>
      </c>
      <c r="H516" s="136" t="s">
        <v>260</v>
      </c>
      <c r="I516" s="136" t="s">
        <v>547</v>
      </c>
      <c r="J516" s="136" t="s">
        <v>556</v>
      </c>
      <c r="K516" s="191">
        <v>-4.0364225925925927</v>
      </c>
      <c r="L516" s="191">
        <v>0</v>
      </c>
      <c r="M516" s="191">
        <v>0</v>
      </c>
      <c r="N516" s="191">
        <v>-0.49804123014899998</v>
      </c>
      <c r="O516" s="191">
        <v>-0.86469964244274</v>
      </c>
      <c r="P516" s="191">
        <v>-9.8873846785501499E-2</v>
      </c>
      <c r="Q516" s="191">
        <v>-0.26772451207168102</v>
      </c>
      <c r="R516" s="191">
        <v>2.7532204279775999E-2</v>
      </c>
      <c r="T516" s="46">
        <v>6</v>
      </c>
      <c r="U516" s="53" t="s">
        <v>264</v>
      </c>
      <c r="V516" s="3" t="s">
        <v>336</v>
      </c>
      <c r="W516" s="47" t="s">
        <v>547</v>
      </c>
      <c r="X516" s="47" t="s">
        <v>556</v>
      </c>
      <c r="Y516" s="58">
        <v>0.76351350000000007</v>
      </c>
      <c r="Z516" s="193">
        <v>0.43603999999999998</v>
      </c>
      <c r="AB516" s="3" t="s">
        <v>526</v>
      </c>
      <c r="AC516" s="125">
        <v>1</v>
      </c>
      <c r="AD516" s="3">
        <v>8.1306407300000008E-2</v>
      </c>
      <c r="AE516" s="3" t="s">
        <v>531</v>
      </c>
      <c r="AF516" s="3"/>
      <c r="AG516" s="3"/>
    </row>
    <row r="517" spans="6:33">
      <c r="F517" s="370">
        <v>6</v>
      </c>
      <c r="G517" s="137" t="s">
        <v>10157</v>
      </c>
      <c r="H517" s="136" t="s">
        <v>10157</v>
      </c>
      <c r="I517" s="136" t="s">
        <v>547</v>
      </c>
      <c r="J517" s="136" t="s">
        <v>556</v>
      </c>
      <c r="K517" s="191">
        <v>-2.8533815875203707</v>
      </c>
      <c r="L517" s="191">
        <v>-1.4249189937601854</v>
      </c>
      <c r="M517" s="191">
        <v>0</v>
      </c>
      <c r="N517" s="191">
        <v>0</v>
      </c>
      <c r="O517" s="191">
        <v>0</v>
      </c>
      <c r="P517" s="191">
        <v>-0.41024045217658678</v>
      </c>
      <c r="Q517" s="191">
        <v>-0.59805419557752437</v>
      </c>
      <c r="R517" s="191">
        <v>2.7970952240132501E-2</v>
      </c>
      <c r="T517" s="46">
        <v>6</v>
      </c>
      <c r="U517" s="53" t="s">
        <v>242</v>
      </c>
      <c r="V517" s="3" t="s">
        <v>251</v>
      </c>
      <c r="W517" s="47" t="s">
        <v>547</v>
      </c>
      <c r="X517" s="47" t="s">
        <v>556</v>
      </c>
      <c r="Y517" s="58">
        <v>4.9218200000000003</v>
      </c>
      <c r="Z517" s="193">
        <v>0.15096000000000001</v>
      </c>
      <c r="AB517" s="3"/>
      <c r="AC517" s="3"/>
      <c r="AD517" s="3"/>
      <c r="AE517" s="3"/>
      <c r="AF517" s="3" t="s">
        <v>526</v>
      </c>
      <c r="AG517" s="83">
        <v>0.95</v>
      </c>
    </row>
    <row r="518" spans="6:33">
      <c r="F518" s="370">
        <v>6</v>
      </c>
      <c r="G518" s="137" t="s">
        <v>10157</v>
      </c>
      <c r="H518" s="136" t="s">
        <v>246</v>
      </c>
      <c r="I518" s="136" t="s">
        <v>547</v>
      </c>
      <c r="J518" s="136" t="s">
        <v>556</v>
      </c>
      <c r="K518" s="191">
        <v>-7.3412433500000009</v>
      </c>
      <c r="L518" s="191">
        <v>0</v>
      </c>
      <c r="M518" s="191">
        <v>0</v>
      </c>
      <c r="N518" s="191">
        <v>0</v>
      </c>
      <c r="O518" s="191">
        <v>0</v>
      </c>
      <c r="P518" s="191">
        <v>2.60407590601959E-2</v>
      </c>
      <c r="Q518" s="191">
        <v>4.1075091000055998E-2</v>
      </c>
      <c r="R518" s="191">
        <v>4.8932475133413603E-2</v>
      </c>
      <c r="T518" s="46">
        <v>6</v>
      </c>
      <c r="U518" s="53" t="s">
        <v>242</v>
      </c>
      <c r="V518" s="3" t="s">
        <v>543</v>
      </c>
      <c r="W518" s="47" t="s">
        <v>547</v>
      </c>
      <c r="X518" s="47" t="s">
        <v>556</v>
      </c>
      <c r="Y518" s="58">
        <v>1.00081</v>
      </c>
      <c r="Z518" s="193">
        <v>0.33138000000000001</v>
      </c>
      <c r="AB518" s="3" t="s">
        <v>526</v>
      </c>
      <c r="AC518" s="125">
        <v>1</v>
      </c>
      <c r="AD518" s="3">
        <v>0</v>
      </c>
      <c r="AE518" s="3" t="s">
        <v>527</v>
      </c>
      <c r="AF518" s="3" t="s">
        <v>526</v>
      </c>
      <c r="AG518" s="83">
        <v>0.9</v>
      </c>
    </row>
    <row r="519" spans="6:33" ht="28.8">
      <c r="F519" s="370">
        <v>6</v>
      </c>
      <c r="G519" s="137" t="s">
        <v>10157</v>
      </c>
      <c r="H519" s="136" t="s">
        <v>10162</v>
      </c>
      <c r="I519" s="136" t="s">
        <v>547</v>
      </c>
      <c r="J519" s="136" t="s">
        <v>556</v>
      </c>
      <c r="K519" s="191">
        <v>-2.8533815875203707</v>
      </c>
      <c r="L519" s="191">
        <v>0</v>
      </c>
      <c r="M519" s="191">
        <v>0</v>
      </c>
      <c r="N519" s="191">
        <v>-1.0080674189834951</v>
      </c>
      <c r="O519" s="191">
        <v>-1.5974615560162053</v>
      </c>
      <c r="P519" s="191">
        <v>-0.41024045217658678</v>
      </c>
      <c r="Q519" s="191">
        <v>-0.59805419557752437</v>
      </c>
      <c r="R519" s="191">
        <v>2.7970952240132501E-2</v>
      </c>
      <c r="T519" s="46">
        <v>6</v>
      </c>
      <c r="U519" s="53" t="s">
        <v>264</v>
      </c>
      <c r="V519" s="3" t="s">
        <v>544</v>
      </c>
      <c r="W519" s="47" t="s">
        <v>547</v>
      </c>
      <c r="X519" s="47" t="s">
        <v>556</v>
      </c>
      <c r="Y519" s="58">
        <v>3.0939100000000002</v>
      </c>
      <c r="Z519" s="193">
        <v>0.49807000000000001</v>
      </c>
      <c r="AB519" s="3" t="s">
        <v>526</v>
      </c>
      <c r="AC519" s="125">
        <v>1</v>
      </c>
      <c r="AD519" s="3">
        <v>8.1306407300000008E-2</v>
      </c>
      <c r="AE519" s="3" t="s">
        <v>531</v>
      </c>
      <c r="AF519" s="3" t="s">
        <v>526</v>
      </c>
      <c r="AG519" s="83">
        <v>0.9</v>
      </c>
    </row>
    <row r="520" spans="6:33">
      <c r="F520" s="370">
        <v>6</v>
      </c>
      <c r="G520" s="137" t="s">
        <v>252</v>
      </c>
      <c r="H520" s="136" t="s">
        <v>333</v>
      </c>
      <c r="I520" s="136" t="s">
        <v>547</v>
      </c>
      <c r="J520" s="136" t="s">
        <v>556</v>
      </c>
      <c r="K520" s="191">
        <v>-2.0953266666666663</v>
      </c>
      <c r="L520" s="191">
        <v>0</v>
      </c>
      <c r="M520" s="191">
        <v>-4.4026458801754389</v>
      </c>
      <c r="N520" s="191">
        <v>0</v>
      </c>
      <c r="O520" s="191">
        <v>0</v>
      </c>
      <c r="P520" s="191">
        <v>2.6040731092765699E-2</v>
      </c>
      <c r="Q520" s="191">
        <v>0.464223353037373</v>
      </c>
      <c r="R520" s="191">
        <v>2.1870266836515802</v>
      </c>
      <c r="T520" s="46">
        <v>6</v>
      </c>
      <c r="U520" s="53" t="s">
        <v>237</v>
      </c>
      <c r="V520" s="3" t="s">
        <v>545</v>
      </c>
      <c r="W520" s="47" t="s">
        <v>547</v>
      </c>
      <c r="X520" s="47" t="s">
        <v>556</v>
      </c>
      <c r="Y520" s="58">
        <v>2.8533815875203707</v>
      </c>
      <c r="Z520" s="193">
        <v>1.0711602172222223</v>
      </c>
      <c r="AB520" s="3" t="s">
        <v>526</v>
      </c>
      <c r="AC520" s="125">
        <v>1</v>
      </c>
      <c r="AD520" s="3">
        <v>8.1306407300000008E-2</v>
      </c>
      <c r="AE520" s="3" t="s">
        <v>531</v>
      </c>
      <c r="AF520" s="3" t="s">
        <v>526</v>
      </c>
      <c r="AG520" s="83">
        <v>0.95</v>
      </c>
    </row>
    <row r="521" spans="6:33">
      <c r="F521" s="370">
        <v>6</v>
      </c>
      <c r="G521" s="137" t="s">
        <v>239</v>
      </c>
      <c r="H521" s="136" t="s">
        <v>542</v>
      </c>
      <c r="I521" s="136" t="s">
        <v>547</v>
      </c>
      <c r="J521" s="136" t="s">
        <v>556</v>
      </c>
      <c r="K521" s="191">
        <v>-2.6644477777777777</v>
      </c>
      <c r="L521" s="191">
        <v>0</v>
      </c>
      <c r="M521" s="191">
        <v>-0.90244815300206405</v>
      </c>
      <c r="N521" s="191">
        <v>-1.5823914514950801</v>
      </c>
      <c r="O521" s="191">
        <v>-2.39025290122775</v>
      </c>
      <c r="P521" s="191">
        <v>-0.60576406900190205</v>
      </c>
      <c r="Q521" s="191">
        <v>-0.93094962859978103</v>
      </c>
      <c r="R521" s="191">
        <v>2.7472942241024201E-2</v>
      </c>
      <c r="T521" s="46">
        <v>7</v>
      </c>
      <c r="U521" s="53"/>
      <c r="V521" s="47"/>
      <c r="W521" s="47" t="s">
        <v>548</v>
      </c>
      <c r="X521" s="47" t="s">
        <v>557</v>
      </c>
      <c r="Y521" s="58" t="s">
        <v>525</v>
      </c>
      <c r="Z521" s="193" t="s">
        <v>525</v>
      </c>
      <c r="AB521" s="3" t="s">
        <v>526</v>
      </c>
      <c r="AC521" s="125">
        <v>1</v>
      </c>
      <c r="AD521" s="3">
        <v>8.1306407300000008E-2</v>
      </c>
      <c r="AE521" s="3" t="s">
        <v>531</v>
      </c>
      <c r="AF521" s="3" t="s">
        <v>526</v>
      </c>
      <c r="AG521" s="83">
        <v>0.7</v>
      </c>
    </row>
    <row r="522" spans="6:33">
      <c r="F522" s="370">
        <v>6</v>
      </c>
      <c r="G522" s="137" t="s">
        <v>10157</v>
      </c>
      <c r="H522" s="136" t="s">
        <v>238</v>
      </c>
      <c r="I522" s="136" t="s">
        <v>547</v>
      </c>
      <c r="J522" s="136" t="s">
        <v>556</v>
      </c>
      <c r="K522" s="191">
        <v>-2.7046544444444445</v>
      </c>
      <c r="L522" s="191">
        <v>0</v>
      </c>
      <c r="M522" s="191">
        <v>0</v>
      </c>
      <c r="N522" s="191">
        <v>0</v>
      </c>
      <c r="O522" s="191">
        <v>0</v>
      </c>
      <c r="P522" s="191">
        <v>-0.13193306468313171</v>
      </c>
      <c r="Q522" s="191">
        <v>-0.12340662346564657</v>
      </c>
      <c r="R522" s="191">
        <v>0.55642669630908426</v>
      </c>
      <c r="T522" s="46">
        <v>7</v>
      </c>
      <c r="U522" s="53"/>
      <c r="V522" s="47"/>
      <c r="W522" s="47" t="s">
        <v>548</v>
      </c>
      <c r="X522" s="47" t="s">
        <v>557</v>
      </c>
      <c r="Y522" s="58" t="s">
        <v>525</v>
      </c>
      <c r="Z522" s="193" t="s">
        <v>525</v>
      </c>
      <c r="AB522" s="3" t="s">
        <v>526</v>
      </c>
      <c r="AC522" s="125">
        <v>1</v>
      </c>
      <c r="AD522" s="3">
        <v>8.1306407300000008E-2</v>
      </c>
      <c r="AE522" s="3" t="s">
        <v>531</v>
      </c>
      <c r="AF522" s="3"/>
      <c r="AG522" s="3"/>
    </row>
    <row r="523" spans="6:33" ht="28.8">
      <c r="F523" s="370">
        <v>6</v>
      </c>
      <c r="G523" s="137" t="s">
        <v>264</v>
      </c>
      <c r="H523" s="136" t="s">
        <v>10184</v>
      </c>
      <c r="I523" s="136" t="s">
        <v>547</v>
      </c>
      <c r="J523" s="136" t="s">
        <v>556</v>
      </c>
      <c r="K523" s="191">
        <v>-1.9287117500000002</v>
      </c>
      <c r="L523" s="191">
        <v>-1.1070613798500002</v>
      </c>
      <c r="M523" s="191">
        <v>0.15112249999999994</v>
      </c>
      <c r="N523" s="191">
        <v>0</v>
      </c>
      <c r="O523" s="191">
        <v>0</v>
      </c>
      <c r="P523" s="191">
        <v>-0.30792172898100867</v>
      </c>
      <c r="Q523" s="191">
        <v>-0.58268383572280236</v>
      </c>
      <c r="R523" s="191">
        <v>0.46268869053918082</v>
      </c>
      <c r="T523" s="46">
        <v>7</v>
      </c>
      <c r="U523" s="53"/>
      <c r="V523" s="47"/>
      <c r="W523" s="47" t="s">
        <v>548</v>
      </c>
      <c r="X523" s="47" t="s">
        <v>557</v>
      </c>
      <c r="Y523" s="58" t="s">
        <v>525</v>
      </c>
      <c r="Z523" s="193" t="s">
        <v>525</v>
      </c>
      <c r="AB523" s="3" t="s">
        <v>526</v>
      </c>
      <c r="AC523" s="83">
        <v>0.5</v>
      </c>
      <c r="AD523" s="3">
        <v>8.1306407300000008E-2</v>
      </c>
      <c r="AE523" s="3" t="s">
        <v>531</v>
      </c>
      <c r="AF523" s="3"/>
      <c r="AG523" s="3"/>
    </row>
    <row r="524" spans="6:33">
      <c r="F524" s="370">
        <v>6</v>
      </c>
      <c r="G524" s="137" t="s">
        <v>264</v>
      </c>
      <c r="H524" s="136" t="s">
        <v>336</v>
      </c>
      <c r="I524" s="136" t="s">
        <v>547</v>
      </c>
      <c r="J524" s="136" t="s">
        <v>556</v>
      </c>
      <c r="K524" s="191">
        <v>-0.76351350000000007</v>
      </c>
      <c r="L524" s="191">
        <v>-0.34968251735000005</v>
      </c>
      <c r="M524" s="191">
        <v>0</v>
      </c>
      <c r="N524" s="191">
        <v>-1.64048635651654</v>
      </c>
      <c r="O524" s="191">
        <v>-2.6265900097321899</v>
      </c>
      <c r="P524" s="191">
        <v>-0.98615602024187332</v>
      </c>
      <c r="Q524" s="191">
        <v>-0.81510268688236076</v>
      </c>
      <c r="R524" s="191">
        <v>0.21608141940206463</v>
      </c>
      <c r="T524" s="46">
        <v>7</v>
      </c>
      <c r="U524" s="53"/>
      <c r="V524" s="47"/>
      <c r="W524" s="47" t="s">
        <v>548</v>
      </c>
      <c r="X524" s="47" t="s">
        <v>557</v>
      </c>
      <c r="Y524" s="58" t="s">
        <v>525</v>
      </c>
      <c r="Z524" s="193" t="s">
        <v>525</v>
      </c>
      <c r="AB524" s="3"/>
      <c r="AC524" s="3"/>
      <c r="AD524" s="3"/>
      <c r="AE524" s="3"/>
      <c r="AF524" s="3"/>
      <c r="AG524" s="3"/>
    </row>
    <row r="525" spans="6:33">
      <c r="F525" s="370">
        <v>6</v>
      </c>
      <c r="G525" s="137" t="s">
        <v>242</v>
      </c>
      <c r="H525" s="136" t="s">
        <v>251</v>
      </c>
      <c r="I525" s="136" t="s">
        <v>547</v>
      </c>
      <c r="J525" s="136" t="s">
        <v>556</v>
      </c>
      <c r="K525" s="191">
        <v>-4.9218200000000003</v>
      </c>
      <c r="L525" s="191">
        <v>-3.5665477000000001</v>
      </c>
      <c r="M525" s="191">
        <v>-1.2190350000000001</v>
      </c>
      <c r="N525" s="191">
        <v>0</v>
      </c>
      <c r="O525" s="191">
        <v>0</v>
      </c>
      <c r="P525" s="191">
        <v>2.5968434390474859E-2</v>
      </c>
      <c r="Q525" s="191">
        <v>0.17148020027923069</v>
      </c>
      <c r="R525" s="191">
        <v>0.8695064354805685</v>
      </c>
      <c r="T525" s="46">
        <v>7</v>
      </c>
      <c r="U525" s="53" t="s">
        <v>330</v>
      </c>
      <c r="V525" s="47" t="s">
        <v>330</v>
      </c>
      <c r="W525" s="47" t="s">
        <v>548</v>
      </c>
      <c r="X525" s="47" t="s">
        <v>557</v>
      </c>
      <c r="Y525" s="58">
        <v>0.14119999999999999</v>
      </c>
      <c r="Z525" s="193">
        <v>0.43014000000000002</v>
      </c>
      <c r="AB525" s="3"/>
      <c r="AC525" s="3"/>
      <c r="AD525" s="3"/>
      <c r="AE525" s="3"/>
      <c r="AF525" s="3"/>
      <c r="AG525" s="3"/>
    </row>
    <row r="526" spans="6:33">
      <c r="F526" s="370">
        <v>6</v>
      </c>
      <c r="G526" s="137" t="s">
        <v>242</v>
      </c>
      <c r="H526" s="136" t="s">
        <v>543</v>
      </c>
      <c r="I526" s="136" t="s">
        <v>547</v>
      </c>
      <c r="J526" s="136" t="s">
        <v>556</v>
      </c>
      <c r="K526" s="191">
        <v>-1.00081</v>
      </c>
      <c r="L526" s="191">
        <v>-0.72381545000000003</v>
      </c>
      <c r="M526" s="191">
        <v>-0.20626249999999999</v>
      </c>
      <c r="N526" s="191">
        <v>0</v>
      </c>
      <c r="O526" s="191">
        <v>0</v>
      </c>
      <c r="P526" s="191">
        <v>2.5860000000000001E-2</v>
      </c>
      <c r="Q526" s="191">
        <v>4.1075091000055998E-2</v>
      </c>
      <c r="R526" s="191">
        <v>4.8932475133413401E-2</v>
      </c>
      <c r="T526" s="46">
        <v>7</v>
      </c>
      <c r="U526" s="53" t="s">
        <v>330</v>
      </c>
      <c r="V526" s="47" t="s">
        <v>335</v>
      </c>
      <c r="W526" s="47" t="s">
        <v>548</v>
      </c>
      <c r="X526" s="47" t="s">
        <v>557</v>
      </c>
      <c r="Y526" s="58">
        <v>0.26272000000000001</v>
      </c>
      <c r="Z526" s="193">
        <v>0.43014000000000002</v>
      </c>
      <c r="AB526" s="3"/>
      <c r="AC526" s="3"/>
      <c r="AD526" s="3"/>
      <c r="AE526" s="3"/>
      <c r="AF526" s="3" t="s">
        <v>526</v>
      </c>
      <c r="AG526" s="83">
        <v>0.7</v>
      </c>
    </row>
    <row r="527" spans="6:33">
      <c r="F527" s="370">
        <v>6</v>
      </c>
      <c r="G527" s="137" t="s">
        <v>264</v>
      </c>
      <c r="H527" s="136" t="s">
        <v>544</v>
      </c>
      <c r="I527" s="136" t="s">
        <v>547</v>
      </c>
      <c r="J527" s="136" t="s">
        <v>556</v>
      </c>
      <c r="K527" s="191">
        <v>-3.0939100000000002</v>
      </c>
      <c r="L527" s="191">
        <v>-1.8644402423500002</v>
      </c>
      <c r="M527" s="191">
        <v>0.15112249999999994</v>
      </c>
      <c r="N527" s="191">
        <v>0</v>
      </c>
      <c r="O527" s="191">
        <v>0</v>
      </c>
      <c r="P527" s="191">
        <v>0.37031256227985598</v>
      </c>
      <c r="Q527" s="191">
        <v>-0.35026498456324401</v>
      </c>
      <c r="R527" s="191">
        <v>0.70929596167629705</v>
      </c>
      <c r="T527" s="46">
        <v>7</v>
      </c>
      <c r="U527" s="53" t="s">
        <v>330</v>
      </c>
      <c r="V527" s="47" t="s">
        <v>326</v>
      </c>
      <c r="W527" s="47" t="s">
        <v>548</v>
      </c>
      <c r="X527" s="47" t="s">
        <v>557</v>
      </c>
      <c r="Y527" s="58">
        <v>0.14119999999999999</v>
      </c>
      <c r="Z527" s="193">
        <v>0.43014000000000002</v>
      </c>
      <c r="AB527" s="3"/>
      <c r="AC527" s="3"/>
      <c r="AD527" s="3"/>
      <c r="AE527" s="3"/>
      <c r="AF527" s="3" t="s">
        <v>526</v>
      </c>
      <c r="AG527" s="83">
        <v>0.65</v>
      </c>
    </row>
    <row r="528" spans="6:33">
      <c r="F528" s="370">
        <v>6</v>
      </c>
      <c r="G528" s="137" t="s">
        <v>10157</v>
      </c>
      <c r="H528" s="136" t="s">
        <v>545</v>
      </c>
      <c r="I528" s="136" t="s">
        <v>547</v>
      </c>
      <c r="J528" s="136" t="s">
        <v>556</v>
      </c>
      <c r="K528" s="191">
        <v>-2.8533815875203707</v>
      </c>
      <c r="L528" s="191">
        <v>0</v>
      </c>
      <c r="M528" s="191">
        <v>0</v>
      </c>
      <c r="N528" s="191">
        <v>0</v>
      </c>
      <c r="O528" s="191">
        <v>0</v>
      </c>
      <c r="P528" s="191">
        <v>-0.41024045217658678</v>
      </c>
      <c r="Q528" s="191">
        <v>-0.59805419557752437</v>
      </c>
      <c r="R528" s="191">
        <v>2.7970952240132501E-2</v>
      </c>
      <c r="T528" s="46">
        <v>7</v>
      </c>
      <c r="U528" s="53" t="s">
        <v>529</v>
      </c>
      <c r="V528" s="47" t="s">
        <v>529</v>
      </c>
      <c r="W528" s="47" t="s">
        <v>548</v>
      </c>
      <c r="X528" s="47" t="s">
        <v>557</v>
      </c>
      <c r="Y528" s="58">
        <v>4.72241</v>
      </c>
      <c r="Z528" s="193">
        <v>1.758</v>
      </c>
      <c r="AB528" s="3"/>
      <c r="AC528" s="3"/>
      <c r="AD528" s="3"/>
      <c r="AE528" s="3"/>
      <c r="AF528" s="3"/>
      <c r="AG528" s="3"/>
    </row>
    <row r="529" spans="6:33" ht="28.8">
      <c r="F529" s="370">
        <v>6</v>
      </c>
      <c r="G529" s="137" t="s">
        <v>10169</v>
      </c>
      <c r="H529" s="136" t="s">
        <v>10170</v>
      </c>
      <c r="I529" s="136" t="s">
        <v>547</v>
      </c>
      <c r="J529" s="136" t="s">
        <v>556</v>
      </c>
      <c r="K529" s="191">
        <v>-0.74582333333333339</v>
      </c>
      <c r="L529" s="191">
        <v>-0.58351400000000009</v>
      </c>
      <c r="M529" s="191">
        <v>0.3259926084346883</v>
      </c>
      <c r="N529" s="191">
        <v>0</v>
      </c>
      <c r="O529" s="191">
        <v>0</v>
      </c>
      <c r="P529" s="191">
        <v>0.45668176288049178</v>
      </c>
      <c r="Q529" s="191">
        <v>1.0683983533052401</v>
      </c>
      <c r="R529" s="191">
        <v>1.142290877337675</v>
      </c>
      <c r="T529" s="46">
        <v>7</v>
      </c>
      <c r="U529" s="53" t="s">
        <v>529</v>
      </c>
      <c r="V529" s="47" t="s">
        <v>327</v>
      </c>
      <c r="W529" s="47" t="s">
        <v>548</v>
      </c>
      <c r="X529" s="47" t="s">
        <v>557</v>
      </c>
      <c r="Y529" s="58">
        <v>0.25034000000000001</v>
      </c>
      <c r="Z529" s="193">
        <v>0.99672000000000005</v>
      </c>
      <c r="AB529" s="3"/>
      <c r="AC529" s="3"/>
      <c r="AD529" s="3"/>
      <c r="AE529" s="3"/>
      <c r="AF529" s="3"/>
      <c r="AG529" s="3"/>
    </row>
    <row r="530" spans="6:33" ht="28.8">
      <c r="F530" s="370">
        <v>7</v>
      </c>
      <c r="G530" s="137" t="s">
        <v>233</v>
      </c>
      <c r="H530" s="136" t="s">
        <v>10178</v>
      </c>
      <c r="I530" s="136" t="s">
        <v>548</v>
      </c>
      <c r="J530" s="136" t="s">
        <v>557</v>
      </c>
      <c r="K530" s="191">
        <v>0</v>
      </c>
      <c r="L530" s="191">
        <v>-0.13905086666666666</v>
      </c>
      <c r="M530" s="191">
        <v>0</v>
      </c>
      <c r="N530" s="191">
        <v>-1.4466404706853726</v>
      </c>
      <c r="O530" s="191">
        <v>-2.0499907423665853</v>
      </c>
      <c r="P530" s="191">
        <v>-1.0134980567214902</v>
      </c>
      <c r="Q530" s="191">
        <v>-0.87830155284934364</v>
      </c>
      <c r="R530" s="191">
        <v>3.3141239120199513E-2</v>
      </c>
      <c r="T530" s="46">
        <v>7</v>
      </c>
      <c r="U530" s="53" t="s">
        <v>529</v>
      </c>
      <c r="V530" s="47" t="s">
        <v>331</v>
      </c>
      <c r="W530" s="47" t="s">
        <v>548</v>
      </c>
      <c r="X530" s="47" t="s">
        <v>557</v>
      </c>
      <c r="Y530" s="58">
        <v>9.1944800000000004</v>
      </c>
      <c r="Z530" s="193">
        <v>2.5192800000000002</v>
      </c>
      <c r="AB530" s="3" t="s">
        <v>526</v>
      </c>
      <c r="AC530" s="125">
        <v>0.64600000000000002</v>
      </c>
      <c r="AD530" s="3">
        <v>0</v>
      </c>
      <c r="AE530" s="3"/>
      <c r="AF530" s="3"/>
      <c r="AG530" s="3"/>
    </row>
    <row r="531" spans="6:33" ht="28.8">
      <c r="F531" s="370">
        <v>7</v>
      </c>
      <c r="G531" s="137" t="s">
        <v>233</v>
      </c>
      <c r="H531" s="136" t="s">
        <v>250</v>
      </c>
      <c r="I531" s="136" t="s">
        <v>548</v>
      </c>
      <c r="J531" s="136" t="s">
        <v>557</v>
      </c>
      <c r="K531" s="191">
        <v>0</v>
      </c>
      <c r="L531" s="191">
        <v>0</v>
      </c>
      <c r="M531" s="191">
        <v>0</v>
      </c>
      <c r="N531" s="191">
        <v>-1.74448839317378</v>
      </c>
      <c r="O531" s="191">
        <v>-2.14965365134998</v>
      </c>
      <c r="P531" s="191">
        <v>-1.04438325676556</v>
      </c>
      <c r="Q531" s="191">
        <v>-0.94093989726613403</v>
      </c>
      <c r="R531" s="191">
        <v>2.8432288310420301E-2</v>
      </c>
      <c r="T531" s="46">
        <v>7</v>
      </c>
      <c r="U531" s="53" t="s">
        <v>529</v>
      </c>
      <c r="V531" s="47" t="s">
        <v>332</v>
      </c>
      <c r="W531" s="47" t="s">
        <v>548</v>
      </c>
      <c r="X531" s="47" t="s">
        <v>557</v>
      </c>
      <c r="Y531" s="58">
        <v>2.5034000000000001</v>
      </c>
      <c r="Z531" s="193">
        <v>1.0183800000000001</v>
      </c>
      <c r="AB531" s="3" t="s">
        <v>526</v>
      </c>
      <c r="AC531" s="125">
        <v>0.72499999999999998</v>
      </c>
      <c r="AD531" s="3">
        <v>0</v>
      </c>
      <c r="AE531" s="3"/>
      <c r="AF531" s="3"/>
      <c r="AG531" s="3"/>
    </row>
    <row r="532" spans="6:33" ht="28.8">
      <c r="F532" s="370">
        <v>7</v>
      </c>
      <c r="G532" s="137" t="s">
        <v>233</v>
      </c>
      <c r="H532" s="136" t="s">
        <v>249</v>
      </c>
      <c r="I532" s="136" t="s">
        <v>548</v>
      </c>
      <c r="J532" s="136" t="s">
        <v>557</v>
      </c>
      <c r="K532" s="191">
        <v>0</v>
      </c>
      <c r="L532" s="191">
        <v>0</v>
      </c>
      <c r="M532" s="191">
        <v>0</v>
      </c>
      <c r="N532" s="191">
        <v>-0.54334413726387398</v>
      </c>
      <c r="O532" s="191">
        <v>-0.74441319745608603</v>
      </c>
      <c r="P532" s="191">
        <v>1.7309424352961799E-2</v>
      </c>
      <c r="Q532" s="191">
        <v>-0.19937509744440399</v>
      </c>
      <c r="R532" s="191">
        <v>2.57534661646318E-2</v>
      </c>
      <c r="T532" s="46">
        <v>7</v>
      </c>
      <c r="U532" s="53" t="s">
        <v>252</v>
      </c>
      <c r="V532" s="47" t="s">
        <v>252</v>
      </c>
      <c r="W532" s="47" t="s">
        <v>548</v>
      </c>
      <c r="X532" s="47" t="s">
        <v>557</v>
      </c>
      <c r="Y532" s="58">
        <v>2.0953266666666663</v>
      </c>
      <c r="Z532" s="193">
        <v>1.77911</v>
      </c>
      <c r="AB532" s="3" t="s">
        <v>526</v>
      </c>
      <c r="AC532" s="125">
        <v>0.64600000000000002</v>
      </c>
      <c r="AD532" s="3">
        <v>0</v>
      </c>
      <c r="AE532" s="3"/>
      <c r="AF532" s="3" t="s">
        <v>526</v>
      </c>
      <c r="AG532" s="83">
        <v>0.5</v>
      </c>
    </row>
    <row r="533" spans="6:33" ht="28.8">
      <c r="F533" s="370">
        <v>7</v>
      </c>
      <c r="G533" s="137" t="s">
        <v>233</v>
      </c>
      <c r="H533" s="136" t="s">
        <v>273</v>
      </c>
      <c r="I533" s="136" t="s">
        <v>548</v>
      </c>
      <c r="J533" s="136" t="s">
        <v>557</v>
      </c>
      <c r="K533" s="191">
        <v>0</v>
      </c>
      <c r="L533" s="191">
        <v>0</v>
      </c>
      <c r="M533" s="191">
        <v>0</v>
      </c>
      <c r="N533" s="191">
        <v>-1.64845660766307</v>
      </c>
      <c r="O533" s="191">
        <v>-2.1008664632998002</v>
      </c>
      <c r="P533" s="191">
        <v>-0.80223281601250396</v>
      </c>
      <c r="Q533" s="191">
        <v>-0.913894436824084</v>
      </c>
      <c r="R533" s="191">
        <v>2.72084143269181E-2</v>
      </c>
      <c r="T533" s="46">
        <v>7</v>
      </c>
      <c r="U533" s="53" t="s">
        <v>252</v>
      </c>
      <c r="V533" s="47" t="s">
        <v>253</v>
      </c>
      <c r="W533" s="47" t="s">
        <v>548</v>
      </c>
      <c r="X533" s="47" t="s">
        <v>557</v>
      </c>
      <c r="Y533" s="58">
        <v>2.04928</v>
      </c>
      <c r="Z533" s="193">
        <v>1.77911</v>
      </c>
      <c r="AB533" s="3" t="s">
        <v>526</v>
      </c>
      <c r="AC533" s="125">
        <v>0.72499999999999998</v>
      </c>
      <c r="AD533" s="3">
        <v>0.14482945764999999</v>
      </c>
      <c r="AE533" s="3" t="s">
        <v>541</v>
      </c>
      <c r="AF533" s="3"/>
      <c r="AG533" s="3"/>
    </row>
    <row r="534" spans="6:33">
      <c r="F534" s="370">
        <v>7</v>
      </c>
      <c r="G534" s="137" t="s">
        <v>233</v>
      </c>
      <c r="H534" s="136" t="s">
        <v>330</v>
      </c>
      <c r="I534" s="136" t="s">
        <v>548</v>
      </c>
      <c r="J534" s="136" t="s">
        <v>557</v>
      </c>
      <c r="K534" s="191">
        <v>-0.14119999999999999</v>
      </c>
      <c r="L534" s="191">
        <v>-0.1076582</v>
      </c>
      <c r="M534" s="191">
        <v>0</v>
      </c>
      <c r="N534" s="191">
        <v>0</v>
      </c>
      <c r="O534" s="191">
        <v>0</v>
      </c>
      <c r="P534" s="191">
        <v>-1.4814725452226001</v>
      </c>
      <c r="Q534" s="191">
        <v>-1.06371603922564</v>
      </c>
      <c r="R534" s="191">
        <v>5.3036423917282902E-2</v>
      </c>
      <c r="T534" s="46">
        <v>7</v>
      </c>
      <c r="U534" s="53" t="s">
        <v>252</v>
      </c>
      <c r="V534" s="47" t="s">
        <v>328</v>
      </c>
      <c r="W534" s="47" t="s">
        <v>548</v>
      </c>
      <c r="X534" s="47" t="s">
        <v>557</v>
      </c>
      <c r="Y534" s="58">
        <v>2.3231199999999999</v>
      </c>
      <c r="Z534" s="193">
        <v>1.77911</v>
      </c>
      <c r="AB534" s="3"/>
      <c r="AC534" s="3"/>
      <c r="AD534" s="3"/>
      <c r="AE534" s="3"/>
      <c r="AF534" s="3"/>
      <c r="AG534" s="3"/>
    </row>
    <row r="535" spans="6:33">
      <c r="F535" s="370">
        <v>7</v>
      </c>
      <c r="G535" s="137" t="s">
        <v>233</v>
      </c>
      <c r="H535" s="136" t="s">
        <v>335</v>
      </c>
      <c r="I535" s="136" t="s">
        <v>548</v>
      </c>
      <c r="J535" s="136" t="s">
        <v>557</v>
      </c>
      <c r="K535" s="191">
        <v>-0.26272000000000001</v>
      </c>
      <c r="L535" s="191">
        <v>-0.20183620000000002</v>
      </c>
      <c r="M535" s="191">
        <v>0</v>
      </c>
      <c r="N535" s="191">
        <v>-1.64845660766307</v>
      </c>
      <c r="O535" s="191">
        <v>-2.6275101998635302</v>
      </c>
      <c r="P535" s="191">
        <v>-1.38510457334062</v>
      </c>
      <c r="Q535" s="191">
        <v>-1.0759419231678999</v>
      </c>
      <c r="R535" s="191">
        <v>3.2208421000972001E-2</v>
      </c>
      <c r="T535" s="46">
        <v>7</v>
      </c>
      <c r="U535" s="53" t="s">
        <v>252</v>
      </c>
      <c r="V535" s="47" t="s">
        <v>254</v>
      </c>
      <c r="W535" s="47" t="s">
        <v>548</v>
      </c>
      <c r="X535" s="47" t="s">
        <v>557</v>
      </c>
      <c r="Y535" s="58">
        <v>2.1485799999999999</v>
      </c>
      <c r="Z535" s="193">
        <v>1.77911</v>
      </c>
      <c r="AB535" s="3"/>
      <c r="AC535" s="3"/>
      <c r="AD535" s="3"/>
      <c r="AE535" s="3"/>
      <c r="AF535" s="3"/>
      <c r="AG535" s="3"/>
    </row>
    <row r="536" spans="6:33">
      <c r="F536" s="372">
        <v>7</v>
      </c>
      <c r="G536" s="373" t="s">
        <v>233</v>
      </c>
      <c r="H536" s="6" t="s">
        <v>326</v>
      </c>
      <c r="I536" s="136" t="s">
        <v>548</v>
      </c>
      <c r="J536" s="136" t="s">
        <v>557</v>
      </c>
      <c r="K536" s="191">
        <v>-0.14119999999999999</v>
      </c>
      <c r="L536" s="191">
        <v>-0.1076582</v>
      </c>
      <c r="M536" s="191">
        <v>0</v>
      </c>
      <c r="N536" s="191">
        <v>-1.64845660766307</v>
      </c>
      <c r="O536" s="191">
        <v>-2.6275101998635302</v>
      </c>
      <c r="P536" s="191">
        <v>-1.38510457334062</v>
      </c>
      <c r="Q536" s="191">
        <v>-1.0759419231678999</v>
      </c>
      <c r="R536" s="191">
        <v>3.2208421000972001E-2</v>
      </c>
      <c r="T536" s="46">
        <v>7</v>
      </c>
      <c r="U536" s="53" t="s">
        <v>252</v>
      </c>
      <c r="V536" s="47" t="s">
        <v>532</v>
      </c>
      <c r="W536" s="47" t="s">
        <v>548</v>
      </c>
      <c r="X536" s="47" t="s">
        <v>557</v>
      </c>
      <c r="Y536" s="58">
        <v>1.9492499999999999</v>
      </c>
      <c r="Z536" s="193">
        <v>1.77911</v>
      </c>
      <c r="AB536" s="3"/>
      <c r="AC536" s="3"/>
      <c r="AD536" s="3"/>
      <c r="AE536" s="3"/>
      <c r="AF536" s="3"/>
      <c r="AG536" s="3"/>
    </row>
    <row r="537" spans="6:33">
      <c r="F537" s="372">
        <v>7</v>
      </c>
      <c r="G537" s="373" t="s">
        <v>261</v>
      </c>
      <c r="H537" s="6" t="s">
        <v>10179</v>
      </c>
      <c r="I537" s="136" t="s">
        <v>548</v>
      </c>
      <c r="J537" s="136" t="s">
        <v>557</v>
      </c>
      <c r="K537" s="191">
        <v>-4.72241</v>
      </c>
      <c r="L537" s="191">
        <v>-2.3594331999999998</v>
      </c>
      <c r="M537" s="191">
        <v>0</v>
      </c>
      <c r="N537" s="191">
        <v>-0.36341307614493246</v>
      </c>
      <c r="O537" s="191">
        <v>-0.59734398380536746</v>
      </c>
      <c r="P537" s="191">
        <v>0.13493513235611049</v>
      </c>
      <c r="Q537" s="191">
        <v>-0.18392998579414849</v>
      </c>
      <c r="R537" s="191">
        <v>2.5406860242688553E-2</v>
      </c>
      <c r="T537" s="46">
        <v>7</v>
      </c>
      <c r="U537" s="53" t="s">
        <v>252</v>
      </c>
      <c r="V537" s="47" t="s">
        <v>245</v>
      </c>
      <c r="W537" s="47" t="s">
        <v>548</v>
      </c>
      <c r="X537" s="47" t="s">
        <v>557</v>
      </c>
      <c r="Y537" s="58">
        <v>2.0269300000000001</v>
      </c>
      <c r="Z537" s="193">
        <v>1.77911</v>
      </c>
      <c r="AB537" s="3" t="s">
        <v>526</v>
      </c>
      <c r="AC537" s="125">
        <v>0.77500000000000002</v>
      </c>
      <c r="AD537" s="3">
        <v>0</v>
      </c>
      <c r="AE537" s="3" t="s">
        <v>527</v>
      </c>
      <c r="AF537" s="3"/>
      <c r="AG537" s="3"/>
    </row>
    <row r="538" spans="6:33">
      <c r="F538" s="372">
        <v>7</v>
      </c>
      <c r="G538" s="373" t="s">
        <v>261</v>
      </c>
      <c r="H538" s="6" t="s">
        <v>269</v>
      </c>
      <c r="I538" s="136" t="s">
        <v>548</v>
      </c>
      <c r="J538" s="136" t="s">
        <v>557</v>
      </c>
      <c r="K538" s="191">
        <v>-0.25034000000000001</v>
      </c>
      <c r="L538" s="191">
        <v>-0.1233982</v>
      </c>
      <c r="M538" s="191">
        <v>0</v>
      </c>
      <c r="N538" s="191">
        <v>-0.30336225767796399</v>
      </c>
      <c r="O538" s="191">
        <v>-0.50681206910446297</v>
      </c>
      <c r="P538" s="191">
        <v>0.166556761220611</v>
      </c>
      <c r="Q538" s="191">
        <v>-0.127293398548746</v>
      </c>
      <c r="R538" s="191">
        <v>2.5084720523348002E-2</v>
      </c>
      <c r="T538" s="46">
        <v>7</v>
      </c>
      <c r="U538" s="53" t="s">
        <v>252</v>
      </c>
      <c r="V538" s="47" t="s">
        <v>533</v>
      </c>
      <c r="W538" s="47" t="s">
        <v>548</v>
      </c>
      <c r="X538" s="47" t="s">
        <v>557</v>
      </c>
      <c r="Y538" s="58">
        <v>2.0748000000000002</v>
      </c>
      <c r="Z538" s="193">
        <v>1.77911</v>
      </c>
      <c r="AB538" s="3" t="s">
        <v>526</v>
      </c>
      <c r="AC538" s="125">
        <v>0.77500000000000002</v>
      </c>
      <c r="AD538" s="3">
        <v>0</v>
      </c>
      <c r="AE538" s="3" t="s">
        <v>527</v>
      </c>
      <c r="AF538" s="3"/>
      <c r="AG538" s="3"/>
    </row>
    <row r="539" spans="6:33" ht="28.8">
      <c r="F539" s="372">
        <v>7</v>
      </c>
      <c r="G539" s="373" t="s">
        <v>261</v>
      </c>
      <c r="H539" s="6" t="s">
        <v>530</v>
      </c>
      <c r="I539" s="136" t="s">
        <v>548</v>
      </c>
      <c r="J539" s="136" t="s">
        <v>557</v>
      </c>
      <c r="K539" s="191">
        <v>-9.1944800000000004</v>
      </c>
      <c r="L539" s="191">
        <v>-4.5954682</v>
      </c>
      <c r="M539" s="191">
        <v>0</v>
      </c>
      <c r="N539" s="191">
        <v>-0.42346389461190098</v>
      </c>
      <c r="O539" s="191">
        <v>-0.68787589850627195</v>
      </c>
      <c r="P539" s="191">
        <v>0.10331350349161</v>
      </c>
      <c r="Q539" s="191">
        <v>-0.24056657303955101</v>
      </c>
      <c r="R539" s="191">
        <v>2.5728999962029101E-2</v>
      </c>
      <c r="T539" s="46">
        <v>7</v>
      </c>
      <c r="U539" s="53" t="s">
        <v>242</v>
      </c>
      <c r="V539" s="47" t="s">
        <v>242</v>
      </c>
      <c r="W539" s="47" t="s">
        <v>548</v>
      </c>
      <c r="X539" s="47" t="s">
        <v>557</v>
      </c>
      <c r="Y539" s="58">
        <v>38.486130000000003</v>
      </c>
      <c r="Z539" s="193">
        <v>0.20843</v>
      </c>
      <c r="AB539" s="3" t="s">
        <v>526</v>
      </c>
      <c r="AC539" s="125">
        <v>0.77500000000000002</v>
      </c>
      <c r="AD539" s="3">
        <v>0</v>
      </c>
      <c r="AE539" s="3" t="s">
        <v>527</v>
      </c>
      <c r="AF539" s="3"/>
      <c r="AG539" s="3"/>
    </row>
    <row r="540" spans="6:33">
      <c r="F540" s="372">
        <v>7</v>
      </c>
      <c r="G540" s="373" t="s">
        <v>261</v>
      </c>
      <c r="H540" s="6" t="s">
        <v>262</v>
      </c>
      <c r="I540" s="136" t="s">
        <v>548</v>
      </c>
      <c r="J540" s="136" t="s">
        <v>557</v>
      </c>
      <c r="K540" s="191">
        <v>-2.5034000000000001</v>
      </c>
      <c r="L540" s="191">
        <v>0</v>
      </c>
      <c r="M540" s="191">
        <v>0</v>
      </c>
      <c r="N540" s="191">
        <v>-0.42346389461190098</v>
      </c>
      <c r="O540" s="191">
        <v>-0.68787589850627195</v>
      </c>
      <c r="P540" s="191">
        <v>0.10331350349161</v>
      </c>
      <c r="Q540" s="191">
        <v>-0.24056657303955101</v>
      </c>
      <c r="R540" s="191">
        <v>2.5728999962029101E-2</v>
      </c>
      <c r="T540" s="46">
        <v>7</v>
      </c>
      <c r="U540" s="53" t="s">
        <v>242</v>
      </c>
      <c r="V540" s="47" t="s">
        <v>242</v>
      </c>
      <c r="W540" s="47" t="s">
        <v>548</v>
      </c>
      <c r="X540" s="47" t="s">
        <v>557</v>
      </c>
      <c r="Y540" s="58">
        <v>38.486130000000003</v>
      </c>
      <c r="Z540" s="193">
        <v>0.20843</v>
      </c>
      <c r="AB540" s="3" t="s">
        <v>526</v>
      </c>
      <c r="AC540" s="83">
        <v>0.5</v>
      </c>
      <c r="AD540" s="3">
        <v>0</v>
      </c>
      <c r="AE540" s="3" t="s">
        <v>528</v>
      </c>
      <c r="AF540" s="3"/>
      <c r="AG540" s="3"/>
    </row>
    <row r="541" spans="6:33">
      <c r="F541" s="372">
        <v>7</v>
      </c>
      <c r="G541" s="373" t="s">
        <v>252</v>
      </c>
      <c r="H541" s="6" t="s">
        <v>10180</v>
      </c>
      <c r="I541" s="136" t="s">
        <v>548</v>
      </c>
      <c r="J541" s="136" t="s">
        <v>557</v>
      </c>
      <c r="K541" s="191">
        <v>-2.0953266666666663</v>
      </c>
      <c r="L541" s="191">
        <v>-1.5407999593666664</v>
      </c>
      <c r="M541" s="191">
        <v>-4.402960361201381</v>
      </c>
      <c r="N541" s="191">
        <v>0</v>
      </c>
      <c r="O541" s="191">
        <v>0</v>
      </c>
      <c r="P541" s="191">
        <v>2.6027700521105999E-2</v>
      </c>
      <c r="Q541" s="191">
        <v>0.57657859350782803</v>
      </c>
      <c r="R541" s="191">
        <v>2.18702518516894</v>
      </c>
      <c r="T541" s="46">
        <v>7</v>
      </c>
      <c r="U541" s="53" t="s">
        <v>242</v>
      </c>
      <c r="V541" s="47" t="s">
        <v>534</v>
      </c>
      <c r="W541" s="47" t="s">
        <v>548</v>
      </c>
      <c r="X541" s="47" t="s">
        <v>557</v>
      </c>
      <c r="Y541" s="58">
        <v>15.0122</v>
      </c>
      <c r="Z541" s="193">
        <v>0.37092000000000003</v>
      </c>
      <c r="AB541" s="3" t="s">
        <v>526</v>
      </c>
      <c r="AC541" s="83">
        <v>0.5</v>
      </c>
      <c r="AD541" s="3">
        <v>0</v>
      </c>
      <c r="AE541" s="3" t="s">
        <v>528</v>
      </c>
      <c r="AF541" s="3"/>
      <c r="AG541" s="3"/>
    </row>
    <row r="542" spans="6:33" ht="43.2">
      <c r="F542" s="372">
        <v>7</v>
      </c>
      <c r="G542" s="373" t="s">
        <v>252</v>
      </c>
      <c r="H542" s="6" t="s">
        <v>10163</v>
      </c>
      <c r="I542" s="136" t="s">
        <v>548</v>
      </c>
      <c r="J542" s="136" t="s">
        <v>557</v>
      </c>
      <c r="K542" s="191">
        <v>-2.04928</v>
      </c>
      <c r="L542" s="191">
        <v>0</v>
      </c>
      <c r="M542" s="191">
        <v>-3.8577271986224009</v>
      </c>
      <c r="N542" s="191">
        <v>0</v>
      </c>
      <c r="O542" s="191">
        <v>0</v>
      </c>
      <c r="P542" s="191">
        <v>2.6027697540151499E-2</v>
      </c>
      <c r="Q542" s="191">
        <v>0.40442865479218998</v>
      </c>
      <c r="R542" s="191">
        <v>3.18317778732807</v>
      </c>
      <c r="T542" s="46">
        <v>7</v>
      </c>
      <c r="U542" s="53" t="s">
        <v>239</v>
      </c>
      <c r="V542" s="47" t="s">
        <v>239</v>
      </c>
      <c r="W542" s="47" t="s">
        <v>548</v>
      </c>
      <c r="X542" s="47" t="s">
        <v>557</v>
      </c>
      <c r="Y542" s="58">
        <v>2.6644477777777777</v>
      </c>
      <c r="Z542" s="193">
        <v>0.64099666666666666</v>
      </c>
      <c r="AB542" s="3"/>
      <c r="AC542" s="3"/>
      <c r="AD542" s="3"/>
      <c r="AE542" s="3"/>
      <c r="AF542" s="3"/>
      <c r="AG542" s="3"/>
    </row>
    <row r="543" spans="6:33" ht="28.8">
      <c r="F543" s="372">
        <v>7</v>
      </c>
      <c r="G543" s="373" t="s">
        <v>252</v>
      </c>
      <c r="H543" s="6" t="s">
        <v>10164</v>
      </c>
      <c r="I543" s="136" t="s">
        <v>548</v>
      </c>
      <c r="J543" s="136" t="s">
        <v>557</v>
      </c>
      <c r="K543" s="191">
        <v>-2.3231199999999999</v>
      </c>
      <c r="L543" s="191">
        <v>0</v>
      </c>
      <c r="M543" s="191">
        <v>-4.5586313239024001</v>
      </c>
      <c r="N543" s="191">
        <v>0</v>
      </c>
      <c r="O543" s="191">
        <v>0</v>
      </c>
      <c r="P543" s="191">
        <v>2.6027698332150601E-2</v>
      </c>
      <c r="Q543" s="191">
        <v>0.47131022056053301</v>
      </c>
      <c r="R543" s="191">
        <v>2.49560838565696</v>
      </c>
      <c r="T543" s="46">
        <v>7</v>
      </c>
      <c r="U543" s="53" t="s">
        <v>239</v>
      </c>
      <c r="V543" s="47" t="s">
        <v>324</v>
      </c>
      <c r="W543" s="47" t="s">
        <v>548</v>
      </c>
      <c r="X543" s="47" t="s">
        <v>557</v>
      </c>
      <c r="Y543" s="58">
        <v>1.66</v>
      </c>
      <c r="Z543" s="193">
        <v>0.13142999999999999</v>
      </c>
      <c r="AB543" s="3" t="s">
        <v>526</v>
      </c>
      <c r="AC543" s="125">
        <v>0.77500000000000002</v>
      </c>
      <c r="AD543" s="3">
        <v>8.1306407300000008E-2</v>
      </c>
      <c r="AE543" s="3" t="s">
        <v>531</v>
      </c>
      <c r="AF543" s="3" t="s">
        <v>526</v>
      </c>
      <c r="AG543" s="83">
        <v>0.85</v>
      </c>
    </row>
    <row r="544" spans="6:33" ht="28.8">
      <c r="F544" s="372">
        <v>7</v>
      </c>
      <c r="G544" s="373" t="s">
        <v>252</v>
      </c>
      <c r="H544" s="6" t="s">
        <v>10165</v>
      </c>
      <c r="I544" s="136" t="s">
        <v>548</v>
      </c>
      <c r="J544" s="136" t="s">
        <v>557</v>
      </c>
      <c r="K544" s="191">
        <v>-2.1485799999999999</v>
      </c>
      <c r="L544" s="191">
        <v>0</v>
      </c>
      <c r="M544" s="191">
        <v>-4.6368515983783229</v>
      </c>
      <c r="N544" s="191">
        <v>0</v>
      </c>
      <c r="O544" s="191">
        <v>0</v>
      </c>
      <c r="P544" s="191">
        <v>2.6027697540151499E-2</v>
      </c>
      <c r="Q544" s="191">
        <v>0.63714400634049295</v>
      </c>
      <c r="R544" s="191">
        <v>2.5363327127883299</v>
      </c>
      <c r="T544" s="46">
        <v>7</v>
      </c>
      <c r="U544" s="53" t="s">
        <v>239</v>
      </c>
      <c r="V544" s="47" t="s">
        <v>272</v>
      </c>
      <c r="W544" s="47" t="s">
        <v>548</v>
      </c>
      <c r="X544" s="47" t="s">
        <v>557</v>
      </c>
      <c r="Y544" s="58">
        <v>2.1278299999999999</v>
      </c>
      <c r="Z544" s="193">
        <v>1.2152400000000001</v>
      </c>
      <c r="AB544" s="3" t="s">
        <v>526</v>
      </c>
      <c r="AC544" s="125">
        <v>0.77500000000000002</v>
      </c>
      <c r="AD544" s="3">
        <v>8.1306407300000008E-2</v>
      </c>
      <c r="AE544" s="3" t="s">
        <v>531</v>
      </c>
      <c r="AF544" s="3" t="s">
        <v>526</v>
      </c>
      <c r="AG544" s="83">
        <v>0.7</v>
      </c>
    </row>
    <row r="545" spans="6:33" ht="28.8">
      <c r="F545" s="372">
        <v>7</v>
      </c>
      <c r="G545" s="373" t="s">
        <v>252</v>
      </c>
      <c r="H545" s="6" t="s">
        <v>10166</v>
      </c>
      <c r="I545" s="136" t="s">
        <v>548</v>
      </c>
      <c r="J545" s="136" t="s">
        <v>557</v>
      </c>
      <c r="K545" s="191">
        <v>-1.9492499999999999</v>
      </c>
      <c r="L545" s="191">
        <v>0</v>
      </c>
      <c r="M545" s="191">
        <v>-4.5586313239024001</v>
      </c>
      <c r="N545" s="191">
        <v>0</v>
      </c>
      <c r="O545" s="191">
        <v>0</v>
      </c>
      <c r="P545" s="191">
        <v>2.6027698332150601E-2</v>
      </c>
      <c r="Q545" s="191">
        <v>0.47131022056053301</v>
      </c>
      <c r="R545" s="191">
        <v>2.49560838565696</v>
      </c>
      <c r="T545" s="46">
        <v>7</v>
      </c>
      <c r="U545" s="53" t="s">
        <v>239</v>
      </c>
      <c r="V545" s="47" t="s">
        <v>329</v>
      </c>
      <c r="W545" s="47" t="s">
        <v>548</v>
      </c>
      <c r="X545" s="47" t="s">
        <v>557</v>
      </c>
      <c r="Y545" s="58">
        <v>3.4792200000000002</v>
      </c>
      <c r="Z545" s="193">
        <v>1.0383</v>
      </c>
      <c r="AB545" s="3"/>
      <c r="AC545" s="3"/>
      <c r="AD545" s="3"/>
      <c r="AE545" s="3"/>
      <c r="AF545" s="3" t="s">
        <v>526</v>
      </c>
      <c r="AG545" s="83">
        <v>0.8</v>
      </c>
    </row>
    <row r="546" spans="6:33">
      <c r="F546" s="372">
        <v>7</v>
      </c>
      <c r="G546" s="373" t="s">
        <v>252</v>
      </c>
      <c r="H546" s="6" t="s">
        <v>10167</v>
      </c>
      <c r="I546" s="136" t="s">
        <v>548</v>
      </c>
      <c r="J546" s="136" t="s">
        <v>557</v>
      </c>
      <c r="K546" s="191">
        <v>-2.0269300000000001</v>
      </c>
      <c r="L546" s="191">
        <v>0</v>
      </c>
      <c r="M546" s="191">
        <v>0</v>
      </c>
      <c r="N546" s="191">
        <v>0</v>
      </c>
      <c r="O546" s="191">
        <v>0</v>
      </c>
      <c r="P546" s="191">
        <v>2.6027698449498898E-2</v>
      </c>
      <c r="Q546" s="191">
        <v>0.35762914324795803</v>
      </c>
      <c r="R546" s="191">
        <v>3.18336709723018</v>
      </c>
      <c r="T546" s="46">
        <v>7</v>
      </c>
      <c r="U546" s="53" t="s">
        <v>239</v>
      </c>
      <c r="V546" s="47" t="s">
        <v>271</v>
      </c>
      <c r="W546" s="47" t="s">
        <v>548</v>
      </c>
      <c r="X546" s="47" t="s">
        <v>557</v>
      </c>
      <c r="Y546" s="58">
        <v>3.1045600000000002</v>
      </c>
      <c r="Z546" s="193">
        <v>0.12864</v>
      </c>
      <c r="AB546" s="3" t="s">
        <v>526</v>
      </c>
      <c r="AC546" s="125">
        <v>0.77500000000000002</v>
      </c>
      <c r="AD546" s="3">
        <v>8.1306407300000008E-2</v>
      </c>
      <c r="AE546" s="3" t="s">
        <v>531</v>
      </c>
      <c r="AF546" s="3" t="s">
        <v>526</v>
      </c>
      <c r="AG546" s="83">
        <v>0.7</v>
      </c>
    </row>
    <row r="547" spans="6:33">
      <c r="F547" s="372">
        <v>7</v>
      </c>
      <c r="G547" s="373" t="s">
        <v>252</v>
      </c>
      <c r="H547" s="6" t="s">
        <v>10168</v>
      </c>
      <c r="I547" s="136" t="s">
        <v>548</v>
      </c>
      <c r="J547" s="136" t="s">
        <v>557</v>
      </c>
      <c r="K547" s="191">
        <v>-2.0748000000000002</v>
      </c>
      <c r="L547" s="191">
        <v>0</v>
      </c>
      <c r="M547" s="191">
        <v>0</v>
      </c>
      <c r="N547" s="191">
        <v>0</v>
      </c>
      <c r="O547" s="191">
        <v>0</v>
      </c>
      <c r="P547" s="191">
        <v>2.6027693309096801E-2</v>
      </c>
      <c r="Q547" s="191">
        <v>0.56697035476351698</v>
      </c>
      <c r="R547" s="191">
        <v>3.0368308616241202</v>
      </c>
      <c r="T547" s="46">
        <v>7</v>
      </c>
      <c r="U547" s="53" t="s">
        <v>239</v>
      </c>
      <c r="V547" s="47" t="s">
        <v>535</v>
      </c>
      <c r="W547" s="47" t="s">
        <v>548</v>
      </c>
      <c r="X547" s="47" t="s">
        <v>557</v>
      </c>
      <c r="Y547" s="58">
        <v>3.1045600000000002</v>
      </c>
      <c r="Z547" s="193">
        <v>0.12864</v>
      </c>
      <c r="AB547" s="3"/>
      <c r="AC547" s="3"/>
      <c r="AD547" s="3"/>
      <c r="AE547" s="3"/>
      <c r="AF547" s="3"/>
      <c r="AG547" s="83"/>
    </row>
    <row r="548" spans="6:33">
      <c r="F548" s="372">
        <v>7</v>
      </c>
      <c r="G548" s="373" t="s">
        <v>242</v>
      </c>
      <c r="H548" s="6" t="s">
        <v>10181</v>
      </c>
      <c r="I548" s="136" t="s">
        <v>548</v>
      </c>
      <c r="J548" s="136" t="s">
        <v>557</v>
      </c>
      <c r="K548" s="191">
        <v>-38.486130000000003</v>
      </c>
      <c r="L548" s="191">
        <v>-27.900672450000002</v>
      </c>
      <c r="M548" s="191">
        <v>-3.2868550000000001</v>
      </c>
      <c r="N548" s="191">
        <v>0</v>
      </c>
      <c r="O548" s="191">
        <v>0</v>
      </c>
      <c r="P548" s="191">
        <v>2.5860000000000001E-2</v>
      </c>
      <c r="Q548" s="191">
        <v>4.1574329443250999E-2</v>
      </c>
      <c r="R548" s="191">
        <v>4.8919275480954698E-2</v>
      </c>
      <c r="T548" s="46">
        <v>7</v>
      </c>
      <c r="U548" s="53" t="s">
        <v>239</v>
      </c>
      <c r="V548" s="47" t="s">
        <v>259</v>
      </c>
      <c r="W548" s="47" t="s">
        <v>548</v>
      </c>
      <c r="X548" s="47" t="s">
        <v>557</v>
      </c>
      <c r="Y548" s="58">
        <v>2.86965</v>
      </c>
      <c r="Z548" s="193">
        <v>0.79600000000000004</v>
      </c>
      <c r="AB548" s="3" t="s">
        <v>526</v>
      </c>
      <c r="AC548" s="125">
        <v>0.77500000000000002</v>
      </c>
      <c r="AD548" s="3">
        <v>8.1306407300000008E-2</v>
      </c>
      <c r="AE548" s="3" t="s">
        <v>531</v>
      </c>
      <c r="AF548" s="3"/>
      <c r="AG548" s="3"/>
    </row>
    <row r="549" spans="6:33">
      <c r="F549" s="372">
        <v>7</v>
      </c>
      <c r="G549" s="373" t="s">
        <v>242</v>
      </c>
      <c r="H549" s="6" t="s">
        <v>274</v>
      </c>
      <c r="I549" s="136" t="s">
        <v>548</v>
      </c>
      <c r="J549" s="136" t="s">
        <v>557</v>
      </c>
      <c r="K549" s="191">
        <v>-38.486130000000003</v>
      </c>
      <c r="L549" s="191">
        <v>-27.900672450000002</v>
      </c>
      <c r="M549" s="191">
        <v>-8.5278425000000002</v>
      </c>
      <c r="N549" s="191">
        <v>0</v>
      </c>
      <c r="O549" s="191">
        <v>0</v>
      </c>
      <c r="P549" s="191">
        <v>2.5860000000000001E-2</v>
      </c>
      <c r="Q549" s="191">
        <v>4.1574329443250999E-2</v>
      </c>
      <c r="R549" s="191">
        <v>4.8919275480954698E-2</v>
      </c>
      <c r="T549" s="46">
        <v>7</v>
      </c>
      <c r="U549" s="53" t="s">
        <v>239</v>
      </c>
      <c r="V549" s="47" t="s">
        <v>334</v>
      </c>
      <c r="W549" s="47" t="s">
        <v>548</v>
      </c>
      <c r="X549" s="47" t="s">
        <v>557</v>
      </c>
      <c r="Y549" s="58">
        <v>2.86965</v>
      </c>
      <c r="Z549" s="193">
        <v>0.76736000000000004</v>
      </c>
      <c r="AB549" s="3" t="s">
        <v>526</v>
      </c>
      <c r="AC549" s="125">
        <v>0.72499999999999998</v>
      </c>
      <c r="AD549" s="3">
        <v>8.1306407300000008E-2</v>
      </c>
      <c r="AE549" s="3" t="s">
        <v>531</v>
      </c>
      <c r="AF549" s="3"/>
      <c r="AG549" s="3"/>
    </row>
    <row r="550" spans="6:33">
      <c r="F550" s="372">
        <v>7</v>
      </c>
      <c r="G550" s="373" t="s">
        <v>242</v>
      </c>
      <c r="H550" s="6" t="s">
        <v>534</v>
      </c>
      <c r="I550" s="136" t="s">
        <v>548</v>
      </c>
      <c r="J550" s="136" t="s">
        <v>557</v>
      </c>
      <c r="K550" s="191">
        <v>-15.0122</v>
      </c>
      <c r="L550" s="191">
        <v>-10.882073199999999</v>
      </c>
      <c r="M550" s="191">
        <v>-3.19428</v>
      </c>
      <c r="N550" s="191">
        <v>0</v>
      </c>
      <c r="O550" s="191">
        <v>0</v>
      </c>
      <c r="P550" s="191">
        <v>2.5860000000000001E-2</v>
      </c>
      <c r="Q550" s="191">
        <v>4.1574329443250999E-2</v>
      </c>
      <c r="R550" s="191">
        <v>4.8919275480954698E-2</v>
      </c>
      <c r="T550" s="46">
        <v>7</v>
      </c>
      <c r="U550" s="53" t="s">
        <v>239</v>
      </c>
      <c r="V550" s="47" t="s">
        <v>240</v>
      </c>
      <c r="W550" s="47" t="s">
        <v>548</v>
      </c>
      <c r="X550" s="47" t="s">
        <v>557</v>
      </c>
      <c r="Y550" s="58">
        <v>3.1045600000000002</v>
      </c>
      <c r="Z550" s="193">
        <v>0.76736000000000004</v>
      </c>
      <c r="AB550" s="3" t="s">
        <v>526</v>
      </c>
      <c r="AC550" s="125">
        <v>0.72499999999999998</v>
      </c>
      <c r="AD550" s="3">
        <v>8.1306407300000008E-2</v>
      </c>
      <c r="AE550" s="3" t="s">
        <v>531</v>
      </c>
      <c r="AF550" s="3"/>
      <c r="AG550" s="3"/>
    </row>
    <row r="551" spans="6:33" ht="28.8">
      <c r="F551" s="372">
        <v>7</v>
      </c>
      <c r="G551" s="373" t="s">
        <v>239</v>
      </c>
      <c r="H551" s="6" t="s">
        <v>10182</v>
      </c>
      <c r="I551" s="136" t="s">
        <v>548</v>
      </c>
      <c r="J551" s="136" t="s">
        <v>557</v>
      </c>
      <c r="K551" s="191">
        <v>-2.6644477777777777</v>
      </c>
      <c r="L551" s="191">
        <v>-1.7194614644444446</v>
      </c>
      <c r="M551" s="191">
        <v>-0.84997287375215214</v>
      </c>
      <c r="N551" s="191">
        <v>-1.6414908500332299</v>
      </c>
      <c r="O551" s="191">
        <v>-2.3915506341225301</v>
      </c>
      <c r="P551" s="191">
        <v>-0.65531464971066899</v>
      </c>
      <c r="Q551" s="191">
        <v>-0.86844475997422799</v>
      </c>
      <c r="R551" s="191">
        <v>2.7471991029133901E-2</v>
      </c>
      <c r="T551" s="46">
        <v>7</v>
      </c>
      <c r="U551" s="53" t="s">
        <v>239</v>
      </c>
      <c r="V551" s="47" t="s">
        <v>325</v>
      </c>
      <c r="W551" s="47" t="s">
        <v>548</v>
      </c>
      <c r="X551" s="47" t="s">
        <v>557</v>
      </c>
      <c r="Y551" s="58">
        <v>1.66</v>
      </c>
      <c r="Z551" s="193">
        <v>0.79600000000000004</v>
      </c>
      <c r="AB551" s="3" t="s">
        <v>526</v>
      </c>
      <c r="AC551" s="125">
        <v>0.64600000000000002</v>
      </c>
      <c r="AD551" s="3">
        <v>8.1306407300000008E-2</v>
      </c>
      <c r="AE551" s="3" t="s">
        <v>531</v>
      </c>
      <c r="AF551" s="3" t="s">
        <v>526</v>
      </c>
      <c r="AG551" s="83">
        <v>0.8</v>
      </c>
    </row>
    <row r="552" spans="6:33">
      <c r="F552" s="372">
        <v>7</v>
      </c>
      <c r="G552" s="373" t="s">
        <v>239</v>
      </c>
      <c r="H552" s="6" t="s">
        <v>324</v>
      </c>
      <c r="I552" s="136" t="s">
        <v>548</v>
      </c>
      <c r="J552" s="136" t="s">
        <v>557</v>
      </c>
      <c r="K552" s="191">
        <v>-1.66</v>
      </c>
      <c r="L552" s="191">
        <v>0</v>
      </c>
      <c r="M552" s="191">
        <v>0.1989268771169205</v>
      </c>
      <c r="N552" s="191">
        <v>-1.6520461883473201</v>
      </c>
      <c r="O552" s="191">
        <v>-2.2431267137541102</v>
      </c>
      <c r="P552" s="191">
        <v>-1.13368055076702</v>
      </c>
      <c r="Q552" s="191">
        <v>-0.94419919037831701</v>
      </c>
      <c r="R552" s="191">
        <v>2.66826542410066E-2</v>
      </c>
      <c r="T552" s="46">
        <v>7</v>
      </c>
      <c r="U552" s="53" t="s">
        <v>256</v>
      </c>
      <c r="V552" s="47" t="s">
        <v>256</v>
      </c>
      <c r="W552" s="47" t="s">
        <v>548</v>
      </c>
      <c r="X552" s="47" t="s">
        <v>557</v>
      </c>
      <c r="Y552" s="58">
        <v>3.3097799999999999</v>
      </c>
      <c r="Z552" s="193">
        <v>1.0068550000000001</v>
      </c>
      <c r="AB552" s="3"/>
      <c r="AC552" s="3"/>
      <c r="AD552" s="3"/>
      <c r="AE552" s="3"/>
      <c r="AF552" s="3" t="s">
        <v>526</v>
      </c>
      <c r="AG552" s="83">
        <v>0.88</v>
      </c>
    </row>
    <row r="553" spans="6:33">
      <c r="F553" s="372">
        <v>7</v>
      </c>
      <c r="G553" s="373" t="s">
        <v>239</v>
      </c>
      <c r="H553" s="6" t="s">
        <v>272</v>
      </c>
      <c r="I553" s="136" t="s">
        <v>548</v>
      </c>
      <c r="J553" s="136" t="s">
        <v>557</v>
      </c>
      <c r="K553" s="191">
        <v>-2.1278299999999999</v>
      </c>
      <c r="L553" s="191">
        <v>-1.3728063799999999</v>
      </c>
      <c r="M553" s="191">
        <v>-2.0529447357788794E-3</v>
      </c>
      <c r="N553" s="191">
        <v>-1.47889429147148</v>
      </c>
      <c r="O553" s="191">
        <v>-2.2533295364473198</v>
      </c>
      <c r="P553" s="191">
        <v>2.8719999999999999E-2</v>
      </c>
      <c r="Q553" s="191">
        <v>-0.74239454684422701</v>
      </c>
      <c r="R553" s="191">
        <v>3.4585558241073698E-2</v>
      </c>
      <c r="T553" s="46">
        <v>7</v>
      </c>
      <c r="U553" s="53" t="s">
        <v>256</v>
      </c>
      <c r="V553" s="47" t="s">
        <v>536</v>
      </c>
      <c r="W553" s="47" t="s">
        <v>548</v>
      </c>
      <c r="X553" s="47" t="s">
        <v>557</v>
      </c>
      <c r="Y553" s="58">
        <v>1.9798800000000001</v>
      </c>
      <c r="Z553" s="193">
        <v>0.72957000000000005</v>
      </c>
      <c r="AB553" s="3" t="s">
        <v>526</v>
      </c>
      <c r="AC553" s="125">
        <v>0.64600000000000002</v>
      </c>
      <c r="AD553" s="3">
        <v>8.1306407300000008E-2</v>
      </c>
      <c r="AE553" s="3" t="s">
        <v>531</v>
      </c>
      <c r="AF553" s="3" t="s">
        <v>526</v>
      </c>
      <c r="AG553" s="83">
        <v>0.8</v>
      </c>
    </row>
    <row r="554" spans="6:33">
      <c r="F554" s="372">
        <v>7</v>
      </c>
      <c r="G554" s="373" t="s">
        <v>239</v>
      </c>
      <c r="H554" s="6" t="s">
        <v>329</v>
      </c>
      <c r="I554" s="136" t="s">
        <v>548</v>
      </c>
      <c r="J554" s="136" t="s">
        <v>557</v>
      </c>
      <c r="K554" s="191">
        <v>-3.4792200000000002</v>
      </c>
      <c r="L554" s="191">
        <v>0</v>
      </c>
      <c r="M554" s="191">
        <v>-3.0336967119265266</v>
      </c>
      <c r="N554" s="191">
        <v>-1.6015162329171799</v>
      </c>
      <c r="O554" s="191">
        <v>-2.5029077972305598</v>
      </c>
      <c r="P554" s="191">
        <v>0.44057827514235898</v>
      </c>
      <c r="Q554" s="191">
        <v>-0.74513222266385803</v>
      </c>
      <c r="R554" s="191">
        <v>3.7248740093878997E-2</v>
      </c>
      <c r="T554" s="46">
        <v>7</v>
      </c>
      <c r="U554" s="53" t="s">
        <v>256</v>
      </c>
      <c r="V554" s="47" t="s">
        <v>257</v>
      </c>
      <c r="W554" s="47" t="s">
        <v>548</v>
      </c>
      <c r="X554" s="47" t="s">
        <v>557</v>
      </c>
      <c r="Y554" s="58">
        <v>1.9798800000000001</v>
      </c>
      <c r="Z554" s="193">
        <v>0.46493000000000001</v>
      </c>
      <c r="AB554" s="3"/>
      <c r="AC554" s="3"/>
      <c r="AD554" s="3"/>
      <c r="AE554" s="3"/>
      <c r="AF554" s="3" t="s">
        <v>526</v>
      </c>
      <c r="AG554" s="83">
        <v>0.65</v>
      </c>
    </row>
    <row r="555" spans="6:33">
      <c r="F555" s="372">
        <v>7</v>
      </c>
      <c r="G555" s="373" t="s">
        <v>239</v>
      </c>
      <c r="H555" s="6" t="s">
        <v>271</v>
      </c>
      <c r="I555" s="136" t="s">
        <v>548</v>
      </c>
      <c r="J555" s="136" t="s">
        <v>557</v>
      </c>
      <c r="K555" s="191">
        <v>-3.1045600000000002</v>
      </c>
      <c r="L555" s="191">
        <v>0</v>
      </c>
      <c r="M555" s="191">
        <v>-0.9562194829711711</v>
      </c>
      <c r="N555" s="191">
        <v>-1.5168271075440001</v>
      </c>
      <c r="O555" s="191">
        <v>-2.6006300552409898</v>
      </c>
      <c r="P555" s="191">
        <v>-0.66607924436191601</v>
      </c>
      <c r="Q555" s="191">
        <v>-0.709859137411887</v>
      </c>
      <c r="R555" s="191">
        <v>4.0394140526455E-2</v>
      </c>
      <c r="T555" s="46">
        <v>7</v>
      </c>
      <c r="U555" s="53" t="s">
        <v>256</v>
      </c>
      <c r="V555" s="47" t="s">
        <v>537</v>
      </c>
      <c r="W555" s="47" t="s">
        <v>548</v>
      </c>
      <c r="X555" s="47" t="s">
        <v>557</v>
      </c>
      <c r="Y555" s="58">
        <v>5.0082800000000001</v>
      </c>
      <c r="Z555" s="193">
        <v>1.54878</v>
      </c>
      <c r="AB555" s="3"/>
      <c r="AC555" s="3"/>
      <c r="AD555" s="3"/>
      <c r="AE555" s="3"/>
      <c r="AF555" s="3" t="s">
        <v>526</v>
      </c>
      <c r="AG555" s="83">
        <v>0.65</v>
      </c>
    </row>
    <row r="556" spans="6:33">
      <c r="F556" s="372">
        <v>7</v>
      </c>
      <c r="G556" s="373" t="s">
        <v>239</v>
      </c>
      <c r="H556" s="6" t="s">
        <v>535</v>
      </c>
      <c r="I556" s="136" t="s">
        <v>548</v>
      </c>
      <c r="J556" s="136" t="s">
        <v>557</v>
      </c>
      <c r="K556" s="191">
        <v>-3.1045600000000002</v>
      </c>
      <c r="L556" s="191">
        <v>0</v>
      </c>
      <c r="M556" s="191">
        <v>-0.9562194829711711</v>
      </c>
      <c r="N556" s="191">
        <v>-1.62546929730024</v>
      </c>
      <c r="O556" s="191">
        <v>-2.60790847761321</v>
      </c>
      <c r="P556" s="191">
        <v>-0.86352871394485398</v>
      </c>
      <c r="Q556" s="191">
        <v>-0.79043360737650703</v>
      </c>
      <c r="R556" s="191">
        <v>2.92135960679216E-2</v>
      </c>
      <c r="T556" s="46">
        <v>7</v>
      </c>
      <c r="U556" s="53" t="s">
        <v>256</v>
      </c>
      <c r="V556" s="47" t="s">
        <v>538</v>
      </c>
      <c r="W556" s="47" t="s">
        <v>548</v>
      </c>
      <c r="X556" s="47" t="s">
        <v>557</v>
      </c>
      <c r="Y556" s="58">
        <v>4.6396800000000002</v>
      </c>
      <c r="Z556" s="193">
        <v>1.54878</v>
      </c>
      <c r="AB556" s="3"/>
      <c r="AC556" s="3"/>
      <c r="AD556" s="3"/>
      <c r="AE556" s="3"/>
      <c r="AF556" s="3" t="s">
        <v>526</v>
      </c>
      <c r="AG556" s="83">
        <v>0.65</v>
      </c>
    </row>
    <row r="557" spans="6:33">
      <c r="F557" s="372">
        <v>7</v>
      </c>
      <c r="G557" s="373" t="s">
        <v>239</v>
      </c>
      <c r="H557" s="6" t="s">
        <v>259</v>
      </c>
      <c r="I557" s="136" t="s">
        <v>548</v>
      </c>
      <c r="J557" s="136" t="s">
        <v>557</v>
      </c>
      <c r="K557" s="191">
        <v>-2.86965</v>
      </c>
      <c r="L557" s="191">
        <v>0</v>
      </c>
      <c r="M557" s="191">
        <v>-0.9562194829711711</v>
      </c>
      <c r="N557" s="191">
        <v>-1.34045167478387</v>
      </c>
      <c r="O557" s="191">
        <v>-2.0253246916117602</v>
      </c>
      <c r="P557" s="191">
        <v>-0.37415573981227901</v>
      </c>
      <c r="Q557" s="191">
        <v>-0.64379658431098397</v>
      </c>
      <c r="R557" s="191">
        <v>2.84212363077633E-2</v>
      </c>
      <c r="T557" s="46">
        <v>7</v>
      </c>
      <c r="U557" s="53" t="s">
        <v>256</v>
      </c>
      <c r="V557" s="47" t="s">
        <v>258</v>
      </c>
      <c r="W557" s="47" t="s">
        <v>548</v>
      </c>
      <c r="X557" s="47" t="s">
        <v>557</v>
      </c>
      <c r="Y557" s="58">
        <v>4.6396800000000002</v>
      </c>
      <c r="Z557" s="193">
        <v>1.54878</v>
      </c>
      <c r="AB557" s="3"/>
      <c r="AC557" s="3"/>
      <c r="AD557" s="3"/>
      <c r="AE557" s="3"/>
      <c r="AF557" s="3" t="s">
        <v>526</v>
      </c>
      <c r="AG557" s="83">
        <v>0.8</v>
      </c>
    </row>
    <row r="558" spans="6:33">
      <c r="F558" s="372">
        <v>7</v>
      </c>
      <c r="G558" s="373" t="s">
        <v>239</v>
      </c>
      <c r="H558" s="6" t="s">
        <v>334</v>
      </c>
      <c r="I558" s="136" t="s">
        <v>548</v>
      </c>
      <c r="J558" s="136" t="s">
        <v>557</v>
      </c>
      <c r="K558" s="191">
        <v>-2.86965</v>
      </c>
      <c r="L558" s="191">
        <v>0</v>
      </c>
      <c r="M558" s="191">
        <v>-0.9562194829711711</v>
      </c>
      <c r="N558" s="191">
        <v>-1.75096163911925</v>
      </c>
      <c r="O558" s="191">
        <v>-2.4914526293508499</v>
      </c>
      <c r="P558" s="191">
        <v>-0.31495530677184003</v>
      </c>
      <c r="Q558" s="191">
        <v>-0.94006728037030396</v>
      </c>
      <c r="R558" s="191">
        <v>2.63898646245362E-2</v>
      </c>
      <c r="T558" s="46">
        <v>7</v>
      </c>
      <c r="U558" s="53" t="s">
        <v>247</v>
      </c>
      <c r="V558" s="47" t="s">
        <v>247</v>
      </c>
      <c r="W558" s="47" t="s">
        <v>548</v>
      </c>
      <c r="X558" s="47" t="s">
        <v>557</v>
      </c>
      <c r="Y558" s="58">
        <v>1.0505633333333335</v>
      </c>
      <c r="Z558" s="193">
        <v>0.89563000000000004</v>
      </c>
      <c r="AB558" s="3"/>
      <c r="AC558" s="3"/>
      <c r="AD558" s="3"/>
      <c r="AE558" s="3"/>
      <c r="AF558" s="3"/>
      <c r="AG558" s="3"/>
    </row>
    <row r="559" spans="6:33">
      <c r="F559" s="372">
        <v>7</v>
      </c>
      <c r="G559" s="373" t="s">
        <v>239</v>
      </c>
      <c r="H559" s="6" t="s">
        <v>240</v>
      </c>
      <c r="I559" s="136" t="s">
        <v>548</v>
      </c>
      <c r="J559" s="136" t="s">
        <v>557</v>
      </c>
      <c r="K559" s="191">
        <v>-3.1045600000000002</v>
      </c>
      <c r="L559" s="191">
        <v>0</v>
      </c>
      <c r="M559" s="191">
        <v>0</v>
      </c>
      <c r="N559" s="191">
        <v>-1.77971800635607</v>
      </c>
      <c r="O559" s="191">
        <v>-2.56895115229015</v>
      </c>
      <c r="P559" s="191">
        <v>-0.69542150270263203</v>
      </c>
      <c r="Q559" s="191">
        <v>0.43537410862040299</v>
      </c>
      <c r="R559" s="191">
        <v>2.36701268984539</v>
      </c>
      <c r="T559" s="46">
        <v>7</v>
      </c>
      <c r="U559" s="53" t="s">
        <v>247</v>
      </c>
      <c r="V559" s="47" t="s">
        <v>248</v>
      </c>
      <c r="W559" s="47" t="s">
        <v>548</v>
      </c>
      <c r="X559" s="47" t="s">
        <v>557</v>
      </c>
      <c r="Y559" s="58">
        <v>1.0606100000000001</v>
      </c>
      <c r="Z559" s="193">
        <v>0.89563000000000004</v>
      </c>
      <c r="AB559" s="3"/>
      <c r="AC559" s="3"/>
      <c r="AD559" s="3"/>
      <c r="AE559" s="3"/>
      <c r="AF559" s="3"/>
      <c r="AG559" s="3"/>
    </row>
    <row r="560" spans="6:33" ht="28.8">
      <c r="F560" s="372">
        <v>7</v>
      </c>
      <c r="G560" s="373" t="s">
        <v>239</v>
      </c>
      <c r="H560" s="6" t="s">
        <v>325</v>
      </c>
      <c r="I560" s="136" t="s">
        <v>548</v>
      </c>
      <c r="J560" s="136" t="s">
        <v>557</v>
      </c>
      <c r="K560" s="191">
        <v>-1.66</v>
      </c>
      <c r="L560" s="191">
        <v>0</v>
      </c>
      <c r="M560" s="191">
        <v>0</v>
      </c>
      <c r="N560" s="191">
        <v>-1.6414908500332299</v>
      </c>
      <c r="O560" s="191">
        <v>-2.3915506341225301</v>
      </c>
      <c r="P560" s="191">
        <v>-0.65531464971066899</v>
      </c>
      <c r="Q560" s="191">
        <v>-0.86844475997422799</v>
      </c>
      <c r="R560" s="191">
        <v>2.7471991029133901E-2</v>
      </c>
      <c r="T560" s="46">
        <v>7</v>
      </c>
      <c r="U560" s="53" t="s">
        <v>247</v>
      </c>
      <c r="V560" s="47" t="s">
        <v>263</v>
      </c>
      <c r="W560" s="47" t="s">
        <v>548</v>
      </c>
      <c r="X560" s="47" t="s">
        <v>557</v>
      </c>
      <c r="Y560" s="58">
        <v>1.0341199999999999</v>
      </c>
      <c r="Z560" s="193">
        <v>0.89563000000000004</v>
      </c>
      <c r="AB560" s="3"/>
      <c r="AC560" s="3"/>
      <c r="AD560" s="3"/>
      <c r="AE560" s="3"/>
      <c r="AF560" s="3" t="s">
        <v>526</v>
      </c>
      <c r="AG560" s="83">
        <v>0.95</v>
      </c>
    </row>
    <row r="561" spans="6:33">
      <c r="F561" s="372">
        <v>7</v>
      </c>
      <c r="G561" s="373" t="s">
        <v>256</v>
      </c>
      <c r="H561" s="6" t="s">
        <v>10183</v>
      </c>
      <c r="I561" s="136" t="s">
        <v>548</v>
      </c>
      <c r="J561" s="136" t="s">
        <v>557</v>
      </c>
      <c r="K561" s="191">
        <v>-3.3097799999999999</v>
      </c>
      <c r="L561" s="191">
        <v>-3.2267017926999997</v>
      </c>
      <c r="M561" s="191">
        <v>-12.647824892110014</v>
      </c>
      <c r="N561" s="191">
        <v>0</v>
      </c>
      <c r="O561" s="191">
        <v>0</v>
      </c>
      <c r="P561" s="191">
        <v>2.5943839721256901E-2</v>
      </c>
      <c r="Q561" s="191">
        <v>-0.11026302368887969</v>
      </c>
      <c r="R561" s="191">
        <v>-9.3125125670060094E-2</v>
      </c>
      <c r="T561" s="46">
        <v>7</v>
      </c>
      <c r="U561" s="53" t="s">
        <v>247</v>
      </c>
      <c r="V561" s="47" t="s">
        <v>539</v>
      </c>
      <c r="W561" s="47" t="s">
        <v>548</v>
      </c>
      <c r="X561" s="47" t="s">
        <v>557</v>
      </c>
      <c r="Y561" s="58">
        <v>1.0569599999999999</v>
      </c>
      <c r="Z561" s="193">
        <v>0.89563000000000004</v>
      </c>
      <c r="AB561" s="3" t="s">
        <v>526</v>
      </c>
      <c r="AC561" s="125">
        <v>1</v>
      </c>
      <c r="AD561" s="3">
        <v>8.1306407300000008E-2</v>
      </c>
      <c r="AE561" s="3" t="s">
        <v>531</v>
      </c>
      <c r="AF561" s="3" t="s">
        <v>526</v>
      </c>
      <c r="AG561" s="83">
        <v>0.95</v>
      </c>
    </row>
    <row r="562" spans="6:33">
      <c r="F562" s="372">
        <v>7</v>
      </c>
      <c r="G562" s="373" t="s">
        <v>256</v>
      </c>
      <c r="H562" s="6" t="s">
        <v>536</v>
      </c>
      <c r="I562" s="136" t="s">
        <v>548</v>
      </c>
      <c r="J562" s="136" t="s">
        <v>557</v>
      </c>
      <c r="K562" s="191">
        <v>-1.9798800000000001</v>
      </c>
      <c r="L562" s="191">
        <v>-1.8968017927</v>
      </c>
      <c r="M562" s="191">
        <v>-2.2872683374196705</v>
      </c>
      <c r="N562" s="191">
        <v>0</v>
      </c>
      <c r="O562" s="191">
        <v>0</v>
      </c>
      <c r="P562" s="191">
        <v>2.6027679442513801E-2</v>
      </c>
      <c r="Q562" s="191">
        <v>-0.16202295761388</v>
      </c>
      <c r="R562" s="191">
        <v>-0.135354427115291</v>
      </c>
      <c r="T562" s="46">
        <v>7</v>
      </c>
      <c r="U562" s="53" t="s">
        <v>247</v>
      </c>
      <c r="V562" s="47" t="s">
        <v>270</v>
      </c>
      <c r="W562" s="47" t="s">
        <v>548</v>
      </c>
      <c r="X562" s="47" t="s">
        <v>557</v>
      </c>
      <c r="Y562" s="58">
        <v>1.0505633333333335</v>
      </c>
      <c r="Z562" s="193">
        <v>0.89563000000000004</v>
      </c>
      <c r="AB562" s="3" t="s">
        <v>526</v>
      </c>
      <c r="AC562" s="125">
        <v>1</v>
      </c>
      <c r="AD562" s="3">
        <v>8.1306407300000008E-2</v>
      </c>
      <c r="AE562" s="3" t="s">
        <v>531</v>
      </c>
      <c r="AF562" s="3" t="s">
        <v>526</v>
      </c>
      <c r="AG562" s="83">
        <v>0.95</v>
      </c>
    </row>
    <row r="563" spans="6:33">
      <c r="F563" s="372">
        <v>7</v>
      </c>
      <c r="G563" s="373" t="s">
        <v>256</v>
      </c>
      <c r="H563" s="6" t="s">
        <v>257</v>
      </c>
      <c r="I563" s="136" t="s">
        <v>548</v>
      </c>
      <c r="J563" s="136" t="s">
        <v>557</v>
      </c>
      <c r="K563" s="191">
        <v>-1.9798800000000001</v>
      </c>
      <c r="L563" s="191">
        <v>-1.8968017927</v>
      </c>
      <c r="M563" s="191">
        <v>-2.2872683374196705</v>
      </c>
      <c r="N563" s="191">
        <v>0</v>
      </c>
      <c r="O563" s="191">
        <v>0</v>
      </c>
      <c r="P563" s="191">
        <v>2.6027679442513298E-2</v>
      </c>
      <c r="Q563" s="191">
        <v>-0.162022957613879</v>
      </c>
      <c r="R563" s="191">
        <v>-0.13535442711529</v>
      </c>
      <c r="T563" s="46">
        <v>7</v>
      </c>
      <c r="U563" s="53" t="s">
        <v>247</v>
      </c>
      <c r="V563" s="47" t="s">
        <v>540</v>
      </c>
      <c r="W563" s="47" t="s">
        <v>548</v>
      </c>
      <c r="X563" s="47" t="s">
        <v>557</v>
      </c>
      <c r="Y563" s="58">
        <v>1.0473650000000001</v>
      </c>
      <c r="Z563" s="193">
        <v>0.89563000000000004</v>
      </c>
      <c r="AB563" s="3" t="s">
        <v>526</v>
      </c>
      <c r="AC563" s="125">
        <v>1</v>
      </c>
      <c r="AD563" s="3">
        <v>8.1306407300000008E-2</v>
      </c>
      <c r="AE563" s="3" t="s">
        <v>531</v>
      </c>
      <c r="AF563" s="3"/>
      <c r="AG563" s="3"/>
    </row>
    <row r="564" spans="6:33">
      <c r="F564" s="372">
        <v>7</v>
      </c>
      <c r="G564" s="373" t="s">
        <v>256</v>
      </c>
      <c r="H564" s="6" t="s">
        <v>537</v>
      </c>
      <c r="I564" s="136" t="s">
        <v>548</v>
      </c>
      <c r="J564" s="136" t="s">
        <v>557</v>
      </c>
      <c r="K564" s="191">
        <v>-5.0082800000000001</v>
      </c>
      <c r="L564" s="191">
        <v>-4.9252017927000002</v>
      </c>
      <c r="M564" s="191">
        <v>-5.0018220534721953</v>
      </c>
      <c r="N564" s="191">
        <v>0</v>
      </c>
      <c r="O564" s="191">
        <v>0</v>
      </c>
      <c r="P564" s="191">
        <v>2.5860000000000001E-2</v>
      </c>
      <c r="Q564" s="191">
        <v>-5.8503089763879398E-2</v>
      </c>
      <c r="R564" s="191">
        <v>-5.0895824224829203E-2</v>
      </c>
      <c r="T564" s="46">
        <v>7</v>
      </c>
      <c r="U564" s="53" t="s">
        <v>529</v>
      </c>
      <c r="V564" s="47" t="s">
        <v>260</v>
      </c>
      <c r="W564" s="47" t="s">
        <v>548</v>
      </c>
      <c r="X564" s="47" t="s">
        <v>557</v>
      </c>
      <c r="Y564" s="58">
        <v>4.0364225925925927</v>
      </c>
      <c r="Z564" s="193">
        <v>1.3856655555555555</v>
      </c>
      <c r="AB564" s="3"/>
      <c r="AC564" s="3"/>
      <c r="AD564" s="3"/>
      <c r="AE564" s="3"/>
      <c r="AF564" s="3" t="s">
        <v>526</v>
      </c>
      <c r="AG564" s="83">
        <v>0.95</v>
      </c>
    </row>
    <row r="565" spans="6:33">
      <c r="F565" s="372">
        <v>7</v>
      </c>
      <c r="G565" s="373" t="s">
        <v>256</v>
      </c>
      <c r="H565" s="6" t="s">
        <v>538</v>
      </c>
      <c r="I565" s="136" t="s">
        <v>548</v>
      </c>
      <c r="J565" s="136" t="s">
        <v>557</v>
      </c>
      <c r="K565" s="191">
        <v>-4.6396800000000002</v>
      </c>
      <c r="L565" s="191">
        <v>0</v>
      </c>
      <c r="M565" s="191">
        <v>0</v>
      </c>
      <c r="N565" s="191">
        <v>0</v>
      </c>
      <c r="O565" s="191">
        <v>0</v>
      </c>
      <c r="P565" s="191">
        <v>2.5860000000000001E-2</v>
      </c>
      <c r="Q565" s="191">
        <v>-5.4918056578809701E-2</v>
      </c>
      <c r="R565" s="191">
        <v>-5.0895824224829203E-2</v>
      </c>
      <c r="T565" s="46">
        <v>7</v>
      </c>
      <c r="U565" s="53" t="s">
        <v>237</v>
      </c>
      <c r="V565" s="47" t="s">
        <v>237</v>
      </c>
      <c r="W565" s="47" t="s">
        <v>548</v>
      </c>
      <c r="X565" s="47" t="s">
        <v>557</v>
      </c>
      <c r="Y565" s="58">
        <v>2.8533815875203707</v>
      </c>
      <c r="Z565" s="193">
        <v>1.0711602172222223</v>
      </c>
      <c r="AB565" s="3" t="s">
        <v>526</v>
      </c>
      <c r="AC565" s="125">
        <v>1</v>
      </c>
      <c r="AD565" s="3">
        <v>0</v>
      </c>
      <c r="AE565" s="3" t="s">
        <v>527</v>
      </c>
      <c r="AF565" s="3" t="s">
        <v>526</v>
      </c>
      <c r="AG565" s="83">
        <v>0.9</v>
      </c>
    </row>
    <row r="566" spans="6:33">
      <c r="F566" s="372">
        <v>7</v>
      </c>
      <c r="G566" s="373" t="s">
        <v>256</v>
      </c>
      <c r="H566" s="6" t="s">
        <v>258</v>
      </c>
      <c r="I566" s="136" t="s">
        <v>548</v>
      </c>
      <c r="J566" s="136" t="s">
        <v>557</v>
      </c>
      <c r="K566" s="191">
        <v>-4.6396800000000002</v>
      </c>
      <c r="L566" s="191">
        <v>-4.5566017927000004</v>
      </c>
      <c r="M566" s="191">
        <v>-4.8487050518352728</v>
      </c>
      <c r="N566" s="191">
        <v>0</v>
      </c>
      <c r="O566" s="191">
        <v>0</v>
      </c>
      <c r="P566" s="191">
        <v>2.5860000000000001E-2</v>
      </c>
      <c r="Q566" s="191">
        <v>-5.8503089763879398E-2</v>
      </c>
      <c r="R566" s="191">
        <v>-5.08958242248293E-2</v>
      </c>
      <c r="T566" s="46">
        <v>7</v>
      </c>
      <c r="U566" s="53" t="s">
        <v>237</v>
      </c>
      <c r="V566" s="47" t="s">
        <v>246</v>
      </c>
      <c r="W566" s="47" t="s">
        <v>548</v>
      </c>
      <c r="X566" s="47" t="s">
        <v>557</v>
      </c>
      <c r="Y566" s="58">
        <v>7.3412433500000009</v>
      </c>
      <c r="Z566" s="193">
        <v>0.66842500000000005</v>
      </c>
      <c r="AB566" s="3" t="s">
        <v>526</v>
      </c>
      <c r="AC566" s="125">
        <v>1</v>
      </c>
      <c r="AD566" s="3">
        <v>8.1306407300000008E-2</v>
      </c>
      <c r="AE566" s="3" t="s">
        <v>531</v>
      </c>
      <c r="AF566" s="3" t="s">
        <v>526</v>
      </c>
      <c r="AG566" s="83">
        <v>0.9</v>
      </c>
    </row>
    <row r="567" spans="6:33">
      <c r="F567" s="372">
        <v>7</v>
      </c>
      <c r="G567" s="373" t="s">
        <v>247</v>
      </c>
      <c r="H567" s="6" t="s">
        <v>247</v>
      </c>
      <c r="I567" s="136" t="s">
        <v>548</v>
      </c>
      <c r="J567" s="136" t="s">
        <v>557</v>
      </c>
      <c r="K567" s="191">
        <v>-1.0505633333333335</v>
      </c>
      <c r="L567" s="191">
        <v>-0.96748512603333348</v>
      </c>
      <c r="M567" s="191">
        <v>-0.31685547479910803</v>
      </c>
      <c r="N567" s="191">
        <v>0</v>
      </c>
      <c r="O567" s="191">
        <v>0</v>
      </c>
      <c r="P567" s="191">
        <v>2.60276937802707E-2</v>
      </c>
      <c r="Q567" s="191">
        <v>3.0436576342434098E-2</v>
      </c>
      <c r="R567" s="191">
        <v>4.8920792208139198E-2</v>
      </c>
      <c r="T567" s="46">
        <v>7</v>
      </c>
      <c r="U567" s="53" t="s">
        <v>237</v>
      </c>
      <c r="V567" s="28" t="s">
        <v>10162</v>
      </c>
      <c r="W567" s="47" t="s">
        <v>548</v>
      </c>
      <c r="X567" s="47" t="s">
        <v>557</v>
      </c>
      <c r="Y567" s="58">
        <v>2.8533815875203707</v>
      </c>
      <c r="Z567" s="193">
        <v>1.0711602172222223</v>
      </c>
      <c r="AB567" s="3" t="s">
        <v>526</v>
      </c>
      <c r="AC567" s="125">
        <v>1</v>
      </c>
      <c r="AD567" s="3">
        <v>8.1306407300000008E-2</v>
      </c>
      <c r="AE567" s="3" t="s">
        <v>531</v>
      </c>
      <c r="AF567" s="3" t="s">
        <v>526</v>
      </c>
      <c r="AG567" s="83">
        <v>0.95</v>
      </c>
    </row>
    <row r="568" spans="6:33">
      <c r="F568" s="372">
        <v>7</v>
      </c>
      <c r="G568" s="373" t="s">
        <v>247</v>
      </c>
      <c r="H568" s="6" t="s">
        <v>248</v>
      </c>
      <c r="I568" s="136" t="s">
        <v>548</v>
      </c>
      <c r="J568" s="136" t="s">
        <v>557</v>
      </c>
      <c r="K568" s="191">
        <v>-1.0606100000000001</v>
      </c>
      <c r="L568" s="191">
        <v>-0.97753179270000001</v>
      </c>
      <c r="M568" s="191">
        <v>-0.16840144974004073</v>
      </c>
      <c r="N568" s="191">
        <v>0</v>
      </c>
      <c r="O568" s="191">
        <v>0</v>
      </c>
      <c r="P568" s="191">
        <v>2.60276997598081E-2</v>
      </c>
      <c r="Q568" s="191">
        <v>3.4297970716147402E-2</v>
      </c>
      <c r="R568" s="191">
        <v>4.8919608602532499E-2</v>
      </c>
      <c r="T568" s="46">
        <v>7</v>
      </c>
      <c r="U568" s="53" t="s">
        <v>252</v>
      </c>
      <c r="V568" s="28" t="s">
        <v>333</v>
      </c>
      <c r="W568" s="47" t="s">
        <v>548</v>
      </c>
      <c r="X568" s="47" t="s">
        <v>557</v>
      </c>
      <c r="Y568" s="58">
        <v>2.0953266666666663</v>
      </c>
      <c r="Z568" s="193">
        <v>1.77911</v>
      </c>
      <c r="AB568" s="3" t="s">
        <v>526</v>
      </c>
      <c r="AC568" s="125">
        <v>1</v>
      </c>
      <c r="AD568" s="3">
        <v>8.1306407300000008E-2</v>
      </c>
      <c r="AE568" s="3" t="s">
        <v>531</v>
      </c>
      <c r="AF568" s="3" t="s">
        <v>526</v>
      </c>
      <c r="AG568" s="83">
        <v>0.7</v>
      </c>
    </row>
    <row r="569" spans="6:33">
      <c r="F569" s="372">
        <v>7</v>
      </c>
      <c r="G569" s="373" t="s">
        <v>247</v>
      </c>
      <c r="H569" s="6" t="s">
        <v>263</v>
      </c>
      <c r="I569" s="136" t="s">
        <v>548</v>
      </c>
      <c r="J569" s="136" t="s">
        <v>557</v>
      </c>
      <c r="K569" s="191">
        <v>-1.0341199999999999</v>
      </c>
      <c r="L569" s="191">
        <v>-0.95104179269999989</v>
      </c>
      <c r="M569" s="191">
        <v>-0.16840144974004073</v>
      </c>
      <c r="N569" s="191">
        <v>0</v>
      </c>
      <c r="O569" s="191">
        <v>0</v>
      </c>
      <c r="P569" s="191">
        <v>2.60277034653651E-2</v>
      </c>
      <c r="Q569" s="191">
        <v>3.66126997550393E-2</v>
      </c>
      <c r="R569" s="191">
        <v>4.8919684170670802E-2</v>
      </c>
      <c r="T569" s="46">
        <v>7</v>
      </c>
      <c r="U569" s="53" t="s">
        <v>239</v>
      </c>
      <c r="V569" s="3" t="s">
        <v>542</v>
      </c>
      <c r="W569" s="47" t="s">
        <v>548</v>
      </c>
      <c r="X569" s="47" t="s">
        <v>557</v>
      </c>
      <c r="Y569" s="58">
        <v>2.6644477777777777</v>
      </c>
      <c r="Z569" s="193">
        <v>0.64099666666666666</v>
      </c>
      <c r="AB569" s="3" t="s">
        <v>526</v>
      </c>
      <c r="AC569" s="125">
        <v>1</v>
      </c>
      <c r="AD569" s="3">
        <v>8.1306407300000008E-2</v>
      </c>
      <c r="AE569" s="3" t="s">
        <v>531</v>
      </c>
      <c r="AF569" s="3"/>
      <c r="AG569" s="3"/>
    </row>
    <row r="570" spans="6:33">
      <c r="F570" s="372">
        <v>7</v>
      </c>
      <c r="G570" s="373" t="s">
        <v>247</v>
      </c>
      <c r="H570" s="6" t="s">
        <v>539</v>
      </c>
      <c r="I570" s="136" t="s">
        <v>548</v>
      </c>
      <c r="J570" s="136" t="s">
        <v>557</v>
      </c>
      <c r="K570" s="191">
        <v>-1.0569599999999999</v>
      </c>
      <c r="L570" s="191">
        <v>-0.97388179269999986</v>
      </c>
      <c r="M570" s="191">
        <v>-0.17371939025814728</v>
      </c>
      <c r="N570" s="191">
        <v>0</v>
      </c>
      <c r="O570" s="191">
        <v>0</v>
      </c>
      <c r="P570" s="191">
        <v>2.6027684104295699E-2</v>
      </c>
      <c r="Q570" s="191">
        <v>2.42172198924543E-2</v>
      </c>
      <c r="R570" s="191">
        <v>4.8922066960809502E-2</v>
      </c>
      <c r="T570" s="46">
        <v>7</v>
      </c>
      <c r="U570" s="53" t="s">
        <v>237</v>
      </c>
      <c r="V570" s="3" t="s">
        <v>238</v>
      </c>
      <c r="W570" s="47" t="s">
        <v>548</v>
      </c>
      <c r="X570" s="47" t="s">
        <v>557</v>
      </c>
      <c r="Y570" s="58">
        <v>2.7046544444444445</v>
      </c>
      <c r="Z570" s="193">
        <v>1.2161291666666667</v>
      </c>
      <c r="AB570" s="3" t="s">
        <v>526</v>
      </c>
      <c r="AC570" s="83">
        <v>0.5</v>
      </c>
      <c r="AD570" s="3">
        <v>8.1306407300000008E-2</v>
      </c>
      <c r="AE570" s="3" t="s">
        <v>531</v>
      </c>
      <c r="AF570" s="3"/>
      <c r="AG570" s="3"/>
    </row>
    <row r="571" spans="6:33">
      <c r="F571" s="372">
        <v>7</v>
      </c>
      <c r="G571" s="373" t="s">
        <v>247</v>
      </c>
      <c r="H571" s="6" t="s">
        <v>270</v>
      </c>
      <c r="I571" s="136" t="s">
        <v>548</v>
      </c>
      <c r="J571" s="136" t="s">
        <v>557</v>
      </c>
      <c r="K571" s="191">
        <v>-1.0505633333333335</v>
      </c>
      <c r="L571" s="191">
        <v>-0.96748512603333348</v>
      </c>
      <c r="M571" s="191">
        <v>-0.31685547479910803</v>
      </c>
      <c r="N571" s="191">
        <v>0</v>
      </c>
      <c r="O571" s="191">
        <v>0</v>
      </c>
      <c r="P571" s="191">
        <v>2.60276937802707E-2</v>
      </c>
      <c r="Q571" s="191">
        <v>3.0436576342434098E-2</v>
      </c>
      <c r="R571" s="191">
        <v>4.8920792208139198E-2</v>
      </c>
      <c r="T571" s="46">
        <v>7</v>
      </c>
      <c r="U571" s="53" t="s">
        <v>264</v>
      </c>
      <c r="V571" s="3" t="s">
        <v>264</v>
      </c>
      <c r="W571" s="47" t="s">
        <v>548</v>
      </c>
      <c r="X571" s="47" t="s">
        <v>557</v>
      </c>
      <c r="Y571" s="58">
        <v>1.9287117500000002</v>
      </c>
      <c r="Z571" s="193">
        <v>0.467055</v>
      </c>
      <c r="AB571" s="3"/>
      <c r="AC571" s="3"/>
      <c r="AD571" s="3"/>
      <c r="AE571" s="3"/>
      <c r="AF571" s="3"/>
      <c r="AG571" s="3"/>
    </row>
    <row r="572" spans="6:33">
      <c r="F572" s="372">
        <v>7</v>
      </c>
      <c r="G572" s="373" t="s">
        <v>247</v>
      </c>
      <c r="H572" s="6" t="s">
        <v>540</v>
      </c>
      <c r="I572" s="136" t="s">
        <v>548</v>
      </c>
      <c r="J572" s="136" t="s">
        <v>557</v>
      </c>
      <c r="K572" s="191">
        <v>-1.0473650000000001</v>
      </c>
      <c r="L572" s="191">
        <v>-0.96428679270000006</v>
      </c>
      <c r="M572" s="191">
        <v>0</v>
      </c>
      <c r="N572" s="191">
        <v>0</v>
      </c>
      <c r="O572" s="191">
        <v>0</v>
      </c>
      <c r="P572" s="191">
        <v>2.6027677331451698E-2</v>
      </c>
      <c r="Q572" s="191">
        <v>2.6531428776119002E-2</v>
      </c>
      <c r="R572" s="191">
        <v>4.8921622373720698E-2</v>
      </c>
      <c r="T572" s="46">
        <v>7</v>
      </c>
      <c r="U572" s="53" t="s">
        <v>264</v>
      </c>
      <c r="V572" s="3" t="s">
        <v>336</v>
      </c>
      <c r="W572" s="47" t="s">
        <v>548</v>
      </c>
      <c r="X572" s="47" t="s">
        <v>557</v>
      </c>
      <c r="Y572" s="58">
        <v>0.76351350000000007</v>
      </c>
      <c r="Z572" s="193">
        <v>0.43603999999999998</v>
      </c>
      <c r="AB572" s="3"/>
      <c r="AC572" s="3"/>
      <c r="AD572" s="3"/>
      <c r="AE572" s="3"/>
      <c r="AF572" s="3"/>
      <c r="AG572" s="3"/>
    </row>
    <row r="573" spans="6:33">
      <c r="F573" s="372">
        <v>7</v>
      </c>
      <c r="G573" s="373" t="s">
        <v>261</v>
      </c>
      <c r="H573" s="6" t="s">
        <v>260</v>
      </c>
      <c r="I573" s="136" t="s">
        <v>548</v>
      </c>
      <c r="J573" s="136" t="s">
        <v>557</v>
      </c>
      <c r="K573" s="191">
        <v>-4.0364225925925927</v>
      </c>
      <c r="L573" s="191">
        <v>0</v>
      </c>
      <c r="M573" s="191">
        <v>0</v>
      </c>
      <c r="N573" s="191">
        <v>-0.50414958549192801</v>
      </c>
      <c r="O573" s="191">
        <v>-0.86634961825781198</v>
      </c>
      <c r="P573" s="191">
        <v>-0.178721246038507</v>
      </c>
      <c r="Q573" s="191">
        <v>-0.24847050259595699</v>
      </c>
      <c r="R573" s="191">
        <v>2.75303409499707E-2</v>
      </c>
      <c r="T573" s="46">
        <v>7</v>
      </c>
      <c r="U573" s="53" t="s">
        <v>242</v>
      </c>
      <c r="V573" s="3" t="s">
        <v>251</v>
      </c>
      <c r="W573" s="47" t="s">
        <v>548</v>
      </c>
      <c r="X573" s="47" t="s">
        <v>557</v>
      </c>
      <c r="Y573" s="58">
        <v>4.9218200000000003</v>
      </c>
      <c r="Z573" s="193">
        <v>0.15096000000000001</v>
      </c>
      <c r="AB573" s="3"/>
      <c r="AC573" s="3"/>
      <c r="AD573" s="3"/>
      <c r="AE573" s="3"/>
      <c r="AF573" s="3" t="s">
        <v>526</v>
      </c>
      <c r="AG573" s="83">
        <v>0.7</v>
      </c>
    </row>
    <row r="574" spans="6:33">
      <c r="F574" s="372">
        <v>7</v>
      </c>
      <c r="G574" s="373" t="s">
        <v>10157</v>
      </c>
      <c r="H574" s="6" t="s">
        <v>10157</v>
      </c>
      <c r="I574" s="136" t="s">
        <v>548</v>
      </c>
      <c r="J574" s="136" t="s">
        <v>557</v>
      </c>
      <c r="K574" s="191">
        <v>-2.8533815875203707</v>
      </c>
      <c r="L574" s="191">
        <v>-1.4249189937601854</v>
      </c>
      <c r="M574" s="191">
        <v>0</v>
      </c>
      <c r="N574" s="191">
        <v>0</v>
      </c>
      <c r="O574" s="191">
        <v>0</v>
      </c>
      <c r="P574" s="191">
        <v>-0.47219559927819021</v>
      </c>
      <c r="Q574" s="191">
        <v>-0.55722809232586346</v>
      </c>
      <c r="R574" s="191">
        <v>2.796932846020686E-2</v>
      </c>
      <c r="T574" s="46">
        <v>7</v>
      </c>
      <c r="U574" s="53" t="s">
        <v>242</v>
      </c>
      <c r="V574" s="3" t="s">
        <v>543</v>
      </c>
      <c r="W574" s="47" t="s">
        <v>548</v>
      </c>
      <c r="X574" s="47" t="s">
        <v>557</v>
      </c>
      <c r="Y574" s="58">
        <v>1.00081</v>
      </c>
      <c r="Z574" s="193">
        <v>0.33138000000000001</v>
      </c>
      <c r="AB574" s="3"/>
      <c r="AC574" s="3"/>
      <c r="AD574" s="3"/>
      <c r="AE574" s="3"/>
      <c r="AF574" s="3" t="s">
        <v>526</v>
      </c>
      <c r="AG574" s="83">
        <v>0.65</v>
      </c>
    </row>
    <row r="575" spans="6:33">
      <c r="F575" s="372">
        <v>7</v>
      </c>
      <c r="G575" s="373" t="s">
        <v>10157</v>
      </c>
      <c r="H575" s="6" t="s">
        <v>246</v>
      </c>
      <c r="I575" s="136" t="s">
        <v>548</v>
      </c>
      <c r="J575" s="136" t="s">
        <v>557</v>
      </c>
      <c r="K575" s="191">
        <v>-7.3412433500000009</v>
      </c>
      <c r="L575" s="191">
        <v>0</v>
      </c>
      <c r="M575" s="191">
        <v>0</v>
      </c>
      <c r="N575" s="191">
        <v>0</v>
      </c>
      <c r="O575" s="191">
        <v>0</v>
      </c>
      <c r="P575" s="191">
        <v>2.60277280442907E-2</v>
      </c>
      <c r="Q575" s="191">
        <v>4.1574329443250999E-2</v>
      </c>
      <c r="R575" s="191">
        <v>4.8919275480954601E-2</v>
      </c>
      <c r="T575" s="46">
        <v>7</v>
      </c>
      <c r="U575" s="53" t="s">
        <v>264</v>
      </c>
      <c r="V575" s="3" t="s">
        <v>544</v>
      </c>
      <c r="W575" s="47" t="s">
        <v>548</v>
      </c>
      <c r="X575" s="47" t="s">
        <v>557</v>
      </c>
      <c r="Y575" s="58">
        <v>3.0939100000000002</v>
      </c>
      <c r="Z575" s="193">
        <v>0.49807000000000001</v>
      </c>
      <c r="AB575" s="3"/>
      <c r="AC575" s="3"/>
      <c r="AD575" s="3"/>
      <c r="AE575" s="3"/>
      <c r="AF575" s="3"/>
      <c r="AG575" s="3"/>
    </row>
    <row r="576" spans="6:33" ht="28.8">
      <c r="F576" s="372">
        <v>7</v>
      </c>
      <c r="G576" s="373" t="s">
        <v>10157</v>
      </c>
      <c r="H576" s="6" t="s">
        <v>10162</v>
      </c>
      <c r="I576" s="136" t="s">
        <v>548</v>
      </c>
      <c r="J576" s="136" t="s">
        <v>557</v>
      </c>
      <c r="K576" s="191">
        <v>-2.8533815875203707</v>
      </c>
      <c r="L576" s="191">
        <v>0</v>
      </c>
      <c r="M576" s="191">
        <v>0</v>
      </c>
      <c r="N576" s="191">
        <v>-1.0337890576882003</v>
      </c>
      <c r="O576" s="191">
        <v>-1.598910555915438</v>
      </c>
      <c r="P576" s="191">
        <v>-0.47219559927819021</v>
      </c>
      <c r="Q576" s="191">
        <v>-0.55722809232586346</v>
      </c>
      <c r="R576" s="191">
        <v>2.796932846020686E-2</v>
      </c>
      <c r="T576" s="46">
        <v>7</v>
      </c>
      <c r="U576" s="53" t="s">
        <v>237</v>
      </c>
      <c r="V576" s="3" t="s">
        <v>545</v>
      </c>
      <c r="W576" s="47" t="s">
        <v>548</v>
      </c>
      <c r="X576" s="47" t="s">
        <v>557</v>
      </c>
      <c r="Y576" s="58">
        <v>2.8533815875203707</v>
      </c>
      <c r="Z576" s="193">
        <v>1.0711602172222223</v>
      </c>
      <c r="AB576" s="3"/>
      <c r="AC576" s="3"/>
      <c r="AD576" s="3"/>
      <c r="AE576" s="3"/>
      <c r="AF576" s="3"/>
      <c r="AG576" s="3"/>
    </row>
    <row r="577" spans="6:33">
      <c r="F577" s="372">
        <v>7</v>
      </c>
      <c r="G577" s="373" t="s">
        <v>252</v>
      </c>
      <c r="H577" s="6" t="s">
        <v>333</v>
      </c>
      <c r="I577" s="136" t="s">
        <v>548</v>
      </c>
      <c r="J577" s="136" t="s">
        <v>557</v>
      </c>
      <c r="K577" s="191">
        <v>-2.0953266666666663</v>
      </c>
      <c r="L577" s="191">
        <v>0</v>
      </c>
      <c r="M577" s="191">
        <v>-4.402960361201381</v>
      </c>
      <c r="N577" s="191">
        <v>0</v>
      </c>
      <c r="O577" s="191">
        <v>0</v>
      </c>
      <c r="P577" s="191">
        <v>2.6027700521105999E-2</v>
      </c>
      <c r="Q577" s="191">
        <v>0.57657859350782803</v>
      </c>
      <c r="R577" s="191">
        <v>2.18702518516894</v>
      </c>
      <c r="T577" s="46">
        <v>9</v>
      </c>
      <c r="U577" s="53"/>
      <c r="V577" s="47"/>
      <c r="W577" s="47" t="s">
        <v>548</v>
      </c>
      <c r="X577" s="47" t="s">
        <v>560</v>
      </c>
      <c r="Y577" s="58" t="s">
        <v>525</v>
      </c>
      <c r="Z577" s="193" t="s">
        <v>525</v>
      </c>
      <c r="AB577" s="3" t="s">
        <v>526</v>
      </c>
      <c r="AC577" s="125">
        <v>0.64600000000000002</v>
      </c>
      <c r="AD577" s="3">
        <v>0</v>
      </c>
      <c r="AE577" s="3"/>
      <c r="AF577" s="3"/>
      <c r="AG577" s="3"/>
    </row>
    <row r="578" spans="6:33">
      <c r="F578" s="372">
        <v>7</v>
      </c>
      <c r="G578" s="373" t="s">
        <v>239</v>
      </c>
      <c r="H578" s="6" t="s">
        <v>542</v>
      </c>
      <c r="I578" s="136" t="s">
        <v>548</v>
      </c>
      <c r="J578" s="136" t="s">
        <v>557</v>
      </c>
      <c r="K578" s="191">
        <v>-2.6644477777777777</v>
      </c>
      <c r="L578" s="191">
        <v>0</v>
      </c>
      <c r="M578" s="191">
        <v>-0.84997287375215214</v>
      </c>
      <c r="N578" s="191">
        <v>-1.6414908500332299</v>
      </c>
      <c r="O578" s="191">
        <v>-2.3915506341225301</v>
      </c>
      <c r="P578" s="191">
        <v>-0.65531464971066899</v>
      </c>
      <c r="Q578" s="191">
        <v>-0.86844475997422799</v>
      </c>
      <c r="R578" s="191">
        <v>2.7471991029133901E-2</v>
      </c>
      <c r="T578" s="46">
        <v>9</v>
      </c>
      <c r="U578" s="53"/>
      <c r="V578" s="47"/>
      <c r="W578" s="47" t="s">
        <v>548</v>
      </c>
      <c r="X578" s="47" t="s">
        <v>560</v>
      </c>
      <c r="Y578" s="58" t="s">
        <v>525</v>
      </c>
      <c r="Z578" s="193" t="s">
        <v>525</v>
      </c>
      <c r="AB578" s="3" t="s">
        <v>526</v>
      </c>
      <c r="AC578" s="125">
        <v>0.72499999999999998</v>
      </c>
      <c r="AD578" s="3">
        <v>0</v>
      </c>
      <c r="AE578" s="3"/>
      <c r="AF578" s="3"/>
      <c r="AG578" s="3"/>
    </row>
    <row r="579" spans="6:33">
      <c r="F579" s="372">
        <v>7</v>
      </c>
      <c r="G579" s="373" t="s">
        <v>10157</v>
      </c>
      <c r="H579" s="6" t="s">
        <v>238</v>
      </c>
      <c r="I579" s="136" t="s">
        <v>548</v>
      </c>
      <c r="J579" s="136" t="s">
        <v>557</v>
      </c>
      <c r="K579" s="191">
        <v>-2.7046544444444445</v>
      </c>
      <c r="L579" s="191">
        <v>0</v>
      </c>
      <c r="M579" s="191">
        <v>0</v>
      </c>
      <c r="N579" s="191">
        <v>0</v>
      </c>
      <c r="O579" s="191">
        <v>0</v>
      </c>
      <c r="P579" s="191">
        <v>-0.14432885392200884</v>
      </c>
      <c r="Q579" s="191">
        <v>-9.2923153453211393E-2</v>
      </c>
      <c r="R579" s="191">
        <v>0.5425732106840383</v>
      </c>
      <c r="T579" s="46">
        <v>9</v>
      </c>
      <c r="U579" s="53"/>
      <c r="V579" s="47"/>
      <c r="W579" s="47" t="s">
        <v>548</v>
      </c>
      <c r="X579" s="47" t="s">
        <v>560</v>
      </c>
      <c r="Y579" s="58" t="s">
        <v>525</v>
      </c>
      <c r="Z579" s="193" t="s">
        <v>525</v>
      </c>
      <c r="AB579" s="3" t="s">
        <v>526</v>
      </c>
      <c r="AC579" s="125">
        <v>0.64600000000000002</v>
      </c>
      <c r="AD579" s="3">
        <v>0</v>
      </c>
      <c r="AE579" s="3"/>
      <c r="AF579" s="3" t="s">
        <v>526</v>
      </c>
      <c r="AG579" s="83">
        <v>0.5</v>
      </c>
    </row>
    <row r="580" spans="6:33" ht="28.8">
      <c r="F580" s="372">
        <v>7</v>
      </c>
      <c r="G580" s="373" t="s">
        <v>264</v>
      </c>
      <c r="H580" s="6" t="s">
        <v>10184</v>
      </c>
      <c r="I580" s="136" t="s">
        <v>548</v>
      </c>
      <c r="J580" s="136" t="s">
        <v>557</v>
      </c>
      <c r="K580" s="191">
        <v>-1.9287117500000002</v>
      </c>
      <c r="L580" s="191">
        <v>-1.1070613798500002</v>
      </c>
      <c r="M580" s="191">
        <v>0.15112249999999994</v>
      </c>
      <c r="N580" s="191">
        <v>0</v>
      </c>
      <c r="O580" s="191">
        <v>0</v>
      </c>
      <c r="P580" s="191">
        <v>-0.34905933412625972</v>
      </c>
      <c r="Q580" s="191">
        <v>-0.51727833021507164</v>
      </c>
      <c r="R580" s="191">
        <v>0.45991772694287147</v>
      </c>
      <c r="T580" s="46">
        <v>9</v>
      </c>
      <c r="U580" s="53"/>
      <c r="V580" s="47"/>
      <c r="W580" s="47" t="s">
        <v>548</v>
      </c>
      <c r="X580" s="47" t="s">
        <v>560</v>
      </c>
      <c r="Y580" s="58" t="s">
        <v>525</v>
      </c>
      <c r="Z580" s="193" t="s">
        <v>525</v>
      </c>
      <c r="AB580" s="3" t="s">
        <v>526</v>
      </c>
      <c r="AC580" s="125">
        <v>0.72499999999999998</v>
      </c>
      <c r="AD580" s="3">
        <v>0.14482945764999999</v>
      </c>
      <c r="AE580" s="3" t="s">
        <v>541</v>
      </c>
      <c r="AF580" s="3"/>
      <c r="AG580" s="3"/>
    </row>
    <row r="581" spans="6:33">
      <c r="F581" s="372">
        <v>7</v>
      </c>
      <c r="G581" s="373" t="s">
        <v>264</v>
      </c>
      <c r="H581" s="6" t="s">
        <v>336</v>
      </c>
      <c r="I581" s="136" t="s">
        <v>548</v>
      </c>
      <c r="J581" s="136" t="s">
        <v>557</v>
      </c>
      <c r="K581" s="191">
        <v>-0.76351350000000007</v>
      </c>
      <c r="L581" s="191">
        <v>-0.34968251735000005</v>
      </c>
      <c r="M581" s="191">
        <v>0</v>
      </c>
      <c r="N581" s="191">
        <v>-1.64845660766307</v>
      </c>
      <c r="O581" s="191">
        <v>-2.6275101998635302</v>
      </c>
      <c r="P581" s="191">
        <v>-1.0014959043580705</v>
      </c>
      <c r="Q581" s="191">
        <v>-0.75339312488848831</v>
      </c>
      <c r="R581" s="191">
        <v>0.21053984402956388</v>
      </c>
      <c r="T581" s="46">
        <v>9</v>
      </c>
      <c r="U581" s="53" t="s">
        <v>330</v>
      </c>
      <c r="V581" s="47" t="s">
        <v>330</v>
      </c>
      <c r="W581" s="47" t="s">
        <v>548</v>
      </c>
      <c r="X581" s="47" t="s">
        <v>560</v>
      </c>
      <c r="Y581" s="58">
        <v>0.14119999999999999</v>
      </c>
      <c r="Z581" s="193">
        <v>0.43014000000000002</v>
      </c>
      <c r="AB581" s="3"/>
      <c r="AC581" s="3"/>
      <c r="AD581" s="3"/>
      <c r="AE581" s="3"/>
      <c r="AF581" s="3"/>
      <c r="AG581" s="3"/>
    </row>
    <row r="582" spans="6:33">
      <c r="F582" s="372">
        <v>7</v>
      </c>
      <c r="G582" s="373" t="s">
        <v>242</v>
      </c>
      <c r="H582" s="6" t="s">
        <v>251</v>
      </c>
      <c r="I582" s="136" t="s">
        <v>548</v>
      </c>
      <c r="J582" s="136" t="s">
        <v>557</v>
      </c>
      <c r="K582" s="191">
        <v>-4.9218200000000003</v>
      </c>
      <c r="L582" s="191">
        <v>-3.5665477000000001</v>
      </c>
      <c r="M582" s="191">
        <v>-1.2190350000000001</v>
      </c>
      <c r="N582" s="191">
        <v>0</v>
      </c>
      <c r="O582" s="191">
        <v>0</v>
      </c>
      <c r="P582" s="191">
        <v>2.5960616096945159E-2</v>
      </c>
      <c r="Q582" s="191">
        <v>0.19484109381622955</v>
      </c>
      <c r="R582" s="191">
        <v>0.84734387889574292</v>
      </c>
      <c r="T582" s="46">
        <v>9</v>
      </c>
      <c r="U582" s="53" t="s">
        <v>330</v>
      </c>
      <c r="V582" s="47" t="s">
        <v>335</v>
      </c>
      <c r="W582" s="47" t="s">
        <v>548</v>
      </c>
      <c r="X582" s="47" t="s">
        <v>560</v>
      </c>
      <c r="Y582" s="58">
        <v>0.26272000000000001</v>
      </c>
      <c r="Z582" s="193">
        <v>0.43014000000000002</v>
      </c>
      <c r="AB582" s="3"/>
      <c r="AC582" s="3"/>
      <c r="AD582" s="3"/>
      <c r="AE582" s="3"/>
      <c r="AF582" s="3"/>
      <c r="AG582" s="3"/>
    </row>
    <row r="583" spans="6:33">
      <c r="F583" s="372">
        <v>7</v>
      </c>
      <c r="G583" s="373" t="s">
        <v>242</v>
      </c>
      <c r="H583" s="6" t="s">
        <v>543</v>
      </c>
      <c r="I583" s="136" t="s">
        <v>548</v>
      </c>
      <c r="J583" s="136" t="s">
        <v>557</v>
      </c>
      <c r="K583" s="191">
        <v>-1.00081</v>
      </c>
      <c r="L583" s="191">
        <v>-0.72381545000000003</v>
      </c>
      <c r="M583" s="191">
        <v>-0.20626249999999999</v>
      </c>
      <c r="N583" s="191">
        <v>0</v>
      </c>
      <c r="O583" s="191">
        <v>0</v>
      </c>
      <c r="P583" s="191">
        <v>2.5860000000000001E-2</v>
      </c>
      <c r="Q583" s="191">
        <v>4.1574329443250999E-2</v>
      </c>
      <c r="R583" s="191">
        <v>4.8919275480954698E-2</v>
      </c>
      <c r="T583" s="46">
        <v>9</v>
      </c>
      <c r="U583" s="53" t="s">
        <v>330</v>
      </c>
      <c r="V583" s="47" t="s">
        <v>326</v>
      </c>
      <c r="W583" s="47" t="s">
        <v>548</v>
      </c>
      <c r="X583" s="47" t="s">
        <v>560</v>
      </c>
      <c r="Y583" s="58">
        <v>0.14119999999999999</v>
      </c>
      <c r="Z583" s="193">
        <v>0.43014000000000002</v>
      </c>
      <c r="AB583" s="3"/>
      <c r="AC583" s="3"/>
      <c r="AD583" s="3"/>
      <c r="AE583" s="3"/>
      <c r="AF583" s="3"/>
      <c r="AG583" s="3"/>
    </row>
    <row r="584" spans="6:33">
      <c r="F584" s="372">
        <v>7</v>
      </c>
      <c r="G584" s="373" t="s">
        <v>264</v>
      </c>
      <c r="H584" s="6" t="s">
        <v>544</v>
      </c>
      <c r="I584" s="136" t="s">
        <v>548</v>
      </c>
      <c r="J584" s="136" t="s">
        <v>557</v>
      </c>
      <c r="K584" s="191">
        <v>-3.0939100000000002</v>
      </c>
      <c r="L584" s="191">
        <v>-1.8644402423500002</v>
      </c>
      <c r="M584" s="191">
        <v>0.15112249999999994</v>
      </c>
      <c r="N584" s="191">
        <v>0</v>
      </c>
      <c r="O584" s="191">
        <v>0</v>
      </c>
      <c r="P584" s="191">
        <v>0.30337723610555101</v>
      </c>
      <c r="Q584" s="191">
        <v>-0.28116353554165502</v>
      </c>
      <c r="R584" s="191">
        <v>0.70929560985617901</v>
      </c>
      <c r="T584" s="46">
        <v>9</v>
      </c>
      <c r="U584" s="53" t="s">
        <v>529</v>
      </c>
      <c r="V584" s="47" t="s">
        <v>529</v>
      </c>
      <c r="W584" s="47" t="s">
        <v>548</v>
      </c>
      <c r="X584" s="47" t="s">
        <v>560</v>
      </c>
      <c r="Y584" s="58">
        <v>4.72241</v>
      </c>
      <c r="Z584" s="193">
        <v>1.758</v>
      </c>
      <c r="AB584" s="3" t="s">
        <v>526</v>
      </c>
      <c r="AC584" s="125">
        <v>0.77500000000000002</v>
      </c>
      <c r="AD584" s="3">
        <v>0</v>
      </c>
      <c r="AE584" s="3" t="s">
        <v>527</v>
      </c>
      <c r="AF584" s="3"/>
      <c r="AG584" s="3"/>
    </row>
    <row r="585" spans="6:33">
      <c r="F585" s="372">
        <v>7</v>
      </c>
      <c r="G585" s="373" t="s">
        <v>10157</v>
      </c>
      <c r="H585" s="6" t="s">
        <v>545</v>
      </c>
      <c r="I585" s="136" t="s">
        <v>548</v>
      </c>
      <c r="J585" s="136" t="s">
        <v>557</v>
      </c>
      <c r="K585" s="191">
        <v>-2.8533815875203707</v>
      </c>
      <c r="L585" s="191">
        <v>0</v>
      </c>
      <c r="M585" s="191">
        <v>0</v>
      </c>
      <c r="N585" s="191">
        <v>0</v>
      </c>
      <c r="O585" s="191">
        <v>0</v>
      </c>
      <c r="P585" s="191">
        <v>-0.47219559927819021</v>
      </c>
      <c r="Q585" s="191">
        <v>-0.55722809232586346</v>
      </c>
      <c r="R585" s="191">
        <v>2.796932846020686E-2</v>
      </c>
      <c r="T585" s="46">
        <v>9</v>
      </c>
      <c r="U585" s="53" t="s">
        <v>529</v>
      </c>
      <c r="V585" s="47" t="s">
        <v>327</v>
      </c>
      <c r="W585" s="47" t="s">
        <v>548</v>
      </c>
      <c r="X585" s="47" t="s">
        <v>560</v>
      </c>
      <c r="Y585" s="58">
        <v>0.25034000000000001</v>
      </c>
      <c r="Z585" s="193">
        <v>0.99672000000000005</v>
      </c>
      <c r="AB585" s="3" t="s">
        <v>526</v>
      </c>
      <c r="AC585" s="125">
        <v>0.77500000000000002</v>
      </c>
      <c r="AD585" s="3">
        <v>0</v>
      </c>
      <c r="AE585" s="3" t="s">
        <v>527</v>
      </c>
      <c r="AF585" s="3"/>
      <c r="AG585" s="3"/>
    </row>
    <row r="586" spans="6:33" ht="28.8">
      <c r="F586" s="370">
        <v>7</v>
      </c>
      <c r="G586" s="137" t="s">
        <v>10169</v>
      </c>
      <c r="H586" s="136" t="s">
        <v>10170</v>
      </c>
      <c r="I586" s="136" t="s">
        <v>548</v>
      </c>
      <c r="J586" s="136" t="s">
        <v>557</v>
      </c>
      <c r="K586" s="191">
        <v>-0.74582333333333339</v>
      </c>
      <c r="L586" s="191">
        <v>-0.58351400000000009</v>
      </c>
      <c r="M586" s="191">
        <v>0.3259926084346883</v>
      </c>
      <c r="N586" s="191">
        <v>0</v>
      </c>
      <c r="O586" s="191">
        <v>0</v>
      </c>
      <c r="P586" s="191">
        <v>0.45668176288049178</v>
      </c>
      <c r="Q586" s="191">
        <v>1.0683983533052401</v>
      </c>
      <c r="R586" s="191">
        <v>1.142290877337675</v>
      </c>
      <c r="T586" s="46">
        <v>9</v>
      </c>
      <c r="U586" s="53" t="s">
        <v>529</v>
      </c>
      <c r="V586" s="47" t="s">
        <v>331</v>
      </c>
      <c r="W586" s="47" t="s">
        <v>548</v>
      </c>
      <c r="X586" s="47" t="s">
        <v>560</v>
      </c>
      <c r="Y586" s="58">
        <v>9.1944800000000004</v>
      </c>
      <c r="Z586" s="193">
        <v>2.5192800000000002</v>
      </c>
      <c r="AB586" s="3" t="s">
        <v>526</v>
      </c>
      <c r="AC586" s="125">
        <v>0.77500000000000002</v>
      </c>
      <c r="AD586" s="3">
        <v>0</v>
      </c>
      <c r="AE586" s="3" t="s">
        <v>527</v>
      </c>
      <c r="AF586" s="3"/>
      <c r="AG586" s="3"/>
    </row>
    <row r="587" spans="6:33" ht="28.8">
      <c r="F587" s="372">
        <v>9</v>
      </c>
      <c r="G587" s="373" t="s">
        <v>233</v>
      </c>
      <c r="H587" s="6" t="s">
        <v>10178</v>
      </c>
      <c r="I587" s="136" t="s">
        <v>548</v>
      </c>
      <c r="J587" s="136" t="s">
        <v>560</v>
      </c>
      <c r="K587" s="191">
        <v>0</v>
      </c>
      <c r="L587" s="191">
        <v>-0.13905086666666666</v>
      </c>
      <c r="M587" s="191">
        <v>0</v>
      </c>
      <c r="N587" s="191">
        <v>-1.4465894834512829</v>
      </c>
      <c r="O587" s="191">
        <v>-2.0518320374194028</v>
      </c>
      <c r="P587" s="191">
        <v>-1.0147705387647499</v>
      </c>
      <c r="Q587" s="191">
        <v>-0.89855534672062864</v>
      </c>
      <c r="R587" s="191">
        <v>3.3141729514906244E-2</v>
      </c>
      <c r="T587" s="46">
        <v>9</v>
      </c>
      <c r="U587" s="53" t="s">
        <v>529</v>
      </c>
      <c r="V587" s="47" t="s">
        <v>332</v>
      </c>
      <c r="W587" s="47" t="s">
        <v>548</v>
      </c>
      <c r="X587" s="47" t="s">
        <v>560</v>
      </c>
      <c r="Y587" s="58">
        <v>2.5034000000000001</v>
      </c>
      <c r="Z587" s="193">
        <v>1.0183800000000001</v>
      </c>
      <c r="AB587" s="3" t="s">
        <v>526</v>
      </c>
      <c r="AC587" s="83">
        <v>0.5</v>
      </c>
      <c r="AD587" s="3">
        <v>0</v>
      </c>
      <c r="AE587" s="3" t="s">
        <v>528</v>
      </c>
      <c r="AF587" s="3"/>
      <c r="AG587" s="3"/>
    </row>
    <row r="588" spans="6:33">
      <c r="F588" s="372">
        <v>9</v>
      </c>
      <c r="G588" s="373" t="s">
        <v>233</v>
      </c>
      <c r="H588" s="6" t="s">
        <v>250</v>
      </c>
      <c r="I588" s="136" t="s">
        <v>548</v>
      </c>
      <c r="J588" s="136" t="s">
        <v>560</v>
      </c>
      <c r="K588" s="191">
        <v>0</v>
      </c>
      <c r="L588" s="191">
        <v>0</v>
      </c>
      <c r="M588" s="191">
        <v>0</v>
      </c>
      <c r="N588" s="191">
        <v>-1.7444456193798099</v>
      </c>
      <c r="O588" s="191">
        <v>-2.15133317426544</v>
      </c>
      <c r="P588" s="191">
        <v>-1.04606619673112</v>
      </c>
      <c r="Q588" s="191">
        <v>-0.96248112856352697</v>
      </c>
      <c r="R588" s="191">
        <v>2.8432661136951001E-2</v>
      </c>
      <c r="T588" s="46">
        <v>9</v>
      </c>
      <c r="U588" s="53" t="s">
        <v>252</v>
      </c>
      <c r="V588" s="47" t="s">
        <v>252</v>
      </c>
      <c r="W588" s="47" t="s">
        <v>548</v>
      </c>
      <c r="X588" s="47" t="s">
        <v>560</v>
      </c>
      <c r="Y588" s="58">
        <v>2.0953266666666663</v>
      </c>
      <c r="Z588" s="193">
        <v>1.77911</v>
      </c>
      <c r="AB588" s="3" t="s">
        <v>526</v>
      </c>
      <c r="AC588" s="83">
        <v>0.5</v>
      </c>
      <c r="AD588" s="3">
        <v>0</v>
      </c>
      <c r="AE588" s="3" t="s">
        <v>528</v>
      </c>
      <c r="AF588" s="3"/>
      <c r="AG588" s="3"/>
    </row>
    <row r="589" spans="6:33" ht="28.8">
      <c r="F589" s="372">
        <v>9</v>
      </c>
      <c r="G589" s="373" t="s">
        <v>233</v>
      </c>
      <c r="H589" s="6" t="s">
        <v>249</v>
      </c>
      <c r="I589" s="136" t="s">
        <v>548</v>
      </c>
      <c r="J589" s="136" t="s">
        <v>560</v>
      </c>
      <c r="K589" s="191">
        <v>0</v>
      </c>
      <c r="L589" s="191">
        <v>0</v>
      </c>
      <c r="M589" s="191">
        <v>0</v>
      </c>
      <c r="N589" s="191">
        <v>-0.54331576734213405</v>
      </c>
      <c r="O589" s="191">
        <v>-0.74737584322559403</v>
      </c>
      <c r="P589" s="191">
        <v>1.6397822488806901E-2</v>
      </c>
      <c r="Q589" s="191">
        <v>-0.20437765258346099</v>
      </c>
      <c r="R589" s="191">
        <v>2.57537679946644E-2</v>
      </c>
      <c r="T589" s="46">
        <v>9</v>
      </c>
      <c r="U589" s="53" t="s">
        <v>252</v>
      </c>
      <c r="V589" s="47" t="s">
        <v>253</v>
      </c>
      <c r="W589" s="47" t="s">
        <v>548</v>
      </c>
      <c r="X589" s="47" t="s">
        <v>560</v>
      </c>
      <c r="Y589" s="58">
        <v>2.04928</v>
      </c>
      <c r="Z589" s="193">
        <v>1.77911</v>
      </c>
      <c r="AB589" s="3"/>
      <c r="AC589" s="3"/>
      <c r="AD589" s="3"/>
      <c r="AE589" s="3"/>
      <c r="AF589" s="3"/>
      <c r="AG589" s="3"/>
    </row>
    <row r="590" spans="6:33">
      <c r="F590" s="372">
        <v>9</v>
      </c>
      <c r="G590" s="373" t="s">
        <v>233</v>
      </c>
      <c r="H590" s="6" t="s">
        <v>273</v>
      </c>
      <c r="I590" s="136" t="s">
        <v>548</v>
      </c>
      <c r="J590" s="136" t="s">
        <v>560</v>
      </c>
      <c r="K590" s="191">
        <v>0</v>
      </c>
      <c r="L590" s="191">
        <v>0</v>
      </c>
      <c r="M590" s="191">
        <v>0</v>
      </c>
      <c r="N590" s="191">
        <v>-1.64839534351149</v>
      </c>
      <c r="O590" s="191">
        <v>-2.10125708841294</v>
      </c>
      <c r="P590" s="191">
        <v>-0.80535595368464596</v>
      </c>
      <c r="Q590" s="191">
        <v>-0.93480761976751403</v>
      </c>
      <c r="R590" s="191">
        <v>2.7208628075733401E-2</v>
      </c>
      <c r="T590" s="46">
        <v>9</v>
      </c>
      <c r="U590" s="53" t="s">
        <v>252</v>
      </c>
      <c r="V590" s="47" t="s">
        <v>328</v>
      </c>
      <c r="W590" s="47" t="s">
        <v>548</v>
      </c>
      <c r="X590" s="47" t="s">
        <v>560</v>
      </c>
      <c r="Y590" s="58">
        <v>2.3231199999999999</v>
      </c>
      <c r="Z590" s="193">
        <v>1.77911</v>
      </c>
      <c r="AB590" s="3" t="s">
        <v>526</v>
      </c>
      <c r="AC590" s="125">
        <v>0.77500000000000002</v>
      </c>
      <c r="AD590" s="3">
        <v>8.1306407300000008E-2</v>
      </c>
      <c r="AE590" s="3" t="s">
        <v>531</v>
      </c>
      <c r="AF590" s="3" t="s">
        <v>526</v>
      </c>
      <c r="AG590" s="83">
        <v>0.85</v>
      </c>
    </row>
    <row r="591" spans="6:33">
      <c r="F591" s="372">
        <v>9</v>
      </c>
      <c r="G591" s="373" t="s">
        <v>233</v>
      </c>
      <c r="H591" s="6" t="s">
        <v>330</v>
      </c>
      <c r="I591" s="136" t="s">
        <v>548</v>
      </c>
      <c r="J591" s="136" t="s">
        <v>560</v>
      </c>
      <c r="K591" s="191">
        <v>-0.14119999999999999</v>
      </c>
      <c r="L591" s="191">
        <v>-0.1076582</v>
      </c>
      <c r="M591" s="191">
        <v>0</v>
      </c>
      <c r="N591" s="191">
        <v>0</v>
      </c>
      <c r="O591" s="191">
        <v>0</v>
      </c>
      <c r="P591" s="191">
        <v>-1.4821654588029001</v>
      </c>
      <c r="Q591" s="191">
        <v>-1.0885323543921701</v>
      </c>
      <c r="R591" s="191">
        <v>5.3036830153930299E-2</v>
      </c>
      <c r="T591" s="46">
        <v>9</v>
      </c>
      <c r="U591" s="53" t="s">
        <v>252</v>
      </c>
      <c r="V591" s="47" t="s">
        <v>254</v>
      </c>
      <c r="W591" s="47" t="s">
        <v>548</v>
      </c>
      <c r="X591" s="47" t="s">
        <v>560</v>
      </c>
      <c r="Y591" s="58">
        <v>2.1485799999999999</v>
      </c>
      <c r="Z591" s="193">
        <v>1.77911</v>
      </c>
      <c r="AB591" s="3" t="s">
        <v>526</v>
      </c>
      <c r="AC591" s="125">
        <v>0.77500000000000002</v>
      </c>
      <c r="AD591" s="3">
        <v>8.1306407300000008E-2</v>
      </c>
      <c r="AE591" s="3" t="s">
        <v>531</v>
      </c>
      <c r="AF591" s="3" t="s">
        <v>526</v>
      </c>
      <c r="AG591" s="83">
        <v>0.7</v>
      </c>
    </row>
    <row r="592" spans="6:33">
      <c r="F592" s="372">
        <v>9</v>
      </c>
      <c r="G592" s="373" t="s">
        <v>233</v>
      </c>
      <c r="H592" s="6" t="s">
        <v>335</v>
      </c>
      <c r="I592" s="136" t="s">
        <v>548</v>
      </c>
      <c r="J592" s="136" t="s">
        <v>560</v>
      </c>
      <c r="K592" s="191">
        <v>-0.26272000000000001</v>
      </c>
      <c r="L592" s="191">
        <v>-0.20183620000000002</v>
      </c>
      <c r="M592" s="191">
        <v>0</v>
      </c>
      <c r="N592" s="191">
        <v>-1.64839534351149</v>
      </c>
      <c r="O592" s="191">
        <v>-2.6295970405965199</v>
      </c>
      <c r="P592" s="191">
        <v>-1.3857167229293199</v>
      </c>
      <c r="Q592" s="191">
        <v>-1.10056666250855</v>
      </c>
      <c r="R592" s="191">
        <v>3.2209244864079202E-2</v>
      </c>
      <c r="T592" s="46">
        <v>9</v>
      </c>
      <c r="U592" s="53" t="s">
        <v>252</v>
      </c>
      <c r="V592" s="47" t="s">
        <v>532</v>
      </c>
      <c r="W592" s="47" t="s">
        <v>548</v>
      </c>
      <c r="X592" s="47" t="s">
        <v>560</v>
      </c>
      <c r="Y592" s="58">
        <v>1.9492499999999999</v>
      </c>
      <c r="Z592" s="193">
        <v>1.77911</v>
      </c>
      <c r="AB592" s="3"/>
      <c r="AC592" s="3"/>
      <c r="AD592" s="3"/>
      <c r="AE592" s="3"/>
      <c r="AF592" s="3" t="s">
        <v>526</v>
      </c>
      <c r="AG592" s="83">
        <v>0.8</v>
      </c>
    </row>
    <row r="593" spans="6:33">
      <c r="F593" s="372">
        <v>9</v>
      </c>
      <c r="G593" s="373" t="s">
        <v>233</v>
      </c>
      <c r="H593" s="6" t="s">
        <v>326</v>
      </c>
      <c r="I593" s="136" t="s">
        <v>548</v>
      </c>
      <c r="J593" s="136" t="s">
        <v>560</v>
      </c>
      <c r="K593" s="191">
        <v>-0.14119999999999999</v>
      </c>
      <c r="L593" s="191">
        <v>-0.1076582</v>
      </c>
      <c r="M593" s="191">
        <v>0</v>
      </c>
      <c r="N593" s="191">
        <v>-1.64839534351149</v>
      </c>
      <c r="O593" s="191">
        <v>-2.6295970405965199</v>
      </c>
      <c r="P593" s="191">
        <v>-1.3857167229293199</v>
      </c>
      <c r="Q593" s="191">
        <v>-1.10056666250855</v>
      </c>
      <c r="R593" s="191">
        <v>3.2209244864079202E-2</v>
      </c>
      <c r="T593" s="46">
        <v>9</v>
      </c>
      <c r="U593" s="53" t="s">
        <v>252</v>
      </c>
      <c r="V593" s="47" t="s">
        <v>245</v>
      </c>
      <c r="W593" s="47" t="s">
        <v>548</v>
      </c>
      <c r="X593" s="47" t="s">
        <v>560</v>
      </c>
      <c r="Y593" s="58">
        <v>2.0269300000000001</v>
      </c>
      <c r="Z593" s="193">
        <v>1.77911</v>
      </c>
      <c r="AB593" s="3" t="s">
        <v>526</v>
      </c>
      <c r="AC593" s="125">
        <v>0.77500000000000002</v>
      </c>
      <c r="AD593" s="3">
        <v>8.1306407300000008E-2</v>
      </c>
      <c r="AE593" s="3" t="s">
        <v>531</v>
      </c>
      <c r="AF593" s="3" t="s">
        <v>526</v>
      </c>
      <c r="AG593" s="83">
        <v>0.7</v>
      </c>
    </row>
    <row r="594" spans="6:33">
      <c r="F594" s="372">
        <v>9</v>
      </c>
      <c r="G594" s="373" t="s">
        <v>261</v>
      </c>
      <c r="H594" s="6" t="s">
        <v>10179</v>
      </c>
      <c r="I594" s="136" t="s">
        <v>548</v>
      </c>
      <c r="J594" s="136" t="s">
        <v>560</v>
      </c>
      <c r="K594" s="191">
        <v>-4.72241</v>
      </c>
      <c r="L594" s="191">
        <v>-2.3594331999999998</v>
      </c>
      <c r="M594" s="191">
        <v>0</v>
      </c>
      <c r="N594" s="191">
        <v>-0.36338662684963602</v>
      </c>
      <c r="O594" s="191">
        <v>-0.6028485363299616</v>
      </c>
      <c r="P594" s="191">
        <v>0.13199672782830352</v>
      </c>
      <c r="Q594" s="191">
        <v>-0.18858165962512602</v>
      </c>
      <c r="R594" s="191">
        <v>2.5407116323640601E-2</v>
      </c>
      <c r="T594" s="46">
        <v>9</v>
      </c>
      <c r="U594" s="53" t="s">
        <v>252</v>
      </c>
      <c r="V594" s="47" t="s">
        <v>533</v>
      </c>
      <c r="W594" s="47" t="s">
        <v>548</v>
      </c>
      <c r="X594" s="47" t="s">
        <v>560</v>
      </c>
      <c r="Y594" s="58">
        <v>2.0748000000000002</v>
      </c>
      <c r="Z594" s="193">
        <v>1.77911</v>
      </c>
      <c r="AB594" s="3"/>
      <c r="AC594" s="3"/>
      <c r="AD594" s="3"/>
      <c r="AE594" s="3"/>
      <c r="AF594" s="3"/>
      <c r="AG594" s="83"/>
    </row>
    <row r="595" spans="6:33">
      <c r="F595" s="372">
        <v>9</v>
      </c>
      <c r="G595" s="373" t="s">
        <v>261</v>
      </c>
      <c r="H595" s="6" t="s">
        <v>269</v>
      </c>
      <c r="I595" s="136" t="s">
        <v>548</v>
      </c>
      <c r="J595" s="136" t="s">
        <v>560</v>
      </c>
      <c r="K595" s="191">
        <v>-0.25034000000000001</v>
      </c>
      <c r="L595" s="191">
        <v>-0.1233982</v>
      </c>
      <c r="M595" s="191">
        <v>0</v>
      </c>
      <c r="N595" s="191">
        <v>-0.30333658585129503</v>
      </c>
      <c r="O595" s="191">
        <v>-0.51195410091665805</v>
      </c>
      <c r="P595" s="191">
        <v>0.16379494601613701</v>
      </c>
      <c r="Q595" s="191">
        <v>-0.13067934396277101</v>
      </c>
      <c r="R595" s="191">
        <v>2.5084955533146901E-2</v>
      </c>
      <c r="T595" s="46">
        <v>9</v>
      </c>
      <c r="U595" s="53" t="s">
        <v>242</v>
      </c>
      <c r="V595" s="47" t="s">
        <v>242</v>
      </c>
      <c r="W595" s="47" t="s">
        <v>548</v>
      </c>
      <c r="X595" s="47" t="s">
        <v>560</v>
      </c>
      <c r="Y595" s="58">
        <v>38.486130000000003</v>
      </c>
      <c r="Z595" s="193">
        <v>0.20843</v>
      </c>
      <c r="AB595" s="3" t="s">
        <v>526</v>
      </c>
      <c r="AC595" s="125">
        <v>0.77500000000000002</v>
      </c>
      <c r="AD595" s="3">
        <v>8.1306407300000008E-2</v>
      </c>
      <c r="AE595" s="3" t="s">
        <v>531</v>
      </c>
      <c r="AF595" s="3"/>
      <c r="AG595" s="3"/>
    </row>
    <row r="596" spans="6:33" ht="28.8">
      <c r="F596" s="372">
        <v>9</v>
      </c>
      <c r="G596" s="373" t="s">
        <v>261</v>
      </c>
      <c r="H596" s="6" t="s">
        <v>530</v>
      </c>
      <c r="I596" s="136" t="s">
        <v>548</v>
      </c>
      <c r="J596" s="136" t="s">
        <v>560</v>
      </c>
      <c r="K596" s="191">
        <v>-9.1944800000000004</v>
      </c>
      <c r="L596" s="191">
        <v>-4.5954682</v>
      </c>
      <c r="M596" s="191">
        <v>0</v>
      </c>
      <c r="N596" s="191">
        <v>-0.42343666784797701</v>
      </c>
      <c r="O596" s="191">
        <v>-0.69374297174326505</v>
      </c>
      <c r="P596" s="191">
        <v>0.10019850964047</v>
      </c>
      <c r="Q596" s="191">
        <v>-0.24648397528748101</v>
      </c>
      <c r="R596" s="191">
        <v>2.5729277114134301E-2</v>
      </c>
      <c r="T596" s="46">
        <v>9</v>
      </c>
      <c r="U596" s="53" t="s">
        <v>242</v>
      </c>
      <c r="V596" s="47" t="s">
        <v>242</v>
      </c>
      <c r="W596" s="47" t="s">
        <v>548</v>
      </c>
      <c r="X596" s="47" t="s">
        <v>560</v>
      </c>
      <c r="Y596" s="58">
        <v>38.486130000000003</v>
      </c>
      <c r="Z596" s="193">
        <v>0.20843</v>
      </c>
      <c r="AB596" s="3" t="s">
        <v>526</v>
      </c>
      <c r="AC596" s="125">
        <v>0.72499999999999998</v>
      </c>
      <c r="AD596" s="3">
        <v>8.1306407300000008E-2</v>
      </c>
      <c r="AE596" s="3" t="s">
        <v>531</v>
      </c>
      <c r="AF596" s="3"/>
      <c r="AG596" s="3"/>
    </row>
    <row r="597" spans="6:33">
      <c r="F597" s="372">
        <v>9</v>
      </c>
      <c r="G597" s="373" t="s">
        <v>261</v>
      </c>
      <c r="H597" s="6" t="s">
        <v>262</v>
      </c>
      <c r="I597" s="136" t="s">
        <v>548</v>
      </c>
      <c r="J597" s="136" t="s">
        <v>560</v>
      </c>
      <c r="K597" s="191">
        <v>-2.5034000000000001</v>
      </c>
      <c r="L597" s="191">
        <v>0</v>
      </c>
      <c r="M597" s="191">
        <v>0</v>
      </c>
      <c r="N597" s="191">
        <v>-0.42343666784797701</v>
      </c>
      <c r="O597" s="191">
        <v>-0.69374297174326505</v>
      </c>
      <c r="P597" s="191">
        <v>0.10019850964047</v>
      </c>
      <c r="Q597" s="191">
        <v>-0.24648397528748101</v>
      </c>
      <c r="R597" s="191">
        <v>2.5729277114134301E-2</v>
      </c>
      <c r="T597" s="46">
        <v>9</v>
      </c>
      <c r="U597" s="53" t="s">
        <v>242</v>
      </c>
      <c r="V597" s="47" t="s">
        <v>534</v>
      </c>
      <c r="W597" s="47" t="s">
        <v>548</v>
      </c>
      <c r="X597" s="47" t="s">
        <v>560</v>
      </c>
      <c r="Y597" s="58">
        <v>15.0122</v>
      </c>
      <c r="Z597" s="193">
        <v>0.37092000000000003</v>
      </c>
      <c r="AB597" s="3" t="s">
        <v>526</v>
      </c>
      <c r="AC597" s="125">
        <v>0.72499999999999998</v>
      </c>
      <c r="AD597" s="3">
        <v>8.1306407300000008E-2</v>
      </c>
      <c r="AE597" s="3" t="s">
        <v>531</v>
      </c>
      <c r="AF597" s="3"/>
      <c r="AG597" s="3"/>
    </row>
    <row r="598" spans="6:33">
      <c r="F598" s="372">
        <v>9</v>
      </c>
      <c r="G598" s="373" t="s">
        <v>252</v>
      </c>
      <c r="H598" s="6" t="s">
        <v>10180</v>
      </c>
      <c r="I598" s="136" t="s">
        <v>548</v>
      </c>
      <c r="J598" s="136" t="s">
        <v>560</v>
      </c>
      <c r="K598" s="191">
        <v>-2.0953266666666663</v>
      </c>
      <c r="L598" s="191">
        <v>-1.5407999593666664</v>
      </c>
      <c r="M598" s="191">
        <v>-4.4028601931708895</v>
      </c>
      <c r="N598" s="191">
        <v>0</v>
      </c>
      <c r="O598" s="191">
        <v>0</v>
      </c>
      <c r="P598" s="191">
        <v>2.60314971252869E-2</v>
      </c>
      <c r="Q598" s="191">
        <v>0.54079132808039498</v>
      </c>
      <c r="R598" s="191">
        <v>2.1870256217784201</v>
      </c>
      <c r="T598" s="46">
        <v>9</v>
      </c>
      <c r="U598" s="53" t="s">
        <v>239</v>
      </c>
      <c r="V598" s="47" t="s">
        <v>239</v>
      </c>
      <c r="W598" s="47" t="s">
        <v>548</v>
      </c>
      <c r="X598" s="47" t="s">
        <v>560</v>
      </c>
      <c r="Y598" s="58">
        <v>2.6644477777777777</v>
      </c>
      <c r="Z598" s="193">
        <v>0.64099666666666666</v>
      </c>
      <c r="AB598" s="3" t="s">
        <v>526</v>
      </c>
      <c r="AC598" s="125">
        <v>0.64600000000000002</v>
      </c>
      <c r="AD598" s="3">
        <v>8.1306407300000008E-2</v>
      </c>
      <c r="AE598" s="3" t="s">
        <v>531</v>
      </c>
      <c r="AF598" s="3" t="s">
        <v>526</v>
      </c>
      <c r="AG598" s="83">
        <v>0.8</v>
      </c>
    </row>
    <row r="599" spans="6:33" ht="43.2">
      <c r="F599" s="372">
        <v>9</v>
      </c>
      <c r="G599" s="373" t="s">
        <v>252</v>
      </c>
      <c r="H599" s="6" t="s">
        <v>10163</v>
      </c>
      <c r="I599" s="136" t="s">
        <v>548</v>
      </c>
      <c r="J599" s="136" t="s">
        <v>560</v>
      </c>
      <c r="K599" s="191">
        <v>-2.04928</v>
      </c>
      <c r="L599" s="191">
        <v>0</v>
      </c>
      <c r="M599" s="191">
        <v>-3.8514877014554911</v>
      </c>
      <c r="N599" s="191">
        <v>0</v>
      </c>
      <c r="O599" s="191">
        <v>0</v>
      </c>
      <c r="P599" s="191">
        <v>2.6031494144332899E-2</v>
      </c>
      <c r="Q599" s="191">
        <v>0.34267872342502498</v>
      </c>
      <c r="R599" s="191">
        <v>3.1831778366839298</v>
      </c>
      <c r="T599" s="46">
        <v>9</v>
      </c>
      <c r="U599" s="53" t="s">
        <v>239</v>
      </c>
      <c r="V599" s="47" t="s">
        <v>324</v>
      </c>
      <c r="W599" s="47" t="s">
        <v>548</v>
      </c>
      <c r="X599" s="47" t="s">
        <v>560</v>
      </c>
      <c r="Y599" s="58">
        <v>1.66</v>
      </c>
      <c r="Z599" s="193">
        <v>0.13142999999999999</v>
      </c>
      <c r="AB599" s="3"/>
      <c r="AC599" s="3"/>
      <c r="AD599" s="3"/>
      <c r="AE599" s="3"/>
      <c r="AF599" s="3" t="s">
        <v>526</v>
      </c>
      <c r="AG599" s="83">
        <v>0.88</v>
      </c>
    </row>
    <row r="600" spans="6:33" ht="28.8">
      <c r="F600" s="372">
        <v>9</v>
      </c>
      <c r="G600" s="373" t="s">
        <v>252</v>
      </c>
      <c r="H600" s="6" t="s">
        <v>10164</v>
      </c>
      <c r="I600" s="136" t="s">
        <v>548</v>
      </c>
      <c r="J600" s="136" t="s">
        <v>560</v>
      </c>
      <c r="K600" s="191">
        <v>-2.3231199999999999</v>
      </c>
      <c r="L600" s="191">
        <v>0</v>
      </c>
      <c r="M600" s="191">
        <v>-4.5611966747680484</v>
      </c>
      <c r="N600" s="191">
        <v>0</v>
      </c>
      <c r="O600" s="191">
        <v>0</v>
      </c>
      <c r="P600" s="191">
        <v>2.6031494936346E-2</v>
      </c>
      <c r="Q600" s="191">
        <v>0.42632612137937798</v>
      </c>
      <c r="R600" s="191">
        <v>2.4956086901446199</v>
      </c>
      <c r="T600" s="46">
        <v>9</v>
      </c>
      <c r="U600" s="53" t="s">
        <v>239</v>
      </c>
      <c r="V600" s="47" t="s">
        <v>272</v>
      </c>
      <c r="W600" s="47" t="s">
        <v>548</v>
      </c>
      <c r="X600" s="47" t="s">
        <v>560</v>
      </c>
      <c r="Y600" s="58">
        <v>2.1278299999999999</v>
      </c>
      <c r="Z600" s="193">
        <v>1.2152400000000001</v>
      </c>
      <c r="AB600" s="3" t="s">
        <v>526</v>
      </c>
      <c r="AC600" s="125">
        <v>0.64600000000000002</v>
      </c>
      <c r="AD600" s="3">
        <v>8.1306407300000008E-2</v>
      </c>
      <c r="AE600" s="3" t="s">
        <v>531</v>
      </c>
      <c r="AF600" s="3" t="s">
        <v>526</v>
      </c>
      <c r="AG600" s="83">
        <v>0.8</v>
      </c>
    </row>
    <row r="601" spans="6:33" ht="28.8">
      <c r="F601" s="372">
        <v>9</v>
      </c>
      <c r="G601" s="373" t="s">
        <v>252</v>
      </c>
      <c r="H601" s="6" t="s">
        <v>10165</v>
      </c>
      <c r="I601" s="136" t="s">
        <v>548</v>
      </c>
      <c r="J601" s="136" t="s">
        <v>560</v>
      </c>
      <c r="K601" s="191">
        <v>-2.1485799999999999</v>
      </c>
      <c r="L601" s="191">
        <v>0</v>
      </c>
      <c r="M601" s="191">
        <v>-4.6375597216919706</v>
      </c>
      <c r="N601" s="191">
        <v>0</v>
      </c>
      <c r="O601" s="191">
        <v>0</v>
      </c>
      <c r="P601" s="191">
        <v>2.6031494144332999E-2</v>
      </c>
      <c r="Q601" s="191">
        <v>0.59493991385354505</v>
      </c>
      <c r="R601" s="191">
        <v>2.5363328137779999</v>
      </c>
      <c r="T601" s="46">
        <v>9</v>
      </c>
      <c r="U601" s="53" t="s">
        <v>239</v>
      </c>
      <c r="V601" s="47" t="s">
        <v>329</v>
      </c>
      <c r="W601" s="47" t="s">
        <v>548</v>
      </c>
      <c r="X601" s="47" t="s">
        <v>560</v>
      </c>
      <c r="Y601" s="58">
        <v>3.4792200000000002</v>
      </c>
      <c r="Z601" s="193">
        <v>1.0383</v>
      </c>
      <c r="AB601" s="3"/>
      <c r="AC601" s="3"/>
      <c r="AD601" s="3"/>
      <c r="AE601" s="3"/>
      <c r="AF601" s="3" t="s">
        <v>526</v>
      </c>
      <c r="AG601" s="83">
        <v>0.65</v>
      </c>
    </row>
    <row r="602" spans="6:33" ht="28.8">
      <c r="F602" s="372">
        <v>9</v>
      </c>
      <c r="G602" s="373" t="s">
        <v>252</v>
      </c>
      <c r="H602" s="6" t="s">
        <v>10166</v>
      </c>
      <c r="I602" s="136" t="s">
        <v>548</v>
      </c>
      <c r="J602" s="136" t="s">
        <v>560</v>
      </c>
      <c r="K602" s="191">
        <v>-1.9492499999999999</v>
      </c>
      <c r="L602" s="191">
        <v>0</v>
      </c>
      <c r="M602" s="191">
        <v>-4.5611966747680484</v>
      </c>
      <c r="N602" s="191">
        <v>0</v>
      </c>
      <c r="O602" s="191">
        <v>0</v>
      </c>
      <c r="P602" s="191">
        <v>2.6031494936346E-2</v>
      </c>
      <c r="Q602" s="191">
        <v>0.42632612137937798</v>
      </c>
      <c r="R602" s="191">
        <v>2.4956086901446199</v>
      </c>
      <c r="T602" s="46">
        <v>9</v>
      </c>
      <c r="U602" s="53" t="s">
        <v>239</v>
      </c>
      <c r="V602" s="47" t="s">
        <v>271</v>
      </c>
      <c r="W602" s="47" t="s">
        <v>548</v>
      </c>
      <c r="X602" s="47" t="s">
        <v>560</v>
      </c>
      <c r="Y602" s="58">
        <v>3.1045600000000002</v>
      </c>
      <c r="Z602" s="193">
        <v>0.12864</v>
      </c>
      <c r="AB602" s="3"/>
      <c r="AC602" s="3"/>
      <c r="AD602" s="3"/>
      <c r="AE602" s="3"/>
      <c r="AF602" s="3" t="s">
        <v>526</v>
      </c>
      <c r="AG602" s="83">
        <v>0.65</v>
      </c>
    </row>
    <row r="603" spans="6:33">
      <c r="F603" s="372">
        <v>9</v>
      </c>
      <c r="G603" s="373" t="s">
        <v>252</v>
      </c>
      <c r="H603" s="6" t="s">
        <v>10167</v>
      </c>
      <c r="I603" s="136" t="s">
        <v>548</v>
      </c>
      <c r="J603" s="136" t="s">
        <v>560</v>
      </c>
      <c r="K603" s="191">
        <v>-2.0269300000000001</v>
      </c>
      <c r="L603" s="191">
        <v>0</v>
      </c>
      <c r="M603" s="191">
        <v>0</v>
      </c>
      <c r="N603" s="191">
        <v>0</v>
      </c>
      <c r="O603" s="191">
        <v>0</v>
      </c>
      <c r="P603" s="191">
        <v>2.6031495053680302E-2</v>
      </c>
      <c r="Q603" s="191">
        <v>0.29483501584865401</v>
      </c>
      <c r="R603" s="191">
        <v>3.18336714658603</v>
      </c>
      <c r="T603" s="46">
        <v>9</v>
      </c>
      <c r="U603" s="53" t="s">
        <v>239</v>
      </c>
      <c r="V603" s="47" t="s">
        <v>535</v>
      </c>
      <c r="W603" s="47" t="s">
        <v>548</v>
      </c>
      <c r="X603" s="47" t="s">
        <v>560</v>
      </c>
      <c r="Y603" s="58">
        <v>3.1045600000000002</v>
      </c>
      <c r="Z603" s="193">
        <v>0.12864</v>
      </c>
      <c r="AB603" s="3"/>
      <c r="AC603" s="3"/>
      <c r="AD603" s="3"/>
      <c r="AE603" s="3"/>
      <c r="AF603" s="3" t="s">
        <v>526</v>
      </c>
      <c r="AG603" s="83">
        <v>0.65</v>
      </c>
    </row>
    <row r="604" spans="6:33">
      <c r="F604" s="372">
        <v>9</v>
      </c>
      <c r="G604" s="373" t="s">
        <v>252</v>
      </c>
      <c r="H604" s="6" t="s">
        <v>10168</v>
      </c>
      <c r="I604" s="136" t="s">
        <v>548</v>
      </c>
      <c r="J604" s="136" t="s">
        <v>560</v>
      </c>
      <c r="K604" s="191">
        <v>-2.0748000000000002</v>
      </c>
      <c r="L604" s="191">
        <v>0</v>
      </c>
      <c r="M604" s="191">
        <v>0</v>
      </c>
      <c r="N604" s="191">
        <v>0</v>
      </c>
      <c r="O604" s="191">
        <v>0</v>
      </c>
      <c r="P604" s="191">
        <v>2.6031489913278E-2</v>
      </c>
      <c r="Q604" s="191">
        <v>0.512084664433887</v>
      </c>
      <c r="R604" s="191">
        <v>3.0368309603358301</v>
      </c>
      <c r="T604" s="46">
        <v>9</v>
      </c>
      <c r="U604" s="53" t="s">
        <v>239</v>
      </c>
      <c r="V604" s="47" t="s">
        <v>259</v>
      </c>
      <c r="W604" s="47" t="s">
        <v>548</v>
      </c>
      <c r="X604" s="47" t="s">
        <v>560</v>
      </c>
      <c r="Y604" s="58">
        <v>2.86965</v>
      </c>
      <c r="Z604" s="193">
        <v>0.79600000000000004</v>
      </c>
      <c r="AB604" s="3"/>
      <c r="AC604" s="3"/>
      <c r="AD604" s="3"/>
      <c r="AE604" s="3"/>
      <c r="AF604" s="3" t="s">
        <v>526</v>
      </c>
      <c r="AG604" s="83">
        <v>0.8</v>
      </c>
    </row>
    <row r="605" spans="6:33">
      <c r="F605" s="372">
        <v>9</v>
      </c>
      <c r="G605" s="373" t="s">
        <v>242</v>
      </c>
      <c r="H605" s="6" t="s">
        <v>10181</v>
      </c>
      <c r="I605" s="136" t="s">
        <v>548</v>
      </c>
      <c r="J605" s="136" t="s">
        <v>560</v>
      </c>
      <c r="K605" s="191">
        <v>-38.486130000000003</v>
      </c>
      <c r="L605" s="191">
        <v>-27.900672450000002</v>
      </c>
      <c r="M605" s="191">
        <v>-3.2868550000000001</v>
      </c>
      <c r="N605" s="191">
        <v>0</v>
      </c>
      <c r="O605" s="191">
        <v>0</v>
      </c>
      <c r="P605" s="191">
        <v>2.5860000000000001E-2</v>
      </c>
      <c r="Q605" s="191">
        <v>4.1414954380226701E-2</v>
      </c>
      <c r="R605" s="191">
        <v>4.8923121440990501E-2</v>
      </c>
      <c r="T605" s="46">
        <v>9</v>
      </c>
      <c r="U605" s="53" t="s">
        <v>239</v>
      </c>
      <c r="V605" s="47" t="s">
        <v>334</v>
      </c>
      <c r="W605" s="47" t="s">
        <v>548</v>
      </c>
      <c r="X605" s="47" t="s">
        <v>560</v>
      </c>
      <c r="Y605" s="58">
        <v>2.86965</v>
      </c>
      <c r="Z605" s="193">
        <v>0.76736000000000004</v>
      </c>
      <c r="AB605" s="3"/>
      <c r="AC605" s="3"/>
      <c r="AD605" s="3"/>
      <c r="AE605" s="3"/>
      <c r="AF605" s="3"/>
      <c r="AG605" s="3"/>
    </row>
    <row r="606" spans="6:33">
      <c r="F606" s="372">
        <v>9</v>
      </c>
      <c r="G606" s="373" t="s">
        <v>242</v>
      </c>
      <c r="H606" s="6" t="s">
        <v>274</v>
      </c>
      <c r="I606" s="136" t="s">
        <v>548</v>
      </c>
      <c r="J606" s="136" t="s">
        <v>560</v>
      </c>
      <c r="K606" s="191">
        <v>-38.486130000000003</v>
      </c>
      <c r="L606" s="191">
        <v>-27.900672450000002</v>
      </c>
      <c r="M606" s="191">
        <v>-8.5278425000000002</v>
      </c>
      <c r="N606" s="191">
        <v>0</v>
      </c>
      <c r="O606" s="191">
        <v>0</v>
      </c>
      <c r="P606" s="191">
        <v>2.5860000000000001E-2</v>
      </c>
      <c r="Q606" s="191">
        <v>4.1414954380226701E-2</v>
      </c>
      <c r="R606" s="191">
        <v>4.8923121440990501E-2</v>
      </c>
      <c r="T606" s="46">
        <v>9</v>
      </c>
      <c r="U606" s="53" t="s">
        <v>239</v>
      </c>
      <c r="V606" s="47" t="s">
        <v>240</v>
      </c>
      <c r="W606" s="47" t="s">
        <v>548</v>
      </c>
      <c r="X606" s="47" t="s">
        <v>560</v>
      </c>
      <c r="Y606" s="58">
        <v>3.1045600000000002</v>
      </c>
      <c r="Z606" s="193">
        <v>0.76736000000000004</v>
      </c>
      <c r="AB606" s="3"/>
      <c r="AC606" s="3"/>
      <c r="AD606" s="3"/>
      <c r="AE606" s="3"/>
      <c r="AF606" s="3"/>
      <c r="AG606" s="3"/>
    </row>
    <row r="607" spans="6:33" ht="28.8">
      <c r="F607" s="372">
        <v>9</v>
      </c>
      <c r="G607" s="373" t="s">
        <v>242</v>
      </c>
      <c r="H607" s="6" t="s">
        <v>534</v>
      </c>
      <c r="I607" s="136" t="s">
        <v>548</v>
      </c>
      <c r="J607" s="136" t="s">
        <v>560</v>
      </c>
      <c r="K607" s="191">
        <v>-15.0122</v>
      </c>
      <c r="L607" s="191">
        <v>-10.882073199999999</v>
      </c>
      <c r="M607" s="191">
        <v>-3.19428</v>
      </c>
      <c r="N607" s="191">
        <v>0</v>
      </c>
      <c r="O607" s="191">
        <v>0</v>
      </c>
      <c r="P607" s="191">
        <v>2.5860000000000001E-2</v>
      </c>
      <c r="Q607" s="191">
        <v>4.1414954380226701E-2</v>
      </c>
      <c r="R607" s="191">
        <v>4.8923121440990501E-2</v>
      </c>
      <c r="T607" s="46">
        <v>9</v>
      </c>
      <c r="U607" s="53" t="s">
        <v>239</v>
      </c>
      <c r="V607" s="47" t="s">
        <v>325</v>
      </c>
      <c r="W607" s="47" t="s">
        <v>548</v>
      </c>
      <c r="X607" s="47" t="s">
        <v>560</v>
      </c>
      <c r="Y607" s="58">
        <v>1.66</v>
      </c>
      <c r="Z607" s="193">
        <v>0.79600000000000004</v>
      </c>
      <c r="AB607" s="3"/>
      <c r="AC607" s="3"/>
      <c r="AD607" s="3"/>
      <c r="AE607" s="3"/>
      <c r="AF607" s="3" t="s">
        <v>526</v>
      </c>
      <c r="AG607" s="83">
        <v>0.95</v>
      </c>
    </row>
    <row r="608" spans="6:33">
      <c r="F608" s="372">
        <v>9</v>
      </c>
      <c r="G608" s="373" t="s">
        <v>239</v>
      </c>
      <c r="H608" s="6" t="s">
        <v>10182</v>
      </c>
      <c r="I608" s="136" t="s">
        <v>548</v>
      </c>
      <c r="J608" s="136" t="s">
        <v>560</v>
      </c>
      <c r="K608" s="191">
        <v>-2.6644477777777777</v>
      </c>
      <c r="L608" s="191">
        <v>-1.7194614644444446</v>
      </c>
      <c r="M608" s="191">
        <v>-0.86668722195768011</v>
      </c>
      <c r="N608" s="191">
        <v>-1.6414433894164899</v>
      </c>
      <c r="O608" s="191">
        <v>-2.39351722049383</v>
      </c>
      <c r="P608" s="191">
        <v>-0.66144178690558597</v>
      </c>
      <c r="Q608" s="191">
        <v>-0.88835374395553102</v>
      </c>
      <c r="R608" s="191">
        <v>2.7472268181238799E-2</v>
      </c>
      <c r="T608" s="46">
        <v>9</v>
      </c>
      <c r="U608" s="53" t="s">
        <v>256</v>
      </c>
      <c r="V608" s="47" t="s">
        <v>256</v>
      </c>
      <c r="W608" s="47" t="s">
        <v>548</v>
      </c>
      <c r="X608" s="47" t="s">
        <v>560</v>
      </c>
      <c r="Y608" s="58">
        <v>3.3097799999999999</v>
      </c>
      <c r="Z608" s="193">
        <v>1.0068550000000001</v>
      </c>
      <c r="AB608" s="3" t="s">
        <v>526</v>
      </c>
      <c r="AC608" s="125">
        <v>1</v>
      </c>
      <c r="AD608" s="3">
        <v>8.1306407300000008E-2</v>
      </c>
      <c r="AE608" s="3" t="s">
        <v>531</v>
      </c>
      <c r="AF608" s="3" t="s">
        <v>526</v>
      </c>
      <c r="AG608" s="83">
        <v>0.95</v>
      </c>
    </row>
    <row r="609" spans="6:33">
      <c r="F609" s="372">
        <v>9</v>
      </c>
      <c r="G609" s="373" t="s">
        <v>239</v>
      </c>
      <c r="H609" s="6" t="s">
        <v>324</v>
      </c>
      <c r="I609" s="136" t="s">
        <v>548</v>
      </c>
      <c r="J609" s="136" t="s">
        <v>560</v>
      </c>
      <c r="K609" s="191">
        <v>-1.66</v>
      </c>
      <c r="L609" s="191">
        <v>0</v>
      </c>
      <c r="M609" s="191">
        <v>0.18006034159041032</v>
      </c>
      <c r="N609" s="191">
        <v>-1.6519994435588701</v>
      </c>
      <c r="O609" s="191">
        <v>-2.2435328278880098</v>
      </c>
      <c r="P609" s="191">
        <v>-1.13670575535437</v>
      </c>
      <c r="Q609" s="191">
        <v>-0.96577422212861597</v>
      </c>
      <c r="R609" s="191">
        <v>2.6682774593358698E-2</v>
      </c>
      <c r="T609" s="46">
        <v>9</v>
      </c>
      <c r="U609" s="53" t="s">
        <v>256</v>
      </c>
      <c r="V609" s="47" t="s">
        <v>536</v>
      </c>
      <c r="W609" s="47" t="s">
        <v>548</v>
      </c>
      <c r="X609" s="47" t="s">
        <v>560</v>
      </c>
      <c r="Y609" s="58">
        <v>1.9798800000000001</v>
      </c>
      <c r="Z609" s="193">
        <v>0.72957000000000005</v>
      </c>
      <c r="AB609" s="3" t="s">
        <v>526</v>
      </c>
      <c r="AC609" s="125">
        <v>1</v>
      </c>
      <c r="AD609" s="3">
        <v>8.1306407300000008E-2</v>
      </c>
      <c r="AE609" s="3" t="s">
        <v>531</v>
      </c>
      <c r="AF609" s="3" t="s">
        <v>526</v>
      </c>
      <c r="AG609" s="83">
        <v>0.95</v>
      </c>
    </row>
    <row r="610" spans="6:33">
      <c r="F610" s="372">
        <v>9</v>
      </c>
      <c r="G610" s="373" t="s">
        <v>239</v>
      </c>
      <c r="H610" s="6" t="s">
        <v>272</v>
      </c>
      <c r="I610" s="136" t="s">
        <v>548</v>
      </c>
      <c r="J610" s="136" t="s">
        <v>560</v>
      </c>
      <c r="K610" s="191">
        <v>-2.1278299999999999</v>
      </c>
      <c r="L610" s="191">
        <v>-1.3728063799999999</v>
      </c>
      <c r="M610" s="191">
        <v>3.3959254017162663E-3</v>
      </c>
      <c r="N610" s="191">
        <v>-1.47884710702032</v>
      </c>
      <c r="O610" s="191">
        <v>-2.2559418354696001</v>
      </c>
      <c r="P610" s="191">
        <v>2.8719999999999999E-2</v>
      </c>
      <c r="Q610" s="191">
        <v>-0.75966030441936305</v>
      </c>
      <c r="R610" s="191">
        <v>3.4586025223388002E-2</v>
      </c>
      <c r="T610" s="46">
        <v>9</v>
      </c>
      <c r="U610" s="53" t="s">
        <v>256</v>
      </c>
      <c r="V610" s="47" t="s">
        <v>257</v>
      </c>
      <c r="W610" s="47" t="s">
        <v>548</v>
      </c>
      <c r="X610" s="47" t="s">
        <v>560</v>
      </c>
      <c r="Y610" s="58">
        <v>1.9798800000000001</v>
      </c>
      <c r="Z610" s="193">
        <v>0.46493000000000001</v>
      </c>
      <c r="AB610" s="3" t="s">
        <v>526</v>
      </c>
      <c r="AC610" s="125">
        <v>1</v>
      </c>
      <c r="AD610" s="3">
        <v>8.1306407300000008E-2</v>
      </c>
      <c r="AE610" s="3" t="s">
        <v>531</v>
      </c>
      <c r="AF610" s="3"/>
      <c r="AG610" s="3"/>
    </row>
    <row r="611" spans="6:33">
      <c r="F611" s="372">
        <v>9</v>
      </c>
      <c r="G611" s="373" t="s">
        <v>239</v>
      </c>
      <c r="H611" s="6" t="s">
        <v>329</v>
      </c>
      <c r="I611" s="136" t="s">
        <v>548</v>
      </c>
      <c r="J611" s="136" t="s">
        <v>560</v>
      </c>
      <c r="K611" s="191">
        <v>-3.4792200000000002</v>
      </c>
      <c r="L611" s="191">
        <v>0</v>
      </c>
      <c r="M611" s="191">
        <v>-3.0308890829013313</v>
      </c>
      <c r="N611" s="191">
        <v>-1.6014676743124701</v>
      </c>
      <c r="O611" s="191">
        <v>-2.5104833716713402</v>
      </c>
      <c r="P611" s="191">
        <v>0.42743527447463697</v>
      </c>
      <c r="Q611" s="191">
        <v>-0.76251763102777603</v>
      </c>
      <c r="R611" s="191">
        <v>3.7249575346798097E-2</v>
      </c>
      <c r="T611" s="46">
        <v>9</v>
      </c>
      <c r="U611" s="53" t="s">
        <v>256</v>
      </c>
      <c r="V611" s="47" t="s">
        <v>537</v>
      </c>
      <c r="W611" s="47" t="s">
        <v>548</v>
      </c>
      <c r="X611" s="47" t="s">
        <v>560</v>
      </c>
      <c r="Y611" s="58">
        <v>5.0082800000000001</v>
      </c>
      <c r="Z611" s="193">
        <v>1.54878</v>
      </c>
      <c r="AB611" s="3"/>
      <c r="AC611" s="3"/>
      <c r="AD611" s="3"/>
      <c r="AE611" s="3"/>
      <c r="AF611" s="3" t="s">
        <v>526</v>
      </c>
      <c r="AG611" s="83">
        <v>0.95</v>
      </c>
    </row>
    <row r="612" spans="6:33">
      <c r="F612" s="372">
        <v>9</v>
      </c>
      <c r="G612" s="373" t="s">
        <v>239</v>
      </c>
      <c r="H612" s="6" t="s">
        <v>271</v>
      </c>
      <c r="I612" s="136" t="s">
        <v>548</v>
      </c>
      <c r="J612" s="136" t="s">
        <v>560</v>
      </c>
      <c r="K612" s="191">
        <v>-3.1045600000000002</v>
      </c>
      <c r="L612" s="191">
        <v>0</v>
      </c>
      <c r="M612" s="191">
        <v>-0.97502312470239016</v>
      </c>
      <c r="N612" s="191">
        <v>-1.5167787280107199</v>
      </c>
      <c r="O612" s="191">
        <v>-2.6037408171057099</v>
      </c>
      <c r="P612" s="191">
        <v>-0.66901157869309202</v>
      </c>
      <c r="Q612" s="191">
        <v>-0.72653009227590704</v>
      </c>
      <c r="R612" s="191">
        <v>4.0395480727731303E-2</v>
      </c>
      <c r="T612" s="46">
        <v>9</v>
      </c>
      <c r="U612" s="53" t="s">
        <v>256</v>
      </c>
      <c r="V612" s="47" t="s">
        <v>538</v>
      </c>
      <c r="W612" s="47" t="s">
        <v>548</v>
      </c>
      <c r="X612" s="47" t="s">
        <v>560</v>
      </c>
      <c r="Y612" s="58">
        <v>4.6396800000000002</v>
      </c>
      <c r="Z612" s="193">
        <v>1.54878</v>
      </c>
      <c r="AB612" s="3" t="s">
        <v>526</v>
      </c>
      <c r="AC612" s="125">
        <v>1</v>
      </c>
      <c r="AD612" s="3">
        <v>0</v>
      </c>
      <c r="AE612" s="3" t="s">
        <v>527</v>
      </c>
      <c r="AF612" s="3" t="s">
        <v>526</v>
      </c>
      <c r="AG612" s="83">
        <v>0.9</v>
      </c>
    </row>
    <row r="613" spans="6:33">
      <c r="F613" s="372">
        <v>9</v>
      </c>
      <c r="G613" s="373" t="s">
        <v>239</v>
      </c>
      <c r="H613" s="6" t="s">
        <v>535</v>
      </c>
      <c r="I613" s="136" t="s">
        <v>548</v>
      </c>
      <c r="J613" s="136" t="s">
        <v>560</v>
      </c>
      <c r="K613" s="191">
        <v>-3.1045600000000002</v>
      </c>
      <c r="L613" s="191">
        <v>0</v>
      </c>
      <c r="M613" s="191">
        <v>-0.97502312470239016</v>
      </c>
      <c r="N613" s="191">
        <v>-1.6254210621663301</v>
      </c>
      <c r="O613" s="191">
        <v>-2.6104725865305101</v>
      </c>
      <c r="P613" s="191">
        <v>-0.86621173986601596</v>
      </c>
      <c r="Q613" s="191">
        <v>-0.80864742018463398</v>
      </c>
      <c r="R613" s="191">
        <v>2.9214165558548801E-2</v>
      </c>
      <c r="T613" s="46">
        <v>9</v>
      </c>
      <c r="U613" s="53" t="s">
        <v>256</v>
      </c>
      <c r="V613" s="47" t="s">
        <v>258</v>
      </c>
      <c r="W613" s="47" t="s">
        <v>548</v>
      </c>
      <c r="X613" s="47" t="s">
        <v>560</v>
      </c>
      <c r="Y613" s="58">
        <v>4.6396800000000002</v>
      </c>
      <c r="Z613" s="193">
        <v>1.54878</v>
      </c>
      <c r="AB613" s="3" t="s">
        <v>526</v>
      </c>
      <c r="AC613" s="125">
        <v>1</v>
      </c>
      <c r="AD613" s="3">
        <v>8.1306407300000008E-2</v>
      </c>
      <c r="AE613" s="3" t="s">
        <v>531</v>
      </c>
      <c r="AF613" s="3" t="s">
        <v>526</v>
      </c>
      <c r="AG613" s="83">
        <v>0.9</v>
      </c>
    </row>
    <row r="614" spans="6:33">
      <c r="F614" s="372">
        <v>9</v>
      </c>
      <c r="G614" s="373" t="s">
        <v>239</v>
      </c>
      <c r="H614" s="6" t="s">
        <v>259</v>
      </c>
      <c r="I614" s="136" t="s">
        <v>548</v>
      </c>
      <c r="J614" s="136" t="s">
        <v>560</v>
      </c>
      <c r="K614" s="191">
        <v>-2.86965</v>
      </c>
      <c r="L614" s="191">
        <v>0</v>
      </c>
      <c r="M614" s="191">
        <v>-0.97502312470239016</v>
      </c>
      <c r="N614" s="191">
        <v>-1.3404051274876601</v>
      </c>
      <c r="O614" s="191">
        <v>-2.0267251072714698</v>
      </c>
      <c r="P614" s="191">
        <v>-0.37846309713520798</v>
      </c>
      <c r="Q614" s="191">
        <v>-0.65873424556094695</v>
      </c>
      <c r="R614" s="191">
        <v>2.8421748849327799E-2</v>
      </c>
      <c r="T614" s="46">
        <v>9</v>
      </c>
      <c r="U614" s="53" t="s">
        <v>247</v>
      </c>
      <c r="V614" s="47" t="s">
        <v>247</v>
      </c>
      <c r="W614" s="47" t="s">
        <v>548</v>
      </c>
      <c r="X614" s="47" t="s">
        <v>560</v>
      </c>
      <c r="Y614" s="58">
        <v>1.0505633333333335</v>
      </c>
      <c r="Z614" s="193">
        <v>0.89563000000000004</v>
      </c>
      <c r="AB614" s="3" t="s">
        <v>526</v>
      </c>
      <c r="AC614" s="125">
        <v>1</v>
      </c>
      <c r="AD614" s="3">
        <v>8.1306407300000008E-2</v>
      </c>
      <c r="AE614" s="3" t="s">
        <v>531</v>
      </c>
      <c r="AF614" s="3" t="s">
        <v>526</v>
      </c>
      <c r="AG614" s="83">
        <v>0.95</v>
      </c>
    </row>
    <row r="615" spans="6:33">
      <c r="F615" s="372">
        <v>9</v>
      </c>
      <c r="G615" s="373" t="s">
        <v>239</v>
      </c>
      <c r="H615" s="6" t="s">
        <v>334</v>
      </c>
      <c r="I615" s="136" t="s">
        <v>548</v>
      </c>
      <c r="J615" s="136" t="s">
        <v>560</v>
      </c>
      <c r="K615" s="191">
        <v>-2.86965</v>
      </c>
      <c r="L615" s="191">
        <v>0</v>
      </c>
      <c r="M615" s="191">
        <v>-0.97502312470239016</v>
      </c>
      <c r="N615" s="191">
        <v>-1.75091397882519</v>
      </c>
      <c r="O615" s="191">
        <v>-2.49502254385414</v>
      </c>
      <c r="P615" s="191">
        <v>-0.32206621845198502</v>
      </c>
      <c r="Q615" s="191">
        <v>-0.96154401583511395</v>
      </c>
      <c r="R615" s="191">
        <v>2.63899546040555E-2</v>
      </c>
      <c r="T615" s="46">
        <v>9</v>
      </c>
      <c r="U615" s="53" t="s">
        <v>247</v>
      </c>
      <c r="V615" s="47" t="s">
        <v>248</v>
      </c>
      <c r="W615" s="47" t="s">
        <v>548</v>
      </c>
      <c r="X615" s="47" t="s">
        <v>560</v>
      </c>
      <c r="Y615" s="58">
        <v>1.0606100000000001</v>
      </c>
      <c r="Z615" s="193">
        <v>0.89563000000000004</v>
      </c>
      <c r="AB615" s="3" t="s">
        <v>526</v>
      </c>
      <c r="AC615" s="125">
        <v>1</v>
      </c>
      <c r="AD615" s="3">
        <v>8.1306407300000008E-2</v>
      </c>
      <c r="AE615" s="3" t="s">
        <v>531</v>
      </c>
      <c r="AF615" s="3" t="s">
        <v>526</v>
      </c>
      <c r="AG615" s="83">
        <v>0.7</v>
      </c>
    </row>
    <row r="616" spans="6:33">
      <c r="F616" s="372">
        <v>9</v>
      </c>
      <c r="G616" s="373" t="s">
        <v>239</v>
      </c>
      <c r="H616" s="6" t="s">
        <v>240</v>
      </c>
      <c r="I616" s="136" t="s">
        <v>548</v>
      </c>
      <c r="J616" s="136" t="s">
        <v>560</v>
      </c>
      <c r="K616" s="191">
        <v>-3.1045600000000002</v>
      </c>
      <c r="L616" s="191">
        <v>0</v>
      </c>
      <c r="M616" s="191">
        <v>0</v>
      </c>
      <c r="N616" s="191">
        <v>-1.77967029679388</v>
      </c>
      <c r="O616" s="191">
        <v>-2.5768932189807301</v>
      </c>
      <c r="P616" s="191">
        <v>-0.70071651099514798</v>
      </c>
      <c r="Q616" s="191">
        <v>0.39244906498448801</v>
      </c>
      <c r="R616" s="191">
        <v>2.3670129480144699</v>
      </c>
      <c r="T616" s="46">
        <v>9</v>
      </c>
      <c r="U616" s="53" t="s">
        <v>247</v>
      </c>
      <c r="V616" s="47" t="s">
        <v>263</v>
      </c>
      <c r="W616" s="47" t="s">
        <v>548</v>
      </c>
      <c r="X616" s="47" t="s">
        <v>560</v>
      </c>
      <c r="Y616" s="58">
        <v>1.0341199999999999</v>
      </c>
      <c r="Z616" s="193">
        <v>0.89563000000000004</v>
      </c>
      <c r="AB616" s="3" t="s">
        <v>526</v>
      </c>
      <c r="AC616" s="125">
        <v>1</v>
      </c>
      <c r="AD616" s="3">
        <v>8.1306407300000008E-2</v>
      </c>
      <c r="AE616" s="3" t="s">
        <v>531</v>
      </c>
      <c r="AF616" s="3"/>
      <c r="AG616" s="3"/>
    </row>
    <row r="617" spans="6:33" ht="28.8">
      <c r="F617" s="372">
        <v>9</v>
      </c>
      <c r="G617" s="373" t="s">
        <v>239</v>
      </c>
      <c r="H617" s="6" t="s">
        <v>325</v>
      </c>
      <c r="I617" s="136" t="s">
        <v>548</v>
      </c>
      <c r="J617" s="136" t="s">
        <v>560</v>
      </c>
      <c r="K617" s="191">
        <v>-1.66</v>
      </c>
      <c r="L617" s="191">
        <v>0</v>
      </c>
      <c r="M617" s="191">
        <v>0</v>
      </c>
      <c r="N617" s="191">
        <v>-1.6414433894164899</v>
      </c>
      <c r="O617" s="191">
        <v>-2.39351722049383</v>
      </c>
      <c r="P617" s="191">
        <v>-0.66144178690558597</v>
      </c>
      <c r="Q617" s="191">
        <v>-0.88835374395553102</v>
      </c>
      <c r="R617" s="191">
        <v>2.7472268181238799E-2</v>
      </c>
      <c r="T617" s="46">
        <v>9</v>
      </c>
      <c r="U617" s="53" t="s">
        <v>247</v>
      </c>
      <c r="V617" s="47" t="s">
        <v>539</v>
      </c>
      <c r="W617" s="47" t="s">
        <v>548</v>
      </c>
      <c r="X617" s="47" t="s">
        <v>560</v>
      </c>
      <c r="Y617" s="58">
        <v>1.0569599999999999</v>
      </c>
      <c r="Z617" s="193">
        <v>0.89563000000000004</v>
      </c>
      <c r="AB617" s="3" t="s">
        <v>526</v>
      </c>
      <c r="AC617" s="83">
        <v>0.5</v>
      </c>
      <c r="AD617" s="3">
        <v>8.1306407300000008E-2</v>
      </c>
      <c r="AE617" s="3" t="s">
        <v>531</v>
      </c>
      <c r="AF617" s="3"/>
      <c r="AG617" s="3"/>
    </row>
    <row r="618" spans="6:33">
      <c r="F618" s="372">
        <v>9</v>
      </c>
      <c r="G618" s="373" t="s">
        <v>256</v>
      </c>
      <c r="H618" s="6" t="s">
        <v>10183</v>
      </c>
      <c r="I618" s="136" t="s">
        <v>548</v>
      </c>
      <c r="J618" s="136" t="s">
        <v>560</v>
      </c>
      <c r="K618" s="191">
        <v>-3.3097799999999999</v>
      </c>
      <c r="L618" s="191">
        <v>-3.2267017926999997</v>
      </c>
      <c r="M618" s="191">
        <v>-12.832508386079841</v>
      </c>
      <c r="N618" s="191">
        <v>0</v>
      </c>
      <c r="O618" s="191">
        <v>0</v>
      </c>
      <c r="P618" s="191">
        <v>2.5945738023347653E-2</v>
      </c>
      <c r="Q618" s="191">
        <v>-0.112603850990406</v>
      </c>
      <c r="R618" s="191">
        <v>-9.5085110793390756E-2</v>
      </c>
      <c r="T618" s="46">
        <v>9</v>
      </c>
      <c r="U618" s="53" t="s">
        <v>247</v>
      </c>
      <c r="V618" s="47" t="s">
        <v>270</v>
      </c>
      <c r="W618" s="47" t="s">
        <v>548</v>
      </c>
      <c r="X618" s="47" t="s">
        <v>560</v>
      </c>
      <c r="Y618" s="58">
        <v>1.0505633333333335</v>
      </c>
      <c r="Z618" s="193">
        <v>0.89563000000000004</v>
      </c>
      <c r="AB618" s="3"/>
      <c r="AC618" s="3"/>
      <c r="AD618" s="3"/>
      <c r="AE618" s="3"/>
      <c r="AF618" s="3"/>
      <c r="AG618" s="3"/>
    </row>
    <row r="619" spans="6:33">
      <c r="F619" s="372">
        <v>9</v>
      </c>
      <c r="G619" s="373" t="s">
        <v>256</v>
      </c>
      <c r="H619" s="6" t="s">
        <v>536</v>
      </c>
      <c r="I619" s="136" t="s">
        <v>548</v>
      </c>
      <c r="J619" s="136" t="s">
        <v>560</v>
      </c>
      <c r="K619" s="191">
        <v>-1.9798800000000001</v>
      </c>
      <c r="L619" s="191">
        <v>-1.8968017927</v>
      </c>
      <c r="M619" s="191">
        <v>-2.3059509162113172</v>
      </c>
      <c r="N619" s="191">
        <v>0</v>
      </c>
      <c r="O619" s="191">
        <v>0</v>
      </c>
      <c r="P619" s="191">
        <v>2.6031476046695302E-2</v>
      </c>
      <c r="Q619" s="191">
        <v>-0.16515941842172299</v>
      </c>
      <c r="R619" s="191">
        <v>-0.13789825391205501</v>
      </c>
      <c r="T619" s="46">
        <v>9</v>
      </c>
      <c r="U619" s="53" t="s">
        <v>247</v>
      </c>
      <c r="V619" s="47" t="s">
        <v>540</v>
      </c>
      <c r="W619" s="47" t="s">
        <v>548</v>
      </c>
      <c r="X619" s="47" t="s">
        <v>560</v>
      </c>
      <c r="Y619" s="58">
        <v>1.0473650000000001</v>
      </c>
      <c r="Z619" s="193">
        <v>0.89563000000000004</v>
      </c>
      <c r="AB619" s="3"/>
      <c r="AC619" s="3"/>
      <c r="AD619" s="3"/>
      <c r="AE619" s="3"/>
      <c r="AF619" s="3"/>
      <c r="AG619" s="3"/>
    </row>
    <row r="620" spans="6:33">
      <c r="F620" s="372">
        <v>9</v>
      </c>
      <c r="G620" s="373" t="s">
        <v>256</v>
      </c>
      <c r="H620" s="6" t="s">
        <v>257</v>
      </c>
      <c r="I620" s="136" t="s">
        <v>548</v>
      </c>
      <c r="J620" s="136" t="s">
        <v>560</v>
      </c>
      <c r="K620" s="191">
        <v>-1.9798800000000001</v>
      </c>
      <c r="L620" s="191">
        <v>-1.8968017927</v>
      </c>
      <c r="M620" s="191">
        <v>-2.3059509162113172</v>
      </c>
      <c r="N620" s="191">
        <v>0</v>
      </c>
      <c r="O620" s="191">
        <v>0</v>
      </c>
      <c r="P620" s="191">
        <v>2.6031476046695302E-2</v>
      </c>
      <c r="Q620" s="191">
        <v>-0.16515941842172399</v>
      </c>
      <c r="R620" s="191">
        <v>-0.13789825391205399</v>
      </c>
      <c r="T620" s="46">
        <v>9</v>
      </c>
      <c r="U620" s="53" t="s">
        <v>529</v>
      </c>
      <c r="V620" s="47" t="s">
        <v>260</v>
      </c>
      <c r="W620" s="47" t="s">
        <v>548</v>
      </c>
      <c r="X620" s="47" t="s">
        <v>560</v>
      </c>
      <c r="Y620" s="58">
        <v>4.0364225925925927</v>
      </c>
      <c r="Z620" s="193">
        <v>1.3856655555555555</v>
      </c>
      <c r="AB620" s="3"/>
      <c r="AC620" s="3"/>
      <c r="AD620" s="3"/>
      <c r="AE620" s="3"/>
      <c r="AF620" s="3" t="s">
        <v>526</v>
      </c>
      <c r="AG620" s="83">
        <v>0.7</v>
      </c>
    </row>
    <row r="621" spans="6:33">
      <c r="F621" s="372">
        <v>9</v>
      </c>
      <c r="G621" s="373" t="s">
        <v>256</v>
      </c>
      <c r="H621" s="6" t="s">
        <v>537</v>
      </c>
      <c r="I621" s="136" t="s">
        <v>548</v>
      </c>
      <c r="J621" s="136" t="s">
        <v>560</v>
      </c>
      <c r="K621" s="191">
        <v>-5.0082800000000001</v>
      </c>
      <c r="L621" s="191">
        <v>-4.9252017927000002</v>
      </c>
      <c r="M621" s="191">
        <v>-5.0780577945885819</v>
      </c>
      <c r="N621" s="191">
        <v>0</v>
      </c>
      <c r="O621" s="191">
        <v>0</v>
      </c>
      <c r="P621" s="191">
        <v>2.5860000000000001E-2</v>
      </c>
      <c r="Q621" s="191">
        <v>-6.0048283559088998E-2</v>
      </c>
      <c r="R621" s="191">
        <v>-5.2271967674726499E-2</v>
      </c>
      <c r="T621" s="46">
        <v>9</v>
      </c>
      <c r="U621" s="53" t="s">
        <v>237</v>
      </c>
      <c r="V621" s="47" t="s">
        <v>237</v>
      </c>
      <c r="W621" s="47" t="s">
        <v>548</v>
      </c>
      <c r="X621" s="47" t="s">
        <v>560</v>
      </c>
      <c r="Y621" s="58">
        <v>2.8533815875203707</v>
      </c>
      <c r="Z621" s="193">
        <v>1.0711602172222223</v>
      </c>
      <c r="AB621" s="3"/>
      <c r="AC621" s="3"/>
      <c r="AD621" s="3"/>
      <c r="AE621" s="3"/>
      <c r="AF621" s="3" t="s">
        <v>526</v>
      </c>
      <c r="AG621" s="83">
        <v>0.65</v>
      </c>
    </row>
    <row r="622" spans="6:33">
      <c r="F622" s="370">
        <v>9</v>
      </c>
      <c r="G622" s="137" t="s">
        <v>256</v>
      </c>
      <c r="H622" s="136" t="s">
        <v>538</v>
      </c>
      <c r="I622" s="136" t="s">
        <v>548</v>
      </c>
      <c r="J622" s="136" t="s">
        <v>560</v>
      </c>
      <c r="K622" s="191">
        <v>-4.6396800000000002</v>
      </c>
      <c r="L622" s="191">
        <v>0</v>
      </c>
      <c r="M622" s="191">
        <v>0</v>
      </c>
      <c r="N622" s="191">
        <v>0</v>
      </c>
      <c r="O622" s="191">
        <v>0</v>
      </c>
      <c r="P622" s="191">
        <v>2.5860000000000001E-2</v>
      </c>
      <c r="Q622" s="191">
        <v>-5.6383582969906698E-2</v>
      </c>
      <c r="R622" s="191">
        <v>-5.2271967674726499E-2</v>
      </c>
      <c r="T622" s="46">
        <v>9</v>
      </c>
      <c r="U622" s="53" t="s">
        <v>237</v>
      </c>
      <c r="V622" s="47" t="s">
        <v>246</v>
      </c>
      <c r="W622" s="47" t="s">
        <v>548</v>
      </c>
      <c r="X622" s="47" t="s">
        <v>560</v>
      </c>
      <c r="Y622" s="58">
        <v>7.3412433500000009</v>
      </c>
      <c r="Z622" s="193">
        <v>0.66842500000000005</v>
      </c>
      <c r="AB622" s="3"/>
      <c r="AC622" s="3"/>
      <c r="AD622" s="3"/>
      <c r="AE622" s="3"/>
      <c r="AF622" s="3"/>
      <c r="AG622" s="3"/>
    </row>
    <row r="623" spans="6:33">
      <c r="F623" s="370">
        <v>9</v>
      </c>
      <c r="G623" s="137" t="s">
        <v>256</v>
      </c>
      <c r="H623" s="136" t="s">
        <v>258</v>
      </c>
      <c r="I623" s="136" t="s">
        <v>548</v>
      </c>
      <c r="J623" s="136" t="s">
        <v>560</v>
      </c>
      <c r="K623" s="191">
        <v>-4.6396800000000002</v>
      </c>
      <c r="L623" s="191">
        <v>-4.5566017927000004</v>
      </c>
      <c r="M623" s="191">
        <v>-4.922607045774634</v>
      </c>
      <c r="N623" s="191">
        <v>0</v>
      </c>
      <c r="O623" s="191">
        <v>0</v>
      </c>
      <c r="P623" s="191">
        <v>2.5860000000000001E-2</v>
      </c>
      <c r="Q623" s="191">
        <v>-6.0048283559088901E-2</v>
      </c>
      <c r="R623" s="191">
        <v>-5.2271967674726499E-2</v>
      </c>
      <c r="T623" s="46">
        <v>9</v>
      </c>
      <c r="U623" s="53" t="s">
        <v>237</v>
      </c>
      <c r="V623" s="28" t="s">
        <v>10162</v>
      </c>
      <c r="W623" s="47" t="s">
        <v>548</v>
      </c>
      <c r="X623" s="47" t="s">
        <v>560</v>
      </c>
      <c r="Y623" s="58">
        <v>2.8533815875203707</v>
      </c>
      <c r="Z623" s="193">
        <v>1.0711602172222223</v>
      </c>
      <c r="AB623" s="3"/>
      <c r="AC623" s="3"/>
      <c r="AD623" s="3"/>
      <c r="AE623" s="3"/>
      <c r="AF623" s="3"/>
      <c r="AG623" s="3"/>
    </row>
    <row r="624" spans="6:33">
      <c r="F624" s="370">
        <v>9</v>
      </c>
      <c r="G624" s="137" t="s">
        <v>247</v>
      </c>
      <c r="H624" s="136" t="s">
        <v>247</v>
      </c>
      <c r="I624" s="136" t="s">
        <v>548</v>
      </c>
      <c r="J624" s="136" t="s">
        <v>560</v>
      </c>
      <c r="K624" s="191">
        <v>-1.0505633333333335</v>
      </c>
      <c r="L624" s="191">
        <v>-0.96748512603333348</v>
      </c>
      <c r="M624" s="191">
        <v>-0.31774452117746149</v>
      </c>
      <c r="N624" s="191">
        <v>0</v>
      </c>
      <c r="O624" s="191">
        <v>0</v>
      </c>
      <c r="P624" s="191">
        <v>2.60314903844522E-2</v>
      </c>
      <c r="Q624" s="191">
        <v>3.0029661949898898E-2</v>
      </c>
      <c r="R624" s="191">
        <v>4.8924638168173801E-2</v>
      </c>
      <c r="T624" s="46">
        <v>9</v>
      </c>
      <c r="U624" s="53" t="s">
        <v>252</v>
      </c>
      <c r="V624" s="28" t="s">
        <v>333</v>
      </c>
      <c r="W624" s="47" t="s">
        <v>548</v>
      </c>
      <c r="X624" s="47" t="s">
        <v>560</v>
      </c>
      <c r="Y624" s="58">
        <v>2.0953266666666663</v>
      </c>
      <c r="Z624" s="193">
        <v>1.77911</v>
      </c>
      <c r="AB624" s="3" t="s">
        <v>526</v>
      </c>
      <c r="AC624" s="125">
        <v>0.64600000000000002</v>
      </c>
      <c r="AD624" s="3">
        <v>0</v>
      </c>
      <c r="AE624" s="3"/>
      <c r="AF624" s="3"/>
      <c r="AG624" s="3"/>
    </row>
    <row r="625" spans="6:33">
      <c r="F625" s="370">
        <v>9</v>
      </c>
      <c r="G625" s="137" t="s">
        <v>247</v>
      </c>
      <c r="H625" s="136" t="s">
        <v>248</v>
      </c>
      <c r="I625" s="136" t="s">
        <v>548</v>
      </c>
      <c r="J625" s="136" t="s">
        <v>560</v>
      </c>
      <c r="K625" s="191">
        <v>-1.0606100000000001</v>
      </c>
      <c r="L625" s="191">
        <v>-0.97753179270000001</v>
      </c>
      <c r="M625" s="191">
        <v>-0.16824899589419709</v>
      </c>
      <c r="N625" s="191">
        <v>0</v>
      </c>
      <c r="O625" s="191">
        <v>0</v>
      </c>
      <c r="P625" s="191">
        <v>2.60314963639896E-2</v>
      </c>
      <c r="Q625" s="191">
        <v>3.3976891389819103E-2</v>
      </c>
      <c r="R625" s="191">
        <v>4.89234545625684E-2</v>
      </c>
      <c r="T625" s="46">
        <v>9</v>
      </c>
      <c r="U625" s="53" t="s">
        <v>239</v>
      </c>
      <c r="V625" s="3" t="s">
        <v>542</v>
      </c>
      <c r="W625" s="47" t="s">
        <v>548</v>
      </c>
      <c r="X625" s="47" t="s">
        <v>560</v>
      </c>
      <c r="Y625" s="58">
        <v>2.6644477777777777</v>
      </c>
      <c r="Z625" s="193">
        <v>0.64099666666666666</v>
      </c>
      <c r="AB625" s="3" t="s">
        <v>526</v>
      </c>
      <c r="AC625" s="125">
        <v>0.72499999999999998</v>
      </c>
      <c r="AD625" s="3">
        <v>0</v>
      </c>
      <c r="AE625" s="3"/>
      <c r="AF625" s="3"/>
      <c r="AG625" s="3"/>
    </row>
    <row r="626" spans="6:33">
      <c r="F626" s="370">
        <v>9</v>
      </c>
      <c r="G626" s="137" t="s">
        <v>247</v>
      </c>
      <c r="H626" s="136" t="s">
        <v>263</v>
      </c>
      <c r="I626" s="136" t="s">
        <v>548</v>
      </c>
      <c r="J626" s="136" t="s">
        <v>560</v>
      </c>
      <c r="K626" s="191">
        <v>-1.0341199999999999</v>
      </c>
      <c r="L626" s="191">
        <v>-0.95104179269999989</v>
      </c>
      <c r="M626" s="191">
        <v>-0.16824899589419898</v>
      </c>
      <c r="N626" s="191">
        <v>0</v>
      </c>
      <c r="O626" s="191">
        <v>0</v>
      </c>
      <c r="P626" s="191">
        <v>2.60315000695466E-2</v>
      </c>
      <c r="Q626" s="191">
        <v>3.6343057172505501E-2</v>
      </c>
      <c r="R626" s="191">
        <v>4.8923530130706702E-2</v>
      </c>
      <c r="T626" s="46">
        <v>9</v>
      </c>
      <c r="U626" s="53" t="s">
        <v>237</v>
      </c>
      <c r="V626" s="3" t="s">
        <v>238</v>
      </c>
      <c r="W626" s="47" t="s">
        <v>548</v>
      </c>
      <c r="X626" s="47" t="s">
        <v>560</v>
      </c>
      <c r="Y626" s="58">
        <v>2.7046544444444445</v>
      </c>
      <c r="Z626" s="193">
        <v>1.2161291666666667</v>
      </c>
      <c r="AB626" s="3" t="s">
        <v>526</v>
      </c>
      <c r="AC626" s="125">
        <v>0.64600000000000002</v>
      </c>
      <c r="AD626" s="3">
        <v>0</v>
      </c>
      <c r="AE626" s="3"/>
      <c r="AF626" s="3" t="s">
        <v>526</v>
      </c>
      <c r="AG626" s="83">
        <v>0.5</v>
      </c>
    </row>
    <row r="627" spans="6:33">
      <c r="F627" s="370">
        <v>9</v>
      </c>
      <c r="G627" s="137" t="s">
        <v>247</v>
      </c>
      <c r="H627" s="136" t="s">
        <v>539</v>
      </c>
      <c r="I627" s="136" t="s">
        <v>548</v>
      </c>
      <c r="J627" s="136" t="s">
        <v>560</v>
      </c>
      <c r="K627" s="191">
        <v>-1.0569599999999999</v>
      </c>
      <c r="L627" s="191">
        <v>-0.97388179269999986</v>
      </c>
      <c r="M627" s="191">
        <v>-0.17356212208033159</v>
      </c>
      <c r="N627" s="191">
        <v>0</v>
      </c>
      <c r="O627" s="191">
        <v>0</v>
      </c>
      <c r="P627" s="191">
        <v>2.6031480708477099E-2</v>
      </c>
      <c r="Q627" s="191">
        <v>2.3672069250971001E-2</v>
      </c>
      <c r="R627" s="191">
        <v>4.8925912920845402E-2</v>
      </c>
      <c r="T627" s="46">
        <v>9</v>
      </c>
      <c r="U627" s="53" t="s">
        <v>264</v>
      </c>
      <c r="V627" s="3" t="s">
        <v>264</v>
      </c>
      <c r="W627" s="47" t="s">
        <v>548</v>
      </c>
      <c r="X627" s="47" t="s">
        <v>560</v>
      </c>
      <c r="Y627" s="58">
        <v>1.9287117500000002</v>
      </c>
      <c r="Z627" s="193">
        <v>0.467055</v>
      </c>
      <c r="AB627" s="3" t="s">
        <v>526</v>
      </c>
      <c r="AC627" s="125">
        <v>0.72499999999999998</v>
      </c>
      <c r="AD627" s="3">
        <v>0.14482945764999999</v>
      </c>
      <c r="AE627" s="3" t="s">
        <v>541</v>
      </c>
      <c r="AF627" s="3"/>
      <c r="AG627" s="3"/>
    </row>
    <row r="628" spans="6:33">
      <c r="F628" s="370">
        <v>9</v>
      </c>
      <c r="G628" s="137" t="s">
        <v>247</v>
      </c>
      <c r="H628" s="136" t="s">
        <v>270</v>
      </c>
      <c r="I628" s="136" t="s">
        <v>548</v>
      </c>
      <c r="J628" s="136" t="s">
        <v>560</v>
      </c>
      <c r="K628" s="191">
        <v>-1.0505633333333335</v>
      </c>
      <c r="L628" s="191">
        <v>-0.96748512603333348</v>
      </c>
      <c r="M628" s="191">
        <v>-0.31774452117746149</v>
      </c>
      <c r="N628" s="191">
        <v>0</v>
      </c>
      <c r="O628" s="191">
        <v>0</v>
      </c>
      <c r="P628" s="191">
        <v>2.60314903844522E-2</v>
      </c>
      <c r="Q628" s="191">
        <v>3.0029661949898898E-2</v>
      </c>
      <c r="R628" s="191">
        <v>4.8924638168173801E-2</v>
      </c>
      <c r="T628" s="46">
        <v>9</v>
      </c>
      <c r="U628" s="53" t="s">
        <v>264</v>
      </c>
      <c r="V628" s="3" t="s">
        <v>336</v>
      </c>
      <c r="W628" s="47" t="s">
        <v>548</v>
      </c>
      <c r="X628" s="47" t="s">
        <v>560</v>
      </c>
      <c r="Y628" s="58">
        <v>0.76351350000000007</v>
      </c>
      <c r="Z628" s="193">
        <v>0.43603999999999998</v>
      </c>
      <c r="AB628" s="3"/>
      <c r="AC628" s="3"/>
      <c r="AD628" s="3"/>
      <c r="AE628" s="3"/>
      <c r="AF628" s="3"/>
      <c r="AG628" s="3"/>
    </row>
    <row r="629" spans="6:33">
      <c r="F629" s="370">
        <v>9</v>
      </c>
      <c r="G629" s="137" t="s">
        <v>247</v>
      </c>
      <c r="H629" s="136" t="s">
        <v>540</v>
      </c>
      <c r="I629" s="136" t="s">
        <v>548</v>
      </c>
      <c r="J629" s="136" t="s">
        <v>560</v>
      </c>
      <c r="K629" s="191">
        <v>-1.0473650000000001</v>
      </c>
      <c r="L629" s="191">
        <v>-0.96428679270000006</v>
      </c>
      <c r="M629" s="191">
        <v>0</v>
      </c>
      <c r="N629" s="191">
        <v>0</v>
      </c>
      <c r="O629" s="191">
        <v>0</v>
      </c>
      <c r="P629" s="191">
        <v>2.6031473935633199E-2</v>
      </c>
      <c r="Q629" s="191">
        <v>2.6037714878430301E-2</v>
      </c>
      <c r="R629" s="191">
        <v>4.8925468333756703E-2</v>
      </c>
      <c r="T629" s="46">
        <v>9</v>
      </c>
      <c r="U629" s="53" t="s">
        <v>242</v>
      </c>
      <c r="V629" s="3" t="s">
        <v>251</v>
      </c>
      <c r="W629" s="47" t="s">
        <v>548</v>
      </c>
      <c r="X629" s="47" t="s">
        <v>560</v>
      </c>
      <c r="Y629" s="58">
        <v>4.9218200000000003</v>
      </c>
      <c r="Z629" s="193">
        <v>0.15096000000000001</v>
      </c>
      <c r="AB629" s="3"/>
      <c r="AC629" s="3"/>
      <c r="AD629" s="3"/>
      <c r="AE629" s="3"/>
      <c r="AF629" s="3"/>
      <c r="AG629" s="3"/>
    </row>
    <row r="630" spans="6:33">
      <c r="F630" s="370">
        <v>9</v>
      </c>
      <c r="G630" s="137" t="s">
        <v>261</v>
      </c>
      <c r="H630" s="136" t="s">
        <v>260</v>
      </c>
      <c r="I630" s="136" t="s">
        <v>548</v>
      </c>
      <c r="J630" s="136" t="s">
        <v>560</v>
      </c>
      <c r="K630" s="191">
        <v>-4.0364225925925927</v>
      </c>
      <c r="L630" s="191">
        <v>0</v>
      </c>
      <c r="M630" s="191">
        <v>0</v>
      </c>
      <c r="N630" s="191">
        <v>-0.50410141805752495</v>
      </c>
      <c r="O630" s="191">
        <v>-0.86701403957079604</v>
      </c>
      <c r="P630" s="191">
        <v>-0.18154819694188001</v>
      </c>
      <c r="Q630" s="191">
        <v>-0.254603311760357</v>
      </c>
      <c r="R630" s="191">
        <v>2.7530883864368701E-2</v>
      </c>
      <c r="T630" s="46">
        <v>9</v>
      </c>
      <c r="U630" s="53" t="s">
        <v>242</v>
      </c>
      <c r="V630" s="3" t="s">
        <v>543</v>
      </c>
      <c r="W630" s="47" t="s">
        <v>548</v>
      </c>
      <c r="X630" s="47" t="s">
        <v>560</v>
      </c>
      <c r="Y630" s="58">
        <v>1.00081</v>
      </c>
      <c r="Z630" s="193">
        <v>0.33138000000000001</v>
      </c>
      <c r="AB630" s="3"/>
      <c r="AC630" s="3"/>
      <c r="AD630" s="3"/>
      <c r="AE630" s="3"/>
      <c r="AF630" s="3"/>
      <c r="AG630" s="3"/>
    </row>
    <row r="631" spans="6:33">
      <c r="F631" s="370">
        <v>9</v>
      </c>
      <c r="G631" s="137" t="s">
        <v>10157</v>
      </c>
      <c r="H631" s="136" t="s">
        <v>10157</v>
      </c>
      <c r="I631" s="136" t="s">
        <v>548</v>
      </c>
      <c r="J631" s="136" t="s">
        <v>560</v>
      </c>
      <c r="K631" s="191">
        <v>-2.8533815875203707</v>
      </c>
      <c r="L631" s="191">
        <v>-1.4249189937601854</v>
      </c>
      <c r="M631" s="191">
        <v>0</v>
      </c>
      <c r="N631" s="191">
        <v>0</v>
      </c>
      <c r="O631" s="191">
        <v>0</v>
      </c>
      <c r="P631" s="191">
        <v>-0.47601465391463771</v>
      </c>
      <c r="Q631" s="191">
        <v>-0.57023200633729854</v>
      </c>
      <c r="R631" s="191">
        <v>2.7969801577351308E-2</v>
      </c>
      <c r="T631" s="46">
        <v>9</v>
      </c>
      <c r="U631" s="53" t="s">
        <v>264</v>
      </c>
      <c r="V631" s="3" t="s">
        <v>544</v>
      </c>
      <c r="W631" s="47" t="s">
        <v>548</v>
      </c>
      <c r="X631" s="47" t="s">
        <v>560</v>
      </c>
      <c r="Y631" s="58">
        <v>3.0939100000000002</v>
      </c>
      <c r="Z631" s="193">
        <v>0.49807000000000001</v>
      </c>
      <c r="AB631" s="3" t="s">
        <v>526</v>
      </c>
      <c r="AC631" s="125">
        <v>0.77500000000000002</v>
      </c>
      <c r="AD631" s="3">
        <v>0</v>
      </c>
      <c r="AE631" s="3" t="s">
        <v>527</v>
      </c>
      <c r="AF631" s="3"/>
      <c r="AG631" s="3"/>
    </row>
    <row r="632" spans="6:33">
      <c r="F632" s="370">
        <v>9</v>
      </c>
      <c r="G632" s="137" t="s">
        <v>10157</v>
      </c>
      <c r="H632" s="136" t="s">
        <v>246</v>
      </c>
      <c r="I632" s="136" t="s">
        <v>548</v>
      </c>
      <c r="J632" s="136" t="s">
        <v>560</v>
      </c>
      <c r="K632" s="191">
        <v>-7.3412433500000009</v>
      </c>
      <c r="L632" s="191">
        <v>0</v>
      </c>
      <c r="M632" s="191">
        <v>0</v>
      </c>
      <c r="N632" s="191">
        <v>0</v>
      </c>
      <c r="O632" s="191">
        <v>0</v>
      </c>
      <c r="P632" s="191">
        <v>2.60315246484722E-2</v>
      </c>
      <c r="Q632" s="191">
        <v>4.1414954380226701E-2</v>
      </c>
      <c r="R632" s="191">
        <v>4.8923121440990702E-2</v>
      </c>
      <c r="T632" s="46">
        <v>9</v>
      </c>
      <c r="U632" s="53" t="s">
        <v>237</v>
      </c>
      <c r="V632" s="3" t="s">
        <v>545</v>
      </c>
      <c r="W632" s="47" t="s">
        <v>548</v>
      </c>
      <c r="X632" s="47" t="s">
        <v>560</v>
      </c>
      <c r="Y632" s="58">
        <v>2.8533815875203707</v>
      </c>
      <c r="Z632" s="193">
        <v>1.0711602172222223</v>
      </c>
      <c r="AB632" s="3" t="s">
        <v>526</v>
      </c>
      <c r="AC632" s="125">
        <v>0.77500000000000002</v>
      </c>
      <c r="AD632" s="3">
        <v>0</v>
      </c>
      <c r="AE632" s="3" t="s">
        <v>527</v>
      </c>
      <c r="AF632" s="3"/>
      <c r="AG632" s="3"/>
    </row>
    <row r="633" spans="6:33" ht="28.8">
      <c r="F633" s="370">
        <v>9</v>
      </c>
      <c r="G633" s="137" t="s">
        <v>10157</v>
      </c>
      <c r="H633" s="136" t="s">
        <v>10162</v>
      </c>
      <c r="I633" s="136" t="s">
        <v>548</v>
      </c>
      <c r="J633" s="136" t="s">
        <v>560</v>
      </c>
      <c r="K633" s="191">
        <v>-2.8533815875203707</v>
      </c>
      <c r="L633" s="191">
        <v>0</v>
      </c>
      <c r="M633" s="191">
        <v>0</v>
      </c>
      <c r="N633" s="191">
        <v>-1.0337398605369958</v>
      </c>
      <c r="O633" s="191">
        <v>-1.6001924218832018</v>
      </c>
      <c r="P633" s="191">
        <v>-0.47601465391463771</v>
      </c>
      <c r="Q633" s="191">
        <v>-0.57023200633729854</v>
      </c>
      <c r="R633" s="191">
        <v>2.7969801577351308E-2</v>
      </c>
      <c r="T633" s="46">
        <v>4</v>
      </c>
      <c r="U633" s="53"/>
      <c r="V633" s="47"/>
      <c r="W633" s="47" t="s">
        <v>549</v>
      </c>
      <c r="X633" s="47" t="s">
        <v>558</v>
      </c>
      <c r="Y633" s="58" t="s">
        <v>525</v>
      </c>
      <c r="Z633" s="193" t="s">
        <v>525</v>
      </c>
      <c r="AB633" s="3" t="s">
        <v>526</v>
      </c>
      <c r="AC633" s="125">
        <v>0.77500000000000002</v>
      </c>
      <c r="AD633" s="3">
        <v>0</v>
      </c>
      <c r="AE633" s="3" t="s">
        <v>527</v>
      </c>
      <c r="AF633" s="3"/>
      <c r="AG633" s="3"/>
    </row>
    <row r="634" spans="6:33">
      <c r="F634" s="370">
        <v>9</v>
      </c>
      <c r="G634" s="137" t="s">
        <v>252</v>
      </c>
      <c r="H634" s="136" t="s">
        <v>333</v>
      </c>
      <c r="I634" s="136" t="s">
        <v>548</v>
      </c>
      <c r="J634" s="136" t="s">
        <v>560</v>
      </c>
      <c r="K634" s="191">
        <v>-2.0953266666666663</v>
      </c>
      <c r="L634" s="191">
        <v>0</v>
      </c>
      <c r="M634" s="191">
        <v>-4.4028601931708895</v>
      </c>
      <c r="N634" s="191">
        <v>0</v>
      </c>
      <c r="O634" s="191">
        <v>0</v>
      </c>
      <c r="P634" s="191">
        <v>2.60314971252869E-2</v>
      </c>
      <c r="Q634" s="191">
        <v>0.54079132808039498</v>
      </c>
      <c r="R634" s="191">
        <v>2.1870256217784201</v>
      </c>
      <c r="T634" s="46">
        <v>4</v>
      </c>
      <c r="U634" s="53"/>
      <c r="V634" s="47"/>
      <c r="W634" s="47" t="s">
        <v>549</v>
      </c>
      <c r="X634" s="47" t="s">
        <v>558</v>
      </c>
      <c r="Y634" s="58" t="s">
        <v>525</v>
      </c>
      <c r="Z634" s="193" t="s">
        <v>525</v>
      </c>
      <c r="AB634" s="3" t="s">
        <v>526</v>
      </c>
      <c r="AC634" s="83">
        <v>0.5</v>
      </c>
      <c r="AD634" s="3">
        <v>0</v>
      </c>
      <c r="AE634" s="3" t="s">
        <v>528</v>
      </c>
      <c r="AF634" s="3"/>
      <c r="AG634" s="3"/>
    </row>
    <row r="635" spans="6:33">
      <c r="F635" s="370">
        <v>9</v>
      </c>
      <c r="G635" s="137" t="s">
        <v>239</v>
      </c>
      <c r="H635" s="136" t="s">
        <v>542</v>
      </c>
      <c r="I635" s="136" t="s">
        <v>548</v>
      </c>
      <c r="J635" s="136" t="s">
        <v>560</v>
      </c>
      <c r="K635" s="191">
        <v>-2.6644477777777777</v>
      </c>
      <c r="L635" s="191">
        <v>0</v>
      </c>
      <c r="M635" s="191">
        <v>-0.86668722195768011</v>
      </c>
      <c r="N635" s="191">
        <v>-1.6414433894164899</v>
      </c>
      <c r="O635" s="191">
        <v>-2.39351722049383</v>
      </c>
      <c r="P635" s="191">
        <v>-0.66144178690558597</v>
      </c>
      <c r="Q635" s="191">
        <v>-0.88835374395553102</v>
      </c>
      <c r="R635" s="191">
        <v>2.7472268181238799E-2</v>
      </c>
      <c r="T635" s="46">
        <v>4</v>
      </c>
      <c r="U635" s="53"/>
      <c r="V635" s="47"/>
      <c r="W635" s="47" t="s">
        <v>549</v>
      </c>
      <c r="X635" s="47" t="s">
        <v>558</v>
      </c>
      <c r="Y635" s="58" t="s">
        <v>525</v>
      </c>
      <c r="Z635" s="193" t="s">
        <v>525</v>
      </c>
      <c r="AB635" s="3" t="s">
        <v>526</v>
      </c>
      <c r="AC635" s="83">
        <v>0.5</v>
      </c>
      <c r="AD635" s="3">
        <v>0</v>
      </c>
      <c r="AE635" s="3" t="s">
        <v>528</v>
      </c>
      <c r="AF635" s="3"/>
      <c r="AG635" s="3"/>
    </row>
    <row r="636" spans="6:33">
      <c r="F636" s="370">
        <v>9</v>
      </c>
      <c r="G636" s="137" t="s">
        <v>10157</v>
      </c>
      <c r="H636" s="136" t="s">
        <v>238</v>
      </c>
      <c r="I636" s="136" t="s">
        <v>548</v>
      </c>
      <c r="J636" s="136" t="s">
        <v>560</v>
      </c>
      <c r="K636" s="191">
        <v>-2.7046544444444445</v>
      </c>
      <c r="L636" s="191">
        <v>0</v>
      </c>
      <c r="M636" s="191">
        <v>0</v>
      </c>
      <c r="N636" s="191">
        <v>0</v>
      </c>
      <c r="O636" s="191">
        <v>0</v>
      </c>
      <c r="P636" s="191">
        <v>-0.14585826534312482</v>
      </c>
      <c r="Q636" s="191">
        <v>-0.10753415122891077</v>
      </c>
      <c r="R636" s="191">
        <v>0.54208435433361057</v>
      </c>
      <c r="T636" s="46">
        <v>4</v>
      </c>
      <c r="U636" s="53"/>
      <c r="V636" s="47"/>
      <c r="W636" s="47" t="s">
        <v>549</v>
      </c>
      <c r="X636" s="47" t="s">
        <v>558</v>
      </c>
      <c r="Y636" s="58" t="s">
        <v>525</v>
      </c>
      <c r="Z636" s="193" t="s">
        <v>525</v>
      </c>
      <c r="AB636" s="3"/>
      <c r="AC636" s="3"/>
      <c r="AD636" s="3"/>
      <c r="AE636" s="3"/>
      <c r="AF636" s="3"/>
      <c r="AG636" s="3"/>
    </row>
    <row r="637" spans="6:33" ht="28.8">
      <c r="F637" s="370">
        <v>9</v>
      </c>
      <c r="G637" s="137" t="s">
        <v>264</v>
      </c>
      <c r="H637" s="136" t="s">
        <v>10184</v>
      </c>
      <c r="I637" s="136" t="s">
        <v>548</v>
      </c>
      <c r="J637" s="136" t="s">
        <v>560</v>
      </c>
      <c r="K637" s="191">
        <v>-1.9287117500000002</v>
      </c>
      <c r="L637" s="191">
        <v>-1.1070613798500002</v>
      </c>
      <c r="M637" s="191">
        <v>0.15112249999999994</v>
      </c>
      <c r="N637" s="191">
        <v>0</v>
      </c>
      <c r="O637" s="191">
        <v>0</v>
      </c>
      <c r="P637" s="191">
        <v>-0.35413711034524287</v>
      </c>
      <c r="Q637" s="191">
        <v>-0.539091491781443</v>
      </c>
      <c r="R637" s="191">
        <v>0.45982003331334098</v>
      </c>
      <c r="T637" s="46">
        <v>4</v>
      </c>
      <c r="U637" s="53" t="s">
        <v>330</v>
      </c>
      <c r="V637" s="47" t="s">
        <v>330</v>
      </c>
      <c r="W637" s="47" t="s">
        <v>549</v>
      </c>
      <c r="X637" s="47" t="s">
        <v>558</v>
      </c>
      <c r="Y637" s="58">
        <v>0.14119999999999999</v>
      </c>
      <c r="Z637" s="193">
        <v>0.43014000000000002</v>
      </c>
      <c r="AB637" s="3" t="s">
        <v>526</v>
      </c>
      <c r="AC637" s="125">
        <v>0.77500000000000002</v>
      </c>
      <c r="AD637" s="3">
        <v>8.1306407300000008E-2</v>
      </c>
      <c r="AE637" s="3" t="s">
        <v>531</v>
      </c>
      <c r="AF637" s="3" t="s">
        <v>526</v>
      </c>
      <c r="AG637" s="83">
        <v>0.85</v>
      </c>
    </row>
    <row r="638" spans="6:33">
      <c r="F638" s="370">
        <v>9</v>
      </c>
      <c r="G638" s="137" t="s">
        <v>264</v>
      </c>
      <c r="H638" s="136" t="s">
        <v>336</v>
      </c>
      <c r="I638" s="136" t="s">
        <v>548</v>
      </c>
      <c r="J638" s="136" t="s">
        <v>560</v>
      </c>
      <c r="K638" s="191">
        <v>-0.76351350000000007</v>
      </c>
      <c r="L638" s="191">
        <v>-0.34968251735000005</v>
      </c>
      <c r="M638" s="191">
        <v>0</v>
      </c>
      <c r="N638" s="191">
        <v>-1.64839534351149</v>
      </c>
      <c r="O638" s="191">
        <v>-2.6295970405965199</v>
      </c>
      <c r="P638" s="191">
        <v>-1.0028595636847788</v>
      </c>
      <c r="Q638" s="191">
        <v>-0.77500934729848503</v>
      </c>
      <c r="R638" s="191">
        <v>0.21034435426219095</v>
      </c>
      <c r="T638" s="46">
        <v>4</v>
      </c>
      <c r="U638" s="53" t="s">
        <v>330</v>
      </c>
      <c r="V638" s="47" t="s">
        <v>335</v>
      </c>
      <c r="W638" s="47" t="s">
        <v>549</v>
      </c>
      <c r="X638" s="47" t="s">
        <v>558</v>
      </c>
      <c r="Y638" s="58">
        <v>0.26272000000000001</v>
      </c>
      <c r="Z638" s="193">
        <v>0.43014000000000002</v>
      </c>
      <c r="AB638" s="3" t="s">
        <v>526</v>
      </c>
      <c r="AC638" s="125">
        <v>0.77500000000000002</v>
      </c>
      <c r="AD638" s="3">
        <v>8.1306407300000008E-2</v>
      </c>
      <c r="AE638" s="3" t="s">
        <v>531</v>
      </c>
      <c r="AF638" s="3" t="s">
        <v>526</v>
      </c>
      <c r="AG638" s="83">
        <v>0.7</v>
      </c>
    </row>
    <row r="639" spans="6:33">
      <c r="F639" s="370">
        <v>9</v>
      </c>
      <c r="G639" s="137" t="s">
        <v>242</v>
      </c>
      <c r="H639" s="136" t="s">
        <v>251</v>
      </c>
      <c r="I639" s="136" t="s">
        <v>548</v>
      </c>
      <c r="J639" s="136" t="s">
        <v>560</v>
      </c>
      <c r="K639" s="191">
        <v>-4.9218200000000003</v>
      </c>
      <c r="L639" s="191">
        <v>-3.5665477000000001</v>
      </c>
      <c r="M639" s="191">
        <v>-1.2190350000000001</v>
      </c>
      <c r="N639" s="191">
        <v>0</v>
      </c>
      <c r="O639" s="191">
        <v>0</v>
      </c>
      <c r="P639" s="191">
        <v>2.5962894059453824E-2</v>
      </c>
      <c r="Q639" s="191">
        <v>0.17955798171204093</v>
      </c>
      <c r="R639" s="191">
        <v>0.84656082868220983</v>
      </c>
      <c r="T639" s="46">
        <v>4</v>
      </c>
      <c r="U639" s="53" t="s">
        <v>330</v>
      </c>
      <c r="V639" s="47" t="s">
        <v>326</v>
      </c>
      <c r="W639" s="47" t="s">
        <v>549</v>
      </c>
      <c r="X639" s="47" t="s">
        <v>558</v>
      </c>
      <c r="Y639" s="58">
        <v>0.14119999999999999</v>
      </c>
      <c r="Z639" s="193">
        <v>0.43014000000000002</v>
      </c>
      <c r="AB639" s="3"/>
      <c r="AC639" s="3"/>
      <c r="AD639" s="3"/>
      <c r="AE639" s="3"/>
      <c r="AF639" s="3" t="s">
        <v>526</v>
      </c>
      <c r="AG639" s="83">
        <v>0.8</v>
      </c>
    </row>
    <row r="640" spans="6:33">
      <c r="F640" s="370">
        <v>9</v>
      </c>
      <c r="G640" s="137" t="s">
        <v>242</v>
      </c>
      <c r="H640" s="136" t="s">
        <v>543</v>
      </c>
      <c r="I640" s="136" t="s">
        <v>548</v>
      </c>
      <c r="J640" s="136" t="s">
        <v>560</v>
      </c>
      <c r="K640" s="191">
        <v>-1.00081</v>
      </c>
      <c r="L640" s="191">
        <v>-0.72381545000000003</v>
      </c>
      <c r="M640" s="191">
        <v>-0.20626249999999999</v>
      </c>
      <c r="N640" s="191">
        <v>0</v>
      </c>
      <c r="O640" s="191">
        <v>0</v>
      </c>
      <c r="P640" s="191">
        <v>2.5860000000000001E-2</v>
      </c>
      <c r="Q640" s="191">
        <v>4.1414954380226701E-2</v>
      </c>
      <c r="R640" s="191">
        <v>4.8923121440990501E-2</v>
      </c>
      <c r="T640" s="46">
        <v>4</v>
      </c>
      <c r="U640" s="53" t="s">
        <v>529</v>
      </c>
      <c r="V640" s="47" t="s">
        <v>529</v>
      </c>
      <c r="W640" s="47" t="s">
        <v>549</v>
      </c>
      <c r="X640" s="47" t="s">
        <v>558</v>
      </c>
      <c r="Y640" s="58">
        <v>4.72241</v>
      </c>
      <c r="Z640" s="193">
        <v>1.758</v>
      </c>
      <c r="AB640" s="3" t="s">
        <v>526</v>
      </c>
      <c r="AC640" s="125">
        <v>0.77500000000000002</v>
      </c>
      <c r="AD640" s="3">
        <v>8.1306407300000008E-2</v>
      </c>
      <c r="AE640" s="3" t="s">
        <v>531</v>
      </c>
      <c r="AF640" s="3" t="s">
        <v>526</v>
      </c>
      <c r="AG640" s="83">
        <v>0.7</v>
      </c>
    </row>
    <row r="641" spans="6:33">
      <c r="F641" s="370">
        <v>9</v>
      </c>
      <c r="G641" s="137" t="s">
        <v>264</v>
      </c>
      <c r="H641" s="136" t="s">
        <v>544</v>
      </c>
      <c r="I641" s="136" t="s">
        <v>548</v>
      </c>
      <c r="J641" s="136" t="s">
        <v>560</v>
      </c>
      <c r="K641" s="191">
        <v>-3.0939100000000002</v>
      </c>
      <c r="L641" s="191">
        <v>-1.8644402423500002</v>
      </c>
      <c r="M641" s="191">
        <v>0.15112249999999994</v>
      </c>
      <c r="N641" s="191">
        <v>0</v>
      </c>
      <c r="O641" s="191">
        <v>0</v>
      </c>
      <c r="P641" s="191">
        <v>0.29458534299429301</v>
      </c>
      <c r="Q641" s="191">
        <v>-0.30317363626440103</v>
      </c>
      <c r="R641" s="191">
        <v>0.70929571236449096</v>
      </c>
      <c r="T641" s="46">
        <v>4</v>
      </c>
      <c r="U641" s="53" t="s">
        <v>529</v>
      </c>
      <c r="V641" s="47" t="s">
        <v>327</v>
      </c>
      <c r="W641" s="47" t="s">
        <v>549</v>
      </c>
      <c r="X641" s="47" t="s">
        <v>558</v>
      </c>
      <c r="Y641" s="58">
        <v>0.25034000000000001</v>
      </c>
      <c r="Z641" s="193">
        <v>0.99672000000000005</v>
      </c>
      <c r="AB641" s="3"/>
      <c r="AC641" s="3"/>
      <c r="AD641" s="3"/>
      <c r="AE641" s="3"/>
      <c r="AF641" s="3"/>
      <c r="AG641" s="83"/>
    </row>
    <row r="642" spans="6:33">
      <c r="F642" s="370">
        <v>9</v>
      </c>
      <c r="G642" s="137" t="s">
        <v>10157</v>
      </c>
      <c r="H642" s="136" t="s">
        <v>545</v>
      </c>
      <c r="I642" s="136" t="s">
        <v>548</v>
      </c>
      <c r="J642" s="136" t="s">
        <v>560</v>
      </c>
      <c r="K642" s="191">
        <v>-2.8533815875203707</v>
      </c>
      <c r="L642" s="191">
        <v>0</v>
      </c>
      <c r="M642" s="191">
        <v>0</v>
      </c>
      <c r="N642" s="191">
        <v>0</v>
      </c>
      <c r="O642" s="191">
        <v>0</v>
      </c>
      <c r="P642" s="191">
        <v>-0.47601465391463771</v>
      </c>
      <c r="Q642" s="191">
        <v>-0.57023200633729854</v>
      </c>
      <c r="R642" s="191">
        <v>2.7969801577351308E-2</v>
      </c>
      <c r="T642" s="46">
        <v>4</v>
      </c>
      <c r="U642" s="53" t="s">
        <v>529</v>
      </c>
      <c r="V642" s="47" t="s">
        <v>331</v>
      </c>
      <c r="W642" s="47" t="s">
        <v>549</v>
      </c>
      <c r="X642" s="47" t="s">
        <v>558</v>
      </c>
      <c r="Y642" s="58">
        <v>9.1944800000000004</v>
      </c>
      <c r="Z642" s="193">
        <v>2.5192800000000002</v>
      </c>
      <c r="AB642" s="3" t="s">
        <v>526</v>
      </c>
      <c r="AC642" s="125">
        <v>0.77500000000000002</v>
      </c>
      <c r="AD642" s="3">
        <v>8.1306407300000008E-2</v>
      </c>
      <c r="AE642" s="3" t="s">
        <v>531</v>
      </c>
      <c r="AF642" s="3"/>
      <c r="AG642" s="3"/>
    </row>
    <row r="643" spans="6:33" ht="28.8">
      <c r="F643" s="370">
        <v>9</v>
      </c>
      <c r="G643" s="137" t="s">
        <v>10169</v>
      </c>
      <c r="H643" s="136" t="s">
        <v>10170</v>
      </c>
      <c r="I643" s="136" t="s">
        <v>548</v>
      </c>
      <c r="J643" s="136" t="s">
        <v>560</v>
      </c>
      <c r="K643" s="191">
        <v>-0.74582333333333339</v>
      </c>
      <c r="L643" s="191">
        <v>-0.58351400000000009</v>
      </c>
      <c r="M643" s="191">
        <v>0.3259926084346883</v>
      </c>
      <c r="N643" s="191">
        <v>0</v>
      </c>
      <c r="O643" s="191">
        <v>0</v>
      </c>
      <c r="P643" s="191">
        <v>0.45668176288049178</v>
      </c>
      <c r="Q643" s="191">
        <v>1.0683983533052401</v>
      </c>
      <c r="R643" s="191">
        <v>1.142290877337675</v>
      </c>
      <c r="T643" s="46">
        <v>4</v>
      </c>
      <c r="U643" s="53" t="s">
        <v>529</v>
      </c>
      <c r="V643" s="47" t="s">
        <v>332</v>
      </c>
      <c r="W643" s="47" t="s">
        <v>549</v>
      </c>
      <c r="X643" s="47" t="s">
        <v>558</v>
      </c>
      <c r="Y643" s="58">
        <v>2.5034000000000001</v>
      </c>
      <c r="Z643" s="193">
        <v>1.0183800000000001</v>
      </c>
      <c r="AB643" s="3" t="s">
        <v>526</v>
      </c>
      <c r="AC643" s="125">
        <v>0.72499999999999998</v>
      </c>
      <c r="AD643" s="3">
        <v>8.1306407300000008E-2</v>
      </c>
      <c r="AE643" s="3" t="s">
        <v>531</v>
      </c>
      <c r="AF643" s="3"/>
      <c r="AG643" s="3"/>
    </row>
    <row r="644" spans="6:33" ht="28.8">
      <c r="F644" s="370">
        <v>4</v>
      </c>
      <c r="G644" s="137" t="s">
        <v>233</v>
      </c>
      <c r="H644" s="136" t="s">
        <v>10178</v>
      </c>
      <c r="I644" s="136" t="s">
        <v>549</v>
      </c>
      <c r="J644" s="136" t="s">
        <v>558</v>
      </c>
      <c r="K644" s="191">
        <v>0</v>
      </c>
      <c r="L644" s="191">
        <v>-0.13905086666666666</v>
      </c>
      <c r="M644" s="191">
        <v>0</v>
      </c>
      <c r="N644" s="191">
        <v>-1.4467360717492961</v>
      </c>
      <c r="O644" s="191">
        <v>-2.0465383141425337</v>
      </c>
      <c r="P644" s="191">
        <v>-1.0111121528903839</v>
      </c>
      <c r="Q644" s="191">
        <v>-0.84032568934068852</v>
      </c>
      <c r="R644" s="191">
        <v>3.3140319630124294E-2</v>
      </c>
      <c r="T644" s="46">
        <v>4</v>
      </c>
      <c r="U644" s="53" t="s">
        <v>252</v>
      </c>
      <c r="V644" s="47" t="s">
        <v>252</v>
      </c>
      <c r="W644" s="47" t="s">
        <v>549</v>
      </c>
      <c r="X644" s="47" t="s">
        <v>558</v>
      </c>
      <c r="Y644" s="58">
        <v>2.0953266666666663</v>
      </c>
      <c r="Z644" s="193">
        <v>1.77911</v>
      </c>
      <c r="AB644" s="3" t="s">
        <v>526</v>
      </c>
      <c r="AC644" s="125">
        <v>0.72499999999999998</v>
      </c>
      <c r="AD644" s="3">
        <v>8.1306407300000008E-2</v>
      </c>
      <c r="AE644" s="3" t="s">
        <v>531</v>
      </c>
      <c r="AF644" s="3"/>
      <c r="AG644" s="3"/>
    </row>
    <row r="645" spans="6:33" ht="28.8">
      <c r="F645" s="370">
        <v>4</v>
      </c>
      <c r="G645" s="137" t="s">
        <v>233</v>
      </c>
      <c r="H645" s="136" t="s">
        <v>250</v>
      </c>
      <c r="I645" s="136" t="s">
        <v>549</v>
      </c>
      <c r="J645" s="136" t="s">
        <v>558</v>
      </c>
      <c r="K645" s="191">
        <v>0</v>
      </c>
      <c r="L645" s="191">
        <v>0</v>
      </c>
      <c r="M645" s="191">
        <v>0</v>
      </c>
      <c r="N645" s="191">
        <v>-1.7445685940376101</v>
      </c>
      <c r="O645" s="191">
        <v>-2.14650454588344</v>
      </c>
      <c r="P645" s="191">
        <v>-1.0412277443301501</v>
      </c>
      <c r="Q645" s="191">
        <v>-0.90055008858352303</v>
      </c>
      <c r="R645" s="191">
        <v>2.8431589260675402E-2</v>
      </c>
      <c r="T645" s="46">
        <v>4</v>
      </c>
      <c r="U645" s="53" t="s">
        <v>252</v>
      </c>
      <c r="V645" s="47" t="s">
        <v>253</v>
      </c>
      <c r="W645" s="47" t="s">
        <v>549</v>
      </c>
      <c r="X645" s="47" t="s">
        <v>558</v>
      </c>
      <c r="Y645" s="58">
        <v>2.04928</v>
      </c>
      <c r="Z645" s="193">
        <v>1.77911</v>
      </c>
      <c r="AB645" s="3" t="s">
        <v>526</v>
      </c>
      <c r="AC645" s="125">
        <v>0.64600000000000002</v>
      </c>
      <c r="AD645" s="3">
        <v>8.1306407300000008E-2</v>
      </c>
      <c r="AE645" s="3" t="s">
        <v>531</v>
      </c>
      <c r="AF645" s="3" t="s">
        <v>526</v>
      </c>
      <c r="AG645" s="83">
        <v>0.8</v>
      </c>
    </row>
    <row r="646" spans="6:33" ht="28.8">
      <c r="F646" s="370">
        <v>4</v>
      </c>
      <c r="G646" s="137" t="s">
        <v>233</v>
      </c>
      <c r="H646" s="136" t="s">
        <v>249</v>
      </c>
      <c r="I646" s="136" t="s">
        <v>549</v>
      </c>
      <c r="J646" s="136" t="s">
        <v>558</v>
      </c>
      <c r="K646" s="191">
        <v>0</v>
      </c>
      <c r="L646" s="191">
        <v>0</v>
      </c>
      <c r="M646" s="191">
        <v>0</v>
      </c>
      <c r="N646" s="191">
        <v>-0.54339733086706099</v>
      </c>
      <c r="O646" s="191">
        <v>-0.73885823663826</v>
      </c>
      <c r="P646" s="191">
        <v>1.9018677848252299E-2</v>
      </c>
      <c r="Q646" s="191">
        <v>-0.189995306558672</v>
      </c>
      <c r="R646" s="191">
        <v>2.5752900233321101E-2</v>
      </c>
      <c r="T646" s="46">
        <v>4</v>
      </c>
      <c r="U646" s="53" t="s">
        <v>252</v>
      </c>
      <c r="V646" s="47" t="s">
        <v>328</v>
      </c>
      <c r="W646" s="47" t="s">
        <v>549</v>
      </c>
      <c r="X646" s="47" t="s">
        <v>558</v>
      </c>
      <c r="Y646" s="58">
        <v>2.3231199999999999</v>
      </c>
      <c r="Z646" s="193">
        <v>1.77911</v>
      </c>
      <c r="AB646" s="3"/>
      <c r="AC646" s="3"/>
      <c r="AD646" s="3"/>
      <c r="AE646" s="3"/>
      <c r="AF646" s="3" t="s">
        <v>526</v>
      </c>
      <c r="AG646" s="83">
        <v>0.88</v>
      </c>
    </row>
    <row r="647" spans="6:33" ht="28.8">
      <c r="F647" s="370">
        <v>4</v>
      </c>
      <c r="G647" s="137" t="s">
        <v>233</v>
      </c>
      <c r="H647" s="136" t="s">
        <v>273</v>
      </c>
      <c r="I647" s="136" t="s">
        <v>549</v>
      </c>
      <c r="J647" s="136" t="s">
        <v>558</v>
      </c>
      <c r="K647" s="191">
        <v>0</v>
      </c>
      <c r="L647" s="191">
        <v>0</v>
      </c>
      <c r="M647" s="191">
        <v>0</v>
      </c>
      <c r="N647" s="191">
        <v>-1.64857147794727</v>
      </c>
      <c r="O647" s="191">
        <v>-2.1001340412127298</v>
      </c>
      <c r="P647" s="191">
        <v>-0.79637693287723699</v>
      </c>
      <c r="Q647" s="191">
        <v>-0.87468221880515595</v>
      </c>
      <c r="R647" s="191">
        <v>2.7208013547889199E-2</v>
      </c>
      <c r="T647" s="46">
        <v>4</v>
      </c>
      <c r="U647" s="53" t="s">
        <v>252</v>
      </c>
      <c r="V647" s="47" t="s">
        <v>254</v>
      </c>
      <c r="W647" s="47" t="s">
        <v>549</v>
      </c>
      <c r="X647" s="47" t="s">
        <v>558</v>
      </c>
      <c r="Y647" s="58">
        <v>2.1485799999999999</v>
      </c>
      <c r="Z647" s="193">
        <v>1.77911</v>
      </c>
      <c r="AB647" s="3" t="s">
        <v>526</v>
      </c>
      <c r="AC647" s="125">
        <v>0.64600000000000002</v>
      </c>
      <c r="AD647" s="3">
        <v>8.1306407300000008E-2</v>
      </c>
      <c r="AE647" s="3" t="s">
        <v>531</v>
      </c>
      <c r="AF647" s="3" t="s">
        <v>526</v>
      </c>
      <c r="AG647" s="83">
        <v>0.8</v>
      </c>
    </row>
    <row r="648" spans="6:33">
      <c r="F648" s="370">
        <v>4</v>
      </c>
      <c r="G648" s="137" t="s">
        <v>233</v>
      </c>
      <c r="H648" s="136" t="s">
        <v>330</v>
      </c>
      <c r="I648" s="136" t="s">
        <v>549</v>
      </c>
      <c r="J648" s="136" t="s">
        <v>558</v>
      </c>
      <c r="K648" s="191">
        <v>-0.14119999999999999</v>
      </c>
      <c r="L648" s="191">
        <v>-0.1076582</v>
      </c>
      <c r="M648" s="191">
        <v>0</v>
      </c>
      <c r="N648" s="191">
        <v>0</v>
      </c>
      <c r="O648" s="191">
        <v>0</v>
      </c>
      <c r="P648" s="191">
        <v>-1.4801733322595501</v>
      </c>
      <c r="Q648" s="191">
        <v>-1.0171854482884</v>
      </c>
      <c r="R648" s="191">
        <v>5.3035662223568897E-2</v>
      </c>
      <c r="T648" s="46">
        <v>4</v>
      </c>
      <c r="U648" s="53" t="s">
        <v>252</v>
      </c>
      <c r="V648" s="47" t="s">
        <v>532</v>
      </c>
      <c r="W648" s="47" t="s">
        <v>549</v>
      </c>
      <c r="X648" s="47" t="s">
        <v>558</v>
      </c>
      <c r="Y648" s="58">
        <v>1.9492499999999999</v>
      </c>
      <c r="Z648" s="193">
        <v>1.77911</v>
      </c>
      <c r="AB648" s="3"/>
      <c r="AC648" s="3"/>
      <c r="AD648" s="3"/>
      <c r="AE648" s="3"/>
      <c r="AF648" s="3" t="s">
        <v>526</v>
      </c>
      <c r="AG648" s="83">
        <v>0.65</v>
      </c>
    </row>
    <row r="649" spans="6:33">
      <c r="F649" s="370">
        <v>4</v>
      </c>
      <c r="G649" s="137" t="s">
        <v>233</v>
      </c>
      <c r="H649" s="136" t="s">
        <v>335</v>
      </c>
      <c r="I649" s="136" t="s">
        <v>549</v>
      </c>
      <c r="J649" s="136" t="s">
        <v>558</v>
      </c>
      <c r="K649" s="191">
        <v>-0.26272000000000001</v>
      </c>
      <c r="L649" s="191">
        <v>-0.20183620000000002</v>
      </c>
      <c r="M649" s="191">
        <v>0</v>
      </c>
      <c r="N649" s="191">
        <v>-1.64857147794727</v>
      </c>
      <c r="O649" s="191">
        <v>-2.6235973734891198</v>
      </c>
      <c r="P649" s="191">
        <v>-1.3839567928618099</v>
      </c>
      <c r="Q649" s="191">
        <v>-1.0297705369041901</v>
      </c>
      <c r="R649" s="191">
        <v>3.2206876257645602E-2</v>
      </c>
      <c r="T649" s="46">
        <v>4</v>
      </c>
      <c r="U649" s="53" t="s">
        <v>252</v>
      </c>
      <c r="V649" s="47" t="s">
        <v>245</v>
      </c>
      <c r="W649" s="47" t="s">
        <v>549</v>
      </c>
      <c r="X649" s="47" t="s">
        <v>558</v>
      </c>
      <c r="Y649" s="58">
        <v>2.0269300000000001</v>
      </c>
      <c r="Z649" s="193">
        <v>1.77911</v>
      </c>
      <c r="AB649" s="3"/>
      <c r="AC649" s="3"/>
      <c r="AD649" s="3"/>
      <c r="AE649" s="3"/>
      <c r="AF649" s="3" t="s">
        <v>526</v>
      </c>
      <c r="AG649" s="83">
        <v>0.65</v>
      </c>
    </row>
    <row r="650" spans="6:33">
      <c r="F650" s="370">
        <v>4</v>
      </c>
      <c r="G650" s="137" t="s">
        <v>233</v>
      </c>
      <c r="H650" s="136" t="s">
        <v>326</v>
      </c>
      <c r="I650" s="136" t="s">
        <v>549</v>
      </c>
      <c r="J650" s="136" t="s">
        <v>558</v>
      </c>
      <c r="K650" s="191">
        <v>-0.14119999999999999</v>
      </c>
      <c r="L650" s="191">
        <v>-0.1076582</v>
      </c>
      <c r="M650" s="191">
        <v>0</v>
      </c>
      <c r="N650" s="191">
        <v>-1.64857147794727</v>
      </c>
      <c r="O650" s="191">
        <v>-2.6235973734891198</v>
      </c>
      <c r="P650" s="191">
        <v>-1.3839567928618099</v>
      </c>
      <c r="Q650" s="191">
        <v>-1.0297705369041901</v>
      </c>
      <c r="R650" s="191">
        <v>3.2206876257645602E-2</v>
      </c>
      <c r="T650" s="46">
        <v>4</v>
      </c>
      <c r="U650" s="53" t="s">
        <v>252</v>
      </c>
      <c r="V650" s="47" t="s">
        <v>533</v>
      </c>
      <c r="W650" s="47" t="s">
        <v>549</v>
      </c>
      <c r="X650" s="47" t="s">
        <v>558</v>
      </c>
      <c r="Y650" s="58">
        <v>2.0748000000000002</v>
      </c>
      <c r="Z650" s="193">
        <v>1.77911</v>
      </c>
      <c r="AB650" s="3"/>
      <c r="AC650" s="3"/>
      <c r="AD650" s="3"/>
      <c r="AE650" s="3"/>
      <c r="AF650" s="3" t="s">
        <v>526</v>
      </c>
      <c r="AG650" s="83">
        <v>0.65</v>
      </c>
    </row>
    <row r="651" spans="6:33">
      <c r="F651" s="370">
        <v>4</v>
      </c>
      <c r="G651" s="137" t="s">
        <v>261</v>
      </c>
      <c r="H651" s="136" t="s">
        <v>10179</v>
      </c>
      <c r="I651" s="136" t="s">
        <v>549</v>
      </c>
      <c r="J651" s="136" t="s">
        <v>558</v>
      </c>
      <c r="K651" s="191">
        <v>-4.72241</v>
      </c>
      <c r="L651" s="191">
        <v>-2.3594331999999998</v>
      </c>
      <c r="M651" s="191">
        <v>0</v>
      </c>
      <c r="N651" s="191">
        <v>-0.36346266857360349</v>
      </c>
      <c r="O651" s="191">
        <v>-0.58702294782174802</v>
      </c>
      <c r="P651" s="191">
        <v>0.14044464084574848</v>
      </c>
      <c r="Q651" s="191">
        <v>-0.17520809736106552</v>
      </c>
      <c r="R651" s="191">
        <v>2.5406380090903451E-2</v>
      </c>
      <c r="T651" s="46">
        <v>4</v>
      </c>
      <c r="U651" s="53" t="s">
        <v>242</v>
      </c>
      <c r="V651" s="47" t="s">
        <v>242</v>
      </c>
      <c r="W651" s="47" t="s">
        <v>549</v>
      </c>
      <c r="X651" s="47" t="s">
        <v>558</v>
      </c>
      <c r="Y651" s="58">
        <v>38.486130000000003</v>
      </c>
      <c r="Z651" s="193">
        <v>0.20843</v>
      </c>
      <c r="AB651" s="3"/>
      <c r="AC651" s="3"/>
      <c r="AD651" s="3"/>
      <c r="AE651" s="3"/>
      <c r="AF651" s="3" t="s">
        <v>526</v>
      </c>
      <c r="AG651" s="83">
        <v>0.8</v>
      </c>
    </row>
    <row r="652" spans="6:33" ht="28.8">
      <c r="F652" s="370">
        <v>4</v>
      </c>
      <c r="G652" s="137" t="s">
        <v>261</v>
      </c>
      <c r="H652" s="136" t="s">
        <v>269</v>
      </c>
      <c r="I652" s="136" t="s">
        <v>549</v>
      </c>
      <c r="J652" s="136" t="s">
        <v>558</v>
      </c>
      <c r="K652" s="191">
        <v>-0.25034000000000001</v>
      </c>
      <c r="L652" s="191">
        <v>-0.1233982</v>
      </c>
      <c r="M652" s="191">
        <v>0</v>
      </c>
      <c r="N652" s="191">
        <v>-0.30341039235294598</v>
      </c>
      <c r="O652" s="191">
        <v>-0.49717075945658501</v>
      </c>
      <c r="P652" s="191">
        <v>0.17173516472899999</v>
      </c>
      <c r="Q652" s="191">
        <v>-0.12094475089744799</v>
      </c>
      <c r="R652" s="191">
        <v>2.5084279879975201E-2</v>
      </c>
      <c r="T652" s="46">
        <v>4</v>
      </c>
      <c r="U652" s="53" t="s">
        <v>242</v>
      </c>
      <c r="V652" s="47" t="s">
        <v>242</v>
      </c>
      <c r="W652" s="47" t="s">
        <v>549</v>
      </c>
      <c r="X652" s="47" t="s">
        <v>558</v>
      </c>
      <c r="Y652" s="58">
        <v>38.486130000000003</v>
      </c>
      <c r="Z652" s="193">
        <v>0.20843</v>
      </c>
      <c r="AB652" s="3"/>
      <c r="AC652" s="3"/>
      <c r="AD652" s="3"/>
      <c r="AE652" s="3"/>
      <c r="AF652" s="3"/>
      <c r="AG652" s="3"/>
    </row>
    <row r="653" spans="6:33" ht="28.8">
      <c r="F653" s="370">
        <v>4</v>
      </c>
      <c r="G653" s="137" t="s">
        <v>261</v>
      </c>
      <c r="H653" s="136" t="s">
        <v>530</v>
      </c>
      <c r="I653" s="136" t="s">
        <v>549</v>
      </c>
      <c r="J653" s="136" t="s">
        <v>558</v>
      </c>
      <c r="K653" s="191">
        <v>-9.1944800000000004</v>
      </c>
      <c r="L653" s="191">
        <v>-4.5954682</v>
      </c>
      <c r="M653" s="191">
        <v>0</v>
      </c>
      <c r="N653" s="191">
        <v>-0.42351494479426099</v>
      </c>
      <c r="O653" s="191">
        <v>-0.67687513618691098</v>
      </c>
      <c r="P653" s="191">
        <v>0.10915411696249699</v>
      </c>
      <c r="Q653" s="191">
        <v>-0.22947144382468301</v>
      </c>
      <c r="R653" s="191">
        <v>2.57284803018317E-2</v>
      </c>
      <c r="T653" s="46">
        <v>4</v>
      </c>
      <c r="U653" s="53" t="s">
        <v>242</v>
      </c>
      <c r="V653" s="47" t="s">
        <v>534</v>
      </c>
      <c r="W653" s="47" t="s">
        <v>549</v>
      </c>
      <c r="X653" s="47" t="s">
        <v>558</v>
      </c>
      <c r="Y653" s="58">
        <v>15.0122</v>
      </c>
      <c r="Z653" s="193">
        <v>0.37092000000000003</v>
      </c>
      <c r="AB653" s="3"/>
      <c r="AC653" s="3"/>
      <c r="AD653" s="3"/>
      <c r="AE653" s="3"/>
      <c r="AF653" s="3"/>
      <c r="AG653" s="3"/>
    </row>
    <row r="654" spans="6:33">
      <c r="F654" s="370">
        <v>4</v>
      </c>
      <c r="G654" s="137" t="s">
        <v>261</v>
      </c>
      <c r="H654" s="136" t="s">
        <v>262</v>
      </c>
      <c r="I654" s="136" t="s">
        <v>549</v>
      </c>
      <c r="J654" s="136" t="s">
        <v>558</v>
      </c>
      <c r="K654" s="191">
        <v>-2.5034000000000001</v>
      </c>
      <c r="L654" s="191">
        <v>0</v>
      </c>
      <c r="M654" s="191">
        <v>0</v>
      </c>
      <c r="N654" s="191">
        <v>-0.42351494479426099</v>
      </c>
      <c r="O654" s="191">
        <v>-0.67687513618691098</v>
      </c>
      <c r="P654" s="191">
        <v>0.10915411696249699</v>
      </c>
      <c r="Q654" s="191">
        <v>-0.22947144382468301</v>
      </c>
      <c r="R654" s="191">
        <v>2.57284803018317E-2</v>
      </c>
      <c r="T654" s="46">
        <v>4</v>
      </c>
      <c r="U654" s="53" t="s">
        <v>239</v>
      </c>
      <c r="V654" s="47" t="s">
        <v>239</v>
      </c>
      <c r="W654" s="47" t="s">
        <v>549</v>
      </c>
      <c r="X654" s="47" t="s">
        <v>558</v>
      </c>
      <c r="Y654" s="58">
        <v>2.6644477777777777</v>
      </c>
      <c r="Z654" s="193">
        <v>0.64099666666666666</v>
      </c>
      <c r="AB654" s="3"/>
      <c r="AC654" s="3"/>
      <c r="AD654" s="3"/>
      <c r="AE654" s="3"/>
      <c r="AF654" s="3" t="s">
        <v>526</v>
      </c>
      <c r="AG654" s="83">
        <v>0.95</v>
      </c>
    </row>
    <row r="655" spans="6:33">
      <c r="F655" s="370">
        <v>4</v>
      </c>
      <c r="G655" s="137" t="s">
        <v>252</v>
      </c>
      <c r="H655" s="136" t="s">
        <v>10180</v>
      </c>
      <c r="I655" s="136" t="s">
        <v>549</v>
      </c>
      <c r="J655" s="136" t="s">
        <v>558</v>
      </c>
      <c r="K655" s="191">
        <v>-2.0953266666666663</v>
      </c>
      <c r="L655" s="191">
        <v>-1.5407999593666664</v>
      </c>
      <c r="M655" s="191">
        <v>-4.4031481762585392</v>
      </c>
      <c r="N655" s="191">
        <v>0</v>
      </c>
      <c r="O655" s="191">
        <v>0</v>
      </c>
      <c r="P655" s="191">
        <v>2.6020581888276301E-2</v>
      </c>
      <c r="Q655" s="191">
        <v>0.64367971618426401</v>
      </c>
      <c r="R655" s="191">
        <v>2.1870243665261602</v>
      </c>
      <c r="T655" s="46">
        <v>4</v>
      </c>
      <c r="U655" s="53" t="s">
        <v>239</v>
      </c>
      <c r="V655" s="47" t="s">
        <v>324</v>
      </c>
      <c r="W655" s="47" t="s">
        <v>549</v>
      </c>
      <c r="X655" s="47" t="s">
        <v>558</v>
      </c>
      <c r="Y655" s="58">
        <v>1.66</v>
      </c>
      <c r="Z655" s="193">
        <v>0.13142999999999999</v>
      </c>
      <c r="AB655" s="3" t="s">
        <v>526</v>
      </c>
      <c r="AC655" s="125">
        <v>1</v>
      </c>
      <c r="AD655" s="3">
        <v>8.1306407300000008E-2</v>
      </c>
      <c r="AE655" s="3" t="s">
        <v>531</v>
      </c>
      <c r="AF655" s="3" t="s">
        <v>526</v>
      </c>
      <c r="AG655" s="83">
        <v>0.95</v>
      </c>
    </row>
    <row r="656" spans="6:33" ht="57.6">
      <c r="F656" s="370">
        <v>4</v>
      </c>
      <c r="G656" s="137" t="s">
        <v>252</v>
      </c>
      <c r="H656" s="136" t="s">
        <v>10163</v>
      </c>
      <c r="I656" s="136" t="s">
        <v>549</v>
      </c>
      <c r="J656" s="136" t="s">
        <v>558</v>
      </c>
      <c r="K656" s="191">
        <v>-2.04928</v>
      </c>
      <c r="L656" s="191">
        <v>0</v>
      </c>
      <c r="M656" s="191">
        <v>-3.8694262558103372</v>
      </c>
      <c r="N656" s="191">
        <v>0</v>
      </c>
      <c r="O656" s="191">
        <v>0</v>
      </c>
      <c r="P656" s="191">
        <v>2.6020578907311302E-2</v>
      </c>
      <c r="Q656" s="191">
        <v>0.52020977610562502</v>
      </c>
      <c r="R656" s="191">
        <v>3.1831776947858499</v>
      </c>
      <c r="T656" s="46">
        <v>4</v>
      </c>
      <c r="U656" s="53" t="s">
        <v>239</v>
      </c>
      <c r="V656" s="47" t="s">
        <v>272</v>
      </c>
      <c r="W656" s="47" t="s">
        <v>549</v>
      </c>
      <c r="X656" s="47" t="s">
        <v>558</v>
      </c>
      <c r="Y656" s="58">
        <v>2.1278299999999999</v>
      </c>
      <c r="Z656" s="193">
        <v>1.2152400000000001</v>
      </c>
      <c r="AB656" s="3" t="s">
        <v>526</v>
      </c>
      <c r="AC656" s="125">
        <v>1</v>
      </c>
      <c r="AD656" s="3">
        <v>8.1306407300000008E-2</v>
      </c>
      <c r="AE656" s="3" t="s">
        <v>531</v>
      </c>
      <c r="AF656" s="3" t="s">
        <v>526</v>
      </c>
      <c r="AG656" s="83">
        <v>0.95</v>
      </c>
    </row>
    <row r="657" spans="6:33" ht="28.8">
      <c r="F657" s="370">
        <v>4</v>
      </c>
      <c r="G657" s="137" t="s">
        <v>252</v>
      </c>
      <c r="H657" s="136" t="s">
        <v>10164</v>
      </c>
      <c r="I657" s="136" t="s">
        <v>549</v>
      </c>
      <c r="J657" s="136" t="s">
        <v>558</v>
      </c>
      <c r="K657" s="191">
        <v>-2.3231199999999999</v>
      </c>
      <c r="L657" s="191">
        <v>0</v>
      </c>
      <c r="M657" s="191">
        <v>-4.5538212910292968</v>
      </c>
      <c r="N657" s="191">
        <v>0</v>
      </c>
      <c r="O657" s="191">
        <v>0</v>
      </c>
      <c r="P657" s="191">
        <v>2.6020579699310299E-2</v>
      </c>
      <c r="Q657" s="191">
        <v>0.55565540652519696</v>
      </c>
      <c r="R657" s="191">
        <v>2.49560781474261</v>
      </c>
      <c r="T657" s="46">
        <v>4</v>
      </c>
      <c r="U657" s="53" t="s">
        <v>239</v>
      </c>
      <c r="V657" s="47" t="s">
        <v>329</v>
      </c>
      <c r="W657" s="47" t="s">
        <v>549</v>
      </c>
      <c r="X657" s="47" t="s">
        <v>558</v>
      </c>
      <c r="Y657" s="58">
        <v>3.4792200000000002</v>
      </c>
      <c r="Z657" s="193">
        <v>1.0383</v>
      </c>
      <c r="AB657" s="3" t="s">
        <v>526</v>
      </c>
      <c r="AC657" s="125">
        <v>1</v>
      </c>
      <c r="AD657" s="3">
        <v>8.1306407300000008E-2</v>
      </c>
      <c r="AE657" s="3" t="s">
        <v>531</v>
      </c>
      <c r="AF657" s="3"/>
      <c r="AG657" s="3"/>
    </row>
    <row r="658" spans="6:33" ht="28.8">
      <c r="F658" s="370">
        <v>4</v>
      </c>
      <c r="G658" s="137" t="s">
        <v>252</v>
      </c>
      <c r="H658" s="136" t="s">
        <v>10165</v>
      </c>
      <c r="I658" s="136" t="s">
        <v>549</v>
      </c>
      <c r="J658" s="136" t="s">
        <v>558</v>
      </c>
      <c r="K658" s="191">
        <v>-2.1485799999999999</v>
      </c>
      <c r="L658" s="191">
        <v>0</v>
      </c>
      <c r="M658" s="191">
        <v>-4.6355238671652268</v>
      </c>
      <c r="N658" s="191">
        <v>0</v>
      </c>
      <c r="O658" s="191">
        <v>0</v>
      </c>
      <c r="P658" s="191">
        <v>2.60205789073111E-2</v>
      </c>
      <c r="Q658" s="191">
        <v>0.71627667975351805</v>
      </c>
      <c r="R658" s="191">
        <v>2.5363325234326899</v>
      </c>
      <c r="T658" s="46">
        <v>4</v>
      </c>
      <c r="U658" s="53" t="s">
        <v>239</v>
      </c>
      <c r="V658" s="47" t="s">
        <v>271</v>
      </c>
      <c r="W658" s="47" t="s">
        <v>549</v>
      </c>
      <c r="X658" s="47" t="s">
        <v>558</v>
      </c>
      <c r="Y658" s="58">
        <v>3.1045600000000002</v>
      </c>
      <c r="Z658" s="193">
        <v>0.12864</v>
      </c>
      <c r="AB658" s="3"/>
      <c r="AC658" s="3"/>
      <c r="AD658" s="3"/>
      <c r="AE658" s="3"/>
      <c r="AF658" s="3" t="s">
        <v>526</v>
      </c>
      <c r="AG658" s="83">
        <v>0.95</v>
      </c>
    </row>
    <row r="659" spans="6:33" ht="28.8">
      <c r="F659" s="370">
        <v>4</v>
      </c>
      <c r="G659" s="137" t="s">
        <v>252</v>
      </c>
      <c r="H659" s="136" t="s">
        <v>10166</v>
      </c>
      <c r="I659" s="136" t="s">
        <v>549</v>
      </c>
      <c r="J659" s="136" t="s">
        <v>558</v>
      </c>
      <c r="K659" s="191">
        <v>-1.9492499999999999</v>
      </c>
      <c r="L659" s="191">
        <v>0</v>
      </c>
      <c r="M659" s="191">
        <v>-4.5538212910292968</v>
      </c>
      <c r="N659" s="191">
        <v>0</v>
      </c>
      <c r="O659" s="191">
        <v>0</v>
      </c>
      <c r="P659" s="191">
        <v>2.6020579699310299E-2</v>
      </c>
      <c r="Q659" s="191">
        <v>0.55565540652519696</v>
      </c>
      <c r="R659" s="191">
        <v>2.49560781474261</v>
      </c>
      <c r="T659" s="46">
        <v>4</v>
      </c>
      <c r="U659" s="53" t="s">
        <v>239</v>
      </c>
      <c r="V659" s="47" t="s">
        <v>535</v>
      </c>
      <c r="W659" s="47" t="s">
        <v>549</v>
      </c>
      <c r="X659" s="47" t="s">
        <v>558</v>
      </c>
      <c r="Y659" s="58">
        <v>3.1045600000000002</v>
      </c>
      <c r="Z659" s="193">
        <v>0.12864</v>
      </c>
      <c r="AB659" s="3" t="s">
        <v>526</v>
      </c>
      <c r="AC659" s="125">
        <v>1</v>
      </c>
      <c r="AD659" s="3">
        <v>0</v>
      </c>
      <c r="AE659" s="3" t="s">
        <v>527</v>
      </c>
      <c r="AF659" s="3" t="s">
        <v>526</v>
      </c>
      <c r="AG659" s="83">
        <v>0.9</v>
      </c>
    </row>
    <row r="660" spans="6:33">
      <c r="F660" s="370">
        <v>4</v>
      </c>
      <c r="G660" s="137" t="s">
        <v>252</v>
      </c>
      <c r="H660" s="136" t="s">
        <v>10167</v>
      </c>
      <c r="I660" s="136" t="s">
        <v>549</v>
      </c>
      <c r="J660" s="136" t="s">
        <v>558</v>
      </c>
      <c r="K660" s="191">
        <v>-2.0269300000000001</v>
      </c>
      <c r="L660" s="191">
        <v>0</v>
      </c>
      <c r="M660" s="191">
        <v>0</v>
      </c>
      <c r="N660" s="191">
        <v>0</v>
      </c>
      <c r="O660" s="191">
        <v>0</v>
      </c>
      <c r="P660" s="191">
        <v>2.6020579816657698E-2</v>
      </c>
      <c r="Q660" s="191">
        <v>0.47536813212165802</v>
      </c>
      <c r="R660" s="191">
        <v>3.1833670046879501</v>
      </c>
      <c r="T660" s="46">
        <v>4</v>
      </c>
      <c r="U660" s="53" t="s">
        <v>239</v>
      </c>
      <c r="V660" s="47" t="s">
        <v>259</v>
      </c>
      <c r="W660" s="47" t="s">
        <v>549</v>
      </c>
      <c r="X660" s="47" t="s">
        <v>558</v>
      </c>
      <c r="Y660" s="58">
        <v>2.86965</v>
      </c>
      <c r="Z660" s="193">
        <v>0.79600000000000004</v>
      </c>
      <c r="AB660" s="3" t="s">
        <v>526</v>
      </c>
      <c r="AC660" s="125">
        <v>1</v>
      </c>
      <c r="AD660" s="3">
        <v>8.1306407300000008E-2</v>
      </c>
      <c r="AE660" s="3" t="s">
        <v>531</v>
      </c>
      <c r="AF660" s="3" t="s">
        <v>526</v>
      </c>
      <c r="AG660" s="83">
        <v>0.9</v>
      </c>
    </row>
    <row r="661" spans="6:33">
      <c r="F661" s="370">
        <v>4</v>
      </c>
      <c r="G661" s="137" t="s">
        <v>252</v>
      </c>
      <c r="H661" s="136" t="s">
        <v>10168</v>
      </c>
      <c r="I661" s="136" t="s">
        <v>549</v>
      </c>
      <c r="J661" s="136" t="s">
        <v>558</v>
      </c>
      <c r="K661" s="191">
        <v>-2.0748000000000002</v>
      </c>
      <c r="L661" s="191">
        <v>0</v>
      </c>
      <c r="M661" s="191">
        <v>0</v>
      </c>
      <c r="N661" s="191">
        <v>0</v>
      </c>
      <c r="O661" s="191">
        <v>0</v>
      </c>
      <c r="P661" s="191">
        <v>2.60205746762723E-2</v>
      </c>
      <c r="Q661" s="191">
        <v>0.66988102413158801</v>
      </c>
      <c r="R661" s="191">
        <v>3.0368306765396702</v>
      </c>
      <c r="T661" s="46">
        <v>4</v>
      </c>
      <c r="U661" s="53" t="s">
        <v>239</v>
      </c>
      <c r="V661" s="47" t="s">
        <v>334</v>
      </c>
      <c r="W661" s="47" t="s">
        <v>549</v>
      </c>
      <c r="X661" s="47" t="s">
        <v>558</v>
      </c>
      <c r="Y661" s="58">
        <v>2.86965</v>
      </c>
      <c r="Z661" s="193">
        <v>0.76736000000000004</v>
      </c>
      <c r="AB661" s="3" t="s">
        <v>526</v>
      </c>
      <c r="AC661" s="125">
        <v>1</v>
      </c>
      <c r="AD661" s="3">
        <v>8.1306407300000008E-2</v>
      </c>
      <c r="AE661" s="3" t="s">
        <v>531</v>
      </c>
      <c r="AF661" s="3" t="s">
        <v>526</v>
      </c>
      <c r="AG661" s="83">
        <v>0.95</v>
      </c>
    </row>
    <row r="662" spans="6:33">
      <c r="F662" s="370">
        <v>4</v>
      </c>
      <c r="G662" s="137" t="s">
        <v>242</v>
      </c>
      <c r="H662" s="136" t="s">
        <v>10181</v>
      </c>
      <c r="I662" s="136" t="s">
        <v>549</v>
      </c>
      <c r="J662" s="136" t="s">
        <v>558</v>
      </c>
      <c r="K662" s="191">
        <v>-38.486130000000003</v>
      </c>
      <c r="L662" s="191">
        <v>-27.900672450000002</v>
      </c>
      <c r="M662" s="191">
        <v>-3.2868550000000001</v>
      </c>
      <c r="N662" s="191">
        <v>0</v>
      </c>
      <c r="O662" s="191">
        <v>0</v>
      </c>
      <c r="P662" s="191">
        <v>2.5860000000000001E-2</v>
      </c>
      <c r="Q662" s="191">
        <v>4.1873157686419603E-2</v>
      </c>
      <c r="R662" s="191">
        <v>4.8912064305887501E-2</v>
      </c>
      <c r="T662" s="46">
        <v>4</v>
      </c>
      <c r="U662" s="53" t="s">
        <v>239</v>
      </c>
      <c r="V662" s="47" t="s">
        <v>240</v>
      </c>
      <c r="W662" s="47" t="s">
        <v>549</v>
      </c>
      <c r="X662" s="47" t="s">
        <v>558</v>
      </c>
      <c r="Y662" s="58">
        <v>3.1045600000000002</v>
      </c>
      <c r="Z662" s="193">
        <v>0.76736000000000004</v>
      </c>
      <c r="AB662" s="3" t="s">
        <v>526</v>
      </c>
      <c r="AC662" s="125">
        <v>1</v>
      </c>
      <c r="AD662" s="3">
        <v>8.1306407300000008E-2</v>
      </c>
      <c r="AE662" s="3" t="s">
        <v>531</v>
      </c>
      <c r="AF662" s="3" t="s">
        <v>526</v>
      </c>
      <c r="AG662" s="83">
        <v>0.7</v>
      </c>
    </row>
    <row r="663" spans="6:33" ht="28.8">
      <c r="F663" s="370">
        <v>4</v>
      </c>
      <c r="G663" s="137" t="s">
        <v>242</v>
      </c>
      <c r="H663" s="136" t="s">
        <v>274</v>
      </c>
      <c r="I663" s="136" t="s">
        <v>549</v>
      </c>
      <c r="J663" s="136" t="s">
        <v>558</v>
      </c>
      <c r="K663" s="191">
        <v>-38.486130000000003</v>
      </c>
      <c r="L663" s="191">
        <v>-27.900672450000002</v>
      </c>
      <c r="M663" s="191">
        <v>-8.5278425000000002</v>
      </c>
      <c r="N663" s="191">
        <v>0</v>
      </c>
      <c r="O663" s="191">
        <v>0</v>
      </c>
      <c r="P663" s="191">
        <v>2.5860000000000001E-2</v>
      </c>
      <c r="Q663" s="191">
        <v>4.1873157686419603E-2</v>
      </c>
      <c r="R663" s="191">
        <v>4.8912064305887501E-2</v>
      </c>
      <c r="T663" s="46">
        <v>4</v>
      </c>
      <c r="U663" s="53" t="s">
        <v>239</v>
      </c>
      <c r="V663" s="47" t="s">
        <v>325</v>
      </c>
      <c r="W663" s="47" t="s">
        <v>549</v>
      </c>
      <c r="X663" s="47" t="s">
        <v>558</v>
      </c>
      <c r="Y663" s="58">
        <v>1.66</v>
      </c>
      <c r="Z663" s="193">
        <v>0.79600000000000004</v>
      </c>
      <c r="AB663" s="3" t="s">
        <v>526</v>
      </c>
      <c r="AC663" s="125">
        <v>1</v>
      </c>
      <c r="AD663" s="3">
        <v>8.1306407300000008E-2</v>
      </c>
      <c r="AE663" s="3" t="s">
        <v>531</v>
      </c>
      <c r="AF663" s="3"/>
      <c r="AG663" s="3"/>
    </row>
    <row r="664" spans="6:33">
      <c r="F664" s="370">
        <v>4</v>
      </c>
      <c r="G664" s="137" t="s">
        <v>242</v>
      </c>
      <c r="H664" s="136" t="s">
        <v>534</v>
      </c>
      <c r="I664" s="136" t="s">
        <v>549</v>
      </c>
      <c r="J664" s="136" t="s">
        <v>558</v>
      </c>
      <c r="K664" s="191">
        <v>-15.0122</v>
      </c>
      <c r="L664" s="191">
        <v>-10.882073199999999</v>
      </c>
      <c r="M664" s="191">
        <v>-3.19428</v>
      </c>
      <c r="N664" s="191">
        <v>0</v>
      </c>
      <c r="O664" s="191">
        <v>0</v>
      </c>
      <c r="P664" s="191">
        <v>2.5860000000000001E-2</v>
      </c>
      <c r="Q664" s="191">
        <v>4.1873157686419603E-2</v>
      </c>
      <c r="R664" s="191">
        <v>4.8912064305887501E-2</v>
      </c>
      <c r="T664" s="46">
        <v>4</v>
      </c>
      <c r="U664" s="53" t="s">
        <v>256</v>
      </c>
      <c r="V664" s="47" t="s">
        <v>256</v>
      </c>
      <c r="W664" s="47" t="s">
        <v>549</v>
      </c>
      <c r="X664" s="47" t="s">
        <v>558</v>
      </c>
      <c r="Y664" s="58">
        <v>3.3097799999999999</v>
      </c>
      <c r="Z664" s="193">
        <v>1.0068550000000001</v>
      </c>
      <c r="AB664" s="3" t="s">
        <v>526</v>
      </c>
      <c r="AC664" s="83">
        <v>0.5</v>
      </c>
      <c r="AD664" s="3">
        <v>8.1306407300000008E-2</v>
      </c>
      <c r="AE664" s="3" t="s">
        <v>531</v>
      </c>
      <c r="AF664" s="3"/>
      <c r="AG664" s="3"/>
    </row>
    <row r="665" spans="6:33">
      <c r="F665" s="370">
        <v>4</v>
      </c>
      <c r="G665" s="137" t="s">
        <v>239</v>
      </c>
      <c r="H665" s="136" t="s">
        <v>10182</v>
      </c>
      <c r="I665" s="136" t="s">
        <v>549</v>
      </c>
      <c r="J665" s="136" t="s">
        <v>558</v>
      </c>
      <c r="K665" s="191">
        <v>-2.6644477777777777</v>
      </c>
      <c r="L665" s="191">
        <v>-1.7194614644444446</v>
      </c>
      <c r="M665" s="191">
        <v>-0.81863347086678395</v>
      </c>
      <c r="N665" s="191">
        <v>-1.6415798386896601</v>
      </c>
      <c r="O665" s="191">
        <v>-2.38786328467627</v>
      </c>
      <c r="P665" s="191">
        <v>-0.643826267470201</v>
      </c>
      <c r="Q665" s="191">
        <v>-0.83111541500928499</v>
      </c>
      <c r="R665" s="191">
        <v>2.74714713689365E-2</v>
      </c>
      <c r="T665" s="46">
        <v>4</v>
      </c>
      <c r="U665" s="53" t="s">
        <v>256</v>
      </c>
      <c r="V665" s="47" t="s">
        <v>536</v>
      </c>
      <c r="W665" s="47" t="s">
        <v>549</v>
      </c>
      <c r="X665" s="47" t="s">
        <v>558</v>
      </c>
      <c r="Y665" s="58">
        <v>1.9798800000000001</v>
      </c>
      <c r="Z665" s="193">
        <v>0.72957000000000005</v>
      </c>
      <c r="AB665" s="3"/>
      <c r="AC665" s="3"/>
      <c r="AD665" s="3"/>
      <c r="AE665" s="3"/>
      <c r="AF665" s="3"/>
      <c r="AG665" s="3"/>
    </row>
    <row r="666" spans="6:33">
      <c r="F666" s="370">
        <v>4</v>
      </c>
      <c r="G666" s="137" t="s">
        <v>239</v>
      </c>
      <c r="H666" s="136" t="s">
        <v>324</v>
      </c>
      <c r="I666" s="136" t="s">
        <v>549</v>
      </c>
      <c r="J666" s="136" t="s">
        <v>558</v>
      </c>
      <c r="K666" s="191">
        <v>-1.66</v>
      </c>
      <c r="L666" s="191">
        <v>0</v>
      </c>
      <c r="M666" s="191">
        <v>0.234301631229135</v>
      </c>
      <c r="N666" s="191">
        <v>-1.65213383482568</v>
      </c>
      <c r="O666" s="191">
        <v>-2.2423652497529898</v>
      </c>
      <c r="P666" s="191">
        <v>-1.12800829216573</v>
      </c>
      <c r="Q666" s="191">
        <v>-0.903746005846506</v>
      </c>
      <c r="R666" s="191">
        <v>2.6682428580345498E-2</v>
      </c>
      <c r="T666" s="46">
        <v>4</v>
      </c>
      <c r="U666" s="53" t="s">
        <v>256</v>
      </c>
      <c r="V666" s="47" t="s">
        <v>257</v>
      </c>
      <c r="W666" s="47" t="s">
        <v>549</v>
      </c>
      <c r="X666" s="47" t="s">
        <v>558</v>
      </c>
      <c r="Y666" s="58">
        <v>1.9798800000000001</v>
      </c>
      <c r="Z666" s="193">
        <v>0.46493000000000001</v>
      </c>
      <c r="AB666" s="3"/>
      <c r="AC666" s="3"/>
      <c r="AD666" s="3"/>
      <c r="AE666" s="3"/>
      <c r="AF666" s="3"/>
      <c r="AG666" s="3"/>
    </row>
    <row r="667" spans="6:33">
      <c r="F667" s="370">
        <v>4</v>
      </c>
      <c r="G667" s="137" t="s">
        <v>239</v>
      </c>
      <c r="H667" s="136" t="s">
        <v>272</v>
      </c>
      <c r="I667" s="136" t="s">
        <v>549</v>
      </c>
      <c r="J667" s="136" t="s">
        <v>558</v>
      </c>
      <c r="K667" s="191">
        <v>-2.1278299999999999</v>
      </c>
      <c r="L667" s="191">
        <v>-1.3728063799999999</v>
      </c>
      <c r="M667" s="191">
        <v>-1.2269576243580629E-2</v>
      </c>
      <c r="N667" s="191">
        <v>-1.4789827623174101</v>
      </c>
      <c r="O667" s="191">
        <v>-2.2484314757805302</v>
      </c>
      <c r="P667" s="191">
        <v>2.8719999999999999E-2</v>
      </c>
      <c r="Q667" s="191">
        <v>-0.71002125139084304</v>
      </c>
      <c r="R667" s="191">
        <v>3.4584682649234297E-2</v>
      </c>
      <c r="T667" s="46">
        <v>4</v>
      </c>
      <c r="U667" s="53" t="s">
        <v>256</v>
      </c>
      <c r="V667" s="47" t="s">
        <v>537</v>
      </c>
      <c r="W667" s="47" t="s">
        <v>549</v>
      </c>
      <c r="X667" s="47" t="s">
        <v>558</v>
      </c>
      <c r="Y667" s="58">
        <v>5.0082800000000001</v>
      </c>
      <c r="Z667" s="193">
        <v>1.54878</v>
      </c>
      <c r="AB667" s="3"/>
      <c r="AC667" s="3"/>
      <c r="AD667" s="3"/>
      <c r="AE667" s="3"/>
      <c r="AF667" s="3" t="s">
        <v>526</v>
      </c>
      <c r="AG667" s="83">
        <v>0.7</v>
      </c>
    </row>
    <row r="668" spans="6:33">
      <c r="F668" s="370">
        <v>4</v>
      </c>
      <c r="G668" s="137" t="s">
        <v>239</v>
      </c>
      <c r="H668" s="136" t="s">
        <v>329</v>
      </c>
      <c r="I668" s="136" t="s">
        <v>549</v>
      </c>
      <c r="J668" s="136" t="s">
        <v>558</v>
      </c>
      <c r="K668" s="191">
        <v>-3.4792200000000002</v>
      </c>
      <c r="L668" s="191">
        <v>0</v>
      </c>
      <c r="M668" s="191">
        <v>-3.038961016348765</v>
      </c>
      <c r="N668" s="191">
        <v>-1.60160728030095</v>
      </c>
      <c r="O668" s="191">
        <v>-2.4887035951540901</v>
      </c>
      <c r="P668" s="191">
        <v>0.46522140139433599</v>
      </c>
      <c r="Q668" s="191">
        <v>-0.71253458198150998</v>
      </c>
      <c r="R668" s="191">
        <v>3.7247173994654E-2</v>
      </c>
      <c r="T668" s="46">
        <v>4</v>
      </c>
      <c r="U668" s="53" t="s">
        <v>256</v>
      </c>
      <c r="V668" s="47" t="s">
        <v>538</v>
      </c>
      <c r="W668" s="47" t="s">
        <v>549</v>
      </c>
      <c r="X668" s="47" t="s">
        <v>558</v>
      </c>
      <c r="Y668" s="58">
        <v>4.6396800000000002</v>
      </c>
      <c r="Z668" s="193">
        <v>1.54878</v>
      </c>
      <c r="AB668" s="3"/>
      <c r="AC668" s="3"/>
      <c r="AD668" s="3"/>
      <c r="AE668" s="3"/>
      <c r="AF668" s="3" t="s">
        <v>526</v>
      </c>
      <c r="AG668" s="83">
        <v>0.65</v>
      </c>
    </row>
    <row r="669" spans="6:33">
      <c r="F669" s="370">
        <v>4</v>
      </c>
      <c r="G669" s="137" t="s">
        <v>239</v>
      </c>
      <c r="H669" s="136" t="s">
        <v>271</v>
      </c>
      <c r="I669" s="136" t="s">
        <v>549</v>
      </c>
      <c r="J669" s="136" t="s">
        <v>558</v>
      </c>
      <c r="K669" s="191">
        <v>-3.1045600000000002</v>
      </c>
      <c r="L669" s="191">
        <v>0</v>
      </c>
      <c r="M669" s="191">
        <v>-0.92096265472513195</v>
      </c>
      <c r="N669" s="191">
        <v>-1.5169178191689101</v>
      </c>
      <c r="O669" s="191">
        <v>-2.5947973767447099</v>
      </c>
      <c r="P669" s="191">
        <v>-0.66058111749095905</v>
      </c>
      <c r="Q669" s="191">
        <v>-0.67860109704184801</v>
      </c>
      <c r="R669" s="191">
        <v>4.03916276490624E-2</v>
      </c>
      <c r="T669" s="46">
        <v>4</v>
      </c>
      <c r="U669" s="53" t="s">
        <v>256</v>
      </c>
      <c r="V669" s="47" t="s">
        <v>258</v>
      </c>
      <c r="W669" s="47" t="s">
        <v>549</v>
      </c>
      <c r="X669" s="47" t="s">
        <v>558</v>
      </c>
      <c r="Y669" s="58">
        <v>4.6396800000000002</v>
      </c>
      <c r="Z669" s="193">
        <v>1.54878</v>
      </c>
      <c r="AB669" s="3"/>
      <c r="AC669" s="3"/>
      <c r="AD669" s="3"/>
      <c r="AE669" s="3"/>
      <c r="AF669" s="3"/>
      <c r="AG669" s="3"/>
    </row>
    <row r="670" spans="6:33">
      <c r="F670" s="370">
        <v>4</v>
      </c>
      <c r="G670" s="137" t="s">
        <v>239</v>
      </c>
      <c r="H670" s="136" t="s">
        <v>535</v>
      </c>
      <c r="I670" s="136" t="s">
        <v>549</v>
      </c>
      <c r="J670" s="136" t="s">
        <v>558</v>
      </c>
      <c r="K670" s="191">
        <v>-3.1045600000000002</v>
      </c>
      <c r="L670" s="191">
        <v>0</v>
      </c>
      <c r="M670" s="191">
        <v>-0.92096265472513195</v>
      </c>
      <c r="N670" s="191">
        <v>-1.6255597381762901</v>
      </c>
      <c r="O670" s="191">
        <v>-2.60310077339253</v>
      </c>
      <c r="P670" s="191">
        <v>-0.85849804034267496</v>
      </c>
      <c r="Q670" s="191">
        <v>-0.756282708361248</v>
      </c>
      <c r="R670" s="191">
        <v>2.9212528272995499E-2</v>
      </c>
      <c r="T670" s="46">
        <v>4</v>
      </c>
      <c r="U670" s="53" t="s">
        <v>247</v>
      </c>
      <c r="V670" s="47" t="s">
        <v>247</v>
      </c>
      <c r="W670" s="47" t="s">
        <v>549</v>
      </c>
      <c r="X670" s="47" t="s">
        <v>558</v>
      </c>
      <c r="Y670" s="58">
        <v>1.0505633333333335</v>
      </c>
      <c r="Z670" s="193">
        <v>0.89563000000000004</v>
      </c>
      <c r="AB670" s="3"/>
      <c r="AC670" s="3"/>
      <c r="AD670" s="3"/>
      <c r="AE670" s="3"/>
      <c r="AF670" s="3"/>
      <c r="AG670" s="3"/>
    </row>
    <row r="671" spans="6:33">
      <c r="F671" s="370">
        <v>4</v>
      </c>
      <c r="G671" s="137" t="s">
        <v>239</v>
      </c>
      <c r="H671" s="136" t="s">
        <v>259</v>
      </c>
      <c r="I671" s="136" t="s">
        <v>549</v>
      </c>
      <c r="J671" s="136" t="s">
        <v>558</v>
      </c>
      <c r="K671" s="191">
        <v>-2.86965</v>
      </c>
      <c r="L671" s="191">
        <v>0</v>
      </c>
      <c r="M671" s="191">
        <v>-0.92096265472513195</v>
      </c>
      <c r="N671" s="191">
        <v>-1.34053895096424</v>
      </c>
      <c r="O671" s="191">
        <v>-2.0226989122499601</v>
      </c>
      <c r="P671" s="191">
        <v>-0.366079444831788</v>
      </c>
      <c r="Q671" s="191">
        <v>-0.61578846946730303</v>
      </c>
      <c r="R671" s="191">
        <v>2.8420275292329902E-2</v>
      </c>
      <c r="T671" s="46">
        <v>4</v>
      </c>
      <c r="U671" s="53" t="s">
        <v>247</v>
      </c>
      <c r="V671" s="47" t="s">
        <v>248</v>
      </c>
      <c r="W671" s="47" t="s">
        <v>549</v>
      </c>
      <c r="X671" s="47" t="s">
        <v>558</v>
      </c>
      <c r="Y671" s="58">
        <v>1.0606100000000001</v>
      </c>
      <c r="Z671" s="193">
        <v>0.89563000000000004</v>
      </c>
      <c r="AB671" s="3" t="s">
        <v>526</v>
      </c>
      <c r="AC671" s="125">
        <v>0.64600000000000002</v>
      </c>
      <c r="AD671" s="3">
        <v>0</v>
      </c>
      <c r="AE671" s="3"/>
      <c r="AF671" s="3"/>
      <c r="AG671" s="3"/>
    </row>
    <row r="672" spans="6:33">
      <c r="F672" s="370">
        <v>4</v>
      </c>
      <c r="G672" s="137" t="s">
        <v>239</v>
      </c>
      <c r="H672" s="136" t="s">
        <v>334</v>
      </c>
      <c r="I672" s="136" t="s">
        <v>549</v>
      </c>
      <c r="J672" s="136" t="s">
        <v>558</v>
      </c>
      <c r="K672" s="191">
        <v>-2.86965</v>
      </c>
      <c r="L672" s="191">
        <v>0</v>
      </c>
      <c r="M672" s="191">
        <v>-0.92096265472513195</v>
      </c>
      <c r="N672" s="191">
        <v>-1.75105100217061</v>
      </c>
      <c r="O672" s="191">
        <v>-2.48475903965713</v>
      </c>
      <c r="P672" s="191">
        <v>-0.30162234737156601</v>
      </c>
      <c r="Q672" s="191">
        <v>-0.89979840137378397</v>
      </c>
      <c r="R672" s="191">
        <v>2.6389695912937799E-2</v>
      </c>
      <c r="T672" s="46">
        <v>4</v>
      </c>
      <c r="U672" s="53" t="s">
        <v>247</v>
      </c>
      <c r="V672" s="47" t="s">
        <v>263</v>
      </c>
      <c r="W672" s="47" t="s">
        <v>549</v>
      </c>
      <c r="X672" s="47" t="s">
        <v>558</v>
      </c>
      <c r="Y672" s="58">
        <v>1.0341199999999999</v>
      </c>
      <c r="Z672" s="193">
        <v>0.89563000000000004</v>
      </c>
      <c r="AB672" s="3" t="s">
        <v>526</v>
      </c>
      <c r="AC672" s="125">
        <v>0.72499999999999998</v>
      </c>
      <c r="AD672" s="3">
        <v>0</v>
      </c>
      <c r="AE672" s="3"/>
      <c r="AF672" s="3"/>
      <c r="AG672" s="3"/>
    </row>
    <row r="673" spans="6:33">
      <c r="F673" s="370">
        <v>4</v>
      </c>
      <c r="G673" s="137" t="s">
        <v>239</v>
      </c>
      <c r="H673" s="136" t="s">
        <v>240</v>
      </c>
      <c r="I673" s="136" t="s">
        <v>549</v>
      </c>
      <c r="J673" s="136" t="s">
        <v>558</v>
      </c>
      <c r="K673" s="191">
        <v>-3.1045600000000002</v>
      </c>
      <c r="L673" s="191">
        <v>0</v>
      </c>
      <c r="M673" s="191">
        <v>0</v>
      </c>
      <c r="N673" s="191">
        <v>-1.77980746178516</v>
      </c>
      <c r="O673" s="191">
        <v>-2.55405977724527</v>
      </c>
      <c r="P673" s="191">
        <v>-0.68549336215416401</v>
      </c>
      <c r="Q673" s="191">
        <v>0.515858565437744</v>
      </c>
      <c r="R673" s="191">
        <v>2.36701220577836</v>
      </c>
      <c r="T673" s="46">
        <v>4</v>
      </c>
      <c r="U673" s="53" t="s">
        <v>247</v>
      </c>
      <c r="V673" s="47" t="s">
        <v>539</v>
      </c>
      <c r="W673" s="47" t="s">
        <v>549</v>
      </c>
      <c r="X673" s="47" t="s">
        <v>558</v>
      </c>
      <c r="Y673" s="58">
        <v>1.0569599999999999</v>
      </c>
      <c r="Z673" s="193">
        <v>0.89563000000000004</v>
      </c>
      <c r="AB673" s="3" t="s">
        <v>526</v>
      </c>
      <c r="AC673" s="125">
        <v>0.64600000000000002</v>
      </c>
      <c r="AD673" s="3">
        <v>0</v>
      </c>
      <c r="AE673" s="3"/>
      <c r="AF673" s="3" t="s">
        <v>526</v>
      </c>
      <c r="AG673" s="83">
        <v>0.5</v>
      </c>
    </row>
    <row r="674" spans="6:33" ht="28.8">
      <c r="F674" s="370">
        <v>4</v>
      </c>
      <c r="G674" s="137" t="s">
        <v>239</v>
      </c>
      <c r="H674" s="136" t="s">
        <v>325</v>
      </c>
      <c r="I674" s="136" t="s">
        <v>549</v>
      </c>
      <c r="J674" s="136" t="s">
        <v>558</v>
      </c>
      <c r="K674" s="191">
        <v>-1.66</v>
      </c>
      <c r="L674" s="191">
        <v>0</v>
      </c>
      <c r="M674" s="191">
        <v>0</v>
      </c>
      <c r="N674" s="191">
        <v>-1.6415798386896601</v>
      </c>
      <c r="O674" s="191">
        <v>-2.38786328467627</v>
      </c>
      <c r="P674" s="191">
        <v>-0.643826267470201</v>
      </c>
      <c r="Q674" s="191">
        <v>-0.83111541500928499</v>
      </c>
      <c r="R674" s="191">
        <v>2.74714713689365E-2</v>
      </c>
      <c r="T674" s="46">
        <v>4</v>
      </c>
      <c r="U674" s="53" t="s">
        <v>247</v>
      </c>
      <c r="V674" s="47" t="s">
        <v>270</v>
      </c>
      <c r="W674" s="47" t="s">
        <v>549</v>
      </c>
      <c r="X674" s="47" t="s">
        <v>558</v>
      </c>
      <c r="Y674" s="58">
        <v>1.0505633333333335</v>
      </c>
      <c r="Z674" s="193">
        <v>0.89563000000000004</v>
      </c>
      <c r="AB674" s="3" t="s">
        <v>526</v>
      </c>
      <c r="AC674" s="125">
        <v>0.72499999999999998</v>
      </c>
      <c r="AD674" s="3">
        <v>0.14482945764999999</v>
      </c>
      <c r="AE674" s="3" t="s">
        <v>541</v>
      </c>
      <c r="AF674" s="3"/>
      <c r="AG674" s="3"/>
    </row>
    <row r="675" spans="6:33">
      <c r="F675" s="370">
        <v>4</v>
      </c>
      <c r="G675" s="137" t="s">
        <v>256</v>
      </c>
      <c r="H675" s="136" t="s">
        <v>10183</v>
      </c>
      <c r="I675" s="136" t="s">
        <v>549</v>
      </c>
      <c r="J675" s="136" t="s">
        <v>558</v>
      </c>
      <c r="K675" s="191">
        <v>-3.3097799999999999</v>
      </c>
      <c r="L675" s="191">
        <v>-3.2267017926999997</v>
      </c>
      <c r="M675" s="191">
        <v>-12.301543340914964</v>
      </c>
      <c r="N675" s="191">
        <v>0</v>
      </c>
      <c r="O675" s="191">
        <v>0</v>
      </c>
      <c r="P675" s="191">
        <v>2.5940280404836851E-2</v>
      </c>
      <c r="Q675" s="191">
        <v>-0.10587397249851919</v>
      </c>
      <c r="R675" s="191">
        <v>-8.9450153563815651E-2</v>
      </c>
      <c r="T675" s="46">
        <v>4</v>
      </c>
      <c r="U675" s="53" t="s">
        <v>247</v>
      </c>
      <c r="V675" s="47" t="s">
        <v>540</v>
      </c>
      <c r="W675" s="47" t="s">
        <v>549</v>
      </c>
      <c r="X675" s="47" t="s">
        <v>558</v>
      </c>
      <c r="Y675" s="58">
        <v>1.0473650000000001</v>
      </c>
      <c r="Z675" s="193">
        <v>0.89563000000000004</v>
      </c>
      <c r="AB675" s="3"/>
      <c r="AC675" s="3"/>
      <c r="AD675" s="3"/>
      <c r="AE675" s="3"/>
      <c r="AF675" s="3"/>
      <c r="AG675" s="3"/>
    </row>
    <row r="676" spans="6:33">
      <c r="F676" s="370">
        <v>4</v>
      </c>
      <c r="G676" s="137" t="s">
        <v>256</v>
      </c>
      <c r="H676" s="136" t="s">
        <v>536</v>
      </c>
      <c r="I676" s="136" t="s">
        <v>549</v>
      </c>
      <c r="J676" s="136" t="s">
        <v>558</v>
      </c>
      <c r="K676" s="191">
        <v>-1.9798800000000001</v>
      </c>
      <c r="L676" s="191">
        <v>-1.8968017927</v>
      </c>
      <c r="M676" s="191">
        <v>-2.2522385021853868</v>
      </c>
      <c r="N676" s="191">
        <v>0</v>
      </c>
      <c r="O676" s="191">
        <v>0</v>
      </c>
      <c r="P676" s="191">
        <v>2.6020560809673701E-2</v>
      </c>
      <c r="Q676" s="191">
        <v>-0.156142093599174</v>
      </c>
      <c r="R676" s="191">
        <v>-0.13058475187135901</v>
      </c>
      <c r="T676" s="46">
        <v>4</v>
      </c>
      <c r="U676" s="53" t="s">
        <v>529</v>
      </c>
      <c r="V676" s="47" t="s">
        <v>260</v>
      </c>
      <c r="W676" s="47" t="s">
        <v>549</v>
      </c>
      <c r="X676" s="47" t="s">
        <v>558</v>
      </c>
      <c r="Y676" s="58">
        <v>4.0364225925925927</v>
      </c>
      <c r="Z676" s="193">
        <v>1.3856655555555555</v>
      </c>
      <c r="AB676" s="3"/>
      <c r="AC676" s="3"/>
      <c r="AD676" s="3"/>
      <c r="AE676" s="3"/>
      <c r="AF676" s="3"/>
      <c r="AG676" s="3"/>
    </row>
    <row r="677" spans="6:33">
      <c r="F677" s="370">
        <v>4</v>
      </c>
      <c r="G677" s="137" t="s">
        <v>256</v>
      </c>
      <c r="H677" s="136" t="s">
        <v>257</v>
      </c>
      <c r="I677" s="136" t="s">
        <v>549</v>
      </c>
      <c r="J677" s="136" t="s">
        <v>558</v>
      </c>
      <c r="K677" s="191">
        <v>-1.9798800000000001</v>
      </c>
      <c r="L677" s="191">
        <v>-1.8968017927</v>
      </c>
      <c r="M677" s="191">
        <v>-2.2522385021853868</v>
      </c>
      <c r="N677" s="191">
        <v>0</v>
      </c>
      <c r="O677" s="191">
        <v>0</v>
      </c>
      <c r="P677" s="191">
        <v>2.6020560809673701E-2</v>
      </c>
      <c r="Q677" s="191">
        <v>-0.156142093599174</v>
      </c>
      <c r="R677" s="191">
        <v>-0.13058475187135901</v>
      </c>
      <c r="T677" s="46">
        <v>4</v>
      </c>
      <c r="U677" s="53" t="s">
        <v>237</v>
      </c>
      <c r="V677" s="47" t="s">
        <v>237</v>
      </c>
      <c r="W677" s="47" t="s">
        <v>549</v>
      </c>
      <c r="X677" s="47" t="s">
        <v>558</v>
      </c>
      <c r="Y677" s="58">
        <v>2.8533815875203707</v>
      </c>
      <c r="Z677" s="193">
        <v>1.0711602172222223</v>
      </c>
      <c r="AB677" s="3"/>
      <c r="AC677" s="3"/>
      <c r="AD677" s="3"/>
      <c r="AE677" s="3"/>
      <c r="AF677" s="3"/>
      <c r="AG677" s="3"/>
    </row>
    <row r="678" spans="6:33">
      <c r="F678" s="370">
        <v>4</v>
      </c>
      <c r="G678" s="137" t="s">
        <v>256</v>
      </c>
      <c r="H678" s="136" t="s">
        <v>537</v>
      </c>
      <c r="I678" s="136" t="s">
        <v>549</v>
      </c>
      <c r="J678" s="136" t="s">
        <v>558</v>
      </c>
      <c r="K678" s="191">
        <v>-5.0082800000000001</v>
      </c>
      <c r="L678" s="191">
        <v>-4.9252017927000002</v>
      </c>
      <c r="M678" s="191">
        <v>-4.8588800388782332</v>
      </c>
      <c r="N678" s="191">
        <v>0</v>
      </c>
      <c r="O678" s="191">
        <v>0</v>
      </c>
      <c r="P678" s="191">
        <v>2.5860000000000001E-2</v>
      </c>
      <c r="Q678" s="191">
        <v>-5.5605851397864399E-2</v>
      </c>
      <c r="R678" s="191">
        <v>-4.8315555256272298E-2</v>
      </c>
      <c r="T678" s="46">
        <v>4</v>
      </c>
      <c r="U678" s="53" t="s">
        <v>237</v>
      </c>
      <c r="V678" s="47" t="s">
        <v>246</v>
      </c>
      <c r="W678" s="47" t="s">
        <v>549</v>
      </c>
      <c r="X678" s="47" t="s">
        <v>558</v>
      </c>
      <c r="Y678" s="58">
        <v>7.3412433500000009</v>
      </c>
      <c r="Z678" s="193">
        <v>0.66842500000000005</v>
      </c>
      <c r="AB678" s="3" t="s">
        <v>526</v>
      </c>
      <c r="AC678" s="125">
        <v>0.77500000000000002</v>
      </c>
      <c r="AD678" s="3">
        <v>0</v>
      </c>
      <c r="AE678" s="3" t="s">
        <v>527</v>
      </c>
      <c r="AF678" s="3"/>
      <c r="AG678" s="3"/>
    </row>
    <row r="679" spans="6:33">
      <c r="F679" s="370">
        <v>4</v>
      </c>
      <c r="G679" s="137" t="s">
        <v>256</v>
      </c>
      <c r="H679" s="136" t="s">
        <v>538</v>
      </c>
      <c r="I679" s="136" t="s">
        <v>549</v>
      </c>
      <c r="J679" s="136" t="s">
        <v>558</v>
      </c>
      <c r="K679" s="191">
        <v>-4.6396800000000002</v>
      </c>
      <c r="L679" s="191">
        <v>0</v>
      </c>
      <c r="M679" s="191">
        <v>0</v>
      </c>
      <c r="N679" s="191">
        <v>0</v>
      </c>
      <c r="O679" s="191">
        <v>0</v>
      </c>
      <c r="P679" s="191">
        <v>2.5860000000000001E-2</v>
      </c>
      <c r="Q679" s="191">
        <v>-5.2170194595506002E-2</v>
      </c>
      <c r="R679" s="191">
        <v>-4.8315555256272298E-2</v>
      </c>
      <c r="T679" s="46">
        <v>4</v>
      </c>
      <c r="U679" s="53" t="s">
        <v>237</v>
      </c>
      <c r="V679" s="28" t="s">
        <v>10162</v>
      </c>
      <c r="W679" s="47" t="s">
        <v>549</v>
      </c>
      <c r="X679" s="47" t="s">
        <v>558</v>
      </c>
      <c r="Y679" s="58">
        <v>2.8533815875203707</v>
      </c>
      <c r="Z679" s="193">
        <v>1.0711602172222223</v>
      </c>
      <c r="AB679" s="3" t="s">
        <v>526</v>
      </c>
      <c r="AC679" s="125">
        <v>0.77500000000000002</v>
      </c>
      <c r="AD679" s="3">
        <v>0</v>
      </c>
      <c r="AE679" s="3" t="s">
        <v>527</v>
      </c>
      <c r="AF679" s="3"/>
      <c r="AG679" s="3"/>
    </row>
    <row r="680" spans="6:33">
      <c r="F680" s="370">
        <v>4</v>
      </c>
      <c r="G680" s="137" t="s">
        <v>256</v>
      </c>
      <c r="H680" s="136" t="s">
        <v>258</v>
      </c>
      <c r="I680" s="136" t="s">
        <v>549</v>
      </c>
      <c r="J680" s="136" t="s">
        <v>558</v>
      </c>
      <c r="K680" s="191">
        <v>-4.6396800000000002</v>
      </c>
      <c r="L680" s="191">
        <v>-4.5566017927000004</v>
      </c>
      <c r="M680" s="191">
        <v>-4.7101388131983049</v>
      </c>
      <c r="N680" s="191">
        <v>0</v>
      </c>
      <c r="O680" s="191">
        <v>0</v>
      </c>
      <c r="P680" s="191">
        <v>2.5860000000000001E-2</v>
      </c>
      <c r="Q680" s="191">
        <v>-5.5605851397862401E-2</v>
      </c>
      <c r="R680" s="191">
        <v>-4.8315555256272298E-2</v>
      </c>
      <c r="T680" s="46">
        <v>4</v>
      </c>
      <c r="U680" s="53" t="s">
        <v>252</v>
      </c>
      <c r="V680" s="28" t="s">
        <v>333</v>
      </c>
      <c r="W680" s="47" t="s">
        <v>549</v>
      </c>
      <c r="X680" s="47" t="s">
        <v>558</v>
      </c>
      <c r="Y680" s="58">
        <v>2.0953266666666663</v>
      </c>
      <c r="Z680" s="193">
        <v>1.77911</v>
      </c>
      <c r="AB680" s="3" t="s">
        <v>526</v>
      </c>
      <c r="AC680" s="125">
        <v>0.77500000000000002</v>
      </c>
      <c r="AD680" s="3">
        <v>0</v>
      </c>
      <c r="AE680" s="3" t="s">
        <v>527</v>
      </c>
      <c r="AF680" s="3"/>
      <c r="AG680" s="3"/>
    </row>
    <row r="681" spans="6:33">
      <c r="F681" s="370">
        <v>4</v>
      </c>
      <c r="G681" s="137" t="s">
        <v>247</v>
      </c>
      <c r="H681" s="136" t="s">
        <v>247</v>
      </c>
      <c r="I681" s="136" t="s">
        <v>549</v>
      </c>
      <c r="J681" s="136" t="s">
        <v>558</v>
      </c>
      <c r="K681" s="191">
        <v>-1.0505633333333335</v>
      </c>
      <c r="L681" s="191">
        <v>-0.96748512603333348</v>
      </c>
      <c r="M681" s="191">
        <v>-0.31518851283969629</v>
      </c>
      <c r="N681" s="191">
        <v>0</v>
      </c>
      <c r="O681" s="191">
        <v>0</v>
      </c>
      <c r="P681" s="191">
        <v>2.6020575147430499E-2</v>
      </c>
      <c r="Q681" s="191">
        <v>3.1199540828438E-2</v>
      </c>
      <c r="R681" s="191">
        <v>4.8913581033072001E-2</v>
      </c>
      <c r="T681" s="46">
        <v>4</v>
      </c>
      <c r="U681" s="53" t="s">
        <v>239</v>
      </c>
      <c r="V681" s="3" t="s">
        <v>542</v>
      </c>
      <c r="W681" s="47" t="s">
        <v>549</v>
      </c>
      <c r="X681" s="47" t="s">
        <v>558</v>
      </c>
      <c r="Y681" s="58">
        <v>2.6644477777777777</v>
      </c>
      <c r="Z681" s="193">
        <v>0.64099666666666666</v>
      </c>
      <c r="AB681" s="3" t="s">
        <v>526</v>
      </c>
      <c r="AC681" s="83">
        <v>0.5</v>
      </c>
      <c r="AD681" s="3">
        <v>0</v>
      </c>
      <c r="AE681" s="3" t="s">
        <v>528</v>
      </c>
      <c r="AF681" s="3"/>
      <c r="AG681" s="3"/>
    </row>
    <row r="682" spans="6:33">
      <c r="F682" s="370">
        <v>4</v>
      </c>
      <c r="G682" s="137" t="s">
        <v>247</v>
      </c>
      <c r="H682" s="136" t="s">
        <v>248</v>
      </c>
      <c r="I682" s="136" t="s">
        <v>549</v>
      </c>
      <c r="J682" s="136" t="s">
        <v>558</v>
      </c>
      <c r="K682" s="191">
        <v>-1.0606100000000001</v>
      </c>
      <c r="L682" s="191">
        <v>-0.97753179270000001</v>
      </c>
      <c r="M682" s="191">
        <v>-0.16868730070099602</v>
      </c>
      <c r="N682" s="191">
        <v>0</v>
      </c>
      <c r="O682" s="191">
        <v>0</v>
      </c>
      <c r="P682" s="191">
        <v>2.6020581126967899E-2</v>
      </c>
      <c r="Q682" s="191">
        <v>3.4899994453012999E-2</v>
      </c>
      <c r="R682" s="191">
        <v>4.8912397427465303E-2</v>
      </c>
      <c r="T682" s="46">
        <v>4</v>
      </c>
      <c r="U682" s="53" t="s">
        <v>237</v>
      </c>
      <c r="V682" s="3" t="s">
        <v>238</v>
      </c>
      <c r="W682" s="47" t="s">
        <v>549</v>
      </c>
      <c r="X682" s="47" t="s">
        <v>558</v>
      </c>
      <c r="Y682" s="58">
        <v>2.7046544444444445</v>
      </c>
      <c r="Z682" s="193">
        <v>1.2161291666666667</v>
      </c>
      <c r="AB682" s="3" t="s">
        <v>526</v>
      </c>
      <c r="AC682" s="83">
        <v>0.5</v>
      </c>
      <c r="AD682" s="3">
        <v>0</v>
      </c>
      <c r="AE682" s="3" t="s">
        <v>528</v>
      </c>
      <c r="AF682" s="3"/>
      <c r="AG682" s="3"/>
    </row>
    <row r="683" spans="6:33">
      <c r="F683" s="370">
        <v>4</v>
      </c>
      <c r="G683" s="137" t="s">
        <v>247</v>
      </c>
      <c r="H683" s="136" t="s">
        <v>263</v>
      </c>
      <c r="I683" s="136" t="s">
        <v>549</v>
      </c>
      <c r="J683" s="136" t="s">
        <v>558</v>
      </c>
      <c r="K683" s="191">
        <v>-1.0341199999999999</v>
      </c>
      <c r="L683" s="191">
        <v>-0.95104179269999989</v>
      </c>
      <c r="M683" s="191">
        <v>-0.16868730070099602</v>
      </c>
      <c r="N683" s="191">
        <v>0</v>
      </c>
      <c r="O683" s="191">
        <v>0</v>
      </c>
      <c r="P683" s="191">
        <v>2.6020584832524899E-2</v>
      </c>
      <c r="Q683" s="191">
        <v>3.7118279597290103E-2</v>
      </c>
      <c r="R683" s="191">
        <v>4.8912472995603598E-2</v>
      </c>
      <c r="T683" s="46">
        <v>4</v>
      </c>
      <c r="U683" s="53" t="s">
        <v>264</v>
      </c>
      <c r="V683" s="3" t="s">
        <v>264</v>
      </c>
      <c r="W683" s="47" t="s">
        <v>549</v>
      </c>
      <c r="X683" s="47" t="s">
        <v>558</v>
      </c>
      <c r="Y683" s="58">
        <v>1.9287117500000002</v>
      </c>
      <c r="Z683" s="193">
        <v>0.467055</v>
      </c>
      <c r="AB683" s="3"/>
      <c r="AC683" s="3"/>
      <c r="AD683" s="3"/>
      <c r="AE683" s="3"/>
      <c r="AF683" s="3"/>
      <c r="AG683" s="3"/>
    </row>
    <row r="684" spans="6:33">
      <c r="F684" s="370">
        <v>4</v>
      </c>
      <c r="G684" s="137" t="s">
        <v>247</v>
      </c>
      <c r="H684" s="136" t="s">
        <v>539</v>
      </c>
      <c r="I684" s="136" t="s">
        <v>549</v>
      </c>
      <c r="J684" s="136" t="s">
        <v>558</v>
      </c>
      <c r="K684" s="191">
        <v>-1.0569599999999999</v>
      </c>
      <c r="L684" s="191">
        <v>-0.97388179269999986</v>
      </c>
      <c r="M684" s="191">
        <v>-0.17401426809155382</v>
      </c>
      <c r="N684" s="191">
        <v>0</v>
      </c>
      <c r="O684" s="191">
        <v>0</v>
      </c>
      <c r="P684" s="191">
        <v>2.6020565471455401E-2</v>
      </c>
      <c r="Q684" s="191">
        <v>2.5239377345235198E-2</v>
      </c>
      <c r="R684" s="191">
        <v>4.8914855785742298E-2</v>
      </c>
      <c r="T684" s="46">
        <v>4</v>
      </c>
      <c r="U684" s="53" t="s">
        <v>264</v>
      </c>
      <c r="V684" s="3" t="s">
        <v>336</v>
      </c>
      <c r="W684" s="47" t="s">
        <v>549</v>
      </c>
      <c r="X684" s="47" t="s">
        <v>558</v>
      </c>
      <c r="Y684" s="58">
        <v>0.76351350000000007</v>
      </c>
      <c r="Z684" s="193">
        <v>0.43603999999999998</v>
      </c>
      <c r="AB684" s="3" t="s">
        <v>526</v>
      </c>
      <c r="AC684" s="125">
        <v>0.77500000000000002</v>
      </c>
      <c r="AD684" s="3">
        <v>8.1306407300000008E-2</v>
      </c>
      <c r="AE684" s="3" t="s">
        <v>531</v>
      </c>
      <c r="AF684" s="3" t="s">
        <v>526</v>
      </c>
      <c r="AG684" s="83">
        <v>0.85</v>
      </c>
    </row>
    <row r="685" spans="6:33">
      <c r="F685" s="370">
        <v>4</v>
      </c>
      <c r="G685" s="137" t="s">
        <v>247</v>
      </c>
      <c r="H685" s="136" t="s">
        <v>270</v>
      </c>
      <c r="I685" s="136" t="s">
        <v>549</v>
      </c>
      <c r="J685" s="136" t="s">
        <v>558</v>
      </c>
      <c r="K685" s="191">
        <v>-1.0505633333333335</v>
      </c>
      <c r="L685" s="191">
        <v>-0.96748512603333348</v>
      </c>
      <c r="M685" s="191">
        <v>-0.31518851283969629</v>
      </c>
      <c r="N685" s="191">
        <v>0</v>
      </c>
      <c r="O685" s="191">
        <v>0</v>
      </c>
      <c r="P685" s="191">
        <v>2.6020575147430499E-2</v>
      </c>
      <c r="Q685" s="191">
        <v>3.1199540828438E-2</v>
      </c>
      <c r="R685" s="191">
        <v>4.8913581033072001E-2</v>
      </c>
      <c r="T685" s="46">
        <v>4</v>
      </c>
      <c r="U685" s="53" t="s">
        <v>242</v>
      </c>
      <c r="V685" s="3" t="s">
        <v>251</v>
      </c>
      <c r="W685" s="47" t="s">
        <v>549</v>
      </c>
      <c r="X685" s="47" t="s">
        <v>558</v>
      </c>
      <c r="Y685" s="58">
        <v>4.9218200000000003</v>
      </c>
      <c r="Z685" s="193">
        <v>0.15096000000000001</v>
      </c>
      <c r="AB685" s="3" t="s">
        <v>526</v>
      </c>
      <c r="AC685" s="125">
        <v>0.77500000000000002</v>
      </c>
      <c r="AD685" s="3">
        <v>8.1306407300000008E-2</v>
      </c>
      <c r="AE685" s="3" t="s">
        <v>531</v>
      </c>
      <c r="AF685" s="3" t="s">
        <v>526</v>
      </c>
      <c r="AG685" s="83">
        <v>0.7</v>
      </c>
    </row>
    <row r="686" spans="6:33">
      <c r="F686" s="370">
        <v>4</v>
      </c>
      <c r="G686" s="137" t="s">
        <v>247</v>
      </c>
      <c r="H686" s="136" t="s">
        <v>540</v>
      </c>
      <c r="I686" s="136" t="s">
        <v>549</v>
      </c>
      <c r="J686" s="136" t="s">
        <v>558</v>
      </c>
      <c r="K686" s="191">
        <v>-1.0473650000000001</v>
      </c>
      <c r="L686" s="191">
        <v>-0.96428679270000006</v>
      </c>
      <c r="M686" s="191">
        <v>0</v>
      </c>
      <c r="N686" s="191">
        <v>0</v>
      </c>
      <c r="O686" s="191">
        <v>0</v>
      </c>
      <c r="P686" s="191">
        <v>2.6020558698611501E-2</v>
      </c>
      <c r="Q686" s="191">
        <v>2.7457142334285201E-2</v>
      </c>
      <c r="R686" s="191">
        <v>4.8914411198653501E-2</v>
      </c>
      <c r="T686" s="46">
        <v>4</v>
      </c>
      <c r="U686" s="53" t="s">
        <v>242</v>
      </c>
      <c r="V686" s="3" t="s">
        <v>543</v>
      </c>
      <c r="W686" s="47" t="s">
        <v>549</v>
      </c>
      <c r="X686" s="47" t="s">
        <v>558</v>
      </c>
      <c r="Y686" s="58">
        <v>1.00081</v>
      </c>
      <c r="Z686" s="193">
        <v>0.33138000000000001</v>
      </c>
      <c r="AB686" s="3"/>
      <c r="AC686" s="3"/>
      <c r="AD686" s="3"/>
      <c r="AE686" s="3"/>
      <c r="AF686" s="3" t="s">
        <v>526</v>
      </c>
      <c r="AG686" s="83">
        <v>0.8</v>
      </c>
    </row>
    <row r="687" spans="6:33">
      <c r="F687" s="370">
        <v>4</v>
      </c>
      <c r="G687" s="137" t="s">
        <v>261</v>
      </c>
      <c r="H687" s="136" t="s">
        <v>260</v>
      </c>
      <c r="I687" s="136" t="s">
        <v>549</v>
      </c>
      <c r="J687" s="136" t="s">
        <v>558</v>
      </c>
      <c r="K687" s="191">
        <v>-4.0364225925925927</v>
      </c>
      <c r="L687" s="191">
        <v>0</v>
      </c>
      <c r="M687" s="191">
        <v>0</v>
      </c>
      <c r="N687" s="191">
        <v>-0.50423989943139302</v>
      </c>
      <c r="O687" s="191">
        <v>-0.86510382829593002</v>
      </c>
      <c r="P687" s="191">
        <v>-0.17342071309468199</v>
      </c>
      <c r="Q687" s="191">
        <v>-0.23697148541270599</v>
      </c>
      <c r="R687" s="191">
        <v>2.7529322985474499E-2</v>
      </c>
      <c r="T687" s="46">
        <v>4</v>
      </c>
      <c r="U687" s="53" t="s">
        <v>264</v>
      </c>
      <c r="V687" s="3" t="s">
        <v>544</v>
      </c>
      <c r="W687" s="47" t="s">
        <v>549</v>
      </c>
      <c r="X687" s="47" t="s">
        <v>558</v>
      </c>
      <c r="Y687" s="58">
        <v>3.0939100000000002</v>
      </c>
      <c r="Z687" s="193">
        <v>0.49807000000000001</v>
      </c>
      <c r="AB687" s="3" t="s">
        <v>526</v>
      </c>
      <c r="AC687" s="125">
        <v>0.77500000000000002</v>
      </c>
      <c r="AD687" s="3">
        <v>8.1306407300000008E-2</v>
      </c>
      <c r="AE687" s="3" t="s">
        <v>531</v>
      </c>
      <c r="AF687" s="3" t="s">
        <v>526</v>
      </c>
      <c r="AG687" s="83">
        <v>0.7</v>
      </c>
    </row>
    <row r="688" spans="6:33">
      <c r="F688" s="370">
        <v>4</v>
      </c>
      <c r="G688" s="137" t="s">
        <v>10157</v>
      </c>
      <c r="H688" s="136" t="s">
        <v>10157</v>
      </c>
      <c r="I688" s="136" t="s">
        <v>549</v>
      </c>
      <c r="J688" s="136" t="s">
        <v>558</v>
      </c>
      <c r="K688" s="191">
        <v>-2.8533815875203707</v>
      </c>
      <c r="L688" s="191">
        <v>-1.4249189937601854</v>
      </c>
      <c r="M688" s="191">
        <v>0</v>
      </c>
      <c r="N688" s="191">
        <v>0</v>
      </c>
      <c r="O688" s="191">
        <v>0</v>
      </c>
      <c r="P688" s="191">
        <v>-0.46503487183485148</v>
      </c>
      <c r="Q688" s="191">
        <v>-0.53284575355442299</v>
      </c>
      <c r="R688" s="191">
        <v>2.7968441365560735E-2</v>
      </c>
      <c r="T688" s="46">
        <v>4</v>
      </c>
      <c r="U688" s="53" t="s">
        <v>237</v>
      </c>
      <c r="V688" s="3" t="s">
        <v>545</v>
      </c>
      <c r="W688" s="47" t="s">
        <v>549</v>
      </c>
      <c r="X688" s="47" t="s">
        <v>558</v>
      </c>
      <c r="Y688" s="58">
        <v>2.8533815875203707</v>
      </c>
      <c r="Z688" s="193">
        <v>1.0711602172222223</v>
      </c>
      <c r="AB688" s="3"/>
      <c r="AC688" s="3"/>
      <c r="AD688" s="3"/>
      <c r="AE688" s="3"/>
      <c r="AF688" s="3"/>
      <c r="AG688" s="83"/>
    </row>
    <row r="689" spans="6:33">
      <c r="F689" s="370">
        <v>4</v>
      </c>
      <c r="G689" s="137" t="s">
        <v>10157</v>
      </c>
      <c r="H689" s="136" t="s">
        <v>246</v>
      </c>
      <c r="I689" s="136" t="s">
        <v>549</v>
      </c>
      <c r="J689" s="136" t="s">
        <v>558</v>
      </c>
      <c r="K689" s="191">
        <v>-7.3412433500000009</v>
      </c>
      <c r="L689" s="191">
        <v>0</v>
      </c>
      <c r="M689" s="191">
        <v>0</v>
      </c>
      <c r="N689" s="191">
        <v>0</v>
      </c>
      <c r="O689" s="191">
        <v>0</v>
      </c>
      <c r="P689" s="191">
        <v>2.6020609411450499E-2</v>
      </c>
      <c r="Q689" s="191">
        <v>4.1873157686421497E-2</v>
      </c>
      <c r="R689" s="191">
        <v>4.8912064305887397E-2</v>
      </c>
      <c r="T689" s="46">
        <v>8</v>
      </c>
      <c r="U689" s="53"/>
      <c r="V689" s="47"/>
      <c r="W689" s="47" t="s">
        <v>549</v>
      </c>
      <c r="X689" s="47" t="s">
        <v>559</v>
      </c>
      <c r="Y689" s="58" t="s">
        <v>525</v>
      </c>
      <c r="Z689" s="193" t="s">
        <v>525</v>
      </c>
      <c r="AB689" s="3" t="s">
        <v>526</v>
      </c>
      <c r="AC689" s="125">
        <v>0.77500000000000002</v>
      </c>
      <c r="AD689" s="3">
        <v>8.1306407300000008E-2</v>
      </c>
      <c r="AE689" s="3" t="s">
        <v>531</v>
      </c>
      <c r="AF689" s="3"/>
      <c r="AG689" s="3"/>
    </row>
    <row r="690" spans="6:33" ht="28.8">
      <c r="F690" s="370">
        <v>4</v>
      </c>
      <c r="G690" s="137" t="s">
        <v>10157</v>
      </c>
      <c r="H690" s="136" t="s">
        <v>10162</v>
      </c>
      <c r="I690" s="136" t="s">
        <v>549</v>
      </c>
      <c r="J690" s="136" t="s">
        <v>558</v>
      </c>
      <c r="K690" s="191">
        <v>-2.8533815875203707</v>
      </c>
      <c r="L690" s="191">
        <v>0</v>
      </c>
      <c r="M690" s="191">
        <v>0</v>
      </c>
      <c r="N690" s="191">
        <v>-1.0338813023467011</v>
      </c>
      <c r="O690" s="191">
        <v>-1.5965070572258286</v>
      </c>
      <c r="P690" s="191">
        <v>-0.46503487183485148</v>
      </c>
      <c r="Q690" s="191">
        <v>-0.53284575355442299</v>
      </c>
      <c r="R690" s="191">
        <v>2.7968441365560735E-2</v>
      </c>
      <c r="T690" s="46">
        <v>8</v>
      </c>
      <c r="U690" s="53"/>
      <c r="V690" s="47"/>
      <c r="W690" s="47" t="s">
        <v>549</v>
      </c>
      <c r="X690" s="47" t="s">
        <v>559</v>
      </c>
      <c r="Y690" s="58" t="s">
        <v>525</v>
      </c>
      <c r="Z690" s="193" t="s">
        <v>525</v>
      </c>
      <c r="AB690" s="3" t="s">
        <v>526</v>
      </c>
      <c r="AC690" s="125">
        <v>0.72499999999999998</v>
      </c>
      <c r="AD690" s="3">
        <v>8.1306407300000008E-2</v>
      </c>
      <c r="AE690" s="3" t="s">
        <v>531</v>
      </c>
      <c r="AF690" s="3"/>
      <c r="AG690" s="3"/>
    </row>
    <row r="691" spans="6:33">
      <c r="F691" s="370">
        <v>4</v>
      </c>
      <c r="G691" s="137" t="s">
        <v>252</v>
      </c>
      <c r="H691" s="136" t="s">
        <v>333</v>
      </c>
      <c r="I691" s="136" t="s">
        <v>549</v>
      </c>
      <c r="J691" s="136" t="s">
        <v>558</v>
      </c>
      <c r="K691" s="191">
        <v>-2.0953266666666663</v>
      </c>
      <c r="L691" s="191">
        <v>0</v>
      </c>
      <c r="M691" s="191">
        <v>-4.4031481762585392</v>
      </c>
      <c r="N691" s="191">
        <v>0</v>
      </c>
      <c r="O691" s="191">
        <v>0</v>
      </c>
      <c r="P691" s="191">
        <v>2.6020581888276301E-2</v>
      </c>
      <c r="Q691" s="191">
        <v>0.64367971618426401</v>
      </c>
      <c r="R691" s="191">
        <v>2.1870243665261602</v>
      </c>
      <c r="T691" s="46">
        <v>8</v>
      </c>
      <c r="U691" s="53"/>
      <c r="V691" s="47"/>
      <c r="W691" s="47" t="s">
        <v>549</v>
      </c>
      <c r="X691" s="47" t="s">
        <v>559</v>
      </c>
      <c r="Y691" s="58" t="s">
        <v>525</v>
      </c>
      <c r="Z691" s="193" t="s">
        <v>525</v>
      </c>
      <c r="AB691" s="3" t="s">
        <v>526</v>
      </c>
      <c r="AC691" s="125">
        <v>0.72499999999999998</v>
      </c>
      <c r="AD691" s="3">
        <v>8.1306407300000008E-2</v>
      </c>
      <c r="AE691" s="3" t="s">
        <v>531</v>
      </c>
      <c r="AF691" s="3"/>
      <c r="AG691" s="3"/>
    </row>
    <row r="692" spans="6:33">
      <c r="F692" s="370">
        <v>4</v>
      </c>
      <c r="G692" s="137" t="s">
        <v>239</v>
      </c>
      <c r="H692" s="136" t="s">
        <v>542</v>
      </c>
      <c r="I692" s="136" t="s">
        <v>549</v>
      </c>
      <c r="J692" s="136" t="s">
        <v>558</v>
      </c>
      <c r="K692" s="191">
        <v>-2.6644477777777777</v>
      </c>
      <c r="L692" s="191">
        <v>0</v>
      </c>
      <c r="M692" s="191">
        <v>-0.81863347086678395</v>
      </c>
      <c r="N692" s="191">
        <v>-1.6415798386896601</v>
      </c>
      <c r="O692" s="191">
        <v>-2.38786328467627</v>
      </c>
      <c r="P692" s="191">
        <v>-0.643826267470201</v>
      </c>
      <c r="Q692" s="191">
        <v>-0.83111541500928499</v>
      </c>
      <c r="R692" s="191">
        <v>2.74714713689365E-2</v>
      </c>
      <c r="T692" s="46">
        <v>8</v>
      </c>
      <c r="U692" s="53"/>
      <c r="V692" s="47"/>
      <c r="W692" s="47" t="s">
        <v>549</v>
      </c>
      <c r="X692" s="47" t="s">
        <v>559</v>
      </c>
      <c r="Y692" s="58" t="s">
        <v>525</v>
      </c>
      <c r="Z692" s="193" t="s">
        <v>525</v>
      </c>
      <c r="AB692" s="3" t="s">
        <v>526</v>
      </c>
      <c r="AC692" s="125">
        <v>0.64600000000000002</v>
      </c>
      <c r="AD692" s="3">
        <v>8.1306407300000008E-2</v>
      </c>
      <c r="AE692" s="3" t="s">
        <v>531</v>
      </c>
      <c r="AF692" s="3" t="s">
        <v>526</v>
      </c>
      <c r="AG692" s="83">
        <v>0.8</v>
      </c>
    </row>
    <row r="693" spans="6:33">
      <c r="F693" s="370">
        <v>4</v>
      </c>
      <c r="G693" s="137" t="s">
        <v>10157</v>
      </c>
      <c r="H693" s="136" t="s">
        <v>238</v>
      </c>
      <c r="I693" s="136" t="s">
        <v>549</v>
      </c>
      <c r="J693" s="136" t="s">
        <v>558</v>
      </c>
      <c r="K693" s="191">
        <v>-2.7046544444444445</v>
      </c>
      <c r="L693" s="191">
        <v>0</v>
      </c>
      <c r="M693" s="191">
        <v>0</v>
      </c>
      <c r="N693" s="191">
        <v>0</v>
      </c>
      <c r="O693" s="191">
        <v>0</v>
      </c>
      <c r="P693" s="191">
        <v>-0.14146120750741434</v>
      </c>
      <c r="Q693" s="191">
        <v>-6.5527532623775545E-2</v>
      </c>
      <c r="R693" s="191">
        <v>0.54348981634108828</v>
      </c>
      <c r="T693" s="46">
        <v>8</v>
      </c>
      <c r="U693" s="53" t="s">
        <v>330</v>
      </c>
      <c r="V693" s="47" t="s">
        <v>330</v>
      </c>
      <c r="W693" s="47" t="s">
        <v>549</v>
      </c>
      <c r="X693" s="47" t="s">
        <v>559</v>
      </c>
      <c r="Y693" s="58">
        <v>0.14119999999999999</v>
      </c>
      <c r="Z693" s="193">
        <v>0.43014000000000002</v>
      </c>
      <c r="AB693" s="3"/>
      <c r="AC693" s="3"/>
      <c r="AD693" s="3"/>
      <c r="AE693" s="3"/>
      <c r="AF693" s="3" t="s">
        <v>526</v>
      </c>
      <c r="AG693" s="83">
        <v>0.88</v>
      </c>
    </row>
    <row r="694" spans="6:33" ht="28.8">
      <c r="F694" s="370">
        <v>4</v>
      </c>
      <c r="G694" s="137" t="s">
        <v>264</v>
      </c>
      <c r="H694" s="136" t="s">
        <v>10184</v>
      </c>
      <c r="I694" s="136" t="s">
        <v>549</v>
      </c>
      <c r="J694" s="136" t="s">
        <v>558</v>
      </c>
      <c r="K694" s="191">
        <v>-1.9287117500000002</v>
      </c>
      <c r="L694" s="191">
        <v>-1.1070613798500002</v>
      </c>
      <c r="M694" s="191">
        <v>0.15112249999999994</v>
      </c>
      <c r="N694" s="191">
        <v>0</v>
      </c>
      <c r="O694" s="191">
        <v>0</v>
      </c>
      <c r="P694" s="191">
        <v>-0.33953850371566618</v>
      </c>
      <c r="Q694" s="191">
        <v>-0.47637865227812282</v>
      </c>
      <c r="R694" s="191">
        <v>0.46010090249823976</v>
      </c>
      <c r="T694" s="46">
        <v>8</v>
      </c>
      <c r="U694" s="53" t="s">
        <v>330</v>
      </c>
      <c r="V694" s="47" t="s">
        <v>335</v>
      </c>
      <c r="W694" s="47" t="s">
        <v>549</v>
      </c>
      <c r="X694" s="47" t="s">
        <v>559</v>
      </c>
      <c r="Y694" s="58">
        <v>0.26272000000000001</v>
      </c>
      <c r="Z694" s="193">
        <v>0.43014000000000002</v>
      </c>
      <c r="AB694" s="3" t="s">
        <v>526</v>
      </c>
      <c r="AC694" s="125">
        <v>0.64600000000000002</v>
      </c>
      <c r="AD694" s="3">
        <v>8.1306407300000008E-2</v>
      </c>
      <c r="AE694" s="3" t="s">
        <v>531</v>
      </c>
      <c r="AF694" s="3" t="s">
        <v>526</v>
      </c>
      <c r="AG694" s="83">
        <v>0.8</v>
      </c>
    </row>
    <row r="695" spans="6:33">
      <c r="F695" s="370">
        <v>4</v>
      </c>
      <c r="G695" s="137" t="s">
        <v>264</v>
      </c>
      <c r="H695" s="136" t="s">
        <v>336</v>
      </c>
      <c r="I695" s="136" t="s">
        <v>549</v>
      </c>
      <c r="J695" s="136" t="s">
        <v>558</v>
      </c>
      <c r="K695" s="191">
        <v>-0.76351350000000007</v>
      </c>
      <c r="L695" s="191">
        <v>-0.34968251735000005</v>
      </c>
      <c r="M695" s="191">
        <v>0</v>
      </c>
      <c r="N695" s="191">
        <v>-1.64857147794727</v>
      </c>
      <c r="O695" s="191">
        <v>-2.6235973734891198</v>
      </c>
      <c r="P695" s="191">
        <v>-0.9989390431204993</v>
      </c>
      <c r="Q695" s="191">
        <v>-0.71286270786974659</v>
      </c>
      <c r="R695" s="191">
        <v>0.21090638734338749</v>
      </c>
      <c r="T695" s="46">
        <v>8</v>
      </c>
      <c r="U695" s="53" t="s">
        <v>330</v>
      </c>
      <c r="V695" s="47" t="s">
        <v>326</v>
      </c>
      <c r="W695" s="47" t="s">
        <v>549</v>
      </c>
      <c r="X695" s="47" t="s">
        <v>559</v>
      </c>
      <c r="Y695" s="58">
        <v>0.14119999999999999</v>
      </c>
      <c r="Z695" s="193">
        <v>0.43014000000000002</v>
      </c>
      <c r="AB695" s="3"/>
      <c r="AC695" s="3"/>
      <c r="AD695" s="3"/>
      <c r="AE695" s="3"/>
      <c r="AF695" s="3" t="s">
        <v>526</v>
      </c>
      <c r="AG695" s="83">
        <v>0.65</v>
      </c>
    </row>
    <row r="696" spans="6:33">
      <c r="F696" s="370">
        <v>4</v>
      </c>
      <c r="G696" s="137" t="s">
        <v>242</v>
      </c>
      <c r="H696" s="136" t="s">
        <v>251</v>
      </c>
      <c r="I696" s="136" t="s">
        <v>549</v>
      </c>
      <c r="J696" s="136" t="s">
        <v>558</v>
      </c>
      <c r="K696" s="191">
        <v>-4.9218200000000003</v>
      </c>
      <c r="L696" s="191">
        <v>-3.5665477000000001</v>
      </c>
      <c r="M696" s="191">
        <v>-1.2190350000000001</v>
      </c>
      <c r="N696" s="191">
        <v>0</v>
      </c>
      <c r="O696" s="191">
        <v>0</v>
      </c>
      <c r="P696" s="191">
        <v>2.5956344917245265E-2</v>
      </c>
      <c r="Q696" s="191">
        <v>0.22349692901158186</v>
      </c>
      <c r="R696" s="191">
        <v>0.84881209804611535</v>
      </c>
      <c r="T696" s="46">
        <v>8</v>
      </c>
      <c r="U696" s="53" t="s">
        <v>529</v>
      </c>
      <c r="V696" s="47" t="s">
        <v>529</v>
      </c>
      <c r="W696" s="47" t="s">
        <v>549</v>
      </c>
      <c r="X696" s="47" t="s">
        <v>559</v>
      </c>
      <c r="Y696" s="58">
        <v>4.72241</v>
      </c>
      <c r="Z696" s="193">
        <v>1.758</v>
      </c>
      <c r="AB696" s="3"/>
      <c r="AC696" s="3"/>
      <c r="AD696" s="3"/>
      <c r="AE696" s="3"/>
      <c r="AF696" s="3" t="s">
        <v>526</v>
      </c>
      <c r="AG696" s="83">
        <v>0.65</v>
      </c>
    </row>
    <row r="697" spans="6:33">
      <c r="F697" s="370">
        <v>4</v>
      </c>
      <c r="G697" s="137" t="s">
        <v>242</v>
      </c>
      <c r="H697" s="136" t="s">
        <v>543</v>
      </c>
      <c r="I697" s="136" t="s">
        <v>549</v>
      </c>
      <c r="J697" s="136" t="s">
        <v>558</v>
      </c>
      <c r="K697" s="191">
        <v>-1.00081</v>
      </c>
      <c r="L697" s="191">
        <v>-0.72381545000000003</v>
      </c>
      <c r="M697" s="191">
        <v>-0.20626249999999999</v>
      </c>
      <c r="N697" s="191">
        <v>0</v>
      </c>
      <c r="O697" s="191">
        <v>0</v>
      </c>
      <c r="P697" s="191">
        <v>2.5860000000000001E-2</v>
      </c>
      <c r="Q697" s="191">
        <v>4.1873157686419603E-2</v>
      </c>
      <c r="R697" s="191">
        <v>4.8912064305887501E-2</v>
      </c>
      <c r="T697" s="46">
        <v>8</v>
      </c>
      <c r="U697" s="53" t="s">
        <v>529</v>
      </c>
      <c r="V697" s="47" t="s">
        <v>327</v>
      </c>
      <c r="W697" s="47" t="s">
        <v>549</v>
      </c>
      <c r="X697" s="47" t="s">
        <v>559</v>
      </c>
      <c r="Y697" s="58">
        <v>0.25034000000000001</v>
      </c>
      <c r="Z697" s="193">
        <v>0.99672000000000005</v>
      </c>
      <c r="AB697" s="3"/>
      <c r="AC697" s="3"/>
      <c r="AD697" s="3"/>
      <c r="AE697" s="3"/>
      <c r="AF697" s="3" t="s">
        <v>526</v>
      </c>
      <c r="AG697" s="83">
        <v>0.65</v>
      </c>
    </row>
    <row r="698" spans="6:33">
      <c r="F698" s="370">
        <v>4</v>
      </c>
      <c r="G698" s="137" t="s">
        <v>264</v>
      </c>
      <c r="H698" s="136" t="s">
        <v>544</v>
      </c>
      <c r="I698" s="136" t="s">
        <v>549</v>
      </c>
      <c r="J698" s="136" t="s">
        <v>558</v>
      </c>
      <c r="K698" s="191">
        <v>-3.0939100000000002</v>
      </c>
      <c r="L698" s="191">
        <v>-1.8644402423500002</v>
      </c>
      <c r="M698" s="191">
        <v>0.15112249999999994</v>
      </c>
      <c r="N698" s="191">
        <v>0</v>
      </c>
      <c r="O698" s="191">
        <v>0</v>
      </c>
      <c r="P698" s="191">
        <v>0.31986203568916699</v>
      </c>
      <c r="Q698" s="191">
        <v>-0.23989459668649901</v>
      </c>
      <c r="R698" s="191">
        <v>0.70929541765309201</v>
      </c>
      <c r="T698" s="46">
        <v>8</v>
      </c>
      <c r="U698" s="53" t="s">
        <v>529</v>
      </c>
      <c r="V698" s="47" t="s">
        <v>331</v>
      </c>
      <c r="W698" s="47" t="s">
        <v>549</v>
      </c>
      <c r="X698" s="47" t="s">
        <v>559</v>
      </c>
      <c r="Y698" s="58">
        <v>9.1944800000000004</v>
      </c>
      <c r="Z698" s="193">
        <v>2.5192800000000002</v>
      </c>
      <c r="AB698" s="3"/>
      <c r="AC698" s="3"/>
      <c r="AD698" s="3"/>
      <c r="AE698" s="3"/>
      <c r="AF698" s="3" t="s">
        <v>526</v>
      </c>
      <c r="AG698" s="83">
        <v>0.8</v>
      </c>
    </row>
    <row r="699" spans="6:33">
      <c r="F699" s="370">
        <v>4</v>
      </c>
      <c r="G699" s="137" t="s">
        <v>10157</v>
      </c>
      <c r="H699" s="136" t="s">
        <v>545</v>
      </c>
      <c r="I699" s="136" t="s">
        <v>549</v>
      </c>
      <c r="J699" s="136" t="s">
        <v>558</v>
      </c>
      <c r="K699" s="191">
        <v>-2.8533815875203707</v>
      </c>
      <c r="L699" s="191">
        <v>0</v>
      </c>
      <c r="M699" s="191">
        <v>0</v>
      </c>
      <c r="N699" s="191">
        <v>0</v>
      </c>
      <c r="O699" s="191">
        <v>0</v>
      </c>
      <c r="P699" s="191">
        <v>-0.46503487183485148</v>
      </c>
      <c r="Q699" s="191">
        <v>-0.53284575355442299</v>
      </c>
      <c r="R699" s="191">
        <v>2.7968441365560735E-2</v>
      </c>
      <c r="T699" s="46">
        <v>8</v>
      </c>
      <c r="U699" s="53" t="s">
        <v>529</v>
      </c>
      <c r="V699" s="47" t="s">
        <v>332</v>
      </c>
      <c r="W699" s="47" t="s">
        <v>549</v>
      </c>
      <c r="X699" s="47" t="s">
        <v>559</v>
      </c>
      <c r="Y699" s="58">
        <v>2.5034000000000001</v>
      </c>
      <c r="Z699" s="193">
        <v>1.0183800000000001</v>
      </c>
      <c r="AB699" s="3"/>
      <c r="AC699" s="3"/>
      <c r="AD699" s="3"/>
      <c r="AE699" s="3"/>
      <c r="AF699" s="3"/>
      <c r="AG699" s="3"/>
    </row>
    <row r="700" spans="6:33" ht="28.8">
      <c r="F700" s="370">
        <v>4</v>
      </c>
      <c r="G700" s="137" t="s">
        <v>10169</v>
      </c>
      <c r="H700" s="136" t="s">
        <v>10170</v>
      </c>
      <c r="I700" s="136" t="s">
        <v>549</v>
      </c>
      <c r="J700" s="136" t="s">
        <v>558</v>
      </c>
      <c r="K700" s="191">
        <v>-0.74582333333333339</v>
      </c>
      <c r="L700" s="191">
        <v>-0.58351400000000009</v>
      </c>
      <c r="M700" s="191">
        <v>0.3259926084346883</v>
      </c>
      <c r="N700" s="191">
        <v>0</v>
      </c>
      <c r="O700" s="191">
        <v>0</v>
      </c>
      <c r="P700" s="191">
        <v>0.45668176288049178</v>
      </c>
      <c r="Q700" s="191">
        <v>1.0683983533052401</v>
      </c>
      <c r="R700" s="191">
        <v>1.142290877337675</v>
      </c>
      <c r="T700" s="46">
        <v>8</v>
      </c>
      <c r="U700" s="53" t="s">
        <v>252</v>
      </c>
      <c r="V700" s="47" t="s">
        <v>252</v>
      </c>
      <c r="W700" s="47" t="s">
        <v>549</v>
      </c>
      <c r="X700" s="47" t="s">
        <v>559</v>
      </c>
      <c r="Y700" s="58">
        <v>2.0953266666666663</v>
      </c>
      <c r="Z700" s="193">
        <v>1.77911</v>
      </c>
      <c r="AB700" s="3"/>
      <c r="AC700" s="3"/>
      <c r="AD700" s="3"/>
      <c r="AE700" s="3"/>
      <c r="AF700" s="3"/>
      <c r="AG700" s="3"/>
    </row>
    <row r="701" spans="6:33" ht="28.8">
      <c r="F701" s="370">
        <v>8</v>
      </c>
      <c r="G701" s="137" t="s">
        <v>233</v>
      </c>
      <c r="H701" s="136" t="s">
        <v>10178</v>
      </c>
      <c r="I701" s="136" t="s">
        <v>549</v>
      </c>
      <c r="J701" s="136" t="s">
        <v>559</v>
      </c>
      <c r="K701" s="191">
        <v>0</v>
      </c>
      <c r="L701" s="191">
        <v>-0.13905086666666666</v>
      </c>
      <c r="M701" s="191">
        <v>0</v>
      </c>
      <c r="N701" s="191">
        <v>-1.4454718196531486</v>
      </c>
      <c r="O701" s="191">
        <v>-2.0514979286012904</v>
      </c>
      <c r="P701" s="191">
        <v>-1.0031640569945794</v>
      </c>
      <c r="Q701" s="191">
        <v>-0.90902346109173759</v>
      </c>
      <c r="R701" s="191">
        <v>3.3142121618353566E-2</v>
      </c>
      <c r="T701" s="46">
        <v>8</v>
      </c>
      <c r="U701" s="53" t="s">
        <v>252</v>
      </c>
      <c r="V701" s="47" t="s">
        <v>253</v>
      </c>
      <c r="W701" s="47" t="s">
        <v>549</v>
      </c>
      <c r="X701" s="47" t="s">
        <v>559</v>
      </c>
      <c r="Y701" s="58">
        <v>2.04928</v>
      </c>
      <c r="Z701" s="193">
        <v>1.77911</v>
      </c>
      <c r="AB701" s="3"/>
      <c r="AC701" s="3"/>
      <c r="AD701" s="3"/>
      <c r="AE701" s="3"/>
      <c r="AF701" s="3" t="s">
        <v>526</v>
      </c>
      <c r="AG701" s="83">
        <v>0.95</v>
      </c>
    </row>
    <row r="702" spans="6:33" ht="28.8">
      <c r="F702" s="370">
        <v>8</v>
      </c>
      <c r="G702" s="137" t="s">
        <v>233</v>
      </c>
      <c r="H702" s="136" t="s">
        <v>250</v>
      </c>
      <c r="I702" s="136" t="s">
        <v>549</v>
      </c>
      <c r="J702" s="136" t="s">
        <v>559</v>
      </c>
      <c r="K702" s="191">
        <v>0</v>
      </c>
      <c r="L702" s="191">
        <v>0</v>
      </c>
      <c r="M702" s="191">
        <v>0</v>
      </c>
      <c r="N702" s="191">
        <v>-1.74409566517263</v>
      </c>
      <c r="O702" s="191">
        <v>-2.1513976239097201</v>
      </c>
      <c r="P702" s="191">
        <v>-1.02198117416248</v>
      </c>
      <c r="Q702" s="191">
        <v>-0.97361469326857497</v>
      </c>
      <c r="R702" s="191">
        <v>2.8432959237527099E-2</v>
      </c>
      <c r="T702" s="46">
        <v>8</v>
      </c>
      <c r="U702" s="53" t="s">
        <v>252</v>
      </c>
      <c r="V702" s="47" t="s">
        <v>328</v>
      </c>
      <c r="W702" s="47" t="s">
        <v>549</v>
      </c>
      <c r="X702" s="47" t="s">
        <v>559</v>
      </c>
      <c r="Y702" s="58">
        <v>2.3231199999999999</v>
      </c>
      <c r="Z702" s="193">
        <v>1.77911</v>
      </c>
      <c r="AB702" s="3" t="s">
        <v>526</v>
      </c>
      <c r="AC702" s="125">
        <v>1</v>
      </c>
      <c r="AD702" s="3">
        <v>8.1306407300000008E-2</v>
      </c>
      <c r="AE702" s="3" t="s">
        <v>531</v>
      </c>
      <c r="AF702" s="3" t="s">
        <v>526</v>
      </c>
      <c r="AG702" s="83">
        <v>0.95</v>
      </c>
    </row>
    <row r="703" spans="6:33" ht="28.8">
      <c r="F703" s="370">
        <v>8</v>
      </c>
      <c r="G703" s="137" t="s">
        <v>233</v>
      </c>
      <c r="H703" s="136" t="s">
        <v>249</v>
      </c>
      <c r="I703" s="136" t="s">
        <v>549</v>
      </c>
      <c r="J703" s="136" t="s">
        <v>559</v>
      </c>
      <c r="K703" s="191">
        <v>0</v>
      </c>
      <c r="L703" s="191">
        <v>0</v>
      </c>
      <c r="M703" s="191">
        <v>0</v>
      </c>
      <c r="N703" s="191">
        <v>-0.543191579288413</v>
      </c>
      <c r="O703" s="191">
        <v>-0.74810347996289295</v>
      </c>
      <c r="P703" s="191">
        <v>5.4131726572866301E-2</v>
      </c>
      <c r="Q703" s="191">
        <v>-0.20696315754751199</v>
      </c>
      <c r="R703" s="191">
        <v>2.5754009329244001E-2</v>
      </c>
      <c r="T703" s="46">
        <v>8</v>
      </c>
      <c r="U703" s="53" t="s">
        <v>252</v>
      </c>
      <c r="V703" s="47" t="s">
        <v>254</v>
      </c>
      <c r="W703" s="47" t="s">
        <v>549</v>
      </c>
      <c r="X703" s="47" t="s">
        <v>559</v>
      </c>
      <c r="Y703" s="58">
        <v>2.1485799999999999</v>
      </c>
      <c r="Z703" s="193">
        <v>1.77911</v>
      </c>
      <c r="AB703" s="3" t="s">
        <v>526</v>
      </c>
      <c r="AC703" s="125">
        <v>1</v>
      </c>
      <c r="AD703" s="3">
        <v>8.1306407300000008E-2</v>
      </c>
      <c r="AE703" s="3" t="s">
        <v>531</v>
      </c>
      <c r="AF703" s="3" t="s">
        <v>526</v>
      </c>
      <c r="AG703" s="83">
        <v>0.95</v>
      </c>
    </row>
    <row r="704" spans="6:33" ht="28.8">
      <c r="F704" s="370">
        <v>8</v>
      </c>
      <c r="G704" s="137" t="s">
        <v>233</v>
      </c>
      <c r="H704" s="136" t="s">
        <v>273</v>
      </c>
      <c r="I704" s="136" t="s">
        <v>549</v>
      </c>
      <c r="J704" s="136" t="s">
        <v>559</v>
      </c>
      <c r="K704" s="191">
        <v>0</v>
      </c>
      <c r="L704" s="191">
        <v>0</v>
      </c>
      <c r="M704" s="191">
        <v>0</v>
      </c>
      <c r="N704" s="191">
        <v>-1.6466906179348999</v>
      </c>
      <c r="O704" s="191">
        <v>-2.0998517477798599</v>
      </c>
      <c r="P704" s="191">
        <v>-0.803374248545213</v>
      </c>
      <c r="Q704" s="191">
        <v>-0.94561662018327897</v>
      </c>
      <c r="R704" s="191">
        <v>2.7208798984050101E-2</v>
      </c>
      <c r="T704" s="46">
        <v>8</v>
      </c>
      <c r="U704" s="53" t="s">
        <v>252</v>
      </c>
      <c r="V704" s="47" t="s">
        <v>532</v>
      </c>
      <c r="W704" s="47" t="s">
        <v>549</v>
      </c>
      <c r="X704" s="47" t="s">
        <v>559</v>
      </c>
      <c r="Y704" s="58">
        <v>1.9492499999999999</v>
      </c>
      <c r="Z704" s="193">
        <v>1.77911</v>
      </c>
      <c r="AB704" s="3" t="s">
        <v>526</v>
      </c>
      <c r="AC704" s="125">
        <v>1</v>
      </c>
      <c r="AD704" s="3">
        <v>8.1306407300000008E-2</v>
      </c>
      <c r="AE704" s="3" t="s">
        <v>531</v>
      </c>
      <c r="AF704" s="3"/>
      <c r="AG704" s="3"/>
    </row>
    <row r="705" spans="6:33">
      <c r="F705" s="370">
        <v>8</v>
      </c>
      <c r="G705" s="137" t="s">
        <v>233</v>
      </c>
      <c r="H705" s="136" t="s">
        <v>330</v>
      </c>
      <c r="I705" s="136" t="s">
        <v>549</v>
      </c>
      <c r="J705" s="136" t="s">
        <v>559</v>
      </c>
      <c r="K705" s="191">
        <v>-0.14119999999999999</v>
      </c>
      <c r="L705" s="191">
        <v>-0.1076582</v>
      </c>
      <c r="M705" s="191">
        <v>0</v>
      </c>
      <c r="N705" s="191">
        <v>0</v>
      </c>
      <c r="O705" s="191">
        <v>0</v>
      </c>
      <c r="P705" s="191">
        <v>-1.48005663421289</v>
      </c>
      <c r="Q705" s="191">
        <v>-1.10135864962926</v>
      </c>
      <c r="R705" s="191">
        <v>5.3037154967916597E-2</v>
      </c>
      <c r="T705" s="46">
        <v>8</v>
      </c>
      <c r="U705" s="53" t="s">
        <v>252</v>
      </c>
      <c r="V705" s="47" t="s">
        <v>245</v>
      </c>
      <c r="W705" s="47" t="s">
        <v>549</v>
      </c>
      <c r="X705" s="47" t="s">
        <v>559</v>
      </c>
      <c r="Y705" s="58">
        <v>2.0269300000000001</v>
      </c>
      <c r="Z705" s="193">
        <v>1.77911</v>
      </c>
      <c r="AB705" s="3"/>
      <c r="AC705" s="3"/>
      <c r="AD705" s="3"/>
      <c r="AE705" s="3"/>
      <c r="AF705" s="3" t="s">
        <v>526</v>
      </c>
      <c r="AG705" s="83">
        <v>0.95</v>
      </c>
    </row>
    <row r="706" spans="6:33">
      <c r="F706" s="370">
        <v>8</v>
      </c>
      <c r="G706" s="137" t="s">
        <v>233</v>
      </c>
      <c r="H706" s="136" t="s">
        <v>335</v>
      </c>
      <c r="I706" s="136" t="s">
        <v>549</v>
      </c>
      <c r="J706" s="136" t="s">
        <v>559</v>
      </c>
      <c r="K706" s="191">
        <v>-0.26272000000000001</v>
      </c>
      <c r="L706" s="191">
        <v>-0.20183620000000002</v>
      </c>
      <c r="M706" s="191">
        <v>0</v>
      </c>
      <c r="N706" s="191">
        <v>-1.6466906179348999</v>
      </c>
      <c r="O706" s="191">
        <v>-2.62906839567699</v>
      </c>
      <c r="P706" s="191">
        <v>-1.38385200580988</v>
      </c>
      <c r="Q706" s="191">
        <v>-1.1132938229609</v>
      </c>
      <c r="R706" s="191">
        <v>3.22099035956918E-2</v>
      </c>
      <c r="T706" s="46">
        <v>8</v>
      </c>
      <c r="U706" s="53" t="s">
        <v>252</v>
      </c>
      <c r="V706" s="47" t="s">
        <v>533</v>
      </c>
      <c r="W706" s="47" t="s">
        <v>549</v>
      </c>
      <c r="X706" s="47" t="s">
        <v>559</v>
      </c>
      <c r="Y706" s="58">
        <v>2.0748000000000002</v>
      </c>
      <c r="Z706" s="193">
        <v>1.77911</v>
      </c>
      <c r="AB706" s="3" t="s">
        <v>526</v>
      </c>
      <c r="AC706" s="125">
        <v>1</v>
      </c>
      <c r="AD706" s="3">
        <v>0</v>
      </c>
      <c r="AE706" s="3" t="s">
        <v>527</v>
      </c>
      <c r="AF706" s="3" t="s">
        <v>526</v>
      </c>
      <c r="AG706" s="83">
        <v>0.9</v>
      </c>
    </row>
    <row r="707" spans="6:33">
      <c r="F707" s="370">
        <v>8</v>
      </c>
      <c r="G707" s="137" t="s">
        <v>233</v>
      </c>
      <c r="H707" s="136" t="s">
        <v>326</v>
      </c>
      <c r="I707" s="136" t="s">
        <v>549</v>
      </c>
      <c r="J707" s="136" t="s">
        <v>559</v>
      </c>
      <c r="K707" s="191">
        <v>-0.14119999999999999</v>
      </c>
      <c r="L707" s="191">
        <v>-0.1076582</v>
      </c>
      <c r="M707" s="191">
        <v>0</v>
      </c>
      <c r="N707" s="191">
        <v>-1.6466906179348999</v>
      </c>
      <c r="O707" s="191">
        <v>-2.62906839567699</v>
      </c>
      <c r="P707" s="191">
        <v>-1.38385200580988</v>
      </c>
      <c r="Q707" s="191">
        <v>-1.1132938229609</v>
      </c>
      <c r="R707" s="191">
        <v>3.22099035956918E-2</v>
      </c>
      <c r="T707" s="46">
        <v>8</v>
      </c>
      <c r="U707" s="53" t="s">
        <v>242</v>
      </c>
      <c r="V707" s="47" t="s">
        <v>242</v>
      </c>
      <c r="W707" s="47" t="s">
        <v>549</v>
      </c>
      <c r="X707" s="47" t="s">
        <v>559</v>
      </c>
      <c r="Y707" s="58">
        <v>38.486130000000003</v>
      </c>
      <c r="Z707" s="193">
        <v>0.20843</v>
      </c>
      <c r="AB707" s="3" t="s">
        <v>526</v>
      </c>
      <c r="AC707" s="125">
        <v>1</v>
      </c>
      <c r="AD707" s="3">
        <v>8.1306407300000008E-2</v>
      </c>
      <c r="AE707" s="3" t="s">
        <v>531</v>
      </c>
      <c r="AF707" s="3" t="s">
        <v>526</v>
      </c>
      <c r="AG707" s="83">
        <v>0.9</v>
      </c>
    </row>
    <row r="708" spans="6:33">
      <c r="F708" s="370">
        <v>8</v>
      </c>
      <c r="G708" s="137" t="s">
        <v>261</v>
      </c>
      <c r="H708" s="136" t="s">
        <v>10179</v>
      </c>
      <c r="I708" s="136" t="s">
        <v>549</v>
      </c>
      <c r="J708" s="136" t="s">
        <v>559</v>
      </c>
      <c r="K708" s="191">
        <v>-4.72241</v>
      </c>
      <c r="L708" s="191">
        <v>-2.3594331999999998</v>
      </c>
      <c r="M708" s="191">
        <v>0</v>
      </c>
      <c r="N708" s="191">
        <v>-0.363292542675622</v>
      </c>
      <c r="O708" s="191">
        <v>-0.604889967569884</v>
      </c>
      <c r="P708" s="191">
        <v>0.16342528903207898</v>
      </c>
      <c r="Q708" s="191">
        <v>-0.1909858231387925</v>
      </c>
      <c r="R708" s="191">
        <v>2.5407321079062101E-2</v>
      </c>
      <c r="T708" s="46">
        <v>8</v>
      </c>
      <c r="U708" s="53" t="s">
        <v>242</v>
      </c>
      <c r="V708" s="47" t="s">
        <v>242</v>
      </c>
      <c r="W708" s="47" t="s">
        <v>549</v>
      </c>
      <c r="X708" s="47" t="s">
        <v>559</v>
      </c>
      <c r="Y708" s="58">
        <v>38.486130000000003</v>
      </c>
      <c r="Z708" s="193">
        <v>0.20843</v>
      </c>
      <c r="AB708" s="3" t="s">
        <v>526</v>
      </c>
      <c r="AC708" s="125">
        <v>1</v>
      </c>
      <c r="AD708" s="3">
        <v>8.1306407300000008E-2</v>
      </c>
      <c r="AE708" s="3" t="s">
        <v>531</v>
      </c>
      <c r="AF708" s="3" t="s">
        <v>526</v>
      </c>
      <c r="AG708" s="83">
        <v>0.95</v>
      </c>
    </row>
    <row r="709" spans="6:33" ht="28.8">
      <c r="F709" s="370">
        <v>8</v>
      </c>
      <c r="G709" s="137" t="s">
        <v>261</v>
      </c>
      <c r="H709" s="136" t="s">
        <v>269</v>
      </c>
      <c r="I709" s="136" t="s">
        <v>549</v>
      </c>
      <c r="J709" s="136" t="s">
        <v>559</v>
      </c>
      <c r="K709" s="191">
        <v>-0.25034000000000001</v>
      </c>
      <c r="L709" s="191">
        <v>-0.1233982</v>
      </c>
      <c r="M709" s="191">
        <v>0</v>
      </c>
      <c r="N709" s="191">
        <v>-0.30325468771297998</v>
      </c>
      <c r="O709" s="191">
        <v>-0.51380816190073997</v>
      </c>
      <c r="P709" s="191">
        <v>0.19333736377524499</v>
      </c>
      <c r="Q709" s="191">
        <v>-0.132429316723506</v>
      </c>
      <c r="R709" s="191">
        <v>2.5085143440906298E-2</v>
      </c>
      <c r="T709" s="46">
        <v>8</v>
      </c>
      <c r="U709" s="53" t="s">
        <v>242</v>
      </c>
      <c r="V709" s="47" t="s">
        <v>534</v>
      </c>
      <c r="W709" s="47" t="s">
        <v>549</v>
      </c>
      <c r="X709" s="47" t="s">
        <v>559</v>
      </c>
      <c r="Y709" s="58">
        <v>15.0122</v>
      </c>
      <c r="Z709" s="193">
        <v>0.37092000000000003</v>
      </c>
      <c r="AB709" s="3" t="s">
        <v>526</v>
      </c>
      <c r="AC709" s="125">
        <v>1</v>
      </c>
      <c r="AD709" s="3">
        <v>8.1306407300000008E-2</v>
      </c>
      <c r="AE709" s="3" t="s">
        <v>531</v>
      </c>
      <c r="AF709" s="3" t="s">
        <v>526</v>
      </c>
      <c r="AG709" s="83">
        <v>0.7</v>
      </c>
    </row>
    <row r="710" spans="6:33" ht="28.8">
      <c r="F710" s="370">
        <v>8</v>
      </c>
      <c r="G710" s="137" t="s">
        <v>261</v>
      </c>
      <c r="H710" s="136" t="s">
        <v>530</v>
      </c>
      <c r="I710" s="136" t="s">
        <v>549</v>
      </c>
      <c r="J710" s="136" t="s">
        <v>559</v>
      </c>
      <c r="K710" s="191">
        <v>-9.1944800000000004</v>
      </c>
      <c r="L710" s="191">
        <v>-4.5954682</v>
      </c>
      <c r="M710" s="191">
        <v>0</v>
      </c>
      <c r="N710" s="191">
        <v>-0.42333039763826402</v>
      </c>
      <c r="O710" s="191">
        <v>-0.69597177323902804</v>
      </c>
      <c r="P710" s="191">
        <v>0.133513214288913</v>
      </c>
      <c r="Q710" s="191">
        <v>-0.24954232955407901</v>
      </c>
      <c r="R710" s="191">
        <v>2.57294987172179E-2</v>
      </c>
      <c r="T710" s="46">
        <v>8</v>
      </c>
      <c r="U710" s="53" t="s">
        <v>239</v>
      </c>
      <c r="V710" s="47" t="s">
        <v>239</v>
      </c>
      <c r="W710" s="47" t="s">
        <v>549</v>
      </c>
      <c r="X710" s="47" t="s">
        <v>559</v>
      </c>
      <c r="Y710" s="58">
        <v>2.6644477777777777</v>
      </c>
      <c r="Z710" s="193">
        <v>0.64099666666666666</v>
      </c>
      <c r="AB710" s="3" t="s">
        <v>526</v>
      </c>
      <c r="AC710" s="125">
        <v>1</v>
      </c>
      <c r="AD710" s="3">
        <v>8.1306407300000008E-2</v>
      </c>
      <c r="AE710" s="3" t="s">
        <v>531</v>
      </c>
      <c r="AF710" s="3"/>
      <c r="AG710" s="3"/>
    </row>
    <row r="711" spans="6:33">
      <c r="F711" s="370">
        <v>8</v>
      </c>
      <c r="G711" s="137" t="s">
        <v>261</v>
      </c>
      <c r="H711" s="136" t="s">
        <v>262</v>
      </c>
      <c r="I711" s="136" t="s">
        <v>549</v>
      </c>
      <c r="J711" s="136" t="s">
        <v>559</v>
      </c>
      <c r="K711" s="191">
        <v>-2.5034000000000001</v>
      </c>
      <c r="L711" s="191">
        <v>0</v>
      </c>
      <c r="M711" s="191">
        <v>0</v>
      </c>
      <c r="N711" s="191">
        <v>-0.42333039763826402</v>
      </c>
      <c r="O711" s="191">
        <v>-0.69597177323902804</v>
      </c>
      <c r="P711" s="191">
        <v>0.133513214288913</v>
      </c>
      <c r="Q711" s="191">
        <v>-0.24954232955407901</v>
      </c>
      <c r="R711" s="191">
        <v>2.57294987172179E-2</v>
      </c>
      <c r="T711" s="46">
        <v>8</v>
      </c>
      <c r="U711" s="53" t="s">
        <v>239</v>
      </c>
      <c r="V711" s="47" t="s">
        <v>324</v>
      </c>
      <c r="W711" s="47" t="s">
        <v>549</v>
      </c>
      <c r="X711" s="47" t="s">
        <v>559</v>
      </c>
      <c r="Y711" s="58">
        <v>1.66</v>
      </c>
      <c r="Z711" s="193">
        <v>0.13142999999999999</v>
      </c>
      <c r="AB711" s="3" t="s">
        <v>526</v>
      </c>
      <c r="AC711" s="83">
        <v>0.5</v>
      </c>
      <c r="AD711" s="3">
        <v>8.1306407300000008E-2</v>
      </c>
      <c r="AE711" s="3" t="s">
        <v>531</v>
      </c>
      <c r="AF711" s="3"/>
      <c r="AG711" s="3"/>
    </row>
    <row r="712" spans="6:33">
      <c r="F712" s="370">
        <v>8</v>
      </c>
      <c r="G712" s="137" t="s">
        <v>252</v>
      </c>
      <c r="H712" s="136" t="s">
        <v>10180</v>
      </c>
      <c r="I712" s="136" t="s">
        <v>549</v>
      </c>
      <c r="J712" s="136" t="s">
        <v>559</v>
      </c>
      <c r="K712" s="191">
        <v>-2.0953266666666663</v>
      </c>
      <c r="L712" s="191">
        <v>-1.5407999593666664</v>
      </c>
      <c r="M712" s="191">
        <v>-4.4028084209304001</v>
      </c>
      <c r="N712" s="191">
        <v>0</v>
      </c>
      <c r="O712" s="191">
        <v>0</v>
      </c>
      <c r="P712" s="191">
        <v>2.60345330558212E-2</v>
      </c>
      <c r="Q712" s="191">
        <v>0.52229466264336699</v>
      </c>
      <c r="R712" s="191">
        <v>2.1870259708773201</v>
      </c>
      <c r="T712" s="46">
        <v>8</v>
      </c>
      <c r="U712" s="53" t="s">
        <v>239</v>
      </c>
      <c r="V712" s="47" t="s">
        <v>272</v>
      </c>
      <c r="W712" s="47" t="s">
        <v>549</v>
      </c>
      <c r="X712" s="47" t="s">
        <v>559</v>
      </c>
      <c r="Y712" s="58">
        <v>2.1278299999999999</v>
      </c>
      <c r="Z712" s="193">
        <v>1.2152400000000001</v>
      </c>
      <c r="AB712" s="3"/>
      <c r="AC712" s="3"/>
      <c r="AD712" s="3"/>
      <c r="AE712" s="3"/>
      <c r="AF712" s="3"/>
      <c r="AG712" s="3"/>
    </row>
    <row r="713" spans="6:33" ht="57.6">
      <c r="F713" s="370">
        <v>8</v>
      </c>
      <c r="G713" s="137" t="s">
        <v>252</v>
      </c>
      <c r="H713" s="136" t="s">
        <v>10163</v>
      </c>
      <c r="I713" s="136" t="s">
        <v>549</v>
      </c>
      <c r="J713" s="136" t="s">
        <v>559</v>
      </c>
      <c r="K713" s="191">
        <v>-2.04928</v>
      </c>
      <c r="L713" s="191">
        <v>0</v>
      </c>
      <c r="M713" s="191">
        <v>-3.848262792807438</v>
      </c>
      <c r="N713" s="191">
        <v>0</v>
      </c>
      <c r="O713" s="191">
        <v>0</v>
      </c>
      <c r="P713" s="191">
        <v>2.6034530007375899E-2</v>
      </c>
      <c r="Q713" s="191">
        <v>0.31076304251752501</v>
      </c>
      <c r="R713" s="191">
        <v>3.1831778761501202</v>
      </c>
      <c r="T713" s="46">
        <v>8</v>
      </c>
      <c r="U713" s="53" t="s">
        <v>239</v>
      </c>
      <c r="V713" s="47" t="s">
        <v>329</v>
      </c>
      <c r="W713" s="47" t="s">
        <v>549</v>
      </c>
      <c r="X713" s="47" t="s">
        <v>559</v>
      </c>
      <c r="Y713" s="58">
        <v>3.4792200000000002</v>
      </c>
      <c r="Z713" s="193">
        <v>1.0383</v>
      </c>
      <c r="AB713" s="3"/>
      <c r="AC713" s="3"/>
      <c r="AD713" s="3"/>
      <c r="AE713" s="3"/>
      <c r="AF713" s="3"/>
      <c r="AG713" s="3"/>
    </row>
    <row r="714" spans="6:33" ht="28.8">
      <c r="F714" s="370">
        <v>8</v>
      </c>
      <c r="G714" s="137" t="s">
        <v>252</v>
      </c>
      <c r="H714" s="136" t="s">
        <v>10164</v>
      </c>
      <c r="I714" s="136" t="s">
        <v>549</v>
      </c>
      <c r="J714" s="136" t="s">
        <v>559</v>
      </c>
      <c r="K714" s="191">
        <v>-2.3231199999999999</v>
      </c>
      <c r="L714" s="191">
        <v>0</v>
      </c>
      <c r="M714" s="191">
        <v>-4.5625225864514318</v>
      </c>
      <c r="N714" s="191">
        <v>0</v>
      </c>
      <c r="O714" s="191">
        <v>0</v>
      </c>
      <c r="P714" s="191">
        <v>2.60345308107898E-2</v>
      </c>
      <c r="Q714" s="191">
        <v>0.40307599889770501</v>
      </c>
      <c r="R714" s="191">
        <v>2.4956089336041298</v>
      </c>
      <c r="T714" s="46">
        <v>8</v>
      </c>
      <c r="U714" s="53" t="s">
        <v>239</v>
      </c>
      <c r="V714" s="47" t="s">
        <v>271</v>
      </c>
      <c r="W714" s="47" t="s">
        <v>549</v>
      </c>
      <c r="X714" s="47" t="s">
        <v>559</v>
      </c>
      <c r="Y714" s="58">
        <v>3.1045600000000002</v>
      </c>
      <c r="Z714" s="193">
        <v>0.12864</v>
      </c>
      <c r="AB714" s="3"/>
      <c r="AC714" s="3"/>
      <c r="AD714" s="3"/>
      <c r="AE714" s="3"/>
      <c r="AF714" s="3" t="s">
        <v>526</v>
      </c>
      <c r="AG714" s="83">
        <v>0.7</v>
      </c>
    </row>
    <row r="715" spans="6:33" ht="28.8">
      <c r="F715" s="370">
        <v>8</v>
      </c>
      <c r="G715" s="137" t="s">
        <v>252</v>
      </c>
      <c r="H715" s="136" t="s">
        <v>10165</v>
      </c>
      <c r="I715" s="136" t="s">
        <v>549</v>
      </c>
      <c r="J715" s="136" t="s">
        <v>559</v>
      </c>
      <c r="K715" s="191">
        <v>-2.1485799999999999</v>
      </c>
      <c r="L715" s="191">
        <v>0</v>
      </c>
      <c r="M715" s="191">
        <v>-4.6379257180112967</v>
      </c>
      <c r="N715" s="191">
        <v>0</v>
      </c>
      <c r="O715" s="191">
        <v>0</v>
      </c>
      <c r="P715" s="191">
        <v>2.6034530007375899E-2</v>
      </c>
      <c r="Q715" s="191">
        <v>0.57312659123416498</v>
      </c>
      <c r="R715" s="191">
        <v>2.5363328945285502</v>
      </c>
      <c r="T715" s="46">
        <v>8</v>
      </c>
      <c r="U715" s="53" t="s">
        <v>239</v>
      </c>
      <c r="V715" s="47" t="s">
        <v>535</v>
      </c>
      <c r="W715" s="47" t="s">
        <v>549</v>
      </c>
      <c r="X715" s="47" t="s">
        <v>559</v>
      </c>
      <c r="Y715" s="58">
        <v>3.1045600000000002</v>
      </c>
      <c r="Z715" s="193">
        <v>0.12864</v>
      </c>
      <c r="AB715" s="3"/>
      <c r="AC715" s="3"/>
      <c r="AD715" s="3"/>
      <c r="AE715" s="3"/>
      <c r="AF715" s="3" t="s">
        <v>526</v>
      </c>
      <c r="AG715" s="83">
        <v>0.65</v>
      </c>
    </row>
    <row r="716" spans="6:33" ht="28.8">
      <c r="F716" s="370">
        <v>8</v>
      </c>
      <c r="G716" s="137" t="s">
        <v>252</v>
      </c>
      <c r="H716" s="136" t="s">
        <v>10166</v>
      </c>
      <c r="I716" s="136" t="s">
        <v>549</v>
      </c>
      <c r="J716" s="136" t="s">
        <v>559</v>
      </c>
      <c r="K716" s="191">
        <v>-1.9492499999999999</v>
      </c>
      <c r="L716" s="191">
        <v>0</v>
      </c>
      <c r="M716" s="191">
        <v>-4.5625225864514318</v>
      </c>
      <c r="N716" s="191">
        <v>0</v>
      </c>
      <c r="O716" s="191">
        <v>0</v>
      </c>
      <c r="P716" s="191">
        <v>2.60345308107898E-2</v>
      </c>
      <c r="Q716" s="191">
        <v>0.40307599889770501</v>
      </c>
      <c r="R716" s="191">
        <v>2.4956089336041298</v>
      </c>
      <c r="T716" s="46">
        <v>8</v>
      </c>
      <c r="U716" s="53" t="s">
        <v>239</v>
      </c>
      <c r="V716" s="47" t="s">
        <v>259</v>
      </c>
      <c r="W716" s="47" t="s">
        <v>549</v>
      </c>
      <c r="X716" s="47" t="s">
        <v>559</v>
      </c>
      <c r="Y716" s="58">
        <v>2.86965</v>
      </c>
      <c r="Z716" s="193">
        <v>0.79600000000000004</v>
      </c>
      <c r="AB716" s="3"/>
      <c r="AC716" s="3"/>
      <c r="AD716" s="3"/>
      <c r="AE716" s="3"/>
      <c r="AF716" s="3"/>
      <c r="AG716" s="3"/>
    </row>
    <row r="717" spans="6:33">
      <c r="F717" s="370">
        <v>8</v>
      </c>
      <c r="G717" s="137" t="s">
        <v>252</v>
      </c>
      <c r="H717" s="136" t="s">
        <v>10167</v>
      </c>
      <c r="I717" s="136" t="s">
        <v>549</v>
      </c>
      <c r="J717" s="136" t="s">
        <v>559</v>
      </c>
      <c r="K717" s="191">
        <v>-2.0269300000000001</v>
      </c>
      <c r="L717" s="191">
        <v>0</v>
      </c>
      <c r="M717" s="191">
        <v>0</v>
      </c>
      <c r="N717" s="191">
        <v>0</v>
      </c>
      <c r="O717" s="191">
        <v>0</v>
      </c>
      <c r="P717" s="191">
        <v>2.6034530932035799E-2</v>
      </c>
      <c r="Q717" s="191">
        <v>0.26237963811555198</v>
      </c>
      <c r="R717" s="191">
        <v>3.1833671860522301</v>
      </c>
      <c r="T717" s="46">
        <v>8</v>
      </c>
      <c r="U717" s="53" t="s">
        <v>239</v>
      </c>
      <c r="V717" s="47" t="s">
        <v>334</v>
      </c>
      <c r="W717" s="47" t="s">
        <v>549</v>
      </c>
      <c r="X717" s="47" t="s">
        <v>559</v>
      </c>
      <c r="Y717" s="58">
        <v>2.86965</v>
      </c>
      <c r="Z717" s="193">
        <v>0.76736000000000004</v>
      </c>
      <c r="AB717" s="3"/>
      <c r="AC717" s="3"/>
      <c r="AD717" s="3"/>
      <c r="AE717" s="3"/>
      <c r="AF717" s="3"/>
      <c r="AG717" s="3"/>
    </row>
    <row r="718" spans="6:33">
      <c r="F718" s="370">
        <v>8</v>
      </c>
      <c r="G718" s="137" t="s">
        <v>252</v>
      </c>
      <c r="H718" s="136" t="s">
        <v>10168</v>
      </c>
      <c r="I718" s="136" t="s">
        <v>549</v>
      </c>
      <c r="J718" s="136" t="s">
        <v>559</v>
      </c>
      <c r="K718" s="191">
        <v>-2.0748000000000002</v>
      </c>
      <c r="L718" s="191">
        <v>0</v>
      </c>
      <c r="M718" s="191">
        <v>0</v>
      </c>
      <c r="N718" s="191">
        <v>0</v>
      </c>
      <c r="O718" s="191">
        <v>0</v>
      </c>
      <c r="P718" s="191">
        <v>2.60345257242908E-2</v>
      </c>
      <c r="Q718" s="191">
        <v>0.48371680745405499</v>
      </c>
      <c r="R718" s="191">
        <v>3.03683103926502</v>
      </c>
      <c r="T718" s="46">
        <v>8</v>
      </c>
      <c r="U718" s="53" t="s">
        <v>239</v>
      </c>
      <c r="V718" s="47" t="s">
        <v>240</v>
      </c>
      <c r="W718" s="47" t="s">
        <v>549</v>
      </c>
      <c r="X718" s="47" t="s">
        <v>559</v>
      </c>
      <c r="Y718" s="58">
        <v>3.1045600000000002</v>
      </c>
      <c r="Z718" s="193">
        <v>0.76736000000000004</v>
      </c>
      <c r="AB718" s="3" t="s">
        <v>526</v>
      </c>
      <c r="AC718" s="125">
        <v>0.64600000000000002</v>
      </c>
      <c r="AD718" s="3">
        <v>0</v>
      </c>
      <c r="AE718" s="3"/>
      <c r="AF718" s="3"/>
      <c r="AG718" s="3"/>
    </row>
    <row r="719" spans="6:33" ht="28.8">
      <c r="F719" s="370">
        <v>8</v>
      </c>
      <c r="G719" s="137" t="s">
        <v>242</v>
      </c>
      <c r="H719" s="136" t="s">
        <v>10181</v>
      </c>
      <c r="I719" s="136" t="s">
        <v>549</v>
      </c>
      <c r="J719" s="136" t="s">
        <v>559</v>
      </c>
      <c r="K719" s="191">
        <v>-38.486130000000003</v>
      </c>
      <c r="L719" s="191">
        <v>-27.900672450000002</v>
      </c>
      <c r="M719" s="191">
        <v>-3.2868550000000001</v>
      </c>
      <c r="N719" s="191">
        <v>0</v>
      </c>
      <c r="O719" s="191">
        <v>0</v>
      </c>
      <c r="P719" s="191">
        <v>2.5860000000000001E-2</v>
      </c>
      <c r="Q719" s="191">
        <v>4.1333668033559097E-2</v>
      </c>
      <c r="R719" s="191">
        <v>4.8926196521969202E-2</v>
      </c>
      <c r="T719" s="46">
        <v>8</v>
      </c>
      <c r="U719" s="53" t="s">
        <v>239</v>
      </c>
      <c r="V719" s="47" t="s">
        <v>325</v>
      </c>
      <c r="W719" s="47" t="s">
        <v>549</v>
      </c>
      <c r="X719" s="47" t="s">
        <v>559</v>
      </c>
      <c r="Y719" s="58">
        <v>1.66</v>
      </c>
      <c r="Z719" s="193">
        <v>0.79600000000000004</v>
      </c>
      <c r="AB719" s="3" t="s">
        <v>526</v>
      </c>
      <c r="AC719" s="125">
        <v>0.72499999999999998</v>
      </c>
      <c r="AD719" s="3">
        <v>0</v>
      </c>
      <c r="AE719" s="3"/>
      <c r="AF719" s="3"/>
      <c r="AG719" s="3"/>
    </row>
    <row r="720" spans="6:33">
      <c r="F720" s="370">
        <v>8</v>
      </c>
      <c r="G720" s="137" t="s">
        <v>242</v>
      </c>
      <c r="H720" s="136" t="s">
        <v>274</v>
      </c>
      <c r="I720" s="136" t="s">
        <v>549</v>
      </c>
      <c r="J720" s="136" t="s">
        <v>559</v>
      </c>
      <c r="K720" s="191">
        <v>-38.486130000000003</v>
      </c>
      <c r="L720" s="191">
        <v>-27.900672450000002</v>
      </c>
      <c r="M720" s="191">
        <v>-8.5278425000000002</v>
      </c>
      <c r="N720" s="191">
        <v>0</v>
      </c>
      <c r="O720" s="191">
        <v>0</v>
      </c>
      <c r="P720" s="191">
        <v>2.5860000000000001E-2</v>
      </c>
      <c r="Q720" s="191">
        <v>4.1333668033559097E-2</v>
      </c>
      <c r="R720" s="191">
        <v>4.8926196521969202E-2</v>
      </c>
      <c r="T720" s="46">
        <v>8</v>
      </c>
      <c r="U720" s="53" t="s">
        <v>256</v>
      </c>
      <c r="V720" s="47" t="s">
        <v>256</v>
      </c>
      <c r="W720" s="47" t="s">
        <v>549</v>
      </c>
      <c r="X720" s="47" t="s">
        <v>559</v>
      </c>
      <c r="Y720" s="58">
        <v>3.3097799999999999</v>
      </c>
      <c r="Z720" s="193">
        <v>1.0068550000000001</v>
      </c>
      <c r="AB720" s="3" t="s">
        <v>526</v>
      </c>
      <c r="AC720" s="125">
        <v>0.64600000000000002</v>
      </c>
      <c r="AD720" s="3">
        <v>0</v>
      </c>
      <c r="AE720" s="3"/>
      <c r="AF720" s="3" t="s">
        <v>526</v>
      </c>
      <c r="AG720" s="83">
        <v>0.5</v>
      </c>
    </row>
    <row r="721" spans="6:33">
      <c r="F721" s="370">
        <v>8</v>
      </c>
      <c r="G721" s="137" t="s">
        <v>242</v>
      </c>
      <c r="H721" s="136" t="s">
        <v>534</v>
      </c>
      <c r="I721" s="136" t="s">
        <v>549</v>
      </c>
      <c r="J721" s="136" t="s">
        <v>559</v>
      </c>
      <c r="K721" s="191">
        <v>-15.0122</v>
      </c>
      <c r="L721" s="191">
        <v>-10.882073199999999</v>
      </c>
      <c r="M721" s="191">
        <v>-3.19428</v>
      </c>
      <c r="N721" s="191">
        <v>0</v>
      </c>
      <c r="O721" s="191">
        <v>0</v>
      </c>
      <c r="P721" s="191">
        <v>2.5860000000000001E-2</v>
      </c>
      <c r="Q721" s="191">
        <v>4.1333668033559097E-2</v>
      </c>
      <c r="R721" s="191">
        <v>4.8926196521969202E-2</v>
      </c>
      <c r="T721" s="46">
        <v>8</v>
      </c>
      <c r="U721" s="53" t="s">
        <v>256</v>
      </c>
      <c r="V721" s="47" t="s">
        <v>536</v>
      </c>
      <c r="W721" s="47" t="s">
        <v>549</v>
      </c>
      <c r="X721" s="47" t="s">
        <v>559</v>
      </c>
      <c r="Y721" s="58">
        <v>1.9798800000000001</v>
      </c>
      <c r="Z721" s="193">
        <v>0.72957000000000005</v>
      </c>
      <c r="AB721" s="3" t="s">
        <v>526</v>
      </c>
      <c r="AC721" s="125">
        <v>0.72499999999999998</v>
      </c>
      <c r="AD721" s="3">
        <v>0.14482945764999999</v>
      </c>
      <c r="AE721" s="3" t="s">
        <v>541</v>
      </c>
      <c r="AF721" s="3"/>
      <c r="AG721" s="3"/>
    </row>
    <row r="722" spans="6:33">
      <c r="F722" s="370">
        <v>8</v>
      </c>
      <c r="G722" s="137" t="s">
        <v>239</v>
      </c>
      <c r="H722" s="136" t="s">
        <v>10182</v>
      </c>
      <c r="I722" s="136" t="s">
        <v>549</v>
      </c>
      <c r="J722" s="136" t="s">
        <v>559</v>
      </c>
      <c r="K722" s="191">
        <v>-2.6644477777777777</v>
      </c>
      <c r="L722" s="191">
        <v>-1.7194614644444446</v>
      </c>
      <c r="M722" s="191">
        <v>-0.87532609855828802</v>
      </c>
      <c r="N722" s="191">
        <v>-1.6287383832761999</v>
      </c>
      <c r="O722" s="191">
        <v>-2.39292642163465</v>
      </c>
      <c r="P722" s="191">
        <v>-0.653545379257638</v>
      </c>
      <c r="Q722" s="191">
        <v>-0.89864370226409696</v>
      </c>
      <c r="R722" s="191">
        <v>2.74724897843227E-2</v>
      </c>
      <c r="T722" s="46">
        <v>8</v>
      </c>
      <c r="U722" s="53" t="s">
        <v>256</v>
      </c>
      <c r="V722" s="47" t="s">
        <v>257</v>
      </c>
      <c r="W722" s="47" t="s">
        <v>549</v>
      </c>
      <c r="X722" s="47" t="s">
        <v>559</v>
      </c>
      <c r="Y722" s="58">
        <v>1.9798800000000001</v>
      </c>
      <c r="Z722" s="193">
        <v>0.46493000000000001</v>
      </c>
      <c r="AB722" s="3"/>
      <c r="AC722" s="3"/>
      <c r="AD722" s="3"/>
      <c r="AE722" s="3"/>
      <c r="AF722" s="3"/>
      <c r="AG722" s="3"/>
    </row>
    <row r="723" spans="6:33">
      <c r="F723" s="370">
        <v>8</v>
      </c>
      <c r="G723" s="137" t="s">
        <v>239</v>
      </c>
      <c r="H723" s="136" t="s">
        <v>324</v>
      </c>
      <c r="I723" s="136" t="s">
        <v>549</v>
      </c>
      <c r="J723" s="136" t="s">
        <v>559</v>
      </c>
      <c r="K723" s="191">
        <v>-1.66</v>
      </c>
      <c r="L723" s="191">
        <v>0</v>
      </c>
      <c r="M723" s="191">
        <v>0.17030909850930182</v>
      </c>
      <c r="N723" s="191">
        <v>-1.6393479664895301</v>
      </c>
      <c r="O723" s="191">
        <v>-2.2421354928161898</v>
      </c>
      <c r="P723" s="191">
        <v>-1.1325615866527099</v>
      </c>
      <c r="Q723" s="191">
        <v>-0.97692532810678301</v>
      </c>
      <c r="R723" s="191">
        <v>2.66828708255522E-2</v>
      </c>
      <c r="T723" s="46">
        <v>8</v>
      </c>
      <c r="U723" s="53" t="s">
        <v>256</v>
      </c>
      <c r="V723" s="47" t="s">
        <v>537</v>
      </c>
      <c r="W723" s="47" t="s">
        <v>549</v>
      </c>
      <c r="X723" s="47" t="s">
        <v>559</v>
      </c>
      <c r="Y723" s="58">
        <v>5.0082800000000001</v>
      </c>
      <c r="Z723" s="193">
        <v>1.54878</v>
      </c>
      <c r="AB723" s="3"/>
      <c r="AC723" s="3"/>
      <c r="AD723" s="3"/>
      <c r="AE723" s="3"/>
      <c r="AF723" s="3"/>
      <c r="AG723" s="3"/>
    </row>
    <row r="724" spans="6:33">
      <c r="F724" s="370">
        <v>8</v>
      </c>
      <c r="G724" s="137" t="s">
        <v>239</v>
      </c>
      <c r="H724" s="136" t="s">
        <v>272</v>
      </c>
      <c r="I724" s="136" t="s">
        <v>549</v>
      </c>
      <c r="J724" s="136" t="s">
        <v>559</v>
      </c>
      <c r="K724" s="191">
        <v>-2.1278299999999999</v>
      </c>
      <c r="L724" s="191">
        <v>-1.3728063799999999</v>
      </c>
      <c r="M724" s="191">
        <v>6.2121953604204836E-3</v>
      </c>
      <c r="N724" s="191">
        <v>-1.4661627523237399</v>
      </c>
      <c r="O724" s="191">
        <v>-2.2556847757332998</v>
      </c>
      <c r="P724" s="191">
        <v>3.6729999999999999E-2</v>
      </c>
      <c r="Q724" s="191">
        <v>-0.76858404709894201</v>
      </c>
      <c r="R724" s="191">
        <v>3.4586398607210002E-2</v>
      </c>
      <c r="T724" s="46">
        <v>8</v>
      </c>
      <c r="U724" s="53" t="s">
        <v>256</v>
      </c>
      <c r="V724" s="47" t="s">
        <v>538</v>
      </c>
      <c r="W724" s="47" t="s">
        <v>549</v>
      </c>
      <c r="X724" s="47" t="s">
        <v>559</v>
      </c>
      <c r="Y724" s="58">
        <v>4.6396800000000002</v>
      </c>
      <c r="Z724" s="193">
        <v>1.54878</v>
      </c>
      <c r="AB724" s="3"/>
      <c r="AC724" s="3"/>
      <c r="AD724" s="3"/>
      <c r="AE724" s="3"/>
      <c r="AF724" s="3"/>
      <c r="AG724" s="3"/>
    </row>
    <row r="725" spans="6:33">
      <c r="F725" s="370">
        <v>8</v>
      </c>
      <c r="G725" s="137" t="s">
        <v>239</v>
      </c>
      <c r="H725" s="136" t="s">
        <v>329</v>
      </c>
      <c r="I725" s="136" t="s">
        <v>549</v>
      </c>
      <c r="J725" s="136" t="s">
        <v>559</v>
      </c>
      <c r="K725" s="191">
        <v>-3.4792200000000002</v>
      </c>
      <c r="L725" s="191">
        <v>0</v>
      </c>
      <c r="M725" s="191">
        <v>-3.0294379487984222</v>
      </c>
      <c r="N725" s="191">
        <v>-1.5886805615074799</v>
      </c>
      <c r="O725" s="191">
        <v>-2.5127916003536002</v>
      </c>
      <c r="P725" s="191">
        <v>0.44328744861925301</v>
      </c>
      <c r="Q725" s="191">
        <v>-0.77150311157554996</v>
      </c>
      <c r="R725" s="191">
        <v>3.7250243185255799E-2</v>
      </c>
      <c r="T725" s="46">
        <v>8</v>
      </c>
      <c r="U725" s="53" t="s">
        <v>256</v>
      </c>
      <c r="V725" s="47" t="s">
        <v>258</v>
      </c>
      <c r="W725" s="47" t="s">
        <v>549</v>
      </c>
      <c r="X725" s="47" t="s">
        <v>559</v>
      </c>
      <c r="Y725" s="58">
        <v>4.6396800000000002</v>
      </c>
      <c r="Z725" s="193">
        <v>1.54878</v>
      </c>
      <c r="AB725" s="3" t="s">
        <v>526</v>
      </c>
      <c r="AC725" s="125">
        <v>0.77500000000000002</v>
      </c>
      <c r="AD725" s="3">
        <v>0</v>
      </c>
      <c r="AE725" s="3" t="s">
        <v>527</v>
      </c>
      <c r="AF725" s="3"/>
      <c r="AG725" s="3"/>
    </row>
    <row r="726" spans="6:33">
      <c r="F726" s="370">
        <v>8</v>
      </c>
      <c r="G726" s="137" t="s">
        <v>239</v>
      </c>
      <c r="H726" s="136" t="s">
        <v>271</v>
      </c>
      <c r="I726" s="136" t="s">
        <v>549</v>
      </c>
      <c r="J726" s="136" t="s">
        <v>559</v>
      </c>
      <c r="K726" s="191">
        <v>-3.1045600000000002</v>
      </c>
      <c r="L726" s="191">
        <v>0</v>
      </c>
      <c r="M726" s="191">
        <v>-0.98474186087807403</v>
      </c>
      <c r="N726" s="191">
        <v>-1.50400500602292</v>
      </c>
      <c r="O726" s="191">
        <v>-2.60374138984985</v>
      </c>
      <c r="P726" s="191">
        <v>-0.64508489652896694</v>
      </c>
      <c r="Q726" s="191">
        <v>-0.73514616197038696</v>
      </c>
      <c r="R726" s="191">
        <v>4.03965523029544E-2</v>
      </c>
      <c r="T726" s="46">
        <v>8</v>
      </c>
      <c r="U726" s="53" t="s">
        <v>247</v>
      </c>
      <c r="V726" s="47" t="s">
        <v>247</v>
      </c>
      <c r="W726" s="47" t="s">
        <v>549</v>
      </c>
      <c r="X726" s="47" t="s">
        <v>559</v>
      </c>
      <c r="Y726" s="58">
        <v>1.0505633333333335</v>
      </c>
      <c r="Z726" s="193">
        <v>0.89563000000000004</v>
      </c>
      <c r="AB726" s="3" t="s">
        <v>526</v>
      </c>
      <c r="AC726" s="125">
        <v>0.77500000000000002</v>
      </c>
      <c r="AD726" s="3">
        <v>0</v>
      </c>
      <c r="AE726" s="3" t="s">
        <v>527</v>
      </c>
      <c r="AF726" s="3"/>
      <c r="AG726" s="3"/>
    </row>
    <row r="727" spans="6:33">
      <c r="F727" s="370">
        <v>8</v>
      </c>
      <c r="G727" s="137" t="s">
        <v>239</v>
      </c>
      <c r="H727" s="136" t="s">
        <v>535</v>
      </c>
      <c r="I727" s="136" t="s">
        <v>549</v>
      </c>
      <c r="J727" s="136" t="s">
        <v>559</v>
      </c>
      <c r="K727" s="191">
        <v>-3.1045600000000002</v>
      </c>
      <c r="L727" s="191">
        <v>0</v>
      </c>
      <c r="M727" s="191">
        <v>-0.98474186087807403</v>
      </c>
      <c r="N727" s="191">
        <v>-1.6126581382493801</v>
      </c>
      <c r="O727" s="191">
        <v>-2.6101906195490798</v>
      </c>
      <c r="P727" s="191">
        <v>-0.84431642696925902</v>
      </c>
      <c r="Q727" s="191">
        <v>-0.81806113995993301</v>
      </c>
      <c r="R727" s="191">
        <v>2.9214620903970801E-2</v>
      </c>
      <c r="T727" s="46">
        <v>8</v>
      </c>
      <c r="U727" s="53" t="s">
        <v>247</v>
      </c>
      <c r="V727" s="47" t="s">
        <v>248</v>
      </c>
      <c r="W727" s="47" t="s">
        <v>549</v>
      </c>
      <c r="X727" s="47" t="s">
        <v>559</v>
      </c>
      <c r="Y727" s="58">
        <v>1.0606100000000001</v>
      </c>
      <c r="Z727" s="193">
        <v>0.89563000000000004</v>
      </c>
      <c r="AB727" s="3" t="s">
        <v>526</v>
      </c>
      <c r="AC727" s="125">
        <v>0.77500000000000002</v>
      </c>
      <c r="AD727" s="3">
        <v>0</v>
      </c>
      <c r="AE727" s="3" t="s">
        <v>527</v>
      </c>
      <c r="AF727" s="3"/>
      <c r="AG727" s="3"/>
    </row>
    <row r="728" spans="6:33">
      <c r="F728" s="370">
        <v>8</v>
      </c>
      <c r="G728" s="137" t="s">
        <v>239</v>
      </c>
      <c r="H728" s="136" t="s">
        <v>259</v>
      </c>
      <c r="I728" s="136" t="s">
        <v>549</v>
      </c>
      <c r="J728" s="136" t="s">
        <v>559</v>
      </c>
      <c r="K728" s="191">
        <v>-2.86965</v>
      </c>
      <c r="L728" s="191">
        <v>0</v>
      </c>
      <c r="M728" s="191">
        <v>-0.98474186087807403</v>
      </c>
      <c r="N728" s="191">
        <v>-1.3277684187324199</v>
      </c>
      <c r="O728" s="191">
        <v>-2.0258416808533699</v>
      </c>
      <c r="P728" s="191">
        <v>-0.37500585669263597</v>
      </c>
      <c r="Q728" s="191">
        <v>-0.66645468961952703</v>
      </c>
      <c r="R728" s="191">
        <v>2.8422158660527701E-2</v>
      </c>
      <c r="T728" s="46">
        <v>8</v>
      </c>
      <c r="U728" s="53" t="s">
        <v>247</v>
      </c>
      <c r="V728" s="47" t="s">
        <v>263</v>
      </c>
      <c r="W728" s="47" t="s">
        <v>549</v>
      </c>
      <c r="X728" s="47" t="s">
        <v>559</v>
      </c>
      <c r="Y728" s="58">
        <v>1.0341199999999999</v>
      </c>
      <c r="Z728" s="193">
        <v>0.89563000000000004</v>
      </c>
      <c r="AB728" s="3" t="s">
        <v>526</v>
      </c>
      <c r="AC728" s="83">
        <v>0.5</v>
      </c>
      <c r="AD728" s="3">
        <v>0</v>
      </c>
      <c r="AE728" s="3" t="s">
        <v>528</v>
      </c>
      <c r="AF728" s="3"/>
      <c r="AG728" s="3"/>
    </row>
    <row r="729" spans="6:33">
      <c r="F729" s="370">
        <v>8</v>
      </c>
      <c r="G729" s="137" t="s">
        <v>239</v>
      </c>
      <c r="H729" s="136" t="s">
        <v>334</v>
      </c>
      <c r="I729" s="136" t="s">
        <v>549</v>
      </c>
      <c r="J729" s="136" t="s">
        <v>559</v>
      </c>
      <c r="K729" s="191">
        <v>-2.86965</v>
      </c>
      <c r="L729" s="191">
        <v>0</v>
      </c>
      <c r="M729" s="191">
        <v>-0.98474186087807403</v>
      </c>
      <c r="N729" s="191">
        <v>-1.7381940409748999</v>
      </c>
      <c r="O729" s="191">
        <v>-2.4952604314451898</v>
      </c>
      <c r="P729" s="191">
        <v>-0.31636269932420302</v>
      </c>
      <c r="Q729" s="191">
        <v>-0.97264432557816705</v>
      </c>
      <c r="R729" s="191">
        <v>2.63900265513301E-2</v>
      </c>
      <c r="T729" s="46">
        <v>8</v>
      </c>
      <c r="U729" s="53" t="s">
        <v>247</v>
      </c>
      <c r="V729" s="47" t="s">
        <v>539</v>
      </c>
      <c r="W729" s="47" t="s">
        <v>549</v>
      </c>
      <c r="X729" s="47" t="s">
        <v>559</v>
      </c>
      <c r="Y729" s="58">
        <v>1.0569599999999999</v>
      </c>
      <c r="Z729" s="193">
        <v>0.89563000000000004</v>
      </c>
      <c r="AB729" s="3" t="s">
        <v>526</v>
      </c>
      <c r="AC729" s="83">
        <v>0.5</v>
      </c>
      <c r="AD729" s="3">
        <v>0</v>
      </c>
      <c r="AE729" s="3" t="s">
        <v>528</v>
      </c>
      <c r="AF729" s="3"/>
      <c r="AG729" s="3"/>
    </row>
    <row r="730" spans="6:33">
      <c r="F730" s="370">
        <v>8</v>
      </c>
      <c r="G730" s="137" t="s">
        <v>239</v>
      </c>
      <c r="H730" s="136" t="s">
        <v>240</v>
      </c>
      <c r="I730" s="136" t="s">
        <v>549</v>
      </c>
      <c r="J730" s="136" t="s">
        <v>559</v>
      </c>
      <c r="K730" s="191">
        <v>-3.1045600000000002</v>
      </c>
      <c r="L730" s="191">
        <v>0</v>
      </c>
      <c r="M730" s="191">
        <v>0</v>
      </c>
      <c r="N730" s="191">
        <v>-1.7669466747123801</v>
      </c>
      <c r="O730" s="191">
        <v>-2.57939087062358</v>
      </c>
      <c r="P730" s="191">
        <v>-0.65753871977953204</v>
      </c>
      <c r="Q730" s="191">
        <v>0.37026316036421603</v>
      </c>
      <c r="R730" s="191">
        <v>2.3670131544394799</v>
      </c>
      <c r="T730" s="46">
        <v>8</v>
      </c>
      <c r="U730" s="53" t="s">
        <v>247</v>
      </c>
      <c r="V730" s="47" t="s">
        <v>270</v>
      </c>
      <c r="W730" s="47" t="s">
        <v>549</v>
      </c>
      <c r="X730" s="47" t="s">
        <v>559</v>
      </c>
      <c r="Y730" s="58">
        <v>1.0505633333333335</v>
      </c>
      <c r="Z730" s="193">
        <v>0.89563000000000004</v>
      </c>
      <c r="AB730" s="3"/>
      <c r="AC730" s="3"/>
      <c r="AD730" s="3"/>
      <c r="AE730" s="3"/>
      <c r="AF730" s="3"/>
      <c r="AG730" s="3"/>
    </row>
    <row r="731" spans="6:33" ht="28.8">
      <c r="F731" s="370">
        <v>8</v>
      </c>
      <c r="G731" s="137" t="s">
        <v>239</v>
      </c>
      <c r="H731" s="136" t="s">
        <v>325</v>
      </c>
      <c r="I731" s="136" t="s">
        <v>549</v>
      </c>
      <c r="J731" s="136" t="s">
        <v>559</v>
      </c>
      <c r="K731" s="191">
        <v>-1.66</v>
      </c>
      <c r="L731" s="191">
        <v>0</v>
      </c>
      <c r="M731" s="191">
        <v>0</v>
      </c>
      <c r="N731" s="191">
        <v>-1.6287383832761999</v>
      </c>
      <c r="O731" s="191">
        <v>-2.39292642163465</v>
      </c>
      <c r="P731" s="191">
        <v>-0.653545379257638</v>
      </c>
      <c r="Q731" s="191">
        <v>-0.89864370226409696</v>
      </c>
      <c r="R731" s="191">
        <v>2.74724897843227E-2</v>
      </c>
      <c r="T731" s="46">
        <v>8</v>
      </c>
      <c r="U731" s="53" t="s">
        <v>247</v>
      </c>
      <c r="V731" s="47" t="s">
        <v>540</v>
      </c>
      <c r="W731" s="47" t="s">
        <v>549</v>
      </c>
      <c r="X731" s="47" t="s">
        <v>559</v>
      </c>
      <c r="Y731" s="58">
        <v>1.0473650000000001</v>
      </c>
      <c r="Z731" s="193">
        <v>0.89563000000000004</v>
      </c>
      <c r="AB731" s="3" t="s">
        <v>526</v>
      </c>
      <c r="AC731" s="125">
        <v>0.77500000000000002</v>
      </c>
      <c r="AD731" s="3">
        <v>8.1306407300000008E-2</v>
      </c>
      <c r="AE731" s="3" t="s">
        <v>531</v>
      </c>
      <c r="AF731" s="3" t="s">
        <v>526</v>
      </c>
      <c r="AG731" s="83">
        <v>0.85</v>
      </c>
    </row>
    <row r="732" spans="6:33">
      <c r="F732" s="370">
        <v>8</v>
      </c>
      <c r="G732" s="137" t="s">
        <v>256</v>
      </c>
      <c r="H732" s="136" t="s">
        <v>10183</v>
      </c>
      <c r="I732" s="136" t="s">
        <v>549</v>
      </c>
      <c r="J732" s="136" t="s">
        <v>559</v>
      </c>
      <c r="K732" s="191">
        <v>-3.3097799999999999</v>
      </c>
      <c r="L732" s="191">
        <v>-3.2267017926999997</v>
      </c>
      <c r="M732" s="191">
        <v>-12.927962776222799</v>
      </c>
      <c r="N732" s="191">
        <v>0</v>
      </c>
      <c r="O732" s="191">
        <v>0</v>
      </c>
      <c r="P732" s="191">
        <v>2.5947255864949198E-2</v>
      </c>
      <c r="Q732" s="191">
        <v>-0.10295975900783261</v>
      </c>
      <c r="R732" s="191">
        <v>-8.5244179033323805E-2</v>
      </c>
      <c r="T732" s="46">
        <v>8</v>
      </c>
      <c r="U732" s="53" t="s">
        <v>529</v>
      </c>
      <c r="V732" s="47" t="s">
        <v>260</v>
      </c>
      <c r="W732" s="47" t="s">
        <v>549</v>
      </c>
      <c r="X732" s="47" t="s">
        <v>559</v>
      </c>
      <c r="Y732" s="58">
        <v>4.0364225925925927</v>
      </c>
      <c r="Z732" s="193">
        <v>1.3856655555555555</v>
      </c>
      <c r="AB732" s="3" t="s">
        <v>526</v>
      </c>
      <c r="AC732" s="125">
        <v>0.77500000000000002</v>
      </c>
      <c r="AD732" s="3">
        <v>8.1306407300000008E-2</v>
      </c>
      <c r="AE732" s="3" t="s">
        <v>531</v>
      </c>
      <c r="AF732" s="3" t="s">
        <v>526</v>
      </c>
      <c r="AG732" s="83">
        <v>0.7</v>
      </c>
    </row>
    <row r="733" spans="6:33">
      <c r="F733" s="370">
        <v>8</v>
      </c>
      <c r="G733" s="137" t="s">
        <v>256</v>
      </c>
      <c r="H733" s="136" t="s">
        <v>536</v>
      </c>
      <c r="I733" s="136" t="s">
        <v>549</v>
      </c>
      <c r="J733" s="136" t="s">
        <v>559</v>
      </c>
      <c r="K733" s="191">
        <v>-1.9798800000000001</v>
      </c>
      <c r="L733" s="191">
        <v>-1.8968017927</v>
      </c>
      <c r="M733" s="191">
        <v>-2.3156070805305413</v>
      </c>
      <c r="N733" s="191">
        <v>0</v>
      </c>
      <c r="O733" s="191">
        <v>0</v>
      </c>
      <c r="P733" s="191">
        <v>2.6034511729898398E-2</v>
      </c>
      <c r="Q733" s="191">
        <v>-0.15270002367897401</v>
      </c>
      <c r="R733" s="191">
        <v>-0.12513255395009701</v>
      </c>
      <c r="T733" s="46">
        <v>8</v>
      </c>
      <c r="U733" s="53" t="s">
        <v>237</v>
      </c>
      <c r="V733" s="47" t="s">
        <v>237</v>
      </c>
      <c r="W733" s="47" t="s">
        <v>549</v>
      </c>
      <c r="X733" s="47" t="s">
        <v>559</v>
      </c>
      <c r="Y733" s="58">
        <v>2.8533815875203707</v>
      </c>
      <c r="Z733" s="193">
        <v>1.0711602172222223</v>
      </c>
      <c r="AB733" s="3"/>
      <c r="AC733" s="3"/>
      <c r="AD733" s="3"/>
      <c r="AE733" s="3"/>
      <c r="AF733" s="3" t="s">
        <v>526</v>
      </c>
      <c r="AG733" s="83">
        <v>0.8</v>
      </c>
    </row>
    <row r="734" spans="6:33">
      <c r="F734" s="370">
        <v>8</v>
      </c>
      <c r="G734" s="137" t="s">
        <v>256</v>
      </c>
      <c r="H734" s="136" t="s">
        <v>257</v>
      </c>
      <c r="I734" s="136" t="s">
        <v>549</v>
      </c>
      <c r="J734" s="136" t="s">
        <v>559</v>
      </c>
      <c r="K734" s="191">
        <v>-1.9798800000000001</v>
      </c>
      <c r="L734" s="191">
        <v>-1.8968017927</v>
      </c>
      <c r="M734" s="191">
        <v>-2.3156070805305413</v>
      </c>
      <c r="N734" s="191">
        <v>0</v>
      </c>
      <c r="O734" s="191">
        <v>0</v>
      </c>
      <c r="P734" s="191">
        <v>2.6034511729898398E-2</v>
      </c>
      <c r="Q734" s="191">
        <v>-0.15270002367897401</v>
      </c>
      <c r="R734" s="191">
        <v>-0.12513255395009701</v>
      </c>
      <c r="T734" s="46">
        <v>8</v>
      </c>
      <c r="U734" s="53" t="s">
        <v>237</v>
      </c>
      <c r="V734" s="47" t="s">
        <v>246</v>
      </c>
      <c r="W734" s="47" t="s">
        <v>549</v>
      </c>
      <c r="X734" s="47" t="s">
        <v>559</v>
      </c>
      <c r="Y734" s="58">
        <v>7.3412433500000009</v>
      </c>
      <c r="Z734" s="193">
        <v>0.66842500000000005</v>
      </c>
      <c r="AB734" s="3" t="s">
        <v>526</v>
      </c>
      <c r="AC734" s="125">
        <v>0.77500000000000002</v>
      </c>
      <c r="AD734" s="3">
        <v>8.1306407300000008E-2</v>
      </c>
      <c r="AE734" s="3" t="s">
        <v>531</v>
      </c>
      <c r="AF734" s="3" t="s">
        <v>526</v>
      </c>
      <c r="AG734" s="83">
        <v>0.7</v>
      </c>
    </row>
    <row r="735" spans="6:33">
      <c r="F735" s="370">
        <v>8</v>
      </c>
      <c r="G735" s="137" t="s">
        <v>256</v>
      </c>
      <c r="H735" s="136" t="s">
        <v>537</v>
      </c>
      <c r="I735" s="136" t="s">
        <v>549</v>
      </c>
      <c r="J735" s="136" t="s">
        <v>559</v>
      </c>
      <c r="K735" s="191">
        <v>-5.0082800000000001</v>
      </c>
      <c r="L735" s="191">
        <v>-4.9252017927000002</v>
      </c>
      <c r="M735" s="191">
        <v>-5.1174605371886193</v>
      </c>
      <c r="N735" s="191">
        <v>0</v>
      </c>
      <c r="O735" s="191">
        <v>0</v>
      </c>
      <c r="P735" s="191">
        <v>2.5860000000000001E-2</v>
      </c>
      <c r="Q735" s="191">
        <v>-5.3219494336691202E-2</v>
      </c>
      <c r="R735" s="191">
        <v>-4.5355804116550602E-2</v>
      </c>
      <c r="T735" s="46">
        <v>8</v>
      </c>
      <c r="U735" s="53" t="s">
        <v>237</v>
      </c>
      <c r="V735" s="28" t="s">
        <v>10162</v>
      </c>
      <c r="W735" s="47" t="s">
        <v>549</v>
      </c>
      <c r="X735" s="47" t="s">
        <v>559</v>
      </c>
      <c r="Y735" s="58">
        <v>2.8533815875203707</v>
      </c>
      <c r="Z735" s="193">
        <v>1.0711602172222223</v>
      </c>
      <c r="AB735" s="3"/>
      <c r="AC735" s="3"/>
      <c r="AD735" s="3"/>
      <c r="AE735" s="3"/>
      <c r="AF735" s="3"/>
      <c r="AG735" s="83"/>
    </row>
    <row r="736" spans="6:33">
      <c r="F736" s="370">
        <v>8</v>
      </c>
      <c r="G736" s="137" t="s">
        <v>256</v>
      </c>
      <c r="H736" s="136" t="s">
        <v>538</v>
      </c>
      <c r="I736" s="136" t="s">
        <v>549</v>
      </c>
      <c r="J736" s="136" t="s">
        <v>559</v>
      </c>
      <c r="K736" s="191">
        <v>-4.6396800000000002</v>
      </c>
      <c r="L736" s="191">
        <v>0</v>
      </c>
      <c r="M736" s="191">
        <v>0</v>
      </c>
      <c r="N736" s="191">
        <v>0</v>
      </c>
      <c r="O736" s="191">
        <v>0</v>
      </c>
      <c r="P736" s="191">
        <v>2.5860000000000001E-2</v>
      </c>
      <c r="Q736" s="191">
        <v>-4.9513617336394401E-2</v>
      </c>
      <c r="R736" s="191">
        <v>-4.5355804116550602E-2</v>
      </c>
      <c r="T736" s="46">
        <v>8</v>
      </c>
      <c r="U736" s="53" t="s">
        <v>252</v>
      </c>
      <c r="V736" s="28" t="s">
        <v>333</v>
      </c>
      <c r="W736" s="47" t="s">
        <v>549</v>
      </c>
      <c r="X736" s="47" t="s">
        <v>559</v>
      </c>
      <c r="Y736" s="58">
        <v>2.0953266666666663</v>
      </c>
      <c r="Z736" s="193">
        <v>1.77911</v>
      </c>
      <c r="AB736" s="3" t="s">
        <v>526</v>
      </c>
      <c r="AC736" s="125">
        <v>0.77500000000000002</v>
      </c>
      <c r="AD736" s="3">
        <v>8.1306407300000008E-2</v>
      </c>
      <c r="AE736" s="3" t="s">
        <v>531</v>
      </c>
      <c r="AF736" s="3"/>
      <c r="AG736" s="3"/>
    </row>
    <row r="737" spans="6:33">
      <c r="F737" s="370">
        <v>8</v>
      </c>
      <c r="G737" s="137" t="s">
        <v>256</v>
      </c>
      <c r="H737" s="136" t="s">
        <v>258</v>
      </c>
      <c r="I737" s="136" t="s">
        <v>549</v>
      </c>
      <c r="J737" s="136" t="s">
        <v>559</v>
      </c>
      <c r="K737" s="191">
        <v>-4.6396800000000002</v>
      </c>
      <c r="L737" s="191">
        <v>-4.5566017927000004</v>
      </c>
      <c r="M737" s="191">
        <v>-4.9608035819685421</v>
      </c>
      <c r="N737" s="191">
        <v>0</v>
      </c>
      <c r="O737" s="191">
        <v>0</v>
      </c>
      <c r="P737" s="191">
        <v>2.5860000000000001E-2</v>
      </c>
      <c r="Q737" s="191">
        <v>-5.3219494336691299E-2</v>
      </c>
      <c r="R737" s="191">
        <v>-4.5355804116550699E-2</v>
      </c>
      <c r="T737" s="46">
        <v>8</v>
      </c>
      <c r="U737" s="53" t="s">
        <v>239</v>
      </c>
      <c r="V737" s="3" t="s">
        <v>542</v>
      </c>
      <c r="W737" s="47" t="s">
        <v>549</v>
      </c>
      <c r="X737" s="47" t="s">
        <v>559</v>
      </c>
      <c r="Y737" s="58">
        <v>2.6644477777777777</v>
      </c>
      <c r="Z737" s="193">
        <v>0.64099666666666666</v>
      </c>
      <c r="AB737" s="3" t="s">
        <v>526</v>
      </c>
      <c r="AC737" s="125">
        <v>0.72499999999999998</v>
      </c>
      <c r="AD737" s="3">
        <v>8.1306407300000008E-2</v>
      </c>
      <c r="AE737" s="3" t="s">
        <v>531</v>
      </c>
      <c r="AF737" s="3"/>
      <c r="AG737" s="3"/>
    </row>
    <row r="738" spans="6:33">
      <c r="F738" s="370">
        <v>8</v>
      </c>
      <c r="G738" s="137" t="s">
        <v>247</v>
      </c>
      <c r="H738" s="136" t="s">
        <v>247</v>
      </c>
      <c r="I738" s="136" t="s">
        <v>549</v>
      </c>
      <c r="J738" s="136" t="s">
        <v>559</v>
      </c>
      <c r="K738" s="191">
        <v>-1.0505633333333335</v>
      </c>
      <c r="L738" s="191">
        <v>-0.96748512603333348</v>
      </c>
      <c r="M738" s="191">
        <v>-0.31820402829436267</v>
      </c>
      <c r="N738" s="191">
        <v>0</v>
      </c>
      <c r="O738" s="191">
        <v>0</v>
      </c>
      <c r="P738" s="191">
        <v>2.60345262562433E-2</v>
      </c>
      <c r="Q738" s="191">
        <v>2.9820433927303599E-2</v>
      </c>
      <c r="R738" s="191">
        <v>4.8927713249156103E-2</v>
      </c>
      <c r="T738" s="46">
        <v>8</v>
      </c>
      <c r="U738" s="53" t="s">
        <v>237</v>
      </c>
      <c r="V738" s="3" t="s">
        <v>238</v>
      </c>
      <c r="W738" s="47" t="s">
        <v>549</v>
      </c>
      <c r="X738" s="47" t="s">
        <v>559</v>
      </c>
      <c r="Y738" s="58">
        <v>2.7046544444444445</v>
      </c>
      <c r="Z738" s="193">
        <v>1.2161291666666667</v>
      </c>
      <c r="AB738" s="3" t="s">
        <v>526</v>
      </c>
      <c r="AC738" s="125">
        <v>0.72499999999999998</v>
      </c>
      <c r="AD738" s="3">
        <v>8.1306407300000008E-2</v>
      </c>
      <c r="AE738" s="3" t="s">
        <v>531</v>
      </c>
      <c r="AF738" s="3"/>
      <c r="AG738" s="3"/>
    </row>
    <row r="739" spans="6:33">
      <c r="F739" s="370">
        <v>8</v>
      </c>
      <c r="G739" s="137" t="s">
        <v>247</v>
      </c>
      <c r="H739" s="136" t="s">
        <v>248</v>
      </c>
      <c r="I739" s="136" t="s">
        <v>549</v>
      </c>
      <c r="J739" s="136" t="s">
        <v>559</v>
      </c>
      <c r="K739" s="191">
        <v>-1.0606100000000001</v>
      </c>
      <c r="L739" s="191">
        <v>-0.97753179270000001</v>
      </c>
      <c r="M739" s="191">
        <v>-0.1681701995244369</v>
      </c>
      <c r="N739" s="191">
        <v>0</v>
      </c>
      <c r="O739" s="191">
        <v>0</v>
      </c>
      <c r="P739" s="191">
        <v>2.60345323108164E-2</v>
      </c>
      <c r="Q739" s="191">
        <v>3.3812027558744399E-2</v>
      </c>
      <c r="R739" s="191">
        <v>4.8926529643549398E-2</v>
      </c>
      <c r="T739" s="46">
        <v>8</v>
      </c>
      <c r="U739" s="53" t="s">
        <v>264</v>
      </c>
      <c r="V739" s="3" t="s">
        <v>264</v>
      </c>
      <c r="W739" s="47" t="s">
        <v>549</v>
      </c>
      <c r="X739" s="47" t="s">
        <v>559</v>
      </c>
      <c r="Y739" s="58">
        <v>1.9287117500000002</v>
      </c>
      <c r="Z739" s="193">
        <v>0.467055</v>
      </c>
      <c r="AB739" s="3" t="s">
        <v>526</v>
      </c>
      <c r="AC739" s="125">
        <v>0.64600000000000002</v>
      </c>
      <c r="AD739" s="3">
        <v>8.1306407300000008E-2</v>
      </c>
      <c r="AE739" s="3" t="s">
        <v>531</v>
      </c>
      <c r="AF739" s="3" t="s">
        <v>526</v>
      </c>
      <c r="AG739" s="83">
        <v>0.8</v>
      </c>
    </row>
    <row r="740" spans="6:33">
      <c r="F740" s="370">
        <v>8</v>
      </c>
      <c r="G740" s="137" t="s">
        <v>247</v>
      </c>
      <c r="H740" s="136" t="s">
        <v>263</v>
      </c>
      <c r="I740" s="136" t="s">
        <v>549</v>
      </c>
      <c r="J740" s="136" t="s">
        <v>559</v>
      </c>
      <c r="K740" s="191">
        <v>-1.0341199999999999</v>
      </c>
      <c r="L740" s="191">
        <v>-0.95104179269999989</v>
      </c>
      <c r="M740" s="191">
        <v>-0.1681701995244369</v>
      </c>
      <c r="N740" s="191">
        <v>0</v>
      </c>
      <c r="O740" s="191">
        <v>0</v>
      </c>
      <c r="P740" s="191">
        <v>2.60345360633981E-2</v>
      </c>
      <c r="Q740" s="191">
        <v>3.62047786247413E-2</v>
      </c>
      <c r="R740" s="191">
        <v>4.8926605211687797E-2</v>
      </c>
      <c r="T740" s="46">
        <v>8</v>
      </c>
      <c r="U740" s="53" t="s">
        <v>264</v>
      </c>
      <c r="V740" s="3" t="s">
        <v>336</v>
      </c>
      <c r="W740" s="47" t="s">
        <v>549</v>
      </c>
      <c r="X740" s="47" t="s">
        <v>559</v>
      </c>
      <c r="Y740" s="58">
        <v>0.76351350000000007</v>
      </c>
      <c r="Z740" s="193">
        <v>0.43603999999999998</v>
      </c>
      <c r="AB740" s="3"/>
      <c r="AC740" s="3"/>
      <c r="AD740" s="3"/>
      <c r="AE740" s="3"/>
      <c r="AF740" s="3" t="s">
        <v>526</v>
      </c>
      <c r="AG740" s="83">
        <v>0.88</v>
      </c>
    </row>
    <row r="741" spans="6:33">
      <c r="F741" s="370">
        <v>8</v>
      </c>
      <c r="G741" s="137" t="s">
        <v>247</v>
      </c>
      <c r="H741" s="136" t="s">
        <v>539</v>
      </c>
      <c r="I741" s="136" t="s">
        <v>549</v>
      </c>
      <c r="J741" s="136" t="s">
        <v>559</v>
      </c>
      <c r="K741" s="191">
        <v>-1.0569599999999999</v>
      </c>
      <c r="L741" s="191">
        <v>-0.97388179269999986</v>
      </c>
      <c r="M741" s="191">
        <v>-0.17348083740415596</v>
      </c>
      <c r="N741" s="191">
        <v>0</v>
      </c>
      <c r="O741" s="191">
        <v>0</v>
      </c>
      <c r="P741" s="191">
        <v>2.60345164586499E-2</v>
      </c>
      <c r="Q741" s="191">
        <v>2.33913932794792E-2</v>
      </c>
      <c r="R741" s="191">
        <v>4.89289880018264E-2</v>
      </c>
      <c r="T741" s="46">
        <v>8</v>
      </c>
      <c r="U741" s="53" t="s">
        <v>242</v>
      </c>
      <c r="V741" s="3" t="s">
        <v>251</v>
      </c>
      <c r="W741" s="47" t="s">
        <v>549</v>
      </c>
      <c r="X741" s="47" t="s">
        <v>559</v>
      </c>
      <c r="Y741" s="58">
        <v>4.9218200000000003</v>
      </c>
      <c r="Z741" s="193">
        <v>0.15096000000000001</v>
      </c>
      <c r="AB741" s="3" t="s">
        <v>526</v>
      </c>
      <c r="AC741" s="125">
        <v>0.64600000000000002</v>
      </c>
      <c r="AD741" s="3">
        <v>8.1306407300000008E-2</v>
      </c>
      <c r="AE741" s="3" t="s">
        <v>531</v>
      </c>
      <c r="AF741" s="3" t="s">
        <v>526</v>
      </c>
      <c r="AG741" s="83">
        <v>0.8</v>
      </c>
    </row>
    <row r="742" spans="6:33">
      <c r="F742" s="370">
        <v>8</v>
      </c>
      <c r="G742" s="137" t="s">
        <v>247</v>
      </c>
      <c r="H742" s="136" t="s">
        <v>270</v>
      </c>
      <c r="I742" s="136" t="s">
        <v>549</v>
      </c>
      <c r="J742" s="136" t="s">
        <v>559</v>
      </c>
      <c r="K742" s="191">
        <v>-1.0505633333333335</v>
      </c>
      <c r="L742" s="191">
        <v>-0.96748512603333348</v>
      </c>
      <c r="M742" s="191">
        <v>-0.31820402829436267</v>
      </c>
      <c r="N742" s="191">
        <v>0</v>
      </c>
      <c r="O742" s="191">
        <v>0</v>
      </c>
      <c r="P742" s="191">
        <v>2.60345262562433E-2</v>
      </c>
      <c r="Q742" s="191">
        <v>2.9820433927303599E-2</v>
      </c>
      <c r="R742" s="191">
        <v>4.8927713249156103E-2</v>
      </c>
      <c r="T742" s="46">
        <v>8</v>
      </c>
      <c r="U742" s="53" t="s">
        <v>242</v>
      </c>
      <c r="V742" s="3" t="s">
        <v>543</v>
      </c>
      <c r="W742" s="47" t="s">
        <v>549</v>
      </c>
      <c r="X742" s="47" t="s">
        <v>559</v>
      </c>
      <c r="Y742" s="58">
        <v>1.00081</v>
      </c>
      <c r="Z742" s="193">
        <v>0.33138000000000001</v>
      </c>
      <c r="AB742" s="3"/>
      <c r="AC742" s="3"/>
      <c r="AD742" s="3"/>
      <c r="AE742" s="3"/>
      <c r="AF742" s="3" t="s">
        <v>526</v>
      </c>
      <c r="AG742" s="83">
        <v>0.65</v>
      </c>
    </row>
    <row r="743" spans="6:33">
      <c r="F743" s="370">
        <v>8</v>
      </c>
      <c r="G743" s="137" t="s">
        <v>247</v>
      </c>
      <c r="H743" s="136" t="s">
        <v>540</v>
      </c>
      <c r="I743" s="136" t="s">
        <v>549</v>
      </c>
      <c r="J743" s="136" t="s">
        <v>559</v>
      </c>
      <c r="K743" s="191">
        <v>-1.0473650000000001</v>
      </c>
      <c r="L743" s="191">
        <v>-0.96428679270000006</v>
      </c>
      <c r="M743" s="191">
        <v>0</v>
      </c>
      <c r="N743" s="191">
        <v>0</v>
      </c>
      <c r="O743" s="191">
        <v>0</v>
      </c>
      <c r="P743" s="191">
        <v>2.6034509556384401E-2</v>
      </c>
      <c r="Q743" s="191">
        <v>2.5783624190248901E-2</v>
      </c>
      <c r="R743" s="191">
        <v>4.89285434147377E-2</v>
      </c>
      <c r="T743" s="46">
        <v>8</v>
      </c>
      <c r="U743" s="53" t="s">
        <v>264</v>
      </c>
      <c r="V743" s="3" t="s">
        <v>544</v>
      </c>
      <c r="W743" s="47" t="s">
        <v>549</v>
      </c>
      <c r="X743" s="47" t="s">
        <v>559</v>
      </c>
      <c r="Y743" s="58">
        <v>3.0939100000000002</v>
      </c>
      <c r="Z743" s="193">
        <v>0.49807000000000001</v>
      </c>
      <c r="AB743" s="3"/>
      <c r="AC743" s="3"/>
      <c r="AD743" s="3"/>
      <c r="AE743" s="3"/>
      <c r="AF743" s="3" t="s">
        <v>526</v>
      </c>
      <c r="AG743" s="83">
        <v>0.65</v>
      </c>
    </row>
    <row r="744" spans="6:33">
      <c r="F744" s="370">
        <v>8</v>
      </c>
      <c r="G744" s="137" t="s">
        <v>261</v>
      </c>
      <c r="H744" s="136" t="s">
        <v>260</v>
      </c>
      <c r="I744" s="136" t="s">
        <v>549</v>
      </c>
      <c r="J744" s="136" t="s">
        <v>559</v>
      </c>
      <c r="K744" s="191">
        <v>-4.0364225925925927</v>
      </c>
      <c r="L744" s="191">
        <v>0</v>
      </c>
      <c r="M744" s="191">
        <v>0</v>
      </c>
      <c r="N744" s="191">
        <v>-0.50279511856418002</v>
      </c>
      <c r="O744" s="191">
        <v>-0.86655382995978603</v>
      </c>
      <c r="P744" s="191">
        <v>-0.167364467027872</v>
      </c>
      <c r="Q744" s="191">
        <v>-0.25777292480608899</v>
      </c>
      <c r="R744" s="191">
        <v>2.7531317960487099E-2</v>
      </c>
      <c r="T744" s="46">
        <v>8</v>
      </c>
      <c r="U744" s="53" t="s">
        <v>237</v>
      </c>
      <c r="V744" s="3" t="s">
        <v>545</v>
      </c>
      <c r="W744" s="47" t="s">
        <v>549</v>
      </c>
      <c r="X744" s="47" t="s">
        <v>559</v>
      </c>
      <c r="Y744" s="58">
        <v>2.8533815875203707</v>
      </c>
      <c r="Z744" s="193">
        <v>1.0711602172222223</v>
      </c>
      <c r="AB744" s="3"/>
      <c r="AC744" s="3"/>
      <c r="AD744" s="3"/>
      <c r="AE744" s="3"/>
      <c r="AF744" s="3" t="s">
        <v>526</v>
      </c>
      <c r="AG744" s="83">
        <v>0.65</v>
      </c>
    </row>
    <row r="745" spans="6:33">
      <c r="F745" s="370">
        <v>8</v>
      </c>
      <c r="G745" s="137" t="s">
        <v>10157</v>
      </c>
      <c r="H745" s="136" t="s">
        <v>10157</v>
      </c>
      <c r="I745" s="136" t="s">
        <v>549</v>
      </c>
      <c r="J745" s="136" t="s">
        <v>559</v>
      </c>
      <c r="K745" s="191">
        <v>-2.8533815875203707</v>
      </c>
      <c r="L745" s="191">
        <v>-1.4249189937601854</v>
      </c>
      <c r="M745" s="191">
        <v>0</v>
      </c>
      <c r="N745" s="191">
        <v>0</v>
      </c>
      <c r="O745" s="191">
        <v>0</v>
      </c>
      <c r="P745" s="191">
        <v>-0.46534862278907901</v>
      </c>
      <c r="Q745" s="191">
        <v>-0.57695299667656219</v>
      </c>
      <c r="R745" s="191">
        <v>2.7970179866342197E-2</v>
      </c>
      <c r="T745" s="46">
        <v>10</v>
      </c>
      <c r="U745" s="53"/>
      <c r="V745" s="47"/>
      <c r="W745" s="47" t="s">
        <v>549</v>
      </c>
      <c r="X745" s="47" t="s">
        <v>554</v>
      </c>
      <c r="Y745" s="58" t="s">
        <v>525</v>
      </c>
      <c r="Z745" s="193" t="s">
        <v>525</v>
      </c>
      <c r="AB745" s="3"/>
      <c r="AC745" s="3"/>
      <c r="AD745" s="3"/>
      <c r="AE745" s="3"/>
      <c r="AF745" s="3" t="s">
        <v>526</v>
      </c>
      <c r="AG745" s="83">
        <v>0.8</v>
      </c>
    </row>
    <row r="746" spans="6:33">
      <c r="F746" s="370">
        <v>8</v>
      </c>
      <c r="G746" s="137" t="s">
        <v>10157</v>
      </c>
      <c r="H746" s="136" t="s">
        <v>246</v>
      </c>
      <c r="I746" s="136" t="s">
        <v>549</v>
      </c>
      <c r="J746" s="136" t="s">
        <v>559</v>
      </c>
      <c r="K746" s="191">
        <v>-7.3412433500000009</v>
      </c>
      <c r="L746" s="191">
        <v>0</v>
      </c>
      <c r="M746" s="191">
        <v>0</v>
      </c>
      <c r="N746" s="191">
        <v>0</v>
      </c>
      <c r="O746" s="191">
        <v>0</v>
      </c>
      <c r="P746" s="191">
        <v>2.6034561023251499E-2</v>
      </c>
      <c r="Q746" s="191">
        <v>4.1333668033558701E-2</v>
      </c>
      <c r="R746" s="191">
        <v>4.8926196521971499E-2</v>
      </c>
      <c r="T746" s="46">
        <v>10</v>
      </c>
      <c r="U746" s="53"/>
      <c r="V746" s="47"/>
      <c r="W746" s="47" t="s">
        <v>549</v>
      </c>
      <c r="X746" s="47" t="s">
        <v>554</v>
      </c>
      <c r="Y746" s="58" t="s">
        <v>525</v>
      </c>
      <c r="Z746" s="193" t="s">
        <v>525</v>
      </c>
      <c r="AB746" s="3"/>
      <c r="AC746" s="3"/>
      <c r="AD746" s="3"/>
      <c r="AE746" s="3"/>
      <c r="AF746" s="3"/>
      <c r="AG746" s="3"/>
    </row>
    <row r="747" spans="6:33" ht="28.8">
      <c r="F747" s="370">
        <v>8</v>
      </c>
      <c r="G747" s="137" t="s">
        <v>10157</v>
      </c>
      <c r="H747" s="136" t="s">
        <v>10162</v>
      </c>
      <c r="I747" s="136" t="s">
        <v>549</v>
      </c>
      <c r="J747" s="136" t="s">
        <v>559</v>
      </c>
      <c r="K747" s="191">
        <v>-2.8533815875203707</v>
      </c>
      <c r="L747" s="191">
        <v>0</v>
      </c>
      <c r="M747" s="191">
        <v>0</v>
      </c>
      <c r="N747" s="191">
        <v>-1.0282148250871344</v>
      </c>
      <c r="O747" s="191">
        <v>-1.5996775946444846</v>
      </c>
      <c r="P747" s="191">
        <v>-0.46534862278907901</v>
      </c>
      <c r="Q747" s="191">
        <v>-0.57695299667656219</v>
      </c>
      <c r="R747" s="191">
        <v>2.7970179866342197E-2</v>
      </c>
      <c r="T747" s="46">
        <v>10</v>
      </c>
      <c r="U747" s="53"/>
      <c r="V747" s="47"/>
      <c r="W747" s="47" t="s">
        <v>549</v>
      </c>
      <c r="X747" s="47" t="s">
        <v>554</v>
      </c>
      <c r="Y747" s="58" t="s">
        <v>525</v>
      </c>
      <c r="Z747" s="193" t="s">
        <v>525</v>
      </c>
      <c r="AB747" s="3"/>
      <c r="AC747" s="3"/>
      <c r="AD747" s="3"/>
      <c r="AE747" s="3"/>
      <c r="AF747" s="3"/>
      <c r="AG747" s="3"/>
    </row>
    <row r="748" spans="6:33">
      <c r="F748" s="370">
        <v>8</v>
      </c>
      <c r="G748" s="137" t="s">
        <v>252</v>
      </c>
      <c r="H748" s="136" t="s">
        <v>333</v>
      </c>
      <c r="I748" s="136" t="s">
        <v>549</v>
      </c>
      <c r="J748" s="136" t="s">
        <v>559</v>
      </c>
      <c r="K748" s="191">
        <v>-2.0953266666666663</v>
      </c>
      <c r="L748" s="191">
        <v>0</v>
      </c>
      <c r="M748" s="191">
        <v>-4.4028084209304001</v>
      </c>
      <c r="N748" s="191">
        <v>0</v>
      </c>
      <c r="O748" s="191">
        <v>0</v>
      </c>
      <c r="P748" s="191">
        <v>2.60345330558212E-2</v>
      </c>
      <c r="Q748" s="191">
        <v>0.52229466264336699</v>
      </c>
      <c r="R748" s="191">
        <v>2.1870259708773201</v>
      </c>
      <c r="T748" s="46">
        <v>10</v>
      </c>
      <c r="U748" s="53"/>
      <c r="V748" s="47"/>
      <c r="W748" s="47" t="s">
        <v>549</v>
      </c>
      <c r="X748" s="47" t="s">
        <v>554</v>
      </c>
      <c r="Y748" s="58" t="s">
        <v>525</v>
      </c>
      <c r="Z748" s="193" t="s">
        <v>525</v>
      </c>
      <c r="AB748" s="3"/>
      <c r="AC748" s="3"/>
      <c r="AD748" s="3"/>
      <c r="AE748" s="3"/>
      <c r="AF748" s="3" t="s">
        <v>526</v>
      </c>
      <c r="AG748" s="83">
        <v>0.95</v>
      </c>
    </row>
    <row r="749" spans="6:33">
      <c r="F749" s="370">
        <v>8</v>
      </c>
      <c r="G749" s="137" t="s">
        <v>239</v>
      </c>
      <c r="H749" s="136" t="s">
        <v>542</v>
      </c>
      <c r="I749" s="136" t="s">
        <v>549</v>
      </c>
      <c r="J749" s="136" t="s">
        <v>559</v>
      </c>
      <c r="K749" s="191">
        <v>-2.6644477777777777</v>
      </c>
      <c r="L749" s="191">
        <v>0</v>
      </c>
      <c r="M749" s="191">
        <v>-0.87532609855828802</v>
      </c>
      <c r="N749" s="191">
        <v>-1.6287383832761999</v>
      </c>
      <c r="O749" s="191">
        <v>-2.39292642163465</v>
      </c>
      <c r="P749" s="191">
        <v>-0.653545379257638</v>
      </c>
      <c r="Q749" s="191">
        <v>-0.89864370226409696</v>
      </c>
      <c r="R749" s="191">
        <v>2.74724897843227E-2</v>
      </c>
      <c r="T749" s="46">
        <v>10</v>
      </c>
      <c r="U749" s="53" t="s">
        <v>330</v>
      </c>
      <c r="V749" s="47" t="s">
        <v>330</v>
      </c>
      <c r="W749" s="47" t="s">
        <v>549</v>
      </c>
      <c r="X749" s="47" t="s">
        <v>554</v>
      </c>
      <c r="Y749" s="58">
        <v>0.14119999999999999</v>
      </c>
      <c r="Z749" s="193">
        <v>0.43014000000000002</v>
      </c>
      <c r="AB749" s="3" t="s">
        <v>526</v>
      </c>
      <c r="AC749" s="125">
        <v>1</v>
      </c>
      <c r="AD749" s="3">
        <v>8.1306407300000008E-2</v>
      </c>
      <c r="AE749" s="3" t="s">
        <v>531</v>
      </c>
      <c r="AF749" s="3" t="s">
        <v>526</v>
      </c>
      <c r="AG749" s="83">
        <v>0.95</v>
      </c>
    </row>
    <row r="750" spans="6:33">
      <c r="F750" s="370">
        <v>8</v>
      </c>
      <c r="G750" s="137" t="s">
        <v>10157</v>
      </c>
      <c r="H750" s="136" t="s">
        <v>238</v>
      </c>
      <c r="I750" s="136" t="s">
        <v>549</v>
      </c>
      <c r="J750" s="136" t="s">
        <v>559</v>
      </c>
      <c r="K750" s="191">
        <v>-2.7046544444444445</v>
      </c>
      <c r="L750" s="191">
        <v>0</v>
      </c>
      <c r="M750" s="191">
        <v>0</v>
      </c>
      <c r="N750" s="191">
        <v>0</v>
      </c>
      <c r="O750" s="191">
        <v>0</v>
      </c>
      <c r="P750" s="191">
        <v>-0.14388226602015611</v>
      </c>
      <c r="Q750" s="191">
        <v>-0.11237209117531474</v>
      </c>
      <c r="R750" s="191">
        <v>0.54454549871936886</v>
      </c>
      <c r="T750" s="46">
        <v>10</v>
      </c>
      <c r="U750" s="53" t="s">
        <v>330</v>
      </c>
      <c r="V750" s="47" t="s">
        <v>335</v>
      </c>
      <c r="W750" s="47" t="s">
        <v>549</v>
      </c>
      <c r="X750" s="47" t="s">
        <v>554</v>
      </c>
      <c r="Y750" s="58">
        <v>0.26272000000000001</v>
      </c>
      <c r="Z750" s="193">
        <v>0.43014000000000002</v>
      </c>
      <c r="AB750" s="3" t="s">
        <v>526</v>
      </c>
      <c r="AC750" s="125">
        <v>1</v>
      </c>
      <c r="AD750" s="3">
        <v>8.1306407300000008E-2</v>
      </c>
      <c r="AE750" s="3" t="s">
        <v>531</v>
      </c>
      <c r="AF750" s="3" t="s">
        <v>526</v>
      </c>
      <c r="AG750" s="83">
        <v>0.95</v>
      </c>
    </row>
    <row r="751" spans="6:33" ht="28.8">
      <c r="F751" s="370">
        <v>8</v>
      </c>
      <c r="G751" s="137" t="s">
        <v>264</v>
      </c>
      <c r="H751" s="136" t="s">
        <v>10184</v>
      </c>
      <c r="I751" s="136" t="s">
        <v>549</v>
      </c>
      <c r="J751" s="136" t="s">
        <v>559</v>
      </c>
      <c r="K751" s="191">
        <v>-1.9287117500000002</v>
      </c>
      <c r="L751" s="191">
        <v>-1.1070613798500002</v>
      </c>
      <c r="M751" s="191">
        <v>0.15112249999999994</v>
      </c>
      <c r="N751" s="191">
        <v>0</v>
      </c>
      <c r="O751" s="191">
        <v>0</v>
      </c>
      <c r="P751" s="191">
        <v>-0.34756511412700464</v>
      </c>
      <c r="Q751" s="191">
        <v>-0.54982292582447112</v>
      </c>
      <c r="R751" s="191">
        <v>0.4603123242713788</v>
      </c>
      <c r="T751" s="46">
        <v>10</v>
      </c>
      <c r="U751" s="53" t="s">
        <v>330</v>
      </c>
      <c r="V751" s="47" t="s">
        <v>326</v>
      </c>
      <c r="W751" s="47" t="s">
        <v>549</v>
      </c>
      <c r="X751" s="47" t="s">
        <v>554</v>
      </c>
      <c r="Y751" s="58">
        <v>0.14119999999999999</v>
      </c>
      <c r="Z751" s="193">
        <v>0.43014000000000002</v>
      </c>
      <c r="AB751" s="3" t="s">
        <v>526</v>
      </c>
      <c r="AC751" s="125">
        <v>1</v>
      </c>
      <c r="AD751" s="3">
        <v>8.1306407300000008E-2</v>
      </c>
      <c r="AE751" s="3" t="s">
        <v>531</v>
      </c>
      <c r="AF751" s="3"/>
      <c r="AG751" s="3"/>
    </row>
    <row r="752" spans="6:33">
      <c r="F752" s="370">
        <v>8</v>
      </c>
      <c r="G752" s="137" t="s">
        <v>264</v>
      </c>
      <c r="H752" s="136" t="s">
        <v>336</v>
      </c>
      <c r="I752" s="136" t="s">
        <v>549</v>
      </c>
      <c r="J752" s="136" t="s">
        <v>559</v>
      </c>
      <c r="K752" s="191">
        <v>-0.76351350000000007</v>
      </c>
      <c r="L752" s="191">
        <v>-0.34968251735000005</v>
      </c>
      <c r="M752" s="191">
        <v>0</v>
      </c>
      <c r="N752" s="191">
        <v>-1.6466906179348999</v>
      </c>
      <c r="O752" s="191">
        <v>-2.62906839567699</v>
      </c>
      <c r="P752" s="191">
        <v>-1.0003222620202963</v>
      </c>
      <c r="Q752" s="191">
        <v>-0.7850962372523872</v>
      </c>
      <c r="R752" s="191">
        <v>0.21132885421346254</v>
      </c>
      <c r="T752" s="46">
        <v>10</v>
      </c>
      <c r="U752" s="53" t="s">
        <v>529</v>
      </c>
      <c r="V752" s="47" t="s">
        <v>529</v>
      </c>
      <c r="W752" s="47" t="s">
        <v>549</v>
      </c>
      <c r="X752" s="47" t="s">
        <v>554</v>
      </c>
      <c r="Y752" s="58">
        <v>4.72241</v>
      </c>
      <c r="Z752" s="193">
        <v>1.758</v>
      </c>
      <c r="AB752" s="3"/>
      <c r="AC752" s="3"/>
      <c r="AD752" s="3"/>
      <c r="AE752" s="3"/>
      <c r="AF752" s="3" t="s">
        <v>526</v>
      </c>
      <c r="AG752" s="83">
        <v>0.95</v>
      </c>
    </row>
    <row r="753" spans="6:33">
      <c r="F753" s="370">
        <v>8</v>
      </c>
      <c r="G753" s="137" t="s">
        <v>242</v>
      </c>
      <c r="H753" s="136" t="s">
        <v>251</v>
      </c>
      <c r="I753" s="136" t="s">
        <v>549</v>
      </c>
      <c r="J753" s="136" t="s">
        <v>559</v>
      </c>
      <c r="K753" s="191">
        <v>-4.9218200000000003</v>
      </c>
      <c r="L753" s="191">
        <v>-3.5665477000000001</v>
      </c>
      <c r="M753" s="191">
        <v>-1.2190350000000001</v>
      </c>
      <c r="N753" s="191">
        <v>0</v>
      </c>
      <c r="O753" s="191">
        <v>0</v>
      </c>
      <c r="P753" s="191">
        <v>2.5964715568308164E-2</v>
      </c>
      <c r="Q753" s="191">
        <v>0.17600069506092558</v>
      </c>
      <c r="R753" s="191">
        <v>0.85049795604199241</v>
      </c>
      <c r="T753" s="46">
        <v>10</v>
      </c>
      <c r="U753" s="53" t="s">
        <v>529</v>
      </c>
      <c r="V753" s="47" t="s">
        <v>327</v>
      </c>
      <c r="W753" s="47" t="s">
        <v>549</v>
      </c>
      <c r="X753" s="47" t="s">
        <v>554</v>
      </c>
      <c r="Y753" s="58">
        <v>0.25034000000000001</v>
      </c>
      <c r="Z753" s="193">
        <v>0.99672000000000005</v>
      </c>
      <c r="AB753" s="3" t="s">
        <v>526</v>
      </c>
      <c r="AC753" s="125">
        <v>1</v>
      </c>
      <c r="AD753" s="3">
        <v>0</v>
      </c>
      <c r="AE753" s="3" t="s">
        <v>527</v>
      </c>
      <c r="AF753" s="3" t="s">
        <v>526</v>
      </c>
      <c r="AG753" s="83">
        <v>0.9</v>
      </c>
    </row>
    <row r="754" spans="6:33">
      <c r="F754" s="370">
        <v>8</v>
      </c>
      <c r="G754" s="137" t="s">
        <v>242</v>
      </c>
      <c r="H754" s="136" t="s">
        <v>543</v>
      </c>
      <c r="I754" s="136" t="s">
        <v>549</v>
      </c>
      <c r="J754" s="136" t="s">
        <v>559</v>
      </c>
      <c r="K754" s="191">
        <v>-1.00081</v>
      </c>
      <c r="L754" s="191">
        <v>-0.72381545000000003</v>
      </c>
      <c r="M754" s="191">
        <v>-0.20626249999999999</v>
      </c>
      <c r="N754" s="191">
        <v>0</v>
      </c>
      <c r="O754" s="191">
        <v>0</v>
      </c>
      <c r="P754" s="191">
        <v>2.5860000000000001E-2</v>
      </c>
      <c r="Q754" s="191">
        <v>4.1333668033559097E-2</v>
      </c>
      <c r="R754" s="191">
        <v>4.8926196521969202E-2</v>
      </c>
      <c r="T754" s="46">
        <v>10</v>
      </c>
      <c r="U754" s="53" t="s">
        <v>529</v>
      </c>
      <c r="V754" s="47" t="s">
        <v>331</v>
      </c>
      <c r="W754" s="47" t="s">
        <v>549</v>
      </c>
      <c r="X754" s="47" t="s">
        <v>554</v>
      </c>
      <c r="Y754" s="58">
        <v>9.1944800000000004</v>
      </c>
      <c r="Z754" s="193">
        <v>2.5192800000000002</v>
      </c>
      <c r="AB754" s="3" t="s">
        <v>526</v>
      </c>
      <c r="AC754" s="125">
        <v>1</v>
      </c>
      <c r="AD754" s="3">
        <v>8.1306407300000008E-2</v>
      </c>
      <c r="AE754" s="3" t="s">
        <v>531</v>
      </c>
      <c r="AF754" s="3" t="s">
        <v>526</v>
      </c>
      <c r="AG754" s="83">
        <v>0.9</v>
      </c>
    </row>
    <row r="755" spans="6:33">
      <c r="F755" s="370">
        <v>8</v>
      </c>
      <c r="G755" s="137" t="s">
        <v>264</v>
      </c>
      <c r="H755" s="136" t="s">
        <v>544</v>
      </c>
      <c r="I755" s="136" t="s">
        <v>549</v>
      </c>
      <c r="J755" s="136" t="s">
        <v>559</v>
      </c>
      <c r="K755" s="191">
        <v>-3.0939100000000002</v>
      </c>
      <c r="L755" s="191">
        <v>-1.8644402423500002</v>
      </c>
      <c r="M755" s="191">
        <v>0.15112249999999994</v>
      </c>
      <c r="N755" s="191">
        <v>0</v>
      </c>
      <c r="O755" s="191">
        <v>0</v>
      </c>
      <c r="P755" s="191">
        <v>0.30519203376628701</v>
      </c>
      <c r="Q755" s="191">
        <v>-0.31454961439655499</v>
      </c>
      <c r="R755" s="191">
        <v>0.70929579432929502</v>
      </c>
      <c r="T755" s="46">
        <v>10</v>
      </c>
      <c r="U755" s="53" t="s">
        <v>529</v>
      </c>
      <c r="V755" s="47" t="s">
        <v>332</v>
      </c>
      <c r="W755" s="47" t="s">
        <v>549</v>
      </c>
      <c r="X755" s="47" t="s">
        <v>554</v>
      </c>
      <c r="Y755" s="58">
        <v>2.5034000000000001</v>
      </c>
      <c r="Z755" s="193">
        <v>1.0183800000000001</v>
      </c>
      <c r="AB755" s="3" t="s">
        <v>526</v>
      </c>
      <c r="AC755" s="125">
        <v>1</v>
      </c>
      <c r="AD755" s="3">
        <v>8.1306407300000008E-2</v>
      </c>
      <c r="AE755" s="3" t="s">
        <v>531</v>
      </c>
      <c r="AF755" s="3" t="s">
        <v>526</v>
      </c>
      <c r="AG755" s="83">
        <v>0.95</v>
      </c>
    </row>
    <row r="756" spans="6:33">
      <c r="F756" s="370">
        <v>8</v>
      </c>
      <c r="G756" s="137" t="s">
        <v>10157</v>
      </c>
      <c r="H756" s="136" t="s">
        <v>545</v>
      </c>
      <c r="I756" s="136" t="s">
        <v>549</v>
      </c>
      <c r="J756" s="136" t="s">
        <v>559</v>
      </c>
      <c r="K756" s="191">
        <v>-2.8533815875203707</v>
      </c>
      <c r="L756" s="191">
        <v>0</v>
      </c>
      <c r="M756" s="191">
        <v>0</v>
      </c>
      <c r="N756" s="191">
        <v>0</v>
      </c>
      <c r="O756" s="191">
        <v>0</v>
      </c>
      <c r="P756" s="191">
        <v>-0.46534862278907901</v>
      </c>
      <c r="Q756" s="191">
        <v>-0.57695299667656219</v>
      </c>
      <c r="R756" s="191">
        <v>2.7970179866342197E-2</v>
      </c>
      <c r="T756" s="46">
        <v>10</v>
      </c>
      <c r="U756" s="53" t="s">
        <v>252</v>
      </c>
      <c r="V756" s="47" t="s">
        <v>252</v>
      </c>
      <c r="W756" s="47" t="s">
        <v>549</v>
      </c>
      <c r="X756" s="47" t="s">
        <v>554</v>
      </c>
      <c r="Y756" s="58">
        <v>2.0953266666666663</v>
      </c>
      <c r="Z756" s="193">
        <v>1.77911</v>
      </c>
      <c r="AB756" s="3" t="s">
        <v>526</v>
      </c>
      <c r="AC756" s="125">
        <v>1</v>
      </c>
      <c r="AD756" s="3">
        <v>8.1306407300000008E-2</v>
      </c>
      <c r="AE756" s="3" t="s">
        <v>531</v>
      </c>
      <c r="AF756" s="3" t="s">
        <v>526</v>
      </c>
      <c r="AG756" s="83">
        <v>0.7</v>
      </c>
    </row>
    <row r="757" spans="6:33" ht="28.8">
      <c r="F757" s="370">
        <v>8</v>
      </c>
      <c r="G757" s="137" t="s">
        <v>10169</v>
      </c>
      <c r="H757" s="136" t="s">
        <v>10170</v>
      </c>
      <c r="I757" s="136" t="s">
        <v>549</v>
      </c>
      <c r="J757" s="136" t="s">
        <v>559</v>
      </c>
      <c r="K757" s="191">
        <v>-0.74582333333333339</v>
      </c>
      <c r="L757" s="191">
        <v>-0.58351400000000009</v>
      </c>
      <c r="M757" s="191">
        <v>0.3259926084346883</v>
      </c>
      <c r="N757" s="191">
        <v>0</v>
      </c>
      <c r="O757" s="191">
        <v>0</v>
      </c>
      <c r="P757" s="191">
        <v>0.45668176288049178</v>
      </c>
      <c r="Q757" s="191">
        <v>1.0683983533052401</v>
      </c>
      <c r="R757" s="191">
        <v>1.142290877337675</v>
      </c>
      <c r="T757" s="46">
        <v>10</v>
      </c>
      <c r="U757" s="53" t="s">
        <v>252</v>
      </c>
      <c r="V757" s="47" t="s">
        <v>253</v>
      </c>
      <c r="W757" s="47" t="s">
        <v>549</v>
      </c>
      <c r="X757" s="47" t="s">
        <v>554</v>
      </c>
      <c r="Y757" s="58">
        <v>2.04928</v>
      </c>
      <c r="Z757" s="193">
        <v>1.77911</v>
      </c>
      <c r="AB757" s="3" t="s">
        <v>526</v>
      </c>
      <c r="AC757" s="125">
        <v>1</v>
      </c>
      <c r="AD757" s="3">
        <v>8.1306407300000008E-2</v>
      </c>
      <c r="AE757" s="3" t="s">
        <v>531</v>
      </c>
      <c r="AF757" s="3"/>
      <c r="AG757" s="3"/>
    </row>
    <row r="758" spans="6:33" ht="28.8">
      <c r="F758" s="370">
        <v>10</v>
      </c>
      <c r="G758" s="137" t="s">
        <v>233</v>
      </c>
      <c r="H758" s="136" t="s">
        <v>10178</v>
      </c>
      <c r="I758" s="136" t="s">
        <v>549</v>
      </c>
      <c r="J758" s="136" t="s">
        <v>554</v>
      </c>
      <c r="K758" s="191">
        <v>0</v>
      </c>
      <c r="L758" s="191">
        <v>-0.13905086666666666</v>
      </c>
      <c r="M758" s="191">
        <v>0</v>
      </c>
      <c r="N758" s="191">
        <v>-1.4467442348342985</v>
      </c>
      <c r="O758" s="191">
        <v>-2.0462435217639254</v>
      </c>
      <c r="P758" s="191">
        <v>-1.0109084277960503</v>
      </c>
      <c r="Q758" s="191">
        <v>-0.83708304549453894</v>
      </c>
      <c r="R758" s="191">
        <v>3.3140241117654547E-2</v>
      </c>
      <c r="T758" s="46">
        <v>10</v>
      </c>
      <c r="U758" s="53" t="s">
        <v>252</v>
      </c>
      <c r="V758" s="47" t="s">
        <v>328</v>
      </c>
      <c r="W758" s="47" t="s">
        <v>549</v>
      </c>
      <c r="X758" s="47" t="s">
        <v>554</v>
      </c>
      <c r="Y758" s="58">
        <v>2.3231199999999999</v>
      </c>
      <c r="Z758" s="193">
        <v>1.77911</v>
      </c>
      <c r="AB758" s="3" t="s">
        <v>526</v>
      </c>
      <c r="AC758" s="83">
        <v>0.5</v>
      </c>
      <c r="AD758" s="3">
        <v>8.1306407300000008E-2</v>
      </c>
      <c r="AE758" s="3" t="s">
        <v>531</v>
      </c>
      <c r="AF758" s="3"/>
      <c r="AG758" s="3"/>
    </row>
    <row r="759" spans="6:33" ht="28.8">
      <c r="F759" s="370">
        <v>10</v>
      </c>
      <c r="G759" s="137" t="s">
        <v>233</v>
      </c>
      <c r="H759" s="136" t="s">
        <v>250</v>
      </c>
      <c r="I759" s="136" t="s">
        <v>549</v>
      </c>
      <c r="J759" s="136" t="s">
        <v>554</v>
      </c>
      <c r="K759" s="191">
        <v>0</v>
      </c>
      <c r="L759" s="191">
        <v>0</v>
      </c>
      <c r="M759" s="191">
        <v>0</v>
      </c>
      <c r="N759" s="191">
        <v>-1.7445754421462201</v>
      </c>
      <c r="O759" s="191">
        <v>-2.1462356533154701</v>
      </c>
      <c r="P759" s="191">
        <v>-1.04095830469048</v>
      </c>
      <c r="Q759" s="191">
        <v>-0.89710132527779796</v>
      </c>
      <c r="R759" s="191">
        <v>2.8431529570936899E-2</v>
      </c>
      <c r="T759" s="46">
        <v>10</v>
      </c>
      <c r="U759" s="53" t="s">
        <v>252</v>
      </c>
      <c r="V759" s="47" t="s">
        <v>254</v>
      </c>
      <c r="W759" s="47" t="s">
        <v>549</v>
      </c>
      <c r="X759" s="47" t="s">
        <v>554</v>
      </c>
      <c r="Y759" s="58">
        <v>2.1485799999999999</v>
      </c>
      <c r="Z759" s="193">
        <v>1.77911</v>
      </c>
      <c r="AB759" s="3"/>
      <c r="AC759" s="3"/>
      <c r="AD759" s="3"/>
      <c r="AE759" s="3"/>
      <c r="AF759" s="3"/>
      <c r="AG759" s="3"/>
    </row>
    <row r="760" spans="6:33" ht="28.8">
      <c r="F760" s="370">
        <v>10</v>
      </c>
      <c r="G760" s="137" t="s">
        <v>233</v>
      </c>
      <c r="H760" s="136" t="s">
        <v>249</v>
      </c>
      <c r="I760" s="136" t="s">
        <v>549</v>
      </c>
      <c r="J760" s="136" t="s">
        <v>554</v>
      </c>
      <c r="K760" s="191">
        <v>0</v>
      </c>
      <c r="L760" s="191">
        <v>0</v>
      </c>
      <c r="M760" s="191">
        <v>0</v>
      </c>
      <c r="N760" s="191">
        <v>-0.54340187290759301</v>
      </c>
      <c r="O760" s="191">
        <v>-0.73838391537608605</v>
      </c>
      <c r="P760" s="191">
        <v>1.9164625821971201E-2</v>
      </c>
      <c r="Q760" s="191">
        <v>-0.189194394653485</v>
      </c>
      <c r="R760" s="191">
        <v>2.57528519101623E-2</v>
      </c>
      <c r="T760" s="46">
        <v>10</v>
      </c>
      <c r="U760" s="53" t="s">
        <v>252</v>
      </c>
      <c r="V760" s="47" t="s">
        <v>532</v>
      </c>
      <c r="W760" s="47" t="s">
        <v>549</v>
      </c>
      <c r="X760" s="47" t="s">
        <v>554</v>
      </c>
      <c r="Y760" s="58">
        <v>1.9492499999999999</v>
      </c>
      <c r="Z760" s="193">
        <v>1.77911</v>
      </c>
      <c r="AB760" s="3"/>
      <c r="AC760" s="3"/>
      <c r="AD760" s="3"/>
      <c r="AE760" s="3"/>
      <c r="AF760" s="3"/>
      <c r="AG760" s="3"/>
    </row>
    <row r="761" spans="6:33" ht="28.8">
      <c r="F761" s="370">
        <v>10</v>
      </c>
      <c r="G761" s="137" t="s">
        <v>233</v>
      </c>
      <c r="H761" s="136" t="s">
        <v>273</v>
      </c>
      <c r="I761" s="136" t="s">
        <v>549</v>
      </c>
      <c r="J761" s="136" t="s">
        <v>554</v>
      </c>
      <c r="K761" s="191">
        <v>0</v>
      </c>
      <c r="L761" s="191">
        <v>0</v>
      </c>
      <c r="M761" s="191">
        <v>0</v>
      </c>
      <c r="N761" s="191">
        <v>-1.64858128637256</v>
      </c>
      <c r="O761" s="191">
        <v>-2.1000715019113301</v>
      </c>
      <c r="P761" s="191">
        <v>-0.79587691677074301</v>
      </c>
      <c r="Q761" s="191">
        <v>-0.87133400639587</v>
      </c>
      <c r="R761" s="191">
        <v>2.72079793265829E-2</v>
      </c>
      <c r="T761" s="46">
        <v>10</v>
      </c>
      <c r="U761" s="53" t="s">
        <v>252</v>
      </c>
      <c r="V761" s="47" t="s">
        <v>245</v>
      </c>
      <c r="W761" s="47" t="s">
        <v>549</v>
      </c>
      <c r="X761" s="47" t="s">
        <v>554</v>
      </c>
      <c r="Y761" s="58">
        <v>2.0269300000000001</v>
      </c>
      <c r="Z761" s="193">
        <v>1.77911</v>
      </c>
      <c r="AB761" s="3"/>
      <c r="AC761" s="3"/>
      <c r="AD761" s="3"/>
      <c r="AE761" s="3"/>
      <c r="AF761" s="3" t="s">
        <v>526</v>
      </c>
      <c r="AG761" s="83">
        <v>0.7</v>
      </c>
    </row>
    <row r="762" spans="6:33">
      <c r="F762" s="370">
        <v>10</v>
      </c>
      <c r="G762" s="137" t="s">
        <v>233</v>
      </c>
      <c r="H762" s="136" t="s">
        <v>330</v>
      </c>
      <c r="I762" s="136" t="s">
        <v>549</v>
      </c>
      <c r="J762" s="136" t="s">
        <v>554</v>
      </c>
      <c r="K762" s="191">
        <v>-0.14119999999999999</v>
      </c>
      <c r="L762" s="191">
        <v>-0.1076582</v>
      </c>
      <c r="M762" s="191">
        <v>0</v>
      </c>
      <c r="N762" s="191">
        <v>0</v>
      </c>
      <c r="O762" s="191">
        <v>0</v>
      </c>
      <c r="P762" s="191">
        <v>-1.4800623964037101</v>
      </c>
      <c r="Q762" s="191">
        <v>-1.0132123422041599</v>
      </c>
      <c r="R762" s="191">
        <v>5.30355971848522E-2</v>
      </c>
      <c r="T762" s="46">
        <v>10</v>
      </c>
      <c r="U762" s="53" t="s">
        <v>252</v>
      </c>
      <c r="V762" s="47" t="s">
        <v>533</v>
      </c>
      <c r="W762" s="47" t="s">
        <v>549</v>
      </c>
      <c r="X762" s="47" t="s">
        <v>554</v>
      </c>
      <c r="Y762" s="58">
        <v>2.0748000000000002</v>
      </c>
      <c r="Z762" s="193">
        <v>1.77911</v>
      </c>
      <c r="AB762" s="3"/>
      <c r="AC762" s="3"/>
      <c r="AD762" s="3"/>
      <c r="AE762" s="3"/>
      <c r="AF762" s="3" t="s">
        <v>526</v>
      </c>
      <c r="AG762" s="83">
        <v>0.65</v>
      </c>
    </row>
    <row r="763" spans="6:33">
      <c r="F763" s="370">
        <v>10</v>
      </c>
      <c r="G763" s="137" t="s">
        <v>233</v>
      </c>
      <c r="H763" s="136" t="s">
        <v>335</v>
      </c>
      <c r="I763" s="136" t="s">
        <v>549</v>
      </c>
      <c r="J763" s="136" t="s">
        <v>554</v>
      </c>
      <c r="K763" s="191">
        <v>-0.26272000000000001</v>
      </c>
      <c r="L763" s="191">
        <v>-0.20183620000000002</v>
      </c>
      <c r="M763" s="191">
        <v>0</v>
      </c>
      <c r="N763" s="191">
        <v>-1.64858128637256</v>
      </c>
      <c r="O763" s="191">
        <v>-2.6232632691083699</v>
      </c>
      <c r="P763" s="191">
        <v>-1.3838587873666699</v>
      </c>
      <c r="Q763" s="191">
        <v>-1.0258281022179601</v>
      </c>
      <c r="R763" s="191">
        <v>3.2206744356696501E-2</v>
      </c>
      <c r="T763" s="46">
        <v>10</v>
      </c>
      <c r="U763" s="53" t="s">
        <v>242</v>
      </c>
      <c r="V763" s="47" t="s">
        <v>242</v>
      </c>
      <c r="W763" s="47" t="s">
        <v>549</v>
      </c>
      <c r="X763" s="47" t="s">
        <v>554</v>
      </c>
      <c r="Y763" s="58">
        <v>38.486130000000003</v>
      </c>
      <c r="Z763" s="193">
        <v>0.20843</v>
      </c>
      <c r="AB763" s="3"/>
      <c r="AC763" s="3"/>
      <c r="AD763" s="3"/>
      <c r="AE763" s="3"/>
      <c r="AF763" s="3"/>
      <c r="AG763" s="3"/>
    </row>
    <row r="764" spans="6:33">
      <c r="F764" s="370">
        <v>10</v>
      </c>
      <c r="G764" s="137" t="s">
        <v>233</v>
      </c>
      <c r="H764" s="136" t="s">
        <v>326</v>
      </c>
      <c r="I764" s="136" t="s">
        <v>549</v>
      </c>
      <c r="J764" s="136" t="s">
        <v>554</v>
      </c>
      <c r="K764" s="191">
        <v>-0.14119999999999999</v>
      </c>
      <c r="L764" s="191">
        <v>-0.1076582</v>
      </c>
      <c r="M764" s="191">
        <v>0</v>
      </c>
      <c r="N764" s="191">
        <v>-1.64858128637256</v>
      </c>
      <c r="O764" s="191">
        <v>-2.6232632691083699</v>
      </c>
      <c r="P764" s="191">
        <v>-1.3838587873666699</v>
      </c>
      <c r="Q764" s="191">
        <v>-1.0258281022179601</v>
      </c>
      <c r="R764" s="191">
        <v>3.2206744356696501E-2</v>
      </c>
      <c r="T764" s="46">
        <v>10</v>
      </c>
      <c r="U764" s="53" t="s">
        <v>242</v>
      </c>
      <c r="V764" s="47" t="s">
        <v>242</v>
      </c>
      <c r="W764" s="47" t="s">
        <v>549</v>
      </c>
      <c r="X764" s="47" t="s">
        <v>554</v>
      </c>
      <c r="Y764" s="58">
        <v>38.486130000000003</v>
      </c>
      <c r="Z764" s="193">
        <v>0.20843</v>
      </c>
      <c r="AB764" s="3"/>
      <c r="AC764" s="3"/>
      <c r="AD764" s="3"/>
      <c r="AE764" s="3"/>
      <c r="AF764" s="3"/>
      <c r="AG764" s="3"/>
    </row>
    <row r="765" spans="6:33">
      <c r="F765" s="370">
        <v>10</v>
      </c>
      <c r="G765" s="137" t="s">
        <v>261</v>
      </c>
      <c r="H765" s="136" t="s">
        <v>10179</v>
      </c>
      <c r="I765" s="136" t="s">
        <v>549</v>
      </c>
      <c r="J765" s="136" t="s">
        <v>554</v>
      </c>
      <c r="K765" s="191">
        <v>-4.72241</v>
      </c>
      <c r="L765" s="191">
        <v>-2.3594331999999998</v>
      </c>
      <c r="M765" s="191">
        <v>0</v>
      </c>
      <c r="N765" s="191">
        <v>-0.36346690312073898</v>
      </c>
      <c r="O765" s="191">
        <v>-0.58614166585141247</v>
      </c>
      <c r="P765" s="191">
        <v>0.140915081071424</v>
      </c>
      <c r="Q765" s="191">
        <v>-0.1744633617516195</v>
      </c>
      <c r="R765" s="191">
        <v>2.5406339092198402E-2</v>
      </c>
      <c r="T765" s="46">
        <v>10</v>
      </c>
      <c r="U765" s="53" t="s">
        <v>242</v>
      </c>
      <c r="V765" s="47" t="s">
        <v>534</v>
      </c>
      <c r="W765" s="47" t="s">
        <v>549</v>
      </c>
      <c r="X765" s="47" t="s">
        <v>554</v>
      </c>
      <c r="Y765" s="58">
        <v>15.0122</v>
      </c>
      <c r="Z765" s="193">
        <v>0.37092000000000003</v>
      </c>
      <c r="AB765" s="3" t="s">
        <v>526</v>
      </c>
      <c r="AC765" s="125">
        <v>0.64600000000000002</v>
      </c>
      <c r="AD765" s="3">
        <v>0</v>
      </c>
      <c r="AE765" s="3"/>
      <c r="AF765" s="3"/>
      <c r="AG765" s="3"/>
    </row>
    <row r="766" spans="6:33" ht="28.8">
      <c r="F766" s="370">
        <v>10</v>
      </c>
      <c r="G766" s="137" t="s">
        <v>261</v>
      </c>
      <c r="H766" s="136" t="s">
        <v>269</v>
      </c>
      <c r="I766" s="136" t="s">
        <v>549</v>
      </c>
      <c r="J766" s="136" t="s">
        <v>554</v>
      </c>
      <c r="K766" s="191">
        <v>-0.25034000000000001</v>
      </c>
      <c r="L766" s="191">
        <v>-0.1233982</v>
      </c>
      <c r="M766" s="191">
        <v>0</v>
      </c>
      <c r="N766" s="191">
        <v>-0.30341450242691098</v>
      </c>
      <c r="O766" s="191">
        <v>-0.49634751725721299</v>
      </c>
      <c r="P766" s="191">
        <v>0.17217733290420301</v>
      </c>
      <c r="Q766" s="191">
        <v>-0.120402659122941</v>
      </c>
      <c r="R766" s="191">
        <v>2.5084242254773698E-2</v>
      </c>
      <c r="T766" s="46">
        <v>10</v>
      </c>
      <c r="U766" s="53" t="s">
        <v>239</v>
      </c>
      <c r="V766" s="47" t="s">
        <v>239</v>
      </c>
      <c r="W766" s="47" t="s">
        <v>549</v>
      </c>
      <c r="X766" s="47" t="s">
        <v>554</v>
      </c>
      <c r="Y766" s="58">
        <v>2.6644477777777777</v>
      </c>
      <c r="Z766" s="193">
        <v>0.64099666666666666</v>
      </c>
      <c r="AB766" s="3" t="s">
        <v>526</v>
      </c>
      <c r="AC766" s="125">
        <v>0.72499999999999998</v>
      </c>
      <c r="AD766" s="3">
        <v>0</v>
      </c>
      <c r="AE766" s="3"/>
      <c r="AF766" s="3"/>
      <c r="AG766" s="3"/>
    </row>
    <row r="767" spans="6:33" ht="28.8">
      <c r="F767" s="370">
        <v>10</v>
      </c>
      <c r="G767" s="137" t="s">
        <v>261</v>
      </c>
      <c r="H767" s="136" t="s">
        <v>530</v>
      </c>
      <c r="I767" s="136" t="s">
        <v>549</v>
      </c>
      <c r="J767" s="136" t="s">
        <v>554</v>
      </c>
      <c r="K767" s="191">
        <v>-9.1944800000000004</v>
      </c>
      <c r="L767" s="191">
        <v>-4.5954682</v>
      </c>
      <c r="M767" s="191">
        <v>0</v>
      </c>
      <c r="N767" s="191">
        <v>-0.42351930381456698</v>
      </c>
      <c r="O767" s="191">
        <v>-0.67593581444561202</v>
      </c>
      <c r="P767" s="191">
        <v>0.109652829238645</v>
      </c>
      <c r="Q767" s="191">
        <v>-0.22852406438029799</v>
      </c>
      <c r="R767" s="191">
        <v>2.5728435929623102E-2</v>
      </c>
      <c r="T767" s="46">
        <v>10</v>
      </c>
      <c r="U767" s="53" t="s">
        <v>239</v>
      </c>
      <c r="V767" s="47" t="s">
        <v>324</v>
      </c>
      <c r="W767" s="47" t="s">
        <v>549</v>
      </c>
      <c r="X767" s="47" t="s">
        <v>554</v>
      </c>
      <c r="Y767" s="58">
        <v>1.66</v>
      </c>
      <c r="Z767" s="193">
        <v>0.13142999999999999</v>
      </c>
      <c r="AB767" s="3" t="s">
        <v>526</v>
      </c>
      <c r="AC767" s="125">
        <v>0.64600000000000002</v>
      </c>
      <c r="AD767" s="3">
        <v>0</v>
      </c>
      <c r="AE767" s="3"/>
      <c r="AF767" s="3" t="s">
        <v>526</v>
      </c>
      <c r="AG767" s="83">
        <v>0.5</v>
      </c>
    </row>
    <row r="768" spans="6:33">
      <c r="F768" s="370">
        <v>10</v>
      </c>
      <c r="G768" s="137" t="s">
        <v>261</v>
      </c>
      <c r="H768" s="136" t="s">
        <v>262</v>
      </c>
      <c r="I768" s="136" t="s">
        <v>549</v>
      </c>
      <c r="J768" s="136" t="s">
        <v>554</v>
      </c>
      <c r="K768" s="191">
        <v>-2.5034000000000001</v>
      </c>
      <c r="L768" s="191">
        <v>0</v>
      </c>
      <c r="M768" s="191">
        <v>0</v>
      </c>
      <c r="N768" s="191">
        <v>-0.42351930381456698</v>
      </c>
      <c r="O768" s="191">
        <v>-0.67593581444561202</v>
      </c>
      <c r="P768" s="191">
        <v>0.109652829238645</v>
      </c>
      <c r="Q768" s="191">
        <v>-0.22852406438029799</v>
      </c>
      <c r="R768" s="191">
        <v>2.5728435929623102E-2</v>
      </c>
      <c r="T768" s="46">
        <v>10</v>
      </c>
      <c r="U768" s="53" t="s">
        <v>239</v>
      </c>
      <c r="V768" s="47" t="s">
        <v>272</v>
      </c>
      <c r="W768" s="3" t="s">
        <v>549</v>
      </c>
      <c r="X768" s="3" t="s">
        <v>554</v>
      </c>
      <c r="Y768" s="58">
        <v>2.1278299999999999</v>
      </c>
      <c r="Z768" s="178">
        <v>1.2152400000000001</v>
      </c>
      <c r="AB768" s="3" t="s">
        <v>526</v>
      </c>
      <c r="AC768" s="125">
        <v>0.72499999999999998</v>
      </c>
      <c r="AD768" s="3">
        <v>0.14482945764999999</v>
      </c>
      <c r="AE768" s="3" t="s">
        <v>541</v>
      </c>
      <c r="AF768" s="3"/>
      <c r="AG768" s="3"/>
    </row>
    <row r="769" spans="4:26">
      <c r="D769" s="35"/>
      <c r="F769" s="370">
        <v>10</v>
      </c>
      <c r="G769" s="137" t="s">
        <v>252</v>
      </c>
      <c r="H769" s="136" t="s">
        <v>10180</v>
      </c>
      <c r="I769" s="136" t="s">
        <v>549</v>
      </c>
      <c r="J769" s="136" t="s">
        <v>554</v>
      </c>
      <c r="K769" s="191">
        <v>-2.0953266666666663</v>
      </c>
      <c r="L769" s="191">
        <v>-1.5407999593666664</v>
      </c>
      <c r="M769" s="191">
        <v>-4.4031642132168303</v>
      </c>
      <c r="N769" s="191">
        <v>0</v>
      </c>
      <c r="O769" s="191">
        <v>0</v>
      </c>
      <c r="P769" s="191">
        <v>2.60199740497906E-2</v>
      </c>
      <c r="Q769" s="191">
        <v>0.64940927760600697</v>
      </c>
      <c r="R769" s="191">
        <v>2.1870242966247302</v>
      </c>
      <c r="T769" s="46">
        <v>10</v>
      </c>
      <c r="U769" s="53" t="s">
        <v>239</v>
      </c>
      <c r="V769" s="47" t="s">
        <v>329</v>
      </c>
      <c r="W769" s="3" t="s">
        <v>549</v>
      </c>
      <c r="X769" s="3" t="s">
        <v>554</v>
      </c>
      <c r="Y769" s="51">
        <v>3.4792200000000002</v>
      </c>
      <c r="Z769" s="178">
        <v>1.0383</v>
      </c>
    </row>
    <row r="770" spans="4:26" ht="57.6">
      <c r="F770" s="370">
        <v>10</v>
      </c>
      <c r="G770" s="137" t="s">
        <v>252</v>
      </c>
      <c r="H770" s="136" t="s">
        <v>10163</v>
      </c>
      <c r="I770" s="136" t="s">
        <v>549</v>
      </c>
      <c r="J770" s="136" t="s">
        <v>554</v>
      </c>
      <c r="K770" s="191">
        <v>-2.04928</v>
      </c>
      <c r="L770" s="191">
        <v>0</v>
      </c>
      <c r="M770" s="191">
        <v>-3.8704252028332951</v>
      </c>
      <c r="N770" s="191">
        <v>0</v>
      </c>
      <c r="O770" s="191">
        <v>0</v>
      </c>
      <c r="P770" s="191">
        <v>2.6019971068835999E-2</v>
      </c>
      <c r="Q770" s="191">
        <v>0.53009597501830696</v>
      </c>
      <c r="R770" s="191">
        <v>3.1831776868839499</v>
      </c>
      <c r="T770" s="46">
        <v>10</v>
      </c>
      <c r="U770" s="53" t="s">
        <v>239</v>
      </c>
      <c r="V770" s="47" t="s">
        <v>271</v>
      </c>
      <c r="W770" s="3" t="s">
        <v>549</v>
      </c>
      <c r="X770" s="3" t="s">
        <v>554</v>
      </c>
      <c r="Y770" s="51">
        <v>3.1045600000000002</v>
      </c>
      <c r="Z770" s="178">
        <v>0.12864</v>
      </c>
    </row>
    <row r="771" spans="4:26" ht="28.8">
      <c r="F771" s="370">
        <v>10</v>
      </c>
      <c r="G771" s="137" t="s">
        <v>252</v>
      </c>
      <c r="H771" s="136" t="s">
        <v>10164</v>
      </c>
      <c r="I771" s="136" t="s">
        <v>549</v>
      </c>
      <c r="J771" s="136" t="s">
        <v>554</v>
      </c>
      <c r="K771" s="191">
        <v>-2.3231199999999999</v>
      </c>
      <c r="L771" s="191">
        <v>0</v>
      </c>
      <c r="M771" s="191">
        <v>-4.553410576905776</v>
      </c>
      <c r="N771" s="191">
        <v>0</v>
      </c>
      <c r="O771" s="191">
        <v>0</v>
      </c>
      <c r="P771" s="191">
        <v>2.60199718608351E-2</v>
      </c>
      <c r="Q771" s="191">
        <v>0.56285738622892201</v>
      </c>
      <c r="R771" s="191">
        <v>2.4956077659939599</v>
      </c>
      <c r="T771" s="46">
        <v>10</v>
      </c>
      <c r="U771" s="53" t="s">
        <v>239</v>
      </c>
      <c r="V771" s="47" t="s">
        <v>535</v>
      </c>
      <c r="W771" s="3" t="s">
        <v>549</v>
      </c>
      <c r="X771" s="3" t="s">
        <v>554</v>
      </c>
      <c r="Y771" s="51">
        <v>3.1045600000000002</v>
      </c>
      <c r="Z771" s="178">
        <v>0.12864</v>
      </c>
    </row>
    <row r="772" spans="4:26" ht="28.8">
      <c r="F772" s="370">
        <v>10</v>
      </c>
      <c r="G772" s="137" t="s">
        <v>252</v>
      </c>
      <c r="H772" s="136" t="s">
        <v>10165</v>
      </c>
      <c r="I772" s="136" t="s">
        <v>549</v>
      </c>
      <c r="J772" s="136" t="s">
        <v>554</v>
      </c>
      <c r="K772" s="191">
        <v>-2.1485799999999999</v>
      </c>
      <c r="L772" s="191">
        <v>0</v>
      </c>
      <c r="M772" s="191">
        <v>-4.635410496222474</v>
      </c>
      <c r="N772" s="191">
        <v>0</v>
      </c>
      <c r="O772" s="191">
        <v>0</v>
      </c>
      <c r="P772" s="191">
        <v>2.6019971068835999E-2</v>
      </c>
      <c r="Q772" s="191">
        <v>0.72303357881425401</v>
      </c>
      <c r="R772" s="191">
        <v>2.53633250726419</v>
      </c>
      <c r="T772" s="46">
        <v>10</v>
      </c>
      <c r="U772" s="53" t="s">
        <v>239</v>
      </c>
      <c r="V772" s="47" t="s">
        <v>259</v>
      </c>
      <c r="W772" s="3" t="s">
        <v>549</v>
      </c>
      <c r="X772" s="3" t="s">
        <v>554</v>
      </c>
      <c r="Y772" s="51">
        <v>2.86965</v>
      </c>
      <c r="Z772" s="178">
        <v>0.79600000000000004</v>
      </c>
    </row>
    <row r="773" spans="4:26" ht="28.8">
      <c r="F773" s="370">
        <v>10</v>
      </c>
      <c r="G773" s="137" t="s">
        <v>252</v>
      </c>
      <c r="H773" s="136" t="s">
        <v>10166</v>
      </c>
      <c r="I773" s="136" t="s">
        <v>549</v>
      </c>
      <c r="J773" s="136" t="s">
        <v>554</v>
      </c>
      <c r="K773" s="191">
        <v>-1.9492499999999999</v>
      </c>
      <c r="L773" s="191">
        <v>0</v>
      </c>
      <c r="M773" s="191">
        <v>-4.553410576905776</v>
      </c>
      <c r="N773" s="191">
        <v>0</v>
      </c>
      <c r="O773" s="191">
        <v>0</v>
      </c>
      <c r="P773" s="191">
        <v>2.60199718608351E-2</v>
      </c>
      <c r="Q773" s="191">
        <v>0.56285738622892201</v>
      </c>
      <c r="R773" s="191">
        <v>2.4956077659939599</v>
      </c>
      <c r="T773" s="46">
        <v>10</v>
      </c>
      <c r="U773" s="53" t="s">
        <v>239</v>
      </c>
      <c r="V773" s="47" t="s">
        <v>334</v>
      </c>
      <c r="W773" s="3" t="s">
        <v>549</v>
      </c>
      <c r="X773" s="3" t="s">
        <v>554</v>
      </c>
      <c r="Y773" s="51">
        <v>2.86965</v>
      </c>
      <c r="Z773" s="178">
        <v>0.76736000000000004</v>
      </c>
    </row>
    <row r="774" spans="4:26">
      <c r="F774" s="370">
        <v>10</v>
      </c>
      <c r="G774" s="137" t="s">
        <v>252</v>
      </c>
      <c r="H774" s="136" t="s">
        <v>10167</v>
      </c>
      <c r="I774" s="136" t="s">
        <v>549</v>
      </c>
      <c r="J774" s="136" t="s">
        <v>554</v>
      </c>
      <c r="K774" s="191">
        <v>-2.0269300000000001</v>
      </c>
      <c r="L774" s="191">
        <v>0</v>
      </c>
      <c r="M774" s="191">
        <v>0</v>
      </c>
      <c r="N774" s="191">
        <v>0</v>
      </c>
      <c r="O774" s="191">
        <v>0</v>
      </c>
      <c r="P774" s="191">
        <v>2.6019971978183402E-2</v>
      </c>
      <c r="Q774" s="191">
        <v>0.48542150740926199</v>
      </c>
      <c r="R774" s="191">
        <v>3.1833669967860501</v>
      </c>
      <c r="T774" s="46">
        <v>10</v>
      </c>
      <c r="U774" s="53" t="s">
        <v>239</v>
      </c>
      <c r="V774" s="47" t="s">
        <v>240</v>
      </c>
      <c r="W774" s="3" t="s">
        <v>549</v>
      </c>
      <c r="X774" s="3" t="s">
        <v>554</v>
      </c>
      <c r="Y774" s="51">
        <v>3.1045600000000002</v>
      </c>
      <c r="Z774" s="178">
        <v>0.76736000000000004</v>
      </c>
    </row>
    <row r="775" spans="4:26" ht="28.8">
      <c r="F775" s="370">
        <v>10</v>
      </c>
      <c r="G775" s="137" t="s">
        <v>252</v>
      </c>
      <c r="H775" s="136" t="s">
        <v>10168</v>
      </c>
      <c r="I775" s="136" t="s">
        <v>549</v>
      </c>
      <c r="J775" s="136" t="s">
        <v>554</v>
      </c>
      <c r="K775" s="191">
        <v>-2.0748000000000002</v>
      </c>
      <c r="L775" s="191">
        <v>0</v>
      </c>
      <c r="M775" s="191">
        <v>0</v>
      </c>
      <c r="N775" s="191">
        <v>0</v>
      </c>
      <c r="O775" s="191">
        <v>0</v>
      </c>
      <c r="P775" s="191">
        <v>2.6019966837781301E-2</v>
      </c>
      <c r="Q775" s="191">
        <v>0.67866825417452303</v>
      </c>
      <c r="R775" s="191">
        <v>3.0368306607358702</v>
      </c>
      <c r="T775" s="46">
        <v>10</v>
      </c>
      <c r="U775" s="53" t="s">
        <v>239</v>
      </c>
      <c r="V775" s="47" t="s">
        <v>325</v>
      </c>
      <c r="W775" s="3" t="s">
        <v>549</v>
      </c>
      <c r="X775" s="3" t="s">
        <v>554</v>
      </c>
      <c r="Y775" s="51">
        <v>1.66</v>
      </c>
      <c r="Z775" s="178">
        <v>0.79600000000000004</v>
      </c>
    </row>
    <row r="776" spans="4:26">
      <c r="F776" s="370">
        <v>10</v>
      </c>
      <c r="G776" s="137" t="s">
        <v>242</v>
      </c>
      <c r="H776" s="136" t="s">
        <v>10181</v>
      </c>
      <c r="I776" s="136" t="s">
        <v>549</v>
      </c>
      <c r="J776" s="136" t="s">
        <v>554</v>
      </c>
      <c r="K776" s="191">
        <v>-38.486130000000003</v>
      </c>
      <c r="L776" s="191">
        <v>-27.900672450000002</v>
      </c>
      <c r="M776" s="191">
        <v>-3.2868550000000001</v>
      </c>
      <c r="N776" s="191">
        <v>0</v>
      </c>
      <c r="O776" s="191">
        <v>0</v>
      </c>
      <c r="P776" s="191">
        <v>2.5860000000000001E-2</v>
      </c>
      <c r="Q776" s="191">
        <v>4.1898673724089799E-2</v>
      </c>
      <c r="R776" s="191">
        <v>4.8911448565512002E-2</v>
      </c>
      <c r="T776" s="46">
        <v>10</v>
      </c>
      <c r="U776" s="53" t="s">
        <v>256</v>
      </c>
      <c r="V776" s="47" t="s">
        <v>256</v>
      </c>
      <c r="W776" s="3" t="s">
        <v>549</v>
      </c>
      <c r="X776" s="3" t="s">
        <v>554</v>
      </c>
      <c r="Y776" s="51">
        <v>3.3097799999999999</v>
      </c>
      <c r="Z776" s="178">
        <v>1.0068550000000001</v>
      </c>
    </row>
    <row r="777" spans="4:26">
      <c r="F777" s="370">
        <v>10</v>
      </c>
      <c r="G777" s="137" t="s">
        <v>242</v>
      </c>
      <c r="H777" s="136" t="s">
        <v>274</v>
      </c>
      <c r="I777" s="136" t="s">
        <v>549</v>
      </c>
      <c r="J777" s="136" t="s">
        <v>554</v>
      </c>
      <c r="K777" s="191">
        <v>-38.486130000000003</v>
      </c>
      <c r="L777" s="191">
        <v>-27.900672450000002</v>
      </c>
      <c r="M777" s="191">
        <v>-8.5278425000000002</v>
      </c>
      <c r="N777" s="191">
        <v>0</v>
      </c>
      <c r="O777" s="191">
        <v>0</v>
      </c>
      <c r="P777" s="191">
        <v>2.5860000000000001E-2</v>
      </c>
      <c r="Q777" s="191">
        <v>4.1898673724089799E-2</v>
      </c>
      <c r="R777" s="191">
        <v>4.8911448565512002E-2</v>
      </c>
      <c r="T777" s="46">
        <v>10</v>
      </c>
      <c r="U777" s="53" t="s">
        <v>256</v>
      </c>
      <c r="V777" s="47" t="s">
        <v>536</v>
      </c>
      <c r="W777" s="3" t="s">
        <v>549</v>
      </c>
      <c r="X777" s="3" t="s">
        <v>554</v>
      </c>
      <c r="Y777" s="51">
        <v>1.9798800000000001</v>
      </c>
      <c r="Z777" s="178">
        <v>0.72957000000000005</v>
      </c>
    </row>
    <row r="778" spans="4:26">
      <c r="F778" s="370">
        <v>10</v>
      </c>
      <c r="G778" s="137" t="s">
        <v>242</v>
      </c>
      <c r="H778" s="136" t="s">
        <v>534</v>
      </c>
      <c r="I778" s="136" t="s">
        <v>549</v>
      </c>
      <c r="J778" s="136" t="s">
        <v>554</v>
      </c>
      <c r="K778" s="191">
        <v>-15.0122</v>
      </c>
      <c r="L778" s="191">
        <v>-10.882073199999999</v>
      </c>
      <c r="M778" s="191">
        <v>-3.19428</v>
      </c>
      <c r="N778" s="191">
        <v>0</v>
      </c>
      <c r="O778" s="191">
        <v>0</v>
      </c>
      <c r="P778" s="191">
        <v>2.5860000000000001E-2</v>
      </c>
      <c r="Q778" s="191">
        <v>4.1898673724089799E-2</v>
      </c>
      <c r="R778" s="191">
        <v>4.8911448565512002E-2</v>
      </c>
      <c r="T778" s="46">
        <v>10</v>
      </c>
      <c r="U778" s="53" t="s">
        <v>256</v>
      </c>
      <c r="V778" s="47" t="s">
        <v>257</v>
      </c>
      <c r="W778" s="3" t="s">
        <v>549</v>
      </c>
      <c r="X778" s="3" t="s">
        <v>554</v>
      </c>
      <c r="Y778" s="51">
        <v>1.9798800000000001</v>
      </c>
      <c r="Z778" s="178">
        <v>0.46493000000000001</v>
      </c>
    </row>
    <row r="779" spans="4:26">
      <c r="F779" s="370">
        <v>10</v>
      </c>
      <c r="G779" s="137" t="s">
        <v>239</v>
      </c>
      <c r="H779" s="136" t="s">
        <v>10182</v>
      </c>
      <c r="I779" s="136" t="s">
        <v>549</v>
      </c>
      <c r="J779" s="136" t="s">
        <v>554</v>
      </c>
      <c r="K779" s="191">
        <v>-2.6644477777777777</v>
      </c>
      <c r="L779" s="191">
        <v>-1.7194614644444446</v>
      </c>
      <c r="M779" s="191">
        <v>-0.81595749427219999</v>
      </c>
      <c r="N779" s="191">
        <v>-1.64158743716123</v>
      </c>
      <c r="O779" s="191">
        <v>-2.38754843308678</v>
      </c>
      <c r="P779" s="191">
        <v>-0.64284530934226303</v>
      </c>
      <c r="Q779" s="191">
        <v>-0.82792797542140595</v>
      </c>
      <c r="R779" s="191">
        <v>2.7471426996727999E-2</v>
      </c>
      <c r="T779" s="46">
        <v>10</v>
      </c>
      <c r="U779" s="53" t="s">
        <v>256</v>
      </c>
      <c r="V779" s="47" t="s">
        <v>537</v>
      </c>
      <c r="W779" s="3" t="s">
        <v>549</v>
      </c>
      <c r="X779" s="3" t="s">
        <v>554</v>
      </c>
      <c r="Y779" s="51">
        <v>5.0082800000000001</v>
      </c>
      <c r="Z779" s="178">
        <v>1.54878</v>
      </c>
    </row>
    <row r="780" spans="4:26">
      <c r="F780" s="370">
        <v>10</v>
      </c>
      <c r="G780" s="137" t="s">
        <v>239</v>
      </c>
      <c r="H780" s="136" t="s">
        <v>324</v>
      </c>
      <c r="I780" s="136" t="s">
        <v>549</v>
      </c>
      <c r="J780" s="136" t="s">
        <v>554</v>
      </c>
      <c r="K780" s="191">
        <v>-1.66</v>
      </c>
      <c r="L780" s="191">
        <v>0</v>
      </c>
      <c r="M780" s="191">
        <v>0.23732217423020791</v>
      </c>
      <c r="N780" s="191">
        <v>-1.6521413186927301</v>
      </c>
      <c r="O780" s="191">
        <v>-2.2423002306506099</v>
      </c>
      <c r="P780" s="191">
        <v>-1.12752395520147</v>
      </c>
      <c r="Q780" s="191">
        <v>-0.90029183106916599</v>
      </c>
      <c r="R780" s="191">
        <v>2.6682409311865999E-2</v>
      </c>
      <c r="T780" s="46">
        <v>10</v>
      </c>
      <c r="U780" s="53" t="s">
        <v>256</v>
      </c>
      <c r="V780" s="47" t="s">
        <v>538</v>
      </c>
      <c r="W780" s="3" t="s">
        <v>549</v>
      </c>
      <c r="X780" s="3" t="s">
        <v>554</v>
      </c>
      <c r="Y780" s="51">
        <v>4.6396800000000002</v>
      </c>
      <c r="Z780" s="178">
        <v>1.54878</v>
      </c>
    </row>
    <row r="781" spans="4:26">
      <c r="F781" s="370">
        <v>10</v>
      </c>
      <c r="G781" s="137" t="s">
        <v>239</v>
      </c>
      <c r="H781" s="136" t="s">
        <v>272</v>
      </c>
      <c r="I781" s="136" t="s">
        <v>549</v>
      </c>
      <c r="J781" s="136" t="s">
        <v>554</v>
      </c>
      <c r="K781" s="191">
        <v>-2.1278299999999999</v>
      </c>
      <c r="L781" s="191">
        <v>-1.3728063799999999</v>
      </c>
      <c r="M781" s="191">
        <v>-1.3141943432271834E-2</v>
      </c>
      <c r="N781" s="191">
        <v>-1.47899031657472</v>
      </c>
      <c r="O781" s="191">
        <v>-2.2480132452305401</v>
      </c>
      <c r="P781" s="191">
        <v>2.8719999999999999E-2</v>
      </c>
      <c r="Q781" s="191">
        <v>-0.707256993844533</v>
      </c>
      <c r="R781" s="191">
        <v>3.4584607885101801E-2</v>
      </c>
      <c r="T781" s="46">
        <v>10</v>
      </c>
      <c r="U781" s="53" t="s">
        <v>256</v>
      </c>
      <c r="V781" s="47" t="s">
        <v>258</v>
      </c>
      <c r="W781" s="3" t="s">
        <v>549</v>
      </c>
      <c r="X781" s="3" t="s">
        <v>554</v>
      </c>
      <c r="Y781" s="51">
        <v>4.6396800000000002</v>
      </c>
      <c r="Z781" s="178">
        <v>1.54878</v>
      </c>
    </row>
    <row r="782" spans="4:26">
      <c r="F782" s="370">
        <v>10</v>
      </c>
      <c r="G782" s="137" t="s">
        <v>239</v>
      </c>
      <c r="H782" s="136" t="s">
        <v>329</v>
      </c>
      <c r="I782" s="136" t="s">
        <v>549</v>
      </c>
      <c r="J782" s="136" t="s">
        <v>554</v>
      </c>
      <c r="K782" s="191">
        <v>-3.4792200000000002</v>
      </c>
      <c r="L782" s="191">
        <v>0</v>
      </c>
      <c r="M782" s="191">
        <v>-3.0394105193425598</v>
      </c>
      <c r="N782" s="191">
        <v>-1.6016150545610099</v>
      </c>
      <c r="O782" s="191">
        <v>-2.4874907414044301</v>
      </c>
      <c r="P782" s="191">
        <v>0.46732560322960598</v>
      </c>
      <c r="Q782" s="191">
        <v>-0.70975116827628704</v>
      </c>
      <c r="R782" s="191">
        <v>3.7247040270189699E-2</v>
      </c>
      <c r="T782" s="46">
        <v>10</v>
      </c>
      <c r="U782" s="53" t="s">
        <v>247</v>
      </c>
      <c r="V782" s="47" t="s">
        <v>247</v>
      </c>
      <c r="W782" s="3" t="s">
        <v>549</v>
      </c>
      <c r="X782" s="3" t="s">
        <v>554</v>
      </c>
      <c r="Y782" s="51">
        <v>1.0505633333333335</v>
      </c>
      <c r="Z782" s="178">
        <v>0.89563000000000004</v>
      </c>
    </row>
    <row r="783" spans="4:26">
      <c r="F783" s="370">
        <v>10</v>
      </c>
      <c r="G783" s="137" t="s">
        <v>239</v>
      </c>
      <c r="H783" s="136" t="s">
        <v>271</v>
      </c>
      <c r="I783" s="136" t="s">
        <v>549</v>
      </c>
      <c r="J783" s="136" t="s">
        <v>554</v>
      </c>
      <c r="K783" s="191">
        <v>-3.1045600000000002</v>
      </c>
      <c r="L783" s="191">
        <v>0</v>
      </c>
      <c r="M783" s="191">
        <v>-0.91795218105622489</v>
      </c>
      <c r="N783" s="191">
        <v>-1.5169255647595301</v>
      </c>
      <c r="O783" s="191">
        <v>-2.5942993420119702</v>
      </c>
      <c r="P783" s="191">
        <v>-0.660111649107195</v>
      </c>
      <c r="Q783" s="191">
        <v>-0.67593206774576597</v>
      </c>
      <c r="R783" s="191">
        <v>4.0391413082080801E-2</v>
      </c>
      <c r="T783" s="194">
        <v>10</v>
      </c>
      <c r="U783" s="53" t="s">
        <v>247</v>
      </c>
      <c r="V783" s="47" t="s">
        <v>248</v>
      </c>
      <c r="W783" s="195" t="s">
        <v>549</v>
      </c>
      <c r="X783" s="3" t="s">
        <v>554</v>
      </c>
      <c r="Y783" s="51">
        <v>1.0606100000000001</v>
      </c>
      <c r="Z783" s="178">
        <v>0.89563000000000004</v>
      </c>
    </row>
    <row r="784" spans="4:26">
      <c r="F784" s="137">
        <v>10</v>
      </c>
      <c r="G784" s="137" t="s">
        <v>239</v>
      </c>
      <c r="H784" s="136" t="s">
        <v>535</v>
      </c>
      <c r="I784" s="136" t="s">
        <v>549</v>
      </c>
      <c r="J784" s="136" t="s">
        <v>554</v>
      </c>
      <c r="K784" s="191">
        <v>-3.1045600000000002</v>
      </c>
      <c r="L784" s="191">
        <v>0</v>
      </c>
      <c r="M784" s="191">
        <v>-0.91795218105622489</v>
      </c>
      <c r="N784" s="191">
        <v>-1.62556746064851</v>
      </c>
      <c r="O784" s="191">
        <v>-2.6026902581055902</v>
      </c>
      <c r="P784" s="191">
        <v>-0.85806848637626298</v>
      </c>
      <c r="Q784" s="191">
        <v>-0.75336666663629603</v>
      </c>
      <c r="R784" s="191">
        <v>2.9212437097224399E-2</v>
      </c>
      <c r="S784" s="34"/>
      <c r="T784" s="46">
        <v>10</v>
      </c>
      <c r="U784" s="53" t="s">
        <v>247</v>
      </c>
      <c r="V784" s="47" t="s">
        <v>263</v>
      </c>
      <c r="W784" s="3" t="s">
        <v>549</v>
      </c>
      <c r="X784" s="3" t="s">
        <v>554</v>
      </c>
      <c r="Y784" s="51">
        <v>1.0341199999999999</v>
      </c>
      <c r="Z784" s="178">
        <v>0.89563000000000004</v>
      </c>
    </row>
    <row r="785" spans="6:28">
      <c r="F785" s="137">
        <v>10</v>
      </c>
      <c r="G785" s="137" t="s">
        <v>239</v>
      </c>
      <c r="H785" s="136" t="s">
        <v>259</v>
      </c>
      <c r="I785" s="136" t="s">
        <v>549</v>
      </c>
      <c r="J785" s="136" t="s">
        <v>554</v>
      </c>
      <c r="K785" s="191">
        <v>-2.86965</v>
      </c>
      <c r="L785" s="191">
        <v>0</v>
      </c>
      <c r="M785" s="191">
        <v>-0.91795218105622489</v>
      </c>
      <c r="N785" s="191">
        <v>-1.3405464032126699</v>
      </c>
      <c r="O785" s="191">
        <v>-2.0224747049113301</v>
      </c>
      <c r="P785" s="191">
        <v>-0.36538983448988699</v>
      </c>
      <c r="Q785" s="191">
        <v>-0.613396941458481</v>
      </c>
      <c r="R785" s="191">
        <v>2.84201932341357E-2</v>
      </c>
      <c r="T785" s="46">
        <v>10</v>
      </c>
      <c r="U785" s="53" t="s">
        <v>247</v>
      </c>
      <c r="V785" s="47" t="s">
        <v>539</v>
      </c>
      <c r="W785" s="3" t="s">
        <v>549</v>
      </c>
      <c r="X785" s="3" t="s">
        <v>554</v>
      </c>
      <c r="Y785" s="51">
        <v>1.0569599999999999</v>
      </c>
      <c r="Z785" s="178">
        <v>0.89563000000000004</v>
      </c>
      <c r="AB785" t="s">
        <v>562</v>
      </c>
    </row>
    <row r="786" spans="6:28">
      <c r="F786" s="137">
        <v>10</v>
      </c>
      <c r="G786" s="137" t="s">
        <v>239</v>
      </c>
      <c r="H786" s="136" t="s">
        <v>334</v>
      </c>
      <c r="I786" s="136" t="s">
        <v>549</v>
      </c>
      <c r="J786" s="136" t="s">
        <v>554</v>
      </c>
      <c r="K786" s="191">
        <v>-2.86965</v>
      </c>
      <c r="L786" s="191">
        <v>0</v>
      </c>
      <c r="M786" s="191">
        <v>-0.91795218105622489</v>
      </c>
      <c r="N786" s="191">
        <v>-1.7510586326106401</v>
      </c>
      <c r="O786" s="191">
        <v>-2.48418749432751</v>
      </c>
      <c r="P786" s="191">
        <v>-0.300483886392518</v>
      </c>
      <c r="Q786" s="191">
        <v>-0.89635996388730699</v>
      </c>
      <c r="R786" s="191">
        <v>2.63896815071662E-2</v>
      </c>
      <c r="T786" s="46">
        <v>10</v>
      </c>
      <c r="U786" s="53" t="s">
        <v>247</v>
      </c>
      <c r="V786" s="47" t="s">
        <v>270</v>
      </c>
      <c r="W786" s="3" t="s">
        <v>549</v>
      </c>
      <c r="X786" s="3" t="s">
        <v>554</v>
      </c>
      <c r="Y786" s="51">
        <v>1.0505633333333335</v>
      </c>
      <c r="Z786" s="178">
        <v>0.89563000000000004</v>
      </c>
    </row>
    <row r="787" spans="6:28">
      <c r="F787" s="137">
        <v>10</v>
      </c>
      <c r="G787" s="137" t="s">
        <v>239</v>
      </c>
      <c r="H787" s="136" t="s">
        <v>240</v>
      </c>
      <c r="I787" s="136" t="s">
        <v>549</v>
      </c>
      <c r="J787" s="136" t="s">
        <v>554</v>
      </c>
      <c r="K787" s="191">
        <v>-3.1045600000000002</v>
      </c>
      <c r="L787" s="191">
        <v>0</v>
      </c>
      <c r="M787" s="191">
        <v>0</v>
      </c>
      <c r="N787" s="191">
        <v>-1.77981510011304</v>
      </c>
      <c r="O787" s="191">
        <v>-2.5527882478792798</v>
      </c>
      <c r="P787" s="191">
        <v>-0.68464562833381604</v>
      </c>
      <c r="Q787" s="191">
        <v>0.52273088918490795</v>
      </c>
      <c r="R787" s="191">
        <v>2.3670121644453399</v>
      </c>
      <c r="T787" s="46">
        <v>10</v>
      </c>
      <c r="U787" s="53" t="s">
        <v>247</v>
      </c>
      <c r="V787" s="47" t="s">
        <v>540</v>
      </c>
      <c r="W787" s="3" t="s">
        <v>549</v>
      </c>
      <c r="X787" s="3" t="s">
        <v>554</v>
      </c>
      <c r="Y787" s="51">
        <v>1.0473650000000001</v>
      </c>
      <c r="Z787" s="178">
        <v>0.89563000000000004</v>
      </c>
    </row>
    <row r="788" spans="6:28" ht="28.8">
      <c r="F788" s="137">
        <v>10</v>
      </c>
      <c r="G788" s="137" t="s">
        <v>239</v>
      </c>
      <c r="H788" s="136" t="s">
        <v>325</v>
      </c>
      <c r="I788" s="136" t="s">
        <v>549</v>
      </c>
      <c r="J788" s="136" t="s">
        <v>554</v>
      </c>
      <c r="K788" s="191">
        <v>-1.66</v>
      </c>
      <c r="L788" s="191">
        <v>0</v>
      </c>
      <c r="M788" s="191">
        <v>0</v>
      </c>
      <c r="N788" s="191">
        <v>-1.64158743716123</v>
      </c>
      <c r="O788" s="191">
        <v>-2.38754843308678</v>
      </c>
      <c r="P788" s="191">
        <v>-0.64284530934226303</v>
      </c>
      <c r="Q788" s="191">
        <v>-0.82792797542140595</v>
      </c>
      <c r="R788" s="191">
        <v>2.7471426996727999E-2</v>
      </c>
      <c r="T788" s="46">
        <v>10</v>
      </c>
      <c r="U788" s="53" t="s">
        <v>529</v>
      </c>
      <c r="V788" s="47" t="s">
        <v>260</v>
      </c>
      <c r="W788" s="3" t="s">
        <v>549</v>
      </c>
      <c r="X788" s="3" t="s">
        <v>554</v>
      </c>
      <c r="Y788" s="51">
        <v>4.0364225925925927</v>
      </c>
      <c r="Z788" s="178">
        <v>1.3856655555555555</v>
      </c>
    </row>
    <row r="789" spans="6:28">
      <c r="F789" s="137">
        <v>10</v>
      </c>
      <c r="G789" s="137" t="s">
        <v>256</v>
      </c>
      <c r="H789" s="136" t="s">
        <v>10183</v>
      </c>
      <c r="I789" s="136" t="s">
        <v>549</v>
      </c>
      <c r="J789" s="136" t="s">
        <v>554</v>
      </c>
      <c r="K789" s="191">
        <v>-3.3097799999999999</v>
      </c>
      <c r="L789" s="191">
        <v>-3.2267017926999997</v>
      </c>
      <c r="M789" s="191">
        <v>-12.271975409147945</v>
      </c>
      <c r="N789" s="191">
        <v>0</v>
      </c>
      <c r="O789" s="191">
        <v>0</v>
      </c>
      <c r="P789" s="191">
        <v>2.59399764855992E-2</v>
      </c>
      <c r="Q789" s="191">
        <v>-0.105499204724518</v>
      </c>
      <c r="R789" s="191">
        <v>-8.9136358837795138E-2</v>
      </c>
      <c r="T789" s="46">
        <v>10</v>
      </c>
      <c r="U789" s="53" t="s">
        <v>237</v>
      </c>
      <c r="V789" s="47" t="s">
        <v>237</v>
      </c>
      <c r="W789" s="3" t="s">
        <v>549</v>
      </c>
      <c r="X789" s="3" t="s">
        <v>554</v>
      </c>
      <c r="Y789" s="51">
        <v>2.8533815875203707</v>
      </c>
      <c r="Z789" s="178">
        <v>1.0711602172222223</v>
      </c>
    </row>
    <row r="790" spans="6:28">
      <c r="F790" s="137">
        <v>10</v>
      </c>
      <c r="G790" s="137" t="s">
        <v>256</v>
      </c>
      <c r="H790" s="136" t="s">
        <v>536</v>
      </c>
      <c r="I790" s="136" t="s">
        <v>549</v>
      </c>
      <c r="J790" s="136" t="s">
        <v>554</v>
      </c>
      <c r="K790" s="191">
        <v>-1.9798800000000001</v>
      </c>
      <c r="L790" s="191">
        <v>-1.8968017927</v>
      </c>
      <c r="M790" s="191">
        <v>-2.2492474107615306</v>
      </c>
      <c r="N790" s="191">
        <v>0</v>
      </c>
      <c r="O790" s="191">
        <v>0</v>
      </c>
      <c r="P790" s="191">
        <v>2.6019952971198398E-2</v>
      </c>
      <c r="Q790" s="191">
        <v>-0.155639944451124</v>
      </c>
      <c r="R790" s="191">
        <v>-0.13017748376343699</v>
      </c>
      <c r="T790" s="46">
        <v>10</v>
      </c>
      <c r="U790" s="53" t="s">
        <v>237</v>
      </c>
      <c r="V790" s="47" t="s">
        <v>246</v>
      </c>
      <c r="W790" s="3" t="s">
        <v>549</v>
      </c>
      <c r="X790" s="3" t="s">
        <v>554</v>
      </c>
      <c r="Y790" s="51">
        <v>7.3412433500000009</v>
      </c>
      <c r="Z790" s="178">
        <v>0.66842500000000005</v>
      </c>
    </row>
    <row r="791" spans="6:28">
      <c r="F791" s="137">
        <v>10</v>
      </c>
      <c r="G791" s="137" t="s">
        <v>256</v>
      </c>
      <c r="H791" s="136" t="s">
        <v>257</v>
      </c>
      <c r="I791" s="136" t="s">
        <v>549</v>
      </c>
      <c r="J791" s="136" t="s">
        <v>554</v>
      </c>
      <c r="K791" s="191">
        <v>-1.9798800000000001</v>
      </c>
      <c r="L791" s="191">
        <v>-1.8968017927</v>
      </c>
      <c r="M791" s="191">
        <v>-2.2492474107615306</v>
      </c>
      <c r="N791" s="191">
        <v>0</v>
      </c>
      <c r="O791" s="191">
        <v>0</v>
      </c>
      <c r="P791" s="191">
        <v>2.6019952971198398E-2</v>
      </c>
      <c r="Q791" s="191">
        <v>-0.155639944451124</v>
      </c>
      <c r="R791" s="191">
        <v>-0.13017748376343699</v>
      </c>
      <c r="T791" s="46">
        <v>10</v>
      </c>
      <c r="U791" s="53" t="s">
        <v>237</v>
      </c>
      <c r="V791" s="28" t="s">
        <v>10162</v>
      </c>
      <c r="W791" s="3" t="s">
        <v>549</v>
      </c>
      <c r="X791" s="3" t="s">
        <v>554</v>
      </c>
      <c r="Y791" s="51">
        <v>2.8533815875203707</v>
      </c>
      <c r="Z791" s="178">
        <v>1.0711602172222223</v>
      </c>
    </row>
    <row r="792" spans="6:28">
      <c r="F792" s="139">
        <v>10</v>
      </c>
      <c r="G792" s="139" t="s">
        <v>256</v>
      </c>
      <c r="H792" s="140" t="s">
        <v>537</v>
      </c>
      <c r="I792" s="140" t="s">
        <v>549</v>
      </c>
      <c r="J792" s="140" t="s">
        <v>554</v>
      </c>
      <c r="K792" s="191">
        <v>-5.0082800000000001</v>
      </c>
      <c r="L792" s="191">
        <v>-4.9252017927000002</v>
      </c>
      <c r="M792" s="191">
        <v>-4.8466746536373462</v>
      </c>
      <c r="N792" s="191">
        <v>0</v>
      </c>
      <c r="O792" s="191">
        <v>0</v>
      </c>
      <c r="P792" s="191">
        <v>2.5860000000000001E-2</v>
      </c>
      <c r="Q792" s="191">
        <v>-5.5358464997911999E-2</v>
      </c>
      <c r="R792" s="191">
        <v>-4.8095233912153298E-2</v>
      </c>
      <c r="T792" s="46">
        <v>10</v>
      </c>
      <c r="U792" s="53" t="s">
        <v>252</v>
      </c>
      <c r="V792" s="28" t="s">
        <v>333</v>
      </c>
      <c r="W792" s="3" t="s">
        <v>549</v>
      </c>
      <c r="X792" s="3" t="s">
        <v>554</v>
      </c>
      <c r="Y792" s="51">
        <v>2.0953266666666663</v>
      </c>
      <c r="Z792" s="178">
        <v>1.77911</v>
      </c>
    </row>
    <row r="793" spans="6:28">
      <c r="F793" s="137">
        <v>10</v>
      </c>
      <c r="G793" s="137" t="s">
        <v>256</v>
      </c>
      <c r="H793" s="136" t="s">
        <v>538</v>
      </c>
      <c r="I793" s="136" t="s">
        <v>549</v>
      </c>
      <c r="J793" s="136" t="s">
        <v>554</v>
      </c>
      <c r="K793" s="191">
        <v>-4.6396800000000002</v>
      </c>
      <c r="L793" s="191">
        <v>0</v>
      </c>
      <c r="M793" s="191">
        <v>0</v>
      </c>
      <c r="N793" s="191">
        <v>0</v>
      </c>
      <c r="O793" s="191">
        <v>0</v>
      </c>
      <c r="P793" s="191">
        <v>2.5860000000000001E-2</v>
      </c>
      <c r="Q793" s="191">
        <v>-5.19355629919796E-2</v>
      </c>
      <c r="R793" s="191">
        <v>-4.8095233912153298E-2</v>
      </c>
      <c r="T793" s="46">
        <v>10</v>
      </c>
      <c r="U793" s="53" t="s">
        <v>239</v>
      </c>
      <c r="V793" s="3" t="s">
        <v>542</v>
      </c>
      <c r="W793" s="3" t="s">
        <v>549</v>
      </c>
      <c r="X793" s="3" t="s">
        <v>554</v>
      </c>
      <c r="Y793" s="51">
        <v>2.6644477777777777</v>
      </c>
      <c r="Z793" s="178">
        <v>0.64099666666666666</v>
      </c>
    </row>
    <row r="794" spans="6:28">
      <c r="F794" s="137">
        <v>10</v>
      </c>
      <c r="G794" s="137" t="s">
        <v>256</v>
      </c>
      <c r="H794" s="136" t="s">
        <v>258</v>
      </c>
      <c r="I794" s="136" t="s">
        <v>549</v>
      </c>
      <c r="J794" s="136" t="s">
        <v>554</v>
      </c>
      <c r="K794" s="191">
        <v>-4.6396800000000002</v>
      </c>
      <c r="L794" s="191">
        <v>-4.5566017927000004</v>
      </c>
      <c r="M794" s="191">
        <v>-4.6983070621994703</v>
      </c>
      <c r="N794" s="191">
        <v>0</v>
      </c>
      <c r="O794" s="191">
        <v>0</v>
      </c>
      <c r="P794" s="191">
        <v>2.5860000000000001E-2</v>
      </c>
      <c r="Q794" s="191">
        <v>-5.5358464997911902E-2</v>
      </c>
      <c r="R794" s="191">
        <v>-4.8095233912153298E-2</v>
      </c>
      <c r="T794" s="46">
        <v>10</v>
      </c>
      <c r="U794" s="53" t="s">
        <v>237</v>
      </c>
      <c r="V794" s="3" t="s">
        <v>238</v>
      </c>
      <c r="W794" s="3" t="s">
        <v>549</v>
      </c>
      <c r="X794" s="3" t="s">
        <v>554</v>
      </c>
      <c r="Y794" s="51">
        <v>2.7046544444444445</v>
      </c>
      <c r="Z794" s="178">
        <v>1.2161291666666667</v>
      </c>
    </row>
    <row r="795" spans="6:28">
      <c r="F795" s="137">
        <v>10</v>
      </c>
      <c r="G795" s="137" t="s">
        <v>247</v>
      </c>
      <c r="H795" s="136" t="s">
        <v>247</v>
      </c>
      <c r="I795" s="136" t="s">
        <v>549</v>
      </c>
      <c r="J795" s="136" t="s">
        <v>554</v>
      </c>
      <c r="K795" s="191">
        <v>-1.0505633333333335</v>
      </c>
      <c r="L795" s="191">
        <v>-0.96748512603333348</v>
      </c>
      <c r="M795" s="191">
        <v>-0.31504617601203688</v>
      </c>
      <c r="N795" s="191">
        <v>0</v>
      </c>
      <c r="O795" s="191">
        <v>0</v>
      </c>
      <c r="P795" s="191">
        <v>2.6019967308955099E-2</v>
      </c>
      <c r="Q795" s="191">
        <v>3.1264688052669298E-2</v>
      </c>
      <c r="R795" s="191">
        <v>4.89129652926968E-2</v>
      </c>
      <c r="T795" s="46">
        <v>10</v>
      </c>
      <c r="U795" s="53" t="s">
        <v>264</v>
      </c>
      <c r="V795" s="3" t="s">
        <v>264</v>
      </c>
      <c r="W795" s="3" t="s">
        <v>549</v>
      </c>
      <c r="X795" s="3" t="s">
        <v>554</v>
      </c>
      <c r="Y795" s="51">
        <v>1.9287117500000002</v>
      </c>
      <c r="Z795" s="178">
        <v>0.467055</v>
      </c>
    </row>
    <row r="796" spans="6:28">
      <c r="F796" s="137">
        <v>10</v>
      </c>
      <c r="G796" s="137" t="s">
        <v>247</v>
      </c>
      <c r="H796" s="136" t="s">
        <v>248</v>
      </c>
      <c r="I796" s="136" t="s">
        <v>549</v>
      </c>
      <c r="J796" s="136" t="s">
        <v>554</v>
      </c>
      <c r="K796" s="191">
        <v>-1.0606100000000001</v>
      </c>
      <c r="L796" s="191">
        <v>-0.97753179270000001</v>
      </c>
      <c r="M796" s="191">
        <v>-0.1687117086478816</v>
      </c>
      <c r="N796" s="191">
        <v>0</v>
      </c>
      <c r="O796" s="191">
        <v>0</v>
      </c>
      <c r="P796" s="191">
        <v>2.6019973288491701E-2</v>
      </c>
      <c r="Q796" s="191">
        <v>3.4951399434630701E-2</v>
      </c>
      <c r="R796" s="191">
        <v>4.8911781687089997E-2</v>
      </c>
      <c r="T796" s="46">
        <v>10</v>
      </c>
      <c r="U796" s="53" t="s">
        <v>264</v>
      </c>
      <c r="V796" s="3" t="s">
        <v>336</v>
      </c>
      <c r="W796" s="3" t="s">
        <v>549</v>
      </c>
      <c r="X796" s="3" t="s">
        <v>554</v>
      </c>
      <c r="Y796" s="51">
        <v>0.76351350000000007</v>
      </c>
      <c r="Z796" s="178">
        <v>0.43603999999999998</v>
      </c>
    </row>
    <row r="797" spans="6:28">
      <c r="F797" s="137">
        <v>10</v>
      </c>
      <c r="G797" s="137" t="s">
        <v>247</v>
      </c>
      <c r="H797" s="136" t="s">
        <v>263</v>
      </c>
      <c r="I797" s="136" t="s">
        <v>549</v>
      </c>
      <c r="J797" s="136" t="s">
        <v>554</v>
      </c>
      <c r="K797" s="191">
        <v>-1.0341199999999999</v>
      </c>
      <c r="L797" s="191">
        <v>-0.95104179269999989</v>
      </c>
      <c r="M797" s="191">
        <v>-0.1687117086478816</v>
      </c>
      <c r="N797" s="191">
        <v>0</v>
      </c>
      <c r="O797" s="191">
        <v>0</v>
      </c>
      <c r="P797" s="191">
        <v>2.6019976994057802E-2</v>
      </c>
      <c r="Q797" s="191">
        <v>3.7161449527154597E-2</v>
      </c>
      <c r="R797" s="191">
        <v>4.8911857255228397E-2</v>
      </c>
      <c r="T797" s="46">
        <v>10</v>
      </c>
      <c r="U797" s="53" t="s">
        <v>242</v>
      </c>
      <c r="V797" s="3" t="s">
        <v>251</v>
      </c>
      <c r="W797" s="3" t="s">
        <v>549</v>
      </c>
      <c r="X797" s="3" t="s">
        <v>554</v>
      </c>
      <c r="Y797" s="51">
        <v>4.9218200000000003</v>
      </c>
      <c r="Z797" s="178">
        <v>0.15096000000000001</v>
      </c>
    </row>
    <row r="798" spans="6:28">
      <c r="F798" s="137">
        <v>10</v>
      </c>
      <c r="G798" s="137" t="s">
        <v>247</v>
      </c>
      <c r="H798" s="136" t="s">
        <v>539</v>
      </c>
      <c r="I798" s="136" t="s">
        <v>549</v>
      </c>
      <c r="J798" s="136" t="s">
        <v>554</v>
      </c>
      <c r="K798" s="191">
        <v>-1.0569599999999999</v>
      </c>
      <c r="L798" s="191">
        <v>-0.97388179269999986</v>
      </c>
      <c r="M798" s="191">
        <v>-0.17403944681570943</v>
      </c>
      <c r="N798" s="191">
        <v>0</v>
      </c>
      <c r="O798" s="191">
        <v>0</v>
      </c>
      <c r="P798" s="191">
        <v>2.6019957632980099E-2</v>
      </c>
      <c r="Q798" s="191">
        <v>2.5326656271053499E-2</v>
      </c>
      <c r="R798" s="191">
        <v>4.8914240045367E-2</v>
      </c>
      <c r="T798" s="46">
        <v>10</v>
      </c>
      <c r="U798" s="53" t="s">
        <v>242</v>
      </c>
      <c r="V798" s="3" t="s">
        <v>543</v>
      </c>
      <c r="W798" s="3" t="s">
        <v>549</v>
      </c>
      <c r="X798" s="3" t="s">
        <v>554</v>
      </c>
      <c r="Y798" s="51">
        <v>1.00081</v>
      </c>
      <c r="Z798" s="178">
        <v>0.33138000000000001</v>
      </c>
    </row>
    <row r="799" spans="6:28">
      <c r="F799" s="137">
        <v>10</v>
      </c>
      <c r="G799" s="137" t="s">
        <v>247</v>
      </c>
      <c r="H799" s="136" t="s">
        <v>270</v>
      </c>
      <c r="I799" s="136" t="s">
        <v>549</v>
      </c>
      <c r="J799" s="136" t="s">
        <v>554</v>
      </c>
      <c r="K799" s="191">
        <v>-1.0505633333333335</v>
      </c>
      <c r="L799" s="191">
        <v>-0.96748512603333348</v>
      </c>
      <c r="M799" s="191">
        <v>-0.31504617601203688</v>
      </c>
      <c r="N799" s="191">
        <v>0</v>
      </c>
      <c r="O799" s="191">
        <v>0</v>
      </c>
      <c r="P799" s="191">
        <v>2.6019967308955099E-2</v>
      </c>
      <c r="Q799" s="191">
        <v>3.1264688052669298E-2</v>
      </c>
      <c r="R799" s="191">
        <v>4.89129652926968E-2</v>
      </c>
      <c r="T799" s="46">
        <v>10</v>
      </c>
      <c r="U799" s="53" t="s">
        <v>264</v>
      </c>
      <c r="V799" s="3" t="s">
        <v>544</v>
      </c>
      <c r="W799" s="3" t="s">
        <v>549</v>
      </c>
      <c r="X799" s="3" t="s">
        <v>554</v>
      </c>
      <c r="Y799" s="51">
        <v>3.0939100000000002</v>
      </c>
      <c r="Z799" s="178">
        <v>0.49807000000000001</v>
      </c>
    </row>
    <row r="800" spans="6:28">
      <c r="F800" s="137">
        <v>10</v>
      </c>
      <c r="G800" s="137" t="s">
        <v>247</v>
      </c>
      <c r="H800" s="136" t="s">
        <v>540</v>
      </c>
      <c r="I800" s="136" t="s">
        <v>549</v>
      </c>
      <c r="J800" s="136" t="s">
        <v>554</v>
      </c>
      <c r="K800" s="191">
        <v>-1.0473650000000001</v>
      </c>
      <c r="L800" s="191">
        <v>-0.96428679270000006</v>
      </c>
      <c r="M800" s="191">
        <v>0</v>
      </c>
      <c r="N800" s="191">
        <v>0</v>
      </c>
      <c r="O800" s="191">
        <v>0</v>
      </c>
      <c r="P800" s="191">
        <v>2.6019950860136101E-2</v>
      </c>
      <c r="Q800" s="191">
        <v>2.75361862083503E-2</v>
      </c>
      <c r="R800" s="191">
        <v>4.89137954582783E-2</v>
      </c>
      <c r="T800" s="46">
        <v>10</v>
      </c>
      <c r="U800" s="53" t="s">
        <v>237</v>
      </c>
      <c r="V800" s="3" t="s">
        <v>545</v>
      </c>
      <c r="W800" s="3" t="s">
        <v>549</v>
      </c>
      <c r="X800" s="3" t="s">
        <v>554</v>
      </c>
      <c r="Y800" s="51">
        <v>2.8533815875203707</v>
      </c>
      <c r="Z800" s="178">
        <v>1.0711602172222223</v>
      </c>
    </row>
    <row r="801" spans="6:26">
      <c r="F801" s="137">
        <v>10</v>
      </c>
      <c r="G801" s="137" t="s">
        <v>261</v>
      </c>
      <c r="H801" s="136" t="s">
        <v>260</v>
      </c>
      <c r="I801" s="136" t="s">
        <v>549</v>
      </c>
      <c r="J801" s="136" t="s">
        <v>554</v>
      </c>
      <c r="K801" s="191">
        <v>-4.0364225925925927</v>
      </c>
      <c r="L801" s="191">
        <v>0</v>
      </c>
      <c r="M801" s="191">
        <v>0</v>
      </c>
      <c r="N801" s="191">
        <v>-0.50424761106489302</v>
      </c>
      <c r="O801" s="191">
        <v>-0.86499745406816497</v>
      </c>
      <c r="P801" s="191">
        <v>-0.17296811665727099</v>
      </c>
      <c r="Q801" s="191">
        <v>-0.23598961919924699</v>
      </c>
      <c r="R801" s="191">
        <v>2.75292360645727E-2</v>
      </c>
      <c r="T801" s="46">
        <v>2</v>
      </c>
      <c r="U801" s="53"/>
      <c r="V801" s="47"/>
      <c r="W801" s="3" t="s">
        <v>550</v>
      </c>
      <c r="X801" s="3" t="s">
        <v>561</v>
      </c>
      <c r="Y801" s="51" t="s">
        <v>525</v>
      </c>
      <c r="Z801" s="178" t="s">
        <v>525</v>
      </c>
    </row>
    <row r="802" spans="6:26">
      <c r="F802" s="137">
        <v>10</v>
      </c>
      <c r="G802" s="137" t="s">
        <v>10157</v>
      </c>
      <c r="H802" s="136" t="s">
        <v>10157</v>
      </c>
      <c r="I802" s="136" t="s">
        <v>549</v>
      </c>
      <c r="J802" s="136" t="s">
        <v>554</v>
      </c>
      <c r="K802" s="191">
        <v>-2.8533815875203707</v>
      </c>
      <c r="L802" s="191">
        <v>-1.4249189937601854</v>
      </c>
      <c r="M802" s="191">
        <v>0</v>
      </c>
      <c r="N802" s="191">
        <v>0</v>
      </c>
      <c r="O802" s="191">
        <v>0</v>
      </c>
      <c r="P802" s="191">
        <v>-0.46442343902904221</v>
      </c>
      <c r="Q802" s="191">
        <v>-0.5307638195714357</v>
      </c>
      <c r="R802" s="191">
        <v>2.7968365619238648E-2</v>
      </c>
      <c r="T802" s="46">
        <v>2</v>
      </c>
      <c r="U802" s="53"/>
      <c r="V802" s="47"/>
      <c r="W802" s="3" t="s">
        <v>550</v>
      </c>
      <c r="X802" s="3" t="s">
        <v>561</v>
      </c>
      <c r="Y802" s="51" t="s">
        <v>525</v>
      </c>
      <c r="Z802" s="178" t="s">
        <v>525</v>
      </c>
    </row>
    <row r="803" spans="6:26">
      <c r="F803" s="137">
        <v>10</v>
      </c>
      <c r="G803" s="137" t="s">
        <v>10157</v>
      </c>
      <c r="H803" s="136" t="s">
        <v>246</v>
      </c>
      <c r="I803" s="136" t="s">
        <v>549</v>
      </c>
      <c r="J803" s="136" t="s">
        <v>554</v>
      </c>
      <c r="K803" s="191">
        <v>-7.3412433500000009</v>
      </c>
      <c r="L803" s="191">
        <v>0</v>
      </c>
      <c r="M803" s="191">
        <v>0</v>
      </c>
      <c r="N803" s="191">
        <v>0</v>
      </c>
      <c r="O803" s="191">
        <v>0</v>
      </c>
      <c r="P803" s="191">
        <v>2.60200015729753E-2</v>
      </c>
      <c r="Q803" s="191">
        <v>4.1898673724089897E-2</v>
      </c>
      <c r="R803" s="191">
        <v>4.8911448565512099E-2</v>
      </c>
      <c r="T803" s="46">
        <v>2</v>
      </c>
      <c r="U803" s="53"/>
      <c r="V803" s="47"/>
      <c r="W803" s="3" t="s">
        <v>550</v>
      </c>
      <c r="X803" s="3" t="s">
        <v>561</v>
      </c>
      <c r="Y803" s="51" t="s">
        <v>525</v>
      </c>
      <c r="Z803" s="178" t="s">
        <v>525</v>
      </c>
    </row>
    <row r="804" spans="6:26" ht="28.8">
      <c r="F804" s="137">
        <v>10</v>
      </c>
      <c r="G804" s="137" t="s">
        <v>10157</v>
      </c>
      <c r="H804" s="136" t="s">
        <v>10162</v>
      </c>
      <c r="I804" s="136" t="s">
        <v>549</v>
      </c>
      <c r="J804" s="136" t="s">
        <v>554</v>
      </c>
      <c r="K804" s="191">
        <v>-2.8533815875203707</v>
      </c>
      <c r="L804" s="191">
        <v>0</v>
      </c>
      <c r="M804" s="191">
        <v>0</v>
      </c>
      <c r="N804" s="191">
        <v>-1.0338891788384312</v>
      </c>
      <c r="O804" s="191">
        <v>-1.5963018297598994</v>
      </c>
      <c r="P804" s="191">
        <v>-0.46442343902904221</v>
      </c>
      <c r="Q804" s="191">
        <v>-0.5307638195714357</v>
      </c>
      <c r="R804" s="191">
        <v>2.7968365619238648E-2</v>
      </c>
      <c r="T804" s="46">
        <v>2</v>
      </c>
      <c r="U804" s="53"/>
      <c r="V804" s="47"/>
      <c r="W804" s="3" t="s">
        <v>550</v>
      </c>
      <c r="X804" s="3" t="s">
        <v>561</v>
      </c>
      <c r="Y804" s="51" t="s">
        <v>525</v>
      </c>
      <c r="Z804" s="178" t="s">
        <v>525</v>
      </c>
    </row>
    <row r="805" spans="6:26">
      <c r="F805" s="137">
        <v>10</v>
      </c>
      <c r="G805" s="137" t="s">
        <v>252</v>
      </c>
      <c r="H805" s="136" t="s">
        <v>333</v>
      </c>
      <c r="I805" s="136" t="s">
        <v>549</v>
      </c>
      <c r="J805" s="136" t="s">
        <v>554</v>
      </c>
      <c r="K805" s="191">
        <v>-2.0953266666666663</v>
      </c>
      <c r="L805" s="191">
        <v>0</v>
      </c>
      <c r="M805" s="191">
        <v>-4.4031642132168303</v>
      </c>
      <c r="N805" s="191">
        <v>0</v>
      </c>
      <c r="O805" s="191">
        <v>0</v>
      </c>
      <c r="P805" s="191">
        <v>2.60199740497906E-2</v>
      </c>
      <c r="Q805" s="191">
        <v>0.64940927760600697</v>
      </c>
      <c r="R805" s="191">
        <v>2.1870242966247302</v>
      </c>
      <c r="T805" s="46">
        <v>2</v>
      </c>
      <c r="U805" s="53" t="s">
        <v>330</v>
      </c>
      <c r="V805" s="47" t="s">
        <v>330</v>
      </c>
      <c r="W805" s="3" t="s">
        <v>550</v>
      </c>
      <c r="X805" s="3" t="s">
        <v>561</v>
      </c>
      <c r="Y805" s="51">
        <v>0.14119999999999999</v>
      </c>
      <c r="Z805" s="178">
        <v>0.43014000000000002</v>
      </c>
    </row>
    <row r="806" spans="6:26">
      <c r="F806" s="137">
        <v>10</v>
      </c>
      <c r="G806" s="137" t="s">
        <v>239</v>
      </c>
      <c r="H806" s="136" t="s">
        <v>542</v>
      </c>
      <c r="I806" s="136" t="s">
        <v>549</v>
      </c>
      <c r="J806" s="136" t="s">
        <v>554</v>
      </c>
      <c r="K806" s="191">
        <v>-2.6644477777777777</v>
      </c>
      <c r="L806" s="191">
        <v>0</v>
      </c>
      <c r="M806" s="191">
        <v>-0.81595749427219999</v>
      </c>
      <c r="N806" s="191">
        <v>-1.64158743716123</v>
      </c>
      <c r="O806" s="191">
        <v>-2.38754843308678</v>
      </c>
      <c r="P806" s="191">
        <v>-0.64284530934226303</v>
      </c>
      <c r="Q806" s="191">
        <v>-0.82792797542140595</v>
      </c>
      <c r="R806" s="191">
        <v>2.7471426996727999E-2</v>
      </c>
      <c r="T806" s="46">
        <v>2</v>
      </c>
      <c r="U806" s="53" t="s">
        <v>330</v>
      </c>
      <c r="V806" s="47" t="s">
        <v>335</v>
      </c>
      <c r="W806" s="3" t="s">
        <v>550</v>
      </c>
      <c r="X806" s="3" t="s">
        <v>561</v>
      </c>
      <c r="Y806" s="51">
        <v>0.26272000000000001</v>
      </c>
      <c r="Z806" s="178">
        <v>0.43014000000000002</v>
      </c>
    </row>
    <row r="807" spans="6:26">
      <c r="F807" s="137">
        <v>10</v>
      </c>
      <c r="G807" s="137" t="s">
        <v>10157</v>
      </c>
      <c r="H807" s="136" t="s">
        <v>238</v>
      </c>
      <c r="I807" s="136" t="s">
        <v>549</v>
      </c>
      <c r="J807" s="136" t="s">
        <v>554</v>
      </c>
      <c r="K807" s="191">
        <v>-2.7046544444444445</v>
      </c>
      <c r="L807" s="191">
        <v>0</v>
      </c>
      <c r="M807" s="191">
        <v>0</v>
      </c>
      <c r="N807" s="191">
        <v>0</v>
      </c>
      <c r="O807" s="191">
        <v>0</v>
      </c>
      <c r="P807" s="191">
        <v>-0.14121634787447954</v>
      </c>
      <c r="Q807" s="191">
        <v>-6.3188303621811923E-2</v>
      </c>
      <c r="R807" s="191">
        <v>0.54356808251909006</v>
      </c>
      <c r="T807" s="46">
        <v>2</v>
      </c>
      <c r="U807" s="53" t="s">
        <v>330</v>
      </c>
      <c r="V807" s="47" t="s">
        <v>326</v>
      </c>
      <c r="W807" s="3" t="s">
        <v>550</v>
      </c>
      <c r="X807" s="3" t="s">
        <v>561</v>
      </c>
      <c r="Y807" s="51">
        <v>0.14119999999999999</v>
      </c>
      <c r="Z807" s="178">
        <v>0.43014000000000002</v>
      </c>
    </row>
    <row r="808" spans="6:26" ht="28.8">
      <c r="F808" s="137">
        <v>10</v>
      </c>
      <c r="G808" s="137" t="s">
        <v>264</v>
      </c>
      <c r="H808" s="136" t="s">
        <v>10184</v>
      </c>
      <c r="I808" s="136" t="s">
        <v>549</v>
      </c>
      <c r="J808" s="136" t="s">
        <v>554</v>
      </c>
      <c r="K808" s="191">
        <v>-1.9287117500000002</v>
      </c>
      <c r="L808" s="191">
        <v>-1.1070613798500002</v>
      </c>
      <c r="M808" s="191">
        <v>0.15112249999999994</v>
      </c>
      <c r="N808" s="191">
        <v>0</v>
      </c>
      <c r="O808" s="191">
        <v>0</v>
      </c>
      <c r="P808" s="191">
        <v>-0.33872554887307282</v>
      </c>
      <c r="Q808" s="191">
        <v>-0.47288635278263841</v>
      </c>
      <c r="R808" s="191">
        <v>0.46011654330354335</v>
      </c>
      <c r="T808" s="46">
        <v>2</v>
      </c>
      <c r="U808" s="53" t="s">
        <v>529</v>
      </c>
      <c r="V808" s="47" t="s">
        <v>529</v>
      </c>
      <c r="W808" s="3" t="s">
        <v>550</v>
      </c>
      <c r="X808" s="3" t="s">
        <v>561</v>
      </c>
      <c r="Y808" s="51">
        <v>4.72241</v>
      </c>
      <c r="Z808" s="178">
        <v>1.758</v>
      </c>
    </row>
    <row r="809" spans="6:26">
      <c r="F809" s="137">
        <v>10</v>
      </c>
      <c r="G809" s="137" t="s">
        <v>264</v>
      </c>
      <c r="H809" s="136" t="s">
        <v>336</v>
      </c>
      <c r="I809" s="136" t="s">
        <v>549</v>
      </c>
      <c r="J809" s="136" t="s">
        <v>554</v>
      </c>
      <c r="K809" s="191">
        <v>-0.76351350000000007</v>
      </c>
      <c r="L809" s="191">
        <v>-0.34968251735000005</v>
      </c>
      <c r="M809" s="191">
        <v>0</v>
      </c>
      <c r="N809" s="191">
        <v>-1.64858128637256</v>
      </c>
      <c r="O809" s="191">
        <v>-2.6232632691083699</v>
      </c>
      <c r="P809" s="191">
        <v>-0.99872072049155869</v>
      </c>
      <c r="Q809" s="191">
        <v>-0.70940193844450683</v>
      </c>
      <c r="R809" s="191">
        <v>0.21093768536563368</v>
      </c>
      <c r="T809" s="46">
        <v>2</v>
      </c>
      <c r="U809" s="53" t="s">
        <v>529</v>
      </c>
      <c r="V809" s="47" t="s">
        <v>327</v>
      </c>
      <c r="W809" s="3" t="s">
        <v>550</v>
      </c>
      <c r="X809" s="3" t="s">
        <v>561</v>
      </c>
      <c r="Y809" s="51">
        <v>0.25034000000000001</v>
      </c>
      <c r="Z809" s="178">
        <v>0.99672000000000005</v>
      </c>
    </row>
    <row r="810" spans="6:26">
      <c r="F810" s="137">
        <v>10</v>
      </c>
      <c r="G810" s="137" t="s">
        <v>242</v>
      </c>
      <c r="H810" s="136" t="s">
        <v>251</v>
      </c>
      <c r="I810" s="136" t="s">
        <v>549</v>
      </c>
      <c r="J810" s="136" t="s">
        <v>554</v>
      </c>
      <c r="K810" s="191">
        <v>-4.9218200000000003</v>
      </c>
      <c r="L810" s="191">
        <v>-3.5665477000000001</v>
      </c>
      <c r="M810" s="191">
        <v>-1.2190350000000001</v>
      </c>
      <c r="N810" s="191">
        <v>0</v>
      </c>
      <c r="O810" s="191">
        <v>0</v>
      </c>
      <c r="P810" s="191">
        <v>2.5955980214155919E-2</v>
      </c>
      <c r="Q810" s="191">
        <v>0.22594376389741355</v>
      </c>
      <c r="R810" s="191">
        <v>0.84893746482787646</v>
      </c>
      <c r="T810" s="46">
        <v>2</v>
      </c>
      <c r="U810" s="53" t="s">
        <v>529</v>
      </c>
      <c r="V810" s="47" t="s">
        <v>331</v>
      </c>
      <c r="W810" s="3" t="s">
        <v>550</v>
      </c>
      <c r="X810" s="3" t="s">
        <v>561</v>
      </c>
      <c r="Y810" s="51">
        <v>9.1944800000000004</v>
      </c>
      <c r="Z810" s="178">
        <v>2.5192800000000002</v>
      </c>
    </row>
    <row r="811" spans="6:26">
      <c r="F811" s="137">
        <v>10</v>
      </c>
      <c r="G811" s="137" t="s">
        <v>242</v>
      </c>
      <c r="H811" s="136" t="s">
        <v>543</v>
      </c>
      <c r="I811" s="136" t="s">
        <v>549</v>
      </c>
      <c r="J811" s="136" t="s">
        <v>554</v>
      </c>
      <c r="K811" s="191">
        <v>-1.00081</v>
      </c>
      <c r="L811" s="191">
        <v>-0.72381545000000003</v>
      </c>
      <c r="M811" s="191">
        <v>-0.20626249999999999</v>
      </c>
      <c r="N811" s="191">
        <v>0</v>
      </c>
      <c r="O811" s="191">
        <v>0</v>
      </c>
      <c r="P811" s="191">
        <v>2.5860000000000001E-2</v>
      </c>
      <c r="Q811" s="191">
        <v>4.1898673724089799E-2</v>
      </c>
      <c r="R811" s="191">
        <v>4.8911448565512002E-2</v>
      </c>
      <c r="T811" s="46">
        <v>2</v>
      </c>
      <c r="U811" s="53" t="s">
        <v>529</v>
      </c>
      <c r="V811" s="47" t="s">
        <v>332</v>
      </c>
      <c r="W811" s="3" t="s">
        <v>550</v>
      </c>
      <c r="X811" s="3" t="s">
        <v>561</v>
      </c>
      <c r="Y811" s="51">
        <v>2.5034000000000001</v>
      </c>
      <c r="Z811" s="178">
        <v>1.0183800000000001</v>
      </c>
    </row>
    <row r="812" spans="6:26">
      <c r="F812" s="137">
        <v>10</v>
      </c>
      <c r="G812" s="137" t="s">
        <v>264</v>
      </c>
      <c r="H812" s="136" t="s">
        <v>544</v>
      </c>
      <c r="I812" s="136" t="s">
        <v>549</v>
      </c>
      <c r="J812" s="136" t="s">
        <v>554</v>
      </c>
      <c r="K812" s="191">
        <v>-3.0939100000000002</v>
      </c>
      <c r="L812" s="191">
        <v>-1.8644402423500002</v>
      </c>
      <c r="M812" s="191">
        <v>0.15112249999999994</v>
      </c>
      <c r="N812" s="191">
        <v>0</v>
      </c>
      <c r="O812" s="191">
        <v>0</v>
      </c>
      <c r="P812" s="191">
        <v>0.32126962274541299</v>
      </c>
      <c r="Q812" s="191">
        <v>-0.23637076712076999</v>
      </c>
      <c r="R812" s="191">
        <v>0.70929540124145296</v>
      </c>
      <c r="T812" s="46">
        <v>2</v>
      </c>
      <c r="U812" s="53" t="s">
        <v>252</v>
      </c>
      <c r="V812" s="47" t="s">
        <v>252</v>
      </c>
      <c r="W812" s="3" t="s">
        <v>550</v>
      </c>
      <c r="X812" s="3" t="s">
        <v>561</v>
      </c>
      <c r="Y812" s="51">
        <v>2.0953266666666663</v>
      </c>
      <c r="Z812" s="178">
        <v>1.77911</v>
      </c>
    </row>
    <row r="813" spans="6:26" ht="28.8">
      <c r="F813" s="137">
        <v>10</v>
      </c>
      <c r="G813" s="137" t="s">
        <v>10157</v>
      </c>
      <c r="H813" s="136" t="s">
        <v>545</v>
      </c>
      <c r="I813" s="136" t="s">
        <v>549</v>
      </c>
      <c r="J813" s="136" t="s">
        <v>554</v>
      </c>
      <c r="K813" s="191">
        <v>-2.8533815875203707</v>
      </c>
      <c r="L813" s="191">
        <v>0</v>
      </c>
      <c r="M813" s="191">
        <v>0</v>
      </c>
      <c r="N813" s="191">
        <v>0</v>
      </c>
      <c r="O813" s="191">
        <v>0</v>
      </c>
      <c r="P813" s="191">
        <v>-0.46442343902904221</v>
      </c>
      <c r="Q813" s="191">
        <v>-0.5307638195714357</v>
      </c>
      <c r="R813" s="191">
        <v>2.7968365619238648E-2</v>
      </c>
      <c r="T813" s="46">
        <v>2</v>
      </c>
      <c r="U813" s="53" t="s">
        <v>252</v>
      </c>
      <c r="V813" s="47" t="s">
        <v>253</v>
      </c>
      <c r="W813" s="3" t="s">
        <v>550</v>
      </c>
      <c r="X813" s="3" t="s">
        <v>561</v>
      </c>
      <c r="Y813" s="51">
        <v>2.04928</v>
      </c>
      <c r="Z813" s="178">
        <v>1.77911</v>
      </c>
    </row>
    <row r="814" spans="6:26" ht="28.8">
      <c r="F814" s="137">
        <v>10</v>
      </c>
      <c r="G814" s="137" t="s">
        <v>10169</v>
      </c>
      <c r="H814" s="136" t="s">
        <v>10170</v>
      </c>
      <c r="I814" s="136" t="s">
        <v>549</v>
      </c>
      <c r="J814" s="136" t="s">
        <v>554</v>
      </c>
      <c r="K814" s="191">
        <v>-0.74582333333333339</v>
      </c>
      <c r="L814" s="191">
        <v>-0.58351400000000009</v>
      </c>
      <c r="M814" s="191">
        <v>0.3259926084346883</v>
      </c>
      <c r="N814" s="191">
        <v>0</v>
      </c>
      <c r="O814" s="191">
        <v>0</v>
      </c>
      <c r="P814" s="191">
        <v>0.45668176288049178</v>
      </c>
      <c r="Q814" s="191">
        <v>1.0683983533052401</v>
      </c>
      <c r="R814" s="191">
        <v>1.142290877337675</v>
      </c>
      <c r="T814" s="46">
        <v>2</v>
      </c>
      <c r="U814" s="53" t="s">
        <v>252</v>
      </c>
      <c r="V814" s="47" t="s">
        <v>328</v>
      </c>
      <c r="W814" s="3" t="s">
        <v>550</v>
      </c>
      <c r="X814" s="3" t="s">
        <v>561</v>
      </c>
      <c r="Y814" s="51">
        <v>2.3231199999999999</v>
      </c>
      <c r="Z814" s="178">
        <v>1.77911</v>
      </c>
    </row>
    <row r="815" spans="6:26" ht="28.8">
      <c r="F815" s="137">
        <v>2</v>
      </c>
      <c r="G815" s="137" t="s">
        <v>233</v>
      </c>
      <c r="H815" s="136" t="s">
        <v>10178</v>
      </c>
      <c r="I815" s="136" t="s">
        <v>550</v>
      </c>
      <c r="J815" s="136" t="s">
        <v>561</v>
      </c>
      <c r="K815" s="191">
        <v>0</v>
      </c>
      <c r="L815" s="191">
        <v>-0.13905086666666666</v>
      </c>
      <c r="M815" s="191">
        <v>0</v>
      </c>
      <c r="N815" s="191">
        <v>-1.4467129262285372</v>
      </c>
      <c r="O815" s="191">
        <v>-2.0473741651862505</v>
      </c>
      <c r="P815" s="191">
        <v>-1.0116897927652853</v>
      </c>
      <c r="Q815" s="191">
        <v>-0.849519845769099</v>
      </c>
      <c r="R815" s="191">
        <v>3.3140542243510901E-2</v>
      </c>
      <c r="T815" s="46">
        <v>2</v>
      </c>
      <c r="U815" s="53" t="s">
        <v>252</v>
      </c>
      <c r="V815" s="47" t="s">
        <v>254</v>
      </c>
      <c r="W815" s="3" t="s">
        <v>550</v>
      </c>
      <c r="X815" s="3" t="s">
        <v>561</v>
      </c>
      <c r="Y815" s="51">
        <v>2.1485799999999999</v>
      </c>
      <c r="Z815" s="178">
        <v>1.77911</v>
      </c>
    </row>
    <row r="816" spans="6:26" ht="28.8">
      <c r="F816" s="137">
        <v>2</v>
      </c>
      <c r="G816" s="137" t="s">
        <v>233</v>
      </c>
      <c r="H816" s="136" t="s">
        <v>250</v>
      </c>
      <c r="I816" s="136" t="s">
        <v>550</v>
      </c>
      <c r="J816" s="136" t="s">
        <v>561</v>
      </c>
      <c r="K816" s="191">
        <v>0</v>
      </c>
      <c r="L816" s="191">
        <v>0</v>
      </c>
      <c r="M816" s="191">
        <v>0</v>
      </c>
      <c r="N816" s="191">
        <v>-1.7445491769864401</v>
      </c>
      <c r="O816" s="191">
        <v>-2.1472669608911699</v>
      </c>
      <c r="P816" s="191">
        <v>-1.04199171049873</v>
      </c>
      <c r="Q816" s="191">
        <v>-0.91032867384352301</v>
      </c>
      <c r="R816" s="191">
        <v>2.84317585042979E-2</v>
      </c>
      <c r="T816" s="46">
        <v>2</v>
      </c>
      <c r="U816" s="53" t="s">
        <v>252</v>
      </c>
      <c r="V816" s="47" t="s">
        <v>532</v>
      </c>
      <c r="W816" s="3" t="s">
        <v>550</v>
      </c>
      <c r="X816" s="3" t="s">
        <v>561</v>
      </c>
      <c r="Y816" s="51">
        <v>1.9492499999999999</v>
      </c>
      <c r="Z816" s="178">
        <v>1.77911</v>
      </c>
    </row>
    <row r="817" spans="6:26" ht="28.8">
      <c r="F817" s="137">
        <v>2</v>
      </c>
      <c r="G817" s="137" t="s">
        <v>233</v>
      </c>
      <c r="H817" s="136" t="s">
        <v>249</v>
      </c>
      <c r="I817" s="136" t="s">
        <v>550</v>
      </c>
      <c r="J817" s="136" t="s">
        <v>561</v>
      </c>
      <c r="K817" s="191">
        <v>0</v>
      </c>
      <c r="L817" s="191">
        <v>0</v>
      </c>
      <c r="M817" s="191">
        <v>0</v>
      </c>
      <c r="N817" s="191">
        <v>-0.54338445241578603</v>
      </c>
      <c r="O817" s="191">
        <v>-0.74020312188889104</v>
      </c>
      <c r="P817" s="191">
        <v>1.8604858580971498E-2</v>
      </c>
      <c r="Q817" s="191">
        <v>-0.19226620329942801</v>
      </c>
      <c r="R817" s="191">
        <v>2.5753037248270098E-2</v>
      </c>
      <c r="T817" s="46">
        <v>2</v>
      </c>
      <c r="U817" s="53" t="s">
        <v>252</v>
      </c>
      <c r="V817" s="47" t="s">
        <v>245</v>
      </c>
      <c r="W817" s="3" t="s">
        <v>550</v>
      </c>
      <c r="X817" s="3" t="s">
        <v>561</v>
      </c>
      <c r="Y817" s="51">
        <v>2.0269300000000001</v>
      </c>
      <c r="Z817" s="178">
        <v>1.77911</v>
      </c>
    </row>
    <row r="818" spans="6:26" ht="28.8">
      <c r="F818" s="137">
        <v>2</v>
      </c>
      <c r="G818" s="137" t="s">
        <v>233</v>
      </c>
      <c r="H818" s="136" t="s">
        <v>273</v>
      </c>
      <c r="I818" s="136" t="s">
        <v>550</v>
      </c>
      <c r="J818" s="136" t="s">
        <v>561</v>
      </c>
      <c r="K818" s="191">
        <v>0</v>
      </c>
      <c r="L818" s="191">
        <v>0</v>
      </c>
      <c r="M818" s="191">
        <v>0</v>
      </c>
      <c r="N818" s="191">
        <v>-1.6485436672468201</v>
      </c>
      <c r="O818" s="191">
        <v>-2.1003113644548699</v>
      </c>
      <c r="P818" s="191">
        <v>-0.79779467300472295</v>
      </c>
      <c r="Q818" s="191">
        <v>-0.88417570316763305</v>
      </c>
      <c r="R818" s="191">
        <v>2.72081105786014E-2</v>
      </c>
      <c r="T818" s="46">
        <v>2</v>
      </c>
      <c r="U818" s="53" t="s">
        <v>252</v>
      </c>
      <c r="V818" s="47" t="s">
        <v>533</v>
      </c>
      <c r="W818" s="3" t="s">
        <v>550</v>
      </c>
      <c r="X818" s="3" t="s">
        <v>561</v>
      </c>
      <c r="Y818" s="51">
        <v>2.0748000000000002</v>
      </c>
      <c r="Z818" s="178">
        <v>1.77911</v>
      </c>
    </row>
    <row r="819" spans="6:26">
      <c r="F819" s="137">
        <v>2</v>
      </c>
      <c r="G819" s="137" t="s">
        <v>233</v>
      </c>
      <c r="H819" s="136" t="s">
        <v>330</v>
      </c>
      <c r="I819" s="136" t="s">
        <v>550</v>
      </c>
      <c r="J819" s="136" t="s">
        <v>561</v>
      </c>
      <c r="K819" s="191">
        <v>-0.14119999999999999</v>
      </c>
      <c r="L819" s="191">
        <v>-0.1076582</v>
      </c>
      <c r="M819" s="191">
        <v>0</v>
      </c>
      <c r="N819" s="191">
        <v>0</v>
      </c>
      <c r="O819" s="191">
        <v>0</v>
      </c>
      <c r="P819" s="191">
        <v>-1.4804878785558699</v>
      </c>
      <c r="Q819" s="191">
        <v>-1.02845074925215</v>
      </c>
      <c r="R819" s="191">
        <v>5.3035846633626003E-2</v>
      </c>
      <c r="T819" s="46">
        <v>2</v>
      </c>
      <c r="U819" s="53" t="s">
        <v>242</v>
      </c>
      <c r="V819" s="47" t="s">
        <v>242</v>
      </c>
      <c r="W819" s="3" t="s">
        <v>550</v>
      </c>
      <c r="X819" s="3" t="s">
        <v>561</v>
      </c>
      <c r="Y819" s="51">
        <v>38.486130000000003</v>
      </c>
      <c r="Z819" s="178">
        <v>0.20843</v>
      </c>
    </row>
    <row r="820" spans="6:26">
      <c r="F820" s="137">
        <v>2</v>
      </c>
      <c r="G820" s="137" t="s">
        <v>233</v>
      </c>
      <c r="H820" s="136" t="s">
        <v>335</v>
      </c>
      <c r="I820" s="136" t="s">
        <v>550</v>
      </c>
      <c r="J820" s="136" t="s">
        <v>561</v>
      </c>
      <c r="K820" s="191">
        <v>-0.26272000000000001</v>
      </c>
      <c r="L820" s="191">
        <v>-0.20183620000000002</v>
      </c>
      <c r="M820" s="191">
        <v>0</v>
      </c>
      <c r="N820" s="191">
        <v>-1.6485436672468201</v>
      </c>
      <c r="O820" s="191">
        <v>-2.6245446893481601</v>
      </c>
      <c r="P820" s="191">
        <v>-1.38423467655668</v>
      </c>
      <c r="Q820" s="191">
        <v>-1.0409488725259299</v>
      </c>
      <c r="R820" s="191">
        <v>3.2207250248134998E-2</v>
      </c>
      <c r="T820" s="46">
        <v>2</v>
      </c>
      <c r="U820" s="53" t="s">
        <v>242</v>
      </c>
      <c r="V820" s="47" t="s">
        <v>242</v>
      </c>
      <c r="W820" s="3" t="s">
        <v>550</v>
      </c>
      <c r="X820" s="3" t="s">
        <v>561</v>
      </c>
      <c r="Y820" s="51">
        <v>38.486130000000003</v>
      </c>
      <c r="Z820" s="178">
        <v>0.20843</v>
      </c>
    </row>
    <row r="821" spans="6:26">
      <c r="F821" s="139">
        <v>2</v>
      </c>
      <c r="G821" s="139" t="s">
        <v>233</v>
      </c>
      <c r="H821" s="140" t="s">
        <v>326</v>
      </c>
      <c r="I821" s="140" t="s">
        <v>550</v>
      </c>
      <c r="J821" s="140" t="s">
        <v>561</v>
      </c>
      <c r="K821" s="191">
        <v>-0.14119999999999999</v>
      </c>
      <c r="L821" s="191">
        <v>-0.1076582</v>
      </c>
      <c r="M821" s="191">
        <v>0</v>
      </c>
      <c r="N821" s="191">
        <v>-1.6485436672468201</v>
      </c>
      <c r="O821" s="191">
        <v>-2.6245446893481601</v>
      </c>
      <c r="P821" s="191">
        <v>-1.38423467655668</v>
      </c>
      <c r="Q821" s="191">
        <v>-1.0409488725259299</v>
      </c>
      <c r="R821" s="191">
        <v>3.2207250248134998E-2</v>
      </c>
      <c r="T821" s="46">
        <v>2</v>
      </c>
      <c r="U821" s="53" t="s">
        <v>242</v>
      </c>
      <c r="V821" s="47" t="s">
        <v>534</v>
      </c>
      <c r="W821" s="3" t="s">
        <v>550</v>
      </c>
      <c r="X821" s="3" t="s">
        <v>561</v>
      </c>
      <c r="Y821" s="51">
        <v>15.0122</v>
      </c>
      <c r="Z821" s="178">
        <v>0.37092000000000003</v>
      </c>
    </row>
    <row r="822" spans="6:26">
      <c r="F822" s="137">
        <v>2</v>
      </c>
      <c r="G822" s="137" t="s">
        <v>261</v>
      </c>
      <c r="H822" s="136" t="s">
        <v>10179</v>
      </c>
      <c r="I822" s="136" t="s">
        <v>550</v>
      </c>
      <c r="J822" s="136" t="s">
        <v>561</v>
      </c>
      <c r="K822" s="191">
        <v>-4.72241</v>
      </c>
      <c r="L822" s="191">
        <v>-2.3594331999999998</v>
      </c>
      <c r="M822" s="191">
        <v>0</v>
      </c>
      <c r="N822" s="191">
        <v>-0.36345066198561049</v>
      </c>
      <c r="O822" s="191">
        <v>-0.58952172495462496</v>
      </c>
      <c r="P822" s="191">
        <v>0.13911075984299401</v>
      </c>
      <c r="Q822" s="191">
        <v>-0.17731971245539049</v>
      </c>
      <c r="R822" s="191">
        <v>2.5406496338178101E-2</v>
      </c>
      <c r="T822" s="46">
        <v>2</v>
      </c>
      <c r="U822" s="53" t="s">
        <v>239</v>
      </c>
      <c r="V822" s="47" t="s">
        <v>239</v>
      </c>
      <c r="W822" s="3" t="s">
        <v>550</v>
      </c>
      <c r="X822" s="3" t="s">
        <v>561</v>
      </c>
      <c r="Y822" s="51">
        <v>2.6644477777777777</v>
      </c>
      <c r="Z822" s="178">
        <v>0.64099666666666666</v>
      </c>
    </row>
    <row r="823" spans="6:26" ht="28.8">
      <c r="F823" s="137">
        <v>2</v>
      </c>
      <c r="G823" s="137" t="s">
        <v>261</v>
      </c>
      <c r="H823" s="136" t="s">
        <v>269</v>
      </c>
      <c r="I823" s="136" t="s">
        <v>550</v>
      </c>
      <c r="J823" s="136" t="s">
        <v>561</v>
      </c>
      <c r="K823" s="191">
        <v>-0.25034000000000001</v>
      </c>
      <c r="L823" s="191">
        <v>-0.1233982</v>
      </c>
      <c r="M823" s="191">
        <v>0</v>
      </c>
      <c r="N823" s="191">
        <v>-0.303398738694796</v>
      </c>
      <c r="O823" s="191">
        <v>-0.49950497126607302</v>
      </c>
      <c r="P823" s="191">
        <v>0.17048144598486401</v>
      </c>
      <c r="Q823" s="191">
        <v>-0.122481791907762</v>
      </c>
      <c r="R823" s="191">
        <v>2.5084386562055101E-2</v>
      </c>
      <c r="T823" s="46">
        <v>2</v>
      </c>
      <c r="U823" s="53" t="s">
        <v>239</v>
      </c>
      <c r="V823" s="47" t="s">
        <v>324</v>
      </c>
      <c r="W823" s="3" t="s">
        <v>550</v>
      </c>
      <c r="X823" s="3" t="s">
        <v>561</v>
      </c>
      <c r="Y823" s="51">
        <v>1.66</v>
      </c>
      <c r="Z823" s="178">
        <v>0.13142999999999999</v>
      </c>
    </row>
    <row r="824" spans="6:26" ht="28.8">
      <c r="F824" s="137">
        <v>2</v>
      </c>
      <c r="G824" s="137" t="s">
        <v>261</v>
      </c>
      <c r="H824" s="136" t="s">
        <v>530</v>
      </c>
      <c r="I824" s="136" t="s">
        <v>550</v>
      </c>
      <c r="J824" s="136" t="s">
        <v>561</v>
      </c>
      <c r="K824" s="191">
        <v>-9.1944800000000004</v>
      </c>
      <c r="L824" s="191">
        <v>-4.5954682</v>
      </c>
      <c r="M824" s="191">
        <v>0</v>
      </c>
      <c r="N824" s="191">
        <v>-0.42350258527642498</v>
      </c>
      <c r="O824" s="191">
        <v>-0.67953847864317696</v>
      </c>
      <c r="P824" s="191">
        <v>0.107740073701124</v>
      </c>
      <c r="Q824" s="191">
        <v>-0.232157633003019</v>
      </c>
      <c r="R824" s="191">
        <v>2.5728606114301101E-2</v>
      </c>
      <c r="T824" s="46">
        <v>2</v>
      </c>
      <c r="U824" s="53" t="s">
        <v>239</v>
      </c>
      <c r="V824" s="47" t="s">
        <v>272</v>
      </c>
      <c r="W824" s="3" t="s">
        <v>550</v>
      </c>
      <c r="X824" s="3" t="s">
        <v>561</v>
      </c>
      <c r="Y824" s="51">
        <v>2.1278299999999999</v>
      </c>
      <c r="Z824" s="178">
        <v>1.2152400000000001</v>
      </c>
    </row>
    <row r="825" spans="6:26">
      <c r="F825" s="137">
        <v>2</v>
      </c>
      <c r="G825" s="137" t="s">
        <v>261</v>
      </c>
      <c r="H825" s="136" t="s">
        <v>262</v>
      </c>
      <c r="I825" s="136" t="s">
        <v>550</v>
      </c>
      <c r="J825" s="136" t="s">
        <v>561</v>
      </c>
      <c r="K825" s="191">
        <v>-2.5034000000000001</v>
      </c>
      <c r="L825" s="191">
        <v>0</v>
      </c>
      <c r="M825" s="191">
        <v>0</v>
      </c>
      <c r="N825" s="191">
        <v>-0.42350258527642498</v>
      </c>
      <c r="O825" s="191">
        <v>-0.67953847864317696</v>
      </c>
      <c r="P825" s="191">
        <v>0.107740073701124</v>
      </c>
      <c r="Q825" s="191">
        <v>-0.232157633003019</v>
      </c>
      <c r="R825" s="191">
        <v>2.5728606114301101E-2</v>
      </c>
      <c r="T825" s="46">
        <v>2</v>
      </c>
      <c r="U825" s="53" t="s">
        <v>239</v>
      </c>
      <c r="V825" s="47" t="s">
        <v>329</v>
      </c>
      <c r="W825" s="3" t="s">
        <v>550</v>
      </c>
      <c r="X825" s="3" t="s">
        <v>561</v>
      </c>
      <c r="Y825" s="51">
        <v>3.4792200000000002</v>
      </c>
      <c r="Z825" s="178">
        <v>1.0383</v>
      </c>
    </row>
    <row r="826" spans="6:26">
      <c r="F826" s="137">
        <v>2</v>
      </c>
      <c r="G826" s="137" t="s">
        <v>252</v>
      </c>
      <c r="H826" s="136" t="s">
        <v>10180</v>
      </c>
      <c r="I826" s="136" t="s">
        <v>550</v>
      </c>
      <c r="J826" s="136" t="s">
        <v>561</v>
      </c>
      <c r="K826" s="191">
        <v>-2.0953266666666663</v>
      </c>
      <c r="L826" s="191">
        <v>-1.5407999593666664</v>
      </c>
      <c r="M826" s="191">
        <v>-4.4031027052446881</v>
      </c>
      <c r="N826" s="191">
        <v>0</v>
      </c>
      <c r="O826" s="191">
        <v>0</v>
      </c>
      <c r="P826" s="191">
        <v>2.6022305346742901E-2</v>
      </c>
      <c r="Q826" s="191">
        <v>0.62743418122049499</v>
      </c>
      <c r="R826" s="191">
        <v>2.1870245647238802</v>
      </c>
      <c r="T826" s="46">
        <v>2</v>
      </c>
      <c r="U826" s="53" t="s">
        <v>239</v>
      </c>
      <c r="V826" s="47" t="s">
        <v>271</v>
      </c>
      <c r="W826" s="3" t="s">
        <v>550</v>
      </c>
      <c r="X826" s="3" t="s">
        <v>561</v>
      </c>
      <c r="Y826" s="51">
        <v>3.1045600000000002</v>
      </c>
      <c r="Z826" s="178">
        <v>0.12864</v>
      </c>
    </row>
    <row r="827" spans="6:26" ht="57.6">
      <c r="F827" s="137">
        <v>2</v>
      </c>
      <c r="G827" s="137" t="s">
        <v>252</v>
      </c>
      <c r="H827" s="136" t="s">
        <v>10163</v>
      </c>
      <c r="I827" s="136" t="s">
        <v>550</v>
      </c>
      <c r="J827" s="136" t="s">
        <v>561</v>
      </c>
      <c r="K827" s="191">
        <v>-2.04928</v>
      </c>
      <c r="L827" s="191">
        <v>0</v>
      </c>
      <c r="M827" s="191">
        <v>-3.8665938524911381</v>
      </c>
      <c r="N827" s="191">
        <v>0</v>
      </c>
      <c r="O827" s="191">
        <v>0</v>
      </c>
      <c r="P827" s="191">
        <v>2.60223023657884E-2</v>
      </c>
      <c r="Q827" s="191">
        <v>0.49217855726131798</v>
      </c>
      <c r="R827" s="191">
        <v>3.18317771719081</v>
      </c>
      <c r="T827" s="46">
        <v>2</v>
      </c>
      <c r="U827" s="53" t="s">
        <v>239</v>
      </c>
      <c r="V827" s="47" t="s">
        <v>535</v>
      </c>
      <c r="W827" s="3" t="s">
        <v>550</v>
      </c>
      <c r="X827" s="3" t="s">
        <v>561</v>
      </c>
      <c r="Y827" s="51">
        <v>3.1045600000000002</v>
      </c>
      <c r="Z827" s="178">
        <v>0.12864</v>
      </c>
    </row>
    <row r="828" spans="6:26" ht="28.8">
      <c r="F828" s="137">
        <v>2</v>
      </c>
      <c r="G828" s="137" t="s">
        <v>252</v>
      </c>
      <c r="H828" s="136" t="s">
        <v>10164</v>
      </c>
      <c r="I828" s="136" t="s">
        <v>550</v>
      </c>
      <c r="J828" s="136" t="s">
        <v>561</v>
      </c>
      <c r="K828" s="191">
        <v>-2.3231199999999999</v>
      </c>
      <c r="L828" s="191">
        <v>0</v>
      </c>
      <c r="M828" s="191">
        <v>-4.5549858253038238</v>
      </c>
      <c r="N828" s="191">
        <v>0</v>
      </c>
      <c r="O828" s="191">
        <v>0</v>
      </c>
      <c r="P828" s="191">
        <v>2.6022303157787401E-2</v>
      </c>
      <c r="Q828" s="191">
        <v>0.53523499308112499</v>
      </c>
      <c r="R828" s="191">
        <v>2.4956079529639799</v>
      </c>
      <c r="T828" s="46">
        <v>2</v>
      </c>
      <c r="U828" s="53" t="s">
        <v>239</v>
      </c>
      <c r="V828" s="47" t="s">
        <v>259</v>
      </c>
      <c r="W828" s="3" t="s">
        <v>550</v>
      </c>
      <c r="X828" s="3" t="s">
        <v>561</v>
      </c>
      <c r="Y828" s="51">
        <v>2.86965</v>
      </c>
      <c r="Z828" s="178">
        <v>0.79600000000000004</v>
      </c>
    </row>
    <row r="829" spans="6:26" ht="28.8">
      <c r="F829" s="137">
        <v>2</v>
      </c>
      <c r="G829" s="137" t="s">
        <v>252</v>
      </c>
      <c r="H829" s="136" t="s">
        <v>10165</v>
      </c>
      <c r="I829" s="136" t="s">
        <v>550</v>
      </c>
      <c r="J829" s="136" t="s">
        <v>561</v>
      </c>
      <c r="K829" s="191">
        <v>-2.1485799999999999</v>
      </c>
      <c r="L829" s="191">
        <v>0</v>
      </c>
      <c r="M829" s="191">
        <v>-4.6358453178799648</v>
      </c>
      <c r="N829" s="191">
        <v>0</v>
      </c>
      <c r="O829" s="191">
        <v>0</v>
      </c>
      <c r="P829" s="191">
        <v>2.60223023657884E-2</v>
      </c>
      <c r="Q829" s="191">
        <v>0.69711824303247505</v>
      </c>
      <c r="R829" s="191">
        <v>2.53633256927669</v>
      </c>
      <c r="T829" s="46">
        <v>2</v>
      </c>
      <c r="U829" s="53" t="s">
        <v>239</v>
      </c>
      <c r="V829" s="47" t="s">
        <v>334</v>
      </c>
      <c r="W829" s="3" t="s">
        <v>550</v>
      </c>
      <c r="X829" s="3" t="s">
        <v>561</v>
      </c>
      <c r="Y829" s="51">
        <v>2.86965</v>
      </c>
      <c r="Z829" s="178">
        <v>0.76736000000000004</v>
      </c>
    </row>
    <row r="830" spans="6:26" ht="28.8">
      <c r="F830" s="137">
        <v>2</v>
      </c>
      <c r="G830" s="137" t="s">
        <v>252</v>
      </c>
      <c r="H830" s="136" t="s">
        <v>10166</v>
      </c>
      <c r="I830" s="136" t="s">
        <v>550</v>
      </c>
      <c r="J830" s="136" t="s">
        <v>561</v>
      </c>
      <c r="K830" s="191">
        <v>-1.9492499999999999</v>
      </c>
      <c r="L830" s="191">
        <v>0</v>
      </c>
      <c r="M830" s="191">
        <v>-4.5549858253038238</v>
      </c>
      <c r="N830" s="191">
        <v>0</v>
      </c>
      <c r="O830" s="191">
        <v>0</v>
      </c>
      <c r="P830" s="191">
        <v>2.6022303157787401E-2</v>
      </c>
      <c r="Q830" s="191">
        <v>0.53523499308112499</v>
      </c>
      <c r="R830" s="191">
        <v>2.4956079529639799</v>
      </c>
      <c r="T830" s="46">
        <v>2</v>
      </c>
      <c r="U830" s="53" t="s">
        <v>239</v>
      </c>
      <c r="V830" s="47" t="s">
        <v>240</v>
      </c>
      <c r="W830" s="3" t="s">
        <v>550</v>
      </c>
      <c r="X830" s="3" t="s">
        <v>561</v>
      </c>
      <c r="Y830" s="51">
        <v>3.1045600000000002</v>
      </c>
      <c r="Z830" s="178">
        <v>0.76736000000000004</v>
      </c>
    </row>
    <row r="831" spans="6:26" ht="28.8">
      <c r="F831" s="137">
        <v>2</v>
      </c>
      <c r="G831" s="137" t="s">
        <v>252</v>
      </c>
      <c r="H831" s="136" t="s">
        <v>10167</v>
      </c>
      <c r="I831" s="136" t="s">
        <v>550</v>
      </c>
      <c r="J831" s="136" t="s">
        <v>561</v>
      </c>
      <c r="K831" s="191">
        <v>-2.0269300000000001</v>
      </c>
      <c r="L831" s="191">
        <v>0</v>
      </c>
      <c r="M831" s="191">
        <v>0</v>
      </c>
      <c r="N831" s="191">
        <v>0</v>
      </c>
      <c r="O831" s="191">
        <v>0</v>
      </c>
      <c r="P831" s="191">
        <v>2.60223032751358E-2</v>
      </c>
      <c r="Q831" s="191">
        <v>0.44686290323644601</v>
      </c>
      <c r="R831" s="191">
        <v>3.1833670270929102</v>
      </c>
      <c r="T831" s="46">
        <v>2</v>
      </c>
      <c r="U831" s="53" t="s">
        <v>239</v>
      </c>
      <c r="V831" s="47" t="s">
        <v>325</v>
      </c>
      <c r="W831" s="3" t="s">
        <v>550</v>
      </c>
      <c r="X831" s="3" t="s">
        <v>561</v>
      </c>
      <c r="Y831" s="51">
        <v>1.66</v>
      </c>
      <c r="Z831" s="178">
        <v>0.79600000000000004</v>
      </c>
    </row>
    <row r="832" spans="6:26">
      <c r="F832" s="137">
        <v>2</v>
      </c>
      <c r="G832" s="137" t="s">
        <v>252</v>
      </c>
      <c r="H832" s="136" t="s">
        <v>10168</v>
      </c>
      <c r="I832" s="136" t="s">
        <v>550</v>
      </c>
      <c r="J832" s="136" t="s">
        <v>561</v>
      </c>
      <c r="K832" s="191">
        <v>-2.0748000000000002</v>
      </c>
      <c r="L832" s="191">
        <v>0</v>
      </c>
      <c r="M832" s="191">
        <v>0</v>
      </c>
      <c r="N832" s="191">
        <v>0</v>
      </c>
      <c r="O832" s="191">
        <v>0</v>
      </c>
      <c r="P832" s="191">
        <v>2.6022298134733599E-2</v>
      </c>
      <c r="Q832" s="191">
        <v>0.64496580944247495</v>
      </c>
      <c r="R832" s="191">
        <v>3.03683072134959</v>
      </c>
      <c r="T832" s="46">
        <v>2</v>
      </c>
      <c r="U832" s="53" t="s">
        <v>256</v>
      </c>
      <c r="V832" s="47" t="s">
        <v>256</v>
      </c>
      <c r="W832" s="3" t="s">
        <v>550</v>
      </c>
      <c r="X832" s="3" t="s">
        <v>561</v>
      </c>
      <c r="Y832" s="51">
        <v>3.3097799999999999</v>
      </c>
      <c r="Z832" s="178">
        <v>1.0068550000000001</v>
      </c>
    </row>
    <row r="833" spans="6:26">
      <c r="F833" s="137">
        <v>2</v>
      </c>
      <c r="G833" s="137" t="s">
        <v>242</v>
      </c>
      <c r="H833" s="136" t="s">
        <v>10181</v>
      </c>
      <c r="I833" s="136" t="s">
        <v>550</v>
      </c>
      <c r="J833" s="136" t="s">
        <v>561</v>
      </c>
      <c r="K833" s="191">
        <v>-38.486130000000003</v>
      </c>
      <c r="L833" s="191">
        <v>-27.900672450000002</v>
      </c>
      <c r="M833" s="191">
        <v>-3.2868550000000001</v>
      </c>
      <c r="N833" s="191">
        <v>0</v>
      </c>
      <c r="O833" s="191">
        <v>0</v>
      </c>
      <c r="P833" s="191">
        <v>2.5860000000000001E-2</v>
      </c>
      <c r="Q833" s="191">
        <v>4.1800809795969597E-2</v>
      </c>
      <c r="R833" s="191">
        <v>4.8913810169323599E-2</v>
      </c>
      <c r="T833" s="46">
        <v>2</v>
      </c>
      <c r="U833" s="53" t="s">
        <v>256</v>
      </c>
      <c r="V833" s="47" t="s">
        <v>536</v>
      </c>
      <c r="W833" s="3" t="s">
        <v>550</v>
      </c>
      <c r="X833" s="3" t="s">
        <v>561</v>
      </c>
      <c r="Y833" s="51">
        <v>1.9798800000000001</v>
      </c>
      <c r="Z833" s="178">
        <v>0.72957000000000005</v>
      </c>
    </row>
    <row r="834" spans="6:26">
      <c r="F834" s="137">
        <v>2</v>
      </c>
      <c r="G834" s="137" t="s">
        <v>242</v>
      </c>
      <c r="H834" s="136" t="s">
        <v>274</v>
      </c>
      <c r="I834" s="136" t="s">
        <v>550</v>
      </c>
      <c r="J834" s="136" t="s">
        <v>561</v>
      </c>
      <c r="K834" s="191">
        <v>-38.486130000000003</v>
      </c>
      <c r="L834" s="191">
        <v>-27.900672450000002</v>
      </c>
      <c r="M834" s="191">
        <v>-8.5278425000000002</v>
      </c>
      <c r="N834" s="191">
        <v>0</v>
      </c>
      <c r="O834" s="191">
        <v>0</v>
      </c>
      <c r="P834" s="191">
        <v>2.5860000000000001E-2</v>
      </c>
      <c r="Q834" s="191">
        <v>4.1800809795969597E-2</v>
      </c>
      <c r="R834" s="191">
        <v>4.8913810169323599E-2</v>
      </c>
      <c r="T834" s="46">
        <v>2</v>
      </c>
      <c r="U834" s="53" t="s">
        <v>256</v>
      </c>
      <c r="V834" s="47" t="s">
        <v>257</v>
      </c>
      <c r="W834" s="3" t="s">
        <v>550</v>
      </c>
      <c r="X834" s="3" t="s">
        <v>561</v>
      </c>
      <c r="Y834" s="51">
        <v>1.9798800000000001</v>
      </c>
      <c r="Z834" s="178">
        <v>0.46493000000000001</v>
      </c>
    </row>
    <row r="835" spans="6:26">
      <c r="F835" s="137">
        <v>2</v>
      </c>
      <c r="G835" s="137" t="s">
        <v>242</v>
      </c>
      <c r="H835" s="136" t="s">
        <v>534</v>
      </c>
      <c r="I835" s="136" t="s">
        <v>550</v>
      </c>
      <c r="J835" s="136" t="s">
        <v>561</v>
      </c>
      <c r="K835" s="191">
        <v>-15.0122</v>
      </c>
      <c r="L835" s="191">
        <v>-10.882073199999999</v>
      </c>
      <c r="M835" s="191">
        <v>-3.19428</v>
      </c>
      <c r="N835" s="191">
        <v>0</v>
      </c>
      <c r="O835" s="191">
        <v>0</v>
      </c>
      <c r="P835" s="191">
        <v>2.5860000000000001E-2</v>
      </c>
      <c r="Q835" s="191">
        <v>4.1800809795969597E-2</v>
      </c>
      <c r="R835" s="191">
        <v>4.8913810169323599E-2</v>
      </c>
      <c r="T835" s="46">
        <v>2</v>
      </c>
      <c r="U835" s="53" t="s">
        <v>256</v>
      </c>
      <c r="V835" s="47" t="s">
        <v>537</v>
      </c>
      <c r="W835" s="3" t="s">
        <v>550</v>
      </c>
      <c r="X835" s="3" t="s">
        <v>561</v>
      </c>
      <c r="Y835" s="51">
        <v>5.0082800000000001</v>
      </c>
      <c r="Z835" s="178">
        <v>1.54878</v>
      </c>
    </row>
    <row r="836" spans="6:26">
      <c r="F836" s="137">
        <v>2</v>
      </c>
      <c r="G836" s="137" t="s">
        <v>239</v>
      </c>
      <c r="H836" s="136" t="s">
        <v>10182</v>
      </c>
      <c r="I836" s="136" t="s">
        <v>550</v>
      </c>
      <c r="J836" s="136" t="s">
        <v>561</v>
      </c>
      <c r="K836" s="191">
        <v>-2.6644477777777777</v>
      </c>
      <c r="L836" s="191">
        <v>-1.7194614644444446</v>
      </c>
      <c r="M836" s="191">
        <v>-0.82622090524955993</v>
      </c>
      <c r="N836" s="191">
        <v>-1.6415582940675599</v>
      </c>
      <c r="O836" s="191">
        <v>-2.38875601138436</v>
      </c>
      <c r="P836" s="191">
        <v>-0.64660766527578795</v>
      </c>
      <c r="Q836" s="191">
        <v>-0.84015304589553597</v>
      </c>
      <c r="R836" s="191">
        <v>2.7471597181405401E-2</v>
      </c>
      <c r="T836" s="46">
        <v>2</v>
      </c>
      <c r="U836" s="53" t="s">
        <v>256</v>
      </c>
      <c r="V836" s="47" t="s">
        <v>538</v>
      </c>
      <c r="W836" s="3" t="s">
        <v>550</v>
      </c>
      <c r="X836" s="3" t="s">
        <v>561</v>
      </c>
      <c r="Y836" s="51">
        <v>4.6396800000000002</v>
      </c>
      <c r="Z836" s="178">
        <v>1.54878</v>
      </c>
    </row>
    <row r="837" spans="6:26">
      <c r="F837" s="137">
        <v>2</v>
      </c>
      <c r="G837" s="137" t="s">
        <v>239</v>
      </c>
      <c r="H837" s="136" t="s">
        <v>324</v>
      </c>
      <c r="I837" s="136" t="s">
        <v>550</v>
      </c>
      <c r="J837" s="136" t="s">
        <v>561</v>
      </c>
      <c r="K837" s="191">
        <v>-1.66</v>
      </c>
      <c r="L837" s="191">
        <v>0</v>
      </c>
      <c r="M837" s="191">
        <v>0.2257372170756459</v>
      </c>
      <c r="N837" s="191">
        <v>-1.6521126151519701</v>
      </c>
      <c r="O837" s="191">
        <v>-2.2425496041953599</v>
      </c>
      <c r="P837" s="191">
        <v>-1.1293815758271</v>
      </c>
      <c r="Q837" s="191">
        <v>-0.91353993473315398</v>
      </c>
      <c r="R837" s="191">
        <v>2.66824832139794E-2</v>
      </c>
      <c r="T837" s="46">
        <v>2</v>
      </c>
      <c r="U837" s="53" t="s">
        <v>256</v>
      </c>
      <c r="V837" s="47" t="s">
        <v>258</v>
      </c>
      <c r="W837" s="3" t="s">
        <v>550</v>
      </c>
      <c r="X837" s="3" t="s">
        <v>561</v>
      </c>
      <c r="Y837" s="51">
        <v>4.6396800000000002</v>
      </c>
      <c r="Z837" s="178">
        <v>1.54878</v>
      </c>
    </row>
    <row r="838" spans="6:26">
      <c r="F838" s="137">
        <v>2</v>
      </c>
      <c r="G838" s="137" t="s">
        <v>239</v>
      </c>
      <c r="H838" s="136" t="s">
        <v>272</v>
      </c>
      <c r="I838" s="136" t="s">
        <v>550</v>
      </c>
      <c r="J838" s="136" t="s">
        <v>561</v>
      </c>
      <c r="K838" s="191">
        <v>-2.1278299999999999</v>
      </c>
      <c r="L838" s="191">
        <v>-1.3728063799999999</v>
      </c>
      <c r="M838" s="191">
        <v>-9.7960759837963044E-3</v>
      </c>
      <c r="N838" s="191">
        <v>-1.47896134305996</v>
      </c>
      <c r="O838" s="191">
        <v>-2.2496173220472202</v>
      </c>
      <c r="P838" s="191">
        <v>2.8719999999999999E-2</v>
      </c>
      <c r="Q838" s="191">
        <v>-0.71785899660587404</v>
      </c>
      <c r="R838" s="191">
        <v>3.4584894634626703E-2</v>
      </c>
      <c r="T838" s="46">
        <v>2</v>
      </c>
      <c r="U838" s="53" t="s">
        <v>247</v>
      </c>
      <c r="V838" s="47" t="s">
        <v>247</v>
      </c>
      <c r="W838" s="3" t="s">
        <v>550</v>
      </c>
      <c r="X838" s="3" t="s">
        <v>561</v>
      </c>
      <c r="Y838" s="51">
        <v>1.0505633333333335</v>
      </c>
      <c r="Z838" s="178">
        <v>0.89563000000000004</v>
      </c>
    </row>
    <row r="839" spans="6:26">
      <c r="F839" s="137">
        <v>2</v>
      </c>
      <c r="G839" s="137" t="s">
        <v>239</v>
      </c>
      <c r="H839" s="136" t="s">
        <v>329</v>
      </c>
      <c r="I839" s="136" t="s">
        <v>550</v>
      </c>
      <c r="J839" s="136" t="s">
        <v>561</v>
      </c>
      <c r="K839" s="191">
        <v>-3.4792200000000002</v>
      </c>
      <c r="L839" s="191">
        <v>0</v>
      </c>
      <c r="M839" s="191">
        <v>-3.0376865005412763</v>
      </c>
      <c r="N839" s="191">
        <v>-1.60158523725014</v>
      </c>
      <c r="O839" s="191">
        <v>-2.4921425072357501</v>
      </c>
      <c r="P839" s="191">
        <v>0.45925517082806799</v>
      </c>
      <c r="Q839" s="191">
        <v>-0.72042664235723797</v>
      </c>
      <c r="R839" s="191">
        <v>3.7247553155519197E-2</v>
      </c>
      <c r="T839" s="46">
        <v>2</v>
      </c>
      <c r="U839" s="53" t="s">
        <v>247</v>
      </c>
      <c r="V839" s="47" t="s">
        <v>248</v>
      </c>
      <c r="W839" s="3" t="s">
        <v>550</v>
      </c>
      <c r="X839" s="3" t="s">
        <v>561</v>
      </c>
      <c r="Y839" s="51">
        <v>1.0606100000000001</v>
      </c>
      <c r="Z839" s="178">
        <v>0.89563000000000004</v>
      </c>
    </row>
    <row r="840" spans="6:26">
      <c r="F840" s="137">
        <v>2</v>
      </c>
      <c r="G840" s="137" t="s">
        <v>239</v>
      </c>
      <c r="H840" s="136" t="s">
        <v>271</v>
      </c>
      <c r="I840" s="136" t="s">
        <v>550</v>
      </c>
      <c r="J840" s="136" t="s">
        <v>561</v>
      </c>
      <c r="K840" s="191">
        <v>-3.1045600000000002</v>
      </c>
      <c r="L840" s="191">
        <v>0</v>
      </c>
      <c r="M840" s="191">
        <v>-0.92949851840575493</v>
      </c>
      <c r="N840" s="191">
        <v>-1.5168958574070699</v>
      </c>
      <c r="O840" s="191">
        <v>-2.5962094989069802</v>
      </c>
      <c r="P840" s="191">
        <v>-0.66191224294392803</v>
      </c>
      <c r="Q840" s="191">
        <v>-0.68616883313143695</v>
      </c>
      <c r="R840" s="191">
        <v>4.0392236029905E-2</v>
      </c>
      <c r="T840" s="46">
        <v>2</v>
      </c>
      <c r="U840" s="53" t="s">
        <v>247</v>
      </c>
      <c r="V840" s="47" t="s">
        <v>263</v>
      </c>
      <c r="W840" s="3" t="s">
        <v>550</v>
      </c>
      <c r="X840" s="3" t="s">
        <v>561</v>
      </c>
      <c r="Y840" s="51">
        <v>1.0341199999999999</v>
      </c>
      <c r="Z840" s="178">
        <v>0.89563000000000004</v>
      </c>
    </row>
    <row r="841" spans="6:26">
      <c r="F841" s="137">
        <v>2</v>
      </c>
      <c r="G841" s="137" t="s">
        <v>239</v>
      </c>
      <c r="H841" s="136" t="s">
        <v>535</v>
      </c>
      <c r="I841" s="136" t="s">
        <v>550</v>
      </c>
      <c r="J841" s="136" t="s">
        <v>561</v>
      </c>
      <c r="K841" s="191">
        <v>-3.1045600000000002</v>
      </c>
      <c r="L841" s="191">
        <v>0</v>
      </c>
      <c r="M841" s="191">
        <v>-0.92949851840575493</v>
      </c>
      <c r="N841" s="191">
        <v>-1.6255378419641999</v>
      </c>
      <c r="O841" s="191">
        <v>-2.60426474388799</v>
      </c>
      <c r="P841" s="191">
        <v>-0.85971599289899203</v>
      </c>
      <c r="Q841" s="191">
        <v>-0.76455082075441605</v>
      </c>
      <c r="R841" s="191">
        <v>2.9212786791767201E-2</v>
      </c>
      <c r="T841" s="46">
        <v>2</v>
      </c>
      <c r="U841" s="53" t="s">
        <v>247</v>
      </c>
      <c r="V841" s="47" t="s">
        <v>539</v>
      </c>
      <c r="W841" s="3" t="s">
        <v>550</v>
      </c>
      <c r="X841" s="3" t="s">
        <v>561</v>
      </c>
      <c r="Y841" s="51">
        <v>1.0569599999999999</v>
      </c>
      <c r="Z841" s="178">
        <v>0.89563000000000004</v>
      </c>
    </row>
    <row r="842" spans="6:26">
      <c r="F842" s="137">
        <v>2</v>
      </c>
      <c r="G842" s="137" t="s">
        <v>239</v>
      </c>
      <c r="H842" s="136" t="s">
        <v>259</v>
      </c>
      <c r="I842" s="136" t="s">
        <v>550</v>
      </c>
      <c r="J842" s="136" t="s">
        <v>561</v>
      </c>
      <c r="K842" s="191">
        <v>-2.86965</v>
      </c>
      <c r="L842" s="191">
        <v>0</v>
      </c>
      <c r="M842" s="191">
        <v>-0.92949851840575493</v>
      </c>
      <c r="N842" s="191">
        <v>-1.34051782094162</v>
      </c>
      <c r="O842" s="191">
        <v>-2.0233346272533499</v>
      </c>
      <c r="P842" s="191">
        <v>-0.36803475835338001</v>
      </c>
      <c r="Q842" s="191">
        <v>-0.62256938148208896</v>
      </c>
      <c r="R842" s="191">
        <v>2.8420507959224201E-2</v>
      </c>
      <c r="T842" s="46">
        <v>2</v>
      </c>
      <c r="U842" s="53" t="s">
        <v>247</v>
      </c>
      <c r="V842" s="47" t="s">
        <v>270</v>
      </c>
      <c r="W842" s="3" t="s">
        <v>550</v>
      </c>
      <c r="X842" s="3" t="s">
        <v>561</v>
      </c>
      <c r="Y842" s="51">
        <v>1.0505633333333335</v>
      </c>
      <c r="Z842" s="178">
        <v>0.89563000000000004</v>
      </c>
    </row>
    <row r="843" spans="6:26">
      <c r="F843" s="137">
        <v>2</v>
      </c>
      <c r="G843" s="137" t="s">
        <v>239</v>
      </c>
      <c r="H843" s="136" t="s">
        <v>334</v>
      </c>
      <c r="I843" s="136" t="s">
        <v>550</v>
      </c>
      <c r="J843" s="136" t="s">
        <v>561</v>
      </c>
      <c r="K843" s="191">
        <v>-2.86965</v>
      </c>
      <c r="L843" s="191">
        <v>0</v>
      </c>
      <c r="M843" s="191">
        <v>-0.92949851840575493</v>
      </c>
      <c r="N843" s="191">
        <v>-1.7510293669055299</v>
      </c>
      <c r="O843" s="191">
        <v>-2.4863795929514398</v>
      </c>
      <c r="P843" s="191">
        <v>-0.30485032701584303</v>
      </c>
      <c r="Q843" s="191">
        <v>-0.909547708920311</v>
      </c>
      <c r="R843" s="191">
        <v>2.6389736758903899E-2</v>
      </c>
      <c r="T843" s="46">
        <v>2</v>
      </c>
      <c r="U843" s="53" t="s">
        <v>247</v>
      </c>
      <c r="V843" s="47" t="s">
        <v>540</v>
      </c>
      <c r="W843" s="3" t="s">
        <v>550</v>
      </c>
      <c r="X843" s="3" t="s">
        <v>561</v>
      </c>
      <c r="Y843" s="51">
        <v>1.0473650000000001</v>
      </c>
      <c r="Z843" s="178">
        <v>0.89563000000000004</v>
      </c>
    </row>
    <row r="844" spans="6:26">
      <c r="F844" s="137">
        <v>2</v>
      </c>
      <c r="G844" s="137" t="s">
        <v>239</v>
      </c>
      <c r="H844" s="136" t="s">
        <v>240</v>
      </c>
      <c r="I844" s="136" t="s">
        <v>550</v>
      </c>
      <c r="J844" s="136" t="s">
        <v>561</v>
      </c>
      <c r="K844" s="191">
        <v>-3.1045600000000002</v>
      </c>
      <c r="L844" s="191">
        <v>0</v>
      </c>
      <c r="M844" s="191">
        <v>0</v>
      </c>
      <c r="N844" s="191">
        <v>-1.7797858041549699</v>
      </c>
      <c r="O844" s="191">
        <v>-2.5576650575192899</v>
      </c>
      <c r="P844" s="191">
        <v>-0.68789701723431895</v>
      </c>
      <c r="Q844" s="191">
        <v>0.49637285483986199</v>
      </c>
      <c r="R844" s="191">
        <v>2.36701232297353</v>
      </c>
      <c r="T844" s="46">
        <v>2</v>
      </c>
      <c r="U844" s="53" t="s">
        <v>529</v>
      </c>
      <c r="V844" s="47" t="s">
        <v>260</v>
      </c>
      <c r="W844" s="3" t="s">
        <v>550</v>
      </c>
      <c r="X844" s="3" t="s">
        <v>561</v>
      </c>
      <c r="Y844" s="51">
        <v>4.0364225925925927</v>
      </c>
      <c r="Z844" s="178">
        <v>1.3856655555555555</v>
      </c>
    </row>
    <row r="845" spans="6:26" ht="28.8">
      <c r="F845" s="137">
        <v>2</v>
      </c>
      <c r="G845" s="137" t="s">
        <v>239</v>
      </c>
      <c r="H845" s="136" t="s">
        <v>325</v>
      </c>
      <c r="I845" s="136" t="s">
        <v>550</v>
      </c>
      <c r="J845" s="136" t="s">
        <v>561</v>
      </c>
      <c r="K845" s="191">
        <v>-1.66</v>
      </c>
      <c r="L845" s="191">
        <v>0</v>
      </c>
      <c r="M845" s="191">
        <v>0</v>
      </c>
      <c r="N845" s="191">
        <v>-1.6415582940675599</v>
      </c>
      <c r="O845" s="191">
        <v>-2.38875601138436</v>
      </c>
      <c r="P845" s="191">
        <v>-0.64660766527578795</v>
      </c>
      <c r="Q845" s="191">
        <v>-0.84015304589553597</v>
      </c>
      <c r="R845" s="191">
        <v>2.7471597181405401E-2</v>
      </c>
      <c r="T845" s="46">
        <v>2</v>
      </c>
      <c r="U845" s="53" t="s">
        <v>237</v>
      </c>
      <c r="V845" s="47" t="s">
        <v>237</v>
      </c>
      <c r="W845" s="3" t="s">
        <v>550</v>
      </c>
      <c r="X845" s="3" t="s">
        <v>561</v>
      </c>
      <c r="Y845" s="51">
        <v>2.8533815875203707</v>
      </c>
      <c r="Z845" s="178">
        <v>1.0711602172222223</v>
      </c>
    </row>
    <row r="846" spans="6:26">
      <c r="F846" s="137">
        <v>2</v>
      </c>
      <c r="G846" s="137" t="s">
        <v>256</v>
      </c>
      <c r="H846" s="136" t="s">
        <v>10183</v>
      </c>
      <c r="I846" s="136" t="s">
        <v>550</v>
      </c>
      <c r="J846" s="136" t="s">
        <v>561</v>
      </c>
      <c r="K846" s="191">
        <v>-3.3097799999999999</v>
      </c>
      <c r="L846" s="191">
        <v>-3.2267017926999997</v>
      </c>
      <c r="M846" s="191">
        <v>-12.385379926993377</v>
      </c>
      <c r="N846" s="191">
        <v>0</v>
      </c>
      <c r="O846" s="191">
        <v>0</v>
      </c>
      <c r="P846" s="191">
        <v>2.5860000000000001E-2</v>
      </c>
      <c r="Q846" s="191">
        <v>-0.10693658489197445</v>
      </c>
      <c r="R846" s="191">
        <v>-9.0339883652696892E-2</v>
      </c>
      <c r="T846" s="46">
        <v>2</v>
      </c>
      <c r="U846" s="53" t="s">
        <v>237</v>
      </c>
      <c r="V846" s="47" t="s">
        <v>246</v>
      </c>
      <c r="W846" s="3" t="s">
        <v>550</v>
      </c>
      <c r="X846" s="3" t="s">
        <v>561</v>
      </c>
      <c r="Y846" s="51">
        <v>7.3412433500000009</v>
      </c>
      <c r="Z846" s="178">
        <v>0.66842500000000005</v>
      </c>
    </row>
    <row r="847" spans="6:26">
      <c r="F847" s="137">
        <v>2</v>
      </c>
      <c r="G847" s="137" t="s">
        <v>256</v>
      </c>
      <c r="H847" s="136" t="s">
        <v>536</v>
      </c>
      <c r="I847" s="136" t="s">
        <v>550</v>
      </c>
      <c r="J847" s="136" t="s">
        <v>561</v>
      </c>
      <c r="K847" s="191">
        <v>-1.9798800000000001</v>
      </c>
      <c r="L847" s="191">
        <v>-1.8968017927</v>
      </c>
      <c r="M847" s="191">
        <v>-2.2607194096631558</v>
      </c>
      <c r="N847" s="191">
        <v>0</v>
      </c>
      <c r="O847" s="191">
        <v>0</v>
      </c>
      <c r="P847" s="191" t="s">
        <v>551</v>
      </c>
      <c r="Q847" s="191">
        <v>-0.157565881729051</v>
      </c>
      <c r="R847" s="191">
        <v>-0.13173951535147099</v>
      </c>
      <c r="T847" s="46">
        <v>2</v>
      </c>
      <c r="U847" s="53" t="s">
        <v>237</v>
      </c>
      <c r="V847" s="28" t="s">
        <v>10162</v>
      </c>
      <c r="W847" s="3" t="s">
        <v>550</v>
      </c>
      <c r="X847" s="3" t="s">
        <v>561</v>
      </c>
      <c r="Y847" s="51">
        <v>2.8533815875203707</v>
      </c>
      <c r="Z847" s="178">
        <v>1.0711602172222223</v>
      </c>
    </row>
    <row r="848" spans="6:26">
      <c r="F848" s="137">
        <v>2</v>
      </c>
      <c r="G848" s="137" t="s">
        <v>256</v>
      </c>
      <c r="H848" s="136" t="s">
        <v>257</v>
      </c>
      <c r="I848" s="136" t="s">
        <v>550</v>
      </c>
      <c r="J848" s="136" t="s">
        <v>561</v>
      </c>
      <c r="K848" s="191">
        <v>-1.9798800000000001</v>
      </c>
      <c r="L848" s="191">
        <v>-1.8968017927</v>
      </c>
      <c r="M848" s="191">
        <v>-2.2607194096631558</v>
      </c>
      <c r="N848" s="191">
        <v>0</v>
      </c>
      <c r="O848" s="191">
        <v>0</v>
      </c>
      <c r="P848" s="191">
        <v>2.6022284268183E-2</v>
      </c>
      <c r="Q848" s="191">
        <v>-0.157565881729051</v>
      </c>
      <c r="R848" s="191">
        <v>-0.13173951535147099</v>
      </c>
      <c r="T848" s="46">
        <v>2</v>
      </c>
      <c r="U848" s="53" t="s">
        <v>252</v>
      </c>
      <c r="V848" s="28" t="s">
        <v>333</v>
      </c>
      <c r="W848" s="3" t="s">
        <v>550</v>
      </c>
      <c r="X848" s="3" t="s">
        <v>561</v>
      </c>
      <c r="Y848" s="51">
        <v>2.0953266666666663</v>
      </c>
      <c r="Z848" s="178">
        <v>1.77911</v>
      </c>
    </row>
    <row r="849" spans="6:26">
      <c r="F849" s="137">
        <v>2</v>
      </c>
      <c r="G849" s="137" t="s">
        <v>256</v>
      </c>
      <c r="H849" s="136" t="s">
        <v>537</v>
      </c>
      <c r="I849" s="136" t="s">
        <v>550</v>
      </c>
      <c r="J849" s="136" t="s">
        <v>561</v>
      </c>
      <c r="K849" s="191">
        <v>-5.0082800000000001</v>
      </c>
      <c r="L849" s="191">
        <v>-4.9252017927000002</v>
      </c>
      <c r="M849" s="191">
        <v>-4.8934870529376608</v>
      </c>
      <c r="N849" s="191">
        <v>0</v>
      </c>
      <c r="O849" s="191">
        <v>0</v>
      </c>
      <c r="P849" s="191">
        <v>2.5860000000000001E-2</v>
      </c>
      <c r="Q849" s="191">
        <v>-5.6307288054897903E-2</v>
      </c>
      <c r="R849" s="191">
        <v>-4.8940251953922799E-2</v>
      </c>
      <c r="T849" s="46">
        <v>2</v>
      </c>
      <c r="U849" s="53" t="s">
        <v>239</v>
      </c>
      <c r="V849" s="3" t="s">
        <v>542</v>
      </c>
      <c r="W849" s="3" t="s">
        <v>550</v>
      </c>
      <c r="X849" s="3" t="s">
        <v>561</v>
      </c>
      <c r="Y849" s="51">
        <v>2.6644477777777777</v>
      </c>
      <c r="Z849" s="178">
        <v>0.64099666666666666</v>
      </c>
    </row>
    <row r="850" spans="6:26">
      <c r="F850" s="137">
        <v>2</v>
      </c>
      <c r="G850" s="137" t="s">
        <v>256</v>
      </c>
      <c r="H850" s="136" t="s">
        <v>538</v>
      </c>
      <c r="I850" s="136" t="s">
        <v>550</v>
      </c>
      <c r="J850" s="136" t="s">
        <v>561</v>
      </c>
      <c r="K850" s="191">
        <v>-4.6396800000000002</v>
      </c>
      <c r="L850" s="191">
        <v>0</v>
      </c>
      <c r="M850" s="191">
        <v>0</v>
      </c>
      <c r="N850" s="191">
        <v>0</v>
      </c>
      <c r="O850" s="191">
        <v>0</v>
      </c>
      <c r="P850" s="191">
        <v>2.5860000000000001E-2</v>
      </c>
      <c r="Q850" s="191">
        <v>-5.2835466444093697E-2</v>
      </c>
      <c r="R850" s="191">
        <v>-4.8940251953922799E-2</v>
      </c>
      <c r="T850" s="46">
        <v>2</v>
      </c>
      <c r="U850" s="53" t="s">
        <v>237</v>
      </c>
      <c r="V850" s="3" t="s">
        <v>238</v>
      </c>
      <c r="W850" s="3" t="s">
        <v>550</v>
      </c>
      <c r="X850" s="3" t="s">
        <v>561</v>
      </c>
      <c r="Y850" s="51">
        <v>2.7046544444444445</v>
      </c>
      <c r="Z850" s="178">
        <v>1.2161291666666667</v>
      </c>
    </row>
    <row r="851" spans="6:26">
      <c r="F851" s="137">
        <v>2</v>
      </c>
      <c r="G851" s="137" t="s">
        <v>256</v>
      </c>
      <c r="H851" s="136" t="s">
        <v>258</v>
      </c>
      <c r="I851" s="136" t="s">
        <v>550</v>
      </c>
      <c r="J851" s="136" t="s">
        <v>561</v>
      </c>
      <c r="K851" s="191">
        <v>-4.6396800000000002</v>
      </c>
      <c r="L851" s="191">
        <v>-4.5566017927000004</v>
      </c>
      <c r="M851" s="191">
        <v>-4.7436864288681404</v>
      </c>
      <c r="N851" s="191">
        <v>0</v>
      </c>
      <c r="O851" s="191">
        <v>0</v>
      </c>
      <c r="P851" s="191">
        <v>2.5860000000000001E-2</v>
      </c>
      <c r="Q851" s="191">
        <v>-5.6307288054897903E-2</v>
      </c>
      <c r="R851" s="191">
        <v>-4.8940251953922799E-2</v>
      </c>
      <c r="T851" s="46">
        <v>2</v>
      </c>
      <c r="U851" s="53" t="s">
        <v>264</v>
      </c>
      <c r="V851" s="3" t="s">
        <v>264</v>
      </c>
      <c r="W851" s="3" t="s">
        <v>550</v>
      </c>
      <c r="X851" s="3" t="s">
        <v>561</v>
      </c>
      <c r="Y851" s="51">
        <v>1.9287117500000002</v>
      </c>
      <c r="Z851" s="178">
        <v>0.467055</v>
      </c>
    </row>
    <row r="852" spans="6:26">
      <c r="F852" s="137">
        <v>2</v>
      </c>
      <c r="G852" s="137" t="s">
        <v>247</v>
      </c>
      <c r="H852" s="136" t="s">
        <v>247</v>
      </c>
      <c r="I852" s="136" t="s">
        <v>550</v>
      </c>
      <c r="J852" s="136" t="s">
        <v>561</v>
      </c>
      <c r="K852" s="191">
        <v>-1.0505633333333335</v>
      </c>
      <c r="L852" s="191">
        <v>-0.96748512603333348</v>
      </c>
      <c r="M852" s="191">
        <v>-0.31559209310355407</v>
      </c>
      <c r="N852" s="191">
        <v>0</v>
      </c>
      <c r="O852" s="191">
        <v>0</v>
      </c>
      <c r="P852" s="191">
        <v>2.6022298605907601E-2</v>
      </c>
      <c r="Q852" s="191">
        <v>3.10148231107726E-2</v>
      </c>
      <c r="R852" s="191">
        <v>4.8915326896509501E-2</v>
      </c>
      <c r="T852" s="46">
        <v>2</v>
      </c>
      <c r="U852" s="53" t="s">
        <v>264</v>
      </c>
      <c r="V852" s="3" t="s">
        <v>336</v>
      </c>
      <c r="W852" s="3" t="s">
        <v>550</v>
      </c>
      <c r="X852" s="3" t="s">
        <v>561</v>
      </c>
      <c r="Y852" s="51">
        <v>0.76351350000000007</v>
      </c>
      <c r="Z852" s="178">
        <v>0.43603999999999998</v>
      </c>
    </row>
    <row r="853" spans="6:26">
      <c r="F853" s="137">
        <v>2</v>
      </c>
      <c r="G853" s="137" t="s">
        <v>247</v>
      </c>
      <c r="H853" s="136" t="s">
        <v>248</v>
      </c>
      <c r="I853" s="136" t="s">
        <v>550</v>
      </c>
      <c r="J853" s="136" t="s">
        <v>561</v>
      </c>
      <c r="K853" s="191">
        <v>-1.0606100000000001</v>
      </c>
      <c r="L853" s="191">
        <v>-0.97753179270000001</v>
      </c>
      <c r="M853" s="191">
        <v>-0.16861809467887115</v>
      </c>
      <c r="N853" s="191">
        <v>0</v>
      </c>
      <c r="O853" s="191">
        <v>0</v>
      </c>
      <c r="P853" s="191">
        <v>2.6022304585445001E-2</v>
      </c>
      <c r="Q853" s="191">
        <v>3.4754241337771698E-2</v>
      </c>
      <c r="R853" s="191">
        <v>4.8914143290902802E-2</v>
      </c>
      <c r="T853" s="46">
        <v>2</v>
      </c>
      <c r="U853" s="53" t="s">
        <v>242</v>
      </c>
      <c r="V853" s="3" t="s">
        <v>251</v>
      </c>
      <c r="W853" s="3" t="s">
        <v>550</v>
      </c>
      <c r="X853" s="3" t="s">
        <v>561</v>
      </c>
      <c r="Y853" s="51">
        <v>4.9218200000000003</v>
      </c>
      <c r="Z853" s="178">
        <v>0.15096000000000001</v>
      </c>
    </row>
    <row r="854" spans="6:26">
      <c r="F854" s="139">
        <v>2</v>
      </c>
      <c r="G854" s="139" t="s">
        <v>247</v>
      </c>
      <c r="H854" s="140" t="s">
        <v>263</v>
      </c>
      <c r="I854" s="140" t="s">
        <v>550</v>
      </c>
      <c r="J854" s="140" t="s">
        <v>561</v>
      </c>
      <c r="K854" s="191">
        <v>-1.0341199999999999</v>
      </c>
      <c r="L854" s="191">
        <v>-0.95104179269999989</v>
      </c>
      <c r="M854" s="191">
        <v>-0.16861809467887018</v>
      </c>
      <c r="N854" s="191">
        <v>0</v>
      </c>
      <c r="O854" s="191">
        <v>0</v>
      </c>
      <c r="P854" s="191">
        <v>2.6022308291002001E-2</v>
      </c>
      <c r="Q854" s="191">
        <v>3.69958760565346E-2</v>
      </c>
      <c r="R854" s="191">
        <v>4.8914218859041098E-2</v>
      </c>
      <c r="T854" s="46">
        <v>2</v>
      </c>
      <c r="U854" s="53" t="s">
        <v>242</v>
      </c>
      <c r="V854" s="3" t="s">
        <v>543</v>
      </c>
      <c r="W854" s="3" t="s">
        <v>550</v>
      </c>
      <c r="X854" s="3" t="s">
        <v>561</v>
      </c>
      <c r="Y854" s="51">
        <v>1.00081</v>
      </c>
      <c r="Z854" s="178">
        <v>0.33138000000000001</v>
      </c>
    </row>
    <row r="855" spans="6:26">
      <c r="F855" s="137">
        <v>2</v>
      </c>
      <c r="G855" s="137" t="s">
        <v>247</v>
      </c>
      <c r="H855" s="136" t="s">
        <v>539</v>
      </c>
      <c r="I855" s="136" t="s">
        <v>550</v>
      </c>
      <c r="J855" s="136" t="s">
        <v>561</v>
      </c>
      <c r="K855" s="191">
        <v>-1.0569599999999999</v>
      </c>
      <c r="L855" s="191">
        <v>-0.97388179269999986</v>
      </c>
      <c r="M855" s="191">
        <v>-0.17394287661610452</v>
      </c>
      <c r="N855" s="191">
        <v>0</v>
      </c>
      <c r="O855" s="191">
        <v>0</v>
      </c>
      <c r="P855" s="191">
        <v>2.60222889299325E-2</v>
      </c>
      <c r="Q855" s="191">
        <v>2.4991907646140801E-2</v>
      </c>
      <c r="R855" s="191">
        <v>4.8916601649179797E-2</v>
      </c>
      <c r="T855" s="46">
        <v>2</v>
      </c>
      <c r="U855" s="53" t="s">
        <v>264</v>
      </c>
      <c r="V855" s="3" t="s">
        <v>544</v>
      </c>
      <c r="W855" s="3" t="s">
        <v>550</v>
      </c>
      <c r="X855" s="3" t="s">
        <v>561</v>
      </c>
      <c r="Y855" s="51">
        <v>3.0939100000000002</v>
      </c>
      <c r="Z855" s="178">
        <v>0.49807000000000001</v>
      </c>
    </row>
    <row r="856" spans="6:26">
      <c r="F856" s="137">
        <v>2</v>
      </c>
      <c r="G856" s="137" t="s">
        <v>247</v>
      </c>
      <c r="H856" s="136" t="s">
        <v>270</v>
      </c>
      <c r="I856" s="136" t="s">
        <v>550</v>
      </c>
      <c r="J856" s="136" t="s">
        <v>561</v>
      </c>
      <c r="K856" s="191">
        <v>-1.0505633333333335</v>
      </c>
      <c r="L856" s="191">
        <v>-0.96748512603333348</v>
      </c>
      <c r="M856" s="191">
        <v>-0.31559209310355407</v>
      </c>
      <c r="N856" s="191">
        <v>0</v>
      </c>
      <c r="O856" s="191">
        <v>0</v>
      </c>
      <c r="P856" s="191">
        <v>2.6022298605907601E-2</v>
      </c>
      <c r="Q856" s="191">
        <v>3.10148231107726E-2</v>
      </c>
      <c r="R856" s="191">
        <v>4.8915326896509501E-2</v>
      </c>
      <c r="T856" s="46">
        <v>2</v>
      </c>
      <c r="U856" s="53" t="s">
        <v>237</v>
      </c>
      <c r="V856" s="3" t="s">
        <v>545</v>
      </c>
      <c r="W856" s="3" t="s">
        <v>550</v>
      </c>
      <c r="X856" s="3" t="s">
        <v>561</v>
      </c>
      <c r="Y856" s="51">
        <v>2.8533815875203707</v>
      </c>
      <c r="Z856" s="178">
        <v>1.0711602172222223</v>
      </c>
    </row>
    <row r="857" spans="6:26">
      <c r="F857" s="137">
        <v>2</v>
      </c>
      <c r="G857" s="137" t="s">
        <v>247</v>
      </c>
      <c r="H857" s="136" t="s">
        <v>540</v>
      </c>
      <c r="I857" s="136" t="s">
        <v>550</v>
      </c>
      <c r="J857" s="136" t="s">
        <v>561</v>
      </c>
      <c r="K857" s="191">
        <v>-1.0473650000000001</v>
      </c>
      <c r="L857" s="191">
        <v>-0.96428679270000006</v>
      </c>
      <c r="M857" s="191">
        <v>0</v>
      </c>
      <c r="N857" s="191">
        <v>0</v>
      </c>
      <c r="O857" s="191">
        <v>0</v>
      </c>
      <c r="P857" s="191">
        <v>2.60222821570886E-2</v>
      </c>
      <c r="Q857" s="191">
        <v>2.7233022209676799E-2</v>
      </c>
      <c r="R857" s="191">
        <v>4.8916157062091001E-2</v>
      </c>
      <c r="T857" s="46">
        <v>3</v>
      </c>
      <c r="U857" s="53"/>
      <c r="V857" s="47"/>
      <c r="W857" s="3" t="s">
        <v>552</v>
      </c>
      <c r="X857" s="3" t="s">
        <v>555</v>
      </c>
      <c r="Y857" s="51" t="s">
        <v>525</v>
      </c>
      <c r="Z857" s="178" t="s">
        <v>525</v>
      </c>
    </row>
    <row r="858" spans="6:26">
      <c r="F858" s="137">
        <v>2</v>
      </c>
      <c r="G858" s="137" t="s">
        <v>261</v>
      </c>
      <c r="H858" s="136" t="s">
        <v>260</v>
      </c>
      <c r="I858" s="136" t="s">
        <v>550</v>
      </c>
      <c r="J858" s="136" t="s">
        <v>561</v>
      </c>
      <c r="K858" s="191">
        <v>-4.0364225925925927</v>
      </c>
      <c r="L858" s="191">
        <v>0</v>
      </c>
      <c r="M858" s="191">
        <v>0</v>
      </c>
      <c r="N858" s="191">
        <v>-0.50421803395133402</v>
      </c>
      <c r="O858" s="191">
        <v>-0.86540544060248603</v>
      </c>
      <c r="P858" s="191">
        <v>-0.17470400001792399</v>
      </c>
      <c r="Q858" s="191">
        <v>-0.23975545799391401</v>
      </c>
      <c r="R858" s="191">
        <v>2.7529569440036799E-2</v>
      </c>
      <c r="T858" s="46">
        <v>3</v>
      </c>
      <c r="U858" s="53"/>
      <c r="V858" s="47"/>
      <c r="W858" s="3" t="s">
        <v>552</v>
      </c>
      <c r="X858" s="3" t="s">
        <v>555</v>
      </c>
      <c r="Y858" s="51" t="s">
        <v>525</v>
      </c>
      <c r="Z858" s="178" t="s">
        <v>525</v>
      </c>
    </row>
    <row r="859" spans="6:26">
      <c r="F859" s="137">
        <v>2</v>
      </c>
      <c r="G859" s="137" t="s">
        <v>10157</v>
      </c>
      <c r="H859" s="136" t="s">
        <v>10157</v>
      </c>
      <c r="I859" s="136" t="s">
        <v>550</v>
      </c>
      <c r="J859" s="136" t="s">
        <v>561</v>
      </c>
      <c r="K859" s="191">
        <v>-2.8533815875203707</v>
      </c>
      <c r="L859" s="191">
        <v>-1.4249189937601854</v>
      </c>
      <c r="M859" s="191">
        <v>0</v>
      </c>
      <c r="N859" s="191">
        <v>0</v>
      </c>
      <c r="O859" s="191">
        <v>0</v>
      </c>
      <c r="P859" s="191">
        <v>-0.46676852163692306</v>
      </c>
      <c r="Q859" s="191">
        <v>-0.53874884609908802</v>
      </c>
      <c r="R859" s="191">
        <v>2.7968656135843518E-2</v>
      </c>
      <c r="T859" s="46">
        <v>3</v>
      </c>
      <c r="U859" s="53"/>
      <c r="V859" s="47"/>
      <c r="W859" s="3" t="s">
        <v>552</v>
      </c>
      <c r="X859" s="3" t="s">
        <v>555</v>
      </c>
      <c r="Y859" s="51" t="s">
        <v>525</v>
      </c>
      <c r="Z859" s="178" t="s">
        <v>525</v>
      </c>
    </row>
    <row r="860" spans="6:26">
      <c r="F860" s="137">
        <v>2</v>
      </c>
      <c r="G860" s="137" t="s">
        <v>10157</v>
      </c>
      <c r="H860" s="136" t="s">
        <v>246</v>
      </c>
      <c r="I860" s="136" t="s">
        <v>550</v>
      </c>
      <c r="J860" s="136" t="s">
        <v>561</v>
      </c>
      <c r="K860" s="191">
        <v>-7.3412433500000009</v>
      </c>
      <c r="L860" s="191">
        <v>0</v>
      </c>
      <c r="M860" s="191">
        <v>0</v>
      </c>
      <c r="N860" s="191">
        <v>0</v>
      </c>
      <c r="O860" s="191">
        <v>0</v>
      </c>
      <c r="P860" s="191">
        <v>2.6022332869927601E-2</v>
      </c>
      <c r="Q860" s="191">
        <v>4.180080979597E-2</v>
      </c>
      <c r="R860" s="191">
        <v>4.8913810169324903E-2</v>
      </c>
      <c r="T860" s="46">
        <v>3</v>
      </c>
      <c r="U860" s="53"/>
      <c r="V860" s="47"/>
      <c r="W860" s="3" t="s">
        <v>552</v>
      </c>
      <c r="X860" s="3" t="s">
        <v>555</v>
      </c>
      <c r="Y860" s="51" t="s">
        <v>525</v>
      </c>
      <c r="Z860" s="178" t="s">
        <v>525</v>
      </c>
    </row>
    <row r="861" spans="6:26" ht="28.8">
      <c r="F861" s="137">
        <v>2</v>
      </c>
      <c r="G861" s="137" t="s">
        <v>10157</v>
      </c>
      <c r="H861" s="136" t="s">
        <v>10162</v>
      </c>
      <c r="I861" s="136" t="s">
        <v>550</v>
      </c>
      <c r="J861" s="136" t="s">
        <v>561</v>
      </c>
      <c r="K861" s="191">
        <v>-2.8533815875203707</v>
      </c>
      <c r="L861" s="191">
        <v>0</v>
      </c>
      <c r="M861" s="191">
        <v>0</v>
      </c>
      <c r="N861" s="191">
        <v>-1.0338589694293789</v>
      </c>
      <c r="O861" s="191">
        <v>-1.5970889569085887</v>
      </c>
      <c r="P861" s="191">
        <v>-0.46676852163692306</v>
      </c>
      <c r="Q861" s="191">
        <v>-0.53874884609908802</v>
      </c>
      <c r="R861" s="191">
        <v>2.7968656135843518E-2</v>
      </c>
      <c r="T861" s="46">
        <v>3</v>
      </c>
      <c r="U861" s="53" t="s">
        <v>330</v>
      </c>
      <c r="V861" s="47" t="s">
        <v>330</v>
      </c>
      <c r="W861" s="3" t="s">
        <v>552</v>
      </c>
      <c r="X861" s="3" t="s">
        <v>555</v>
      </c>
      <c r="Y861" s="51">
        <v>0.14119999999999999</v>
      </c>
      <c r="Z861" s="178">
        <v>0.43014000000000002</v>
      </c>
    </row>
    <row r="862" spans="6:26">
      <c r="F862" s="137">
        <v>2</v>
      </c>
      <c r="G862" s="137" t="s">
        <v>252</v>
      </c>
      <c r="H862" s="136" t="s">
        <v>333</v>
      </c>
      <c r="I862" s="136" t="s">
        <v>550</v>
      </c>
      <c r="J862" s="136" t="s">
        <v>561</v>
      </c>
      <c r="K862" s="191">
        <v>-2.0953266666666663</v>
      </c>
      <c r="L862" s="191">
        <v>0</v>
      </c>
      <c r="M862" s="191">
        <v>-4.4031027052446881</v>
      </c>
      <c r="N862" s="191">
        <v>0</v>
      </c>
      <c r="O862" s="191">
        <v>0</v>
      </c>
      <c r="P862" s="191">
        <v>2.6022305346742901E-2</v>
      </c>
      <c r="Q862" s="191">
        <v>0.62743418122049499</v>
      </c>
      <c r="R862" s="191">
        <v>2.1870245647238802</v>
      </c>
      <c r="T862" s="46">
        <v>3</v>
      </c>
      <c r="U862" s="53" t="s">
        <v>330</v>
      </c>
      <c r="V862" s="47" t="s">
        <v>335</v>
      </c>
      <c r="W862" s="3" t="s">
        <v>552</v>
      </c>
      <c r="X862" s="3" t="s">
        <v>555</v>
      </c>
      <c r="Y862" s="51">
        <v>0.26272000000000001</v>
      </c>
      <c r="Z862" s="178">
        <v>0.43014000000000002</v>
      </c>
    </row>
    <row r="863" spans="6:26">
      <c r="F863" s="137">
        <v>2</v>
      </c>
      <c r="G863" s="137" t="s">
        <v>239</v>
      </c>
      <c r="H863" s="136" t="s">
        <v>542</v>
      </c>
      <c r="I863" s="136" t="s">
        <v>550</v>
      </c>
      <c r="J863" s="136" t="s">
        <v>561</v>
      </c>
      <c r="K863" s="191">
        <v>-2.6644477777777777</v>
      </c>
      <c r="L863" s="191">
        <v>0</v>
      </c>
      <c r="M863" s="191">
        <v>-0.82622090524955993</v>
      </c>
      <c r="N863" s="191">
        <v>-1.6415582940675599</v>
      </c>
      <c r="O863" s="191">
        <v>-2.38875601138436</v>
      </c>
      <c r="P863" s="191">
        <v>-0.64660766527578795</v>
      </c>
      <c r="Q863" s="191">
        <v>-0.84015304589553597</v>
      </c>
      <c r="R863" s="191">
        <v>2.7471597181405401E-2</v>
      </c>
      <c r="T863" s="46">
        <v>3</v>
      </c>
      <c r="U863" s="53" t="s">
        <v>330</v>
      </c>
      <c r="V863" s="47" t="s">
        <v>326</v>
      </c>
      <c r="W863" s="3" t="s">
        <v>552</v>
      </c>
      <c r="X863" s="3" t="s">
        <v>555</v>
      </c>
      <c r="Y863" s="51">
        <v>0.14119999999999999</v>
      </c>
      <c r="Z863" s="178">
        <v>0.43014000000000002</v>
      </c>
    </row>
    <row r="864" spans="6:26">
      <c r="F864" s="137">
        <v>2</v>
      </c>
      <c r="G864" s="137" t="s">
        <v>10157</v>
      </c>
      <c r="H864" s="136" t="s">
        <v>238</v>
      </c>
      <c r="I864" s="136" t="s">
        <v>550</v>
      </c>
      <c r="J864" s="136" t="s">
        <v>561</v>
      </c>
      <c r="K864" s="191">
        <v>-2.7046544444444445</v>
      </c>
      <c r="L864" s="191">
        <v>0</v>
      </c>
      <c r="M864" s="191">
        <v>0</v>
      </c>
      <c r="N864" s="191">
        <v>0</v>
      </c>
      <c r="O864" s="191">
        <v>0</v>
      </c>
      <c r="P864" s="191">
        <v>-0.14217576533078435</v>
      </c>
      <c r="Q864" s="191">
        <v>-7.2160156614060708E-2</v>
      </c>
      <c r="R864" s="191">
        <v>0.54326790128727453</v>
      </c>
      <c r="T864" s="46">
        <v>3</v>
      </c>
      <c r="U864" s="53" t="s">
        <v>529</v>
      </c>
      <c r="V864" s="47" t="s">
        <v>529</v>
      </c>
      <c r="W864" s="3" t="s">
        <v>552</v>
      </c>
      <c r="X864" s="3" t="s">
        <v>555</v>
      </c>
      <c r="Y864" s="51">
        <v>4.72241</v>
      </c>
      <c r="Z864" s="178">
        <v>1.758</v>
      </c>
    </row>
    <row r="865" spans="6:26" ht="28.8">
      <c r="F865" s="137">
        <v>2</v>
      </c>
      <c r="G865" s="137" t="s">
        <v>264</v>
      </c>
      <c r="H865" s="136" t="s">
        <v>10184</v>
      </c>
      <c r="I865" s="136" t="s">
        <v>550</v>
      </c>
      <c r="J865" s="136" t="s">
        <v>561</v>
      </c>
      <c r="K865" s="191">
        <v>-1.9287117500000002</v>
      </c>
      <c r="L865" s="191">
        <v>-1.1070613798500002</v>
      </c>
      <c r="M865" s="191">
        <v>0.15112249999999994</v>
      </c>
      <c r="N865" s="191">
        <v>0</v>
      </c>
      <c r="O865" s="191">
        <v>0</v>
      </c>
      <c r="P865" s="191">
        <v>-0.34184760397441188</v>
      </c>
      <c r="Q865" s="191">
        <v>-0.48628067956811966</v>
      </c>
      <c r="R865" s="191">
        <v>0.46005655473220308</v>
      </c>
      <c r="T865" s="46">
        <v>3</v>
      </c>
      <c r="U865" s="53" t="s">
        <v>529</v>
      </c>
      <c r="V865" s="47" t="s">
        <v>327</v>
      </c>
      <c r="W865" s="3" t="s">
        <v>552</v>
      </c>
      <c r="X865" s="3" t="s">
        <v>555</v>
      </c>
      <c r="Y865" s="51">
        <v>0.25034000000000001</v>
      </c>
      <c r="Z865" s="178">
        <v>0.99672000000000005</v>
      </c>
    </row>
    <row r="866" spans="6:26">
      <c r="F866" s="137">
        <v>2</v>
      </c>
      <c r="G866" s="137" t="s">
        <v>264</v>
      </c>
      <c r="H866" s="136" t="s">
        <v>336</v>
      </c>
      <c r="I866" s="136" t="s">
        <v>550</v>
      </c>
      <c r="J866" s="136" t="s">
        <v>561</v>
      </c>
      <c r="K866" s="191">
        <v>-0.76351350000000007</v>
      </c>
      <c r="L866" s="191">
        <v>-0.34968251735000005</v>
      </c>
      <c r="M866" s="191">
        <v>0</v>
      </c>
      <c r="N866" s="191">
        <v>-1.6485436672468201</v>
      </c>
      <c r="O866" s="191">
        <v>-2.6245446893481601</v>
      </c>
      <c r="P866" s="191">
        <v>-0.99956618689668975</v>
      </c>
      <c r="Q866" s="191">
        <v>-0.72267533514796634</v>
      </c>
      <c r="R866" s="191">
        <v>0.21081764527793512</v>
      </c>
      <c r="T866" s="46">
        <v>3</v>
      </c>
      <c r="U866" s="53" t="s">
        <v>529</v>
      </c>
      <c r="V866" s="47" t="s">
        <v>331</v>
      </c>
      <c r="W866" s="3" t="s">
        <v>552</v>
      </c>
      <c r="X866" s="3" t="s">
        <v>555</v>
      </c>
      <c r="Y866" s="51">
        <v>9.1944800000000004</v>
      </c>
      <c r="Z866" s="178">
        <v>2.5192800000000002</v>
      </c>
    </row>
    <row r="867" spans="6:26">
      <c r="F867" s="137">
        <v>2</v>
      </c>
      <c r="G867" s="137" t="s">
        <v>242</v>
      </c>
      <c r="H867" s="136" t="s">
        <v>251</v>
      </c>
      <c r="I867" s="136" t="s">
        <v>550</v>
      </c>
      <c r="J867" s="136" t="s">
        <v>561</v>
      </c>
      <c r="K867" s="191">
        <v>-4.9218200000000003</v>
      </c>
      <c r="L867" s="191">
        <v>-3.5665477000000001</v>
      </c>
      <c r="M867" s="191">
        <v>-1.2190350000000001</v>
      </c>
      <c r="N867" s="191">
        <v>0</v>
      </c>
      <c r="O867" s="191">
        <v>0</v>
      </c>
      <c r="P867" s="191">
        <v>2.5924922138697161E-2</v>
      </c>
      <c r="Q867" s="191">
        <v>0.21655920049060215</v>
      </c>
      <c r="R867" s="191">
        <v>0.8484566344623381</v>
      </c>
      <c r="T867" s="46">
        <v>3</v>
      </c>
      <c r="U867" s="53" t="s">
        <v>529</v>
      </c>
      <c r="V867" s="47" t="s">
        <v>332</v>
      </c>
      <c r="W867" s="3" t="s">
        <v>552</v>
      </c>
      <c r="X867" s="3" t="s">
        <v>555</v>
      </c>
      <c r="Y867" s="51">
        <v>2.5034000000000001</v>
      </c>
      <c r="Z867" s="178">
        <v>1.0183800000000001</v>
      </c>
    </row>
    <row r="868" spans="6:26">
      <c r="F868" s="137">
        <v>2</v>
      </c>
      <c r="G868" s="137" t="s">
        <v>242</v>
      </c>
      <c r="H868" s="136" t="s">
        <v>543</v>
      </c>
      <c r="I868" s="136" t="s">
        <v>550</v>
      </c>
      <c r="J868" s="136" t="s">
        <v>561</v>
      </c>
      <c r="K868" s="191">
        <v>-1.00081</v>
      </c>
      <c r="L868" s="191">
        <v>-0.72381545000000003</v>
      </c>
      <c r="M868" s="191">
        <v>-0.20626249999999999</v>
      </c>
      <c r="N868" s="191">
        <v>0</v>
      </c>
      <c r="O868" s="191">
        <v>0</v>
      </c>
      <c r="P868" s="191">
        <v>2.5860000000000001E-2</v>
      </c>
      <c r="Q868" s="191">
        <v>4.1800809795969597E-2</v>
      </c>
      <c r="R868" s="191">
        <v>4.8913810169323599E-2</v>
      </c>
      <c r="T868" s="46">
        <v>3</v>
      </c>
      <c r="U868" s="53" t="s">
        <v>252</v>
      </c>
      <c r="V868" s="47" t="s">
        <v>252</v>
      </c>
      <c r="W868" s="3" t="s">
        <v>552</v>
      </c>
      <c r="X868" s="3" t="s">
        <v>555</v>
      </c>
      <c r="Y868" s="51">
        <v>2.0953266666666663</v>
      </c>
      <c r="Z868" s="178">
        <v>1.77911</v>
      </c>
    </row>
    <row r="869" spans="6:26" ht="28.8">
      <c r="F869" s="137">
        <v>2</v>
      </c>
      <c r="G869" s="137" t="s">
        <v>264</v>
      </c>
      <c r="H869" s="136" t="s">
        <v>544</v>
      </c>
      <c r="I869" s="136" t="s">
        <v>550</v>
      </c>
      <c r="J869" s="136" t="s">
        <v>561</v>
      </c>
      <c r="K869" s="191">
        <v>-3.0939100000000002</v>
      </c>
      <c r="L869" s="191">
        <v>-1.8644402423500002</v>
      </c>
      <c r="M869" s="191">
        <v>0.15112249999999994</v>
      </c>
      <c r="N869" s="191">
        <v>0</v>
      </c>
      <c r="O869" s="191">
        <v>0</v>
      </c>
      <c r="P869" s="191">
        <v>0.31587097894786598</v>
      </c>
      <c r="Q869" s="191">
        <v>-0.249886023988273</v>
      </c>
      <c r="R869" s="191">
        <v>0.70929546418647105</v>
      </c>
      <c r="T869" s="46">
        <v>3</v>
      </c>
      <c r="U869" s="53" t="s">
        <v>252</v>
      </c>
      <c r="V869" s="47" t="s">
        <v>253</v>
      </c>
      <c r="W869" s="3" t="s">
        <v>552</v>
      </c>
      <c r="X869" s="3" t="s">
        <v>555</v>
      </c>
      <c r="Y869" s="51">
        <v>2.04928</v>
      </c>
      <c r="Z869" s="178">
        <v>1.77911</v>
      </c>
    </row>
    <row r="870" spans="6:26">
      <c r="F870" s="137">
        <v>2</v>
      </c>
      <c r="G870" s="137" t="s">
        <v>10157</v>
      </c>
      <c r="H870" s="136" t="s">
        <v>545</v>
      </c>
      <c r="I870" s="136" t="s">
        <v>550</v>
      </c>
      <c r="J870" s="136" t="s">
        <v>561</v>
      </c>
      <c r="K870" s="191">
        <v>-2.8533815875203707</v>
      </c>
      <c r="L870" s="191">
        <v>0</v>
      </c>
      <c r="M870" s="191">
        <v>0</v>
      </c>
      <c r="N870" s="191">
        <v>0</v>
      </c>
      <c r="O870" s="191">
        <v>0</v>
      </c>
      <c r="P870" s="191">
        <v>-0.46676852163692306</v>
      </c>
      <c r="Q870" s="191">
        <v>-0.53874884609908802</v>
      </c>
      <c r="R870" s="191">
        <v>2.7968656135843518E-2</v>
      </c>
      <c r="T870" s="46">
        <v>3</v>
      </c>
      <c r="U870" s="53" t="s">
        <v>252</v>
      </c>
      <c r="V870" s="47" t="s">
        <v>328</v>
      </c>
      <c r="W870" s="3" t="s">
        <v>552</v>
      </c>
      <c r="X870" s="3" t="s">
        <v>555</v>
      </c>
      <c r="Y870" s="51">
        <v>2.3231199999999999</v>
      </c>
      <c r="Z870" s="178">
        <v>1.77911</v>
      </c>
    </row>
    <row r="871" spans="6:26" ht="28.8">
      <c r="F871" s="137">
        <v>2</v>
      </c>
      <c r="G871" s="137" t="s">
        <v>10169</v>
      </c>
      <c r="H871" s="136" t="s">
        <v>10170</v>
      </c>
      <c r="I871" s="136" t="s">
        <v>550</v>
      </c>
      <c r="J871" s="136" t="s">
        <v>561</v>
      </c>
      <c r="K871" s="191">
        <v>-0.74582333333333339</v>
      </c>
      <c r="L871" s="191">
        <v>-0.58351400000000009</v>
      </c>
      <c r="M871" s="191">
        <v>0.3259926084346883</v>
      </c>
      <c r="N871" s="191">
        <v>0</v>
      </c>
      <c r="O871" s="191">
        <v>0</v>
      </c>
      <c r="P871" s="191">
        <v>0.45668176288049178</v>
      </c>
      <c r="Q871" s="191">
        <v>1.0683983533052401</v>
      </c>
      <c r="R871" s="191">
        <v>1.142290877337675</v>
      </c>
      <c r="T871" s="46">
        <v>3</v>
      </c>
      <c r="U871" s="53" t="s">
        <v>252</v>
      </c>
      <c r="V871" s="47" t="s">
        <v>254</v>
      </c>
      <c r="W871" s="3" t="s">
        <v>552</v>
      </c>
      <c r="X871" s="3" t="s">
        <v>555</v>
      </c>
      <c r="Y871" s="51">
        <v>2.1485799999999999</v>
      </c>
      <c r="Z871" s="178">
        <v>1.77911</v>
      </c>
    </row>
    <row r="872" spans="6:26" ht="28.8">
      <c r="F872" s="139">
        <v>3</v>
      </c>
      <c r="G872" s="139" t="s">
        <v>233</v>
      </c>
      <c r="H872" s="140" t="s">
        <v>10178</v>
      </c>
      <c r="I872" s="140" t="s">
        <v>552</v>
      </c>
      <c r="J872" s="140" t="s">
        <v>555</v>
      </c>
      <c r="K872" s="191">
        <v>0</v>
      </c>
      <c r="L872" s="191">
        <v>-0.13905086666666666</v>
      </c>
      <c r="M872" s="191">
        <v>0</v>
      </c>
      <c r="N872" s="191">
        <v>-1.4453602071486411</v>
      </c>
      <c r="O872" s="191">
        <v>-2.0555285758021533</v>
      </c>
      <c r="P872" s="191">
        <v>-1.0059572388755897</v>
      </c>
      <c r="Q872" s="191">
        <v>-0.9533595849861678</v>
      </c>
      <c r="R872" s="191">
        <v>3.3143201616163631E-2</v>
      </c>
      <c r="T872" s="46">
        <v>3</v>
      </c>
      <c r="U872" s="53" t="s">
        <v>252</v>
      </c>
      <c r="V872" s="47" t="s">
        <v>532</v>
      </c>
      <c r="W872" s="3" t="s">
        <v>552</v>
      </c>
      <c r="X872" s="3" t="s">
        <v>555</v>
      </c>
      <c r="Y872" s="51">
        <v>1.9492499999999999</v>
      </c>
      <c r="Z872" s="178">
        <v>1.77911</v>
      </c>
    </row>
    <row r="873" spans="6:26" ht="28.8">
      <c r="F873" s="137">
        <v>3</v>
      </c>
      <c r="G873" s="137" t="s">
        <v>233</v>
      </c>
      <c r="H873" s="136" t="s">
        <v>250</v>
      </c>
      <c r="I873" s="136" t="s">
        <v>552</v>
      </c>
      <c r="J873" s="136" t="s">
        <v>555</v>
      </c>
      <c r="K873" s="191">
        <v>0</v>
      </c>
      <c r="L873" s="191">
        <v>0</v>
      </c>
      <c r="M873" s="191">
        <v>0</v>
      </c>
      <c r="N873" s="191">
        <v>-1.7440020321218299</v>
      </c>
      <c r="O873" s="191">
        <v>-2.1550741473042199</v>
      </c>
      <c r="P873" s="191">
        <v>-1.02568241234737</v>
      </c>
      <c r="Q873" s="191">
        <v>-1.02076905583887</v>
      </c>
      <c r="R873" s="191">
        <v>2.8433780314571899E-2</v>
      </c>
      <c r="T873" s="46">
        <v>3</v>
      </c>
      <c r="U873" s="53" t="s">
        <v>252</v>
      </c>
      <c r="V873" s="47" t="s">
        <v>245</v>
      </c>
      <c r="W873" s="3" t="s">
        <v>552</v>
      </c>
      <c r="X873" s="3" t="s">
        <v>555</v>
      </c>
      <c r="Y873" s="51">
        <v>2.0269300000000001</v>
      </c>
      <c r="Z873" s="178">
        <v>1.77911</v>
      </c>
    </row>
    <row r="874" spans="6:26" ht="28.8">
      <c r="F874" s="137">
        <v>3</v>
      </c>
      <c r="G874" s="137" t="s">
        <v>233</v>
      </c>
      <c r="H874" s="136" t="s">
        <v>249</v>
      </c>
      <c r="I874" s="136" t="s">
        <v>552</v>
      </c>
      <c r="J874" s="136" t="s">
        <v>555</v>
      </c>
      <c r="K874" s="191">
        <v>0</v>
      </c>
      <c r="L874" s="191">
        <v>0</v>
      </c>
      <c r="M874" s="191">
        <v>0</v>
      </c>
      <c r="N874" s="191">
        <v>-0.54312947672349599</v>
      </c>
      <c r="O874" s="191">
        <v>-0.75458879575177795</v>
      </c>
      <c r="P874" s="191">
        <v>5.21256992475796E-2</v>
      </c>
      <c r="Q874" s="191">
        <v>-0.21791388891459801</v>
      </c>
      <c r="R874" s="191">
        <v>2.5754674050476802E-2</v>
      </c>
      <c r="T874" s="46">
        <v>3</v>
      </c>
      <c r="U874" s="53" t="s">
        <v>252</v>
      </c>
      <c r="V874" s="47" t="s">
        <v>533</v>
      </c>
      <c r="W874" s="3" t="s">
        <v>552</v>
      </c>
      <c r="X874" s="3" t="s">
        <v>555</v>
      </c>
      <c r="Y874" s="51">
        <v>2.0748000000000002</v>
      </c>
      <c r="Z874" s="178">
        <v>1.77911</v>
      </c>
    </row>
    <row r="875" spans="6:26" ht="28.8">
      <c r="F875" s="137">
        <v>3</v>
      </c>
      <c r="G875" s="137" t="s">
        <v>233</v>
      </c>
      <c r="H875" s="136" t="s">
        <v>273</v>
      </c>
      <c r="I875" s="136" t="s">
        <v>552</v>
      </c>
      <c r="J875" s="136" t="s">
        <v>555</v>
      </c>
      <c r="K875" s="191">
        <v>0</v>
      </c>
      <c r="L875" s="191">
        <v>0</v>
      </c>
      <c r="M875" s="191">
        <v>0</v>
      </c>
      <c r="N875" s="191">
        <v>-1.64655650896596</v>
      </c>
      <c r="O875" s="191">
        <v>-2.1007068372542301</v>
      </c>
      <c r="P875" s="191">
        <v>-0.81021857242915696</v>
      </c>
      <c r="Q875" s="191">
        <v>-0.99139616916911</v>
      </c>
      <c r="R875" s="191">
        <v>2.7209269723740701E-2</v>
      </c>
      <c r="T875" s="46">
        <v>3</v>
      </c>
      <c r="U875" s="53" t="s">
        <v>242</v>
      </c>
      <c r="V875" s="47" t="s">
        <v>242</v>
      </c>
      <c r="W875" s="3" t="s">
        <v>552</v>
      </c>
      <c r="X875" s="3" t="s">
        <v>555</v>
      </c>
      <c r="Y875" s="51">
        <v>38.486130000000003</v>
      </c>
      <c r="Z875" s="178">
        <v>0.20843</v>
      </c>
    </row>
    <row r="876" spans="6:26">
      <c r="F876" s="137">
        <v>3</v>
      </c>
      <c r="G876" s="137" t="s">
        <v>233</v>
      </c>
      <c r="H876" s="136" t="s">
        <v>330</v>
      </c>
      <c r="I876" s="136" t="s">
        <v>552</v>
      </c>
      <c r="J876" s="136" t="s">
        <v>555</v>
      </c>
      <c r="K876" s="191">
        <v>-0.14119999999999999</v>
      </c>
      <c r="L876" s="191">
        <v>-0.1076582</v>
      </c>
      <c r="M876" s="191">
        <v>0</v>
      </c>
      <c r="N876" s="191">
        <v>0</v>
      </c>
      <c r="O876" s="191">
        <v>0</v>
      </c>
      <c r="P876" s="191">
        <v>-1.4815773000277099</v>
      </c>
      <c r="Q876" s="191">
        <v>-1.15568226342465</v>
      </c>
      <c r="R876" s="191">
        <v>5.3038049624167E-2</v>
      </c>
      <c r="T876" s="46">
        <v>3</v>
      </c>
      <c r="U876" s="53" t="s">
        <v>242</v>
      </c>
      <c r="V876" s="47" t="s">
        <v>242</v>
      </c>
      <c r="W876" s="3" t="s">
        <v>552</v>
      </c>
      <c r="X876" s="3" t="s">
        <v>555</v>
      </c>
      <c r="Y876" s="51">
        <v>38.486130000000003</v>
      </c>
      <c r="Z876" s="178">
        <v>0.20843</v>
      </c>
    </row>
    <row r="877" spans="6:26">
      <c r="F877" s="137">
        <v>3</v>
      </c>
      <c r="G877" s="137" t="s">
        <v>233</v>
      </c>
      <c r="H877" s="136" t="s">
        <v>335</v>
      </c>
      <c r="I877" s="136" t="s">
        <v>552</v>
      </c>
      <c r="J877" s="136" t="s">
        <v>555</v>
      </c>
      <c r="K877" s="191">
        <v>-0.26272000000000001</v>
      </c>
      <c r="L877" s="191">
        <v>-0.20183620000000002</v>
      </c>
      <c r="M877" s="191">
        <v>0</v>
      </c>
      <c r="N877" s="191">
        <v>-1.64655650896596</v>
      </c>
      <c r="O877" s="191">
        <v>-2.6336365493502698</v>
      </c>
      <c r="P877" s="191">
        <v>-1.3851954238484401</v>
      </c>
      <c r="Q877" s="191">
        <v>-1.16719806628489</v>
      </c>
      <c r="R877" s="191">
        <v>3.2211717992012702E-2</v>
      </c>
      <c r="T877" s="46">
        <v>3</v>
      </c>
      <c r="U877" s="53" t="s">
        <v>242</v>
      </c>
      <c r="V877" s="47" t="s">
        <v>534</v>
      </c>
      <c r="W877" s="3" t="s">
        <v>552</v>
      </c>
      <c r="X877" s="3" t="s">
        <v>555</v>
      </c>
      <c r="Y877" s="51">
        <v>15.0122</v>
      </c>
      <c r="Z877" s="178">
        <v>0.37092000000000003</v>
      </c>
    </row>
    <row r="878" spans="6:26">
      <c r="F878" s="137">
        <v>3</v>
      </c>
      <c r="G878" s="137" t="s">
        <v>233</v>
      </c>
      <c r="H878" s="136" t="s">
        <v>326</v>
      </c>
      <c r="I878" s="136" t="s">
        <v>552</v>
      </c>
      <c r="J878" s="136" t="s">
        <v>555</v>
      </c>
      <c r="K878" s="191">
        <v>-0.14119999999999999</v>
      </c>
      <c r="L878" s="191">
        <v>-0.1076582</v>
      </c>
      <c r="M878" s="191">
        <v>0</v>
      </c>
      <c r="N878" s="191">
        <v>-1.64655650896596</v>
      </c>
      <c r="O878" s="191">
        <v>-2.6336365493502698</v>
      </c>
      <c r="P878" s="191">
        <v>-1.3851954238484401</v>
      </c>
      <c r="Q878" s="191">
        <v>-1.16719806628489</v>
      </c>
      <c r="R878" s="191">
        <v>3.2211717992012702E-2</v>
      </c>
      <c r="T878" s="46">
        <v>3</v>
      </c>
      <c r="U878" s="53" t="s">
        <v>239</v>
      </c>
      <c r="V878" s="47" t="s">
        <v>239</v>
      </c>
      <c r="W878" s="3" t="s">
        <v>552</v>
      </c>
      <c r="X878" s="3" t="s">
        <v>555</v>
      </c>
      <c r="Y878" s="51">
        <v>2.6644477777777777</v>
      </c>
      <c r="Z878" s="178">
        <v>0.64099666666666666</v>
      </c>
    </row>
    <row r="879" spans="6:26">
      <c r="F879" s="137">
        <v>3</v>
      </c>
      <c r="G879" s="137" t="s">
        <v>261</v>
      </c>
      <c r="H879" s="136" t="s">
        <v>10179</v>
      </c>
      <c r="I879" s="136" t="s">
        <v>552</v>
      </c>
      <c r="J879" s="136" t="s">
        <v>555</v>
      </c>
      <c r="K879" s="191">
        <v>-4.72241</v>
      </c>
      <c r="L879" s="191">
        <v>-2.3594331999999998</v>
      </c>
      <c r="M879" s="191">
        <v>0</v>
      </c>
      <c r="N879" s="191">
        <v>-0.36323464441652753</v>
      </c>
      <c r="O879" s="191">
        <v>-0.61693958948757244</v>
      </c>
      <c r="P879" s="191">
        <v>0.15696519926646002</v>
      </c>
      <c r="Q879" s="191">
        <v>-0.2011684659576255</v>
      </c>
      <c r="R879" s="191">
        <v>2.5407885046950601E-2</v>
      </c>
      <c r="T879" s="46">
        <v>3</v>
      </c>
      <c r="U879" s="53" t="s">
        <v>239</v>
      </c>
      <c r="V879" s="47" t="s">
        <v>324</v>
      </c>
      <c r="W879" s="3" t="s">
        <v>552</v>
      </c>
      <c r="X879" s="3" t="s">
        <v>555</v>
      </c>
      <c r="Y879" s="51">
        <v>1.66</v>
      </c>
      <c r="Z879" s="178">
        <v>0.13142999999999999</v>
      </c>
    </row>
    <row r="880" spans="6:26" ht="28.8">
      <c r="F880" s="137">
        <v>3</v>
      </c>
      <c r="G880" s="137" t="s">
        <v>261</v>
      </c>
      <c r="H880" s="136" t="s">
        <v>269</v>
      </c>
      <c r="I880" s="136" t="s">
        <v>552</v>
      </c>
      <c r="J880" s="136" t="s">
        <v>555</v>
      </c>
      <c r="K880" s="191">
        <v>-0.25034000000000001</v>
      </c>
      <c r="L880" s="191">
        <v>-0.1233982</v>
      </c>
      <c r="M880" s="191">
        <v>0</v>
      </c>
      <c r="N880" s="191">
        <v>-0.30319849135481602</v>
      </c>
      <c r="O880" s="191">
        <v>-0.52506421567601302</v>
      </c>
      <c r="P880" s="191">
        <v>0.18726550694841601</v>
      </c>
      <c r="Q880" s="191">
        <v>-0.13984124434489101</v>
      </c>
      <c r="R880" s="191">
        <v>2.50856610037276E-2</v>
      </c>
      <c r="T880" s="46">
        <v>3</v>
      </c>
      <c r="U880" s="53" t="s">
        <v>239</v>
      </c>
      <c r="V880" s="47" t="s">
        <v>272</v>
      </c>
      <c r="W880" s="3" t="s">
        <v>552</v>
      </c>
      <c r="X880" s="3" t="s">
        <v>555</v>
      </c>
      <c r="Y880" s="51">
        <v>2.1278299999999999</v>
      </c>
      <c r="Z880" s="178">
        <v>1.2152400000000001</v>
      </c>
    </row>
    <row r="881" spans="6:26" ht="28.8">
      <c r="F881" s="137">
        <v>3</v>
      </c>
      <c r="G881" s="137" t="s">
        <v>261</v>
      </c>
      <c r="H881" s="136" t="s">
        <v>530</v>
      </c>
      <c r="I881" s="136" t="s">
        <v>552</v>
      </c>
      <c r="J881" s="136" t="s">
        <v>555</v>
      </c>
      <c r="K881" s="191">
        <v>-9.1944800000000004</v>
      </c>
      <c r="L881" s="191">
        <v>-4.5954682</v>
      </c>
      <c r="M881" s="191">
        <v>0</v>
      </c>
      <c r="N881" s="191">
        <v>-0.42327079747823898</v>
      </c>
      <c r="O881" s="191">
        <v>-0.70881496329913196</v>
      </c>
      <c r="P881" s="191">
        <v>0.126664891584504</v>
      </c>
      <c r="Q881" s="191">
        <v>-0.26249568757036001</v>
      </c>
      <c r="R881" s="191">
        <v>2.5730109090173599E-2</v>
      </c>
      <c r="T881" s="46">
        <v>3</v>
      </c>
      <c r="U881" s="53" t="s">
        <v>239</v>
      </c>
      <c r="V881" s="47" t="s">
        <v>329</v>
      </c>
      <c r="W881" s="3" t="s">
        <v>552</v>
      </c>
      <c r="X881" s="3" t="s">
        <v>555</v>
      </c>
      <c r="Y881" s="51">
        <v>3.4792200000000002</v>
      </c>
      <c r="Z881" s="178">
        <v>1.0383</v>
      </c>
    </row>
    <row r="882" spans="6:26">
      <c r="F882" s="137">
        <v>3</v>
      </c>
      <c r="G882" s="137" t="s">
        <v>261</v>
      </c>
      <c r="H882" s="136" t="s">
        <v>262</v>
      </c>
      <c r="I882" s="136" t="s">
        <v>552</v>
      </c>
      <c r="J882" s="136" t="s">
        <v>555</v>
      </c>
      <c r="K882" s="191">
        <v>-2.5034000000000001</v>
      </c>
      <c r="L882" s="191">
        <v>0</v>
      </c>
      <c r="M882" s="191">
        <v>0</v>
      </c>
      <c r="N882" s="191">
        <v>-0.42327079747823898</v>
      </c>
      <c r="O882" s="191">
        <v>-0.70881496329913196</v>
      </c>
      <c r="P882" s="191">
        <v>0.126664891584504</v>
      </c>
      <c r="Q882" s="191">
        <v>-0.26249568757036001</v>
      </c>
      <c r="R882" s="191">
        <v>2.5730109090173599E-2</v>
      </c>
      <c r="T882" s="46">
        <v>3</v>
      </c>
      <c r="U882" s="53" t="s">
        <v>239</v>
      </c>
      <c r="V882" s="47" t="s">
        <v>271</v>
      </c>
      <c r="W882" s="3" t="s">
        <v>552</v>
      </c>
      <c r="X882" s="3" t="s">
        <v>555</v>
      </c>
      <c r="Y882" s="51">
        <v>3.1045600000000002</v>
      </c>
      <c r="Z882" s="178">
        <v>0.12864</v>
      </c>
    </row>
    <row r="883" spans="6:26">
      <c r="F883" s="137">
        <v>3</v>
      </c>
      <c r="G883" s="137" t="s">
        <v>252</v>
      </c>
      <c r="H883" s="136" t="s">
        <v>10180</v>
      </c>
      <c r="I883" s="136" t="s">
        <v>552</v>
      </c>
      <c r="J883" s="136" t="s">
        <v>555</v>
      </c>
      <c r="K883" s="191">
        <v>-2.0953266666666663</v>
      </c>
      <c r="L883" s="191">
        <v>-1.5407999593666664</v>
      </c>
      <c r="M883" s="191">
        <v>-4.4025891502648795</v>
      </c>
      <c r="N883" s="191">
        <v>0</v>
      </c>
      <c r="O883" s="191">
        <v>0</v>
      </c>
      <c r="P883" s="191">
        <v>2.6042894329189499E-2</v>
      </c>
      <c r="Q883" s="191">
        <v>0.44395532733173598</v>
      </c>
      <c r="R883" s="191">
        <v>2.1870269324237599</v>
      </c>
      <c r="T883" s="46">
        <v>3</v>
      </c>
      <c r="U883" s="53" t="s">
        <v>239</v>
      </c>
      <c r="V883" s="47" t="s">
        <v>535</v>
      </c>
      <c r="W883" s="3" t="s">
        <v>552</v>
      </c>
      <c r="X883" s="3" t="s">
        <v>555</v>
      </c>
      <c r="Y883" s="51">
        <v>3.1045600000000002</v>
      </c>
      <c r="Z883" s="178">
        <v>0.12864</v>
      </c>
    </row>
    <row r="884" spans="6:26" ht="57.6">
      <c r="F884" s="137">
        <v>3</v>
      </c>
      <c r="G884" s="137" t="s">
        <v>252</v>
      </c>
      <c r="H884" s="136" t="s">
        <v>10163</v>
      </c>
      <c r="I884" s="136" t="s">
        <v>552</v>
      </c>
      <c r="J884" s="136" t="s">
        <v>555</v>
      </c>
      <c r="K884" s="191">
        <v>-2.04928</v>
      </c>
      <c r="L884" s="191">
        <v>0</v>
      </c>
      <c r="M884" s="191">
        <v>-3.8346043561803635</v>
      </c>
      <c r="N884" s="191">
        <v>0</v>
      </c>
      <c r="O884" s="191">
        <v>0</v>
      </c>
      <c r="P884" s="191">
        <v>2.6042891280744201E-2</v>
      </c>
      <c r="Q884" s="191">
        <v>0.175590688454898</v>
      </c>
      <c r="R884" s="191">
        <v>3.1831779848466799</v>
      </c>
      <c r="T884" s="46">
        <v>3</v>
      </c>
      <c r="U884" s="53" t="s">
        <v>239</v>
      </c>
      <c r="V884" s="47" t="s">
        <v>259</v>
      </c>
      <c r="W884" s="3" t="s">
        <v>552</v>
      </c>
      <c r="X884" s="3" t="s">
        <v>555</v>
      </c>
      <c r="Y884" s="51">
        <v>2.86965</v>
      </c>
      <c r="Z884" s="178">
        <v>0.79600000000000004</v>
      </c>
    </row>
    <row r="885" spans="6:26" ht="28.8">
      <c r="F885" s="137">
        <v>3</v>
      </c>
      <c r="G885" s="137" t="s">
        <v>252</v>
      </c>
      <c r="H885" s="136" t="s">
        <v>10164</v>
      </c>
      <c r="I885" s="136" t="s">
        <v>552</v>
      </c>
      <c r="J885" s="136" t="s">
        <v>555</v>
      </c>
      <c r="K885" s="191">
        <v>-2.3231199999999999</v>
      </c>
      <c r="L885" s="191">
        <v>0</v>
      </c>
      <c r="M885" s="191">
        <v>-4.5681382124045369</v>
      </c>
      <c r="N885" s="191">
        <v>0</v>
      </c>
      <c r="O885" s="191">
        <v>0</v>
      </c>
      <c r="P885" s="191">
        <v>2.6042892084158099E-2</v>
      </c>
      <c r="Q885" s="191">
        <v>0.30460453136799898</v>
      </c>
      <c r="R885" s="191">
        <v>2.4956096041782501</v>
      </c>
      <c r="T885" s="46">
        <v>3</v>
      </c>
      <c r="U885" s="53" t="s">
        <v>239</v>
      </c>
      <c r="V885" s="47" t="s">
        <v>334</v>
      </c>
      <c r="W885" s="3" t="s">
        <v>552</v>
      </c>
      <c r="X885" s="3" t="s">
        <v>555</v>
      </c>
      <c r="Y885" s="51">
        <v>2.86965</v>
      </c>
      <c r="Z885" s="178">
        <v>0.76736000000000004</v>
      </c>
    </row>
    <row r="886" spans="6:26" ht="28.8">
      <c r="F886" s="137">
        <v>3</v>
      </c>
      <c r="G886" s="137" t="s">
        <v>252</v>
      </c>
      <c r="H886" s="136" t="s">
        <v>10165</v>
      </c>
      <c r="I886" s="136" t="s">
        <v>552</v>
      </c>
      <c r="J886" s="136" t="s">
        <v>555</v>
      </c>
      <c r="K886" s="191">
        <v>-2.1485799999999999</v>
      </c>
      <c r="L886" s="191">
        <v>0</v>
      </c>
      <c r="M886" s="191">
        <v>-4.6394758200700803</v>
      </c>
      <c r="N886" s="191">
        <v>0</v>
      </c>
      <c r="O886" s="191">
        <v>0</v>
      </c>
      <c r="P886" s="191">
        <v>2.6042891280744201E-2</v>
      </c>
      <c r="Q886" s="191">
        <v>0.48074063466547701</v>
      </c>
      <c r="R886" s="191">
        <v>2.5363331169384198</v>
      </c>
      <c r="T886" s="46">
        <v>3</v>
      </c>
      <c r="U886" s="53" t="s">
        <v>239</v>
      </c>
      <c r="V886" s="47" t="s">
        <v>240</v>
      </c>
      <c r="W886" s="3" t="s">
        <v>552</v>
      </c>
      <c r="X886" s="3" t="s">
        <v>555</v>
      </c>
      <c r="Y886" s="51">
        <v>3.1045600000000002</v>
      </c>
      <c r="Z886" s="178">
        <v>0.76736000000000004</v>
      </c>
    </row>
    <row r="887" spans="6:26" ht="28.8">
      <c r="F887" s="137">
        <v>3</v>
      </c>
      <c r="G887" s="137" t="s">
        <v>252</v>
      </c>
      <c r="H887" s="136" t="s">
        <v>10166</v>
      </c>
      <c r="I887" s="136" t="s">
        <v>552</v>
      </c>
      <c r="J887" s="136" t="s">
        <v>555</v>
      </c>
      <c r="K887" s="191">
        <v>-1.9492499999999999</v>
      </c>
      <c r="L887" s="191">
        <v>0</v>
      </c>
      <c r="M887" s="191">
        <v>-4.5681382124045369</v>
      </c>
      <c r="N887" s="191">
        <v>0</v>
      </c>
      <c r="O887" s="191">
        <v>0</v>
      </c>
      <c r="P887" s="191">
        <v>2.6042892084158099E-2</v>
      </c>
      <c r="Q887" s="191">
        <v>0.30460453136799898</v>
      </c>
      <c r="R887" s="191">
        <v>2.4956096041782501</v>
      </c>
      <c r="T887" s="46">
        <v>3</v>
      </c>
      <c r="U887" s="53" t="s">
        <v>239</v>
      </c>
      <c r="V887" s="47" t="s">
        <v>325</v>
      </c>
      <c r="W887" s="3" t="s">
        <v>552</v>
      </c>
      <c r="X887" s="3" t="s">
        <v>555</v>
      </c>
      <c r="Y887" s="51">
        <v>1.66</v>
      </c>
      <c r="Z887" s="178">
        <v>0.79600000000000004</v>
      </c>
    </row>
    <row r="888" spans="6:26">
      <c r="F888" s="137">
        <v>3</v>
      </c>
      <c r="G888" s="137" t="s">
        <v>252</v>
      </c>
      <c r="H888" s="136" t="s">
        <v>10167</v>
      </c>
      <c r="I888" s="136" t="s">
        <v>552</v>
      </c>
      <c r="J888" s="136" t="s">
        <v>555</v>
      </c>
      <c r="K888" s="191">
        <v>-2.0269300000000001</v>
      </c>
      <c r="L888" s="191">
        <v>0</v>
      </c>
      <c r="M888" s="191">
        <v>0</v>
      </c>
      <c r="N888" s="191">
        <v>0</v>
      </c>
      <c r="O888" s="191">
        <v>0</v>
      </c>
      <c r="P888" s="191">
        <v>2.6042892205404101E-2</v>
      </c>
      <c r="Q888" s="191">
        <v>0.124921509262145</v>
      </c>
      <c r="R888" s="191">
        <v>3.1833672947487801</v>
      </c>
      <c r="T888" s="46">
        <v>3</v>
      </c>
      <c r="U888" s="53" t="s">
        <v>256</v>
      </c>
      <c r="V888" s="47" t="s">
        <v>256</v>
      </c>
      <c r="W888" s="3" t="s">
        <v>552</v>
      </c>
      <c r="X888" s="3" t="s">
        <v>555</v>
      </c>
      <c r="Y888" s="51">
        <v>3.3097799999999999</v>
      </c>
      <c r="Z888" s="178">
        <v>1.0068550000000001</v>
      </c>
    </row>
    <row r="889" spans="6:26">
      <c r="F889" s="137">
        <v>3</v>
      </c>
      <c r="G889" s="137" t="s">
        <v>252</v>
      </c>
      <c r="H889" s="136" t="s">
        <v>10168</v>
      </c>
      <c r="I889" s="136" t="s">
        <v>552</v>
      </c>
      <c r="J889" s="136" t="s">
        <v>555</v>
      </c>
      <c r="K889" s="191">
        <v>-2.0748000000000002</v>
      </c>
      <c r="L889" s="191">
        <v>0</v>
      </c>
      <c r="M889" s="191">
        <v>0</v>
      </c>
      <c r="N889" s="191">
        <v>0</v>
      </c>
      <c r="O889" s="191">
        <v>0</v>
      </c>
      <c r="P889" s="191">
        <v>2.6042886997659099E-2</v>
      </c>
      <c r="Q889" s="191">
        <v>0.36357047276194199</v>
      </c>
      <c r="R889" s="191">
        <v>3.0368312566581301</v>
      </c>
      <c r="T889" s="46">
        <v>3</v>
      </c>
      <c r="U889" s="53" t="s">
        <v>256</v>
      </c>
      <c r="V889" s="47" t="s">
        <v>536</v>
      </c>
      <c r="W889" s="3" t="s">
        <v>552</v>
      </c>
      <c r="X889" s="3" t="s">
        <v>555</v>
      </c>
      <c r="Y889" s="51">
        <v>1.9798800000000001</v>
      </c>
      <c r="Z889" s="178">
        <v>0.72957000000000005</v>
      </c>
    </row>
    <row r="890" spans="6:26">
      <c r="F890" s="137">
        <v>3</v>
      </c>
      <c r="G890" s="137" t="s">
        <v>242</v>
      </c>
      <c r="H890" s="136" t="s">
        <v>10181</v>
      </c>
      <c r="I890" s="136" t="s">
        <v>552</v>
      </c>
      <c r="J890" s="136" t="s">
        <v>555</v>
      </c>
      <c r="K890" s="191">
        <v>-38.486130000000003</v>
      </c>
      <c r="L890" s="191">
        <v>-27.900672450000002</v>
      </c>
      <c r="M890" s="191">
        <v>-3.2868550000000001</v>
      </c>
      <c r="N890" s="191">
        <v>0</v>
      </c>
      <c r="O890" s="191">
        <v>0</v>
      </c>
      <c r="P890" s="191">
        <v>2.5860000000000001E-2</v>
      </c>
      <c r="Q890" s="191">
        <v>4.0984842545202599E-2</v>
      </c>
      <c r="R890" s="191">
        <v>4.8934666491893597E-2</v>
      </c>
      <c r="T890" s="46">
        <v>3</v>
      </c>
      <c r="U890" s="53" t="s">
        <v>256</v>
      </c>
      <c r="V890" s="47" t="s">
        <v>257</v>
      </c>
      <c r="W890" s="3" t="s">
        <v>552</v>
      </c>
      <c r="X890" s="3" t="s">
        <v>555</v>
      </c>
      <c r="Y890" s="51">
        <v>1.9798800000000001</v>
      </c>
      <c r="Z890" s="178">
        <v>0.46493000000000001</v>
      </c>
    </row>
    <row r="891" spans="6:26">
      <c r="F891" s="137">
        <v>3</v>
      </c>
      <c r="G891" s="137" t="s">
        <v>242</v>
      </c>
      <c r="H891" s="136" t="s">
        <v>274</v>
      </c>
      <c r="I891" s="136" t="s">
        <v>552</v>
      </c>
      <c r="J891" s="136" t="s">
        <v>555</v>
      </c>
      <c r="K891" s="191">
        <v>-38.486130000000003</v>
      </c>
      <c r="L891" s="191">
        <v>-27.900672450000002</v>
      </c>
      <c r="M891" s="191">
        <v>-8.5278425000000002</v>
      </c>
      <c r="N891" s="191">
        <v>0</v>
      </c>
      <c r="O891" s="191">
        <v>0</v>
      </c>
      <c r="P891" s="191">
        <v>2.5860000000000001E-2</v>
      </c>
      <c r="Q891" s="191">
        <v>4.0984842545202599E-2</v>
      </c>
      <c r="R891" s="191">
        <v>4.8934666491893597E-2</v>
      </c>
      <c r="T891" s="46">
        <v>3</v>
      </c>
      <c r="U891" s="53" t="s">
        <v>256</v>
      </c>
      <c r="V891" s="47" t="s">
        <v>537</v>
      </c>
      <c r="W891" s="3" t="s">
        <v>552</v>
      </c>
      <c r="X891" s="3" t="s">
        <v>555</v>
      </c>
      <c r="Y891" s="51">
        <v>5.0082800000000001</v>
      </c>
      <c r="Z891" s="178">
        <v>1.54878</v>
      </c>
    </row>
    <row r="892" spans="6:26">
      <c r="F892" s="137">
        <v>3</v>
      </c>
      <c r="G892" s="137" t="s">
        <v>242</v>
      </c>
      <c r="H892" s="136" t="s">
        <v>534</v>
      </c>
      <c r="I892" s="136" t="s">
        <v>552</v>
      </c>
      <c r="J892" s="136" t="s">
        <v>555</v>
      </c>
      <c r="K892" s="191">
        <v>-15.0122</v>
      </c>
      <c r="L892" s="191">
        <v>-10.882073199999999</v>
      </c>
      <c r="M892" s="191">
        <v>-3.19428</v>
      </c>
      <c r="N892" s="191">
        <v>0</v>
      </c>
      <c r="O892" s="191">
        <v>0</v>
      </c>
      <c r="P892" s="191">
        <v>2.5860000000000001E-2</v>
      </c>
      <c r="Q892" s="191">
        <v>4.0984842545202599E-2</v>
      </c>
      <c r="R892" s="191">
        <v>4.8934666491893597E-2</v>
      </c>
      <c r="T892" s="46">
        <v>3</v>
      </c>
      <c r="U892" s="53" t="s">
        <v>256</v>
      </c>
      <c r="V892" s="47" t="s">
        <v>538</v>
      </c>
      <c r="W892" s="3" t="s">
        <v>552</v>
      </c>
      <c r="X892" s="3" t="s">
        <v>555</v>
      </c>
      <c r="Y892" s="51">
        <v>4.6396800000000002</v>
      </c>
      <c r="Z892" s="178">
        <v>1.54878</v>
      </c>
    </row>
    <row r="893" spans="6:26">
      <c r="F893" s="137">
        <v>3</v>
      </c>
      <c r="G893" s="137" t="s">
        <v>239</v>
      </c>
      <c r="H893" s="136" t="s">
        <v>10182</v>
      </c>
      <c r="I893" s="136" t="s">
        <v>552</v>
      </c>
      <c r="J893" s="136" t="s">
        <v>555</v>
      </c>
      <c r="K893" s="191">
        <v>-2.6644477777777777</v>
      </c>
      <c r="L893" s="191">
        <v>-1.7194614644444446</v>
      </c>
      <c r="M893" s="191">
        <v>-0.91191428180792811</v>
      </c>
      <c r="N893" s="191">
        <v>-1.6286344906372801</v>
      </c>
      <c r="O893" s="191">
        <v>-2.3972313350924299</v>
      </c>
      <c r="P893" s="191">
        <v>-0.66697991340315199</v>
      </c>
      <c r="Q893" s="191">
        <v>-0.942225030340478</v>
      </c>
      <c r="R893" s="191">
        <v>2.74731001572785E-2</v>
      </c>
      <c r="T893" s="46">
        <v>3</v>
      </c>
      <c r="U893" s="53" t="s">
        <v>256</v>
      </c>
      <c r="V893" s="47" t="s">
        <v>258</v>
      </c>
      <c r="W893" s="3" t="s">
        <v>552</v>
      </c>
      <c r="X893" s="3" t="s">
        <v>555</v>
      </c>
      <c r="Y893" s="51">
        <v>4.6396800000000002</v>
      </c>
      <c r="Z893" s="178">
        <v>1.54878</v>
      </c>
    </row>
    <row r="894" spans="6:26">
      <c r="F894" s="137">
        <v>3</v>
      </c>
      <c r="G894" s="137" t="s">
        <v>239</v>
      </c>
      <c r="H894" s="136" t="s">
        <v>324</v>
      </c>
      <c r="I894" s="136" t="s">
        <v>552</v>
      </c>
      <c r="J894" s="136" t="s">
        <v>555</v>
      </c>
      <c r="K894" s="191">
        <v>-1.66</v>
      </c>
      <c r="L894" s="191">
        <v>0</v>
      </c>
      <c r="M894" s="191">
        <v>0.129009716048088</v>
      </c>
      <c r="N894" s="191">
        <v>-1.6392456408190901</v>
      </c>
      <c r="O894" s="191">
        <v>-2.2430244881972801</v>
      </c>
      <c r="P894" s="191">
        <v>-1.1391950666710899</v>
      </c>
      <c r="Q894" s="191">
        <v>-1.02415368418064</v>
      </c>
      <c r="R894" s="191">
        <v>2.66831358779176E-2</v>
      </c>
      <c r="T894" s="46">
        <v>3</v>
      </c>
      <c r="U894" s="53" t="s">
        <v>247</v>
      </c>
      <c r="V894" s="47" t="s">
        <v>247</v>
      </c>
      <c r="W894" s="3" t="s">
        <v>552</v>
      </c>
      <c r="X894" s="3" t="s">
        <v>555</v>
      </c>
      <c r="Y894" s="51">
        <v>1.0505633333333335</v>
      </c>
      <c r="Z894" s="178">
        <v>0.89563000000000004</v>
      </c>
    </row>
    <row r="895" spans="6:26">
      <c r="F895" s="137">
        <v>3</v>
      </c>
      <c r="G895" s="137" t="s">
        <v>239</v>
      </c>
      <c r="H895" s="136" t="s">
        <v>272</v>
      </c>
      <c r="I895" s="136" t="s">
        <v>552</v>
      </c>
      <c r="J895" s="136" t="s">
        <v>555</v>
      </c>
      <c r="K895" s="191">
        <v>-2.1278299999999999</v>
      </c>
      <c r="L895" s="191">
        <v>-1.3728063799999999</v>
      </c>
      <c r="M895" s="191">
        <v>1.81399269502295E-2</v>
      </c>
      <c r="N895" s="191">
        <v>-1.46605946421915</v>
      </c>
      <c r="O895" s="191">
        <v>-2.2614031725356099</v>
      </c>
      <c r="P895" s="191">
        <v>3.6729999999999999E-2</v>
      </c>
      <c r="Q895" s="191">
        <v>-0.80637927493084305</v>
      </c>
      <c r="R895" s="191">
        <v>3.4587427043835002E-2</v>
      </c>
      <c r="T895" s="46">
        <v>3</v>
      </c>
      <c r="U895" s="53" t="s">
        <v>247</v>
      </c>
      <c r="V895" s="47" t="s">
        <v>248</v>
      </c>
      <c r="W895" s="3" t="s">
        <v>552</v>
      </c>
      <c r="X895" s="3" t="s">
        <v>555</v>
      </c>
      <c r="Y895" s="51">
        <v>1.0606100000000001</v>
      </c>
      <c r="Z895" s="178">
        <v>0.89563000000000004</v>
      </c>
    </row>
    <row r="896" spans="6:26">
      <c r="F896" s="137">
        <v>3</v>
      </c>
      <c r="G896" s="137" t="s">
        <v>239</v>
      </c>
      <c r="H896" s="136" t="s">
        <v>329</v>
      </c>
      <c r="I896" s="136" t="s">
        <v>552</v>
      </c>
      <c r="J896" s="136" t="s">
        <v>555</v>
      </c>
      <c r="K896" s="191">
        <v>-3.4792200000000002</v>
      </c>
      <c r="L896" s="191">
        <v>0</v>
      </c>
      <c r="M896" s="191">
        <v>-3.0232919690684583</v>
      </c>
      <c r="N896" s="191">
        <v>-1.5885742653418</v>
      </c>
      <c r="O896" s="191">
        <v>-2.529374748105</v>
      </c>
      <c r="P896" s="191">
        <v>0.41447129794550402</v>
      </c>
      <c r="Q896" s="191">
        <v>-0.80956025349591698</v>
      </c>
      <c r="R896" s="191">
        <v>3.7252082665396299E-2</v>
      </c>
      <c r="T896" s="46">
        <v>3</v>
      </c>
      <c r="U896" s="53" t="s">
        <v>247</v>
      </c>
      <c r="V896" s="47" t="s">
        <v>263</v>
      </c>
      <c r="W896" s="3" t="s">
        <v>552</v>
      </c>
      <c r="X896" s="3" t="s">
        <v>555</v>
      </c>
      <c r="Y896" s="51">
        <v>1.0341199999999999</v>
      </c>
      <c r="Z896" s="178">
        <v>0.89563000000000004</v>
      </c>
    </row>
    <row r="897" spans="6:26">
      <c r="F897" s="137">
        <v>3</v>
      </c>
      <c r="G897" s="137" t="s">
        <v>239</v>
      </c>
      <c r="H897" s="136" t="s">
        <v>271</v>
      </c>
      <c r="I897" s="136" t="s">
        <v>552</v>
      </c>
      <c r="J897" s="136" t="s">
        <v>555</v>
      </c>
      <c r="K897" s="191">
        <v>-3.1045600000000002</v>
      </c>
      <c r="L897" s="191">
        <v>0</v>
      </c>
      <c r="M897" s="191">
        <v>-1.0259035670339192</v>
      </c>
      <c r="N897" s="191">
        <v>-1.5038991018496</v>
      </c>
      <c r="O897" s="191">
        <v>-2.6105509359807</v>
      </c>
      <c r="P897" s="191">
        <v>-0.65152926151439705</v>
      </c>
      <c r="Q897" s="191">
        <v>-0.77163933817139796</v>
      </c>
      <c r="R897" s="191">
        <v>4.0399503832453401E-2</v>
      </c>
      <c r="T897" s="46">
        <v>3</v>
      </c>
      <c r="U897" s="53" t="s">
        <v>247</v>
      </c>
      <c r="V897" s="47" t="s">
        <v>539</v>
      </c>
      <c r="W897" s="3" t="s">
        <v>552</v>
      </c>
      <c r="X897" s="3" t="s">
        <v>555</v>
      </c>
      <c r="Y897" s="51">
        <v>1.0569599999999999</v>
      </c>
      <c r="Z897" s="178">
        <v>0.89563000000000004</v>
      </c>
    </row>
    <row r="898" spans="6:26">
      <c r="F898" s="137">
        <v>3</v>
      </c>
      <c r="G898" s="137" t="s">
        <v>239</v>
      </c>
      <c r="H898" s="136" t="s">
        <v>535</v>
      </c>
      <c r="I898" s="136" t="s">
        <v>552</v>
      </c>
      <c r="J898" s="136" t="s">
        <v>555</v>
      </c>
      <c r="K898" s="191">
        <v>-3.1045600000000002</v>
      </c>
      <c r="L898" s="191">
        <v>0</v>
      </c>
      <c r="M898" s="191">
        <v>-1.0259035670339192</v>
      </c>
      <c r="N898" s="191">
        <v>-1.6125525501704201</v>
      </c>
      <c r="O898" s="191">
        <v>-2.6158035268424502</v>
      </c>
      <c r="P898" s="191">
        <v>-0.85021288760053804</v>
      </c>
      <c r="Q898" s="191">
        <v>-0.85793168628016903</v>
      </c>
      <c r="R898" s="191">
        <v>2.9215875094976099E-2</v>
      </c>
      <c r="T898" s="46">
        <v>3</v>
      </c>
      <c r="U898" s="53" t="s">
        <v>247</v>
      </c>
      <c r="V898" s="47" t="s">
        <v>270</v>
      </c>
      <c r="W898" s="3" t="s">
        <v>552</v>
      </c>
      <c r="X898" s="3" t="s">
        <v>555</v>
      </c>
      <c r="Y898" s="51">
        <v>1.0505633333333335</v>
      </c>
      <c r="Z898" s="178">
        <v>0.89563000000000004</v>
      </c>
    </row>
    <row r="899" spans="6:26">
      <c r="F899" s="137">
        <v>3</v>
      </c>
      <c r="G899" s="137" t="s">
        <v>239</v>
      </c>
      <c r="H899" s="136" t="s">
        <v>259</v>
      </c>
      <c r="I899" s="136" t="s">
        <v>552</v>
      </c>
      <c r="J899" s="136" t="s">
        <v>555</v>
      </c>
      <c r="K899" s="191">
        <v>-2.86965</v>
      </c>
      <c r="L899" s="191">
        <v>0</v>
      </c>
      <c r="M899" s="191">
        <v>-1.0259035670339192</v>
      </c>
      <c r="N899" s="191">
        <v>-1.3276665253781801</v>
      </c>
      <c r="O899" s="191">
        <v>-2.0289072305326199</v>
      </c>
      <c r="P899" s="191">
        <v>-0.38444685255991901</v>
      </c>
      <c r="Q899" s="191">
        <v>-0.69915364782550704</v>
      </c>
      <c r="R899" s="191">
        <v>2.8423287432432599E-2</v>
      </c>
      <c r="T899" s="46">
        <v>3</v>
      </c>
      <c r="U899" s="53" t="s">
        <v>247</v>
      </c>
      <c r="V899" s="47" t="s">
        <v>540</v>
      </c>
      <c r="W899" s="3" t="s">
        <v>552</v>
      </c>
      <c r="X899" s="3" t="s">
        <v>555</v>
      </c>
      <c r="Y899" s="51">
        <v>1.0473650000000001</v>
      </c>
      <c r="Z899" s="178">
        <v>0.89563000000000004</v>
      </c>
    </row>
    <row r="900" spans="6:26">
      <c r="F900" s="137">
        <v>3</v>
      </c>
      <c r="G900" s="137" t="s">
        <v>239</v>
      </c>
      <c r="H900" s="136" t="s">
        <v>334</v>
      </c>
      <c r="I900" s="136" t="s">
        <v>552</v>
      </c>
      <c r="J900" s="136" t="s">
        <v>555</v>
      </c>
      <c r="K900" s="191">
        <v>-2.86965</v>
      </c>
      <c r="L900" s="191">
        <v>0</v>
      </c>
      <c r="M900" s="191">
        <v>-1.0259035670339192</v>
      </c>
      <c r="N900" s="191">
        <v>-1.73808971123668</v>
      </c>
      <c r="O900" s="191">
        <v>-2.5030750757510498</v>
      </c>
      <c r="P900" s="191">
        <v>-0.33194863615908099</v>
      </c>
      <c r="Q900" s="191">
        <v>-1.01965750869267</v>
      </c>
      <c r="R900" s="191">
        <v>2.6390224713508399E-2</v>
      </c>
      <c r="T900" s="46">
        <v>3</v>
      </c>
      <c r="U900" s="53" t="s">
        <v>529</v>
      </c>
      <c r="V900" s="47" t="s">
        <v>260</v>
      </c>
      <c r="W900" s="3" t="s">
        <v>552</v>
      </c>
      <c r="X900" s="3" t="s">
        <v>555</v>
      </c>
      <c r="Y900" s="51">
        <v>4.0364225925925927</v>
      </c>
      <c r="Z900" s="178">
        <v>1.3856655555555555</v>
      </c>
    </row>
    <row r="901" spans="6:26">
      <c r="F901" s="137">
        <v>3</v>
      </c>
      <c r="G901" s="137" t="s">
        <v>239</v>
      </c>
      <c r="H901" s="136" t="s">
        <v>240</v>
      </c>
      <c r="I901" s="136" t="s">
        <v>552</v>
      </c>
      <c r="J901" s="136" t="s">
        <v>555</v>
      </c>
      <c r="K901" s="191">
        <v>-3.1045600000000002</v>
      </c>
      <c r="L901" s="191">
        <v>0</v>
      </c>
      <c r="M901" s="191">
        <v>0</v>
      </c>
      <c r="N901" s="191">
        <v>-1.76684223712483</v>
      </c>
      <c r="O901" s="191">
        <v>-2.59677628032569</v>
      </c>
      <c r="P901" s="191">
        <v>-0.66917552633073896</v>
      </c>
      <c r="Q901" s="191">
        <v>0.27629902332726303</v>
      </c>
      <c r="R901" s="191">
        <v>2.3670137230060702</v>
      </c>
      <c r="T901" s="46">
        <v>3</v>
      </c>
      <c r="U901" s="53" t="s">
        <v>237</v>
      </c>
      <c r="V901" s="47" t="s">
        <v>237</v>
      </c>
      <c r="W901" s="3" t="s">
        <v>552</v>
      </c>
      <c r="X901" s="3" t="s">
        <v>555</v>
      </c>
      <c r="Y901" s="51">
        <v>2.8533815875203707</v>
      </c>
      <c r="Z901" s="178">
        <v>1.0711602172222223</v>
      </c>
    </row>
    <row r="902" spans="6:26" ht="28.8">
      <c r="F902" s="137">
        <v>3</v>
      </c>
      <c r="G902" s="137" t="s">
        <v>239</v>
      </c>
      <c r="H902" s="136" t="s">
        <v>325</v>
      </c>
      <c r="I902" s="136" t="s">
        <v>552</v>
      </c>
      <c r="J902" s="136" t="s">
        <v>555</v>
      </c>
      <c r="K902" s="191">
        <v>-1.66</v>
      </c>
      <c r="L902" s="191">
        <v>0</v>
      </c>
      <c r="M902" s="191">
        <v>0</v>
      </c>
      <c r="N902" s="191">
        <v>-1.6286344906372801</v>
      </c>
      <c r="O902" s="191">
        <v>-2.3972313350924299</v>
      </c>
      <c r="P902" s="191">
        <v>-0.66697991340315199</v>
      </c>
      <c r="Q902" s="191">
        <v>-0.942225030340478</v>
      </c>
      <c r="R902" s="191">
        <v>2.74731001572785E-2</v>
      </c>
      <c r="T902" s="46">
        <v>3</v>
      </c>
      <c r="U902" s="53" t="s">
        <v>237</v>
      </c>
      <c r="V902" s="47" t="s">
        <v>246</v>
      </c>
      <c r="W902" s="3" t="s">
        <v>552</v>
      </c>
      <c r="X902" s="3" t="s">
        <v>555</v>
      </c>
      <c r="Y902" s="51">
        <v>7.3412433500000009</v>
      </c>
      <c r="Z902" s="178">
        <v>0.66842500000000005</v>
      </c>
    </row>
    <row r="903" spans="6:26">
      <c r="F903" s="137">
        <v>3</v>
      </c>
      <c r="G903" s="137" t="s">
        <v>256</v>
      </c>
      <c r="H903" s="136" t="s">
        <v>10183</v>
      </c>
      <c r="I903" s="136" t="s">
        <v>552</v>
      </c>
      <c r="J903" s="136" t="s">
        <v>555</v>
      </c>
      <c r="K903" s="191">
        <v>-3.3097799999999999</v>
      </c>
      <c r="L903" s="191">
        <v>-3.2267017926999997</v>
      </c>
      <c r="M903" s="191">
        <v>-13.332240193295439</v>
      </c>
      <c r="N903" s="191">
        <v>0</v>
      </c>
      <c r="O903" s="191">
        <v>0</v>
      </c>
      <c r="P903" s="191">
        <v>2.5951436501633351E-2</v>
      </c>
      <c r="Q903" s="191">
        <v>-0.1080978425299278</v>
      </c>
      <c r="R903" s="191">
        <v>-8.9548588203676061E-2</v>
      </c>
      <c r="T903" s="46">
        <v>3</v>
      </c>
      <c r="U903" s="53" t="s">
        <v>237</v>
      </c>
      <c r="V903" s="28" t="s">
        <v>10162</v>
      </c>
      <c r="W903" s="3" t="s">
        <v>552</v>
      </c>
      <c r="X903" s="3" t="s">
        <v>555</v>
      </c>
      <c r="Y903" s="51">
        <v>2.8533815875203707</v>
      </c>
      <c r="Z903" s="178">
        <v>1.0711602172222223</v>
      </c>
    </row>
    <row r="904" spans="6:26">
      <c r="F904" s="137">
        <v>3</v>
      </c>
      <c r="G904" s="137" t="s">
        <v>256</v>
      </c>
      <c r="H904" s="136" t="s">
        <v>536</v>
      </c>
      <c r="I904" s="136" t="s">
        <v>552</v>
      </c>
      <c r="J904" s="136" t="s">
        <v>555</v>
      </c>
      <c r="K904" s="191">
        <v>-1.9798800000000001</v>
      </c>
      <c r="L904" s="191">
        <v>-1.8968017927</v>
      </c>
      <c r="M904" s="191">
        <v>-2.3565037764709471</v>
      </c>
      <c r="N904" s="191">
        <v>0</v>
      </c>
      <c r="O904" s="191">
        <v>0</v>
      </c>
      <c r="P904" s="191">
        <v>2.6042873003266701E-2</v>
      </c>
      <c r="Q904" s="191">
        <v>-0.15958393285442499</v>
      </c>
      <c r="R904" s="191">
        <v>-0.13071917043242301</v>
      </c>
      <c r="T904" s="46">
        <v>3</v>
      </c>
      <c r="U904" s="53" t="s">
        <v>252</v>
      </c>
      <c r="V904" s="28" t="s">
        <v>333</v>
      </c>
      <c r="W904" s="3" t="s">
        <v>552</v>
      </c>
      <c r="X904" s="3" t="s">
        <v>555</v>
      </c>
      <c r="Y904" s="51">
        <v>2.0953266666666663</v>
      </c>
      <c r="Z904" s="178">
        <v>1.77911</v>
      </c>
    </row>
    <row r="905" spans="6:26">
      <c r="F905" s="137">
        <v>3</v>
      </c>
      <c r="G905" s="137" t="s">
        <v>256</v>
      </c>
      <c r="H905" s="136" t="s">
        <v>257</v>
      </c>
      <c r="I905" s="136" t="s">
        <v>552</v>
      </c>
      <c r="J905" s="136" t="s">
        <v>555</v>
      </c>
      <c r="K905" s="191">
        <v>-1.9798800000000001</v>
      </c>
      <c r="L905" s="191">
        <v>-1.8968017927</v>
      </c>
      <c r="M905" s="191">
        <v>-2.3565037764709471</v>
      </c>
      <c r="N905" s="191">
        <v>0</v>
      </c>
      <c r="O905" s="191">
        <v>0</v>
      </c>
      <c r="P905" s="191">
        <v>2.6042873003266701E-2</v>
      </c>
      <c r="Q905" s="191">
        <v>-0.15958393285442499</v>
      </c>
      <c r="R905" s="191">
        <v>-0.13071917043242301</v>
      </c>
      <c r="T905" s="46">
        <v>3</v>
      </c>
      <c r="U905" s="53" t="s">
        <v>239</v>
      </c>
      <c r="V905" s="3" t="s">
        <v>542</v>
      </c>
      <c r="W905" s="3" t="s">
        <v>552</v>
      </c>
      <c r="X905" s="3" t="s">
        <v>555</v>
      </c>
      <c r="Y905" s="51">
        <v>2.6644477777777777</v>
      </c>
      <c r="Z905" s="178">
        <v>0.64099666666666666</v>
      </c>
    </row>
    <row r="906" spans="6:26">
      <c r="F906" s="137">
        <v>3</v>
      </c>
      <c r="G906" s="137" t="s">
        <v>256</v>
      </c>
      <c r="H906" s="136" t="s">
        <v>537</v>
      </c>
      <c r="I906" s="136" t="s">
        <v>552</v>
      </c>
      <c r="J906" s="136" t="s">
        <v>555</v>
      </c>
      <c r="K906" s="191">
        <v>-5.0082800000000001</v>
      </c>
      <c r="L906" s="191">
        <v>-4.9252017927000002</v>
      </c>
      <c r="M906" s="191">
        <v>-5.2843427411401773</v>
      </c>
      <c r="N906" s="191">
        <v>0</v>
      </c>
      <c r="O906" s="191">
        <v>0</v>
      </c>
      <c r="P906" s="191">
        <v>2.5860000000000001E-2</v>
      </c>
      <c r="Q906" s="191">
        <v>-5.6611752205430597E-2</v>
      </c>
      <c r="R906" s="191">
        <v>-4.8378005974929097E-2</v>
      </c>
      <c r="T906" s="46">
        <v>3</v>
      </c>
      <c r="U906" s="53" t="s">
        <v>237</v>
      </c>
      <c r="V906" s="3" t="s">
        <v>238</v>
      </c>
      <c r="W906" s="3" t="s">
        <v>552</v>
      </c>
      <c r="X906" s="3" t="s">
        <v>555</v>
      </c>
      <c r="Y906" s="51">
        <v>2.7046544444444445</v>
      </c>
      <c r="Z906" s="178">
        <v>1.2161291666666667</v>
      </c>
    </row>
    <row r="907" spans="6:26">
      <c r="F907" s="137">
        <v>3</v>
      </c>
      <c r="G907" s="137" t="s">
        <v>256</v>
      </c>
      <c r="H907" s="136" t="s">
        <v>538</v>
      </c>
      <c r="I907" s="136" t="s">
        <v>552</v>
      </c>
      <c r="J907" s="136" t="s">
        <v>555</v>
      </c>
      <c r="K907" s="191">
        <v>-4.6396800000000002</v>
      </c>
      <c r="L907" s="191">
        <v>0</v>
      </c>
      <c r="M907" s="191">
        <v>0</v>
      </c>
      <c r="N907" s="191">
        <v>0</v>
      </c>
      <c r="O907" s="191">
        <v>0</v>
      </c>
      <c r="P907" s="191">
        <v>2.5860000000000001E-2</v>
      </c>
      <c r="Q907" s="191">
        <v>-5.2731480993355298E-2</v>
      </c>
      <c r="R907" s="191">
        <v>-4.8378005974929202E-2</v>
      </c>
      <c r="T907" s="46">
        <v>3</v>
      </c>
      <c r="U907" s="53" t="s">
        <v>264</v>
      </c>
      <c r="V907" s="3" t="s">
        <v>264</v>
      </c>
      <c r="W907" s="3" t="s">
        <v>552</v>
      </c>
      <c r="X907" s="3" t="s">
        <v>555</v>
      </c>
      <c r="Y907" s="51">
        <v>1.9287117500000002</v>
      </c>
      <c r="Z907" s="178">
        <v>0.467055</v>
      </c>
    </row>
    <row r="908" spans="6:26">
      <c r="F908" s="137">
        <v>3</v>
      </c>
      <c r="G908" s="137" t="s">
        <v>256</v>
      </c>
      <c r="H908" s="136" t="s">
        <v>258</v>
      </c>
      <c r="I908" s="136" t="s">
        <v>552</v>
      </c>
      <c r="J908" s="136" t="s">
        <v>555</v>
      </c>
      <c r="K908" s="191">
        <v>-4.6396800000000002</v>
      </c>
      <c r="L908" s="191">
        <v>-4.5566017927000004</v>
      </c>
      <c r="M908" s="191">
        <v>-5.1225771470236534</v>
      </c>
      <c r="N908" s="191">
        <v>0</v>
      </c>
      <c r="O908" s="191">
        <v>0</v>
      </c>
      <c r="P908" s="191">
        <v>2.5860000000000001E-2</v>
      </c>
      <c r="Q908" s="191">
        <v>-5.6611752205430597E-2</v>
      </c>
      <c r="R908" s="191">
        <v>-4.8378005974929202E-2</v>
      </c>
      <c r="T908" s="46">
        <v>3</v>
      </c>
      <c r="U908" s="53" t="s">
        <v>264</v>
      </c>
      <c r="V908" s="3" t="s">
        <v>336</v>
      </c>
      <c r="W908" s="3" t="s">
        <v>552</v>
      </c>
      <c r="X908" s="3" t="s">
        <v>555</v>
      </c>
      <c r="Y908" s="51">
        <v>0.76351350000000007</v>
      </c>
      <c r="Z908" s="178">
        <v>0.43603999999999998</v>
      </c>
    </row>
    <row r="909" spans="6:26">
      <c r="F909" s="137">
        <v>3</v>
      </c>
      <c r="G909" s="137" t="s">
        <v>247</v>
      </c>
      <c r="H909" s="136" t="s">
        <v>247</v>
      </c>
      <c r="I909" s="136" t="s">
        <v>552</v>
      </c>
      <c r="J909" s="136" t="s">
        <v>555</v>
      </c>
      <c r="K909" s="191">
        <v>-1.0505633333333335</v>
      </c>
      <c r="L909" s="191">
        <v>-0.96748512603333348</v>
      </c>
      <c r="M909" s="191">
        <v>-0.32015017608359242</v>
      </c>
      <c r="N909" s="191">
        <v>0</v>
      </c>
      <c r="O909" s="191">
        <v>0</v>
      </c>
      <c r="P909" s="191">
        <v>2.60428875296266E-2</v>
      </c>
      <c r="Q909" s="191">
        <v>2.89297378114915E-2</v>
      </c>
      <c r="R909" s="191">
        <v>4.8936183219078298E-2</v>
      </c>
      <c r="T909" s="46">
        <v>3</v>
      </c>
      <c r="U909" s="53" t="s">
        <v>242</v>
      </c>
      <c r="V909" s="3" t="s">
        <v>251</v>
      </c>
      <c r="W909" s="3" t="s">
        <v>552</v>
      </c>
      <c r="X909" s="3" t="s">
        <v>555</v>
      </c>
      <c r="Y909" s="51">
        <v>4.9218200000000003</v>
      </c>
      <c r="Z909" s="178">
        <v>0.15096000000000001</v>
      </c>
    </row>
    <row r="910" spans="6:26">
      <c r="F910" s="137">
        <v>3</v>
      </c>
      <c r="G910" s="137" t="s">
        <v>247</v>
      </c>
      <c r="H910" s="136" t="s">
        <v>248</v>
      </c>
      <c r="I910" s="136" t="s">
        <v>552</v>
      </c>
      <c r="J910" s="136" t="s">
        <v>555</v>
      </c>
      <c r="K910" s="191">
        <v>-1.0606100000000001</v>
      </c>
      <c r="L910" s="191">
        <v>-0.97753179270000001</v>
      </c>
      <c r="M910" s="191">
        <v>-0.16783647372309501</v>
      </c>
      <c r="N910" s="191">
        <v>0</v>
      </c>
      <c r="O910" s="191">
        <v>0</v>
      </c>
      <c r="P910" s="191">
        <v>2.6042893584184702E-2</v>
      </c>
      <c r="Q910" s="191">
        <v>3.3109226842325201E-2</v>
      </c>
      <c r="R910" s="191">
        <v>4.8934999613471301E-2</v>
      </c>
      <c r="T910" s="46">
        <v>3</v>
      </c>
      <c r="U910" s="53" t="s">
        <v>242</v>
      </c>
      <c r="V910" s="3" t="s">
        <v>543</v>
      </c>
      <c r="W910" s="3" t="s">
        <v>552</v>
      </c>
      <c r="X910" s="3" t="s">
        <v>555</v>
      </c>
      <c r="Y910" s="51">
        <v>1.00081</v>
      </c>
      <c r="Z910" s="178">
        <v>0.33138000000000001</v>
      </c>
    </row>
    <row r="911" spans="6:26">
      <c r="F911" s="137">
        <v>3</v>
      </c>
      <c r="G911" s="137" t="s">
        <v>247</v>
      </c>
      <c r="H911" s="136" t="s">
        <v>263</v>
      </c>
      <c r="I911" s="136" t="s">
        <v>552</v>
      </c>
      <c r="J911" s="136" t="s">
        <v>555</v>
      </c>
      <c r="K911" s="191">
        <v>-1.0341199999999999</v>
      </c>
      <c r="L911" s="191">
        <v>-0.95104179269999989</v>
      </c>
      <c r="M911" s="191">
        <v>-0.16783647372309501</v>
      </c>
      <c r="N911" s="191">
        <v>0</v>
      </c>
      <c r="O911" s="191">
        <v>0</v>
      </c>
      <c r="P911" s="191">
        <v>2.6042897336766301E-2</v>
      </c>
      <c r="Q911" s="191">
        <v>3.5614574402337999E-2</v>
      </c>
      <c r="R911" s="191">
        <v>4.8935075181609701E-2</v>
      </c>
      <c r="T911" s="46">
        <v>3</v>
      </c>
      <c r="U911" s="53" t="s">
        <v>264</v>
      </c>
      <c r="V911" s="3" t="s">
        <v>544</v>
      </c>
      <c r="W911" s="3" t="s">
        <v>552</v>
      </c>
      <c r="X911" s="3" t="s">
        <v>555</v>
      </c>
      <c r="Y911" s="51">
        <v>3.0939100000000002</v>
      </c>
      <c r="Z911" s="178">
        <v>0.49807000000000001</v>
      </c>
    </row>
    <row r="912" spans="6:26">
      <c r="F912" s="137">
        <v>3</v>
      </c>
      <c r="G912" s="137" t="s">
        <v>247</v>
      </c>
      <c r="H912" s="136" t="s">
        <v>539</v>
      </c>
      <c r="I912" s="136" t="s">
        <v>552</v>
      </c>
      <c r="J912" s="136" t="s">
        <v>555</v>
      </c>
      <c r="K912" s="191">
        <v>-1.0569599999999999</v>
      </c>
      <c r="L912" s="191">
        <v>-0.97388179269999986</v>
      </c>
      <c r="M912" s="191">
        <v>-0.17313657289329801</v>
      </c>
      <c r="N912" s="191">
        <v>0</v>
      </c>
      <c r="O912" s="191">
        <v>0</v>
      </c>
      <c r="P912" s="191">
        <v>2.60428777320173E-2</v>
      </c>
      <c r="Q912" s="191">
        <v>2.2198094085999199E-2</v>
      </c>
      <c r="R912" s="191">
        <v>4.8937457971748297E-2</v>
      </c>
      <c r="T912" s="46">
        <v>3</v>
      </c>
      <c r="U912" s="53" t="s">
        <v>237</v>
      </c>
      <c r="V912" s="3" t="s">
        <v>545</v>
      </c>
      <c r="W912" s="3" t="s">
        <v>552</v>
      </c>
      <c r="X912" s="3" t="s">
        <v>555</v>
      </c>
      <c r="Y912" s="51">
        <v>2.8533815875203707</v>
      </c>
      <c r="Z912" s="178">
        <v>1.0711602172222223</v>
      </c>
    </row>
    <row r="913" spans="6:26">
      <c r="F913" s="370">
        <v>3</v>
      </c>
      <c r="G913" s="137" t="s">
        <v>247</v>
      </c>
      <c r="H913" s="51" t="s">
        <v>270</v>
      </c>
      <c r="I913" s="51" t="s">
        <v>552</v>
      </c>
      <c r="J913" s="51" t="s">
        <v>555</v>
      </c>
      <c r="K913" s="191">
        <v>-1.0505633333333335</v>
      </c>
      <c r="L913" s="191">
        <v>-0.96748512603333348</v>
      </c>
      <c r="M913" s="191">
        <v>-0.32015017608359242</v>
      </c>
      <c r="N913" s="191">
        <v>0</v>
      </c>
      <c r="O913" s="191">
        <v>0</v>
      </c>
      <c r="P913" s="191">
        <v>2.60428875296266E-2</v>
      </c>
      <c r="Q913" s="191">
        <v>2.89297378114915E-2</v>
      </c>
      <c r="R913" s="191">
        <v>4.8936183219078298E-2</v>
      </c>
      <c r="T913" s="46"/>
      <c r="U913" s="53"/>
      <c r="V913" s="3"/>
      <c r="W913" s="3"/>
      <c r="X913" s="3"/>
      <c r="Y913" s="51"/>
      <c r="Z913" s="178"/>
    </row>
    <row r="914" spans="6:26">
      <c r="F914" s="370">
        <v>3</v>
      </c>
      <c r="G914" s="137" t="s">
        <v>247</v>
      </c>
      <c r="H914" s="51" t="s">
        <v>540</v>
      </c>
      <c r="I914" s="51" t="s">
        <v>552</v>
      </c>
      <c r="J914" s="51" t="s">
        <v>555</v>
      </c>
      <c r="K914" s="191">
        <v>-1.0473650000000001</v>
      </c>
      <c r="L914" s="191">
        <v>-0.96428679270000006</v>
      </c>
      <c r="M914" s="191">
        <v>0</v>
      </c>
      <c r="N914" s="191">
        <v>0</v>
      </c>
      <c r="O914" s="191">
        <v>0</v>
      </c>
      <c r="P914" s="191">
        <v>2.6042870829753598E-2</v>
      </c>
      <c r="Q914" s="191">
        <v>2.4702921490784801E-2</v>
      </c>
      <c r="R914" s="191">
        <v>4.8937013384659597E-2</v>
      </c>
      <c r="T914" s="46"/>
      <c r="U914" s="53"/>
      <c r="V914" s="3"/>
      <c r="W914" s="3"/>
      <c r="X914" s="3"/>
      <c r="Y914" s="51"/>
      <c r="Z914" s="178"/>
    </row>
    <row r="915" spans="6:26">
      <c r="F915" s="370">
        <v>3</v>
      </c>
      <c r="G915" s="137" t="s">
        <v>261</v>
      </c>
      <c r="H915" s="51" t="s">
        <v>260</v>
      </c>
      <c r="I915" s="51" t="s">
        <v>552</v>
      </c>
      <c r="J915" s="51" t="s">
        <v>555</v>
      </c>
      <c r="K915" s="191">
        <v>-4.0364225925925927</v>
      </c>
      <c r="L915" s="191">
        <v>0</v>
      </c>
      <c r="M915" s="191">
        <v>0</v>
      </c>
      <c r="N915" s="191">
        <v>-0.50268967868134895</v>
      </c>
      <c r="O915" s="191">
        <v>-0.86800826709700496</v>
      </c>
      <c r="P915" s="191">
        <v>-0.17357286847922601</v>
      </c>
      <c r="Q915" s="191">
        <v>-0.27119781115654301</v>
      </c>
      <c r="R915" s="191">
        <v>2.7532513622578698E-2</v>
      </c>
      <c r="T915" s="46"/>
      <c r="U915" s="53"/>
      <c r="V915" s="3"/>
      <c r="W915" s="3"/>
      <c r="X915" s="3"/>
      <c r="Y915" s="51"/>
      <c r="Z915" s="178"/>
    </row>
    <row r="916" spans="6:26">
      <c r="F916" s="370">
        <v>3</v>
      </c>
      <c r="G916" s="137" t="s">
        <v>10157</v>
      </c>
      <c r="H916" s="51" t="s">
        <v>10157</v>
      </c>
      <c r="I916" s="51" t="s">
        <v>552</v>
      </c>
      <c r="J916" s="51" t="s">
        <v>555</v>
      </c>
      <c r="K916" s="191">
        <v>-2.8533815875203707</v>
      </c>
      <c r="L916" s="191">
        <v>-1.4249189937601854</v>
      </c>
      <c r="M916" s="191">
        <v>0</v>
      </c>
      <c r="N916" s="191">
        <v>0</v>
      </c>
      <c r="O916" s="191">
        <v>0</v>
      </c>
      <c r="P916" s="191">
        <v>-0.47372783008290564</v>
      </c>
      <c r="Q916" s="191">
        <v>-0.60541892774296602</v>
      </c>
      <c r="R916" s="191">
        <v>2.7971221813722445E-2</v>
      </c>
      <c r="T916" s="46"/>
      <c r="U916" s="53"/>
      <c r="V916" s="3"/>
      <c r="W916" s="3"/>
      <c r="X916" s="3"/>
      <c r="Y916" s="51"/>
      <c r="Z916" s="178"/>
    </row>
    <row r="917" spans="6:26">
      <c r="F917" s="370">
        <v>3</v>
      </c>
      <c r="G917" s="137" t="s">
        <v>10157</v>
      </c>
      <c r="H917" s="51" t="s">
        <v>246</v>
      </c>
      <c r="I917" s="51" t="s">
        <v>552</v>
      </c>
      <c r="J917" s="51" t="s">
        <v>555</v>
      </c>
      <c r="K917" s="191">
        <v>-7.3412433500000009</v>
      </c>
      <c r="L917" s="191">
        <v>0</v>
      </c>
      <c r="M917" s="191">
        <v>0</v>
      </c>
      <c r="N917" s="191">
        <v>0</v>
      </c>
      <c r="O917" s="191">
        <v>0</v>
      </c>
      <c r="P917" s="191">
        <v>2.6042922296619801E-2</v>
      </c>
      <c r="Q917" s="191">
        <v>4.0984842545202502E-2</v>
      </c>
      <c r="R917" s="191">
        <v>4.8934666491893701E-2</v>
      </c>
      <c r="T917" s="46"/>
      <c r="U917" s="53"/>
      <c r="V917" s="3"/>
      <c r="W917" s="3"/>
      <c r="X917" s="3"/>
      <c r="Y917" s="51"/>
      <c r="Z917" s="178"/>
    </row>
    <row r="918" spans="6:26" ht="28.8">
      <c r="F918" s="370">
        <v>3</v>
      </c>
      <c r="G918" s="137" t="s">
        <v>10157</v>
      </c>
      <c r="H918" s="51" t="s">
        <v>10162</v>
      </c>
      <c r="I918" s="51" t="s">
        <v>552</v>
      </c>
      <c r="J918" s="51" t="s">
        <v>555</v>
      </c>
      <c r="K918" s="191">
        <v>-2.8533815875203707</v>
      </c>
      <c r="L918" s="191">
        <v>0</v>
      </c>
      <c r="M918" s="191">
        <v>0</v>
      </c>
      <c r="N918" s="191">
        <v>-1.0281071311249455</v>
      </c>
      <c r="O918" s="191">
        <v>-1.602483635678982</v>
      </c>
      <c r="P918" s="191">
        <v>-0.47372783008290564</v>
      </c>
      <c r="Q918" s="191">
        <v>-0.60541892774296602</v>
      </c>
      <c r="R918" s="191">
        <v>2.7971221813722445E-2</v>
      </c>
      <c r="T918" s="46"/>
      <c r="U918" s="53"/>
      <c r="V918" s="3"/>
      <c r="W918" s="3"/>
      <c r="X918" s="3"/>
      <c r="Y918" s="51"/>
      <c r="Z918" s="178"/>
    </row>
    <row r="919" spans="6:26">
      <c r="F919" s="370">
        <v>3</v>
      </c>
      <c r="G919" s="137" t="s">
        <v>252</v>
      </c>
      <c r="H919" s="51" t="s">
        <v>333</v>
      </c>
      <c r="I919" s="51" t="s">
        <v>552</v>
      </c>
      <c r="J919" s="51" t="s">
        <v>555</v>
      </c>
      <c r="K919" s="191">
        <v>-2.0953266666666663</v>
      </c>
      <c r="L919" s="191">
        <v>0</v>
      </c>
      <c r="M919" s="191">
        <v>-4.4025891502648795</v>
      </c>
      <c r="N919" s="191">
        <v>0</v>
      </c>
      <c r="O919" s="191">
        <v>0</v>
      </c>
      <c r="P919" s="191">
        <v>2.6042894329189499E-2</v>
      </c>
      <c r="Q919" s="191">
        <v>0.44395532733173598</v>
      </c>
      <c r="R919" s="191">
        <v>2.1870269324237599</v>
      </c>
      <c r="T919" s="46"/>
      <c r="U919" s="53"/>
      <c r="V919" s="3"/>
      <c r="W919" s="3"/>
      <c r="X919" s="3"/>
      <c r="Y919" s="51"/>
      <c r="Z919" s="178"/>
    </row>
    <row r="920" spans="6:26">
      <c r="F920" s="370">
        <v>3</v>
      </c>
      <c r="G920" s="137" t="s">
        <v>239</v>
      </c>
      <c r="H920" s="51" t="s">
        <v>542</v>
      </c>
      <c r="I920" s="51" t="s">
        <v>552</v>
      </c>
      <c r="J920" s="51" t="s">
        <v>555</v>
      </c>
      <c r="K920" s="191">
        <v>-2.6644477777777777</v>
      </c>
      <c r="L920" s="191">
        <v>0</v>
      </c>
      <c r="M920" s="191">
        <v>-0.91191428180792811</v>
      </c>
      <c r="N920" s="191">
        <v>-1.6286344906372801</v>
      </c>
      <c r="O920" s="191">
        <v>-2.3972313350924299</v>
      </c>
      <c r="P920" s="191">
        <v>-0.66697991340315199</v>
      </c>
      <c r="Q920" s="191">
        <v>-0.942225030340478</v>
      </c>
      <c r="R920" s="191">
        <v>2.74731001572785E-2</v>
      </c>
      <c r="T920" s="46"/>
      <c r="U920" s="53"/>
      <c r="V920" s="3"/>
      <c r="W920" s="3"/>
      <c r="X920" s="3"/>
      <c r="Y920" s="51"/>
      <c r="Z920" s="178"/>
    </row>
    <row r="921" spans="6:26">
      <c r="F921" s="370">
        <v>3</v>
      </c>
      <c r="G921" s="137" t="s">
        <v>10157</v>
      </c>
      <c r="H921" s="51" t="s">
        <v>238</v>
      </c>
      <c r="I921" s="51" t="s">
        <v>552</v>
      </c>
      <c r="J921" s="51" t="s">
        <v>555</v>
      </c>
      <c r="K921" s="191">
        <v>-2.7046544444444445</v>
      </c>
      <c r="L921" s="191">
        <v>0</v>
      </c>
      <c r="M921" s="191">
        <v>0</v>
      </c>
      <c r="N921" s="191">
        <v>0</v>
      </c>
      <c r="O921" s="191">
        <v>0</v>
      </c>
      <c r="P921" s="191">
        <v>-0.14723567376067564</v>
      </c>
      <c r="Q921" s="191">
        <v>-0.14435945193179459</v>
      </c>
      <c r="R921" s="191">
        <v>0.54347190689911018</v>
      </c>
      <c r="T921" s="46"/>
      <c r="U921" s="53"/>
      <c r="V921" s="3"/>
      <c r="W921" s="3"/>
      <c r="X921" s="3"/>
      <c r="Y921" s="51"/>
      <c r="Z921" s="178"/>
    </row>
    <row r="922" spans="6:26" ht="28.8">
      <c r="F922" s="370">
        <v>3</v>
      </c>
      <c r="G922" s="137" t="s">
        <v>264</v>
      </c>
      <c r="H922" s="51" t="s">
        <v>10184</v>
      </c>
      <c r="I922" s="51" t="s">
        <v>552</v>
      </c>
      <c r="J922" s="51" t="s">
        <v>555</v>
      </c>
      <c r="K922" s="191">
        <v>-1.9287117500000002</v>
      </c>
      <c r="L922" s="191">
        <v>-1.1070613798500002</v>
      </c>
      <c r="M922" s="191">
        <v>0.15112249999999994</v>
      </c>
      <c r="N922" s="191">
        <v>0</v>
      </c>
      <c r="O922" s="191">
        <v>0</v>
      </c>
      <c r="P922" s="191">
        <v>-0.35869868218287954</v>
      </c>
      <c r="Q922" s="191">
        <v>-0.59757324967558434</v>
      </c>
      <c r="R922" s="191">
        <v>0.46009777689536741</v>
      </c>
      <c r="T922" s="46"/>
      <c r="U922" s="53"/>
      <c r="V922" s="3"/>
      <c r="W922" s="3"/>
      <c r="X922" s="3"/>
      <c r="Y922" s="51"/>
      <c r="Z922" s="178"/>
    </row>
    <row r="923" spans="6:26">
      <c r="F923" s="370">
        <v>3</v>
      </c>
      <c r="G923" s="137" t="s">
        <v>264</v>
      </c>
      <c r="H923" s="51" t="s">
        <v>336</v>
      </c>
      <c r="I923" s="51" t="s">
        <v>552</v>
      </c>
      <c r="J923" s="51" t="s">
        <v>555</v>
      </c>
      <c r="K923" s="191">
        <v>-0.76351350000000007</v>
      </c>
      <c r="L923" s="191">
        <v>-0.34968251735000005</v>
      </c>
      <c r="M923" s="191">
        <v>0</v>
      </c>
      <c r="N923" s="191">
        <v>-1.64655650896596</v>
      </c>
      <c r="O923" s="191">
        <v>-2.6336365493502698</v>
      </c>
      <c r="P923" s="191">
        <v>-1.0033131033753351</v>
      </c>
      <c r="Q923" s="191">
        <v>-0.83241615029836658</v>
      </c>
      <c r="R923" s="191">
        <v>0.21089953370705883</v>
      </c>
      <c r="T923" s="46"/>
      <c r="U923" s="53"/>
      <c r="V923" s="3"/>
      <c r="W923" s="3"/>
      <c r="X923" s="3"/>
      <c r="Y923" s="51"/>
      <c r="Z923" s="178"/>
    </row>
    <row r="924" spans="6:26">
      <c r="F924" s="370">
        <v>3</v>
      </c>
      <c r="G924" s="137" t="s">
        <v>242</v>
      </c>
      <c r="H924" s="51" t="s">
        <v>251</v>
      </c>
      <c r="I924" s="51" t="s">
        <v>552</v>
      </c>
      <c r="J924" s="51" t="s">
        <v>555</v>
      </c>
      <c r="K924" s="191">
        <v>-4.9218200000000003</v>
      </c>
      <c r="L924" s="191">
        <v>-3.5665477000000001</v>
      </c>
      <c r="M924" s="191">
        <v>-1.2190350000000001</v>
      </c>
      <c r="N924" s="191">
        <v>0</v>
      </c>
      <c r="O924" s="191">
        <v>0</v>
      </c>
      <c r="P924" s="191">
        <v>2.5969732332329142E-2</v>
      </c>
      <c r="Q924" s="191">
        <v>0.1425399624297638</v>
      </c>
      <c r="R924" s="191">
        <v>0.84877827098641234</v>
      </c>
      <c r="T924" s="46"/>
      <c r="U924" s="53"/>
      <c r="V924" s="3"/>
      <c r="W924" s="3"/>
      <c r="X924" s="3"/>
      <c r="Y924" s="51"/>
      <c r="Z924" s="178"/>
    </row>
    <row r="925" spans="6:26">
      <c r="F925" s="370">
        <v>3</v>
      </c>
      <c r="G925" s="137" t="s">
        <v>242</v>
      </c>
      <c r="H925" s="51" t="s">
        <v>543</v>
      </c>
      <c r="I925" s="51" t="s">
        <v>552</v>
      </c>
      <c r="J925" s="51" t="s">
        <v>555</v>
      </c>
      <c r="K925" s="191">
        <v>-1.00081</v>
      </c>
      <c r="L925" s="191">
        <v>-0.72381545000000003</v>
      </c>
      <c r="M925" s="191">
        <v>-0.20626249999999999</v>
      </c>
      <c r="N925" s="191">
        <v>0</v>
      </c>
      <c r="O925" s="191">
        <v>0</v>
      </c>
      <c r="P925" s="191">
        <v>2.5860000000000001E-2</v>
      </c>
      <c r="Q925" s="191">
        <v>4.0984842545202599E-2</v>
      </c>
      <c r="R925" s="191">
        <v>4.8934666491893597E-2</v>
      </c>
      <c r="T925" s="46"/>
      <c r="U925" s="53"/>
      <c r="V925" s="3"/>
      <c r="W925" s="3"/>
      <c r="X925" s="3"/>
      <c r="Y925" s="51"/>
      <c r="Z925" s="178"/>
    </row>
    <row r="926" spans="6:26">
      <c r="F926" s="370">
        <v>3</v>
      </c>
      <c r="G926" s="137" t="s">
        <v>264</v>
      </c>
      <c r="H926" s="51" t="s">
        <v>544</v>
      </c>
      <c r="I926" s="51" t="s">
        <v>552</v>
      </c>
      <c r="J926" s="51" t="s">
        <v>555</v>
      </c>
      <c r="K926" s="191">
        <v>-3.0939100000000002</v>
      </c>
      <c r="L926" s="191">
        <v>-1.8644402423500002</v>
      </c>
      <c r="M926" s="191">
        <v>0.15112249999999994</v>
      </c>
      <c r="N926" s="191">
        <v>0</v>
      </c>
      <c r="O926" s="191">
        <v>0</v>
      </c>
      <c r="P926" s="191">
        <v>0.28591573900957601</v>
      </c>
      <c r="Q926" s="191">
        <v>-0.36273034905280199</v>
      </c>
      <c r="R926" s="191">
        <v>0.70929602008367598</v>
      </c>
      <c r="T926" s="46"/>
      <c r="U926" s="53"/>
      <c r="V926" s="3"/>
      <c r="W926" s="3"/>
      <c r="X926" s="3"/>
      <c r="Y926" s="51"/>
      <c r="Z926" s="178"/>
    </row>
    <row r="927" spans="6:26">
      <c r="F927" s="370">
        <v>3</v>
      </c>
      <c r="G927" s="137" t="s">
        <v>10157</v>
      </c>
      <c r="H927" s="51" t="s">
        <v>545</v>
      </c>
      <c r="I927" s="51" t="s">
        <v>552</v>
      </c>
      <c r="J927" s="51" t="s">
        <v>555</v>
      </c>
      <c r="K927" s="191">
        <v>-2.8533815875203707</v>
      </c>
      <c r="L927" s="191">
        <v>0</v>
      </c>
      <c r="M927" s="191">
        <v>0</v>
      </c>
      <c r="N927" s="191">
        <v>0</v>
      </c>
      <c r="O927" s="191">
        <v>0</v>
      </c>
      <c r="P927" s="191">
        <v>-0.47372783008290564</v>
      </c>
      <c r="Q927" s="191">
        <v>-0.60541892774296602</v>
      </c>
      <c r="R927" s="191">
        <v>2.7971221813722445E-2</v>
      </c>
      <c r="T927" s="196"/>
      <c r="U927" s="53"/>
      <c r="V927" s="13"/>
      <c r="W927" s="13"/>
      <c r="X927" s="13"/>
      <c r="Y927" s="135"/>
      <c r="Z927" s="197"/>
    </row>
    <row r="928" spans="6:26" ht="28.8">
      <c r="F928" s="137">
        <v>3</v>
      </c>
      <c r="G928" s="137" t="s">
        <v>10169</v>
      </c>
      <c r="H928" s="51" t="s">
        <v>10170</v>
      </c>
      <c r="I928" s="51" t="s">
        <v>552</v>
      </c>
      <c r="J928" s="51" t="s">
        <v>555</v>
      </c>
      <c r="K928" s="191">
        <v>-0.74582333333333339</v>
      </c>
      <c r="L928" s="191">
        <v>-0.58351400000000009</v>
      </c>
      <c r="M928" s="191">
        <v>0.3259926084346883</v>
      </c>
      <c r="N928" s="191">
        <v>0</v>
      </c>
      <c r="O928" s="191">
        <v>0</v>
      </c>
      <c r="P928" s="191">
        <v>0.45668176288049178</v>
      </c>
      <c r="Q928" s="191">
        <v>1.0683983533052401</v>
      </c>
      <c r="R928" s="371">
        <v>1.142290877337675</v>
      </c>
    </row>
    <row r="929" spans="6:18">
      <c r="F929" s="137">
        <v>99</v>
      </c>
      <c r="G929" s="137" t="str">
        <f>_xlfn.LET(_xlpm.x,Materials!C48,IF(LEN(_xlpm.x)=0,"","Custom"))</f>
        <v/>
      </c>
      <c r="H929" s="51" t="str">
        <f>_xlfn.LET(_xlpm.x,Materials!C48,IF(LEN(_xlpm.x)=0,"",_xlpm.x))</f>
        <v/>
      </c>
      <c r="I929" s="51" t="str">
        <f>_xlfn.LET(_xlpm.x,Materials!D48,IF(LEN(_xlpm.x)=0,"",_xlpm.x))</f>
        <v/>
      </c>
      <c r="J929" s="51" t="str">
        <f>_xlfn.LET(_xlpm.x,Materials!E48,IF(LEN(_xlpm.x)=0,"",_xlpm.x))</f>
        <v/>
      </c>
      <c r="K929" s="191" t="str">
        <f>_xlfn.LET(_xlpm.x,Materials!F48,IF(OR(LEN(_xlpm.x)=0,NOT(ISNUMBER(_xlpm.x))),"",_xlpm.x))</f>
        <v/>
      </c>
      <c r="L929" s="191" t="str">
        <f>_xlfn.LET(_xlpm.x,Materials!G48,IF(OR(LEN(_xlpm.x)=0,NOT(ISNUMBER(_xlpm.x))),"",_xlpm.x))</f>
        <v/>
      </c>
      <c r="M929" s="191" t="str">
        <f>_xlfn.LET(_xlpm.x,Materials!H48,IF(OR(LEN(_xlpm.x)=0,NOT(ISNUMBER(_xlpm.x))),"",_xlpm.x))</f>
        <v/>
      </c>
      <c r="N929" s="191" t="str">
        <f>_xlfn.LET(_xlpm.x,Materials!I48,IF(OR(LEN(_xlpm.x)=0,NOT(ISNUMBER(_xlpm.x))),"",_xlpm.x))</f>
        <v/>
      </c>
      <c r="O929" s="191" t="str">
        <f>_xlfn.LET(_xlpm.x,Materials!J48,IF(OR(LEN(_xlpm.x)=0,NOT(ISNUMBER(_xlpm.x))),"",_xlpm.x))</f>
        <v/>
      </c>
      <c r="P929" s="191" t="str">
        <f>_xlfn.LET(_xlpm.x,Materials!K48,IF(OR(LEN(_xlpm.x)=0,NOT(ISNUMBER(_xlpm.x))),"",_xlpm.x))</f>
        <v/>
      </c>
      <c r="Q929" s="191" t="str">
        <f>_xlfn.LET(_xlpm.x,Materials!L48,IF(OR(LEN(_xlpm.x)=0,NOT(ISNUMBER(_xlpm.x))),"",_xlpm.x))</f>
        <v/>
      </c>
      <c r="R929" s="191" t="str">
        <f>_xlfn.LET(_xlpm.x,Materials!M48,IF(OR(LEN(_xlpm.x)=0,NOT(ISNUMBER(_xlpm.x))),"",_xlpm.x))</f>
        <v/>
      </c>
    </row>
    <row r="930" spans="6:18">
      <c r="F930" s="137">
        <v>99</v>
      </c>
      <c r="G930" s="137" t="str">
        <f>_xlfn.LET(_xlpm.x,Materials!C49,IF(LEN(_xlpm.x)=0,"","Custom"))</f>
        <v/>
      </c>
      <c r="H930" s="51" t="str">
        <f>_xlfn.LET(_xlpm.x,Materials!C49,IF(LEN(_xlpm.x)=0,"",_xlpm.x))</f>
        <v/>
      </c>
      <c r="I930" s="51" t="str">
        <f>_xlfn.LET(_xlpm.x,Materials!D49,IF(LEN(_xlpm.x)=0,"",_xlpm.x))</f>
        <v/>
      </c>
      <c r="J930" s="51" t="str">
        <f>_xlfn.LET(_xlpm.x,Materials!E49,IF(LEN(_xlpm.x)=0,"",_xlpm.x))</f>
        <v/>
      </c>
      <c r="K930" s="191" t="str">
        <f>_xlfn.LET(_xlpm.x,Materials!F49,IF(OR(LEN(_xlpm.x)=0,NOT(ISNUMBER(_xlpm.x))),"",_xlpm.x))</f>
        <v/>
      </c>
      <c r="L930" s="191" t="str">
        <f>_xlfn.LET(_xlpm.x,Materials!G49,IF(OR(LEN(_xlpm.x)=0,NOT(ISNUMBER(_xlpm.x))),"",_xlpm.x))</f>
        <v/>
      </c>
      <c r="M930" s="191" t="str">
        <f>_xlfn.LET(_xlpm.x,Materials!H49,IF(OR(LEN(_xlpm.x)=0,NOT(ISNUMBER(_xlpm.x))),"",_xlpm.x))</f>
        <v/>
      </c>
      <c r="N930" s="191" t="str">
        <f>_xlfn.LET(_xlpm.x,Materials!I49,IF(OR(LEN(_xlpm.x)=0,NOT(ISNUMBER(_xlpm.x))),"",_xlpm.x))</f>
        <v/>
      </c>
      <c r="O930" s="191" t="str">
        <f>_xlfn.LET(_xlpm.x,Materials!J49,IF(OR(LEN(_xlpm.x)=0,NOT(ISNUMBER(_xlpm.x))),"",_xlpm.x))</f>
        <v/>
      </c>
      <c r="P930" s="191" t="str">
        <f>_xlfn.LET(_xlpm.x,Materials!K49,IF(OR(LEN(_xlpm.x)=0,NOT(ISNUMBER(_xlpm.x))),"",_xlpm.x))</f>
        <v/>
      </c>
      <c r="Q930" s="191" t="str">
        <f>_xlfn.LET(_xlpm.x,Materials!L49,IF(OR(LEN(_xlpm.x)=0,NOT(ISNUMBER(_xlpm.x))),"",_xlpm.x))</f>
        <v/>
      </c>
      <c r="R930" s="191" t="str">
        <f>_xlfn.LET(_xlpm.x,Materials!M49,IF(OR(LEN(_xlpm.x)=0,NOT(ISNUMBER(_xlpm.x))),"",_xlpm.x))</f>
        <v/>
      </c>
    </row>
    <row r="931" spans="6:18">
      <c r="F931" s="137">
        <v>99</v>
      </c>
      <c r="G931" s="137" t="str">
        <f>_xlfn.LET(_xlpm.x,Materials!C50,IF(LEN(_xlpm.x)=0,"","Custom"))</f>
        <v/>
      </c>
      <c r="H931" s="51" t="str">
        <f>_xlfn.LET(_xlpm.x,Materials!C50,IF(LEN(_xlpm.x)=0,"",_xlpm.x))</f>
        <v/>
      </c>
      <c r="I931" s="51" t="str">
        <f>_xlfn.LET(_xlpm.x,Materials!D50,IF(LEN(_xlpm.x)=0,"",_xlpm.x))</f>
        <v/>
      </c>
      <c r="J931" s="51" t="str">
        <f>_xlfn.LET(_xlpm.x,Materials!E50,IF(LEN(_xlpm.x)=0,"",_xlpm.x))</f>
        <v/>
      </c>
      <c r="K931" s="191" t="str">
        <f>_xlfn.LET(_xlpm.x,Materials!F50,IF(OR(LEN(_xlpm.x)=0,NOT(ISNUMBER(_xlpm.x))),"",_xlpm.x))</f>
        <v/>
      </c>
      <c r="L931" s="191" t="str">
        <f>_xlfn.LET(_xlpm.x,Materials!G50,IF(OR(LEN(_xlpm.x)=0,NOT(ISNUMBER(_xlpm.x))),"",_xlpm.x))</f>
        <v/>
      </c>
      <c r="M931" s="191" t="str">
        <f>_xlfn.LET(_xlpm.x,Materials!H50,IF(OR(LEN(_xlpm.x)=0,NOT(ISNUMBER(_xlpm.x))),"",_xlpm.x))</f>
        <v/>
      </c>
      <c r="N931" s="191" t="str">
        <f>_xlfn.LET(_xlpm.x,Materials!I50,IF(OR(LEN(_xlpm.x)=0,NOT(ISNUMBER(_xlpm.x))),"",_xlpm.x))</f>
        <v/>
      </c>
      <c r="O931" s="191" t="str">
        <f>_xlfn.LET(_xlpm.x,Materials!J50,IF(OR(LEN(_xlpm.x)=0,NOT(ISNUMBER(_xlpm.x))),"",_xlpm.x))</f>
        <v/>
      </c>
      <c r="P931" s="191" t="str">
        <f>_xlfn.LET(_xlpm.x,Materials!K50,IF(OR(LEN(_xlpm.x)=0,NOT(ISNUMBER(_xlpm.x))),"",_xlpm.x))</f>
        <v/>
      </c>
      <c r="Q931" s="191" t="str">
        <f>_xlfn.LET(_xlpm.x,Materials!L50,IF(OR(LEN(_xlpm.x)=0,NOT(ISNUMBER(_xlpm.x))),"",_xlpm.x))</f>
        <v/>
      </c>
      <c r="R931" s="191" t="str">
        <f>_xlfn.LET(_xlpm.x,Materials!M50,IF(OR(LEN(_xlpm.x)=0,NOT(ISNUMBER(_xlpm.x))),"",_xlpm.x))</f>
        <v/>
      </c>
    </row>
    <row r="932" spans="6:18">
      <c r="F932" s="137">
        <v>99</v>
      </c>
      <c r="G932" s="137" t="str">
        <f>_xlfn.LET(_xlpm.x,Materials!C51,IF(LEN(_xlpm.x)=0,"","Custom"))</f>
        <v/>
      </c>
      <c r="H932" s="51" t="str">
        <f>_xlfn.LET(_xlpm.x,Materials!C51,IF(LEN(_xlpm.x)=0,"",_xlpm.x))</f>
        <v/>
      </c>
      <c r="I932" s="51" t="str">
        <f>_xlfn.LET(_xlpm.x,Materials!D51,IF(LEN(_xlpm.x)=0,"",_xlpm.x))</f>
        <v/>
      </c>
      <c r="J932" s="51" t="str">
        <f>_xlfn.LET(_xlpm.x,Materials!E51,IF(LEN(_xlpm.x)=0,"",_xlpm.x))</f>
        <v/>
      </c>
      <c r="K932" s="191" t="str">
        <f>_xlfn.LET(_xlpm.x,Materials!F51,IF(OR(LEN(_xlpm.x)=0,NOT(ISNUMBER(_xlpm.x))),"",_xlpm.x))</f>
        <v/>
      </c>
      <c r="L932" s="191" t="str">
        <f>_xlfn.LET(_xlpm.x,Materials!G51,IF(OR(LEN(_xlpm.x)=0,NOT(ISNUMBER(_xlpm.x))),"",_xlpm.x))</f>
        <v/>
      </c>
      <c r="M932" s="191" t="str">
        <f>_xlfn.LET(_xlpm.x,Materials!H51,IF(OR(LEN(_xlpm.x)=0,NOT(ISNUMBER(_xlpm.x))),"",_xlpm.x))</f>
        <v/>
      </c>
      <c r="N932" s="191" t="str">
        <f>_xlfn.LET(_xlpm.x,Materials!I51,IF(OR(LEN(_xlpm.x)=0,NOT(ISNUMBER(_xlpm.x))),"",_xlpm.x))</f>
        <v/>
      </c>
      <c r="O932" s="191" t="str">
        <f>_xlfn.LET(_xlpm.x,Materials!J51,IF(OR(LEN(_xlpm.x)=0,NOT(ISNUMBER(_xlpm.x))),"",_xlpm.x))</f>
        <v/>
      </c>
      <c r="P932" s="191" t="str">
        <f>_xlfn.LET(_xlpm.x,Materials!K51,IF(OR(LEN(_xlpm.x)=0,NOT(ISNUMBER(_xlpm.x))),"",_xlpm.x))</f>
        <v/>
      </c>
      <c r="Q932" s="191" t="str">
        <f>_xlfn.LET(_xlpm.x,Materials!L51,IF(OR(LEN(_xlpm.x)=0,NOT(ISNUMBER(_xlpm.x))),"",_xlpm.x))</f>
        <v/>
      </c>
      <c r="R932" s="191" t="str">
        <f>_xlfn.LET(_xlpm.x,Materials!M51,IF(OR(LEN(_xlpm.x)=0,NOT(ISNUMBER(_xlpm.x))),"",_xlpm.x))</f>
        <v/>
      </c>
    </row>
    <row r="933" spans="6:18">
      <c r="F933" s="137">
        <v>99</v>
      </c>
      <c r="G933" s="137" t="str">
        <f>_xlfn.LET(_xlpm.x,Materials!C52,IF(LEN(_xlpm.x)=0,"","Custom"))</f>
        <v/>
      </c>
      <c r="H933" s="51" t="str">
        <f>_xlfn.LET(_xlpm.x,Materials!C52,IF(LEN(_xlpm.x)=0,"",_xlpm.x))</f>
        <v/>
      </c>
      <c r="I933" s="51" t="str">
        <f>_xlfn.LET(_xlpm.x,Materials!D52,IF(LEN(_xlpm.x)=0,"",_xlpm.x))</f>
        <v/>
      </c>
      <c r="J933" s="51" t="str">
        <f>_xlfn.LET(_xlpm.x,Materials!E52,IF(LEN(_xlpm.x)=0,"",_xlpm.x))</f>
        <v/>
      </c>
      <c r="K933" s="191" t="str">
        <f>_xlfn.LET(_xlpm.x,Materials!F52,IF(OR(LEN(_xlpm.x)=0,NOT(ISNUMBER(_xlpm.x))),"",_xlpm.x))</f>
        <v/>
      </c>
      <c r="L933" s="191" t="str">
        <f>_xlfn.LET(_xlpm.x,Materials!G52,IF(OR(LEN(_xlpm.x)=0,NOT(ISNUMBER(_xlpm.x))),"",_xlpm.x))</f>
        <v/>
      </c>
      <c r="M933" s="191" t="str">
        <f>_xlfn.LET(_xlpm.x,Materials!H52,IF(OR(LEN(_xlpm.x)=0,NOT(ISNUMBER(_xlpm.x))),"",_xlpm.x))</f>
        <v/>
      </c>
      <c r="N933" s="191" t="str">
        <f>_xlfn.LET(_xlpm.x,Materials!I52,IF(OR(LEN(_xlpm.x)=0,NOT(ISNUMBER(_xlpm.x))),"",_xlpm.x))</f>
        <v/>
      </c>
      <c r="O933" s="191" t="str">
        <f>_xlfn.LET(_xlpm.x,Materials!J52,IF(OR(LEN(_xlpm.x)=0,NOT(ISNUMBER(_xlpm.x))),"",_xlpm.x))</f>
        <v/>
      </c>
      <c r="P933" s="191" t="str">
        <f>_xlfn.LET(_xlpm.x,Materials!K52,IF(OR(LEN(_xlpm.x)=0,NOT(ISNUMBER(_xlpm.x))),"",_xlpm.x))</f>
        <v/>
      </c>
      <c r="Q933" s="191" t="str">
        <f>_xlfn.LET(_xlpm.x,Materials!L52,IF(OR(LEN(_xlpm.x)=0,NOT(ISNUMBER(_xlpm.x))),"",_xlpm.x))</f>
        <v/>
      </c>
      <c r="R933" s="191" t="str">
        <f>_xlfn.LET(_xlpm.x,Materials!M52,IF(OR(LEN(_xlpm.x)=0,NOT(ISNUMBER(_xlpm.x))),"",_xlpm.x))</f>
        <v/>
      </c>
    </row>
    <row r="934" spans="6:18">
      <c r="F934" s="137">
        <v>99</v>
      </c>
      <c r="G934" s="137" t="str">
        <f>_xlfn.LET(_xlpm.x,Materials!C53,IF(LEN(_xlpm.x)=0,"","Custom"))</f>
        <v/>
      </c>
      <c r="H934" s="51" t="str">
        <f>_xlfn.LET(_xlpm.x,Materials!C53,IF(LEN(_xlpm.x)=0,"",_xlpm.x))</f>
        <v/>
      </c>
      <c r="I934" s="51" t="str">
        <f>_xlfn.LET(_xlpm.x,Materials!D53,IF(LEN(_xlpm.x)=0,"",_xlpm.x))</f>
        <v/>
      </c>
      <c r="J934" s="51" t="str">
        <f>_xlfn.LET(_xlpm.x,Materials!E53,IF(LEN(_xlpm.x)=0,"",_xlpm.x))</f>
        <v/>
      </c>
      <c r="K934" s="191" t="str">
        <f>_xlfn.LET(_xlpm.x,Materials!F53,IF(OR(LEN(_xlpm.x)=0,NOT(ISNUMBER(_xlpm.x))),"",_xlpm.x))</f>
        <v/>
      </c>
      <c r="L934" s="191" t="str">
        <f>_xlfn.LET(_xlpm.x,Materials!G53,IF(OR(LEN(_xlpm.x)=0,NOT(ISNUMBER(_xlpm.x))),"",_xlpm.x))</f>
        <v/>
      </c>
      <c r="M934" s="191" t="str">
        <f>_xlfn.LET(_xlpm.x,Materials!H53,IF(OR(LEN(_xlpm.x)=0,NOT(ISNUMBER(_xlpm.x))),"",_xlpm.x))</f>
        <v/>
      </c>
      <c r="N934" s="191" t="str">
        <f>_xlfn.LET(_xlpm.x,Materials!I53,IF(OR(LEN(_xlpm.x)=0,NOT(ISNUMBER(_xlpm.x))),"",_xlpm.x))</f>
        <v/>
      </c>
      <c r="O934" s="191" t="str">
        <f>_xlfn.LET(_xlpm.x,Materials!J53,IF(OR(LEN(_xlpm.x)=0,NOT(ISNUMBER(_xlpm.x))),"",_xlpm.x))</f>
        <v/>
      </c>
      <c r="P934" s="191" t="str">
        <f>_xlfn.LET(_xlpm.x,Materials!K53,IF(OR(LEN(_xlpm.x)=0,NOT(ISNUMBER(_xlpm.x))),"",_xlpm.x))</f>
        <v/>
      </c>
      <c r="Q934" s="191" t="str">
        <f>_xlfn.LET(_xlpm.x,Materials!L53,IF(OR(LEN(_xlpm.x)=0,NOT(ISNUMBER(_xlpm.x))),"",_xlpm.x))</f>
        <v/>
      </c>
      <c r="R934" s="191" t="str">
        <f>_xlfn.LET(_xlpm.x,Materials!M53,IF(OR(LEN(_xlpm.x)=0,NOT(ISNUMBER(_xlpm.x))),"",_xlpm.x))</f>
        <v/>
      </c>
    </row>
    <row r="935" spans="6:18">
      <c r="F935" s="137">
        <v>99</v>
      </c>
      <c r="G935" s="137" t="str">
        <f>_xlfn.LET(_xlpm.x,Materials!C54,IF(LEN(_xlpm.x)=0,"","Custom"))</f>
        <v/>
      </c>
      <c r="H935" s="51" t="str">
        <f>_xlfn.LET(_xlpm.x,Materials!C54,IF(LEN(_xlpm.x)=0,"",_xlpm.x))</f>
        <v/>
      </c>
      <c r="I935" s="51" t="str">
        <f>_xlfn.LET(_xlpm.x,Materials!D54,IF(LEN(_xlpm.x)=0,"",_xlpm.x))</f>
        <v/>
      </c>
      <c r="J935" s="51" t="str">
        <f>_xlfn.LET(_xlpm.x,Materials!E54,IF(LEN(_xlpm.x)=0,"",_xlpm.x))</f>
        <v/>
      </c>
      <c r="K935" s="191" t="str">
        <f>_xlfn.LET(_xlpm.x,Materials!F54,IF(OR(LEN(_xlpm.x)=0,NOT(ISNUMBER(_xlpm.x))),"",_xlpm.x))</f>
        <v/>
      </c>
      <c r="L935" s="191" t="str">
        <f>_xlfn.LET(_xlpm.x,Materials!G54,IF(OR(LEN(_xlpm.x)=0,NOT(ISNUMBER(_xlpm.x))),"",_xlpm.x))</f>
        <v/>
      </c>
      <c r="M935" s="191" t="str">
        <f>_xlfn.LET(_xlpm.x,Materials!H54,IF(OR(LEN(_xlpm.x)=0,NOT(ISNUMBER(_xlpm.x))),"",_xlpm.x))</f>
        <v/>
      </c>
      <c r="N935" s="191" t="str">
        <f>_xlfn.LET(_xlpm.x,Materials!I54,IF(OR(LEN(_xlpm.x)=0,NOT(ISNUMBER(_xlpm.x))),"",_xlpm.x))</f>
        <v/>
      </c>
      <c r="O935" s="191" t="str">
        <f>_xlfn.LET(_xlpm.x,Materials!J54,IF(OR(LEN(_xlpm.x)=0,NOT(ISNUMBER(_xlpm.x))),"",_xlpm.x))</f>
        <v/>
      </c>
      <c r="P935" s="191" t="str">
        <f>_xlfn.LET(_xlpm.x,Materials!K54,IF(OR(LEN(_xlpm.x)=0,NOT(ISNUMBER(_xlpm.x))),"",_xlpm.x))</f>
        <v/>
      </c>
      <c r="Q935" s="191" t="str">
        <f>_xlfn.LET(_xlpm.x,Materials!L54,IF(OR(LEN(_xlpm.x)=0,NOT(ISNUMBER(_xlpm.x))),"",_xlpm.x))</f>
        <v/>
      </c>
      <c r="R935" s="191" t="str">
        <f>_xlfn.LET(_xlpm.x,Materials!M54,IF(OR(LEN(_xlpm.x)=0,NOT(ISNUMBER(_xlpm.x))),"",_xlpm.x))</f>
        <v/>
      </c>
    </row>
    <row r="936" spans="6:18">
      <c r="F936" s="137">
        <v>99</v>
      </c>
      <c r="G936" s="137" t="str">
        <f>_xlfn.LET(_xlpm.x,Materials!C55,IF(LEN(_xlpm.x)=0,"","Custom"))</f>
        <v/>
      </c>
      <c r="H936" s="51" t="str">
        <f>_xlfn.LET(_xlpm.x,Materials!C55,IF(LEN(_xlpm.x)=0,"",_xlpm.x))</f>
        <v/>
      </c>
      <c r="I936" s="51" t="str">
        <f>_xlfn.LET(_xlpm.x,Materials!D55,IF(LEN(_xlpm.x)=0,"",_xlpm.x))</f>
        <v/>
      </c>
      <c r="J936" s="51" t="str">
        <f>_xlfn.LET(_xlpm.x,Materials!E55,IF(LEN(_xlpm.x)=0,"",_xlpm.x))</f>
        <v/>
      </c>
      <c r="K936" s="191" t="str">
        <f>_xlfn.LET(_xlpm.x,Materials!F55,IF(OR(LEN(_xlpm.x)=0,NOT(ISNUMBER(_xlpm.x))),"",_xlpm.x))</f>
        <v/>
      </c>
      <c r="L936" s="191" t="str">
        <f>_xlfn.LET(_xlpm.x,Materials!G55,IF(OR(LEN(_xlpm.x)=0,NOT(ISNUMBER(_xlpm.x))),"",_xlpm.x))</f>
        <v/>
      </c>
      <c r="M936" s="191" t="str">
        <f>_xlfn.LET(_xlpm.x,Materials!H55,IF(OR(LEN(_xlpm.x)=0,NOT(ISNUMBER(_xlpm.x))),"",_xlpm.x))</f>
        <v/>
      </c>
      <c r="N936" s="191" t="str">
        <f>_xlfn.LET(_xlpm.x,Materials!I55,IF(OR(LEN(_xlpm.x)=0,NOT(ISNUMBER(_xlpm.x))),"",_xlpm.x))</f>
        <v/>
      </c>
      <c r="O936" s="191" t="str">
        <f>_xlfn.LET(_xlpm.x,Materials!J55,IF(OR(LEN(_xlpm.x)=0,NOT(ISNUMBER(_xlpm.x))),"",_xlpm.x))</f>
        <v/>
      </c>
      <c r="P936" s="191" t="str">
        <f>_xlfn.LET(_xlpm.x,Materials!K55,IF(OR(LEN(_xlpm.x)=0,NOT(ISNUMBER(_xlpm.x))),"",_xlpm.x))</f>
        <v/>
      </c>
      <c r="Q936" s="191" t="str">
        <f>_xlfn.LET(_xlpm.x,Materials!L55,IF(OR(LEN(_xlpm.x)=0,NOT(ISNUMBER(_xlpm.x))),"",_xlpm.x))</f>
        <v/>
      </c>
      <c r="R936" s="191" t="str">
        <f>_xlfn.LET(_xlpm.x,Materials!M55,IF(OR(LEN(_xlpm.x)=0,NOT(ISNUMBER(_xlpm.x))),"",_xlpm.x))</f>
        <v/>
      </c>
    </row>
    <row r="937" spans="6:18">
      <c r="F937" s="137">
        <v>99</v>
      </c>
      <c r="G937" s="137" t="str">
        <f>_xlfn.LET(_xlpm.x,Materials!C56,IF(LEN(_xlpm.x)=0,"","Custom"))</f>
        <v/>
      </c>
      <c r="H937" s="51" t="str">
        <f>_xlfn.LET(_xlpm.x,Materials!C56,IF(LEN(_xlpm.x)=0,"",_xlpm.x))</f>
        <v/>
      </c>
      <c r="I937" s="51" t="str">
        <f>_xlfn.LET(_xlpm.x,Materials!D56,IF(LEN(_xlpm.x)=0,"",_xlpm.x))</f>
        <v/>
      </c>
      <c r="J937" s="51" t="str">
        <f>_xlfn.LET(_xlpm.x,Materials!E56,IF(LEN(_xlpm.x)=0,"",_xlpm.x))</f>
        <v/>
      </c>
      <c r="K937" s="191" t="str">
        <f>_xlfn.LET(_xlpm.x,Materials!F56,IF(OR(LEN(_xlpm.x)=0,NOT(ISNUMBER(_xlpm.x))),"",_xlpm.x))</f>
        <v/>
      </c>
      <c r="L937" s="191" t="str">
        <f>_xlfn.LET(_xlpm.x,Materials!G56,IF(OR(LEN(_xlpm.x)=0,NOT(ISNUMBER(_xlpm.x))),"",_xlpm.x))</f>
        <v/>
      </c>
      <c r="M937" s="191" t="str">
        <f>_xlfn.LET(_xlpm.x,Materials!H56,IF(OR(LEN(_xlpm.x)=0,NOT(ISNUMBER(_xlpm.x))),"",_xlpm.x))</f>
        <v/>
      </c>
      <c r="N937" s="191" t="str">
        <f>_xlfn.LET(_xlpm.x,Materials!I56,IF(OR(LEN(_xlpm.x)=0,NOT(ISNUMBER(_xlpm.x))),"",_xlpm.x))</f>
        <v/>
      </c>
      <c r="O937" s="191" t="str">
        <f>_xlfn.LET(_xlpm.x,Materials!J56,IF(OR(LEN(_xlpm.x)=0,NOT(ISNUMBER(_xlpm.x))),"",_xlpm.x))</f>
        <v/>
      </c>
      <c r="P937" s="191" t="str">
        <f>_xlfn.LET(_xlpm.x,Materials!K56,IF(OR(LEN(_xlpm.x)=0,NOT(ISNUMBER(_xlpm.x))),"",_xlpm.x))</f>
        <v/>
      </c>
      <c r="Q937" s="191" t="str">
        <f>_xlfn.LET(_xlpm.x,Materials!L56,IF(OR(LEN(_xlpm.x)=0,NOT(ISNUMBER(_xlpm.x))),"",_xlpm.x))</f>
        <v/>
      </c>
      <c r="R937" s="191" t="str">
        <f>_xlfn.LET(_xlpm.x,Materials!M56,IF(OR(LEN(_xlpm.x)=0,NOT(ISNUMBER(_xlpm.x))),"",_xlpm.x))</f>
        <v/>
      </c>
    </row>
    <row r="938" spans="6:18">
      <c r="F938" s="137">
        <v>99</v>
      </c>
      <c r="G938" s="137" t="str">
        <f>_xlfn.LET(_xlpm.x,Materials!C57,IF(LEN(_xlpm.x)=0,"","Custom"))</f>
        <v/>
      </c>
      <c r="H938" s="51" t="str">
        <f>_xlfn.LET(_xlpm.x,Materials!C57,IF(LEN(_xlpm.x)=0,"",_xlpm.x))</f>
        <v/>
      </c>
      <c r="I938" s="51" t="str">
        <f>_xlfn.LET(_xlpm.x,Materials!D57,IF(LEN(_xlpm.x)=0,"",_xlpm.x))</f>
        <v/>
      </c>
      <c r="J938" s="51" t="str">
        <f>_xlfn.LET(_xlpm.x,Materials!E57,IF(LEN(_xlpm.x)=0,"",_xlpm.x))</f>
        <v/>
      </c>
      <c r="K938" s="191" t="str">
        <f>_xlfn.LET(_xlpm.x,Materials!F57,IF(OR(LEN(_xlpm.x)=0,NOT(ISNUMBER(_xlpm.x))),"",_xlpm.x))</f>
        <v/>
      </c>
      <c r="L938" s="191" t="str">
        <f>_xlfn.LET(_xlpm.x,Materials!G57,IF(OR(LEN(_xlpm.x)=0,NOT(ISNUMBER(_xlpm.x))),"",_xlpm.x))</f>
        <v/>
      </c>
      <c r="M938" s="191" t="str">
        <f>_xlfn.LET(_xlpm.x,Materials!H57,IF(OR(LEN(_xlpm.x)=0,NOT(ISNUMBER(_xlpm.x))),"",_xlpm.x))</f>
        <v/>
      </c>
      <c r="N938" s="191" t="str">
        <f>_xlfn.LET(_xlpm.x,Materials!I57,IF(OR(LEN(_xlpm.x)=0,NOT(ISNUMBER(_xlpm.x))),"",_xlpm.x))</f>
        <v/>
      </c>
      <c r="O938" s="191" t="str">
        <f>_xlfn.LET(_xlpm.x,Materials!J57,IF(OR(LEN(_xlpm.x)=0,NOT(ISNUMBER(_xlpm.x))),"",_xlpm.x))</f>
        <v/>
      </c>
      <c r="P938" s="191" t="str">
        <f>_xlfn.LET(_xlpm.x,Materials!K57,IF(OR(LEN(_xlpm.x)=0,NOT(ISNUMBER(_xlpm.x))),"",_xlpm.x))</f>
        <v/>
      </c>
      <c r="Q938" s="191" t="str">
        <f>_xlfn.LET(_xlpm.x,Materials!L57,IF(OR(LEN(_xlpm.x)=0,NOT(ISNUMBER(_xlpm.x))),"",_xlpm.x))</f>
        <v/>
      </c>
      <c r="R938" s="191" t="str">
        <f>_xlfn.LET(_xlpm.x,Materials!M57,IF(OR(LEN(_xlpm.x)=0,NOT(ISNUMBER(_xlpm.x))),"",_xlpm.x))</f>
        <v/>
      </c>
    </row>
    <row r="939" spans="6:18">
      <c r="F939" s="137">
        <v>99</v>
      </c>
      <c r="G939" s="137" t="str">
        <f>_xlfn.LET(_xlpm.x,Materials!C58,IF(LEN(_xlpm.x)=0,"","Custom"))</f>
        <v/>
      </c>
      <c r="H939" s="51" t="str">
        <f>_xlfn.LET(_xlpm.x,Materials!C58,IF(LEN(_xlpm.x)=0,"",_xlpm.x))</f>
        <v/>
      </c>
      <c r="I939" s="51" t="str">
        <f>_xlfn.LET(_xlpm.x,Materials!D58,IF(LEN(_xlpm.x)=0,"",_xlpm.x))</f>
        <v/>
      </c>
      <c r="J939" s="51" t="str">
        <f>_xlfn.LET(_xlpm.x,Materials!E58,IF(LEN(_xlpm.x)=0,"",_xlpm.x))</f>
        <v/>
      </c>
      <c r="K939" s="191" t="str">
        <f>_xlfn.LET(_xlpm.x,Materials!F58,IF(OR(LEN(_xlpm.x)=0,NOT(ISNUMBER(_xlpm.x))),"",_xlpm.x))</f>
        <v/>
      </c>
      <c r="L939" s="191" t="str">
        <f>_xlfn.LET(_xlpm.x,Materials!G58,IF(OR(LEN(_xlpm.x)=0,NOT(ISNUMBER(_xlpm.x))),"",_xlpm.x))</f>
        <v/>
      </c>
      <c r="M939" s="191" t="str">
        <f>_xlfn.LET(_xlpm.x,Materials!H58,IF(OR(LEN(_xlpm.x)=0,NOT(ISNUMBER(_xlpm.x))),"",_xlpm.x))</f>
        <v/>
      </c>
      <c r="N939" s="191" t="str">
        <f>_xlfn.LET(_xlpm.x,Materials!I58,IF(OR(LEN(_xlpm.x)=0,NOT(ISNUMBER(_xlpm.x))),"",_xlpm.x))</f>
        <v/>
      </c>
      <c r="O939" s="191" t="str">
        <f>_xlfn.LET(_xlpm.x,Materials!J58,IF(OR(LEN(_xlpm.x)=0,NOT(ISNUMBER(_xlpm.x))),"",_xlpm.x))</f>
        <v/>
      </c>
      <c r="P939" s="191" t="str">
        <f>_xlfn.LET(_xlpm.x,Materials!K58,IF(OR(LEN(_xlpm.x)=0,NOT(ISNUMBER(_xlpm.x))),"",_xlpm.x))</f>
        <v/>
      </c>
      <c r="Q939" s="191" t="str">
        <f>_xlfn.LET(_xlpm.x,Materials!L58,IF(OR(LEN(_xlpm.x)=0,NOT(ISNUMBER(_xlpm.x))),"",_xlpm.x))</f>
        <v/>
      </c>
      <c r="R939" s="191" t="str">
        <f>_xlfn.LET(_xlpm.x,Materials!M58,IF(OR(LEN(_xlpm.x)=0,NOT(ISNUMBER(_xlpm.x))),"",_xlpm.x))</f>
        <v/>
      </c>
    </row>
    <row r="940" spans="6:18">
      <c r="F940" s="137">
        <v>99</v>
      </c>
      <c r="G940" s="137" t="str">
        <f>_xlfn.LET(_xlpm.x,Materials!C59,IF(LEN(_xlpm.x)=0,"","Custom"))</f>
        <v/>
      </c>
      <c r="H940" s="51" t="str">
        <f>_xlfn.LET(_xlpm.x,Materials!C59,IF(LEN(_xlpm.x)=0,"",_xlpm.x))</f>
        <v/>
      </c>
      <c r="I940" s="51" t="str">
        <f>_xlfn.LET(_xlpm.x,Materials!D59,IF(LEN(_xlpm.x)=0,"",_xlpm.x))</f>
        <v/>
      </c>
      <c r="J940" s="51" t="str">
        <f>_xlfn.LET(_xlpm.x,Materials!E59,IF(LEN(_xlpm.x)=0,"",_xlpm.x))</f>
        <v/>
      </c>
      <c r="K940" s="191" t="str">
        <f>_xlfn.LET(_xlpm.x,Materials!F59,IF(OR(LEN(_xlpm.x)=0,NOT(ISNUMBER(_xlpm.x))),"",_xlpm.x))</f>
        <v/>
      </c>
      <c r="L940" s="191" t="str">
        <f>_xlfn.LET(_xlpm.x,Materials!G59,IF(OR(LEN(_xlpm.x)=0,NOT(ISNUMBER(_xlpm.x))),"",_xlpm.x))</f>
        <v/>
      </c>
      <c r="M940" s="191" t="str">
        <f>_xlfn.LET(_xlpm.x,Materials!H59,IF(OR(LEN(_xlpm.x)=0,NOT(ISNUMBER(_xlpm.x))),"",_xlpm.x))</f>
        <v/>
      </c>
      <c r="N940" s="191" t="str">
        <f>_xlfn.LET(_xlpm.x,Materials!I59,IF(OR(LEN(_xlpm.x)=0,NOT(ISNUMBER(_xlpm.x))),"",_xlpm.x))</f>
        <v/>
      </c>
      <c r="O940" s="191" t="str">
        <f>_xlfn.LET(_xlpm.x,Materials!J59,IF(OR(LEN(_xlpm.x)=0,NOT(ISNUMBER(_xlpm.x))),"",_xlpm.x))</f>
        <v/>
      </c>
      <c r="P940" s="191" t="str">
        <f>_xlfn.LET(_xlpm.x,Materials!K59,IF(OR(LEN(_xlpm.x)=0,NOT(ISNUMBER(_xlpm.x))),"",_xlpm.x))</f>
        <v/>
      </c>
      <c r="Q940" s="191" t="str">
        <f>_xlfn.LET(_xlpm.x,Materials!L59,IF(OR(LEN(_xlpm.x)=0,NOT(ISNUMBER(_xlpm.x))),"",_xlpm.x))</f>
        <v/>
      </c>
      <c r="R940" s="191" t="str">
        <f>_xlfn.LET(_xlpm.x,Materials!M59,IF(OR(LEN(_xlpm.x)=0,NOT(ISNUMBER(_xlpm.x))),"",_xlpm.x))</f>
        <v/>
      </c>
    </row>
    <row r="941" spans="6:18">
      <c r="F941" s="137">
        <v>99</v>
      </c>
      <c r="G941" s="137" t="str">
        <f>_xlfn.LET(_xlpm.x,Materials!C60,IF(LEN(_xlpm.x)=0,"","Custom"))</f>
        <v/>
      </c>
      <c r="H941" s="51" t="str">
        <f>_xlfn.LET(_xlpm.x,Materials!C60,IF(LEN(_xlpm.x)=0,"",_xlpm.x))</f>
        <v/>
      </c>
      <c r="I941" s="51" t="str">
        <f>_xlfn.LET(_xlpm.x,Materials!D60,IF(LEN(_xlpm.x)=0,"",_xlpm.x))</f>
        <v/>
      </c>
      <c r="J941" s="51" t="str">
        <f>_xlfn.LET(_xlpm.x,Materials!E60,IF(LEN(_xlpm.x)=0,"",_xlpm.x))</f>
        <v/>
      </c>
      <c r="K941" s="191" t="str">
        <f>_xlfn.LET(_xlpm.x,Materials!F60,IF(OR(LEN(_xlpm.x)=0,NOT(ISNUMBER(_xlpm.x))),"",_xlpm.x))</f>
        <v/>
      </c>
      <c r="L941" s="191" t="str">
        <f>_xlfn.LET(_xlpm.x,Materials!G60,IF(OR(LEN(_xlpm.x)=0,NOT(ISNUMBER(_xlpm.x))),"",_xlpm.x))</f>
        <v/>
      </c>
      <c r="M941" s="191" t="str">
        <f>_xlfn.LET(_xlpm.x,Materials!H60,IF(OR(LEN(_xlpm.x)=0,NOT(ISNUMBER(_xlpm.x))),"",_xlpm.x))</f>
        <v/>
      </c>
      <c r="N941" s="191" t="str">
        <f>_xlfn.LET(_xlpm.x,Materials!I60,IF(OR(LEN(_xlpm.x)=0,NOT(ISNUMBER(_xlpm.x))),"",_xlpm.x))</f>
        <v/>
      </c>
      <c r="O941" s="191" t="str">
        <f>_xlfn.LET(_xlpm.x,Materials!J60,IF(OR(LEN(_xlpm.x)=0,NOT(ISNUMBER(_xlpm.x))),"",_xlpm.x))</f>
        <v/>
      </c>
      <c r="P941" s="191" t="str">
        <f>_xlfn.LET(_xlpm.x,Materials!K60,IF(OR(LEN(_xlpm.x)=0,NOT(ISNUMBER(_xlpm.x))),"",_xlpm.x))</f>
        <v/>
      </c>
      <c r="Q941" s="191" t="str">
        <f>_xlfn.LET(_xlpm.x,Materials!L60,IF(OR(LEN(_xlpm.x)=0,NOT(ISNUMBER(_xlpm.x))),"",_xlpm.x))</f>
        <v/>
      </c>
      <c r="R941" s="191" t="str">
        <f>_xlfn.LET(_xlpm.x,Materials!M60,IF(OR(LEN(_xlpm.x)=0,NOT(ISNUMBER(_xlpm.x))),"",_xlpm.x))</f>
        <v/>
      </c>
    </row>
    <row r="942" spans="6:18">
      <c r="F942" s="137">
        <v>99</v>
      </c>
      <c r="G942" s="137" t="str">
        <f>_xlfn.LET(_xlpm.x,Materials!C61,IF(LEN(_xlpm.x)=0,"","Custom"))</f>
        <v/>
      </c>
      <c r="H942" s="51" t="str">
        <f>_xlfn.LET(_xlpm.x,Materials!C61,IF(LEN(_xlpm.x)=0,"",_xlpm.x))</f>
        <v/>
      </c>
      <c r="I942" s="51" t="str">
        <f>_xlfn.LET(_xlpm.x,Materials!D61,IF(LEN(_xlpm.x)=0,"",_xlpm.x))</f>
        <v/>
      </c>
      <c r="J942" s="51" t="str">
        <f>_xlfn.LET(_xlpm.x,Materials!E61,IF(LEN(_xlpm.x)=0,"",_xlpm.x))</f>
        <v/>
      </c>
      <c r="K942" s="191" t="str">
        <f>_xlfn.LET(_xlpm.x,Materials!F61,IF(OR(LEN(_xlpm.x)=0,NOT(ISNUMBER(_xlpm.x))),"",_xlpm.x))</f>
        <v/>
      </c>
      <c r="L942" s="191" t="str">
        <f>_xlfn.LET(_xlpm.x,Materials!G61,IF(OR(LEN(_xlpm.x)=0,NOT(ISNUMBER(_xlpm.x))),"",_xlpm.x))</f>
        <v/>
      </c>
      <c r="M942" s="191" t="str">
        <f>_xlfn.LET(_xlpm.x,Materials!H61,IF(OR(LEN(_xlpm.x)=0,NOT(ISNUMBER(_xlpm.x))),"",_xlpm.x))</f>
        <v/>
      </c>
      <c r="N942" s="191" t="str">
        <f>_xlfn.LET(_xlpm.x,Materials!I61,IF(OR(LEN(_xlpm.x)=0,NOT(ISNUMBER(_xlpm.x))),"",_xlpm.x))</f>
        <v/>
      </c>
      <c r="O942" s="191" t="str">
        <f>_xlfn.LET(_xlpm.x,Materials!J61,IF(OR(LEN(_xlpm.x)=0,NOT(ISNUMBER(_xlpm.x))),"",_xlpm.x))</f>
        <v/>
      </c>
      <c r="P942" s="191" t="str">
        <f>_xlfn.LET(_xlpm.x,Materials!K61,IF(OR(LEN(_xlpm.x)=0,NOT(ISNUMBER(_xlpm.x))),"",_xlpm.x))</f>
        <v/>
      </c>
      <c r="Q942" s="191" t="str">
        <f>_xlfn.LET(_xlpm.x,Materials!L61,IF(OR(LEN(_xlpm.x)=0,NOT(ISNUMBER(_xlpm.x))),"",_xlpm.x))</f>
        <v/>
      </c>
      <c r="R942" s="191" t="str">
        <f>_xlfn.LET(_xlpm.x,Materials!M61,IF(OR(LEN(_xlpm.x)=0,NOT(ISNUMBER(_xlpm.x))),"",_xlpm.x))</f>
        <v/>
      </c>
    </row>
    <row r="943" spans="6:18">
      <c r="F943" s="137">
        <v>99</v>
      </c>
      <c r="G943" s="137" t="str">
        <f>_xlfn.LET(_xlpm.x,Materials!C62,IF(LEN(_xlpm.x)=0,"","Custom"))</f>
        <v/>
      </c>
      <c r="H943" s="51" t="str">
        <f>_xlfn.LET(_xlpm.x,Materials!C62,IF(LEN(_xlpm.x)=0,"",_xlpm.x))</f>
        <v/>
      </c>
      <c r="I943" s="51" t="str">
        <f>_xlfn.LET(_xlpm.x,Materials!D62,IF(LEN(_xlpm.x)=0,"",_xlpm.x))</f>
        <v/>
      </c>
      <c r="J943" s="51" t="str">
        <f>_xlfn.LET(_xlpm.x,Materials!E62,IF(LEN(_xlpm.x)=0,"",_xlpm.x))</f>
        <v/>
      </c>
      <c r="K943" s="191" t="str">
        <f>_xlfn.LET(_xlpm.x,Materials!F62,IF(OR(LEN(_xlpm.x)=0,NOT(ISNUMBER(_xlpm.x))),"",_xlpm.x))</f>
        <v/>
      </c>
      <c r="L943" s="191" t="str">
        <f>_xlfn.LET(_xlpm.x,Materials!G62,IF(OR(LEN(_xlpm.x)=0,NOT(ISNUMBER(_xlpm.x))),"",_xlpm.x))</f>
        <v/>
      </c>
      <c r="M943" s="191" t="str">
        <f>_xlfn.LET(_xlpm.x,Materials!H62,IF(OR(LEN(_xlpm.x)=0,NOT(ISNUMBER(_xlpm.x))),"",_xlpm.x))</f>
        <v/>
      </c>
      <c r="N943" s="191" t="str">
        <f>_xlfn.LET(_xlpm.x,Materials!I62,IF(OR(LEN(_xlpm.x)=0,NOT(ISNUMBER(_xlpm.x))),"",_xlpm.x))</f>
        <v/>
      </c>
      <c r="O943" s="191" t="str">
        <f>_xlfn.LET(_xlpm.x,Materials!J62,IF(OR(LEN(_xlpm.x)=0,NOT(ISNUMBER(_xlpm.x))),"",_xlpm.x))</f>
        <v/>
      </c>
      <c r="P943" s="191" t="str">
        <f>_xlfn.LET(_xlpm.x,Materials!K62,IF(OR(LEN(_xlpm.x)=0,NOT(ISNUMBER(_xlpm.x))),"",_xlpm.x))</f>
        <v/>
      </c>
      <c r="Q943" s="191" t="str">
        <f>_xlfn.LET(_xlpm.x,Materials!L62,IF(OR(LEN(_xlpm.x)=0,NOT(ISNUMBER(_xlpm.x))),"",_xlpm.x))</f>
        <v/>
      </c>
      <c r="R943" s="191" t="str">
        <f>_xlfn.LET(_xlpm.x,Materials!M62,IF(OR(LEN(_xlpm.x)=0,NOT(ISNUMBER(_xlpm.x))),"",_xlpm.x))</f>
        <v/>
      </c>
    </row>
    <row r="949" spans="5:22">
      <c r="E949" s="1" t="s">
        <v>563</v>
      </c>
    </row>
    <row r="950" spans="5:22">
      <c r="F950" s="1"/>
      <c r="G950" s="162" t="s">
        <v>564</v>
      </c>
      <c r="H950" s="162"/>
      <c r="V950" s="1" t="s">
        <v>565</v>
      </c>
    </row>
    <row r="951" spans="5:22" ht="28.8">
      <c r="G951" s="38" t="s">
        <v>223</v>
      </c>
      <c r="H951" s="38" t="s">
        <v>296</v>
      </c>
      <c r="I951" s="38"/>
      <c r="J951" s="37" t="s">
        <v>234</v>
      </c>
      <c r="K951" s="37" t="s">
        <v>236</v>
      </c>
      <c r="L951" s="37" t="s">
        <v>244</v>
      </c>
      <c r="M951" s="37" t="s">
        <v>241</v>
      </c>
      <c r="N951" s="37" t="s">
        <v>255</v>
      </c>
      <c r="O951" s="37" t="s">
        <v>235</v>
      </c>
      <c r="P951" s="37" t="s">
        <v>513</v>
      </c>
      <c r="Q951" s="37" t="s">
        <v>397</v>
      </c>
      <c r="V951" s="198" t="s">
        <v>224</v>
      </c>
    </row>
    <row r="952" spans="5:22" ht="28.8">
      <c r="G952" s="3" t="s">
        <v>233</v>
      </c>
      <c r="H952" s="4" t="s">
        <v>10178</v>
      </c>
      <c r="I952" s="3"/>
      <c r="J952" s="2" t="s">
        <v>526</v>
      </c>
      <c r="K952" s="2" t="s">
        <v>526</v>
      </c>
      <c r="L952" s="2"/>
      <c r="M952" s="2" t="s">
        <v>526</v>
      </c>
      <c r="N952" s="2" t="s">
        <v>526</v>
      </c>
      <c r="O952" s="2" t="s">
        <v>526</v>
      </c>
      <c r="P952" s="2" t="s">
        <v>526</v>
      </c>
      <c r="Q952" s="2" t="s">
        <v>526</v>
      </c>
      <c r="V952" t="str" cm="1">
        <f t="array" ref="V952:V1002">_xlfn.LET(_xlpm.x,tblPurch_Mat[Material Subcategory],_xlfn.UNIQUE(_xlfn._xlws.FILTER(_xlpm.x,_xlpm.x&lt;&gt;"")))</f>
        <v>Wood</v>
      </c>
    </row>
    <row r="953" spans="5:22">
      <c r="G953" s="3" t="s">
        <v>233</v>
      </c>
      <c r="H953" s="4" t="s">
        <v>250</v>
      </c>
      <c r="I953" s="3"/>
      <c r="J953" s="2" t="s">
        <v>526</v>
      </c>
      <c r="K953" s="2"/>
      <c r="L953" s="2"/>
      <c r="M953" s="2" t="s">
        <v>526</v>
      </c>
      <c r="N953" s="2" t="s">
        <v>526</v>
      </c>
      <c r="O953" s="2" t="s">
        <v>526</v>
      </c>
      <c r="P953" s="2" t="s">
        <v>526</v>
      </c>
      <c r="Q953" s="2" t="s">
        <v>526</v>
      </c>
      <c r="V953" t="str">
        <v>Pallets</v>
      </c>
    </row>
    <row r="954" spans="5:22">
      <c r="G954" s="3" t="s">
        <v>233</v>
      </c>
      <c r="H954" s="4" t="s">
        <v>249</v>
      </c>
      <c r="I954" s="3"/>
      <c r="J954" s="2" t="s">
        <v>526</v>
      </c>
      <c r="K954" s="2"/>
      <c r="L954" s="2"/>
      <c r="M954" s="2" t="s">
        <v>526</v>
      </c>
      <c r="N954" s="2" t="s">
        <v>526</v>
      </c>
      <c r="O954" s="2" t="s">
        <v>526</v>
      </c>
      <c r="P954" s="2" t="s">
        <v>526</v>
      </c>
      <c r="Q954" s="2" t="s">
        <v>526</v>
      </c>
      <c r="V954" t="str">
        <v>Other Wood</v>
      </c>
    </row>
    <row r="955" spans="5:22">
      <c r="G955" s="3" t="s">
        <v>233</v>
      </c>
      <c r="H955" s="4" t="s">
        <v>273</v>
      </c>
      <c r="I955" s="3"/>
      <c r="J955" s="2" t="s">
        <v>526</v>
      </c>
      <c r="K955" s="2"/>
      <c r="L955" s="2"/>
      <c r="M955" s="2" t="s">
        <v>526</v>
      </c>
      <c r="N955" s="2" t="s">
        <v>526</v>
      </c>
      <c r="O955" s="2" t="s">
        <v>526</v>
      </c>
      <c r="P955" s="2" t="s">
        <v>526</v>
      </c>
      <c r="Q955" s="2" t="s">
        <v>526</v>
      </c>
      <c r="V955" t="str">
        <v>Food</v>
      </c>
    </row>
    <row r="956" spans="5:22">
      <c r="G956" s="3" t="s">
        <v>233</v>
      </c>
      <c r="H956" s="4" t="s">
        <v>330</v>
      </c>
      <c r="I956" s="3"/>
      <c r="J956" s="2" t="s">
        <v>526</v>
      </c>
      <c r="K956" s="2" t="s">
        <v>526</v>
      </c>
      <c r="L956" s="2"/>
      <c r="M956" s="2"/>
      <c r="N956" s="2"/>
      <c r="O956" s="2" t="s">
        <v>526</v>
      </c>
      <c r="P956" s="2" t="s">
        <v>526</v>
      </c>
      <c r="Q956" s="2" t="s">
        <v>526</v>
      </c>
      <c r="T956" s="22"/>
      <c r="V956" t="str">
        <v>Food – Vegetable</v>
      </c>
    </row>
    <row r="957" spans="5:22">
      <c r="G957" s="3" t="s">
        <v>233</v>
      </c>
      <c r="H957" s="4" t="s">
        <v>335</v>
      </c>
      <c r="I957" s="3"/>
      <c r="J957" s="2" t="s">
        <v>526</v>
      </c>
      <c r="K957" s="2" t="s">
        <v>526</v>
      </c>
      <c r="L957" s="2"/>
      <c r="M957" s="2" t="s">
        <v>526</v>
      </c>
      <c r="N957" s="2" t="s">
        <v>526</v>
      </c>
      <c r="O957" s="2" t="s">
        <v>526</v>
      </c>
      <c r="P957" s="2" t="s">
        <v>526</v>
      </c>
      <c r="Q957" s="2" t="s">
        <v>526</v>
      </c>
      <c r="V957" t="str">
        <v>Food – Non-Vegetable</v>
      </c>
    </row>
    <row r="958" spans="5:22">
      <c r="G958" s="3" t="s">
        <v>233</v>
      </c>
      <c r="H958" s="4" t="s">
        <v>326</v>
      </c>
      <c r="I958" s="3"/>
      <c r="J958" s="2" t="s">
        <v>526</v>
      </c>
      <c r="K958" s="2" t="s">
        <v>526</v>
      </c>
      <c r="L958" s="2"/>
      <c r="M958" s="2" t="s">
        <v>526</v>
      </c>
      <c r="N958" s="2" t="s">
        <v>526</v>
      </c>
      <c r="O958" s="2" t="s">
        <v>526</v>
      </c>
      <c r="P958" s="2" t="s">
        <v>526</v>
      </c>
      <c r="Q958" s="2" t="s">
        <v>526</v>
      </c>
      <c r="V958" t="str">
        <v>Vegetable Oils</v>
      </c>
    </row>
    <row r="959" spans="5:22">
      <c r="G959" s="3" t="s">
        <v>261</v>
      </c>
      <c r="H959" s="4" t="s">
        <v>10179</v>
      </c>
      <c r="I959" s="3"/>
      <c r="J959" s="2" t="s">
        <v>526</v>
      </c>
      <c r="K959" s="2" t="s">
        <v>526</v>
      </c>
      <c r="L959" s="2"/>
      <c r="M959" s="2" t="s">
        <v>526</v>
      </c>
      <c r="N959" s="2" t="s">
        <v>526</v>
      </c>
      <c r="O959" s="2" t="s">
        <v>526</v>
      </c>
      <c r="P959" s="2" t="s">
        <v>526</v>
      </c>
      <c r="Q959" s="2" t="s">
        <v>526</v>
      </c>
      <c r="V959" t="str">
        <v>Plastics</v>
      </c>
    </row>
    <row r="960" spans="5:22">
      <c r="G960" s="3" t="s">
        <v>261</v>
      </c>
      <c r="H960" s="4" t="s">
        <v>269</v>
      </c>
      <c r="I960" s="3"/>
      <c r="J960" s="2" t="s">
        <v>526</v>
      </c>
      <c r="K960" s="2" t="s">
        <v>526</v>
      </c>
      <c r="L960" s="2"/>
      <c r="M960" s="2" t="s">
        <v>526</v>
      </c>
      <c r="N960" s="2" t="s">
        <v>526</v>
      </c>
      <c r="O960" s="2" t="s">
        <v>526</v>
      </c>
      <c r="P960" s="2" t="s">
        <v>526</v>
      </c>
      <c r="Q960" s="2" t="s">
        <v>526</v>
      </c>
      <c r="V960" t="str">
        <v>HDPE (translucent and pigmented)</v>
      </c>
    </row>
    <row r="961" spans="7:22" ht="28.8">
      <c r="G961" s="3" t="s">
        <v>261</v>
      </c>
      <c r="H961" s="4" t="s">
        <v>530</v>
      </c>
      <c r="I961" s="3"/>
      <c r="J961" s="2" t="s">
        <v>526</v>
      </c>
      <c r="K961" s="2" t="s">
        <v>526</v>
      </c>
      <c r="L961" s="2"/>
      <c r="M961" s="2" t="s">
        <v>526</v>
      </c>
      <c r="N961" s="2" t="s">
        <v>526</v>
      </c>
      <c r="O961" s="2" t="s">
        <v>526</v>
      </c>
      <c r="P961" s="2" t="s">
        <v>526</v>
      </c>
      <c r="Q961" s="2" t="s">
        <v>526</v>
      </c>
      <c r="V961" t="str">
        <v>LDPE</v>
      </c>
    </row>
    <row r="962" spans="7:22">
      <c r="G962" s="3" t="s">
        <v>261</v>
      </c>
      <c r="H962" s="4" t="s">
        <v>262</v>
      </c>
      <c r="I962" s="3"/>
      <c r="J962" s="2" t="s">
        <v>526</v>
      </c>
      <c r="K962" s="2"/>
      <c r="L962" s="2"/>
      <c r="M962" s="2" t="s">
        <v>526</v>
      </c>
      <c r="N962" s="2" t="s">
        <v>526</v>
      </c>
      <c r="O962" s="2" t="s">
        <v>526</v>
      </c>
      <c r="P962" s="2" t="s">
        <v>526</v>
      </c>
      <c r="Q962" s="2" t="s">
        <v>526</v>
      </c>
      <c r="V962" t="str">
        <v>PET</v>
      </c>
    </row>
    <row r="963" spans="7:22">
      <c r="G963" s="3" t="s">
        <v>252</v>
      </c>
      <c r="H963" s="4" t="s">
        <v>10180</v>
      </c>
      <c r="I963" s="3"/>
      <c r="J963" s="2" t="s">
        <v>526</v>
      </c>
      <c r="K963" s="2" t="s">
        <v>526</v>
      </c>
      <c r="L963" s="2" t="s">
        <v>526</v>
      </c>
      <c r="M963" s="2"/>
      <c r="N963" s="2"/>
      <c r="O963" s="2" t="s">
        <v>526</v>
      </c>
      <c r="P963" s="2" t="s">
        <v>526</v>
      </c>
      <c r="Q963" s="2" t="s">
        <v>526</v>
      </c>
      <c r="V963" t="str">
        <v>LLDPE</v>
      </c>
    </row>
    <row r="964" spans="7:22" ht="43.2">
      <c r="G964" s="3" t="s">
        <v>252</v>
      </c>
      <c r="H964" s="4" t="s">
        <v>10163</v>
      </c>
      <c r="I964" s="3"/>
      <c r="J964" s="2" t="s">
        <v>526</v>
      </c>
      <c r="K964" s="2" t="s">
        <v>526</v>
      </c>
      <c r="L964" s="2" t="s">
        <v>526</v>
      </c>
      <c r="M964" s="2"/>
      <c r="N964" s="2"/>
      <c r="O964" s="2" t="s">
        <v>526</v>
      </c>
      <c r="P964" s="2" t="s">
        <v>526</v>
      </c>
      <c r="Q964" s="2" t="s">
        <v>526</v>
      </c>
      <c r="V964" t="str">
        <v>PP</v>
      </c>
    </row>
    <row r="965" spans="7:22" ht="28.8">
      <c r="G965" s="3" t="s">
        <v>252</v>
      </c>
      <c r="H965" s="4" t="s">
        <v>10164</v>
      </c>
      <c r="I965" s="3"/>
      <c r="J965" s="2" t="s">
        <v>526</v>
      </c>
      <c r="K965" s="2"/>
      <c r="L965" s="2" t="s">
        <v>526</v>
      </c>
      <c r="M965" s="2"/>
      <c r="N965" s="2"/>
      <c r="O965" s="2" t="s">
        <v>526</v>
      </c>
      <c r="P965" s="2" t="s">
        <v>526</v>
      </c>
      <c r="Q965" s="2" t="s">
        <v>526</v>
      </c>
      <c r="V965" t="str">
        <v>PVC</v>
      </c>
    </row>
    <row r="966" spans="7:22" ht="28.8">
      <c r="G966" s="3" t="s">
        <v>252</v>
      </c>
      <c r="H966" s="4" t="s">
        <v>10165</v>
      </c>
      <c r="I966" s="3"/>
      <c r="J966" s="2" t="s">
        <v>526</v>
      </c>
      <c r="K966" s="2" t="s">
        <v>526</v>
      </c>
      <c r="L966" s="2" t="s">
        <v>526</v>
      </c>
      <c r="M966" s="2"/>
      <c r="N966" s="2"/>
      <c r="O966" s="2" t="s">
        <v>526</v>
      </c>
      <c r="P966" s="2" t="s">
        <v>526</v>
      </c>
      <c r="Q966" s="2" t="s">
        <v>526</v>
      </c>
      <c r="V966" t="str">
        <v>Electronics</v>
      </c>
    </row>
    <row r="967" spans="7:22" ht="28.8">
      <c r="G967" s="3" t="s">
        <v>252</v>
      </c>
      <c r="H967" s="4" t="s">
        <v>10166</v>
      </c>
      <c r="I967" s="3"/>
      <c r="J967" s="2" t="s">
        <v>526</v>
      </c>
      <c r="K967" s="2"/>
      <c r="L967" s="2" t="s">
        <v>526</v>
      </c>
      <c r="M967" s="2"/>
      <c r="N967" s="2"/>
      <c r="O967" s="2" t="s">
        <v>526</v>
      </c>
      <c r="P967" s="2" t="s">
        <v>526</v>
      </c>
      <c r="Q967" s="2" t="s">
        <v>526</v>
      </c>
      <c r="V967" t="str">
        <v>Batteries</v>
      </c>
    </row>
    <row r="968" spans="7:22">
      <c r="G968" s="3" t="s">
        <v>252</v>
      </c>
      <c r="H968" s="4" t="s">
        <v>10167</v>
      </c>
      <c r="I968" s="3"/>
      <c r="J968" s="2" t="s">
        <v>526</v>
      </c>
      <c r="K968" s="2" t="s">
        <v>526</v>
      </c>
      <c r="L968" s="2"/>
      <c r="M968" s="2"/>
      <c r="N968" s="2"/>
      <c r="O968" s="2" t="s">
        <v>526</v>
      </c>
      <c r="P968" s="2" t="s">
        <v>526</v>
      </c>
      <c r="Q968" s="2" t="s">
        <v>526</v>
      </c>
      <c r="V968" t="str">
        <v>Paper</v>
      </c>
    </row>
    <row r="969" spans="7:22">
      <c r="G969" s="3" t="s">
        <v>252</v>
      </c>
      <c r="H969" s="4" t="s">
        <v>10168</v>
      </c>
      <c r="I969" s="3"/>
      <c r="J969" s="2" t="s">
        <v>526</v>
      </c>
      <c r="K969" s="2" t="s">
        <v>526</v>
      </c>
      <c r="L969" s="2"/>
      <c r="M969" s="2"/>
      <c r="N969" s="2"/>
      <c r="O969" s="2" t="s">
        <v>526</v>
      </c>
      <c r="P969" s="2" t="s">
        <v>526</v>
      </c>
      <c r="Q969" s="2" t="s">
        <v>526</v>
      </c>
      <c r="V969" t="str">
        <v>Newsprint</v>
      </c>
    </row>
    <row r="970" spans="7:22">
      <c r="G970" s="3" t="s">
        <v>242</v>
      </c>
      <c r="H970" s="4" t="s">
        <v>10181</v>
      </c>
      <c r="I970" s="3"/>
      <c r="J970" s="2" t="s">
        <v>526</v>
      </c>
      <c r="K970" s="2" t="s">
        <v>526</v>
      </c>
      <c r="L970" s="2" t="s">
        <v>526</v>
      </c>
      <c r="M970" s="2"/>
      <c r="N970" s="2"/>
      <c r="O970" s="2" t="s">
        <v>526</v>
      </c>
      <c r="P970" s="2" t="s">
        <v>526</v>
      </c>
      <c r="Q970" s="2" t="s">
        <v>526</v>
      </c>
      <c r="V970" t="str">
        <v>Corr. Cardboard</v>
      </c>
    </row>
    <row r="971" spans="7:22">
      <c r="G971" s="3" t="s">
        <v>242</v>
      </c>
      <c r="H971" s="4" t="s">
        <v>274</v>
      </c>
      <c r="I971" s="3"/>
      <c r="J971" s="2" t="s">
        <v>526</v>
      </c>
      <c r="K971" s="2" t="s">
        <v>526</v>
      </c>
      <c r="L971" s="2" t="s">
        <v>526</v>
      </c>
      <c r="M971" s="2"/>
      <c r="N971" s="2"/>
      <c r="O971" s="2" t="s">
        <v>526</v>
      </c>
      <c r="P971" s="2" t="s">
        <v>526</v>
      </c>
      <c r="Q971" s="2" t="s">
        <v>526</v>
      </c>
      <c r="V971" t="str">
        <v>Office Paper</v>
      </c>
    </row>
    <row r="972" spans="7:22">
      <c r="G972" s="3" t="s">
        <v>242</v>
      </c>
      <c r="H972" s="4" t="s">
        <v>534</v>
      </c>
      <c r="I972" s="3"/>
      <c r="J972" s="2" t="s">
        <v>526</v>
      </c>
      <c r="K972" s="2" t="s">
        <v>526</v>
      </c>
      <c r="L972" s="2" t="s">
        <v>526</v>
      </c>
      <c r="M972" s="2"/>
      <c r="N972" s="2"/>
      <c r="O972" s="2" t="s">
        <v>526</v>
      </c>
      <c r="P972" s="2" t="s">
        <v>526</v>
      </c>
      <c r="Q972" s="2" t="s">
        <v>526</v>
      </c>
      <c r="V972" t="str">
        <v>Magazines</v>
      </c>
    </row>
    <row r="973" spans="7:22">
      <c r="G973" s="3" t="s">
        <v>239</v>
      </c>
      <c r="H973" s="4" t="s">
        <v>10182</v>
      </c>
      <c r="I973" s="3"/>
      <c r="J973" s="2" t="s">
        <v>526</v>
      </c>
      <c r="K973" s="2" t="s">
        <v>526</v>
      </c>
      <c r="L973" s="2" t="s">
        <v>526</v>
      </c>
      <c r="M973" s="2" t="s">
        <v>526</v>
      </c>
      <c r="N973" s="2" t="s">
        <v>526</v>
      </c>
      <c r="O973" s="2" t="s">
        <v>526</v>
      </c>
      <c r="P973" s="2" t="s">
        <v>526</v>
      </c>
      <c r="Q973" s="2" t="s">
        <v>526</v>
      </c>
      <c r="V973" t="str">
        <v>3rd Class Mail</v>
      </c>
    </row>
    <row r="974" spans="7:22">
      <c r="G974" s="3" t="s">
        <v>239</v>
      </c>
      <c r="H974" s="4" t="s">
        <v>324</v>
      </c>
      <c r="I974" s="3"/>
      <c r="J974" s="2" t="s">
        <v>526</v>
      </c>
      <c r="K974" s="2"/>
      <c r="L974" s="2" t="s">
        <v>526</v>
      </c>
      <c r="M974" s="2" t="s">
        <v>526</v>
      </c>
      <c r="N974" s="2" t="s">
        <v>526</v>
      </c>
      <c r="O974" s="2" t="s">
        <v>526</v>
      </c>
      <c r="P974" s="2" t="s">
        <v>526</v>
      </c>
      <c r="Q974" s="2" t="s">
        <v>526</v>
      </c>
      <c r="V974" t="str">
        <v>Folding Containers</v>
      </c>
    </row>
    <row r="975" spans="7:22">
      <c r="G975" s="3" t="s">
        <v>239</v>
      </c>
      <c r="H975" s="4" t="s">
        <v>272</v>
      </c>
      <c r="I975" s="3"/>
      <c r="J975" s="2" t="s">
        <v>526</v>
      </c>
      <c r="K975" s="2" t="s">
        <v>526</v>
      </c>
      <c r="L975" s="2" t="s">
        <v>526</v>
      </c>
      <c r="M975" s="2" t="s">
        <v>526</v>
      </c>
      <c r="N975" s="2" t="s">
        <v>526</v>
      </c>
      <c r="O975" s="2" t="s">
        <v>526</v>
      </c>
      <c r="P975" s="2" t="s">
        <v>526</v>
      </c>
      <c r="Q975" s="2" t="s">
        <v>526</v>
      </c>
      <c r="V975" t="str">
        <v>Paper Bags</v>
      </c>
    </row>
    <row r="976" spans="7:22">
      <c r="G976" s="3" t="s">
        <v>239</v>
      </c>
      <c r="H976" s="4" t="s">
        <v>329</v>
      </c>
      <c r="I976" s="3"/>
      <c r="J976" s="2" t="s">
        <v>526</v>
      </c>
      <c r="K976" s="2"/>
      <c r="L976" s="2" t="s">
        <v>526</v>
      </c>
      <c r="M976" s="2" t="s">
        <v>526</v>
      </c>
      <c r="N976" s="2" t="s">
        <v>526</v>
      </c>
      <c r="O976" s="2" t="s">
        <v>526</v>
      </c>
      <c r="P976" s="2" t="s">
        <v>526</v>
      </c>
      <c r="Q976" s="2" t="s">
        <v>526</v>
      </c>
      <c r="V976" t="str">
        <v>Paper – Non-Recyclable</v>
      </c>
    </row>
    <row r="977" spans="7:22">
      <c r="G977" s="3" t="s">
        <v>239</v>
      </c>
      <c r="H977" s="4" t="s">
        <v>271</v>
      </c>
      <c r="I977" s="3"/>
      <c r="J977" s="2" t="s">
        <v>526</v>
      </c>
      <c r="K977" s="2"/>
      <c r="L977" s="2" t="s">
        <v>526</v>
      </c>
      <c r="M977" s="2" t="s">
        <v>526</v>
      </c>
      <c r="N977" s="2" t="s">
        <v>526</v>
      </c>
      <c r="O977" s="2" t="s">
        <v>526</v>
      </c>
      <c r="P977" s="2" t="s">
        <v>526</v>
      </c>
      <c r="Q977" s="2" t="s">
        <v>526</v>
      </c>
      <c r="V977" t="str">
        <v>Compostable Food Service Ware</v>
      </c>
    </row>
    <row r="978" spans="7:22">
      <c r="G978" s="3" t="s">
        <v>239</v>
      </c>
      <c r="H978" s="4" t="s">
        <v>535</v>
      </c>
      <c r="I978" s="3"/>
      <c r="J978" s="2" t="s">
        <v>526</v>
      </c>
      <c r="K978" s="2"/>
      <c r="L978" s="2" t="s">
        <v>526</v>
      </c>
      <c r="M978" s="2" t="s">
        <v>526</v>
      </c>
      <c r="N978" s="2" t="s">
        <v>526</v>
      </c>
      <c r="O978" s="2" t="s">
        <v>526</v>
      </c>
      <c r="P978" s="2" t="s">
        <v>526</v>
      </c>
      <c r="Q978" s="2" t="s">
        <v>526</v>
      </c>
      <c r="V978" t="str">
        <v>Metals</v>
      </c>
    </row>
    <row r="979" spans="7:22">
      <c r="G979" s="3" t="s">
        <v>239</v>
      </c>
      <c r="H979" s="4" t="s">
        <v>259</v>
      </c>
      <c r="I979" s="3"/>
      <c r="J979" s="2" t="s">
        <v>526</v>
      </c>
      <c r="K979" s="2"/>
      <c r="L979" s="2" t="s">
        <v>526</v>
      </c>
      <c r="M979" s="2" t="s">
        <v>526</v>
      </c>
      <c r="N979" s="2" t="s">
        <v>526</v>
      </c>
      <c r="O979" s="2" t="s">
        <v>526</v>
      </c>
      <c r="P979" s="2" t="s">
        <v>526</v>
      </c>
      <c r="Q979" s="2" t="s">
        <v>526</v>
      </c>
      <c r="V979" t="str">
        <v>Ferrous Cans</v>
      </c>
    </row>
    <row r="980" spans="7:22">
      <c r="G980" s="3" t="s">
        <v>239</v>
      </c>
      <c r="H980" s="4" t="s">
        <v>334</v>
      </c>
      <c r="I980" s="3"/>
      <c r="J980" s="2" t="s">
        <v>526</v>
      </c>
      <c r="K980" s="2"/>
      <c r="L980" s="2" t="s">
        <v>526</v>
      </c>
      <c r="M980" s="2" t="s">
        <v>526</v>
      </c>
      <c r="N980" s="2" t="s">
        <v>526</v>
      </c>
      <c r="O980" s="2" t="s">
        <v>526</v>
      </c>
      <c r="P980" s="2" t="s">
        <v>526</v>
      </c>
      <c r="Q980" s="2" t="s">
        <v>526</v>
      </c>
      <c r="V980" t="str">
        <v>Ferrous Metal</v>
      </c>
    </row>
    <row r="981" spans="7:22">
      <c r="G981" s="3" t="s">
        <v>239</v>
      </c>
      <c r="H981" s="4" t="s">
        <v>240</v>
      </c>
      <c r="I981" s="3"/>
      <c r="J981" s="2" t="s">
        <v>526</v>
      </c>
      <c r="K981" s="2"/>
      <c r="L981" s="2"/>
      <c r="M981" s="2" t="s">
        <v>526</v>
      </c>
      <c r="N981" s="2" t="s">
        <v>526</v>
      </c>
      <c r="O981" s="2" t="s">
        <v>526</v>
      </c>
      <c r="P981" s="2" t="s">
        <v>526</v>
      </c>
      <c r="Q981" s="2" t="s">
        <v>526</v>
      </c>
      <c r="V981" t="str">
        <v>Aluminum Cans</v>
      </c>
    </row>
    <row r="982" spans="7:22" ht="28.8">
      <c r="G982" s="3" t="s">
        <v>239</v>
      </c>
      <c r="H982" s="4" t="s">
        <v>325</v>
      </c>
      <c r="I982" s="3"/>
      <c r="J982" s="2" t="s">
        <v>526</v>
      </c>
      <c r="K982" s="2"/>
      <c r="L982" s="2"/>
      <c r="M982" s="2" t="s">
        <v>526</v>
      </c>
      <c r="N982" s="2" t="s">
        <v>526</v>
      </c>
      <c r="O982" s="2" t="s">
        <v>526</v>
      </c>
      <c r="P982" s="2" t="s">
        <v>526</v>
      </c>
      <c r="Q982" s="2" t="s">
        <v>526</v>
      </c>
      <c r="V982" t="str">
        <v>Aluminum Foil</v>
      </c>
    </row>
    <row r="983" spans="7:22">
      <c r="G983" s="3" t="s">
        <v>256</v>
      </c>
      <c r="H983" s="4" t="s">
        <v>10183</v>
      </c>
      <c r="I983" s="3"/>
      <c r="J983" s="2" t="s">
        <v>526</v>
      </c>
      <c r="K983" s="2" t="s">
        <v>526</v>
      </c>
      <c r="L983" s="2" t="s">
        <v>526</v>
      </c>
      <c r="M983" s="2"/>
      <c r="N983" s="2"/>
      <c r="O983" s="2" t="s">
        <v>526</v>
      </c>
      <c r="P983" s="2" t="s">
        <v>526</v>
      </c>
      <c r="Q983" s="2" t="s">
        <v>526</v>
      </c>
      <c r="V983" t="str">
        <v>Other Aluminum</v>
      </c>
    </row>
    <row r="984" spans="7:22">
      <c r="G984" s="3" t="s">
        <v>256</v>
      </c>
      <c r="H984" s="4" t="s">
        <v>536</v>
      </c>
      <c r="I984" s="3"/>
      <c r="J984" s="2" t="s">
        <v>526</v>
      </c>
      <c r="K984" s="2" t="s">
        <v>526</v>
      </c>
      <c r="L984" s="2" t="s">
        <v>526</v>
      </c>
      <c r="M984" s="2"/>
      <c r="N984" s="2"/>
      <c r="O984" s="2" t="s">
        <v>526</v>
      </c>
      <c r="P984" s="2" t="s">
        <v>526</v>
      </c>
      <c r="Q984" s="2" t="s">
        <v>526</v>
      </c>
      <c r="V984" t="str">
        <v>Glass</v>
      </c>
    </row>
    <row r="985" spans="7:22">
      <c r="G985" s="3" t="s">
        <v>256</v>
      </c>
      <c r="H985" s="4" t="s">
        <v>257</v>
      </c>
      <c r="I985" s="3"/>
      <c r="J985" s="2" t="s">
        <v>526</v>
      </c>
      <c r="K985" s="2" t="s">
        <v>526</v>
      </c>
      <c r="L985" s="2" t="s">
        <v>526</v>
      </c>
      <c r="M985" s="2"/>
      <c r="N985" s="2"/>
      <c r="O985" s="2" t="s">
        <v>526</v>
      </c>
      <c r="P985" s="2" t="s">
        <v>526</v>
      </c>
      <c r="Q985" s="2" t="s">
        <v>526</v>
      </c>
      <c r="V985" t="str">
        <v>Glass – Brown</v>
      </c>
    </row>
    <row r="986" spans="7:22">
      <c r="G986" s="3" t="s">
        <v>256</v>
      </c>
      <c r="H986" s="4" t="s">
        <v>537</v>
      </c>
      <c r="I986" s="3"/>
      <c r="J986" s="2" t="s">
        <v>526</v>
      </c>
      <c r="K986" s="2" t="s">
        <v>526</v>
      </c>
      <c r="L986" s="2" t="s">
        <v>526</v>
      </c>
      <c r="M986" s="2"/>
      <c r="N986" s="2"/>
      <c r="O986" s="2" t="s">
        <v>526</v>
      </c>
      <c r="P986" s="2" t="s">
        <v>526</v>
      </c>
      <c r="Q986" s="2" t="s">
        <v>526</v>
      </c>
      <c r="V986" t="str">
        <v>Glass – Green</v>
      </c>
    </row>
    <row r="987" spans="7:22">
      <c r="G987" s="3" t="s">
        <v>256</v>
      </c>
      <c r="H987" s="4" t="s">
        <v>538</v>
      </c>
      <c r="I987" s="3"/>
      <c r="J987" s="2" t="s">
        <v>526</v>
      </c>
      <c r="K987" s="2"/>
      <c r="L987" s="2"/>
      <c r="M987" s="2"/>
      <c r="N987" s="2"/>
      <c r="O987" s="2" t="s">
        <v>526</v>
      </c>
      <c r="P987" s="2" t="s">
        <v>526</v>
      </c>
      <c r="Q987" s="2" t="s">
        <v>526</v>
      </c>
      <c r="V987" t="str">
        <v>Glass – Clear</v>
      </c>
    </row>
    <row r="988" spans="7:22">
      <c r="G988" s="3" t="s">
        <v>256</v>
      </c>
      <c r="H988" s="4" t="s">
        <v>258</v>
      </c>
      <c r="I988" s="3"/>
      <c r="J988" s="2" t="s">
        <v>526</v>
      </c>
      <c r="K988" s="2" t="s">
        <v>526</v>
      </c>
      <c r="L988" s="2" t="s">
        <v>526</v>
      </c>
      <c r="M988" s="2"/>
      <c r="N988" s="2"/>
      <c r="O988" s="2" t="s">
        <v>526</v>
      </c>
      <c r="P988" s="2" t="s">
        <v>526</v>
      </c>
      <c r="Q988" s="2" t="s">
        <v>526</v>
      </c>
      <c r="V988" t="str">
        <v>Mixed Glass</v>
      </c>
    </row>
    <row r="989" spans="7:22">
      <c r="G989" s="3" t="s">
        <v>247</v>
      </c>
      <c r="H989" s="4" t="s">
        <v>247</v>
      </c>
      <c r="I989" s="3"/>
      <c r="J989" s="2" t="s">
        <v>526</v>
      </c>
      <c r="K989" s="2" t="s">
        <v>526</v>
      </c>
      <c r="L989" s="2" t="s">
        <v>526</v>
      </c>
      <c r="M989" s="2" t="s">
        <v>526</v>
      </c>
      <c r="N989" s="2"/>
      <c r="O989" s="2" t="s">
        <v>526</v>
      </c>
      <c r="P989" s="2" t="s">
        <v>526</v>
      </c>
      <c r="Q989" s="2" t="s">
        <v>526</v>
      </c>
      <c r="V989" t="str">
        <v>Glass – Non-Recyclable</v>
      </c>
    </row>
    <row r="990" spans="7:22">
      <c r="G990" s="3" t="s">
        <v>247</v>
      </c>
      <c r="H990" s="4" t="s">
        <v>248</v>
      </c>
      <c r="I990" s="3"/>
      <c r="J990" s="2" t="s">
        <v>526</v>
      </c>
      <c r="K990" s="2" t="s">
        <v>526</v>
      </c>
      <c r="L990" s="2" t="s">
        <v>526</v>
      </c>
      <c r="M990" s="2"/>
      <c r="N990" s="2"/>
      <c r="O990" s="2" t="s">
        <v>526</v>
      </c>
      <c r="P990" s="2" t="s">
        <v>526</v>
      </c>
      <c r="Q990" s="2" t="s">
        <v>526</v>
      </c>
      <c r="V990" t="str">
        <v>Mixed Organics</v>
      </c>
    </row>
    <row r="991" spans="7:22">
      <c r="G991" s="3" t="s">
        <v>247</v>
      </c>
      <c r="H991" s="4" t="s">
        <v>263</v>
      </c>
      <c r="I991" s="3"/>
      <c r="J991" s="2" t="s">
        <v>526</v>
      </c>
      <c r="K991" s="2" t="s">
        <v>526</v>
      </c>
      <c r="L991" s="2" t="s">
        <v>526</v>
      </c>
      <c r="M991" s="2"/>
      <c r="N991" s="2"/>
      <c r="O991" s="2" t="s">
        <v>526</v>
      </c>
      <c r="P991" s="2" t="s">
        <v>526</v>
      </c>
      <c r="Q991" s="2" t="s">
        <v>526</v>
      </c>
      <c r="V991" t="str">
        <v>Mixed/Custom</v>
      </c>
    </row>
    <row r="992" spans="7:22">
      <c r="G992" s="3" t="s">
        <v>247</v>
      </c>
      <c r="H992" s="4" t="s">
        <v>539</v>
      </c>
      <c r="I992" s="3"/>
      <c r="J992" s="2" t="s">
        <v>526</v>
      </c>
      <c r="K992" s="2" t="s">
        <v>526</v>
      </c>
      <c r="L992" s="2" t="s">
        <v>526</v>
      </c>
      <c r="M992" s="2"/>
      <c r="N992" s="2"/>
      <c r="O992" s="2" t="s">
        <v>526</v>
      </c>
      <c r="P992" s="2" t="s">
        <v>526</v>
      </c>
      <c r="Q992" s="2" t="s">
        <v>526</v>
      </c>
      <c r="V992" t="str">
        <v>Mixed Inorganics</v>
      </c>
    </row>
    <row r="993" spans="7:22">
      <c r="G993" s="3" t="s">
        <v>247</v>
      </c>
      <c r="H993" s="4" t="s">
        <v>270</v>
      </c>
      <c r="I993" s="3"/>
      <c r="J993" s="2" t="s">
        <v>526</v>
      </c>
      <c r="K993" s="2" t="s">
        <v>526</v>
      </c>
      <c r="L993" s="2" t="s">
        <v>526</v>
      </c>
      <c r="M993" s="2"/>
      <c r="N993" s="2"/>
      <c r="O993" s="2" t="s">
        <v>526</v>
      </c>
      <c r="P993" s="2" t="s">
        <v>526</v>
      </c>
      <c r="Q993" s="2" t="s">
        <v>526</v>
      </c>
      <c r="V993" t="str">
        <v>Mixed Municipal Solid Waste</v>
      </c>
    </row>
    <row r="994" spans="7:22">
      <c r="G994" s="3" t="s">
        <v>247</v>
      </c>
      <c r="H994" s="4" t="s">
        <v>540</v>
      </c>
      <c r="I994" s="3"/>
      <c r="J994" s="2" t="s">
        <v>526</v>
      </c>
      <c r="K994" s="2" t="s">
        <v>526</v>
      </c>
      <c r="L994" s="2"/>
      <c r="M994" s="2"/>
      <c r="N994" s="2"/>
      <c r="O994" s="2" t="s">
        <v>526</v>
      </c>
      <c r="P994" s="2" t="s">
        <v>526</v>
      </c>
      <c r="Q994" s="2" t="s">
        <v>526</v>
      </c>
      <c r="V994" t="str">
        <v>Mixed Plastics</v>
      </c>
    </row>
    <row r="995" spans="7:22">
      <c r="G995" s="3" t="s">
        <v>261</v>
      </c>
      <c r="H995" s="4" t="s">
        <v>260</v>
      </c>
      <c r="I995" s="3"/>
      <c r="J995" s="2" t="s">
        <v>526</v>
      </c>
      <c r="K995" s="2"/>
      <c r="L995" s="2"/>
      <c r="M995" s="2" t="s">
        <v>526</v>
      </c>
      <c r="N995" s="2" t="s">
        <v>526</v>
      </c>
      <c r="O995" s="2" t="s">
        <v>526</v>
      </c>
      <c r="P995" s="2" t="s">
        <v>526</v>
      </c>
      <c r="Q995" s="2" t="s">
        <v>526</v>
      </c>
      <c r="V995" t="str">
        <v>Mixed Paper</v>
      </c>
    </row>
    <row r="996" spans="7:22">
      <c r="G996" s="3" t="s">
        <v>10157</v>
      </c>
      <c r="H996" s="4" t="s">
        <v>10157</v>
      </c>
      <c r="I996" s="3"/>
      <c r="J996" s="2" t="s">
        <v>526</v>
      </c>
      <c r="K996" s="2" t="s">
        <v>526</v>
      </c>
      <c r="L996" s="160"/>
      <c r="M996" s="2"/>
      <c r="N996" s="2"/>
      <c r="O996" s="2" t="s">
        <v>526</v>
      </c>
      <c r="P996" s="2" t="s">
        <v>526</v>
      </c>
      <c r="Q996" s="2" t="s">
        <v>526</v>
      </c>
      <c r="V996" t="str">
        <v>Mixed Recycling</v>
      </c>
    </row>
    <row r="997" spans="7:22">
      <c r="G997" s="3" t="s">
        <v>10157</v>
      </c>
      <c r="H997" s="4" t="s">
        <v>246</v>
      </c>
      <c r="I997" s="3"/>
      <c r="J997" s="2" t="s">
        <v>526</v>
      </c>
      <c r="K997" s="2"/>
      <c r="L997" s="2"/>
      <c r="M997" s="2"/>
      <c r="N997" s="2"/>
      <c r="O997" s="2" t="s">
        <v>526</v>
      </c>
      <c r="P997" s="2" t="s">
        <v>526</v>
      </c>
      <c r="Q997" s="2" t="s">
        <v>526</v>
      </c>
      <c r="V997" t="str">
        <v>Furniture/Textiles</v>
      </c>
    </row>
    <row r="998" spans="7:22" ht="28.8">
      <c r="G998" s="3" t="s">
        <v>10157</v>
      </c>
      <c r="H998" s="4" t="s">
        <v>10162</v>
      </c>
      <c r="I998" s="3"/>
      <c r="J998" s="2" t="s">
        <v>526</v>
      </c>
      <c r="K998" s="2"/>
      <c r="L998" s="2"/>
      <c r="M998" s="2" t="s">
        <v>526</v>
      </c>
      <c r="N998" s="2" t="s">
        <v>526</v>
      </c>
      <c r="O998" s="2" t="s">
        <v>526</v>
      </c>
      <c r="P998" s="2" t="s">
        <v>526</v>
      </c>
      <c r="Q998" s="2" t="s">
        <v>526</v>
      </c>
      <c r="V998" t="str">
        <v>Furniture</v>
      </c>
    </row>
    <row r="999" spans="7:22">
      <c r="G999" s="3" t="s">
        <v>252</v>
      </c>
      <c r="H999" s="4" t="s">
        <v>333</v>
      </c>
      <c r="I999" s="3"/>
      <c r="J999" s="2" t="s">
        <v>526</v>
      </c>
      <c r="K999" s="2"/>
      <c r="L999" s="2" t="s">
        <v>526</v>
      </c>
      <c r="M999" s="2"/>
      <c r="N999" s="2"/>
      <c r="O999" s="2" t="s">
        <v>526</v>
      </c>
      <c r="P999" s="2" t="s">
        <v>526</v>
      </c>
      <c r="Q999" s="2" t="s">
        <v>526</v>
      </c>
      <c r="V999" t="str">
        <v>Appliances</v>
      </c>
    </row>
    <row r="1000" spans="7:22">
      <c r="G1000" s="3" t="s">
        <v>239</v>
      </c>
      <c r="H1000" s="4" t="s">
        <v>542</v>
      </c>
      <c r="I1000" s="3"/>
      <c r="J1000" s="2" t="s">
        <v>526</v>
      </c>
      <c r="K1000" s="2"/>
      <c r="L1000" s="2" t="s">
        <v>526</v>
      </c>
      <c r="M1000" s="2" t="s">
        <v>526</v>
      </c>
      <c r="N1000" s="2" t="s">
        <v>526</v>
      </c>
      <c r="O1000" s="2" t="s">
        <v>526</v>
      </c>
      <c r="P1000" s="2" t="s">
        <v>526</v>
      </c>
      <c r="Q1000" s="2" t="s">
        <v>526</v>
      </c>
      <c r="V1000" t="str">
        <v>Lightbulb/Lamps</v>
      </c>
    </row>
    <row r="1001" spans="7:22">
      <c r="G1001" s="3" t="s">
        <v>10157</v>
      </c>
      <c r="H1001" s="4" t="s">
        <v>238</v>
      </c>
      <c r="I1001" s="3"/>
      <c r="J1001" s="2" t="s">
        <v>526</v>
      </c>
      <c r="K1001" s="2"/>
      <c r="L1001" s="2" t="s">
        <v>526</v>
      </c>
      <c r="M1001" s="2"/>
      <c r="N1001" s="2"/>
      <c r="O1001" s="2" t="s">
        <v>526</v>
      </c>
      <c r="P1001" s="2" t="s">
        <v>526</v>
      </c>
      <c r="Q1001" s="2" t="s">
        <v>526</v>
      </c>
      <c r="V1001" t="str">
        <v>Textiles</v>
      </c>
    </row>
    <row r="1002" spans="7:22" ht="28.8">
      <c r="G1002" s="3" t="s">
        <v>264</v>
      </c>
      <c r="H1002" s="4" t="s">
        <v>10184</v>
      </c>
      <c r="I1002" s="3"/>
      <c r="J1002" s="2" t="s">
        <v>526</v>
      </c>
      <c r="K1002" s="2" t="s">
        <v>526</v>
      </c>
      <c r="L1002" s="2" t="s">
        <v>526</v>
      </c>
      <c r="M1002" s="2"/>
      <c r="N1002" s="2"/>
      <c r="O1002" s="2" t="s">
        <v>526</v>
      </c>
      <c r="P1002" s="2" t="s">
        <v>526</v>
      </c>
      <c r="Q1002" s="2" t="s">
        <v>526</v>
      </c>
      <c r="V1002" t="str">
        <v>General other</v>
      </c>
    </row>
    <row r="1003" spans="7:22">
      <c r="G1003" s="3" t="s">
        <v>264</v>
      </c>
      <c r="H1003" s="44" t="s">
        <v>336</v>
      </c>
      <c r="I1003" s="3"/>
      <c r="J1003" s="2" t="s">
        <v>526</v>
      </c>
      <c r="K1003" s="2" t="s">
        <v>526</v>
      </c>
      <c r="L1003" s="2"/>
      <c r="M1003" s="160"/>
      <c r="N1003" s="160"/>
      <c r="O1003" s="2" t="s">
        <v>526</v>
      </c>
      <c r="P1003" s="2" t="s">
        <v>526</v>
      </c>
      <c r="Q1003" s="2" t="s">
        <v>526</v>
      </c>
    </row>
    <row r="1004" spans="7:22">
      <c r="G1004" s="3" t="s">
        <v>242</v>
      </c>
      <c r="H1004" s="4" t="s">
        <v>251</v>
      </c>
      <c r="I1004" s="3"/>
      <c r="J1004" s="2" t="s">
        <v>526</v>
      </c>
      <c r="K1004" s="2" t="s">
        <v>526</v>
      </c>
      <c r="L1004" s="2" t="s">
        <v>526</v>
      </c>
      <c r="M1004" s="2"/>
      <c r="N1004" s="2"/>
      <c r="O1004" s="2" t="s">
        <v>526</v>
      </c>
      <c r="P1004" s="2" t="s">
        <v>526</v>
      </c>
      <c r="Q1004" s="2" t="s">
        <v>526</v>
      </c>
    </row>
    <row r="1005" spans="7:22">
      <c r="G1005" s="3" t="s">
        <v>242</v>
      </c>
      <c r="H1005" s="4" t="s">
        <v>543</v>
      </c>
      <c r="I1005" s="3"/>
      <c r="J1005" s="2" t="s">
        <v>526</v>
      </c>
      <c r="K1005" s="2" t="s">
        <v>526</v>
      </c>
      <c r="L1005" s="2" t="s">
        <v>526</v>
      </c>
      <c r="M1005" s="2"/>
      <c r="N1005" s="2"/>
      <c r="O1005" s="2" t="s">
        <v>526</v>
      </c>
      <c r="P1005" s="2" t="s">
        <v>526</v>
      </c>
      <c r="Q1005" s="2" t="s">
        <v>526</v>
      </c>
    </row>
    <row r="1006" spans="7:22">
      <c r="G1006" s="3" t="s">
        <v>264</v>
      </c>
      <c r="H1006" s="4" t="s">
        <v>544</v>
      </c>
      <c r="I1006" s="3"/>
      <c r="J1006" s="2" t="s">
        <v>526</v>
      </c>
      <c r="K1006" s="2" t="s">
        <v>526</v>
      </c>
      <c r="L1006" s="2" t="s">
        <v>526</v>
      </c>
      <c r="M1006" s="160"/>
      <c r="N1006" s="160"/>
      <c r="O1006" s="2" t="s">
        <v>526</v>
      </c>
      <c r="P1006" s="2" t="s">
        <v>526</v>
      </c>
      <c r="Q1006" s="2" t="s">
        <v>526</v>
      </c>
    </row>
    <row r="1007" spans="7:22">
      <c r="G1007" s="3" t="s">
        <v>10157</v>
      </c>
      <c r="H1007" s="4" t="s">
        <v>545</v>
      </c>
      <c r="I1007" s="3"/>
      <c r="J1007" s="2" t="s">
        <v>526</v>
      </c>
      <c r="K1007" s="2"/>
      <c r="L1007" s="2"/>
      <c r="M1007" s="2"/>
      <c r="N1007" s="2"/>
      <c r="O1007" s="2" t="s">
        <v>526</v>
      </c>
      <c r="P1007" s="2" t="s">
        <v>526</v>
      </c>
      <c r="Q1007" s="2" t="s">
        <v>526</v>
      </c>
    </row>
    <row r="1008" spans="7:22" ht="28.8">
      <c r="G1008" s="4" t="s">
        <v>10169</v>
      </c>
      <c r="H1008" s="4" t="s">
        <v>10170</v>
      </c>
      <c r="I1008" s="3"/>
      <c r="J1008" s="2" t="s">
        <v>526</v>
      </c>
      <c r="K1008" s="2" t="s">
        <v>526</v>
      </c>
      <c r="L1008" s="2" t="s">
        <v>526</v>
      </c>
      <c r="M1008" s="2"/>
      <c r="N1008" s="2"/>
      <c r="O1008" s="2" t="s">
        <v>526</v>
      </c>
      <c r="P1008" s="2" t="s">
        <v>526</v>
      </c>
      <c r="Q1008" s="2" t="s">
        <v>526</v>
      </c>
    </row>
    <row r="1009" spans="7:17">
      <c r="G1009" s="3" t="str">
        <f>_xlfn.LET(_xlpm.x,Materials!C48,IF(LEN(_xlpm.x)=0,"","Custom"))</f>
        <v/>
      </c>
      <c r="H1009" s="4" t="str">
        <f>_xlfn.LET(_xlpm.x,Materials!C48,IF(LEN(_xlpm.x)=0,"",_xlpm.x))</f>
        <v/>
      </c>
      <c r="I1009" s="3"/>
      <c r="J1009" s="2" t="str">
        <f>_xlfn.LET(_xlpm.x,Materials!F48,IF(LEN(_xlpm.x)=0,"","x"))</f>
        <v/>
      </c>
      <c r="K1009" s="2" t="str">
        <f>_xlfn.LET(_xlpm.x,Materials!G48,IF(LEN(_xlpm.x)=0,"","x"))</f>
        <v/>
      </c>
      <c r="L1009" s="2" t="str">
        <f>_xlfn.LET(_xlpm.x,Materials!H48,IF(LEN(_xlpm.x)=0,"","x"))</f>
        <v/>
      </c>
      <c r="M1009" s="2" t="str">
        <f>_xlfn.LET(_xlpm.x,Materials!I48,IF(LEN(_xlpm.x)=0,"","x"))</f>
        <v/>
      </c>
      <c r="N1009" s="2" t="str">
        <f>_xlfn.LET(_xlpm.x,Materials!J48,IF(LEN(_xlpm.x)=0,"","x"))</f>
        <v/>
      </c>
      <c r="O1009" s="2" t="str">
        <f>_xlfn.LET(_xlpm.x,Materials!K48,IF(LEN(_xlpm.x)=0,"","x"))</f>
        <v/>
      </c>
      <c r="P1009" s="2" t="str">
        <f>_xlfn.LET(_xlpm.x,Materials!L48,IF(LEN(_xlpm.x)=0,"","x"))</f>
        <v/>
      </c>
      <c r="Q1009" s="2" t="str">
        <f>_xlfn.LET(_xlpm.x,Materials!M48,IF(LEN(_xlpm.x)=0,"","x"))</f>
        <v/>
      </c>
    </row>
    <row r="1010" spans="7:17">
      <c r="G1010" s="3" t="str">
        <f>_xlfn.LET(_xlpm.x,Materials!C49,IF(LEN(_xlpm.x)=0,"","Custom"))</f>
        <v/>
      </c>
      <c r="H1010" s="4" t="str">
        <f>_xlfn.LET(_xlpm.x,Materials!C49,IF(LEN(_xlpm.x)=0,"",_xlpm.x))</f>
        <v/>
      </c>
      <c r="I1010" s="3"/>
      <c r="J1010" s="2" t="str">
        <f>_xlfn.LET(_xlpm.x,Materials!F49,IF(LEN(_xlpm.x)=0,"","x"))</f>
        <v/>
      </c>
      <c r="K1010" s="2" t="str">
        <f>_xlfn.LET(_xlpm.x,Materials!G49,IF(LEN(_xlpm.x)=0,"","x"))</f>
        <v/>
      </c>
      <c r="L1010" s="2" t="str">
        <f>_xlfn.LET(_xlpm.x,Materials!H49,IF(LEN(_xlpm.x)=0,"","x"))</f>
        <v/>
      </c>
      <c r="M1010" s="2" t="str">
        <f>_xlfn.LET(_xlpm.x,Materials!I49,IF(LEN(_xlpm.x)=0,"","x"))</f>
        <v/>
      </c>
      <c r="N1010" s="2" t="str">
        <f>_xlfn.LET(_xlpm.x,Materials!J49,IF(LEN(_xlpm.x)=0,"","x"))</f>
        <v/>
      </c>
      <c r="O1010" s="2" t="str">
        <f>_xlfn.LET(_xlpm.x,Materials!K49,IF(LEN(_xlpm.x)=0,"","x"))</f>
        <v/>
      </c>
      <c r="P1010" s="2" t="str">
        <f>_xlfn.LET(_xlpm.x,Materials!L49,IF(LEN(_xlpm.x)=0,"","x"))</f>
        <v/>
      </c>
      <c r="Q1010" s="2" t="str">
        <f>_xlfn.LET(_xlpm.x,Materials!M49,IF(LEN(_xlpm.x)=0,"","x"))</f>
        <v/>
      </c>
    </row>
    <row r="1011" spans="7:17">
      <c r="G1011" s="3" t="str">
        <f>_xlfn.LET(_xlpm.x,Materials!C50,IF(LEN(_xlpm.x)=0,"","Custom"))</f>
        <v/>
      </c>
      <c r="H1011" s="4" t="str">
        <f>_xlfn.LET(_xlpm.x,Materials!C50,IF(LEN(_xlpm.x)=0,"",_xlpm.x))</f>
        <v/>
      </c>
      <c r="I1011" s="3"/>
      <c r="J1011" s="2" t="str">
        <f>_xlfn.LET(_xlpm.x,Materials!F50,IF(LEN(_xlpm.x)=0,"","x"))</f>
        <v/>
      </c>
      <c r="K1011" s="2" t="str">
        <f>_xlfn.LET(_xlpm.x,Materials!G50,IF(LEN(_xlpm.x)=0,"","x"))</f>
        <v/>
      </c>
      <c r="L1011" s="2" t="str">
        <f>_xlfn.LET(_xlpm.x,Materials!H50,IF(LEN(_xlpm.x)=0,"","x"))</f>
        <v/>
      </c>
      <c r="M1011" s="2" t="str">
        <f>_xlfn.LET(_xlpm.x,Materials!I50,IF(LEN(_xlpm.x)=0,"","x"))</f>
        <v/>
      </c>
      <c r="N1011" s="2" t="str">
        <f>_xlfn.LET(_xlpm.x,Materials!J50,IF(LEN(_xlpm.x)=0,"","x"))</f>
        <v/>
      </c>
      <c r="O1011" s="2" t="str">
        <f>_xlfn.LET(_xlpm.x,Materials!K50,IF(LEN(_xlpm.x)=0,"","x"))</f>
        <v/>
      </c>
      <c r="P1011" s="2" t="str">
        <f>_xlfn.LET(_xlpm.x,Materials!L50,IF(LEN(_xlpm.x)=0,"","x"))</f>
        <v/>
      </c>
      <c r="Q1011" s="2" t="str">
        <f>_xlfn.LET(_xlpm.x,Materials!M50,IF(LEN(_xlpm.x)=0,"","x"))</f>
        <v/>
      </c>
    </row>
    <row r="1012" spans="7:17">
      <c r="G1012" s="3" t="str">
        <f>_xlfn.LET(_xlpm.x,Materials!C51,IF(LEN(_xlpm.x)=0,"","Custom"))</f>
        <v/>
      </c>
      <c r="H1012" s="4" t="str">
        <f>_xlfn.LET(_xlpm.x,Materials!C51,IF(LEN(_xlpm.x)=0,"",_xlpm.x))</f>
        <v/>
      </c>
      <c r="I1012" s="3"/>
      <c r="J1012" s="2" t="str">
        <f>_xlfn.LET(_xlpm.x,Materials!F51,IF(LEN(_xlpm.x)=0,"","x"))</f>
        <v/>
      </c>
      <c r="K1012" s="2" t="str">
        <f>_xlfn.LET(_xlpm.x,Materials!G51,IF(LEN(_xlpm.x)=0,"","x"))</f>
        <v/>
      </c>
      <c r="L1012" s="2" t="str">
        <f>_xlfn.LET(_xlpm.x,Materials!H51,IF(LEN(_xlpm.x)=0,"","x"))</f>
        <v/>
      </c>
      <c r="M1012" s="2" t="str">
        <f>_xlfn.LET(_xlpm.x,Materials!I51,IF(LEN(_xlpm.x)=0,"","x"))</f>
        <v/>
      </c>
      <c r="N1012" s="2" t="str">
        <f>_xlfn.LET(_xlpm.x,Materials!J51,IF(LEN(_xlpm.x)=0,"","x"))</f>
        <v/>
      </c>
      <c r="O1012" s="2" t="str">
        <f>_xlfn.LET(_xlpm.x,Materials!K51,IF(LEN(_xlpm.x)=0,"","x"))</f>
        <v/>
      </c>
      <c r="P1012" s="2" t="str">
        <f>_xlfn.LET(_xlpm.x,Materials!L51,IF(LEN(_xlpm.x)=0,"","x"))</f>
        <v/>
      </c>
      <c r="Q1012" s="2" t="str">
        <f>_xlfn.LET(_xlpm.x,Materials!M51,IF(LEN(_xlpm.x)=0,"","x"))</f>
        <v/>
      </c>
    </row>
    <row r="1013" spans="7:17">
      <c r="G1013" s="3" t="str">
        <f>_xlfn.LET(_xlpm.x,Materials!C52,IF(LEN(_xlpm.x)=0,"","Custom"))</f>
        <v/>
      </c>
      <c r="H1013" s="4" t="str">
        <f>_xlfn.LET(_xlpm.x,Materials!C52,IF(LEN(_xlpm.x)=0,"",_xlpm.x))</f>
        <v/>
      </c>
      <c r="I1013" s="3"/>
      <c r="J1013" s="2" t="str">
        <f>_xlfn.LET(_xlpm.x,Materials!F52,IF(LEN(_xlpm.x)=0,"","x"))</f>
        <v/>
      </c>
      <c r="K1013" s="2" t="str">
        <f>_xlfn.LET(_xlpm.x,Materials!G52,IF(LEN(_xlpm.x)=0,"","x"))</f>
        <v/>
      </c>
      <c r="L1013" s="2" t="str">
        <f>_xlfn.LET(_xlpm.x,Materials!H52,IF(LEN(_xlpm.x)=0,"","x"))</f>
        <v/>
      </c>
      <c r="M1013" s="2" t="str">
        <f>_xlfn.LET(_xlpm.x,Materials!I52,IF(LEN(_xlpm.x)=0,"","x"))</f>
        <v/>
      </c>
      <c r="N1013" s="2" t="str">
        <f>_xlfn.LET(_xlpm.x,Materials!J52,IF(LEN(_xlpm.x)=0,"","x"))</f>
        <v/>
      </c>
      <c r="O1013" s="2" t="str">
        <f>_xlfn.LET(_xlpm.x,Materials!K52,IF(LEN(_xlpm.x)=0,"","x"))</f>
        <v/>
      </c>
      <c r="P1013" s="2" t="str">
        <f>_xlfn.LET(_xlpm.x,Materials!L52,IF(LEN(_xlpm.x)=0,"","x"))</f>
        <v/>
      </c>
      <c r="Q1013" s="2" t="str">
        <f>_xlfn.LET(_xlpm.x,Materials!M52,IF(LEN(_xlpm.x)=0,"","x"))</f>
        <v/>
      </c>
    </row>
    <row r="1014" spans="7:17">
      <c r="G1014" s="3" t="str">
        <f>_xlfn.LET(_xlpm.x,Materials!C53,IF(LEN(_xlpm.x)=0,"","Custom"))</f>
        <v/>
      </c>
      <c r="H1014" s="4" t="str">
        <f>_xlfn.LET(_xlpm.x,Materials!C53,IF(LEN(_xlpm.x)=0,"",_xlpm.x))</f>
        <v/>
      </c>
      <c r="I1014" s="3"/>
      <c r="J1014" s="2" t="str">
        <f>_xlfn.LET(_xlpm.x,Materials!F53,IF(LEN(_xlpm.x)=0,"","x"))</f>
        <v/>
      </c>
      <c r="K1014" s="2" t="str">
        <f>_xlfn.LET(_xlpm.x,Materials!G53,IF(LEN(_xlpm.x)=0,"","x"))</f>
        <v/>
      </c>
      <c r="L1014" s="2" t="str">
        <f>_xlfn.LET(_xlpm.x,Materials!H53,IF(LEN(_xlpm.x)=0,"","x"))</f>
        <v/>
      </c>
      <c r="M1014" s="2" t="str">
        <f>_xlfn.LET(_xlpm.x,Materials!I53,IF(LEN(_xlpm.x)=0,"","x"))</f>
        <v/>
      </c>
      <c r="N1014" s="2" t="str">
        <f>_xlfn.LET(_xlpm.x,Materials!J53,IF(LEN(_xlpm.x)=0,"","x"))</f>
        <v/>
      </c>
      <c r="O1014" s="2" t="str">
        <f>_xlfn.LET(_xlpm.x,Materials!K53,IF(LEN(_xlpm.x)=0,"","x"))</f>
        <v/>
      </c>
      <c r="P1014" s="2" t="str">
        <f>_xlfn.LET(_xlpm.x,Materials!L53,IF(LEN(_xlpm.x)=0,"","x"))</f>
        <v/>
      </c>
      <c r="Q1014" s="2" t="str">
        <f>_xlfn.LET(_xlpm.x,Materials!M53,IF(LEN(_xlpm.x)=0,"","x"))</f>
        <v/>
      </c>
    </row>
    <row r="1015" spans="7:17">
      <c r="G1015" s="3" t="str">
        <f>_xlfn.LET(_xlpm.x,Materials!C54,IF(LEN(_xlpm.x)=0,"","Custom"))</f>
        <v/>
      </c>
      <c r="H1015" s="4" t="str">
        <f>_xlfn.LET(_xlpm.x,Materials!C54,IF(LEN(_xlpm.x)=0,"",_xlpm.x))</f>
        <v/>
      </c>
      <c r="I1015" s="3"/>
      <c r="J1015" s="2" t="str">
        <f>_xlfn.LET(_xlpm.x,Materials!F54,IF(LEN(_xlpm.x)=0,"","x"))</f>
        <v/>
      </c>
      <c r="K1015" s="2" t="str">
        <f>_xlfn.LET(_xlpm.x,Materials!G54,IF(LEN(_xlpm.x)=0,"","x"))</f>
        <v/>
      </c>
      <c r="L1015" s="2" t="str">
        <f>_xlfn.LET(_xlpm.x,Materials!H54,IF(LEN(_xlpm.x)=0,"","x"))</f>
        <v/>
      </c>
      <c r="M1015" s="2" t="str">
        <f>_xlfn.LET(_xlpm.x,Materials!I54,IF(LEN(_xlpm.x)=0,"","x"))</f>
        <v/>
      </c>
      <c r="N1015" s="2" t="str">
        <f>_xlfn.LET(_xlpm.x,Materials!J54,IF(LEN(_xlpm.x)=0,"","x"))</f>
        <v/>
      </c>
      <c r="O1015" s="2" t="str">
        <f>_xlfn.LET(_xlpm.x,Materials!K54,IF(LEN(_xlpm.x)=0,"","x"))</f>
        <v/>
      </c>
      <c r="P1015" s="2" t="str">
        <f>_xlfn.LET(_xlpm.x,Materials!L54,IF(LEN(_xlpm.x)=0,"","x"))</f>
        <v/>
      </c>
      <c r="Q1015" s="2" t="str">
        <f>_xlfn.LET(_xlpm.x,Materials!M54,IF(LEN(_xlpm.x)=0,"","x"))</f>
        <v/>
      </c>
    </row>
    <row r="1016" spans="7:17">
      <c r="G1016" s="3" t="str">
        <f>_xlfn.LET(_xlpm.x,Materials!C55,IF(LEN(_xlpm.x)=0,"","Custom"))</f>
        <v/>
      </c>
      <c r="H1016" s="4" t="str">
        <f>_xlfn.LET(_xlpm.x,Materials!C55,IF(LEN(_xlpm.x)=0,"",_xlpm.x))</f>
        <v/>
      </c>
      <c r="I1016" s="3"/>
      <c r="J1016" s="2" t="str">
        <f>_xlfn.LET(_xlpm.x,Materials!F55,IF(LEN(_xlpm.x)=0,"","x"))</f>
        <v/>
      </c>
      <c r="K1016" s="2" t="str">
        <f>_xlfn.LET(_xlpm.x,Materials!G55,IF(LEN(_xlpm.x)=0,"","x"))</f>
        <v/>
      </c>
      <c r="L1016" s="2" t="str">
        <f>_xlfn.LET(_xlpm.x,Materials!H55,IF(LEN(_xlpm.x)=0,"","x"))</f>
        <v/>
      </c>
      <c r="M1016" s="2" t="str">
        <f>_xlfn.LET(_xlpm.x,Materials!I55,IF(LEN(_xlpm.x)=0,"","x"))</f>
        <v/>
      </c>
      <c r="N1016" s="2" t="str">
        <f>_xlfn.LET(_xlpm.x,Materials!J55,IF(LEN(_xlpm.x)=0,"","x"))</f>
        <v/>
      </c>
      <c r="O1016" s="2" t="str">
        <f>_xlfn.LET(_xlpm.x,Materials!K55,IF(LEN(_xlpm.x)=0,"","x"))</f>
        <v/>
      </c>
      <c r="P1016" s="2" t="str">
        <f>_xlfn.LET(_xlpm.x,Materials!L55,IF(LEN(_xlpm.x)=0,"","x"))</f>
        <v/>
      </c>
      <c r="Q1016" s="2" t="str">
        <f>_xlfn.LET(_xlpm.x,Materials!M55,IF(LEN(_xlpm.x)=0,"","x"))</f>
        <v/>
      </c>
    </row>
    <row r="1017" spans="7:17">
      <c r="G1017" s="3" t="str">
        <f>_xlfn.LET(_xlpm.x,Materials!C56,IF(LEN(_xlpm.x)=0,"","Custom"))</f>
        <v/>
      </c>
      <c r="H1017" s="4" t="str">
        <f>_xlfn.LET(_xlpm.x,Materials!C56,IF(LEN(_xlpm.x)=0,"",_xlpm.x))</f>
        <v/>
      </c>
      <c r="I1017" s="3"/>
      <c r="J1017" s="2" t="str">
        <f>_xlfn.LET(_xlpm.x,Materials!F56,IF(LEN(_xlpm.x)=0,"","x"))</f>
        <v/>
      </c>
      <c r="K1017" s="2" t="str">
        <f>_xlfn.LET(_xlpm.x,Materials!G56,IF(LEN(_xlpm.x)=0,"","x"))</f>
        <v/>
      </c>
      <c r="L1017" s="2" t="str">
        <f>_xlfn.LET(_xlpm.x,Materials!H56,IF(LEN(_xlpm.x)=0,"","x"))</f>
        <v/>
      </c>
      <c r="M1017" s="2" t="str">
        <f>_xlfn.LET(_xlpm.x,Materials!I56,IF(LEN(_xlpm.x)=0,"","x"))</f>
        <v/>
      </c>
      <c r="N1017" s="2" t="str">
        <f>_xlfn.LET(_xlpm.x,Materials!J56,IF(LEN(_xlpm.x)=0,"","x"))</f>
        <v/>
      </c>
      <c r="O1017" s="2" t="str">
        <f>_xlfn.LET(_xlpm.x,Materials!K56,IF(LEN(_xlpm.x)=0,"","x"))</f>
        <v/>
      </c>
      <c r="P1017" s="2" t="str">
        <f>_xlfn.LET(_xlpm.x,Materials!L56,IF(LEN(_xlpm.x)=0,"","x"))</f>
        <v/>
      </c>
      <c r="Q1017" s="2" t="str">
        <f>_xlfn.LET(_xlpm.x,Materials!M56,IF(LEN(_xlpm.x)=0,"","x"))</f>
        <v/>
      </c>
    </row>
    <row r="1018" spans="7:17">
      <c r="G1018" s="3" t="str">
        <f>_xlfn.LET(_xlpm.x,Materials!C57,IF(LEN(_xlpm.x)=0,"","Custom"))</f>
        <v/>
      </c>
      <c r="H1018" s="4" t="str">
        <f>_xlfn.LET(_xlpm.x,Materials!C57,IF(LEN(_xlpm.x)=0,"",_xlpm.x))</f>
        <v/>
      </c>
      <c r="I1018" s="3"/>
      <c r="J1018" s="2" t="str">
        <f>_xlfn.LET(_xlpm.x,Materials!F57,IF(LEN(_xlpm.x)=0,"","x"))</f>
        <v/>
      </c>
      <c r="K1018" s="2" t="str">
        <f>_xlfn.LET(_xlpm.x,Materials!G57,IF(LEN(_xlpm.x)=0,"","x"))</f>
        <v/>
      </c>
      <c r="L1018" s="2" t="str">
        <f>_xlfn.LET(_xlpm.x,Materials!H57,IF(LEN(_xlpm.x)=0,"","x"))</f>
        <v/>
      </c>
      <c r="M1018" s="2" t="str">
        <f>_xlfn.LET(_xlpm.x,Materials!I57,IF(LEN(_xlpm.x)=0,"","x"))</f>
        <v/>
      </c>
      <c r="N1018" s="2" t="str">
        <f>_xlfn.LET(_xlpm.x,Materials!J57,IF(LEN(_xlpm.x)=0,"","x"))</f>
        <v/>
      </c>
      <c r="O1018" s="2" t="str">
        <f>_xlfn.LET(_xlpm.x,Materials!K57,IF(LEN(_xlpm.x)=0,"","x"))</f>
        <v/>
      </c>
      <c r="P1018" s="2" t="str">
        <f>_xlfn.LET(_xlpm.x,Materials!L57,IF(LEN(_xlpm.x)=0,"","x"))</f>
        <v/>
      </c>
      <c r="Q1018" s="2" t="str">
        <f>_xlfn.LET(_xlpm.x,Materials!M57,IF(LEN(_xlpm.x)=0,"","x"))</f>
        <v/>
      </c>
    </row>
    <row r="1019" spans="7:17">
      <c r="G1019" s="3" t="str">
        <f>_xlfn.LET(_xlpm.x,Materials!C58,IF(LEN(_xlpm.x)=0,"","Custom"))</f>
        <v/>
      </c>
      <c r="H1019" s="4" t="str">
        <f>_xlfn.LET(_xlpm.x,Materials!C58,IF(LEN(_xlpm.x)=0,"",_xlpm.x))</f>
        <v/>
      </c>
      <c r="I1019" s="3"/>
      <c r="J1019" s="2" t="str">
        <f>_xlfn.LET(_xlpm.x,Materials!F58,IF(LEN(_xlpm.x)=0,"","x"))</f>
        <v/>
      </c>
      <c r="K1019" s="2" t="str">
        <f>_xlfn.LET(_xlpm.x,Materials!G58,IF(LEN(_xlpm.x)=0,"","x"))</f>
        <v/>
      </c>
      <c r="L1019" s="2" t="str">
        <f>_xlfn.LET(_xlpm.x,Materials!H58,IF(LEN(_xlpm.x)=0,"","x"))</f>
        <v/>
      </c>
      <c r="M1019" s="2" t="str">
        <f>_xlfn.LET(_xlpm.x,Materials!I58,IF(LEN(_xlpm.x)=0,"","x"))</f>
        <v/>
      </c>
      <c r="N1019" s="2" t="str">
        <f>_xlfn.LET(_xlpm.x,Materials!J58,IF(LEN(_xlpm.x)=0,"","x"))</f>
        <v/>
      </c>
      <c r="O1019" s="2" t="str">
        <f>_xlfn.LET(_xlpm.x,Materials!K58,IF(LEN(_xlpm.x)=0,"","x"))</f>
        <v/>
      </c>
      <c r="P1019" s="2" t="str">
        <f>_xlfn.LET(_xlpm.x,Materials!L58,IF(LEN(_xlpm.x)=0,"","x"))</f>
        <v/>
      </c>
      <c r="Q1019" s="2" t="str">
        <f>_xlfn.LET(_xlpm.x,Materials!M58,IF(LEN(_xlpm.x)=0,"","x"))</f>
        <v/>
      </c>
    </row>
    <row r="1020" spans="7:17">
      <c r="G1020" s="3" t="str">
        <f>_xlfn.LET(_xlpm.x,Materials!C59,IF(LEN(_xlpm.x)=0,"","Custom"))</f>
        <v/>
      </c>
      <c r="H1020" s="4" t="str">
        <f>_xlfn.LET(_xlpm.x,Materials!C59,IF(LEN(_xlpm.x)=0,"",_xlpm.x))</f>
        <v/>
      </c>
      <c r="I1020" s="3"/>
      <c r="J1020" s="2" t="str">
        <f>_xlfn.LET(_xlpm.x,Materials!F59,IF(LEN(_xlpm.x)=0,"","x"))</f>
        <v/>
      </c>
      <c r="K1020" s="2" t="str">
        <f>_xlfn.LET(_xlpm.x,Materials!G59,IF(LEN(_xlpm.x)=0,"","x"))</f>
        <v/>
      </c>
      <c r="L1020" s="2" t="str">
        <f>_xlfn.LET(_xlpm.x,Materials!H59,IF(LEN(_xlpm.x)=0,"","x"))</f>
        <v/>
      </c>
      <c r="M1020" s="2" t="str">
        <f>_xlfn.LET(_xlpm.x,Materials!I59,IF(LEN(_xlpm.x)=0,"","x"))</f>
        <v/>
      </c>
      <c r="N1020" s="2" t="str">
        <f>_xlfn.LET(_xlpm.x,Materials!J59,IF(LEN(_xlpm.x)=0,"","x"))</f>
        <v/>
      </c>
      <c r="O1020" s="2" t="str">
        <f>_xlfn.LET(_xlpm.x,Materials!K59,IF(LEN(_xlpm.x)=0,"","x"))</f>
        <v/>
      </c>
      <c r="P1020" s="2" t="str">
        <f>_xlfn.LET(_xlpm.x,Materials!L59,IF(LEN(_xlpm.x)=0,"","x"))</f>
        <v/>
      </c>
      <c r="Q1020" s="2" t="str">
        <f>_xlfn.LET(_xlpm.x,Materials!M59,IF(LEN(_xlpm.x)=0,"","x"))</f>
        <v/>
      </c>
    </row>
    <row r="1021" spans="7:17">
      <c r="G1021" s="3" t="str">
        <f>_xlfn.LET(_xlpm.x,Materials!C60,IF(LEN(_xlpm.x)=0,"","Custom"))</f>
        <v/>
      </c>
      <c r="H1021" s="4" t="str">
        <f>_xlfn.LET(_xlpm.x,Materials!C60,IF(LEN(_xlpm.x)=0,"",_xlpm.x))</f>
        <v/>
      </c>
      <c r="I1021" s="3"/>
      <c r="J1021" s="2" t="str">
        <f>_xlfn.LET(_xlpm.x,Materials!F60,IF(LEN(_xlpm.x)=0,"","x"))</f>
        <v/>
      </c>
      <c r="K1021" s="2" t="str">
        <f>_xlfn.LET(_xlpm.x,Materials!G60,IF(LEN(_xlpm.x)=0,"","x"))</f>
        <v/>
      </c>
      <c r="L1021" s="2" t="str">
        <f>_xlfn.LET(_xlpm.x,Materials!H60,IF(LEN(_xlpm.x)=0,"","x"))</f>
        <v/>
      </c>
      <c r="M1021" s="2" t="str">
        <f>_xlfn.LET(_xlpm.x,Materials!I60,IF(LEN(_xlpm.x)=0,"","x"))</f>
        <v/>
      </c>
      <c r="N1021" s="2" t="str">
        <f>_xlfn.LET(_xlpm.x,Materials!J60,IF(LEN(_xlpm.x)=0,"","x"))</f>
        <v/>
      </c>
      <c r="O1021" s="2" t="str">
        <f>_xlfn.LET(_xlpm.x,Materials!K60,IF(LEN(_xlpm.x)=0,"","x"))</f>
        <v/>
      </c>
      <c r="P1021" s="2" t="str">
        <f>_xlfn.LET(_xlpm.x,Materials!L60,IF(LEN(_xlpm.x)=0,"","x"))</f>
        <v/>
      </c>
      <c r="Q1021" s="2" t="str">
        <f>_xlfn.LET(_xlpm.x,Materials!M60,IF(LEN(_xlpm.x)=0,"","x"))</f>
        <v/>
      </c>
    </row>
    <row r="1022" spans="7:17">
      <c r="G1022" s="3" t="str">
        <f>_xlfn.LET(_xlpm.x,Materials!C61,IF(LEN(_xlpm.x)=0,"","Custom"))</f>
        <v/>
      </c>
      <c r="H1022" s="4" t="str">
        <f>_xlfn.LET(_xlpm.x,Materials!C61,IF(LEN(_xlpm.x)=0,"",_xlpm.x))</f>
        <v/>
      </c>
      <c r="I1022" s="3"/>
      <c r="J1022" s="2" t="str">
        <f>_xlfn.LET(_xlpm.x,Materials!F61,IF(LEN(_xlpm.x)=0,"","x"))</f>
        <v/>
      </c>
      <c r="K1022" s="2" t="str">
        <f>_xlfn.LET(_xlpm.x,Materials!G61,IF(LEN(_xlpm.x)=0,"","x"))</f>
        <v/>
      </c>
      <c r="L1022" s="2" t="str">
        <f>_xlfn.LET(_xlpm.x,Materials!H61,IF(LEN(_xlpm.x)=0,"","x"))</f>
        <v/>
      </c>
      <c r="M1022" s="2" t="str">
        <f>_xlfn.LET(_xlpm.x,Materials!I61,IF(LEN(_xlpm.x)=0,"","x"))</f>
        <v/>
      </c>
      <c r="N1022" s="2" t="str">
        <f>_xlfn.LET(_xlpm.x,Materials!J61,IF(LEN(_xlpm.x)=0,"","x"))</f>
        <v/>
      </c>
      <c r="O1022" s="2" t="str">
        <f>_xlfn.LET(_xlpm.x,Materials!K61,IF(LEN(_xlpm.x)=0,"","x"))</f>
        <v/>
      </c>
      <c r="P1022" s="2" t="str">
        <f>_xlfn.LET(_xlpm.x,Materials!L61,IF(LEN(_xlpm.x)=0,"","x"))</f>
        <v/>
      </c>
      <c r="Q1022" s="2" t="str">
        <f>_xlfn.LET(_xlpm.x,Materials!M61,IF(LEN(_xlpm.x)=0,"","x"))</f>
        <v/>
      </c>
    </row>
    <row r="1023" spans="7:17">
      <c r="G1023" s="3" t="str">
        <f>_xlfn.LET(_xlpm.x,Materials!C62,IF(LEN(_xlpm.x)=0,"","Custom"))</f>
        <v/>
      </c>
      <c r="H1023" s="4" t="str">
        <f>_xlfn.LET(_xlpm.x,Materials!C62,IF(LEN(_xlpm.x)=0,"",_xlpm.x))</f>
        <v/>
      </c>
      <c r="I1023" s="3"/>
      <c r="J1023" s="2" t="str">
        <f>_xlfn.LET(_xlpm.x,Materials!F62,IF(LEN(_xlpm.x)=0,"","x"))</f>
        <v/>
      </c>
      <c r="K1023" s="2" t="str">
        <f>_xlfn.LET(_xlpm.x,Materials!G62,IF(LEN(_xlpm.x)=0,"","x"))</f>
        <v/>
      </c>
      <c r="L1023" s="2" t="str">
        <f>_xlfn.LET(_xlpm.x,Materials!H62,IF(LEN(_xlpm.x)=0,"","x"))</f>
        <v/>
      </c>
      <c r="M1023" s="2" t="str">
        <f>_xlfn.LET(_xlpm.x,Materials!I62,IF(LEN(_xlpm.x)=0,"","x"))</f>
        <v/>
      </c>
      <c r="N1023" s="2" t="str">
        <f>_xlfn.LET(_xlpm.x,Materials!J62,IF(LEN(_xlpm.x)=0,"","x"))</f>
        <v/>
      </c>
      <c r="O1023" s="2" t="str">
        <f>_xlfn.LET(_xlpm.x,Materials!K62,IF(LEN(_xlpm.x)=0,"","x"))</f>
        <v/>
      </c>
      <c r="P1023" s="2" t="str">
        <f>_xlfn.LET(_xlpm.x,Materials!L62,IF(LEN(_xlpm.x)=0,"","x"))</f>
        <v/>
      </c>
      <c r="Q1023" s="2" t="str">
        <f>_xlfn.LET(_xlpm.x,Materials!M62,IF(LEN(_xlpm.x)=0,"","x"))</f>
        <v/>
      </c>
    </row>
    <row r="1024" spans="7:17">
      <c r="J1024" s="22"/>
      <c r="K1024" s="22"/>
      <c r="L1024" s="22"/>
      <c r="M1024" s="22"/>
      <c r="N1024" s="22"/>
      <c r="O1024" s="22"/>
      <c r="P1024" s="22"/>
      <c r="Q1024" s="22"/>
    </row>
    <row r="1025" spans="5:17">
      <c r="J1025" s="22"/>
      <c r="K1025" s="22"/>
      <c r="L1025" s="22"/>
      <c r="M1025" s="22"/>
      <c r="N1025" s="22"/>
      <c r="O1025" s="22"/>
      <c r="P1025" s="22"/>
      <c r="Q1025" s="22"/>
    </row>
    <row r="1026" spans="5:17">
      <c r="J1026" s="22"/>
      <c r="K1026" s="22"/>
      <c r="L1026" s="22"/>
      <c r="M1026" s="22"/>
      <c r="N1026" s="22"/>
      <c r="O1026" s="22"/>
      <c r="P1026" s="22"/>
      <c r="Q1026" s="22"/>
    </row>
    <row r="1027" spans="5:17">
      <c r="J1027" s="22"/>
      <c r="K1027" s="22"/>
      <c r="L1027" s="22"/>
      <c r="M1027" s="22"/>
      <c r="N1027" s="22"/>
      <c r="O1027" s="22"/>
      <c r="P1027" s="22"/>
      <c r="Q1027" s="22"/>
    </row>
    <row r="1028" spans="5:17">
      <c r="J1028" s="22"/>
      <c r="K1028" s="22"/>
      <c r="L1028" s="22"/>
      <c r="M1028" s="22"/>
      <c r="N1028" s="22"/>
      <c r="O1028" s="22"/>
      <c r="P1028" s="22"/>
      <c r="Q1028" s="22"/>
    </row>
    <row r="1029" spans="5:17">
      <c r="J1029" s="22"/>
      <c r="K1029" s="22"/>
      <c r="L1029" s="22"/>
      <c r="M1029" s="22"/>
      <c r="N1029" s="22"/>
      <c r="O1029" s="22"/>
      <c r="P1029" s="22"/>
      <c r="Q1029" s="22"/>
    </row>
    <row r="1030" spans="5:17">
      <c r="J1030" s="22"/>
      <c r="K1030" s="22"/>
      <c r="L1030" s="22"/>
      <c r="M1030" s="22"/>
      <c r="N1030" s="22"/>
      <c r="O1030" s="22"/>
      <c r="P1030" s="22"/>
      <c r="Q1030" s="22"/>
    </row>
    <row r="1031" spans="5:17">
      <c r="J1031" s="22"/>
      <c r="K1031" s="22"/>
      <c r="L1031" s="22"/>
      <c r="M1031" s="22"/>
      <c r="N1031" s="22"/>
      <c r="O1031" s="22"/>
      <c r="P1031" s="22"/>
      <c r="Q1031" s="22"/>
    </row>
    <row r="1032" spans="5:17">
      <c r="J1032" s="22"/>
      <c r="K1032" s="22"/>
      <c r="L1032" s="22"/>
      <c r="M1032" s="22"/>
      <c r="N1032" s="22"/>
      <c r="O1032" s="22"/>
      <c r="P1032" s="22"/>
      <c r="Q1032" s="22"/>
    </row>
    <row r="1033" spans="5:17">
      <c r="J1033" s="22"/>
      <c r="K1033" s="22"/>
      <c r="L1033" s="22"/>
      <c r="M1033" s="22"/>
      <c r="N1033" s="22"/>
      <c r="O1033" s="22"/>
      <c r="P1033" s="22"/>
      <c r="Q1033" s="22"/>
    </row>
    <row r="1034" spans="5:17">
      <c r="J1034" s="22"/>
      <c r="K1034" s="22"/>
      <c r="L1034" s="22"/>
      <c r="M1034" s="22"/>
      <c r="N1034" s="22"/>
      <c r="O1034" s="22"/>
      <c r="P1034" s="22"/>
      <c r="Q1034" s="22"/>
    </row>
    <row r="1035" spans="5:17">
      <c r="J1035" s="22"/>
      <c r="K1035" s="22"/>
      <c r="L1035" s="22"/>
      <c r="M1035" s="22"/>
      <c r="N1035" s="22"/>
      <c r="O1035" s="22"/>
      <c r="P1035" s="22"/>
      <c r="Q1035" s="22"/>
    </row>
    <row r="1038" spans="5:17" ht="31.35" customHeight="1">
      <c r="E1038" s="1" t="s">
        <v>566</v>
      </c>
    </row>
    <row r="1039" spans="5:17" ht="29.1" customHeight="1"/>
    <row r="1040" spans="5:17">
      <c r="G1040" s="90" t="s">
        <v>224</v>
      </c>
      <c r="H1040" s="93" t="s">
        <v>223</v>
      </c>
    </row>
    <row r="1041" spans="7:8">
      <c r="G1041" t="s">
        <v>10178</v>
      </c>
      <c r="H1041" s="44" t="s">
        <v>233</v>
      </c>
    </row>
    <row r="1042" spans="7:8">
      <c r="G1042" t="s">
        <v>250</v>
      </c>
      <c r="H1042" s="44" t="s">
        <v>233</v>
      </c>
    </row>
    <row r="1043" spans="7:8">
      <c r="G1043" t="s">
        <v>249</v>
      </c>
      <c r="H1043" s="44" t="s">
        <v>233</v>
      </c>
    </row>
    <row r="1044" spans="7:8">
      <c r="G1044" t="s">
        <v>273</v>
      </c>
      <c r="H1044" s="44" t="s">
        <v>233</v>
      </c>
    </row>
    <row r="1045" spans="7:8">
      <c r="G1045" t="s">
        <v>330</v>
      </c>
      <c r="H1045" s="44" t="s">
        <v>233</v>
      </c>
    </row>
    <row r="1046" spans="7:8">
      <c r="G1046" t="s">
        <v>335</v>
      </c>
      <c r="H1046" s="44" t="s">
        <v>233</v>
      </c>
    </row>
    <row r="1047" spans="7:8">
      <c r="G1047" t="s">
        <v>326</v>
      </c>
      <c r="H1047" s="44" t="s">
        <v>233</v>
      </c>
    </row>
    <row r="1048" spans="7:8">
      <c r="G1048" t="s">
        <v>10179</v>
      </c>
      <c r="H1048" s="44" t="s">
        <v>261</v>
      </c>
    </row>
    <row r="1049" spans="7:8">
      <c r="G1049" t="s">
        <v>269</v>
      </c>
      <c r="H1049" s="44" t="s">
        <v>261</v>
      </c>
    </row>
    <row r="1050" spans="7:8">
      <c r="G1050" t="s">
        <v>530</v>
      </c>
      <c r="H1050" s="44" t="s">
        <v>261</v>
      </c>
    </row>
    <row r="1051" spans="7:8">
      <c r="G1051" t="s">
        <v>262</v>
      </c>
      <c r="H1051" s="44" t="s">
        <v>261</v>
      </c>
    </row>
    <row r="1052" spans="7:8">
      <c r="G1052" t="s">
        <v>10180</v>
      </c>
      <c r="H1052" s="44" t="s">
        <v>252</v>
      </c>
    </row>
    <row r="1053" spans="7:8">
      <c r="G1053" t="s">
        <v>10163</v>
      </c>
      <c r="H1053" s="44" t="s">
        <v>252</v>
      </c>
    </row>
    <row r="1054" spans="7:8">
      <c r="G1054" t="s">
        <v>10164</v>
      </c>
      <c r="H1054" s="44" t="s">
        <v>252</v>
      </c>
    </row>
    <row r="1055" spans="7:8">
      <c r="G1055" t="s">
        <v>10165</v>
      </c>
      <c r="H1055" s="44" t="s">
        <v>252</v>
      </c>
    </row>
    <row r="1056" spans="7:8">
      <c r="G1056" t="s">
        <v>10166</v>
      </c>
      <c r="H1056" s="44" t="s">
        <v>252</v>
      </c>
    </row>
    <row r="1057" spans="7:8">
      <c r="G1057" t="s">
        <v>10167</v>
      </c>
      <c r="H1057" s="44" t="s">
        <v>252</v>
      </c>
    </row>
    <row r="1058" spans="7:8">
      <c r="G1058" t="s">
        <v>10168</v>
      </c>
      <c r="H1058" s="44" t="s">
        <v>252</v>
      </c>
    </row>
    <row r="1059" spans="7:8">
      <c r="G1059" t="s">
        <v>10181</v>
      </c>
      <c r="H1059" s="44" t="s">
        <v>242</v>
      </c>
    </row>
    <row r="1060" spans="7:8">
      <c r="G1060" t="s">
        <v>274</v>
      </c>
      <c r="H1060" s="44" t="s">
        <v>242</v>
      </c>
    </row>
    <row r="1061" spans="7:8">
      <c r="G1061" t="s">
        <v>534</v>
      </c>
      <c r="H1061" s="44" t="s">
        <v>242</v>
      </c>
    </row>
    <row r="1062" spans="7:8">
      <c r="G1062" t="s">
        <v>10182</v>
      </c>
      <c r="H1062" s="44" t="s">
        <v>239</v>
      </c>
    </row>
    <row r="1063" spans="7:8">
      <c r="G1063" t="s">
        <v>324</v>
      </c>
      <c r="H1063" s="44" t="s">
        <v>239</v>
      </c>
    </row>
    <row r="1064" spans="7:8">
      <c r="G1064" t="s">
        <v>272</v>
      </c>
      <c r="H1064" s="44" t="s">
        <v>239</v>
      </c>
    </row>
    <row r="1065" spans="7:8">
      <c r="G1065" t="s">
        <v>329</v>
      </c>
      <c r="H1065" s="44" t="s">
        <v>239</v>
      </c>
    </row>
    <row r="1066" spans="7:8">
      <c r="G1066" t="s">
        <v>271</v>
      </c>
      <c r="H1066" s="44" t="s">
        <v>239</v>
      </c>
    </row>
    <row r="1067" spans="7:8">
      <c r="G1067" t="s">
        <v>535</v>
      </c>
      <c r="H1067" s="44" t="s">
        <v>239</v>
      </c>
    </row>
    <row r="1068" spans="7:8">
      <c r="G1068" t="s">
        <v>259</v>
      </c>
      <c r="H1068" s="44" t="s">
        <v>239</v>
      </c>
    </row>
    <row r="1069" spans="7:8">
      <c r="G1069" t="s">
        <v>334</v>
      </c>
      <c r="H1069" s="44" t="s">
        <v>239</v>
      </c>
    </row>
    <row r="1070" spans="7:8">
      <c r="G1070" t="s">
        <v>240</v>
      </c>
      <c r="H1070" s="44" t="s">
        <v>239</v>
      </c>
    </row>
    <row r="1071" spans="7:8">
      <c r="G1071" t="s">
        <v>325</v>
      </c>
      <c r="H1071" s="44" t="s">
        <v>239</v>
      </c>
    </row>
    <row r="1072" spans="7:8">
      <c r="G1072" t="s">
        <v>10183</v>
      </c>
      <c r="H1072" s="44" t="s">
        <v>256</v>
      </c>
    </row>
    <row r="1073" spans="7:8">
      <c r="G1073" t="s">
        <v>536</v>
      </c>
      <c r="H1073" s="44" t="s">
        <v>256</v>
      </c>
    </row>
    <row r="1074" spans="7:8">
      <c r="G1074" t="s">
        <v>257</v>
      </c>
      <c r="H1074" s="44" t="s">
        <v>256</v>
      </c>
    </row>
    <row r="1075" spans="7:8">
      <c r="G1075" t="s">
        <v>537</v>
      </c>
      <c r="H1075" s="44" t="s">
        <v>256</v>
      </c>
    </row>
    <row r="1076" spans="7:8">
      <c r="G1076" t="s">
        <v>538</v>
      </c>
      <c r="H1076" s="44" t="s">
        <v>256</v>
      </c>
    </row>
    <row r="1077" spans="7:8">
      <c r="G1077" t="s">
        <v>258</v>
      </c>
      <c r="H1077" s="44" t="s">
        <v>256</v>
      </c>
    </row>
    <row r="1078" spans="7:8">
      <c r="G1078" t="s">
        <v>247</v>
      </c>
      <c r="H1078" s="44" t="s">
        <v>247</v>
      </c>
    </row>
    <row r="1079" spans="7:8">
      <c r="G1079" t="s">
        <v>248</v>
      </c>
      <c r="H1079" s="44" t="s">
        <v>247</v>
      </c>
    </row>
    <row r="1080" spans="7:8">
      <c r="G1080" t="s">
        <v>263</v>
      </c>
      <c r="H1080" s="44" t="s">
        <v>247</v>
      </c>
    </row>
    <row r="1081" spans="7:8">
      <c r="G1081" t="s">
        <v>539</v>
      </c>
      <c r="H1081" s="44" t="s">
        <v>247</v>
      </c>
    </row>
    <row r="1082" spans="7:8">
      <c r="G1082" t="s">
        <v>270</v>
      </c>
      <c r="H1082" s="44" t="s">
        <v>247</v>
      </c>
    </row>
    <row r="1083" spans="7:8">
      <c r="G1083" t="s">
        <v>540</v>
      </c>
      <c r="H1083" s="44" t="s">
        <v>247</v>
      </c>
    </row>
    <row r="1084" spans="7:8">
      <c r="G1084" t="s">
        <v>260</v>
      </c>
      <c r="H1084" s="44" t="s">
        <v>261</v>
      </c>
    </row>
    <row r="1085" spans="7:8">
      <c r="G1085" t="s">
        <v>10157</v>
      </c>
      <c r="H1085" s="44" t="s">
        <v>10157</v>
      </c>
    </row>
    <row r="1086" spans="7:8">
      <c r="G1086" t="s">
        <v>246</v>
      </c>
      <c r="H1086" s="44" t="s">
        <v>10157</v>
      </c>
    </row>
    <row r="1087" spans="7:8">
      <c r="G1087" t="s">
        <v>10162</v>
      </c>
      <c r="H1087" s="44" t="s">
        <v>10157</v>
      </c>
    </row>
    <row r="1088" spans="7:8">
      <c r="G1088" t="s">
        <v>333</v>
      </c>
      <c r="H1088" s="44" t="s">
        <v>252</v>
      </c>
    </row>
    <row r="1089" spans="7:8">
      <c r="G1089" t="s">
        <v>542</v>
      </c>
      <c r="H1089" s="44" t="s">
        <v>239</v>
      </c>
    </row>
    <row r="1090" spans="7:8">
      <c r="G1090" t="s">
        <v>238</v>
      </c>
      <c r="H1090" s="44" t="s">
        <v>10157</v>
      </c>
    </row>
    <row r="1091" spans="7:8">
      <c r="G1091" t="s">
        <v>10184</v>
      </c>
      <c r="H1091" s="44" t="s">
        <v>264</v>
      </c>
    </row>
    <row r="1092" spans="7:8">
      <c r="G1092" t="s">
        <v>336</v>
      </c>
      <c r="H1092" s="44" t="s">
        <v>264</v>
      </c>
    </row>
    <row r="1093" spans="7:8">
      <c r="G1093" t="s">
        <v>251</v>
      </c>
      <c r="H1093" s="44" t="s">
        <v>242</v>
      </c>
    </row>
    <row r="1094" spans="7:8">
      <c r="G1094" t="s">
        <v>543</v>
      </c>
      <c r="H1094" s="44" t="s">
        <v>242</v>
      </c>
    </row>
    <row r="1095" spans="7:8">
      <c r="G1095" t="s">
        <v>544</v>
      </c>
      <c r="H1095" s="44" t="s">
        <v>264</v>
      </c>
    </row>
    <row r="1096" spans="7:8">
      <c r="G1096" t="s">
        <v>545</v>
      </c>
      <c r="H1096" s="44" t="s">
        <v>10157</v>
      </c>
    </row>
    <row r="1097" spans="7:8" ht="28.8">
      <c r="G1097" t="s">
        <v>10170</v>
      </c>
      <c r="H1097" s="44" t="s">
        <v>10169</v>
      </c>
    </row>
  </sheetData>
  <sheetProtection sheet="1" selectLockedCells="1"/>
  <mergeCells count="1">
    <mergeCell ref="L2:R6"/>
  </mergeCells>
  <phoneticPr fontId="4" type="noConversion"/>
  <pageMargins left="0.7" right="0.7" top="0.75" bottom="0.75" header="0.3" footer="0.3"/>
  <legacyDrawing r:id="rId1"/>
  <tableParts count="3">
    <tablePart r:id="rId2"/>
    <tablePart r:id="rId3"/>
    <tablePart r:id="rId4"/>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D6E62-7321-4179-A5E6-BAA718B91C16}">
  <sheetPr>
    <tabColor theme="5"/>
  </sheetPr>
  <dimension ref="C1:BM1023"/>
  <sheetViews>
    <sheetView showGridLines="0" zoomScale="80" zoomScaleNormal="80" workbookViewId="0">
      <selection activeCell="E1" sqref="E1"/>
    </sheetView>
  </sheetViews>
  <sheetFormatPr defaultRowHeight="14.4" zeroHeight="1"/>
  <cols>
    <col min="4" max="4" width="20.77734375" customWidth="1"/>
    <col min="5" max="5" width="23.44140625" customWidth="1"/>
    <col min="6" max="6" width="18.21875" customWidth="1"/>
    <col min="7" max="7" width="14.21875" customWidth="1"/>
    <col min="11" max="11" width="16.77734375" customWidth="1"/>
    <col min="12" max="12" width="13.44140625" customWidth="1"/>
    <col min="13" max="13" width="14.21875" customWidth="1"/>
    <col min="14" max="14" width="15.21875" customWidth="1"/>
    <col min="15" max="15" width="14" customWidth="1"/>
    <col min="21" max="24" width="22.5546875" customWidth="1"/>
    <col min="25" max="33" width="16.5546875" customWidth="1"/>
    <col min="34" max="35" width="8.77734375" customWidth="1"/>
    <col min="36" max="39" width="22.5546875" customWidth="1"/>
    <col min="40" max="41" width="16.5546875" customWidth="1"/>
    <col min="42" max="42" width="8.77734375" customWidth="1"/>
    <col min="43" max="43" width="22.44140625" customWidth="1"/>
    <col min="44" max="44" width="29.44140625" customWidth="1"/>
    <col min="45" max="45" width="27.44140625" customWidth="1"/>
    <col min="46" max="46" width="31" customWidth="1"/>
    <col min="47" max="49" width="8.77734375" customWidth="1"/>
    <col min="50" max="50" width="8.5546875" customWidth="1"/>
    <col min="51" max="52" width="8.77734375" customWidth="1"/>
    <col min="53" max="53" width="8.77734375" bestFit="1" customWidth="1"/>
    <col min="54" max="54" width="14.77734375" customWidth="1"/>
  </cols>
  <sheetData>
    <row r="1" spans="3:65"/>
    <row r="2" spans="3:65"/>
    <row r="3" spans="3:65"/>
    <row r="4" spans="3:65"/>
    <row r="5" spans="3:65"/>
    <row r="6" spans="3:65"/>
    <row r="7" spans="3:65"/>
    <row r="8" spans="3:65"/>
    <row r="9" spans="3:65"/>
    <row r="10" spans="3:65" ht="28.8">
      <c r="AQ10" s="44" t="s">
        <v>10148</v>
      </c>
      <c r="AR10">
        <v>20</v>
      </c>
    </row>
    <row r="11" spans="3:65"/>
    <row r="12" spans="3:65" s="276" customFormat="1">
      <c r="V12" s="276" t="s">
        <v>10146</v>
      </c>
      <c r="W12" s="276" t="s">
        <v>10149</v>
      </c>
      <c r="Y12" s="276">
        <v>-0.74582333333333339</v>
      </c>
      <c r="Z12" s="276">
        <f>-(IF(AQ12="x",(AR12*AN12)+AS12+($AR$10*Lookups!$J$38/1000),"DELETE"))</f>
        <v>-0.58351400000000009</v>
      </c>
      <c r="AA12" s="276">
        <v>0.3259926084346883</v>
      </c>
      <c r="AB12" s="276" t="s">
        <v>567</v>
      </c>
      <c r="AC12" s="276" t="s">
        <v>567</v>
      </c>
      <c r="AD12" s="276">
        <v>0.45668176288049178</v>
      </c>
      <c r="AE12" s="276">
        <v>1.0683983533052401</v>
      </c>
      <c r="AF12" s="276">
        <v>1.142290877337675</v>
      </c>
      <c r="AK12" s="276" t="s">
        <v>10146</v>
      </c>
      <c r="AL12" s="276" t="s">
        <v>10149</v>
      </c>
      <c r="AN12" s="276">
        <v>0.74582333333333339</v>
      </c>
      <c r="AQ12" s="276" t="s">
        <v>526</v>
      </c>
      <c r="AR12" s="350">
        <v>0.78</v>
      </c>
      <c r="AS12" s="276">
        <v>0</v>
      </c>
      <c r="AT12" s="276" t="s">
        <v>10150</v>
      </c>
    </row>
    <row r="13" spans="3:65">
      <c r="T13" s="24"/>
      <c r="AI13" s="1"/>
    </row>
    <row r="14" spans="3:65">
      <c r="S14" s="1" t="s">
        <v>10176</v>
      </c>
      <c r="T14" s="24"/>
      <c r="AI14" s="1"/>
    </row>
    <row r="15" spans="3:65">
      <c r="T15" s="24" t="s">
        <v>509</v>
      </c>
      <c r="AI15" s="1" t="s">
        <v>510</v>
      </c>
    </row>
    <row r="16" spans="3:65" ht="43.2">
      <c r="C16" s="360" t="s">
        <v>316</v>
      </c>
      <c r="D16" s="361" t="s">
        <v>223</v>
      </c>
      <c r="E16" s="360" t="s">
        <v>224</v>
      </c>
      <c r="F16" s="360" t="s">
        <v>201</v>
      </c>
      <c r="G16" s="360" t="s">
        <v>202</v>
      </c>
      <c r="H16" s="360" t="s">
        <v>234</v>
      </c>
      <c r="I16" s="360" t="s">
        <v>236</v>
      </c>
      <c r="J16" s="360" t="s">
        <v>244</v>
      </c>
      <c r="K16" s="360" t="s">
        <v>241</v>
      </c>
      <c r="L16" s="360" t="s">
        <v>255</v>
      </c>
      <c r="M16" s="360" t="s">
        <v>235</v>
      </c>
      <c r="N16" s="360" t="s">
        <v>513</v>
      </c>
      <c r="O16" s="360" t="s">
        <v>397</v>
      </c>
      <c r="T16" s="50" t="s">
        <v>316</v>
      </c>
      <c r="U16" s="50" t="s">
        <v>223</v>
      </c>
      <c r="V16" s="54" t="s">
        <v>224</v>
      </c>
      <c r="W16" s="54" t="s">
        <v>201</v>
      </c>
      <c r="X16" s="54" t="s">
        <v>202</v>
      </c>
      <c r="Y16" s="54" t="s">
        <v>234</v>
      </c>
      <c r="Z16" s="54" t="s">
        <v>236</v>
      </c>
      <c r="AA16" s="54" t="s">
        <v>244</v>
      </c>
      <c r="AB16" s="54" t="s">
        <v>241</v>
      </c>
      <c r="AC16" s="54" t="s">
        <v>255</v>
      </c>
      <c r="AD16" s="54" t="s">
        <v>235</v>
      </c>
      <c r="AE16" s="54" t="s">
        <v>513</v>
      </c>
      <c r="AF16" s="55" t="s">
        <v>397</v>
      </c>
      <c r="AG16" s="149"/>
      <c r="AI16" s="145" t="s">
        <v>316</v>
      </c>
      <c r="AJ16" s="70" t="s">
        <v>223</v>
      </c>
      <c r="AK16" s="70" t="s">
        <v>224</v>
      </c>
      <c r="AL16" s="70" t="s">
        <v>201</v>
      </c>
      <c r="AM16" s="70" t="s">
        <v>202</v>
      </c>
      <c r="AN16" s="52" t="s">
        <v>514</v>
      </c>
      <c r="AO16" s="146" t="s">
        <v>515</v>
      </c>
      <c r="AQ16" s="44" t="s">
        <v>516</v>
      </c>
      <c r="AR16" s="44" t="s">
        <v>517</v>
      </c>
      <c r="AS16" s="44" t="s">
        <v>518</v>
      </c>
      <c r="AT16" s="44" t="s">
        <v>519</v>
      </c>
      <c r="AU16" s="44" t="s">
        <v>520</v>
      </c>
      <c r="AV16" s="44" t="s">
        <v>521</v>
      </c>
      <c r="BA16" t="str" cm="1">
        <f t="array" ref="BA16:BM16">tblGWP21[#Headers]</f>
        <v>Dataset ID</v>
      </c>
      <c r="BB16" t="str">
        <v>Material Category</v>
      </c>
      <c r="BC16" t="str">
        <v>Material Subcategory</v>
      </c>
      <c r="BD16" t="str">
        <v>Region</v>
      </c>
      <c r="BE16" t="str">
        <v>Country</v>
      </c>
      <c r="BF16" t="str">
        <v>Reduce</v>
      </c>
      <c r="BG16" t="str">
        <v>Reuse</v>
      </c>
      <c r="BH16" t="str">
        <v>Recycle</v>
      </c>
      <c r="BI16" t="str">
        <v>Composting</v>
      </c>
      <c r="BJ16" t="str">
        <v>Anaerobic Digestion</v>
      </c>
      <c r="BK16" t="str">
        <v>Landfill</v>
      </c>
      <c r="BL16" t="str">
        <v>Waste-to-Energy</v>
      </c>
      <c r="BM16" t="str">
        <v>Incineration</v>
      </c>
    </row>
    <row r="17" spans="3:65" ht="28.8">
      <c r="C17" s="362">
        <v>1</v>
      </c>
      <c r="D17" s="363" t="s">
        <v>233</v>
      </c>
      <c r="E17" s="362" t="s">
        <v>233</v>
      </c>
      <c r="F17" s="362" t="s">
        <v>524</v>
      </c>
      <c r="G17" s="362" t="s">
        <v>203</v>
      </c>
      <c r="H17" s="368">
        <v>0</v>
      </c>
      <c r="I17" s="368">
        <v>-0.13905086666666666</v>
      </c>
      <c r="J17" s="368">
        <v>0</v>
      </c>
      <c r="K17" s="368">
        <v>-1.4457032923644069</v>
      </c>
      <c r="L17" s="368">
        <v>-2.0492481362116273</v>
      </c>
      <c r="M17" s="368">
        <v>-1.0025628690827271</v>
      </c>
      <c r="N17" s="368">
        <v>-0.88215315599304789</v>
      </c>
      <c r="O17" s="368">
        <v>3.3141393988636712E-2</v>
      </c>
      <c r="T17" s="46">
        <v>1</v>
      </c>
      <c r="U17" s="46" t="s">
        <v>233</v>
      </c>
      <c r="V17" s="348" t="s">
        <v>233</v>
      </c>
      <c r="W17" s="53" t="s">
        <v>524</v>
      </c>
      <c r="X17" s="53" t="s">
        <v>203</v>
      </c>
      <c r="Y17" s="172">
        <f>IFERROR(-tblZwaste1422[[#This Row],[Weight (kgCO2e/kg)]],0)</f>
        <v>0</v>
      </c>
      <c r="Z17" s="172">
        <f>AVERAGE(Z21:Z23)</f>
        <v>-0.13905086666666666</v>
      </c>
      <c r="AA17" s="172" t="str">
        <f>IF(ISNUMBER(AVERAGE(AA409,AA465,AA577,AA521,AA633,AA689,AA745,AA801,AA857)),AVERAGE(AA409,AA465,AA577,AA521,AA633,AA689,AA745,AA801,AA857),AA409)</f>
        <v>DELETE</v>
      </c>
      <c r="AB17" s="172">
        <f t="shared" ref="AB17:AF17" si="0">IF(ISNUMBER(AVERAGE(AB409,AB465,AB577,AB521,AB633,AB689,AB745,AB801,AB857)),AVERAGE(AB409,AB465,AB577,AB521,AB633,AB689,AB745,AB801,AB857),AB409)</f>
        <v>-1.4457032923644069</v>
      </c>
      <c r="AC17" s="172">
        <f t="shared" si="0"/>
        <v>-2.0492481362116273</v>
      </c>
      <c r="AD17" s="172">
        <f t="shared" si="0"/>
        <v>-1.0025628690827271</v>
      </c>
      <c r="AE17" s="172">
        <f t="shared" si="0"/>
        <v>-0.88215315599304789</v>
      </c>
      <c r="AF17" s="172">
        <f t="shared" si="0"/>
        <v>3.3141393988636712E-2</v>
      </c>
      <c r="AG17" s="150"/>
      <c r="AI17" s="137">
        <v>1</v>
      </c>
      <c r="AJ17" s="136"/>
      <c r="AK17" s="142"/>
      <c r="AL17" s="136" t="s">
        <v>524</v>
      </c>
      <c r="AM17" s="136" t="s">
        <v>203</v>
      </c>
      <c r="AN17" s="1" t="s">
        <v>525</v>
      </c>
      <c r="AO17" s="166" t="s">
        <v>525</v>
      </c>
      <c r="AQ17" t="e">
        <f>_xlfn.XLOOKUP(tblGWP21[[#This Row],[Material Subcategory]],ls_Mat,Factors!$K$952:$K$1023)</f>
        <v>#N/A</v>
      </c>
      <c r="AR17" s="173">
        <v>0.77500000000000002</v>
      </c>
      <c r="AS17">
        <v>0</v>
      </c>
      <c r="AT17" t="s">
        <v>527</v>
      </c>
      <c r="BA17" cm="1">
        <f t="array" ref="BA17:BM17">tblGWP21[#This Row]</f>
        <v>1</v>
      </c>
      <c r="BB17" t="str">
        <v>Wood/Yard Trimmings</v>
      </c>
      <c r="BC17" t="str">
        <v>Wood/Yard Trimmings</v>
      </c>
      <c r="BD17" t="str">
        <v>Global</v>
      </c>
      <c r="BE17" t="str">
        <v>n/a</v>
      </c>
      <c r="BF17">
        <v>0</v>
      </c>
      <c r="BG17">
        <v>-0.13905086666666666</v>
      </c>
      <c r="BH17" t="str">
        <v>DELETE</v>
      </c>
      <c r="BI17">
        <v>-1.4457032923644069</v>
      </c>
      <c r="BJ17">
        <v>-2.0492481362116273</v>
      </c>
      <c r="BK17">
        <v>-1.0025628690827271</v>
      </c>
      <c r="BL17">
        <v>-0.88215315599304789</v>
      </c>
      <c r="BM17">
        <v>3.3141393988636712E-2</v>
      </c>
    </row>
    <row r="18" spans="3:65" ht="28.8">
      <c r="C18" s="136">
        <v>1</v>
      </c>
      <c r="D18" s="137" t="s">
        <v>233</v>
      </c>
      <c r="E18" s="136" t="s">
        <v>250</v>
      </c>
      <c r="F18" s="136" t="s">
        <v>524</v>
      </c>
      <c r="G18" s="136" t="s">
        <v>203</v>
      </c>
      <c r="H18" s="191">
        <v>0</v>
      </c>
      <c r="I18" s="191">
        <v>0</v>
      </c>
      <c r="J18" s="191">
        <v>0</v>
      </c>
      <c r="K18" s="191">
        <v>-1.7442016291342965</v>
      </c>
      <c r="L18" s="191">
        <v>-2.1492900679710245</v>
      </c>
      <c r="M18" s="191">
        <v>-1.0218667750242141</v>
      </c>
      <c r="N18" s="191">
        <v>-0.94503634720448815</v>
      </c>
      <c r="O18" s="191">
        <v>2.8432406050740187E-2</v>
      </c>
      <c r="T18" s="46">
        <v>1</v>
      </c>
      <c r="U18" s="46" t="s">
        <v>233</v>
      </c>
      <c r="V18" s="53" t="s">
        <v>250</v>
      </c>
      <c r="W18" s="53" t="s">
        <v>524</v>
      </c>
      <c r="X18" s="53" t="s">
        <v>203</v>
      </c>
      <c r="Y18" s="172">
        <f>IFERROR(-tblZwaste1422[[#This Row],[Weight (kgCO2e/kg)]],0)</f>
        <v>0</v>
      </c>
      <c r="Z18" s="172" t="str">
        <f>IF(AQ18="x",(AR18*-tblZwaste1422[[#This Row],[Weight (kgCO2e/kg)]])+AS18+($AR$10*Lookups!$J$38/1000),"DELETE")</f>
        <v>DELETE</v>
      </c>
      <c r="AA18" s="172" t="str">
        <f t="shared" ref="AA18:AF18" si="1">IF(ISNUMBER(AVERAGE(AA410,AA466,AA578,AA522,AA634,AA690,AA746,AA802,AA858)),AVERAGE(AA410,AA466,AA578,AA522,AA634,AA690,AA746,AA802,AA858),AA410)</f>
        <v>DELETE</v>
      </c>
      <c r="AB18" s="172">
        <f t="shared" si="1"/>
        <v>-1.7442016291342965</v>
      </c>
      <c r="AC18" s="172">
        <f t="shared" si="1"/>
        <v>-2.1492900679710245</v>
      </c>
      <c r="AD18" s="172">
        <f t="shared" si="1"/>
        <v>-1.0218667750242141</v>
      </c>
      <c r="AE18" s="172">
        <f t="shared" si="1"/>
        <v>-0.94503634720448815</v>
      </c>
      <c r="AF18" s="172">
        <f t="shared" si="1"/>
        <v>2.8432406050740187E-2</v>
      </c>
      <c r="AG18" s="150"/>
      <c r="AI18" s="137">
        <v>1</v>
      </c>
      <c r="AJ18" s="136"/>
      <c r="AK18" s="142"/>
      <c r="AL18" s="136" t="s">
        <v>524</v>
      </c>
      <c r="AM18" s="136" t="s">
        <v>203</v>
      </c>
      <c r="AN18" s="1" t="s">
        <v>525</v>
      </c>
      <c r="AO18" s="166" t="s">
        <v>525</v>
      </c>
      <c r="AQ18">
        <f>_xlfn.XLOOKUP(tblGWP21[[#This Row],[Material Subcategory]],ls_Mat,Factors!$K$952:$K$1023)</f>
        <v>0</v>
      </c>
      <c r="BA18" cm="1">
        <f t="array" ref="BA18:BM18">tblGWP21[#This Row]</f>
        <v>1</v>
      </c>
      <c r="BB18" t="str">
        <v>Wood/Yard Trimmings</v>
      </c>
      <c r="BC18" t="str">
        <v>Yard Trimmings – Leaves</v>
      </c>
      <c r="BD18" t="str">
        <v>Global</v>
      </c>
      <c r="BE18" t="str">
        <v>n/a</v>
      </c>
      <c r="BF18">
        <v>0</v>
      </c>
      <c r="BG18" t="str">
        <v>DELETE</v>
      </c>
      <c r="BH18" t="str">
        <v>DELETE</v>
      </c>
      <c r="BI18">
        <v>-1.7442016291342965</v>
      </c>
      <c r="BJ18">
        <v>-2.1492900679710245</v>
      </c>
      <c r="BK18">
        <v>-1.0218667750242141</v>
      </c>
      <c r="BL18">
        <v>-0.94503634720448815</v>
      </c>
      <c r="BM18">
        <v>2.8432406050740187E-2</v>
      </c>
    </row>
    <row r="19" spans="3:65" ht="28.8">
      <c r="C19" s="362">
        <v>1</v>
      </c>
      <c r="D19" s="363" t="s">
        <v>233</v>
      </c>
      <c r="E19" s="362" t="s">
        <v>249</v>
      </c>
      <c r="F19" s="362" t="s">
        <v>524</v>
      </c>
      <c r="G19" s="362" t="s">
        <v>203</v>
      </c>
      <c r="H19" s="368">
        <v>0</v>
      </c>
      <c r="I19" s="368">
        <v>0</v>
      </c>
      <c r="J19" s="368">
        <v>0</v>
      </c>
      <c r="K19" s="368">
        <v>-0.54324565921076096</v>
      </c>
      <c r="L19" s="368">
        <v>-0.74429362559926537</v>
      </c>
      <c r="M19" s="368">
        <v>5.0853166296821364E-2</v>
      </c>
      <c r="N19" s="368">
        <v>-0.20032639562564444</v>
      </c>
      <c r="O19" s="368">
        <v>2.5753561484204924E-2</v>
      </c>
      <c r="T19" s="46">
        <v>1</v>
      </c>
      <c r="U19" s="46" t="s">
        <v>233</v>
      </c>
      <c r="V19" s="53" t="s">
        <v>249</v>
      </c>
      <c r="W19" s="53" t="s">
        <v>524</v>
      </c>
      <c r="X19" s="53" t="s">
        <v>203</v>
      </c>
      <c r="Y19" s="172">
        <f>IFERROR(-tblZwaste1422[[#This Row],[Weight (kgCO2e/kg)]],0)</f>
        <v>0</v>
      </c>
      <c r="Z19" s="172" t="str">
        <f>IF(AQ19="x",(AR19*-tblZwaste1422[[#This Row],[Weight (kgCO2e/kg)]])+AS19+($AR$10*Lookups!$J$38/1000),"DELETE")</f>
        <v>DELETE</v>
      </c>
      <c r="AA19" s="172" t="str">
        <f t="shared" ref="AA19:AF19" si="2">IF(ISNUMBER(AVERAGE(AA411,AA467,AA579,AA523,AA635,AA691,AA747,AA803,AA859)),AVERAGE(AA411,AA467,AA579,AA523,AA635,AA691,AA747,AA803,AA859),AA411)</f>
        <v>DELETE</v>
      </c>
      <c r="AB19" s="172">
        <f t="shared" si="2"/>
        <v>-0.54324565921076096</v>
      </c>
      <c r="AC19" s="172">
        <f t="shared" si="2"/>
        <v>-0.74429362559926537</v>
      </c>
      <c r="AD19" s="172">
        <f t="shared" si="2"/>
        <v>5.0853166296821364E-2</v>
      </c>
      <c r="AE19" s="172">
        <f t="shared" si="2"/>
        <v>-0.20032639562564444</v>
      </c>
      <c r="AF19" s="172">
        <f t="shared" si="2"/>
        <v>2.5753561484204924E-2</v>
      </c>
      <c r="AG19" s="150"/>
      <c r="AI19" s="137">
        <v>1</v>
      </c>
      <c r="AJ19" s="136"/>
      <c r="AK19" s="142"/>
      <c r="AL19" s="136" t="s">
        <v>524</v>
      </c>
      <c r="AM19" s="136" t="s">
        <v>203</v>
      </c>
      <c r="AN19" s="1" t="s">
        <v>525</v>
      </c>
      <c r="AO19" s="166" t="s">
        <v>525</v>
      </c>
      <c r="AQ19">
        <f>_xlfn.XLOOKUP(tblGWP21[[#This Row],[Material Subcategory]],ls_Mat,Factors!$K$952:$K$1023)</f>
        <v>0</v>
      </c>
      <c r="BA19" cm="1">
        <f t="array" ref="BA19:BM19">tblGWP21[#This Row]</f>
        <v>1</v>
      </c>
      <c r="BB19" t="str">
        <v>Wood/Yard Trimmings</v>
      </c>
      <c r="BC19" t="str">
        <v>Yard Trimmings – Grass</v>
      </c>
      <c r="BD19" t="str">
        <v>Global</v>
      </c>
      <c r="BE19" t="str">
        <v>n/a</v>
      </c>
      <c r="BF19">
        <v>0</v>
      </c>
      <c r="BG19" t="str">
        <v>DELETE</v>
      </c>
      <c r="BH19" t="str">
        <v>DELETE</v>
      </c>
      <c r="BI19">
        <v>-0.54324565921076096</v>
      </c>
      <c r="BJ19">
        <v>-0.74429362559926537</v>
      </c>
      <c r="BK19">
        <v>5.0853166296821364E-2</v>
      </c>
      <c r="BL19">
        <v>-0.20032639562564444</v>
      </c>
      <c r="BM19">
        <v>2.5753561484204924E-2</v>
      </c>
    </row>
    <row r="20" spans="3:65" ht="28.8">
      <c r="C20" s="136">
        <v>1</v>
      </c>
      <c r="D20" s="137" t="s">
        <v>233</v>
      </c>
      <c r="E20" s="136" t="s">
        <v>273</v>
      </c>
      <c r="F20" s="136" t="s">
        <v>524</v>
      </c>
      <c r="G20" s="136" t="s">
        <v>203</v>
      </c>
      <c r="H20" s="191">
        <v>0</v>
      </c>
      <c r="I20" s="191">
        <v>0</v>
      </c>
      <c r="J20" s="191">
        <v>0</v>
      </c>
      <c r="K20" s="191">
        <v>-1.6470230578256588</v>
      </c>
      <c r="L20" s="191">
        <v>-2.0995747918607091</v>
      </c>
      <c r="M20" s="191">
        <v>-0.7990619932617421</v>
      </c>
      <c r="N20" s="191">
        <v>-0.91787147076802933</v>
      </c>
      <c r="O20" s="191">
        <v>2.720848183037728E-2</v>
      </c>
      <c r="T20" s="46">
        <v>1</v>
      </c>
      <c r="U20" s="46" t="s">
        <v>233</v>
      </c>
      <c r="V20" s="53" t="s">
        <v>273</v>
      </c>
      <c r="W20" s="53" t="s">
        <v>524</v>
      </c>
      <c r="X20" s="53" t="s">
        <v>203</v>
      </c>
      <c r="Y20" s="172">
        <f>IFERROR(-tblZwaste1422[[#This Row],[Weight (kgCO2e/kg)]],0)</f>
        <v>0</v>
      </c>
      <c r="Z20" s="172" t="str">
        <f>IF(AQ20="x",(AR20*-tblZwaste1422[[#This Row],[Weight (kgCO2e/kg)]])+AS20+($AR$10*Lookups!$J$38/1000),"DELETE")</f>
        <v>DELETE</v>
      </c>
      <c r="AA20" s="172" t="str">
        <f t="shared" ref="AA20:AF20" si="3">IF(ISNUMBER(AVERAGE(AA412,AA468,AA580,AA524,AA636,AA692,AA748,AA804,AA860)),AVERAGE(AA412,AA468,AA580,AA524,AA636,AA692,AA748,AA804,AA860),AA412)</f>
        <v>DELETE</v>
      </c>
      <c r="AB20" s="172">
        <f t="shared" si="3"/>
        <v>-1.6470230578256588</v>
      </c>
      <c r="AC20" s="172">
        <f t="shared" si="3"/>
        <v>-2.0995747918607091</v>
      </c>
      <c r="AD20" s="172">
        <f t="shared" si="3"/>
        <v>-0.7990619932617421</v>
      </c>
      <c r="AE20" s="172">
        <f t="shared" si="3"/>
        <v>-0.91787147076802933</v>
      </c>
      <c r="AF20" s="172">
        <f t="shared" si="3"/>
        <v>2.720848183037728E-2</v>
      </c>
      <c r="AG20" s="150"/>
      <c r="AI20" s="137">
        <v>1</v>
      </c>
      <c r="AJ20" s="136"/>
      <c r="AK20" s="142"/>
      <c r="AL20" s="136" t="s">
        <v>524</v>
      </c>
      <c r="AM20" s="136" t="s">
        <v>203</v>
      </c>
      <c r="AN20" s="1" t="s">
        <v>525</v>
      </c>
      <c r="AO20" s="166" t="s">
        <v>525</v>
      </c>
      <c r="AQ20">
        <f>_xlfn.XLOOKUP(tblGWP21[[#This Row],[Material Subcategory]],ls_Mat,Factors!$K$952:$K$1023)</f>
        <v>0</v>
      </c>
      <c r="AR20" s="173"/>
      <c r="BA20" cm="1">
        <f t="array" ref="BA20:BM20">tblGWP21[#This Row]</f>
        <v>1</v>
      </c>
      <c r="BB20" t="str">
        <v>Wood/Yard Trimmings</v>
      </c>
      <c r="BC20" t="str">
        <v>Yard Trimming – Branches</v>
      </c>
      <c r="BD20" t="str">
        <v>Global</v>
      </c>
      <c r="BE20" t="str">
        <v>n/a</v>
      </c>
      <c r="BF20">
        <v>0</v>
      </c>
      <c r="BG20" t="str">
        <v>DELETE</v>
      </c>
      <c r="BH20" t="str">
        <v>DELETE</v>
      </c>
      <c r="BI20">
        <v>-1.6470230578256588</v>
      </c>
      <c r="BJ20">
        <v>-2.0995747918607091</v>
      </c>
      <c r="BK20">
        <v>-0.7990619932617421</v>
      </c>
      <c r="BL20">
        <v>-0.91787147076802933</v>
      </c>
      <c r="BM20">
        <v>2.720848183037728E-2</v>
      </c>
    </row>
    <row r="21" spans="3:65" ht="28.8">
      <c r="C21" s="362">
        <v>1</v>
      </c>
      <c r="D21" s="363" t="s">
        <v>233</v>
      </c>
      <c r="E21" s="362" t="s">
        <v>330</v>
      </c>
      <c r="F21" s="362" t="s">
        <v>524</v>
      </c>
      <c r="G21" s="362" t="s">
        <v>203</v>
      </c>
      <c r="H21" s="368">
        <v>-0.14119999999999999</v>
      </c>
      <c r="I21" s="368">
        <v>-0.1076582</v>
      </c>
      <c r="J21" s="368">
        <v>0</v>
      </c>
      <c r="K21" s="368">
        <v>0</v>
      </c>
      <c r="L21" s="368">
        <v>0</v>
      </c>
      <c r="M21" s="368">
        <v>-1.4791678335593277</v>
      </c>
      <c r="N21" s="368">
        <v>-1.0684353077910853</v>
      </c>
      <c r="O21" s="368">
        <v>5.3036552208542455E-2</v>
      </c>
      <c r="T21" s="46">
        <v>1</v>
      </c>
      <c r="U21" s="46" t="s">
        <v>233</v>
      </c>
      <c r="V21" s="53" t="s">
        <v>330</v>
      </c>
      <c r="W21" s="53" t="s">
        <v>524</v>
      </c>
      <c r="X21" s="53" t="s">
        <v>203</v>
      </c>
      <c r="Y21" s="172">
        <f>IFERROR(-tblZwaste1422[[#This Row],[Weight (kgCO2e/kg)]],0)</f>
        <v>-0.14119999999999999</v>
      </c>
      <c r="Z21" s="172">
        <f>IF(AQ21="x",(AR21*-tblZwaste1422[[#This Row],[Weight (kgCO2e/kg)]])+AS21+($AR$10*Lookups!$J$38/1000),"DELETE")</f>
        <v>-0.1076582</v>
      </c>
      <c r="AA21" s="172" t="str">
        <f t="shared" ref="AA21:AF21" si="4">IF(ISNUMBER(AVERAGE(AA413,AA469,AA581,AA525,AA637,AA693,AA749,AA805,AA861)),AVERAGE(AA413,AA469,AA581,AA525,AA637,AA693,AA749,AA805,AA861),AA413)</f>
        <v>DELETE</v>
      </c>
      <c r="AB21" s="172" t="str">
        <f t="shared" si="4"/>
        <v>DELETE</v>
      </c>
      <c r="AC21" s="172" t="str">
        <f t="shared" si="4"/>
        <v>DELETE</v>
      </c>
      <c r="AD21" s="172">
        <f t="shared" si="4"/>
        <v>-1.4791678335593277</v>
      </c>
      <c r="AE21" s="172">
        <f t="shared" si="4"/>
        <v>-1.0684353077910853</v>
      </c>
      <c r="AF21" s="172">
        <f t="shared" si="4"/>
        <v>5.3036552208542455E-2</v>
      </c>
      <c r="AG21" s="150"/>
      <c r="AI21" s="137">
        <v>1</v>
      </c>
      <c r="AJ21" s="136" t="s">
        <v>330</v>
      </c>
      <c r="AK21" s="142" t="s">
        <v>330</v>
      </c>
      <c r="AL21" s="136" t="s">
        <v>524</v>
      </c>
      <c r="AM21" s="136" t="s">
        <v>203</v>
      </c>
      <c r="AN21" s="1">
        <v>0.14119999999999999</v>
      </c>
      <c r="AO21" s="166">
        <v>0.43014000000000002</v>
      </c>
      <c r="AQ21" t="str">
        <f>_xlfn.XLOOKUP(tblGWP21[[#This Row],[Material Subcategory]],ls_Mat,Factors!$K$952:$K$1023)</f>
        <v>x</v>
      </c>
      <c r="AR21" s="173">
        <v>0.77500000000000002</v>
      </c>
      <c r="AS21">
        <v>0</v>
      </c>
      <c r="AT21" t="s">
        <v>527</v>
      </c>
      <c r="BA21" cm="1">
        <f t="array" ref="BA21:BM21">tblGWP21[#This Row]</f>
        <v>1</v>
      </c>
      <c r="BB21" t="str">
        <v>Wood/Yard Trimmings</v>
      </c>
      <c r="BC21" t="str">
        <v>Wood</v>
      </c>
      <c r="BD21" t="str">
        <v>Global</v>
      </c>
      <c r="BE21" t="str">
        <v>n/a</v>
      </c>
      <c r="BF21">
        <v>-0.14119999999999999</v>
      </c>
      <c r="BG21">
        <v>-0.1076582</v>
      </c>
      <c r="BH21" t="str">
        <v>DELETE</v>
      </c>
      <c r="BI21" t="str">
        <v>DELETE</v>
      </c>
      <c r="BJ21" t="str">
        <v>DELETE</v>
      </c>
      <c r="BK21">
        <v>-1.4791678335593277</v>
      </c>
      <c r="BL21">
        <v>-1.0684353077910853</v>
      </c>
      <c r="BM21">
        <v>5.3036552208542455E-2</v>
      </c>
    </row>
    <row r="22" spans="3:65" ht="28.8">
      <c r="C22" s="136">
        <v>1</v>
      </c>
      <c r="D22" s="137" t="s">
        <v>233</v>
      </c>
      <c r="E22" s="136" t="s">
        <v>335</v>
      </c>
      <c r="F22" s="136" t="s">
        <v>524</v>
      </c>
      <c r="G22" s="136" t="s">
        <v>203</v>
      </c>
      <c r="H22" s="191">
        <v>-0.26272000000000001</v>
      </c>
      <c r="I22" s="191">
        <v>-0.20183620000000002</v>
      </c>
      <c r="J22" s="191">
        <v>0</v>
      </c>
      <c r="K22" s="191">
        <v>-1.6470230578256588</v>
      </c>
      <c r="L22" s="191">
        <v>-2.6265410978135688</v>
      </c>
      <c r="M22" s="191">
        <v>-1.38306688947395</v>
      </c>
      <c r="N22" s="191">
        <v>-1.0806247072845201</v>
      </c>
      <c r="O22" s="191">
        <v>3.2208681178977711E-2</v>
      </c>
      <c r="T22" s="46">
        <v>1</v>
      </c>
      <c r="U22" s="46" t="s">
        <v>233</v>
      </c>
      <c r="V22" s="53" t="s">
        <v>335</v>
      </c>
      <c r="W22" s="53" t="s">
        <v>524</v>
      </c>
      <c r="X22" s="53" t="s">
        <v>203</v>
      </c>
      <c r="Y22" s="172">
        <f>IFERROR(-tblZwaste1422[[#This Row],[Weight (kgCO2e/kg)]],0)</f>
        <v>-0.26272000000000001</v>
      </c>
      <c r="Z22" s="172">
        <f>IF(AQ22="x",(AR22*-tblZwaste1422[[#This Row],[Weight (kgCO2e/kg)]])+AS22+($AR$10*Lookups!$J$38/1000),"DELETE")</f>
        <v>-0.20183620000000002</v>
      </c>
      <c r="AA22" s="172" t="str">
        <f t="shared" ref="AA22:AF22" si="5">IF(ISNUMBER(AVERAGE(AA414,AA470,AA582,AA526,AA638,AA694,AA750,AA806,AA862)),AVERAGE(AA414,AA470,AA582,AA526,AA638,AA694,AA750,AA806,AA862),AA414)</f>
        <v>DELETE</v>
      </c>
      <c r="AB22" s="172">
        <f t="shared" si="5"/>
        <v>-1.6470230578256588</v>
      </c>
      <c r="AC22" s="172">
        <f t="shared" si="5"/>
        <v>-2.6265410978135688</v>
      </c>
      <c r="AD22" s="172">
        <f t="shared" si="5"/>
        <v>-1.38306688947395</v>
      </c>
      <c r="AE22" s="172">
        <f t="shared" si="5"/>
        <v>-1.0806247072845201</v>
      </c>
      <c r="AF22" s="172">
        <f t="shared" si="5"/>
        <v>3.2208681178977711E-2</v>
      </c>
      <c r="AG22" s="150"/>
      <c r="AI22" s="137">
        <v>1</v>
      </c>
      <c r="AJ22" s="136" t="s">
        <v>330</v>
      </c>
      <c r="AK22" s="142" t="s">
        <v>335</v>
      </c>
      <c r="AL22" s="136" t="s">
        <v>524</v>
      </c>
      <c r="AM22" s="136" t="s">
        <v>203</v>
      </c>
      <c r="AN22" s="1">
        <v>0.26272000000000001</v>
      </c>
      <c r="AO22" s="166">
        <v>0.43014000000000002</v>
      </c>
      <c r="AQ22" t="str">
        <f>_xlfn.XLOOKUP(tblGWP21[[#This Row],[Material Subcategory]],ls_Mat,Factors!$K$952:$K$1023)</f>
        <v>x</v>
      </c>
      <c r="AR22" s="173">
        <v>0.77500000000000002</v>
      </c>
      <c r="AS22">
        <v>0</v>
      </c>
      <c r="AT22" t="s">
        <v>527</v>
      </c>
      <c r="BA22" cm="1">
        <f t="array" ref="BA22:BM22">tblGWP21[#This Row]</f>
        <v>1</v>
      </c>
      <c r="BB22" t="str">
        <v>Wood/Yard Trimmings</v>
      </c>
      <c r="BC22" t="str">
        <v>Pallets</v>
      </c>
      <c r="BD22" t="str">
        <v>Global</v>
      </c>
      <c r="BE22" t="str">
        <v>n/a</v>
      </c>
      <c r="BF22">
        <v>-0.26272000000000001</v>
      </c>
      <c r="BG22">
        <v>-0.20183620000000002</v>
      </c>
      <c r="BH22" t="str">
        <v>DELETE</v>
      </c>
      <c r="BI22">
        <v>-1.6470230578256588</v>
      </c>
      <c r="BJ22">
        <v>-2.6265410978135688</v>
      </c>
      <c r="BK22">
        <v>-1.38306688947395</v>
      </c>
      <c r="BL22">
        <v>-1.0806247072845201</v>
      </c>
      <c r="BM22">
        <v>3.2208681178977711E-2</v>
      </c>
    </row>
    <row r="23" spans="3:65" ht="28.8">
      <c r="C23" s="362">
        <v>1</v>
      </c>
      <c r="D23" s="363" t="s">
        <v>233</v>
      </c>
      <c r="E23" s="362" t="s">
        <v>326</v>
      </c>
      <c r="F23" s="362" t="s">
        <v>524</v>
      </c>
      <c r="G23" s="362" t="s">
        <v>203</v>
      </c>
      <c r="H23" s="368">
        <v>-0.14119999999999999</v>
      </c>
      <c r="I23" s="368">
        <v>-0.1076582</v>
      </c>
      <c r="J23" s="368">
        <v>0</v>
      </c>
      <c r="K23" s="368">
        <v>-1.6470230578256588</v>
      </c>
      <c r="L23" s="368">
        <v>-2.6265410978135688</v>
      </c>
      <c r="M23" s="368">
        <v>-1.38306688947395</v>
      </c>
      <c r="N23" s="368">
        <v>-1.0806247072845201</v>
      </c>
      <c r="O23" s="368">
        <v>3.2208681178977711E-2</v>
      </c>
      <c r="T23" s="46">
        <v>1</v>
      </c>
      <c r="U23" s="46" t="s">
        <v>233</v>
      </c>
      <c r="V23" s="53" t="s">
        <v>326</v>
      </c>
      <c r="W23" s="53" t="s">
        <v>524</v>
      </c>
      <c r="X23" s="53" t="s">
        <v>203</v>
      </c>
      <c r="Y23" s="172">
        <f>IFERROR(-tblZwaste1422[[#This Row],[Weight (kgCO2e/kg)]],0)</f>
        <v>-0.14119999999999999</v>
      </c>
      <c r="Z23" s="172">
        <f>IF(AQ23="x",(AR23*-tblZwaste1422[[#This Row],[Weight (kgCO2e/kg)]])+AS23+($AR$10*Lookups!$J$38/1000),"DELETE")</f>
        <v>-0.1076582</v>
      </c>
      <c r="AA23" s="172" t="str">
        <f t="shared" ref="AA23:AF23" si="6">IF(ISNUMBER(AVERAGE(AA415,AA471,AA583,AA527,AA639,AA695,AA751,AA807,AA863)),AVERAGE(AA415,AA471,AA583,AA527,AA639,AA695,AA751,AA807,AA863),AA415)</f>
        <v>DELETE</v>
      </c>
      <c r="AB23" s="172">
        <f t="shared" si="6"/>
        <v>-1.6470230578256588</v>
      </c>
      <c r="AC23" s="172">
        <f t="shared" si="6"/>
        <v>-2.6265410978135688</v>
      </c>
      <c r="AD23" s="172">
        <f t="shared" si="6"/>
        <v>-1.38306688947395</v>
      </c>
      <c r="AE23" s="172">
        <f t="shared" si="6"/>
        <v>-1.0806247072845201</v>
      </c>
      <c r="AF23" s="172">
        <f t="shared" si="6"/>
        <v>3.2208681178977711E-2</v>
      </c>
      <c r="AG23" s="150"/>
      <c r="AI23" s="137">
        <v>1</v>
      </c>
      <c r="AJ23" s="136" t="s">
        <v>330</v>
      </c>
      <c r="AK23" s="142" t="s">
        <v>326</v>
      </c>
      <c r="AL23" s="136" t="s">
        <v>524</v>
      </c>
      <c r="AM23" s="136" t="s">
        <v>203</v>
      </c>
      <c r="AN23" s="1">
        <v>0.14119999999999999</v>
      </c>
      <c r="AO23" s="166">
        <v>0.43014000000000002</v>
      </c>
      <c r="AQ23" t="str">
        <f>_xlfn.XLOOKUP(tblGWP21[[#This Row],[Material Subcategory]],ls_Mat,Factors!$K$952:$K$1023)</f>
        <v>x</v>
      </c>
      <c r="AR23" s="173">
        <v>0.77500000000000002</v>
      </c>
      <c r="AS23">
        <v>0</v>
      </c>
      <c r="AT23" t="s">
        <v>527</v>
      </c>
      <c r="BA23" cm="1">
        <f t="array" ref="BA23:BM23">tblGWP21[#This Row]</f>
        <v>1</v>
      </c>
      <c r="BB23" t="str">
        <v>Wood/Yard Trimmings</v>
      </c>
      <c r="BC23" t="str">
        <v>Other Wood</v>
      </c>
      <c r="BD23" t="str">
        <v>Global</v>
      </c>
      <c r="BE23" t="str">
        <v>n/a</v>
      </c>
      <c r="BF23">
        <v>-0.14119999999999999</v>
      </c>
      <c r="BG23">
        <v>-0.1076582</v>
      </c>
      <c r="BH23" t="str">
        <v>DELETE</v>
      </c>
      <c r="BI23">
        <v>-1.6470230578256588</v>
      </c>
      <c r="BJ23">
        <v>-2.6265410978135688</v>
      </c>
      <c r="BK23">
        <v>-1.38306688947395</v>
      </c>
      <c r="BL23">
        <v>-1.0806247072845201</v>
      </c>
      <c r="BM23">
        <v>3.2208681178977711E-2</v>
      </c>
    </row>
    <row r="24" spans="3:65">
      <c r="C24" s="136">
        <v>1</v>
      </c>
      <c r="D24" s="137" t="s">
        <v>261</v>
      </c>
      <c r="E24" s="136" t="s">
        <v>261</v>
      </c>
      <c r="F24" s="136" t="s">
        <v>524</v>
      </c>
      <c r="G24" s="136" t="s">
        <v>203</v>
      </c>
      <c r="H24" s="191">
        <v>-4.72241</v>
      </c>
      <c r="I24" s="191">
        <v>-2.3594331999999998</v>
      </c>
      <c r="J24" s="191">
        <v>0</v>
      </c>
      <c r="K24" s="191">
        <v>-0.36333970432942508</v>
      </c>
      <c r="L24" s="191">
        <v>-0.59770780645320598</v>
      </c>
      <c r="M24" s="191">
        <v>0.16493754829677582</v>
      </c>
      <c r="N24" s="191">
        <v>-0.18481456261112406</v>
      </c>
      <c r="O24" s="191">
        <v>2.5406941114668E-2</v>
      </c>
      <c r="T24" s="46">
        <v>1</v>
      </c>
      <c r="U24" s="46" t="s">
        <v>261</v>
      </c>
      <c r="V24" s="348" t="s">
        <v>261</v>
      </c>
      <c r="W24" s="53" t="s">
        <v>524</v>
      </c>
      <c r="X24" s="53" t="s">
        <v>203</v>
      </c>
      <c r="Y24" s="172">
        <f>IFERROR(-tblZwaste1422[[#This Row],[Weight (kgCO2e/kg)]],0)</f>
        <v>-4.72241</v>
      </c>
      <c r="Z24" s="172" t="e">
        <f>IF(AQ24="x",(AR24*-tblZwaste1422[[#This Row],[Weight (kgCO2e/kg)]])+AS24+($AR$10*Lookups!$J$38/1000),"DELETE")</f>
        <v>#N/A</v>
      </c>
      <c r="AA24" s="172" t="str">
        <f t="shared" ref="AA24:AF24" si="7">IF(ISNUMBER(AVERAGE(AA416,AA472,AA584,AA528,AA640,AA696,AA752,AA808,AA864)),AVERAGE(AA416,AA472,AA584,AA528,AA640,AA696,AA752,AA808,AA864),AA416)</f>
        <v>DELETE</v>
      </c>
      <c r="AB24" s="172">
        <f t="shared" si="7"/>
        <v>-0.36333970432942508</v>
      </c>
      <c r="AC24" s="172">
        <f t="shared" si="7"/>
        <v>-0.59770780645320598</v>
      </c>
      <c r="AD24" s="172">
        <f t="shared" si="7"/>
        <v>0.16493754829677582</v>
      </c>
      <c r="AE24" s="172">
        <f t="shared" si="7"/>
        <v>-0.18481456261112406</v>
      </c>
      <c r="AF24" s="172">
        <f t="shared" si="7"/>
        <v>2.5406941114668E-2</v>
      </c>
      <c r="AG24" s="150"/>
      <c r="AI24" s="137">
        <v>1</v>
      </c>
      <c r="AJ24" s="136" t="s">
        <v>529</v>
      </c>
      <c r="AK24" s="142" t="s">
        <v>529</v>
      </c>
      <c r="AL24" s="136" t="s">
        <v>524</v>
      </c>
      <c r="AM24" s="136" t="s">
        <v>203</v>
      </c>
      <c r="AN24" s="1">
        <v>4.72241</v>
      </c>
      <c r="AO24" s="166">
        <v>1.758</v>
      </c>
      <c r="AQ24" t="e">
        <f>_xlfn.XLOOKUP(tblGWP21[[#This Row],[Material Subcategory]],ls_Mat,Factors!$K$952:$K$1023)</f>
        <v>#N/A</v>
      </c>
      <c r="AR24" s="347">
        <v>0.5</v>
      </c>
      <c r="AS24">
        <v>0</v>
      </c>
      <c r="AT24" t="s">
        <v>528</v>
      </c>
      <c r="BA24" cm="1">
        <f t="array" ref="BA24:BM24">tblGWP21[#This Row]</f>
        <v>1</v>
      </c>
      <c r="BB24" t="str">
        <v>Food Waste</v>
      </c>
      <c r="BC24" t="str">
        <v>Food Waste</v>
      </c>
      <c r="BD24" t="str">
        <v>Global</v>
      </c>
      <c r="BE24" t="str">
        <v>n/a</v>
      </c>
      <c r="BF24">
        <v>-4.72241</v>
      </c>
      <c r="BG24" t="e">
        <v>#N/A</v>
      </c>
      <c r="BH24" t="str">
        <v>DELETE</v>
      </c>
      <c r="BI24">
        <v>-0.36333970432942508</v>
      </c>
      <c r="BJ24">
        <v>-0.59770780645320598</v>
      </c>
      <c r="BK24">
        <v>0.16493754829677582</v>
      </c>
      <c r="BL24">
        <v>-0.18481456261112406</v>
      </c>
      <c r="BM24">
        <v>2.5406941114668E-2</v>
      </c>
    </row>
    <row r="25" spans="3:65" ht="28.8">
      <c r="C25" s="362">
        <v>1</v>
      </c>
      <c r="D25" s="363" t="s">
        <v>261</v>
      </c>
      <c r="E25" s="362" t="s">
        <v>269</v>
      </c>
      <c r="F25" s="362" t="s">
        <v>524</v>
      </c>
      <c r="G25" s="362" t="s">
        <v>203</v>
      </c>
      <c r="H25" s="368">
        <v>-0.25034000000000001</v>
      </c>
      <c r="I25" s="368">
        <v>-0.1233982</v>
      </c>
      <c r="J25" s="368">
        <v>0</v>
      </c>
      <c r="K25" s="368">
        <v>-0.30329904885507891</v>
      </c>
      <c r="L25" s="368">
        <v>-0.50710695117458426</v>
      </c>
      <c r="M25" s="368">
        <v>0.19475852015457942</v>
      </c>
      <c r="N25" s="368">
        <v>-0.12793727439152991</v>
      </c>
      <c r="O25" s="368">
        <v>2.5084794741041635E-2</v>
      </c>
      <c r="T25" s="46">
        <v>1</v>
      </c>
      <c r="U25" s="46" t="s">
        <v>261</v>
      </c>
      <c r="V25" s="53" t="s">
        <v>269</v>
      </c>
      <c r="W25" s="53" t="s">
        <v>524</v>
      </c>
      <c r="X25" s="53" t="s">
        <v>203</v>
      </c>
      <c r="Y25" s="172">
        <f>IFERROR(-tblZwaste1422[[#This Row],[Weight (kgCO2e/kg)]],0)</f>
        <v>-0.25034000000000001</v>
      </c>
      <c r="Z25" s="172">
        <f>IF(AQ25="x",(AR25*-tblZwaste1422[[#This Row],[Weight (kgCO2e/kg)]])+AS25+($AR$10*Lookups!$J$38/1000),"DELETE")</f>
        <v>-0.1233982</v>
      </c>
      <c r="AA25" s="172" t="str">
        <f t="shared" ref="AA25:AF25" si="8">IF(ISNUMBER(AVERAGE(AA417,AA473,AA585,AA529,AA641,AA697,AA753,AA809,AA865)),AVERAGE(AA417,AA473,AA585,AA529,AA641,AA697,AA753,AA809,AA865),AA417)</f>
        <v>DELETE</v>
      </c>
      <c r="AB25" s="172">
        <f t="shared" si="8"/>
        <v>-0.30329904885507891</v>
      </c>
      <c r="AC25" s="172">
        <f t="shared" si="8"/>
        <v>-0.50710695117458426</v>
      </c>
      <c r="AD25" s="172">
        <f t="shared" si="8"/>
        <v>0.19475852015457942</v>
      </c>
      <c r="AE25" s="172">
        <f t="shared" si="8"/>
        <v>-0.12793727439152991</v>
      </c>
      <c r="AF25" s="172">
        <f t="shared" si="8"/>
        <v>2.5084794741041635E-2</v>
      </c>
      <c r="AG25" s="150"/>
      <c r="AI25" s="137">
        <v>1</v>
      </c>
      <c r="AJ25" s="136" t="s">
        <v>529</v>
      </c>
      <c r="AK25" s="142" t="s">
        <v>327</v>
      </c>
      <c r="AL25" s="136" t="s">
        <v>524</v>
      </c>
      <c r="AM25" s="136" t="s">
        <v>203</v>
      </c>
      <c r="AN25" s="1">
        <v>0.25034000000000001</v>
      </c>
      <c r="AO25" s="166">
        <v>0.99672000000000005</v>
      </c>
      <c r="AQ25" t="str">
        <f>_xlfn.XLOOKUP(tblGWP21[[#This Row],[Material Subcategory]],ls_Mat,Factors!$K$952:$K$1023)</f>
        <v>x</v>
      </c>
      <c r="AR25" s="347">
        <v>0.5</v>
      </c>
      <c r="AS25">
        <v>0</v>
      </c>
      <c r="AT25" t="s">
        <v>528</v>
      </c>
      <c r="BA25" cm="1">
        <f t="array" ref="BA25:BM25">tblGWP21[#This Row]</f>
        <v>1</v>
      </c>
      <c r="BB25" t="str">
        <v>Food Waste</v>
      </c>
      <c r="BC25" t="str">
        <v>Food Waste – Vegetable</v>
      </c>
      <c r="BD25" t="str">
        <v>Global</v>
      </c>
      <c r="BE25" t="str">
        <v>n/a</v>
      </c>
      <c r="BF25">
        <v>-0.25034000000000001</v>
      </c>
      <c r="BG25">
        <v>-0.1233982</v>
      </c>
      <c r="BH25" t="str">
        <v>DELETE</v>
      </c>
      <c r="BI25">
        <v>-0.30329904885507891</v>
      </c>
      <c r="BJ25">
        <v>-0.50710695117458426</v>
      </c>
      <c r="BK25">
        <v>0.19475852015457942</v>
      </c>
      <c r="BL25">
        <v>-0.12793727439152991</v>
      </c>
      <c r="BM25">
        <v>2.5084794741041635E-2</v>
      </c>
    </row>
    <row r="26" spans="3:65" ht="28.8">
      <c r="C26" s="136">
        <v>1</v>
      </c>
      <c r="D26" s="137" t="s">
        <v>261</v>
      </c>
      <c r="E26" s="136" t="s">
        <v>530</v>
      </c>
      <c r="F26" s="136" t="s">
        <v>524</v>
      </c>
      <c r="G26" s="136" t="s">
        <v>203</v>
      </c>
      <c r="H26" s="191">
        <v>-9.1944800000000004</v>
      </c>
      <c r="I26" s="191">
        <v>-4.5954682</v>
      </c>
      <c r="J26" s="191">
        <v>0</v>
      </c>
      <c r="K26" s="191">
        <v>-0.42338035980377131</v>
      </c>
      <c r="L26" s="191">
        <v>-0.68830866173182781</v>
      </c>
      <c r="M26" s="191">
        <v>0.13511657643897224</v>
      </c>
      <c r="N26" s="191">
        <v>-0.24169185083071826</v>
      </c>
      <c r="O26" s="191">
        <v>2.5729087488294364E-2</v>
      </c>
      <c r="T26" s="46">
        <v>1</v>
      </c>
      <c r="U26" s="46" t="s">
        <v>261</v>
      </c>
      <c r="V26" s="53" t="s">
        <v>530</v>
      </c>
      <c r="W26" s="53" t="s">
        <v>524</v>
      </c>
      <c r="X26" s="53" t="s">
        <v>203</v>
      </c>
      <c r="Y26" s="172">
        <f>IFERROR(-tblZwaste1422[[#This Row],[Weight (kgCO2e/kg)]],0)</f>
        <v>-9.1944800000000004</v>
      </c>
      <c r="Z26" s="172">
        <f>IF(AQ26="x",(AR26*-tblZwaste1422[[#This Row],[Weight (kgCO2e/kg)]])+AS26+($AR$10*Lookups!$J$38/1000),"DELETE")</f>
        <v>-4.5954682</v>
      </c>
      <c r="AA26" s="172" t="str">
        <f t="shared" ref="AA26:AF26" si="9">IF(ISNUMBER(AVERAGE(AA418,AA474,AA586,AA530,AA642,AA698,AA754,AA810,AA866)),AVERAGE(AA418,AA474,AA586,AA530,AA642,AA698,AA754,AA810,AA866),AA418)</f>
        <v>DELETE</v>
      </c>
      <c r="AB26" s="172">
        <f t="shared" si="9"/>
        <v>-0.42338035980377131</v>
      </c>
      <c r="AC26" s="172">
        <f t="shared" si="9"/>
        <v>-0.68830866173182781</v>
      </c>
      <c r="AD26" s="172">
        <f t="shared" si="9"/>
        <v>0.13511657643897224</v>
      </c>
      <c r="AE26" s="172">
        <f t="shared" si="9"/>
        <v>-0.24169185083071826</v>
      </c>
      <c r="AF26" s="172">
        <f t="shared" si="9"/>
        <v>2.5729087488294364E-2</v>
      </c>
      <c r="AG26" s="150"/>
      <c r="AI26" s="137">
        <v>1</v>
      </c>
      <c r="AJ26" s="136" t="s">
        <v>529</v>
      </c>
      <c r="AK26" s="142" t="s">
        <v>331</v>
      </c>
      <c r="AL26" s="136" t="s">
        <v>524</v>
      </c>
      <c r="AM26" s="136" t="s">
        <v>203</v>
      </c>
      <c r="AN26" s="1">
        <v>9.1944800000000004</v>
      </c>
      <c r="AO26" s="166">
        <v>2.5192800000000002</v>
      </c>
      <c r="AQ26" t="str">
        <f>_xlfn.XLOOKUP(tblGWP21[[#This Row],[Material Subcategory]],ls_Mat,Factors!$K$952:$K$1023)</f>
        <v>x</v>
      </c>
      <c r="AR26" s="347">
        <v>0.5</v>
      </c>
      <c r="AS26">
        <v>0</v>
      </c>
      <c r="AT26" t="s">
        <v>528</v>
      </c>
      <c r="AU26" t="s">
        <v>526</v>
      </c>
      <c r="AV26" s="347">
        <v>0.85</v>
      </c>
      <c r="BA26" cm="1">
        <f t="array" ref="BA26:BM26">tblGWP21[#This Row]</f>
        <v>1</v>
      </c>
      <c r="BB26" t="str">
        <v>Food Waste</v>
      </c>
      <c r="BC26" t="str">
        <v>Food Waste – Non-Vegetable</v>
      </c>
      <c r="BD26" t="str">
        <v>Global</v>
      </c>
      <c r="BE26" t="str">
        <v>n/a</v>
      </c>
      <c r="BF26">
        <v>-9.1944800000000004</v>
      </c>
      <c r="BG26">
        <v>-4.5954682</v>
      </c>
      <c r="BH26" t="str">
        <v>DELETE</v>
      </c>
      <c r="BI26">
        <v>-0.42338035980377131</v>
      </c>
      <c r="BJ26">
        <v>-0.68830866173182781</v>
      </c>
      <c r="BK26">
        <v>0.13511657643897224</v>
      </c>
      <c r="BL26">
        <v>-0.24169185083071826</v>
      </c>
      <c r="BM26">
        <v>2.5729087488294364E-2</v>
      </c>
    </row>
    <row r="27" spans="3:65">
      <c r="C27" s="362">
        <v>1</v>
      </c>
      <c r="D27" s="363" t="s">
        <v>261</v>
      </c>
      <c r="E27" s="362" t="s">
        <v>262</v>
      </c>
      <c r="F27" s="362" t="s">
        <v>524</v>
      </c>
      <c r="G27" s="362" t="s">
        <v>203</v>
      </c>
      <c r="H27" s="368">
        <v>-2.5034000000000001</v>
      </c>
      <c r="I27" s="368">
        <v>0</v>
      </c>
      <c r="J27" s="368">
        <v>0</v>
      </c>
      <c r="K27" s="368">
        <v>-0.42338035980377131</v>
      </c>
      <c r="L27" s="368">
        <v>-0.68830866173182781</v>
      </c>
      <c r="M27" s="368">
        <v>0.13511657643897224</v>
      </c>
      <c r="N27" s="368">
        <v>-0.24169185083071826</v>
      </c>
      <c r="O27" s="368">
        <v>2.5729087488294364E-2</v>
      </c>
      <c r="T27" s="46">
        <v>1</v>
      </c>
      <c r="U27" s="46" t="s">
        <v>261</v>
      </c>
      <c r="V27" s="53" t="s">
        <v>262</v>
      </c>
      <c r="W27" s="53" t="s">
        <v>524</v>
      </c>
      <c r="X27" s="53" t="s">
        <v>203</v>
      </c>
      <c r="Y27" s="172">
        <f>IFERROR(-tblZwaste1422[[#This Row],[Weight (kgCO2e/kg)]],0)</f>
        <v>-2.5034000000000001</v>
      </c>
      <c r="Z27" s="172" t="str">
        <f>IF(AQ27="x",(AR27*-tblZwaste1422[[#This Row],[Weight (kgCO2e/kg)]])+AS27+($AR$10*Lookups!$J$38/1000),"DELETE")</f>
        <v>DELETE</v>
      </c>
      <c r="AA27" s="172" t="str">
        <f t="shared" ref="AA27:AF27" si="10">IF(ISNUMBER(AVERAGE(AA419,AA475,AA587,AA531,AA643,AA699,AA755,AA811,AA867)),AVERAGE(AA419,AA475,AA587,AA531,AA643,AA699,AA755,AA811,AA867),AA419)</f>
        <v>DELETE</v>
      </c>
      <c r="AB27" s="172">
        <f t="shared" si="10"/>
        <v>-0.42338035980377131</v>
      </c>
      <c r="AC27" s="172">
        <f t="shared" si="10"/>
        <v>-0.68830866173182781</v>
      </c>
      <c r="AD27" s="172">
        <f t="shared" si="10"/>
        <v>0.13511657643897224</v>
      </c>
      <c r="AE27" s="172">
        <f t="shared" si="10"/>
        <v>-0.24169185083071826</v>
      </c>
      <c r="AF27" s="172">
        <f t="shared" si="10"/>
        <v>2.5729087488294364E-2</v>
      </c>
      <c r="AG27" s="150"/>
      <c r="AI27" s="137">
        <v>1</v>
      </c>
      <c r="AJ27" s="136" t="s">
        <v>529</v>
      </c>
      <c r="AK27" s="142" t="s">
        <v>332</v>
      </c>
      <c r="AL27" s="136" t="s">
        <v>524</v>
      </c>
      <c r="AM27" s="136" t="s">
        <v>203</v>
      </c>
      <c r="AN27" s="1">
        <v>2.5034000000000001</v>
      </c>
      <c r="AO27" s="166">
        <v>1.0183800000000001</v>
      </c>
      <c r="AQ27">
        <f>_xlfn.XLOOKUP(tblGWP21[[#This Row],[Material Subcategory]],ls_Mat,Factors!$K$952:$K$1023)</f>
        <v>0</v>
      </c>
      <c r="AR27" s="347">
        <v>0.5</v>
      </c>
      <c r="AS27">
        <v>0</v>
      </c>
      <c r="AT27" t="s">
        <v>528</v>
      </c>
      <c r="AU27" t="s">
        <v>526</v>
      </c>
      <c r="AV27" s="347">
        <v>0.7</v>
      </c>
      <c r="BA27" cm="1">
        <f t="array" ref="BA27:BM27">tblGWP21[#This Row]</f>
        <v>1</v>
      </c>
      <c r="BB27" t="str">
        <v>Food Waste</v>
      </c>
      <c r="BC27" t="str">
        <v>Oils/Grease</v>
      </c>
      <c r="BD27" t="str">
        <v>Global</v>
      </c>
      <c r="BE27" t="str">
        <v>n/a</v>
      </c>
      <c r="BF27">
        <v>-2.5034000000000001</v>
      </c>
      <c r="BG27" t="str">
        <v>DELETE</v>
      </c>
      <c r="BH27" t="str">
        <v>DELETE</v>
      </c>
      <c r="BI27">
        <v>-0.42338035980377131</v>
      </c>
      <c r="BJ27">
        <v>-0.68830866173182781</v>
      </c>
      <c r="BK27">
        <v>0.13511657643897224</v>
      </c>
      <c r="BL27">
        <v>-0.24169185083071826</v>
      </c>
      <c r="BM27">
        <v>2.5729087488294364E-2</v>
      </c>
    </row>
    <row r="28" spans="3:65">
      <c r="C28" s="136">
        <v>1</v>
      </c>
      <c r="D28" s="137" t="s">
        <v>252</v>
      </c>
      <c r="E28" s="136" t="s">
        <v>252</v>
      </c>
      <c r="F28" s="136" t="s">
        <v>524</v>
      </c>
      <c r="G28" s="136" t="s">
        <v>203</v>
      </c>
      <c r="H28" s="191">
        <v>-2.0953266666666663</v>
      </c>
      <c r="I28" s="191">
        <v>-1.5407999593666664</v>
      </c>
      <c r="J28" s="191">
        <v>-4.4029413122431871</v>
      </c>
      <c r="K28" s="191">
        <v>0</v>
      </c>
      <c r="L28" s="191">
        <v>0</v>
      </c>
      <c r="M28" s="191">
        <v>2.6028899631859132E-2</v>
      </c>
      <c r="N28" s="191">
        <v>0.56977298272817556</v>
      </c>
      <c r="O28" s="191">
        <v>2.1870253230519587</v>
      </c>
      <c r="T28" s="46">
        <v>1</v>
      </c>
      <c r="U28" s="46" t="s">
        <v>252</v>
      </c>
      <c r="V28" s="348" t="s">
        <v>252</v>
      </c>
      <c r="W28" s="53" t="s">
        <v>524</v>
      </c>
      <c r="X28" s="53" t="s">
        <v>203</v>
      </c>
      <c r="Y28" s="172">
        <f>IFERROR(-tblZwaste1422[[#This Row],[Weight (kgCO2e/kg)]],0)</f>
        <v>-2.0953266666666663</v>
      </c>
      <c r="Z28" s="172" t="e">
        <f>IF(AQ28="x",(AR28*-tblZwaste1422[[#This Row],[Weight (kgCO2e/kg)]])+AS28+($AR$10*Lookups!$J$38/1000),"DELETE")</f>
        <v>#N/A</v>
      </c>
      <c r="AA28" s="172">
        <f t="shared" ref="AA28:AF28" si="11">IF(ISNUMBER(AVERAGE(AA420,AA476,AA588,AA532,AA644,AA700,AA756,AA812,AA868)),AVERAGE(AA420,AA476,AA588,AA532,AA644,AA700,AA756,AA812,AA868),AA420)</f>
        <v>-4.4029413122431871</v>
      </c>
      <c r="AB28" s="172" t="str">
        <f t="shared" si="11"/>
        <v>DELETE</v>
      </c>
      <c r="AC28" s="172" t="str">
        <f t="shared" si="11"/>
        <v>DELETE</v>
      </c>
      <c r="AD28" s="172">
        <f t="shared" si="11"/>
        <v>2.6028899631859132E-2</v>
      </c>
      <c r="AE28" s="172">
        <f t="shared" si="11"/>
        <v>0.56977298272817556</v>
      </c>
      <c r="AF28" s="172">
        <f t="shared" si="11"/>
        <v>2.1870253230519587</v>
      </c>
      <c r="AG28" s="150"/>
      <c r="AI28" s="137">
        <v>1</v>
      </c>
      <c r="AJ28" s="136" t="s">
        <v>252</v>
      </c>
      <c r="AK28" s="142" t="s">
        <v>252</v>
      </c>
      <c r="AL28" s="136" t="s">
        <v>524</v>
      </c>
      <c r="AM28" s="136" t="s">
        <v>203</v>
      </c>
      <c r="AN28" s="1">
        <v>2.0953266666666663</v>
      </c>
      <c r="AO28" s="166">
        <v>1.77911</v>
      </c>
      <c r="AQ28" t="e">
        <f>_xlfn.XLOOKUP(tblGWP21[[#This Row],[Material Subcategory]],ls_Mat,Factors!$K$952:$K$1023)</f>
        <v>#N/A</v>
      </c>
      <c r="AR28" s="173">
        <v>0.77500000000000002</v>
      </c>
      <c r="AS28">
        <v>8.1306407300000008E-2</v>
      </c>
      <c r="AT28" t="s">
        <v>531</v>
      </c>
      <c r="AU28" t="s">
        <v>526</v>
      </c>
      <c r="AV28" s="347">
        <v>0.8</v>
      </c>
      <c r="BA28" cm="1">
        <f t="array" ref="BA28:BM28">tblGWP21[#This Row]</f>
        <v>1</v>
      </c>
      <c r="BB28" t="str">
        <v>Plastics</v>
      </c>
      <c r="BC28" t="str">
        <v>Plastics</v>
      </c>
      <c r="BD28" t="str">
        <v>Global</v>
      </c>
      <c r="BE28" t="str">
        <v>n/a</v>
      </c>
      <c r="BF28">
        <v>-2.0953266666666663</v>
      </c>
      <c r="BG28" t="e">
        <v>#N/A</v>
      </c>
      <c r="BH28">
        <v>-4.4029413122431871</v>
      </c>
      <c r="BI28" t="str">
        <v>DELETE</v>
      </c>
      <c r="BJ28" t="str">
        <v>DELETE</v>
      </c>
      <c r="BK28">
        <v>2.6028899631859132E-2</v>
      </c>
      <c r="BL28">
        <v>0.56977298272817556</v>
      </c>
      <c r="BM28">
        <v>2.1870253230519587</v>
      </c>
    </row>
    <row r="29" spans="3:65" ht="28.8">
      <c r="C29" s="362">
        <v>1</v>
      </c>
      <c r="D29" s="363" t="s">
        <v>252</v>
      </c>
      <c r="E29" s="362" t="s">
        <v>253</v>
      </c>
      <c r="F29" s="362" t="s">
        <v>524</v>
      </c>
      <c r="G29" s="362" t="s">
        <v>203</v>
      </c>
      <c r="H29" s="368">
        <v>-2.04928</v>
      </c>
      <c r="I29" s="368">
        <v>0</v>
      </c>
      <c r="J29" s="368">
        <v>-3.8565406332079442</v>
      </c>
      <c r="K29" s="368">
        <v>0</v>
      </c>
      <c r="L29" s="368">
        <v>0</v>
      </c>
      <c r="M29" s="368">
        <v>2.6028896620911176E-2</v>
      </c>
      <c r="N29" s="368">
        <v>0.39268567418861661</v>
      </c>
      <c r="O29" s="368">
        <v>3.1831778029161137</v>
      </c>
      <c r="T29" s="46">
        <v>1</v>
      </c>
      <c r="U29" s="46" t="s">
        <v>252</v>
      </c>
      <c r="V29" s="53" t="s">
        <v>253</v>
      </c>
      <c r="W29" s="53" t="s">
        <v>524</v>
      </c>
      <c r="X29" s="53" t="s">
        <v>203</v>
      </c>
      <c r="Y29" s="172">
        <f>IFERROR(-tblZwaste1422[[#This Row],[Weight (kgCO2e/kg)]],0)</f>
        <v>-2.04928</v>
      </c>
      <c r="Z29" s="172" t="e">
        <f>IF(AQ29="x",(AR29*-tblZwaste1422[[#This Row],[Weight (kgCO2e/kg)]])+AS29+($AR$10*Lookups!$J$38/1000),"DELETE")</f>
        <v>#N/A</v>
      </c>
      <c r="AA29" s="172">
        <f t="shared" ref="AA29:AF29" si="12">IF(ISNUMBER(AVERAGE(AA421,AA477,AA589,AA533,AA645,AA701,AA757,AA813,AA869)),AVERAGE(AA421,AA477,AA589,AA533,AA645,AA701,AA757,AA813,AA869),AA421)</f>
        <v>-3.8565406332079442</v>
      </c>
      <c r="AB29" s="172" t="str">
        <f t="shared" si="12"/>
        <v>DELETE</v>
      </c>
      <c r="AC29" s="172" t="str">
        <f t="shared" si="12"/>
        <v>DELETE</v>
      </c>
      <c r="AD29" s="172">
        <f t="shared" si="12"/>
        <v>2.6028896620911176E-2</v>
      </c>
      <c r="AE29" s="172">
        <f t="shared" si="12"/>
        <v>0.39268567418861661</v>
      </c>
      <c r="AF29" s="172">
        <f t="shared" si="12"/>
        <v>3.1831778029161137</v>
      </c>
      <c r="AG29" s="150"/>
      <c r="AI29" s="137">
        <v>1</v>
      </c>
      <c r="AJ29" s="136" t="s">
        <v>252</v>
      </c>
      <c r="AK29" s="142" t="s">
        <v>253</v>
      </c>
      <c r="AL29" s="136" t="s">
        <v>524</v>
      </c>
      <c r="AM29" s="136" t="s">
        <v>203</v>
      </c>
      <c r="AN29" s="1">
        <v>2.04928</v>
      </c>
      <c r="AO29" s="166">
        <v>1.77911</v>
      </c>
      <c r="AQ29" t="e">
        <f>_xlfn.XLOOKUP(tblGWP21[[#This Row],[Material Subcategory]],ls_Mat,Factors!$K$952:$K$1023)</f>
        <v>#N/A</v>
      </c>
      <c r="AR29" s="173">
        <v>0.77500000000000002</v>
      </c>
      <c r="AS29">
        <v>8.1306407300000008E-2</v>
      </c>
      <c r="AT29" t="s">
        <v>531</v>
      </c>
      <c r="AU29" t="s">
        <v>526</v>
      </c>
      <c r="AV29" s="347">
        <v>0.7</v>
      </c>
      <c r="BA29" cm="1">
        <f t="array" ref="BA29:BM29">tblGWP21[#This Row]</f>
        <v>1</v>
      </c>
      <c r="BB29" t="str">
        <v>Plastics</v>
      </c>
      <c r="BC29" t="str">
        <v>HDPE (translucent and pigmented)</v>
      </c>
      <c r="BD29" t="str">
        <v>Global</v>
      </c>
      <c r="BE29" t="str">
        <v>n/a</v>
      </c>
      <c r="BF29">
        <v>-2.04928</v>
      </c>
      <c r="BG29" t="e">
        <v>#N/A</v>
      </c>
      <c r="BH29">
        <v>-3.8565406332079442</v>
      </c>
      <c r="BI29" t="str">
        <v>DELETE</v>
      </c>
      <c r="BJ29" t="str">
        <v>DELETE</v>
      </c>
      <c r="BK29">
        <v>2.6028896620911176E-2</v>
      </c>
      <c r="BL29">
        <v>0.39268567418861661</v>
      </c>
      <c r="BM29">
        <v>3.1831778029161137</v>
      </c>
    </row>
    <row r="30" spans="3:65">
      <c r="C30" s="136">
        <v>1</v>
      </c>
      <c r="D30" s="137" t="s">
        <v>252</v>
      </c>
      <c r="E30" s="136" t="s">
        <v>328</v>
      </c>
      <c r="F30" s="136" t="s">
        <v>524</v>
      </c>
      <c r="G30" s="136" t="s">
        <v>203</v>
      </c>
      <c r="H30" s="191">
        <v>-2.3231199999999999</v>
      </c>
      <c r="I30" s="191">
        <v>0</v>
      </c>
      <c r="J30" s="191">
        <v>-4.5591191767744519</v>
      </c>
      <c r="K30" s="191">
        <v>0</v>
      </c>
      <c r="L30" s="191">
        <v>0</v>
      </c>
      <c r="M30" s="191">
        <v>2.6028897417981478E-2</v>
      </c>
      <c r="N30" s="191">
        <v>0.4627556309562551</v>
      </c>
      <c r="O30" s="191">
        <v>2.4956084818158142</v>
      </c>
      <c r="T30" s="46">
        <v>1</v>
      </c>
      <c r="U30" s="46" t="s">
        <v>252</v>
      </c>
      <c r="V30" s="53" t="s">
        <v>328</v>
      </c>
      <c r="W30" s="53" t="s">
        <v>524</v>
      </c>
      <c r="X30" s="53" t="s">
        <v>203</v>
      </c>
      <c r="Y30" s="172">
        <f>IFERROR(-tblZwaste1422[[#This Row],[Weight (kgCO2e/kg)]],0)</f>
        <v>-2.3231199999999999</v>
      </c>
      <c r="Z30" s="172" t="e">
        <f>IF(AQ30="x",(AR30*-tblZwaste1422[[#This Row],[Weight (kgCO2e/kg)]])+AS30+($AR$10*Lookups!$J$38/1000),"DELETE")</f>
        <v>#N/A</v>
      </c>
      <c r="AA30" s="172">
        <f t="shared" ref="AA30:AF30" si="13">IF(ISNUMBER(AVERAGE(AA422,AA478,AA590,AA534,AA646,AA702,AA758,AA814,AA870)),AVERAGE(AA422,AA478,AA590,AA534,AA646,AA702,AA758,AA814,AA870),AA422)</f>
        <v>-4.5591191767744519</v>
      </c>
      <c r="AB30" s="172" t="str">
        <f t="shared" si="13"/>
        <v>DELETE</v>
      </c>
      <c r="AC30" s="172" t="str">
        <f t="shared" si="13"/>
        <v>DELETE</v>
      </c>
      <c r="AD30" s="172">
        <f t="shared" si="13"/>
        <v>2.6028897417981478E-2</v>
      </c>
      <c r="AE30" s="172">
        <f t="shared" si="13"/>
        <v>0.4627556309562551</v>
      </c>
      <c r="AF30" s="172">
        <f t="shared" si="13"/>
        <v>2.4956084818158142</v>
      </c>
      <c r="AG30" s="150"/>
      <c r="AI30" s="137">
        <v>1</v>
      </c>
      <c r="AJ30" s="136" t="s">
        <v>252</v>
      </c>
      <c r="AK30" s="142" t="s">
        <v>328</v>
      </c>
      <c r="AL30" s="136" t="s">
        <v>524</v>
      </c>
      <c r="AM30" s="136" t="s">
        <v>203</v>
      </c>
      <c r="AN30" s="1">
        <v>2.3231199999999999</v>
      </c>
      <c r="AO30" s="166">
        <v>1.77911</v>
      </c>
      <c r="AQ30" t="e">
        <f>_xlfn.XLOOKUP(tblGWP21[[#This Row],[Material Subcategory]],ls_Mat,Factors!$K$952:$K$1023)</f>
        <v>#N/A</v>
      </c>
      <c r="AR30" s="173">
        <v>0.77500000000000002</v>
      </c>
      <c r="AV30" s="347"/>
      <c r="BA30" cm="1">
        <f t="array" ref="BA30:BM30">tblGWP21[#This Row]</f>
        <v>1</v>
      </c>
      <c r="BB30" t="str">
        <v>Plastics</v>
      </c>
      <c r="BC30" t="str">
        <v>LDPE</v>
      </c>
      <c r="BD30" t="str">
        <v>Global</v>
      </c>
      <c r="BE30" t="str">
        <v>n/a</v>
      </c>
      <c r="BF30">
        <v>-2.3231199999999999</v>
      </c>
      <c r="BG30" t="e">
        <v>#N/A</v>
      </c>
      <c r="BH30">
        <v>-4.5591191767744519</v>
      </c>
      <c r="BI30" t="str">
        <v>DELETE</v>
      </c>
      <c r="BJ30" t="str">
        <v>DELETE</v>
      </c>
      <c r="BK30">
        <v>2.6028897417981478E-2</v>
      </c>
      <c r="BL30">
        <v>0.4627556309562551</v>
      </c>
      <c r="BM30">
        <v>2.4956084818158142</v>
      </c>
    </row>
    <row r="31" spans="3:65">
      <c r="C31" s="362">
        <v>1</v>
      </c>
      <c r="D31" s="363" t="s">
        <v>252</v>
      </c>
      <c r="E31" s="362" t="s">
        <v>254</v>
      </c>
      <c r="F31" s="362" t="s">
        <v>524</v>
      </c>
      <c r="G31" s="362" t="s">
        <v>203</v>
      </c>
      <c r="H31" s="368">
        <v>-2.1485799999999999</v>
      </c>
      <c r="I31" s="368">
        <v>0</v>
      </c>
      <c r="J31" s="368">
        <v>-4.6369862622158982</v>
      </c>
      <c r="K31" s="368">
        <v>0</v>
      </c>
      <c r="L31" s="368">
        <v>0</v>
      </c>
      <c r="M31" s="368">
        <v>2.6028896620907578E-2</v>
      </c>
      <c r="N31" s="368">
        <v>0.62911806514979396</v>
      </c>
      <c r="O31" s="368">
        <v>2.5363327446823636</v>
      </c>
      <c r="T31" s="46">
        <v>1</v>
      </c>
      <c r="U31" s="46" t="s">
        <v>252</v>
      </c>
      <c r="V31" s="53" t="s">
        <v>254</v>
      </c>
      <c r="W31" s="53" t="s">
        <v>524</v>
      </c>
      <c r="X31" s="53" t="s">
        <v>203</v>
      </c>
      <c r="Y31" s="172">
        <f>IFERROR(-tblZwaste1422[[#This Row],[Weight (kgCO2e/kg)]],0)</f>
        <v>-2.1485799999999999</v>
      </c>
      <c r="Z31" s="172" t="e">
        <f>IF(AQ31="x",(AR31*-tblZwaste1422[[#This Row],[Weight (kgCO2e/kg)]])+AS31+($AR$10*Lookups!$J$38/1000),"DELETE")</f>
        <v>#N/A</v>
      </c>
      <c r="AA31" s="172">
        <f t="shared" ref="AA31:AF31" si="14">IF(ISNUMBER(AVERAGE(AA423,AA479,AA591,AA535,AA647,AA703,AA759,AA815,AA871)),AVERAGE(AA423,AA479,AA591,AA535,AA647,AA703,AA759,AA815,AA871),AA423)</f>
        <v>-4.6369862622158982</v>
      </c>
      <c r="AB31" s="172" t="str">
        <f t="shared" si="14"/>
        <v>DELETE</v>
      </c>
      <c r="AC31" s="172" t="str">
        <f t="shared" si="14"/>
        <v>DELETE</v>
      </c>
      <c r="AD31" s="172">
        <f t="shared" si="14"/>
        <v>2.6028896620907578E-2</v>
      </c>
      <c r="AE31" s="172">
        <f t="shared" si="14"/>
        <v>0.62911806514979396</v>
      </c>
      <c r="AF31" s="172">
        <f t="shared" si="14"/>
        <v>2.5363327446823636</v>
      </c>
      <c r="AG31" s="150"/>
      <c r="AI31" s="137">
        <v>1</v>
      </c>
      <c r="AJ31" s="136" t="s">
        <v>252</v>
      </c>
      <c r="AK31" s="142" t="s">
        <v>254</v>
      </c>
      <c r="AL31" s="136" t="s">
        <v>524</v>
      </c>
      <c r="AM31" s="136" t="s">
        <v>203</v>
      </c>
      <c r="AN31" s="1">
        <v>2.1485799999999999</v>
      </c>
      <c r="AO31" s="166">
        <v>1.77911</v>
      </c>
      <c r="AQ31" t="e">
        <f>_xlfn.XLOOKUP(tblGWP21[[#This Row],[Material Subcategory]],ls_Mat,Factors!$K$952:$K$1023)</f>
        <v>#N/A</v>
      </c>
      <c r="AR31" s="173">
        <v>0.77500000000000002</v>
      </c>
      <c r="AS31">
        <v>8.1306407300000008E-2</v>
      </c>
      <c r="AT31" t="s">
        <v>531</v>
      </c>
      <c r="BA31" cm="1">
        <f t="array" ref="BA31:BM31">tblGWP21[#This Row]</f>
        <v>1</v>
      </c>
      <c r="BB31" t="str">
        <v>Plastics</v>
      </c>
      <c r="BC31" t="str">
        <v>PET</v>
      </c>
      <c r="BD31" t="str">
        <v>Global</v>
      </c>
      <c r="BE31" t="str">
        <v>n/a</v>
      </c>
      <c r="BF31">
        <v>-2.1485799999999999</v>
      </c>
      <c r="BG31" t="e">
        <v>#N/A</v>
      </c>
      <c r="BH31">
        <v>-4.6369862622158982</v>
      </c>
      <c r="BI31" t="str">
        <v>DELETE</v>
      </c>
      <c r="BJ31" t="str">
        <v>DELETE</v>
      </c>
      <c r="BK31">
        <v>2.6028896620907578E-2</v>
      </c>
      <c r="BL31">
        <v>0.62911806514979396</v>
      </c>
      <c r="BM31">
        <v>2.5363327446823636</v>
      </c>
    </row>
    <row r="32" spans="3:65">
      <c r="C32" s="136">
        <v>1</v>
      </c>
      <c r="D32" s="137" t="s">
        <v>252</v>
      </c>
      <c r="E32" s="136" t="s">
        <v>532</v>
      </c>
      <c r="F32" s="136" t="s">
        <v>524</v>
      </c>
      <c r="G32" s="136" t="s">
        <v>203</v>
      </c>
      <c r="H32" s="191">
        <v>-1.9492499999999999</v>
      </c>
      <c r="I32" s="191">
        <v>0</v>
      </c>
      <c r="J32" s="191">
        <v>-4.5591191767744519</v>
      </c>
      <c r="K32" s="191">
        <v>0</v>
      </c>
      <c r="L32" s="191">
        <v>0</v>
      </c>
      <c r="M32" s="191">
        <v>2.6028897417981478E-2</v>
      </c>
      <c r="N32" s="191">
        <v>0.4627556309562551</v>
      </c>
      <c r="O32" s="191">
        <v>2.4956084818158142</v>
      </c>
      <c r="T32" s="46">
        <v>1</v>
      </c>
      <c r="U32" s="46" t="s">
        <v>252</v>
      </c>
      <c r="V32" s="53" t="s">
        <v>532</v>
      </c>
      <c r="W32" s="53" t="s">
        <v>524</v>
      </c>
      <c r="X32" s="53" t="s">
        <v>203</v>
      </c>
      <c r="Y32" s="172">
        <f>IFERROR(-tblZwaste1422[[#This Row],[Weight (kgCO2e/kg)]],0)</f>
        <v>-1.9492499999999999</v>
      </c>
      <c r="Z32" s="172" t="e">
        <f>IF(AQ32="x",(AR32*-tblZwaste1422[[#This Row],[Weight (kgCO2e/kg)]])+AS32+($AR$10*Lookups!$J$38/1000),"DELETE")</f>
        <v>#N/A</v>
      </c>
      <c r="AA32" s="172">
        <f t="shared" ref="AA32:AF32" si="15">IF(ISNUMBER(AVERAGE(AA424,AA480,AA592,AA536,AA648,AA704,AA760,AA816,AA872)),AVERAGE(AA424,AA480,AA592,AA536,AA648,AA704,AA760,AA816,AA872),AA424)</f>
        <v>-4.5591191767744519</v>
      </c>
      <c r="AB32" s="172" t="str">
        <f t="shared" si="15"/>
        <v>DELETE</v>
      </c>
      <c r="AC32" s="172" t="str">
        <f t="shared" si="15"/>
        <v>DELETE</v>
      </c>
      <c r="AD32" s="172">
        <f t="shared" si="15"/>
        <v>2.6028897417981478E-2</v>
      </c>
      <c r="AE32" s="172">
        <f t="shared" si="15"/>
        <v>0.4627556309562551</v>
      </c>
      <c r="AF32" s="172">
        <f t="shared" si="15"/>
        <v>2.4956084818158142</v>
      </c>
      <c r="AG32" s="150"/>
      <c r="AI32" s="137">
        <v>1</v>
      </c>
      <c r="AJ32" s="136" t="s">
        <v>252</v>
      </c>
      <c r="AK32" s="142" t="s">
        <v>532</v>
      </c>
      <c r="AL32" s="136" t="s">
        <v>524</v>
      </c>
      <c r="AM32" s="136" t="s">
        <v>203</v>
      </c>
      <c r="AN32" s="1">
        <v>1.9492499999999999</v>
      </c>
      <c r="AO32" s="166">
        <v>1.77911</v>
      </c>
      <c r="AQ32" t="e">
        <f>_xlfn.XLOOKUP(tblGWP21[[#This Row],[Material Subcategory]],ls_Mat,Factors!$K$952:$K$1023)</f>
        <v>#N/A</v>
      </c>
      <c r="BA32" cm="1">
        <f t="array" ref="BA32:BM32">tblGWP21[#This Row]</f>
        <v>1</v>
      </c>
      <c r="BB32" t="str">
        <v>Plastics</v>
      </c>
      <c r="BC32" t="str">
        <v>LLDPE</v>
      </c>
      <c r="BD32" t="str">
        <v>Global</v>
      </c>
      <c r="BE32" t="str">
        <v>n/a</v>
      </c>
      <c r="BF32">
        <v>-1.9492499999999999</v>
      </c>
      <c r="BG32" t="e">
        <v>#N/A</v>
      </c>
      <c r="BH32">
        <v>-4.5591191767744519</v>
      </c>
      <c r="BI32" t="str">
        <v>DELETE</v>
      </c>
      <c r="BJ32" t="str">
        <v>DELETE</v>
      </c>
      <c r="BK32">
        <v>2.6028897417981478E-2</v>
      </c>
      <c r="BL32">
        <v>0.4627556309562551</v>
      </c>
      <c r="BM32">
        <v>2.4956084818158142</v>
      </c>
    </row>
    <row r="33" spans="3:65">
      <c r="C33" s="362">
        <v>1</v>
      </c>
      <c r="D33" s="363" t="s">
        <v>252</v>
      </c>
      <c r="E33" s="362" t="s">
        <v>245</v>
      </c>
      <c r="F33" s="362" t="s">
        <v>524</v>
      </c>
      <c r="G33" s="362" t="s">
        <v>203</v>
      </c>
      <c r="H33" s="368">
        <v>-2.0269300000000001</v>
      </c>
      <c r="I33" s="368">
        <v>0</v>
      </c>
      <c r="J33" s="368">
        <v>0</v>
      </c>
      <c r="K33" s="368">
        <v>0</v>
      </c>
      <c r="L33" s="368">
        <v>0</v>
      </c>
      <c r="M33" s="368">
        <v>2.6028897537060423E-2</v>
      </c>
      <c r="N33" s="368">
        <v>0.34568758784508752</v>
      </c>
      <c r="O33" s="368">
        <v>3.1833671128182166</v>
      </c>
      <c r="T33" s="46">
        <v>1</v>
      </c>
      <c r="U33" s="46" t="s">
        <v>252</v>
      </c>
      <c r="V33" s="53" t="s">
        <v>245</v>
      </c>
      <c r="W33" s="53" t="s">
        <v>524</v>
      </c>
      <c r="X33" s="53" t="s">
        <v>203</v>
      </c>
      <c r="Y33" s="172">
        <f>IFERROR(-tblZwaste1422[[#This Row],[Weight (kgCO2e/kg)]],0)</f>
        <v>-2.0269300000000001</v>
      </c>
      <c r="Z33" s="172" t="e">
        <f>IF(AQ33="x",(AR33*-tblZwaste1422[[#This Row],[Weight (kgCO2e/kg)]])+AS33+($AR$10*Lookups!$J$38/1000),"DELETE")</f>
        <v>#N/A</v>
      </c>
      <c r="AA33" s="172" t="str">
        <f t="shared" ref="AA33:AF33" si="16">IF(ISNUMBER(AVERAGE(AA425,AA481,AA593,AA537,AA649,AA705,AA761,AA817,AA873)),AVERAGE(AA425,AA481,AA593,AA537,AA649,AA705,AA761,AA817,AA873),AA425)</f>
        <v>DELETE</v>
      </c>
      <c r="AB33" s="172" t="str">
        <f t="shared" si="16"/>
        <v>DELETE</v>
      </c>
      <c r="AC33" s="172" t="str">
        <f t="shared" si="16"/>
        <v>DELETE</v>
      </c>
      <c r="AD33" s="172">
        <f t="shared" si="16"/>
        <v>2.6028897537060423E-2</v>
      </c>
      <c r="AE33" s="172">
        <f t="shared" si="16"/>
        <v>0.34568758784508752</v>
      </c>
      <c r="AF33" s="172">
        <f t="shared" si="16"/>
        <v>3.1833671128182166</v>
      </c>
      <c r="AG33" s="150"/>
      <c r="AI33" s="137">
        <v>1</v>
      </c>
      <c r="AJ33" s="136" t="s">
        <v>252</v>
      </c>
      <c r="AK33" s="142" t="s">
        <v>245</v>
      </c>
      <c r="AL33" s="136" t="s">
        <v>524</v>
      </c>
      <c r="AM33" s="136" t="s">
        <v>203</v>
      </c>
      <c r="AN33" s="1">
        <v>2.0269300000000001</v>
      </c>
      <c r="AO33" s="166">
        <v>1.77911</v>
      </c>
      <c r="AQ33" t="e">
        <f>_xlfn.XLOOKUP(tblGWP21[[#This Row],[Material Subcategory]],ls_Mat,Factors!$K$952:$K$1023)</f>
        <v>#N/A</v>
      </c>
      <c r="AR33" s="173">
        <v>0.77500000000000002</v>
      </c>
      <c r="AS33">
        <v>8.1306407300000008E-2</v>
      </c>
      <c r="AT33" t="s">
        <v>531</v>
      </c>
      <c r="BA33" cm="1">
        <f t="array" ref="BA33:BM33">tblGWP21[#This Row]</f>
        <v>1</v>
      </c>
      <c r="BB33" t="str">
        <v>Plastics</v>
      </c>
      <c r="BC33" t="str">
        <v>PP</v>
      </c>
      <c r="BD33" t="str">
        <v>Global</v>
      </c>
      <c r="BE33" t="str">
        <v>n/a</v>
      </c>
      <c r="BF33">
        <v>-2.0269300000000001</v>
      </c>
      <c r="BG33" t="e">
        <v>#N/A</v>
      </c>
      <c r="BH33" t="str">
        <v>DELETE</v>
      </c>
      <c r="BI33" t="str">
        <v>DELETE</v>
      </c>
      <c r="BJ33" t="str">
        <v>DELETE</v>
      </c>
      <c r="BK33">
        <v>2.6028897537060423E-2</v>
      </c>
      <c r="BL33">
        <v>0.34568758784508752</v>
      </c>
      <c r="BM33">
        <v>3.1833671128182166</v>
      </c>
    </row>
    <row r="34" spans="3:65">
      <c r="C34" s="136">
        <v>1</v>
      </c>
      <c r="D34" s="137" t="s">
        <v>252</v>
      </c>
      <c r="E34" s="136" t="s">
        <v>533</v>
      </c>
      <c r="F34" s="136" t="s">
        <v>524</v>
      </c>
      <c r="G34" s="136" t="s">
        <v>203</v>
      </c>
      <c r="H34" s="191">
        <v>-2.0748000000000002</v>
      </c>
      <c r="I34" s="191">
        <v>0</v>
      </c>
      <c r="J34" s="191">
        <v>0</v>
      </c>
      <c r="K34" s="191">
        <v>0</v>
      </c>
      <c r="L34" s="191">
        <v>0</v>
      </c>
      <c r="M34" s="191">
        <v>2.6028892366729981E-2</v>
      </c>
      <c r="N34" s="191">
        <v>0.55653275334072805</v>
      </c>
      <c r="O34" s="191">
        <v>3.0368308927987773</v>
      </c>
      <c r="T34" s="46">
        <v>1</v>
      </c>
      <c r="U34" s="46" t="s">
        <v>252</v>
      </c>
      <c r="V34" s="53" t="s">
        <v>533</v>
      </c>
      <c r="W34" s="53" t="s">
        <v>524</v>
      </c>
      <c r="X34" s="53" t="s">
        <v>203</v>
      </c>
      <c r="Y34" s="172">
        <f>IFERROR(-tblZwaste1422[[#This Row],[Weight (kgCO2e/kg)]],0)</f>
        <v>-2.0748000000000002</v>
      </c>
      <c r="Z34" s="172" t="e">
        <f>IF(AQ34="x",(AR34*-tblZwaste1422[[#This Row],[Weight (kgCO2e/kg)]])+AS34+($AR$10*Lookups!$J$38/1000),"DELETE")</f>
        <v>#N/A</v>
      </c>
      <c r="AA34" s="172" t="str">
        <f t="shared" ref="AA34:AF34" si="17">IF(ISNUMBER(AVERAGE(AA426,AA482,AA594,AA538,AA650,AA706,AA762,AA818,AA874)),AVERAGE(AA426,AA482,AA594,AA538,AA650,AA706,AA762,AA818,AA874),AA426)</f>
        <v>DELETE</v>
      </c>
      <c r="AB34" s="172" t="str">
        <f t="shared" si="17"/>
        <v>DELETE</v>
      </c>
      <c r="AC34" s="172" t="str">
        <f t="shared" si="17"/>
        <v>DELETE</v>
      </c>
      <c r="AD34" s="172">
        <f t="shared" si="17"/>
        <v>2.6028892366729981E-2</v>
      </c>
      <c r="AE34" s="172">
        <f t="shared" si="17"/>
        <v>0.55653275334072805</v>
      </c>
      <c r="AF34" s="172">
        <f t="shared" si="17"/>
        <v>3.0368308927987773</v>
      </c>
      <c r="AG34" s="150"/>
      <c r="AI34" s="137">
        <v>1</v>
      </c>
      <c r="AJ34" s="136" t="s">
        <v>252</v>
      </c>
      <c r="AK34" s="142" t="s">
        <v>533</v>
      </c>
      <c r="AL34" s="136" t="s">
        <v>524</v>
      </c>
      <c r="AM34" s="136" t="s">
        <v>203</v>
      </c>
      <c r="AN34" s="1">
        <v>2.0748000000000002</v>
      </c>
      <c r="AO34" s="166">
        <v>1.77911</v>
      </c>
      <c r="AQ34" t="e">
        <f>_xlfn.XLOOKUP(tblGWP21[[#This Row],[Material Subcategory]],ls_Mat,Factors!$K$952:$K$1023)</f>
        <v>#N/A</v>
      </c>
      <c r="AR34" s="173">
        <v>0.77500000000000002</v>
      </c>
      <c r="AS34">
        <v>8.1306407300000008E-2</v>
      </c>
      <c r="AT34" t="s">
        <v>531</v>
      </c>
      <c r="AU34" t="s">
        <v>526</v>
      </c>
      <c r="AV34" s="347">
        <v>0.8</v>
      </c>
      <c r="BA34" cm="1">
        <f t="array" ref="BA34:BM34">tblGWP21[#This Row]</f>
        <v>1</v>
      </c>
      <c r="BB34" t="str">
        <v>Plastics</v>
      </c>
      <c r="BC34" t="str">
        <v>PVC</v>
      </c>
      <c r="BD34" t="str">
        <v>Global</v>
      </c>
      <c r="BE34" t="str">
        <v>n/a</v>
      </c>
      <c r="BF34">
        <v>-2.0748000000000002</v>
      </c>
      <c r="BG34" t="e">
        <v>#N/A</v>
      </c>
      <c r="BH34" t="str">
        <v>DELETE</v>
      </c>
      <c r="BI34" t="str">
        <v>DELETE</v>
      </c>
      <c r="BJ34" t="str">
        <v>DELETE</v>
      </c>
      <c r="BK34">
        <v>2.6028892366729981E-2</v>
      </c>
      <c r="BL34">
        <v>0.55653275334072805</v>
      </c>
      <c r="BM34">
        <v>3.0368308927987773</v>
      </c>
    </row>
    <row r="35" spans="3:65">
      <c r="C35" s="362">
        <v>1</v>
      </c>
      <c r="D35" s="363" t="s">
        <v>242</v>
      </c>
      <c r="E35" s="362" t="s">
        <v>242</v>
      </c>
      <c r="F35" s="362" t="s">
        <v>524</v>
      </c>
      <c r="G35" s="362" t="s">
        <v>203</v>
      </c>
      <c r="H35" s="368">
        <v>-38.486130000000003</v>
      </c>
      <c r="I35" s="368">
        <v>-27.900672450000002</v>
      </c>
      <c r="J35" s="368">
        <v>-3.2868550000000001</v>
      </c>
      <c r="K35" s="368">
        <v>0</v>
      </c>
      <c r="L35" s="368">
        <v>0</v>
      </c>
      <c r="M35" s="368">
        <v>2.5859999999999998E-2</v>
      </c>
      <c r="N35" s="368">
        <v>4.1544504253524454E-2</v>
      </c>
      <c r="O35" s="368">
        <v>4.8920490039414649E-2</v>
      </c>
      <c r="T35" s="46">
        <v>1</v>
      </c>
      <c r="U35" s="46" t="s">
        <v>242</v>
      </c>
      <c r="V35" s="348" t="s">
        <v>242</v>
      </c>
      <c r="W35" s="53" t="s">
        <v>524</v>
      </c>
      <c r="X35" s="53" t="s">
        <v>203</v>
      </c>
      <c r="Y35" s="172">
        <f>IFERROR(-tblZwaste1422[[#This Row],[Weight (kgCO2e/kg)]],0)</f>
        <v>-38.486130000000003</v>
      </c>
      <c r="Z35" s="172" t="e">
        <f>IF(AQ35="x",(AR35*-tblZwaste1422[[#This Row],[Weight (kgCO2e/kg)]])+AS35+($AR$10*Lookups!$J$38/1000),"DELETE")</f>
        <v>#N/A</v>
      </c>
      <c r="AA35" s="172">
        <f>AVERAGE(AA36,AA37,AA69,AA70)</f>
        <v>-3.2868550000000001</v>
      </c>
      <c r="AB35" s="172" t="str">
        <f t="shared" ref="AB35:AF35" si="18">IF(ISNUMBER(AVERAGE(AB427,AB483,AB595,AB539,AB651,AB707,AB763,AB819,AB875)),AVERAGE(AB427,AB483,AB595,AB539,AB651,AB707,AB763,AB819,AB875),AB427)</f>
        <v>DELETE</v>
      </c>
      <c r="AC35" s="172" t="str">
        <f t="shared" si="18"/>
        <v>DELETE</v>
      </c>
      <c r="AD35" s="172">
        <f t="shared" si="18"/>
        <v>2.5859999999999998E-2</v>
      </c>
      <c r="AE35" s="172">
        <f t="shared" si="18"/>
        <v>4.1544504253524454E-2</v>
      </c>
      <c r="AF35" s="172">
        <f t="shared" si="18"/>
        <v>4.8920490039414649E-2</v>
      </c>
      <c r="AG35" s="150"/>
      <c r="AI35" s="137">
        <v>1</v>
      </c>
      <c r="AJ35" s="136" t="s">
        <v>242</v>
      </c>
      <c r="AK35" s="142" t="s">
        <v>242</v>
      </c>
      <c r="AL35" s="136" t="s">
        <v>524</v>
      </c>
      <c r="AM35" s="136" t="s">
        <v>203</v>
      </c>
      <c r="AN35" s="1">
        <v>38.486130000000003</v>
      </c>
      <c r="AO35" s="166">
        <v>0.20843</v>
      </c>
      <c r="AQ35" t="e">
        <f>_xlfn.XLOOKUP(tblGWP21[[#This Row],[Material Subcategory]],ls_Mat,Factors!$K$952:$K$1023)</f>
        <v>#N/A</v>
      </c>
      <c r="AR35" s="173">
        <v>0.72499999999999998</v>
      </c>
      <c r="AS35">
        <v>0</v>
      </c>
      <c r="AT35" t="s">
        <v>527</v>
      </c>
      <c r="AU35" t="s">
        <v>526</v>
      </c>
      <c r="AV35" s="347">
        <v>0.88</v>
      </c>
      <c r="BA35" cm="1">
        <f t="array" ref="BA35:BM35">tblGWP21[#This Row]</f>
        <v>1</v>
      </c>
      <c r="BB35" t="str">
        <v>Electronics</v>
      </c>
      <c r="BC35" t="str">
        <v>Electronics</v>
      </c>
      <c r="BD35" t="str">
        <v>Global</v>
      </c>
      <c r="BE35" t="str">
        <v>n/a</v>
      </c>
      <c r="BF35">
        <v>-38.486130000000003</v>
      </c>
      <c r="BG35" t="e">
        <v>#N/A</v>
      </c>
      <c r="BH35">
        <v>-3.2868550000000001</v>
      </c>
      <c r="BI35" t="str">
        <v>DELETE</v>
      </c>
      <c r="BJ35" t="str">
        <v>DELETE</v>
      </c>
      <c r="BK35">
        <v>2.5859999999999998E-2</v>
      </c>
      <c r="BL35">
        <v>4.1544504253524454E-2</v>
      </c>
      <c r="BM35">
        <v>4.8920490039414649E-2</v>
      </c>
    </row>
    <row r="36" spans="3:65">
      <c r="C36" s="136">
        <v>1</v>
      </c>
      <c r="D36" s="137" t="s">
        <v>242</v>
      </c>
      <c r="E36" s="136" t="s">
        <v>274</v>
      </c>
      <c r="F36" s="136" t="s">
        <v>524</v>
      </c>
      <c r="G36" s="136" t="s">
        <v>203</v>
      </c>
      <c r="H36" s="191">
        <v>-38.486130000000003</v>
      </c>
      <c r="I36" s="191">
        <v>-27.900672450000002</v>
      </c>
      <c r="J36" s="191">
        <v>-8.5278425000000002</v>
      </c>
      <c r="K36" s="191">
        <v>0</v>
      </c>
      <c r="L36" s="191">
        <v>0</v>
      </c>
      <c r="M36" s="191">
        <v>2.5859999999999998E-2</v>
      </c>
      <c r="N36" s="191">
        <v>4.1544504253524454E-2</v>
      </c>
      <c r="O36" s="191">
        <v>4.8920490039414649E-2</v>
      </c>
      <c r="T36" s="46">
        <v>1</v>
      </c>
      <c r="U36" s="46" t="s">
        <v>242</v>
      </c>
      <c r="V36" s="53" t="s">
        <v>274</v>
      </c>
      <c r="W36" s="53" t="s">
        <v>524</v>
      </c>
      <c r="X36" s="53" t="s">
        <v>203</v>
      </c>
      <c r="Y36" s="172">
        <f>IFERROR(-tblZwaste1422[[#This Row],[Weight (kgCO2e/kg)]],0)</f>
        <v>-38.486130000000003</v>
      </c>
      <c r="Z36" s="172">
        <f>IF(AQ36="x",(AR36*-tblZwaste1422[[#This Row],[Weight (kgCO2e/kg)]])+AS36+($AR$10*Lookups!$J$38/1000),"DELETE")</f>
        <v>-27.900672450000002</v>
      </c>
      <c r="AA36" s="172">
        <v>-8.5278425000000002</v>
      </c>
      <c r="AB36" s="172" t="str">
        <f t="shared" ref="AB36:AF36" si="19">IF(ISNUMBER(AVERAGE(AB428,AB484,AB596,AB540,AB652,AB708,AB764,AB820,AB876)),AVERAGE(AB428,AB484,AB596,AB540,AB652,AB708,AB764,AB820,AB876),AB428)</f>
        <v>DELETE</v>
      </c>
      <c r="AC36" s="172" t="str">
        <f t="shared" si="19"/>
        <v>DELETE</v>
      </c>
      <c r="AD36" s="172">
        <f t="shared" si="19"/>
        <v>2.5859999999999998E-2</v>
      </c>
      <c r="AE36" s="172">
        <f t="shared" si="19"/>
        <v>4.1544504253524454E-2</v>
      </c>
      <c r="AF36" s="172">
        <f t="shared" si="19"/>
        <v>4.8920490039414649E-2</v>
      </c>
      <c r="AG36" s="150"/>
      <c r="AI36" s="137">
        <v>1</v>
      </c>
      <c r="AJ36" s="136" t="s">
        <v>242</v>
      </c>
      <c r="AK36" s="142" t="s">
        <v>242</v>
      </c>
      <c r="AL36" s="136" t="s">
        <v>524</v>
      </c>
      <c r="AM36" s="136" t="s">
        <v>203</v>
      </c>
      <c r="AN36" s="1">
        <v>38.486130000000003</v>
      </c>
      <c r="AO36" s="166">
        <v>0.20843</v>
      </c>
      <c r="AQ36" t="str">
        <f>_xlfn.XLOOKUP(tblGWP21[[#This Row],[Material Subcategory]],ls_Mat,Factors!$K$952:$K$1023)</f>
        <v>x</v>
      </c>
      <c r="AR36" s="173">
        <v>0.72499999999999998</v>
      </c>
      <c r="AS36">
        <v>0</v>
      </c>
      <c r="AT36" t="s">
        <v>527</v>
      </c>
      <c r="AU36" t="s">
        <v>526</v>
      </c>
      <c r="AV36" s="347">
        <v>0.8</v>
      </c>
      <c r="BA36" cm="1">
        <f t="array" ref="BA36:BM36">tblGWP21[#This Row]</f>
        <v>1</v>
      </c>
      <c r="BB36" t="str">
        <v>Electronics</v>
      </c>
      <c r="BC36" t="str">
        <v>E-waste</v>
      </c>
      <c r="BD36" t="str">
        <v>Global</v>
      </c>
      <c r="BE36" t="str">
        <v>n/a</v>
      </c>
      <c r="BF36">
        <v>-38.486130000000003</v>
      </c>
      <c r="BG36">
        <v>-27.900672450000002</v>
      </c>
      <c r="BH36">
        <v>-8.5278425000000002</v>
      </c>
      <c r="BI36" t="str">
        <v>DELETE</v>
      </c>
      <c r="BJ36" t="str">
        <v>DELETE</v>
      </c>
      <c r="BK36">
        <v>2.5859999999999998E-2</v>
      </c>
      <c r="BL36">
        <v>4.1544504253524454E-2</v>
      </c>
      <c r="BM36">
        <v>4.8920490039414649E-2</v>
      </c>
    </row>
    <row r="37" spans="3:65">
      <c r="C37" s="362">
        <v>1</v>
      </c>
      <c r="D37" s="363" t="s">
        <v>242</v>
      </c>
      <c r="E37" s="362" t="s">
        <v>534</v>
      </c>
      <c r="F37" s="362" t="s">
        <v>524</v>
      </c>
      <c r="G37" s="362" t="s">
        <v>203</v>
      </c>
      <c r="H37" s="368">
        <v>-15.0122</v>
      </c>
      <c r="I37" s="368">
        <v>-10.882073199999999</v>
      </c>
      <c r="J37" s="368">
        <v>-3.19428</v>
      </c>
      <c r="K37" s="368">
        <v>0</v>
      </c>
      <c r="L37" s="368">
        <v>0</v>
      </c>
      <c r="M37" s="368">
        <v>2.5859999999999998E-2</v>
      </c>
      <c r="N37" s="368">
        <v>4.1544504253524454E-2</v>
      </c>
      <c r="O37" s="368">
        <v>4.8920490039414649E-2</v>
      </c>
      <c r="T37" s="46">
        <v>1</v>
      </c>
      <c r="U37" s="46" t="s">
        <v>242</v>
      </c>
      <c r="V37" s="53" t="s">
        <v>534</v>
      </c>
      <c r="W37" s="53" t="s">
        <v>524</v>
      </c>
      <c r="X37" s="53" t="s">
        <v>203</v>
      </c>
      <c r="Y37" s="172">
        <f>IFERROR(-tblZwaste1422[[#This Row],[Weight (kgCO2e/kg)]],0)</f>
        <v>-15.0122</v>
      </c>
      <c r="Z37" s="172">
        <f>IF(AQ37="x",(AR37*-tblZwaste1422[[#This Row],[Weight (kgCO2e/kg)]])+AS37+($AR$10*Lookups!$J$38/1000),"DELETE")</f>
        <v>-10.882073199999999</v>
      </c>
      <c r="AA37" s="172">
        <v>-3.19428</v>
      </c>
      <c r="AB37" s="172" t="str">
        <f t="shared" ref="AB37:AF37" si="20">IF(ISNUMBER(AVERAGE(AB429,AB485,AB597,AB541,AB653,AB709,AB765,AB821,AB877)),AVERAGE(AB429,AB485,AB597,AB541,AB653,AB709,AB765,AB821,AB877),AB429)</f>
        <v>DELETE</v>
      </c>
      <c r="AC37" s="172" t="str">
        <f t="shared" si="20"/>
        <v>DELETE</v>
      </c>
      <c r="AD37" s="172">
        <f t="shared" si="20"/>
        <v>2.5859999999999998E-2</v>
      </c>
      <c r="AE37" s="172">
        <f t="shared" si="20"/>
        <v>4.1544504253524454E-2</v>
      </c>
      <c r="AF37" s="172">
        <f t="shared" si="20"/>
        <v>4.8920490039414649E-2</v>
      </c>
      <c r="AG37" s="150"/>
      <c r="AI37" s="137">
        <v>1</v>
      </c>
      <c r="AJ37" s="136" t="s">
        <v>242</v>
      </c>
      <c r="AK37" s="142" t="s">
        <v>534</v>
      </c>
      <c r="AL37" s="136" t="s">
        <v>524</v>
      </c>
      <c r="AM37" s="136" t="s">
        <v>203</v>
      </c>
      <c r="AN37" s="1">
        <v>15.0122</v>
      </c>
      <c r="AO37" s="166">
        <v>0.37092000000000003</v>
      </c>
      <c r="AQ37" t="str">
        <f>_xlfn.XLOOKUP(tblGWP21[[#This Row],[Material Subcategory]],ls_Mat,Factors!$K$952:$K$1023)</f>
        <v>x</v>
      </c>
      <c r="AR37" s="173">
        <v>0.72499999999999998</v>
      </c>
      <c r="AS37">
        <v>0</v>
      </c>
      <c r="AT37" t="s">
        <v>527</v>
      </c>
      <c r="AU37" t="s">
        <v>526</v>
      </c>
      <c r="AV37" s="347">
        <v>0.65</v>
      </c>
      <c r="BA37" cm="1">
        <f t="array" ref="BA37:BM37">tblGWP21[#This Row]</f>
        <v>1</v>
      </c>
      <c r="BB37" t="str">
        <v>Electronics</v>
      </c>
      <c r="BC37" t="str">
        <v>Batteries</v>
      </c>
      <c r="BD37" t="str">
        <v>Global</v>
      </c>
      <c r="BE37" t="str">
        <v>n/a</v>
      </c>
      <c r="BF37">
        <v>-15.0122</v>
      </c>
      <c r="BG37">
        <v>-10.882073199999999</v>
      </c>
      <c r="BH37">
        <v>-3.19428</v>
      </c>
      <c r="BI37" t="str">
        <v>DELETE</v>
      </c>
      <c r="BJ37" t="str">
        <v>DELETE</v>
      </c>
      <c r="BK37">
        <v>2.5859999999999998E-2</v>
      </c>
      <c r="BL37">
        <v>4.1544504253524454E-2</v>
      </c>
      <c r="BM37">
        <v>4.8920490039414649E-2</v>
      </c>
    </row>
    <row r="38" spans="3:65">
      <c r="C38" s="136">
        <v>1</v>
      </c>
      <c r="D38" s="137" t="s">
        <v>239</v>
      </c>
      <c r="E38" s="136" t="s">
        <v>239</v>
      </c>
      <c r="F38" s="136" t="s">
        <v>524</v>
      </c>
      <c r="G38" s="136" t="s">
        <v>203</v>
      </c>
      <c r="H38" s="191">
        <v>-2.6644477777777777</v>
      </c>
      <c r="I38" s="191">
        <v>-1.7194614644444446</v>
      </c>
      <c r="J38" s="191">
        <v>-0.85315144198853521</v>
      </c>
      <c r="K38" s="191">
        <v>-1.6307049553261799</v>
      </c>
      <c r="L38" s="191">
        <v>-2.3905586632960283</v>
      </c>
      <c r="M38" s="191">
        <v>-0.64514726219802043</v>
      </c>
      <c r="N38" s="191">
        <v>-0.87223081739780683</v>
      </c>
      <c r="O38" s="191">
        <v>2.7472078555399088E-2</v>
      </c>
      <c r="T38" s="46">
        <v>1</v>
      </c>
      <c r="U38" s="46" t="s">
        <v>239</v>
      </c>
      <c r="V38" s="348" t="s">
        <v>239</v>
      </c>
      <c r="W38" s="53" t="s">
        <v>524</v>
      </c>
      <c r="X38" s="53" t="s">
        <v>203</v>
      </c>
      <c r="Y38" s="172">
        <f>IFERROR(-tblZwaste1422[[#This Row],[Weight (kgCO2e/kg)]],0)</f>
        <v>-2.6644477777777777</v>
      </c>
      <c r="Z38" s="172" t="e">
        <f>IF(AQ38="x",(AR38*-tblZwaste1422[[#This Row],[Weight (kgCO2e/kg)]])+AS38+($AR$10*Lookups!$J$38/1000),"DELETE")</f>
        <v>#N/A</v>
      </c>
      <c r="AA38" s="172">
        <f t="shared" ref="AA38:AF38" si="21">IF(ISNUMBER(AVERAGE(AA430,AA486,AA598,AA542,AA654,AA710,AA766,AA822,AA878)),AVERAGE(AA430,AA486,AA598,AA542,AA654,AA710,AA766,AA822,AA878),AA430)</f>
        <v>-0.85315144198853521</v>
      </c>
      <c r="AB38" s="172">
        <f t="shared" si="21"/>
        <v>-1.6307049553261799</v>
      </c>
      <c r="AC38" s="172">
        <f t="shared" si="21"/>
        <v>-2.3905586632960283</v>
      </c>
      <c r="AD38" s="172">
        <f t="shared" si="21"/>
        <v>-0.64514726219802043</v>
      </c>
      <c r="AE38" s="172">
        <f t="shared" si="21"/>
        <v>-0.87223081739780683</v>
      </c>
      <c r="AF38" s="172">
        <f t="shared" si="21"/>
        <v>2.7472078555399088E-2</v>
      </c>
      <c r="AG38" s="150"/>
      <c r="AI38" s="137">
        <v>1</v>
      </c>
      <c r="AJ38" s="136" t="s">
        <v>239</v>
      </c>
      <c r="AK38" s="142" t="s">
        <v>239</v>
      </c>
      <c r="AL38" s="136" t="s">
        <v>524</v>
      </c>
      <c r="AM38" s="136" t="s">
        <v>203</v>
      </c>
      <c r="AN38" s="1">
        <v>2.6644477777777777</v>
      </c>
      <c r="AO38" s="166">
        <v>0.64099666666666666</v>
      </c>
      <c r="AQ38" t="e">
        <f>_xlfn.XLOOKUP(tblGWP21[[#This Row],[Material Subcategory]],ls_Mat,Factors!$K$952:$K$1023)</f>
        <v>#N/A</v>
      </c>
      <c r="AR38" s="173">
        <v>0.64600000000000002</v>
      </c>
      <c r="AS38">
        <v>0</v>
      </c>
      <c r="AT38" t="s">
        <v>527</v>
      </c>
      <c r="AU38" t="s">
        <v>526</v>
      </c>
      <c r="AV38" s="347">
        <v>0.65</v>
      </c>
      <c r="BA38" cm="1">
        <f t="array" ref="BA38:BM38">tblGWP21[#This Row]</f>
        <v>1</v>
      </c>
      <c r="BB38" t="str">
        <v>Paper</v>
      </c>
      <c r="BC38" t="str">
        <v>Paper</v>
      </c>
      <c r="BD38" t="str">
        <v>Global</v>
      </c>
      <c r="BE38" t="str">
        <v>n/a</v>
      </c>
      <c r="BF38">
        <v>-2.6644477777777777</v>
      </c>
      <c r="BG38" t="e">
        <v>#N/A</v>
      </c>
      <c r="BH38">
        <v>-0.85315144198853521</v>
      </c>
      <c r="BI38">
        <v>-1.6307049553261799</v>
      </c>
      <c r="BJ38">
        <v>-2.3905586632960283</v>
      </c>
      <c r="BK38">
        <v>-0.64514726219802043</v>
      </c>
      <c r="BL38">
        <v>-0.87223081739780683</v>
      </c>
      <c r="BM38">
        <v>2.7472078555399088E-2</v>
      </c>
    </row>
    <row r="39" spans="3:65">
      <c r="C39" s="362">
        <v>1</v>
      </c>
      <c r="D39" s="363" t="s">
        <v>239</v>
      </c>
      <c r="E39" s="362" t="s">
        <v>324</v>
      </c>
      <c r="F39" s="362" t="s">
        <v>524</v>
      </c>
      <c r="G39" s="362" t="s">
        <v>203</v>
      </c>
      <c r="H39" s="368">
        <v>-1.66</v>
      </c>
      <c r="I39" s="368">
        <v>0</v>
      </c>
      <c r="J39" s="368">
        <v>0.19533902733555172</v>
      </c>
      <c r="K39" s="368">
        <v>-1.6413056085609865</v>
      </c>
      <c r="L39" s="368">
        <v>-2.2418379878626342</v>
      </c>
      <c r="M39" s="368">
        <v>-1.1284225175410434</v>
      </c>
      <c r="N39" s="368">
        <v>-0.94830209986859515</v>
      </c>
      <c r="O39" s="368">
        <v>2.6682692249793423E-2</v>
      </c>
      <c r="T39" s="46">
        <v>1</v>
      </c>
      <c r="U39" s="46" t="s">
        <v>239</v>
      </c>
      <c r="V39" s="53" t="s">
        <v>324</v>
      </c>
      <c r="W39" s="53" t="s">
        <v>524</v>
      </c>
      <c r="X39" s="53" t="s">
        <v>203</v>
      </c>
      <c r="Y39" s="172">
        <f>IFERROR(-tblZwaste1422[[#This Row],[Weight (kgCO2e/kg)]],0)</f>
        <v>-1.66</v>
      </c>
      <c r="Z39" s="172" t="str">
        <f>IF(AQ39="x",(AR39*-tblZwaste1422[[#This Row],[Weight (kgCO2e/kg)]])+AS39+($AR$10*Lookups!$J$38/1000),"DELETE")</f>
        <v>DELETE</v>
      </c>
      <c r="AA39" s="172">
        <f t="shared" ref="AA39:AF39" si="22">IF(ISNUMBER(AVERAGE(AA431,AA487,AA599,AA543,AA655,AA711,AA767,AA823,AA879)),AVERAGE(AA431,AA487,AA599,AA543,AA655,AA711,AA767,AA823,AA879),AA431)</f>
        <v>0.19533902733555172</v>
      </c>
      <c r="AB39" s="172">
        <f t="shared" si="22"/>
        <v>-1.6413056085609865</v>
      </c>
      <c r="AC39" s="172">
        <f t="shared" si="22"/>
        <v>-2.2418379878626342</v>
      </c>
      <c r="AD39" s="172">
        <f t="shared" si="22"/>
        <v>-1.1284225175410434</v>
      </c>
      <c r="AE39" s="172">
        <f t="shared" si="22"/>
        <v>-0.94830209986859515</v>
      </c>
      <c r="AF39" s="172">
        <f t="shared" si="22"/>
        <v>2.6682692249793423E-2</v>
      </c>
      <c r="AG39" s="150"/>
      <c r="AI39" s="137">
        <v>1</v>
      </c>
      <c r="AJ39" s="136" t="s">
        <v>239</v>
      </c>
      <c r="AK39" s="142" t="s">
        <v>324</v>
      </c>
      <c r="AL39" s="136" t="s">
        <v>524</v>
      </c>
      <c r="AM39" s="136" t="s">
        <v>203</v>
      </c>
      <c r="AN39" s="1">
        <v>1.66</v>
      </c>
      <c r="AO39" s="166">
        <v>0.13142999999999999</v>
      </c>
      <c r="AQ39">
        <f>_xlfn.XLOOKUP(tblGWP21[[#This Row],[Material Subcategory]],ls_Mat,Factors!$K$952:$K$1023)</f>
        <v>0</v>
      </c>
      <c r="AR39" s="173">
        <v>0.64600000000000002</v>
      </c>
      <c r="AS39">
        <v>0</v>
      </c>
      <c r="AT39" t="s">
        <v>527</v>
      </c>
      <c r="AU39" t="s">
        <v>526</v>
      </c>
      <c r="AV39" s="347">
        <v>0.65</v>
      </c>
      <c r="BA39" cm="1">
        <f t="array" ref="BA39:BM39">tblGWP21[#This Row]</f>
        <v>1</v>
      </c>
      <c r="BB39" t="str">
        <v>Paper</v>
      </c>
      <c r="BC39" t="str">
        <v>Newsprint</v>
      </c>
      <c r="BD39" t="str">
        <v>Global</v>
      </c>
      <c r="BE39" t="str">
        <v>n/a</v>
      </c>
      <c r="BF39">
        <v>-1.66</v>
      </c>
      <c r="BG39" t="str">
        <v>DELETE</v>
      </c>
      <c r="BH39">
        <v>0.19533902733555172</v>
      </c>
      <c r="BI39">
        <v>-1.6413056085609865</v>
      </c>
      <c r="BJ39">
        <v>-2.2418379878626342</v>
      </c>
      <c r="BK39">
        <v>-1.1284225175410434</v>
      </c>
      <c r="BL39">
        <v>-0.94830209986859515</v>
      </c>
      <c r="BM39">
        <v>2.6682692249793423E-2</v>
      </c>
    </row>
    <row r="40" spans="3:65">
      <c r="C40" s="136">
        <v>1</v>
      </c>
      <c r="D40" s="137" t="s">
        <v>239</v>
      </c>
      <c r="E40" s="136" t="s">
        <v>272</v>
      </c>
      <c r="F40" s="136" t="s">
        <v>524</v>
      </c>
      <c r="G40" s="136" t="s">
        <v>203</v>
      </c>
      <c r="H40" s="191">
        <v>-2.1278299999999999</v>
      </c>
      <c r="I40" s="191">
        <v>-1.3728063799999999</v>
      </c>
      <c r="J40" s="191">
        <v>-1.0167328937020145E-3</v>
      </c>
      <c r="K40" s="191">
        <v>-1.4681258792000011</v>
      </c>
      <c r="L40" s="191">
        <v>-2.2524603608202898</v>
      </c>
      <c r="M40" s="191">
        <v>3.5723333333333336E-2</v>
      </c>
      <c r="N40" s="191">
        <v>-0.74567791795272709</v>
      </c>
      <c r="O40" s="191">
        <v>3.4585705715859789E-2</v>
      </c>
      <c r="T40" s="46">
        <v>1</v>
      </c>
      <c r="U40" s="46" t="s">
        <v>239</v>
      </c>
      <c r="V40" s="53" t="s">
        <v>272</v>
      </c>
      <c r="W40" s="53" t="s">
        <v>524</v>
      </c>
      <c r="X40" s="53" t="s">
        <v>203</v>
      </c>
      <c r="Y40" s="172">
        <f>IFERROR(-tblZwaste1422[[#This Row],[Weight (kgCO2e/kg)]],0)</f>
        <v>-2.1278299999999999</v>
      </c>
      <c r="Z40" s="172">
        <f>IF(AQ40="x",(AR40*-tblZwaste1422[[#This Row],[Weight (kgCO2e/kg)]])+AS40+($AR$10*Lookups!$J$38/1000),"DELETE")</f>
        <v>-1.3728063799999999</v>
      </c>
      <c r="AA40" s="172">
        <f t="shared" ref="AA40:AF40" si="23">IF(ISNUMBER(AVERAGE(AA432,AA488,AA600,AA544,AA656,AA712,AA768,AA824,AA880)),AVERAGE(AA432,AA488,AA600,AA544,AA656,AA712,AA768,AA824,AA880),AA432)</f>
        <v>-1.0167328937020145E-3</v>
      </c>
      <c r="AB40" s="172">
        <f t="shared" si="23"/>
        <v>-1.4681258792000011</v>
      </c>
      <c r="AC40" s="172">
        <f t="shared" si="23"/>
        <v>-2.2524603608202898</v>
      </c>
      <c r="AD40" s="172">
        <f t="shared" si="23"/>
        <v>3.5723333333333336E-2</v>
      </c>
      <c r="AE40" s="172">
        <f t="shared" si="23"/>
        <v>-0.74567791795272709</v>
      </c>
      <c r="AF40" s="172">
        <f t="shared" si="23"/>
        <v>3.4585705715859789E-2</v>
      </c>
      <c r="AG40" s="150"/>
      <c r="AI40" s="137">
        <v>1</v>
      </c>
      <c r="AJ40" s="136" t="s">
        <v>239</v>
      </c>
      <c r="AK40" s="142" t="s">
        <v>272</v>
      </c>
      <c r="AL40" s="136" t="s">
        <v>524</v>
      </c>
      <c r="AM40" s="136" t="s">
        <v>203</v>
      </c>
      <c r="AN40" s="1">
        <v>2.1278299999999999</v>
      </c>
      <c r="AO40" s="166">
        <v>1.2152400000000001</v>
      </c>
      <c r="AQ40" t="str">
        <f>_xlfn.XLOOKUP(tblGWP21[[#This Row],[Material Subcategory]],ls_Mat,Factors!$K$952:$K$1023)</f>
        <v>x</v>
      </c>
      <c r="AR40" s="173">
        <v>0.64600000000000002</v>
      </c>
      <c r="AS40">
        <v>0</v>
      </c>
      <c r="AT40" t="s">
        <v>527</v>
      </c>
      <c r="AU40" t="s">
        <v>526</v>
      </c>
      <c r="AV40" s="347">
        <v>0.8</v>
      </c>
      <c r="BA40" cm="1">
        <f t="array" ref="BA40:BM40">tblGWP21[#This Row]</f>
        <v>1</v>
      </c>
      <c r="BB40" t="str">
        <v>Paper</v>
      </c>
      <c r="BC40" t="str">
        <v>Corr. Cardboard</v>
      </c>
      <c r="BD40" t="str">
        <v>Global</v>
      </c>
      <c r="BE40" t="str">
        <v>n/a</v>
      </c>
      <c r="BF40">
        <v>-2.1278299999999999</v>
      </c>
      <c r="BG40">
        <v>-1.3728063799999999</v>
      </c>
      <c r="BH40">
        <v>-1.0167328937020145E-3</v>
      </c>
      <c r="BI40">
        <v>-1.4681258792000011</v>
      </c>
      <c r="BJ40">
        <v>-2.2524603608202898</v>
      </c>
      <c r="BK40">
        <v>3.5723333333333336E-2</v>
      </c>
      <c r="BL40">
        <v>-0.74567791795272709</v>
      </c>
      <c r="BM40">
        <v>3.4585705715859789E-2</v>
      </c>
    </row>
    <row r="41" spans="3:65">
      <c r="C41" s="362">
        <v>1</v>
      </c>
      <c r="D41" s="363" t="s">
        <v>239</v>
      </c>
      <c r="E41" s="362" t="s">
        <v>329</v>
      </c>
      <c r="F41" s="362" t="s">
        <v>524</v>
      </c>
      <c r="G41" s="362" t="s">
        <v>203</v>
      </c>
      <c r="H41" s="368">
        <v>-3.4792200000000002</v>
      </c>
      <c r="I41" s="368">
        <v>0</v>
      </c>
      <c r="J41" s="368">
        <v>-3.0331627850076162</v>
      </c>
      <c r="K41" s="368">
        <v>-1.5906608309884076</v>
      </c>
      <c r="L41" s="368">
        <v>-2.5029824878793678</v>
      </c>
      <c r="M41" s="368">
        <v>0.4613315110382612</v>
      </c>
      <c r="N41" s="368">
        <v>-0.74843830150133328</v>
      </c>
      <c r="O41" s="368">
        <v>3.7249003868795864E-2</v>
      </c>
      <c r="T41" s="46">
        <v>1</v>
      </c>
      <c r="U41" s="46" t="s">
        <v>239</v>
      </c>
      <c r="V41" s="53" t="s">
        <v>329</v>
      </c>
      <c r="W41" s="53" t="s">
        <v>524</v>
      </c>
      <c r="X41" s="53" t="s">
        <v>203</v>
      </c>
      <c r="Y41" s="172">
        <f>IFERROR(-tblZwaste1422[[#This Row],[Weight (kgCO2e/kg)]],0)</f>
        <v>-3.4792200000000002</v>
      </c>
      <c r="Z41" s="172" t="str">
        <f>IF(AQ41="x",(AR41*-tblZwaste1422[[#This Row],[Weight (kgCO2e/kg)]])+AS41+($AR$10*Lookups!$J$38/1000),"DELETE")</f>
        <v>DELETE</v>
      </c>
      <c r="AA41" s="172">
        <f t="shared" ref="AA41:AF41" si="24">IF(ISNUMBER(AVERAGE(AA433,AA489,AA601,AA545,AA657,AA713,AA769,AA825,AA881)),AVERAGE(AA433,AA489,AA601,AA545,AA657,AA713,AA769,AA825,AA881),AA433)</f>
        <v>-3.0331627850076162</v>
      </c>
      <c r="AB41" s="172">
        <f t="shared" si="24"/>
        <v>-1.5906608309884076</v>
      </c>
      <c r="AC41" s="172">
        <f t="shared" si="24"/>
        <v>-2.5029824878793678</v>
      </c>
      <c r="AD41" s="172">
        <f t="shared" si="24"/>
        <v>0.4613315110382612</v>
      </c>
      <c r="AE41" s="172">
        <f t="shared" si="24"/>
        <v>-0.74843830150133328</v>
      </c>
      <c r="AF41" s="172">
        <f t="shared" si="24"/>
        <v>3.7249003868795864E-2</v>
      </c>
      <c r="AG41" s="150"/>
      <c r="AI41" s="137">
        <v>1</v>
      </c>
      <c r="AJ41" s="136" t="s">
        <v>239</v>
      </c>
      <c r="AK41" s="142" t="s">
        <v>329</v>
      </c>
      <c r="AL41" s="136" t="s">
        <v>524</v>
      </c>
      <c r="AM41" s="136" t="s">
        <v>203</v>
      </c>
      <c r="AN41" s="1">
        <v>3.4792200000000002</v>
      </c>
      <c r="AO41" s="166">
        <v>1.0383</v>
      </c>
      <c r="AQ41">
        <f>_xlfn.XLOOKUP(tblGWP21[[#This Row],[Material Subcategory]],ls_Mat,Factors!$K$952:$K$1023)</f>
        <v>0</v>
      </c>
      <c r="BA41" cm="1">
        <f t="array" ref="BA41:BM41">tblGWP21[#This Row]</f>
        <v>1</v>
      </c>
      <c r="BB41" t="str">
        <v>Paper</v>
      </c>
      <c r="BC41" t="str">
        <v>Office Paper</v>
      </c>
      <c r="BD41" t="str">
        <v>Global</v>
      </c>
      <c r="BE41" t="str">
        <v>n/a</v>
      </c>
      <c r="BF41">
        <v>-3.4792200000000002</v>
      </c>
      <c r="BG41" t="str">
        <v>DELETE</v>
      </c>
      <c r="BH41">
        <v>-3.0331627850076162</v>
      </c>
      <c r="BI41">
        <v>-1.5906608309884076</v>
      </c>
      <c r="BJ41">
        <v>-2.5029824878793678</v>
      </c>
      <c r="BK41">
        <v>0.4613315110382612</v>
      </c>
      <c r="BL41">
        <v>-0.74843830150133328</v>
      </c>
      <c r="BM41">
        <v>3.7249003868795864E-2</v>
      </c>
    </row>
    <row r="42" spans="3:65">
      <c r="C42" s="136">
        <v>1</v>
      </c>
      <c r="D42" s="137" t="s">
        <v>239</v>
      </c>
      <c r="E42" s="136" t="s">
        <v>271</v>
      </c>
      <c r="F42" s="136" t="s">
        <v>524</v>
      </c>
      <c r="G42" s="136" t="s">
        <v>203</v>
      </c>
      <c r="H42" s="191">
        <v>-3.1045600000000002</v>
      </c>
      <c r="I42" s="191">
        <v>0</v>
      </c>
      <c r="J42" s="191">
        <v>-0.9597953722371021</v>
      </c>
      <c r="K42" s="191">
        <v>-1.5059830415829445</v>
      </c>
      <c r="L42" s="191">
        <v>-2.5998556723118025</v>
      </c>
      <c r="M42" s="191">
        <v>-0.64271962024790241</v>
      </c>
      <c r="N42" s="191">
        <v>-0.71302928516299235</v>
      </c>
      <c r="O42" s="191">
        <v>4.0394563764438104E-2</v>
      </c>
      <c r="T42" s="46">
        <v>1</v>
      </c>
      <c r="U42" s="46" t="s">
        <v>239</v>
      </c>
      <c r="V42" s="53" t="s">
        <v>271</v>
      </c>
      <c r="W42" s="53" t="s">
        <v>524</v>
      </c>
      <c r="X42" s="53" t="s">
        <v>203</v>
      </c>
      <c r="Y42" s="172">
        <f>IFERROR(-tblZwaste1422[[#This Row],[Weight (kgCO2e/kg)]],0)</f>
        <v>-3.1045600000000002</v>
      </c>
      <c r="Z42" s="172" t="str">
        <f>IF(AQ42="x",(AR42*-tblZwaste1422[[#This Row],[Weight (kgCO2e/kg)]])+AS42+($AR$10*Lookups!$J$38/1000),"DELETE")</f>
        <v>DELETE</v>
      </c>
      <c r="AA42" s="172">
        <f t="shared" ref="AA42:AF42" si="25">IF(ISNUMBER(AVERAGE(AA434,AA490,AA602,AA546,AA658,AA714,AA770,AA826,AA882)),AVERAGE(AA434,AA490,AA602,AA546,AA658,AA714,AA770,AA826,AA882),AA434)</f>
        <v>-0.9597953722371021</v>
      </c>
      <c r="AB42" s="172">
        <f t="shared" si="25"/>
        <v>-1.5059830415829445</v>
      </c>
      <c r="AC42" s="172">
        <f t="shared" si="25"/>
        <v>-2.5998556723118025</v>
      </c>
      <c r="AD42" s="172">
        <f t="shared" si="25"/>
        <v>-0.64271962024790241</v>
      </c>
      <c r="AE42" s="172">
        <f t="shared" si="25"/>
        <v>-0.71302928516299235</v>
      </c>
      <c r="AF42" s="172">
        <f t="shared" si="25"/>
        <v>4.0394563764438104E-2</v>
      </c>
      <c r="AG42" s="150"/>
      <c r="AI42" s="137">
        <v>1</v>
      </c>
      <c r="AJ42" s="136" t="s">
        <v>239</v>
      </c>
      <c r="AK42" s="142" t="s">
        <v>271</v>
      </c>
      <c r="AL42" s="136" t="s">
        <v>524</v>
      </c>
      <c r="AM42" s="136" t="s">
        <v>203</v>
      </c>
      <c r="AN42" s="1">
        <v>3.1045600000000002</v>
      </c>
      <c r="AO42" s="166">
        <v>0.12864</v>
      </c>
      <c r="AQ42">
        <f>_xlfn.XLOOKUP(tblGWP21[[#This Row],[Material Subcategory]],ls_Mat,Factors!$K$952:$K$1023)</f>
        <v>0</v>
      </c>
      <c r="BA42" cm="1">
        <f t="array" ref="BA42:BM42">tblGWP21[#This Row]</f>
        <v>1</v>
      </c>
      <c r="BB42" t="str">
        <v>Paper</v>
      </c>
      <c r="BC42" t="str">
        <v>Magazines</v>
      </c>
      <c r="BD42" t="str">
        <v>Global</v>
      </c>
      <c r="BE42" t="str">
        <v>n/a</v>
      </c>
      <c r="BF42">
        <v>-3.1045600000000002</v>
      </c>
      <c r="BG42" t="str">
        <v>DELETE</v>
      </c>
      <c r="BH42">
        <v>-0.9597953722371021</v>
      </c>
      <c r="BI42">
        <v>-1.5059830415829445</v>
      </c>
      <c r="BJ42">
        <v>-2.5998556723118025</v>
      </c>
      <c r="BK42">
        <v>-0.64271962024790241</v>
      </c>
      <c r="BL42">
        <v>-0.71302928516299235</v>
      </c>
      <c r="BM42">
        <v>4.0394563764438104E-2</v>
      </c>
    </row>
    <row r="43" spans="3:65">
      <c r="C43" s="362">
        <v>1</v>
      </c>
      <c r="D43" s="363" t="s">
        <v>239</v>
      </c>
      <c r="E43" s="362" t="s">
        <v>535</v>
      </c>
      <c r="F43" s="362" t="s">
        <v>524</v>
      </c>
      <c r="G43" s="362" t="s">
        <v>203</v>
      </c>
      <c r="H43" s="368">
        <v>-3.1045600000000002</v>
      </c>
      <c r="I43" s="368">
        <v>0</v>
      </c>
      <c r="J43" s="368">
        <v>-0.9597953722371021</v>
      </c>
      <c r="K43" s="368">
        <v>-1.6146343724230023</v>
      </c>
      <c r="L43" s="368">
        <v>-2.6070301376718885</v>
      </c>
      <c r="M43" s="368">
        <v>-0.84215246587938797</v>
      </c>
      <c r="N43" s="368">
        <v>-0.79389725730667005</v>
      </c>
      <c r="O43" s="368">
        <v>2.9213775914909288E-2</v>
      </c>
      <c r="T43" s="46">
        <v>1</v>
      </c>
      <c r="U43" s="46" t="s">
        <v>239</v>
      </c>
      <c r="V43" s="53" t="s">
        <v>535</v>
      </c>
      <c r="W43" s="53" t="s">
        <v>524</v>
      </c>
      <c r="X43" s="53" t="s">
        <v>203</v>
      </c>
      <c r="Y43" s="172">
        <f>IFERROR(-tblZwaste1422[[#This Row],[Weight (kgCO2e/kg)]],0)</f>
        <v>-3.1045600000000002</v>
      </c>
      <c r="Z43" s="172" t="str">
        <f>IF(AQ43="x",(AR43*-tblZwaste1422[[#This Row],[Weight (kgCO2e/kg)]])+AS43+($AR$10*Lookups!$J$38/1000),"DELETE")</f>
        <v>DELETE</v>
      </c>
      <c r="AA43" s="172">
        <f t="shared" ref="AA43:AF43" si="26">IF(ISNUMBER(AVERAGE(AA435,AA491,AA603,AA547,AA659,AA715,AA771,AA827,AA883)),AVERAGE(AA435,AA491,AA603,AA547,AA659,AA715,AA771,AA827,AA883),AA435)</f>
        <v>-0.9597953722371021</v>
      </c>
      <c r="AB43" s="172">
        <f t="shared" si="26"/>
        <v>-1.6146343724230023</v>
      </c>
      <c r="AC43" s="172">
        <f t="shared" si="26"/>
        <v>-2.6070301376718885</v>
      </c>
      <c r="AD43" s="172">
        <f t="shared" si="26"/>
        <v>-0.84215246587938797</v>
      </c>
      <c r="AE43" s="172">
        <f t="shared" si="26"/>
        <v>-0.79389725730667005</v>
      </c>
      <c r="AF43" s="172">
        <f t="shared" si="26"/>
        <v>2.9213775914909288E-2</v>
      </c>
      <c r="AG43" s="150"/>
      <c r="AI43" s="137">
        <v>1</v>
      </c>
      <c r="AJ43" s="136" t="s">
        <v>239</v>
      </c>
      <c r="AK43" s="142" t="s">
        <v>535</v>
      </c>
      <c r="AL43" s="136" t="s">
        <v>524</v>
      </c>
      <c r="AM43" s="136" t="s">
        <v>203</v>
      </c>
      <c r="AN43" s="1">
        <v>3.1045600000000002</v>
      </c>
      <c r="AO43" s="166">
        <v>0.12864</v>
      </c>
      <c r="AQ43">
        <f>_xlfn.XLOOKUP(tblGWP21[[#This Row],[Material Subcategory]],ls_Mat,Factors!$K$952:$K$1023)</f>
        <v>0</v>
      </c>
      <c r="AU43" t="s">
        <v>526</v>
      </c>
      <c r="AV43" s="347">
        <v>0.95</v>
      </c>
      <c r="BA43" cm="1">
        <f t="array" ref="BA43:BM43">tblGWP21[#This Row]</f>
        <v>1</v>
      </c>
      <c r="BB43" t="str">
        <v>Paper</v>
      </c>
      <c r="BC43" t="str">
        <v>3rd Class Mail</v>
      </c>
      <c r="BD43" t="str">
        <v>Global</v>
      </c>
      <c r="BE43" t="str">
        <v>n/a</v>
      </c>
      <c r="BF43">
        <v>-3.1045600000000002</v>
      </c>
      <c r="BG43" t="str">
        <v>DELETE</v>
      </c>
      <c r="BH43">
        <v>-0.9597953722371021</v>
      </c>
      <c r="BI43">
        <v>-1.6146343724230023</v>
      </c>
      <c r="BJ43">
        <v>-2.6070301376718885</v>
      </c>
      <c r="BK43">
        <v>-0.84215246587938797</v>
      </c>
      <c r="BL43">
        <v>-0.79389725730667005</v>
      </c>
      <c r="BM43">
        <v>2.9213775914909288E-2</v>
      </c>
    </row>
    <row r="44" spans="3:65">
      <c r="C44" s="136">
        <v>1</v>
      </c>
      <c r="D44" s="137" t="s">
        <v>239</v>
      </c>
      <c r="E44" s="136" t="s">
        <v>259</v>
      </c>
      <c r="F44" s="136" t="s">
        <v>524</v>
      </c>
      <c r="G44" s="136" t="s">
        <v>203</v>
      </c>
      <c r="H44" s="191">
        <v>-2.86965</v>
      </c>
      <c r="I44" s="191">
        <v>0</v>
      </c>
      <c r="J44" s="191">
        <v>-0.9597953722371021</v>
      </c>
      <c r="K44" s="191">
        <v>-1.3297235970823111</v>
      </c>
      <c r="L44" s="191">
        <v>-2.0242250520794318</v>
      </c>
      <c r="M44" s="191">
        <v>-0.36906138434115371</v>
      </c>
      <c r="N44" s="191">
        <v>-0.64663721552880338</v>
      </c>
      <c r="O44" s="191">
        <v>2.8421398170194585E-2</v>
      </c>
      <c r="T44" s="46">
        <v>1</v>
      </c>
      <c r="U44" s="46" t="s">
        <v>239</v>
      </c>
      <c r="V44" s="53" t="s">
        <v>259</v>
      </c>
      <c r="W44" s="53" t="s">
        <v>524</v>
      </c>
      <c r="X44" s="53" t="s">
        <v>203</v>
      </c>
      <c r="Y44" s="172">
        <f>IFERROR(-tblZwaste1422[[#This Row],[Weight (kgCO2e/kg)]],0)</f>
        <v>-2.86965</v>
      </c>
      <c r="Z44" s="172" t="str">
        <f>IF(AQ44="x",(AR44*-tblZwaste1422[[#This Row],[Weight (kgCO2e/kg)]])+AS44+($AR$10*Lookups!$J$38/1000),"DELETE")</f>
        <v>DELETE</v>
      </c>
      <c r="AA44" s="172">
        <f t="shared" ref="AA44:AF44" si="27">IF(ISNUMBER(AVERAGE(AA436,AA492,AA604,AA548,AA660,AA716,AA772,AA828,AA884)),AVERAGE(AA436,AA492,AA604,AA548,AA660,AA716,AA772,AA828,AA884),AA436)</f>
        <v>-0.9597953722371021</v>
      </c>
      <c r="AB44" s="172">
        <f t="shared" si="27"/>
        <v>-1.3297235970823111</v>
      </c>
      <c r="AC44" s="172">
        <f t="shared" si="27"/>
        <v>-2.0242250520794318</v>
      </c>
      <c r="AD44" s="172">
        <f t="shared" si="27"/>
        <v>-0.36906138434115371</v>
      </c>
      <c r="AE44" s="172">
        <f t="shared" si="27"/>
        <v>-0.64663721552880338</v>
      </c>
      <c r="AF44" s="172">
        <f t="shared" si="27"/>
        <v>2.8421398170194585E-2</v>
      </c>
      <c r="AG44" s="150"/>
      <c r="AI44" s="137">
        <v>1</v>
      </c>
      <c r="AJ44" s="136" t="s">
        <v>239</v>
      </c>
      <c r="AK44" s="142" t="s">
        <v>259</v>
      </c>
      <c r="AL44" s="136" t="s">
        <v>524</v>
      </c>
      <c r="AM44" s="136" t="s">
        <v>203</v>
      </c>
      <c r="AN44" s="1">
        <v>2.86965</v>
      </c>
      <c r="AO44" s="166">
        <v>0.79600000000000004</v>
      </c>
      <c r="AQ44">
        <f>_xlfn.XLOOKUP(tblGWP21[[#This Row],[Material Subcategory]],ls_Mat,Factors!$K$952:$K$1023)</f>
        <v>0</v>
      </c>
      <c r="AR44" s="173"/>
      <c r="AU44" t="s">
        <v>526</v>
      </c>
      <c r="AV44" s="347">
        <v>0.95</v>
      </c>
      <c r="BA44" cm="1">
        <f t="array" ref="BA44:BM44">tblGWP21[#This Row]</f>
        <v>1</v>
      </c>
      <c r="BB44" t="str">
        <v>Paper</v>
      </c>
      <c r="BC44" t="str">
        <v>Folding Containers</v>
      </c>
      <c r="BD44" t="str">
        <v>Global</v>
      </c>
      <c r="BE44" t="str">
        <v>n/a</v>
      </c>
      <c r="BF44">
        <v>-2.86965</v>
      </c>
      <c r="BG44" t="str">
        <v>DELETE</v>
      </c>
      <c r="BH44">
        <v>-0.9597953722371021</v>
      </c>
      <c r="BI44">
        <v>-1.3297235970823111</v>
      </c>
      <c r="BJ44">
        <v>-2.0242250520794318</v>
      </c>
      <c r="BK44">
        <v>-0.36906138434115371</v>
      </c>
      <c r="BL44">
        <v>-0.64663721552880338</v>
      </c>
      <c r="BM44">
        <v>2.8421398170194585E-2</v>
      </c>
    </row>
    <row r="45" spans="3:65">
      <c r="C45" s="362">
        <v>1</v>
      </c>
      <c r="D45" s="363" t="s">
        <v>239</v>
      </c>
      <c r="E45" s="362" t="s">
        <v>334</v>
      </c>
      <c r="F45" s="362" t="s">
        <v>524</v>
      </c>
      <c r="G45" s="362" t="s">
        <v>203</v>
      </c>
      <c r="H45" s="368">
        <v>-2.86965</v>
      </c>
      <c r="I45" s="368">
        <v>0</v>
      </c>
      <c r="J45" s="368">
        <v>-0.9597953722371021</v>
      </c>
      <c r="K45" s="368">
        <v>-1.7401631040049645</v>
      </c>
      <c r="L45" s="368">
        <v>-2.4907655634964225</v>
      </c>
      <c r="M45" s="368">
        <v>-0.30654885845744267</v>
      </c>
      <c r="N45" s="368">
        <v>-0.94415150066797848</v>
      </c>
      <c r="O45" s="368">
        <v>2.6389893041559712E-2</v>
      </c>
      <c r="T45" s="46">
        <v>1</v>
      </c>
      <c r="U45" s="46" t="s">
        <v>239</v>
      </c>
      <c r="V45" s="53" t="s">
        <v>334</v>
      </c>
      <c r="W45" s="53" t="s">
        <v>524</v>
      </c>
      <c r="X45" s="53" t="s">
        <v>203</v>
      </c>
      <c r="Y45" s="172">
        <f>IFERROR(-tblZwaste1422[[#This Row],[Weight (kgCO2e/kg)]],0)</f>
        <v>-2.86965</v>
      </c>
      <c r="Z45" s="172" t="str">
        <f>IF(AQ45="x",(AR45*-tblZwaste1422[[#This Row],[Weight (kgCO2e/kg)]])+AS45+($AR$10*Lookups!$J$38/1000),"DELETE")</f>
        <v>DELETE</v>
      </c>
      <c r="AA45" s="172">
        <f t="shared" ref="AA45:AF45" si="28">IF(ISNUMBER(AVERAGE(AA437,AA493,AA605,AA549,AA661,AA717,AA773,AA829,AA885)),AVERAGE(AA437,AA493,AA605,AA549,AA661,AA717,AA773,AA829,AA885),AA437)</f>
        <v>-0.9597953722371021</v>
      </c>
      <c r="AB45" s="172">
        <f t="shared" si="28"/>
        <v>-1.7401631040049645</v>
      </c>
      <c r="AC45" s="172">
        <f t="shared" si="28"/>
        <v>-2.4907655634964225</v>
      </c>
      <c r="AD45" s="172">
        <f t="shared" si="28"/>
        <v>-0.30654885845744267</v>
      </c>
      <c r="AE45" s="172">
        <f t="shared" si="28"/>
        <v>-0.94415150066797848</v>
      </c>
      <c r="AF45" s="172">
        <f t="shared" si="28"/>
        <v>2.6389893041559712E-2</v>
      </c>
      <c r="AG45" s="150"/>
      <c r="AI45" s="137">
        <v>1</v>
      </c>
      <c r="AJ45" s="136" t="s">
        <v>239</v>
      </c>
      <c r="AK45" s="142" t="s">
        <v>334</v>
      </c>
      <c r="AL45" s="136" t="s">
        <v>524</v>
      </c>
      <c r="AM45" s="136" t="s">
        <v>203</v>
      </c>
      <c r="AN45" s="1">
        <v>2.86965</v>
      </c>
      <c r="AO45" s="166">
        <v>0.76736000000000004</v>
      </c>
      <c r="AQ45">
        <f>_xlfn.XLOOKUP(tblGWP21[[#This Row],[Material Subcategory]],ls_Mat,Factors!$K$952:$K$1023)</f>
        <v>0</v>
      </c>
      <c r="AR45" s="173"/>
      <c r="AU45" t="s">
        <v>526</v>
      </c>
      <c r="AV45" s="347">
        <v>0.95</v>
      </c>
      <c r="BA45" cm="1">
        <f t="array" ref="BA45:BM45">tblGWP21[#This Row]</f>
        <v>1</v>
      </c>
      <c r="BB45" t="str">
        <v>Paper</v>
      </c>
      <c r="BC45" t="str">
        <v>Paper Bags</v>
      </c>
      <c r="BD45" t="str">
        <v>Global</v>
      </c>
      <c r="BE45" t="str">
        <v>n/a</v>
      </c>
      <c r="BF45">
        <v>-2.86965</v>
      </c>
      <c r="BG45" t="str">
        <v>DELETE</v>
      </c>
      <c r="BH45">
        <v>-0.9597953722371021</v>
      </c>
      <c r="BI45">
        <v>-1.7401631040049645</v>
      </c>
      <c r="BJ45">
        <v>-2.4907655634964225</v>
      </c>
      <c r="BK45">
        <v>-0.30654885845744267</v>
      </c>
      <c r="BL45">
        <v>-0.94415150066797848</v>
      </c>
      <c r="BM45">
        <v>2.6389893041559712E-2</v>
      </c>
    </row>
    <row r="46" spans="3:65">
      <c r="C46" s="136">
        <v>1</v>
      </c>
      <c r="D46" s="137" t="s">
        <v>239</v>
      </c>
      <c r="E46" s="136" t="s">
        <v>240</v>
      </c>
      <c r="F46" s="136" t="s">
        <v>524</v>
      </c>
      <c r="G46" s="136" t="s">
        <v>203</v>
      </c>
      <c r="H46" s="191">
        <v>-3.1045600000000002</v>
      </c>
      <c r="I46" s="191">
        <v>0</v>
      </c>
      <c r="J46" s="191">
        <v>0</v>
      </c>
      <c r="K46" s="191">
        <v>-1.7689163523637113</v>
      </c>
      <c r="L46" s="191">
        <v>-2.5690955387840706</v>
      </c>
      <c r="M46" s="191">
        <v>-0.65326559732324874</v>
      </c>
      <c r="N46" s="191">
        <v>0.42721108386873957</v>
      </c>
      <c r="O46" s="191">
        <v>2.3670127713768023</v>
      </c>
      <c r="T46" s="46">
        <v>1</v>
      </c>
      <c r="U46" s="46" t="s">
        <v>239</v>
      </c>
      <c r="V46" s="53" t="s">
        <v>240</v>
      </c>
      <c r="W46" s="53" t="s">
        <v>524</v>
      </c>
      <c r="X46" s="53" t="s">
        <v>203</v>
      </c>
      <c r="Y46" s="172">
        <f>IFERROR(-tblZwaste1422[[#This Row],[Weight (kgCO2e/kg)]],0)</f>
        <v>-3.1045600000000002</v>
      </c>
      <c r="Z46" s="172" t="str">
        <f>IF(AQ46="x",(AR46*-tblZwaste1422[[#This Row],[Weight (kgCO2e/kg)]])+AS46+($AR$10*Lookups!$J$38/1000),"DELETE")</f>
        <v>DELETE</v>
      </c>
      <c r="AA46" s="172" t="str">
        <f t="shared" ref="AA46:AF46" si="29">IF(ISNUMBER(AVERAGE(AA438,AA494,AA606,AA550,AA662,AA718,AA774,AA830,AA886)),AVERAGE(AA438,AA494,AA606,AA550,AA662,AA718,AA774,AA830,AA886),AA438)</f>
        <v>DELETE</v>
      </c>
      <c r="AB46" s="172">
        <f t="shared" si="29"/>
        <v>-1.7689163523637113</v>
      </c>
      <c r="AC46" s="172">
        <f t="shared" si="29"/>
        <v>-2.5690955387840706</v>
      </c>
      <c r="AD46" s="172">
        <f t="shared" si="29"/>
        <v>-0.65326559732324874</v>
      </c>
      <c r="AE46" s="172">
        <f t="shared" si="29"/>
        <v>0.42721108386873957</v>
      </c>
      <c r="AF46" s="172">
        <f t="shared" si="29"/>
        <v>2.3670127713768023</v>
      </c>
      <c r="AG46" s="150"/>
      <c r="AI46" s="137">
        <v>1</v>
      </c>
      <c r="AJ46" s="136" t="s">
        <v>239</v>
      </c>
      <c r="AK46" s="142" t="s">
        <v>240</v>
      </c>
      <c r="AL46" s="136" t="s">
        <v>524</v>
      </c>
      <c r="AM46" s="136" t="s">
        <v>203</v>
      </c>
      <c r="AN46" s="1">
        <v>3.1045600000000002</v>
      </c>
      <c r="AO46" s="166">
        <v>0.76736000000000004</v>
      </c>
      <c r="AQ46">
        <f>_xlfn.XLOOKUP(tblGWP21[[#This Row],[Material Subcategory]],ls_Mat,Factors!$K$952:$K$1023)</f>
        <v>0</v>
      </c>
      <c r="AR46" s="173"/>
      <c r="BA46" cm="1">
        <f t="array" ref="BA46:BM46">tblGWP21[#This Row]</f>
        <v>1</v>
      </c>
      <c r="BB46" t="str">
        <v>Paper</v>
      </c>
      <c r="BC46" t="str">
        <v>Paper – Non-Recyclable</v>
      </c>
      <c r="BD46" t="str">
        <v>Global</v>
      </c>
      <c r="BE46" t="str">
        <v>n/a</v>
      </c>
      <c r="BF46">
        <v>-3.1045600000000002</v>
      </c>
      <c r="BG46" t="str">
        <v>DELETE</v>
      </c>
      <c r="BH46" t="str">
        <v>DELETE</v>
      </c>
      <c r="BI46">
        <v>-1.7689163523637113</v>
      </c>
      <c r="BJ46">
        <v>-2.5690955387840706</v>
      </c>
      <c r="BK46">
        <v>-0.65326559732324874</v>
      </c>
      <c r="BL46">
        <v>0.42721108386873957</v>
      </c>
      <c r="BM46">
        <v>2.3670127713768023</v>
      </c>
    </row>
    <row r="47" spans="3:65" ht="28.8">
      <c r="C47" s="362">
        <v>1</v>
      </c>
      <c r="D47" s="363" t="s">
        <v>239</v>
      </c>
      <c r="E47" s="362" t="s">
        <v>325</v>
      </c>
      <c r="F47" s="362" t="s">
        <v>524</v>
      </c>
      <c r="G47" s="362" t="s">
        <v>203</v>
      </c>
      <c r="H47" s="368">
        <v>-1.66</v>
      </c>
      <c r="I47" s="368">
        <v>0</v>
      </c>
      <c r="J47" s="368">
        <v>0</v>
      </c>
      <c r="K47" s="368">
        <v>-1.6307049553261799</v>
      </c>
      <c r="L47" s="368">
        <v>-2.3905586632960283</v>
      </c>
      <c r="M47" s="368">
        <v>-0.64514726219802043</v>
      </c>
      <c r="N47" s="368">
        <v>-0.87223081739780683</v>
      </c>
      <c r="O47" s="368">
        <v>2.7472078555399088E-2</v>
      </c>
      <c r="T47" s="46">
        <v>1</v>
      </c>
      <c r="U47" s="46" t="s">
        <v>239</v>
      </c>
      <c r="V47" s="53" t="s">
        <v>325</v>
      </c>
      <c r="W47" s="53" t="s">
        <v>524</v>
      </c>
      <c r="X47" s="53" t="s">
        <v>203</v>
      </c>
      <c r="Y47" s="172">
        <f>IFERROR(-tblZwaste1422[[#This Row],[Weight (kgCO2e/kg)]],0)</f>
        <v>-1.66</v>
      </c>
      <c r="Z47" s="172" t="str">
        <f>IF(AQ47="x",(AR47*-tblZwaste1422[[#This Row],[Weight (kgCO2e/kg)]])+AS47+($AR$10*Lookups!$J$38/1000),"DELETE")</f>
        <v>DELETE</v>
      </c>
      <c r="AA47" s="172" t="str">
        <f t="shared" ref="AA47:AF47" si="30">IF(ISNUMBER(AVERAGE(AA439,AA495,AA607,AA551,AA663,AA719,AA775,AA831,AA887)),AVERAGE(AA439,AA495,AA607,AA551,AA663,AA719,AA775,AA831,AA887),AA439)</f>
        <v>DELETE</v>
      </c>
      <c r="AB47" s="172">
        <f t="shared" si="30"/>
        <v>-1.6307049553261799</v>
      </c>
      <c r="AC47" s="172">
        <f t="shared" si="30"/>
        <v>-2.3905586632960283</v>
      </c>
      <c r="AD47" s="172">
        <f t="shared" si="30"/>
        <v>-0.64514726219802043</v>
      </c>
      <c r="AE47" s="172">
        <f t="shared" si="30"/>
        <v>-0.87223081739780683</v>
      </c>
      <c r="AF47" s="172">
        <f t="shared" si="30"/>
        <v>2.7472078555399088E-2</v>
      </c>
      <c r="AG47" s="150"/>
      <c r="AI47" s="137">
        <v>1</v>
      </c>
      <c r="AJ47" s="136" t="s">
        <v>239</v>
      </c>
      <c r="AK47" s="142" t="s">
        <v>325</v>
      </c>
      <c r="AL47" s="136" t="s">
        <v>524</v>
      </c>
      <c r="AM47" s="136" t="s">
        <v>203</v>
      </c>
      <c r="AN47" s="1">
        <v>1.66</v>
      </c>
      <c r="AO47" s="166">
        <v>0.79600000000000004</v>
      </c>
      <c r="AQ47">
        <f>_xlfn.XLOOKUP(tblGWP21[[#This Row],[Material Subcategory]],ls_Mat,Factors!$K$952:$K$1023)</f>
        <v>0</v>
      </c>
      <c r="AU47" t="s">
        <v>526</v>
      </c>
      <c r="AV47" s="347">
        <v>0.95</v>
      </c>
      <c r="BA47" cm="1">
        <f t="array" ref="BA47:BM47">tblGWP21[#This Row]</f>
        <v>1</v>
      </c>
      <c r="BB47" t="str">
        <v>Paper</v>
      </c>
      <c r="BC47" t="str">
        <v>Compostable Food Service Ware</v>
      </c>
      <c r="BD47" t="str">
        <v>Global</v>
      </c>
      <c r="BE47" t="str">
        <v>n/a</v>
      </c>
      <c r="BF47">
        <v>-1.66</v>
      </c>
      <c r="BG47" t="str">
        <v>DELETE</v>
      </c>
      <c r="BH47" t="str">
        <v>DELETE</v>
      </c>
      <c r="BI47">
        <v>-1.6307049553261799</v>
      </c>
      <c r="BJ47">
        <v>-2.3905586632960283</v>
      </c>
      <c r="BK47">
        <v>-0.64514726219802043</v>
      </c>
      <c r="BL47">
        <v>-0.87223081739780683</v>
      </c>
      <c r="BM47">
        <v>2.7472078555399088E-2</v>
      </c>
    </row>
    <row r="48" spans="3:65">
      <c r="C48" s="136">
        <v>1</v>
      </c>
      <c r="D48" s="137" t="s">
        <v>256</v>
      </c>
      <c r="E48" s="136" t="s">
        <v>256</v>
      </c>
      <c r="F48" s="136" t="s">
        <v>524</v>
      </c>
      <c r="G48" s="136" t="s">
        <v>203</v>
      </c>
      <c r="H48" s="191">
        <v>-3.3097799999999999</v>
      </c>
      <c r="I48" s="191">
        <v>-3.2267017926999997</v>
      </c>
      <c r="J48" s="191">
        <v>-12.682946159209184</v>
      </c>
      <c r="K48" s="191">
        <v>0</v>
      </c>
      <c r="L48" s="191">
        <v>0</v>
      </c>
      <c r="M48" s="191">
        <v>2.5935423428995526E-2</v>
      </c>
      <c r="N48" s="191">
        <v>-0.10024994517024936</v>
      </c>
      <c r="O48" s="191">
        <v>-8.3039622379862385E-2</v>
      </c>
      <c r="T48" s="46">
        <v>1</v>
      </c>
      <c r="U48" s="46" t="s">
        <v>256</v>
      </c>
      <c r="V48" s="348" t="s">
        <v>256</v>
      </c>
      <c r="W48" s="53" t="s">
        <v>524</v>
      </c>
      <c r="X48" s="53" t="s">
        <v>203</v>
      </c>
      <c r="Y48" s="172">
        <f>IFERROR(-tblZwaste1422[[#This Row],[Weight (kgCO2e/kg)]],0)</f>
        <v>-3.3097799999999999</v>
      </c>
      <c r="Z48" s="172" t="e">
        <f>IF(AQ48="x",(AR48*-tblZwaste1422[[#This Row],[Weight (kgCO2e/kg)]])+AS48+($AR$10*Lookups!$J$38/1000),"DELETE")</f>
        <v>#N/A</v>
      </c>
      <c r="AA48" s="172">
        <f t="shared" ref="AA48:AF48" si="31">IF(ISNUMBER(AVERAGE(AA440,AA496,AA608,AA552,AA664,AA720,AA776,AA832,AA888)),AVERAGE(AA440,AA496,AA608,AA552,AA664,AA720,AA776,AA832,AA888),AA440)</f>
        <v>-12.682946159209184</v>
      </c>
      <c r="AB48" s="172" t="str">
        <f t="shared" si="31"/>
        <v>DELETE</v>
      </c>
      <c r="AC48" s="172" t="str">
        <f t="shared" si="31"/>
        <v>DELETE</v>
      </c>
      <c r="AD48" s="172">
        <f t="shared" si="31"/>
        <v>2.5935423428995526E-2</v>
      </c>
      <c r="AE48" s="172">
        <f t="shared" si="31"/>
        <v>-0.10024994517024936</v>
      </c>
      <c r="AF48" s="172">
        <f t="shared" si="31"/>
        <v>-8.3039622379862385E-2</v>
      </c>
      <c r="AG48" s="150"/>
      <c r="AI48" s="137">
        <v>1</v>
      </c>
      <c r="AJ48" s="136" t="s">
        <v>256</v>
      </c>
      <c r="AK48" s="142" t="s">
        <v>256</v>
      </c>
      <c r="AL48" s="136" t="s">
        <v>524</v>
      </c>
      <c r="AM48" s="136" t="s">
        <v>203</v>
      </c>
      <c r="AN48" s="1">
        <v>3.3097799999999999</v>
      </c>
      <c r="AO48" s="166">
        <v>1.0068550000000001</v>
      </c>
      <c r="AQ48" t="e">
        <f>_xlfn.XLOOKUP(tblGWP21[[#This Row],[Material Subcategory]],ls_Mat,Factors!$K$952:$K$1023)</f>
        <v>#N/A</v>
      </c>
      <c r="AR48" s="173">
        <v>1</v>
      </c>
      <c r="AS48">
        <v>8.1306407300000008E-2</v>
      </c>
      <c r="AT48" t="s">
        <v>531</v>
      </c>
      <c r="AU48" t="s">
        <v>526</v>
      </c>
      <c r="AV48" s="347">
        <v>0.9</v>
      </c>
      <c r="BA48" cm="1">
        <f t="array" ref="BA48:BM48">tblGWP21[#This Row]</f>
        <v>1</v>
      </c>
      <c r="BB48" t="str">
        <v>Metals</v>
      </c>
      <c r="BC48" t="str">
        <v>Metals</v>
      </c>
      <c r="BD48" t="str">
        <v>Global</v>
      </c>
      <c r="BE48" t="str">
        <v>n/a</v>
      </c>
      <c r="BF48">
        <v>-3.3097799999999999</v>
      </c>
      <c r="BG48" t="e">
        <v>#N/A</v>
      </c>
      <c r="BH48">
        <v>-12.682946159209184</v>
      </c>
      <c r="BI48" t="str">
        <v>DELETE</v>
      </c>
      <c r="BJ48" t="str">
        <v>DELETE</v>
      </c>
      <c r="BK48">
        <v>2.5935423428995526E-2</v>
      </c>
      <c r="BL48">
        <v>-0.10024994517024936</v>
      </c>
      <c r="BM48">
        <v>-8.3039622379862385E-2</v>
      </c>
    </row>
    <row r="49" spans="3:65">
      <c r="C49" s="362">
        <v>1</v>
      </c>
      <c r="D49" s="363" t="s">
        <v>256</v>
      </c>
      <c r="E49" s="362" t="s">
        <v>536</v>
      </c>
      <c r="F49" s="362" t="s">
        <v>524</v>
      </c>
      <c r="G49" s="362" t="s">
        <v>203</v>
      </c>
      <c r="H49" s="368">
        <v>-1.9798800000000001</v>
      </c>
      <c r="I49" s="368">
        <v>-1.8968017927</v>
      </c>
      <c r="J49" s="368">
        <v>-2.2908212041417428</v>
      </c>
      <c r="K49" s="368">
        <v>0</v>
      </c>
      <c r="L49" s="368">
        <v>0</v>
      </c>
      <c r="M49" s="368">
        <v>2.6029702715239939E-2</v>
      </c>
      <c r="N49" s="368">
        <v>-0.14905212377108365</v>
      </c>
      <c r="O49" s="368">
        <v>-0.1222708920399822</v>
      </c>
      <c r="T49" s="46">
        <v>1</v>
      </c>
      <c r="U49" s="46" t="s">
        <v>256</v>
      </c>
      <c r="V49" s="53" t="s">
        <v>536</v>
      </c>
      <c r="W49" s="53" t="s">
        <v>524</v>
      </c>
      <c r="X49" s="53" t="s">
        <v>203</v>
      </c>
      <c r="Y49" s="172">
        <f>IFERROR(-tblZwaste1422[[#This Row],[Weight (kgCO2e/kg)]],0)</f>
        <v>-1.9798800000000001</v>
      </c>
      <c r="Z49" s="172">
        <f>IF(AQ49="x",(AR49*-tblZwaste1422[[#This Row],[Weight (kgCO2e/kg)]])+AS49+($AR$10*Lookups!$J$38/1000),"DELETE")</f>
        <v>-1.8968017927</v>
      </c>
      <c r="AA49" s="172">
        <f t="shared" ref="AA49:AF49" si="32">IF(ISNUMBER(AVERAGE(AA441,AA497,AA609,AA553,AA665,AA721,AA777,AA833,AA889)),AVERAGE(AA441,AA497,AA609,AA553,AA665,AA721,AA777,AA833,AA889),AA441)</f>
        <v>-2.2908212041417428</v>
      </c>
      <c r="AB49" s="172" t="str">
        <f t="shared" si="32"/>
        <v>DELETE</v>
      </c>
      <c r="AC49" s="172" t="str">
        <f t="shared" si="32"/>
        <v>DELETE</v>
      </c>
      <c r="AD49" s="172">
        <f t="shared" si="32"/>
        <v>2.6029702715239939E-2</v>
      </c>
      <c r="AE49" s="172">
        <f t="shared" si="32"/>
        <v>-0.14905212377108365</v>
      </c>
      <c r="AF49" s="172">
        <f t="shared" si="32"/>
        <v>-0.1222708920399822</v>
      </c>
      <c r="AG49" s="150"/>
      <c r="AI49" s="137">
        <v>1</v>
      </c>
      <c r="AJ49" s="136" t="s">
        <v>256</v>
      </c>
      <c r="AK49" s="142" t="s">
        <v>536</v>
      </c>
      <c r="AL49" s="136" t="s">
        <v>524</v>
      </c>
      <c r="AM49" s="136" t="s">
        <v>203</v>
      </c>
      <c r="AN49" s="1">
        <v>1.9798800000000001</v>
      </c>
      <c r="AO49" s="166">
        <v>0.72957000000000005</v>
      </c>
      <c r="AQ49" t="str">
        <f>_xlfn.XLOOKUP(tblGWP21[[#This Row],[Material Subcategory]],ls_Mat,Factors!$K$952:$K$1023)</f>
        <v>x</v>
      </c>
      <c r="AR49" s="173">
        <v>1</v>
      </c>
      <c r="AS49">
        <v>8.1306407300000008E-2</v>
      </c>
      <c r="AT49" t="s">
        <v>531</v>
      </c>
      <c r="AU49" t="s">
        <v>526</v>
      </c>
      <c r="AV49" s="347">
        <v>0.9</v>
      </c>
      <c r="BA49" cm="1">
        <f t="array" ref="BA49:BM49">tblGWP21[#This Row]</f>
        <v>1</v>
      </c>
      <c r="BB49" t="str">
        <v>Metals</v>
      </c>
      <c r="BC49" t="str">
        <v>Ferrous Cans</v>
      </c>
      <c r="BD49" t="str">
        <v>Global</v>
      </c>
      <c r="BE49" t="str">
        <v>n/a</v>
      </c>
      <c r="BF49">
        <v>-1.9798800000000001</v>
      </c>
      <c r="BG49">
        <v>-1.8968017927</v>
      </c>
      <c r="BH49">
        <v>-2.2908212041417428</v>
      </c>
      <c r="BI49" t="str">
        <v>DELETE</v>
      </c>
      <c r="BJ49" t="str">
        <v>DELETE</v>
      </c>
      <c r="BK49">
        <v>2.6029702715239939E-2</v>
      </c>
      <c r="BL49">
        <v>-0.14905212377108365</v>
      </c>
      <c r="BM49">
        <v>-0.1222708920399822</v>
      </c>
    </row>
    <row r="50" spans="3:65">
      <c r="C50" s="136">
        <v>1</v>
      </c>
      <c r="D50" s="137" t="s">
        <v>256</v>
      </c>
      <c r="E50" s="136" t="s">
        <v>257</v>
      </c>
      <c r="F50" s="136" t="s">
        <v>524</v>
      </c>
      <c r="G50" s="136" t="s">
        <v>203</v>
      </c>
      <c r="H50" s="191">
        <v>-1.9798800000000001</v>
      </c>
      <c r="I50" s="191">
        <v>-1.8968017927</v>
      </c>
      <c r="J50" s="191">
        <v>-2.2908212041417428</v>
      </c>
      <c r="K50" s="191">
        <v>0</v>
      </c>
      <c r="L50" s="191">
        <v>0</v>
      </c>
      <c r="M50" s="191">
        <v>2.6028878443344672E-2</v>
      </c>
      <c r="N50" s="191">
        <v>-0.14905212377108365</v>
      </c>
      <c r="O50" s="191">
        <v>-0.12227089203998195</v>
      </c>
      <c r="T50" s="46">
        <v>1</v>
      </c>
      <c r="U50" s="46" t="s">
        <v>256</v>
      </c>
      <c r="V50" s="53" t="s">
        <v>257</v>
      </c>
      <c r="W50" s="53" t="s">
        <v>524</v>
      </c>
      <c r="X50" s="53" t="s">
        <v>203</v>
      </c>
      <c r="Y50" s="172">
        <f>IFERROR(-tblZwaste1422[[#This Row],[Weight (kgCO2e/kg)]],0)</f>
        <v>-1.9798800000000001</v>
      </c>
      <c r="Z50" s="172">
        <f>IF(AQ50="x",(AR50*-tblZwaste1422[[#This Row],[Weight (kgCO2e/kg)]])+AS50+($AR$10*Lookups!$J$38/1000),"DELETE")</f>
        <v>-1.8968017927</v>
      </c>
      <c r="AA50" s="172">
        <f t="shared" ref="AA50:AF50" si="33">IF(ISNUMBER(AVERAGE(AA442,AA498,AA610,AA554,AA666,AA722,AA778,AA834,AA890)),AVERAGE(AA442,AA498,AA610,AA554,AA666,AA722,AA778,AA834,AA890),AA442)</f>
        <v>-2.2908212041417428</v>
      </c>
      <c r="AB50" s="172" t="str">
        <f t="shared" si="33"/>
        <v>DELETE</v>
      </c>
      <c r="AC50" s="172" t="str">
        <f t="shared" si="33"/>
        <v>DELETE</v>
      </c>
      <c r="AD50" s="172">
        <f t="shared" si="33"/>
        <v>2.6028878443344672E-2</v>
      </c>
      <c r="AE50" s="172">
        <f t="shared" si="33"/>
        <v>-0.14905212377108365</v>
      </c>
      <c r="AF50" s="172">
        <f t="shared" si="33"/>
        <v>-0.12227089203998195</v>
      </c>
      <c r="AG50" s="150"/>
      <c r="AI50" s="137">
        <v>1</v>
      </c>
      <c r="AJ50" s="136" t="s">
        <v>256</v>
      </c>
      <c r="AK50" s="142" t="s">
        <v>257</v>
      </c>
      <c r="AL50" s="136" t="s">
        <v>524</v>
      </c>
      <c r="AM50" s="136" t="s">
        <v>203</v>
      </c>
      <c r="AN50" s="1">
        <v>1.9798800000000001</v>
      </c>
      <c r="AO50" s="166">
        <v>0.46493000000000001</v>
      </c>
      <c r="AQ50" t="str">
        <f>_xlfn.XLOOKUP(tblGWP21[[#This Row],[Material Subcategory]],ls_Mat,Factors!$K$952:$K$1023)</f>
        <v>x</v>
      </c>
      <c r="AR50" s="173">
        <v>1</v>
      </c>
      <c r="AS50">
        <v>8.1306407300000008E-2</v>
      </c>
      <c r="AT50" t="s">
        <v>531</v>
      </c>
      <c r="AU50" t="s">
        <v>526</v>
      </c>
      <c r="AV50" s="347">
        <v>0.95</v>
      </c>
      <c r="BA50" cm="1">
        <f t="array" ref="BA50:BM50">tblGWP21[#This Row]</f>
        <v>1</v>
      </c>
      <c r="BB50" t="str">
        <v>Metals</v>
      </c>
      <c r="BC50" t="str">
        <v>Ferrous Metal</v>
      </c>
      <c r="BD50" t="str">
        <v>Global</v>
      </c>
      <c r="BE50" t="str">
        <v>n/a</v>
      </c>
      <c r="BF50">
        <v>-1.9798800000000001</v>
      </c>
      <c r="BG50">
        <v>-1.8968017927</v>
      </c>
      <c r="BH50">
        <v>-2.2908212041417428</v>
      </c>
      <c r="BI50" t="str">
        <v>DELETE</v>
      </c>
      <c r="BJ50" t="str">
        <v>DELETE</v>
      </c>
      <c r="BK50">
        <v>2.6028878443344672E-2</v>
      </c>
      <c r="BL50">
        <v>-0.14905212377108365</v>
      </c>
      <c r="BM50">
        <v>-0.12227089203998195</v>
      </c>
    </row>
    <row r="51" spans="3:65">
      <c r="C51" s="362">
        <v>1</v>
      </c>
      <c r="D51" s="363" t="s">
        <v>256</v>
      </c>
      <c r="E51" s="362" t="s">
        <v>537</v>
      </c>
      <c r="F51" s="362" t="s">
        <v>524</v>
      </c>
      <c r="G51" s="362" t="s">
        <v>203</v>
      </c>
      <c r="H51" s="368">
        <v>-5.0082800000000001</v>
      </c>
      <c r="I51" s="368">
        <v>-4.9252017927000002</v>
      </c>
      <c r="J51" s="368">
        <v>-5.0163198072708548</v>
      </c>
      <c r="K51" s="368">
        <v>0</v>
      </c>
      <c r="L51" s="368">
        <v>0</v>
      </c>
      <c r="M51" s="368">
        <v>2.5859999999999998E-2</v>
      </c>
      <c r="N51" s="368">
        <v>-5.144776656941509E-2</v>
      </c>
      <c r="O51" s="368">
        <v>-4.380835271974258E-2</v>
      </c>
      <c r="T51" s="46">
        <v>1</v>
      </c>
      <c r="U51" s="46" t="s">
        <v>256</v>
      </c>
      <c r="V51" s="53" t="s">
        <v>537</v>
      </c>
      <c r="W51" s="53" t="s">
        <v>524</v>
      </c>
      <c r="X51" s="53" t="s">
        <v>203</v>
      </c>
      <c r="Y51" s="172">
        <f>IFERROR(-tblZwaste1422[[#This Row],[Weight (kgCO2e/kg)]],0)</f>
        <v>-5.0082800000000001</v>
      </c>
      <c r="Z51" s="172">
        <f>IF(AQ51="x",(AR51*-tblZwaste1422[[#This Row],[Weight (kgCO2e/kg)]])+AS51+($AR$10*Lookups!$J$38/1000),"DELETE")</f>
        <v>-4.9252017927000002</v>
      </c>
      <c r="AA51" s="172">
        <f t="shared" ref="AA51:AF51" si="34">IF(ISNUMBER(AVERAGE(AA443,AA499,AA611,AA555,AA667,AA723,AA779,AA835,AA891)),AVERAGE(AA443,AA499,AA611,AA555,AA667,AA723,AA779,AA835,AA891),AA443)</f>
        <v>-5.0163198072708548</v>
      </c>
      <c r="AB51" s="172" t="str">
        <f t="shared" si="34"/>
        <v>DELETE</v>
      </c>
      <c r="AC51" s="172" t="str">
        <f t="shared" si="34"/>
        <v>DELETE</v>
      </c>
      <c r="AD51" s="172">
        <f t="shared" si="34"/>
        <v>2.5859999999999998E-2</v>
      </c>
      <c r="AE51" s="172">
        <f t="shared" si="34"/>
        <v>-5.144776656941509E-2</v>
      </c>
      <c r="AF51" s="172">
        <f t="shared" si="34"/>
        <v>-4.380835271974258E-2</v>
      </c>
      <c r="AG51" s="150"/>
      <c r="AI51" s="137">
        <v>1</v>
      </c>
      <c r="AJ51" s="136" t="s">
        <v>256</v>
      </c>
      <c r="AK51" s="142" t="s">
        <v>537</v>
      </c>
      <c r="AL51" s="136" t="s">
        <v>524</v>
      </c>
      <c r="AM51" s="136" t="s">
        <v>203</v>
      </c>
      <c r="AN51" s="1">
        <v>5.0082800000000001</v>
      </c>
      <c r="AO51" s="166">
        <v>1.54878</v>
      </c>
      <c r="AQ51" t="str">
        <f>_xlfn.XLOOKUP(tblGWP21[[#This Row],[Material Subcategory]],ls_Mat,Factors!$K$952:$K$1023)</f>
        <v>x</v>
      </c>
      <c r="AR51" s="173">
        <v>1</v>
      </c>
      <c r="AS51">
        <v>8.1306407300000008E-2</v>
      </c>
      <c r="AT51" t="s">
        <v>531</v>
      </c>
      <c r="AU51" t="s">
        <v>526</v>
      </c>
      <c r="AV51" s="347">
        <v>0.7</v>
      </c>
      <c r="BA51" cm="1">
        <f t="array" ref="BA51:BM51">tblGWP21[#This Row]</f>
        <v>1</v>
      </c>
      <c r="BB51" t="str">
        <v>Metals</v>
      </c>
      <c r="BC51" t="str">
        <v>Aluminum Cans</v>
      </c>
      <c r="BD51" t="str">
        <v>Global</v>
      </c>
      <c r="BE51" t="str">
        <v>n/a</v>
      </c>
      <c r="BF51">
        <v>-5.0082800000000001</v>
      </c>
      <c r="BG51">
        <v>-4.9252017927000002</v>
      </c>
      <c r="BH51">
        <v>-5.0163198072708548</v>
      </c>
      <c r="BI51" t="str">
        <v>DELETE</v>
      </c>
      <c r="BJ51" t="str">
        <v>DELETE</v>
      </c>
      <c r="BK51">
        <v>2.5859999999999998E-2</v>
      </c>
      <c r="BL51">
        <v>-5.144776656941509E-2</v>
      </c>
      <c r="BM51">
        <v>-4.380835271974258E-2</v>
      </c>
    </row>
    <row r="52" spans="3:65">
      <c r="C52" s="136">
        <v>1</v>
      </c>
      <c r="D52" s="137" t="s">
        <v>256</v>
      </c>
      <c r="E52" s="136" t="s">
        <v>538</v>
      </c>
      <c r="F52" s="136" t="s">
        <v>524</v>
      </c>
      <c r="G52" s="136" t="s">
        <v>203</v>
      </c>
      <c r="H52" s="191">
        <v>-4.6396800000000002</v>
      </c>
      <c r="I52" s="191">
        <v>0</v>
      </c>
      <c r="J52" s="191">
        <v>0</v>
      </c>
      <c r="K52" s="191">
        <v>0</v>
      </c>
      <c r="L52" s="191">
        <v>0</v>
      </c>
      <c r="M52" s="191">
        <v>2.5859999999999998E-2</v>
      </c>
      <c r="N52" s="191">
        <v>-4.7847583031063748E-2</v>
      </c>
      <c r="O52" s="191">
        <v>-4.3808352719742601E-2</v>
      </c>
      <c r="T52" s="46">
        <v>1</v>
      </c>
      <c r="U52" s="46" t="s">
        <v>256</v>
      </c>
      <c r="V52" s="53" t="s">
        <v>538</v>
      </c>
      <c r="W52" s="53" t="s">
        <v>524</v>
      </c>
      <c r="X52" s="53" t="s">
        <v>203</v>
      </c>
      <c r="Y52" s="172">
        <f>IFERROR(-tblZwaste1422[[#This Row],[Weight (kgCO2e/kg)]],0)</f>
        <v>-4.6396800000000002</v>
      </c>
      <c r="Z52" s="172" t="str">
        <f>IF(AQ52="x",(AR52*-tblZwaste1422[[#This Row],[Weight (kgCO2e/kg)]])+AS52+($AR$10*Lookups!$J$38/1000),"DELETE")</f>
        <v>DELETE</v>
      </c>
      <c r="AA52" s="172" t="str">
        <f t="shared" ref="AA52:AF52" si="35">IF(ISNUMBER(AVERAGE(AA444,AA500,AA612,AA556,AA668,AA724,AA780,AA836,AA892)),AVERAGE(AA444,AA500,AA612,AA556,AA668,AA724,AA780,AA836,AA892),AA444)</f>
        <v>DELETE</v>
      </c>
      <c r="AB52" s="172" t="str">
        <f t="shared" si="35"/>
        <v>DELETE</v>
      </c>
      <c r="AC52" s="172" t="str">
        <f t="shared" si="35"/>
        <v>DELETE</v>
      </c>
      <c r="AD52" s="172">
        <f t="shared" si="35"/>
        <v>2.5859999999999998E-2</v>
      </c>
      <c r="AE52" s="172">
        <f t="shared" si="35"/>
        <v>-4.7847583031063748E-2</v>
      </c>
      <c r="AF52" s="172">
        <f t="shared" si="35"/>
        <v>-4.3808352719742601E-2</v>
      </c>
      <c r="AG52" s="150"/>
      <c r="AI52" s="137">
        <v>1</v>
      </c>
      <c r="AJ52" s="136" t="s">
        <v>256</v>
      </c>
      <c r="AK52" s="142" t="s">
        <v>538</v>
      </c>
      <c r="AL52" s="136" t="s">
        <v>524</v>
      </c>
      <c r="AM52" s="136" t="s">
        <v>203</v>
      </c>
      <c r="AN52" s="1">
        <v>4.6396800000000002</v>
      </c>
      <c r="AO52" s="166">
        <v>1.54878</v>
      </c>
      <c r="AQ52">
        <f>_xlfn.XLOOKUP(tblGWP21[[#This Row],[Material Subcategory]],ls_Mat,Factors!$K$952:$K$1023)</f>
        <v>0</v>
      </c>
      <c r="AR52" s="173"/>
      <c r="BA52" cm="1">
        <f t="array" ref="BA52:BM52">tblGWP21[#This Row]</f>
        <v>1</v>
      </c>
      <c r="BB52" t="str">
        <v>Metals</v>
      </c>
      <c r="BC52" t="str">
        <v>Aluminum Foil</v>
      </c>
      <c r="BD52" t="str">
        <v>Global</v>
      </c>
      <c r="BE52" t="str">
        <v>n/a</v>
      </c>
      <c r="BF52">
        <v>-4.6396800000000002</v>
      </c>
      <c r="BG52" t="str">
        <v>DELETE</v>
      </c>
      <c r="BH52" t="str">
        <v>DELETE</v>
      </c>
      <c r="BI52" t="str">
        <v>DELETE</v>
      </c>
      <c r="BJ52" t="str">
        <v>DELETE</v>
      </c>
      <c r="BK52">
        <v>2.5859999999999998E-2</v>
      </c>
      <c r="BL52">
        <v>-4.7847583031063748E-2</v>
      </c>
      <c r="BM52">
        <v>-4.3808352719742601E-2</v>
      </c>
    </row>
    <row r="53" spans="3:65">
      <c r="C53" s="362">
        <v>1</v>
      </c>
      <c r="D53" s="363" t="s">
        <v>256</v>
      </c>
      <c r="E53" s="362" t="s">
        <v>258</v>
      </c>
      <c r="F53" s="362" t="s">
        <v>524</v>
      </c>
      <c r="G53" s="362" t="s">
        <v>203</v>
      </c>
      <c r="H53" s="368">
        <v>-4.6396800000000002</v>
      </c>
      <c r="I53" s="368">
        <v>-4.5566017927000004</v>
      </c>
      <c r="J53" s="368">
        <v>-4.8627589968441942</v>
      </c>
      <c r="K53" s="368">
        <v>0</v>
      </c>
      <c r="L53" s="368">
        <v>0</v>
      </c>
      <c r="M53" s="368">
        <v>2.5859999999999998E-2</v>
      </c>
      <c r="N53" s="368">
        <v>-5.1447766569414841E-2</v>
      </c>
      <c r="O53" s="368">
        <v>-4.3808352719742621E-2</v>
      </c>
      <c r="T53" s="46">
        <v>1</v>
      </c>
      <c r="U53" s="46" t="s">
        <v>256</v>
      </c>
      <c r="V53" s="53" t="s">
        <v>258</v>
      </c>
      <c r="W53" s="53" t="s">
        <v>524</v>
      </c>
      <c r="X53" s="53" t="s">
        <v>203</v>
      </c>
      <c r="Y53" s="172">
        <f>IFERROR(-tblZwaste1422[[#This Row],[Weight (kgCO2e/kg)]],0)</f>
        <v>-4.6396800000000002</v>
      </c>
      <c r="Z53" s="172">
        <f>IF(AQ53="x",(AR53*-tblZwaste1422[[#This Row],[Weight (kgCO2e/kg)]])+AS53+($AR$10*Lookups!$J$38/1000),"DELETE")</f>
        <v>-4.5566017927000004</v>
      </c>
      <c r="AA53" s="172">
        <f>IF(ISNUMBER(AVERAGE(AA445,AA501,AA613,AA557,AA669,AA725,AA781,AA837,AA893)),AVERAGE(AA445,AA501,AA613,AA557,AA669,AA725,AA781,AA837,AA893),AA445)</f>
        <v>-4.8627589968441942</v>
      </c>
      <c r="AB53" s="172" t="str">
        <f t="shared" ref="AB53:AF53" si="36">IF(ISNUMBER(AVERAGE(AB445,AB501,AB613,AB557,AB669,AB725,AB781,AB837,AB893)),AVERAGE(AB445,AB501,AB613,AB557,AB669,AB725,AB781,AB837,AB893),AB445)</f>
        <v>DELETE</v>
      </c>
      <c r="AC53" s="172" t="str">
        <f t="shared" si="36"/>
        <v>DELETE</v>
      </c>
      <c r="AD53" s="172">
        <f t="shared" si="36"/>
        <v>2.5859999999999998E-2</v>
      </c>
      <c r="AE53" s="172">
        <f t="shared" si="36"/>
        <v>-5.1447766569414841E-2</v>
      </c>
      <c r="AF53" s="172">
        <f t="shared" si="36"/>
        <v>-4.3808352719742621E-2</v>
      </c>
      <c r="AG53" s="150"/>
      <c r="AI53" s="137">
        <v>1</v>
      </c>
      <c r="AJ53" s="136" t="s">
        <v>256</v>
      </c>
      <c r="AK53" s="142" t="s">
        <v>258</v>
      </c>
      <c r="AL53" s="136" t="s">
        <v>524</v>
      </c>
      <c r="AM53" s="136" t="s">
        <v>203</v>
      </c>
      <c r="AN53" s="1">
        <v>4.6396800000000002</v>
      </c>
      <c r="AO53" s="166">
        <v>1.54878</v>
      </c>
      <c r="AQ53" t="str">
        <f>_xlfn.XLOOKUP(tblGWP21[[#This Row],[Material Subcategory]],ls_Mat,Factors!$K$952:$K$1023)</f>
        <v>x</v>
      </c>
      <c r="AR53" s="173">
        <v>1</v>
      </c>
      <c r="AS53">
        <v>8.1306407300000008E-2</v>
      </c>
      <c r="AT53" t="s">
        <v>531</v>
      </c>
      <c r="BA53" cm="1">
        <f t="array" ref="BA53:BM53">tblGWP21[#This Row]</f>
        <v>1</v>
      </c>
      <c r="BB53" t="str">
        <v>Metals</v>
      </c>
      <c r="BC53" t="str">
        <v>Other Aluminum</v>
      </c>
      <c r="BD53" t="str">
        <v>Global</v>
      </c>
      <c r="BE53" t="str">
        <v>n/a</v>
      </c>
      <c r="BF53">
        <v>-4.6396800000000002</v>
      </c>
      <c r="BG53">
        <v>-4.5566017927000004</v>
      </c>
      <c r="BH53">
        <v>-4.8627589968441942</v>
      </c>
      <c r="BI53" t="str">
        <v>DELETE</v>
      </c>
      <c r="BJ53" t="str">
        <v>DELETE</v>
      </c>
      <c r="BK53">
        <v>2.5859999999999998E-2</v>
      </c>
      <c r="BL53">
        <v>-5.1447766569414841E-2</v>
      </c>
      <c r="BM53">
        <v>-4.3808352719742621E-2</v>
      </c>
    </row>
    <row r="54" spans="3:65">
      <c r="C54" s="136">
        <v>1</v>
      </c>
      <c r="D54" s="137" t="s">
        <v>247</v>
      </c>
      <c r="E54" s="136" t="s">
        <v>247</v>
      </c>
      <c r="F54" s="136" t="s">
        <v>524</v>
      </c>
      <c r="G54" s="136" t="s">
        <v>203</v>
      </c>
      <c r="H54" s="191">
        <v>-1.0505633333333335</v>
      </c>
      <c r="I54" s="191">
        <v>-0.96748512603333348</v>
      </c>
      <c r="J54" s="191">
        <v>-0.31702454478282194</v>
      </c>
      <c r="K54" s="191">
        <v>0</v>
      </c>
      <c r="L54" s="191">
        <v>0</v>
      </c>
      <c r="M54" s="191">
        <v>2.6028892864916598E-2</v>
      </c>
      <c r="N54" s="191">
        <v>3.0359676588963682E-2</v>
      </c>
      <c r="O54" s="191">
        <v>4.8922006766599684E-2</v>
      </c>
      <c r="T54" s="46">
        <v>1</v>
      </c>
      <c r="U54" s="46" t="s">
        <v>247</v>
      </c>
      <c r="V54" s="348" t="s">
        <v>247</v>
      </c>
      <c r="W54" s="53" t="s">
        <v>524</v>
      </c>
      <c r="X54" s="53" t="s">
        <v>203</v>
      </c>
      <c r="Y54" s="172">
        <f>IFERROR(-tblZwaste1422[[#This Row],[Weight (kgCO2e/kg)]],0)</f>
        <v>-1.0505633333333335</v>
      </c>
      <c r="Z54" s="172">
        <f>IF(AQ54="x",(AR54*-tblZwaste1422[[#This Row],[Weight (kgCO2e/kg)]])+AS54+($AR$10*Lookups!$J$38/1000),"DELETE")</f>
        <v>-0.96748512603333348</v>
      </c>
      <c r="AA54" s="172">
        <f t="shared" ref="AA54:AF54" si="37">IF(ISNUMBER(AVERAGE(AA446,AA502,AA614,AA558,AA670,AA726,AA782,AA838,AA894)),AVERAGE(AA446,AA502,AA614,AA558,AA670,AA726,AA782,AA838,AA894),AA446)</f>
        <v>-0.31702454478282194</v>
      </c>
      <c r="AB54" s="172" t="str">
        <f t="shared" si="37"/>
        <v>DELETE</v>
      </c>
      <c r="AC54" s="172" t="str">
        <f t="shared" si="37"/>
        <v>DELETE</v>
      </c>
      <c r="AD54" s="172">
        <f t="shared" si="37"/>
        <v>2.6028892864916598E-2</v>
      </c>
      <c r="AE54" s="172">
        <f t="shared" si="37"/>
        <v>3.0359676588963682E-2</v>
      </c>
      <c r="AF54" s="172">
        <f t="shared" si="37"/>
        <v>4.8922006766599684E-2</v>
      </c>
      <c r="AG54" s="150"/>
      <c r="AI54" s="137">
        <v>1</v>
      </c>
      <c r="AJ54" s="136" t="s">
        <v>247</v>
      </c>
      <c r="AK54" s="142" t="s">
        <v>247</v>
      </c>
      <c r="AL54" s="136" t="s">
        <v>524</v>
      </c>
      <c r="AM54" s="136" t="s">
        <v>203</v>
      </c>
      <c r="AN54" s="1">
        <v>1.0505633333333335</v>
      </c>
      <c r="AO54" s="166">
        <v>0.89563000000000004</v>
      </c>
      <c r="AQ54" t="str">
        <f>_xlfn.XLOOKUP(tblGWP21[[#This Row],[Material Subcategory]],ls_Mat,Factors!$K$952:$K$1023)</f>
        <v>x</v>
      </c>
      <c r="AR54" s="173">
        <v>1</v>
      </c>
      <c r="AS54">
        <v>8.1306407300000008E-2</v>
      </c>
      <c r="AT54" t="s">
        <v>531</v>
      </c>
      <c r="BA54" cm="1">
        <f t="array" ref="BA54:BM54">tblGWP21[#This Row]</f>
        <v>1</v>
      </c>
      <c r="BB54" t="str">
        <v>Glass</v>
      </c>
      <c r="BC54" t="str">
        <v>Glass</v>
      </c>
      <c r="BD54" t="str">
        <v>Global</v>
      </c>
      <c r="BE54" t="str">
        <v>n/a</v>
      </c>
      <c r="BF54">
        <v>-1.0505633333333335</v>
      </c>
      <c r="BG54">
        <v>-0.96748512603333348</v>
      </c>
      <c r="BH54">
        <v>-0.31702454478282194</v>
      </c>
      <c r="BI54" t="str">
        <v>DELETE</v>
      </c>
      <c r="BJ54" t="str">
        <v>DELETE</v>
      </c>
      <c r="BK54">
        <v>2.6028892864916598E-2</v>
      </c>
      <c r="BL54">
        <v>3.0359676588963682E-2</v>
      </c>
      <c r="BM54">
        <v>4.8922006766599684E-2</v>
      </c>
    </row>
    <row r="55" spans="3:65">
      <c r="C55" s="362">
        <v>1</v>
      </c>
      <c r="D55" s="363" t="s">
        <v>247</v>
      </c>
      <c r="E55" s="362" t="s">
        <v>248</v>
      </c>
      <c r="F55" s="362" t="s">
        <v>524</v>
      </c>
      <c r="G55" s="362" t="s">
        <v>203</v>
      </c>
      <c r="H55" s="368">
        <v>-1.0606100000000001</v>
      </c>
      <c r="I55" s="368">
        <v>-0.97753179270000001</v>
      </c>
      <c r="J55" s="368">
        <v>-0.16837245758635677</v>
      </c>
      <c r="K55" s="368">
        <v>0</v>
      </c>
      <c r="L55" s="368">
        <v>0</v>
      </c>
      <c r="M55" s="368">
        <v>2.6028898877801399E-2</v>
      </c>
      <c r="N55" s="368">
        <v>3.4237394220494662E-2</v>
      </c>
      <c r="O55" s="368">
        <v>4.8920823160993041E-2</v>
      </c>
      <c r="T55" s="46">
        <v>1</v>
      </c>
      <c r="U55" s="46" t="s">
        <v>247</v>
      </c>
      <c r="V55" s="53" t="s">
        <v>248</v>
      </c>
      <c r="W55" s="53" t="s">
        <v>524</v>
      </c>
      <c r="X55" s="53" t="s">
        <v>203</v>
      </c>
      <c r="Y55" s="172">
        <f>IFERROR(-tblZwaste1422[[#This Row],[Weight (kgCO2e/kg)]],0)</f>
        <v>-1.0606100000000001</v>
      </c>
      <c r="Z55" s="172">
        <f>IF(AQ55="x",(AR55*-tblZwaste1422[[#This Row],[Weight (kgCO2e/kg)]])+AS55+($AR$10*Lookups!$J$38/1000),"DELETE")</f>
        <v>-0.97753179270000001</v>
      </c>
      <c r="AA55" s="172">
        <f t="shared" ref="AA55:AF55" si="38">IF(ISNUMBER(AVERAGE(AA447,AA503,AA615,AA559,AA671,AA727,AA783,AA839,AA895)),AVERAGE(AA447,AA503,AA615,AA559,AA671,AA727,AA783,AA839,AA895),AA447)</f>
        <v>-0.16837245758635677</v>
      </c>
      <c r="AB55" s="172" t="str">
        <f t="shared" si="38"/>
        <v>DELETE</v>
      </c>
      <c r="AC55" s="172" t="str">
        <f t="shared" si="38"/>
        <v>DELETE</v>
      </c>
      <c r="AD55" s="172">
        <f t="shared" si="38"/>
        <v>2.6028898877801399E-2</v>
      </c>
      <c r="AE55" s="172">
        <f t="shared" si="38"/>
        <v>3.4237394220494662E-2</v>
      </c>
      <c r="AF55" s="172">
        <f t="shared" si="38"/>
        <v>4.8920823160993041E-2</v>
      </c>
      <c r="AG55" s="150"/>
      <c r="AI55" s="137">
        <v>1</v>
      </c>
      <c r="AJ55" s="136" t="s">
        <v>247</v>
      </c>
      <c r="AK55" s="142" t="s">
        <v>248</v>
      </c>
      <c r="AL55" s="136" t="s">
        <v>524</v>
      </c>
      <c r="AM55" s="136" t="s">
        <v>203</v>
      </c>
      <c r="AN55" s="1">
        <v>1.0606100000000001</v>
      </c>
      <c r="AO55" s="166">
        <v>0.89563000000000004</v>
      </c>
      <c r="AQ55" t="str">
        <f>_xlfn.XLOOKUP(tblGWP21[[#This Row],[Material Subcategory]],ls_Mat,Factors!$K$952:$K$1023)</f>
        <v>x</v>
      </c>
      <c r="AR55" s="173">
        <v>1</v>
      </c>
      <c r="AS55">
        <v>8.1306407300000008E-2</v>
      </c>
      <c r="AT55" t="s">
        <v>531</v>
      </c>
      <c r="BA55" cm="1">
        <f t="array" ref="BA55:BM55">tblGWP21[#This Row]</f>
        <v>1</v>
      </c>
      <c r="BB55" t="str">
        <v>Glass</v>
      </c>
      <c r="BC55" t="str">
        <v>Glass – Brown</v>
      </c>
      <c r="BD55" t="str">
        <v>Global</v>
      </c>
      <c r="BE55" t="str">
        <v>n/a</v>
      </c>
      <c r="BF55">
        <v>-1.0606100000000001</v>
      </c>
      <c r="BG55">
        <v>-0.97753179270000001</v>
      </c>
      <c r="BH55">
        <v>-0.16837245758635677</v>
      </c>
      <c r="BI55" t="str">
        <v>DELETE</v>
      </c>
      <c r="BJ55" t="str">
        <v>DELETE</v>
      </c>
      <c r="BK55">
        <v>2.6028898877801399E-2</v>
      </c>
      <c r="BL55">
        <v>3.4237394220494662E-2</v>
      </c>
      <c r="BM55">
        <v>4.8920823160993041E-2</v>
      </c>
    </row>
    <row r="56" spans="3:65">
      <c r="C56" s="136">
        <v>1</v>
      </c>
      <c r="D56" s="137" t="s">
        <v>247</v>
      </c>
      <c r="E56" s="136" t="s">
        <v>263</v>
      </c>
      <c r="F56" s="136" t="s">
        <v>524</v>
      </c>
      <c r="G56" s="136" t="s">
        <v>203</v>
      </c>
      <c r="H56" s="191">
        <v>-1.0341199999999999</v>
      </c>
      <c r="I56" s="191">
        <v>-0.95104179269999989</v>
      </c>
      <c r="J56" s="191">
        <v>-0.16837245758635688</v>
      </c>
      <c r="K56" s="191">
        <v>0</v>
      </c>
      <c r="L56" s="191">
        <v>0</v>
      </c>
      <c r="M56" s="191">
        <v>2.6028902604259274E-2</v>
      </c>
      <c r="N56" s="191">
        <v>3.6561904986917859E-2</v>
      </c>
      <c r="O56" s="191">
        <v>4.8920898729131385E-2</v>
      </c>
      <c r="T56" s="46">
        <v>1</v>
      </c>
      <c r="U56" s="46" t="s">
        <v>247</v>
      </c>
      <c r="V56" s="53" t="s">
        <v>263</v>
      </c>
      <c r="W56" s="53" t="s">
        <v>524</v>
      </c>
      <c r="X56" s="53" t="s">
        <v>203</v>
      </c>
      <c r="Y56" s="172">
        <f>IFERROR(-tblZwaste1422[[#This Row],[Weight (kgCO2e/kg)]],0)</f>
        <v>-1.0341199999999999</v>
      </c>
      <c r="Z56" s="172">
        <f>IF(AQ56="x",(AR56*-tblZwaste1422[[#This Row],[Weight (kgCO2e/kg)]])+AS56+($AR$10*Lookups!$J$38/1000),"DELETE")</f>
        <v>-0.95104179269999989</v>
      </c>
      <c r="AA56" s="172">
        <f t="shared" ref="AA56:AF56" si="39">IF(ISNUMBER(AVERAGE(AA448,AA504,AA616,AA560,AA672,AA728,AA784,AA840,AA896)),AVERAGE(AA448,AA504,AA616,AA560,AA672,AA728,AA784,AA840,AA896),AA448)</f>
        <v>-0.16837245758635688</v>
      </c>
      <c r="AB56" s="172" t="str">
        <f t="shared" si="39"/>
        <v>DELETE</v>
      </c>
      <c r="AC56" s="172" t="str">
        <f t="shared" si="39"/>
        <v>DELETE</v>
      </c>
      <c r="AD56" s="172">
        <f t="shared" si="39"/>
        <v>2.6028902604259274E-2</v>
      </c>
      <c r="AE56" s="172">
        <f t="shared" si="39"/>
        <v>3.6561904986917859E-2</v>
      </c>
      <c r="AF56" s="172">
        <f t="shared" si="39"/>
        <v>4.8920898729131385E-2</v>
      </c>
      <c r="AG56" s="150"/>
      <c r="AI56" s="137">
        <v>1</v>
      </c>
      <c r="AJ56" s="136" t="s">
        <v>247</v>
      </c>
      <c r="AK56" s="142" t="s">
        <v>263</v>
      </c>
      <c r="AL56" s="136" t="s">
        <v>524</v>
      </c>
      <c r="AM56" s="136" t="s">
        <v>203</v>
      </c>
      <c r="AN56" s="1">
        <v>1.0341199999999999</v>
      </c>
      <c r="AO56" s="166">
        <v>0.89563000000000004</v>
      </c>
      <c r="AQ56" t="str">
        <f>_xlfn.XLOOKUP(tblGWP21[[#This Row],[Material Subcategory]],ls_Mat,Factors!$K$952:$K$1023)</f>
        <v>x</v>
      </c>
      <c r="AR56" s="173">
        <v>1</v>
      </c>
      <c r="AS56">
        <v>8.1306407300000008E-2</v>
      </c>
      <c r="AT56" t="s">
        <v>531</v>
      </c>
      <c r="AU56" t="s">
        <v>526</v>
      </c>
      <c r="AV56" s="347">
        <v>0.7</v>
      </c>
      <c r="BA56" cm="1">
        <f t="array" ref="BA56:BM56">tblGWP21[#This Row]</f>
        <v>1</v>
      </c>
      <c r="BB56" t="str">
        <v>Glass</v>
      </c>
      <c r="BC56" t="str">
        <v>Glass – Green</v>
      </c>
      <c r="BD56" t="str">
        <v>Global</v>
      </c>
      <c r="BE56" t="str">
        <v>n/a</v>
      </c>
      <c r="BF56">
        <v>-1.0341199999999999</v>
      </c>
      <c r="BG56">
        <v>-0.95104179269999989</v>
      </c>
      <c r="BH56">
        <v>-0.16837245758635688</v>
      </c>
      <c r="BI56" t="str">
        <v>DELETE</v>
      </c>
      <c r="BJ56" t="str">
        <v>DELETE</v>
      </c>
      <c r="BK56">
        <v>2.6028902604259274E-2</v>
      </c>
      <c r="BL56">
        <v>3.6561904986917859E-2</v>
      </c>
      <c r="BM56">
        <v>4.8920898729131385E-2</v>
      </c>
    </row>
    <row r="57" spans="3:65">
      <c r="C57" s="362">
        <v>1</v>
      </c>
      <c r="D57" s="363" t="s">
        <v>247</v>
      </c>
      <c r="E57" s="362" t="s">
        <v>539</v>
      </c>
      <c r="F57" s="362" t="s">
        <v>524</v>
      </c>
      <c r="G57" s="362" t="s">
        <v>203</v>
      </c>
      <c r="H57" s="368">
        <v>-1.0569599999999999</v>
      </c>
      <c r="I57" s="368">
        <v>-0.97388179269999986</v>
      </c>
      <c r="J57" s="368">
        <v>-0.17368948256276895</v>
      </c>
      <c r="K57" s="368">
        <v>0</v>
      </c>
      <c r="L57" s="368">
        <v>0</v>
      </c>
      <c r="M57" s="368">
        <v>2.6028883134887146E-2</v>
      </c>
      <c r="N57" s="368">
        <v>2.41140317462438E-2</v>
      </c>
      <c r="O57" s="368">
        <v>4.8923281519270043E-2</v>
      </c>
      <c r="T57" s="46">
        <v>1</v>
      </c>
      <c r="U57" s="46" t="s">
        <v>247</v>
      </c>
      <c r="V57" s="53" t="s">
        <v>539</v>
      </c>
      <c r="W57" s="53" t="s">
        <v>524</v>
      </c>
      <c r="X57" s="53" t="s">
        <v>203</v>
      </c>
      <c r="Y57" s="172">
        <f>IFERROR(-tblZwaste1422[[#This Row],[Weight (kgCO2e/kg)]],0)</f>
        <v>-1.0569599999999999</v>
      </c>
      <c r="Z57" s="172">
        <f>IF(AQ57="x",(AR57*-tblZwaste1422[[#This Row],[Weight (kgCO2e/kg)]])+AS57+($AR$10*Lookups!$J$38/1000),"DELETE")</f>
        <v>-0.97388179269999986</v>
      </c>
      <c r="AA57" s="172">
        <f t="shared" ref="AA57:AF57" si="40">IF(ISNUMBER(AVERAGE(AA449,AA505,AA617,AA561,AA673,AA729,AA785,AA841,AA897)),AVERAGE(AA449,AA505,AA617,AA561,AA673,AA729,AA785,AA841,AA897),AA449)</f>
        <v>-0.17368948256276895</v>
      </c>
      <c r="AB57" s="172" t="str">
        <f t="shared" si="40"/>
        <v>DELETE</v>
      </c>
      <c r="AC57" s="172" t="str">
        <f t="shared" si="40"/>
        <v>DELETE</v>
      </c>
      <c r="AD57" s="172">
        <f t="shared" si="40"/>
        <v>2.6028883134887146E-2</v>
      </c>
      <c r="AE57" s="172">
        <f t="shared" si="40"/>
        <v>2.41140317462438E-2</v>
      </c>
      <c r="AF57" s="172">
        <f t="shared" si="40"/>
        <v>4.8923281519270043E-2</v>
      </c>
      <c r="AG57" s="150"/>
      <c r="AI57" s="137">
        <v>1</v>
      </c>
      <c r="AJ57" s="136" t="s">
        <v>247</v>
      </c>
      <c r="AK57" s="142" t="s">
        <v>539</v>
      </c>
      <c r="AL57" s="136" t="s">
        <v>524</v>
      </c>
      <c r="AM57" s="136" t="s">
        <v>203</v>
      </c>
      <c r="AN57" s="1">
        <v>1.0569599999999999</v>
      </c>
      <c r="AO57" s="166">
        <v>0.89563000000000004</v>
      </c>
      <c r="AQ57" t="str">
        <f>_xlfn.XLOOKUP(tblGWP21[[#This Row],[Material Subcategory]],ls_Mat,Factors!$K$952:$K$1023)</f>
        <v>x</v>
      </c>
      <c r="AR57" s="173">
        <v>1</v>
      </c>
      <c r="AS57">
        <v>8.1306407300000008E-2</v>
      </c>
      <c r="AT57" t="s">
        <v>531</v>
      </c>
      <c r="AU57" t="s">
        <v>526</v>
      </c>
      <c r="AV57" s="347">
        <v>0.65</v>
      </c>
      <c r="BA57" cm="1">
        <f t="array" ref="BA57:BM57">tblGWP21[#This Row]</f>
        <v>1</v>
      </c>
      <c r="BB57" t="str">
        <v>Glass</v>
      </c>
      <c r="BC57" t="str">
        <v>Glass – Clear</v>
      </c>
      <c r="BD57" t="str">
        <v>Global</v>
      </c>
      <c r="BE57" t="str">
        <v>n/a</v>
      </c>
      <c r="BF57">
        <v>-1.0569599999999999</v>
      </c>
      <c r="BG57">
        <v>-0.97388179269999986</v>
      </c>
      <c r="BH57">
        <v>-0.17368948256276895</v>
      </c>
      <c r="BI57" t="str">
        <v>DELETE</v>
      </c>
      <c r="BJ57" t="str">
        <v>DELETE</v>
      </c>
      <c r="BK57">
        <v>2.6028883134887146E-2</v>
      </c>
      <c r="BL57">
        <v>2.41140317462438E-2</v>
      </c>
      <c r="BM57">
        <v>4.8923281519270043E-2</v>
      </c>
    </row>
    <row r="58" spans="3:65">
      <c r="C58" s="136">
        <v>1</v>
      </c>
      <c r="D58" s="137" t="s">
        <v>247</v>
      </c>
      <c r="E58" s="136" t="s">
        <v>270</v>
      </c>
      <c r="F58" s="136" t="s">
        <v>524</v>
      </c>
      <c r="G58" s="136" t="s">
        <v>203</v>
      </c>
      <c r="H58" s="191">
        <v>-1.0505633333333335</v>
      </c>
      <c r="I58" s="191">
        <v>-0.96748512603333348</v>
      </c>
      <c r="J58" s="191">
        <v>-0.31702454478282194</v>
      </c>
      <c r="K58" s="191">
        <v>0</v>
      </c>
      <c r="L58" s="191">
        <v>0</v>
      </c>
      <c r="M58" s="191">
        <v>2.6028892864916598E-2</v>
      </c>
      <c r="N58" s="191">
        <v>3.0359676588963682E-2</v>
      </c>
      <c r="O58" s="191">
        <v>4.8922006766599684E-2</v>
      </c>
      <c r="T58" s="46">
        <v>1</v>
      </c>
      <c r="U58" s="46" t="s">
        <v>247</v>
      </c>
      <c r="V58" s="53" t="s">
        <v>270</v>
      </c>
      <c r="W58" s="53" t="s">
        <v>524</v>
      </c>
      <c r="X58" s="53" t="s">
        <v>203</v>
      </c>
      <c r="Y58" s="172">
        <f>IFERROR(-tblZwaste1422[[#This Row],[Weight (kgCO2e/kg)]],0)</f>
        <v>-1.0505633333333335</v>
      </c>
      <c r="Z58" s="172">
        <f>IF(AQ58="x",(AR58*-tblZwaste1422[[#This Row],[Weight (kgCO2e/kg)]])+AS58+($AR$10*Lookups!$J$38/1000),"DELETE")</f>
        <v>-0.96748512603333348</v>
      </c>
      <c r="AA58" s="172">
        <f t="shared" ref="AA58:AF58" si="41">IF(ISNUMBER(AVERAGE(AA450,AA506,AA618,AA562,AA674,AA730,AA786,AA842,AA898)),AVERAGE(AA450,AA506,AA618,AA562,AA674,AA730,AA786,AA842,AA898),AA450)</f>
        <v>-0.31702454478282194</v>
      </c>
      <c r="AB58" s="172" t="str">
        <f t="shared" si="41"/>
        <v>DELETE</v>
      </c>
      <c r="AC58" s="172" t="str">
        <f t="shared" si="41"/>
        <v>DELETE</v>
      </c>
      <c r="AD58" s="172">
        <f t="shared" si="41"/>
        <v>2.6028892864916598E-2</v>
      </c>
      <c r="AE58" s="172">
        <f t="shared" si="41"/>
        <v>3.0359676588963682E-2</v>
      </c>
      <c r="AF58" s="172">
        <f t="shared" si="41"/>
        <v>4.8922006766599684E-2</v>
      </c>
      <c r="AG58" s="150"/>
      <c r="AI58" s="137">
        <v>1</v>
      </c>
      <c r="AJ58" s="136" t="s">
        <v>247</v>
      </c>
      <c r="AK58" s="142" t="s">
        <v>270</v>
      </c>
      <c r="AL58" s="136" t="s">
        <v>524</v>
      </c>
      <c r="AM58" s="136" t="s">
        <v>203</v>
      </c>
      <c r="AN58" s="1">
        <v>1.0505633333333335</v>
      </c>
      <c r="AO58" s="166">
        <v>0.89563000000000004</v>
      </c>
      <c r="AQ58" t="str">
        <f>_xlfn.XLOOKUP(tblGWP21[[#This Row],[Material Subcategory]],ls_Mat,Factors!$K$952:$K$1023)</f>
        <v>x</v>
      </c>
      <c r="AR58" s="173">
        <v>1</v>
      </c>
      <c r="AS58">
        <v>8.1306407300000008E-2</v>
      </c>
      <c r="AT58" t="s">
        <v>531</v>
      </c>
      <c r="BA58" cm="1">
        <f t="array" ref="BA58:BM58">tblGWP21[#This Row]</f>
        <v>1</v>
      </c>
      <c r="BB58" t="str">
        <v>Glass</v>
      </c>
      <c r="BC58" t="str">
        <v>Mixed Glass</v>
      </c>
      <c r="BD58" t="str">
        <v>Global</v>
      </c>
      <c r="BE58" t="str">
        <v>n/a</v>
      </c>
      <c r="BF58">
        <v>-1.0505633333333335</v>
      </c>
      <c r="BG58">
        <v>-0.96748512603333348</v>
      </c>
      <c r="BH58">
        <v>-0.31702454478282194</v>
      </c>
      <c r="BI58" t="str">
        <v>DELETE</v>
      </c>
      <c r="BJ58" t="str">
        <v>DELETE</v>
      </c>
      <c r="BK58">
        <v>2.6028892864916598E-2</v>
      </c>
      <c r="BL58">
        <v>3.0359676588963682E-2</v>
      </c>
      <c r="BM58">
        <v>4.8922006766599684E-2</v>
      </c>
    </row>
    <row r="59" spans="3:65">
      <c r="C59" s="362">
        <v>1</v>
      </c>
      <c r="D59" s="363" t="s">
        <v>247</v>
      </c>
      <c r="E59" s="362" t="s">
        <v>540</v>
      </c>
      <c r="F59" s="362" t="s">
        <v>524</v>
      </c>
      <c r="G59" s="362" t="s">
        <v>203</v>
      </c>
      <c r="H59" s="368">
        <v>-1.0473650000000001</v>
      </c>
      <c r="I59" s="368">
        <v>-0.96428679270000006</v>
      </c>
      <c r="J59" s="368">
        <v>0</v>
      </c>
      <c r="K59" s="368">
        <v>0</v>
      </c>
      <c r="L59" s="368">
        <v>0</v>
      </c>
      <c r="M59" s="368">
        <v>2.6028876304522913E-2</v>
      </c>
      <c r="N59" s="368">
        <v>2.6438022357439701E-2</v>
      </c>
      <c r="O59" s="368">
        <v>4.8922836932181288E-2</v>
      </c>
      <c r="T59" s="46">
        <v>1</v>
      </c>
      <c r="U59" s="46" t="s">
        <v>247</v>
      </c>
      <c r="V59" s="53" t="s">
        <v>540</v>
      </c>
      <c r="W59" s="53" t="s">
        <v>524</v>
      </c>
      <c r="X59" s="53" t="s">
        <v>203</v>
      </c>
      <c r="Y59" s="172">
        <f>IFERROR(-tblZwaste1422[[#This Row],[Weight (kgCO2e/kg)]],0)</f>
        <v>-1.0473650000000001</v>
      </c>
      <c r="Z59" s="172">
        <f>IF(AQ59="x",(AR59*-tblZwaste1422[[#This Row],[Weight (kgCO2e/kg)]])+AS59+($AR$10*Lookups!$J$38/1000),"DELETE")</f>
        <v>-0.96428679270000006</v>
      </c>
      <c r="AA59" s="172" t="str">
        <f t="shared" ref="AA59:AF59" si="42">IF(ISNUMBER(AVERAGE(AA451,AA507,AA619,AA563,AA675,AA731,AA787,AA843,AA899)),AVERAGE(AA451,AA507,AA619,AA563,AA675,AA731,AA787,AA843,AA899),AA451)</f>
        <v>DELETE</v>
      </c>
      <c r="AB59" s="172" t="str">
        <f t="shared" si="42"/>
        <v>DELETE</v>
      </c>
      <c r="AC59" s="172" t="str">
        <f t="shared" si="42"/>
        <v>DELETE</v>
      </c>
      <c r="AD59" s="172">
        <f t="shared" si="42"/>
        <v>2.6028876304522913E-2</v>
      </c>
      <c r="AE59" s="172">
        <f t="shared" si="42"/>
        <v>2.6438022357439701E-2</v>
      </c>
      <c r="AF59" s="172">
        <f t="shared" si="42"/>
        <v>4.8922836932181288E-2</v>
      </c>
      <c r="AG59" s="150"/>
      <c r="AI59" s="137">
        <v>1</v>
      </c>
      <c r="AJ59" s="136" t="s">
        <v>247</v>
      </c>
      <c r="AK59" s="142" t="s">
        <v>540</v>
      </c>
      <c r="AL59" s="136" t="s">
        <v>524</v>
      </c>
      <c r="AM59" s="136" t="s">
        <v>203</v>
      </c>
      <c r="AN59" s="1">
        <v>1.0473650000000001</v>
      </c>
      <c r="AO59" s="166">
        <v>0.89563000000000004</v>
      </c>
      <c r="AQ59" t="str">
        <f>_xlfn.XLOOKUP(tblGWP21[[#This Row],[Material Subcategory]],ls_Mat,Factors!$K$952:$K$1023)</f>
        <v>x</v>
      </c>
      <c r="AR59" s="173">
        <v>1</v>
      </c>
      <c r="AS59">
        <v>8.1306407300000008E-2</v>
      </c>
      <c r="AT59" t="s">
        <v>531</v>
      </c>
      <c r="BA59" cm="1">
        <f t="array" ref="BA59:BM59">tblGWP21[#This Row]</f>
        <v>1</v>
      </c>
      <c r="BB59" t="str">
        <v>Glass</v>
      </c>
      <c r="BC59" t="str">
        <v>Glass – Non-Recyclable</v>
      </c>
      <c r="BD59" t="str">
        <v>Global</v>
      </c>
      <c r="BE59" t="str">
        <v>n/a</v>
      </c>
      <c r="BF59">
        <v>-1.0473650000000001</v>
      </c>
      <c r="BG59">
        <v>-0.96428679270000006</v>
      </c>
      <c r="BH59" t="str">
        <v>DELETE</v>
      </c>
      <c r="BI59" t="str">
        <v>DELETE</v>
      </c>
      <c r="BJ59" t="str">
        <v>DELETE</v>
      </c>
      <c r="BK59">
        <v>2.6028876304522913E-2</v>
      </c>
      <c r="BL59">
        <v>2.6438022357439701E-2</v>
      </c>
      <c r="BM59">
        <v>4.8922836932181288E-2</v>
      </c>
    </row>
    <row r="60" spans="3:65">
      <c r="C60" s="136">
        <v>1</v>
      </c>
      <c r="D60" s="137" t="s">
        <v>261</v>
      </c>
      <c r="E60" s="136" t="s">
        <v>260</v>
      </c>
      <c r="F60" s="136" t="s">
        <v>524</v>
      </c>
      <c r="G60" s="136" t="s">
        <v>203</v>
      </c>
      <c r="H60" s="191">
        <v>-4.0364225925925927</v>
      </c>
      <c r="I60" s="191">
        <v>0</v>
      </c>
      <c r="J60" s="191">
        <v>0</v>
      </c>
      <c r="K60" s="191">
        <v>-0.50305138727811594</v>
      </c>
      <c r="L60" s="191">
        <v>-0.86579299296834056</v>
      </c>
      <c r="M60" s="191">
        <v>-0.16418413538846663</v>
      </c>
      <c r="N60" s="191">
        <v>-0.24963671094074869</v>
      </c>
      <c r="O60" s="191">
        <v>2.7530512404165396E-2</v>
      </c>
      <c r="T60" s="46">
        <v>1</v>
      </c>
      <c r="U60" s="46" t="s">
        <v>261</v>
      </c>
      <c r="V60" s="53" t="s">
        <v>260</v>
      </c>
      <c r="W60" s="53" t="s">
        <v>524</v>
      </c>
      <c r="X60" s="53" t="s">
        <v>203</v>
      </c>
      <c r="Y60" s="172">
        <f>IFERROR(-tblZwaste1422[[#This Row],[Weight (kgCO2e/kg)]],0)</f>
        <v>-4.0364225925925927</v>
      </c>
      <c r="Z60" s="172" t="str">
        <f>IF(AQ60="x",(AR60*-tblZwaste1422[[#This Row],[Weight (kgCO2e/kg)]])+AS60+($AR$10*Lookups!$J$38/1000),"DELETE")</f>
        <v>DELETE</v>
      </c>
      <c r="AA60" s="172" t="str">
        <f t="shared" ref="AA60:AF60" si="43">IF(ISNUMBER(AVERAGE(AA452,AA508,AA620,AA564,AA676,AA732,AA788,AA844,AA900)),AVERAGE(AA452,AA508,AA620,AA564,AA676,AA732,AA788,AA844,AA900),AA452)</f>
        <v>DELETE</v>
      </c>
      <c r="AB60" s="172">
        <f t="shared" si="43"/>
        <v>-0.50305138727811594</v>
      </c>
      <c r="AC60" s="172">
        <f t="shared" si="43"/>
        <v>-0.86579299296834056</v>
      </c>
      <c r="AD60" s="172">
        <f t="shared" si="43"/>
        <v>-0.16418413538846663</v>
      </c>
      <c r="AE60" s="172">
        <f t="shared" si="43"/>
        <v>-0.24963671094074869</v>
      </c>
      <c r="AF60" s="172">
        <f t="shared" si="43"/>
        <v>2.7530512404165396E-2</v>
      </c>
      <c r="AG60" s="150"/>
      <c r="AI60" s="137">
        <v>1</v>
      </c>
      <c r="AJ60" s="136" t="s">
        <v>529</v>
      </c>
      <c r="AK60" s="142" t="s">
        <v>260</v>
      </c>
      <c r="AL60" s="136" t="s">
        <v>524</v>
      </c>
      <c r="AM60" s="136" t="s">
        <v>203</v>
      </c>
      <c r="AN60" s="1">
        <v>4.0364225925925927</v>
      </c>
      <c r="AO60" s="166">
        <v>1.3856655555555555</v>
      </c>
      <c r="AQ60">
        <f>_xlfn.XLOOKUP(tblGWP21[[#This Row],[Material Subcategory]],ls_Mat,Factors!$K$952:$K$1023)</f>
        <v>0</v>
      </c>
      <c r="AR60" s="173"/>
      <c r="BA60" cm="1">
        <f t="array" ref="BA60:BM60">tblGWP21[#This Row]</f>
        <v>1</v>
      </c>
      <c r="BB60" t="str">
        <v>Food Waste</v>
      </c>
      <c r="BC60" t="str">
        <v>Mixed Organics</v>
      </c>
      <c r="BD60" t="str">
        <v>Global</v>
      </c>
      <c r="BE60" t="str">
        <v>n/a</v>
      </c>
      <c r="BF60">
        <v>-4.0364225925925927</v>
      </c>
      <c r="BG60" t="str">
        <v>DELETE</v>
      </c>
      <c r="BH60" t="str">
        <v>DELETE</v>
      </c>
      <c r="BI60">
        <v>-0.50305138727811594</v>
      </c>
      <c r="BJ60">
        <v>-0.86579299296834056</v>
      </c>
      <c r="BK60">
        <v>-0.16418413538846663</v>
      </c>
      <c r="BL60">
        <v>-0.24963671094074869</v>
      </c>
      <c r="BM60">
        <v>2.7530512404165396E-2</v>
      </c>
    </row>
    <row r="61" spans="3:65">
      <c r="C61" s="362">
        <v>1</v>
      </c>
      <c r="D61" s="363" t="s">
        <v>10157</v>
      </c>
      <c r="E61" s="362" t="s">
        <v>237</v>
      </c>
      <c r="F61" s="362" t="s">
        <v>524</v>
      </c>
      <c r="G61" s="362" t="s">
        <v>203</v>
      </c>
      <c r="H61" s="368">
        <v>-2.8533815875203707</v>
      </c>
      <c r="I61" s="368">
        <v>-1.4249189937601854</v>
      </c>
      <c r="J61" s="368">
        <v>0</v>
      </c>
      <c r="K61" s="368">
        <v>0</v>
      </c>
      <c r="L61" s="368">
        <v>0</v>
      </c>
      <c r="M61" s="368">
        <v>-0.46049082276355691</v>
      </c>
      <c r="N61" s="368">
        <v>-0.55970098771042198</v>
      </c>
      <c r="O61" s="368">
        <v>2.7969477872377062E-2</v>
      </c>
      <c r="T61" s="46">
        <v>1</v>
      </c>
      <c r="U61" s="46" t="s">
        <v>237</v>
      </c>
      <c r="V61" s="348" t="s">
        <v>237</v>
      </c>
      <c r="W61" s="53" t="s">
        <v>524</v>
      </c>
      <c r="X61" s="53" t="s">
        <v>203</v>
      </c>
      <c r="Y61" s="172">
        <f>IFERROR(-tblZwaste1422[[#This Row],[Weight (kgCO2e/kg)]],0)</f>
        <v>-2.8533815875203707</v>
      </c>
      <c r="Z61" s="172" t="e">
        <f>IF(AQ61="x",(AR61*-tblZwaste1422[[#This Row],[Weight (kgCO2e/kg)]])+AS61+($AR$10*Lookups!$J$38/1000),"DELETE")</f>
        <v>#N/A</v>
      </c>
      <c r="AA61" s="172" t="s">
        <v>567</v>
      </c>
      <c r="AB61" s="172" t="str">
        <f t="shared" ref="AB61:AF61" si="44">IF(ISNUMBER(AVERAGE(AB453,AB509,AB621,AB565,AB677,AB733,AB789,AB845,AB901)),AVERAGE(AB453,AB509,AB621,AB565,AB677,AB733,AB789,AB845,AB901),AB453)</f>
        <v>DELETE</v>
      </c>
      <c r="AC61" s="172" t="str">
        <f t="shared" si="44"/>
        <v>DELETE</v>
      </c>
      <c r="AD61" s="172">
        <f t="shared" si="44"/>
        <v>-0.46049082276355691</v>
      </c>
      <c r="AE61" s="172">
        <f t="shared" si="44"/>
        <v>-0.55970098771042198</v>
      </c>
      <c r="AF61" s="172">
        <f t="shared" si="44"/>
        <v>2.7969477872377062E-2</v>
      </c>
      <c r="AG61" s="150"/>
      <c r="AI61" s="137">
        <v>1</v>
      </c>
      <c r="AJ61" s="136" t="s">
        <v>237</v>
      </c>
      <c r="AK61" s="142" t="s">
        <v>237</v>
      </c>
      <c r="AL61" s="136" t="s">
        <v>524</v>
      </c>
      <c r="AM61" s="136" t="s">
        <v>203</v>
      </c>
      <c r="AN61" s="1">
        <v>2.8533815875203707</v>
      </c>
      <c r="AO61" s="166">
        <v>1.0711602172222223</v>
      </c>
      <c r="AQ61" t="e">
        <f>_xlfn.XLOOKUP(tblGWP21[[#This Row],[Material Subcategory]],ls_Mat,Factors!$K$952:$K$1023)</f>
        <v>#N/A</v>
      </c>
      <c r="AR61" s="173">
        <v>0.5</v>
      </c>
      <c r="AS61">
        <v>0</v>
      </c>
      <c r="AT61" t="s">
        <v>527</v>
      </c>
      <c r="BA61" cm="1">
        <f t="array" ref="BA61:BM61">tblGWP21[#This Row]</f>
        <v>1</v>
      </c>
      <c r="BB61" t="str">
        <v>Mixed/Custom</v>
      </c>
      <c r="BC61" t="str">
        <v>Mixed/Custom</v>
      </c>
      <c r="BD61" t="str">
        <v>Global</v>
      </c>
      <c r="BE61" t="str">
        <v>n/a</v>
      </c>
      <c r="BF61">
        <v>-2.8533815875203707</v>
      </c>
      <c r="BG61" t="e">
        <v>#N/A</v>
      </c>
      <c r="BH61" t="str">
        <v>DELETE</v>
      </c>
      <c r="BI61" t="str">
        <v>DELETE</v>
      </c>
      <c r="BJ61" t="str">
        <v>DELETE</v>
      </c>
      <c r="BK61">
        <v>-0.46049082276355691</v>
      </c>
      <c r="BL61">
        <v>-0.55970098771042198</v>
      </c>
      <c r="BM61">
        <v>2.7969477872377062E-2</v>
      </c>
    </row>
    <row r="62" spans="3:65">
      <c r="C62" s="136">
        <v>1</v>
      </c>
      <c r="D62" s="137" t="s">
        <v>10157</v>
      </c>
      <c r="E62" s="136" t="s">
        <v>246</v>
      </c>
      <c r="F62" s="136" t="s">
        <v>524</v>
      </c>
      <c r="G62" s="136" t="s">
        <v>203</v>
      </c>
      <c r="H62" s="191">
        <v>-7.3412433500000009</v>
      </c>
      <c r="I62" s="191">
        <v>0</v>
      </c>
      <c r="J62" s="191">
        <v>0</v>
      </c>
      <c r="K62" s="191">
        <v>0</v>
      </c>
      <c r="L62" s="191">
        <v>0</v>
      </c>
      <c r="M62" s="191">
        <v>2.6028927352485211E-2</v>
      </c>
      <c r="N62" s="191">
        <v>4.1544504253524434E-2</v>
      </c>
      <c r="O62" s="191">
        <v>4.8920490039415225E-2</v>
      </c>
      <c r="T62" s="46">
        <v>1</v>
      </c>
      <c r="U62" s="46" t="s">
        <v>237</v>
      </c>
      <c r="V62" s="53" t="s">
        <v>246</v>
      </c>
      <c r="W62" s="53" t="s">
        <v>524</v>
      </c>
      <c r="X62" s="53" t="s">
        <v>203</v>
      </c>
      <c r="Y62" s="172">
        <f>IFERROR(-tblZwaste1422[[#This Row],[Weight (kgCO2e/kg)]],0)</f>
        <v>-7.3412433500000009</v>
      </c>
      <c r="Z62" s="172" t="str">
        <f>IF(AQ62="x",(AR62*-tblZwaste1422[[#This Row],[Weight (kgCO2e/kg)]])+AS62+($AR$10*Lookups!$J$38/1000),"DELETE")</f>
        <v>DELETE</v>
      </c>
      <c r="AA62" s="172" t="str">
        <f t="shared" ref="AA62:AF62" si="45">IF(ISNUMBER(AVERAGE(AA454,AA510,AA622,AA566,AA678,AA734,AA790,AA846,AA902)),AVERAGE(AA454,AA510,AA622,AA566,AA678,AA734,AA790,AA846,AA902),AA454)</f>
        <v>DELETE</v>
      </c>
      <c r="AB62" s="172" t="str">
        <f t="shared" si="45"/>
        <v>DELETE</v>
      </c>
      <c r="AC62" s="172" t="str">
        <f t="shared" si="45"/>
        <v>DELETE</v>
      </c>
      <c r="AD62" s="172">
        <f t="shared" si="45"/>
        <v>2.6028927352485211E-2</v>
      </c>
      <c r="AE62" s="172">
        <f t="shared" si="45"/>
        <v>4.1544504253524434E-2</v>
      </c>
      <c r="AF62" s="172">
        <f t="shared" si="45"/>
        <v>4.8920490039415225E-2</v>
      </c>
      <c r="AG62" s="150"/>
      <c r="AI62" s="137">
        <v>1</v>
      </c>
      <c r="AJ62" s="136" t="s">
        <v>237</v>
      </c>
      <c r="AK62" s="142" t="s">
        <v>246</v>
      </c>
      <c r="AL62" s="136" t="s">
        <v>524</v>
      </c>
      <c r="AM62" s="136" t="s">
        <v>203</v>
      </c>
      <c r="AN62" s="1">
        <v>7.3412433500000009</v>
      </c>
      <c r="AO62" s="166">
        <v>0.66842500000000005</v>
      </c>
      <c r="AQ62">
        <f>_xlfn.XLOOKUP(tblGWP21[[#This Row],[Material Subcategory]],ls_Mat,Factors!$K$952:$K$1023)</f>
        <v>0</v>
      </c>
      <c r="AR62" s="173"/>
      <c r="AU62" t="s">
        <v>526</v>
      </c>
      <c r="AV62" s="347">
        <v>0.5</v>
      </c>
      <c r="BA62" cm="1">
        <f t="array" ref="BA62:BM62">tblGWP21[#This Row]</f>
        <v>1</v>
      </c>
      <c r="BB62" t="str">
        <v>Mixed/Custom</v>
      </c>
      <c r="BC62" t="str">
        <v>Mixed Inorganics</v>
      </c>
      <c r="BD62" t="str">
        <v>Global</v>
      </c>
      <c r="BE62" t="str">
        <v>n/a</v>
      </c>
      <c r="BF62">
        <v>-7.3412433500000009</v>
      </c>
      <c r="BG62" t="str">
        <v>DELETE</v>
      </c>
      <c r="BH62" t="str">
        <v>DELETE</v>
      </c>
      <c r="BI62" t="str">
        <v>DELETE</v>
      </c>
      <c r="BJ62" t="str">
        <v>DELETE</v>
      </c>
      <c r="BK62">
        <v>2.6028927352485211E-2</v>
      </c>
      <c r="BL62">
        <v>4.1544504253524434E-2</v>
      </c>
      <c r="BM62">
        <v>4.8920490039415225E-2</v>
      </c>
    </row>
    <row r="63" spans="3:65">
      <c r="C63" s="362">
        <v>1</v>
      </c>
      <c r="D63" s="363" t="s">
        <v>10157</v>
      </c>
      <c r="E63" s="362" t="s">
        <v>243</v>
      </c>
      <c r="F63" s="362" t="s">
        <v>524</v>
      </c>
      <c r="G63" s="362" t="s">
        <v>203</v>
      </c>
      <c r="H63" s="368">
        <v>-2.8533815875203707</v>
      </c>
      <c r="I63" s="368">
        <v>0</v>
      </c>
      <c r="J63" s="368">
        <v>0</v>
      </c>
      <c r="K63" s="368">
        <v>-1.0291057012353388</v>
      </c>
      <c r="L63" s="368">
        <v>-1.5981537109780228</v>
      </c>
      <c r="M63" s="368">
        <v>-0.46049082276355691</v>
      </c>
      <c r="N63" s="368">
        <v>-0.55970098771042198</v>
      </c>
      <c r="O63" s="368">
        <v>2.7969477872377062E-2</v>
      </c>
      <c r="T63" s="46">
        <v>1</v>
      </c>
      <c r="U63" s="46" t="s">
        <v>237</v>
      </c>
      <c r="V63" s="53" t="s">
        <v>243</v>
      </c>
      <c r="W63" s="53" t="s">
        <v>524</v>
      </c>
      <c r="X63" s="53" t="s">
        <v>203</v>
      </c>
      <c r="Y63" s="172">
        <f>IFERROR(-tblZwaste1422[[#This Row],[Weight (kgCO2e/kg)]],0)</f>
        <v>-2.8533815875203707</v>
      </c>
      <c r="Z63" s="172" t="e">
        <f>IF(AQ63="x",(AR63*-tblZwaste1422[[#This Row],[Weight (kgCO2e/kg)]])+AS63+($AR$10*Lookups!$J$38/1000),"DELETE")</f>
        <v>#N/A</v>
      </c>
      <c r="AA63" s="172" t="str">
        <f t="shared" ref="AA63:AF63" si="46">IF(ISNUMBER(AVERAGE(AA455,AA511,AA623,AA567,AA679,AA735,AA791,AA847,AA903)),AVERAGE(AA455,AA511,AA623,AA567,AA679,AA735,AA791,AA847,AA903),AA455)</f>
        <v>DELETE</v>
      </c>
      <c r="AB63" s="172">
        <f t="shared" si="46"/>
        <v>-1.0291057012353388</v>
      </c>
      <c r="AC63" s="172">
        <f t="shared" si="46"/>
        <v>-1.5981537109780228</v>
      </c>
      <c r="AD63" s="172">
        <f t="shared" si="46"/>
        <v>-0.46049082276355691</v>
      </c>
      <c r="AE63" s="172">
        <f t="shared" si="46"/>
        <v>-0.55970098771042198</v>
      </c>
      <c r="AF63" s="172">
        <f t="shared" si="46"/>
        <v>2.7969477872377062E-2</v>
      </c>
      <c r="AG63" s="150"/>
      <c r="AI63" s="137">
        <v>1</v>
      </c>
      <c r="AJ63" s="136" t="s">
        <v>237</v>
      </c>
      <c r="AK63" s="142" t="s">
        <v>243</v>
      </c>
      <c r="AL63" s="136" t="s">
        <v>524</v>
      </c>
      <c r="AM63" s="136" t="s">
        <v>203</v>
      </c>
      <c r="AN63" s="1">
        <v>2.8533815875203707</v>
      </c>
      <c r="AO63" s="166">
        <v>1.0711602172222223</v>
      </c>
      <c r="AQ63" t="e">
        <f>_xlfn.XLOOKUP(tblGWP21[[#This Row],[Material Subcategory]],ls_Mat,Factors!$K$952:$K$1023)</f>
        <v>#N/A</v>
      </c>
      <c r="AR63" s="173"/>
      <c r="BA63" cm="1">
        <f t="array" ref="BA63:BM63">tblGWP21[#This Row]</f>
        <v>1</v>
      </c>
      <c r="BB63" t="str">
        <v>Mixed/Custom</v>
      </c>
      <c r="BC63" t="str">
        <v>Mixed MSW</v>
      </c>
      <c r="BD63" t="str">
        <v>Global</v>
      </c>
      <c r="BE63" t="str">
        <v>n/a</v>
      </c>
      <c r="BF63">
        <v>-2.8533815875203707</v>
      </c>
      <c r="BG63" t="e">
        <v>#N/A</v>
      </c>
      <c r="BH63" t="str">
        <v>DELETE</v>
      </c>
      <c r="BI63">
        <v>-1.0291057012353388</v>
      </c>
      <c r="BJ63">
        <v>-1.5981537109780228</v>
      </c>
      <c r="BK63">
        <v>-0.46049082276355691</v>
      </c>
      <c r="BL63">
        <v>-0.55970098771042198</v>
      </c>
      <c r="BM63">
        <v>2.7969477872377062E-2</v>
      </c>
    </row>
    <row r="64" spans="3:65">
      <c r="C64" s="136">
        <v>1</v>
      </c>
      <c r="D64" s="137" t="s">
        <v>252</v>
      </c>
      <c r="E64" s="136" t="s">
        <v>333</v>
      </c>
      <c r="F64" s="136" t="s">
        <v>524</v>
      </c>
      <c r="G64" s="136" t="s">
        <v>203</v>
      </c>
      <c r="H64" s="191">
        <v>-2.0953266666666663</v>
      </c>
      <c r="I64" s="191">
        <v>0</v>
      </c>
      <c r="J64" s="191">
        <v>-4.4029413122431871</v>
      </c>
      <c r="K64" s="191">
        <v>0</v>
      </c>
      <c r="L64" s="191">
        <v>0</v>
      </c>
      <c r="M64" s="191">
        <v>2.6028899631859132E-2</v>
      </c>
      <c r="N64" s="191">
        <v>0.56977298272817556</v>
      </c>
      <c r="O64" s="191">
        <v>2.1870253230519587</v>
      </c>
      <c r="T64" s="48">
        <v>1</v>
      </c>
      <c r="U64" s="46" t="s">
        <v>252</v>
      </c>
      <c r="V64" s="53" t="s">
        <v>333</v>
      </c>
      <c r="W64" s="53" t="s">
        <v>524</v>
      </c>
      <c r="X64" s="53" t="s">
        <v>203</v>
      </c>
      <c r="Y64" s="172">
        <f>IFERROR(-tblZwaste1422[[#This Row],[Weight (kgCO2e/kg)]],0)</f>
        <v>-2.0953266666666663</v>
      </c>
      <c r="Z64" s="172" t="str">
        <f>IF(AQ64="x",(AR64*-tblZwaste1422[[#This Row],[Weight (kgCO2e/kg)]])+AS64+($AR$10*Lookups!$J$38/1000),"DELETE")</f>
        <v>DELETE</v>
      </c>
      <c r="AA64" s="172">
        <f t="shared" ref="AA64:AF64" si="47">IF(ISNUMBER(AVERAGE(AA456,AA512,AA624,AA568,AA680,AA736,AA792,AA848,AA904)),AVERAGE(AA456,AA512,AA624,AA568,AA680,AA736,AA792,AA848,AA904),AA456)</f>
        <v>-4.4029413122431871</v>
      </c>
      <c r="AB64" s="172" t="str">
        <f t="shared" si="47"/>
        <v>DELETE</v>
      </c>
      <c r="AC64" s="172" t="str">
        <f t="shared" si="47"/>
        <v>DELETE</v>
      </c>
      <c r="AD64" s="172">
        <f t="shared" si="47"/>
        <v>2.6028899631859132E-2</v>
      </c>
      <c r="AE64" s="172">
        <f t="shared" si="47"/>
        <v>0.56977298272817556</v>
      </c>
      <c r="AF64" s="172">
        <f t="shared" si="47"/>
        <v>2.1870253230519587</v>
      </c>
      <c r="AG64" s="150"/>
      <c r="AI64" s="137">
        <v>1</v>
      </c>
      <c r="AJ64" s="136" t="s">
        <v>252</v>
      </c>
      <c r="AK64" s="142" t="s">
        <v>333</v>
      </c>
      <c r="AL64" s="136" t="s">
        <v>524</v>
      </c>
      <c r="AM64" s="136" t="s">
        <v>203</v>
      </c>
      <c r="AN64" s="1">
        <v>2.0953266666666663</v>
      </c>
      <c r="AO64" s="166">
        <v>1.77911</v>
      </c>
      <c r="AQ64">
        <f>_xlfn.XLOOKUP(tblGWP21[[#This Row],[Material Subcategory]],ls_Mat,Factors!$K$952:$K$1023)</f>
        <v>0</v>
      </c>
      <c r="AR64" s="173"/>
      <c r="BA64" cm="1">
        <f t="array" ref="BA64:BM64">tblGWP21[#This Row]</f>
        <v>1</v>
      </c>
      <c r="BB64" t="str">
        <v>Plastics</v>
      </c>
      <c r="BC64" t="str">
        <v>Mixed Plastics</v>
      </c>
      <c r="BD64" t="str">
        <v>Global</v>
      </c>
      <c r="BE64" t="str">
        <v>n/a</v>
      </c>
      <c r="BF64">
        <v>-2.0953266666666663</v>
      </c>
      <c r="BG64" t="str">
        <v>DELETE</v>
      </c>
      <c r="BH64">
        <v>-4.4029413122431871</v>
      </c>
      <c r="BI64" t="str">
        <v>DELETE</v>
      </c>
      <c r="BJ64" t="str">
        <v>DELETE</v>
      </c>
      <c r="BK64">
        <v>2.6028899631859132E-2</v>
      </c>
      <c r="BL64">
        <v>0.56977298272817556</v>
      </c>
      <c r="BM64">
        <v>2.1870253230519587</v>
      </c>
    </row>
    <row r="65" spans="3:65">
      <c r="C65" s="362">
        <v>1</v>
      </c>
      <c r="D65" s="363" t="s">
        <v>239</v>
      </c>
      <c r="E65" s="362" t="s">
        <v>542</v>
      </c>
      <c r="F65" s="362" t="s">
        <v>524</v>
      </c>
      <c r="G65" s="362" t="s">
        <v>203</v>
      </c>
      <c r="H65" s="368">
        <v>-2.6644477777777777</v>
      </c>
      <c r="I65" s="368">
        <v>0</v>
      </c>
      <c r="J65" s="368">
        <v>-0.85315144198853521</v>
      </c>
      <c r="K65" s="368">
        <v>-1.6307049553261799</v>
      </c>
      <c r="L65" s="368">
        <v>-2.3905586632960283</v>
      </c>
      <c r="M65" s="368">
        <v>-0.64514726219802043</v>
      </c>
      <c r="N65" s="368">
        <v>-0.87223081739780683</v>
      </c>
      <c r="O65" s="368">
        <v>2.7472078555399088E-2</v>
      </c>
      <c r="T65" s="48">
        <v>1</v>
      </c>
      <c r="U65" s="46" t="s">
        <v>239</v>
      </c>
      <c r="V65" s="53" t="s">
        <v>542</v>
      </c>
      <c r="W65" s="53" t="s">
        <v>524</v>
      </c>
      <c r="X65" s="53" t="s">
        <v>203</v>
      </c>
      <c r="Y65" s="172">
        <f>IFERROR(-tblZwaste1422[[#This Row],[Weight (kgCO2e/kg)]],0)</f>
        <v>-2.6644477777777777</v>
      </c>
      <c r="Z65" s="172" t="str">
        <f>IF(AQ65="x",(AR65*-tblZwaste1422[[#This Row],[Weight (kgCO2e/kg)]])+AS65+($AR$10*Lookups!$J$38/1000),"DELETE")</f>
        <v>DELETE</v>
      </c>
      <c r="AA65" s="172">
        <f t="shared" ref="AA65:AF65" si="48">IF(ISNUMBER(AVERAGE(AA457,AA513,AA625,AA569,AA681,AA737,AA793,AA849,AA905)),AVERAGE(AA457,AA513,AA625,AA569,AA681,AA737,AA793,AA849,AA905),AA457)</f>
        <v>-0.85315144198853521</v>
      </c>
      <c r="AB65" s="172">
        <f t="shared" si="48"/>
        <v>-1.6307049553261799</v>
      </c>
      <c r="AC65" s="172">
        <f t="shared" si="48"/>
        <v>-2.3905586632960283</v>
      </c>
      <c r="AD65" s="172">
        <f t="shared" si="48"/>
        <v>-0.64514726219802043</v>
      </c>
      <c r="AE65" s="172">
        <f t="shared" si="48"/>
        <v>-0.87223081739780683</v>
      </c>
      <c r="AF65" s="172">
        <f t="shared" si="48"/>
        <v>2.7472078555399088E-2</v>
      </c>
      <c r="AG65" s="150"/>
      <c r="AI65" s="137">
        <v>1</v>
      </c>
      <c r="AJ65" s="136" t="s">
        <v>239</v>
      </c>
      <c r="AK65" s="142" t="s">
        <v>542</v>
      </c>
      <c r="AL65" s="136" t="s">
        <v>524</v>
      </c>
      <c r="AM65" s="136" t="s">
        <v>203</v>
      </c>
      <c r="AN65" s="1">
        <v>2.6644477777777777</v>
      </c>
      <c r="AO65" s="166">
        <v>0.64099666666666666</v>
      </c>
      <c r="AQ65">
        <f>_xlfn.XLOOKUP(tblGWP21[[#This Row],[Material Subcategory]],ls_Mat,Factors!$K$952:$K$1023)</f>
        <v>0</v>
      </c>
      <c r="BA65" cm="1">
        <f t="array" ref="BA65:BM65">tblGWP21[#This Row]</f>
        <v>1</v>
      </c>
      <c r="BB65" t="str">
        <v>Paper</v>
      </c>
      <c r="BC65" t="str">
        <v>Mixed Paper</v>
      </c>
      <c r="BD65" t="str">
        <v>Global</v>
      </c>
      <c r="BE65" t="str">
        <v>n/a</v>
      </c>
      <c r="BF65">
        <v>-2.6644477777777777</v>
      </c>
      <c r="BG65" t="str">
        <v>DELETE</v>
      </c>
      <c r="BH65">
        <v>-0.85315144198853521</v>
      </c>
      <c r="BI65">
        <v>-1.6307049553261799</v>
      </c>
      <c r="BJ65">
        <v>-2.3905586632960283</v>
      </c>
      <c r="BK65">
        <v>-0.64514726219802043</v>
      </c>
      <c r="BL65">
        <v>-0.87223081739780683</v>
      </c>
      <c r="BM65">
        <v>2.7472078555399088E-2</v>
      </c>
    </row>
    <row r="66" spans="3:65">
      <c r="C66" s="6">
        <v>1</v>
      </c>
      <c r="D66" s="373" t="s">
        <v>10157</v>
      </c>
      <c r="E66" s="6" t="s">
        <v>238</v>
      </c>
      <c r="F66" s="136" t="s">
        <v>524</v>
      </c>
      <c r="G66" s="136" t="s">
        <v>203</v>
      </c>
      <c r="H66" s="191">
        <v>-2.7046544444444445</v>
      </c>
      <c r="I66" s="191">
        <v>0</v>
      </c>
      <c r="J66" s="191">
        <v>0</v>
      </c>
      <c r="K66" s="191">
        <v>0</v>
      </c>
      <c r="L66" s="191">
        <v>0</v>
      </c>
      <c r="M66" s="191">
        <v>-0.1417885115680623</v>
      </c>
      <c r="N66" s="191">
        <v>-9.3087025812729193E-2</v>
      </c>
      <c r="O66" s="191">
        <v>0.54509494649852375</v>
      </c>
      <c r="T66" s="49">
        <v>1</v>
      </c>
      <c r="U66" s="143" t="s">
        <v>237</v>
      </c>
      <c r="V66" s="33" t="s">
        <v>238</v>
      </c>
      <c r="W66" s="53" t="s">
        <v>524</v>
      </c>
      <c r="X66" s="53" t="s">
        <v>203</v>
      </c>
      <c r="Y66" s="172">
        <f>IFERROR(-tblZwaste1422[[#This Row],[Weight (kgCO2e/kg)]],0)</f>
        <v>-2.7046544444444445</v>
      </c>
      <c r="Z66" s="172" t="str">
        <f>IF(AQ66="x",(AR66*-tblZwaste1422[[#This Row],[Weight (kgCO2e/kg)]])+AS66+($AR$10*Lookups!$J$38/1000),"DELETE")</f>
        <v>DELETE</v>
      </c>
      <c r="AA66" s="172" t="str">
        <f t="shared" ref="AA66:AF66" si="49">IF(ISNUMBER(AVERAGE(AA458,AA514,AA626,AA570,AA682,AA738,AA794,AA850,AA906)),AVERAGE(AA458,AA514,AA626,AA570,AA682,AA738,AA794,AA850,AA906),AA458)</f>
        <v>DELETE</v>
      </c>
      <c r="AB66" s="172" t="str">
        <f t="shared" si="49"/>
        <v>DELETE</v>
      </c>
      <c r="AC66" s="172" t="str">
        <f t="shared" si="49"/>
        <v>DELETE</v>
      </c>
      <c r="AD66" s="172">
        <f t="shared" si="49"/>
        <v>-0.1417885115680623</v>
      </c>
      <c r="AE66" s="172">
        <f t="shared" si="49"/>
        <v>-9.3087025812729193E-2</v>
      </c>
      <c r="AF66" s="172">
        <f t="shared" si="49"/>
        <v>0.54509494649852375</v>
      </c>
      <c r="AG66" s="150"/>
      <c r="AI66" s="137">
        <v>1</v>
      </c>
      <c r="AJ66" s="136" t="s">
        <v>237</v>
      </c>
      <c r="AK66" s="142" t="s">
        <v>238</v>
      </c>
      <c r="AL66" s="136" t="s">
        <v>524</v>
      </c>
      <c r="AM66" s="136" t="s">
        <v>203</v>
      </c>
      <c r="AN66" s="1">
        <v>2.7046544444444445</v>
      </c>
      <c r="AO66" s="166">
        <v>1.2161291666666667</v>
      </c>
      <c r="AQ66">
        <f>_xlfn.XLOOKUP(tblGWP21[[#This Row],[Material Subcategory]],ls_Mat,Factors!$K$952:$K$1023)</f>
        <v>0</v>
      </c>
      <c r="BA66" cm="1">
        <f t="array" ref="BA66:BM66">tblGWP21[#This Row]</f>
        <v>1</v>
      </c>
      <c r="BB66" t="str">
        <v>Mixed/Custom</v>
      </c>
      <c r="BC66" t="str">
        <v>Mixed Recycling</v>
      </c>
      <c r="BD66" t="str">
        <v>Global</v>
      </c>
      <c r="BE66" t="str">
        <v>n/a</v>
      </c>
      <c r="BF66">
        <v>-2.7046544444444445</v>
      </c>
      <c r="BG66" t="str">
        <v>DELETE</v>
      </c>
      <c r="BH66" t="str">
        <v>DELETE</v>
      </c>
      <c r="BI66" t="str">
        <v>DELETE</v>
      </c>
      <c r="BJ66" t="str">
        <v>DELETE</v>
      </c>
      <c r="BK66">
        <v>-0.1417885115680623</v>
      </c>
      <c r="BL66">
        <v>-9.3087025812729193E-2</v>
      </c>
      <c r="BM66">
        <v>0.54509494649852375</v>
      </c>
    </row>
    <row r="67" spans="3:65">
      <c r="C67" s="375">
        <v>1</v>
      </c>
      <c r="D67" s="374" t="s">
        <v>264</v>
      </c>
      <c r="E67" s="375" t="s">
        <v>264</v>
      </c>
      <c r="F67" s="362" t="s">
        <v>524</v>
      </c>
      <c r="G67" s="362" t="s">
        <v>203</v>
      </c>
      <c r="H67" s="368">
        <v>-1.9287117500000002</v>
      </c>
      <c r="I67" s="368">
        <v>-1.1070613798500002</v>
      </c>
      <c r="J67" s="368">
        <v>0.15112249999999994</v>
      </c>
      <c r="K67" s="368">
        <v>0</v>
      </c>
      <c r="L67" s="368">
        <v>0</v>
      </c>
      <c r="M67" s="368">
        <v>-0.34061625573241483</v>
      </c>
      <c r="N67" s="368">
        <v>-0.52090358989870056</v>
      </c>
      <c r="O67" s="368">
        <v>0.4604220986258532</v>
      </c>
      <c r="T67" s="49">
        <v>1</v>
      </c>
      <c r="U67" s="143" t="s">
        <v>264</v>
      </c>
      <c r="V67" s="349" t="s">
        <v>264</v>
      </c>
      <c r="W67" s="53" t="s">
        <v>524</v>
      </c>
      <c r="X67" s="53" t="s">
        <v>203</v>
      </c>
      <c r="Y67" s="172">
        <f>IFERROR(-tblZwaste1422[[#This Row],[Weight (kgCO2e/kg)]],0)</f>
        <v>-1.9287117500000002</v>
      </c>
      <c r="Z67" s="172" t="e">
        <f>IF(AQ67="x",(AR67*-tblZwaste1422[[#This Row],[Weight (kgCO2e/kg)]])+AS67+($AR$10*Lookups!$J$38/1000),"DELETE")</f>
        <v>#N/A</v>
      </c>
      <c r="AA67" s="172">
        <f>AA71</f>
        <v>0.15112249999999994</v>
      </c>
      <c r="AB67" s="172" t="str">
        <f t="shared" ref="AB67:AF67" si="50">IF(ISNUMBER(AVERAGE(AB459,AB515,AB627,AB571,AB683,AB739,AB795,AB851,AB907)),AVERAGE(AB459,AB515,AB627,AB571,AB683,AB739,AB795,AB851,AB907),AB459)</f>
        <v>DELETE</v>
      </c>
      <c r="AC67" s="172" t="str">
        <f t="shared" si="50"/>
        <v>DELETE</v>
      </c>
      <c r="AD67" s="172">
        <f t="shared" si="50"/>
        <v>-0.34061625573241483</v>
      </c>
      <c r="AE67" s="172">
        <f t="shared" si="50"/>
        <v>-0.52090358989870056</v>
      </c>
      <c r="AF67" s="172">
        <f t="shared" si="50"/>
        <v>0.4604220986258532</v>
      </c>
      <c r="AG67" s="150"/>
      <c r="AI67" s="137">
        <v>1</v>
      </c>
      <c r="AJ67" s="136" t="s">
        <v>264</v>
      </c>
      <c r="AK67" s="142" t="s">
        <v>264</v>
      </c>
      <c r="AL67" s="136" t="s">
        <v>524</v>
      </c>
      <c r="AM67" s="136" t="s">
        <v>203</v>
      </c>
      <c r="AN67" s="1">
        <v>1.9287117500000002</v>
      </c>
      <c r="AO67" s="166">
        <v>0.467055</v>
      </c>
      <c r="AQ67" t="e">
        <f>_xlfn.XLOOKUP(tblGWP21[[#This Row],[Material Subcategory]],ls_Mat,Factors!$K$952:$K$1023)</f>
        <v>#N/A</v>
      </c>
      <c r="AR67" s="173">
        <v>0.65</v>
      </c>
      <c r="AS67">
        <v>0.14482945764999999</v>
      </c>
      <c r="AT67" t="s">
        <v>541</v>
      </c>
      <c r="BA67" cm="1">
        <f t="array" ref="BA67:BM67">tblGWP21[#This Row]</f>
        <v>1</v>
      </c>
      <c r="BB67" t="str">
        <v>Furniture/Textiles</v>
      </c>
      <c r="BC67" t="str">
        <v>Furniture/Textiles</v>
      </c>
      <c r="BD67" t="str">
        <v>Global</v>
      </c>
      <c r="BE67" t="str">
        <v>n/a</v>
      </c>
      <c r="BF67">
        <v>-1.9287117500000002</v>
      </c>
      <c r="BG67" t="e">
        <v>#N/A</v>
      </c>
      <c r="BH67">
        <v>0.15112249999999994</v>
      </c>
      <c r="BI67" t="str">
        <v>DELETE</v>
      </c>
      <c r="BJ67" t="str">
        <v>DELETE</v>
      </c>
      <c r="BK67">
        <v>-0.34061625573241483</v>
      </c>
      <c r="BL67">
        <v>-0.52090358989870056</v>
      </c>
      <c r="BM67">
        <v>0.4604220986258532</v>
      </c>
    </row>
    <row r="68" spans="3:65">
      <c r="C68" s="6">
        <v>1</v>
      </c>
      <c r="D68" s="373" t="s">
        <v>264</v>
      </c>
      <c r="E68" s="6" t="s">
        <v>336</v>
      </c>
      <c r="F68" s="136" t="s">
        <v>524</v>
      </c>
      <c r="G68" s="136" t="s">
        <v>203</v>
      </c>
      <c r="H68" s="191">
        <v>-0.76351350000000007</v>
      </c>
      <c r="I68" s="191">
        <v>-0.34968251735000005</v>
      </c>
      <c r="J68" s="191">
        <v>0</v>
      </c>
      <c r="K68" s="191">
        <v>-1.6470230578256588</v>
      </c>
      <c r="L68" s="191">
        <v>-2.6265410978135688</v>
      </c>
      <c r="M68" s="191">
        <v>-0.99849482060934003</v>
      </c>
      <c r="N68" s="191">
        <v>-0.7564579954406071</v>
      </c>
      <c r="O68" s="191">
        <v>0.2115485550219019</v>
      </c>
      <c r="T68" s="49">
        <v>1</v>
      </c>
      <c r="U68" s="143" t="s">
        <v>264</v>
      </c>
      <c r="V68" s="33" t="s">
        <v>336</v>
      </c>
      <c r="W68" s="53" t="s">
        <v>524</v>
      </c>
      <c r="X68" s="53" t="s">
        <v>203</v>
      </c>
      <c r="Y68" s="172">
        <f>IFERROR(-tblZwaste1422[[#This Row],[Weight (kgCO2e/kg)]],0)</f>
        <v>-0.76351350000000007</v>
      </c>
      <c r="Z68" s="172">
        <f>IF(AQ68="x",(AR68*-tblZwaste1422[[#This Row],[Weight (kgCO2e/kg)]])+AS68+($AR$10*Lookups!$J$38/1000),"DELETE")</f>
        <v>-0.34968251735000005</v>
      </c>
      <c r="AA68" s="172" t="str">
        <f t="shared" ref="AA68:AF68" si="51">IF(ISNUMBER(AVERAGE(AA460,AA516,AA628,AA572,AA684,AA740,AA796,AA852,AA908)),AVERAGE(AA460,AA516,AA628,AA572,AA684,AA740,AA796,AA852,AA908),AA460)</f>
        <v>DELETE</v>
      </c>
      <c r="AB68" s="172">
        <f t="shared" si="51"/>
        <v>-1.6470230578256588</v>
      </c>
      <c r="AC68" s="172">
        <f t="shared" si="51"/>
        <v>-2.6265410978135688</v>
      </c>
      <c r="AD68" s="172">
        <f t="shared" si="51"/>
        <v>-0.99849482060934003</v>
      </c>
      <c r="AE68" s="172">
        <f t="shared" si="51"/>
        <v>-0.7564579954406071</v>
      </c>
      <c r="AF68" s="172">
        <f t="shared" si="51"/>
        <v>0.2115485550219019</v>
      </c>
      <c r="AG68" s="150"/>
      <c r="AI68" s="137">
        <v>1</v>
      </c>
      <c r="AJ68" s="136" t="s">
        <v>264</v>
      </c>
      <c r="AK68" s="142" t="s">
        <v>336</v>
      </c>
      <c r="AL68" s="136" t="s">
        <v>524</v>
      </c>
      <c r="AM68" s="136" t="s">
        <v>203</v>
      </c>
      <c r="AN68" s="1">
        <v>0.76351350000000007</v>
      </c>
      <c r="AO68" s="166">
        <v>0.43603999999999998</v>
      </c>
      <c r="AQ68" t="str">
        <f>_xlfn.XLOOKUP(tblGWP21[[#This Row],[Material Subcategory]],ls_Mat,Factors!$K$952:$K$1023)</f>
        <v>x</v>
      </c>
      <c r="AR68" s="173">
        <v>0.65</v>
      </c>
      <c r="AS68">
        <v>0.14482945764999999</v>
      </c>
      <c r="AT68" t="s">
        <v>541</v>
      </c>
      <c r="BA68" cm="1">
        <f t="array" ref="BA68:BM68">tblGWP21[#This Row]</f>
        <v>1</v>
      </c>
      <c r="BB68" t="str">
        <v>Furniture/Textiles</v>
      </c>
      <c r="BC68" t="str">
        <v>Furniture</v>
      </c>
      <c r="BD68" t="str">
        <v>Global</v>
      </c>
      <c r="BE68" t="str">
        <v>n/a</v>
      </c>
      <c r="BF68">
        <v>-0.76351350000000007</v>
      </c>
      <c r="BG68">
        <v>-0.34968251735000005</v>
      </c>
      <c r="BH68" t="str">
        <v>DELETE</v>
      </c>
      <c r="BI68">
        <v>-1.6470230578256588</v>
      </c>
      <c r="BJ68">
        <v>-2.6265410978135688</v>
      </c>
      <c r="BK68">
        <v>-0.99849482060934003</v>
      </c>
      <c r="BL68">
        <v>-0.7564579954406071</v>
      </c>
      <c r="BM68">
        <v>0.2115485550219019</v>
      </c>
    </row>
    <row r="69" spans="3:65">
      <c r="C69" s="375">
        <v>1</v>
      </c>
      <c r="D69" s="374" t="s">
        <v>242</v>
      </c>
      <c r="E69" s="375" t="s">
        <v>251</v>
      </c>
      <c r="F69" s="362" t="s">
        <v>524</v>
      </c>
      <c r="G69" s="362" t="s">
        <v>203</v>
      </c>
      <c r="H69" s="368">
        <v>-4.9218200000000003</v>
      </c>
      <c r="I69" s="368">
        <v>-3.5665477000000001</v>
      </c>
      <c r="J69" s="368">
        <v>-1.2190350000000001</v>
      </c>
      <c r="K69" s="368">
        <v>0</v>
      </c>
      <c r="L69" s="368">
        <v>0</v>
      </c>
      <c r="M69" s="368">
        <v>2.5957729224341867E-2</v>
      </c>
      <c r="N69" s="368">
        <v>0.19611811587387543</v>
      </c>
      <c r="O69" s="368">
        <v>0.85137837827672158</v>
      </c>
      <c r="T69" s="49">
        <v>1</v>
      </c>
      <c r="U69" s="143" t="s">
        <v>242</v>
      </c>
      <c r="V69" s="33" t="s">
        <v>251</v>
      </c>
      <c r="W69" s="53" t="s">
        <v>524</v>
      </c>
      <c r="X69" s="53" t="s">
        <v>203</v>
      </c>
      <c r="Y69" s="172">
        <f>IFERROR(-tblZwaste1422[[#This Row],[Weight (kgCO2e/kg)]],0)</f>
        <v>-4.9218200000000003</v>
      </c>
      <c r="Z69" s="172">
        <f>IF(AQ69="x",(AR69*-tblZwaste1422[[#This Row],[Weight (kgCO2e/kg)]])+AS69+($AR$10*Lookups!$J$38/1000),"DELETE")</f>
        <v>-3.5665477000000001</v>
      </c>
      <c r="AA69" s="172">
        <v>-1.2190350000000001</v>
      </c>
      <c r="AB69" s="172" t="str">
        <f t="shared" ref="AB69:AF69" si="52">IF(ISNUMBER(AVERAGE(AB461,AB517,AB629,AB573,AB685,AB741,AB797,AB853,AB909)),AVERAGE(AB461,AB517,AB629,AB573,AB685,AB741,AB797,AB853,AB909),AB461)</f>
        <v>DELETE</v>
      </c>
      <c r="AC69" s="172" t="str">
        <f t="shared" si="52"/>
        <v>DELETE</v>
      </c>
      <c r="AD69" s="172">
        <f t="shared" si="52"/>
        <v>2.5957729224341867E-2</v>
      </c>
      <c r="AE69" s="172">
        <f t="shared" si="52"/>
        <v>0.19611811587387543</v>
      </c>
      <c r="AF69" s="172">
        <f t="shared" si="52"/>
        <v>0.85137837827672158</v>
      </c>
      <c r="AG69" s="150"/>
      <c r="AI69" s="137">
        <v>1</v>
      </c>
      <c r="AJ69" s="136" t="s">
        <v>242</v>
      </c>
      <c r="AK69" s="142" t="s">
        <v>251</v>
      </c>
      <c r="AL69" s="136" t="s">
        <v>524</v>
      </c>
      <c r="AM69" s="136" t="s">
        <v>203</v>
      </c>
      <c r="AN69" s="1">
        <v>4.9218200000000003</v>
      </c>
      <c r="AO69" s="166">
        <v>0.15096000000000001</v>
      </c>
      <c r="AQ69" t="str">
        <f>_xlfn.XLOOKUP(tblGWP21[[#This Row],[Material Subcategory]],ls_Mat,Factors!$K$952:$K$1023)</f>
        <v>x</v>
      </c>
      <c r="AR69" s="173">
        <v>0.72499999999999998</v>
      </c>
      <c r="AS69">
        <v>0</v>
      </c>
      <c r="AT69" t="s">
        <v>527</v>
      </c>
      <c r="BA69" cm="1">
        <f t="array" ref="BA69:BM69">tblGWP21[#This Row]</f>
        <v>1</v>
      </c>
      <c r="BB69" t="str">
        <v>Electronics</v>
      </c>
      <c r="BC69" t="str">
        <v>Appliances</v>
      </c>
      <c r="BD69" t="str">
        <v>Global</v>
      </c>
      <c r="BE69" t="str">
        <v>n/a</v>
      </c>
      <c r="BF69">
        <v>-4.9218200000000003</v>
      </c>
      <c r="BG69">
        <v>-3.5665477000000001</v>
      </c>
      <c r="BH69">
        <v>-1.2190350000000001</v>
      </c>
      <c r="BI69" t="str">
        <v>DELETE</v>
      </c>
      <c r="BJ69" t="str">
        <v>DELETE</v>
      </c>
      <c r="BK69">
        <v>2.5957729224341867E-2</v>
      </c>
      <c r="BL69">
        <v>0.19611811587387543</v>
      </c>
      <c r="BM69">
        <v>0.85137837827672158</v>
      </c>
    </row>
    <row r="70" spans="3:65">
      <c r="C70" s="6">
        <v>1</v>
      </c>
      <c r="D70" s="373" t="s">
        <v>242</v>
      </c>
      <c r="E70" s="6" t="s">
        <v>543</v>
      </c>
      <c r="F70" s="136" t="s">
        <v>524</v>
      </c>
      <c r="G70" s="136" t="s">
        <v>203</v>
      </c>
      <c r="H70" s="191">
        <v>-1.00081</v>
      </c>
      <c r="I70" s="191">
        <v>-0.72381545000000003</v>
      </c>
      <c r="J70" s="191">
        <v>-0.20626249999999999</v>
      </c>
      <c r="K70" s="191">
        <v>0</v>
      </c>
      <c r="L70" s="191">
        <v>0</v>
      </c>
      <c r="M70" s="191">
        <v>2.5859999999999998E-2</v>
      </c>
      <c r="N70" s="191">
        <v>4.1544504253524454E-2</v>
      </c>
      <c r="O70" s="191">
        <v>4.8920490039414649E-2</v>
      </c>
      <c r="T70" s="49">
        <v>1</v>
      </c>
      <c r="U70" s="143" t="s">
        <v>242</v>
      </c>
      <c r="V70" s="33" t="s">
        <v>543</v>
      </c>
      <c r="W70" s="53" t="s">
        <v>524</v>
      </c>
      <c r="X70" s="53" t="s">
        <v>203</v>
      </c>
      <c r="Y70" s="172">
        <f>IFERROR(-tblZwaste1422[[#This Row],[Weight (kgCO2e/kg)]],0)</f>
        <v>-1.00081</v>
      </c>
      <c r="Z70" s="172">
        <f>IF(AQ70="x",(AR70*-tblZwaste1422[[#This Row],[Weight (kgCO2e/kg)]])+AS70+($AR$10*Lookups!$J$38/1000),"DELETE")</f>
        <v>-0.72381545000000003</v>
      </c>
      <c r="AA70" s="172">
        <v>-0.20626249999999999</v>
      </c>
      <c r="AB70" s="172" t="str">
        <f t="shared" ref="AB70:AF70" si="53">IF(ISNUMBER(AVERAGE(AB462,AB518,AB630,AB574,AB686,AB742,AB798,AB854,AB910)),AVERAGE(AB462,AB518,AB630,AB574,AB686,AB742,AB798,AB854,AB910),AB462)</f>
        <v>DELETE</v>
      </c>
      <c r="AC70" s="172" t="str">
        <f t="shared" si="53"/>
        <v>DELETE</v>
      </c>
      <c r="AD70" s="172">
        <f t="shared" si="53"/>
        <v>2.5859999999999998E-2</v>
      </c>
      <c r="AE70" s="172">
        <f t="shared" si="53"/>
        <v>4.1544504253524454E-2</v>
      </c>
      <c r="AF70" s="172">
        <f t="shared" si="53"/>
        <v>4.8920490039414649E-2</v>
      </c>
      <c r="AG70" s="150"/>
      <c r="AI70" s="137">
        <v>1</v>
      </c>
      <c r="AJ70" s="136" t="s">
        <v>242</v>
      </c>
      <c r="AK70" s="142" t="s">
        <v>543</v>
      </c>
      <c r="AL70" s="136" t="s">
        <v>524</v>
      </c>
      <c r="AM70" s="136" t="s">
        <v>203</v>
      </c>
      <c r="AN70" s="1">
        <v>1.00081</v>
      </c>
      <c r="AO70" s="166">
        <v>0.33138000000000001</v>
      </c>
      <c r="AQ70" t="str">
        <f>_xlfn.XLOOKUP(tblGWP21[[#This Row],[Material Subcategory]],ls_Mat,Factors!$K$952:$K$1023)</f>
        <v>x</v>
      </c>
      <c r="AR70" s="173">
        <v>0.72499999999999998</v>
      </c>
      <c r="AS70">
        <v>0</v>
      </c>
      <c r="AT70" t="s">
        <v>527</v>
      </c>
      <c r="BA70" cm="1">
        <f t="array" ref="BA70:BM70">tblGWP21[#This Row]</f>
        <v>1</v>
      </c>
      <c r="BB70" t="str">
        <v>Electronics</v>
      </c>
      <c r="BC70" t="str">
        <v>Lightbulb/Lamps</v>
      </c>
      <c r="BD70" t="str">
        <v>Global</v>
      </c>
      <c r="BE70" t="str">
        <v>n/a</v>
      </c>
      <c r="BF70">
        <v>-1.00081</v>
      </c>
      <c r="BG70">
        <v>-0.72381545000000003</v>
      </c>
      <c r="BH70">
        <v>-0.20626249999999999</v>
      </c>
      <c r="BI70" t="str">
        <v>DELETE</v>
      </c>
      <c r="BJ70" t="str">
        <v>DELETE</v>
      </c>
      <c r="BK70">
        <v>2.5859999999999998E-2</v>
      </c>
      <c r="BL70">
        <v>4.1544504253524454E-2</v>
      </c>
      <c r="BM70">
        <v>4.8920490039414649E-2</v>
      </c>
    </row>
    <row r="71" spans="3:65">
      <c r="C71" s="375">
        <v>1</v>
      </c>
      <c r="D71" s="374" t="s">
        <v>264</v>
      </c>
      <c r="E71" s="375" t="s">
        <v>544</v>
      </c>
      <c r="F71" s="362" t="s">
        <v>524</v>
      </c>
      <c r="G71" s="362" t="s">
        <v>203</v>
      </c>
      <c r="H71" s="368">
        <v>-3.0939100000000002</v>
      </c>
      <c r="I71" s="368">
        <v>-1.8644402423500002</v>
      </c>
      <c r="J71" s="368">
        <v>0.15112249999999994</v>
      </c>
      <c r="K71" s="368">
        <v>0</v>
      </c>
      <c r="L71" s="368">
        <v>0</v>
      </c>
      <c r="M71" s="368">
        <v>0.31726230914451042</v>
      </c>
      <c r="N71" s="368">
        <v>-0.28534918435679391</v>
      </c>
      <c r="O71" s="368">
        <v>0.70929564222980457</v>
      </c>
      <c r="T71" s="49">
        <v>1</v>
      </c>
      <c r="U71" s="143" t="s">
        <v>264</v>
      </c>
      <c r="V71" s="33" t="s">
        <v>544</v>
      </c>
      <c r="W71" s="53" t="s">
        <v>524</v>
      </c>
      <c r="X71" s="53" t="s">
        <v>203</v>
      </c>
      <c r="Y71" s="172">
        <f>IFERROR(-tblZwaste1422[[#This Row],[Weight (kgCO2e/kg)]],0)</f>
        <v>-3.0939100000000002</v>
      </c>
      <c r="Z71" s="172">
        <f>IF(AQ71="x",(AR71*-tblZwaste1422[[#This Row],[Weight (kgCO2e/kg)]])+AS71+($AR$10*Lookups!$J$38/1000),"DELETE")</f>
        <v>-1.8644402423500002</v>
      </c>
      <c r="AA71" s="172">
        <f t="shared" ref="AA71:AF71" si="54">IF(ISNUMBER(AVERAGE(AA463,AA519,AA631,AA575,AA687,AA743,AA799,AA855,AA911)),AVERAGE(AA463,AA519,AA631,AA575,AA687,AA743,AA799,AA855,AA911),AA463)</f>
        <v>0.15112249999999994</v>
      </c>
      <c r="AB71" s="172" t="str">
        <f t="shared" si="54"/>
        <v>DELETE</v>
      </c>
      <c r="AC71" s="172" t="str">
        <f t="shared" si="54"/>
        <v>DELETE</v>
      </c>
      <c r="AD71" s="172">
        <f t="shared" si="54"/>
        <v>0.31726230914451042</v>
      </c>
      <c r="AE71" s="172">
        <f t="shared" si="54"/>
        <v>-0.28534918435679391</v>
      </c>
      <c r="AF71" s="172">
        <f t="shared" si="54"/>
        <v>0.70929564222980457</v>
      </c>
      <c r="AG71" s="150"/>
      <c r="AI71" s="137">
        <v>1</v>
      </c>
      <c r="AJ71" s="136" t="s">
        <v>264</v>
      </c>
      <c r="AK71" s="142" t="s">
        <v>544</v>
      </c>
      <c r="AL71" s="136" t="s">
        <v>524</v>
      </c>
      <c r="AM71" s="136" t="s">
        <v>203</v>
      </c>
      <c r="AN71" s="1">
        <v>3.0939100000000002</v>
      </c>
      <c r="AO71" s="166">
        <v>0.49807000000000001</v>
      </c>
      <c r="AQ71" t="str">
        <f>_xlfn.XLOOKUP(tblGWP21[[#This Row],[Material Subcategory]],ls_Mat,Factors!$K$952:$K$1023)</f>
        <v>x</v>
      </c>
      <c r="AR71" s="173">
        <v>0.65</v>
      </c>
      <c r="AS71">
        <v>0.14482945764999999</v>
      </c>
      <c r="AT71" t="s">
        <v>541</v>
      </c>
      <c r="BA71" cm="1">
        <f t="array" ref="BA71:BM71">tblGWP21[#This Row]</f>
        <v>1</v>
      </c>
      <c r="BB71" t="str">
        <v>Furniture/Textiles</v>
      </c>
      <c r="BC71" t="str">
        <v>Textiles</v>
      </c>
      <c r="BD71" t="str">
        <v>Global</v>
      </c>
      <c r="BE71" t="str">
        <v>n/a</v>
      </c>
      <c r="BF71">
        <v>-3.0939100000000002</v>
      </c>
      <c r="BG71">
        <v>-1.8644402423500002</v>
      </c>
      <c r="BH71">
        <v>0.15112249999999994</v>
      </c>
      <c r="BI71" t="str">
        <v>DELETE</v>
      </c>
      <c r="BJ71" t="str">
        <v>DELETE</v>
      </c>
      <c r="BK71">
        <v>0.31726230914451042</v>
      </c>
      <c r="BL71">
        <v>-0.28534918435679391</v>
      </c>
      <c r="BM71">
        <v>0.70929564222980457</v>
      </c>
    </row>
    <row r="72" spans="3:65">
      <c r="C72" s="6">
        <v>1</v>
      </c>
      <c r="D72" s="373" t="s">
        <v>10157</v>
      </c>
      <c r="E72" s="6" t="s">
        <v>545</v>
      </c>
      <c r="F72" s="136" t="s">
        <v>524</v>
      </c>
      <c r="G72" s="136" t="s">
        <v>203</v>
      </c>
      <c r="H72" s="191">
        <v>-2.8533815875203707</v>
      </c>
      <c r="I72" s="191">
        <v>0</v>
      </c>
      <c r="J72" s="191">
        <v>0</v>
      </c>
      <c r="K72" s="191">
        <v>0</v>
      </c>
      <c r="L72" s="191">
        <v>0</v>
      </c>
      <c r="M72" s="191">
        <v>-0.46049082276355691</v>
      </c>
      <c r="N72" s="191">
        <v>-0.55970098771042198</v>
      </c>
      <c r="O72" s="191">
        <v>2.7969477872377062E-2</v>
      </c>
      <c r="T72" s="49">
        <v>1</v>
      </c>
      <c r="U72" s="143" t="s">
        <v>237</v>
      </c>
      <c r="V72" s="33" t="s">
        <v>545</v>
      </c>
      <c r="W72" s="53" t="s">
        <v>524</v>
      </c>
      <c r="X72" s="53" t="s">
        <v>203</v>
      </c>
      <c r="Y72" s="172">
        <f>IFERROR(-tblZwaste1422[[#This Row],[Weight (kgCO2e/kg)]],0)</f>
        <v>-2.8533815875203707</v>
      </c>
      <c r="Z72" s="172" t="str">
        <f>IF(AQ72="x",(AR72*-tblZwaste1422[[#This Row],[Weight (kgCO2e/kg)]])+AS72+($AR$10*Lookups!$J$38/1000),"DELETE")</f>
        <v>DELETE</v>
      </c>
      <c r="AA72" s="172" t="str">
        <f t="shared" ref="AA72:AF72" si="55">IF(ISNUMBER(AVERAGE(AA464,AA520,AA632,AA576,AA688,AA744,AA800,AA856,AA912)),AVERAGE(AA464,AA520,AA632,AA576,AA688,AA744,AA800,AA856,AA912),AA464)</f>
        <v>DELETE</v>
      </c>
      <c r="AB72" s="172" t="str">
        <f t="shared" si="55"/>
        <v>DELETE</v>
      </c>
      <c r="AC72" s="172" t="str">
        <f t="shared" si="55"/>
        <v>DELETE</v>
      </c>
      <c r="AD72" s="172">
        <f t="shared" si="55"/>
        <v>-0.46049082276355691</v>
      </c>
      <c r="AE72" s="172">
        <f t="shared" si="55"/>
        <v>-0.55970098771042198</v>
      </c>
      <c r="AF72" s="172">
        <f t="shared" si="55"/>
        <v>2.7969477872377062E-2</v>
      </c>
      <c r="AG72" s="150"/>
      <c r="AI72" s="137">
        <v>1</v>
      </c>
      <c r="AJ72" s="136" t="s">
        <v>237</v>
      </c>
      <c r="AK72" s="142" t="s">
        <v>545</v>
      </c>
      <c r="AL72" s="136" t="s">
        <v>524</v>
      </c>
      <c r="AM72" s="136" t="s">
        <v>203</v>
      </c>
      <c r="AN72" s="1">
        <v>2.8533815875203707</v>
      </c>
      <c r="AO72" s="166">
        <v>1.0711602172222223</v>
      </c>
      <c r="AQ72">
        <f>_xlfn.XLOOKUP(tblGWP21[[#This Row],[Material Subcategory]],ls_Mat,Factors!$K$952:$K$1023)</f>
        <v>0</v>
      </c>
      <c r="BA72" cm="1">
        <f t="array" ref="BA72:BM72">tblGWP21[#This Row]</f>
        <v>1</v>
      </c>
      <c r="BB72" t="str">
        <v>Mixed/Custom</v>
      </c>
      <c r="BC72" t="str">
        <v>General other</v>
      </c>
      <c r="BD72" t="str">
        <v>Global</v>
      </c>
      <c r="BE72" t="str">
        <v>n/a</v>
      </c>
      <c r="BF72">
        <v>-2.8533815875203707</v>
      </c>
      <c r="BG72" t="str">
        <v>DELETE</v>
      </c>
      <c r="BH72" t="str">
        <v>DELETE</v>
      </c>
      <c r="BI72" t="str">
        <v>DELETE</v>
      </c>
      <c r="BJ72" t="str">
        <v>DELETE</v>
      </c>
      <c r="BK72">
        <v>-0.46049082276355691</v>
      </c>
      <c r="BL72">
        <v>-0.55970098771042198</v>
      </c>
      <c r="BM72">
        <v>2.7969477872377062E-2</v>
      </c>
    </row>
    <row r="73" spans="3:65" ht="28.8">
      <c r="C73" s="375">
        <v>1</v>
      </c>
      <c r="D73" s="374" t="s">
        <v>10169</v>
      </c>
      <c r="E73" s="375" t="s">
        <v>10170</v>
      </c>
      <c r="F73" s="362" t="s">
        <v>524</v>
      </c>
      <c r="G73" s="362" t="s">
        <v>203</v>
      </c>
      <c r="H73" s="368">
        <v>-0.74582333333333339</v>
      </c>
      <c r="I73" s="368">
        <v>-0.58351400000000009</v>
      </c>
      <c r="J73" s="368">
        <v>0.3259926084346883</v>
      </c>
      <c r="K73" s="368">
        <v>0</v>
      </c>
      <c r="L73" s="368">
        <v>0</v>
      </c>
      <c r="M73" s="368">
        <v>0.45668176288049178</v>
      </c>
      <c r="N73" s="368">
        <v>1.0683983533052401</v>
      </c>
      <c r="O73" s="368">
        <v>1.142290877337675</v>
      </c>
      <c r="T73" s="49">
        <v>1</v>
      </c>
      <c r="U73" s="143" t="s">
        <v>233</v>
      </c>
      <c r="V73" s="33" t="s">
        <v>233</v>
      </c>
      <c r="W73" s="53" t="s">
        <v>546</v>
      </c>
      <c r="X73" s="53" t="s">
        <v>203</v>
      </c>
      <c r="Y73" s="172">
        <f>IFERROR(-tblZwaste1422[[#This Row],[Weight (kgCO2e/kg)]],0)</f>
        <v>0</v>
      </c>
      <c r="Z73" s="172">
        <f>AVERAGE(Z77:Z79)</f>
        <v>-0.13905086666666666</v>
      </c>
      <c r="AA73" s="172" t="str">
        <f t="shared" ref="AA73:AF82" si="56">AA465</f>
        <v>DELETE</v>
      </c>
      <c r="AB73" s="172">
        <f t="shared" si="56"/>
        <v>-1.4414069883318792</v>
      </c>
      <c r="AC73" s="172">
        <f t="shared" si="56"/>
        <v>-2.0497940328886326</v>
      </c>
      <c r="AD73" s="172">
        <f t="shared" si="56"/>
        <v>-0.95369676715598761</v>
      </c>
      <c r="AE73" s="172">
        <f t="shared" si="56"/>
        <v>-0.94188890176929407</v>
      </c>
      <c r="AF73" s="172">
        <f t="shared" si="56"/>
        <v>3.3142922198131336E-2</v>
      </c>
      <c r="AG73" s="150"/>
      <c r="AI73" s="137">
        <v>1</v>
      </c>
      <c r="AJ73" s="136"/>
      <c r="AK73" s="142"/>
      <c r="AL73" s="136" t="s">
        <v>546</v>
      </c>
      <c r="AM73" s="136" t="s">
        <v>203</v>
      </c>
      <c r="AN73" s="1" t="s">
        <v>525</v>
      </c>
      <c r="AO73" s="166" t="s">
        <v>525</v>
      </c>
      <c r="AQ73" t="e">
        <f>_xlfn.XLOOKUP(tblGWP21[[#This Row],[Material Subcategory]],ls_Mat,Factors!$K$952:$K$1023)</f>
        <v>#N/A</v>
      </c>
      <c r="AR73" s="173">
        <v>0.77500000000000002</v>
      </c>
      <c r="AS73">
        <v>0</v>
      </c>
      <c r="AT73" t="s">
        <v>527</v>
      </c>
      <c r="AU73" t="s">
        <v>526</v>
      </c>
      <c r="AV73" s="347">
        <v>0.85</v>
      </c>
      <c r="BA73" cm="1">
        <f t="array" ref="BA73:BM73">tblGWP21[#This Row]</f>
        <v>1</v>
      </c>
      <c r="BB73" t="str">
        <v>Wood/Yard Trimmings</v>
      </c>
      <c r="BC73" t="str">
        <v>Wood/Yard Trimmings</v>
      </c>
      <c r="BD73" t="str">
        <v>Africa</v>
      </c>
      <c r="BE73" t="str">
        <v>n/a</v>
      </c>
      <c r="BF73">
        <v>0</v>
      </c>
      <c r="BG73">
        <v>-0.13905086666666666</v>
      </c>
      <c r="BH73" t="str">
        <v>DELETE</v>
      </c>
      <c r="BI73">
        <v>-1.4414069883318792</v>
      </c>
      <c r="BJ73">
        <v>-2.0497940328886326</v>
      </c>
      <c r="BK73">
        <v>-0.95369676715598761</v>
      </c>
      <c r="BL73">
        <v>-0.94188890176929407</v>
      </c>
      <c r="BM73">
        <v>3.3142922198131336E-2</v>
      </c>
    </row>
    <row r="74" spans="3:65">
      <c r="C74" s="6">
        <v>1</v>
      </c>
      <c r="D74" s="373" t="s">
        <v>233</v>
      </c>
      <c r="E74" s="6" t="s">
        <v>233</v>
      </c>
      <c r="F74" s="136" t="s">
        <v>546</v>
      </c>
      <c r="G74" s="136" t="s">
        <v>203</v>
      </c>
      <c r="H74" s="191">
        <v>0</v>
      </c>
      <c r="I74" s="191">
        <v>-0.13905086666666666</v>
      </c>
      <c r="J74" s="191">
        <v>0</v>
      </c>
      <c r="K74" s="191">
        <v>-1.4414069883318792</v>
      </c>
      <c r="L74" s="191">
        <v>-2.0497940328886326</v>
      </c>
      <c r="M74" s="191">
        <v>-0.95369676715598761</v>
      </c>
      <c r="N74" s="191">
        <v>-0.94188890176929407</v>
      </c>
      <c r="O74" s="191">
        <v>3.3142922198131336E-2</v>
      </c>
      <c r="T74" s="49">
        <v>1</v>
      </c>
      <c r="U74" s="143" t="s">
        <v>233</v>
      </c>
      <c r="V74" s="33" t="s">
        <v>250</v>
      </c>
      <c r="W74" s="53" t="s">
        <v>546</v>
      </c>
      <c r="X74" s="53" t="s">
        <v>203</v>
      </c>
      <c r="Y74" s="172">
        <f>IFERROR(-tblZwaste1422[[#This Row],[Weight (kgCO2e/kg)]],0)</f>
        <v>0</v>
      </c>
      <c r="Z74" s="172" t="str">
        <f>IF(AQ74="x",(AR74*-tblZwaste1422[[#This Row],[Weight (kgCO2e/kg)]])+AS74+($AR$10*Lookups!$J$38/1000),"DELETE")</f>
        <v>DELETE</v>
      </c>
      <c r="AA74" s="172" t="str">
        <f t="shared" si="56"/>
        <v>DELETE</v>
      </c>
      <c r="AB74" s="172">
        <f t="shared" si="56"/>
        <v>-1.7428299748564999</v>
      </c>
      <c r="AC74" s="172">
        <f t="shared" si="56"/>
        <v>-2.15119062242628</v>
      </c>
      <c r="AD74" s="172">
        <f t="shared" si="56"/>
        <v>-0.91901570762681595</v>
      </c>
      <c r="AE74" s="172">
        <f t="shared" si="56"/>
        <v>-1.00856923529019</v>
      </c>
      <c r="AF74" s="172">
        <f t="shared" si="56"/>
        <v>2.84335678847604E-2</v>
      </c>
      <c r="AG74" s="150"/>
      <c r="AI74" s="137">
        <v>1</v>
      </c>
      <c r="AJ74" s="136"/>
      <c r="AK74" s="142"/>
      <c r="AL74" s="136" t="s">
        <v>546</v>
      </c>
      <c r="AM74" s="136" t="s">
        <v>203</v>
      </c>
      <c r="AN74" s="1" t="s">
        <v>525</v>
      </c>
      <c r="AO74" s="166" t="s">
        <v>525</v>
      </c>
      <c r="AQ74">
        <f>_xlfn.XLOOKUP(tblGWP21[[#This Row],[Material Subcategory]],ls_Mat,Factors!$K$952:$K$1023)</f>
        <v>0</v>
      </c>
      <c r="AU74" t="s">
        <v>526</v>
      </c>
      <c r="AV74" s="347">
        <v>0.7</v>
      </c>
      <c r="BA74" cm="1">
        <f t="array" ref="BA74:BM74">tblGWP21[#This Row]</f>
        <v>1</v>
      </c>
      <c r="BB74" t="str">
        <v>Wood/Yard Trimmings</v>
      </c>
      <c r="BC74" t="str">
        <v>Yard Trimmings – Leaves</v>
      </c>
      <c r="BD74" t="str">
        <v>Africa</v>
      </c>
      <c r="BE74" t="str">
        <v>n/a</v>
      </c>
      <c r="BF74">
        <v>0</v>
      </c>
      <c r="BG74" t="str">
        <v>DELETE</v>
      </c>
      <c r="BH74" t="str">
        <v>DELETE</v>
      </c>
      <c r="BI74">
        <v>-1.7428299748564999</v>
      </c>
      <c r="BJ74">
        <v>-2.15119062242628</v>
      </c>
      <c r="BK74">
        <v>-0.91901570762681595</v>
      </c>
      <c r="BL74">
        <v>-1.00856923529019</v>
      </c>
      <c r="BM74">
        <v>2.84335678847604E-2</v>
      </c>
    </row>
    <row r="75" spans="3:65">
      <c r="C75" s="375">
        <v>1</v>
      </c>
      <c r="D75" s="374" t="s">
        <v>233</v>
      </c>
      <c r="E75" s="375" t="s">
        <v>250</v>
      </c>
      <c r="F75" s="362" t="s">
        <v>546</v>
      </c>
      <c r="G75" s="362" t="s">
        <v>203</v>
      </c>
      <c r="H75" s="368">
        <v>0</v>
      </c>
      <c r="I75" s="368">
        <v>0</v>
      </c>
      <c r="J75" s="368">
        <v>0</v>
      </c>
      <c r="K75" s="368">
        <v>-1.7428299748564999</v>
      </c>
      <c r="L75" s="368">
        <v>-2.15119062242628</v>
      </c>
      <c r="M75" s="368">
        <v>-0.91901570762681595</v>
      </c>
      <c r="N75" s="368">
        <v>-1.00856923529019</v>
      </c>
      <c r="O75" s="368">
        <v>2.84335678847604E-2</v>
      </c>
      <c r="T75" s="49">
        <v>1</v>
      </c>
      <c r="U75" s="143" t="s">
        <v>233</v>
      </c>
      <c r="V75" s="33" t="s">
        <v>249</v>
      </c>
      <c r="W75" s="53" t="s">
        <v>546</v>
      </c>
      <c r="X75" s="53" t="s">
        <v>203</v>
      </c>
      <c r="Y75" s="172">
        <f>IFERROR(-tblZwaste1422[[#This Row],[Weight (kgCO2e/kg)]],0)</f>
        <v>0</v>
      </c>
      <c r="Z75" s="172" t="str">
        <f>IF(AQ75="x",(AR75*-tblZwaste1422[[#This Row],[Weight (kgCO2e/kg)]])+AS75+($AR$10*Lookups!$J$38/1000),"DELETE")</f>
        <v>DELETE</v>
      </c>
      <c r="AA75" s="172" t="str">
        <f t="shared" si="56"/>
        <v>DELETE</v>
      </c>
      <c r="AB75" s="172">
        <f t="shared" si="56"/>
        <v>-0.54274589725327604</v>
      </c>
      <c r="AC75" s="172">
        <f t="shared" si="56"/>
        <v>-0.74997857749286201</v>
      </c>
      <c r="AD75" s="172">
        <f t="shared" si="56"/>
        <v>0.20327821719234701</v>
      </c>
      <c r="AE75" s="172">
        <f t="shared" si="56"/>
        <v>-0.215080705508578</v>
      </c>
      <c r="AF75" s="172">
        <f t="shared" si="56"/>
        <v>2.5754502073186199E-2</v>
      </c>
      <c r="AG75" s="150"/>
      <c r="AI75" s="137">
        <v>1</v>
      </c>
      <c r="AJ75" s="136"/>
      <c r="AK75" s="142"/>
      <c r="AL75" s="136" t="s">
        <v>546</v>
      </c>
      <c r="AM75" s="136" t="s">
        <v>203</v>
      </c>
      <c r="AN75" s="1" t="s">
        <v>525</v>
      </c>
      <c r="AO75" s="166" t="s">
        <v>525</v>
      </c>
      <c r="AQ75">
        <f>_xlfn.XLOOKUP(tblGWP21[[#This Row],[Material Subcategory]],ls_Mat,Factors!$K$952:$K$1023)</f>
        <v>0</v>
      </c>
      <c r="AU75" t="s">
        <v>526</v>
      </c>
      <c r="AV75" s="347">
        <v>0.8</v>
      </c>
      <c r="BA75" cm="1">
        <f t="array" ref="BA75:BM75">tblGWP21[#This Row]</f>
        <v>1</v>
      </c>
      <c r="BB75" t="str">
        <v>Wood/Yard Trimmings</v>
      </c>
      <c r="BC75" t="str">
        <v>Yard Trimmings – Grass</v>
      </c>
      <c r="BD75" t="str">
        <v>Africa</v>
      </c>
      <c r="BE75" t="str">
        <v>n/a</v>
      </c>
      <c r="BF75">
        <v>0</v>
      </c>
      <c r="BG75" t="str">
        <v>DELETE</v>
      </c>
      <c r="BH75" t="str">
        <v>DELETE</v>
      </c>
      <c r="BI75">
        <v>-0.54274589725327604</v>
      </c>
      <c r="BJ75">
        <v>-0.74997857749286201</v>
      </c>
      <c r="BK75">
        <v>0.20327821719234701</v>
      </c>
      <c r="BL75">
        <v>-0.215080705508578</v>
      </c>
      <c r="BM75">
        <v>2.5754502073186199E-2</v>
      </c>
    </row>
    <row r="76" spans="3:65">
      <c r="C76" s="6">
        <v>1</v>
      </c>
      <c r="D76" s="373" t="s">
        <v>233</v>
      </c>
      <c r="E76" s="6" t="s">
        <v>249</v>
      </c>
      <c r="F76" s="136" t="s">
        <v>546</v>
      </c>
      <c r="G76" s="136" t="s">
        <v>203</v>
      </c>
      <c r="H76" s="191">
        <v>0</v>
      </c>
      <c r="I76" s="191">
        <v>0</v>
      </c>
      <c r="J76" s="191">
        <v>0</v>
      </c>
      <c r="K76" s="191">
        <v>-0.54274589725327604</v>
      </c>
      <c r="L76" s="191">
        <v>-0.74997857749286201</v>
      </c>
      <c r="M76" s="191">
        <v>0.20327821719234701</v>
      </c>
      <c r="N76" s="191">
        <v>-0.215080705508578</v>
      </c>
      <c r="O76" s="191">
        <v>2.5754502073186199E-2</v>
      </c>
      <c r="T76" s="49">
        <v>1</v>
      </c>
      <c r="U76" s="143" t="s">
        <v>233</v>
      </c>
      <c r="V76" s="33" t="s">
        <v>273</v>
      </c>
      <c r="W76" s="53" t="s">
        <v>546</v>
      </c>
      <c r="X76" s="53" t="s">
        <v>203</v>
      </c>
      <c r="Y76" s="172">
        <f>IFERROR(-tblZwaste1422[[#This Row],[Weight (kgCO2e/kg)]],0)</f>
        <v>0</v>
      </c>
      <c r="Z76" s="172" t="str">
        <f>IF(AQ76="x",(AR76*-tblZwaste1422[[#This Row],[Weight (kgCO2e/kg)]])+AS76+($AR$10*Lookups!$J$38/1000),"DELETE")</f>
        <v>DELETE</v>
      </c>
      <c r="AA76" s="172" t="str">
        <f t="shared" si="56"/>
        <v>DELETE</v>
      </c>
      <c r="AB76" s="172">
        <f t="shared" si="56"/>
        <v>-1.64048635651654</v>
      </c>
      <c r="AC76" s="172">
        <f t="shared" si="56"/>
        <v>-2.0946209450596398</v>
      </c>
      <c r="AD76" s="172">
        <f t="shared" si="56"/>
        <v>-0.78894878429316695</v>
      </c>
      <c r="AE76" s="172">
        <f t="shared" si="56"/>
        <v>-0.97955204166985599</v>
      </c>
      <c r="AF76" s="172">
        <f t="shared" si="56"/>
        <v>2.7209147933534902E-2</v>
      </c>
      <c r="AG76" s="150"/>
      <c r="AI76" s="137">
        <v>1</v>
      </c>
      <c r="AJ76" s="136"/>
      <c r="AK76" s="142"/>
      <c r="AL76" s="136" t="s">
        <v>546</v>
      </c>
      <c r="AM76" s="136" t="s">
        <v>203</v>
      </c>
      <c r="AN76" s="1" t="s">
        <v>525</v>
      </c>
      <c r="AO76" s="166" t="s">
        <v>525</v>
      </c>
      <c r="AQ76">
        <f>_xlfn.XLOOKUP(tblGWP21[[#This Row],[Material Subcategory]],ls_Mat,Factors!$K$952:$K$1023)</f>
        <v>0</v>
      </c>
      <c r="AR76" s="173"/>
      <c r="AU76" t="s">
        <v>526</v>
      </c>
      <c r="AV76" s="347">
        <v>0.7</v>
      </c>
      <c r="BA76" cm="1">
        <f t="array" ref="BA76:BM76">tblGWP21[#This Row]</f>
        <v>1</v>
      </c>
      <c r="BB76" t="str">
        <v>Wood/Yard Trimmings</v>
      </c>
      <c r="BC76" t="str">
        <v>Yard Trimming – Branches</v>
      </c>
      <c r="BD76" t="str">
        <v>Africa</v>
      </c>
      <c r="BE76" t="str">
        <v>n/a</v>
      </c>
      <c r="BF76">
        <v>0</v>
      </c>
      <c r="BG76" t="str">
        <v>DELETE</v>
      </c>
      <c r="BH76" t="str">
        <v>DELETE</v>
      </c>
      <c r="BI76">
        <v>-1.64048635651654</v>
      </c>
      <c r="BJ76">
        <v>-2.0946209450596398</v>
      </c>
      <c r="BK76">
        <v>-0.78894878429316695</v>
      </c>
      <c r="BL76">
        <v>-0.97955204166985599</v>
      </c>
      <c r="BM76">
        <v>2.7209147933534902E-2</v>
      </c>
    </row>
    <row r="77" spans="3:65">
      <c r="C77" s="375">
        <v>1</v>
      </c>
      <c r="D77" s="374" t="s">
        <v>233</v>
      </c>
      <c r="E77" s="375" t="s">
        <v>273</v>
      </c>
      <c r="F77" s="362" t="s">
        <v>546</v>
      </c>
      <c r="G77" s="362" t="s">
        <v>203</v>
      </c>
      <c r="H77" s="368">
        <v>0</v>
      </c>
      <c r="I77" s="368">
        <v>0</v>
      </c>
      <c r="J77" s="368">
        <v>0</v>
      </c>
      <c r="K77" s="368">
        <v>-1.64048635651654</v>
      </c>
      <c r="L77" s="368">
        <v>-2.0946209450596398</v>
      </c>
      <c r="M77" s="368">
        <v>-0.78894878429316695</v>
      </c>
      <c r="N77" s="368">
        <v>-0.97955204166985599</v>
      </c>
      <c r="O77" s="368">
        <v>2.7209147933534902E-2</v>
      </c>
      <c r="T77" s="49">
        <v>1</v>
      </c>
      <c r="U77" s="143" t="s">
        <v>233</v>
      </c>
      <c r="V77" s="33" t="s">
        <v>330</v>
      </c>
      <c r="W77" s="53" t="s">
        <v>546</v>
      </c>
      <c r="X77" s="53" t="s">
        <v>203</v>
      </c>
      <c r="Y77" s="172">
        <f>IFERROR(-tblZwaste1422[[#This Row],[Weight (kgCO2e/kg)]],0)</f>
        <v>-0.14119999999999999</v>
      </c>
      <c r="Z77" s="172">
        <f>IF(AQ77="x",(AR77*-tblZwaste1422[[#This Row],[Weight (kgCO2e/kg)]])+AS77+($AR$10*Lookups!$J$38/1000),"DELETE")</f>
        <v>-0.1076582</v>
      </c>
      <c r="AA77" s="172" t="str">
        <f t="shared" si="56"/>
        <v>DELETE</v>
      </c>
      <c r="AB77" s="172" t="str">
        <f t="shared" si="56"/>
        <v>DELETE</v>
      </c>
      <c r="AC77" s="172" t="str">
        <f t="shared" si="56"/>
        <v>DELETE</v>
      </c>
      <c r="AD77" s="172">
        <f t="shared" si="56"/>
        <v>-1.4691234067535699</v>
      </c>
      <c r="AE77" s="172">
        <f t="shared" si="56"/>
        <v>-1.1416276075298999</v>
      </c>
      <c r="AF77" s="172">
        <f t="shared" si="56"/>
        <v>5.3037818157875102E-2</v>
      </c>
      <c r="AG77" s="150"/>
      <c r="AI77" s="137">
        <v>1</v>
      </c>
      <c r="AJ77" s="136" t="s">
        <v>330</v>
      </c>
      <c r="AK77" s="142" t="s">
        <v>330</v>
      </c>
      <c r="AL77" s="136" t="s">
        <v>546</v>
      </c>
      <c r="AM77" s="136" t="s">
        <v>203</v>
      </c>
      <c r="AN77" s="1">
        <v>0.14119999999999999</v>
      </c>
      <c r="AO77" s="166">
        <v>0.43014000000000002</v>
      </c>
      <c r="AQ77" t="str">
        <f>_xlfn.XLOOKUP(tblGWP21[[#This Row],[Material Subcategory]],ls_Mat,Factors!$K$952:$K$1023)</f>
        <v>x</v>
      </c>
      <c r="AR77" s="173">
        <v>0.77500000000000002</v>
      </c>
      <c r="AS77">
        <v>0</v>
      </c>
      <c r="AT77" t="s">
        <v>527</v>
      </c>
      <c r="AV77" s="347"/>
      <c r="BA77" cm="1">
        <f t="array" ref="BA77:BM77">tblGWP21[#This Row]</f>
        <v>1</v>
      </c>
      <c r="BB77" t="str">
        <v>Wood/Yard Trimmings</v>
      </c>
      <c r="BC77" t="str">
        <v>Wood</v>
      </c>
      <c r="BD77" t="str">
        <v>Africa</v>
      </c>
      <c r="BE77" t="str">
        <v>n/a</v>
      </c>
      <c r="BF77">
        <v>-0.14119999999999999</v>
      </c>
      <c r="BG77">
        <v>-0.1076582</v>
      </c>
      <c r="BH77" t="str">
        <v>DELETE</v>
      </c>
      <c r="BI77" t="str">
        <v>DELETE</v>
      </c>
      <c r="BJ77" t="str">
        <v>DELETE</v>
      </c>
      <c r="BK77">
        <v>-1.4691234067535699</v>
      </c>
      <c r="BL77">
        <v>-1.1416276075298999</v>
      </c>
      <c r="BM77">
        <v>5.3037818157875102E-2</v>
      </c>
    </row>
    <row r="78" spans="3:65">
      <c r="C78" s="6">
        <v>1</v>
      </c>
      <c r="D78" s="373" t="s">
        <v>233</v>
      </c>
      <c r="E78" s="6" t="s">
        <v>330</v>
      </c>
      <c r="F78" s="136" t="s">
        <v>546</v>
      </c>
      <c r="G78" s="136" t="s">
        <v>203</v>
      </c>
      <c r="H78" s="191">
        <v>-0.14119999999999999</v>
      </c>
      <c r="I78" s="191">
        <v>-0.1076582</v>
      </c>
      <c r="J78" s="191">
        <v>0</v>
      </c>
      <c r="K78" s="191">
        <v>0</v>
      </c>
      <c r="L78" s="191">
        <v>0</v>
      </c>
      <c r="M78" s="191">
        <v>-1.4691234067535699</v>
      </c>
      <c r="N78" s="191">
        <v>-1.1416276075298999</v>
      </c>
      <c r="O78" s="191">
        <v>5.3037818157875102E-2</v>
      </c>
      <c r="T78" s="49">
        <v>1</v>
      </c>
      <c r="U78" s="143" t="s">
        <v>233</v>
      </c>
      <c r="V78" s="33" t="s">
        <v>335</v>
      </c>
      <c r="W78" s="53" t="s">
        <v>546</v>
      </c>
      <c r="X78" s="53" t="s">
        <v>203</v>
      </c>
      <c r="Y78" s="172">
        <f>IFERROR(-tblZwaste1422[[#This Row],[Weight (kgCO2e/kg)]],0)</f>
        <v>-0.26272000000000001</v>
      </c>
      <c r="Z78" s="172">
        <f>IF(AQ78="x",(AR78*-tblZwaste1422[[#This Row],[Weight (kgCO2e/kg)]])+AS78+($AR$10*Lookups!$J$38/1000),"DELETE")</f>
        <v>-0.20183620000000002</v>
      </c>
      <c r="AA78" s="172" t="str">
        <f t="shared" si="56"/>
        <v>DELETE</v>
      </c>
      <c r="AB78" s="172">
        <f t="shared" si="56"/>
        <v>-1.64048635651654</v>
      </c>
      <c r="AC78" s="172">
        <f t="shared" si="56"/>
        <v>-2.6265900097321899</v>
      </c>
      <c r="AD78" s="172">
        <f t="shared" si="56"/>
        <v>-1.37418546072736</v>
      </c>
      <c r="AE78" s="172">
        <f t="shared" si="56"/>
        <v>-1.1532519103086201</v>
      </c>
      <c r="AF78" s="172">
        <f t="shared" si="56"/>
        <v>3.2211248569715703E-2</v>
      </c>
      <c r="AG78" s="150"/>
      <c r="AI78" s="137">
        <v>1</v>
      </c>
      <c r="AJ78" s="136" t="s">
        <v>330</v>
      </c>
      <c r="AK78" s="142" t="s">
        <v>335</v>
      </c>
      <c r="AL78" s="136" t="s">
        <v>546</v>
      </c>
      <c r="AM78" s="136" t="s">
        <v>203</v>
      </c>
      <c r="AN78" s="1">
        <v>0.26272000000000001</v>
      </c>
      <c r="AO78" s="166">
        <v>0.43014000000000002</v>
      </c>
      <c r="AQ78" t="str">
        <f>_xlfn.XLOOKUP(tblGWP21[[#This Row],[Material Subcategory]],ls_Mat,Factors!$K$952:$K$1023)</f>
        <v>x</v>
      </c>
      <c r="AR78" s="173">
        <v>0.77500000000000002</v>
      </c>
      <c r="AS78">
        <v>0</v>
      </c>
      <c r="AT78" t="s">
        <v>527</v>
      </c>
      <c r="BA78" cm="1">
        <f t="array" ref="BA78:BM78">tblGWP21[#This Row]</f>
        <v>1</v>
      </c>
      <c r="BB78" t="str">
        <v>Wood/Yard Trimmings</v>
      </c>
      <c r="BC78" t="str">
        <v>Pallets</v>
      </c>
      <c r="BD78" t="str">
        <v>Africa</v>
      </c>
      <c r="BE78" t="str">
        <v>n/a</v>
      </c>
      <c r="BF78">
        <v>-0.26272000000000001</v>
      </c>
      <c r="BG78">
        <v>-0.20183620000000002</v>
      </c>
      <c r="BH78" t="str">
        <v>DELETE</v>
      </c>
      <c r="BI78">
        <v>-1.64048635651654</v>
      </c>
      <c r="BJ78">
        <v>-2.6265900097321899</v>
      </c>
      <c r="BK78">
        <v>-1.37418546072736</v>
      </c>
      <c r="BL78">
        <v>-1.1532519103086201</v>
      </c>
      <c r="BM78">
        <v>3.2211248569715703E-2</v>
      </c>
    </row>
    <row r="79" spans="3:65">
      <c r="C79" s="375">
        <v>1</v>
      </c>
      <c r="D79" s="374" t="s">
        <v>233</v>
      </c>
      <c r="E79" s="375" t="s">
        <v>335</v>
      </c>
      <c r="F79" s="362" t="s">
        <v>546</v>
      </c>
      <c r="G79" s="362" t="s">
        <v>203</v>
      </c>
      <c r="H79" s="368">
        <v>-0.26272000000000001</v>
      </c>
      <c r="I79" s="368">
        <v>-0.20183620000000002</v>
      </c>
      <c r="J79" s="368">
        <v>0</v>
      </c>
      <c r="K79" s="368">
        <v>-1.64048635651654</v>
      </c>
      <c r="L79" s="368">
        <v>-2.6265900097321899</v>
      </c>
      <c r="M79" s="368">
        <v>-1.37418546072736</v>
      </c>
      <c r="N79" s="368">
        <v>-1.1532519103086201</v>
      </c>
      <c r="O79" s="368">
        <v>3.2211248569715703E-2</v>
      </c>
      <c r="T79" s="49">
        <v>1</v>
      </c>
      <c r="U79" s="143" t="s">
        <v>233</v>
      </c>
      <c r="V79" s="33" t="s">
        <v>326</v>
      </c>
      <c r="W79" s="53" t="s">
        <v>546</v>
      </c>
      <c r="X79" s="53" t="s">
        <v>203</v>
      </c>
      <c r="Y79" s="172">
        <f>IFERROR(-tblZwaste1422[[#This Row],[Weight (kgCO2e/kg)]],0)</f>
        <v>-0.14119999999999999</v>
      </c>
      <c r="Z79" s="172">
        <f>IF(AQ79="x",(AR79*-tblZwaste1422[[#This Row],[Weight (kgCO2e/kg)]])+AS79+($AR$10*Lookups!$J$38/1000),"DELETE")</f>
        <v>-0.1076582</v>
      </c>
      <c r="AA79" s="172" t="str">
        <f t="shared" si="56"/>
        <v>DELETE</v>
      </c>
      <c r="AB79" s="172">
        <f t="shared" si="56"/>
        <v>-1.64048635651654</v>
      </c>
      <c r="AC79" s="172">
        <f t="shared" si="56"/>
        <v>-2.6265900097321899</v>
      </c>
      <c r="AD79" s="172">
        <f t="shared" si="56"/>
        <v>-1.37418546072736</v>
      </c>
      <c r="AE79" s="172">
        <f t="shared" si="56"/>
        <v>-1.1532519103086201</v>
      </c>
      <c r="AF79" s="172">
        <f t="shared" si="56"/>
        <v>3.2211248569715703E-2</v>
      </c>
      <c r="AG79" s="150"/>
      <c r="AI79" s="137">
        <v>1</v>
      </c>
      <c r="AJ79" s="136" t="s">
        <v>330</v>
      </c>
      <c r="AK79" s="142" t="s">
        <v>326</v>
      </c>
      <c r="AL79" s="136" t="s">
        <v>546</v>
      </c>
      <c r="AM79" s="136" t="s">
        <v>203</v>
      </c>
      <c r="AN79" s="1">
        <v>0.14119999999999999</v>
      </c>
      <c r="AO79" s="166">
        <v>0.43014000000000002</v>
      </c>
      <c r="AQ79" t="str">
        <f>_xlfn.XLOOKUP(tblGWP21[[#This Row],[Material Subcategory]],ls_Mat,Factors!$K$952:$K$1023)</f>
        <v>x</v>
      </c>
      <c r="AR79" s="173">
        <v>0.77500000000000002</v>
      </c>
      <c r="AS79">
        <v>0</v>
      </c>
      <c r="AT79" t="s">
        <v>527</v>
      </c>
      <c r="BA79" cm="1">
        <f t="array" ref="BA79:BM79">tblGWP21[#This Row]</f>
        <v>1</v>
      </c>
      <c r="BB79" t="str">
        <v>Wood/Yard Trimmings</v>
      </c>
      <c r="BC79" t="str">
        <v>Other Wood</v>
      </c>
      <c r="BD79" t="str">
        <v>Africa</v>
      </c>
      <c r="BE79" t="str">
        <v>n/a</v>
      </c>
      <c r="BF79">
        <v>-0.14119999999999999</v>
      </c>
      <c r="BG79">
        <v>-0.1076582</v>
      </c>
      <c r="BH79" t="str">
        <v>DELETE</v>
      </c>
      <c r="BI79">
        <v>-1.64048635651654</v>
      </c>
      <c r="BJ79">
        <v>-2.6265900097321899</v>
      </c>
      <c r="BK79">
        <v>-1.37418546072736</v>
      </c>
      <c r="BL79">
        <v>-1.1532519103086201</v>
      </c>
      <c r="BM79">
        <v>3.2211248569715703E-2</v>
      </c>
    </row>
    <row r="80" spans="3:65">
      <c r="C80" s="6">
        <v>1</v>
      </c>
      <c r="D80" s="373" t="s">
        <v>233</v>
      </c>
      <c r="E80" s="6" t="s">
        <v>326</v>
      </c>
      <c r="F80" s="136" t="s">
        <v>546</v>
      </c>
      <c r="G80" s="136" t="s">
        <v>203</v>
      </c>
      <c r="H80" s="191">
        <v>-0.14119999999999999</v>
      </c>
      <c r="I80" s="191">
        <v>-0.1076582</v>
      </c>
      <c r="J80" s="191">
        <v>0</v>
      </c>
      <c r="K80" s="191">
        <v>-1.64048635651654</v>
      </c>
      <c r="L80" s="191">
        <v>-2.6265900097321899</v>
      </c>
      <c r="M80" s="191">
        <v>-1.37418546072736</v>
      </c>
      <c r="N80" s="191">
        <v>-1.1532519103086201</v>
      </c>
      <c r="O80" s="191">
        <v>3.2211248569715703E-2</v>
      </c>
      <c r="T80" s="49">
        <v>1</v>
      </c>
      <c r="U80" s="143" t="s">
        <v>261</v>
      </c>
      <c r="V80" s="33" t="s">
        <v>261</v>
      </c>
      <c r="W80" s="53" t="s">
        <v>546</v>
      </c>
      <c r="X80" s="53" t="s">
        <v>203</v>
      </c>
      <c r="Y80" s="172">
        <f>IFERROR(-tblZwaste1422[[#This Row],[Weight (kgCO2e/kg)]],0)</f>
        <v>-4.72241</v>
      </c>
      <c r="Z80" s="172" t="e">
        <f>IF(AQ80="x",(AR80*-tblZwaste1422[[#This Row],[Weight (kgCO2e/kg)]])+AS80+($AR$10*Lookups!$J$38/1000),"DELETE")</f>
        <v>#N/A</v>
      </c>
      <c r="AA80" s="172" t="str">
        <f t="shared" si="56"/>
        <v>DELETE</v>
      </c>
      <c r="AB80" s="172">
        <f t="shared" si="56"/>
        <v>-0.36295620134676754</v>
      </c>
      <c r="AC80" s="172">
        <f t="shared" si="56"/>
        <v>-0.61088976877090895</v>
      </c>
      <c r="AD80" s="172">
        <f t="shared" si="56"/>
        <v>0.30189800859006249</v>
      </c>
      <c r="AE80" s="172">
        <f t="shared" si="56"/>
        <v>-0.1985340031353065</v>
      </c>
      <c r="AF80" s="172">
        <f t="shared" si="56"/>
        <v>2.5407739136658898E-2</v>
      </c>
      <c r="AG80" s="150"/>
      <c r="AI80" s="137">
        <v>1</v>
      </c>
      <c r="AJ80" s="136" t="s">
        <v>529</v>
      </c>
      <c r="AK80" s="142" t="s">
        <v>529</v>
      </c>
      <c r="AL80" s="136" t="s">
        <v>546</v>
      </c>
      <c r="AM80" s="136" t="s">
        <v>203</v>
      </c>
      <c r="AN80" s="1">
        <v>4.72241</v>
      </c>
      <c r="AO80" s="166">
        <v>1.758</v>
      </c>
      <c r="AQ80" t="e">
        <f>_xlfn.XLOOKUP(tblGWP21[[#This Row],[Material Subcategory]],ls_Mat,Factors!$K$952:$K$1023)</f>
        <v>#N/A</v>
      </c>
      <c r="AR80" s="347">
        <v>0.5</v>
      </c>
      <c r="AS80">
        <v>0</v>
      </c>
      <c r="AT80" t="s">
        <v>528</v>
      </c>
      <c r="BA80" cm="1">
        <f t="array" ref="BA80:BM80">tblGWP21[#This Row]</f>
        <v>1</v>
      </c>
      <c r="BB80" t="str">
        <v>Food Waste</v>
      </c>
      <c r="BC80" t="str">
        <v>Food Waste</v>
      </c>
      <c r="BD80" t="str">
        <v>Africa</v>
      </c>
      <c r="BE80" t="str">
        <v>n/a</v>
      </c>
      <c r="BF80">
        <v>-4.72241</v>
      </c>
      <c r="BG80" t="e">
        <v>#N/A</v>
      </c>
      <c r="BH80" t="str">
        <v>DELETE</v>
      </c>
      <c r="BI80">
        <v>-0.36295620134676754</v>
      </c>
      <c r="BJ80">
        <v>-0.61088976877090895</v>
      </c>
      <c r="BK80">
        <v>0.30189800859006249</v>
      </c>
      <c r="BL80">
        <v>-0.1985340031353065</v>
      </c>
      <c r="BM80">
        <v>2.5407739136658898E-2</v>
      </c>
    </row>
    <row r="81" spans="3:65">
      <c r="C81" s="375">
        <v>1</v>
      </c>
      <c r="D81" s="374" t="s">
        <v>261</v>
      </c>
      <c r="E81" s="375" t="s">
        <v>261</v>
      </c>
      <c r="F81" s="362" t="s">
        <v>546</v>
      </c>
      <c r="G81" s="362" t="s">
        <v>203</v>
      </c>
      <c r="H81" s="368">
        <v>-4.72241</v>
      </c>
      <c r="I81" s="368">
        <v>-2.3594331999999998</v>
      </c>
      <c r="J81" s="368">
        <v>0</v>
      </c>
      <c r="K81" s="368">
        <v>-0.36295620134676754</v>
      </c>
      <c r="L81" s="368">
        <v>-0.61088976877090895</v>
      </c>
      <c r="M81" s="368">
        <v>0.30189800859006249</v>
      </c>
      <c r="N81" s="368">
        <v>-0.1985340031353065</v>
      </c>
      <c r="O81" s="368">
        <v>2.5407739136658898E-2</v>
      </c>
      <c r="T81" s="49">
        <v>1</v>
      </c>
      <c r="U81" s="143" t="s">
        <v>261</v>
      </c>
      <c r="V81" s="33" t="s">
        <v>269</v>
      </c>
      <c r="W81" s="53" t="s">
        <v>546</v>
      </c>
      <c r="X81" s="53" t="s">
        <v>203</v>
      </c>
      <c r="Y81" s="172">
        <f>IFERROR(-tblZwaste1422[[#This Row],[Weight (kgCO2e/kg)]],0)</f>
        <v>-0.25034000000000001</v>
      </c>
      <c r="Z81" s="172">
        <f>IF(AQ81="x",(AR81*-tblZwaste1422[[#This Row],[Weight (kgCO2e/kg)]])+AS81+($AR$10*Lookups!$J$38/1000),"DELETE")</f>
        <v>-0.1233982</v>
      </c>
      <c r="AA81" s="172" t="str">
        <f t="shared" si="56"/>
        <v>DELETE</v>
      </c>
      <c r="AB81" s="172">
        <f t="shared" si="56"/>
        <v>-0.30296260744822501</v>
      </c>
      <c r="AC81" s="172">
        <f t="shared" si="56"/>
        <v>-0.51921970764736303</v>
      </c>
      <c r="AD81" s="172">
        <f t="shared" si="56"/>
        <v>0.32349939747501499</v>
      </c>
      <c r="AE81" s="172">
        <f t="shared" si="56"/>
        <v>-0.13792362353586499</v>
      </c>
      <c r="AF81" s="172">
        <f t="shared" si="56"/>
        <v>2.5085527099398E-2</v>
      </c>
      <c r="AG81" s="150"/>
      <c r="AI81" s="137">
        <v>1</v>
      </c>
      <c r="AJ81" s="136" t="s">
        <v>529</v>
      </c>
      <c r="AK81" s="142" t="s">
        <v>327</v>
      </c>
      <c r="AL81" s="136" t="s">
        <v>546</v>
      </c>
      <c r="AM81" s="136" t="s">
        <v>203</v>
      </c>
      <c r="AN81" s="1">
        <v>0.25034000000000001</v>
      </c>
      <c r="AO81" s="166">
        <v>0.99672000000000005</v>
      </c>
      <c r="AQ81" t="str">
        <f>_xlfn.XLOOKUP(tblGWP21[[#This Row],[Material Subcategory]],ls_Mat,Factors!$K$952:$K$1023)</f>
        <v>x</v>
      </c>
      <c r="AR81" s="347">
        <v>0.5</v>
      </c>
      <c r="AS81">
        <v>0</v>
      </c>
      <c r="AT81" t="s">
        <v>528</v>
      </c>
      <c r="AU81" t="s">
        <v>526</v>
      </c>
      <c r="AV81" s="347">
        <v>0.8</v>
      </c>
      <c r="BA81" cm="1">
        <f t="array" ref="BA81:BM81">tblGWP21[#This Row]</f>
        <v>1</v>
      </c>
      <c r="BB81" t="str">
        <v>Food Waste</v>
      </c>
      <c r="BC81" t="str">
        <v>Food Waste – Vegetable</v>
      </c>
      <c r="BD81" t="str">
        <v>Africa</v>
      </c>
      <c r="BE81" t="str">
        <v>n/a</v>
      </c>
      <c r="BF81">
        <v>-0.25034000000000001</v>
      </c>
      <c r="BG81">
        <v>-0.1233982</v>
      </c>
      <c r="BH81" t="str">
        <v>DELETE</v>
      </c>
      <c r="BI81">
        <v>-0.30296260744822501</v>
      </c>
      <c r="BJ81">
        <v>-0.51921970764736303</v>
      </c>
      <c r="BK81">
        <v>0.32349939747501499</v>
      </c>
      <c r="BL81">
        <v>-0.13792362353586499</v>
      </c>
      <c r="BM81">
        <v>2.5085527099398E-2</v>
      </c>
    </row>
    <row r="82" spans="3:65" ht="28.8">
      <c r="C82" s="6">
        <v>1</v>
      </c>
      <c r="D82" s="373" t="s">
        <v>261</v>
      </c>
      <c r="E82" s="6" t="s">
        <v>269</v>
      </c>
      <c r="F82" s="136" t="s">
        <v>546</v>
      </c>
      <c r="G82" s="136" t="s">
        <v>203</v>
      </c>
      <c r="H82" s="191">
        <v>-0.25034000000000001</v>
      </c>
      <c r="I82" s="191">
        <v>-0.1233982</v>
      </c>
      <c r="J82" s="191">
        <v>0</v>
      </c>
      <c r="K82" s="191">
        <v>-0.30296260744822501</v>
      </c>
      <c r="L82" s="191">
        <v>-0.51921970764736303</v>
      </c>
      <c r="M82" s="191">
        <v>0.32349939747501499</v>
      </c>
      <c r="N82" s="191">
        <v>-0.13792362353586499</v>
      </c>
      <c r="O82" s="191">
        <v>2.5085527099398E-2</v>
      </c>
      <c r="T82" s="49">
        <v>1</v>
      </c>
      <c r="U82" s="143" t="s">
        <v>261</v>
      </c>
      <c r="V82" s="33" t="s">
        <v>530</v>
      </c>
      <c r="W82" s="53" t="s">
        <v>546</v>
      </c>
      <c r="X82" s="53" t="s">
        <v>203</v>
      </c>
      <c r="Y82" s="172">
        <f>IFERROR(-tblZwaste1422[[#This Row],[Weight (kgCO2e/kg)]],0)</f>
        <v>-9.1944800000000004</v>
      </c>
      <c r="Z82" s="172">
        <f>IF(AQ82="x",(AR82*-tblZwaste1422[[#This Row],[Weight (kgCO2e/kg)]])+AS82+($AR$10*Lookups!$J$38/1000),"DELETE")</f>
        <v>-4.5954682</v>
      </c>
      <c r="AA82" s="172" t="str">
        <f t="shared" si="56"/>
        <v>DELETE</v>
      </c>
      <c r="AB82" s="172">
        <f t="shared" si="56"/>
        <v>-0.42294979524531001</v>
      </c>
      <c r="AC82" s="172">
        <f t="shared" si="56"/>
        <v>-0.70255982989445498</v>
      </c>
      <c r="AD82" s="172">
        <f t="shared" si="56"/>
        <v>0.28029661970511</v>
      </c>
      <c r="AE82" s="172">
        <f t="shared" si="56"/>
        <v>-0.25914438273474799</v>
      </c>
      <c r="AF82" s="172">
        <f t="shared" si="56"/>
        <v>2.57299511739198E-2</v>
      </c>
      <c r="AG82" s="150"/>
      <c r="AI82" s="137">
        <v>1</v>
      </c>
      <c r="AJ82" s="136" t="s">
        <v>529</v>
      </c>
      <c r="AK82" s="142" t="s">
        <v>331</v>
      </c>
      <c r="AL82" s="136" t="s">
        <v>546</v>
      </c>
      <c r="AM82" s="136" t="s">
        <v>203</v>
      </c>
      <c r="AN82" s="1">
        <v>9.1944800000000004</v>
      </c>
      <c r="AO82" s="166">
        <v>2.5192800000000002</v>
      </c>
      <c r="AQ82" t="str">
        <f>_xlfn.XLOOKUP(tblGWP21[[#This Row],[Material Subcategory]],ls_Mat,Factors!$K$952:$K$1023)</f>
        <v>x</v>
      </c>
      <c r="AR82" s="347">
        <v>0.5</v>
      </c>
      <c r="AS82">
        <v>0</v>
      </c>
      <c r="AT82" t="s">
        <v>528</v>
      </c>
      <c r="AU82" t="s">
        <v>526</v>
      </c>
      <c r="AV82" s="347">
        <v>0.88</v>
      </c>
      <c r="BA82" cm="1">
        <f t="array" ref="BA82:BM82">tblGWP21[#This Row]</f>
        <v>1</v>
      </c>
      <c r="BB82" t="str">
        <v>Food Waste</v>
      </c>
      <c r="BC82" t="str">
        <v>Food Waste – Non-Vegetable</v>
      </c>
      <c r="BD82" t="str">
        <v>Africa</v>
      </c>
      <c r="BE82" t="str">
        <v>n/a</v>
      </c>
      <c r="BF82">
        <v>-9.1944800000000004</v>
      </c>
      <c r="BG82">
        <v>-4.5954682</v>
      </c>
      <c r="BH82" t="str">
        <v>DELETE</v>
      </c>
      <c r="BI82">
        <v>-0.42294979524531001</v>
      </c>
      <c r="BJ82">
        <v>-0.70255982989445498</v>
      </c>
      <c r="BK82">
        <v>0.28029661970511</v>
      </c>
      <c r="BL82">
        <v>-0.25914438273474799</v>
      </c>
      <c r="BM82">
        <v>2.57299511739198E-2</v>
      </c>
    </row>
    <row r="83" spans="3:65" ht="28.8">
      <c r="C83" s="375">
        <v>1</v>
      </c>
      <c r="D83" s="374" t="s">
        <v>261</v>
      </c>
      <c r="E83" s="375" t="s">
        <v>530</v>
      </c>
      <c r="F83" s="362" t="s">
        <v>546</v>
      </c>
      <c r="G83" s="362" t="s">
        <v>203</v>
      </c>
      <c r="H83" s="368">
        <v>-9.1944800000000004</v>
      </c>
      <c r="I83" s="368">
        <v>-4.5954682</v>
      </c>
      <c r="J83" s="368">
        <v>0</v>
      </c>
      <c r="K83" s="368">
        <v>-0.42294979524531001</v>
      </c>
      <c r="L83" s="368">
        <v>-0.70255982989445498</v>
      </c>
      <c r="M83" s="368">
        <v>0.28029661970511</v>
      </c>
      <c r="N83" s="368">
        <v>-0.25914438273474799</v>
      </c>
      <c r="O83" s="368">
        <v>2.57299511739198E-2</v>
      </c>
      <c r="T83" s="49">
        <v>1</v>
      </c>
      <c r="U83" s="143" t="s">
        <v>261</v>
      </c>
      <c r="V83" s="33" t="s">
        <v>262</v>
      </c>
      <c r="W83" s="53" t="s">
        <v>546</v>
      </c>
      <c r="X83" s="53" t="s">
        <v>203</v>
      </c>
      <c r="Y83" s="172">
        <f>IFERROR(-tblZwaste1422[[#This Row],[Weight (kgCO2e/kg)]],0)</f>
        <v>-2.5034000000000001</v>
      </c>
      <c r="Z83" s="172" t="str">
        <f>IF(AQ83="x",(AR83*-tblZwaste1422[[#This Row],[Weight (kgCO2e/kg)]])+AS83+($AR$10*Lookups!$J$38/1000),"DELETE")</f>
        <v>DELETE</v>
      </c>
      <c r="AA83" s="172" t="str">
        <f t="shared" ref="AA83:AF92" si="57">AA475</f>
        <v>DELETE</v>
      </c>
      <c r="AB83" s="172">
        <f t="shared" si="57"/>
        <v>-0.42294979524531001</v>
      </c>
      <c r="AC83" s="172">
        <f t="shared" si="57"/>
        <v>-0.70255982989445498</v>
      </c>
      <c r="AD83" s="172">
        <f t="shared" si="57"/>
        <v>0.28029661970511</v>
      </c>
      <c r="AE83" s="172">
        <f t="shared" si="57"/>
        <v>-0.25914438273474799</v>
      </c>
      <c r="AF83" s="172">
        <f t="shared" si="57"/>
        <v>2.57299511739198E-2</v>
      </c>
      <c r="AG83" s="150"/>
      <c r="AI83" s="137">
        <v>1</v>
      </c>
      <c r="AJ83" s="136" t="s">
        <v>529</v>
      </c>
      <c r="AK83" s="142" t="s">
        <v>332</v>
      </c>
      <c r="AL83" s="136" t="s">
        <v>546</v>
      </c>
      <c r="AM83" s="136" t="s">
        <v>203</v>
      </c>
      <c r="AN83" s="1">
        <v>2.5034000000000001</v>
      </c>
      <c r="AO83" s="166">
        <v>1.0183800000000001</v>
      </c>
      <c r="AQ83">
        <f>_xlfn.XLOOKUP(tblGWP21[[#This Row],[Material Subcategory]],ls_Mat,Factors!$K$952:$K$1023)</f>
        <v>0</v>
      </c>
      <c r="AR83" s="347">
        <v>0.5</v>
      </c>
      <c r="AS83">
        <v>0</v>
      </c>
      <c r="AT83" t="s">
        <v>528</v>
      </c>
      <c r="AU83" t="s">
        <v>526</v>
      </c>
      <c r="AV83" s="347">
        <v>0.8</v>
      </c>
      <c r="BA83" cm="1">
        <f t="array" ref="BA83:BM83">tblGWP21[#This Row]</f>
        <v>1</v>
      </c>
      <c r="BB83" t="str">
        <v>Food Waste</v>
      </c>
      <c r="BC83" t="str">
        <v>Oils/Grease</v>
      </c>
      <c r="BD83" t="str">
        <v>Africa</v>
      </c>
      <c r="BE83" t="str">
        <v>n/a</v>
      </c>
      <c r="BF83">
        <v>-2.5034000000000001</v>
      </c>
      <c r="BG83" t="str">
        <v>DELETE</v>
      </c>
      <c r="BH83" t="str">
        <v>DELETE</v>
      </c>
      <c r="BI83">
        <v>-0.42294979524531001</v>
      </c>
      <c r="BJ83">
        <v>-0.70255982989445498</v>
      </c>
      <c r="BK83">
        <v>0.28029661970511</v>
      </c>
      <c r="BL83">
        <v>-0.25914438273474799</v>
      </c>
      <c r="BM83">
        <v>2.57299511739198E-2</v>
      </c>
    </row>
    <row r="84" spans="3:65">
      <c r="C84" s="6">
        <v>1</v>
      </c>
      <c r="D84" s="373" t="s">
        <v>261</v>
      </c>
      <c r="E84" s="6" t="s">
        <v>262</v>
      </c>
      <c r="F84" s="136" t="s">
        <v>546</v>
      </c>
      <c r="G84" s="136" t="s">
        <v>203</v>
      </c>
      <c r="H84" s="191">
        <v>-2.5034000000000001</v>
      </c>
      <c r="I84" s="191">
        <v>0</v>
      </c>
      <c r="J84" s="191">
        <v>0</v>
      </c>
      <c r="K84" s="191">
        <v>-0.42294979524531001</v>
      </c>
      <c r="L84" s="191">
        <v>-0.70255982989445498</v>
      </c>
      <c r="M84" s="191">
        <v>0.28029661970511</v>
      </c>
      <c r="N84" s="191">
        <v>-0.25914438273474799</v>
      </c>
      <c r="O84" s="191">
        <v>2.57299511739198E-2</v>
      </c>
      <c r="T84" s="49">
        <v>1</v>
      </c>
      <c r="U84" s="143" t="s">
        <v>252</v>
      </c>
      <c r="V84" s="33" t="s">
        <v>252</v>
      </c>
      <c r="W84" s="53" t="s">
        <v>546</v>
      </c>
      <c r="X84" s="53" t="s">
        <v>203</v>
      </c>
      <c r="Y84" s="172">
        <f>IFERROR(-tblZwaste1422[[#This Row],[Weight (kgCO2e/kg)]],0)</f>
        <v>-2.0953266666666663</v>
      </c>
      <c r="Z84" s="172" t="e">
        <f>IF(AQ84="x",(AR84*-tblZwaste1422[[#This Row],[Weight (kgCO2e/kg)]])+AS84+($AR$10*Lookups!$J$38/1000),"DELETE")</f>
        <v>#N/A</v>
      </c>
      <c r="AA84" s="172">
        <f t="shared" si="57"/>
        <v>-4.4026458801754389</v>
      </c>
      <c r="AB84" s="172" t="str">
        <f t="shared" si="57"/>
        <v>DELETE</v>
      </c>
      <c r="AC84" s="172" t="str">
        <f t="shared" si="57"/>
        <v>DELETE</v>
      </c>
      <c r="AD84" s="172">
        <f t="shared" si="57"/>
        <v>2.6040731092765699E-2</v>
      </c>
      <c r="AE84" s="172">
        <f t="shared" si="57"/>
        <v>0.464223353037373</v>
      </c>
      <c r="AF84" s="172">
        <f t="shared" si="57"/>
        <v>2.1870266836515802</v>
      </c>
      <c r="AG84" s="150"/>
      <c r="AI84" s="137">
        <v>1</v>
      </c>
      <c r="AJ84" s="136" t="s">
        <v>252</v>
      </c>
      <c r="AK84" s="142" t="s">
        <v>252</v>
      </c>
      <c r="AL84" s="136" t="s">
        <v>546</v>
      </c>
      <c r="AM84" s="136" t="s">
        <v>203</v>
      </c>
      <c r="AN84" s="1">
        <v>2.0953266666666663</v>
      </c>
      <c r="AO84" s="166">
        <v>1.77911</v>
      </c>
      <c r="AQ84" t="e">
        <f>_xlfn.XLOOKUP(tblGWP21[[#This Row],[Material Subcategory]],ls_Mat,Factors!$K$952:$K$1023)</f>
        <v>#N/A</v>
      </c>
      <c r="AR84" s="173">
        <v>0.77500000000000002</v>
      </c>
      <c r="AS84">
        <v>8.1306407300000008E-2</v>
      </c>
      <c r="AT84" t="s">
        <v>531</v>
      </c>
      <c r="AU84" t="s">
        <v>526</v>
      </c>
      <c r="AV84" s="347">
        <v>0.65</v>
      </c>
      <c r="BA84" cm="1">
        <f t="array" ref="BA84:BM84">tblGWP21[#This Row]</f>
        <v>1</v>
      </c>
      <c r="BB84" t="str">
        <v>Plastics</v>
      </c>
      <c r="BC84" t="str">
        <v>Plastics</v>
      </c>
      <c r="BD84" t="str">
        <v>Africa</v>
      </c>
      <c r="BE84" t="str">
        <v>n/a</v>
      </c>
      <c r="BF84">
        <v>-2.0953266666666663</v>
      </c>
      <c r="BG84" t="e">
        <v>#N/A</v>
      </c>
      <c r="BH84">
        <v>-4.4026458801754389</v>
      </c>
      <c r="BI84" t="str">
        <v>DELETE</v>
      </c>
      <c r="BJ84" t="str">
        <v>DELETE</v>
      </c>
      <c r="BK84">
        <v>2.6040731092765699E-2</v>
      </c>
      <c r="BL84">
        <v>0.464223353037373</v>
      </c>
      <c r="BM84">
        <v>2.1870266836515802</v>
      </c>
    </row>
    <row r="85" spans="3:65" ht="28.8">
      <c r="C85" s="375">
        <v>1</v>
      </c>
      <c r="D85" s="374" t="s">
        <v>252</v>
      </c>
      <c r="E85" s="375" t="s">
        <v>252</v>
      </c>
      <c r="F85" s="362" t="s">
        <v>546</v>
      </c>
      <c r="G85" s="362" t="s">
        <v>203</v>
      </c>
      <c r="H85" s="368">
        <v>-2.0953266666666663</v>
      </c>
      <c r="I85" s="368">
        <v>-1.5407999593666664</v>
      </c>
      <c r="J85" s="368">
        <v>-4.4026458801754389</v>
      </c>
      <c r="K85" s="368">
        <v>0</v>
      </c>
      <c r="L85" s="368">
        <v>0</v>
      </c>
      <c r="M85" s="368">
        <v>2.6040731092765699E-2</v>
      </c>
      <c r="N85" s="368">
        <v>0.464223353037373</v>
      </c>
      <c r="O85" s="368">
        <v>2.1870266836515802</v>
      </c>
      <c r="T85" s="49">
        <v>1</v>
      </c>
      <c r="U85" s="143" t="s">
        <v>252</v>
      </c>
      <c r="V85" s="33" t="s">
        <v>253</v>
      </c>
      <c r="W85" s="53" t="s">
        <v>546</v>
      </c>
      <c r="X85" s="53" t="s">
        <v>203</v>
      </c>
      <c r="Y85" s="172">
        <f>IFERROR(-tblZwaste1422[[#This Row],[Weight (kgCO2e/kg)]],0)</f>
        <v>-2.04928</v>
      </c>
      <c r="Z85" s="172" t="e">
        <f>IF(AQ85="x",(AR85*-tblZwaste1422[[#This Row],[Weight (kgCO2e/kg)]])+AS85+($AR$10*Lookups!$J$38/1000),"DELETE")</f>
        <v>#N/A</v>
      </c>
      <c r="AA85" s="172">
        <f t="shared" si="57"/>
        <v>-3.8381380796100326</v>
      </c>
      <c r="AB85" s="172" t="str">
        <f t="shared" si="57"/>
        <v>DELETE</v>
      </c>
      <c r="AC85" s="172" t="str">
        <f t="shared" si="57"/>
        <v>DELETE</v>
      </c>
      <c r="AD85" s="172">
        <f t="shared" si="57"/>
        <v>2.6040728044352601E-2</v>
      </c>
      <c r="AE85" s="172">
        <f t="shared" si="57"/>
        <v>0.210562605639705</v>
      </c>
      <c r="AF85" s="172">
        <f t="shared" si="57"/>
        <v>3.1831779567246001</v>
      </c>
      <c r="AG85" s="150"/>
      <c r="AI85" s="137">
        <v>1</v>
      </c>
      <c r="AJ85" s="136" t="s">
        <v>252</v>
      </c>
      <c r="AK85" s="142" t="s">
        <v>253</v>
      </c>
      <c r="AL85" s="136" t="s">
        <v>546</v>
      </c>
      <c r="AM85" s="136" t="s">
        <v>203</v>
      </c>
      <c r="AN85" s="1">
        <v>2.04928</v>
      </c>
      <c r="AO85" s="166">
        <v>1.77911</v>
      </c>
      <c r="AQ85" t="e">
        <f>_xlfn.XLOOKUP(tblGWP21[[#This Row],[Material Subcategory]],ls_Mat,Factors!$K$952:$K$1023)</f>
        <v>#N/A</v>
      </c>
      <c r="AR85" s="173">
        <v>0.77500000000000002</v>
      </c>
      <c r="AS85">
        <v>8.1306407300000008E-2</v>
      </c>
      <c r="AT85" t="s">
        <v>531</v>
      </c>
      <c r="AU85" t="s">
        <v>526</v>
      </c>
      <c r="AV85" s="347">
        <v>0.65</v>
      </c>
      <c r="BA85" cm="1">
        <f t="array" ref="BA85:BM85">tblGWP21[#This Row]</f>
        <v>1</v>
      </c>
      <c r="BB85" t="str">
        <v>Plastics</v>
      </c>
      <c r="BC85" t="str">
        <v>HDPE (translucent and pigmented)</v>
      </c>
      <c r="BD85" t="str">
        <v>Africa</v>
      </c>
      <c r="BE85" t="str">
        <v>n/a</v>
      </c>
      <c r="BF85">
        <v>-2.04928</v>
      </c>
      <c r="BG85" t="e">
        <v>#N/A</v>
      </c>
      <c r="BH85">
        <v>-3.8381380796100326</v>
      </c>
      <c r="BI85" t="str">
        <v>DELETE</v>
      </c>
      <c r="BJ85" t="str">
        <v>DELETE</v>
      </c>
      <c r="BK85">
        <v>2.6040728044352601E-2</v>
      </c>
      <c r="BL85">
        <v>0.210562605639705</v>
      </c>
      <c r="BM85">
        <v>3.1831779567246001</v>
      </c>
    </row>
    <row r="86" spans="3:65" ht="28.8">
      <c r="C86" s="6">
        <v>1</v>
      </c>
      <c r="D86" s="373" t="s">
        <v>252</v>
      </c>
      <c r="E86" s="6" t="s">
        <v>253</v>
      </c>
      <c r="F86" s="136" t="s">
        <v>546</v>
      </c>
      <c r="G86" s="136" t="s">
        <v>203</v>
      </c>
      <c r="H86" s="191">
        <v>-2.04928</v>
      </c>
      <c r="I86" s="191">
        <v>0</v>
      </c>
      <c r="J86" s="191">
        <v>-3.8381380796100326</v>
      </c>
      <c r="K86" s="191">
        <v>0</v>
      </c>
      <c r="L86" s="191">
        <v>0</v>
      </c>
      <c r="M86" s="191">
        <v>2.6040728044352601E-2</v>
      </c>
      <c r="N86" s="191">
        <v>0.210562605639705</v>
      </c>
      <c r="O86" s="191">
        <v>3.1831779567246001</v>
      </c>
      <c r="T86" s="49">
        <v>1</v>
      </c>
      <c r="U86" s="143" t="s">
        <v>252</v>
      </c>
      <c r="V86" s="33" t="s">
        <v>328</v>
      </c>
      <c r="W86" s="53" t="s">
        <v>546</v>
      </c>
      <c r="X86" s="53" t="s">
        <v>203</v>
      </c>
      <c r="Y86" s="172">
        <f>IFERROR(-tblZwaste1422[[#This Row],[Weight (kgCO2e/kg)]],0)</f>
        <v>-2.3231199999999999</v>
      </c>
      <c r="Z86" s="172" t="e">
        <f>IF(AQ86="x",(AR86*-tblZwaste1422[[#This Row],[Weight (kgCO2e/kg)]])+AS86+($AR$10*Lookups!$J$38/1000),"DELETE")</f>
        <v>#N/A</v>
      </c>
      <c r="AA86" s="172">
        <f t="shared" si="57"/>
        <v>-4.5666853324341119</v>
      </c>
      <c r="AB86" s="172" t="str">
        <f t="shared" si="57"/>
        <v>DELETE</v>
      </c>
      <c r="AC86" s="172" t="str">
        <f t="shared" si="57"/>
        <v>DELETE</v>
      </c>
      <c r="AD86" s="172">
        <f t="shared" si="57"/>
        <v>2.6040728847734299E-2</v>
      </c>
      <c r="AE86" s="172">
        <f t="shared" si="57"/>
        <v>0.33008116104865598</v>
      </c>
      <c r="AF86" s="172">
        <f t="shared" si="57"/>
        <v>2.4956094306866898</v>
      </c>
      <c r="AG86" s="150"/>
      <c r="AI86" s="137">
        <v>1</v>
      </c>
      <c r="AJ86" s="136" t="s">
        <v>252</v>
      </c>
      <c r="AK86" s="142" t="s">
        <v>328</v>
      </c>
      <c r="AL86" s="136" t="s">
        <v>546</v>
      </c>
      <c r="AM86" s="136" t="s">
        <v>203</v>
      </c>
      <c r="AN86" s="1">
        <v>2.3231199999999999</v>
      </c>
      <c r="AO86" s="166">
        <v>1.77911</v>
      </c>
      <c r="AQ86" t="e">
        <f>_xlfn.XLOOKUP(tblGWP21[[#This Row],[Material Subcategory]],ls_Mat,Factors!$K$952:$K$1023)</f>
        <v>#N/A</v>
      </c>
      <c r="AR86" s="173">
        <v>0.77500000000000002</v>
      </c>
      <c r="AU86" t="s">
        <v>526</v>
      </c>
      <c r="AV86" s="347">
        <v>0.65</v>
      </c>
      <c r="BA86" cm="1">
        <f t="array" ref="BA86:BM86">tblGWP21[#This Row]</f>
        <v>1</v>
      </c>
      <c r="BB86" t="str">
        <v>Plastics</v>
      </c>
      <c r="BC86" t="str">
        <v>LDPE</v>
      </c>
      <c r="BD86" t="str">
        <v>Africa</v>
      </c>
      <c r="BE86" t="str">
        <v>n/a</v>
      </c>
      <c r="BF86">
        <v>-2.3231199999999999</v>
      </c>
      <c r="BG86" t="e">
        <v>#N/A</v>
      </c>
      <c r="BH86">
        <v>-4.5666853324341119</v>
      </c>
      <c r="BI86" t="str">
        <v>DELETE</v>
      </c>
      <c r="BJ86" t="str">
        <v>DELETE</v>
      </c>
      <c r="BK86">
        <v>2.6040728847734299E-2</v>
      </c>
      <c r="BL86">
        <v>0.33008116104865598</v>
      </c>
      <c r="BM86">
        <v>2.4956094306866898</v>
      </c>
    </row>
    <row r="87" spans="3:65">
      <c r="C87" s="375">
        <v>1</v>
      </c>
      <c r="D87" s="374" t="s">
        <v>252</v>
      </c>
      <c r="E87" s="375" t="s">
        <v>328</v>
      </c>
      <c r="F87" s="362" t="s">
        <v>546</v>
      </c>
      <c r="G87" s="362" t="s">
        <v>203</v>
      </c>
      <c r="H87" s="368">
        <v>-2.3231199999999999</v>
      </c>
      <c r="I87" s="368">
        <v>0</v>
      </c>
      <c r="J87" s="368">
        <v>-4.5666853324341119</v>
      </c>
      <c r="K87" s="368">
        <v>0</v>
      </c>
      <c r="L87" s="368">
        <v>0</v>
      </c>
      <c r="M87" s="368">
        <v>2.6040728847734299E-2</v>
      </c>
      <c r="N87" s="368">
        <v>0.33008116104865598</v>
      </c>
      <c r="O87" s="368">
        <v>2.4956094306866898</v>
      </c>
      <c r="T87" s="49">
        <v>1</v>
      </c>
      <c r="U87" s="143" t="s">
        <v>252</v>
      </c>
      <c r="V87" s="33" t="s">
        <v>254</v>
      </c>
      <c r="W87" s="53" t="s">
        <v>546</v>
      </c>
      <c r="X87" s="53" t="s">
        <v>203</v>
      </c>
      <c r="Y87" s="172">
        <f>IFERROR(-tblZwaste1422[[#This Row],[Weight (kgCO2e/kg)]],0)</f>
        <v>-2.1485799999999999</v>
      </c>
      <c r="Z87" s="172" t="e">
        <f>IF(AQ87="x",(AR87*-tblZwaste1422[[#This Row],[Weight (kgCO2e/kg)]])+AS87+($AR$10*Lookups!$J$38/1000),"DELETE")</f>
        <v>#N/A</v>
      </c>
      <c r="AA87" s="172">
        <f t="shared" si="57"/>
        <v>-4.6390747762234978</v>
      </c>
      <c r="AB87" s="172" t="str">
        <f t="shared" si="57"/>
        <v>DELETE</v>
      </c>
      <c r="AC87" s="172" t="str">
        <f t="shared" si="57"/>
        <v>DELETE</v>
      </c>
      <c r="AD87" s="172">
        <f t="shared" si="57"/>
        <v>2.60407280443203E-2</v>
      </c>
      <c r="AE87" s="172">
        <f t="shared" si="57"/>
        <v>0.50464281528936294</v>
      </c>
      <c r="AF87" s="172">
        <f t="shared" si="57"/>
        <v>2.5363330593963398</v>
      </c>
      <c r="AG87" s="150"/>
      <c r="AI87" s="137">
        <v>1</v>
      </c>
      <c r="AJ87" s="136" t="s">
        <v>252</v>
      </c>
      <c r="AK87" s="142" t="s">
        <v>254</v>
      </c>
      <c r="AL87" s="136" t="s">
        <v>546</v>
      </c>
      <c r="AM87" s="136" t="s">
        <v>203</v>
      </c>
      <c r="AN87" s="1">
        <v>2.1485799999999999</v>
      </c>
      <c r="AO87" s="166">
        <v>1.77911</v>
      </c>
      <c r="AQ87" t="e">
        <f>_xlfn.XLOOKUP(tblGWP21[[#This Row],[Material Subcategory]],ls_Mat,Factors!$K$952:$K$1023)</f>
        <v>#N/A</v>
      </c>
      <c r="AR87" s="173">
        <v>0.77500000000000002</v>
      </c>
      <c r="AS87">
        <v>8.1306407300000008E-2</v>
      </c>
      <c r="AT87" t="s">
        <v>531</v>
      </c>
      <c r="AU87" t="s">
        <v>526</v>
      </c>
      <c r="AV87" s="347">
        <v>0.8</v>
      </c>
      <c r="BA87" cm="1">
        <f t="array" ref="BA87:BM87">tblGWP21[#This Row]</f>
        <v>1</v>
      </c>
      <c r="BB87" t="str">
        <v>Plastics</v>
      </c>
      <c r="BC87" t="str">
        <v>PET</v>
      </c>
      <c r="BD87" t="str">
        <v>Africa</v>
      </c>
      <c r="BE87" t="str">
        <v>n/a</v>
      </c>
      <c r="BF87">
        <v>-2.1485799999999999</v>
      </c>
      <c r="BG87" t="e">
        <v>#N/A</v>
      </c>
      <c r="BH87">
        <v>-4.6390747762234978</v>
      </c>
      <c r="BI87" t="str">
        <v>DELETE</v>
      </c>
      <c r="BJ87" t="str">
        <v>DELETE</v>
      </c>
      <c r="BK87">
        <v>2.60407280443203E-2</v>
      </c>
      <c r="BL87">
        <v>0.50464281528936294</v>
      </c>
      <c r="BM87">
        <v>2.5363330593963398</v>
      </c>
    </row>
    <row r="88" spans="3:65">
      <c r="C88" s="6">
        <v>1</v>
      </c>
      <c r="D88" s="373" t="s">
        <v>252</v>
      </c>
      <c r="E88" s="6" t="s">
        <v>254</v>
      </c>
      <c r="F88" s="136" t="s">
        <v>546</v>
      </c>
      <c r="G88" s="136" t="s">
        <v>203</v>
      </c>
      <c r="H88" s="191">
        <v>-2.1485799999999999</v>
      </c>
      <c r="I88" s="191">
        <v>0</v>
      </c>
      <c r="J88" s="191">
        <v>-4.6390747762234978</v>
      </c>
      <c r="K88" s="191">
        <v>0</v>
      </c>
      <c r="L88" s="191">
        <v>0</v>
      </c>
      <c r="M88" s="191">
        <v>2.60407280443203E-2</v>
      </c>
      <c r="N88" s="191">
        <v>0.50464281528936294</v>
      </c>
      <c r="O88" s="191">
        <v>2.5363330593963398</v>
      </c>
      <c r="T88" s="49">
        <v>1</v>
      </c>
      <c r="U88" s="143" t="s">
        <v>252</v>
      </c>
      <c r="V88" s="33" t="s">
        <v>532</v>
      </c>
      <c r="W88" s="53" t="s">
        <v>546</v>
      </c>
      <c r="X88" s="53" t="s">
        <v>203</v>
      </c>
      <c r="Y88" s="172">
        <f>IFERROR(-tblZwaste1422[[#This Row],[Weight (kgCO2e/kg)]],0)</f>
        <v>-1.9492499999999999</v>
      </c>
      <c r="Z88" s="172" t="e">
        <f>IF(AQ88="x",(AR88*-tblZwaste1422[[#This Row],[Weight (kgCO2e/kg)]])+AS88+($AR$10*Lookups!$J$38/1000),"DELETE")</f>
        <v>#N/A</v>
      </c>
      <c r="AA88" s="172">
        <f t="shared" si="57"/>
        <v>-4.5666853324341119</v>
      </c>
      <c r="AB88" s="172" t="str">
        <f t="shared" si="57"/>
        <v>DELETE</v>
      </c>
      <c r="AC88" s="172" t="str">
        <f t="shared" si="57"/>
        <v>DELETE</v>
      </c>
      <c r="AD88" s="172">
        <f t="shared" si="57"/>
        <v>2.6040728847734299E-2</v>
      </c>
      <c r="AE88" s="172">
        <f t="shared" si="57"/>
        <v>0.33008116104865598</v>
      </c>
      <c r="AF88" s="172">
        <f t="shared" si="57"/>
        <v>2.4956094306866898</v>
      </c>
      <c r="AG88" s="150"/>
      <c r="AI88" s="137">
        <v>1</v>
      </c>
      <c r="AJ88" s="136" t="s">
        <v>252</v>
      </c>
      <c r="AK88" s="142" t="s">
        <v>532</v>
      </c>
      <c r="AL88" s="136" t="s">
        <v>546</v>
      </c>
      <c r="AM88" s="136" t="s">
        <v>203</v>
      </c>
      <c r="AN88" s="1">
        <v>1.9492499999999999</v>
      </c>
      <c r="AO88" s="166">
        <v>1.77911</v>
      </c>
      <c r="AQ88" t="e">
        <f>_xlfn.XLOOKUP(tblGWP21[[#This Row],[Material Subcategory]],ls_Mat,Factors!$K$952:$K$1023)</f>
        <v>#N/A</v>
      </c>
      <c r="BA88" cm="1">
        <f t="array" ref="BA88:BM88">tblGWP21[#This Row]</f>
        <v>1</v>
      </c>
      <c r="BB88" t="str">
        <v>Plastics</v>
      </c>
      <c r="BC88" t="str">
        <v>LLDPE</v>
      </c>
      <c r="BD88" t="str">
        <v>Africa</v>
      </c>
      <c r="BE88" t="str">
        <v>n/a</v>
      </c>
      <c r="BF88">
        <v>-1.9492499999999999</v>
      </c>
      <c r="BG88" t="e">
        <v>#N/A</v>
      </c>
      <c r="BH88">
        <v>-4.5666853324341119</v>
      </c>
      <c r="BI88" t="str">
        <v>DELETE</v>
      </c>
      <c r="BJ88" t="str">
        <v>DELETE</v>
      </c>
      <c r="BK88">
        <v>2.6040728847734299E-2</v>
      </c>
      <c r="BL88">
        <v>0.33008116104865598</v>
      </c>
      <c r="BM88">
        <v>2.4956094306866898</v>
      </c>
    </row>
    <row r="89" spans="3:65">
      <c r="C89" s="375">
        <v>1</v>
      </c>
      <c r="D89" s="374" t="s">
        <v>252</v>
      </c>
      <c r="E89" s="375" t="s">
        <v>532</v>
      </c>
      <c r="F89" s="362" t="s">
        <v>546</v>
      </c>
      <c r="G89" s="362" t="s">
        <v>203</v>
      </c>
      <c r="H89" s="368">
        <v>-1.9492499999999999</v>
      </c>
      <c r="I89" s="368">
        <v>0</v>
      </c>
      <c r="J89" s="368">
        <v>-4.5666853324341119</v>
      </c>
      <c r="K89" s="368">
        <v>0</v>
      </c>
      <c r="L89" s="368">
        <v>0</v>
      </c>
      <c r="M89" s="368">
        <v>2.6040728847734299E-2</v>
      </c>
      <c r="N89" s="368">
        <v>0.33008116104865598</v>
      </c>
      <c r="O89" s="368">
        <v>2.4956094306866898</v>
      </c>
      <c r="T89" s="49">
        <v>1</v>
      </c>
      <c r="U89" s="143" t="s">
        <v>252</v>
      </c>
      <c r="V89" s="33" t="s">
        <v>245</v>
      </c>
      <c r="W89" s="53" t="s">
        <v>546</v>
      </c>
      <c r="X89" s="53" t="s">
        <v>203</v>
      </c>
      <c r="Y89" s="172">
        <f>IFERROR(-tblZwaste1422[[#This Row],[Weight (kgCO2e/kg)]],0)</f>
        <v>-2.0269300000000001</v>
      </c>
      <c r="Z89" s="172" t="e">
        <f>IF(AQ89="x",(AR89*-tblZwaste1422[[#This Row],[Weight (kgCO2e/kg)]])+AS89+($AR$10*Lookups!$J$38/1000),"DELETE")</f>
        <v>#N/A</v>
      </c>
      <c r="AA89" s="172" t="str">
        <f t="shared" si="57"/>
        <v>DELETE</v>
      </c>
      <c r="AB89" s="172" t="str">
        <f t="shared" si="57"/>
        <v>DELETE</v>
      </c>
      <c r="AC89" s="172" t="str">
        <f t="shared" si="57"/>
        <v>DELETE</v>
      </c>
      <c r="AD89" s="172">
        <f t="shared" si="57"/>
        <v>2.6040728968980201E-2</v>
      </c>
      <c r="AE89" s="172">
        <f t="shared" si="57"/>
        <v>0.16048480422712499</v>
      </c>
      <c r="AF89" s="172">
        <f t="shared" si="57"/>
        <v>3.1833672666267101</v>
      </c>
      <c r="AG89" s="150"/>
      <c r="AI89" s="137">
        <v>1</v>
      </c>
      <c r="AJ89" s="136" t="s">
        <v>252</v>
      </c>
      <c r="AK89" s="142" t="s">
        <v>245</v>
      </c>
      <c r="AL89" s="136" t="s">
        <v>546</v>
      </c>
      <c r="AM89" s="136" t="s">
        <v>203</v>
      </c>
      <c r="AN89" s="1">
        <v>2.0269300000000001</v>
      </c>
      <c r="AO89" s="166">
        <v>1.77911</v>
      </c>
      <c r="AQ89" t="e">
        <f>_xlfn.XLOOKUP(tblGWP21[[#This Row],[Material Subcategory]],ls_Mat,Factors!$K$952:$K$1023)</f>
        <v>#N/A</v>
      </c>
      <c r="AR89" s="173">
        <v>0.77500000000000002</v>
      </c>
      <c r="AS89">
        <v>8.1306407300000008E-2</v>
      </c>
      <c r="AT89" t="s">
        <v>531</v>
      </c>
      <c r="BA89" cm="1">
        <f t="array" ref="BA89:BM89">tblGWP21[#This Row]</f>
        <v>1</v>
      </c>
      <c r="BB89" t="str">
        <v>Plastics</v>
      </c>
      <c r="BC89" t="str">
        <v>PP</v>
      </c>
      <c r="BD89" t="str">
        <v>Africa</v>
      </c>
      <c r="BE89" t="str">
        <v>n/a</v>
      </c>
      <c r="BF89">
        <v>-2.0269300000000001</v>
      </c>
      <c r="BG89" t="e">
        <v>#N/A</v>
      </c>
      <c r="BH89" t="str">
        <v>DELETE</v>
      </c>
      <c r="BI89" t="str">
        <v>DELETE</v>
      </c>
      <c r="BJ89" t="str">
        <v>DELETE</v>
      </c>
      <c r="BK89">
        <v>2.6040728968980201E-2</v>
      </c>
      <c r="BL89">
        <v>0.16048480422712499</v>
      </c>
      <c r="BM89">
        <v>3.1833672666267101</v>
      </c>
    </row>
    <row r="90" spans="3:65">
      <c r="C90" s="6">
        <v>1</v>
      </c>
      <c r="D90" s="373" t="s">
        <v>252</v>
      </c>
      <c r="E90" s="6" t="s">
        <v>245</v>
      </c>
      <c r="F90" s="136" t="s">
        <v>546</v>
      </c>
      <c r="G90" s="136" t="s">
        <v>203</v>
      </c>
      <c r="H90" s="191">
        <v>-2.0269300000000001</v>
      </c>
      <c r="I90" s="191">
        <v>0</v>
      </c>
      <c r="J90" s="191">
        <v>0</v>
      </c>
      <c r="K90" s="191">
        <v>0</v>
      </c>
      <c r="L90" s="191">
        <v>0</v>
      </c>
      <c r="M90" s="191">
        <v>2.6040728968980201E-2</v>
      </c>
      <c r="N90" s="191">
        <v>0.16048480422712499</v>
      </c>
      <c r="O90" s="191">
        <v>3.1833672666267101</v>
      </c>
      <c r="T90" s="49">
        <v>1</v>
      </c>
      <c r="U90" s="143" t="s">
        <v>252</v>
      </c>
      <c r="V90" s="33" t="s">
        <v>533</v>
      </c>
      <c r="W90" s="53" t="s">
        <v>546</v>
      </c>
      <c r="X90" s="53" t="s">
        <v>203</v>
      </c>
      <c r="Y90" s="172">
        <f>IFERROR(-tblZwaste1422[[#This Row],[Weight (kgCO2e/kg)]],0)</f>
        <v>-2.0748000000000002</v>
      </c>
      <c r="Z90" s="172" t="e">
        <f>IF(AQ90="x",(AR90*-tblZwaste1422[[#This Row],[Weight (kgCO2e/kg)]])+AS90+($AR$10*Lookups!$J$38/1000),"DELETE")</f>
        <v>#N/A</v>
      </c>
      <c r="AA90" s="172" t="str">
        <f t="shared" si="57"/>
        <v>DELETE</v>
      </c>
      <c r="AB90" s="172" t="str">
        <f t="shared" si="57"/>
        <v>DELETE</v>
      </c>
      <c r="AC90" s="172" t="str">
        <f t="shared" si="57"/>
        <v>DELETE</v>
      </c>
      <c r="AD90" s="172">
        <f t="shared" si="57"/>
        <v>2.6040723761235202E-2</v>
      </c>
      <c r="AE90" s="172">
        <f t="shared" si="57"/>
        <v>0.394654844237527</v>
      </c>
      <c r="AF90" s="172">
        <f t="shared" si="57"/>
        <v>3.0368312004139799</v>
      </c>
      <c r="AG90" s="150"/>
      <c r="AI90" s="137">
        <v>1</v>
      </c>
      <c r="AJ90" s="136" t="s">
        <v>252</v>
      </c>
      <c r="AK90" s="142" t="s">
        <v>533</v>
      </c>
      <c r="AL90" s="136" t="s">
        <v>546</v>
      </c>
      <c r="AM90" s="136" t="s">
        <v>203</v>
      </c>
      <c r="AN90" s="1">
        <v>2.0748000000000002</v>
      </c>
      <c r="AO90" s="166">
        <v>1.77911</v>
      </c>
      <c r="AQ90" t="e">
        <f>_xlfn.XLOOKUP(tblGWP21[[#This Row],[Material Subcategory]],ls_Mat,Factors!$K$952:$K$1023)</f>
        <v>#N/A</v>
      </c>
      <c r="AR90" s="173">
        <v>0.77500000000000002</v>
      </c>
      <c r="AS90">
        <v>8.1306407300000008E-2</v>
      </c>
      <c r="AT90" t="s">
        <v>531</v>
      </c>
      <c r="AU90" t="s">
        <v>526</v>
      </c>
      <c r="AV90" s="347">
        <v>0.95</v>
      </c>
      <c r="BA90" cm="1">
        <f t="array" ref="BA90:BM90">tblGWP21[#This Row]</f>
        <v>1</v>
      </c>
      <c r="BB90" t="str">
        <v>Plastics</v>
      </c>
      <c r="BC90" t="str">
        <v>PVC</v>
      </c>
      <c r="BD90" t="str">
        <v>Africa</v>
      </c>
      <c r="BE90" t="str">
        <v>n/a</v>
      </c>
      <c r="BF90">
        <v>-2.0748000000000002</v>
      </c>
      <c r="BG90" t="e">
        <v>#N/A</v>
      </c>
      <c r="BH90" t="str">
        <v>DELETE</v>
      </c>
      <c r="BI90" t="str">
        <v>DELETE</v>
      </c>
      <c r="BJ90" t="str">
        <v>DELETE</v>
      </c>
      <c r="BK90">
        <v>2.6040723761235202E-2</v>
      </c>
      <c r="BL90">
        <v>0.394654844237527</v>
      </c>
      <c r="BM90">
        <v>3.0368312004139799</v>
      </c>
    </row>
    <row r="91" spans="3:65">
      <c r="C91" s="375">
        <v>1</v>
      </c>
      <c r="D91" s="374" t="s">
        <v>252</v>
      </c>
      <c r="E91" s="375" t="s">
        <v>533</v>
      </c>
      <c r="F91" s="362" t="s">
        <v>546</v>
      </c>
      <c r="G91" s="362" t="s">
        <v>203</v>
      </c>
      <c r="H91" s="368">
        <v>-2.0748000000000002</v>
      </c>
      <c r="I91" s="368">
        <v>0</v>
      </c>
      <c r="J91" s="368">
        <v>0</v>
      </c>
      <c r="K91" s="368">
        <v>0</v>
      </c>
      <c r="L91" s="368">
        <v>0</v>
      </c>
      <c r="M91" s="368">
        <v>2.6040723761235202E-2</v>
      </c>
      <c r="N91" s="368">
        <v>0.394654844237527</v>
      </c>
      <c r="O91" s="368">
        <v>3.0368312004139799</v>
      </c>
      <c r="T91" s="49">
        <v>1</v>
      </c>
      <c r="U91" s="143" t="s">
        <v>242</v>
      </c>
      <c r="V91" s="33" t="s">
        <v>242</v>
      </c>
      <c r="W91" s="53" t="s">
        <v>546</v>
      </c>
      <c r="X91" s="53" t="s">
        <v>203</v>
      </c>
      <c r="Y91" s="172">
        <f>IFERROR(-tblZwaste1422[[#This Row],[Weight (kgCO2e/kg)]],0)</f>
        <v>-38.486130000000003</v>
      </c>
      <c r="Z91" s="172" t="e">
        <f>IF(AQ91="x",(AR91*-tblZwaste1422[[#This Row],[Weight (kgCO2e/kg)]])+AS91+($AR$10*Lookups!$J$38/1000),"DELETE")</f>
        <v>#N/A</v>
      </c>
      <c r="AA91" s="172">
        <f>AVERAGE(AA92,AA93,AA125,AA126)</f>
        <v>-3.2868550000000001</v>
      </c>
      <c r="AB91" s="172" t="str">
        <f t="shared" si="57"/>
        <v>DELETE</v>
      </c>
      <c r="AC91" s="172" t="str">
        <f t="shared" si="57"/>
        <v>DELETE</v>
      </c>
      <c r="AD91" s="172">
        <f t="shared" si="57"/>
        <v>2.5860000000000001E-2</v>
      </c>
      <c r="AE91" s="172">
        <f t="shared" si="57"/>
        <v>4.1075091000055998E-2</v>
      </c>
      <c r="AF91" s="172">
        <f t="shared" si="57"/>
        <v>4.8932475133413401E-2</v>
      </c>
      <c r="AG91" s="150"/>
      <c r="AI91" s="137">
        <v>1</v>
      </c>
      <c r="AJ91" s="136" t="s">
        <v>242</v>
      </c>
      <c r="AK91" s="142" t="s">
        <v>242</v>
      </c>
      <c r="AL91" s="136" t="s">
        <v>546</v>
      </c>
      <c r="AM91" s="136" t="s">
        <v>203</v>
      </c>
      <c r="AN91" s="1">
        <v>38.486130000000003</v>
      </c>
      <c r="AO91" s="166">
        <v>0.20843</v>
      </c>
      <c r="AQ91" t="e">
        <f>_xlfn.XLOOKUP(tblGWP21[[#This Row],[Material Subcategory]],ls_Mat,Factors!$K$952:$K$1023)</f>
        <v>#N/A</v>
      </c>
      <c r="AR91" s="173">
        <v>0.72499999999999998</v>
      </c>
      <c r="AS91">
        <v>0</v>
      </c>
      <c r="AT91" t="s">
        <v>527</v>
      </c>
      <c r="AU91" t="s">
        <v>526</v>
      </c>
      <c r="AV91" s="347">
        <v>0.95</v>
      </c>
      <c r="BA91" cm="1">
        <f t="array" ref="BA91:BM91">tblGWP21[#This Row]</f>
        <v>1</v>
      </c>
      <c r="BB91" t="str">
        <v>Electronics</v>
      </c>
      <c r="BC91" t="str">
        <v>Electronics</v>
      </c>
      <c r="BD91" t="str">
        <v>Africa</v>
      </c>
      <c r="BE91" t="str">
        <v>n/a</v>
      </c>
      <c r="BF91">
        <v>-38.486130000000003</v>
      </c>
      <c r="BG91" t="e">
        <v>#N/A</v>
      </c>
      <c r="BH91">
        <v>-3.2868550000000001</v>
      </c>
      <c r="BI91" t="str">
        <v>DELETE</v>
      </c>
      <c r="BJ91" t="str">
        <v>DELETE</v>
      </c>
      <c r="BK91">
        <v>2.5860000000000001E-2</v>
      </c>
      <c r="BL91">
        <v>4.1075091000055998E-2</v>
      </c>
      <c r="BM91">
        <v>4.8932475133413401E-2</v>
      </c>
    </row>
    <row r="92" spans="3:65">
      <c r="C92" s="6">
        <v>1</v>
      </c>
      <c r="D92" s="373" t="s">
        <v>242</v>
      </c>
      <c r="E92" s="6" t="s">
        <v>242</v>
      </c>
      <c r="F92" s="136" t="s">
        <v>546</v>
      </c>
      <c r="G92" s="136" t="s">
        <v>203</v>
      </c>
      <c r="H92" s="191">
        <v>-38.486130000000003</v>
      </c>
      <c r="I92" s="191">
        <v>-27.900672450000002</v>
      </c>
      <c r="J92" s="191">
        <v>-3.2868550000000001</v>
      </c>
      <c r="K92" s="191">
        <v>0</v>
      </c>
      <c r="L92" s="191">
        <v>0</v>
      </c>
      <c r="M92" s="191">
        <v>2.5860000000000001E-2</v>
      </c>
      <c r="N92" s="191">
        <v>4.1075091000055998E-2</v>
      </c>
      <c r="O92" s="191">
        <v>4.8932475133413401E-2</v>
      </c>
      <c r="T92" s="49">
        <v>1</v>
      </c>
      <c r="U92" s="143" t="s">
        <v>242</v>
      </c>
      <c r="V92" s="33" t="s">
        <v>274</v>
      </c>
      <c r="W92" s="53" t="s">
        <v>546</v>
      </c>
      <c r="X92" s="53" t="s">
        <v>203</v>
      </c>
      <c r="Y92" s="172">
        <f>IFERROR(-tblZwaste1422[[#This Row],[Weight (kgCO2e/kg)]],0)</f>
        <v>-38.486130000000003</v>
      </c>
      <c r="Z92" s="172">
        <f>IF(AQ92="x",(AR92*-tblZwaste1422[[#This Row],[Weight (kgCO2e/kg)]])+AS92+($AR$10*Lookups!$J$38/1000),"DELETE")</f>
        <v>-27.900672450000002</v>
      </c>
      <c r="AA92" s="172">
        <v>-8.5278425000000002</v>
      </c>
      <c r="AB92" s="172" t="str">
        <f t="shared" si="57"/>
        <v>DELETE</v>
      </c>
      <c r="AC92" s="172" t="str">
        <f t="shared" si="57"/>
        <v>DELETE</v>
      </c>
      <c r="AD92" s="172">
        <f t="shared" si="57"/>
        <v>2.5860000000000001E-2</v>
      </c>
      <c r="AE92" s="172">
        <f t="shared" si="57"/>
        <v>4.1075091000055998E-2</v>
      </c>
      <c r="AF92" s="172">
        <f t="shared" si="57"/>
        <v>4.8932475133413401E-2</v>
      </c>
      <c r="AG92" s="150"/>
      <c r="AI92" s="137">
        <v>1</v>
      </c>
      <c r="AJ92" s="136" t="s">
        <v>242</v>
      </c>
      <c r="AK92" s="142" t="s">
        <v>242</v>
      </c>
      <c r="AL92" s="136" t="s">
        <v>546</v>
      </c>
      <c r="AM92" s="136" t="s">
        <v>203</v>
      </c>
      <c r="AN92" s="1">
        <v>38.486130000000003</v>
      </c>
      <c r="AO92" s="166">
        <v>0.20843</v>
      </c>
      <c r="AQ92" t="str">
        <f>_xlfn.XLOOKUP(tblGWP21[[#This Row],[Material Subcategory]],ls_Mat,Factors!$K$952:$K$1023)</f>
        <v>x</v>
      </c>
      <c r="AR92" s="173">
        <v>0.72499999999999998</v>
      </c>
      <c r="AS92">
        <v>0</v>
      </c>
      <c r="AT92" t="s">
        <v>527</v>
      </c>
      <c r="AU92" t="s">
        <v>526</v>
      </c>
      <c r="AV92" s="347">
        <v>0.95</v>
      </c>
      <c r="BA92" cm="1">
        <f t="array" ref="BA92:BM92">tblGWP21[#This Row]</f>
        <v>1</v>
      </c>
      <c r="BB92" t="str">
        <v>Electronics</v>
      </c>
      <c r="BC92" t="str">
        <v>E-waste</v>
      </c>
      <c r="BD92" t="str">
        <v>Africa</v>
      </c>
      <c r="BE92" t="str">
        <v>n/a</v>
      </c>
      <c r="BF92">
        <v>-38.486130000000003</v>
      </c>
      <c r="BG92">
        <v>-27.900672450000002</v>
      </c>
      <c r="BH92">
        <v>-8.5278425000000002</v>
      </c>
      <c r="BI92" t="str">
        <v>DELETE</v>
      </c>
      <c r="BJ92" t="str">
        <v>DELETE</v>
      </c>
      <c r="BK92">
        <v>2.5860000000000001E-2</v>
      </c>
      <c r="BL92">
        <v>4.1075091000055998E-2</v>
      </c>
      <c r="BM92">
        <v>4.8932475133413401E-2</v>
      </c>
    </row>
    <row r="93" spans="3:65">
      <c r="C93" s="375">
        <v>1</v>
      </c>
      <c r="D93" s="374" t="s">
        <v>242</v>
      </c>
      <c r="E93" s="375" t="s">
        <v>274</v>
      </c>
      <c r="F93" s="362" t="s">
        <v>546</v>
      </c>
      <c r="G93" s="362" t="s">
        <v>203</v>
      </c>
      <c r="H93" s="368">
        <v>-38.486130000000003</v>
      </c>
      <c r="I93" s="368">
        <v>-27.900672450000002</v>
      </c>
      <c r="J93" s="368">
        <v>-8.5278425000000002</v>
      </c>
      <c r="K93" s="368">
        <v>0</v>
      </c>
      <c r="L93" s="368">
        <v>0</v>
      </c>
      <c r="M93" s="368">
        <v>2.5860000000000001E-2</v>
      </c>
      <c r="N93" s="368">
        <v>4.1075091000055998E-2</v>
      </c>
      <c r="O93" s="368">
        <v>4.8932475133413401E-2</v>
      </c>
      <c r="T93" s="49">
        <v>1</v>
      </c>
      <c r="U93" s="143" t="s">
        <v>242</v>
      </c>
      <c r="V93" s="33" t="s">
        <v>534</v>
      </c>
      <c r="W93" s="53" t="s">
        <v>546</v>
      </c>
      <c r="X93" s="53" t="s">
        <v>203</v>
      </c>
      <c r="Y93" s="172">
        <f>IFERROR(-tblZwaste1422[[#This Row],[Weight (kgCO2e/kg)]],0)</f>
        <v>-15.0122</v>
      </c>
      <c r="Z93" s="172">
        <f>IF(AQ93="x",(AR93*-tblZwaste1422[[#This Row],[Weight (kgCO2e/kg)]])+AS93+($AR$10*Lookups!$J$38/1000),"DELETE")</f>
        <v>-10.882073199999999</v>
      </c>
      <c r="AA93" s="172">
        <v>-3.19428</v>
      </c>
      <c r="AB93" s="172" t="str">
        <f t="shared" ref="AA93:AF102" si="58">AB485</f>
        <v>DELETE</v>
      </c>
      <c r="AC93" s="172" t="str">
        <f t="shared" si="58"/>
        <v>DELETE</v>
      </c>
      <c r="AD93" s="172">
        <f t="shared" si="58"/>
        <v>2.5860000000000001E-2</v>
      </c>
      <c r="AE93" s="172">
        <f t="shared" si="58"/>
        <v>4.1075091000055998E-2</v>
      </c>
      <c r="AF93" s="172">
        <f t="shared" si="58"/>
        <v>4.8932475133413401E-2</v>
      </c>
      <c r="AG93" s="150"/>
      <c r="AI93" s="137">
        <v>1</v>
      </c>
      <c r="AJ93" s="136" t="s">
        <v>242</v>
      </c>
      <c r="AK93" s="142" t="s">
        <v>534</v>
      </c>
      <c r="AL93" s="136" t="s">
        <v>546</v>
      </c>
      <c r="AM93" s="136" t="s">
        <v>203</v>
      </c>
      <c r="AN93" s="1">
        <v>15.0122</v>
      </c>
      <c r="AO93" s="166">
        <v>0.37092000000000003</v>
      </c>
      <c r="AQ93" t="str">
        <f>_xlfn.XLOOKUP(tblGWP21[[#This Row],[Material Subcategory]],ls_Mat,Factors!$K$952:$K$1023)</f>
        <v>x</v>
      </c>
      <c r="AR93" s="173">
        <v>0.72499999999999998</v>
      </c>
      <c r="AS93">
        <v>0</v>
      </c>
      <c r="AT93" t="s">
        <v>527</v>
      </c>
      <c r="BA93" cm="1">
        <f t="array" ref="BA93:BM93">tblGWP21[#This Row]</f>
        <v>1</v>
      </c>
      <c r="BB93" t="str">
        <v>Electronics</v>
      </c>
      <c r="BC93" t="str">
        <v>Batteries</v>
      </c>
      <c r="BD93" t="str">
        <v>Africa</v>
      </c>
      <c r="BE93" t="str">
        <v>n/a</v>
      </c>
      <c r="BF93">
        <v>-15.0122</v>
      </c>
      <c r="BG93">
        <v>-10.882073199999999</v>
      </c>
      <c r="BH93">
        <v>-3.19428</v>
      </c>
      <c r="BI93" t="str">
        <v>DELETE</v>
      </c>
      <c r="BJ93" t="str">
        <v>DELETE</v>
      </c>
      <c r="BK93">
        <v>2.5860000000000001E-2</v>
      </c>
      <c r="BL93">
        <v>4.1075091000055998E-2</v>
      </c>
      <c r="BM93">
        <v>4.8932475133413401E-2</v>
      </c>
    </row>
    <row r="94" spans="3:65">
      <c r="C94" s="6">
        <v>1</v>
      </c>
      <c r="D94" s="373" t="s">
        <v>242</v>
      </c>
      <c r="E94" s="6" t="s">
        <v>534</v>
      </c>
      <c r="F94" s="136" t="s">
        <v>546</v>
      </c>
      <c r="G94" s="136" t="s">
        <v>203</v>
      </c>
      <c r="H94" s="191">
        <v>-15.0122</v>
      </c>
      <c r="I94" s="191">
        <v>-10.882073199999999</v>
      </c>
      <c r="J94" s="191">
        <v>-3.19428</v>
      </c>
      <c r="K94" s="191">
        <v>0</v>
      </c>
      <c r="L94" s="191">
        <v>0</v>
      </c>
      <c r="M94" s="191">
        <v>2.5860000000000001E-2</v>
      </c>
      <c r="N94" s="191">
        <v>4.1075091000055998E-2</v>
      </c>
      <c r="O94" s="191">
        <v>4.8932475133413401E-2</v>
      </c>
      <c r="T94" s="49">
        <v>1</v>
      </c>
      <c r="U94" s="143" t="s">
        <v>239</v>
      </c>
      <c r="V94" s="33" t="s">
        <v>239</v>
      </c>
      <c r="W94" s="53" t="s">
        <v>546</v>
      </c>
      <c r="X94" s="53" t="s">
        <v>203</v>
      </c>
      <c r="Y94" s="172">
        <f>IFERROR(-tblZwaste1422[[#This Row],[Weight (kgCO2e/kg)]],0)</f>
        <v>-2.6644477777777777</v>
      </c>
      <c r="Z94" s="172" t="e">
        <f>IF(AQ94="x",(AR94*-tblZwaste1422[[#This Row],[Weight (kgCO2e/kg)]])+AS94+($AR$10*Lookups!$J$38/1000),"DELETE")</f>
        <v>#N/A</v>
      </c>
      <c r="AA94" s="172">
        <f t="shared" si="58"/>
        <v>-0.90244815300206405</v>
      </c>
      <c r="AB94" s="172">
        <f t="shared" si="58"/>
        <v>-1.5823914514950801</v>
      </c>
      <c r="AC94" s="172">
        <f t="shared" si="58"/>
        <v>-2.39025290122775</v>
      </c>
      <c r="AD94" s="172">
        <f t="shared" si="58"/>
        <v>-0.60576406900190205</v>
      </c>
      <c r="AE94" s="172">
        <f t="shared" si="58"/>
        <v>-0.93094962859978103</v>
      </c>
      <c r="AF94" s="172">
        <f t="shared" si="58"/>
        <v>2.7472942241024201E-2</v>
      </c>
      <c r="AG94" s="150"/>
      <c r="AI94" s="137">
        <v>1</v>
      </c>
      <c r="AJ94" s="136" t="s">
        <v>239</v>
      </c>
      <c r="AK94" s="142" t="s">
        <v>239</v>
      </c>
      <c r="AL94" s="136" t="s">
        <v>546</v>
      </c>
      <c r="AM94" s="136" t="s">
        <v>203</v>
      </c>
      <c r="AN94" s="1">
        <v>2.6644477777777777</v>
      </c>
      <c r="AO94" s="166">
        <v>0.64099666666666666</v>
      </c>
      <c r="AQ94" t="e">
        <f>_xlfn.XLOOKUP(tblGWP21[[#This Row],[Material Subcategory]],ls_Mat,Factors!$K$952:$K$1023)</f>
        <v>#N/A</v>
      </c>
      <c r="AR94" s="173">
        <v>0.64600000000000002</v>
      </c>
      <c r="AS94">
        <v>0</v>
      </c>
      <c r="AT94" t="s">
        <v>527</v>
      </c>
      <c r="AU94" t="s">
        <v>526</v>
      </c>
      <c r="AV94" s="347">
        <v>0.95</v>
      </c>
      <c r="BA94" cm="1">
        <f t="array" ref="BA94:BM94">tblGWP21[#This Row]</f>
        <v>1</v>
      </c>
      <c r="BB94" t="str">
        <v>Paper</v>
      </c>
      <c r="BC94" t="str">
        <v>Paper</v>
      </c>
      <c r="BD94" t="str">
        <v>Africa</v>
      </c>
      <c r="BE94" t="str">
        <v>n/a</v>
      </c>
      <c r="BF94">
        <v>-2.6644477777777777</v>
      </c>
      <c r="BG94" t="e">
        <v>#N/A</v>
      </c>
      <c r="BH94">
        <v>-0.90244815300206405</v>
      </c>
      <c r="BI94">
        <v>-1.5823914514950801</v>
      </c>
      <c r="BJ94">
        <v>-2.39025290122775</v>
      </c>
      <c r="BK94">
        <v>-0.60576406900190205</v>
      </c>
      <c r="BL94">
        <v>-0.93094962859978103</v>
      </c>
      <c r="BM94">
        <v>2.7472942241024201E-2</v>
      </c>
    </row>
    <row r="95" spans="3:65">
      <c r="C95" s="375">
        <v>1</v>
      </c>
      <c r="D95" s="374" t="s">
        <v>239</v>
      </c>
      <c r="E95" s="375" t="s">
        <v>239</v>
      </c>
      <c r="F95" s="362" t="s">
        <v>546</v>
      </c>
      <c r="G95" s="362" t="s">
        <v>203</v>
      </c>
      <c r="H95" s="368">
        <v>-2.6644477777777777</v>
      </c>
      <c r="I95" s="368">
        <v>-1.7194614644444446</v>
      </c>
      <c r="J95" s="368">
        <v>-0.90244815300206405</v>
      </c>
      <c r="K95" s="368">
        <v>-1.5823914514950801</v>
      </c>
      <c r="L95" s="368">
        <v>-2.39025290122775</v>
      </c>
      <c r="M95" s="368">
        <v>-0.60576406900190205</v>
      </c>
      <c r="N95" s="368">
        <v>-0.93094962859978103</v>
      </c>
      <c r="O95" s="368">
        <v>2.7472942241024201E-2</v>
      </c>
      <c r="T95" s="49">
        <v>1</v>
      </c>
      <c r="U95" s="143" t="s">
        <v>239</v>
      </c>
      <c r="V95" s="33" t="s">
        <v>324</v>
      </c>
      <c r="W95" s="53" t="s">
        <v>546</v>
      </c>
      <c r="X95" s="53" t="s">
        <v>203</v>
      </c>
      <c r="Y95" s="172">
        <f>IFERROR(-tblZwaste1422[[#This Row],[Weight (kgCO2e/kg)]],0)</f>
        <v>-1.66</v>
      </c>
      <c r="Z95" s="172" t="str">
        <f>IF(AQ95="x",(AR95*-tblZwaste1422[[#This Row],[Weight (kgCO2e/kg)]])+AS95+($AR$10*Lookups!$J$38/1000),"DELETE")</f>
        <v>DELETE</v>
      </c>
      <c r="AA95" s="172">
        <f t="shared" si="58"/>
        <v>0.1396947306964815</v>
      </c>
      <c r="AB95" s="172">
        <f t="shared" si="58"/>
        <v>-1.5931961690249401</v>
      </c>
      <c r="AC95" s="172">
        <f t="shared" si="58"/>
        <v>-2.2369298238349402</v>
      </c>
      <c r="AD95" s="172">
        <f t="shared" si="58"/>
        <v>-1.10780997520734</v>
      </c>
      <c r="AE95" s="172">
        <f t="shared" si="58"/>
        <v>-1.01193471996385</v>
      </c>
      <c r="AF95" s="172">
        <f t="shared" si="58"/>
        <v>2.6683067303327399E-2</v>
      </c>
      <c r="AG95" s="150"/>
      <c r="AI95" s="137">
        <v>1</v>
      </c>
      <c r="AJ95" s="136" t="s">
        <v>239</v>
      </c>
      <c r="AK95" s="142" t="s">
        <v>324</v>
      </c>
      <c r="AL95" s="136" t="s">
        <v>546</v>
      </c>
      <c r="AM95" s="136" t="s">
        <v>203</v>
      </c>
      <c r="AN95" s="1">
        <v>1.66</v>
      </c>
      <c r="AO95" s="166">
        <v>0.13142999999999999</v>
      </c>
      <c r="AQ95">
        <f>_xlfn.XLOOKUP(tblGWP21[[#This Row],[Material Subcategory]],ls_Mat,Factors!$K$952:$K$1023)</f>
        <v>0</v>
      </c>
      <c r="AR95" s="173">
        <v>0.64600000000000002</v>
      </c>
      <c r="AS95">
        <v>0</v>
      </c>
      <c r="AT95" t="s">
        <v>527</v>
      </c>
      <c r="AU95" t="s">
        <v>526</v>
      </c>
      <c r="AV95" s="347">
        <v>0.9</v>
      </c>
      <c r="BA95" cm="1">
        <f t="array" ref="BA95:BM95">tblGWP21[#This Row]</f>
        <v>1</v>
      </c>
      <c r="BB95" t="str">
        <v>Paper</v>
      </c>
      <c r="BC95" t="str">
        <v>Newsprint</v>
      </c>
      <c r="BD95" t="str">
        <v>Africa</v>
      </c>
      <c r="BE95" t="str">
        <v>n/a</v>
      </c>
      <c r="BF95">
        <v>-1.66</v>
      </c>
      <c r="BG95" t="str">
        <v>DELETE</v>
      </c>
      <c r="BH95">
        <v>0.1396947306964815</v>
      </c>
      <c r="BI95">
        <v>-1.5931961690249401</v>
      </c>
      <c r="BJ95">
        <v>-2.2369298238349402</v>
      </c>
      <c r="BK95">
        <v>-1.10780997520734</v>
      </c>
      <c r="BL95">
        <v>-1.01193471996385</v>
      </c>
      <c r="BM95">
        <v>2.6683067303327399E-2</v>
      </c>
    </row>
    <row r="96" spans="3:65">
      <c r="C96" s="6">
        <v>1</v>
      </c>
      <c r="D96" s="373" t="s">
        <v>239</v>
      </c>
      <c r="E96" s="6" t="s">
        <v>324</v>
      </c>
      <c r="F96" s="136" t="s">
        <v>546</v>
      </c>
      <c r="G96" s="136" t="s">
        <v>203</v>
      </c>
      <c r="H96" s="191">
        <v>-1.66</v>
      </c>
      <c r="I96" s="191">
        <v>0</v>
      </c>
      <c r="J96" s="191">
        <v>0.1396947306964815</v>
      </c>
      <c r="K96" s="191">
        <v>-1.5931961690249401</v>
      </c>
      <c r="L96" s="191">
        <v>-2.2369298238349402</v>
      </c>
      <c r="M96" s="191">
        <v>-1.10780997520734</v>
      </c>
      <c r="N96" s="191">
        <v>-1.01193471996385</v>
      </c>
      <c r="O96" s="191">
        <v>2.6683067303327399E-2</v>
      </c>
      <c r="T96" s="49">
        <v>1</v>
      </c>
      <c r="U96" s="143" t="s">
        <v>239</v>
      </c>
      <c r="V96" s="33" t="s">
        <v>272</v>
      </c>
      <c r="W96" s="53" t="s">
        <v>546</v>
      </c>
      <c r="X96" s="53" t="s">
        <v>203</v>
      </c>
      <c r="Y96" s="172">
        <f>IFERROR(-tblZwaste1422[[#This Row],[Weight (kgCO2e/kg)]],0)</f>
        <v>-2.1278299999999999</v>
      </c>
      <c r="Z96" s="172">
        <f>IF(AQ96="x",(AR96*-tblZwaste1422[[#This Row],[Weight (kgCO2e/kg)]])+AS96+($AR$10*Lookups!$J$38/1000),"DELETE")</f>
        <v>-1.3728063799999999</v>
      </c>
      <c r="AA96" s="172">
        <f t="shared" si="58"/>
        <v>1.5053973137750708E-2</v>
      </c>
      <c r="AB96" s="172">
        <f t="shared" si="58"/>
        <v>-1.4198911030999699</v>
      </c>
      <c r="AC96" s="172">
        <f t="shared" si="58"/>
        <v>-2.25405904094508</v>
      </c>
      <c r="AD96" s="172">
        <f t="shared" si="58"/>
        <v>6.7720000000000002E-2</v>
      </c>
      <c r="AE96" s="172">
        <f t="shared" si="58"/>
        <v>-0.79660085842781303</v>
      </c>
      <c r="AF96" s="172">
        <f t="shared" si="58"/>
        <v>3.4587160965760602E-2</v>
      </c>
      <c r="AG96" s="150"/>
      <c r="AI96" s="137">
        <v>1</v>
      </c>
      <c r="AJ96" s="136" t="s">
        <v>239</v>
      </c>
      <c r="AK96" s="142" t="s">
        <v>272</v>
      </c>
      <c r="AL96" s="136" t="s">
        <v>546</v>
      </c>
      <c r="AM96" s="136" t="s">
        <v>203</v>
      </c>
      <c r="AN96" s="1">
        <v>2.1278299999999999</v>
      </c>
      <c r="AO96" s="166">
        <v>1.2152400000000001</v>
      </c>
      <c r="AQ96" t="str">
        <f>_xlfn.XLOOKUP(tblGWP21[[#This Row],[Material Subcategory]],ls_Mat,Factors!$K$952:$K$1023)</f>
        <v>x</v>
      </c>
      <c r="AR96" s="173">
        <v>0.64600000000000002</v>
      </c>
      <c r="AS96">
        <v>0</v>
      </c>
      <c r="AT96" t="s">
        <v>527</v>
      </c>
      <c r="AU96" t="s">
        <v>526</v>
      </c>
      <c r="AV96" s="347">
        <v>0.9</v>
      </c>
      <c r="BA96" cm="1">
        <f t="array" ref="BA96:BM96">tblGWP21[#This Row]</f>
        <v>1</v>
      </c>
      <c r="BB96" t="str">
        <v>Paper</v>
      </c>
      <c r="BC96" t="str">
        <v>Corr. Cardboard</v>
      </c>
      <c r="BD96" t="str">
        <v>Africa</v>
      </c>
      <c r="BE96" t="str">
        <v>n/a</v>
      </c>
      <c r="BF96">
        <v>-2.1278299999999999</v>
      </c>
      <c r="BG96">
        <v>-1.3728063799999999</v>
      </c>
      <c r="BH96">
        <v>1.5053973137750708E-2</v>
      </c>
      <c r="BI96">
        <v>-1.4198911030999699</v>
      </c>
      <c r="BJ96">
        <v>-2.25405904094508</v>
      </c>
      <c r="BK96">
        <v>6.7720000000000002E-2</v>
      </c>
      <c r="BL96">
        <v>-0.79660085842781303</v>
      </c>
      <c r="BM96">
        <v>3.4587160965760602E-2</v>
      </c>
    </row>
    <row r="97" spans="3:65">
      <c r="C97" s="375">
        <v>1</v>
      </c>
      <c r="D97" s="374" t="s">
        <v>239</v>
      </c>
      <c r="E97" s="375" t="s">
        <v>272</v>
      </c>
      <c r="F97" s="362" t="s">
        <v>546</v>
      </c>
      <c r="G97" s="362" t="s">
        <v>203</v>
      </c>
      <c r="H97" s="368">
        <v>-2.1278299999999999</v>
      </c>
      <c r="I97" s="368">
        <v>-1.3728063799999999</v>
      </c>
      <c r="J97" s="368">
        <v>1.5053973137750708E-2</v>
      </c>
      <c r="K97" s="368">
        <v>-1.4198911030999699</v>
      </c>
      <c r="L97" s="368">
        <v>-2.25405904094508</v>
      </c>
      <c r="M97" s="368">
        <v>6.7720000000000002E-2</v>
      </c>
      <c r="N97" s="368">
        <v>-0.79660085842781303</v>
      </c>
      <c r="O97" s="368">
        <v>3.4587160965760602E-2</v>
      </c>
      <c r="T97" s="49">
        <v>1</v>
      </c>
      <c r="U97" s="143" t="s">
        <v>239</v>
      </c>
      <c r="V97" s="33" t="s">
        <v>329</v>
      </c>
      <c r="W97" s="53" t="s">
        <v>546</v>
      </c>
      <c r="X97" s="53" t="s">
        <v>203</v>
      </c>
      <c r="Y97" s="172">
        <f>IFERROR(-tblZwaste1422[[#This Row],[Weight (kgCO2e/kg)]],0)</f>
        <v>-3.4792200000000002</v>
      </c>
      <c r="Z97" s="172" t="str">
        <f>IF(AQ97="x",(AR97*-tblZwaste1422[[#This Row],[Weight (kgCO2e/kg)]])+AS97+($AR$10*Lookups!$J$38/1000),"DELETE")</f>
        <v>DELETE</v>
      </c>
      <c r="AA97" s="172">
        <f t="shared" si="58"/>
        <v>-3.0248820626613884</v>
      </c>
      <c r="AB97" s="172">
        <f t="shared" si="58"/>
        <v>-1.54203431894792</v>
      </c>
      <c r="AC97" s="172">
        <f t="shared" si="58"/>
        <v>-2.5192196780422198</v>
      </c>
      <c r="AD97" s="172">
        <f t="shared" si="58"/>
        <v>0.54061914698270197</v>
      </c>
      <c r="AE97" s="172">
        <f t="shared" si="58"/>
        <v>-0.79971407433627795</v>
      </c>
      <c r="AF97" s="172">
        <f t="shared" si="58"/>
        <v>3.7251606753389899E-2</v>
      </c>
      <c r="AG97" s="150"/>
      <c r="AI97" s="137">
        <v>1</v>
      </c>
      <c r="AJ97" s="136" t="s">
        <v>239</v>
      </c>
      <c r="AK97" s="142" t="s">
        <v>329</v>
      </c>
      <c r="AL97" s="136" t="s">
        <v>546</v>
      </c>
      <c r="AM97" s="136" t="s">
        <v>203</v>
      </c>
      <c r="AN97" s="1">
        <v>3.4792200000000002</v>
      </c>
      <c r="AO97" s="166">
        <v>1.0383</v>
      </c>
      <c r="AQ97">
        <f>_xlfn.XLOOKUP(tblGWP21[[#This Row],[Material Subcategory]],ls_Mat,Factors!$K$952:$K$1023)</f>
        <v>0</v>
      </c>
      <c r="AU97" t="s">
        <v>526</v>
      </c>
      <c r="AV97" s="347">
        <v>0.95</v>
      </c>
      <c r="BA97" cm="1">
        <f t="array" ref="BA97:BM97">tblGWP21[#This Row]</f>
        <v>1</v>
      </c>
      <c r="BB97" t="str">
        <v>Paper</v>
      </c>
      <c r="BC97" t="str">
        <v>Office Paper</v>
      </c>
      <c r="BD97" t="str">
        <v>Africa</v>
      </c>
      <c r="BE97" t="str">
        <v>n/a</v>
      </c>
      <c r="BF97">
        <v>-3.4792200000000002</v>
      </c>
      <c r="BG97" t="str">
        <v>DELETE</v>
      </c>
      <c r="BH97">
        <v>-3.0248820626613884</v>
      </c>
      <c r="BI97">
        <v>-1.54203431894792</v>
      </c>
      <c r="BJ97">
        <v>-2.5192196780422198</v>
      </c>
      <c r="BK97">
        <v>0.54061914698270197</v>
      </c>
      <c r="BL97">
        <v>-0.79971407433627795</v>
      </c>
      <c r="BM97">
        <v>3.7251606753389899E-2</v>
      </c>
    </row>
    <row r="98" spans="3:65">
      <c r="C98" s="6">
        <v>1</v>
      </c>
      <c r="D98" s="373" t="s">
        <v>239</v>
      </c>
      <c r="E98" s="6" t="s">
        <v>329</v>
      </c>
      <c r="F98" s="136" t="s">
        <v>546</v>
      </c>
      <c r="G98" s="136" t="s">
        <v>203</v>
      </c>
      <c r="H98" s="191">
        <v>-3.4792200000000002</v>
      </c>
      <c r="I98" s="191">
        <v>0</v>
      </c>
      <c r="J98" s="191">
        <v>-3.0248820626613884</v>
      </c>
      <c r="K98" s="191">
        <v>-1.54203431894792</v>
      </c>
      <c r="L98" s="191">
        <v>-2.5192196780422198</v>
      </c>
      <c r="M98" s="191">
        <v>0.54061914698270197</v>
      </c>
      <c r="N98" s="191">
        <v>-0.79971407433627795</v>
      </c>
      <c r="O98" s="191">
        <v>3.7251606753389899E-2</v>
      </c>
      <c r="T98" s="49">
        <v>1</v>
      </c>
      <c r="U98" s="143" t="s">
        <v>239</v>
      </c>
      <c r="V98" s="33" t="s">
        <v>271</v>
      </c>
      <c r="W98" s="53" t="s">
        <v>546</v>
      </c>
      <c r="X98" s="53" t="s">
        <v>203</v>
      </c>
      <c r="Y98" s="172">
        <f>IFERROR(-tblZwaste1422[[#This Row],[Weight (kgCO2e/kg)]],0)</f>
        <v>-3.1045600000000002</v>
      </c>
      <c r="Z98" s="172" t="str">
        <f>IF(AQ98="x",(AR98*-tblZwaste1422[[#This Row],[Weight (kgCO2e/kg)]])+AS98+($AR$10*Lookups!$J$38/1000),"DELETE")</f>
        <v>DELETE</v>
      </c>
      <c r="AA98" s="172">
        <f t="shared" si="58"/>
        <v>-1.0152541721273221</v>
      </c>
      <c r="AB98" s="172">
        <f t="shared" si="58"/>
        <v>-1.45740757820858</v>
      </c>
      <c r="AC98" s="172">
        <f t="shared" si="58"/>
        <v>-2.6029245012209099</v>
      </c>
      <c r="AD98" s="172">
        <f t="shared" si="58"/>
        <v>-0.53637594297431002</v>
      </c>
      <c r="AE98" s="172">
        <f t="shared" si="58"/>
        <v>-0.76219778967752105</v>
      </c>
      <c r="AF98" s="172">
        <f t="shared" si="58"/>
        <v>4.0398740210004398E-2</v>
      </c>
      <c r="AG98" s="150"/>
      <c r="AI98" s="137">
        <v>1</v>
      </c>
      <c r="AJ98" s="136" t="s">
        <v>239</v>
      </c>
      <c r="AK98" s="142" t="s">
        <v>271</v>
      </c>
      <c r="AL98" s="136" t="s">
        <v>546</v>
      </c>
      <c r="AM98" s="136" t="s">
        <v>203</v>
      </c>
      <c r="AN98" s="1">
        <v>3.1045600000000002</v>
      </c>
      <c r="AO98" s="166">
        <v>0.12864</v>
      </c>
      <c r="AQ98">
        <f>_xlfn.XLOOKUP(tblGWP21[[#This Row],[Material Subcategory]],ls_Mat,Factors!$K$952:$K$1023)</f>
        <v>0</v>
      </c>
      <c r="AU98" t="s">
        <v>526</v>
      </c>
      <c r="AV98" s="347">
        <v>0.7</v>
      </c>
      <c r="BA98" cm="1">
        <f t="array" ref="BA98:BM98">tblGWP21[#This Row]</f>
        <v>1</v>
      </c>
      <c r="BB98" t="str">
        <v>Paper</v>
      </c>
      <c r="BC98" t="str">
        <v>Magazines</v>
      </c>
      <c r="BD98" t="str">
        <v>Africa</v>
      </c>
      <c r="BE98" t="str">
        <v>n/a</v>
      </c>
      <c r="BF98">
        <v>-3.1045600000000002</v>
      </c>
      <c r="BG98" t="str">
        <v>DELETE</v>
      </c>
      <c r="BH98">
        <v>-1.0152541721273221</v>
      </c>
      <c r="BI98">
        <v>-1.45740757820858</v>
      </c>
      <c r="BJ98">
        <v>-2.6029245012209099</v>
      </c>
      <c r="BK98">
        <v>-0.53637594297431002</v>
      </c>
      <c r="BL98">
        <v>-0.76219778967752105</v>
      </c>
      <c r="BM98">
        <v>4.0398740210004398E-2</v>
      </c>
    </row>
    <row r="99" spans="3:65">
      <c r="C99" s="375">
        <v>1</v>
      </c>
      <c r="D99" s="374" t="s">
        <v>239</v>
      </c>
      <c r="E99" s="375" t="s">
        <v>271</v>
      </c>
      <c r="F99" s="362" t="s">
        <v>546</v>
      </c>
      <c r="G99" s="362" t="s">
        <v>203</v>
      </c>
      <c r="H99" s="368">
        <v>-3.1045600000000002</v>
      </c>
      <c r="I99" s="368">
        <v>0</v>
      </c>
      <c r="J99" s="368">
        <v>-1.0152541721273221</v>
      </c>
      <c r="K99" s="368">
        <v>-1.45740757820858</v>
      </c>
      <c r="L99" s="368">
        <v>-2.6029245012209099</v>
      </c>
      <c r="M99" s="368">
        <v>-0.53637594297431002</v>
      </c>
      <c r="N99" s="368">
        <v>-0.76219778967752105</v>
      </c>
      <c r="O99" s="368">
        <v>4.0398740210004398E-2</v>
      </c>
      <c r="T99" s="49">
        <v>1</v>
      </c>
      <c r="U99" s="143" t="s">
        <v>239</v>
      </c>
      <c r="V99" s="33" t="s">
        <v>535</v>
      </c>
      <c r="W99" s="53" t="s">
        <v>546</v>
      </c>
      <c r="X99" s="53" t="s">
        <v>203</v>
      </c>
      <c r="Y99" s="172">
        <f>IFERROR(-tblZwaste1422[[#This Row],[Weight (kgCO2e/kg)]],0)</f>
        <v>-3.1045600000000002</v>
      </c>
      <c r="Z99" s="172" t="str">
        <f>IF(AQ99="x",(AR99*-tblZwaste1422[[#This Row],[Weight (kgCO2e/kg)]])+AS99+($AR$10*Lookups!$J$38/1000),"DELETE")</f>
        <v>DELETE</v>
      </c>
      <c r="AA99" s="172">
        <f t="shared" si="58"/>
        <v>-1.0152541721273221</v>
      </c>
      <c r="AB99" s="172">
        <f t="shared" si="58"/>
        <v>-1.5661000736097901</v>
      </c>
      <c r="AC99" s="172">
        <f t="shared" si="58"/>
        <v>-2.6084866875958999</v>
      </c>
      <c r="AD99" s="172">
        <f t="shared" si="58"/>
        <v>-0.74483748111485704</v>
      </c>
      <c r="AE99" s="172">
        <f t="shared" si="58"/>
        <v>-0.84761634144731002</v>
      </c>
      <c r="AF99" s="172">
        <f t="shared" si="58"/>
        <v>2.9215550609518599E-2</v>
      </c>
      <c r="AG99" s="150"/>
      <c r="AI99" s="137">
        <v>1</v>
      </c>
      <c r="AJ99" s="136" t="s">
        <v>239</v>
      </c>
      <c r="AK99" s="142" t="s">
        <v>535</v>
      </c>
      <c r="AL99" s="136" t="s">
        <v>546</v>
      </c>
      <c r="AM99" s="136" t="s">
        <v>203</v>
      </c>
      <c r="AN99" s="1">
        <v>3.1045600000000002</v>
      </c>
      <c r="AO99" s="166">
        <v>0.12864</v>
      </c>
      <c r="AQ99">
        <f>_xlfn.XLOOKUP(tblGWP21[[#This Row],[Material Subcategory]],ls_Mat,Factors!$K$952:$K$1023)</f>
        <v>0</v>
      </c>
      <c r="BA99" cm="1">
        <f t="array" ref="BA99:BM99">tblGWP21[#This Row]</f>
        <v>1</v>
      </c>
      <c r="BB99" t="str">
        <v>Paper</v>
      </c>
      <c r="BC99" t="str">
        <v>3rd Class Mail</v>
      </c>
      <c r="BD99" t="str">
        <v>Africa</v>
      </c>
      <c r="BE99" t="str">
        <v>n/a</v>
      </c>
      <c r="BF99">
        <v>-3.1045600000000002</v>
      </c>
      <c r="BG99" t="str">
        <v>DELETE</v>
      </c>
      <c r="BH99">
        <v>-1.0152541721273221</v>
      </c>
      <c r="BI99">
        <v>-1.5661000736097901</v>
      </c>
      <c r="BJ99">
        <v>-2.6084866875958999</v>
      </c>
      <c r="BK99">
        <v>-0.74483748111485704</v>
      </c>
      <c r="BL99">
        <v>-0.84761634144731002</v>
      </c>
      <c r="BM99">
        <v>2.9215550609518599E-2</v>
      </c>
    </row>
    <row r="100" spans="3:65">
      <c r="C100" s="6">
        <v>1</v>
      </c>
      <c r="D100" s="373" t="s">
        <v>239</v>
      </c>
      <c r="E100" s="6" t="s">
        <v>535</v>
      </c>
      <c r="F100" s="136" t="s">
        <v>546</v>
      </c>
      <c r="G100" s="136" t="s">
        <v>203</v>
      </c>
      <c r="H100" s="191">
        <v>-3.1045600000000002</v>
      </c>
      <c r="I100" s="191">
        <v>0</v>
      </c>
      <c r="J100" s="191">
        <v>-1.0152541721273221</v>
      </c>
      <c r="K100" s="191">
        <v>-1.5661000736097901</v>
      </c>
      <c r="L100" s="191">
        <v>-2.6084866875958999</v>
      </c>
      <c r="M100" s="191">
        <v>-0.74483748111485704</v>
      </c>
      <c r="N100" s="191">
        <v>-0.84761634144731002</v>
      </c>
      <c r="O100" s="191">
        <v>2.9215550609518599E-2</v>
      </c>
      <c r="T100" s="49">
        <v>1</v>
      </c>
      <c r="U100" s="143" t="s">
        <v>239</v>
      </c>
      <c r="V100" s="33" t="s">
        <v>259</v>
      </c>
      <c r="W100" s="53" t="s">
        <v>546</v>
      </c>
      <c r="X100" s="53" t="s">
        <v>203</v>
      </c>
      <c r="Y100" s="172">
        <f>IFERROR(-tblZwaste1422[[#This Row],[Weight (kgCO2e/kg)]],0)</f>
        <v>-2.86965</v>
      </c>
      <c r="Z100" s="172" t="str">
        <f>IF(AQ100="x",(AR100*-tblZwaste1422[[#This Row],[Weight (kgCO2e/kg)]])+AS100+($AR$10*Lookups!$J$38/1000),"DELETE")</f>
        <v>DELETE</v>
      </c>
      <c r="AA100" s="172">
        <f t="shared" si="58"/>
        <v>-1.0152541721273221</v>
      </c>
      <c r="AB100" s="172">
        <f t="shared" si="58"/>
        <v>-1.2816704575259601</v>
      </c>
      <c r="AC100" s="172">
        <f t="shared" si="58"/>
        <v>-2.0222494460176099</v>
      </c>
      <c r="AD100" s="172">
        <f t="shared" si="58"/>
        <v>-0.35151709373397</v>
      </c>
      <c r="AE100" s="172">
        <f t="shared" si="58"/>
        <v>-0.69069374294081098</v>
      </c>
      <c r="AF100" s="172">
        <f t="shared" si="58"/>
        <v>2.8422995395521299E-2</v>
      </c>
      <c r="AG100" s="150"/>
      <c r="AI100" s="137">
        <v>1</v>
      </c>
      <c r="AJ100" s="136" t="s">
        <v>239</v>
      </c>
      <c r="AK100" s="142" t="s">
        <v>259</v>
      </c>
      <c r="AL100" s="136" t="s">
        <v>546</v>
      </c>
      <c r="AM100" s="136" t="s">
        <v>203</v>
      </c>
      <c r="AN100" s="1">
        <v>2.86965</v>
      </c>
      <c r="AO100" s="166">
        <v>0.79600000000000004</v>
      </c>
      <c r="AQ100">
        <f>_xlfn.XLOOKUP(tblGWP21[[#This Row],[Material Subcategory]],ls_Mat,Factors!$K$952:$K$1023)</f>
        <v>0</v>
      </c>
      <c r="AR100" s="173"/>
      <c r="BA100" cm="1">
        <f t="array" ref="BA100:BM100">tblGWP21[#This Row]</f>
        <v>1</v>
      </c>
      <c r="BB100" t="str">
        <v>Paper</v>
      </c>
      <c r="BC100" t="str">
        <v>Folding Containers</v>
      </c>
      <c r="BD100" t="str">
        <v>Africa</v>
      </c>
      <c r="BE100" t="str">
        <v>n/a</v>
      </c>
      <c r="BF100">
        <v>-2.86965</v>
      </c>
      <c r="BG100" t="str">
        <v>DELETE</v>
      </c>
      <c r="BH100">
        <v>-1.0152541721273221</v>
      </c>
      <c r="BI100">
        <v>-1.2816704575259601</v>
      </c>
      <c r="BJ100">
        <v>-2.0222494460176099</v>
      </c>
      <c r="BK100">
        <v>-0.35151709373397</v>
      </c>
      <c r="BL100">
        <v>-0.69069374294081098</v>
      </c>
      <c r="BM100">
        <v>2.8422995395521299E-2</v>
      </c>
    </row>
    <row r="101" spans="3:65">
      <c r="C101" s="375">
        <v>1</v>
      </c>
      <c r="D101" s="374" t="s">
        <v>239</v>
      </c>
      <c r="E101" s="375" t="s">
        <v>259</v>
      </c>
      <c r="F101" s="362" t="s">
        <v>546</v>
      </c>
      <c r="G101" s="362" t="s">
        <v>203</v>
      </c>
      <c r="H101" s="368">
        <v>-2.86965</v>
      </c>
      <c r="I101" s="368">
        <v>0</v>
      </c>
      <c r="J101" s="368">
        <v>-1.0152541721273221</v>
      </c>
      <c r="K101" s="368">
        <v>-1.2816704575259601</v>
      </c>
      <c r="L101" s="368">
        <v>-2.0222494460176099</v>
      </c>
      <c r="M101" s="368">
        <v>-0.35151709373397</v>
      </c>
      <c r="N101" s="368">
        <v>-0.69069374294081098</v>
      </c>
      <c r="O101" s="368">
        <v>2.8422995395521299E-2</v>
      </c>
      <c r="T101" s="49">
        <v>1</v>
      </c>
      <c r="U101" s="143" t="s">
        <v>239</v>
      </c>
      <c r="V101" s="33" t="s">
        <v>334</v>
      </c>
      <c r="W101" s="53" t="s">
        <v>546</v>
      </c>
      <c r="X101" s="53" t="s">
        <v>203</v>
      </c>
      <c r="Y101" s="172">
        <f>IFERROR(-tblZwaste1422[[#This Row],[Weight (kgCO2e/kg)]],0)</f>
        <v>-2.86965</v>
      </c>
      <c r="Z101" s="172" t="str">
        <f>IF(AQ101="x",(AR101*-tblZwaste1422[[#This Row],[Weight (kgCO2e/kg)]])+AS101+($AR$10*Lookups!$J$38/1000),"DELETE")</f>
        <v>DELETE</v>
      </c>
      <c r="AA101" s="172">
        <f t="shared" si="58"/>
        <v>-1.0152541721273221</v>
      </c>
      <c r="AB101" s="172">
        <f t="shared" si="58"/>
        <v>-1.69179267729399</v>
      </c>
      <c r="AC101" s="172">
        <f t="shared" si="58"/>
        <v>-2.4951886010564799</v>
      </c>
      <c r="AD101" s="172">
        <f t="shared" si="58"/>
        <v>-0.27760316470718299</v>
      </c>
      <c r="AE101" s="172">
        <f t="shared" si="58"/>
        <v>-1.0074942142240799</v>
      </c>
      <c r="AF101" s="172">
        <f t="shared" si="58"/>
        <v>2.6390173444809501E-2</v>
      </c>
      <c r="AG101" s="150"/>
      <c r="AI101" s="137">
        <v>1</v>
      </c>
      <c r="AJ101" s="136" t="s">
        <v>239</v>
      </c>
      <c r="AK101" s="142" t="s">
        <v>334</v>
      </c>
      <c r="AL101" s="136" t="s">
        <v>546</v>
      </c>
      <c r="AM101" s="136" t="s">
        <v>203</v>
      </c>
      <c r="AN101" s="1">
        <v>2.86965</v>
      </c>
      <c r="AO101" s="166">
        <v>0.76736000000000004</v>
      </c>
      <c r="AQ101">
        <f>_xlfn.XLOOKUP(tblGWP21[[#This Row],[Material Subcategory]],ls_Mat,Factors!$K$952:$K$1023)</f>
        <v>0</v>
      </c>
      <c r="AR101" s="173"/>
      <c r="BA101" cm="1">
        <f t="array" ref="BA101:BM101">tblGWP21[#This Row]</f>
        <v>1</v>
      </c>
      <c r="BB101" t="str">
        <v>Paper</v>
      </c>
      <c r="BC101" t="str">
        <v>Paper Bags</v>
      </c>
      <c r="BD101" t="str">
        <v>Africa</v>
      </c>
      <c r="BE101" t="str">
        <v>n/a</v>
      </c>
      <c r="BF101">
        <v>-2.86965</v>
      </c>
      <c r="BG101" t="str">
        <v>DELETE</v>
      </c>
      <c r="BH101">
        <v>-1.0152541721273221</v>
      </c>
      <c r="BI101">
        <v>-1.69179267729399</v>
      </c>
      <c r="BJ101">
        <v>-2.4951886010564799</v>
      </c>
      <c r="BK101">
        <v>-0.27760316470718299</v>
      </c>
      <c r="BL101">
        <v>-1.0074942142240799</v>
      </c>
      <c r="BM101">
        <v>2.6390173444809501E-2</v>
      </c>
    </row>
    <row r="102" spans="3:65">
      <c r="C102" s="6">
        <v>1</v>
      </c>
      <c r="D102" s="373" t="s">
        <v>239</v>
      </c>
      <c r="E102" s="6" t="s">
        <v>334</v>
      </c>
      <c r="F102" s="136" t="s">
        <v>546</v>
      </c>
      <c r="G102" s="136" t="s">
        <v>203</v>
      </c>
      <c r="H102" s="191">
        <v>-2.86965</v>
      </c>
      <c r="I102" s="191">
        <v>0</v>
      </c>
      <c r="J102" s="191">
        <v>-1.0152541721273221</v>
      </c>
      <c r="K102" s="191">
        <v>-1.69179267729399</v>
      </c>
      <c r="L102" s="191">
        <v>-2.4951886010564799</v>
      </c>
      <c r="M102" s="191">
        <v>-0.27760316470718299</v>
      </c>
      <c r="N102" s="191">
        <v>-1.0074942142240799</v>
      </c>
      <c r="O102" s="191">
        <v>2.6390173444809501E-2</v>
      </c>
      <c r="T102" s="49">
        <v>1</v>
      </c>
      <c r="U102" s="143" t="s">
        <v>239</v>
      </c>
      <c r="V102" s="33" t="s">
        <v>240</v>
      </c>
      <c r="W102" s="53" t="s">
        <v>546</v>
      </c>
      <c r="X102" s="53" t="s">
        <v>203</v>
      </c>
      <c r="Y102" s="172">
        <f>IFERROR(-tblZwaste1422[[#This Row],[Weight (kgCO2e/kg)]],0)</f>
        <v>-3.1045600000000002</v>
      </c>
      <c r="Z102" s="172" t="str">
        <f>IF(AQ102="x",(AR102*-tblZwaste1422[[#This Row],[Weight (kgCO2e/kg)]])+AS102+($AR$10*Lookups!$J$38/1000),"DELETE")</f>
        <v>DELETE</v>
      </c>
      <c r="AA102" s="172" t="str">
        <f t="shared" si="58"/>
        <v>DELETE</v>
      </c>
      <c r="AB102" s="172">
        <f t="shared" si="58"/>
        <v>-1.72053188057342</v>
      </c>
      <c r="AC102" s="172">
        <f t="shared" si="58"/>
        <v>-2.5864136483045601</v>
      </c>
      <c r="AD102" s="172">
        <f t="shared" si="58"/>
        <v>-0.46135779183343001</v>
      </c>
      <c r="AE102" s="172">
        <f t="shared" si="58"/>
        <v>0.30060951226996901</v>
      </c>
      <c r="AF102" s="172">
        <f t="shared" si="58"/>
        <v>2.3670135759059998</v>
      </c>
      <c r="AG102" s="150"/>
      <c r="AI102" s="137">
        <v>1</v>
      </c>
      <c r="AJ102" s="136" t="s">
        <v>239</v>
      </c>
      <c r="AK102" s="142" t="s">
        <v>240</v>
      </c>
      <c r="AL102" s="136" t="s">
        <v>546</v>
      </c>
      <c r="AM102" s="136" t="s">
        <v>203</v>
      </c>
      <c r="AN102" s="1">
        <v>3.1045600000000002</v>
      </c>
      <c r="AO102" s="166">
        <v>0.76736000000000004</v>
      </c>
      <c r="AQ102">
        <f>_xlfn.XLOOKUP(tblGWP21[[#This Row],[Material Subcategory]],ls_Mat,Factors!$K$952:$K$1023)</f>
        <v>0</v>
      </c>
      <c r="AR102" s="173"/>
      <c r="BA102" cm="1">
        <f t="array" ref="BA102:BM102">tblGWP21[#This Row]</f>
        <v>1</v>
      </c>
      <c r="BB102" t="str">
        <v>Paper</v>
      </c>
      <c r="BC102" t="str">
        <v>Paper – Non-Recyclable</v>
      </c>
      <c r="BD102" t="str">
        <v>Africa</v>
      </c>
      <c r="BE102" t="str">
        <v>n/a</v>
      </c>
      <c r="BF102">
        <v>-3.1045600000000002</v>
      </c>
      <c r="BG102" t="str">
        <v>DELETE</v>
      </c>
      <c r="BH102" t="str">
        <v>DELETE</v>
      </c>
      <c r="BI102">
        <v>-1.72053188057342</v>
      </c>
      <c r="BJ102">
        <v>-2.5864136483045601</v>
      </c>
      <c r="BK102">
        <v>-0.46135779183343001</v>
      </c>
      <c r="BL102">
        <v>0.30060951226996901</v>
      </c>
      <c r="BM102">
        <v>2.3670135759059998</v>
      </c>
    </row>
    <row r="103" spans="3:65" ht="28.8">
      <c r="C103" s="375">
        <v>1</v>
      </c>
      <c r="D103" s="374" t="s">
        <v>239</v>
      </c>
      <c r="E103" s="375" t="s">
        <v>240</v>
      </c>
      <c r="F103" s="362" t="s">
        <v>546</v>
      </c>
      <c r="G103" s="362" t="s">
        <v>203</v>
      </c>
      <c r="H103" s="368">
        <v>-3.1045600000000002</v>
      </c>
      <c r="I103" s="368">
        <v>0</v>
      </c>
      <c r="J103" s="368">
        <v>0</v>
      </c>
      <c r="K103" s="368">
        <v>-1.72053188057342</v>
      </c>
      <c r="L103" s="368">
        <v>-2.5864136483045601</v>
      </c>
      <c r="M103" s="368">
        <v>-0.46135779183343001</v>
      </c>
      <c r="N103" s="368">
        <v>0.30060951226996901</v>
      </c>
      <c r="O103" s="368">
        <v>2.3670135759059998</v>
      </c>
      <c r="T103" s="49">
        <v>1</v>
      </c>
      <c r="U103" s="143" t="s">
        <v>239</v>
      </c>
      <c r="V103" s="33" t="s">
        <v>325</v>
      </c>
      <c r="W103" s="53" t="s">
        <v>546</v>
      </c>
      <c r="X103" s="53" t="s">
        <v>203</v>
      </c>
      <c r="Y103" s="172">
        <f>IFERROR(-tblZwaste1422[[#This Row],[Weight (kgCO2e/kg)]],0)</f>
        <v>-1.66</v>
      </c>
      <c r="Z103" s="172" t="str">
        <f>IF(AQ103="x",(AR103*-tblZwaste1422[[#This Row],[Weight (kgCO2e/kg)]])+AS103+($AR$10*Lookups!$J$38/1000),"DELETE")</f>
        <v>DELETE</v>
      </c>
      <c r="AA103" s="172" t="str">
        <f t="shared" ref="AA103:AF112" si="59">AA495</f>
        <v>DELETE</v>
      </c>
      <c r="AB103" s="172">
        <f t="shared" si="59"/>
        <v>-1.5823914514950801</v>
      </c>
      <c r="AC103" s="172">
        <f t="shared" si="59"/>
        <v>-2.39025290122775</v>
      </c>
      <c r="AD103" s="172">
        <f t="shared" si="59"/>
        <v>-0.60576406900190205</v>
      </c>
      <c r="AE103" s="172">
        <f t="shared" si="59"/>
        <v>-0.93094962859978103</v>
      </c>
      <c r="AF103" s="172">
        <f t="shared" si="59"/>
        <v>2.7472942241024201E-2</v>
      </c>
      <c r="AG103" s="150"/>
      <c r="AI103" s="137">
        <v>1</v>
      </c>
      <c r="AJ103" s="136" t="s">
        <v>239</v>
      </c>
      <c r="AK103" s="142" t="s">
        <v>325</v>
      </c>
      <c r="AL103" s="136" t="s">
        <v>546</v>
      </c>
      <c r="AM103" s="136" t="s">
        <v>203</v>
      </c>
      <c r="AN103" s="1">
        <v>1.66</v>
      </c>
      <c r="AO103" s="166">
        <v>0.79600000000000004</v>
      </c>
      <c r="AQ103">
        <f>_xlfn.XLOOKUP(tblGWP21[[#This Row],[Material Subcategory]],ls_Mat,Factors!$K$952:$K$1023)</f>
        <v>0</v>
      </c>
      <c r="AU103" t="s">
        <v>526</v>
      </c>
      <c r="AV103" s="347">
        <v>0.7</v>
      </c>
      <c r="BA103" cm="1">
        <f t="array" ref="BA103:BM103">tblGWP21[#This Row]</f>
        <v>1</v>
      </c>
      <c r="BB103" t="str">
        <v>Paper</v>
      </c>
      <c r="BC103" t="str">
        <v>Compostable Food Service Ware</v>
      </c>
      <c r="BD103" t="str">
        <v>Africa</v>
      </c>
      <c r="BE103" t="str">
        <v>n/a</v>
      </c>
      <c r="BF103">
        <v>-1.66</v>
      </c>
      <c r="BG103" t="str">
        <v>DELETE</v>
      </c>
      <c r="BH103" t="str">
        <v>DELETE</v>
      </c>
      <c r="BI103">
        <v>-1.5823914514950801</v>
      </c>
      <c r="BJ103">
        <v>-2.39025290122775</v>
      </c>
      <c r="BK103">
        <v>-0.60576406900190205</v>
      </c>
      <c r="BL103">
        <v>-0.93094962859978103</v>
      </c>
      <c r="BM103">
        <v>2.7472942241024201E-2</v>
      </c>
    </row>
    <row r="104" spans="3:65" ht="28.8">
      <c r="C104" s="6">
        <v>1</v>
      </c>
      <c r="D104" s="373" t="s">
        <v>239</v>
      </c>
      <c r="E104" s="6" t="s">
        <v>325</v>
      </c>
      <c r="F104" s="136" t="s">
        <v>546</v>
      </c>
      <c r="G104" s="136" t="s">
        <v>203</v>
      </c>
      <c r="H104" s="191">
        <v>-1.66</v>
      </c>
      <c r="I104" s="191">
        <v>0</v>
      </c>
      <c r="J104" s="191">
        <v>0</v>
      </c>
      <c r="K104" s="191">
        <v>-1.5823914514950801</v>
      </c>
      <c r="L104" s="191">
        <v>-2.39025290122775</v>
      </c>
      <c r="M104" s="191">
        <v>-0.60576406900190205</v>
      </c>
      <c r="N104" s="191">
        <v>-0.93094962859978103</v>
      </c>
      <c r="O104" s="191">
        <v>2.7472942241024201E-2</v>
      </c>
      <c r="T104" s="49">
        <v>1</v>
      </c>
      <c r="U104" s="143" t="s">
        <v>256</v>
      </c>
      <c r="V104" s="33" t="s">
        <v>256</v>
      </c>
      <c r="W104" s="53" t="s">
        <v>546</v>
      </c>
      <c r="X104" s="53" t="s">
        <v>203</v>
      </c>
      <c r="Y104" s="172">
        <f>IFERROR(-tblZwaste1422[[#This Row],[Weight (kgCO2e/kg)]],0)</f>
        <v>-3.3097799999999999</v>
      </c>
      <c r="Z104" s="172" t="e">
        <f>IF(AQ104="x",(AR104*-tblZwaste1422[[#This Row],[Weight (kgCO2e/kg)]])+AS104+($AR$10*Lookups!$J$38/1000),"DELETE")</f>
        <v>#N/A</v>
      </c>
      <c r="AA104" s="172">
        <f t="shared" si="59"/>
        <v>-13.227645163878373</v>
      </c>
      <c r="AB104" s="172" t="str">
        <f t="shared" si="59"/>
        <v>DELETE</v>
      </c>
      <c r="AC104" s="172" t="str">
        <f t="shared" si="59"/>
        <v>DELETE</v>
      </c>
      <c r="AD104" s="172">
        <f t="shared" si="59"/>
        <v>2.5950354883421449E-2</v>
      </c>
      <c r="AE104" s="172">
        <f t="shared" si="59"/>
        <v>-5.6060397839324247E-2</v>
      </c>
      <c r="AF104" s="172">
        <f t="shared" si="59"/>
        <v>-3.7726832516865899E-2</v>
      </c>
      <c r="AG104" s="150"/>
      <c r="AI104" s="137">
        <v>1</v>
      </c>
      <c r="AJ104" s="136" t="s">
        <v>256</v>
      </c>
      <c r="AK104" s="142" t="s">
        <v>256</v>
      </c>
      <c r="AL104" s="136" t="s">
        <v>546</v>
      </c>
      <c r="AM104" s="136" t="s">
        <v>203</v>
      </c>
      <c r="AN104" s="1">
        <v>3.3097799999999999</v>
      </c>
      <c r="AO104" s="166">
        <v>1.0068550000000001</v>
      </c>
      <c r="AQ104" t="e">
        <f>_xlfn.XLOOKUP(tblGWP21[[#This Row],[Material Subcategory]],ls_Mat,Factors!$K$952:$K$1023)</f>
        <v>#N/A</v>
      </c>
      <c r="AR104" s="173">
        <v>1</v>
      </c>
      <c r="AS104">
        <v>8.1306407300000008E-2</v>
      </c>
      <c r="AT104" t="s">
        <v>531</v>
      </c>
      <c r="AU104" t="s">
        <v>526</v>
      </c>
      <c r="AV104" s="347">
        <v>0.65</v>
      </c>
      <c r="BA104" cm="1">
        <f t="array" ref="BA104:BM104">tblGWP21[#This Row]</f>
        <v>1</v>
      </c>
      <c r="BB104" t="str">
        <v>Metals</v>
      </c>
      <c r="BC104" t="str">
        <v>Metals</v>
      </c>
      <c r="BD104" t="str">
        <v>Africa</v>
      </c>
      <c r="BE104" t="str">
        <v>n/a</v>
      </c>
      <c r="BF104">
        <v>-3.3097799999999999</v>
      </c>
      <c r="BG104" t="e">
        <v>#N/A</v>
      </c>
      <c r="BH104">
        <v>-13.227645163878373</v>
      </c>
      <c r="BI104" t="str">
        <v>DELETE</v>
      </c>
      <c r="BJ104" t="str">
        <v>DELETE</v>
      </c>
      <c r="BK104">
        <v>2.5950354883421449E-2</v>
      </c>
      <c r="BL104">
        <v>-5.6060397839324247E-2</v>
      </c>
      <c r="BM104">
        <v>-3.7726832516865899E-2</v>
      </c>
    </row>
    <row r="105" spans="3:65">
      <c r="C105" s="375">
        <v>1</v>
      </c>
      <c r="D105" s="374" t="s">
        <v>256</v>
      </c>
      <c r="E105" s="375" t="s">
        <v>256</v>
      </c>
      <c r="F105" s="362" t="s">
        <v>546</v>
      </c>
      <c r="G105" s="362" t="s">
        <v>203</v>
      </c>
      <c r="H105" s="368">
        <v>-3.3097799999999999</v>
      </c>
      <c r="I105" s="368">
        <v>-3.2267017926999997</v>
      </c>
      <c r="J105" s="368">
        <v>-13.227645163878373</v>
      </c>
      <c r="K105" s="368">
        <v>0</v>
      </c>
      <c r="L105" s="368">
        <v>0</v>
      </c>
      <c r="M105" s="368">
        <v>2.5950354883421449E-2</v>
      </c>
      <c r="N105" s="368">
        <v>-5.6060397839324247E-2</v>
      </c>
      <c r="O105" s="368">
        <v>-3.7726832516865899E-2</v>
      </c>
      <c r="T105" s="49">
        <v>1</v>
      </c>
      <c r="U105" s="143" t="s">
        <v>256</v>
      </c>
      <c r="V105" s="33" t="s">
        <v>536</v>
      </c>
      <c r="W105" s="53" t="s">
        <v>546</v>
      </c>
      <c r="X105" s="53" t="s">
        <v>203</v>
      </c>
      <c r="Y105" s="172">
        <f>IFERROR(-tblZwaste1422[[#This Row],[Weight (kgCO2e/kg)]],0)</f>
        <v>-1.9798800000000001</v>
      </c>
      <c r="Z105" s="172">
        <f>IF(AQ105="x",(AR105*-tblZwaste1422[[#This Row],[Weight (kgCO2e/kg)]])+AS105+($AR$10*Lookups!$J$38/1000),"DELETE")</f>
        <v>-1.8968017927</v>
      </c>
      <c r="AA105" s="172">
        <f t="shared" si="59"/>
        <v>-2.3459229452538106</v>
      </c>
      <c r="AB105" s="172" t="str">
        <f t="shared" si="59"/>
        <v>DELETE</v>
      </c>
      <c r="AC105" s="172" t="str">
        <f t="shared" si="59"/>
        <v>DELETE</v>
      </c>
      <c r="AD105" s="172">
        <f t="shared" si="59"/>
        <v>2.60407097668429E-2</v>
      </c>
      <c r="AE105" s="172">
        <f t="shared" si="59"/>
        <v>-9.2019421003423599E-2</v>
      </c>
      <c r="AF105" s="172">
        <f t="shared" si="59"/>
        <v>-6.3490295353769793E-2</v>
      </c>
      <c r="AG105" s="150"/>
      <c r="AI105" s="137">
        <v>1</v>
      </c>
      <c r="AJ105" s="136" t="s">
        <v>256</v>
      </c>
      <c r="AK105" s="142" t="s">
        <v>536</v>
      </c>
      <c r="AL105" s="136" t="s">
        <v>546</v>
      </c>
      <c r="AM105" s="136" t="s">
        <v>203</v>
      </c>
      <c r="AN105" s="1">
        <v>1.9798800000000001</v>
      </c>
      <c r="AO105" s="166">
        <v>0.72957000000000005</v>
      </c>
      <c r="AQ105" t="str">
        <f>_xlfn.XLOOKUP(tblGWP21[[#This Row],[Material Subcategory]],ls_Mat,Factors!$K$952:$K$1023)</f>
        <v>x</v>
      </c>
      <c r="AR105" s="173">
        <v>1</v>
      </c>
      <c r="AS105">
        <v>8.1306407300000008E-2</v>
      </c>
      <c r="AT105" t="s">
        <v>531</v>
      </c>
      <c r="BA105" cm="1">
        <f t="array" ref="BA105:BM105">tblGWP21[#This Row]</f>
        <v>1</v>
      </c>
      <c r="BB105" t="str">
        <v>Metals</v>
      </c>
      <c r="BC105" t="str">
        <v>Ferrous Cans</v>
      </c>
      <c r="BD105" t="str">
        <v>Africa</v>
      </c>
      <c r="BE105" t="str">
        <v>n/a</v>
      </c>
      <c r="BF105">
        <v>-1.9798800000000001</v>
      </c>
      <c r="BG105">
        <v>-1.8968017927</v>
      </c>
      <c r="BH105">
        <v>-2.3459229452538106</v>
      </c>
      <c r="BI105" t="str">
        <v>DELETE</v>
      </c>
      <c r="BJ105" t="str">
        <v>DELETE</v>
      </c>
      <c r="BK105">
        <v>2.60407097668429E-2</v>
      </c>
      <c r="BL105">
        <v>-9.2019421003423599E-2</v>
      </c>
      <c r="BM105">
        <v>-6.3490295353769793E-2</v>
      </c>
    </row>
    <row r="106" spans="3:65">
      <c r="C106" s="6">
        <v>1</v>
      </c>
      <c r="D106" s="373" t="s">
        <v>256</v>
      </c>
      <c r="E106" s="6" t="s">
        <v>536</v>
      </c>
      <c r="F106" s="136" t="s">
        <v>546</v>
      </c>
      <c r="G106" s="136" t="s">
        <v>203</v>
      </c>
      <c r="H106" s="191">
        <v>-1.9798800000000001</v>
      </c>
      <c r="I106" s="191">
        <v>-1.8968017927</v>
      </c>
      <c r="J106" s="191">
        <v>-2.3459229452538106</v>
      </c>
      <c r="K106" s="191">
        <v>0</v>
      </c>
      <c r="L106" s="191">
        <v>0</v>
      </c>
      <c r="M106" s="191">
        <v>2.60407097668429E-2</v>
      </c>
      <c r="N106" s="191">
        <v>-9.2019421003423599E-2</v>
      </c>
      <c r="O106" s="191">
        <v>-6.3490295353769793E-2</v>
      </c>
      <c r="T106" s="49">
        <v>1</v>
      </c>
      <c r="U106" s="143" t="s">
        <v>256</v>
      </c>
      <c r="V106" s="33" t="s">
        <v>257</v>
      </c>
      <c r="W106" s="53" t="s">
        <v>546</v>
      </c>
      <c r="X106" s="53" t="s">
        <v>203</v>
      </c>
      <c r="Y106" s="172">
        <f>IFERROR(-tblZwaste1422[[#This Row],[Weight (kgCO2e/kg)]],0)</f>
        <v>-1.9798800000000001</v>
      </c>
      <c r="Z106" s="172">
        <f>IF(AQ106="x",(AR106*-tblZwaste1422[[#This Row],[Weight (kgCO2e/kg)]])+AS106+($AR$10*Lookups!$J$38/1000),"DELETE")</f>
        <v>-1.8968017927</v>
      </c>
      <c r="AA106" s="172">
        <f t="shared" si="59"/>
        <v>-2.3459229452538106</v>
      </c>
      <c r="AB106" s="172" t="str">
        <f t="shared" si="59"/>
        <v>DELETE</v>
      </c>
      <c r="AC106" s="172" t="str">
        <f t="shared" si="59"/>
        <v>DELETE</v>
      </c>
      <c r="AD106" s="172">
        <f t="shared" si="59"/>
        <v>2.60407097668429E-2</v>
      </c>
      <c r="AE106" s="172">
        <f t="shared" si="59"/>
        <v>-9.2019421003423696E-2</v>
      </c>
      <c r="AF106" s="172">
        <f t="shared" si="59"/>
        <v>-6.3490295353769502E-2</v>
      </c>
      <c r="AG106" s="150"/>
      <c r="AI106" s="137">
        <v>1</v>
      </c>
      <c r="AJ106" s="136" t="s">
        <v>256</v>
      </c>
      <c r="AK106" s="142" t="s">
        <v>257</v>
      </c>
      <c r="AL106" s="136" t="s">
        <v>546</v>
      </c>
      <c r="AM106" s="136" t="s">
        <v>203</v>
      </c>
      <c r="AN106" s="1">
        <v>1.9798800000000001</v>
      </c>
      <c r="AO106" s="166">
        <v>0.46493000000000001</v>
      </c>
      <c r="AQ106" t="str">
        <f>_xlfn.XLOOKUP(tblGWP21[[#This Row],[Material Subcategory]],ls_Mat,Factors!$K$952:$K$1023)</f>
        <v>x</v>
      </c>
      <c r="AR106" s="173">
        <v>1</v>
      </c>
      <c r="AS106">
        <v>8.1306407300000008E-2</v>
      </c>
      <c r="AT106" t="s">
        <v>531</v>
      </c>
      <c r="BA106" cm="1">
        <f t="array" ref="BA106:BM106">tblGWP21[#This Row]</f>
        <v>1</v>
      </c>
      <c r="BB106" t="str">
        <v>Metals</v>
      </c>
      <c r="BC106" t="str">
        <v>Ferrous Metal</v>
      </c>
      <c r="BD106" t="str">
        <v>Africa</v>
      </c>
      <c r="BE106" t="str">
        <v>n/a</v>
      </c>
      <c r="BF106">
        <v>-1.9798800000000001</v>
      </c>
      <c r="BG106">
        <v>-1.8968017927</v>
      </c>
      <c r="BH106">
        <v>-2.3459229452538106</v>
      </c>
      <c r="BI106" t="str">
        <v>DELETE</v>
      </c>
      <c r="BJ106" t="str">
        <v>DELETE</v>
      </c>
      <c r="BK106">
        <v>2.60407097668429E-2</v>
      </c>
      <c r="BL106">
        <v>-9.2019421003423696E-2</v>
      </c>
      <c r="BM106">
        <v>-6.3490295353769502E-2</v>
      </c>
    </row>
    <row r="107" spans="3:65">
      <c r="C107" s="375">
        <v>1</v>
      </c>
      <c r="D107" s="374" t="s">
        <v>256</v>
      </c>
      <c r="E107" s="375" t="s">
        <v>257</v>
      </c>
      <c r="F107" s="362" t="s">
        <v>546</v>
      </c>
      <c r="G107" s="362" t="s">
        <v>203</v>
      </c>
      <c r="H107" s="368">
        <v>-1.9798800000000001</v>
      </c>
      <c r="I107" s="368">
        <v>-1.8968017927</v>
      </c>
      <c r="J107" s="368">
        <v>-2.3459229452538106</v>
      </c>
      <c r="K107" s="368">
        <v>0</v>
      </c>
      <c r="L107" s="368">
        <v>0</v>
      </c>
      <c r="M107" s="368">
        <v>2.60407097668429E-2</v>
      </c>
      <c r="N107" s="368">
        <v>-9.2019421003423696E-2</v>
      </c>
      <c r="O107" s="368">
        <v>-6.3490295353769502E-2</v>
      </c>
      <c r="T107" s="49">
        <v>1</v>
      </c>
      <c r="U107" s="143" t="s">
        <v>256</v>
      </c>
      <c r="V107" s="33" t="s">
        <v>537</v>
      </c>
      <c r="W107" s="53" t="s">
        <v>546</v>
      </c>
      <c r="X107" s="53" t="s">
        <v>203</v>
      </c>
      <c r="Y107" s="172">
        <f>IFERROR(-tblZwaste1422[[#This Row],[Weight (kgCO2e/kg)]],0)</f>
        <v>-5.0082800000000001</v>
      </c>
      <c r="Z107" s="172">
        <f>IF(AQ107="x",(AR107*-tblZwaste1422[[#This Row],[Weight (kgCO2e/kg)]])+AS107+($AR$10*Lookups!$J$38/1000),"DELETE")</f>
        <v>-4.9252017927000002</v>
      </c>
      <c r="AA107" s="176">
        <f>AA499</f>
        <v>-5.2411668220945575</v>
      </c>
      <c r="AB107" s="172" t="str">
        <f t="shared" si="59"/>
        <v>DELETE</v>
      </c>
      <c r="AC107" s="172" t="str">
        <f t="shared" si="59"/>
        <v>DELETE</v>
      </c>
      <c r="AD107" s="172">
        <f t="shared" si="59"/>
        <v>2.5860000000000001E-2</v>
      </c>
      <c r="AE107" s="172">
        <f t="shared" si="59"/>
        <v>-2.0101374675224899E-2</v>
      </c>
      <c r="AF107" s="172">
        <f t="shared" si="59"/>
        <v>-1.1963369679962E-2</v>
      </c>
      <c r="AG107" s="150"/>
      <c r="AI107" s="137">
        <v>1</v>
      </c>
      <c r="AJ107" s="136" t="s">
        <v>256</v>
      </c>
      <c r="AK107" s="142" t="s">
        <v>537</v>
      </c>
      <c r="AL107" s="136" t="s">
        <v>546</v>
      </c>
      <c r="AM107" s="136" t="s">
        <v>203</v>
      </c>
      <c r="AN107" s="1">
        <v>5.0082800000000001</v>
      </c>
      <c r="AO107" s="166">
        <v>1.54878</v>
      </c>
      <c r="AQ107" t="str">
        <f>_xlfn.XLOOKUP(tblGWP21[[#This Row],[Material Subcategory]],ls_Mat,Factors!$K$952:$K$1023)</f>
        <v>x</v>
      </c>
      <c r="AR107" s="173">
        <v>1</v>
      </c>
      <c r="AS107">
        <v>8.1306407300000008E-2</v>
      </c>
      <c r="AT107" t="s">
        <v>531</v>
      </c>
      <c r="BA107" cm="1">
        <f t="array" ref="BA107:BM107">tblGWP21[#This Row]</f>
        <v>1</v>
      </c>
      <c r="BB107" t="str">
        <v>Metals</v>
      </c>
      <c r="BC107" t="str">
        <v>Aluminum Cans</v>
      </c>
      <c r="BD107" t="str">
        <v>Africa</v>
      </c>
      <c r="BE107" t="str">
        <v>n/a</v>
      </c>
      <c r="BF107">
        <v>-5.0082800000000001</v>
      </c>
      <c r="BG107">
        <v>-4.9252017927000002</v>
      </c>
      <c r="BH107">
        <v>-5.2411668220945575</v>
      </c>
      <c r="BI107" t="str">
        <v>DELETE</v>
      </c>
      <c r="BJ107" t="str">
        <v>DELETE</v>
      </c>
      <c r="BK107">
        <v>2.5860000000000001E-2</v>
      </c>
      <c r="BL107">
        <v>-2.0101374675224899E-2</v>
      </c>
      <c r="BM107">
        <v>-1.1963369679962E-2</v>
      </c>
    </row>
    <row r="108" spans="3:65">
      <c r="C108" s="6">
        <v>1</v>
      </c>
      <c r="D108" s="373" t="s">
        <v>256</v>
      </c>
      <c r="E108" s="6" t="s">
        <v>537</v>
      </c>
      <c r="F108" s="136" t="s">
        <v>546</v>
      </c>
      <c r="G108" s="136" t="s">
        <v>203</v>
      </c>
      <c r="H108" s="191">
        <v>-5.0082800000000001</v>
      </c>
      <c r="I108" s="191">
        <v>-4.9252017927000002</v>
      </c>
      <c r="J108" s="191">
        <v>-5.2411668220945575</v>
      </c>
      <c r="K108" s="191">
        <v>0</v>
      </c>
      <c r="L108" s="191">
        <v>0</v>
      </c>
      <c r="M108" s="191">
        <v>2.5860000000000001E-2</v>
      </c>
      <c r="N108" s="191">
        <v>-2.0101374675224899E-2</v>
      </c>
      <c r="O108" s="191">
        <v>-1.1963369679962E-2</v>
      </c>
      <c r="T108" s="49">
        <v>1</v>
      </c>
      <c r="U108" s="143" t="s">
        <v>256</v>
      </c>
      <c r="V108" s="33" t="s">
        <v>538</v>
      </c>
      <c r="W108" s="53" t="s">
        <v>546</v>
      </c>
      <c r="X108" s="53" t="s">
        <v>203</v>
      </c>
      <c r="Y108" s="172">
        <f>IFERROR(-tblZwaste1422[[#This Row],[Weight (kgCO2e/kg)]],0)</f>
        <v>-4.6396800000000002</v>
      </c>
      <c r="Z108" s="172" t="str">
        <f>IF(AQ108="x",(AR108*-tblZwaste1422[[#This Row],[Weight (kgCO2e/kg)]])+AS108+($AR$10*Lookups!$J$38/1000),"DELETE")</f>
        <v>DELETE</v>
      </c>
      <c r="AA108" s="172" t="str">
        <f t="shared" si="59"/>
        <v>DELETE</v>
      </c>
      <c r="AB108" s="172" t="str">
        <f t="shared" si="59"/>
        <v>DELETE</v>
      </c>
      <c r="AC108" s="172" t="str">
        <f t="shared" si="59"/>
        <v>DELETE</v>
      </c>
      <c r="AD108" s="172">
        <f t="shared" si="59"/>
        <v>2.5860000000000001E-2</v>
      </c>
      <c r="AE108" s="172">
        <f t="shared" si="59"/>
        <v>-1.6266222895848101E-2</v>
      </c>
      <c r="AF108" s="172">
        <f t="shared" si="59"/>
        <v>-1.1963369679962E-2</v>
      </c>
      <c r="AG108" s="150"/>
      <c r="AI108" s="137">
        <v>1</v>
      </c>
      <c r="AJ108" s="136" t="s">
        <v>256</v>
      </c>
      <c r="AK108" s="142" t="s">
        <v>538</v>
      </c>
      <c r="AL108" s="136" t="s">
        <v>546</v>
      </c>
      <c r="AM108" s="136" t="s">
        <v>203</v>
      </c>
      <c r="AN108" s="1">
        <v>4.6396800000000002</v>
      </c>
      <c r="AO108" s="166">
        <v>1.54878</v>
      </c>
      <c r="AQ108">
        <f>_xlfn.XLOOKUP(tblGWP21[[#This Row],[Material Subcategory]],ls_Mat,Factors!$K$952:$K$1023)</f>
        <v>0</v>
      </c>
      <c r="AR108" s="173"/>
      <c r="BA108" cm="1">
        <f t="array" ref="BA108:BM108">tblGWP21[#This Row]</f>
        <v>1</v>
      </c>
      <c r="BB108" t="str">
        <v>Metals</v>
      </c>
      <c r="BC108" t="str">
        <v>Aluminum Foil</v>
      </c>
      <c r="BD108" t="str">
        <v>Africa</v>
      </c>
      <c r="BE108" t="str">
        <v>n/a</v>
      </c>
      <c r="BF108">
        <v>-4.6396800000000002</v>
      </c>
      <c r="BG108" t="str">
        <v>DELETE</v>
      </c>
      <c r="BH108" t="str">
        <v>DELETE</v>
      </c>
      <c r="BI108" t="str">
        <v>DELETE</v>
      </c>
      <c r="BJ108" t="str">
        <v>DELETE</v>
      </c>
      <c r="BK108">
        <v>2.5860000000000001E-2</v>
      </c>
      <c r="BL108">
        <v>-1.6266222895848101E-2</v>
      </c>
      <c r="BM108">
        <v>-1.1963369679962E-2</v>
      </c>
    </row>
    <row r="109" spans="3:65">
      <c r="C109" s="375">
        <v>1</v>
      </c>
      <c r="D109" s="374" t="s">
        <v>256</v>
      </c>
      <c r="E109" s="375" t="s">
        <v>538</v>
      </c>
      <c r="F109" s="362" t="s">
        <v>546</v>
      </c>
      <c r="G109" s="362" t="s">
        <v>203</v>
      </c>
      <c r="H109" s="368">
        <v>-4.6396800000000002</v>
      </c>
      <c r="I109" s="368">
        <v>0</v>
      </c>
      <c r="J109" s="368">
        <v>0</v>
      </c>
      <c r="K109" s="368">
        <v>0</v>
      </c>
      <c r="L109" s="368">
        <v>0</v>
      </c>
      <c r="M109" s="368">
        <v>2.5860000000000001E-2</v>
      </c>
      <c r="N109" s="368">
        <v>-1.6266222895848101E-2</v>
      </c>
      <c r="O109" s="368">
        <v>-1.1963369679962E-2</v>
      </c>
      <c r="T109" s="49">
        <v>1</v>
      </c>
      <c r="U109" s="143" t="s">
        <v>256</v>
      </c>
      <c r="V109" s="33" t="s">
        <v>258</v>
      </c>
      <c r="W109" s="53" t="s">
        <v>546</v>
      </c>
      <c r="X109" s="53" t="s">
        <v>203</v>
      </c>
      <c r="Y109" s="172">
        <f>IFERROR(-tblZwaste1422[[#This Row],[Weight (kgCO2e/kg)]],0)</f>
        <v>-4.6396800000000002</v>
      </c>
      <c r="Z109" s="172">
        <f>IF(AQ109="x",(AR109*-tblZwaste1422[[#This Row],[Weight (kgCO2e/kg)]])+AS109+($AR$10*Lookups!$J$38/1000),"DELETE")</f>
        <v>-4.5566017927000004</v>
      </c>
      <c r="AA109" s="172">
        <f t="shared" si="59"/>
        <v>-5.0807229397855505</v>
      </c>
      <c r="AB109" s="172" t="str">
        <f t="shared" si="59"/>
        <v>DELETE</v>
      </c>
      <c r="AC109" s="172" t="str">
        <f t="shared" si="59"/>
        <v>DELETE</v>
      </c>
      <c r="AD109" s="172">
        <f t="shared" si="59"/>
        <v>2.5860000000000001E-2</v>
      </c>
      <c r="AE109" s="172">
        <f t="shared" si="59"/>
        <v>-2.0101374675224899E-2</v>
      </c>
      <c r="AF109" s="172">
        <f t="shared" si="59"/>
        <v>-1.1963369679962E-2</v>
      </c>
      <c r="AG109" s="150"/>
      <c r="AI109" s="137">
        <v>1</v>
      </c>
      <c r="AJ109" s="136" t="s">
        <v>256</v>
      </c>
      <c r="AK109" s="142" t="s">
        <v>258</v>
      </c>
      <c r="AL109" s="136" t="s">
        <v>546</v>
      </c>
      <c r="AM109" s="136" t="s">
        <v>203</v>
      </c>
      <c r="AN109" s="1">
        <v>4.6396800000000002</v>
      </c>
      <c r="AO109" s="166">
        <v>1.54878</v>
      </c>
      <c r="AQ109" t="str">
        <f>_xlfn.XLOOKUP(tblGWP21[[#This Row],[Material Subcategory]],ls_Mat,Factors!$K$952:$K$1023)</f>
        <v>x</v>
      </c>
      <c r="AR109" s="173">
        <v>1</v>
      </c>
      <c r="AS109">
        <v>8.1306407300000008E-2</v>
      </c>
      <c r="AT109" t="s">
        <v>531</v>
      </c>
      <c r="AU109" t="s">
        <v>526</v>
      </c>
      <c r="AV109" s="347">
        <v>0.5</v>
      </c>
      <c r="BA109" cm="1">
        <f t="array" ref="BA109:BM109">tblGWP21[#This Row]</f>
        <v>1</v>
      </c>
      <c r="BB109" t="str">
        <v>Metals</v>
      </c>
      <c r="BC109" t="str">
        <v>Other Aluminum</v>
      </c>
      <c r="BD109" t="str">
        <v>Africa</v>
      </c>
      <c r="BE109" t="str">
        <v>n/a</v>
      </c>
      <c r="BF109">
        <v>-4.6396800000000002</v>
      </c>
      <c r="BG109">
        <v>-4.5566017927000004</v>
      </c>
      <c r="BH109">
        <v>-5.0807229397855505</v>
      </c>
      <c r="BI109" t="str">
        <v>DELETE</v>
      </c>
      <c r="BJ109" t="str">
        <v>DELETE</v>
      </c>
      <c r="BK109">
        <v>2.5860000000000001E-2</v>
      </c>
      <c r="BL109">
        <v>-2.0101374675224899E-2</v>
      </c>
      <c r="BM109">
        <v>-1.1963369679962E-2</v>
      </c>
    </row>
    <row r="110" spans="3:65">
      <c r="C110" s="6">
        <v>1</v>
      </c>
      <c r="D110" s="373" t="s">
        <v>256</v>
      </c>
      <c r="E110" s="6" t="s">
        <v>258</v>
      </c>
      <c r="F110" s="136" t="s">
        <v>546</v>
      </c>
      <c r="G110" s="136" t="s">
        <v>203</v>
      </c>
      <c r="H110" s="191">
        <v>-4.6396800000000002</v>
      </c>
      <c r="I110" s="191">
        <v>-4.5566017927000004</v>
      </c>
      <c r="J110" s="191">
        <v>-5.0807229397855505</v>
      </c>
      <c r="K110" s="191">
        <v>0</v>
      </c>
      <c r="L110" s="191">
        <v>0</v>
      </c>
      <c r="M110" s="191">
        <v>2.5860000000000001E-2</v>
      </c>
      <c r="N110" s="191">
        <v>-2.0101374675224899E-2</v>
      </c>
      <c r="O110" s="191">
        <v>-1.1963369679962E-2</v>
      </c>
      <c r="T110" s="49">
        <v>1</v>
      </c>
      <c r="U110" s="143" t="s">
        <v>247</v>
      </c>
      <c r="V110" s="33" t="s">
        <v>247</v>
      </c>
      <c r="W110" s="53" t="s">
        <v>546</v>
      </c>
      <c r="X110" s="53" t="s">
        <v>203</v>
      </c>
      <c r="Y110" s="172">
        <f>IFERROR(-tblZwaste1422[[#This Row],[Weight (kgCO2e/kg)]],0)</f>
        <v>-1.0505633333333335</v>
      </c>
      <c r="Z110" s="172">
        <f>IF(AQ110="x",(AR110*-tblZwaste1422[[#This Row],[Weight (kgCO2e/kg)]])+AS110+($AR$10*Lookups!$J$38/1000),"DELETE")</f>
        <v>-0.96748512603333348</v>
      </c>
      <c r="AA110" s="172">
        <f t="shared" si="59"/>
        <v>-0.31964666691719285</v>
      </c>
      <c r="AB110" s="172" t="str">
        <f t="shared" si="59"/>
        <v>DELETE</v>
      </c>
      <c r="AC110" s="172" t="str">
        <f t="shared" si="59"/>
        <v>DELETE</v>
      </c>
      <c r="AD110" s="172">
        <f t="shared" si="59"/>
        <v>2.6040724293187999E-2</v>
      </c>
      <c r="AE110" s="172">
        <f t="shared" si="59"/>
        <v>2.9160179539146E-2</v>
      </c>
      <c r="AF110" s="172">
        <f t="shared" si="59"/>
        <v>4.8933991860598297E-2</v>
      </c>
      <c r="AG110" s="150"/>
      <c r="AI110" s="137">
        <v>1</v>
      </c>
      <c r="AJ110" s="136" t="s">
        <v>247</v>
      </c>
      <c r="AK110" s="142" t="s">
        <v>247</v>
      </c>
      <c r="AL110" s="136" t="s">
        <v>546</v>
      </c>
      <c r="AM110" s="136" t="s">
        <v>203</v>
      </c>
      <c r="AN110" s="1">
        <v>1.0505633333333335</v>
      </c>
      <c r="AO110" s="166">
        <v>0.89563000000000004</v>
      </c>
      <c r="AQ110" t="str">
        <f>_xlfn.XLOOKUP(tblGWP21[[#This Row],[Material Subcategory]],ls_Mat,Factors!$K$952:$K$1023)</f>
        <v>x</v>
      </c>
      <c r="AR110" s="173">
        <v>1</v>
      </c>
      <c r="AS110">
        <v>8.1306407300000008E-2</v>
      </c>
      <c r="AT110" t="s">
        <v>531</v>
      </c>
      <c r="BA110" cm="1">
        <f t="array" ref="BA110:BM110">tblGWP21[#This Row]</f>
        <v>1</v>
      </c>
      <c r="BB110" t="str">
        <v>Glass</v>
      </c>
      <c r="BC110" t="str">
        <v>Glass</v>
      </c>
      <c r="BD110" t="str">
        <v>Africa</v>
      </c>
      <c r="BE110" t="str">
        <v>n/a</v>
      </c>
      <c r="BF110">
        <v>-1.0505633333333335</v>
      </c>
      <c r="BG110">
        <v>-0.96748512603333348</v>
      </c>
      <c r="BH110">
        <v>-0.31964666691719285</v>
      </c>
      <c r="BI110" t="str">
        <v>DELETE</v>
      </c>
      <c r="BJ110" t="str">
        <v>DELETE</v>
      </c>
      <c r="BK110">
        <v>2.6040724293187999E-2</v>
      </c>
      <c r="BL110">
        <v>2.9160179539146E-2</v>
      </c>
      <c r="BM110">
        <v>4.8933991860598297E-2</v>
      </c>
    </row>
    <row r="111" spans="3:65">
      <c r="C111" s="375">
        <v>1</v>
      </c>
      <c r="D111" s="374" t="s">
        <v>247</v>
      </c>
      <c r="E111" s="375" t="s">
        <v>247</v>
      </c>
      <c r="F111" s="362" t="s">
        <v>546</v>
      </c>
      <c r="G111" s="362" t="s">
        <v>203</v>
      </c>
      <c r="H111" s="368">
        <v>-1.0505633333333335</v>
      </c>
      <c r="I111" s="368">
        <v>-0.96748512603333348</v>
      </c>
      <c r="J111" s="368">
        <v>-0.31964666691719285</v>
      </c>
      <c r="K111" s="368">
        <v>0</v>
      </c>
      <c r="L111" s="368">
        <v>0</v>
      </c>
      <c r="M111" s="368">
        <v>2.6040724293187999E-2</v>
      </c>
      <c r="N111" s="368">
        <v>2.9160179539146E-2</v>
      </c>
      <c r="O111" s="368">
        <v>4.8933991860598297E-2</v>
      </c>
      <c r="T111" s="49">
        <v>1</v>
      </c>
      <c r="U111" s="143" t="s">
        <v>247</v>
      </c>
      <c r="V111" s="33" t="s">
        <v>248</v>
      </c>
      <c r="W111" s="53" t="s">
        <v>546</v>
      </c>
      <c r="X111" s="53" t="s">
        <v>203</v>
      </c>
      <c r="Y111" s="172">
        <f>IFERROR(-tblZwaste1422[[#This Row],[Weight (kgCO2e/kg)]],0)</f>
        <v>-1.0606100000000001</v>
      </c>
      <c r="Z111" s="172">
        <f>IF(AQ111="x",(AR111*-tblZwaste1422[[#This Row],[Weight (kgCO2e/kg)]])+AS111+($AR$10*Lookups!$J$38/1000),"DELETE")</f>
        <v>-0.97753179270000001</v>
      </c>
      <c r="AA111" s="172">
        <f t="shared" si="59"/>
        <v>-0.16792281557286154</v>
      </c>
      <c r="AB111" s="172" t="str">
        <f t="shared" si="59"/>
        <v>DELETE</v>
      </c>
      <c r="AC111" s="172" t="str">
        <f t="shared" si="59"/>
        <v>DELETE</v>
      </c>
      <c r="AD111" s="172">
        <f t="shared" si="59"/>
        <v>2.6040730347760901E-2</v>
      </c>
      <c r="AE111" s="172">
        <f t="shared" si="59"/>
        <v>3.3291056097463002E-2</v>
      </c>
      <c r="AF111" s="172">
        <f t="shared" si="59"/>
        <v>4.89328082549913E-2</v>
      </c>
      <c r="AG111" s="150"/>
      <c r="AI111" s="137">
        <v>1</v>
      </c>
      <c r="AJ111" s="136" t="s">
        <v>247</v>
      </c>
      <c r="AK111" s="142" t="s">
        <v>248</v>
      </c>
      <c r="AL111" s="136" t="s">
        <v>546</v>
      </c>
      <c r="AM111" s="136" t="s">
        <v>203</v>
      </c>
      <c r="AN111" s="1">
        <v>1.0606100000000001</v>
      </c>
      <c r="AO111" s="166">
        <v>0.89563000000000004</v>
      </c>
      <c r="AQ111" t="str">
        <f>_xlfn.XLOOKUP(tblGWP21[[#This Row],[Material Subcategory]],ls_Mat,Factors!$K$952:$K$1023)</f>
        <v>x</v>
      </c>
      <c r="AR111" s="173">
        <v>1</v>
      </c>
      <c r="AS111">
        <v>8.1306407300000008E-2</v>
      </c>
      <c r="AT111" t="s">
        <v>531</v>
      </c>
      <c r="BA111" cm="1">
        <f t="array" ref="BA111:BM111">tblGWP21[#This Row]</f>
        <v>1</v>
      </c>
      <c r="BB111" t="str">
        <v>Glass</v>
      </c>
      <c r="BC111" t="str">
        <v>Glass – Brown</v>
      </c>
      <c r="BD111" t="str">
        <v>Africa</v>
      </c>
      <c r="BE111" t="str">
        <v>n/a</v>
      </c>
      <c r="BF111">
        <v>-1.0606100000000001</v>
      </c>
      <c r="BG111">
        <v>-0.97753179270000001</v>
      </c>
      <c r="BH111">
        <v>-0.16792281557286154</v>
      </c>
      <c r="BI111" t="str">
        <v>DELETE</v>
      </c>
      <c r="BJ111" t="str">
        <v>DELETE</v>
      </c>
      <c r="BK111">
        <v>2.6040730347760901E-2</v>
      </c>
      <c r="BL111">
        <v>3.3291056097463002E-2</v>
      </c>
      <c r="BM111">
        <v>4.89328082549913E-2</v>
      </c>
    </row>
    <row r="112" spans="3:65">
      <c r="C112" s="6">
        <v>1</v>
      </c>
      <c r="D112" s="373" t="s">
        <v>247</v>
      </c>
      <c r="E112" s="6" t="s">
        <v>248</v>
      </c>
      <c r="F112" s="136" t="s">
        <v>546</v>
      </c>
      <c r="G112" s="136" t="s">
        <v>203</v>
      </c>
      <c r="H112" s="191">
        <v>-1.0606100000000001</v>
      </c>
      <c r="I112" s="191">
        <v>-0.97753179270000001</v>
      </c>
      <c r="J112" s="191">
        <v>-0.16792281557286154</v>
      </c>
      <c r="K112" s="191">
        <v>0</v>
      </c>
      <c r="L112" s="191">
        <v>0</v>
      </c>
      <c r="M112" s="191">
        <v>2.6040730347760901E-2</v>
      </c>
      <c r="N112" s="191">
        <v>3.3291056097463002E-2</v>
      </c>
      <c r="O112" s="191">
        <v>4.89328082549913E-2</v>
      </c>
      <c r="T112" s="49">
        <v>1</v>
      </c>
      <c r="U112" s="143" t="s">
        <v>247</v>
      </c>
      <c r="V112" s="33" t="s">
        <v>263</v>
      </c>
      <c r="W112" s="53" t="s">
        <v>546</v>
      </c>
      <c r="X112" s="53" t="s">
        <v>203</v>
      </c>
      <c r="Y112" s="172">
        <f>IFERROR(-tblZwaste1422[[#This Row],[Weight (kgCO2e/kg)]],0)</f>
        <v>-1.0341199999999999</v>
      </c>
      <c r="Z112" s="172">
        <f>IF(AQ112="x",(AR112*-tblZwaste1422[[#This Row],[Weight (kgCO2e/kg)]])+AS112+($AR$10*Lookups!$J$38/1000),"DELETE")</f>
        <v>-0.95104179269999989</v>
      </c>
      <c r="AA112" s="172">
        <f t="shared" si="59"/>
        <v>-0.16792281557286154</v>
      </c>
      <c r="AB112" s="172" t="str">
        <f t="shared" si="59"/>
        <v>DELETE</v>
      </c>
      <c r="AC112" s="172" t="str">
        <f t="shared" si="59"/>
        <v>DELETE</v>
      </c>
      <c r="AD112" s="172">
        <f t="shared" si="59"/>
        <v>2.6040734100342699E-2</v>
      </c>
      <c r="AE112" s="172">
        <f t="shared" si="59"/>
        <v>3.5767272587802802E-2</v>
      </c>
      <c r="AF112" s="172">
        <f t="shared" si="59"/>
        <v>4.8932883823129603E-2</v>
      </c>
      <c r="AG112" s="150"/>
      <c r="AI112" s="137">
        <v>1</v>
      </c>
      <c r="AJ112" s="136" t="s">
        <v>247</v>
      </c>
      <c r="AK112" s="142" t="s">
        <v>263</v>
      </c>
      <c r="AL112" s="136" t="s">
        <v>546</v>
      </c>
      <c r="AM112" s="136" t="s">
        <v>203</v>
      </c>
      <c r="AN112" s="1">
        <v>1.0341199999999999</v>
      </c>
      <c r="AO112" s="166">
        <v>0.89563000000000004</v>
      </c>
      <c r="AQ112" t="str">
        <f>_xlfn.XLOOKUP(tblGWP21[[#This Row],[Material Subcategory]],ls_Mat,Factors!$K$952:$K$1023)</f>
        <v>x</v>
      </c>
      <c r="AR112" s="173">
        <v>1</v>
      </c>
      <c r="AS112">
        <v>8.1306407300000008E-2</v>
      </c>
      <c r="AT112" t="s">
        <v>531</v>
      </c>
      <c r="BA112" cm="1">
        <f t="array" ref="BA112:BM112">tblGWP21[#This Row]</f>
        <v>1</v>
      </c>
      <c r="BB112" t="str">
        <v>Glass</v>
      </c>
      <c r="BC112" t="str">
        <v>Glass – Green</v>
      </c>
      <c r="BD112" t="str">
        <v>Africa</v>
      </c>
      <c r="BE112" t="str">
        <v>n/a</v>
      </c>
      <c r="BF112">
        <v>-1.0341199999999999</v>
      </c>
      <c r="BG112">
        <v>-0.95104179269999989</v>
      </c>
      <c r="BH112">
        <v>-0.16792281557286154</v>
      </c>
      <c r="BI112" t="str">
        <v>DELETE</v>
      </c>
      <c r="BJ112" t="str">
        <v>DELETE</v>
      </c>
      <c r="BK112">
        <v>2.6040734100342699E-2</v>
      </c>
      <c r="BL112">
        <v>3.5767272587802802E-2</v>
      </c>
      <c r="BM112">
        <v>4.8932883823129603E-2</v>
      </c>
    </row>
    <row r="113" spans="3:65">
      <c r="C113" s="375">
        <v>1</v>
      </c>
      <c r="D113" s="374" t="s">
        <v>247</v>
      </c>
      <c r="E113" s="375" t="s">
        <v>263</v>
      </c>
      <c r="F113" s="362" t="s">
        <v>546</v>
      </c>
      <c r="G113" s="362" t="s">
        <v>203</v>
      </c>
      <c r="H113" s="368">
        <v>-1.0341199999999999</v>
      </c>
      <c r="I113" s="368">
        <v>-0.95104179269999989</v>
      </c>
      <c r="J113" s="368">
        <v>-0.16792281557286154</v>
      </c>
      <c r="K113" s="368">
        <v>0</v>
      </c>
      <c r="L113" s="368">
        <v>0</v>
      </c>
      <c r="M113" s="368">
        <v>2.6040734100342699E-2</v>
      </c>
      <c r="N113" s="368">
        <v>3.5767272587802802E-2</v>
      </c>
      <c r="O113" s="368">
        <v>4.8932883823129603E-2</v>
      </c>
      <c r="T113" s="49">
        <v>1</v>
      </c>
      <c r="U113" s="143" t="s">
        <v>247</v>
      </c>
      <c r="V113" s="33" t="s">
        <v>539</v>
      </c>
      <c r="W113" s="53" t="s">
        <v>546</v>
      </c>
      <c r="X113" s="53" t="s">
        <v>203</v>
      </c>
      <c r="Y113" s="172">
        <f>IFERROR(-tblZwaste1422[[#This Row],[Weight (kgCO2e/kg)]],0)</f>
        <v>-1.0569599999999999</v>
      </c>
      <c r="Z113" s="172">
        <f>IF(AQ113="x",(AR113*-tblZwaste1422[[#This Row],[Weight (kgCO2e/kg)]])+AS113+($AR$10*Lookups!$J$38/1000),"DELETE")</f>
        <v>-0.97388179269999986</v>
      </c>
      <c r="AA113" s="172">
        <f t="shared" ref="AA113:AF122" si="60">AA505</f>
        <v>-0.17322564132779403</v>
      </c>
      <c r="AB113" s="172" t="str">
        <f t="shared" si="60"/>
        <v>DELETE</v>
      </c>
      <c r="AC113" s="172" t="str">
        <f t="shared" si="60"/>
        <v>DELETE</v>
      </c>
      <c r="AD113" s="172">
        <f t="shared" si="60"/>
        <v>2.6040714495594499E-2</v>
      </c>
      <c r="AE113" s="172">
        <f t="shared" si="60"/>
        <v>2.25068255633998E-2</v>
      </c>
      <c r="AF113" s="172">
        <f t="shared" si="60"/>
        <v>4.8935266613268302E-2</v>
      </c>
      <c r="AG113" s="150"/>
      <c r="AI113" s="137">
        <v>1</v>
      </c>
      <c r="AJ113" s="136" t="s">
        <v>247</v>
      </c>
      <c r="AK113" s="142" t="s">
        <v>539</v>
      </c>
      <c r="AL113" s="136" t="s">
        <v>546</v>
      </c>
      <c r="AM113" s="136" t="s">
        <v>203</v>
      </c>
      <c r="AN113" s="1">
        <v>1.0569599999999999</v>
      </c>
      <c r="AO113" s="166">
        <v>0.89563000000000004</v>
      </c>
      <c r="AQ113" t="str">
        <f>_xlfn.XLOOKUP(tblGWP21[[#This Row],[Material Subcategory]],ls_Mat,Factors!$K$952:$K$1023)</f>
        <v>x</v>
      </c>
      <c r="AR113" s="173">
        <v>1</v>
      </c>
      <c r="AS113">
        <v>8.1306407300000008E-2</v>
      </c>
      <c r="AT113" t="s">
        <v>531</v>
      </c>
      <c r="BA113" cm="1">
        <f t="array" ref="BA113:BM113">tblGWP21[#This Row]</f>
        <v>1</v>
      </c>
      <c r="BB113" t="str">
        <v>Glass</v>
      </c>
      <c r="BC113" t="str">
        <v>Glass – Clear</v>
      </c>
      <c r="BD113" t="str">
        <v>Africa</v>
      </c>
      <c r="BE113" t="str">
        <v>n/a</v>
      </c>
      <c r="BF113">
        <v>-1.0569599999999999</v>
      </c>
      <c r="BG113">
        <v>-0.97388179269999986</v>
      </c>
      <c r="BH113">
        <v>-0.17322564132779403</v>
      </c>
      <c r="BI113" t="str">
        <v>DELETE</v>
      </c>
      <c r="BJ113" t="str">
        <v>DELETE</v>
      </c>
      <c r="BK113">
        <v>2.6040714495594499E-2</v>
      </c>
      <c r="BL113">
        <v>2.25068255633998E-2</v>
      </c>
      <c r="BM113">
        <v>4.8935266613268302E-2</v>
      </c>
    </row>
    <row r="114" spans="3:65">
      <c r="C114" s="6">
        <v>1</v>
      </c>
      <c r="D114" s="373" t="s">
        <v>247</v>
      </c>
      <c r="E114" s="6" t="s">
        <v>539</v>
      </c>
      <c r="F114" s="136" t="s">
        <v>546</v>
      </c>
      <c r="G114" s="136" t="s">
        <v>203</v>
      </c>
      <c r="H114" s="191">
        <v>-1.0569599999999999</v>
      </c>
      <c r="I114" s="191">
        <v>-0.97388179269999986</v>
      </c>
      <c r="J114" s="191">
        <v>-0.17322564132779403</v>
      </c>
      <c r="K114" s="191">
        <v>0</v>
      </c>
      <c r="L114" s="191">
        <v>0</v>
      </c>
      <c r="M114" s="191">
        <v>2.6040714495594499E-2</v>
      </c>
      <c r="N114" s="191">
        <v>2.25068255633998E-2</v>
      </c>
      <c r="O114" s="191">
        <v>4.8935266613268302E-2</v>
      </c>
      <c r="T114" s="49">
        <v>1</v>
      </c>
      <c r="U114" s="143" t="s">
        <v>247</v>
      </c>
      <c r="V114" s="33" t="s">
        <v>270</v>
      </c>
      <c r="W114" s="53" t="s">
        <v>546</v>
      </c>
      <c r="X114" s="53" t="s">
        <v>203</v>
      </c>
      <c r="Y114" s="172">
        <f>IFERROR(-tblZwaste1422[[#This Row],[Weight (kgCO2e/kg)]],0)</f>
        <v>-1.0505633333333335</v>
      </c>
      <c r="Z114" s="172">
        <f>IF(AQ114="x",(AR114*-tblZwaste1422[[#This Row],[Weight (kgCO2e/kg)]])+AS114+($AR$10*Lookups!$J$38/1000),"DELETE")</f>
        <v>-0.96748512603333348</v>
      </c>
      <c r="AA114" s="172">
        <f t="shared" si="60"/>
        <v>-0.31964666691719285</v>
      </c>
      <c r="AB114" s="172" t="str">
        <f t="shared" si="60"/>
        <v>DELETE</v>
      </c>
      <c r="AC114" s="172" t="str">
        <f t="shared" si="60"/>
        <v>DELETE</v>
      </c>
      <c r="AD114" s="172">
        <f t="shared" si="60"/>
        <v>2.6040724293187999E-2</v>
      </c>
      <c r="AE114" s="172">
        <f t="shared" si="60"/>
        <v>2.9160179539146E-2</v>
      </c>
      <c r="AF114" s="172">
        <f t="shared" si="60"/>
        <v>4.8933991860598297E-2</v>
      </c>
      <c r="AG114" s="150"/>
      <c r="AI114" s="137">
        <v>1</v>
      </c>
      <c r="AJ114" s="136" t="s">
        <v>247</v>
      </c>
      <c r="AK114" s="142" t="s">
        <v>270</v>
      </c>
      <c r="AL114" s="136" t="s">
        <v>546</v>
      </c>
      <c r="AM114" s="136" t="s">
        <v>203</v>
      </c>
      <c r="AN114" s="1">
        <v>1.0505633333333335</v>
      </c>
      <c r="AO114" s="166">
        <v>0.89563000000000004</v>
      </c>
      <c r="AQ114" t="str">
        <f>_xlfn.XLOOKUP(tblGWP21[[#This Row],[Material Subcategory]],ls_Mat,Factors!$K$952:$K$1023)</f>
        <v>x</v>
      </c>
      <c r="AR114" s="173">
        <v>1</v>
      </c>
      <c r="AS114">
        <v>8.1306407300000008E-2</v>
      </c>
      <c r="AT114" t="s">
        <v>531</v>
      </c>
      <c r="BA114" cm="1">
        <f t="array" ref="BA114:BM114">tblGWP21[#This Row]</f>
        <v>1</v>
      </c>
      <c r="BB114" t="str">
        <v>Glass</v>
      </c>
      <c r="BC114" t="str">
        <v>Mixed Glass</v>
      </c>
      <c r="BD114" t="str">
        <v>Africa</v>
      </c>
      <c r="BE114" t="str">
        <v>n/a</v>
      </c>
      <c r="BF114">
        <v>-1.0505633333333335</v>
      </c>
      <c r="BG114">
        <v>-0.96748512603333348</v>
      </c>
      <c r="BH114">
        <v>-0.31964666691719285</v>
      </c>
      <c r="BI114" t="str">
        <v>DELETE</v>
      </c>
      <c r="BJ114" t="str">
        <v>DELETE</v>
      </c>
      <c r="BK114">
        <v>2.6040724293187999E-2</v>
      </c>
      <c r="BL114">
        <v>2.9160179539146E-2</v>
      </c>
      <c r="BM114">
        <v>4.8933991860598297E-2</v>
      </c>
    </row>
    <row r="115" spans="3:65">
      <c r="C115" s="375">
        <v>1</v>
      </c>
      <c r="D115" s="374" t="s">
        <v>247</v>
      </c>
      <c r="E115" s="375" t="s">
        <v>270</v>
      </c>
      <c r="F115" s="362" t="s">
        <v>546</v>
      </c>
      <c r="G115" s="362" t="s">
        <v>203</v>
      </c>
      <c r="H115" s="368">
        <v>-1.0505633333333335</v>
      </c>
      <c r="I115" s="368">
        <v>-0.96748512603333348</v>
      </c>
      <c r="J115" s="368">
        <v>-0.31964666691719285</v>
      </c>
      <c r="K115" s="368">
        <v>0</v>
      </c>
      <c r="L115" s="368">
        <v>0</v>
      </c>
      <c r="M115" s="368">
        <v>2.6040724293187999E-2</v>
      </c>
      <c r="N115" s="368">
        <v>2.9160179539146E-2</v>
      </c>
      <c r="O115" s="368">
        <v>4.8933991860598297E-2</v>
      </c>
      <c r="T115" s="49">
        <v>1</v>
      </c>
      <c r="U115" s="143" t="s">
        <v>247</v>
      </c>
      <c r="V115" s="33" t="s">
        <v>540</v>
      </c>
      <c r="W115" s="53" t="s">
        <v>546</v>
      </c>
      <c r="X115" s="53" t="s">
        <v>203</v>
      </c>
      <c r="Y115" s="172">
        <f>IFERROR(-tblZwaste1422[[#This Row],[Weight (kgCO2e/kg)]],0)</f>
        <v>-1.0473650000000001</v>
      </c>
      <c r="Z115" s="172">
        <f>IF(AQ115="x",(AR115*-tblZwaste1422[[#This Row],[Weight (kgCO2e/kg)]])+AS115+($AR$10*Lookups!$J$38/1000),"DELETE")</f>
        <v>-0.96428679270000006</v>
      </c>
      <c r="AA115" s="172" t="str">
        <f t="shared" si="60"/>
        <v>DELETE</v>
      </c>
      <c r="AB115" s="172" t="str">
        <f t="shared" si="60"/>
        <v>DELETE</v>
      </c>
      <c r="AC115" s="172" t="str">
        <f t="shared" si="60"/>
        <v>DELETE</v>
      </c>
      <c r="AD115" s="172">
        <f t="shared" si="60"/>
        <v>2.6040707593329899E-2</v>
      </c>
      <c r="AE115" s="172">
        <f t="shared" si="60"/>
        <v>2.4982521898512501E-2</v>
      </c>
      <c r="AF115" s="172">
        <f t="shared" si="60"/>
        <v>4.8934822026179499E-2</v>
      </c>
      <c r="AG115" s="150"/>
      <c r="AI115" s="137">
        <v>1</v>
      </c>
      <c r="AJ115" s="136" t="s">
        <v>247</v>
      </c>
      <c r="AK115" s="142" t="s">
        <v>540</v>
      </c>
      <c r="AL115" s="136" t="s">
        <v>546</v>
      </c>
      <c r="AM115" s="136" t="s">
        <v>203</v>
      </c>
      <c r="AN115" s="1">
        <v>1.0473650000000001</v>
      </c>
      <c r="AO115" s="166">
        <v>0.89563000000000004</v>
      </c>
      <c r="AQ115" t="str">
        <f>_xlfn.XLOOKUP(tblGWP21[[#This Row],[Material Subcategory]],ls_Mat,Factors!$K$952:$K$1023)</f>
        <v>x</v>
      </c>
      <c r="AR115" s="173">
        <v>1</v>
      </c>
      <c r="AS115">
        <v>8.1306407300000008E-2</v>
      </c>
      <c r="AT115" t="s">
        <v>531</v>
      </c>
      <c r="BA115" cm="1">
        <f t="array" ref="BA115:BM115">tblGWP21[#This Row]</f>
        <v>1</v>
      </c>
      <c r="BB115" t="str">
        <v>Glass</v>
      </c>
      <c r="BC115" t="str">
        <v>Glass – Non-Recyclable</v>
      </c>
      <c r="BD115" t="str">
        <v>Africa</v>
      </c>
      <c r="BE115" t="str">
        <v>n/a</v>
      </c>
      <c r="BF115">
        <v>-1.0473650000000001</v>
      </c>
      <c r="BG115">
        <v>-0.96428679270000006</v>
      </c>
      <c r="BH115" t="str">
        <v>DELETE</v>
      </c>
      <c r="BI115" t="str">
        <v>DELETE</v>
      </c>
      <c r="BJ115" t="str">
        <v>DELETE</v>
      </c>
      <c r="BK115">
        <v>2.6040707593329899E-2</v>
      </c>
      <c r="BL115">
        <v>2.4982521898512501E-2</v>
      </c>
      <c r="BM115">
        <v>4.8934822026179499E-2</v>
      </c>
    </row>
    <row r="116" spans="3:65">
      <c r="C116" s="136">
        <v>1</v>
      </c>
      <c r="D116" s="137" t="s">
        <v>247</v>
      </c>
      <c r="E116" s="136" t="s">
        <v>540</v>
      </c>
      <c r="F116" s="136" t="s">
        <v>546</v>
      </c>
      <c r="G116" s="136" t="s">
        <v>203</v>
      </c>
      <c r="H116" s="191">
        <v>-1.0473650000000001</v>
      </c>
      <c r="I116" s="191">
        <v>-0.96428679270000006</v>
      </c>
      <c r="J116" s="191">
        <v>0</v>
      </c>
      <c r="K116" s="191">
        <v>0</v>
      </c>
      <c r="L116" s="191">
        <v>0</v>
      </c>
      <c r="M116" s="191">
        <v>2.6040707593329899E-2</v>
      </c>
      <c r="N116" s="191">
        <v>2.4982521898512501E-2</v>
      </c>
      <c r="O116" s="191">
        <v>4.8934822026179499E-2</v>
      </c>
      <c r="T116" s="48">
        <v>1</v>
      </c>
      <c r="U116" s="46" t="s">
        <v>261</v>
      </c>
      <c r="V116" s="53" t="s">
        <v>260</v>
      </c>
      <c r="W116" s="53" t="s">
        <v>546</v>
      </c>
      <c r="X116" s="53" t="s">
        <v>203</v>
      </c>
      <c r="Y116" s="172">
        <f>IFERROR(-tblZwaste1422[[#This Row],[Weight (kgCO2e/kg)]],0)</f>
        <v>-4.0364225925925927</v>
      </c>
      <c r="Z116" s="172" t="str">
        <f>IF(AQ116="x",(AR116*-tblZwaste1422[[#This Row],[Weight (kgCO2e/kg)]])+AS116+($AR$10*Lookups!$J$38/1000),"DELETE")</f>
        <v>DELETE</v>
      </c>
      <c r="AA116" s="172" t="str">
        <f t="shared" si="60"/>
        <v>DELETE</v>
      </c>
      <c r="AB116" s="172">
        <f t="shared" si="60"/>
        <v>-0.49804123014899998</v>
      </c>
      <c r="AC116" s="172">
        <f t="shared" si="60"/>
        <v>-0.86469964244274</v>
      </c>
      <c r="AD116" s="172">
        <f t="shared" si="60"/>
        <v>-9.8873846785501499E-2</v>
      </c>
      <c r="AE116" s="172">
        <f t="shared" si="60"/>
        <v>-0.26772451207168102</v>
      </c>
      <c r="AF116" s="172">
        <f t="shared" si="60"/>
        <v>2.7532204279775999E-2</v>
      </c>
      <c r="AG116" s="150"/>
      <c r="AI116" s="137">
        <v>1</v>
      </c>
      <c r="AJ116" s="136" t="s">
        <v>529</v>
      </c>
      <c r="AK116" s="142" t="s">
        <v>260</v>
      </c>
      <c r="AL116" s="136" t="s">
        <v>546</v>
      </c>
      <c r="AM116" s="136" t="s">
        <v>203</v>
      </c>
      <c r="AN116" s="1">
        <v>4.0364225925925927</v>
      </c>
      <c r="AO116" s="166">
        <v>1.3856655555555555</v>
      </c>
      <c r="AQ116">
        <f>_xlfn.XLOOKUP(tblGWP21[[#This Row],[Material Subcategory]],ls_Mat,Factors!$K$952:$K$1023)</f>
        <v>0</v>
      </c>
      <c r="AR116" s="173"/>
      <c r="BA116" cm="1">
        <f t="array" ref="BA116:BM116">tblGWP21[#This Row]</f>
        <v>1</v>
      </c>
      <c r="BB116" t="str">
        <v>Food Waste</v>
      </c>
      <c r="BC116" t="str">
        <v>Mixed Organics</v>
      </c>
      <c r="BD116" t="str">
        <v>Africa</v>
      </c>
      <c r="BE116" t="str">
        <v>n/a</v>
      </c>
      <c r="BF116">
        <v>-4.0364225925925927</v>
      </c>
      <c r="BG116" t="str">
        <v>DELETE</v>
      </c>
      <c r="BH116" t="str">
        <v>DELETE</v>
      </c>
      <c r="BI116">
        <v>-0.49804123014899998</v>
      </c>
      <c r="BJ116">
        <v>-0.86469964244274</v>
      </c>
      <c r="BK116">
        <v>-9.8873846785501499E-2</v>
      </c>
      <c r="BL116">
        <v>-0.26772451207168102</v>
      </c>
      <c r="BM116">
        <v>2.7532204279775999E-2</v>
      </c>
    </row>
    <row r="117" spans="3:65">
      <c r="C117" s="375">
        <v>1</v>
      </c>
      <c r="D117" s="374" t="s">
        <v>261</v>
      </c>
      <c r="E117" s="375" t="s">
        <v>260</v>
      </c>
      <c r="F117" s="362" t="s">
        <v>546</v>
      </c>
      <c r="G117" s="362" t="s">
        <v>203</v>
      </c>
      <c r="H117" s="368">
        <v>-4.0364225925925927</v>
      </c>
      <c r="I117" s="368">
        <v>0</v>
      </c>
      <c r="J117" s="368">
        <v>0</v>
      </c>
      <c r="K117" s="368">
        <v>-0.49804123014899998</v>
      </c>
      <c r="L117" s="368">
        <v>-0.86469964244274</v>
      </c>
      <c r="M117" s="368">
        <v>-9.8873846785501499E-2</v>
      </c>
      <c r="N117" s="368">
        <v>-0.26772451207168102</v>
      </c>
      <c r="O117" s="368">
        <v>2.7532204279775999E-2</v>
      </c>
      <c r="T117" s="49">
        <v>1</v>
      </c>
      <c r="U117" s="143" t="s">
        <v>237</v>
      </c>
      <c r="V117" s="33" t="s">
        <v>237</v>
      </c>
      <c r="W117" s="53" t="s">
        <v>546</v>
      </c>
      <c r="X117" s="53" t="s">
        <v>203</v>
      </c>
      <c r="Y117" s="172">
        <f>IFERROR(-tblZwaste1422[[#This Row],[Weight (kgCO2e/kg)]],0)</f>
        <v>-2.8533815875203707</v>
      </c>
      <c r="Z117" s="172" t="e">
        <f>IF(AQ117="x",(AR117*-tblZwaste1422[[#This Row],[Weight (kgCO2e/kg)]])+AS117+($AR$10*Lookups!$J$38/1000),"DELETE")</f>
        <v>#N/A</v>
      </c>
      <c r="AA117" s="172" t="s">
        <v>567</v>
      </c>
      <c r="AB117" s="172" t="str">
        <f t="shared" si="60"/>
        <v>DELETE</v>
      </c>
      <c r="AC117" s="172" t="str">
        <f t="shared" si="60"/>
        <v>DELETE</v>
      </c>
      <c r="AD117" s="172">
        <f t="shared" si="60"/>
        <v>-0.41024045217658678</v>
      </c>
      <c r="AE117" s="172">
        <f t="shared" si="60"/>
        <v>-0.59805419557752437</v>
      </c>
      <c r="AF117" s="172">
        <f t="shared" si="60"/>
        <v>2.7970952240132501E-2</v>
      </c>
      <c r="AG117" s="150"/>
      <c r="AI117" s="137">
        <v>1</v>
      </c>
      <c r="AJ117" s="136" t="s">
        <v>237</v>
      </c>
      <c r="AK117" s="142" t="s">
        <v>237</v>
      </c>
      <c r="AL117" s="136" t="s">
        <v>546</v>
      </c>
      <c r="AM117" s="136" t="s">
        <v>203</v>
      </c>
      <c r="AN117" s="1">
        <v>2.8533815875203707</v>
      </c>
      <c r="AO117" s="166">
        <v>1.0711602172222223</v>
      </c>
      <c r="AQ117" t="e">
        <f>_xlfn.XLOOKUP(tblGWP21[[#This Row],[Material Subcategory]],ls_Mat,Factors!$K$952:$K$1023)</f>
        <v>#N/A</v>
      </c>
      <c r="AR117" s="173">
        <v>0.5</v>
      </c>
      <c r="AS117">
        <v>0</v>
      </c>
      <c r="AT117" t="s">
        <v>527</v>
      </c>
      <c r="BA117" cm="1">
        <f t="array" ref="BA117:BM117">tblGWP21[#This Row]</f>
        <v>1</v>
      </c>
      <c r="BB117" t="str">
        <v>Mixed/Custom</v>
      </c>
      <c r="BC117" t="str">
        <v>Mixed/Custom</v>
      </c>
      <c r="BD117" t="str">
        <v>Africa</v>
      </c>
      <c r="BE117" t="str">
        <v>n/a</v>
      </c>
      <c r="BF117">
        <v>-2.8533815875203707</v>
      </c>
      <c r="BG117" t="e">
        <v>#N/A</v>
      </c>
      <c r="BH117" t="str">
        <v>DELETE</v>
      </c>
      <c r="BI117" t="str">
        <v>DELETE</v>
      </c>
      <c r="BJ117" t="str">
        <v>DELETE</v>
      </c>
      <c r="BK117">
        <v>-0.41024045217658678</v>
      </c>
      <c r="BL117">
        <v>-0.59805419557752437</v>
      </c>
      <c r="BM117">
        <v>2.7970952240132501E-2</v>
      </c>
    </row>
    <row r="118" spans="3:65">
      <c r="C118" s="6">
        <v>1</v>
      </c>
      <c r="D118" s="373" t="s">
        <v>10157</v>
      </c>
      <c r="E118" s="6" t="s">
        <v>237</v>
      </c>
      <c r="F118" s="136" t="s">
        <v>546</v>
      </c>
      <c r="G118" s="136" t="s">
        <v>203</v>
      </c>
      <c r="H118" s="191">
        <v>-2.8533815875203707</v>
      </c>
      <c r="I118" s="191">
        <v>-1.4249189937601854</v>
      </c>
      <c r="J118" s="191">
        <v>0</v>
      </c>
      <c r="K118" s="191">
        <v>0</v>
      </c>
      <c r="L118" s="191">
        <v>0</v>
      </c>
      <c r="M118" s="191">
        <v>-0.41024045217658678</v>
      </c>
      <c r="N118" s="191">
        <v>-0.59805419557752437</v>
      </c>
      <c r="O118" s="191">
        <v>2.7970952240132501E-2</v>
      </c>
      <c r="T118" s="49">
        <v>1</v>
      </c>
      <c r="U118" s="143" t="s">
        <v>237</v>
      </c>
      <c r="V118" s="33" t="s">
        <v>246</v>
      </c>
      <c r="W118" s="53" t="s">
        <v>546</v>
      </c>
      <c r="X118" s="53" t="s">
        <v>203</v>
      </c>
      <c r="Y118" s="172">
        <f>IFERROR(-tblZwaste1422[[#This Row],[Weight (kgCO2e/kg)]],0)</f>
        <v>-7.3412433500000009</v>
      </c>
      <c r="Z118" s="172" t="str">
        <f>IF(AQ118="x",(AR118*-tblZwaste1422[[#This Row],[Weight (kgCO2e/kg)]])+AS118+($AR$10*Lookups!$J$38/1000),"DELETE")</f>
        <v>DELETE</v>
      </c>
      <c r="AA118" s="172" t="str">
        <f t="shared" si="60"/>
        <v>DELETE</v>
      </c>
      <c r="AB118" s="172" t="str">
        <f t="shared" si="60"/>
        <v>DELETE</v>
      </c>
      <c r="AC118" s="172" t="str">
        <f t="shared" si="60"/>
        <v>DELETE</v>
      </c>
      <c r="AD118" s="172">
        <f t="shared" si="60"/>
        <v>2.60407590601959E-2</v>
      </c>
      <c r="AE118" s="172">
        <f t="shared" si="60"/>
        <v>4.1075091000055998E-2</v>
      </c>
      <c r="AF118" s="172">
        <f t="shared" si="60"/>
        <v>4.8932475133413603E-2</v>
      </c>
      <c r="AG118" s="150"/>
      <c r="AI118" s="137">
        <v>1</v>
      </c>
      <c r="AJ118" s="136" t="s">
        <v>237</v>
      </c>
      <c r="AK118" s="142" t="s">
        <v>246</v>
      </c>
      <c r="AL118" s="136" t="s">
        <v>546</v>
      </c>
      <c r="AM118" s="136" t="s">
        <v>203</v>
      </c>
      <c r="AN118" s="1">
        <v>7.3412433500000009</v>
      </c>
      <c r="AO118" s="166">
        <v>0.66842500000000005</v>
      </c>
      <c r="AQ118">
        <f>_xlfn.XLOOKUP(tblGWP21[[#This Row],[Material Subcategory]],ls_Mat,Factors!$K$952:$K$1023)</f>
        <v>0</v>
      </c>
      <c r="AR118" s="173"/>
      <c r="BA118" cm="1">
        <f t="array" ref="BA118:BM118">tblGWP21[#This Row]</f>
        <v>1</v>
      </c>
      <c r="BB118" t="str">
        <v>Mixed/Custom</v>
      </c>
      <c r="BC118" t="str">
        <v>Mixed Inorganics</v>
      </c>
      <c r="BD118" t="str">
        <v>Africa</v>
      </c>
      <c r="BE118" t="str">
        <v>n/a</v>
      </c>
      <c r="BF118">
        <v>-7.3412433500000009</v>
      </c>
      <c r="BG118" t="str">
        <v>DELETE</v>
      </c>
      <c r="BH118" t="str">
        <v>DELETE</v>
      </c>
      <c r="BI118" t="str">
        <v>DELETE</v>
      </c>
      <c r="BJ118" t="str">
        <v>DELETE</v>
      </c>
      <c r="BK118">
        <v>2.60407590601959E-2</v>
      </c>
      <c r="BL118">
        <v>4.1075091000055998E-2</v>
      </c>
      <c r="BM118">
        <v>4.8932475133413603E-2</v>
      </c>
    </row>
    <row r="119" spans="3:65">
      <c r="C119" s="375">
        <v>1</v>
      </c>
      <c r="D119" s="374" t="s">
        <v>10157</v>
      </c>
      <c r="E119" s="375" t="s">
        <v>246</v>
      </c>
      <c r="F119" s="362" t="s">
        <v>546</v>
      </c>
      <c r="G119" s="362" t="s">
        <v>203</v>
      </c>
      <c r="H119" s="368">
        <v>-7.3412433500000009</v>
      </c>
      <c r="I119" s="368">
        <v>0</v>
      </c>
      <c r="J119" s="368">
        <v>0</v>
      </c>
      <c r="K119" s="368">
        <v>0</v>
      </c>
      <c r="L119" s="368">
        <v>0</v>
      </c>
      <c r="M119" s="368">
        <v>2.60407590601959E-2</v>
      </c>
      <c r="N119" s="368">
        <v>4.1075091000055998E-2</v>
      </c>
      <c r="O119" s="368">
        <v>4.8932475133413603E-2</v>
      </c>
      <c r="T119" s="49">
        <v>1</v>
      </c>
      <c r="U119" s="143" t="s">
        <v>237</v>
      </c>
      <c r="V119" s="33" t="s">
        <v>243</v>
      </c>
      <c r="W119" s="53" t="s">
        <v>546</v>
      </c>
      <c r="X119" s="53" t="s">
        <v>203</v>
      </c>
      <c r="Y119" s="172">
        <f>IFERROR(-tblZwaste1422[[#This Row],[Weight (kgCO2e/kg)]],0)</f>
        <v>-2.8533815875203707</v>
      </c>
      <c r="Z119" s="172" t="e">
        <f>IF(AQ119="x",(AR119*-tblZwaste1422[[#This Row],[Weight (kgCO2e/kg)]])+AS119+($AR$10*Lookups!$J$38/1000),"DELETE")</f>
        <v>#N/A</v>
      </c>
      <c r="AA119" s="172" t="str">
        <f t="shared" si="60"/>
        <v>DELETE</v>
      </c>
      <c r="AB119" s="172">
        <f t="shared" si="60"/>
        <v>-1.0080674189834951</v>
      </c>
      <c r="AC119" s="172">
        <f t="shared" si="60"/>
        <v>-1.5974615560162053</v>
      </c>
      <c r="AD119" s="172">
        <f t="shared" si="60"/>
        <v>-0.41024045217658678</v>
      </c>
      <c r="AE119" s="172">
        <f t="shared" si="60"/>
        <v>-0.59805419557752437</v>
      </c>
      <c r="AF119" s="172">
        <f t="shared" si="60"/>
        <v>2.7970952240132501E-2</v>
      </c>
      <c r="AG119" s="150"/>
      <c r="AI119" s="137">
        <v>1</v>
      </c>
      <c r="AJ119" s="136" t="s">
        <v>237</v>
      </c>
      <c r="AK119" s="142" t="s">
        <v>243</v>
      </c>
      <c r="AL119" s="136" t="s">
        <v>546</v>
      </c>
      <c r="AM119" s="136" t="s">
        <v>203</v>
      </c>
      <c r="AN119" s="1">
        <v>2.8533815875203707</v>
      </c>
      <c r="AO119" s="166">
        <v>1.0711602172222223</v>
      </c>
      <c r="AQ119" t="e">
        <f>_xlfn.XLOOKUP(tblGWP21[[#This Row],[Material Subcategory]],ls_Mat,Factors!$K$952:$K$1023)</f>
        <v>#N/A</v>
      </c>
      <c r="AR119" s="173"/>
      <c r="BA119" cm="1">
        <f t="array" ref="BA119:BM119">tblGWP21[#This Row]</f>
        <v>1</v>
      </c>
      <c r="BB119" t="str">
        <v>Mixed/Custom</v>
      </c>
      <c r="BC119" t="str">
        <v>Mixed MSW</v>
      </c>
      <c r="BD119" t="str">
        <v>Africa</v>
      </c>
      <c r="BE119" t="str">
        <v>n/a</v>
      </c>
      <c r="BF119">
        <v>-2.8533815875203707</v>
      </c>
      <c r="BG119" t="e">
        <v>#N/A</v>
      </c>
      <c r="BH119" t="str">
        <v>DELETE</v>
      </c>
      <c r="BI119">
        <v>-1.0080674189834951</v>
      </c>
      <c r="BJ119">
        <v>-1.5974615560162053</v>
      </c>
      <c r="BK119">
        <v>-0.41024045217658678</v>
      </c>
      <c r="BL119">
        <v>-0.59805419557752437</v>
      </c>
      <c r="BM119">
        <v>2.7970952240132501E-2</v>
      </c>
    </row>
    <row r="120" spans="3:65">
      <c r="C120" s="6">
        <v>1</v>
      </c>
      <c r="D120" s="373" t="s">
        <v>10157</v>
      </c>
      <c r="E120" s="6" t="s">
        <v>243</v>
      </c>
      <c r="F120" s="136" t="s">
        <v>546</v>
      </c>
      <c r="G120" s="136" t="s">
        <v>203</v>
      </c>
      <c r="H120" s="191">
        <v>-2.8533815875203707</v>
      </c>
      <c r="I120" s="191">
        <v>0</v>
      </c>
      <c r="J120" s="191">
        <v>0</v>
      </c>
      <c r="K120" s="191">
        <v>-1.0080674189834951</v>
      </c>
      <c r="L120" s="191">
        <v>-1.5974615560162053</v>
      </c>
      <c r="M120" s="191">
        <v>-0.41024045217658678</v>
      </c>
      <c r="N120" s="191">
        <v>-0.59805419557752437</v>
      </c>
      <c r="O120" s="191">
        <v>2.7970952240132501E-2</v>
      </c>
      <c r="T120" s="49">
        <v>1</v>
      </c>
      <c r="U120" s="143" t="s">
        <v>252</v>
      </c>
      <c r="V120" s="33" t="s">
        <v>333</v>
      </c>
      <c r="W120" s="53" t="s">
        <v>546</v>
      </c>
      <c r="X120" s="53" t="s">
        <v>203</v>
      </c>
      <c r="Y120" s="172">
        <f>IFERROR(-tblZwaste1422[[#This Row],[Weight (kgCO2e/kg)]],0)</f>
        <v>-2.0953266666666663</v>
      </c>
      <c r="Z120" s="172" t="str">
        <f>IF(AQ120="x",(AR120*-tblZwaste1422[[#This Row],[Weight (kgCO2e/kg)]])+AS120+($AR$10*Lookups!$J$38/1000),"DELETE")</f>
        <v>DELETE</v>
      </c>
      <c r="AA120" s="172">
        <f t="shared" si="60"/>
        <v>-4.4026458801754389</v>
      </c>
      <c r="AB120" s="172" t="str">
        <f t="shared" si="60"/>
        <v>DELETE</v>
      </c>
      <c r="AC120" s="172" t="str">
        <f t="shared" si="60"/>
        <v>DELETE</v>
      </c>
      <c r="AD120" s="172">
        <f t="shared" si="60"/>
        <v>2.6040731092765699E-2</v>
      </c>
      <c r="AE120" s="172">
        <f t="shared" si="60"/>
        <v>0.464223353037373</v>
      </c>
      <c r="AF120" s="172">
        <f t="shared" si="60"/>
        <v>2.1870266836515802</v>
      </c>
      <c r="AG120" s="150"/>
      <c r="AI120" s="137">
        <v>1</v>
      </c>
      <c r="AJ120" s="136" t="s">
        <v>252</v>
      </c>
      <c r="AK120" s="142" t="s">
        <v>333</v>
      </c>
      <c r="AL120" s="136" t="s">
        <v>546</v>
      </c>
      <c r="AM120" s="136" t="s">
        <v>203</v>
      </c>
      <c r="AN120" s="1">
        <v>2.0953266666666663</v>
      </c>
      <c r="AO120" s="166">
        <v>1.77911</v>
      </c>
      <c r="AQ120">
        <f>_xlfn.XLOOKUP(tblGWP21[[#This Row],[Material Subcategory]],ls_Mat,Factors!$K$952:$K$1023)</f>
        <v>0</v>
      </c>
      <c r="AR120" s="173"/>
      <c r="AU120" t="s">
        <v>526</v>
      </c>
      <c r="AV120" s="347">
        <v>0.85</v>
      </c>
      <c r="BA120" cm="1">
        <f t="array" ref="BA120:BM120">tblGWP21[#This Row]</f>
        <v>1</v>
      </c>
      <c r="BB120" t="str">
        <v>Plastics</v>
      </c>
      <c r="BC120" t="str">
        <v>Mixed Plastics</v>
      </c>
      <c r="BD120" t="str">
        <v>Africa</v>
      </c>
      <c r="BE120" t="str">
        <v>n/a</v>
      </c>
      <c r="BF120">
        <v>-2.0953266666666663</v>
      </c>
      <c r="BG120" t="str">
        <v>DELETE</v>
      </c>
      <c r="BH120">
        <v>-4.4026458801754389</v>
      </c>
      <c r="BI120" t="str">
        <v>DELETE</v>
      </c>
      <c r="BJ120" t="str">
        <v>DELETE</v>
      </c>
      <c r="BK120">
        <v>2.6040731092765699E-2</v>
      </c>
      <c r="BL120">
        <v>0.464223353037373</v>
      </c>
      <c r="BM120">
        <v>2.1870266836515802</v>
      </c>
    </row>
    <row r="121" spans="3:65">
      <c r="C121" s="375">
        <v>1</v>
      </c>
      <c r="D121" s="374" t="s">
        <v>252</v>
      </c>
      <c r="E121" s="375" t="s">
        <v>333</v>
      </c>
      <c r="F121" s="362" t="s">
        <v>546</v>
      </c>
      <c r="G121" s="362" t="s">
        <v>203</v>
      </c>
      <c r="H121" s="368">
        <v>-2.0953266666666663</v>
      </c>
      <c r="I121" s="368">
        <v>0</v>
      </c>
      <c r="J121" s="368">
        <v>-4.4026458801754389</v>
      </c>
      <c r="K121" s="368">
        <v>0</v>
      </c>
      <c r="L121" s="368">
        <v>0</v>
      </c>
      <c r="M121" s="368">
        <v>2.6040731092765699E-2</v>
      </c>
      <c r="N121" s="368">
        <v>0.464223353037373</v>
      </c>
      <c r="O121" s="368">
        <v>2.1870266836515802</v>
      </c>
      <c r="T121" s="49">
        <v>1</v>
      </c>
      <c r="U121" s="143" t="s">
        <v>239</v>
      </c>
      <c r="V121" s="33" t="s">
        <v>542</v>
      </c>
      <c r="W121" s="53" t="s">
        <v>546</v>
      </c>
      <c r="X121" s="53" t="s">
        <v>203</v>
      </c>
      <c r="Y121" s="172">
        <f>IFERROR(-tblZwaste1422[[#This Row],[Weight (kgCO2e/kg)]],0)</f>
        <v>-2.6644477777777777</v>
      </c>
      <c r="Z121" s="172" t="str">
        <f>IF(AQ121="x",(AR121*-tblZwaste1422[[#This Row],[Weight (kgCO2e/kg)]])+AS121+($AR$10*Lookups!$J$38/1000),"DELETE")</f>
        <v>DELETE</v>
      </c>
      <c r="AA121" s="172">
        <f t="shared" si="60"/>
        <v>-0.90244815300206405</v>
      </c>
      <c r="AB121" s="172">
        <f t="shared" si="60"/>
        <v>-1.5823914514950801</v>
      </c>
      <c r="AC121" s="172">
        <f t="shared" si="60"/>
        <v>-2.39025290122775</v>
      </c>
      <c r="AD121" s="172">
        <f t="shared" si="60"/>
        <v>-0.60576406900190205</v>
      </c>
      <c r="AE121" s="172">
        <f t="shared" si="60"/>
        <v>-0.93094962859978103</v>
      </c>
      <c r="AF121" s="172">
        <f t="shared" si="60"/>
        <v>2.7472942241024201E-2</v>
      </c>
      <c r="AG121" s="150"/>
      <c r="AI121" s="137">
        <v>1</v>
      </c>
      <c r="AJ121" s="136" t="s">
        <v>239</v>
      </c>
      <c r="AK121" s="142" t="s">
        <v>542</v>
      </c>
      <c r="AL121" s="136" t="s">
        <v>546</v>
      </c>
      <c r="AM121" s="136" t="s">
        <v>203</v>
      </c>
      <c r="AN121" s="1">
        <v>2.6644477777777777</v>
      </c>
      <c r="AO121" s="166">
        <v>0.64099666666666666</v>
      </c>
      <c r="AQ121">
        <f>_xlfn.XLOOKUP(tblGWP21[[#This Row],[Material Subcategory]],ls_Mat,Factors!$K$952:$K$1023)</f>
        <v>0</v>
      </c>
      <c r="AU121" t="s">
        <v>526</v>
      </c>
      <c r="AV121" s="347">
        <v>0.7</v>
      </c>
      <c r="BA121" cm="1">
        <f t="array" ref="BA121:BM121">tblGWP21[#This Row]</f>
        <v>1</v>
      </c>
      <c r="BB121" t="str">
        <v>Paper</v>
      </c>
      <c r="BC121" t="str">
        <v>Mixed Paper</v>
      </c>
      <c r="BD121" t="str">
        <v>Africa</v>
      </c>
      <c r="BE121" t="str">
        <v>n/a</v>
      </c>
      <c r="BF121">
        <v>-2.6644477777777777</v>
      </c>
      <c r="BG121" t="str">
        <v>DELETE</v>
      </c>
      <c r="BH121">
        <v>-0.90244815300206405</v>
      </c>
      <c r="BI121">
        <v>-1.5823914514950801</v>
      </c>
      <c r="BJ121">
        <v>-2.39025290122775</v>
      </c>
      <c r="BK121">
        <v>-0.60576406900190205</v>
      </c>
      <c r="BL121">
        <v>-0.93094962859978103</v>
      </c>
      <c r="BM121">
        <v>2.7472942241024201E-2</v>
      </c>
    </row>
    <row r="122" spans="3:65">
      <c r="C122" s="6">
        <v>1</v>
      </c>
      <c r="D122" s="373" t="s">
        <v>239</v>
      </c>
      <c r="E122" s="6" t="s">
        <v>542</v>
      </c>
      <c r="F122" s="136" t="s">
        <v>546</v>
      </c>
      <c r="G122" s="136" t="s">
        <v>203</v>
      </c>
      <c r="H122" s="191">
        <v>-2.6644477777777777</v>
      </c>
      <c r="I122" s="191">
        <v>0</v>
      </c>
      <c r="J122" s="191">
        <v>-0.90244815300206405</v>
      </c>
      <c r="K122" s="191">
        <v>-1.5823914514950801</v>
      </c>
      <c r="L122" s="191">
        <v>-2.39025290122775</v>
      </c>
      <c r="M122" s="191">
        <v>-0.60576406900190205</v>
      </c>
      <c r="N122" s="191">
        <v>-0.93094962859978103</v>
      </c>
      <c r="O122" s="191">
        <v>2.7472942241024201E-2</v>
      </c>
      <c r="T122" s="49">
        <v>1</v>
      </c>
      <c r="U122" s="143" t="s">
        <v>237</v>
      </c>
      <c r="V122" s="33" t="s">
        <v>238</v>
      </c>
      <c r="W122" s="53" t="s">
        <v>546</v>
      </c>
      <c r="X122" s="53" t="s">
        <v>203</v>
      </c>
      <c r="Y122" s="172">
        <f>IFERROR(-tblZwaste1422[[#This Row],[Weight (kgCO2e/kg)]],0)</f>
        <v>-2.7046544444444445</v>
      </c>
      <c r="Z122" s="172" t="str">
        <f>IF(AQ122="x",(AR122*-tblZwaste1422[[#This Row],[Weight (kgCO2e/kg)]])+AS122+($AR$10*Lookups!$J$38/1000),"DELETE")</f>
        <v>DELETE</v>
      </c>
      <c r="AA122" s="172" t="str">
        <f t="shared" si="60"/>
        <v>DELETE</v>
      </c>
      <c r="AB122" s="172" t="str">
        <f t="shared" si="60"/>
        <v>DELETE</v>
      </c>
      <c r="AC122" s="172" t="str">
        <f t="shared" si="60"/>
        <v>DELETE</v>
      </c>
      <c r="AD122" s="172">
        <f t="shared" si="60"/>
        <v>-0.13193306468313171</v>
      </c>
      <c r="AE122" s="172">
        <f t="shared" si="60"/>
        <v>-0.12340662346564657</v>
      </c>
      <c r="AF122" s="172">
        <f t="shared" si="60"/>
        <v>0.55642669630908426</v>
      </c>
      <c r="AG122" s="150"/>
      <c r="AI122" s="137">
        <v>1</v>
      </c>
      <c r="AJ122" s="136" t="s">
        <v>237</v>
      </c>
      <c r="AK122" s="142" t="s">
        <v>238</v>
      </c>
      <c r="AL122" s="136" t="s">
        <v>546</v>
      </c>
      <c r="AM122" s="136" t="s">
        <v>203</v>
      </c>
      <c r="AN122" s="1">
        <v>2.7046544444444445</v>
      </c>
      <c r="AO122" s="166">
        <v>1.2161291666666667</v>
      </c>
      <c r="AQ122">
        <f>_xlfn.XLOOKUP(tblGWP21[[#This Row],[Material Subcategory]],ls_Mat,Factors!$K$952:$K$1023)</f>
        <v>0</v>
      </c>
      <c r="AU122" t="s">
        <v>526</v>
      </c>
      <c r="AV122" s="347">
        <v>0.8</v>
      </c>
      <c r="BA122" cm="1">
        <f t="array" ref="BA122:BM122">tblGWP21[#This Row]</f>
        <v>1</v>
      </c>
      <c r="BB122" t="str">
        <v>Mixed/Custom</v>
      </c>
      <c r="BC122" t="str">
        <v>Mixed Recycling</v>
      </c>
      <c r="BD122" t="str">
        <v>Africa</v>
      </c>
      <c r="BE122" t="str">
        <v>n/a</v>
      </c>
      <c r="BF122">
        <v>-2.7046544444444445</v>
      </c>
      <c r="BG122" t="str">
        <v>DELETE</v>
      </c>
      <c r="BH122" t="str">
        <v>DELETE</v>
      </c>
      <c r="BI122" t="str">
        <v>DELETE</v>
      </c>
      <c r="BJ122" t="str">
        <v>DELETE</v>
      </c>
      <c r="BK122">
        <v>-0.13193306468313171</v>
      </c>
      <c r="BL122">
        <v>-0.12340662346564657</v>
      </c>
      <c r="BM122">
        <v>0.55642669630908426</v>
      </c>
    </row>
    <row r="123" spans="3:65">
      <c r="C123" s="375">
        <v>1</v>
      </c>
      <c r="D123" s="374" t="s">
        <v>10157</v>
      </c>
      <c r="E123" s="375" t="s">
        <v>238</v>
      </c>
      <c r="F123" s="362" t="s">
        <v>546</v>
      </c>
      <c r="G123" s="362" t="s">
        <v>203</v>
      </c>
      <c r="H123" s="368">
        <v>-2.7046544444444445</v>
      </c>
      <c r="I123" s="368">
        <v>0</v>
      </c>
      <c r="J123" s="368">
        <v>0</v>
      </c>
      <c r="K123" s="368">
        <v>0</v>
      </c>
      <c r="L123" s="368">
        <v>0</v>
      </c>
      <c r="M123" s="368">
        <v>-0.13193306468313171</v>
      </c>
      <c r="N123" s="368">
        <v>-0.12340662346564657</v>
      </c>
      <c r="O123" s="368">
        <v>0.55642669630908426</v>
      </c>
      <c r="T123" s="49">
        <v>1</v>
      </c>
      <c r="U123" s="143" t="s">
        <v>264</v>
      </c>
      <c r="V123" s="33" t="s">
        <v>264</v>
      </c>
      <c r="W123" s="53" t="s">
        <v>546</v>
      </c>
      <c r="X123" s="53" t="s">
        <v>203</v>
      </c>
      <c r="Y123" s="172">
        <f>IFERROR(-tblZwaste1422[[#This Row],[Weight (kgCO2e/kg)]],0)</f>
        <v>-1.9287117500000002</v>
      </c>
      <c r="Z123" s="172" t="e">
        <f>IF(AQ123="x",(AR123*-tblZwaste1422[[#This Row],[Weight (kgCO2e/kg)]])+AS123+($AR$10*Lookups!$J$38/1000),"DELETE")</f>
        <v>#N/A</v>
      </c>
      <c r="AA123" s="172">
        <f>AA127</f>
        <v>0.15112249999999994</v>
      </c>
      <c r="AB123" s="172" t="str">
        <f t="shared" ref="AA123:AF128" si="61">AB515</f>
        <v>DELETE</v>
      </c>
      <c r="AC123" s="172" t="str">
        <f t="shared" si="61"/>
        <v>DELETE</v>
      </c>
      <c r="AD123" s="172">
        <f t="shared" si="61"/>
        <v>-0.30792172898100867</v>
      </c>
      <c r="AE123" s="172">
        <f t="shared" si="61"/>
        <v>-0.58268383572280236</v>
      </c>
      <c r="AF123" s="172">
        <f t="shared" si="61"/>
        <v>0.46268869053918082</v>
      </c>
      <c r="AG123" s="150"/>
      <c r="AI123" s="137">
        <v>1</v>
      </c>
      <c r="AJ123" s="136" t="s">
        <v>264</v>
      </c>
      <c r="AK123" s="142" t="s">
        <v>264</v>
      </c>
      <c r="AL123" s="136" t="s">
        <v>546</v>
      </c>
      <c r="AM123" s="136" t="s">
        <v>203</v>
      </c>
      <c r="AN123" s="1">
        <v>1.9287117500000002</v>
      </c>
      <c r="AO123" s="166">
        <v>0.467055</v>
      </c>
      <c r="AQ123" t="e">
        <f>_xlfn.XLOOKUP(tblGWP21[[#This Row],[Material Subcategory]],ls_Mat,Factors!$K$952:$K$1023)</f>
        <v>#N/A</v>
      </c>
      <c r="AR123" s="173">
        <v>0.65</v>
      </c>
      <c r="AS123">
        <v>0.14482945764999999</v>
      </c>
      <c r="AT123" t="s">
        <v>541</v>
      </c>
      <c r="AU123" t="s">
        <v>526</v>
      </c>
      <c r="AV123" s="347">
        <v>0.7</v>
      </c>
      <c r="BA123" cm="1">
        <f t="array" ref="BA123:BM123">tblGWP21[#This Row]</f>
        <v>1</v>
      </c>
      <c r="BB123" t="str">
        <v>Furniture/Textiles</v>
      </c>
      <c r="BC123" t="str">
        <v>Furniture/Textiles</v>
      </c>
      <c r="BD123" t="str">
        <v>Africa</v>
      </c>
      <c r="BE123" t="str">
        <v>n/a</v>
      </c>
      <c r="BF123">
        <v>-1.9287117500000002</v>
      </c>
      <c r="BG123" t="e">
        <v>#N/A</v>
      </c>
      <c r="BH123">
        <v>0.15112249999999994</v>
      </c>
      <c r="BI123" t="str">
        <v>DELETE</v>
      </c>
      <c r="BJ123" t="str">
        <v>DELETE</v>
      </c>
      <c r="BK123">
        <v>-0.30792172898100867</v>
      </c>
      <c r="BL123">
        <v>-0.58268383572280236</v>
      </c>
      <c r="BM123">
        <v>0.46268869053918082</v>
      </c>
    </row>
    <row r="124" spans="3:65">
      <c r="C124" s="6">
        <v>1</v>
      </c>
      <c r="D124" s="373" t="s">
        <v>264</v>
      </c>
      <c r="E124" s="6" t="s">
        <v>264</v>
      </c>
      <c r="F124" s="136" t="s">
        <v>546</v>
      </c>
      <c r="G124" s="136" t="s">
        <v>203</v>
      </c>
      <c r="H124" s="191">
        <v>-1.9287117500000002</v>
      </c>
      <c r="I124" s="191">
        <v>-1.1070613798500002</v>
      </c>
      <c r="J124" s="191">
        <v>0.15112249999999994</v>
      </c>
      <c r="K124" s="191">
        <v>0</v>
      </c>
      <c r="L124" s="191">
        <v>0</v>
      </c>
      <c r="M124" s="191">
        <v>-0.30792172898100867</v>
      </c>
      <c r="N124" s="191">
        <v>-0.58268383572280236</v>
      </c>
      <c r="O124" s="191">
        <v>0.46268869053918082</v>
      </c>
      <c r="T124" s="49">
        <v>1</v>
      </c>
      <c r="U124" s="143" t="s">
        <v>264</v>
      </c>
      <c r="V124" s="33" t="s">
        <v>336</v>
      </c>
      <c r="W124" s="53" t="s">
        <v>546</v>
      </c>
      <c r="X124" s="53" t="s">
        <v>203</v>
      </c>
      <c r="Y124" s="172">
        <f>IFERROR(-tblZwaste1422[[#This Row],[Weight (kgCO2e/kg)]],0)</f>
        <v>-0.76351350000000007</v>
      </c>
      <c r="Z124" s="172">
        <f>IF(AQ124="x",(AR124*-tblZwaste1422[[#This Row],[Weight (kgCO2e/kg)]])+AS124+($AR$10*Lookups!$J$38/1000),"DELETE")</f>
        <v>-0.34968251735000005</v>
      </c>
      <c r="AA124" s="172" t="str">
        <f t="shared" si="61"/>
        <v>DELETE</v>
      </c>
      <c r="AB124" s="172">
        <f t="shared" si="61"/>
        <v>-1.64048635651654</v>
      </c>
      <c r="AC124" s="172">
        <f t="shared" si="61"/>
        <v>-2.6265900097321899</v>
      </c>
      <c r="AD124" s="172">
        <f t="shared" si="61"/>
        <v>-0.98615602024187332</v>
      </c>
      <c r="AE124" s="172">
        <f t="shared" si="61"/>
        <v>-0.81510268688236076</v>
      </c>
      <c r="AF124" s="172">
        <f t="shared" si="61"/>
        <v>0.21608141940206463</v>
      </c>
      <c r="AG124" s="150"/>
      <c r="AI124" s="137">
        <v>1</v>
      </c>
      <c r="AJ124" s="136" t="s">
        <v>264</v>
      </c>
      <c r="AK124" s="142" t="s">
        <v>336</v>
      </c>
      <c r="AL124" s="136" t="s">
        <v>546</v>
      </c>
      <c r="AM124" s="136" t="s">
        <v>203</v>
      </c>
      <c r="AN124" s="1">
        <v>0.76351350000000007</v>
      </c>
      <c r="AO124" s="166">
        <v>0.43603999999999998</v>
      </c>
      <c r="AQ124" t="str">
        <f>_xlfn.XLOOKUP(tblGWP21[[#This Row],[Material Subcategory]],ls_Mat,Factors!$K$952:$K$1023)</f>
        <v>x</v>
      </c>
      <c r="AR124" s="173">
        <v>0.65</v>
      </c>
      <c r="AS124">
        <v>0.14482945764999999</v>
      </c>
      <c r="AT124" t="s">
        <v>541</v>
      </c>
      <c r="AV124" s="347"/>
      <c r="BA124" cm="1">
        <f t="array" ref="BA124:BM124">tblGWP21[#This Row]</f>
        <v>1</v>
      </c>
      <c r="BB124" t="str">
        <v>Furniture/Textiles</v>
      </c>
      <c r="BC124" t="str">
        <v>Furniture</v>
      </c>
      <c r="BD124" t="str">
        <v>Africa</v>
      </c>
      <c r="BE124" t="str">
        <v>n/a</v>
      </c>
      <c r="BF124">
        <v>-0.76351350000000007</v>
      </c>
      <c r="BG124">
        <v>-0.34968251735000005</v>
      </c>
      <c r="BH124" t="str">
        <v>DELETE</v>
      </c>
      <c r="BI124">
        <v>-1.64048635651654</v>
      </c>
      <c r="BJ124">
        <v>-2.6265900097321899</v>
      </c>
      <c r="BK124">
        <v>-0.98615602024187332</v>
      </c>
      <c r="BL124">
        <v>-0.81510268688236076</v>
      </c>
      <c r="BM124">
        <v>0.21608141940206463</v>
      </c>
    </row>
    <row r="125" spans="3:65">
      <c r="C125" s="375">
        <v>1</v>
      </c>
      <c r="D125" s="374" t="s">
        <v>264</v>
      </c>
      <c r="E125" s="375" t="s">
        <v>336</v>
      </c>
      <c r="F125" s="362" t="s">
        <v>546</v>
      </c>
      <c r="G125" s="362" t="s">
        <v>203</v>
      </c>
      <c r="H125" s="368">
        <v>-0.76351350000000007</v>
      </c>
      <c r="I125" s="368">
        <v>-0.34968251735000005</v>
      </c>
      <c r="J125" s="368">
        <v>0</v>
      </c>
      <c r="K125" s="368">
        <v>-1.64048635651654</v>
      </c>
      <c r="L125" s="368">
        <v>-2.6265900097321899</v>
      </c>
      <c r="M125" s="368">
        <v>-0.98615602024187332</v>
      </c>
      <c r="N125" s="368">
        <v>-0.81510268688236076</v>
      </c>
      <c r="O125" s="368">
        <v>0.21608141940206463</v>
      </c>
      <c r="T125" s="49">
        <v>1</v>
      </c>
      <c r="U125" s="143" t="s">
        <v>242</v>
      </c>
      <c r="V125" s="33" t="s">
        <v>251</v>
      </c>
      <c r="W125" s="53" t="s">
        <v>546</v>
      </c>
      <c r="X125" s="53" t="s">
        <v>203</v>
      </c>
      <c r="Y125" s="172">
        <f>IFERROR(-tblZwaste1422[[#This Row],[Weight (kgCO2e/kg)]],0)</f>
        <v>-4.9218200000000003</v>
      </c>
      <c r="Z125" s="172">
        <f>IF(AQ125="x",(AR125*-tblZwaste1422[[#This Row],[Weight (kgCO2e/kg)]])+AS125+($AR$10*Lookups!$J$38/1000),"DELETE")</f>
        <v>-3.5665477000000001</v>
      </c>
      <c r="AA125" s="172">
        <v>-1.2190350000000001</v>
      </c>
      <c r="AB125" s="172" t="str">
        <f t="shared" si="61"/>
        <v>DELETE</v>
      </c>
      <c r="AC125" s="172" t="str">
        <f t="shared" si="61"/>
        <v>DELETE</v>
      </c>
      <c r="AD125" s="172">
        <f t="shared" si="61"/>
        <v>2.5968434390474859E-2</v>
      </c>
      <c r="AE125" s="172">
        <f t="shared" si="61"/>
        <v>0.17148020027923069</v>
      </c>
      <c r="AF125" s="172">
        <f t="shared" si="61"/>
        <v>0.8695064354805685</v>
      </c>
      <c r="AG125" s="150"/>
      <c r="AI125" s="137">
        <v>1</v>
      </c>
      <c r="AJ125" s="136" t="s">
        <v>242</v>
      </c>
      <c r="AK125" s="142" t="s">
        <v>251</v>
      </c>
      <c r="AL125" s="136" t="s">
        <v>546</v>
      </c>
      <c r="AM125" s="136" t="s">
        <v>203</v>
      </c>
      <c r="AN125" s="1">
        <v>4.9218200000000003</v>
      </c>
      <c r="AO125" s="166">
        <v>0.15096000000000001</v>
      </c>
      <c r="AQ125" t="str">
        <f>_xlfn.XLOOKUP(tblGWP21[[#This Row],[Material Subcategory]],ls_Mat,Factors!$K$952:$K$1023)</f>
        <v>x</v>
      </c>
      <c r="AR125" s="173">
        <v>0.72499999999999998</v>
      </c>
      <c r="AS125">
        <v>0</v>
      </c>
      <c r="AT125" t="s">
        <v>527</v>
      </c>
      <c r="BA125" cm="1">
        <f t="array" ref="BA125:BM125">tblGWP21[#This Row]</f>
        <v>1</v>
      </c>
      <c r="BB125" t="str">
        <v>Electronics</v>
      </c>
      <c r="BC125" t="str">
        <v>Appliances</v>
      </c>
      <c r="BD125" t="str">
        <v>Africa</v>
      </c>
      <c r="BE125" t="str">
        <v>n/a</v>
      </c>
      <c r="BF125">
        <v>-4.9218200000000003</v>
      </c>
      <c r="BG125">
        <v>-3.5665477000000001</v>
      </c>
      <c r="BH125">
        <v>-1.2190350000000001</v>
      </c>
      <c r="BI125" t="str">
        <v>DELETE</v>
      </c>
      <c r="BJ125" t="str">
        <v>DELETE</v>
      </c>
      <c r="BK125">
        <v>2.5968434390474859E-2</v>
      </c>
      <c r="BL125">
        <v>0.17148020027923069</v>
      </c>
      <c r="BM125">
        <v>0.8695064354805685</v>
      </c>
    </row>
    <row r="126" spans="3:65">
      <c r="C126" s="6">
        <v>1</v>
      </c>
      <c r="D126" s="373" t="s">
        <v>242</v>
      </c>
      <c r="E126" s="6" t="s">
        <v>251</v>
      </c>
      <c r="F126" s="136" t="s">
        <v>546</v>
      </c>
      <c r="G126" s="136" t="s">
        <v>203</v>
      </c>
      <c r="H126" s="191">
        <v>-4.9218200000000003</v>
      </c>
      <c r="I126" s="191">
        <v>-3.5665477000000001</v>
      </c>
      <c r="J126" s="191">
        <v>-1.2190350000000001</v>
      </c>
      <c r="K126" s="191">
        <v>0</v>
      </c>
      <c r="L126" s="191">
        <v>0</v>
      </c>
      <c r="M126" s="191">
        <v>2.5968434390474859E-2</v>
      </c>
      <c r="N126" s="191">
        <v>0.17148020027923069</v>
      </c>
      <c r="O126" s="191">
        <v>0.8695064354805685</v>
      </c>
      <c r="T126" s="49">
        <v>1</v>
      </c>
      <c r="U126" s="143" t="s">
        <v>242</v>
      </c>
      <c r="V126" s="33" t="s">
        <v>543</v>
      </c>
      <c r="W126" s="53" t="s">
        <v>546</v>
      </c>
      <c r="X126" s="53" t="s">
        <v>203</v>
      </c>
      <c r="Y126" s="172">
        <f>IFERROR(-tblZwaste1422[[#This Row],[Weight (kgCO2e/kg)]],0)</f>
        <v>-1.00081</v>
      </c>
      <c r="Z126" s="172">
        <f>IF(AQ126="x",(AR126*-tblZwaste1422[[#This Row],[Weight (kgCO2e/kg)]])+AS126+($AR$10*Lookups!$J$38/1000),"DELETE")</f>
        <v>-0.72381545000000003</v>
      </c>
      <c r="AA126" s="172">
        <v>-0.20626249999999999</v>
      </c>
      <c r="AB126" s="172" t="str">
        <f t="shared" si="61"/>
        <v>DELETE</v>
      </c>
      <c r="AC126" s="172" t="str">
        <f t="shared" si="61"/>
        <v>DELETE</v>
      </c>
      <c r="AD126" s="172">
        <f t="shared" si="61"/>
        <v>2.5860000000000001E-2</v>
      </c>
      <c r="AE126" s="172">
        <f t="shared" si="61"/>
        <v>4.1075091000055998E-2</v>
      </c>
      <c r="AF126" s="172">
        <f t="shared" si="61"/>
        <v>4.8932475133413401E-2</v>
      </c>
      <c r="AG126" s="150"/>
      <c r="AI126" s="137">
        <v>1</v>
      </c>
      <c r="AJ126" s="136" t="s">
        <v>242</v>
      </c>
      <c r="AK126" s="142" t="s">
        <v>543</v>
      </c>
      <c r="AL126" s="136" t="s">
        <v>546</v>
      </c>
      <c r="AM126" s="136" t="s">
        <v>203</v>
      </c>
      <c r="AN126" s="1">
        <v>1.00081</v>
      </c>
      <c r="AO126" s="166">
        <v>0.33138000000000001</v>
      </c>
      <c r="AQ126" t="str">
        <f>_xlfn.XLOOKUP(tblGWP21[[#This Row],[Material Subcategory]],ls_Mat,Factors!$K$952:$K$1023)</f>
        <v>x</v>
      </c>
      <c r="AR126" s="173">
        <v>0.72499999999999998</v>
      </c>
      <c r="AS126">
        <v>0</v>
      </c>
      <c r="AT126" t="s">
        <v>527</v>
      </c>
      <c r="BA126" cm="1">
        <f t="array" ref="BA126:BM126">tblGWP21[#This Row]</f>
        <v>1</v>
      </c>
      <c r="BB126" t="str">
        <v>Electronics</v>
      </c>
      <c r="BC126" t="str">
        <v>Lightbulb/Lamps</v>
      </c>
      <c r="BD126" t="str">
        <v>Africa</v>
      </c>
      <c r="BE126" t="str">
        <v>n/a</v>
      </c>
      <c r="BF126">
        <v>-1.00081</v>
      </c>
      <c r="BG126">
        <v>-0.72381545000000003</v>
      </c>
      <c r="BH126">
        <v>-0.20626249999999999</v>
      </c>
      <c r="BI126" t="str">
        <v>DELETE</v>
      </c>
      <c r="BJ126" t="str">
        <v>DELETE</v>
      </c>
      <c r="BK126">
        <v>2.5860000000000001E-2</v>
      </c>
      <c r="BL126">
        <v>4.1075091000055998E-2</v>
      </c>
      <c r="BM126">
        <v>4.8932475133413401E-2</v>
      </c>
    </row>
    <row r="127" spans="3:65">
      <c r="C127" s="375">
        <v>1</v>
      </c>
      <c r="D127" s="374" t="s">
        <v>242</v>
      </c>
      <c r="E127" s="375" t="s">
        <v>543</v>
      </c>
      <c r="F127" s="362" t="s">
        <v>546</v>
      </c>
      <c r="G127" s="362" t="s">
        <v>203</v>
      </c>
      <c r="H127" s="368">
        <v>-1.00081</v>
      </c>
      <c r="I127" s="368">
        <v>-0.72381545000000003</v>
      </c>
      <c r="J127" s="368">
        <v>-0.20626249999999999</v>
      </c>
      <c r="K127" s="368">
        <v>0</v>
      </c>
      <c r="L127" s="368">
        <v>0</v>
      </c>
      <c r="M127" s="368">
        <v>2.5860000000000001E-2</v>
      </c>
      <c r="N127" s="368">
        <v>4.1075091000055998E-2</v>
      </c>
      <c r="O127" s="368">
        <v>4.8932475133413401E-2</v>
      </c>
      <c r="T127" s="49">
        <v>1</v>
      </c>
      <c r="U127" s="143" t="s">
        <v>264</v>
      </c>
      <c r="V127" s="33" t="s">
        <v>544</v>
      </c>
      <c r="W127" s="53" t="s">
        <v>546</v>
      </c>
      <c r="X127" s="53" t="s">
        <v>203</v>
      </c>
      <c r="Y127" s="172">
        <f>IFERROR(-tblZwaste1422[[#This Row],[Weight (kgCO2e/kg)]],0)</f>
        <v>-3.0939100000000002</v>
      </c>
      <c r="Z127" s="172">
        <f>IF(AQ127="x",(AR127*-tblZwaste1422[[#This Row],[Weight (kgCO2e/kg)]])+AS127+($AR$10*Lookups!$J$38/1000),"DELETE")</f>
        <v>-1.8644402423500002</v>
      </c>
      <c r="AA127" s="172">
        <f t="shared" si="61"/>
        <v>0.15112249999999994</v>
      </c>
      <c r="AB127" s="172" t="str">
        <f t="shared" si="61"/>
        <v>DELETE</v>
      </c>
      <c r="AC127" s="172" t="str">
        <f t="shared" si="61"/>
        <v>DELETE</v>
      </c>
      <c r="AD127" s="172">
        <f t="shared" si="61"/>
        <v>0.37031256227985598</v>
      </c>
      <c r="AE127" s="172">
        <f t="shared" si="61"/>
        <v>-0.35026498456324401</v>
      </c>
      <c r="AF127" s="172">
        <f t="shared" si="61"/>
        <v>0.70929596167629705</v>
      </c>
      <c r="AG127" s="150"/>
      <c r="AI127" s="137">
        <v>1</v>
      </c>
      <c r="AJ127" s="136" t="s">
        <v>264</v>
      </c>
      <c r="AK127" s="142" t="s">
        <v>544</v>
      </c>
      <c r="AL127" s="136" t="s">
        <v>546</v>
      </c>
      <c r="AM127" s="136" t="s">
        <v>203</v>
      </c>
      <c r="AN127" s="1">
        <v>3.0939100000000002</v>
      </c>
      <c r="AO127" s="166">
        <v>0.49807000000000001</v>
      </c>
      <c r="AQ127" t="str">
        <f>_xlfn.XLOOKUP(tblGWP21[[#This Row],[Material Subcategory]],ls_Mat,Factors!$K$952:$K$1023)</f>
        <v>x</v>
      </c>
      <c r="AR127" s="173">
        <v>0.65</v>
      </c>
      <c r="AS127">
        <v>0.14482945764999999</v>
      </c>
      <c r="AT127" t="s">
        <v>541</v>
      </c>
      <c r="BA127" cm="1">
        <f t="array" ref="BA127:BM127">tblGWP21[#This Row]</f>
        <v>1</v>
      </c>
      <c r="BB127" t="str">
        <v>Furniture/Textiles</v>
      </c>
      <c r="BC127" t="str">
        <v>Textiles</v>
      </c>
      <c r="BD127" t="str">
        <v>Africa</v>
      </c>
      <c r="BE127" t="str">
        <v>n/a</v>
      </c>
      <c r="BF127">
        <v>-3.0939100000000002</v>
      </c>
      <c r="BG127">
        <v>-1.8644402423500002</v>
      </c>
      <c r="BH127">
        <v>0.15112249999999994</v>
      </c>
      <c r="BI127" t="str">
        <v>DELETE</v>
      </c>
      <c r="BJ127" t="str">
        <v>DELETE</v>
      </c>
      <c r="BK127">
        <v>0.37031256227985598</v>
      </c>
      <c r="BL127">
        <v>-0.35026498456324401</v>
      </c>
      <c r="BM127">
        <v>0.70929596167629705</v>
      </c>
    </row>
    <row r="128" spans="3:65">
      <c r="C128" s="6">
        <v>1</v>
      </c>
      <c r="D128" s="373" t="s">
        <v>264</v>
      </c>
      <c r="E128" s="6" t="s">
        <v>544</v>
      </c>
      <c r="F128" s="136" t="s">
        <v>546</v>
      </c>
      <c r="G128" s="136" t="s">
        <v>203</v>
      </c>
      <c r="H128" s="191">
        <v>-3.0939100000000002</v>
      </c>
      <c r="I128" s="191">
        <v>-1.8644402423500002</v>
      </c>
      <c r="J128" s="191">
        <v>0.15112249999999994</v>
      </c>
      <c r="K128" s="191">
        <v>0</v>
      </c>
      <c r="L128" s="191">
        <v>0</v>
      </c>
      <c r="M128" s="191">
        <v>0.37031256227985598</v>
      </c>
      <c r="N128" s="191">
        <v>-0.35026498456324401</v>
      </c>
      <c r="O128" s="191">
        <v>0.70929596167629705</v>
      </c>
      <c r="T128" s="49">
        <v>1</v>
      </c>
      <c r="U128" s="143" t="s">
        <v>237</v>
      </c>
      <c r="V128" s="33" t="s">
        <v>545</v>
      </c>
      <c r="W128" s="53" t="s">
        <v>546</v>
      </c>
      <c r="X128" s="53" t="s">
        <v>203</v>
      </c>
      <c r="Y128" s="172">
        <f>IFERROR(-tblZwaste1422[[#This Row],[Weight (kgCO2e/kg)]],0)</f>
        <v>-2.8533815875203707</v>
      </c>
      <c r="Z128" s="172" t="str">
        <f>IF(AQ128="x",(AR128*-tblZwaste1422[[#This Row],[Weight (kgCO2e/kg)]])+AS128+($AR$10*Lookups!$J$38/1000),"DELETE")</f>
        <v>DELETE</v>
      </c>
      <c r="AA128" s="172" t="str">
        <f t="shared" si="61"/>
        <v>DELETE</v>
      </c>
      <c r="AB128" s="172" t="str">
        <f t="shared" si="61"/>
        <v>DELETE</v>
      </c>
      <c r="AC128" s="172" t="str">
        <f t="shared" si="61"/>
        <v>DELETE</v>
      </c>
      <c r="AD128" s="172">
        <f t="shared" si="61"/>
        <v>-0.41024045217658678</v>
      </c>
      <c r="AE128" s="172">
        <f t="shared" si="61"/>
        <v>-0.59805419557752437</v>
      </c>
      <c r="AF128" s="172">
        <f t="shared" si="61"/>
        <v>2.7970952240132501E-2</v>
      </c>
      <c r="AG128" s="150"/>
      <c r="AI128" s="137">
        <v>1</v>
      </c>
      <c r="AJ128" s="136" t="s">
        <v>237</v>
      </c>
      <c r="AK128" s="142" t="s">
        <v>545</v>
      </c>
      <c r="AL128" s="136" t="s">
        <v>546</v>
      </c>
      <c r="AM128" s="136" t="s">
        <v>203</v>
      </c>
      <c r="AN128" s="1">
        <v>2.8533815875203707</v>
      </c>
      <c r="AO128" s="166">
        <v>1.0711602172222223</v>
      </c>
      <c r="AQ128">
        <f>_xlfn.XLOOKUP(tblGWP21[[#This Row],[Material Subcategory]],ls_Mat,Factors!$K$952:$K$1023)</f>
        <v>0</v>
      </c>
      <c r="AU128" t="s">
        <v>526</v>
      </c>
      <c r="AV128" s="347">
        <v>0.8</v>
      </c>
      <c r="BA128" cm="1">
        <f t="array" ref="BA128:BM128">tblGWP21[#This Row]</f>
        <v>1</v>
      </c>
      <c r="BB128" t="str">
        <v>Mixed/Custom</v>
      </c>
      <c r="BC128" t="str">
        <v>General other</v>
      </c>
      <c r="BD128" t="str">
        <v>Africa</v>
      </c>
      <c r="BE128" t="str">
        <v>n/a</v>
      </c>
      <c r="BF128">
        <v>-2.8533815875203707</v>
      </c>
      <c r="BG128" t="str">
        <v>DELETE</v>
      </c>
      <c r="BH128" t="str">
        <v>DELETE</v>
      </c>
      <c r="BI128" t="str">
        <v>DELETE</v>
      </c>
      <c r="BJ128" t="str">
        <v>DELETE</v>
      </c>
      <c r="BK128">
        <v>-0.41024045217658678</v>
      </c>
      <c r="BL128">
        <v>-0.59805419557752437</v>
      </c>
      <c r="BM128">
        <v>2.7970952240132501E-2</v>
      </c>
    </row>
    <row r="129" spans="3:65">
      <c r="C129" s="375">
        <v>1</v>
      </c>
      <c r="D129" s="374" t="s">
        <v>10157</v>
      </c>
      <c r="E129" s="375" t="s">
        <v>545</v>
      </c>
      <c r="F129" s="362" t="s">
        <v>546</v>
      </c>
      <c r="G129" s="362" t="s">
        <v>203</v>
      </c>
      <c r="H129" s="368">
        <v>-2.8533815875203707</v>
      </c>
      <c r="I129" s="368">
        <v>0</v>
      </c>
      <c r="J129" s="368">
        <v>0</v>
      </c>
      <c r="K129" s="368">
        <v>0</v>
      </c>
      <c r="L129" s="368">
        <v>0</v>
      </c>
      <c r="M129" s="368">
        <v>-0.41024045217658678</v>
      </c>
      <c r="N129" s="368">
        <v>-0.59805419557752437</v>
      </c>
      <c r="O129" s="368">
        <v>2.7970952240132501E-2</v>
      </c>
      <c r="T129" s="49">
        <v>1</v>
      </c>
      <c r="U129" s="143" t="s">
        <v>233</v>
      </c>
      <c r="V129" s="33" t="s">
        <v>233</v>
      </c>
      <c r="W129" s="53" t="s">
        <v>547</v>
      </c>
      <c r="X129" s="53" t="s">
        <v>203</v>
      </c>
      <c r="Y129" s="172">
        <f>IFERROR(-tblZwaste1422[[#This Row],[Weight (kgCO2e/kg)]],0)</f>
        <v>0</v>
      </c>
      <c r="Z129" s="172">
        <f>AVERAGE(Z133:Z135)</f>
        <v>-0.13905086666666666</v>
      </c>
      <c r="AA129" s="172" t="str">
        <f t="shared" ref="AA129:AF138" si="62">IF(ISNUMBER(AVERAGE(AA409,AA465)),AVERAGE(AA409,AA465),AA409)</f>
        <v>DELETE</v>
      </c>
      <c r="AB129" s="172">
        <f t="shared" si="62"/>
        <v>-1.4435372087645422</v>
      </c>
      <c r="AC129" s="172">
        <f t="shared" si="62"/>
        <v>-2.0471139703112522</v>
      </c>
      <c r="AD129" s="172">
        <f t="shared" si="62"/>
        <v>-0.97598277846820758</v>
      </c>
      <c r="AE129" s="172">
        <f t="shared" si="62"/>
        <v>-0.88660493884261338</v>
      </c>
      <c r="AF129" s="172">
        <f t="shared" si="62"/>
        <v>3.314157551840885E-2</v>
      </c>
      <c r="AG129" s="150"/>
      <c r="AI129" s="137">
        <v>1</v>
      </c>
      <c r="AJ129" s="136"/>
      <c r="AK129" s="142"/>
      <c r="AL129" s="136" t="s">
        <v>547</v>
      </c>
      <c r="AM129" s="136" t="s">
        <v>203</v>
      </c>
      <c r="AN129" s="1" t="s">
        <v>525</v>
      </c>
      <c r="AO129" s="166" t="s">
        <v>525</v>
      </c>
      <c r="AQ129" t="e">
        <f>_xlfn.XLOOKUP(tblGWP21[[#This Row],[Material Subcategory]],ls_Mat,Factors!$K$952:$K$1023)</f>
        <v>#N/A</v>
      </c>
      <c r="AR129" s="173">
        <v>0.77500000000000002</v>
      </c>
      <c r="AS129">
        <v>0</v>
      </c>
      <c r="AT129" t="s">
        <v>527</v>
      </c>
      <c r="AU129" t="s">
        <v>526</v>
      </c>
      <c r="AV129" s="347">
        <v>0.88</v>
      </c>
      <c r="BA129" cm="1">
        <f t="array" ref="BA129:BM129">tblGWP21[#This Row]</f>
        <v>1</v>
      </c>
      <c r="BB129" t="str">
        <v>Wood/Yard Trimmings</v>
      </c>
      <c r="BC129" t="str">
        <v>Wood/Yard Trimmings</v>
      </c>
      <c r="BD129" t="str">
        <v>Asia</v>
      </c>
      <c r="BE129" t="str">
        <v>n/a</v>
      </c>
      <c r="BF129">
        <v>0</v>
      </c>
      <c r="BG129">
        <v>-0.13905086666666666</v>
      </c>
      <c r="BH129" t="str">
        <v>DELETE</v>
      </c>
      <c r="BI129">
        <v>-1.4435372087645422</v>
      </c>
      <c r="BJ129">
        <v>-2.0471139703112522</v>
      </c>
      <c r="BK129">
        <v>-0.97598277846820758</v>
      </c>
      <c r="BL129">
        <v>-0.88660493884261338</v>
      </c>
      <c r="BM129">
        <v>3.314157551840885E-2</v>
      </c>
    </row>
    <row r="130" spans="3:65" ht="28.8">
      <c r="C130" s="6">
        <v>1</v>
      </c>
      <c r="D130" s="373" t="s">
        <v>10169</v>
      </c>
      <c r="E130" s="6" t="s">
        <v>10170</v>
      </c>
      <c r="F130" s="136" t="s">
        <v>546</v>
      </c>
      <c r="G130" s="136" t="s">
        <v>203</v>
      </c>
      <c r="H130" s="191">
        <v>-0.74582333333333339</v>
      </c>
      <c r="I130" s="191">
        <v>-0.58351400000000009</v>
      </c>
      <c r="J130" s="191">
        <v>0.3259926084346883</v>
      </c>
      <c r="K130" s="191">
        <v>0</v>
      </c>
      <c r="L130" s="191">
        <v>0</v>
      </c>
      <c r="M130" s="191">
        <v>0.45668176288049178</v>
      </c>
      <c r="N130" s="191">
        <v>1.0683983533052401</v>
      </c>
      <c r="O130" s="191">
        <v>1.142290877337675</v>
      </c>
      <c r="T130" s="49">
        <v>1</v>
      </c>
      <c r="U130" s="143" t="s">
        <v>233</v>
      </c>
      <c r="V130" s="33" t="s">
        <v>250</v>
      </c>
      <c r="W130" s="53" t="s">
        <v>547</v>
      </c>
      <c r="X130" s="53" t="s">
        <v>203</v>
      </c>
      <c r="Y130" s="172">
        <f>IFERROR(-tblZwaste1422[[#This Row],[Weight (kgCO2e/kg)]],0)</f>
        <v>0</v>
      </c>
      <c r="Z130" s="172" t="str">
        <f>IF(AQ130="x",(AR130*-tblZwaste1422[[#This Row],[Weight (kgCO2e/kg)]])+AS130+($AR$10*Lookups!$J$38/1000),"DELETE")</f>
        <v>DELETE</v>
      </c>
      <c r="AA130" s="172" t="str">
        <f t="shared" si="62"/>
        <v>DELETE</v>
      </c>
      <c r="AB130" s="172">
        <f t="shared" si="62"/>
        <v>-1.743544869595175</v>
      </c>
      <c r="AC130" s="172">
        <f t="shared" si="62"/>
        <v>-2.1480724274098897</v>
      </c>
      <c r="AD130" s="172">
        <f t="shared" si="62"/>
        <v>-0.96725508784601799</v>
      </c>
      <c r="AE130" s="172">
        <f t="shared" si="62"/>
        <v>-0.94977113109922151</v>
      </c>
      <c r="AF130" s="172">
        <f t="shared" si="62"/>
        <v>2.8432544060640601E-2</v>
      </c>
      <c r="AG130" s="150"/>
      <c r="AI130" s="137">
        <v>1</v>
      </c>
      <c r="AJ130" s="136"/>
      <c r="AK130" s="142"/>
      <c r="AL130" s="136" t="s">
        <v>547</v>
      </c>
      <c r="AM130" s="136" t="s">
        <v>203</v>
      </c>
      <c r="AN130" s="1" t="s">
        <v>525</v>
      </c>
      <c r="AO130" s="166" t="s">
        <v>525</v>
      </c>
      <c r="AQ130">
        <f>_xlfn.XLOOKUP(tblGWP21[[#This Row],[Material Subcategory]],ls_Mat,Factors!$K$952:$K$1023)</f>
        <v>0</v>
      </c>
      <c r="AU130" t="s">
        <v>526</v>
      </c>
      <c r="AV130" s="347">
        <v>0.8</v>
      </c>
      <c r="BA130" cm="1">
        <f t="array" ref="BA130:BM130">tblGWP21[#This Row]</f>
        <v>1</v>
      </c>
      <c r="BB130" t="str">
        <v>Wood/Yard Trimmings</v>
      </c>
      <c r="BC130" t="str">
        <v>Yard Trimmings – Leaves</v>
      </c>
      <c r="BD130" t="str">
        <v>Asia</v>
      </c>
      <c r="BE130" t="str">
        <v>n/a</v>
      </c>
      <c r="BF130">
        <v>0</v>
      </c>
      <c r="BG130" t="str">
        <v>DELETE</v>
      </c>
      <c r="BH130" t="str">
        <v>DELETE</v>
      </c>
      <c r="BI130">
        <v>-1.743544869595175</v>
      </c>
      <c r="BJ130">
        <v>-2.1480724274098897</v>
      </c>
      <c r="BK130">
        <v>-0.96725508784601799</v>
      </c>
      <c r="BL130">
        <v>-0.94977113109922151</v>
      </c>
      <c r="BM130">
        <v>2.8432544060640601E-2</v>
      </c>
    </row>
    <row r="131" spans="3:65">
      <c r="C131" s="375">
        <v>1</v>
      </c>
      <c r="D131" s="374" t="s">
        <v>233</v>
      </c>
      <c r="E131" s="375" t="s">
        <v>233</v>
      </c>
      <c r="F131" s="362" t="s">
        <v>547</v>
      </c>
      <c r="G131" s="362" t="s">
        <v>203</v>
      </c>
      <c r="H131" s="368">
        <v>0</v>
      </c>
      <c r="I131" s="368">
        <v>-0.13905086666666666</v>
      </c>
      <c r="J131" s="368">
        <v>0</v>
      </c>
      <c r="K131" s="368">
        <v>-1.4435372087645422</v>
      </c>
      <c r="L131" s="368">
        <v>-2.0471139703112522</v>
      </c>
      <c r="M131" s="368">
        <v>-0.97598277846820758</v>
      </c>
      <c r="N131" s="368">
        <v>-0.88660493884261338</v>
      </c>
      <c r="O131" s="368">
        <v>3.314157551840885E-2</v>
      </c>
      <c r="T131" s="49">
        <v>1</v>
      </c>
      <c r="U131" s="143" t="s">
        <v>233</v>
      </c>
      <c r="V131" s="33" t="s">
        <v>249</v>
      </c>
      <c r="W131" s="53" t="s">
        <v>547</v>
      </c>
      <c r="X131" s="53" t="s">
        <v>203</v>
      </c>
      <c r="Y131" s="172">
        <f>IFERROR(-tblZwaste1422[[#This Row],[Weight (kgCO2e/kg)]],0)</f>
        <v>0</v>
      </c>
      <c r="Z131" s="172" t="str">
        <f>IF(AQ131="x",(AR131*-tblZwaste1422[[#This Row],[Weight (kgCO2e/kg)]])+AS131+($AR$10*Lookups!$J$38/1000),"DELETE")</f>
        <v>DELETE</v>
      </c>
      <c r="AA131" s="172" t="str">
        <f t="shared" si="62"/>
        <v>DELETE</v>
      </c>
      <c r="AB131" s="172">
        <f t="shared" si="62"/>
        <v>-0.54302315804424595</v>
      </c>
      <c r="AC131" s="172">
        <f t="shared" si="62"/>
        <v>-0.74335802004689999</v>
      </c>
      <c r="AD131" s="172">
        <f t="shared" si="62"/>
        <v>0.13046283087899135</v>
      </c>
      <c r="AE131" s="172">
        <f t="shared" si="62"/>
        <v>-0.20142592981461999</v>
      </c>
      <c r="AF131" s="172">
        <f t="shared" si="62"/>
        <v>2.5753673213536901E-2</v>
      </c>
      <c r="AG131" s="150"/>
      <c r="AI131" s="137">
        <v>1</v>
      </c>
      <c r="AJ131" s="136"/>
      <c r="AK131" s="142"/>
      <c r="AL131" s="136" t="s">
        <v>547</v>
      </c>
      <c r="AM131" s="136" t="s">
        <v>203</v>
      </c>
      <c r="AN131" s="1" t="s">
        <v>525</v>
      </c>
      <c r="AO131" s="166" t="s">
        <v>525</v>
      </c>
      <c r="AQ131">
        <f>_xlfn.XLOOKUP(tblGWP21[[#This Row],[Material Subcategory]],ls_Mat,Factors!$K$952:$K$1023)</f>
        <v>0</v>
      </c>
      <c r="AU131" t="s">
        <v>526</v>
      </c>
      <c r="AV131" s="347">
        <v>0.65</v>
      </c>
      <c r="BA131" cm="1">
        <f t="array" ref="BA131:BM131">tblGWP21[#This Row]</f>
        <v>1</v>
      </c>
      <c r="BB131" t="str">
        <v>Wood/Yard Trimmings</v>
      </c>
      <c r="BC131" t="str">
        <v>Yard Trimmings – Grass</v>
      </c>
      <c r="BD131" t="str">
        <v>Asia</v>
      </c>
      <c r="BE131" t="str">
        <v>n/a</v>
      </c>
      <c r="BF131">
        <v>0</v>
      </c>
      <c r="BG131" t="str">
        <v>DELETE</v>
      </c>
      <c r="BH131" t="str">
        <v>DELETE</v>
      </c>
      <c r="BI131">
        <v>-0.54302315804424595</v>
      </c>
      <c r="BJ131">
        <v>-0.74335802004689999</v>
      </c>
      <c r="BK131">
        <v>0.13046283087899135</v>
      </c>
      <c r="BL131">
        <v>-0.20142592981461999</v>
      </c>
      <c r="BM131">
        <v>2.5753673213536901E-2</v>
      </c>
    </row>
    <row r="132" spans="3:65">
      <c r="C132" s="6">
        <v>1</v>
      </c>
      <c r="D132" s="373" t="s">
        <v>233</v>
      </c>
      <c r="E132" s="6" t="s">
        <v>250</v>
      </c>
      <c r="F132" s="136" t="s">
        <v>547</v>
      </c>
      <c r="G132" s="136" t="s">
        <v>203</v>
      </c>
      <c r="H132" s="191">
        <v>0</v>
      </c>
      <c r="I132" s="191">
        <v>0</v>
      </c>
      <c r="J132" s="191">
        <v>0</v>
      </c>
      <c r="K132" s="191">
        <v>-1.743544869595175</v>
      </c>
      <c r="L132" s="191">
        <v>-2.1480724274098897</v>
      </c>
      <c r="M132" s="191">
        <v>-0.96725508784601799</v>
      </c>
      <c r="N132" s="191">
        <v>-0.94977113109922151</v>
      </c>
      <c r="O132" s="191">
        <v>2.8432544060640601E-2</v>
      </c>
      <c r="T132" s="49">
        <v>1</v>
      </c>
      <c r="U132" s="143" t="s">
        <v>233</v>
      </c>
      <c r="V132" s="33" t="s">
        <v>273</v>
      </c>
      <c r="W132" s="53" t="s">
        <v>547</v>
      </c>
      <c r="X132" s="53" t="s">
        <v>203</v>
      </c>
      <c r="Y132" s="172">
        <f>IFERROR(-tblZwaste1422[[#This Row],[Weight (kgCO2e/kg)]],0)</f>
        <v>0</v>
      </c>
      <c r="Z132" s="172" t="str">
        <f>IF(AQ132="x",(AR132*-tblZwaste1422[[#This Row],[Weight (kgCO2e/kg)]])+AS132+($AR$10*Lookups!$J$38/1000),"DELETE")</f>
        <v>DELETE</v>
      </c>
      <c r="AA132" s="172" t="str">
        <f t="shared" si="62"/>
        <v>DELETE</v>
      </c>
      <c r="AB132" s="172">
        <f t="shared" si="62"/>
        <v>-1.6437060053944301</v>
      </c>
      <c r="AC132" s="172">
        <f t="shared" si="62"/>
        <v>-2.0964870412103096</v>
      </c>
      <c r="AD132" s="172">
        <f t="shared" si="62"/>
        <v>-0.79016391301572853</v>
      </c>
      <c r="AE132" s="172">
        <f t="shared" si="62"/>
        <v>-0.92246823129980848</v>
      </c>
      <c r="AF132" s="172">
        <f t="shared" si="62"/>
        <v>2.7208560954939849E-2</v>
      </c>
      <c r="AG132" s="150"/>
      <c r="AI132" s="137">
        <v>1</v>
      </c>
      <c r="AJ132" s="136"/>
      <c r="AK132" s="142"/>
      <c r="AL132" s="136" t="s">
        <v>547</v>
      </c>
      <c r="AM132" s="136" t="s">
        <v>203</v>
      </c>
      <c r="AN132" s="1" t="s">
        <v>525</v>
      </c>
      <c r="AO132" s="166" t="s">
        <v>525</v>
      </c>
      <c r="AQ132">
        <f>_xlfn.XLOOKUP(tblGWP21[[#This Row],[Material Subcategory]],ls_Mat,Factors!$K$952:$K$1023)</f>
        <v>0</v>
      </c>
      <c r="AR132" s="173"/>
      <c r="AU132" t="s">
        <v>526</v>
      </c>
      <c r="AV132" s="347">
        <v>0.65</v>
      </c>
      <c r="BA132" cm="1">
        <f t="array" ref="BA132:BM132">tblGWP21[#This Row]</f>
        <v>1</v>
      </c>
      <c r="BB132" t="str">
        <v>Wood/Yard Trimmings</v>
      </c>
      <c r="BC132" t="str">
        <v>Yard Trimming – Branches</v>
      </c>
      <c r="BD132" t="str">
        <v>Asia</v>
      </c>
      <c r="BE132" t="str">
        <v>n/a</v>
      </c>
      <c r="BF132">
        <v>0</v>
      </c>
      <c r="BG132" t="str">
        <v>DELETE</v>
      </c>
      <c r="BH132" t="str">
        <v>DELETE</v>
      </c>
      <c r="BI132">
        <v>-1.6437060053944301</v>
      </c>
      <c r="BJ132">
        <v>-2.0964870412103096</v>
      </c>
      <c r="BK132">
        <v>-0.79016391301572853</v>
      </c>
      <c r="BL132">
        <v>-0.92246823129980848</v>
      </c>
      <c r="BM132">
        <v>2.7208560954939849E-2</v>
      </c>
    </row>
    <row r="133" spans="3:65">
      <c r="C133" s="375">
        <v>1</v>
      </c>
      <c r="D133" s="374" t="s">
        <v>233</v>
      </c>
      <c r="E133" s="375" t="s">
        <v>249</v>
      </c>
      <c r="F133" s="362" t="s">
        <v>547</v>
      </c>
      <c r="G133" s="362" t="s">
        <v>203</v>
      </c>
      <c r="H133" s="368">
        <v>0</v>
      </c>
      <c r="I133" s="368">
        <v>0</v>
      </c>
      <c r="J133" s="368">
        <v>0</v>
      </c>
      <c r="K133" s="368">
        <v>-0.54302315804424595</v>
      </c>
      <c r="L133" s="368">
        <v>-0.74335802004689999</v>
      </c>
      <c r="M133" s="368">
        <v>0.13046283087899135</v>
      </c>
      <c r="N133" s="368">
        <v>-0.20142592981461999</v>
      </c>
      <c r="O133" s="368">
        <v>2.5753673213536901E-2</v>
      </c>
      <c r="T133" s="49">
        <v>1</v>
      </c>
      <c r="U133" s="143" t="s">
        <v>233</v>
      </c>
      <c r="V133" s="33" t="s">
        <v>330</v>
      </c>
      <c r="W133" s="53" t="s">
        <v>547</v>
      </c>
      <c r="X133" s="53" t="s">
        <v>203</v>
      </c>
      <c r="Y133" s="172">
        <f>IFERROR(-tblZwaste1422[[#This Row],[Weight (kgCO2e/kg)]],0)</f>
        <v>-0.14119999999999999</v>
      </c>
      <c r="Z133" s="172">
        <f>IF(AQ133="x",(AR133*-tblZwaste1422[[#This Row],[Weight (kgCO2e/kg)]])+AS133+($AR$10*Lookups!$J$38/1000),"DELETE")</f>
        <v>-0.1076582</v>
      </c>
      <c r="AA133" s="172" t="str">
        <f t="shared" si="62"/>
        <v>DELETE</v>
      </c>
      <c r="AB133" s="172" t="str">
        <f t="shared" si="62"/>
        <v>DELETE</v>
      </c>
      <c r="AC133" s="172" t="str">
        <f t="shared" si="62"/>
        <v>DELETE</v>
      </c>
      <c r="AD133" s="172">
        <f t="shared" si="62"/>
        <v>-1.4732574782743599</v>
      </c>
      <c r="AE133" s="172">
        <f t="shared" si="62"/>
        <v>-1.07388996185167</v>
      </c>
      <c r="AF133" s="172">
        <f t="shared" si="62"/>
        <v>5.3036702585769147E-2</v>
      </c>
      <c r="AG133" s="150"/>
      <c r="AI133" s="137">
        <v>1</v>
      </c>
      <c r="AJ133" s="136" t="s">
        <v>330</v>
      </c>
      <c r="AK133" s="142" t="s">
        <v>330</v>
      </c>
      <c r="AL133" s="136" t="s">
        <v>547</v>
      </c>
      <c r="AM133" s="136" t="s">
        <v>203</v>
      </c>
      <c r="AN133" s="1">
        <v>0.14119999999999999</v>
      </c>
      <c r="AO133" s="166">
        <v>0.43014000000000002</v>
      </c>
      <c r="AQ133" t="str">
        <f>_xlfn.XLOOKUP(tblGWP21[[#This Row],[Material Subcategory]],ls_Mat,Factors!$K$952:$K$1023)</f>
        <v>x</v>
      </c>
      <c r="AR133" s="173">
        <v>0.77500000000000002</v>
      </c>
      <c r="AS133">
        <v>0</v>
      </c>
      <c r="AT133" t="s">
        <v>527</v>
      </c>
      <c r="AU133" t="s">
        <v>526</v>
      </c>
      <c r="AV133" s="347">
        <v>0.65</v>
      </c>
      <c r="BA133" cm="1">
        <f t="array" ref="BA133:BM133">tblGWP21[#This Row]</f>
        <v>1</v>
      </c>
      <c r="BB133" t="str">
        <v>Wood/Yard Trimmings</v>
      </c>
      <c r="BC133" t="str">
        <v>Wood</v>
      </c>
      <c r="BD133" t="str">
        <v>Asia</v>
      </c>
      <c r="BE133" t="str">
        <v>n/a</v>
      </c>
      <c r="BF133">
        <v>-0.14119999999999999</v>
      </c>
      <c r="BG133">
        <v>-0.1076582</v>
      </c>
      <c r="BH133" t="str">
        <v>DELETE</v>
      </c>
      <c r="BI133" t="str">
        <v>DELETE</v>
      </c>
      <c r="BJ133" t="str">
        <v>DELETE</v>
      </c>
      <c r="BK133">
        <v>-1.4732574782743599</v>
      </c>
      <c r="BL133">
        <v>-1.07388996185167</v>
      </c>
      <c r="BM133">
        <v>5.3036702585769147E-2</v>
      </c>
    </row>
    <row r="134" spans="3:65">
      <c r="C134" s="6">
        <v>1</v>
      </c>
      <c r="D134" s="373" t="s">
        <v>233</v>
      </c>
      <c r="E134" s="6" t="s">
        <v>273</v>
      </c>
      <c r="F134" s="136" t="s">
        <v>547</v>
      </c>
      <c r="G134" s="136" t="s">
        <v>203</v>
      </c>
      <c r="H134" s="191">
        <v>0</v>
      </c>
      <c r="I134" s="191">
        <v>0</v>
      </c>
      <c r="J134" s="191">
        <v>0</v>
      </c>
      <c r="K134" s="191">
        <v>-1.6437060053944301</v>
      </c>
      <c r="L134" s="191">
        <v>-2.0964870412103096</v>
      </c>
      <c r="M134" s="191">
        <v>-0.79016391301572853</v>
      </c>
      <c r="N134" s="191">
        <v>-0.92246823129980848</v>
      </c>
      <c r="O134" s="191">
        <v>2.7208560954939849E-2</v>
      </c>
      <c r="T134" s="49">
        <v>1</v>
      </c>
      <c r="U134" s="143" t="s">
        <v>233</v>
      </c>
      <c r="V134" s="33" t="s">
        <v>335</v>
      </c>
      <c r="W134" s="53" t="s">
        <v>547</v>
      </c>
      <c r="X134" s="53" t="s">
        <v>203</v>
      </c>
      <c r="Y134" s="172">
        <f>IFERROR(-tblZwaste1422[[#This Row],[Weight (kgCO2e/kg)]],0)</f>
        <v>-0.26272000000000001</v>
      </c>
      <c r="Z134" s="172">
        <f>IF(AQ134="x",(AR134*-tblZwaste1422[[#This Row],[Weight (kgCO2e/kg)]])+AS134+($AR$10*Lookups!$J$38/1000),"DELETE")</f>
        <v>-0.20183620000000002</v>
      </c>
      <c r="AA134" s="172" t="str">
        <f t="shared" si="62"/>
        <v>DELETE</v>
      </c>
      <c r="AB134" s="172">
        <f t="shared" si="62"/>
        <v>-1.6437060053944301</v>
      </c>
      <c r="AC134" s="172">
        <f t="shared" si="62"/>
        <v>-2.62382618144458</v>
      </c>
      <c r="AD134" s="172">
        <f t="shared" si="62"/>
        <v>-1.3778415112760651</v>
      </c>
      <c r="AE134" s="172">
        <f t="shared" si="62"/>
        <v>-1.0860371894951801</v>
      </c>
      <c r="AF134" s="172">
        <f t="shared" si="62"/>
        <v>3.2208986147783301E-2</v>
      </c>
      <c r="AG134" s="150"/>
      <c r="AI134" s="137">
        <v>1</v>
      </c>
      <c r="AJ134" s="136" t="s">
        <v>330</v>
      </c>
      <c r="AK134" s="142" t="s">
        <v>335</v>
      </c>
      <c r="AL134" s="136" t="s">
        <v>547</v>
      </c>
      <c r="AM134" s="136" t="s">
        <v>203</v>
      </c>
      <c r="AN134" s="1">
        <v>0.26272000000000001</v>
      </c>
      <c r="AO134" s="166">
        <v>0.43014000000000002</v>
      </c>
      <c r="AQ134" t="str">
        <f>_xlfn.XLOOKUP(tblGWP21[[#This Row],[Material Subcategory]],ls_Mat,Factors!$K$952:$K$1023)</f>
        <v>x</v>
      </c>
      <c r="AR134" s="173">
        <v>0.77500000000000002</v>
      </c>
      <c r="AS134">
        <v>0</v>
      </c>
      <c r="AT134" t="s">
        <v>527</v>
      </c>
      <c r="AU134" t="s">
        <v>526</v>
      </c>
      <c r="AV134" s="347">
        <v>0.8</v>
      </c>
      <c r="BA134" cm="1">
        <f t="array" ref="BA134:BM134">tblGWP21[#This Row]</f>
        <v>1</v>
      </c>
      <c r="BB134" t="str">
        <v>Wood/Yard Trimmings</v>
      </c>
      <c r="BC134" t="str">
        <v>Pallets</v>
      </c>
      <c r="BD134" t="str">
        <v>Asia</v>
      </c>
      <c r="BE134" t="str">
        <v>n/a</v>
      </c>
      <c r="BF134">
        <v>-0.26272000000000001</v>
      </c>
      <c r="BG134">
        <v>-0.20183620000000002</v>
      </c>
      <c r="BH134" t="str">
        <v>DELETE</v>
      </c>
      <c r="BI134">
        <v>-1.6437060053944301</v>
      </c>
      <c r="BJ134">
        <v>-2.62382618144458</v>
      </c>
      <c r="BK134">
        <v>-1.3778415112760651</v>
      </c>
      <c r="BL134">
        <v>-1.0860371894951801</v>
      </c>
      <c r="BM134">
        <v>3.2208986147783301E-2</v>
      </c>
    </row>
    <row r="135" spans="3:65">
      <c r="C135" s="375">
        <v>1</v>
      </c>
      <c r="D135" s="374" t="s">
        <v>233</v>
      </c>
      <c r="E135" s="375" t="s">
        <v>330</v>
      </c>
      <c r="F135" s="362" t="s">
        <v>547</v>
      </c>
      <c r="G135" s="362" t="s">
        <v>203</v>
      </c>
      <c r="H135" s="368">
        <v>-0.14119999999999999</v>
      </c>
      <c r="I135" s="368">
        <v>-0.1076582</v>
      </c>
      <c r="J135" s="368">
        <v>0</v>
      </c>
      <c r="K135" s="368">
        <v>0</v>
      </c>
      <c r="L135" s="368">
        <v>0</v>
      </c>
      <c r="M135" s="368">
        <v>-1.4732574782743599</v>
      </c>
      <c r="N135" s="368">
        <v>-1.07388996185167</v>
      </c>
      <c r="O135" s="368">
        <v>5.3036702585769147E-2</v>
      </c>
      <c r="T135" s="49">
        <v>1</v>
      </c>
      <c r="U135" s="143" t="s">
        <v>233</v>
      </c>
      <c r="V135" s="33" t="s">
        <v>326</v>
      </c>
      <c r="W135" s="53" t="s">
        <v>547</v>
      </c>
      <c r="X135" s="53" t="s">
        <v>203</v>
      </c>
      <c r="Y135" s="172">
        <f>IFERROR(-tblZwaste1422[[#This Row],[Weight (kgCO2e/kg)]],0)</f>
        <v>-0.14119999999999999</v>
      </c>
      <c r="Z135" s="172">
        <f>IF(AQ135="x",(AR135*-tblZwaste1422[[#This Row],[Weight (kgCO2e/kg)]])+AS135+($AR$10*Lookups!$J$38/1000),"DELETE")</f>
        <v>-0.1076582</v>
      </c>
      <c r="AA135" s="172" t="str">
        <f t="shared" si="62"/>
        <v>DELETE</v>
      </c>
      <c r="AB135" s="172">
        <f t="shared" si="62"/>
        <v>-1.6437060053944301</v>
      </c>
      <c r="AC135" s="172">
        <f t="shared" si="62"/>
        <v>-2.62382618144458</v>
      </c>
      <c r="AD135" s="172">
        <f t="shared" si="62"/>
        <v>-1.3778415112760651</v>
      </c>
      <c r="AE135" s="172">
        <f t="shared" si="62"/>
        <v>-1.0860371894951801</v>
      </c>
      <c r="AF135" s="172">
        <f t="shared" si="62"/>
        <v>3.2208986147783301E-2</v>
      </c>
      <c r="AG135" s="150"/>
      <c r="AI135" s="137">
        <v>1</v>
      </c>
      <c r="AJ135" s="136" t="s">
        <v>330</v>
      </c>
      <c r="AK135" s="142" t="s">
        <v>326</v>
      </c>
      <c r="AL135" s="136" t="s">
        <v>547</v>
      </c>
      <c r="AM135" s="136" t="s">
        <v>203</v>
      </c>
      <c r="AN135" s="1">
        <v>0.14119999999999999</v>
      </c>
      <c r="AO135" s="166">
        <v>0.43014000000000002</v>
      </c>
      <c r="AQ135" t="str">
        <f>_xlfn.XLOOKUP(tblGWP21[[#This Row],[Material Subcategory]],ls_Mat,Factors!$K$952:$K$1023)</f>
        <v>x</v>
      </c>
      <c r="AR135" s="173">
        <v>0.77500000000000002</v>
      </c>
      <c r="AS135">
        <v>0</v>
      </c>
      <c r="AT135" t="s">
        <v>527</v>
      </c>
      <c r="BA135" cm="1">
        <f t="array" ref="BA135:BM135">tblGWP21[#This Row]</f>
        <v>1</v>
      </c>
      <c r="BB135" t="str">
        <v>Wood/Yard Trimmings</v>
      </c>
      <c r="BC135" t="str">
        <v>Other Wood</v>
      </c>
      <c r="BD135" t="str">
        <v>Asia</v>
      </c>
      <c r="BE135" t="str">
        <v>n/a</v>
      </c>
      <c r="BF135">
        <v>-0.14119999999999999</v>
      </c>
      <c r="BG135">
        <v>-0.1076582</v>
      </c>
      <c r="BH135" t="str">
        <v>DELETE</v>
      </c>
      <c r="BI135">
        <v>-1.6437060053944301</v>
      </c>
      <c r="BJ135">
        <v>-2.62382618144458</v>
      </c>
      <c r="BK135">
        <v>-1.3778415112760651</v>
      </c>
      <c r="BL135">
        <v>-1.0860371894951801</v>
      </c>
      <c r="BM135">
        <v>3.2208986147783301E-2</v>
      </c>
    </row>
    <row r="136" spans="3:65">
      <c r="C136" s="6">
        <v>1</v>
      </c>
      <c r="D136" s="373" t="s">
        <v>233</v>
      </c>
      <c r="E136" s="6" t="s">
        <v>335</v>
      </c>
      <c r="F136" s="136" t="s">
        <v>547</v>
      </c>
      <c r="G136" s="136" t="s">
        <v>203</v>
      </c>
      <c r="H136" s="191">
        <v>-0.26272000000000001</v>
      </c>
      <c r="I136" s="191">
        <v>-0.20183620000000002</v>
      </c>
      <c r="J136" s="191">
        <v>0</v>
      </c>
      <c r="K136" s="191">
        <v>-1.6437060053944301</v>
      </c>
      <c r="L136" s="191">
        <v>-2.62382618144458</v>
      </c>
      <c r="M136" s="191">
        <v>-1.3778415112760651</v>
      </c>
      <c r="N136" s="191">
        <v>-1.0860371894951801</v>
      </c>
      <c r="O136" s="191">
        <v>3.2208986147783301E-2</v>
      </c>
      <c r="T136" s="49">
        <v>1</v>
      </c>
      <c r="U136" s="143" t="s">
        <v>261</v>
      </c>
      <c r="V136" s="33" t="s">
        <v>261</v>
      </c>
      <c r="W136" s="53" t="s">
        <v>547</v>
      </c>
      <c r="X136" s="53" t="s">
        <v>203</v>
      </c>
      <c r="Y136" s="172">
        <f>IFERROR(-tblZwaste1422[[#This Row],[Weight (kgCO2e/kg)]],0)</f>
        <v>-4.72241</v>
      </c>
      <c r="Z136" s="172" t="e">
        <f>IF(AQ136="x",(AR136*-tblZwaste1422[[#This Row],[Weight (kgCO2e/kg)]])+AS136+($AR$10*Lookups!$J$38/1000),"DELETE")</f>
        <v>#N/A</v>
      </c>
      <c r="AA136" s="172" t="str">
        <f t="shared" si="62"/>
        <v>DELETE</v>
      </c>
      <c r="AB136" s="172">
        <f t="shared" si="62"/>
        <v>-0.36317510759907728</v>
      </c>
      <c r="AC136" s="172">
        <f t="shared" si="62"/>
        <v>-0.59733092112914177</v>
      </c>
      <c r="AD136" s="172">
        <f t="shared" si="62"/>
        <v>0.2383225522139315</v>
      </c>
      <c r="AE136" s="172">
        <f t="shared" si="62"/>
        <v>-0.18583697870817426</v>
      </c>
      <c r="AF136" s="172">
        <f t="shared" si="62"/>
        <v>2.5407035909195099E-2</v>
      </c>
      <c r="AG136" s="150"/>
      <c r="AI136" s="137">
        <v>1</v>
      </c>
      <c r="AJ136" s="136" t="s">
        <v>529</v>
      </c>
      <c r="AK136" s="142" t="s">
        <v>529</v>
      </c>
      <c r="AL136" s="136" t="s">
        <v>547</v>
      </c>
      <c r="AM136" s="136" t="s">
        <v>203</v>
      </c>
      <c r="AN136" s="1">
        <v>4.72241</v>
      </c>
      <c r="AO136" s="166">
        <v>1.758</v>
      </c>
      <c r="AQ136" t="e">
        <f>_xlfn.XLOOKUP(tblGWP21[[#This Row],[Material Subcategory]],ls_Mat,Factors!$K$952:$K$1023)</f>
        <v>#N/A</v>
      </c>
      <c r="AR136" s="347">
        <v>0.5</v>
      </c>
      <c r="AS136">
        <v>0</v>
      </c>
      <c r="AT136" t="s">
        <v>528</v>
      </c>
      <c r="BA136" cm="1">
        <f t="array" ref="BA136:BM136">tblGWP21[#This Row]</f>
        <v>1</v>
      </c>
      <c r="BB136" t="str">
        <v>Food Waste</v>
      </c>
      <c r="BC136" t="str">
        <v>Food Waste</v>
      </c>
      <c r="BD136" t="str">
        <v>Asia</v>
      </c>
      <c r="BE136" t="str">
        <v>n/a</v>
      </c>
      <c r="BF136">
        <v>-4.72241</v>
      </c>
      <c r="BG136" t="e">
        <v>#N/A</v>
      </c>
      <c r="BH136" t="str">
        <v>DELETE</v>
      </c>
      <c r="BI136">
        <v>-0.36317510759907728</v>
      </c>
      <c r="BJ136">
        <v>-0.59733092112914177</v>
      </c>
      <c r="BK136">
        <v>0.2383225522139315</v>
      </c>
      <c r="BL136">
        <v>-0.18583697870817426</v>
      </c>
      <c r="BM136">
        <v>2.5407035909195099E-2</v>
      </c>
    </row>
    <row r="137" spans="3:65">
      <c r="C137" s="375">
        <v>1</v>
      </c>
      <c r="D137" s="374" t="s">
        <v>233</v>
      </c>
      <c r="E137" s="375" t="s">
        <v>326</v>
      </c>
      <c r="F137" s="362" t="s">
        <v>547</v>
      </c>
      <c r="G137" s="362" t="s">
        <v>203</v>
      </c>
      <c r="H137" s="368">
        <v>-0.14119999999999999</v>
      </c>
      <c r="I137" s="368">
        <v>-0.1076582</v>
      </c>
      <c r="J137" s="368">
        <v>0</v>
      </c>
      <c r="K137" s="368">
        <v>-1.6437060053944301</v>
      </c>
      <c r="L137" s="368">
        <v>-2.62382618144458</v>
      </c>
      <c r="M137" s="368">
        <v>-1.3778415112760651</v>
      </c>
      <c r="N137" s="368">
        <v>-1.0860371894951801</v>
      </c>
      <c r="O137" s="368">
        <v>3.2208986147783301E-2</v>
      </c>
      <c r="T137" s="49">
        <v>1</v>
      </c>
      <c r="U137" s="143" t="s">
        <v>261</v>
      </c>
      <c r="V137" s="33" t="s">
        <v>269</v>
      </c>
      <c r="W137" s="53" t="s">
        <v>547</v>
      </c>
      <c r="X137" s="53" t="s">
        <v>203</v>
      </c>
      <c r="Y137" s="172">
        <f>IFERROR(-tblZwaste1422[[#This Row],[Weight (kgCO2e/kg)]],0)</f>
        <v>-0.25034000000000001</v>
      </c>
      <c r="Z137" s="172">
        <f>IF(AQ137="x",(AR137*-tblZwaste1422[[#This Row],[Weight (kgCO2e/kg)]])+AS137+($AR$10*Lookups!$J$38/1000),"DELETE")</f>
        <v>-0.1233982</v>
      </c>
      <c r="AA137" s="172" t="str">
        <f t="shared" si="62"/>
        <v>DELETE</v>
      </c>
      <c r="AB137" s="172">
        <f t="shared" si="62"/>
        <v>-0.30315789181200103</v>
      </c>
      <c r="AC137" s="172">
        <f t="shared" si="62"/>
        <v>-0.50665038249675698</v>
      </c>
      <c r="AD137" s="172">
        <f t="shared" si="62"/>
        <v>0.26373907990636947</v>
      </c>
      <c r="AE137" s="172">
        <f t="shared" si="62"/>
        <v>-0.12868148200785201</v>
      </c>
      <c r="AF137" s="172">
        <f t="shared" si="62"/>
        <v>2.5084881735720949E-2</v>
      </c>
      <c r="AG137" s="150"/>
      <c r="AI137" s="137">
        <v>1</v>
      </c>
      <c r="AJ137" s="136" t="s">
        <v>529</v>
      </c>
      <c r="AK137" s="142" t="s">
        <v>327</v>
      </c>
      <c r="AL137" s="136" t="s">
        <v>547</v>
      </c>
      <c r="AM137" s="136" t="s">
        <v>203</v>
      </c>
      <c r="AN137" s="1">
        <v>0.25034000000000001</v>
      </c>
      <c r="AO137" s="166">
        <v>0.99672000000000005</v>
      </c>
      <c r="AQ137" t="str">
        <f>_xlfn.XLOOKUP(tblGWP21[[#This Row],[Material Subcategory]],ls_Mat,Factors!$K$952:$K$1023)</f>
        <v>x</v>
      </c>
      <c r="AR137" s="347">
        <v>0.5</v>
      </c>
      <c r="AS137">
        <v>0</v>
      </c>
      <c r="AT137" t="s">
        <v>528</v>
      </c>
      <c r="AU137" t="s">
        <v>526</v>
      </c>
      <c r="AV137" s="347">
        <v>0.95</v>
      </c>
      <c r="BA137" cm="1">
        <f t="array" ref="BA137:BM137">tblGWP21[#This Row]</f>
        <v>1</v>
      </c>
      <c r="BB137" t="str">
        <v>Food Waste</v>
      </c>
      <c r="BC137" t="str">
        <v>Food Waste – Vegetable</v>
      </c>
      <c r="BD137" t="str">
        <v>Asia</v>
      </c>
      <c r="BE137" t="str">
        <v>n/a</v>
      </c>
      <c r="BF137">
        <v>-0.25034000000000001</v>
      </c>
      <c r="BG137">
        <v>-0.1233982</v>
      </c>
      <c r="BH137" t="str">
        <v>DELETE</v>
      </c>
      <c r="BI137">
        <v>-0.30315789181200103</v>
      </c>
      <c r="BJ137">
        <v>-0.50665038249675698</v>
      </c>
      <c r="BK137">
        <v>0.26373907990636947</v>
      </c>
      <c r="BL137">
        <v>-0.12868148200785201</v>
      </c>
      <c r="BM137">
        <v>2.5084881735720949E-2</v>
      </c>
    </row>
    <row r="138" spans="3:65" ht="28.8">
      <c r="C138" s="6">
        <v>1</v>
      </c>
      <c r="D138" s="373" t="s">
        <v>261</v>
      </c>
      <c r="E138" s="6" t="s">
        <v>261</v>
      </c>
      <c r="F138" s="136" t="s">
        <v>547</v>
      </c>
      <c r="G138" s="136" t="s">
        <v>203</v>
      </c>
      <c r="H138" s="191">
        <v>-4.72241</v>
      </c>
      <c r="I138" s="191">
        <v>-2.3594331999999998</v>
      </c>
      <c r="J138" s="191">
        <v>0</v>
      </c>
      <c r="K138" s="191">
        <v>-0.36317510759907728</v>
      </c>
      <c r="L138" s="191">
        <v>-0.59733092112914177</v>
      </c>
      <c r="M138" s="191">
        <v>0.2383225522139315</v>
      </c>
      <c r="N138" s="191">
        <v>-0.18583697870817426</v>
      </c>
      <c r="O138" s="191">
        <v>2.5407035909195099E-2</v>
      </c>
      <c r="T138" s="49">
        <v>1</v>
      </c>
      <c r="U138" s="143" t="s">
        <v>261</v>
      </c>
      <c r="V138" s="33" t="s">
        <v>530</v>
      </c>
      <c r="W138" s="53" t="s">
        <v>547</v>
      </c>
      <c r="X138" s="53" t="s">
        <v>203</v>
      </c>
      <c r="Y138" s="172">
        <f>IFERROR(-tblZwaste1422[[#This Row],[Weight (kgCO2e/kg)]],0)</f>
        <v>-9.1944800000000004</v>
      </c>
      <c r="Z138" s="172">
        <f>IF(AQ138="x",(AR138*-tblZwaste1422[[#This Row],[Weight (kgCO2e/kg)]])+AS138+($AR$10*Lookups!$J$38/1000),"DELETE")</f>
        <v>-4.5954682</v>
      </c>
      <c r="AA138" s="172" t="str">
        <f t="shared" si="62"/>
        <v>DELETE</v>
      </c>
      <c r="AB138" s="172">
        <f t="shared" si="62"/>
        <v>-0.42319232338615353</v>
      </c>
      <c r="AC138" s="172">
        <f t="shared" si="62"/>
        <v>-0.68801145976152656</v>
      </c>
      <c r="AD138" s="172">
        <f t="shared" si="62"/>
        <v>0.21290602452149349</v>
      </c>
      <c r="AE138" s="172">
        <f t="shared" si="62"/>
        <v>-0.2429924754084965</v>
      </c>
      <c r="AF138" s="172">
        <f t="shared" si="62"/>
        <v>2.5729190082669252E-2</v>
      </c>
      <c r="AG138" s="150"/>
      <c r="AI138" s="137">
        <v>1</v>
      </c>
      <c r="AJ138" s="136" t="s">
        <v>529</v>
      </c>
      <c r="AK138" s="142" t="s">
        <v>331</v>
      </c>
      <c r="AL138" s="136" t="s">
        <v>547</v>
      </c>
      <c r="AM138" s="136" t="s">
        <v>203</v>
      </c>
      <c r="AN138" s="1">
        <v>9.1944800000000004</v>
      </c>
      <c r="AO138" s="166">
        <v>2.5192800000000002</v>
      </c>
      <c r="AQ138" t="str">
        <f>_xlfn.XLOOKUP(tblGWP21[[#This Row],[Material Subcategory]],ls_Mat,Factors!$K$952:$K$1023)</f>
        <v>x</v>
      </c>
      <c r="AR138" s="347">
        <v>0.5</v>
      </c>
      <c r="AS138">
        <v>0</v>
      </c>
      <c r="AT138" t="s">
        <v>528</v>
      </c>
      <c r="AU138" t="s">
        <v>526</v>
      </c>
      <c r="AV138" s="347">
        <v>0.95</v>
      </c>
      <c r="BA138" cm="1">
        <f t="array" ref="BA138:BM138">tblGWP21[#This Row]</f>
        <v>1</v>
      </c>
      <c r="BB138" t="str">
        <v>Food Waste</v>
      </c>
      <c r="BC138" t="str">
        <v>Food Waste – Non-Vegetable</v>
      </c>
      <c r="BD138" t="str">
        <v>Asia</v>
      </c>
      <c r="BE138" t="str">
        <v>n/a</v>
      </c>
      <c r="BF138">
        <v>-9.1944800000000004</v>
      </c>
      <c r="BG138">
        <v>-4.5954682</v>
      </c>
      <c r="BH138" t="str">
        <v>DELETE</v>
      </c>
      <c r="BI138">
        <v>-0.42319232338615353</v>
      </c>
      <c r="BJ138">
        <v>-0.68801145976152656</v>
      </c>
      <c r="BK138">
        <v>0.21290602452149349</v>
      </c>
      <c r="BL138">
        <v>-0.2429924754084965</v>
      </c>
      <c r="BM138">
        <v>2.5729190082669252E-2</v>
      </c>
    </row>
    <row r="139" spans="3:65">
      <c r="C139" s="375">
        <v>1</v>
      </c>
      <c r="D139" s="374" t="s">
        <v>261</v>
      </c>
      <c r="E139" s="375" t="s">
        <v>269</v>
      </c>
      <c r="F139" s="362" t="s">
        <v>547</v>
      </c>
      <c r="G139" s="362" t="s">
        <v>203</v>
      </c>
      <c r="H139" s="368">
        <v>-0.25034000000000001</v>
      </c>
      <c r="I139" s="368">
        <v>-0.1233982</v>
      </c>
      <c r="J139" s="368">
        <v>0</v>
      </c>
      <c r="K139" s="368">
        <v>-0.30315789181200103</v>
      </c>
      <c r="L139" s="368">
        <v>-0.50665038249675698</v>
      </c>
      <c r="M139" s="368">
        <v>0.26373907990636947</v>
      </c>
      <c r="N139" s="368">
        <v>-0.12868148200785201</v>
      </c>
      <c r="O139" s="368">
        <v>2.5084881735720949E-2</v>
      </c>
      <c r="T139" s="49">
        <v>1</v>
      </c>
      <c r="U139" s="143" t="s">
        <v>261</v>
      </c>
      <c r="V139" s="33" t="s">
        <v>262</v>
      </c>
      <c r="W139" s="53" t="s">
        <v>547</v>
      </c>
      <c r="X139" s="53" t="s">
        <v>203</v>
      </c>
      <c r="Y139" s="172">
        <f>IFERROR(-tblZwaste1422[[#This Row],[Weight (kgCO2e/kg)]],0)</f>
        <v>-2.5034000000000001</v>
      </c>
      <c r="Z139" s="172" t="str">
        <f>IF(AQ139="x",(AR139*-tblZwaste1422[[#This Row],[Weight (kgCO2e/kg)]])+AS139+($AR$10*Lookups!$J$38/1000),"DELETE")</f>
        <v>DELETE</v>
      </c>
      <c r="AA139" s="172" t="str">
        <f t="shared" ref="AA139:AF148" si="63">IF(ISNUMBER(AVERAGE(AA419,AA475)),AVERAGE(AA419,AA475),AA419)</f>
        <v>DELETE</v>
      </c>
      <c r="AB139" s="172">
        <f t="shared" si="63"/>
        <v>-0.42319232338615353</v>
      </c>
      <c r="AC139" s="172">
        <f t="shared" si="63"/>
        <v>-0.68801145976152656</v>
      </c>
      <c r="AD139" s="172">
        <f t="shared" si="63"/>
        <v>0.21290602452149349</v>
      </c>
      <c r="AE139" s="172">
        <f t="shared" si="63"/>
        <v>-0.2429924754084965</v>
      </c>
      <c r="AF139" s="172">
        <f t="shared" si="63"/>
        <v>2.5729190082669252E-2</v>
      </c>
      <c r="AG139" s="150"/>
      <c r="AI139" s="137">
        <v>1</v>
      </c>
      <c r="AJ139" s="136" t="s">
        <v>529</v>
      </c>
      <c r="AK139" s="142" t="s">
        <v>332</v>
      </c>
      <c r="AL139" s="136" t="s">
        <v>547</v>
      </c>
      <c r="AM139" s="136" t="s">
        <v>203</v>
      </c>
      <c r="AN139" s="1">
        <v>2.5034000000000001</v>
      </c>
      <c r="AO139" s="166">
        <v>1.0183800000000001</v>
      </c>
      <c r="AQ139">
        <f>_xlfn.XLOOKUP(tblGWP21[[#This Row],[Material Subcategory]],ls_Mat,Factors!$K$952:$K$1023)</f>
        <v>0</v>
      </c>
      <c r="AR139" s="347">
        <v>0.5</v>
      </c>
      <c r="AS139">
        <v>0</v>
      </c>
      <c r="AT139" t="s">
        <v>528</v>
      </c>
      <c r="AU139" t="s">
        <v>526</v>
      </c>
      <c r="AV139" s="347">
        <v>0.95</v>
      </c>
      <c r="BA139" cm="1">
        <f t="array" ref="BA139:BM139">tblGWP21[#This Row]</f>
        <v>1</v>
      </c>
      <c r="BB139" t="str">
        <v>Food Waste</v>
      </c>
      <c r="BC139" t="str">
        <v>Oils/Grease</v>
      </c>
      <c r="BD139" t="str">
        <v>Asia</v>
      </c>
      <c r="BE139" t="str">
        <v>n/a</v>
      </c>
      <c r="BF139">
        <v>-2.5034000000000001</v>
      </c>
      <c r="BG139" t="str">
        <v>DELETE</v>
      </c>
      <c r="BH139" t="str">
        <v>DELETE</v>
      </c>
      <c r="BI139">
        <v>-0.42319232338615353</v>
      </c>
      <c r="BJ139">
        <v>-0.68801145976152656</v>
      </c>
      <c r="BK139">
        <v>0.21290602452149349</v>
      </c>
      <c r="BL139">
        <v>-0.2429924754084965</v>
      </c>
      <c r="BM139">
        <v>2.5729190082669252E-2</v>
      </c>
    </row>
    <row r="140" spans="3:65" ht="28.8">
      <c r="C140" s="6">
        <v>1</v>
      </c>
      <c r="D140" s="373" t="s">
        <v>261</v>
      </c>
      <c r="E140" s="6" t="s">
        <v>530</v>
      </c>
      <c r="F140" s="136" t="s">
        <v>547</v>
      </c>
      <c r="G140" s="136" t="s">
        <v>203</v>
      </c>
      <c r="H140" s="191">
        <v>-9.1944800000000004</v>
      </c>
      <c r="I140" s="191">
        <v>-4.5954682</v>
      </c>
      <c r="J140" s="191">
        <v>0</v>
      </c>
      <c r="K140" s="191">
        <v>-0.42319232338615353</v>
      </c>
      <c r="L140" s="191">
        <v>-0.68801145976152656</v>
      </c>
      <c r="M140" s="191">
        <v>0.21290602452149349</v>
      </c>
      <c r="N140" s="191">
        <v>-0.2429924754084965</v>
      </c>
      <c r="O140" s="191">
        <v>2.5729190082669252E-2</v>
      </c>
      <c r="T140" s="49">
        <v>1</v>
      </c>
      <c r="U140" s="143" t="s">
        <v>252</v>
      </c>
      <c r="V140" s="33" t="s">
        <v>252</v>
      </c>
      <c r="W140" s="53" t="s">
        <v>547</v>
      </c>
      <c r="X140" s="53" t="s">
        <v>203</v>
      </c>
      <c r="Y140" s="172">
        <f>IFERROR(-tblZwaste1422[[#This Row],[Weight (kgCO2e/kg)]],0)</f>
        <v>-2.0953266666666663</v>
      </c>
      <c r="Z140" s="172" t="e">
        <f>IF(AQ140="x",(AR140*-tblZwaste1422[[#This Row],[Weight (kgCO2e/kg)]])+AS140+($AR$10*Lookups!$J$38/1000),"DELETE")</f>
        <v>#N/A</v>
      </c>
      <c r="AA140" s="172">
        <f t="shared" si="63"/>
        <v>-4.4029192949505358</v>
      </c>
      <c r="AB140" s="172" t="str">
        <f t="shared" si="63"/>
        <v>DELETE</v>
      </c>
      <c r="AC140" s="172" t="str">
        <f t="shared" si="63"/>
        <v>DELETE</v>
      </c>
      <c r="AD140" s="172">
        <f t="shared" si="63"/>
        <v>2.6030305185259402E-2</v>
      </c>
      <c r="AE140" s="172">
        <f t="shared" si="63"/>
        <v>0.56190687898974445</v>
      </c>
      <c r="AF140" s="172">
        <f t="shared" si="63"/>
        <v>2.1870254846722101</v>
      </c>
      <c r="AG140" s="150"/>
      <c r="AI140" s="137">
        <v>1</v>
      </c>
      <c r="AJ140" s="136" t="s">
        <v>252</v>
      </c>
      <c r="AK140" s="142" t="s">
        <v>252</v>
      </c>
      <c r="AL140" s="136" t="s">
        <v>547</v>
      </c>
      <c r="AM140" s="136" t="s">
        <v>203</v>
      </c>
      <c r="AN140" s="1">
        <v>2.0953266666666663</v>
      </c>
      <c r="AO140" s="166">
        <v>1.77911</v>
      </c>
      <c r="AQ140" t="e">
        <f>_xlfn.XLOOKUP(tblGWP21[[#This Row],[Material Subcategory]],ls_Mat,Factors!$K$952:$K$1023)</f>
        <v>#N/A</v>
      </c>
      <c r="AR140" s="173">
        <v>0.77500000000000002</v>
      </c>
      <c r="AS140">
        <v>8.1306407300000008E-2</v>
      </c>
      <c r="AT140" t="s">
        <v>531</v>
      </c>
      <c r="BA140" cm="1">
        <f t="array" ref="BA140:BM140">tblGWP21[#This Row]</f>
        <v>1</v>
      </c>
      <c r="BB140" t="str">
        <v>Plastics</v>
      </c>
      <c r="BC140" t="str">
        <v>Plastics</v>
      </c>
      <c r="BD140" t="str">
        <v>Asia</v>
      </c>
      <c r="BE140" t="str">
        <v>n/a</v>
      </c>
      <c r="BF140">
        <v>-2.0953266666666663</v>
      </c>
      <c r="BG140" t="e">
        <v>#N/A</v>
      </c>
      <c r="BH140">
        <v>-4.4029192949505358</v>
      </c>
      <c r="BI140" t="str">
        <v>DELETE</v>
      </c>
      <c r="BJ140" t="str">
        <v>DELETE</v>
      </c>
      <c r="BK140">
        <v>2.6030305185259402E-2</v>
      </c>
      <c r="BL140">
        <v>0.56190687898974445</v>
      </c>
      <c r="BM140">
        <v>2.1870254846722101</v>
      </c>
    </row>
    <row r="141" spans="3:65" ht="28.8">
      <c r="C141" s="375">
        <v>1</v>
      </c>
      <c r="D141" s="374" t="s">
        <v>261</v>
      </c>
      <c r="E141" s="375" t="s">
        <v>262</v>
      </c>
      <c r="F141" s="362" t="s">
        <v>547</v>
      </c>
      <c r="G141" s="362" t="s">
        <v>203</v>
      </c>
      <c r="H141" s="368">
        <v>-2.5034000000000001</v>
      </c>
      <c r="I141" s="368">
        <v>0</v>
      </c>
      <c r="J141" s="368">
        <v>0</v>
      </c>
      <c r="K141" s="368">
        <v>-0.42319232338615353</v>
      </c>
      <c r="L141" s="368">
        <v>-0.68801145976152656</v>
      </c>
      <c r="M141" s="368">
        <v>0.21290602452149349</v>
      </c>
      <c r="N141" s="368">
        <v>-0.2429924754084965</v>
      </c>
      <c r="O141" s="368">
        <v>2.5729190082669252E-2</v>
      </c>
      <c r="T141" s="49">
        <v>1</v>
      </c>
      <c r="U141" s="143" t="s">
        <v>252</v>
      </c>
      <c r="V141" s="33" t="s">
        <v>253</v>
      </c>
      <c r="W141" s="53" t="s">
        <v>547</v>
      </c>
      <c r="X141" s="53" t="s">
        <v>203</v>
      </c>
      <c r="Y141" s="172">
        <f>IFERROR(-tblZwaste1422[[#This Row],[Weight (kgCO2e/kg)]],0)</f>
        <v>-2.04928</v>
      </c>
      <c r="Z141" s="172" t="e">
        <f>IF(AQ141="x",(AR141*-tblZwaste1422[[#This Row],[Weight (kgCO2e/kg)]])+AS141+($AR$10*Lookups!$J$38/1000),"DELETE")</f>
        <v>#N/A</v>
      </c>
      <c r="AA141" s="172">
        <f t="shared" si="63"/>
        <v>-3.8551691693355163</v>
      </c>
      <c r="AB141" s="172" t="str">
        <f t="shared" si="63"/>
        <v>DELETE</v>
      </c>
      <c r="AC141" s="172" t="str">
        <f t="shared" si="63"/>
        <v>DELETE</v>
      </c>
      <c r="AD141" s="172">
        <f t="shared" si="63"/>
        <v>2.6030302136830198E-2</v>
      </c>
      <c r="AE141" s="172">
        <f t="shared" si="63"/>
        <v>0.37911282506133048</v>
      </c>
      <c r="AF141" s="172">
        <f t="shared" si="63"/>
        <v>3.183177821187805</v>
      </c>
      <c r="AG141" s="150"/>
      <c r="AI141" s="137">
        <v>1</v>
      </c>
      <c r="AJ141" s="136" t="s">
        <v>252</v>
      </c>
      <c r="AK141" s="142" t="s">
        <v>253</v>
      </c>
      <c r="AL141" s="136" t="s">
        <v>547</v>
      </c>
      <c r="AM141" s="136" t="s">
        <v>203</v>
      </c>
      <c r="AN141" s="1">
        <v>2.04928</v>
      </c>
      <c r="AO141" s="166">
        <v>1.77911</v>
      </c>
      <c r="AQ141" t="e">
        <f>_xlfn.XLOOKUP(tblGWP21[[#This Row],[Material Subcategory]],ls_Mat,Factors!$K$952:$K$1023)</f>
        <v>#N/A</v>
      </c>
      <c r="AR141" s="173">
        <v>0.77500000000000002</v>
      </c>
      <c r="AS141">
        <v>8.1306407300000008E-2</v>
      </c>
      <c r="AT141" t="s">
        <v>531</v>
      </c>
      <c r="AU141" t="s">
        <v>526</v>
      </c>
      <c r="AV141" s="347">
        <v>0.95</v>
      </c>
      <c r="BA141" cm="1">
        <f t="array" ref="BA141:BM141">tblGWP21[#This Row]</f>
        <v>1</v>
      </c>
      <c r="BB141" t="str">
        <v>Plastics</v>
      </c>
      <c r="BC141" t="str">
        <v>HDPE (translucent and pigmented)</v>
      </c>
      <c r="BD141" t="str">
        <v>Asia</v>
      </c>
      <c r="BE141" t="str">
        <v>n/a</v>
      </c>
      <c r="BF141">
        <v>-2.04928</v>
      </c>
      <c r="BG141" t="e">
        <v>#N/A</v>
      </c>
      <c r="BH141">
        <v>-3.8551691693355163</v>
      </c>
      <c r="BI141" t="str">
        <v>DELETE</v>
      </c>
      <c r="BJ141" t="str">
        <v>DELETE</v>
      </c>
      <c r="BK141">
        <v>2.6030302136830198E-2</v>
      </c>
      <c r="BL141">
        <v>0.37911282506133048</v>
      </c>
      <c r="BM141">
        <v>3.183177821187805</v>
      </c>
    </row>
    <row r="142" spans="3:65">
      <c r="C142" s="6">
        <v>1</v>
      </c>
      <c r="D142" s="373" t="s">
        <v>252</v>
      </c>
      <c r="E142" s="6" t="s">
        <v>252</v>
      </c>
      <c r="F142" s="136" t="s">
        <v>547</v>
      </c>
      <c r="G142" s="136" t="s">
        <v>203</v>
      </c>
      <c r="H142" s="191">
        <v>-2.0953266666666663</v>
      </c>
      <c r="I142" s="191">
        <v>-1.5407999593666664</v>
      </c>
      <c r="J142" s="191">
        <v>-4.4029192949505358</v>
      </c>
      <c r="K142" s="191">
        <v>0</v>
      </c>
      <c r="L142" s="191">
        <v>0</v>
      </c>
      <c r="M142" s="191">
        <v>2.6030305185259402E-2</v>
      </c>
      <c r="N142" s="191">
        <v>0.56190687898974445</v>
      </c>
      <c r="O142" s="191">
        <v>2.1870254846722101</v>
      </c>
      <c r="T142" s="49">
        <v>1</v>
      </c>
      <c r="U142" s="143" t="s">
        <v>252</v>
      </c>
      <c r="V142" s="33" t="s">
        <v>328</v>
      </c>
      <c r="W142" s="53" t="s">
        <v>547</v>
      </c>
      <c r="X142" s="53" t="s">
        <v>203</v>
      </c>
      <c r="Y142" s="172">
        <f>IFERROR(-tblZwaste1422[[#This Row],[Weight (kgCO2e/kg)]],0)</f>
        <v>-2.3231199999999999</v>
      </c>
      <c r="Z142" s="172" t="e">
        <f>IF(AQ142="x",(AR142*-tblZwaste1422[[#This Row],[Weight (kgCO2e/kg)]])+AS142+($AR$10*Lookups!$J$38/1000),"DELETE")</f>
        <v>#N/A</v>
      </c>
      <c r="AA142" s="172">
        <f t="shared" si="63"/>
        <v>-4.5596830501023762</v>
      </c>
      <c r="AB142" s="172" t="str">
        <f t="shared" si="63"/>
        <v>DELETE</v>
      </c>
      <c r="AC142" s="172" t="str">
        <f t="shared" si="63"/>
        <v>DELETE</v>
      </c>
      <c r="AD142" s="172">
        <f t="shared" si="63"/>
        <v>2.6030302940227998E-2</v>
      </c>
      <c r="AE142" s="172">
        <f t="shared" si="63"/>
        <v>0.4528680102827185</v>
      </c>
      <c r="AF142" s="172">
        <f t="shared" si="63"/>
        <v>2.4956085945289099</v>
      </c>
      <c r="AG142" s="150"/>
      <c r="AI142" s="137">
        <v>1</v>
      </c>
      <c r="AJ142" s="136" t="s">
        <v>252</v>
      </c>
      <c r="AK142" s="142" t="s">
        <v>328</v>
      </c>
      <c r="AL142" s="136" t="s">
        <v>547</v>
      </c>
      <c r="AM142" s="136" t="s">
        <v>203</v>
      </c>
      <c r="AN142" s="1">
        <v>2.3231199999999999</v>
      </c>
      <c r="AO142" s="166">
        <v>1.77911</v>
      </c>
      <c r="AQ142" t="e">
        <f>_xlfn.XLOOKUP(tblGWP21[[#This Row],[Material Subcategory]],ls_Mat,Factors!$K$952:$K$1023)</f>
        <v>#N/A</v>
      </c>
      <c r="AR142" s="173">
        <v>0.77500000000000002</v>
      </c>
      <c r="AU142" t="s">
        <v>526</v>
      </c>
      <c r="AV142" s="347">
        <v>0.9</v>
      </c>
      <c r="BA142" cm="1">
        <f t="array" ref="BA142:BM142">tblGWP21[#This Row]</f>
        <v>1</v>
      </c>
      <c r="BB142" t="str">
        <v>Plastics</v>
      </c>
      <c r="BC142" t="str">
        <v>LDPE</v>
      </c>
      <c r="BD142" t="str">
        <v>Asia</v>
      </c>
      <c r="BE142" t="str">
        <v>n/a</v>
      </c>
      <c r="BF142">
        <v>-2.3231199999999999</v>
      </c>
      <c r="BG142" t="e">
        <v>#N/A</v>
      </c>
      <c r="BH142">
        <v>-4.5596830501023762</v>
      </c>
      <c r="BI142" t="str">
        <v>DELETE</v>
      </c>
      <c r="BJ142" t="str">
        <v>DELETE</v>
      </c>
      <c r="BK142">
        <v>2.6030302940227998E-2</v>
      </c>
      <c r="BL142">
        <v>0.4528680102827185</v>
      </c>
      <c r="BM142">
        <v>2.4956085945289099</v>
      </c>
    </row>
    <row r="143" spans="3:65" ht="28.8">
      <c r="C143" s="375">
        <v>1</v>
      </c>
      <c r="D143" s="374" t="s">
        <v>252</v>
      </c>
      <c r="E143" s="375" t="s">
        <v>253</v>
      </c>
      <c r="F143" s="362" t="s">
        <v>547</v>
      </c>
      <c r="G143" s="362" t="s">
        <v>203</v>
      </c>
      <c r="H143" s="368">
        <v>-2.04928</v>
      </c>
      <c r="I143" s="368">
        <v>0</v>
      </c>
      <c r="J143" s="368">
        <v>-3.8551691693355163</v>
      </c>
      <c r="K143" s="368">
        <v>0</v>
      </c>
      <c r="L143" s="368">
        <v>0</v>
      </c>
      <c r="M143" s="368">
        <v>2.6030302136830198E-2</v>
      </c>
      <c r="N143" s="368">
        <v>0.37911282506133048</v>
      </c>
      <c r="O143" s="368">
        <v>3.183177821187805</v>
      </c>
      <c r="T143" s="49">
        <v>1</v>
      </c>
      <c r="U143" s="143" t="s">
        <v>252</v>
      </c>
      <c r="V143" s="33" t="s">
        <v>254</v>
      </c>
      <c r="W143" s="53" t="s">
        <v>547</v>
      </c>
      <c r="X143" s="53" t="s">
        <v>203</v>
      </c>
      <c r="Y143" s="172">
        <f>IFERROR(-tblZwaste1422[[#This Row],[Weight (kgCO2e/kg)]],0)</f>
        <v>-2.1485799999999999</v>
      </c>
      <c r="Z143" s="172" t="e">
        <f>IF(AQ143="x",(AR143*-tblZwaste1422[[#This Row],[Weight (kgCO2e/kg)]])+AS143+($AR$10*Lookups!$J$38/1000),"DELETE")</f>
        <v>#N/A</v>
      </c>
      <c r="AA143" s="172">
        <f t="shared" si="63"/>
        <v>-4.6371419102618727</v>
      </c>
      <c r="AB143" s="172" t="str">
        <f t="shared" si="63"/>
        <v>DELETE</v>
      </c>
      <c r="AC143" s="172" t="str">
        <f t="shared" si="63"/>
        <v>DELETE</v>
      </c>
      <c r="AD143" s="172">
        <f t="shared" si="63"/>
        <v>2.6030302136814051E-2</v>
      </c>
      <c r="AE143" s="172">
        <f t="shared" si="63"/>
        <v>0.61984146932710904</v>
      </c>
      <c r="AF143" s="172">
        <f t="shared" si="63"/>
        <v>2.5363327820672001</v>
      </c>
      <c r="AG143" s="150"/>
      <c r="AI143" s="137">
        <v>1</v>
      </c>
      <c r="AJ143" s="136" t="s">
        <v>252</v>
      </c>
      <c r="AK143" s="142" t="s">
        <v>254</v>
      </c>
      <c r="AL143" s="136" t="s">
        <v>547</v>
      </c>
      <c r="AM143" s="136" t="s">
        <v>203</v>
      </c>
      <c r="AN143" s="1">
        <v>2.1485799999999999</v>
      </c>
      <c r="AO143" s="166">
        <v>1.77911</v>
      </c>
      <c r="AQ143" t="e">
        <f>_xlfn.XLOOKUP(tblGWP21[[#This Row],[Material Subcategory]],ls_Mat,Factors!$K$952:$K$1023)</f>
        <v>#N/A</v>
      </c>
      <c r="AR143" s="173">
        <v>0.77500000000000002</v>
      </c>
      <c r="AS143">
        <v>8.1306407300000008E-2</v>
      </c>
      <c r="AT143" t="s">
        <v>531</v>
      </c>
      <c r="AU143" t="s">
        <v>526</v>
      </c>
      <c r="AV143" s="347">
        <v>0.9</v>
      </c>
      <c r="BA143" cm="1">
        <f t="array" ref="BA143:BM143">tblGWP21[#This Row]</f>
        <v>1</v>
      </c>
      <c r="BB143" t="str">
        <v>Plastics</v>
      </c>
      <c r="BC143" t="str">
        <v>PET</v>
      </c>
      <c r="BD143" t="str">
        <v>Asia</v>
      </c>
      <c r="BE143" t="str">
        <v>n/a</v>
      </c>
      <c r="BF143">
        <v>-2.1485799999999999</v>
      </c>
      <c r="BG143" t="e">
        <v>#N/A</v>
      </c>
      <c r="BH143">
        <v>-4.6371419102618727</v>
      </c>
      <c r="BI143" t="str">
        <v>DELETE</v>
      </c>
      <c r="BJ143" t="str">
        <v>DELETE</v>
      </c>
      <c r="BK143">
        <v>2.6030302136814051E-2</v>
      </c>
      <c r="BL143">
        <v>0.61984146932710904</v>
      </c>
      <c r="BM143">
        <v>2.5363327820672001</v>
      </c>
    </row>
    <row r="144" spans="3:65">
      <c r="C144" s="6">
        <v>1</v>
      </c>
      <c r="D144" s="373" t="s">
        <v>252</v>
      </c>
      <c r="E144" s="6" t="s">
        <v>328</v>
      </c>
      <c r="F144" s="136" t="s">
        <v>547</v>
      </c>
      <c r="G144" s="136" t="s">
        <v>203</v>
      </c>
      <c r="H144" s="191">
        <v>-2.3231199999999999</v>
      </c>
      <c r="I144" s="191">
        <v>0</v>
      </c>
      <c r="J144" s="191">
        <v>-4.5596830501023762</v>
      </c>
      <c r="K144" s="191">
        <v>0</v>
      </c>
      <c r="L144" s="191">
        <v>0</v>
      </c>
      <c r="M144" s="191">
        <v>2.6030302940227998E-2</v>
      </c>
      <c r="N144" s="191">
        <v>0.4528680102827185</v>
      </c>
      <c r="O144" s="191">
        <v>2.4956085945289099</v>
      </c>
      <c r="T144" s="49">
        <v>1</v>
      </c>
      <c r="U144" s="143" t="s">
        <v>252</v>
      </c>
      <c r="V144" s="33" t="s">
        <v>532</v>
      </c>
      <c r="W144" s="53" t="s">
        <v>547</v>
      </c>
      <c r="X144" s="53" t="s">
        <v>203</v>
      </c>
      <c r="Y144" s="172">
        <f>IFERROR(-tblZwaste1422[[#This Row],[Weight (kgCO2e/kg)]],0)</f>
        <v>-1.9492499999999999</v>
      </c>
      <c r="Z144" s="172" t="e">
        <f>IF(AQ144="x",(AR144*-tblZwaste1422[[#This Row],[Weight (kgCO2e/kg)]])+AS144+($AR$10*Lookups!$J$38/1000),"DELETE")</f>
        <v>#N/A</v>
      </c>
      <c r="AA144" s="172">
        <f t="shared" si="63"/>
        <v>-4.5596830501023762</v>
      </c>
      <c r="AB144" s="172" t="str">
        <f t="shared" si="63"/>
        <v>DELETE</v>
      </c>
      <c r="AC144" s="172" t="str">
        <f t="shared" si="63"/>
        <v>DELETE</v>
      </c>
      <c r="AD144" s="172">
        <f t="shared" si="63"/>
        <v>2.6030302940227998E-2</v>
      </c>
      <c r="AE144" s="172">
        <f t="shared" si="63"/>
        <v>0.4528680102827185</v>
      </c>
      <c r="AF144" s="172">
        <f t="shared" si="63"/>
        <v>2.4956085945289099</v>
      </c>
      <c r="AG144" s="150"/>
      <c r="AI144" s="137">
        <v>1</v>
      </c>
      <c r="AJ144" s="136" t="s">
        <v>252</v>
      </c>
      <c r="AK144" s="142" t="s">
        <v>532</v>
      </c>
      <c r="AL144" s="136" t="s">
        <v>547</v>
      </c>
      <c r="AM144" s="136" t="s">
        <v>203</v>
      </c>
      <c r="AN144" s="1">
        <v>1.9492499999999999</v>
      </c>
      <c r="AO144" s="166">
        <v>1.77911</v>
      </c>
      <c r="AQ144" t="e">
        <f>_xlfn.XLOOKUP(tblGWP21[[#This Row],[Material Subcategory]],ls_Mat,Factors!$K$952:$K$1023)</f>
        <v>#N/A</v>
      </c>
      <c r="AU144" t="s">
        <v>526</v>
      </c>
      <c r="AV144" s="347">
        <v>0.95</v>
      </c>
      <c r="BA144" cm="1">
        <f t="array" ref="BA144:BM144">tblGWP21[#This Row]</f>
        <v>1</v>
      </c>
      <c r="BB144" t="str">
        <v>Plastics</v>
      </c>
      <c r="BC144" t="str">
        <v>LLDPE</v>
      </c>
      <c r="BD144" t="str">
        <v>Asia</v>
      </c>
      <c r="BE144" t="str">
        <v>n/a</v>
      </c>
      <c r="BF144">
        <v>-1.9492499999999999</v>
      </c>
      <c r="BG144" t="e">
        <v>#N/A</v>
      </c>
      <c r="BH144">
        <v>-4.5596830501023762</v>
      </c>
      <c r="BI144" t="str">
        <v>DELETE</v>
      </c>
      <c r="BJ144" t="str">
        <v>DELETE</v>
      </c>
      <c r="BK144">
        <v>2.6030302940227998E-2</v>
      </c>
      <c r="BL144">
        <v>0.4528680102827185</v>
      </c>
      <c r="BM144">
        <v>2.4956085945289099</v>
      </c>
    </row>
    <row r="145" spans="3:65">
      <c r="C145" s="375">
        <v>1</v>
      </c>
      <c r="D145" s="374" t="s">
        <v>252</v>
      </c>
      <c r="E145" s="375" t="s">
        <v>254</v>
      </c>
      <c r="F145" s="362" t="s">
        <v>547</v>
      </c>
      <c r="G145" s="362" t="s">
        <v>203</v>
      </c>
      <c r="H145" s="368">
        <v>-2.1485799999999999</v>
      </c>
      <c r="I145" s="368">
        <v>0</v>
      </c>
      <c r="J145" s="368">
        <v>-4.6371419102618727</v>
      </c>
      <c r="K145" s="368">
        <v>0</v>
      </c>
      <c r="L145" s="368">
        <v>0</v>
      </c>
      <c r="M145" s="368">
        <v>2.6030302136814051E-2</v>
      </c>
      <c r="N145" s="368">
        <v>0.61984146932710904</v>
      </c>
      <c r="O145" s="368">
        <v>2.5363327820672001</v>
      </c>
      <c r="T145" s="49">
        <v>1</v>
      </c>
      <c r="U145" s="143" t="s">
        <v>252</v>
      </c>
      <c r="V145" s="33" t="s">
        <v>245</v>
      </c>
      <c r="W145" s="53" t="s">
        <v>547</v>
      </c>
      <c r="X145" s="53" t="s">
        <v>203</v>
      </c>
      <c r="Y145" s="172">
        <f>IFERROR(-tblZwaste1422[[#This Row],[Weight (kgCO2e/kg)]],0)</f>
        <v>-2.0269300000000001</v>
      </c>
      <c r="Z145" s="172" t="e">
        <f>IF(AQ145="x",(AR145*-tblZwaste1422[[#This Row],[Weight (kgCO2e/kg)]])+AS145+($AR$10*Lookups!$J$38/1000),"DELETE")</f>
        <v>#N/A</v>
      </c>
      <c r="AA145" s="172" t="str">
        <f t="shared" si="63"/>
        <v>DELETE</v>
      </c>
      <c r="AB145" s="172" t="str">
        <f t="shared" si="63"/>
        <v>DELETE</v>
      </c>
      <c r="AC145" s="172" t="str">
        <f t="shared" si="63"/>
        <v>DELETE</v>
      </c>
      <c r="AD145" s="172">
        <f t="shared" si="63"/>
        <v>2.60303030614739E-2</v>
      </c>
      <c r="AE145" s="172">
        <f t="shared" si="63"/>
        <v>0.3318852206820565</v>
      </c>
      <c r="AF145" s="172">
        <f t="shared" si="63"/>
        <v>3.1833671310899101</v>
      </c>
      <c r="AG145" s="150"/>
      <c r="AI145" s="137">
        <v>1</v>
      </c>
      <c r="AJ145" s="136" t="s">
        <v>252</v>
      </c>
      <c r="AK145" s="142" t="s">
        <v>245</v>
      </c>
      <c r="AL145" s="136" t="s">
        <v>547</v>
      </c>
      <c r="AM145" s="136" t="s">
        <v>203</v>
      </c>
      <c r="AN145" s="1">
        <v>2.0269300000000001</v>
      </c>
      <c r="AO145" s="166">
        <v>1.77911</v>
      </c>
      <c r="AQ145" t="e">
        <f>_xlfn.XLOOKUP(tblGWP21[[#This Row],[Material Subcategory]],ls_Mat,Factors!$K$952:$K$1023)</f>
        <v>#N/A</v>
      </c>
      <c r="AR145" s="173">
        <v>0.77500000000000002</v>
      </c>
      <c r="AS145">
        <v>8.1306407300000008E-2</v>
      </c>
      <c r="AT145" t="s">
        <v>531</v>
      </c>
      <c r="AU145" t="s">
        <v>526</v>
      </c>
      <c r="AV145" s="347">
        <v>0.7</v>
      </c>
      <c r="BA145" cm="1">
        <f t="array" ref="BA145:BM145">tblGWP21[#This Row]</f>
        <v>1</v>
      </c>
      <c r="BB145" t="str">
        <v>Plastics</v>
      </c>
      <c r="BC145" t="str">
        <v>PP</v>
      </c>
      <c r="BD145" t="str">
        <v>Asia</v>
      </c>
      <c r="BE145" t="str">
        <v>n/a</v>
      </c>
      <c r="BF145">
        <v>-2.0269300000000001</v>
      </c>
      <c r="BG145" t="e">
        <v>#N/A</v>
      </c>
      <c r="BH145" t="str">
        <v>DELETE</v>
      </c>
      <c r="BI145" t="str">
        <v>DELETE</v>
      </c>
      <c r="BJ145" t="str">
        <v>DELETE</v>
      </c>
      <c r="BK145">
        <v>2.60303030614739E-2</v>
      </c>
      <c r="BL145">
        <v>0.3318852206820565</v>
      </c>
      <c r="BM145">
        <v>3.1833671310899101</v>
      </c>
    </row>
    <row r="146" spans="3:65">
      <c r="C146" s="6">
        <v>1</v>
      </c>
      <c r="D146" s="373" t="s">
        <v>252</v>
      </c>
      <c r="E146" s="6" t="s">
        <v>532</v>
      </c>
      <c r="F146" s="136" t="s">
        <v>547</v>
      </c>
      <c r="G146" s="136" t="s">
        <v>203</v>
      </c>
      <c r="H146" s="191">
        <v>-1.9492499999999999</v>
      </c>
      <c r="I146" s="191">
        <v>0</v>
      </c>
      <c r="J146" s="191">
        <v>-4.5596830501023762</v>
      </c>
      <c r="K146" s="191">
        <v>0</v>
      </c>
      <c r="L146" s="191">
        <v>0</v>
      </c>
      <c r="M146" s="191">
        <v>2.6030302940227998E-2</v>
      </c>
      <c r="N146" s="191">
        <v>0.4528680102827185</v>
      </c>
      <c r="O146" s="191">
        <v>2.4956085945289099</v>
      </c>
      <c r="T146" s="49">
        <v>1</v>
      </c>
      <c r="U146" s="143" t="s">
        <v>252</v>
      </c>
      <c r="V146" s="33" t="s">
        <v>533</v>
      </c>
      <c r="W146" s="53" t="s">
        <v>547</v>
      </c>
      <c r="X146" s="53" t="s">
        <v>203</v>
      </c>
      <c r="Y146" s="172">
        <f>IFERROR(-tblZwaste1422[[#This Row],[Weight (kgCO2e/kg)]],0)</f>
        <v>-2.0748000000000002</v>
      </c>
      <c r="Z146" s="172" t="e">
        <f>IF(AQ146="x",(AR146*-tblZwaste1422[[#This Row],[Weight (kgCO2e/kg)]])+AS146+($AR$10*Lookups!$J$38/1000),"DELETE")</f>
        <v>#N/A</v>
      </c>
      <c r="AA146" s="172" t="str">
        <f t="shared" si="63"/>
        <v>DELETE</v>
      </c>
      <c r="AB146" s="172" t="str">
        <f t="shared" si="63"/>
        <v>DELETE</v>
      </c>
      <c r="AC146" s="172" t="str">
        <f t="shared" si="63"/>
        <v>DELETE</v>
      </c>
      <c r="AD146" s="172">
        <f t="shared" si="63"/>
        <v>2.6030297853728949E-2</v>
      </c>
      <c r="AE146" s="172">
        <f t="shared" si="63"/>
        <v>0.54446869645228302</v>
      </c>
      <c r="AF146" s="172">
        <f t="shared" si="63"/>
        <v>3.0368309293403852</v>
      </c>
      <c r="AG146" s="150"/>
      <c r="AI146" s="137">
        <v>1</v>
      </c>
      <c r="AJ146" s="136" t="s">
        <v>252</v>
      </c>
      <c r="AK146" s="142" t="s">
        <v>533</v>
      </c>
      <c r="AL146" s="136" t="s">
        <v>547</v>
      </c>
      <c r="AM146" s="136" t="s">
        <v>203</v>
      </c>
      <c r="AN146" s="1">
        <v>2.0748000000000002</v>
      </c>
      <c r="AO146" s="166">
        <v>1.77911</v>
      </c>
      <c r="AQ146" t="e">
        <f>_xlfn.XLOOKUP(tblGWP21[[#This Row],[Material Subcategory]],ls_Mat,Factors!$K$952:$K$1023)</f>
        <v>#N/A</v>
      </c>
      <c r="AR146" s="173">
        <v>0.77500000000000002</v>
      </c>
      <c r="AS146">
        <v>8.1306407300000008E-2</v>
      </c>
      <c r="AT146" t="s">
        <v>531</v>
      </c>
      <c r="BA146" cm="1">
        <f t="array" ref="BA146:BM146">tblGWP21[#This Row]</f>
        <v>1</v>
      </c>
      <c r="BB146" t="str">
        <v>Plastics</v>
      </c>
      <c r="BC146" t="str">
        <v>PVC</v>
      </c>
      <c r="BD146" t="str">
        <v>Asia</v>
      </c>
      <c r="BE146" t="str">
        <v>n/a</v>
      </c>
      <c r="BF146">
        <v>-2.0748000000000002</v>
      </c>
      <c r="BG146" t="e">
        <v>#N/A</v>
      </c>
      <c r="BH146" t="str">
        <v>DELETE</v>
      </c>
      <c r="BI146" t="str">
        <v>DELETE</v>
      </c>
      <c r="BJ146" t="str">
        <v>DELETE</v>
      </c>
      <c r="BK146">
        <v>2.6030297853728949E-2</v>
      </c>
      <c r="BL146">
        <v>0.54446869645228302</v>
      </c>
      <c r="BM146">
        <v>3.0368309293403852</v>
      </c>
    </row>
    <row r="147" spans="3:65">
      <c r="C147" s="375">
        <v>1</v>
      </c>
      <c r="D147" s="374" t="s">
        <v>252</v>
      </c>
      <c r="E147" s="375" t="s">
        <v>245</v>
      </c>
      <c r="F147" s="362" t="s">
        <v>547</v>
      </c>
      <c r="G147" s="362" t="s">
        <v>203</v>
      </c>
      <c r="H147" s="368">
        <v>-2.0269300000000001</v>
      </c>
      <c r="I147" s="368">
        <v>0</v>
      </c>
      <c r="J147" s="368">
        <v>0</v>
      </c>
      <c r="K147" s="368">
        <v>0</v>
      </c>
      <c r="L147" s="368">
        <v>0</v>
      </c>
      <c r="M147" s="368">
        <v>2.60303030614739E-2</v>
      </c>
      <c r="N147" s="368">
        <v>0.3318852206820565</v>
      </c>
      <c r="O147" s="368">
        <v>3.1833671310899101</v>
      </c>
      <c r="T147" s="49">
        <v>1</v>
      </c>
      <c r="U147" s="143" t="s">
        <v>242</v>
      </c>
      <c r="V147" s="33" t="s">
        <v>242</v>
      </c>
      <c r="W147" s="53" t="s">
        <v>547</v>
      </c>
      <c r="X147" s="53" t="s">
        <v>203</v>
      </c>
      <c r="Y147" s="172">
        <f>IFERROR(-tblZwaste1422[[#This Row],[Weight (kgCO2e/kg)]],0)</f>
        <v>-38.486130000000003</v>
      </c>
      <c r="Z147" s="172" t="e">
        <f>IF(AQ147="x",(AR147*-tblZwaste1422[[#This Row],[Weight (kgCO2e/kg)]])+AS147+($AR$10*Lookups!$J$38/1000),"DELETE")</f>
        <v>#N/A</v>
      </c>
      <c r="AA147" s="172">
        <f>AVERAGE(AA148,AA149,AA181,AA182)</f>
        <v>-3.2868550000000001</v>
      </c>
      <c r="AB147" s="172" t="str">
        <f t="shared" si="63"/>
        <v>DELETE</v>
      </c>
      <c r="AC147" s="172" t="str">
        <f t="shared" si="63"/>
        <v>DELETE</v>
      </c>
      <c r="AD147" s="172">
        <f t="shared" si="63"/>
        <v>2.5860000000000001E-2</v>
      </c>
      <c r="AE147" s="172">
        <f t="shared" si="63"/>
        <v>4.1510051336500847E-2</v>
      </c>
      <c r="AF147" s="172">
        <f t="shared" si="63"/>
        <v>4.8921913689100351E-2</v>
      </c>
      <c r="AG147" s="150"/>
      <c r="AI147" s="137">
        <v>1</v>
      </c>
      <c r="AJ147" s="136" t="s">
        <v>242</v>
      </c>
      <c r="AK147" s="142" t="s">
        <v>242</v>
      </c>
      <c r="AL147" s="136" t="s">
        <v>547</v>
      </c>
      <c r="AM147" s="136" t="s">
        <v>203</v>
      </c>
      <c r="AN147" s="1">
        <v>38.486130000000003</v>
      </c>
      <c r="AO147" s="166">
        <v>0.20843</v>
      </c>
      <c r="AQ147" t="e">
        <f>_xlfn.XLOOKUP(tblGWP21[[#This Row],[Material Subcategory]],ls_Mat,Factors!$K$952:$K$1023)</f>
        <v>#N/A</v>
      </c>
      <c r="AR147" s="173">
        <v>0.72499999999999998</v>
      </c>
      <c r="AS147">
        <v>0</v>
      </c>
      <c r="AT147" t="s">
        <v>527</v>
      </c>
      <c r="BA147" cm="1">
        <f t="array" ref="BA147:BM147">tblGWP21[#This Row]</f>
        <v>1</v>
      </c>
      <c r="BB147" t="str">
        <v>Electronics</v>
      </c>
      <c r="BC147" t="str">
        <v>Electronics</v>
      </c>
      <c r="BD147" t="str">
        <v>Asia</v>
      </c>
      <c r="BE147" t="str">
        <v>n/a</v>
      </c>
      <c r="BF147">
        <v>-38.486130000000003</v>
      </c>
      <c r="BG147" t="e">
        <v>#N/A</v>
      </c>
      <c r="BH147">
        <v>-3.2868550000000001</v>
      </c>
      <c r="BI147" t="str">
        <v>DELETE</v>
      </c>
      <c r="BJ147" t="str">
        <v>DELETE</v>
      </c>
      <c r="BK147">
        <v>2.5860000000000001E-2</v>
      </c>
      <c r="BL147">
        <v>4.1510051336500847E-2</v>
      </c>
      <c r="BM147">
        <v>4.8921913689100351E-2</v>
      </c>
    </row>
    <row r="148" spans="3:65">
      <c r="C148" s="6">
        <v>1</v>
      </c>
      <c r="D148" s="373" t="s">
        <v>252</v>
      </c>
      <c r="E148" s="6" t="s">
        <v>533</v>
      </c>
      <c r="F148" s="136" t="s">
        <v>547</v>
      </c>
      <c r="G148" s="136" t="s">
        <v>203</v>
      </c>
      <c r="H148" s="191">
        <v>-2.0748000000000002</v>
      </c>
      <c r="I148" s="191">
        <v>0</v>
      </c>
      <c r="J148" s="191">
        <v>0</v>
      </c>
      <c r="K148" s="191">
        <v>0</v>
      </c>
      <c r="L148" s="191">
        <v>0</v>
      </c>
      <c r="M148" s="191">
        <v>2.6030297853728949E-2</v>
      </c>
      <c r="N148" s="191">
        <v>0.54446869645228302</v>
      </c>
      <c r="O148" s="191">
        <v>3.0368309293403852</v>
      </c>
      <c r="T148" s="49">
        <v>1</v>
      </c>
      <c r="U148" s="143" t="s">
        <v>242</v>
      </c>
      <c r="V148" s="33" t="s">
        <v>274</v>
      </c>
      <c r="W148" s="53" t="s">
        <v>547</v>
      </c>
      <c r="X148" s="53" t="s">
        <v>203</v>
      </c>
      <c r="Y148" s="172">
        <f>IFERROR(-tblZwaste1422[[#This Row],[Weight (kgCO2e/kg)]],0)</f>
        <v>-38.486130000000003</v>
      </c>
      <c r="Z148" s="172">
        <f>IF(AQ148="x",(AR148*-tblZwaste1422[[#This Row],[Weight (kgCO2e/kg)]])+AS148+($AR$10*Lookups!$J$38/1000),"DELETE")</f>
        <v>-27.900672450000002</v>
      </c>
      <c r="AA148" s="172">
        <v>-8.5278425000000002</v>
      </c>
      <c r="AB148" s="172" t="str">
        <f t="shared" si="63"/>
        <v>DELETE</v>
      </c>
      <c r="AC148" s="172" t="str">
        <f t="shared" si="63"/>
        <v>DELETE</v>
      </c>
      <c r="AD148" s="172">
        <f t="shared" si="63"/>
        <v>2.5860000000000001E-2</v>
      </c>
      <c r="AE148" s="172">
        <f t="shared" si="63"/>
        <v>4.1510051336500847E-2</v>
      </c>
      <c r="AF148" s="172">
        <f t="shared" si="63"/>
        <v>4.8921913689100351E-2</v>
      </c>
      <c r="AG148" s="150"/>
      <c r="AI148" s="137">
        <v>1</v>
      </c>
      <c r="AJ148" s="136" t="s">
        <v>242</v>
      </c>
      <c r="AK148" s="142" t="s">
        <v>242</v>
      </c>
      <c r="AL148" s="136" t="s">
        <v>547</v>
      </c>
      <c r="AM148" s="136" t="s">
        <v>203</v>
      </c>
      <c r="AN148" s="1">
        <v>38.486130000000003</v>
      </c>
      <c r="AO148" s="166">
        <v>0.20843</v>
      </c>
      <c r="AQ148" t="str">
        <f>_xlfn.XLOOKUP(tblGWP21[[#This Row],[Material Subcategory]],ls_Mat,Factors!$K$952:$K$1023)</f>
        <v>x</v>
      </c>
      <c r="AR148" s="173">
        <v>0.72499999999999998</v>
      </c>
      <c r="AS148">
        <v>0</v>
      </c>
      <c r="AT148" t="s">
        <v>527</v>
      </c>
      <c r="BA148" cm="1">
        <f t="array" ref="BA148:BM148">tblGWP21[#This Row]</f>
        <v>1</v>
      </c>
      <c r="BB148" t="str">
        <v>Electronics</v>
      </c>
      <c r="BC148" t="str">
        <v>E-waste</v>
      </c>
      <c r="BD148" t="str">
        <v>Asia</v>
      </c>
      <c r="BE148" t="str">
        <v>n/a</v>
      </c>
      <c r="BF148">
        <v>-38.486130000000003</v>
      </c>
      <c r="BG148">
        <v>-27.900672450000002</v>
      </c>
      <c r="BH148">
        <v>-8.5278425000000002</v>
      </c>
      <c r="BI148" t="str">
        <v>DELETE</v>
      </c>
      <c r="BJ148" t="str">
        <v>DELETE</v>
      </c>
      <c r="BK148">
        <v>2.5860000000000001E-2</v>
      </c>
      <c r="BL148">
        <v>4.1510051336500847E-2</v>
      </c>
      <c r="BM148">
        <v>4.8921913689100351E-2</v>
      </c>
    </row>
    <row r="149" spans="3:65">
      <c r="C149" s="375">
        <v>1</v>
      </c>
      <c r="D149" s="374" t="s">
        <v>242</v>
      </c>
      <c r="E149" s="375" t="s">
        <v>242</v>
      </c>
      <c r="F149" s="362" t="s">
        <v>547</v>
      </c>
      <c r="G149" s="362" t="s">
        <v>203</v>
      </c>
      <c r="H149" s="368">
        <v>-38.486130000000003</v>
      </c>
      <c r="I149" s="368">
        <v>-27.900672450000002</v>
      </c>
      <c r="J149" s="368">
        <v>-3.2868550000000001</v>
      </c>
      <c r="K149" s="368">
        <v>0</v>
      </c>
      <c r="L149" s="368">
        <v>0</v>
      </c>
      <c r="M149" s="368">
        <v>2.5860000000000001E-2</v>
      </c>
      <c r="N149" s="368">
        <v>4.1510051336500847E-2</v>
      </c>
      <c r="O149" s="368">
        <v>4.8921913689100351E-2</v>
      </c>
      <c r="T149" s="49">
        <v>1</v>
      </c>
      <c r="U149" s="143" t="s">
        <v>242</v>
      </c>
      <c r="V149" s="33" t="s">
        <v>534</v>
      </c>
      <c r="W149" s="53" t="s">
        <v>547</v>
      </c>
      <c r="X149" s="53" t="s">
        <v>203</v>
      </c>
      <c r="Y149" s="172">
        <f>IFERROR(-tblZwaste1422[[#This Row],[Weight (kgCO2e/kg)]],0)</f>
        <v>-15.0122</v>
      </c>
      <c r="Z149" s="172">
        <f>IF(AQ149="x",(AR149*-tblZwaste1422[[#This Row],[Weight (kgCO2e/kg)]])+AS149+($AR$10*Lookups!$J$38/1000),"DELETE")</f>
        <v>-10.882073199999999</v>
      </c>
      <c r="AA149" s="172">
        <v>-3.19428</v>
      </c>
      <c r="AB149" s="172" t="str">
        <f t="shared" ref="AA149:AF158" si="64">IF(ISNUMBER(AVERAGE(AB429,AB485)),AVERAGE(AB429,AB485),AB429)</f>
        <v>DELETE</v>
      </c>
      <c r="AC149" s="172" t="str">
        <f t="shared" si="64"/>
        <v>DELETE</v>
      </c>
      <c r="AD149" s="172">
        <f t="shared" si="64"/>
        <v>2.5860000000000001E-2</v>
      </c>
      <c r="AE149" s="172">
        <f t="shared" si="64"/>
        <v>4.1510051336500847E-2</v>
      </c>
      <c r="AF149" s="172">
        <f t="shared" si="64"/>
        <v>4.8921913689100351E-2</v>
      </c>
      <c r="AG149" s="150"/>
      <c r="AI149" s="137">
        <v>1</v>
      </c>
      <c r="AJ149" s="136" t="s">
        <v>242</v>
      </c>
      <c r="AK149" s="142" t="s">
        <v>534</v>
      </c>
      <c r="AL149" s="136" t="s">
        <v>547</v>
      </c>
      <c r="AM149" s="136" t="s">
        <v>203</v>
      </c>
      <c r="AN149" s="1">
        <v>15.0122</v>
      </c>
      <c r="AO149" s="166">
        <v>0.37092000000000003</v>
      </c>
      <c r="AQ149" t="str">
        <f>_xlfn.XLOOKUP(tblGWP21[[#This Row],[Material Subcategory]],ls_Mat,Factors!$K$952:$K$1023)</f>
        <v>x</v>
      </c>
      <c r="AR149" s="173">
        <v>0.72499999999999998</v>
      </c>
      <c r="AS149">
        <v>0</v>
      </c>
      <c r="AT149" t="s">
        <v>527</v>
      </c>
      <c r="BA149" cm="1">
        <f t="array" ref="BA149:BM149">tblGWP21[#This Row]</f>
        <v>1</v>
      </c>
      <c r="BB149" t="str">
        <v>Electronics</v>
      </c>
      <c r="BC149" t="str">
        <v>Batteries</v>
      </c>
      <c r="BD149" t="str">
        <v>Asia</v>
      </c>
      <c r="BE149" t="str">
        <v>n/a</v>
      </c>
      <c r="BF149">
        <v>-15.0122</v>
      </c>
      <c r="BG149">
        <v>-10.882073199999999</v>
      </c>
      <c r="BH149">
        <v>-3.19428</v>
      </c>
      <c r="BI149" t="str">
        <v>DELETE</v>
      </c>
      <c r="BJ149" t="str">
        <v>DELETE</v>
      </c>
      <c r="BK149">
        <v>2.5860000000000001E-2</v>
      </c>
      <c r="BL149">
        <v>4.1510051336500847E-2</v>
      </c>
      <c r="BM149">
        <v>4.8921913689100351E-2</v>
      </c>
    </row>
    <row r="150" spans="3:65">
      <c r="C150" s="6">
        <v>1</v>
      </c>
      <c r="D150" s="373" t="s">
        <v>242</v>
      </c>
      <c r="E150" s="6" t="s">
        <v>274</v>
      </c>
      <c r="F150" s="136" t="s">
        <v>547</v>
      </c>
      <c r="G150" s="136" t="s">
        <v>203</v>
      </c>
      <c r="H150" s="191">
        <v>-38.486130000000003</v>
      </c>
      <c r="I150" s="191">
        <v>-27.900672450000002</v>
      </c>
      <c r="J150" s="191">
        <v>-8.5278425000000002</v>
      </c>
      <c r="K150" s="191">
        <v>0</v>
      </c>
      <c r="L150" s="191">
        <v>0</v>
      </c>
      <c r="M150" s="191">
        <v>2.5860000000000001E-2</v>
      </c>
      <c r="N150" s="191">
        <v>4.1510051336500847E-2</v>
      </c>
      <c r="O150" s="191">
        <v>4.8921913689100351E-2</v>
      </c>
      <c r="T150" s="49">
        <v>1</v>
      </c>
      <c r="U150" s="143" t="s">
        <v>239</v>
      </c>
      <c r="V150" s="33" t="s">
        <v>239</v>
      </c>
      <c r="W150" s="53" t="s">
        <v>547</v>
      </c>
      <c r="X150" s="53" t="s">
        <v>203</v>
      </c>
      <c r="Y150" s="172">
        <f>IFERROR(-tblZwaste1422[[#This Row],[Weight (kgCO2e/kg)]],0)</f>
        <v>-2.6644477777777777</v>
      </c>
      <c r="Z150" s="172" t="e">
        <f>IF(AQ150="x",(AR150*-tblZwaste1422[[#This Row],[Weight (kgCO2e/kg)]])+AS150+($AR$10*Lookups!$J$38/1000),"DELETE")</f>
        <v>#N/A</v>
      </c>
      <c r="AA150" s="172">
        <f t="shared" si="64"/>
        <v>-0.85682531571611209</v>
      </c>
      <c r="AB150" s="172">
        <f t="shared" si="64"/>
        <v>-1.6056559573269851</v>
      </c>
      <c r="AC150" s="172">
        <f t="shared" si="64"/>
        <v>-2.3878173145866999</v>
      </c>
      <c r="AD150" s="172">
        <f t="shared" si="64"/>
        <v>-0.61788219420844359</v>
      </c>
      <c r="AE150" s="172">
        <f t="shared" si="64"/>
        <v>-0.87660684185985005</v>
      </c>
      <c r="AF150" s="172">
        <f t="shared" si="64"/>
        <v>2.7472181149774001E-2</v>
      </c>
      <c r="AG150" s="150"/>
      <c r="AI150" s="137">
        <v>1</v>
      </c>
      <c r="AJ150" s="136" t="s">
        <v>239</v>
      </c>
      <c r="AK150" s="142" t="s">
        <v>239</v>
      </c>
      <c r="AL150" s="136" t="s">
        <v>547</v>
      </c>
      <c r="AM150" s="136" t="s">
        <v>203</v>
      </c>
      <c r="AN150" s="1">
        <v>2.6644477777777777</v>
      </c>
      <c r="AO150" s="166">
        <v>0.64099666666666666</v>
      </c>
      <c r="AQ150" t="e">
        <f>_xlfn.XLOOKUP(tblGWP21[[#This Row],[Material Subcategory]],ls_Mat,Factors!$K$952:$K$1023)</f>
        <v>#N/A</v>
      </c>
      <c r="AR150" s="173">
        <v>0.64600000000000002</v>
      </c>
      <c r="AS150">
        <v>0</v>
      </c>
      <c r="AT150" t="s">
        <v>527</v>
      </c>
      <c r="AU150" t="s">
        <v>526</v>
      </c>
      <c r="AV150" s="347">
        <v>0.7</v>
      </c>
      <c r="BA150" cm="1">
        <f t="array" ref="BA150:BM150">tblGWP21[#This Row]</f>
        <v>1</v>
      </c>
      <c r="BB150" t="str">
        <v>Paper</v>
      </c>
      <c r="BC150" t="str">
        <v>Paper</v>
      </c>
      <c r="BD150" t="str">
        <v>Asia</v>
      </c>
      <c r="BE150" t="str">
        <v>n/a</v>
      </c>
      <c r="BF150">
        <v>-2.6644477777777777</v>
      </c>
      <c r="BG150" t="e">
        <v>#N/A</v>
      </c>
      <c r="BH150">
        <v>-0.85682531571611209</v>
      </c>
      <c r="BI150">
        <v>-1.6056559573269851</v>
      </c>
      <c r="BJ150">
        <v>-2.3878173145866999</v>
      </c>
      <c r="BK150">
        <v>-0.61788219420844359</v>
      </c>
      <c r="BL150">
        <v>-0.87660684185985005</v>
      </c>
      <c r="BM150">
        <v>2.7472181149774001E-2</v>
      </c>
    </row>
    <row r="151" spans="3:65">
      <c r="C151" s="375">
        <v>1</v>
      </c>
      <c r="D151" s="374" t="s">
        <v>242</v>
      </c>
      <c r="E151" s="375" t="s">
        <v>534</v>
      </c>
      <c r="F151" s="362" t="s">
        <v>547</v>
      </c>
      <c r="G151" s="362" t="s">
        <v>203</v>
      </c>
      <c r="H151" s="368">
        <v>-15.0122</v>
      </c>
      <c r="I151" s="368">
        <v>-10.882073199999999</v>
      </c>
      <c r="J151" s="368">
        <v>-3.19428</v>
      </c>
      <c r="K151" s="368">
        <v>0</v>
      </c>
      <c r="L151" s="368">
        <v>0</v>
      </c>
      <c r="M151" s="368">
        <v>2.5860000000000001E-2</v>
      </c>
      <c r="N151" s="368">
        <v>4.1510051336500847E-2</v>
      </c>
      <c r="O151" s="368">
        <v>4.8921913689100351E-2</v>
      </c>
      <c r="T151" s="49">
        <v>1</v>
      </c>
      <c r="U151" s="143" t="s">
        <v>239</v>
      </c>
      <c r="V151" s="33" t="s">
        <v>324</v>
      </c>
      <c r="W151" s="53" t="s">
        <v>547</v>
      </c>
      <c r="X151" s="53" t="s">
        <v>203</v>
      </c>
      <c r="Y151" s="172">
        <f>IFERROR(-tblZwaste1422[[#This Row],[Weight (kgCO2e/kg)]],0)</f>
        <v>-1.66</v>
      </c>
      <c r="Z151" s="172" t="str">
        <f>IF(AQ151="x",(AR151*-tblZwaste1422[[#This Row],[Weight (kgCO2e/kg)]])+AS151+($AR$10*Lookups!$J$38/1000),"DELETE")</f>
        <v>DELETE</v>
      </c>
      <c r="AA151" s="172">
        <f t="shared" si="64"/>
        <v>0.19119209511012797</v>
      </c>
      <c r="AB151" s="172">
        <f t="shared" si="64"/>
        <v>-1.6163617345818451</v>
      </c>
      <c r="AC151" s="172">
        <f t="shared" si="64"/>
        <v>-2.2387536417545801</v>
      </c>
      <c r="AD151" s="172">
        <f t="shared" si="64"/>
        <v>-1.11437293761495</v>
      </c>
      <c r="AE151" s="172">
        <f t="shared" si="64"/>
        <v>-0.95304435118708697</v>
      </c>
      <c r="AF151" s="172">
        <f t="shared" si="64"/>
        <v>2.6682736802057398E-2</v>
      </c>
      <c r="AG151" s="150"/>
      <c r="AI151" s="137">
        <v>1</v>
      </c>
      <c r="AJ151" s="136" t="s">
        <v>239</v>
      </c>
      <c r="AK151" s="142" t="s">
        <v>324</v>
      </c>
      <c r="AL151" s="136" t="s">
        <v>547</v>
      </c>
      <c r="AM151" s="136" t="s">
        <v>203</v>
      </c>
      <c r="AN151" s="1">
        <v>1.66</v>
      </c>
      <c r="AO151" s="166">
        <v>0.13142999999999999</v>
      </c>
      <c r="AQ151">
        <f>_xlfn.XLOOKUP(tblGWP21[[#This Row],[Material Subcategory]],ls_Mat,Factors!$K$952:$K$1023)</f>
        <v>0</v>
      </c>
      <c r="AR151" s="173">
        <v>0.64600000000000002</v>
      </c>
      <c r="AS151">
        <v>0</v>
      </c>
      <c r="AT151" t="s">
        <v>527</v>
      </c>
      <c r="AU151" t="s">
        <v>526</v>
      </c>
      <c r="AV151" s="347">
        <v>0.65</v>
      </c>
      <c r="BA151" cm="1">
        <f t="array" ref="BA151:BM151">tblGWP21[#This Row]</f>
        <v>1</v>
      </c>
      <c r="BB151" t="str">
        <v>Paper</v>
      </c>
      <c r="BC151" t="str">
        <v>Newsprint</v>
      </c>
      <c r="BD151" t="str">
        <v>Asia</v>
      </c>
      <c r="BE151" t="str">
        <v>n/a</v>
      </c>
      <c r="BF151">
        <v>-1.66</v>
      </c>
      <c r="BG151" t="str">
        <v>DELETE</v>
      </c>
      <c r="BH151">
        <v>0.19119209511012797</v>
      </c>
      <c r="BI151">
        <v>-1.6163617345818451</v>
      </c>
      <c r="BJ151">
        <v>-2.2387536417545801</v>
      </c>
      <c r="BK151">
        <v>-1.11437293761495</v>
      </c>
      <c r="BL151">
        <v>-0.95304435118708697</v>
      </c>
      <c r="BM151">
        <v>2.6682736802057398E-2</v>
      </c>
    </row>
    <row r="152" spans="3:65">
      <c r="C152" s="136">
        <v>1</v>
      </c>
      <c r="D152" s="137" t="s">
        <v>239</v>
      </c>
      <c r="E152" s="136" t="s">
        <v>239</v>
      </c>
      <c r="F152" s="136" t="s">
        <v>547</v>
      </c>
      <c r="G152" s="136" t="s">
        <v>203</v>
      </c>
      <c r="H152" s="191">
        <v>-2.6644477777777777</v>
      </c>
      <c r="I152" s="191">
        <v>-1.7194614644444446</v>
      </c>
      <c r="J152" s="191">
        <v>-0.85682531571611209</v>
      </c>
      <c r="K152" s="191">
        <v>-1.6056559573269851</v>
      </c>
      <c r="L152" s="191">
        <v>-2.3878173145866999</v>
      </c>
      <c r="M152" s="191">
        <v>-0.61788219420844359</v>
      </c>
      <c r="N152" s="191">
        <v>-0.87660684185985005</v>
      </c>
      <c r="O152" s="191">
        <v>2.7472181149774001E-2</v>
      </c>
      <c r="T152" s="48">
        <v>1</v>
      </c>
      <c r="U152" s="46" t="s">
        <v>239</v>
      </c>
      <c r="V152" s="53" t="s">
        <v>272</v>
      </c>
      <c r="W152" s="53" t="s">
        <v>547</v>
      </c>
      <c r="X152" s="53" t="s">
        <v>203</v>
      </c>
      <c r="Y152" s="172">
        <f>IFERROR(-tblZwaste1422[[#This Row],[Weight (kgCO2e/kg)]],0)</f>
        <v>-2.1278299999999999</v>
      </c>
      <c r="Z152" s="172">
        <f>IF(AQ152="x",(AR152*-tblZwaste1422[[#This Row],[Weight (kgCO2e/kg)]])+AS152+($AR$10*Lookups!$J$38/1000),"DELETE")</f>
        <v>-1.3728063799999999</v>
      </c>
      <c r="AA152" s="172">
        <f t="shared" si="64"/>
        <v>1.8094831987163201E-4</v>
      </c>
      <c r="AB152" s="172">
        <f t="shared" si="64"/>
        <v>-1.443117437906615</v>
      </c>
      <c r="AC152" s="172">
        <f t="shared" si="64"/>
        <v>-2.2498609420692448</v>
      </c>
      <c r="AD152" s="172">
        <f t="shared" si="64"/>
        <v>5.2225000000000001E-2</v>
      </c>
      <c r="AE152" s="172">
        <f t="shared" si="64"/>
        <v>-0.74947292321995951</v>
      </c>
      <c r="AF152" s="172">
        <f t="shared" si="64"/>
        <v>3.4585878579134297E-2</v>
      </c>
      <c r="AG152" s="150"/>
      <c r="AI152" s="137">
        <v>1</v>
      </c>
      <c r="AJ152" s="136" t="s">
        <v>239</v>
      </c>
      <c r="AK152" s="142" t="s">
        <v>272</v>
      </c>
      <c r="AL152" s="136" t="s">
        <v>547</v>
      </c>
      <c r="AM152" s="136" t="s">
        <v>203</v>
      </c>
      <c r="AN152" s="1">
        <v>2.1278299999999999</v>
      </c>
      <c r="AO152" s="166">
        <v>1.2152400000000001</v>
      </c>
      <c r="AQ152" t="str">
        <f>_xlfn.XLOOKUP(tblGWP21[[#This Row],[Material Subcategory]],ls_Mat,Factors!$K$952:$K$1023)</f>
        <v>x</v>
      </c>
      <c r="AR152" s="173">
        <v>0.64600000000000002</v>
      </c>
      <c r="AS152">
        <v>0</v>
      </c>
      <c r="AT152" t="s">
        <v>527</v>
      </c>
      <c r="BA152" cm="1">
        <f t="array" ref="BA152:BM152">tblGWP21[#This Row]</f>
        <v>1</v>
      </c>
      <c r="BB152" t="str">
        <v>Paper</v>
      </c>
      <c r="BC152" t="str">
        <v>Corr. Cardboard</v>
      </c>
      <c r="BD152" t="str">
        <v>Asia</v>
      </c>
      <c r="BE152" t="str">
        <v>n/a</v>
      </c>
      <c r="BF152">
        <v>-2.1278299999999999</v>
      </c>
      <c r="BG152">
        <v>-1.3728063799999999</v>
      </c>
      <c r="BH152">
        <v>1.8094831987163201E-4</v>
      </c>
      <c r="BI152">
        <v>-1.443117437906615</v>
      </c>
      <c r="BJ152">
        <v>-2.2498609420692448</v>
      </c>
      <c r="BK152">
        <v>5.2225000000000001E-2</v>
      </c>
      <c r="BL152">
        <v>-0.74947292321995951</v>
      </c>
      <c r="BM152">
        <v>3.4585878579134297E-2</v>
      </c>
    </row>
    <row r="153" spans="3:65">
      <c r="C153" s="362">
        <v>1</v>
      </c>
      <c r="D153" s="363" t="s">
        <v>239</v>
      </c>
      <c r="E153" s="362" t="s">
        <v>324</v>
      </c>
      <c r="F153" s="362" t="s">
        <v>547</v>
      </c>
      <c r="G153" s="362" t="s">
        <v>203</v>
      </c>
      <c r="H153" s="368">
        <v>-1.66</v>
      </c>
      <c r="I153" s="368">
        <v>0</v>
      </c>
      <c r="J153" s="368">
        <v>0.19119209511012797</v>
      </c>
      <c r="K153" s="368">
        <v>-1.6163617345818451</v>
      </c>
      <c r="L153" s="368">
        <v>-2.2387536417545801</v>
      </c>
      <c r="M153" s="368">
        <v>-1.11437293761495</v>
      </c>
      <c r="N153" s="368">
        <v>-0.95304435118708697</v>
      </c>
      <c r="O153" s="368">
        <v>2.6682736802057398E-2</v>
      </c>
      <c r="T153" s="48">
        <v>1</v>
      </c>
      <c r="U153" s="46" t="s">
        <v>239</v>
      </c>
      <c r="V153" s="53" t="s">
        <v>329</v>
      </c>
      <c r="W153" s="53" t="s">
        <v>547</v>
      </c>
      <c r="X153" s="53" t="s">
        <v>203</v>
      </c>
      <c r="Y153" s="172">
        <f>IFERROR(-tblZwaste1422[[#This Row],[Weight (kgCO2e/kg)]],0)</f>
        <v>-3.4792200000000002</v>
      </c>
      <c r="Z153" s="172" t="str">
        <f>IF(AQ153="x",(AR153*-tblZwaste1422[[#This Row],[Weight (kgCO2e/kg)]])+AS153+($AR$10*Lookups!$J$38/1000),"DELETE")</f>
        <v>DELETE</v>
      </c>
      <c r="AA153" s="172">
        <f t="shared" si="64"/>
        <v>-3.0325456580706023</v>
      </c>
      <c r="AB153" s="172">
        <f t="shared" si="64"/>
        <v>-1.56545058635232</v>
      </c>
      <c r="AC153" s="172">
        <f t="shared" si="64"/>
        <v>-2.5014740148797698</v>
      </c>
      <c r="AD153" s="172">
        <f t="shared" si="64"/>
        <v>0.51720456385529401</v>
      </c>
      <c r="AE153" s="172">
        <f t="shared" si="64"/>
        <v>-0.75225955106693199</v>
      </c>
      <c r="AF153" s="172">
        <f t="shared" si="64"/>
        <v>3.7249313053735349E-2</v>
      </c>
      <c r="AG153" s="150"/>
      <c r="AI153" s="137">
        <v>1</v>
      </c>
      <c r="AJ153" s="136" t="s">
        <v>239</v>
      </c>
      <c r="AK153" s="142" t="s">
        <v>329</v>
      </c>
      <c r="AL153" s="136" t="s">
        <v>547</v>
      </c>
      <c r="AM153" s="136" t="s">
        <v>203</v>
      </c>
      <c r="AN153" s="1">
        <v>3.4792200000000002</v>
      </c>
      <c r="AO153" s="166">
        <v>1.0383</v>
      </c>
      <c r="AQ153">
        <f>_xlfn.XLOOKUP(tblGWP21[[#This Row],[Material Subcategory]],ls_Mat,Factors!$K$952:$K$1023)</f>
        <v>0</v>
      </c>
      <c r="BA153" cm="1">
        <f t="array" ref="BA153:BM153">tblGWP21[#This Row]</f>
        <v>1</v>
      </c>
      <c r="BB153" t="str">
        <v>Paper</v>
      </c>
      <c r="BC153" t="str">
        <v>Office Paper</v>
      </c>
      <c r="BD153" t="str">
        <v>Asia</v>
      </c>
      <c r="BE153" t="str">
        <v>n/a</v>
      </c>
      <c r="BF153">
        <v>-3.4792200000000002</v>
      </c>
      <c r="BG153" t="str">
        <v>DELETE</v>
      </c>
      <c r="BH153">
        <v>-3.0325456580706023</v>
      </c>
      <c r="BI153">
        <v>-1.56545058635232</v>
      </c>
      <c r="BJ153">
        <v>-2.5014740148797698</v>
      </c>
      <c r="BK153">
        <v>0.51720456385529401</v>
      </c>
      <c r="BL153">
        <v>-0.75225955106693199</v>
      </c>
      <c r="BM153">
        <v>3.7249313053735349E-2</v>
      </c>
    </row>
    <row r="154" spans="3:65">
      <c r="C154" s="136">
        <v>1</v>
      </c>
      <c r="D154" s="137" t="s">
        <v>239</v>
      </c>
      <c r="E154" s="136" t="s">
        <v>272</v>
      </c>
      <c r="F154" s="136" t="s">
        <v>547</v>
      </c>
      <c r="G154" s="136" t="s">
        <v>203</v>
      </c>
      <c r="H154" s="191">
        <v>-2.1278299999999999</v>
      </c>
      <c r="I154" s="191">
        <v>-1.3728063799999999</v>
      </c>
      <c r="J154" s="191">
        <v>1.8094831987163201E-4</v>
      </c>
      <c r="K154" s="191">
        <v>-1.443117437906615</v>
      </c>
      <c r="L154" s="191">
        <v>-2.2498609420692448</v>
      </c>
      <c r="M154" s="191">
        <v>5.2225000000000001E-2</v>
      </c>
      <c r="N154" s="191">
        <v>-0.74947292321995951</v>
      </c>
      <c r="O154" s="191">
        <v>3.4585878579134297E-2</v>
      </c>
      <c r="T154" s="48">
        <v>1</v>
      </c>
      <c r="U154" s="46" t="s">
        <v>239</v>
      </c>
      <c r="V154" s="53" t="s">
        <v>271</v>
      </c>
      <c r="W154" s="53" t="s">
        <v>547</v>
      </c>
      <c r="X154" s="53" t="s">
        <v>203</v>
      </c>
      <c r="Y154" s="172">
        <f>IFERROR(-tblZwaste1422[[#This Row],[Weight (kgCO2e/kg)]],0)</f>
        <v>-3.1045600000000002</v>
      </c>
      <c r="Z154" s="172" t="str">
        <f>IF(AQ154="x",(AR154*-tblZwaste1422[[#This Row],[Weight (kgCO2e/kg)]])+AS154+($AR$10*Lookups!$J$38/1000),"DELETE")</f>
        <v>DELETE</v>
      </c>
      <c r="AA154" s="172">
        <f t="shared" si="64"/>
        <v>-0.96392848018062605</v>
      </c>
      <c r="AB154" s="172">
        <f t="shared" si="64"/>
        <v>-1.480799094741875</v>
      </c>
      <c r="AC154" s="172">
        <f t="shared" si="64"/>
        <v>-2.5973658174826548</v>
      </c>
      <c r="AD154" s="172">
        <f t="shared" si="64"/>
        <v>-0.58508329579533402</v>
      </c>
      <c r="AE154" s="172">
        <f t="shared" si="64"/>
        <v>-0.71669341935915098</v>
      </c>
      <c r="AF154" s="172">
        <f t="shared" si="64"/>
        <v>4.0395059864650348E-2</v>
      </c>
      <c r="AG154" s="150"/>
      <c r="AI154" s="137">
        <v>1</v>
      </c>
      <c r="AJ154" s="136" t="s">
        <v>239</v>
      </c>
      <c r="AK154" s="142" t="s">
        <v>271</v>
      </c>
      <c r="AL154" s="136" t="s">
        <v>547</v>
      </c>
      <c r="AM154" s="136" t="s">
        <v>203</v>
      </c>
      <c r="AN154" s="1">
        <v>3.1045600000000002</v>
      </c>
      <c r="AO154" s="166">
        <v>0.12864</v>
      </c>
      <c r="AQ154">
        <f>_xlfn.XLOOKUP(tblGWP21[[#This Row],[Material Subcategory]],ls_Mat,Factors!$K$952:$K$1023)</f>
        <v>0</v>
      </c>
      <c r="BA154" cm="1">
        <f t="array" ref="BA154:BM154">tblGWP21[#This Row]</f>
        <v>1</v>
      </c>
      <c r="BB154" t="str">
        <v>Paper</v>
      </c>
      <c r="BC154" t="str">
        <v>Magazines</v>
      </c>
      <c r="BD154" t="str">
        <v>Asia</v>
      </c>
      <c r="BE154" t="str">
        <v>n/a</v>
      </c>
      <c r="BF154">
        <v>-3.1045600000000002</v>
      </c>
      <c r="BG154" t="str">
        <v>DELETE</v>
      </c>
      <c r="BH154">
        <v>-0.96392848018062605</v>
      </c>
      <c r="BI154">
        <v>-1.480799094741875</v>
      </c>
      <c r="BJ154">
        <v>-2.5973658174826548</v>
      </c>
      <c r="BK154">
        <v>-0.58508329579533402</v>
      </c>
      <c r="BL154">
        <v>-0.71669341935915098</v>
      </c>
      <c r="BM154">
        <v>4.0395059864650348E-2</v>
      </c>
    </row>
    <row r="155" spans="3:65">
      <c r="C155" s="362">
        <v>1</v>
      </c>
      <c r="D155" s="363" t="s">
        <v>239</v>
      </c>
      <c r="E155" s="362" t="s">
        <v>329</v>
      </c>
      <c r="F155" s="362" t="s">
        <v>547</v>
      </c>
      <c r="G155" s="362" t="s">
        <v>203</v>
      </c>
      <c r="H155" s="368">
        <v>-3.4792200000000002</v>
      </c>
      <c r="I155" s="368">
        <v>0</v>
      </c>
      <c r="J155" s="368">
        <v>-3.0325456580706023</v>
      </c>
      <c r="K155" s="368">
        <v>-1.56545058635232</v>
      </c>
      <c r="L155" s="368">
        <v>-2.5014740148797698</v>
      </c>
      <c r="M155" s="368">
        <v>0.51720456385529401</v>
      </c>
      <c r="N155" s="368">
        <v>-0.75225955106693199</v>
      </c>
      <c r="O155" s="368">
        <v>3.7249313053735349E-2</v>
      </c>
      <c r="T155" s="48">
        <v>1</v>
      </c>
      <c r="U155" s="46" t="s">
        <v>239</v>
      </c>
      <c r="V155" s="53" t="s">
        <v>535</v>
      </c>
      <c r="W155" s="53" t="s">
        <v>547</v>
      </c>
      <c r="X155" s="53" t="s">
        <v>203</v>
      </c>
      <c r="Y155" s="172">
        <f>IFERROR(-tblZwaste1422[[#This Row],[Weight (kgCO2e/kg)]],0)</f>
        <v>-3.1045600000000002</v>
      </c>
      <c r="Z155" s="172" t="str">
        <f>IF(AQ155="x",(AR155*-tblZwaste1422[[#This Row],[Weight (kgCO2e/kg)]])+AS155+($AR$10*Lookups!$J$38/1000),"DELETE")</f>
        <v>DELETE</v>
      </c>
      <c r="AA155" s="172">
        <f t="shared" si="64"/>
        <v>-0.96392848018062605</v>
      </c>
      <c r="AB155" s="172">
        <f t="shared" si="64"/>
        <v>-1.589471631565825</v>
      </c>
      <c r="AC155" s="172">
        <f t="shared" si="64"/>
        <v>-2.60442012656282</v>
      </c>
      <c r="AD155" s="172">
        <f t="shared" si="64"/>
        <v>-0.78940995245794754</v>
      </c>
      <c r="AE155" s="172">
        <f t="shared" si="64"/>
        <v>-0.79790063310341353</v>
      </c>
      <c r="AF155" s="172">
        <f t="shared" si="64"/>
        <v>2.9213986723389599E-2</v>
      </c>
      <c r="AG155" s="150"/>
      <c r="AI155" s="137">
        <v>1</v>
      </c>
      <c r="AJ155" s="136" t="s">
        <v>239</v>
      </c>
      <c r="AK155" s="142" t="s">
        <v>535</v>
      </c>
      <c r="AL155" s="136" t="s">
        <v>547</v>
      </c>
      <c r="AM155" s="136" t="s">
        <v>203</v>
      </c>
      <c r="AN155" s="1">
        <v>3.1045600000000002</v>
      </c>
      <c r="AO155" s="166">
        <v>0.12864</v>
      </c>
      <c r="AQ155">
        <f>_xlfn.XLOOKUP(tblGWP21[[#This Row],[Material Subcategory]],ls_Mat,Factors!$K$952:$K$1023)</f>
        <v>0</v>
      </c>
      <c r="BA155" cm="1">
        <f t="array" ref="BA155:BM155">tblGWP21[#This Row]</f>
        <v>1</v>
      </c>
      <c r="BB155" t="str">
        <v>Paper</v>
      </c>
      <c r="BC155" t="str">
        <v>3rd Class Mail</v>
      </c>
      <c r="BD155" t="str">
        <v>Asia</v>
      </c>
      <c r="BE155" t="str">
        <v>n/a</v>
      </c>
      <c r="BF155">
        <v>-3.1045600000000002</v>
      </c>
      <c r="BG155" t="str">
        <v>DELETE</v>
      </c>
      <c r="BH155">
        <v>-0.96392848018062605</v>
      </c>
      <c r="BI155">
        <v>-1.589471631565825</v>
      </c>
      <c r="BJ155">
        <v>-2.60442012656282</v>
      </c>
      <c r="BK155">
        <v>-0.78940995245794754</v>
      </c>
      <c r="BL155">
        <v>-0.79790063310341353</v>
      </c>
      <c r="BM155">
        <v>2.9213986723389599E-2</v>
      </c>
    </row>
    <row r="156" spans="3:65">
      <c r="C156" s="136">
        <v>1</v>
      </c>
      <c r="D156" s="137" t="s">
        <v>239</v>
      </c>
      <c r="E156" s="136" t="s">
        <v>271</v>
      </c>
      <c r="F156" s="136" t="s">
        <v>547</v>
      </c>
      <c r="G156" s="136" t="s">
        <v>203</v>
      </c>
      <c r="H156" s="191">
        <v>-3.1045600000000002</v>
      </c>
      <c r="I156" s="191">
        <v>0</v>
      </c>
      <c r="J156" s="191">
        <v>-0.96392848018062605</v>
      </c>
      <c r="K156" s="191">
        <v>-1.480799094741875</v>
      </c>
      <c r="L156" s="191">
        <v>-2.5973658174826548</v>
      </c>
      <c r="M156" s="191">
        <v>-0.58508329579533402</v>
      </c>
      <c r="N156" s="191">
        <v>-0.71669341935915098</v>
      </c>
      <c r="O156" s="191">
        <v>4.0395059864650348E-2</v>
      </c>
      <c r="T156" s="48">
        <v>1</v>
      </c>
      <c r="U156" s="46" t="s">
        <v>239</v>
      </c>
      <c r="V156" s="53" t="s">
        <v>259</v>
      </c>
      <c r="W156" s="53" t="s">
        <v>547</v>
      </c>
      <c r="X156" s="53" t="s">
        <v>203</v>
      </c>
      <c r="Y156" s="172">
        <f>IFERROR(-tblZwaste1422[[#This Row],[Weight (kgCO2e/kg)]],0)</f>
        <v>-2.86965</v>
      </c>
      <c r="Z156" s="172" t="str">
        <f>IF(AQ156="x",(AR156*-tblZwaste1422[[#This Row],[Weight (kgCO2e/kg)]])+AS156+($AR$10*Lookups!$J$38/1000),"DELETE")</f>
        <v>DELETE</v>
      </c>
      <c r="AA156" s="172">
        <f t="shared" si="64"/>
        <v>-0.96392848018062605</v>
      </c>
      <c r="AB156" s="172">
        <f t="shared" si="64"/>
        <v>-1.30480872612007</v>
      </c>
      <c r="AC156" s="172">
        <f t="shared" si="64"/>
        <v>-2.021359257015515</v>
      </c>
      <c r="AD156" s="172">
        <f t="shared" si="64"/>
        <v>-0.35498843759764354</v>
      </c>
      <c r="AE156" s="172">
        <f t="shared" si="64"/>
        <v>-0.64992049001719598</v>
      </c>
      <c r="AF156" s="172">
        <f t="shared" si="64"/>
        <v>2.842158789800505E-2</v>
      </c>
      <c r="AG156" s="150"/>
      <c r="AI156" s="137">
        <v>1</v>
      </c>
      <c r="AJ156" s="136" t="s">
        <v>239</v>
      </c>
      <c r="AK156" s="142" t="s">
        <v>259</v>
      </c>
      <c r="AL156" s="136" t="s">
        <v>547</v>
      </c>
      <c r="AM156" s="136" t="s">
        <v>203</v>
      </c>
      <c r="AN156" s="1">
        <v>2.86965</v>
      </c>
      <c r="AO156" s="166">
        <v>0.79600000000000004</v>
      </c>
      <c r="AQ156">
        <f>_xlfn.XLOOKUP(tblGWP21[[#This Row],[Material Subcategory]],ls_Mat,Factors!$K$952:$K$1023)</f>
        <v>0</v>
      </c>
      <c r="AR156" s="173"/>
      <c r="AU156" t="s">
        <v>526</v>
      </c>
      <c r="AV156" s="347">
        <v>0.5</v>
      </c>
      <c r="BA156" cm="1">
        <f t="array" ref="BA156:BM156">tblGWP21[#This Row]</f>
        <v>1</v>
      </c>
      <c r="BB156" t="str">
        <v>Paper</v>
      </c>
      <c r="BC156" t="str">
        <v>Folding Containers</v>
      </c>
      <c r="BD156" t="str">
        <v>Asia</v>
      </c>
      <c r="BE156" t="str">
        <v>n/a</v>
      </c>
      <c r="BF156">
        <v>-2.86965</v>
      </c>
      <c r="BG156" t="str">
        <v>DELETE</v>
      </c>
      <c r="BH156">
        <v>-0.96392848018062605</v>
      </c>
      <c r="BI156">
        <v>-1.30480872612007</v>
      </c>
      <c r="BJ156">
        <v>-2.021359257015515</v>
      </c>
      <c r="BK156">
        <v>-0.35498843759764354</v>
      </c>
      <c r="BL156">
        <v>-0.64992049001719598</v>
      </c>
      <c r="BM156">
        <v>2.842158789800505E-2</v>
      </c>
    </row>
    <row r="157" spans="3:65">
      <c r="C157" s="362">
        <v>1</v>
      </c>
      <c r="D157" s="363" t="s">
        <v>239</v>
      </c>
      <c r="E157" s="362" t="s">
        <v>535</v>
      </c>
      <c r="F157" s="362" t="s">
        <v>547</v>
      </c>
      <c r="G157" s="362" t="s">
        <v>203</v>
      </c>
      <c r="H157" s="368">
        <v>-3.1045600000000002</v>
      </c>
      <c r="I157" s="368">
        <v>0</v>
      </c>
      <c r="J157" s="368">
        <v>-0.96392848018062605</v>
      </c>
      <c r="K157" s="368">
        <v>-1.589471631565825</v>
      </c>
      <c r="L157" s="368">
        <v>-2.60442012656282</v>
      </c>
      <c r="M157" s="368">
        <v>-0.78940995245794754</v>
      </c>
      <c r="N157" s="368">
        <v>-0.79790063310341353</v>
      </c>
      <c r="O157" s="368">
        <v>2.9213986723389599E-2</v>
      </c>
      <c r="T157" s="48">
        <v>1</v>
      </c>
      <c r="U157" s="46" t="s">
        <v>239</v>
      </c>
      <c r="V157" s="53" t="s">
        <v>334</v>
      </c>
      <c r="W157" s="53" t="s">
        <v>547</v>
      </c>
      <c r="X157" s="53" t="s">
        <v>203</v>
      </c>
      <c r="Y157" s="172">
        <f>IFERROR(-tblZwaste1422[[#This Row],[Weight (kgCO2e/kg)]],0)</f>
        <v>-2.86965</v>
      </c>
      <c r="Z157" s="172" t="str">
        <f>IF(AQ157="x",(AR157*-tblZwaste1422[[#This Row],[Weight (kgCO2e/kg)]])+AS157+($AR$10*Lookups!$J$38/1000),"DELETE")</f>
        <v>DELETE</v>
      </c>
      <c r="AA157" s="172">
        <f t="shared" si="64"/>
        <v>-0.96392848018062605</v>
      </c>
      <c r="AB157" s="172">
        <f t="shared" si="64"/>
        <v>-1.7150847821009401</v>
      </c>
      <c r="AC157" s="172">
        <f t="shared" si="64"/>
        <v>-2.4883766320652452</v>
      </c>
      <c r="AD157" s="172">
        <f t="shared" si="64"/>
        <v>-0.28332515231497402</v>
      </c>
      <c r="AE157" s="172">
        <f t="shared" si="64"/>
        <v>-0.94887215067707453</v>
      </c>
      <c r="AF157" s="172">
        <f t="shared" si="64"/>
        <v>2.6389926350799651E-2</v>
      </c>
      <c r="AG157" s="150"/>
      <c r="AI157" s="137">
        <v>1</v>
      </c>
      <c r="AJ157" s="136" t="s">
        <v>239</v>
      </c>
      <c r="AK157" s="142" t="s">
        <v>334</v>
      </c>
      <c r="AL157" s="136" t="s">
        <v>547</v>
      </c>
      <c r="AM157" s="136" t="s">
        <v>203</v>
      </c>
      <c r="AN157" s="1">
        <v>2.86965</v>
      </c>
      <c r="AO157" s="166">
        <v>0.76736000000000004</v>
      </c>
      <c r="AQ157">
        <f>_xlfn.XLOOKUP(tblGWP21[[#This Row],[Material Subcategory]],ls_Mat,Factors!$K$952:$K$1023)</f>
        <v>0</v>
      </c>
      <c r="AR157" s="173"/>
      <c r="BA157" cm="1">
        <f t="array" ref="BA157:BM157">tblGWP21[#This Row]</f>
        <v>1</v>
      </c>
      <c r="BB157" t="str">
        <v>Paper</v>
      </c>
      <c r="BC157" t="str">
        <v>Paper Bags</v>
      </c>
      <c r="BD157" t="str">
        <v>Asia</v>
      </c>
      <c r="BE157" t="str">
        <v>n/a</v>
      </c>
      <c r="BF157">
        <v>-2.86965</v>
      </c>
      <c r="BG157" t="str">
        <v>DELETE</v>
      </c>
      <c r="BH157">
        <v>-0.96392848018062605</v>
      </c>
      <c r="BI157">
        <v>-1.7150847821009401</v>
      </c>
      <c r="BJ157">
        <v>-2.4883766320652452</v>
      </c>
      <c r="BK157">
        <v>-0.28332515231497402</v>
      </c>
      <c r="BL157">
        <v>-0.94887215067707453</v>
      </c>
      <c r="BM157">
        <v>2.6389926350799651E-2</v>
      </c>
    </row>
    <row r="158" spans="3:65">
      <c r="C158" s="136">
        <v>1</v>
      </c>
      <c r="D158" s="137" t="s">
        <v>239</v>
      </c>
      <c r="E158" s="136" t="s">
        <v>259</v>
      </c>
      <c r="F158" s="136" t="s">
        <v>547</v>
      </c>
      <c r="G158" s="136" t="s">
        <v>203</v>
      </c>
      <c r="H158" s="191">
        <v>-2.86965</v>
      </c>
      <c r="I158" s="191">
        <v>0</v>
      </c>
      <c r="J158" s="191">
        <v>-0.96392848018062605</v>
      </c>
      <c r="K158" s="191">
        <v>-1.30480872612007</v>
      </c>
      <c r="L158" s="191">
        <v>-2.021359257015515</v>
      </c>
      <c r="M158" s="191">
        <v>-0.35498843759764354</v>
      </c>
      <c r="N158" s="191">
        <v>-0.64992049001719598</v>
      </c>
      <c r="O158" s="191">
        <v>2.842158789800505E-2</v>
      </c>
      <c r="T158" s="48">
        <v>1</v>
      </c>
      <c r="U158" s="46" t="s">
        <v>239</v>
      </c>
      <c r="V158" s="53" t="s">
        <v>240</v>
      </c>
      <c r="W158" s="53" t="s">
        <v>547</v>
      </c>
      <c r="X158" s="53" t="s">
        <v>203</v>
      </c>
      <c r="Y158" s="172">
        <f>IFERROR(-tblZwaste1422[[#This Row],[Weight (kgCO2e/kg)]],0)</f>
        <v>-3.1045600000000002</v>
      </c>
      <c r="Z158" s="172" t="str">
        <f>IF(AQ158="x",(AR158*-tblZwaste1422[[#This Row],[Weight (kgCO2e/kg)]])+AS158+($AR$10*Lookups!$J$38/1000),"DELETE")</f>
        <v>DELETE</v>
      </c>
      <c r="AA158" s="172" t="str">
        <f t="shared" si="64"/>
        <v>DELETE</v>
      </c>
      <c r="AB158" s="172">
        <f t="shared" si="64"/>
        <v>-1.743830795116535</v>
      </c>
      <c r="AC158" s="172">
        <f t="shared" si="64"/>
        <v>-2.5676676220963204</v>
      </c>
      <c r="AD158" s="172">
        <f t="shared" si="64"/>
        <v>-0.54925105418944398</v>
      </c>
      <c r="AE158" s="172">
        <f t="shared" si="64"/>
        <v>0.417776044029886</v>
      </c>
      <c r="AF158" s="172">
        <f t="shared" si="64"/>
        <v>2.3670128669442896</v>
      </c>
      <c r="AG158" s="150"/>
      <c r="AI158" s="137">
        <v>1</v>
      </c>
      <c r="AJ158" s="136" t="s">
        <v>239</v>
      </c>
      <c r="AK158" s="142" t="s">
        <v>240</v>
      </c>
      <c r="AL158" s="136" t="s">
        <v>547</v>
      </c>
      <c r="AM158" s="136" t="s">
        <v>203</v>
      </c>
      <c r="AN158" s="1">
        <v>3.1045600000000002</v>
      </c>
      <c r="AO158" s="166">
        <v>0.76736000000000004</v>
      </c>
      <c r="AQ158">
        <f>_xlfn.XLOOKUP(tblGWP21[[#This Row],[Material Subcategory]],ls_Mat,Factors!$K$952:$K$1023)</f>
        <v>0</v>
      </c>
      <c r="AR158" s="173"/>
      <c r="BA158" cm="1">
        <f t="array" ref="BA158:BM158">tblGWP21[#This Row]</f>
        <v>1</v>
      </c>
      <c r="BB158" t="str">
        <v>Paper</v>
      </c>
      <c r="BC158" t="str">
        <v>Paper – Non-Recyclable</v>
      </c>
      <c r="BD158" t="str">
        <v>Asia</v>
      </c>
      <c r="BE158" t="str">
        <v>n/a</v>
      </c>
      <c r="BF158">
        <v>-3.1045600000000002</v>
      </c>
      <c r="BG158" t="str">
        <v>DELETE</v>
      </c>
      <c r="BH158" t="str">
        <v>DELETE</v>
      </c>
      <c r="BI158">
        <v>-1.743830795116535</v>
      </c>
      <c r="BJ158">
        <v>-2.5676676220963204</v>
      </c>
      <c r="BK158">
        <v>-0.54925105418944398</v>
      </c>
      <c r="BL158">
        <v>0.417776044029886</v>
      </c>
      <c r="BM158">
        <v>2.3670128669442896</v>
      </c>
    </row>
    <row r="159" spans="3:65" ht="28.8">
      <c r="C159" s="362">
        <v>1</v>
      </c>
      <c r="D159" s="363" t="s">
        <v>239</v>
      </c>
      <c r="E159" s="362" t="s">
        <v>334</v>
      </c>
      <c r="F159" s="362" t="s">
        <v>547</v>
      </c>
      <c r="G159" s="362" t="s">
        <v>203</v>
      </c>
      <c r="H159" s="368">
        <v>-2.86965</v>
      </c>
      <c r="I159" s="368">
        <v>0</v>
      </c>
      <c r="J159" s="368">
        <v>-0.96392848018062605</v>
      </c>
      <c r="K159" s="368">
        <v>-1.7150847821009401</v>
      </c>
      <c r="L159" s="368">
        <v>-2.4883766320652452</v>
      </c>
      <c r="M159" s="368">
        <v>-0.28332515231497402</v>
      </c>
      <c r="N159" s="368">
        <v>-0.94887215067707453</v>
      </c>
      <c r="O159" s="368">
        <v>2.6389926350799651E-2</v>
      </c>
      <c r="T159" s="48">
        <v>1</v>
      </c>
      <c r="U159" s="46" t="s">
        <v>239</v>
      </c>
      <c r="V159" s="53" t="s">
        <v>325</v>
      </c>
      <c r="W159" s="53" t="s">
        <v>547</v>
      </c>
      <c r="X159" s="53" t="s">
        <v>203</v>
      </c>
      <c r="Y159" s="172">
        <f>IFERROR(-tblZwaste1422[[#This Row],[Weight (kgCO2e/kg)]],0)</f>
        <v>-1.66</v>
      </c>
      <c r="Z159" s="172" t="str">
        <f>IF(AQ159="x",(AR159*-tblZwaste1422[[#This Row],[Weight (kgCO2e/kg)]])+AS159+($AR$10*Lookups!$J$38/1000),"DELETE")</f>
        <v>DELETE</v>
      </c>
      <c r="AA159" s="172" t="str">
        <f t="shared" ref="AA159:AF168" si="65">IF(ISNUMBER(AVERAGE(AA439,AA495)),AVERAGE(AA439,AA495),AA439)</f>
        <v>DELETE</v>
      </c>
      <c r="AB159" s="172">
        <f t="shared" si="65"/>
        <v>-1.6056559573269851</v>
      </c>
      <c r="AC159" s="172">
        <f t="shared" si="65"/>
        <v>-2.3878173145866999</v>
      </c>
      <c r="AD159" s="172">
        <f t="shared" si="65"/>
        <v>-0.61788219420844359</v>
      </c>
      <c r="AE159" s="172">
        <f t="shared" si="65"/>
        <v>-0.87660684185985005</v>
      </c>
      <c r="AF159" s="172">
        <f t="shared" si="65"/>
        <v>2.7472181149774001E-2</v>
      </c>
      <c r="AG159" s="150"/>
      <c r="AI159" s="137">
        <v>1</v>
      </c>
      <c r="AJ159" s="136" t="s">
        <v>239</v>
      </c>
      <c r="AK159" s="142" t="s">
        <v>325</v>
      </c>
      <c r="AL159" s="136" t="s">
        <v>547</v>
      </c>
      <c r="AM159" s="136" t="s">
        <v>203</v>
      </c>
      <c r="AN159" s="1">
        <v>1.66</v>
      </c>
      <c r="AO159" s="166">
        <v>0.79600000000000004</v>
      </c>
      <c r="AQ159">
        <f>_xlfn.XLOOKUP(tblGWP21[[#This Row],[Material Subcategory]],ls_Mat,Factors!$K$952:$K$1023)</f>
        <v>0</v>
      </c>
      <c r="BA159" cm="1">
        <f t="array" ref="BA159:BM159">tblGWP21[#This Row]</f>
        <v>1</v>
      </c>
      <c r="BB159" t="str">
        <v>Paper</v>
      </c>
      <c r="BC159" t="str">
        <v>Compostable Food Service Ware</v>
      </c>
      <c r="BD159" t="str">
        <v>Asia</v>
      </c>
      <c r="BE159" t="str">
        <v>n/a</v>
      </c>
      <c r="BF159">
        <v>-1.66</v>
      </c>
      <c r="BG159" t="str">
        <v>DELETE</v>
      </c>
      <c r="BH159" t="str">
        <v>DELETE</v>
      </c>
      <c r="BI159">
        <v>-1.6056559573269851</v>
      </c>
      <c r="BJ159">
        <v>-2.3878173145866999</v>
      </c>
      <c r="BK159">
        <v>-0.61788219420844359</v>
      </c>
      <c r="BL159">
        <v>-0.87660684185985005</v>
      </c>
      <c r="BM159">
        <v>2.7472181149774001E-2</v>
      </c>
    </row>
    <row r="160" spans="3:65">
      <c r="C160" s="136">
        <v>1</v>
      </c>
      <c r="D160" s="137" t="s">
        <v>239</v>
      </c>
      <c r="E160" s="136" t="s">
        <v>240</v>
      </c>
      <c r="F160" s="136" t="s">
        <v>547</v>
      </c>
      <c r="G160" s="136" t="s">
        <v>203</v>
      </c>
      <c r="H160" s="191">
        <v>-3.1045600000000002</v>
      </c>
      <c r="I160" s="191">
        <v>0</v>
      </c>
      <c r="J160" s="191">
        <v>0</v>
      </c>
      <c r="K160" s="191">
        <v>-1.743830795116535</v>
      </c>
      <c r="L160" s="191">
        <v>-2.5676676220963204</v>
      </c>
      <c r="M160" s="191">
        <v>-0.54925105418944398</v>
      </c>
      <c r="N160" s="191">
        <v>0.417776044029886</v>
      </c>
      <c r="O160" s="191">
        <v>2.3670128669442896</v>
      </c>
      <c r="T160" s="48">
        <v>1</v>
      </c>
      <c r="U160" s="46" t="s">
        <v>256</v>
      </c>
      <c r="V160" s="53" t="s">
        <v>256</v>
      </c>
      <c r="W160" s="53" t="s">
        <v>547</v>
      </c>
      <c r="X160" s="53" t="s">
        <v>203</v>
      </c>
      <c r="Y160" s="172">
        <f>IFERROR(-tblZwaste1422[[#This Row],[Weight (kgCO2e/kg)]],0)</f>
        <v>-3.3097799999999999</v>
      </c>
      <c r="Z160" s="172" t="e">
        <f>IF(AQ160="x",(AR160*-tblZwaste1422[[#This Row],[Weight (kgCO2e/kg)]])+AS160+($AR$10*Lookups!$J$38/1000),"DELETE")</f>
        <v>#N/A</v>
      </c>
      <c r="AA160" s="172">
        <f t="shared" si="65"/>
        <v>-12.723540254059138</v>
      </c>
      <c r="AB160" s="172" t="str">
        <f t="shared" si="65"/>
        <v>DELETE</v>
      </c>
      <c r="AC160" s="172" t="str">
        <f t="shared" si="65"/>
        <v>DELETE</v>
      </c>
      <c r="AD160" s="172">
        <f t="shared" si="65"/>
        <v>2.5945141929668299E-2</v>
      </c>
      <c r="AE160" s="172">
        <f t="shared" si="65"/>
        <v>-7.5007634100093229E-2</v>
      </c>
      <c r="AF160" s="172">
        <f t="shared" si="65"/>
        <v>-5.7713600832001555E-2</v>
      </c>
      <c r="AG160" s="150"/>
      <c r="AI160" s="137">
        <v>1</v>
      </c>
      <c r="AJ160" s="136" t="s">
        <v>256</v>
      </c>
      <c r="AK160" s="142" t="s">
        <v>256</v>
      </c>
      <c r="AL160" s="136" t="s">
        <v>547</v>
      </c>
      <c r="AM160" s="136" t="s">
        <v>203</v>
      </c>
      <c r="AN160" s="1">
        <v>3.3097799999999999</v>
      </c>
      <c r="AO160" s="166">
        <v>1.0068550000000001</v>
      </c>
      <c r="AQ160" t="e">
        <f>_xlfn.XLOOKUP(tblGWP21[[#This Row],[Material Subcategory]],ls_Mat,Factors!$K$952:$K$1023)</f>
        <v>#N/A</v>
      </c>
      <c r="AR160" s="173">
        <v>1</v>
      </c>
      <c r="AS160">
        <v>8.1306407300000008E-2</v>
      </c>
      <c r="AT160" t="s">
        <v>531</v>
      </c>
      <c r="BA160" cm="1">
        <f t="array" ref="BA160:BM160">tblGWP21[#This Row]</f>
        <v>1</v>
      </c>
      <c r="BB160" t="str">
        <v>Metals</v>
      </c>
      <c r="BC160" t="str">
        <v>Metals</v>
      </c>
      <c r="BD160" t="str">
        <v>Asia</v>
      </c>
      <c r="BE160" t="str">
        <v>n/a</v>
      </c>
      <c r="BF160">
        <v>-3.3097799999999999</v>
      </c>
      <c r="BG160" t="e">
        <v>#N/A</v>
      </c>
      <c r="BH160">
        <v>-12.723540254059138</v>
      </c>
      <c r="BI160" t="str">
        <v>DELETE</v>
      </c>
      <c r="BJ160" t="str">
        <v>DELETE</v>
      </c>
      <c r="BK160">
        <v>2.5945141929668299E-2</v>
      </c>
      <c r="BL160">
        <v>-7.5007634100093229E-2</v>
      </c>
      <c r="BM160">
        <v>-5.7713600832001555E-2</v>
      </c>
    </row>
    <row r="161" spans="3:65" ht="28.8">
      <c r="C161" s="362">
        <v>1</v>
      </c>
      <c r="D161" s="363" t="s">
        <v>239</v>
      </c>
      <c r="E161" s="362" t="s">
        <v>325</v>
      </c>
      <c r="F161" s="362" t="s">
        <v>547</v>
      </c>
      <c r="G161" s="362" t="s">
        <v>203</v>
      </c>
      <c r="H161" s="368">
        <v>-1.66</v>
      </c>
      <c r="I161" s="368">
        <v>0</v>
      </c>
      <c r="J161" s="368">
        <v>0</v>
      </c>
      <c r="K161" s="368">
        <v>-1.6056559573269851</v>
      </c>
      <c r="L161" s="368">
        <v>-2.3878173145866999</v>
      </c>
      <c r="M161" s="368">
        <v>-0.61788219420844359</v>
      </c>
      <c r="N161" s="368">
        <v>-0.87660684185985005</v>
      </c>
      <c r="O161" s="368">
        <v>2.7472181149774001E-2</v>
      </c>
      <c r="T161" s="48">
        <v>1</v>
      </c>
      <c r="U161" s="46" t="s">
        <v>256</v>
      </c>
      <c r="V161" s="53" t="s">
        <v>536</v>
      </c>
      <c r="W161" s="53" t="s">
        <v>547</v>
      </c>
      <c r="X161" s="53" t="s">
        <v>203</v>
      </c>
      <c r="Y161" s="172">
        <f>IFERROR(-tblZwaste1422[[#This Row],[Weight (kgCO2e/kg)]],0)</f>
        <v>-1.9798800000000001</v>
      </c>
      <c r="Z161" s="172">
        <f>IF(AQ161="x",(AR161*-tblZwaste1422[[#This Row],[Weight (kgCO2e/kg)]])+AS161+($AR$10*Lookups!$J$38/1000),"DELETE")</f>
        <v>-1.8968017927</v>
      </c>
      <c r="AA161" s="172">
        <f t="shared" si="65"/>
        <v>-2.294927702016567</v>
      </c>
      <c r="AB161" s="172" t="str">
        <f t="shared" si="65"/>
        <v>DELETE</v>
      </c>
      <c r="AC161" s="172" t="str">
        <f t="shared" si="65"/>
        <v>DELETE</v>
      </c>
      <c r="AD161" s="172">
        <f t="shared" si="65"/>
        <v>2.60302838593366E-2</v>
      </c>
      <c r="AE161" s="172">
        <f t="shared" si="65"/>
        <v>-0.11632743079570079</v>
      </c>
      <c r="AF161" s="172">
        <f t="shared" si="65"/>
        <v>-8.9415935981853406E-2</v>
      </c>
      <c r="AG161" s="150"/>
      <c r="AI161" s="137">
        <v>1</v>
      </c>
      <c r="AJ161" s="136" t="s">
        <v>256</v>
      </c>
      <c r="AK161" s="142" t="s">
        <v>536</v>
      </c>
      <c r="AL161" s="136" t="s">
        <v>547</v>
      </c>
      <c r="AM161" s="136" t="s">
        <v>203</v>
      </c>
      <c r="AN161" s="1">
        <v>1.9798800000000001</v>
      </c>
      <c r="AO161" s="166">
        <v>0.72957000000000005</v>
      </c>
      <c r="AQ161" t="str">
        <f>_xlfn.XLOOKUP(tblGWP21[[#This Row],[Material Subcategory]],ls_Mat,Factors!$K$952:$K$1023)</f>
        <v>x</v>
      </c>
      <c r="AR161" s="173">
        <v>1</v>
      </c>
      <c r="AS161">
        <v>8.1306407300000008E-2</v>
      </c>
      <c r="AT161" t="s">
        <v>531</v>
      </c>
      <c r="BA161" cm="1">
        <f t="array" ref="BA161:BM161">tblGWP21[#This Row]</f>
        <v>1</v>
      </c>
      <c r="BB161" t="str">
        <v>Metals</v>
      </c>
      <c r="BC161" t="str">
        <v>Ferrous Cans</v>
      </c>
      <c r="BD161" t="str">
        <v>Asia</v>
      </c>
      <c r="BE161" t="str">
        <v>n/a</v>
      </c>
      <c r="BF161">
        <v>-1.9798800000000001</v>
      </c>
      <c r="BG161">
        <v>-1.8968017927</v>
      </c>
      <c r="BH161">
        <v>-2.294927702016567</v>
      </c>
      <c r="BI161" t="str">
        <v>DELETE</v>
      </c>
      <c r="BJ161" t="str">
        <v>DELETE</v>
      </c>
      <c r="BK161">
        <v>2.60302838593366E-2</v>
      </c>
      <c r="BL161">
        <v>-0.11632743079570079</v>
      </c>
      <c r="BM161">
        <v>-8.9415935981853406E-2</v>
      </c>
    </row>
    <row r="162" spans="3:65">
      <c r="C162" s="136">
        <v>1</v>
      </c>
      <c r="D162" s="137" t="s">
        <v>256</v>
      </c>
      <c r="E162" s="136" t="s">
        <v>256</v>
      </c>
      <c r="F162" s="136" t="s">
        <v>547</v>
      </c>
      <c r="G162" s="136" t="s">
        <v>203</v>
      </c>
      <c r="H162" s="191">
        <v>-3.3097799999999999</v>
      </c>
      <c r="I162" s="191">
        <v>-3.2267017926999997</v>
      </c>
      <c r="J162" s="191">
        <v>-12.723540254059138</v>
      </c>
      <c r="K162" s="191">
        <v>0</v>
      </c>
      <c r="L162" s="191">
        <v>0</v>
      </c>
      <c r="M162" s="191">
        <v>2.5945141929668299E-2</v>
      </c>
      <c r="N162" s="191">
        <v>-7.5007634100093229E-2</v>
      </c>
      <c r="O162" s="191">
        <v>-5.7713600832001555E-2</v>
      </c>
      <c r="T162" s="48">
        <v>1</v>
      </c>
      <c r="U162" s="46" t="s">
        <v>256</v>
      </c>
      <c r="V162" s="53" t="s">
        <v>257</v>
      </c>
      <c r="W162" s="53" t="s">
        <v>547</v>
      </c>
      <c r="X162" s="53" t="s">
        <v>203</v>
      </c>
      <c r="Y162" s="172">
        <f>IFERROR(-tblZwaste1422[[#This Row],[Weight (kgCO2e/kg)]],0)</f>
        <v>-1.9798800000000001</v>
      </c>
      <c r="Z162" s="172">
        <f>IF(AQ162="x",(AR162*-tblZwaste1422[[#This Row],[Weight (kgCO2e/kg)]])+AS162+($AR$10*Lookups!$J$38/1000),"DELETE")</f>
        <v>-1.8968017927</v>
      </c>
      <c r="AA162" s="172">
        <f t="shared" si="65"/>
        <v>-2.294927702016567</v>
      </c>
      <c r="AB162" s="172" t="str">
        <f t="shared" si="65"/>
        <v>DELETE</v>
      </c>
      <c r="AC162" s="172" t="str">
        <f t="shared" si="65"/>
        <v>DELETE</v>
      </c>
      <c r="AD162" s="172">
        <f t="shared" si="65"/>
        <v>2.60302838593366E-2</v>
      </c>
      <c r="AE162" s="172">
        <f t="shared" si="65"/>
        <v>-0.11632743079570085</v>
      </c>
      <c r="AF162" s="172">
        <f t="shared" si="65"/>
        <v>-8.9415935981853253E-2</v>
      </c>
      <c r="AG162" s="150"/>
      <c r="AI162" s="137">
        <v>1</v>
      </c>
      <c r="AJ162" s="136" t="s">
        <v>256</v>
      </c>
      <c r="AK162" s="142" t="s">
        <v>257</v>
      </c>
      <c r="AL162" s="136" t="s">
        <v>547</v>
      </c>
      <c r="AM162" s="136" t="s">
        <v>203</v>
      </c>
      <c r="AN162" s="1">
        <v>1.9798800000000001</v>
      </c>
      <c r="AO162" s="166">
        <v>0.46493000000000001</v>
      </c>
      <c r="AQ162" t="str">
        <f>_xlfn.XLOOKUP(tblGWP21[[#This Row],[Material Subcategory]],ls_Mat,Factors!$K$952:$K$1023)</f>
        <v>x</v>
      </c>
      <c r="AR162" s="173">
        <v>1</v>
      </c>
      <c r="AS162">
        <v>8.1306407300000008E-2</v>
      </c>
      <c r="AT162" t="s">
        <v>531</v>
      </c>
      <c r="BA162" cm="1">
        <f t="array" ref="BA162:BM162">tblGWP21[#This Row]</f>
        <v>1</v>
      </c>
      <c r="BB162" t="str">
        <v>Metals</v>
      </c>
      <c r="BC162" t="str">
        <v>Ferrous Metal</v>
      </c>
      <c r="BD162" t="str">
        <v>Asia</v>
      </c>
      <c r="BE162" t="str">
        <v>n/a</v>
      </c>
      <c r="BF162">
        <v>-1.9798800000000001</v>
      </c>
      <c r="BG162">
        <v>-1.8968017927</v>
      </c>
      <c r="BH162">
        <v>-2.294927702016567</v>
      </c>
      <c r="BI162" t="str">
        <v>DELETE</v>
      </c>
      <c r="BJ162" t="str">
        <v>DELETE</v>
      </c>
      <c r="BK162">
        <v>2.60302838593366E-2</v>
      </c>
      <c r="BL162">
        <v>-0.11632743079570085</v>
      </c>
      <c r="BM162">
        <v>-8.9415935981853253E-2</v>
      </c>
    </row>
    <row r="163" spans="3:65">
      <c r="C163" s="362">
        <v>1</v>
      </c>
      <c r="D163" s="363" t="s">
        <v>256</v>
      </c>
      <c r="E163" s="362" t="s">
        <v>536</v>
      </c>
      <c r="F163" s="362" t="s">
        <v>547</v>
      </c>
      <c r="G163" s="362" t="s">
        <v>203</v>
      </c>
      <c r="H163" s="368">
        <v>-1.9798800000000001</v>
      </c>
      <c r="I163" s="368">
        <v>-1.8968017927</v>
      </c>
      <c r="J163" s="368">
        <v>-2.294927702016567</v>
      </c>
      <c r="K163" s="368">
        <v>0</v>
      </c>
      <c r="L163" s="368">
        <v>0</v>
      </c>
      <c r="M163" s="368">
        <v>2.60302838593366E-2</v>
      </c>
      <c r="N163" s="368">
        <v>-0.11632743079570079</v>
      </c>
      <c r="O163" s="368">
        <v>-8.9415935981853406E-2</v>
      </c>
      <c r="T163" s="48">
        <v>1</v>
      </c>
      <c r="U163" s="46" t="s">
        <v>256</v>
      </c>
      <c r="V163" s="53" t="s">
        <v>537</v>
      </c>
      <c r="W163" s="53" t="s">
        <v>547</v>
      </c>
      <c r="X163" s="53" t="s">
        <v>203</v>
      </c>
      <c r="Y163" s="172">
        <f>IFERROR(-tblZwaste1422[[#This Row],[Weight (kgCO2e/kg)]],0)</f>
        <v>-5.0082800000000001</v>
      </c>
      <c r="Z163" s="172">
        <f>IF(AQ163="x",(AR163*-tblZwaste1422[[#This Row],[Weight (kgCO2e/kg)]])+AS163+($AR$10*Lookups!$J$38/1000),"DELETE")</f>
        <v>-4.9252017927000002</v>
      </c>
      <c r="AA163" s="172">
        <f t="shared" si="65"/>
        <v>-5.0330766967974405</v>
      </c>
      <c r="AB163" s="172" t="str">
        <f t="shared" si="65"/>
        <v>DELETE</v>
      </c>
      <c r="AC163" s="172" t="str">
        <f t="shared" si="65"/>
        <v>DELETE</v>
      </c>
      <c r="AD163" s="172">
        <f t="shared" si="65"/>
        <v>2.5860000000000001E-2</v>
      </c>
      <c r="AE163" s="172">
        <f t="shared" si="65"/>
        <v>-3.3687837404485652E-2</v>
      </c>
      <c r="AF163" s="172">
        <f t="shared" si="65"/>
        <v>-2.60112656821497E-2</v>
      </c>
      <c r="AG163" s="150"/>
      <c r="AI163" s="137">
        <v>1</v>
      </c>
      <c r="AJ163" s="136" t="s">
        <v>256</v>
      </c>
      <c r="AK163" s="142" t="s">
        <v>537</v>
      </c>
      <c r="AL163" s="136" t="s">
        <v>547</v>
      </c>
      <c r="AM163" s="136" t="s">
        <v>203</v>
      </c>
      <c r="AN163" s="1">
        <v>5.0082800000000001</v>
      </c>
      <c r="AO163" s="166">
        <v>1.54878</v>
      </c>
      <c r="AQ163" t="str">
        <f>_xlfn.XLOOKUP(tblGWP21[[#This Row],[Material Subcategory]],ls_Mat,Factors!$K$952:$K$1023)</f>
        <v>x</v>
      </c>
      <c r="AR163" s="173">
        <v>1</v>
      </c>
      <c r="AS163">
        <v>8.1306407300000008E-2</v>
      </c>
      <c r="AT163" t="s">
        <v>531</v>
      </c>
      <c r="BA163" cm="1">
        <f t="array" ref="BA163:BM163">tblGWP21[#This Row]</f>
        <v>1</v>
      </c>
      <c r="BB163" t="str">
        <v>Metals</v>
      </c>
      <c r="BC163" t="str">
        <v>Aluminum Cans</v>
      </c>
      <c r="BD163" t="str">
        <v>Asia</v>
      </c>
      <c r="BE163" t="str">
        <v>n/a</v>
      </c>
      <c r="BF163">
        <v>-5.0082800000000001</v>
      </c>
      <c r="BG163">
        <v>-4.9252017927000002</v>
      </c>
      <c r="BH163">
        <v>-5.0330766967974405</v>
      </c>
      <c r="BI163" t="str">
        <v>DELETE</v>
      </c>
      <c r="BJ163" t="str">
        <v>DELETE</v>
      </c>
      <c r="BK163">
        <v>2.5860000000000001E-2</v>
      </c>
      <c r="BL163">
        <v>-3.3687837404485652E-2</v>
      </c>
      <c r="BM163">
        <v>-2.60112656821497E-2</v>
      </c>
    </row>
    <row r="164" spans="3:65">
      <c r="C164" s="136">
        <v>1</v>
      </c>
      <c r="D164" s="137" t="s">
        <v>256</v>
      </c>
      <c r="E164" s="136" t="s">
        <v>257</v>
      </c>
      <c r="F164" s="136" t="s">
        <v>547</v>
      </c>
      <c r="G164" s="136" t="s">
        <v>203</v>
      </c>
      <c r="H164" s="191">
        <v>-1.9798800000000001</v>
      </c>
      <c r="I164" s="191">
        <v>-1.8968017927</v>
      </c>
      <c r="J164" s="191">
        <v>-2.294927702016567</v>
      </c>
      <c r="K164" s="191">
        <v>0</v>
      </c>
      <c r="L164" s="191">
        <v>0</v>
      </c>
      <c r="M164" s="191">
        <v>2.60302838593366E-2</v>
      </c>
      <c r="N164" s="191">
        <v>-0.11632743079570085</v>
      </c>
      <c r="O164" s="191">
        <v>-8.9415935981853253E-2</v>
      </c>
      <c r="T164" s="48">
        <v>1</v>
      </c>
      <c r="U164" s="46" t="s">
        <v>256</v>
      </c>
      <c r="V164" s="53" t="s">
        <v>538</v>
      </c>
      <c r="W164" s="53" t="s">
        <v>547</v>
      </c>
      <c r="X164" s="53" t="s">
        <v>203</v>
      </c>
      <c r="Y164" s="172">
        <f>IFERROR(-tblZwaste1422[[#This Row],[Weight (kgCO2e/kg)]],0)</f>
        <v>-4.6396800000000002</v>
      </c>
      <c r="Z164" s="172" t="str">
        <f>IF(AQ164="x",(AR164*-tblZwaste1422[[#This Row],[Weight (kgCO2e/kg)]])+AS164+($AR$10*Lookups!$J$38/1000),"DELETE")</f>
        <v>DELETE</v>
      </c>
      <c r="AA164" s="172" t="str">
        <f t="shared" si="65"/>
        <v>DELETE</v>
      </c>
      <c r="AB164" s="172" t="str">
        <f t="shared" si="65"/>
        <v>DELETE</v>
      </c>
      <c r="AC164" s="172" t="str">
        <f t="shared" si="65"/>
        <v>DELETE</v>
      </c>
      <c r="AD164" s="172">
        <f t="shared" si="65"/>
        <v>2.5860000000000001E-2</v>
      </c>
      <c r="AE164" s="172">
        <f t="shared" si="65"/>
        <v>-3.0070142684764149E-2</v>
      </c>
      <c r="AF164" s="172">
        <f t="shared" si="65"/>
        <v>-2.6011265682149749E-2</v>
      </c>
      <c r="AG164" s="150"/>
      <c r="AI164" s="137">
        <v>1</v>
      </c>
      <c r="AJ164" s="136" t="s">
        <v>256</v>
      </c>
      <c r="AK164" s="142" t="s">
        <v>538</v>
      </c>
      <c r="AL164" s="136" t="s">
        <v>547</v>
      </c>
      <c r="AM164" s="136" t="s">
        <v>203</v>
      </c>
      <c r="AN164" s="1">
        <v>4.6396800000000002</v>
      </c>
      <c r="AO164" s="166">
        <v>1.54878</v>
      </c>
      <c r="AQ164">
        <f>_xlfn.XLOOKUP(tblGWP21[[#This Row],[Material Subcategory]],ls_Mat,Factors!$K$952:$K$1023)</f>
        <v>0</v>
      </c>
      <c r="AR164" s="173"/>
      <c r="BA164" cm="1">
        <f t="array" ref="BA164:BM164">tblGWP21[#This Row]</f>
        <v>1</v>
      </c>
      <c r="BB164" t="str">
        <v>Metals</v>
      </c>
      <c r="BC164" t="str">
        <v>Aluminum Foil</v>
      </c>
      <c r="BD164" t="str">
        <v>Asia</v>
      </c>
      <c r="BE164" t="str">
        <v>n/a</v>
      </c>
      <c r="BF164">
        <v>-4.6396800000000002</v>
      </c>
      <c r="BG164" t="str">
        <v>DELETE</v>
      </c>
      <c r="BH164" t="str">
        <v>DELETE</v>
      </c>
      <c r="BI164" t="str">
        <v>DELETE</v>
      </c>
      <c r="BJ164" t="str">
        <v>DELETE</v>
      </c>
      <c r="BK164">
        <v>2.5860000000000001E-2</v>
      </c>
      <c r="BL164">
        <v>-3.0070142684764149E-2</v>
      </c>
      <c r="BM164">
        <v>-2.6011265682149749E-2</v>
      </c>
    </row>
    <row r="165" spans="3:65">
      <c r="C165" s="362">
        <v>1</v>
      </c>
      <c r="D165" s="363" t="s">
        <v>256</v>
      </c>
      <c r="E165" s="362" t="s">
        <v>537</v>
      </c>
      <c r="F165" s="362" t="s">
        <v>547</v>
      </c>
      <c r="G165" s="362" t="s">
        <v>203</v>
      </c>
      <c r="H165" s="368">
        <v>-5.0082800000000001</v>
      </c>
      <c r="I165" s="368">
        <v>-4.9252017927000002</v>
      </c>
      <c r="J165" s="368">
        <v>-5.0330766967974405</v>
      </c>
      <c r="K165" s="368">
        <v>0</v>
      </c>
      <c r="L165" s="368">
        <v>0</v>
      </c>
      <c r="M165" s="368">
        <v>2.5860000000000001E-2</v>
      </c>
      <c r="N165" s="368">
        <v>-3.3687837404485652E-2</v>
      </c>
      <c r="O165" s="368">
        <v>-2.60112656821497E-2</v>
      </c>
      <c r="T165" s="48">
        <v>1</v>
      </c>
      <c r="U165" s="46" t="s">
        <v>256</v>
      </c>
      <c r="V165" s="53" t="s">
        <v>258</v>
      </c>
      <c r="W165" s="53" t="s">
        <v>547</v>
      </c>
      <c r="X165" s="53" t="s">
        <v>203</v>
      </c>
      <c r="Y165" s="172">
        <f>IFERROR(-tblZwaste1422[[#This Row],[Weight (kgCO2e/kg)]],0)</f>
        <v>-4.6396800000000002</v>
      </c>
      <c r="Z165" s="172">
        <f>IF(AQ165="x",(AR165*-tblZwaste1422[[#This Row],[Weight (kgCO2e/kg)]])+AS165+($AR$10*Lookups!$J$38/1000),"DELETE")</f>
        <v>-4.5566017927000004</v>
      </c>
      <c r="AA165" s="172">
        <f t="shared" si="65"/>
        <v>-4.8790029203648668</v>
      </c>
      <c r="AB165" s="172" t="str">
        <f t="shared" si="65"/>
        <v>DELETE</v>
      </c>
      <c r="AC165" s="172" t="str">
        <f t="shared" si="65"/>
        <v>DELETE</v>
      </c>
      <c r="AD165" s="172">
        <f t="shared" si="65"/>
        <v>2.5860000000000001E-2</v>
      </c>
      <c r="AE165" s="172">
        <f t="shared" si="65"/>
        <v>-3.3687837404485596E-2</v>
      </c>
      <c r="AF165" s="172">
        <f t="shared" si="65"/>
        <v>-2.6011265682149749E-2</v>
      </c>
      <c r="AG165" s="150"/>
      <c r="AI165" s="137">
        <v>1</v>
      </c>
      <c r="AJ165" s="136" t="s">
        <v>256</v>
      </c>
      <c r="AK165" s="142" t="s">
        <v>258</v>
      </c>
      <c r="AL165" s="136" t="s">
        <v>547</v>
      </c>
      <c r="AM165" s="136" t="s">
        <v>203</v>
      </c>
      <c r="AN165" s="1">
        <v>4.6396800000000002</v>
      </c>
      <c r="AO165" s="166">
        <v>1.54878</v>
      </c>
      <c r="AQ165" t="str">
        <f>_xlfn.XLOOKUP(tblGWP21[[#This Row],[Material Subcategory]],ls_Mat,Factors!$K$952:$K$1023)</f>
        <v>x</v>
      </c>
      <c r="AR165" s="173">
        <v>1</v>
      </c>
      <c r="AS165">
        <v>8.1306407300000008E-2</v>
      </c>
      <c r="AT165" t="s">
        <v>531</v>
      </c>
      <c r="BA165" cm="1">
        <f t="array" ref="BA165:BM165">tblGWP21[#This Row]</f>
        <v>1</v>
      </c>
      <c r="BB165" t="str">
        <v>Metals</v>
      </c>
      <c r="BC165" t="str">
        <v>Other Aluminum</v>
      </c>
      <c r="BD165" t="str">
        <v>Asia</v>
      </c>
      <c r="BE165" t="str">
        <v>n/a</v>
      </c>
      <c r="BF165">
        <v>-4.6396800000000002</v>
      </c>
      <c r="BG165">
        <v>-4.5566017927000004</v>
      </c>
      <c r="BH165">
        <v>-4.8790029203648668</v>
      </c>
      <c r="BI165" t="str">
        <v>DELETE</v>
      </c>
      <c r="BJ165" t="str">
        <v>DELETE</v>
      </c>
      <c r="BK165">
        <v>2.5860000000000001E-2</v>
      </c>
      <c r="BL165">
        <v>-3.3687837404485596E-2</v>
      </c>
      <c r="BM165">
        <v>-2.6011265682149749E-2</v>
      </c>
    </row>
    <row r="166" spans="3:65">
      <c r="C166" s="136">
        <v>1</v>
      </c>
      <c r="D166" s="137" t="s">
        <v>256</v>
      </c>
      <c r="E166" s="136" t="s">
        <v>538</v>
      </c>
      <c r="F166" s="136" t="s">
        <v>547</v>
      </c>
      <c r="G166" s="136" t="s">
        <v>203</v>
      </c>
      <c r="H166" s="191">
        <v>-4.6396800000000002</v>
      </c>
      <c r="I166" s="191">
        <v>0</v>
      </c>
      <c r="J166" s="191">
        <v>0</v>
      </c>
      <c r="K166" s="191">
        <v>0</v>
      </c>
      <c r="L166" s="191">
        <v>0</v>
      </c>
      <c r="M166" s="191">
        <v>2.5860000000000001E-2</v>
      </c>
      <c r="N166" s="191">
        <v>-3.0070142684764149E-2</v>
      </c>
      <c r="O166" s="191">
        <v>-2.6011265682149749E-2</v>
      </c>
      <c r="T166" s="48">
        <v>1</v>
      </c>
      <c r="U166" s="46" t="s">
        <v>247</v>
      </c>
      <c r="V166" s="53" t="s">
        <v>247</v>
      </c>
      <c r="W166" s="53" t="s">
        <v>547</v>
      </c>
      <c r="X166" s="53" t="s">
        <v>203</v>
      </c>
      <c r="Y166" s="172">
        <f>IFERROR(-tblZwaste1422[[#This Row],[Weight (kgCO2e/kg)]],0)</f>
        <v>-1.0505633333333335</v>
      </c>
      <c r="Z166" s="172">
        <f>IF(AQ166="x",(AR166*-tblZwaste1422[[#This Row],[Weight (kgCO2e/kg)]])+AS166+($AR$10*Lookups!$J$38/1000),"DELETE")</f>
        <v>-0.96748512603333348</v>
      </c>
      <c r="AA166" s="172">
        <f t="shared" si="65"/>
        <v>-0.31721996036779287</v>
      </c>
      <c r="AB166" s="172" t="str">
        <f t="shared" si="65"/>
        <v>DELETE</v>
      </c>
      <c r="AC166" s="172" t="str">
        <f t="shared" si="65"/>
        <v>DELETE</v>
      </c>
      <c r="AD166" s="172">
        <f t="shared" si="65"/>
        <v>2.6030298385681702E-2</v>
      </c>
      <c r="AE166" s="172">
        <f t="shared" si="65"/>
        <v>3.027081363883255E-2</v>
      </c>
      <c r="AF166" s="172">
        <f t="shared" si="65"/>
        <v>4.8923430416285746E-2</v>
      </c>
      <c r="AG166" s="150"/>
      <c r="AI166" s="137">
        <v>1</v>
      </c>
      <c r="AJ166" s="136" t="s">
        <v>247</v>
      </c>
      <c r="AK166" s="142" t="s">
        <v>247</v>
      </c>
      <c r="AL166" s="136" t="s">
        <v>547</v>
      </c>
      <c r="AM166" s="136" t="s">
        <v>203</v>
      </c>
      <c r="AN166" s="1">
        <v>1.0505633333333335</v>
      </c>
      <c r="AO166" s="166">
        <v>0.89563000000000004</v>
      </c>
      <c r="AQ166" t="str">
        <f>_xlfn.XLOOKUP(tblGWP21[[#This Row],[Material Subcategory]],ls_Mat,Factors!$K$952:$K$1023)</f>
        <v>x</v>
      </c>
      <c r="AR166" s="173">
        <v>1</v>
      </c>
      <c r="AS166">
        <v>8.1306407300000008E-2</v>
      </c>
      <c r="AT166" t="s">
        <v>531</v>
      </c>
      <c r="BA166" cm="1">
        <f t="array" ref="BA166:BM166">tblGWP21[#This Row]</f>
        <v>1</v>
      </c>
      <c r="BB166" t="str">
        <v>Glass</v>
      </c>
      <c r="BC166" t="str">
        <v>Glass</v>
      </c>
      <c r="BD166" t="str">
        <v>Asia</v>
      </c>
      <c r="BE166" t="str">
        <v>n/a</v>
      </c>
      <c r="BF166">
        <v>-1.0505633333333335</v>
      </c>
      <c r="BG166">
        <v>-0.96748512603333348</v>
      </c>
      <c r="BH166">
        <v>-0.31721996036779287</v>
      </c>
      <c r="BI166" t="str">
        <v>DELETE</v>
      </c>
      <c r="BJ166" t="str">
        <v>DELETE</v>
      </c>
      <c r="BK166">
        <v>2.6030298385681702E-2</v>
      </c>
      <c r="BL166">
        <v>3.027081363883255E-2</v>
      </c>
      <c r="BM166">
        <v>4.8923430416285746E-2</v>
      </c>
    </row>
    <row r="167" spans="3:65">
      <c r="C167" s="362">
        <v>1</v>
      </c>
      <c r="D167" s="363" t="s">
        <v>256</v>
      </c>
      <c r="E167" s="362" t="s">
        <v>258</v>
      </c>
      <c r="F167" s="362" t="s">
        <v>547</v>
      </c>
      <c r="G167" s="362" t="s">
        <v>203</v>
      </c>
      <c r="H167" s="368">
        <v>-4.6396800000000002</v>
      </c>
      <c r="I167" s="368">
        <v>-4.5566017927000004</v>
      </c>
      <c r="J167" s="368">
        <v>-4.8790029203648668</v>
      </c>
      <c r="K167" s="368">
        <v>0</v>
      </c>
      <c r="L167" s="368">
        <v>0</v>
      </c>
      <c r="M167" s="368">
        <v>2.5860000000000001E-2</v>
      </c>
      <c r="N167" s="368">
        <v>-3.3687837404485596E-2</v>
      </c>
      <c r="O167" s="368">
        <v>-2.6011265682149749E-2</v>
      </c>
      <c r="T167" s="48">
        <v>1</v>
      </c>
      <c r="U167" s="46" t="s">
        <v>247</v>
      </c>
      <c r="V167" s="53" t="s">
        <v>248</v>
      </c>
      <c r="W167" s="53" t="s">
        <v>547</v>
      </c>
      <c r="X167" s="53" t="s">
        <v>203</v>
      </c>
      <c r="Y167" s="172">
        <f>IFERROR(-tblZwaste1422[[#This Row],[Weight (kgCO2e/kg)]],0)</f>
        <v>-1.0606100000000001</v>
      </c>
      <c r="Z167" s="172">
        <f>IF(AQ167="x",(AR167*-tblZwaste1422[[#This Row],[Weight (kgCO2e/kg)]])+AS167+($AR$10*Lookups!$J$38/1000),"DELETE")</f>
        <v>-0.97753179270000001</v>
      </c>
      <c r="AA167" s="172">
        <f t="shared" si="65"/>
        <v>-0.16833894768384622</v>
      </c>
      <c r="AB167" s="172" t="str">
        <f t="shared" si="65"/>
        <v>DELETE</v>
      </c>
      <c r="AC167" s="172" t="str">
        <f t="shared" si="65"/>
        <v>DELETE</v>
      </c>
      <c r="AD167" s="172">
        <f t="shared" si="65"/>
        <v>2.6030304440254601E-2</v>
      </c>
      <c r="AE167" s="172">
        <f t="shared" si="65"/>
        <v>3.4167398126000198E-2</v>
      </c>
      <c r="AF167" s="172">
        <f t="shared" si="65"/>
        <v>4.8922246810678846E-2</v>
      </c>
      <c r="AG167" s="150"/>
      <c r="AI167" s="137">
        <v>1</v>
      </c>
      <c r="AJ167" s="136" t="s">
        <v>247</v>
      </c>
      <c r="AK167" s="142" t="s">
        <v>248</v>
      </c>
      <c r="AL167" s="136" t="s">
        <v>547</v>
      </c>
      <c r="AM167" s="136" t="s">
        <v>203</v>
      </c>
      <c r="AN167" s="1">
        <v>1.0606100000000001</v>
      </c>
      <c r="AO167" s="166">
        <v>0.89563000000000004</v>
      </c>
      <c r="AQ167" t="str">
        <f>_xlfn.XLOOKUP(tblGWP21[[#This Row],[Material Subcategory]],ls_Mat,Factors!$K$952:$K$1023)</f>
        <v>x</v>
      </c>
      <c r="AR167" s="173">
        <v>1</v>
      </c>
      <c r="AS167">
        <v>8.1306407300000008E-2</v>
      </c>
      <c r="AT167" t="s">
        <v>531</v>
      </c>
      <c r="AU167" t="s">
        <v>526</v>
      </c>
      <c r="AV167" s="347">
        <v>0.85</v>
      </c>
      <c r="BA167" cm="1">
        <f t="array" ref="BA167:BM167">tblGWP21[#This Row]</f>
        <v>1</v>
      </c>
      <c r="BB167" t="str">
        <v>Glass</v>
      </c>
      <c r="BC167" t="str">
        <v>Glass – Brown</v>
      </c>
      <c r="BD167" t="str">
        <v>Asia</v>
      </c>
      <c r="BE167" t="str">
        <v>n/a</v>
      </c>
      <c r="BF167">
        <v>-1.0606100000000001</v>
      </c>
      <c r="BG167">
        <v>-0.97753179270000001</v>
      </c>
      <c r="BH167">
        <v>-0.16833894768384622</v>
      </c>
      <c r="BI167" t="str">
        <v>DELETE</v>
      </c>
      <c r="BJ167" t="str">
        <v>DELETE</v>
      </c>
      <c r="BK167">
        <v>2.6030304440254601E-2</v>
      </c>
      <c r="BL167">
        <v>3.4167398126000198E-2</v>
      </c>
      <c r="BM167">
        <v>4.8922246810678846E-2</v>
      </c>
    </row>
    <row r="168" spans="3:65">
      <c r="C168" s="136">
        <v>1</v>
      </c>
      <c r="D168" s="137" t="s">
        <v>247</v>
      </c>
      <c r="E168" s="136" t="s">
        <v>247</v>
      </c>
      <c r="F168" s="136" t="s">
        <v>547</v>
      </c>
      <c r="G168" s="136" t="s">
        <v>203</v>
      </c>
      <c r="H168" s="191">
        <v>-1.0505633333333335</v>
      </c>
      <c r="I168" s="191">
        <v>-0.96748512603333348</v>
      </c>
      <c r="J168" s="191">
        <v>-0.31721996036779287</v>
      </c>
      <c r="K168" s="191">
        <v>0</v>
      </c>
      <c r="L168" s="191">
        <v>0</v>
      </c>
      <c r="M168" s="191">
        <v>2.6030298385681702E-2</v>
      </c>
      <c r="N168" s="191">
        <v>3.027081363883255E-2</v>
      </c>
      <c r="O168" s="191">
        <v>4.8923430416285746E-2</v>
      </c>
      <c r="T168" s="48">
        <v>1</v>
      </c>
      <c r="U168" s="46" t="s">
        <v>247</v>
      </c>
      <c r="V168" s="53" t="s">
        <v>263</v>
      </c>
      <c r="W168" s="53" t="s">
        <v>547</v>
      </c>
      <c r="X168" s="53" t="s">
        <v>203</v>
      </c>
      <c r="Y168" s="172">
        <f>IFERROR(-tblZwaste1422[[#This Row],[Weight (kgCO2e/kg)]],0)</f>
        <v>-1.0341199999999999</v>
      </c>
      <c r="Z168" s="172">
        <f>IF(AQ168="x",(AR168*-tblZwaste1422[[#This Row],[Weight (kgCO2e/kg)]])+AS168+($AR$10*Lookups!$J$38/1000),"DELETE")</f>
        <v>-0.95104179269999989</v>
      </c>
      <c r="AA168" s="172">
        <f t="shared" si="65"/>
        <v>-0.16833894768384622</v>
      </c>
      <c r="AB168" s="172" t="str">
        <f t="shared" si="65"/>
        <v>DELETE</v>
      </c>
      <c r="AC168" s="172" t="str">
        <f t="shared" si="65"/>
        <v>DELETE</v>
      </c>
      <c r="AD168" s="172">
        <f t="shared" si="65"/>
        <v>2.603030819283635E-2</v>
      </c>
      <c r="AE168" s="172">
        <f t="shared" si="65"/>
        <v>3.6503214873328652E-2</v>
      </c>
      <c r="AF168" s="172">
        <f t="shared" si="65"/>
        <v>4.8922322378817149E-2</v>
      </c>
      <c r="AG168" s="150"/>
      <c r="AI168" s="137">
        <v>1</v>
      </c>
      <c r="AJ168" s="136" t="s">
        <v>247</v>
      </c>
      <c r="AK168" s="142" t="s">
        <v>263</v>
      </c>
      <c r="AL168" s="136" t="s">
        <v>547</v>
      </c>
      <c r="AM168" s="136" t="s">
        <v>203</v>
      </c>
      <c r="AN168" s="1">
        <v>1.0341199999999999</v>
      </c>
      <c r="AO168" s="166">
        <v>0.89563000000000004</v>
      </c>
      <c r="AQ168" t="str">
        <f>_xlfn.XLOOKUP(tblGWP21[[#This Row],[Material Subcategory]],ls_Mat,Factors!$K$952:$K$1023)</f>
        <v>x</v>
      </c>
      <c r="AR168" s="173">
        <v>1</v>
      </c>
      <c r="AS168">
        <v>8.1306407300000008E-2</v>
      </c>
      <c r="AT168" t="s">
        <v>531</v>
      </c>
      <c r="AU168" t="s">
        <v>526</v>
      </c>
      <c r="AV168" s="347">
        <v>0.7</v>
      </c>
      <c r="BA168" cm="1">
        <f t="array" ref="BA168:BM168">tblGWP21[#This Row]</f>
        <v>1</v>
      </c>
      <c r="BB168" t="str">
        <v>Glass</v>
      </c>
      <c r="BC168" t="str">
        <v>Glass – Green</v>
      </c>
      <c r="BD168" t="str">
        <v>Asia</v>
      </c>
      <c r="BE168" t="str">
        <v>n/a</v>
      </c>
      <c r="BF168">
        <v>-1.0341199999999999</v>
      </c>
      <c r="BG168">
        <v>-0.95104179269999989</v>
      </c>
      <c r="BH168">
        <v>-0.16833894768384622</v>
      </c>
      <c r="BI168" t="str">
        <v>DELETE</v>
      </c>
      <c r="BJ168" t="str">
        <v>DELETE</v>
      </c>
      <c r="BK168">
        <v>2.603030819283635E-2</v>
      </c>
      <c r="BL168">
        <v>3.6503214873328652E-2</v>
      </c>
      <c r="BM168">
        <v>4.8922322378817149E-2</v>
      </c>
    </row>
    <row r="169" spans="3:65">
      <c r="C169" s="362">
        <v>1</v>
      </c>
      <c r="D169" s="363" t="s">
        <v>247</v>
      </c>
      <c r="E169" s="362" t="s">
        <v>248</v>
      </c>
      <c r="F169" s="362" t="s">
        <v>547</v>
      </c>
      <c r="G169" s="362" t="s">
        <v>203</v>
      </c>
      <c r="H169" s="368">
        <v>-1.0606100000000001</v>
      </c>
      <c r="I169" s="368">
        <v>-0.97753179270000001</v>
      </c>
      <c r="J169" s="368">
        <v>-0.16833894768384622</v>
      </c>
      <c r="K169" s="368">
        <v>0</v>
      </c>
      <c r="L169" s="368">
        <v>0</v>
      </c>
      <c r="M169" s="368">
        <v>2.6030304440254601E-2</v>
      </c>
      <c r="N169" s="368">
        <v>3.4167398126000198E-2</v>
      </c>
      <c r="O169" s="368">
        <v>4.8922246810678846E-2</v>
      </c>
      <c r="T169" s="48">
        <v>1</v>
      </c>
      <c r="U169" s="46" t="s">
        <v>247</v>
      </c>
      <c r="V169" s="53" t="s">
        <v>539</v>
      </c>
      <c r="W169" s="53" t="s">
        <v>547</v>
      </c>
      <c r="X169" s="53" t="s">
        <v>203</v>
      </c>
      <c r="Y169" s="172">
        <f>IFERROR(-tblZwaste1422[[#This Row],[Weight (kgCO2e/kg)]],0)</f>
        <v>-1.0569599999999999</v>
      </c>
      <c r="Z169" s="172">
        <f>IF(AQ169="x",(AR169*-tblZwaste1422[[#This Row],[Weight (kgCO2e/kg)]])+AS169+($AR$10*Lookups!$J$38/1000),"DELETE")</f>
        <v>-0.97388179269999986</v>
      </c>
      <c r="AA169" s="172">
        <f t="shared" ref="AA169:AF178" si="66">IF(ISNUMBER(AVERAGE(AA449,AA505)),AVERAGE(AA449,AA505),AA449)</f>
        <v>-0.17365491445280978</v>
      </c>
      <c r="AB169" s="172" t="str">
        <f t="shared" si="66"/>
        <v>DELETE</v>
      </c>
      <c r="AC169" s="172" t="str">
        <f t="shared" si="66"/>
        <v>DELETE</v>
      </c>
      <c r="AD169" s="172">
        <f t="shared" si="66"/>
        <v>2.603028858808815E-2</v>
      </c>
      <c r="AE169" s="172">
        <f t="shared" si="66"/>
        <v>2.3994783972430499E-2</v>
      </c>
      <c r="AF169" s="172">
        <f t="shared" si="66"/>
        <v>4.8924705168955848E-2</v>
      </c>
      <c r="AG169" s="150"/>
      <c r="AI169" s="137">
        <v>1</v>
      </c>
      <c r="AJ169" s="136" t="s">
        <v>247</v>
      </c>
      <c r="AK169" s="142" t="s">
        <v>539</v>
      </c>
      <c r="AL169" s="136" t="s">
        <v>547</v>
      </c>
      <c r="AM169" s="136" t="s">
        <v>203</v>
      </c>
      <c r="AN169" s="1">
        <v>1.0569599999999999</v>
      </c>
      <c r="AO169" s="166">
        <v>0.89563000000000004</v>
      </c>
      <c r="AQ169" t="str">
        <f>_xlfn.XLOOKUP(tblGWP21[[#This Row],[Material Subcategory]],ls_Mat,Factors!$K$952:$K$1023)</f>
        <v>x</v>
      </c>
      <c r="AR169" s="173">
        <v>1</v>
      </c>
      <c r="AS169">
        <v>8.1306407300000008E-2</v>
      </c>
      <c r="AT169" t="s">
        <v>531</v>
      </c>
      <c r="AU169" t="s">
        <v>526</v>
      </c>
      <c r="AV169" s="347">
        <v>0.8</v>
      </c>
      <c r="BA169" cm="1">
        <f t="array" ref="BA169:BM169">tblGWP21[#This Row]</f>
        <v>1</v>
      </c>
      <c r="BB169" t="str">
        <v>Glass</v>
      </c>
      <c r="BC169" t="str">
        <v>Glass – Clear</v>
      </c>
      <c r="BD169" t="str">
        <v>Asia</v>
      </c>
      <c r="BE169" t="str">
        <v>n/a</v>
      </c>
      <c r="BF169">
        <v>-1.0569599999999999</v>
      </c>
      <c r="BG169">
        <v>-0.97388179269999986</v>
      </c>
      <c r="BH169">
        <v>-0.17365491445280978</v>
      </c>
      <c r="BI169" t="str">
        <v>DELETE</v>
      </c>
      <c r="BJ169" t="str">
        <v>DELETE</v>
      </c>
      <c r="BK169">
        <v>2.603028858808815E-2</v>
      </c>
      <c r="BL169">
        <v>2.3994783972430499E-2</v>
      </c>
      <c r="BM169">
        <v>4.8924705168955848E-2</v>
      </c>
    </row>
    <row r="170" spans="3:65">
      <c r="C170" s="136">
        <v>1</v>
      </c>
      <c r="D170" s="137" t="s">
        <v>247</v>
      </c>
      <c r="E170" s="136" t="s">
        <v>263</v>
      </c>
      <c r="F170" s="136" t="s">
        <v>547</v>
      </c>
      <c r="G170" s="136" t="s">
        <v>203</v>
      </c>
      <c r="H170" s="191">
        <v>-1.0341199999999999</v>
      </c>
      <c r="I170" s="191">
        <v>-0.95104179269999989</v>
      </c>
      <c r="J170" s="191">
        <v>-0.16833894768384622</v>
      </c>
      <c r="K170" s="191">
        <v>0</v>
      </c>
      <c r="L170" s="191">
        <v>0</v>
      </c>
      <c r="M170" s="191">
        <v>2.603030819283635E-2</v>
      </c>
      <c r="N170" s="191">
        <v>3.6503214873328652E-2</v>
      </c>
      <c r="O170" s="191">
        <v>4.8922322378817149E-2</v>
      </c>
      <c r="T170" s="48">
        <v>1</v>
      </c>
      <c r="U170" s="46" t="s">
        <v>247</v>
      </c>
      <c r="V170" s="53" t="s">
        <v>270</v>
      </c>
      <c r="W170" s="53" t="s">
        <v>547</v>
      </c>
      <c r="X170" s="53" t="s">
        <v>203</v>
      </c>
      <c r="Y170" s="172">
        <f>IFERROR(-tblZwaste1422[[#This Row],[Weight (kgCO2e/kg)]],0)</f>
        <v>-1.0505633333333335</v>
      </c>
      <c r="Z170" s="172">
        <f>IF(AQ170="x",(AR170*-tblZwaste1422[[#This Row],[Weight (kgCO2e/kg)]])+AS170+($AR$10*Lookups!$J$38/1000),"DELETE")</f>
        <v>-0.96748512603333348</v>
      </c>
      <c r="AA170" s="172">
        <f t="shared" si="66"/>
        <v>-0.31721996036779287</v>
      </c>
      <c r="AB170" s="172" t="str">
        <f t="shared" si="66"/>
        <v>DELETE</v>
      </c>
      <c r="AC170" s="172" t="str">
        <f t="shared" si="66"/>
        <v>DELETE</v>
      </c>
      <c r="AD170" s="172">
        <f t="shared" si="66"/>
        <v>2.6030298385681702E-2</v>
      </c>
      <c r="AE170" s="172">
        <f t="shared" si="66"/>
        <v>3.027081363883255E-2</v>
      </c>
      <c r="AF170" s="172">
        <f t="shared" si="66"/>
        <v>4.8923430416285746E-2</v>
      </c>
      <c r="AG170" s="150"/>
      <c r="AI170" s="137">
        <v>1</v>
      </c>
      <c r="AJ170" s="136" t="s">
        <v>247</v>
      </c>
      <c r="AK170" s="142" t="s">
        <v>270</v>
      </c>
      <c r="AL170" s="136" t="s">
        <v>547</v>
      </c>
      <c r="AM170" s="136" t="s">
        <v>203</v>
      </c>
      <c r="AN170" s="1">
        <v>1.0505633333333335</v>
      </c>
      <c r="AO170" s="166">
        <v>0.89563000000000004</v>
      </c>
      <c r="AQ170" t="str">
        <f>_xlfn.XLOOKUP(tblGWP21[[#This Row],[Material Subcategory]],ls_Mat,Factors!$K$952:$K$1023)</f>
        <v>x</v>
      </c>
      <c r="AR170" s="173">
        <v>1</v>
      </c>
      <c r="AS170">
        <v>8.1306407300000008E-2</v>
      </c>
      <c r="AT170" t="s">
        <v>531</v>
      </c>
      <c r="AU170" t="s">
        <v>526</v>
      </c>
      <c r="AV170" s="347">
        <v>0.7</v>
      </c>
      <c r="BA170" cm="1">
        <f t="array" ref="BA170:BM170">tblGWP21[#This Row]</f>
        <v>1</v>
      </c>
      <c r="BB170" t="str">
        <v>Glass</v>
      </c>
      <c r="BC170" t="str">
        <v>Mixed Glass</v>
      </c>
      <c r="BD170" t="str">
        <v>Asia</v>
      </c>
      <c r="BE170" t="str">
        <v>n/a</v>
      </c>
      <c r="BF170">
        <v>-1.0505633333333335</v>
      </c>
      <c r="BG170">
        <v>-0.96748512603333348</v>
      </c>
      <c r="BH170">
        <v>-0.31721996036779287</v>
      </c>
      <c r="BI170" t="str">
        <v>DELETE</v>
      </c>
      <c r="BJ170" t="str">
        <v>DELETE</v>
      </c>
      <c r="BK170">
        <v>2.6030298385681702E-2</v>
      </c>
      <c r="BL170">
        <v>3.027081363883255E-2</v>
      </c>
      <c r="BM170">
        <v>4.8923430416285746E-2</v>
      </c>
    </row>
    <row r="171" spans="3:65">
      <c r="C171" s="362">
        <v>1</v>
      </c>
      <c r="D171" s="363" t="s">
        <v>247</v>
      </c>
      <c r="E171" s="362" t="s">
        <v>539</v>
      </c>
      <c r="F171" s="362" t="s">
        <v>547</v>
      </c>
      <c r="G171" s="362" t="s">
        <v>203</v>
      </c>
      <c r="H171" s="368">
        <v>-1.0569599999999999</v>
      </c>
      <c r="I171" s="368">
        <v>-0.97388179269999986</v>
      </c>
      <c r="J171" s="368">
        <v>-0.17365491445280978</v>
      </c>
      <c r="K171" s="368">
        <v>0</v>
      </c>
      <c r="L171" s="368">
        <v>0</v>
      </c>
      <c r="M171" s="368">
        <v>2.603028858808815E-2</v>
      </c>
      <c r="N171" s="368">
        <v>2.3994783972430499E-2</v>
      </c>
      <c r="O171" s="368">
        <v>4.8924705168955848E-2</v>
      </c>
      <c r="T171" s="48">
        <v>1</v>
      </c>
      <c r="U171" s="46" t="s">
        <v>247</v>
      </c>
      <c r="V171" s="53" t="s">
        <v>540</v>
      </c>
      <c r="W171" s="53" t="s">
        <v>547</v>
      </c>
      <c r="X171" s="53" t="s">
        <v>203</v>
      </c>
      <c r="Y171" s="172">
        <f>IFERROR(-tblZwaste1422[[#This Row],[Weight (kgCO2e/kg)]],0)</f>
        <v>-1.0473650000000001</v>
      </c>
      <c r="Z171" s="172">
        <f>IF(AQ171="x",(AR171*-tblZwaste1422[[#This Row],[Weight (kgCO2e/kg)]])+AS171+($AR$10*Lookups!$J$38/1000),"DELETE")</f>
        <v>-0.96428679270000006</v>
      </c>
      <c r="AA171" s="172" t="str">
        <f t="shared" si="66"/>
        <v>DELETE</v>
      </c>
      <c r="AB171" s="172" t="str">
        <f t="shared" si="66"/>
        <v>DELETE</v>
      </c>
      <c r="AC171" s="172" t="str">
        <f t="shared" si="66"/>
        <v>DELETE</v>
      </c>
      <c r="AD171" s="172">
        <f t="shared" si="66"/>
        <v>2.603028168582355E-2</v>
      </c>
      <c r="AE171" s="172">
        <f t="shared" si="66"/>
        <v>2.6330080564531001E-2</v>
      </c>
      <c r="AF171" s="172">
        <f t="shared" si="66"/>
        <v>4.8924260581867052E-2</v>
      </c>
      <c r="AG171" s="150"/>
      <c r="AI171" s="137">
        <v>1</v>
      </c>
      <c r="AJ171" s="136" t="s">
        <v>247</v>
      </c>
      <c r="AK171" s="142" t="s">
        <v>540</v>
      </c>
      <c r="AL171" s="136" t="s">
        <v>547</v>
      </c>
      <c r="AM171" s="136" t="s">
        <v>203</v>
      </c>
      <c r="AN171" s="1">
        <v>1.0473650000000001</v>
      </c>
      <c r="AO171" s="166">
        <v>0.89563000000000004</v>
      </c>
      <c r="AQ171" t="str">
        <f>_xlfn.XLOOKUP(tblGWP21[[#This Row],[Material Subcategory]],ls_Mat,Factors!$K$952:$K$1023)</f>
        <v>x</v>
      </c>
      <c r="AR171" s="173">
        <v>1</v>
      </c>
      <c r="AS171">
        <v>8.1306407300000008E-2</v>
      </c>
      <c r="AT171" t="s">
        <v>531</v>
      </c>
      <c r="AV171" s="347"/>
      <c r="BA171" cm="1">
        <f t="array" ref="BA171:BM171">tblGWP21[#This Row]</f>
        <v>1</v>
      </c>
      <c r="BB171" t="str">
        <v>Glass</v>
      </c>
      <c r="BC171" t="str">
        <v>Glass – Non-Recyclable</v>
      </c>
      <c r="BD171" t="str">
        <v>Asia</v>
      </c>
      <c r="BE171" t="str">
        <v>n/a</v>
      </c>
      <c r="BF171">
        <v>-1.0473650000000001</v>
      </c>
      <c r="BG171">
        <v>-0.96428679270000006</v>
      </c>
      <c r="BH171" t="str">
        <v>DELETE</v>
      </c>
      <c r="BI171" t="str">
        <v>DELETE</v>
      </c>
      <c r="BJ171" t="str">
        <v>DELETE</v>
      </c>
      <c r="BK171">
        <v>2.603028168582355E-2</v>
      </c>
      <c r="BL171">
        <v>2.6330080564531001E-2</v>
      </c>
      <c r="BM171">
        <v>4.8924260581867052E-2</v>
      </c>
    </row>
    <row r="172" spans="3:65">
      <c r="C172" s="136">
        <v>1</v>
      </c>
      <c r="D172" s="137" t="s">
        <v>247</v>
      </c>
      <c r="E172" s="136" t="s">
        <v>270</v>
      </c>
      <c r="F172" s="136" t="s">
        <v>547</v>
      </c>
      <c r="G172" s="136" t="s">
        <v>203</v>
      </c>
      <c r="H172" s="191">
        <v>-1.0505633333333335</v>
      </c>
      <c r="I172" s="191">
        <v>-0.96748512603333348</v>
      </c>
      <c r="J172" s="191">
        <v>-0.31721996036779287</v>
      </c>
      <c r="K172" s="191">
        <v>0</v>
      </c>
      <c r="L172" s="191">
        <v>0</v>
      </c>
      <c r="M172" s="191">
        <v>2.6030298385681702E-2</v>
      </c>
      <c r="N172" s="191">
        <v>3.027081363883255E-2</v>
      </c>
      <c r="O172" s="191">
        <v>4.8923430416285746E-2</v>
      </c>
      <c r="T172" s="48">
        <v>1</v>
      </c>
      <c r="U172" s="46" t="s">
        <v>261</v>
      </c>
      <c r="V172" s="53" t="s">
        <v>260</v>
      </c>
      <c r="W172" s="53" t="s">
        <v>547</v>
      </c>
      <c r="X172" s="53" t="s">
        <v>203</v>
      </c>
      <c r="Y172" s="172">
        <f>IFERROR(-tblZwaste1422[[#This Row],[Weight (kgCO2e/kg)]],0)</f>
        <v>-4.0364225925925927</v>
      </c>
      <c r="Z172" s="172" t="str">
        <f>IF(AQ172="x",(AR172*-tblZwaste1422[[#This Row],[Weight (kgCO2e/kg)]])+AS172+($AR$10*Lookups!$J$38/1000),"DELETE")</f>
        <v>DELETE</v>
      </c>
      <c r="AA172" s="172" t="str">
        <f t="shared" si="66"/>
        <v>DELETE</v>
      </c>
      <c r="AB172" s="172">
        <f t="shared" si="66"/>
        <v>-0.50051057013022104</v>
      </c>
      <c r="AC172" s="172">
        <f t="shared" si="66"/>
        <v>-0.86435222943154244</v>
      </c>
      <c r="AD172" s="172">
        <f t="shared" si="66"/>
        <v>-0.12767880511941876</v>
      </c>
      <c r="AE172" s="172">
        <f t="shared" si="66"/>
        <v>-0.2509846427709625</v>
      </c>
      <c r="AF172" s="172">
        <f t="shared" si="66"/>
        <v>2.75307133749997E-2</v>
      </c>
      <c r="AG172" s="150"/>
      <c r="AI172" s="137">
        <v>1</v>
      </c>
      <c r="AJ172" s="136" t="s">
        <v>529</v>
      </c>
      <c r="AK172" s="142" t="s">
        <v>260</v>
      </c>
      <c r="AL172" s="136" t="s">
        <v>547</v>
      </c>
      <c r="AM172" s="136" t="s">
        <v>203</v>
      </c>
      <c r="AN172" s="1">
        <v>4.0364225925925927</v>
      </c>
      <c r="AO172" s="166">
        <v>1.3856655555555555</v>
      </c>
      <c r="AQ172">
        <f>_xlfn.XLOOKUP(tblGWP21[[#This Row],[Material Subcategory]],ls_Mat,Factors!$K$952:$K$1023)</f>
        <v>0</v>
      </c>
      <c r="AR172" s="173"/>
      <c r="BA172" cm="1">
        <f t="array" ref="BA172:BM172">tblGWP21[#This Row]</f>
        <v>1</v>
      </c>
      <c r="BB172" t="str">
        <v>Food Waste</v>
      </c>
      <c r="BC172" t="str">
        <v>Mixed Organics</v>
      </c>
      <c r="BD172" t="str">
        <v>Asia</v>
      </c>
      <c r="BE172" t="str">
        <v>n/a</v>
      </c>
      <c r="BF172">
        <v>-4.0364225925925927</v>
      </c>
      <c r="BG172" t="str">
        <v>DELETE</v>
      </c>
      <c r="BH172" t="str">
        <v>DELETE</v>
      </c>
      <c r="BI172">
        <v>-0.50051057013022104</v>
      </c>
      <c r="BJ172">
        <v>-0.86435222943154244</v>
      </c>
      <c r="BK172">
        <v>-0.12767880511941876</v>
      </c>
      <c r="BL172">
        <v>-0.2509846427709625</v>
      </c>
      <c r="BM172">
        <v>2.75307133749997E-2</v>
      </c>
    </row>
    <row r="173" spans="3:65">
      <c r="C173" s="362">
        <v>1</v>
      </c>
      <c r="D173" s="363" t="s">
        <v>247</v>
      </c>
      <c r="E173" s="362" t="s">
        <v>540</v>
      </c>
      <c r="F173" s="362" t="s">
        <v>547</v>
      </c>
      <c r="G173" s="362" t="s">
        <v>203</v>
      </c>
      <c r="H173" s="368">
        <v>-1.0473650000000001</v>
      </c>
      <c r="I173" s="368">
        <v>-0.96428679270000006</v>
      </c>
      <c r="J173" s="368">
        <v>0</v>
      </c>
      <c r="K173" s="368">
        <v>0</v>
      </c>
      <c r="L173" s="368">
        <v>0</v>
      </c>
      <c r="M173" s="368">
        <v>2.603028168582355E-2</v>
      </c>
      <c r="N173" s="368">
        <v>2.6330080564531001E-2</v>
      </c>
      <c r="O173" s="368">
        <v>4.8924260581867052E-2</v>
      </c>
      <c r="T173" s="48">
        <v>1</v>
      </c>
      <c r="U173" s="46" t="s">
        <v>237</v>
      </c>
      <c r="V173" s="53" t="s">
        <v>237</v>
      </c>
      <c r="W173" s="53" t="s">
        <v>547</v>
      </c>
      <c r="X173" s="53" t="s">
        <v>203</v>
      </c>
      <c r="Y173" s="172">
        <f>IFERROR(-tblZwaste1422[[#This Row],[Weight (kgCO2e/kg)]],0)</f>
        <v>-2.8533815875203707</v>
      </c>
      <c r="Z173" s="172" t="e">
        <f>IF(AQ173="x",(AR173*-tblZwaste1422[[#This Row],[Weight (kgCO2e/kg)]])+AS173+($AR$10*Lookups!$J$38/1000),"DELETE")</f>
        <v>#N/A</v>
      </c>
      <c r="AA173" s="172" t="s">
        <v>567</v>
      </c>
      <c r="AB173" s="172" t="str">
        <f t="shared" si="66"/>
        <v>DELETE</v>
      </c>
      <c r="AC173" s="172" t="str">
        <f t="shared" si="66"/>
        <v>DELETE</v>
      </c>
      <c r="AD173" s="172">
        <f t="shared" si="66"/>
        <v>-0.43045193315319141</v>
      </c>
      <c r="AE173" s="172">
        <f t="shared" si="66"/>
        <v>-0.56255922354308074</v>
      </c>
      <c r="AF173" s="172">
        <f t="shared" si="66"/>
        <v>2.7969653006563899E-2</v>
      </c>
      <c r="AG173" s="150"/>
      <c r="AI173" s="137">
        <v>1</v>
      </c>
      <c r="AJ173" s="136" t="s">
        <v>237</v>
      </c>
      <c r="AK173" s="142" t="s">
        <v>237</v>
      </c>
      <c r="AL173" s="136" t="s">
        <v>547</v>
      </c>
      <c r="AM173" s="136" t="s">
        <v>203</v>
      </c>
      <c r="AN173" s="1">
        <v>2.8533815875203707</v>
      </c>
      <c r="AO173" s="166">
        <v>1.0711602172222223</v>
      </c>
      <c r="AQ173" t="e">
        <f>_xlfn.XLOOKUP(tblGWP21[[#This Row],[Material Subcategory]],ls_Mat,Factors!$K$952:$K$1023)</f>
        <v>#N/A</v>
      </c>
      <c r="AR173" s="173">
        <v>0.5</v>
      </c>
      <c r="AS173">
        <v>0</v>
      </c>
      <c r="AT173" t="s">
        <v>527</v>
      </c>
      <c r="BA173" cm="1">
        <f t="array" ref="BA173:BM173">tblGWP21[#This Row]</f>
        <v>1</v>
      </c>
      <c r="BB173" t="str">
        <v>Mixed/Custom</v>
      </c>
      <c r="BC173" t="str">
        <v>Mixed/Custom</v>
      </c>
      <c r="BD173" t="str">
        <v>Asia</v>
      </c>
      <c r="BE173" t="str">
        <v>n/a</v>
      </c>
      <c r="BF173">
        <v>-2.8533815875203707</v>
      </c>
      <c r="BG173" t="e">
        <v>#N/A</v>
      </c>
      <c r="BH173" t="str">
        <v>DELETE</v>
      </c>
      <c r="BI173" t="str">
        <v>DELETE</v>
      </c>
      <c r="BJ173" t="str">
        <v>DELETE</v>
      </c>
      <c r="BK173">
        <v>-0.43045193315319141</v>
      </c>
      <c r="BL173">
        <v>-0.56255922354308074</v>
      </c>
      <c r="BM173">
        <v>2.7969653006563899E-2</v>
      </c>
    </row>
    <row r="174" spans="3:65">
      <c r="C174" s="136">
        <v>1</v>
      </c>
      <c r="D174" s="137" t="s">
        <v>261</v>
      </c>
      <c r="E174" s="136" t="s">
        <v>260</v>
      </c>
      <c r="F174" s="136" t="s">
        <v>547</v>
      </c>
      <c r="G174" s="136" t="s">
        <v>203</v>
      </c>
      <c r="H174" s="191">
        <v>-4.0364225925925927</v>
      </c>
      <c r="I174" s="191">
        <v>0</v>
      </c>
      <c r="J174" s="191">
        <v>0</v>
      </c>
      <c r="K174" s="191">
        <v>-0.50051057013022104</v>
      </c>
      <c r="L174" s="191">
        <v>-0.86435222943154244</v>
      </c>
      <c r="M174" s="191">
        <v>-0.12767880511941876</v>
      </c>
      <c r="N174" s="191">
        <v>-0.2509846427709625</v>
      </c>
      <c r="O174" s="191">
        <v>2.75307133749997E-2</v>
      </c>
      <c r="T174" s="48">
        <v>1</v>
      </c>
      <c r="U174" s="46" t="s">
        <v>237</v>
      </c>
      <c r="V174" s="53" t="s">
        <v>246</v>
      </c>
      <c r="W174" s="53" t="s">
        <v>547</v>
      </c>
      <c r="X174" s="53" t="s">
        <v>203</v>
      </c>
      <c r="Y174" s="172">
        <f>IFERROR(-tblZwaste1422[[#This Row],[Weight (kgCO2e/kg)]],0)</f>
        <v>-7.3412433500000009</v>
      </c>
      <c r="Z174" s="172" t="str">
        <f>IF(AQ174="x",(AR174*-tblZwaste1422[[#This Row],[Weight (kgCO2e/kg)]])+AS174+($AR$10*Lookups!$J$38/1000),"DELETE")</f>
        <v>DELETE</v>
      </c>
      <c r="AA174" s="172" t="str">
        <f t="shared" si="66"/>
        <v>DELETE</v>
      </c>
      <c r="AB174" s="172" t="str">
        <f t="shared" si="66"/>
        <v>DELETE</v>
      </c>
      <c r="AC174" s="172" t="str">
        <f t="shared" si="66"/>
        <v>DELETE</v>
      </c>
      <c r="AD174" s="172">
        <f t="shared" si="66"/>
        <v>2.6030333152689648E-2</v>
      </c>
      <c r="AE174" s="172">
        <f t="shared" si="66"/>
        <v>4.1510051336499799E-2</v>
      </c>
      <c r="AF174" s="172">
        <f t="shared" si="66"/>
        <v>4.8921913689101051E-2</v>
      </c>
      <c r="AG174" s="150"/>
      <c r="AI174" s="137">
        <v>1</v>
      </c>
      <c r="AJ174" s="136" t="s">
        <v>237</v>
      </c>
      <c r="AK174" s="142" t="s">
        <v>246</v>
      </c>
      <c r="AL174" s="136" t="s">
        <v>547</v>
      </c>
      <c r="AM174" s="136" t="s">
        <v>203</v>
      </c>
      <c r="AN174" s="1">
        <v>7.3412433500000009</v>
      </c>
      <c r="AO174" s="166">
        <v>0.66842500000000005</v>
      </c>
      <c r="AQ174">
        <f>_xlfn.XLOOKUP(tblGWP21[[#This Row],[Material Subcategory]],ls_Mat,Factors!$K$952:$K$1023)</f>
        <v>0</v>
      </c>
      <c r="AR174" s="173"/>
      <c r="BA174" cm="1">
        <f t="array" ref="BA174:BM174">tblGWP21[#This Row]</f>
        <v>1</v>
      </c>
      <c r="BB174" t="str">
        <v>Mixed/Custom</v>
      </c>
      <c r="BC174" t="str">
        <v>Mixed Inorganics</v>
      </c>
      <c r="BD174" t="str">
        <v>Asia</v>
      </c>
      <c r="BE174" t="str">
        <v>n/a</v>
      </c>
      <c r="BF174">
        <v>-7.3412433500000009</v>
      </c>
      <c r="BG174" t="str">
        <v>DELETE</v>
      </c>
      <c r="BH174" t="str">
        <v>DELETE</v>
      </c>
      <c r="BI174" t="str">
        <v>DELETE</v>
      </c>
      <c r="BJ174" t="str">
        <v>DELETE</v>
      </c>
      <c r="BK174">
        <v>2.6030333152689648E-2</v>
      </c>
      <c r="BL174">
        <v>4.1510051336499799E-2</v>
      </c>
      <c r="BM174">
        <v>4.8921913689101051E-2</v>
      </c>
    </row>
    <row r="175" spans="3:65">
      <c r="C175" s="362">
        <v>1</v>
      </c>
      <c r="D175" s="363" t="s">
        <v>10157</v>
      </c>
      <c r="E175" s="362" t="s">
        <v>237</v>
      </c>
      <c r="F175" s="362" t="s">
        <v>547</v>
      </c>
      <c r="G175" s="362" t="s">
        <v>203</v>
      </c>
      <c r="H175" s="368">
        <v>-2.8533815875203707</v>
      </c>
      <c r="I175" s="368">
        <v>-1.4249189937601854</v>
      </c>
      <c r="J175" s="368">
        <v>0</v>
      </c>
      <c r="K175" s="368">
        <v>0</v>
      </c>
      <c r="L175" s="368">
        <v>0</v>
      </c>
      <c r="M175" s="368">
        <v>-0.43045193315319141</v>
      </c>
      <c r="N175" s="368">
        <v>-0.56255922354308074</v>
      </c>
      <c r="O175" s="368">
        <v>2.7969653006563899E-2</v>
      </c>
      <c r="T175" s="48">
        <v>1</v>
      </c>
      <c r="U175" s="46" t="s">
        <v>237</v>
      </c>
      <c r="V175" s="53" t="s">
        <v>243</v>
      </c>
      <c r="W175" s="53" t="s">
        <v>547</v>
      </c>
      <c r="X175" s="53" t="s">
        <v>203</v>
      </c>
      <c r="Y175" s="172">
        <f>IFERROR(-tblZwaste1422[[#This Row],[Weight (kgCO2e/kg)]],0)</f>
        <v>-2.8533815875203707</v>
      </c>
      <c r="Z175" s="172" t="e">
        <f>IF(AQ175="x",(AR175*-tblZwaste1422[[#This Row],[Weight (kgCO2e/kg)]])+AS175+($AR$10*Lookups!$J$38/1000),"DELETE")</f>
        <v>#N/A</v>
      </c>
      <c r="AA175" s="172" t="str">
        <f t="shared" si="66"/>
        <v>DELETE</v>
      </c>
      <c r="AB175" s="172">
        <f t="shared" si="66"/>
        <v>-1.0182354930331312</v>
      </c>
      <c r="AC175" s="172">
        <f t="shared" si="66"/>
        <v>-1.5961106733928911</v>
      </c>
      <c r="AD175" s="172">
        <f t="shared" si="66"/>
        <v>-0.43045193315319141</v>
      </c>
      <c r="AE175" s="172">
        <f t="shared" si="66"/>
        <v>-0.56255922354308074</v>
      </c>
      <c r="AF175" s="172">
        <f t="shared" si="66"/>
        <v>2.7969653006563899E-2</v>
      </c>
      <c r="AG175" s="150"/>
      <c r="AI175" s="137">
        <v>1</v>
      </c>
      <c r="AJ175" s="136" t="s">
        <v>237</v>
      </c>
      <c r="AK175" s="142" t="s">
        <v>243</v>
      </c>
      <c r="AL175" s="136" t="s">
        <v>547</v>
      </c>
      <c r="AM175" s="136" t="s">
        <v>203</v>
      </c>
      <c r="AN175" s="1">
        <v>2.8533815875203707</v>
      </c>
      <c r="AO175" s="166">
        <v>1.0711602172222223</v>
      </c>
      <c r="AQ175" t="e">
        <f>_xlfn.XLOOKUP(tblGWP21[[#This Row],[Material Subcategory]],ls_Mat,Factors!$K$952:$K$1023)</f>
        <v>#N/A</v>
      </c>
      <c r="AR175" s="173"/>
      <c r="AU175" t="s">
        <v>526</v>
      </c>
      <c r="AV175" s="347">
        <v>0.8</v>
      </c>
      <c r="BA175" cm="1">
        <f t="array" ref="BA175:BM175">tblGWP21[#This Row]</f>
        <v>1</v>
      </c>
      <c r="BB175" t="str">
        <v>Mixed/Custom</v>
      </c>
      <c r="BC175" t="str">
        <v>Mixed MSW</v>
      </c>
      <c r="BD175" t="str">
        <v>Asia</v>
      </c>
      <c r="BE175" t="str">
        <v>n/a</v>
      </c>
      <c r="BF175">
        <v>-2.8533815875203707</v>
      </c>
      <c r="BG175" t="e">
        <v>#N/A</v>
      </c>
      <c r="BH175" t="str">
        <v>DELETE</v>
      </c>
      <c r="BI175">
        <v>-1.0182354930331312</v>
      </c>
      <c r="BJ175">
        <v>-1.5961106733928911</v>
      </c>
      <c r="BK175">
        <v>-0.43045193315319141</v>
      </c>
      <c r="BL175">
        <v>-0.56255922354308074</v>
      </c>
      <c r="BM175">
        <v>2.7969653006563899E-2</v>
      </c>
    </row>
    <row r="176" spans="3:65">
      <c r="C176" s="136">
        <v>1</v>
      </c>
      <c r="D176" s="137" t="s">
        <v>10157</v>
      </c>
      <c r="E176" s="136" t="s">
        <v>246</v>
      </c>
      <c r="F176" s="136" t="s">
        <v>547</v>
      </c>
      <c r="G176" s="136" t="s">
        <v>203</v>
      </c>
      <c r="H176" s="191">
        <v>-7.3412433500000009</v>
      </c>
      <c r="I176" s="191">
        <v>0</v>
      </c>
      <c r="J176" s="191">
        <v>0</v>
      </c>
      <c r="K176" s="191">
        <v>0</v>
      </c>
      <c r="L176" s="191">
        <v>0</v>
      </c>
      <c r="M176" s="191">
        <v>2.6030333152689648E-2</v>
      </c>
      <c r="N176" s="191">
        <v>4.1510051336499799E-2</v>
      </c>
      <c r="O176" s="191">
        <v>4.8921913689101051E-2</v>
      </c>
      <c r="T176" s="48">
        <v>1</v>
      </c>
      <c r="U176" s="46" t="s">
        <v>252</v>
      </c>
      <c r="V176" s="53" t="s">
        <v>333</v>
      </c>
      <c r="W176" s="53" t="s">
        <v>547</v>
      </c>
      <c r="X176" s="53" t="s">
        <v>203</v>
      </c>
      <c r="Y176" s="172">
        <f>IFERROR(-tblZwaste1422[[#This Row],[Weight (kgCO2e/kg)]],0)</f>
        <v>-2.0953266666666663</v>
      </c>
      <c r="Z176" s="172" t="str">
        <f>IF(AQ176="x",(AR176*-tblZwaste1422[[#This Row],[Weight (kgCO2e/kg)]])+AS176+($AR$10*Lookups!$J$38/1000),"DELETE")</f>
        <v>DELETE</v>
      </c>
      <c r="AA176" s="172">
        <f t="shared" si="66"/>
        <v>-4.4029192949505358</v>
      </c>
      <c r="AB176" s="172" t="str">
        <f t="shared" si="66"/>
        <v>DELETE</v>
      </c>
      <c r="AC176" s="172" t="str">
        <f t="shared" si="66"/>
        <v>DELETE</v>
      </c>
      <c r="AD176" s="172">
        <f t="shared" si="66"/>
        <v>2.6030305185259402E-2</v>
      </c>
      <c r="AE176" s="172">
        <f t="shared" si="66"/>
        <v>0.56190687898974445</v>
      </c>
      <c r="AF176" s="172">
        <f t="shared" si="66"/>
        <v>2.1870254846722101</v>
      </c>
      <c r="AG176" s="150"/>
      <c r="AI176" s="137">
        <v>1</v>
      </c>
      <c r="AJ176" s="136" t="s">
        <v>252</v>
      </c>
      <c r="AK176" s="142" t="s">
        <v>333</v>
      </c>
      <c r="AL176" s="136" t="s">
        <v>547</v>
      </c>
      <c r="AM176" s="136" t="s">
        <v>203</v>
      </c>
      <c r="AN176" s="1">
        <v>2.0953266666666663</v>
      </c>
      <c r="AO176" s="166">
        <v>1.77911</v>
      </c>
      <c r="AQ176">
        <f>_xlfn.XLOOKUP(tblGWP21[[#This Row],[Material Subcategory]],ls_Mat,Factors!$K$952:$K$1023)</f>
        <v>0</v>
      </c>
      <c r="AR176" s="173"/>
      <c r="AU176" t="s">
        <v>526</v>
      </c>
      <c r="AV176" s="347">
        <v>0.88</v>
      </c>
      <c r="BA176" cm="1">
        <f t="array" ref="BA176:BM176">tblGWP21[#This Row]</f>
        <v>1</v>
      </c>
      <c r="BB176" t="str">
        <v>Plastics</v>
      </c>
      <c r="BC176" t="str">
        <v>Mixed Plastics</v>
      </c>
      <c r="BD176" t="str">
        <v>Asia</v>
      </c>
      <c r="BE176" t="str">
        <v>n/a</v>
      </c>
      <c r="BF176">
        <v>-2.0953266666666663</v>
      </c>
      <c r="BG176" t="str">
        <v>DELETE</v>
      </c>
      <c r="BH176">
        <v>-4.4029192949505358</v>
      </c>
      <c r="BI176" t="str">
        <v>DELETE</v>
      </c>
      <c r="BJ176" t="str">
        <v>DELETE</v>
      </c>
      <c r="BK176">
        <v>2.6030305185259402E-2</v>
      </c>
      <c r="BL176">
        <v>0.56190687898974445</v>
      </c>
      <c r="BM176">
        <v>2.1870254846722101</v>
      </c>
    </row>
    <row r="177" spans="3:65">
      <c r="C177" s="362">
        <v>1</v>
      </c>
      <c r="D177" s="363" t="s">
        <v>10157</v>
      </c>
      <c r="E177" s="362" t="s">
        <v>243</v>
      </c>
      <c r="F177" s="362" t="s">
        <v>547</v>
      </c>
      <c r="G177" s="362" t="s">
        <v>203</v>
      </c>
      <c r="H177" s="368">
        <v>-2.8533815875203707</v>
      </c>
      <c r="I177" s="368">
        <v>0</v>
      </c>
      <c r="J177" s="368">
        <v>0</v>
      </c>
      <c r="K177" s="368">
        <v>-1.0182354930331312</v>
      </c>
      <c r="L177" s="368">
        <v>-1.5961106733928911</v>
      </c>
      <c r="M177" s="368">
        <v>-0.43045193315319141</v>
      </c>
      <c r="N177" s="368">
        <v>-0.56255922354308074</v>
      </c>
      <c r="O177" s="368">
        <v>2.7969653006563899E-2</v>
      </c>
      <c r="T177" s="48">
        <v>1</v>
      </c>
      <c r="U177" s="46" t="s">
        <v>239</v>
      </c>
      <c r="V177" s="53" t="s">
        <v>542</v>
      </c>
      <c r="W177" s="53" t="s">
        <v>547</v>
      </c>
      <c r="X177" s="53" t="s">
        <v>203</v>
      </c>
      <c r="Y177" s="172">
        <f>IFERROR(-tblZwaste1422[[#This Row],[Weight (kgCO2e/kg)]],0)</f>
        <v>-2.6644477777777777</v>
      </c>
      <c r="Z177" s="172" t="str">
        <f>IF(AQ177="x",(AR177*-tblZwaste1422[[#This Row],[Weight (kgCO2e/kg)]])+AS177+($AR$10*Lookups!$J$38/1000),"DELETE")</f>
        <v>DELETE</v>
      </c>
      <c r="AA177" s="172">
        <f t="shared" si="66"/>
        <v>-0.85682531571611209</v>
      </c>
      <c r="AB177" s="172">
        <f t="shared" si="66"/>
        <v>-1.6056559573269851</v>
      </c>
      <c r="AC177" s="172">
        <f t="shared" si="66"/>
        <v>-2.3878173145866999</v>
      </c>
      <c r="AD177" s="172">
        <f t="shared" si="66"/>
        <v>-0.61788219420844359</v>
      </c>
      <c r="AE177" s="172">
        <f t="shared" si="66"/>
        <v>-0.87660684185985005</v>
      </c>
      <c r="AF177" s="172">
        <f t="shared" si="66"/>
        <v>2.7472181149774001E-2</v>
      </c>
      <c r="AG177" s="150"/>
      <c r="AI177" s="137">
        <v>1</v>
      </c>
      <c r="AJ177" s="136" t="s">
        <v>239</v>
      </c>
      <c r="AK177" s="142" t="s">
        <v>542</v>
      </c>
      <c r="AL177" s="136" t="s">
        <v>547</v>
      </c>
      <c r="AM177" s="136" t="s">
        <v>203</v>
      </c>
      <c r="AN177" s="1">
        <v>2.6644477777777777</v>
      </c>
      <c r="AO177" s="166">
        <v>0.64099666666666666</v>
      </c>
      <c r="AQ177">
        <f>_xlfn.XLOOKUP(tblGWP21[[#This Row],[Material Subcategory]],ls_Mat,Factors!$K$952:$K$1023)</f>
        <v>0</v>
      </c>
      <c r="AU177" t="s">
        <v>526</v>
      </c>
      <c r="AV177" s="347">
        <v>0.8</v>
      </c>
      <c r="BA177" cm="1">
        <f t="array" ref="BA177:BM177">tblGWP21[#This Row]</f>
        <v>1</v>
      </c>
      <c r="BB177" t="str">
        <v>Paper</v>
      </c>
      <c r="BC177" t="str">
        <v>Mixed Paper</v>
      </c>
      <c r="BD177" t="str">
        <v>Asia</v>
      </c>
      <c r="BE177" t="str">
        <v>n/a</v>
      </c>
      <c r="BF177">
        <v>-2.6644477777777777</v>
      </c>
      <c r="BG177" t="str">
        <v>DELETE</v>
      </c>
      <c r="BH177">
        <v>-0.85682531571611209</v>
      </c>
      <c r="BI177">
        <v>-1.6056559573269851</v>
      </c>
      <c r="BJ177">
        <v>-2.3878173145866999</v>
      </c>
      <c r="BK177">
        <v>-0.61788219420844359</v>
      </c>
      <c r="BL177">
        <v>-0.87660684185985005</v>
      </c>
      <c r="BM177">
        <v>2.7472181149774001E-2</v>
      </c>
    </row>
    <row r="178" spans="3:65">
      <c r="C178" s="136">
        <v>1</v>
      </c>
      <c r="D178" s="137" t="s">
        <v>252</v>
      </c>
      <c r="E178" s="136" t="s">
        <v>333</v>
      </c>
      <c r="F178" s="136" t="s">
        <v>547</v>
      </c>
      <c r="G178" s="136" t="s">
        <v>203</v>
      </c>
      <c r="H178" s="191">
        <v>-2.0953266666666663</v>
      </c>
      <c r="I178" s="191">
        <v>0</v>
      </c>
      <c r="J178" s="191">
        <v>-4.4029192949505358</v>
      </c>
      <c r="K178" s="191">
        <v>0</v>
      </c>
      <c r="L178" s="191">
        <v>0</v>
      </c>
      <c r="M178" s="191">
        <v>2.6030305185259402E-2</v>
      </c>
      <c r="N178" s="191">
        <v>0.56190687898974445</v>
      </c>
      <c r="O178" s="191">
        <v>2.1870254846722101</v>
      </c>
      <c r="T178" s="48">
        <v>1</v>
      </c>
      <c r="U178" s="46" t="s">
        <v>237</v>
      </c>
      <c r="V178" s="53" t="s">
        <v>238</v>
      </c>
      <c r="W178" s="53" t="s">
        <v>547</v>
      </c>
      <c r="X178" s="53" t="s">
        <v>203</v>
      </c>
      <c r="Y178" s="172">
        <f>IFERROR(-tblZwaste1422[[#This Row],[Weight (kgCO2e/kg)]],0)</f>
        <v>-2.7046544444444445</v>
      </c>
      <c r="Z178" s="172" t="str">
        <f>IF(AQ178="x",(AR178*-tblZwaste1422[[#This Row],[Weight (kgCO2e/kg)]])+AS178+($AR$10*Lookups!$J$38/1000),"DELETE")</f>
        <v>DELETE</v>
      </c>
      <c r="AA178" s="172" t="str">
        <f t="shared" si="66"/>
        <v>DELETE</v>
      </c>
      <c r="AB178" s="172" t="str">
        <f t="shared" si="66"/>
        <v>DELETE</v>
      </c>
      <c r="AC178" s="172" t="str">
        <f t="shared" si="66"/>
        <v>DELETE</v>
      </c>
      <c r="AD178" s="172">
        <f t="shared" si="66"/>
        <v>-0.13496911217695853</v>
      </c>
      <c r="AE178" s="172">
        <f t="shared" si="66"/>
        <v>-8.9859195832841549E-2</v>
      </c>
      <c r="AF178" s="172">
        <f t="shared" si="66"/>
        <v>0.55142687385156708</v>
      </c>
      <c r="AG178" s="150"/>
      <c r="AI178" s="137">
        <v>1</v>
      </c>
      <c r="AJ178" s="136" t="s">
        <v>237</v>
      </c>
      <c r="AK178" s="142" t="s">
        <v>238</v>
      </c>
      <c r="AL178" s="136" t="s">
        <v>547</v>
      </c>
      <c r="AM178" s="136" t="s">
        <v>203</v>
      </c>
      <c r="AN178" s="1">
        <v>2.7046544444444445</v>
      </c>
      <c r="AO178" s="166">
        <v>1.2161291666666667</v>
      </c>
      <c r="AQ178">
        <f>_xlfn.XLOOKUP(tblGWP21[[#This Row],[Material Subcategory]],ls_Mat,Factors!$K$952:$K$1023)</f>
        <v>0</v>
      </c>
      <c r="AU178" t="s">
        <v>526</v>
      </c>
      <c r="AV178" s="347">
        <v>0.65</v>
      </c>
      <c r="BA178" cm="1">
        <f t="array" ref="BA178:BM178">tblGWP21[#This Row]</f>
        <v>1</v>
      </c>
      <c r="BB178" t="str">
        <v>Mixed/Custom</v>
      </c>
      <c r="BC178" t="str">
        <v>Mixed Recycling</v>
      </c>
      <c r="BD178" t="str">
        <v>Asia</v>
      </c>
      <c r="BE178" t="str">
        <v>n/a</v>
      </c>
      <c r="BF178">
        <v>-2.7046544444444445</v>
      </c>
      <c r="BG178" t="str">
        <v>DELETE</v>
      </c>
      <c r="BH178" t="str">
        <v>DELETE</v>
      </c>
      <c r="BI178" t="str">
        <v>DELETE</v>
      </c>
      <c r="BJ178" t="str">
        <v>DELETE</v>
      </c>
      <c r="BK178">
        <v>-0.13496911217695853</v>
      </c>
      <c r="BL178">
        <v>-8.9859195832841549E-2</v>
      </c>
      <c r="BM178">
        <v>0.55142687385156708</v>
      </c>
    </row>
    <row r="179" spans="3:65">
      <c r="C179" s="362">
        <v>1</v>
      </c>
      <c r="D179" s="363" t="s">
        <v>239</v>
      </c>
      <c r="E179" s="362" t="s">
        <v>542</v>
      </c>
      <c r="F179" s="362" t="s">
        <v>547</v>
      </c>
      <c r="G179" s="362" t="s">
        <v>203</v>
      </c>
      <c r="H179" s="368">
        <v>-2.6644477777777777</v>
      </c>
      <c r="I179" s="368">
        <v>0</v>
      </c>
      <c r="J179" s="368">
        <v>-0.85682531571611209</v>
      </c>
      <c r="K179" s="368">
        <v>-1.6056559573269851</v>
      </c>
      <c r="L179" s="368">
        <v>-2.3878173145866999</v>
      </c>
      <c r="M179" s="368">
        <v>-0.61788219420844359</v>
      </c>
      <c r="N179" s="368">
        <v>-0.87660684185985005</v>
      </c>
      <c r="O179" s="368">
        <v>2.7472181149774001E-2</v>
      </c>
      <c r="T179" s="48">
        <v>1</v>
      </c>
      <c r="U179" s="46" t="s">
        <v>264</v>
      </c>
      <c r="V179" s="53" t="s">
        <v>264</v>
      </c>
      <c r="W179" s="53" t="s">
        <v>547</v>
      </c>
      <c r="X179" s="53" t="s">
        <v>203</v>
      </c>
      <c r="Y179" s="172">
        <f>IFERROR(-tblZwaste1422[[#This Row],[Weight (kgCO2e/kg)]],0)</f>
        <v>-1.9287117500000002</v>
      </c>
      <c r="Z179" s="172" t="e">
        <f>IF(AQ179="x",(AR179*-tblZwaste1422[[#This Row],[Weight (kgCO2e/kg)]])+AS179+($AR$10*Lookups!$J$38/1000),"DELETE")</f>
        <v>#N/A</v>
      </c>
      <c r="AA179" s="172">
        <f>AA183</f>
        <v>0.15112249999999994</v>
      </c>
      <c r="AB179" s="172" t="str">
        <f t="shared" ref="AA179:AF184" si="67">IF(ISNUMBER(AVERAGE(AB459,AB515)),AVERAGE(AB459,AB515),AB459)</f>
        <v>DELETE</v>
      </c>
      <c r="AC179" s="172" t="str">
        <f t="shared" si="67"/>
        <v>DELETE</v>
      </c>
      <c r="AD179" s="172">
        <f t="shared" si="67"/>
        <v>-0.31798720212359771</v>
      </c>
      <c r="AE179" s="172">
        <f t="shared" si="67"/>
        <v>-0.52441031348142686</v>
      </c>
      <c r="AF179" s="172">
        <f t="shared" si="67"/>
        <v>0.4616885128378671</v>
      </c>
      <c r="AG179" s="150"/>
      <c r="AI179" s="137">
        <v>1</v>
      </c>
      <c r="AJ179" s="136" t="s">
        <v>264</v>
      </c>
      <c r="AK179" s="142" t="s">
        <v>264</v>
      </c>
      <c r="AL179" s="136" t="s">
        <v>547</v>
      </c>
      <c r="AM179" s="136" t="s">
        <v>203</v>
      </c>
      <c r="AN179" s="1">
        <v>1.9287117500000002</v>
      </c>
      <c r="AO179" s="166">
        <v>0.467055</v>
      </c>
      <c r="AQ179" t="e">
        <f>_xlfn.XLOOKUP(tblGWP21[[#This Row],[Material Subcategory]],ls_Mat,Factors!$K$952:$K$1023)</f>
        <v>#N/A</v>
      </c>
      <c r="AR179" s="173">
        <v>0.65</v>
      </c>
      <c r="AS179">
        <v>0.14482945764999999</v>
      </c>
      <c r="AT179" t="s">
        <v>541</v>
      </c>
      <c r="AU179" t="s">
        <v>526</v>
      </c>
      <c r="AV179" s="347">
        <v>0.65</v>
      </c>
      <c r="BA179" cm="1">
        <f t="array" ref="BA179:BM179">tblGWP21[#This Row]</f>
        <v>1</v>
      </c>
      <c r="BB179" t="str">
        <v>Furniture/Textiles</v>
      </c>
      <c r="BC179" t="str">
        <v>Furniture/Textiles</v>
      </c>
      <c r="BD179" t="str">
        <v>Asia</v>
      </c>
      <c r="BE179" t="str">
        <v>n/a</v>
      </c>
      <c r="BF179">
        <v>-1.9287117500000002</v>
      </c>
      <c r="BG179" t="e">
        <v>#N/A</v>
      </c>
      <c r="BH179">
        <v>0.15112249999999994</v>
      </c>
      <c r="BI179" t="str">
        <v>DELETE</v>
      </c>
      <c r="BJ179" t="str">
        <v>DELETE</v>
      </c>
      <c r="BK179">
        <v>-0.31798720212359771</v>
      </c>
      <c r="BL179">
        <v>-0.52441031348142686</v>
      </c>
      <c r="BM179">
        <v>0.4616885128378671</v>
      </c>
    </row>
    <row r="180" spans="3:65">
      <c r="C180" s="136">
        <v>1</v>
      </c>
      <c r="D180" s="137" t="s">
        <v>10157</v>
      </c>
      <c r="E180" s="136" t="s">
        <v>238</v>
      </c>
      <c r="F180" s="136" t="s">
        <v>547</v>
      </c>
      <c r="G180" s="136" t="s">
        <v>203</v>
      </c>
      <c r="H180" s="191">
        <v>-2.7046544444444445</v>
      </c>
      <c r="I180" s="191">
        <v>0</v>
      </c>
      <c r="J180" s="191">
        <v>0</v>
      </c>
      <c r="K180" s="191">
        <v>0</v>
      </c>
      <c r="L180" s="191">
        <v>0</v>
      </c>
      <c r="M180" s="191">
        <v>-0.13496911217695853</v>
      </c>
      <c r="N180" s="191">
        <v>-8.9859195832841549E-2</v>
      </c>
      <c r="O180" s="191">
        <v>0.55142687385156708</v>
      </c>
      <c r="T180" s="48">
        <v>1</v>
      </c>
      <c r="U180" s="46" t="s">
        <v>264</v>
      </c>
      <c r="V180" s="53" t="s">
        <v>336</v>
      </c>
      <c r="W180" s="53" t="s">
        <v>547</v>
      </c>
      <c r="X180" s="53" t="s">
        <v>203</v>
      </c>
      <c r="Y180" s="172">
        <f>IFERROR(-tblZwaste1422[[#This Row],[Weight (kgCO2e/kg)]],0)</f>
        <v>-0.76351350000000007</v>
      </c>
      <c r="Z180" s="172">
        <f>IF(AQ180="x",(AR180*-tblZwaste1422[[#This Row],[Weight (kgCO2e/kg)]])+AS180+($AR$10*Lookups!$J$38/1000),"DELETE")</f>
        <v>-0.34968251735000005</v>
      </c>
      <c r="AA180" s="172" t="str">
        <f t="shared" si="67"/>
        <v>DELETE</v>
      </c>
      <c r="AB180" s="172">
        <f t="shared" si="67"/>
        <v>-1.6437060053944301</v>
      </c>
      <c r="AC180" s="172">
        <f t="shared" si="67"/>
        <v>-2.62382618144458</v>
      </c>
      <c r="AD180" s="172">
        <f t="shared" si="67"/>
        <v>-0.99061830076841595</v>
      </c>
      <c r="AE180" s="172">
        <f t="shared" si="67"/>
        <v>-0.75863355888275885</v>
      </c>
      <c r="AF180" s="172">
        <f t="shared" si="67"/>
        <v>0.21408134549894225</v>
      </c>
      <c r="AG180" s="150"/>
      <c r="AI180" s="137">
        <v>1</v>
      </c>
      <c r="AJ180" s="136" t="s">
        <v>264</v>
      </c>
      <c r="AK180" s="142" t="s">
        <v>336</v>
      </c>
      <c r="AL180" s="136" t="s">
        <v>547</v>
      </c>
      <c r="AM180" s="136" t="s">
        <v>203</v>
      </c>
      <c r="AN180" s="1">
        <v>0.76351350000000007</v>
      </c>
      <c r="AO180" s="166">
        <v>0.43603999999999998</v>
      </c>
      <c r="AQ180" t="str">
        <f>_xlfn.XLOOKUP(tblGWP21[[#This Row],[Material Subcategory]],ls_Mat,Factors!$K$952:$K$1023)</f>
        <v>x</v>
      </c>
      <c r="AR180" s="173">
        <v>0.65</v>
      </c>
      <c r="AS180">
        <v>0.14482945764999999</v>
      </c>
      <c r="AT180" t="s">
        <v>541</v>
      </c>
      <c r="AU180" t="s">
        <v>526</v>
      </c>
      <c r="AV180" s="347">
        <v>0.65</v>
      </c>
      <c r="BA180" cm="1">
        <f t="array" ref="BA180:BM180">tblGWP21[#This Row]</f>
        <v>1</v>
      </c>
      <c r="BB180" t="str">
        <v>Furniture/Textiles</v>
      </c>
      <c r="BC180" t="str">
        <v>Furniture</v>
      </c>
      <c r="BD180" t="str">
        <v>Asia</v>
      </c>
      <c r="BE180" t="str">
        <v>n/a</v>
      </c>
      <c r="BF180">
        <v>-0.76351350000000007</v>
      </c>
      <c r="BG180">
        <v>-0.34968251735000005</v>
      </c>
      <c r="BH180" t="str">
        <v>DELETE</v>
      </c>
      <c r="BI180">
        <v>-1.6437060053944301</v>
      </c>
      <c r="BJ180">
        <v>-2.62382618144458</v>
      </c>
      <c r="BK180">
        <v>-0.99061830076841595</v>
      </c>
      <c r="BL180">
        <v>-0.75863355888275885</v>
      </c>
      <c r="BM180">
        <v>0.21408134549894225</v>
      </c>
    </row>
    <row r="181" spans="3:65">
      <c r="C181" s="362">
        <v>1</v>
      </c>
      <c r="D181" s="363" t="s">
        <v>264</v>
      </c>
      <c r="E181" s="362" t="s">
        <v>264</v>
      </c>
      <c r="F181" s="362" t="s">
        <v>547</v>
      </c>
      <c r="G181" s="362" t="s">
        <v>203</v>
      </c>
      <c r="H181" s="368">
        <v>-1.9287117500000002</v>
      </c>
      <c r="I181" s="368">
        <v>-1.1070613798500002</v>
      </c>
      <c r="J181" s="368">
        <v>0.15112249999999994</v>
      </c>
      <c r="K181" s="368">
        <v>0</v>
      </c>
      <c r="L181" s="368">
        <v>0</v>
      </c>
      <c r="M181" s="368">
        <v>-0.31798720212359771</v>
      </c>
      <c r="N181" s="368">
        <v>-0.52441031348142686</v>
      </c>
      <c r="O181" s="368">
        <v>0.4616885128378671</v>
      </c>
      <c r="T181" s="48">
        <v>1</v>
      </c>
      <c r="U181" s="46" t="s">
        <v>242</v>
      </c>
      <c r="V181" s="53" t="s">
        <v>251</v>
      </c>
      <c r="W181" s="53" t="s">
        <v>547</v>
      </c>
      <c r="X181" s="53" t="s">
        <v>203</v>
      </c>
      <c r="Y181" s="172">
        <f>IFERROR(-tblZwaste1422[[#This Row],[Weight (kgCO2e/kg)]],0)</f>
        <v>-4.9218200000000003</v>
      </c>
      <c r="Z181" s="172">
        <f>IF(AQ181="x",(AR181*-tblZwaste1422[[#This Row],[Weight (kgCO2e/kg)]])+AS181+($AR$10*Lookups!$J$38/1000),"DELETE")</f>
        <v>-3.5665477000000001</v>
      </c>
      <c r="AA181" s="172">
        <v>-1.2190350000000001</v>
      </c>
      <c r="AB181" s="172" t="str">
        <f t="shared" si="67"/>
        <v>DELETE</v>
      </c>
      <c r="AC181" s="172" t="str">
        <f t="shared" si="67"/>
        <v>DELETE</v>
      </c>
      <c r="AD181" s="172">
        <f t="shared" si="67"/>
        <v>2.596217884597108E-2</v>
      </c>
      <c r="AE181" s="172">
        <f t="shared" si="67"/>
        <v>0.20306170822316066</v>
      </c>
      <c r="AF181" s="172">
        <f t="shared" si="67"/>
        <v>0.86150913627390358</v>
      </c>
      <c r="AG181" s="150"/>
      <c r="AI181" s="137">
        <v>1</v>
      </c>
      <c r="AJ181" s="136" t="s">
        <v>242</v>
      </c>
      <c r="AK181" s="142" t="s">
        <v>251</v>
      </c>
      <c r="AL181" s="136" t="s">
        <v>547</v>
      </c>
      <c r="AM181" s="136" t="s">
        <v>203</v>
      </c>
      <c r="AN181" s="1">
        <v>4.9218200000000003</v>
      </c>
      <c r="AO181" s="166">
        <v>0.15096000000000001</v>
      </c>
      <c r="AQ181" t="str">
        <f>_xlfn.XLOOKUP(tblGWP21[[#This Row],[Material Subcategory]],ls_Mat,Factors!$K$952:$K$1023)</f>
        <v>x</v>
      </c>
      <c r="AR181" s="173">
        <v>0.72499999999999998</v>
      </c>
      <c r="AS181">
        <v>0</v>
      </c>
      <c r="AT181" t="s">
        <v>527</v>
      </c>
      <c r="AU181" t="s">
        <v>526</v>
      </c>
      <c r="AV181" s="347">
        <v>0.8</v>
      </c>
      <c r="BA181" cm="1">
        <f t="array" ref="BA181:BM181">tblGWP21[#This Row]</f>
        <v>1</v>
      </c>
      <c r="BB181" t="str">
        <v>Electronics</v>
      </c>
      <c r="BC181" t="str">
        <v>Appliances</v>
      </c>
      <c r="BD181" t="str">
        <v>Asia</v>
      </c>
      <c r="BE181" t="str">
        <v>n/a</v>
      </c>
      <c r="BF181">
        <v>-4.9218200000000003</v>
      </c>
      <c r="BG181">
        <v>-3.5665477000000001</v>
      </c>
      <c r="BH181">
        <v>-1.2190350000000001</v>
      </c>
      <c r="BI181" t="str">
        <v>DELETE</v>
      </c>
      <c r="BJ181" t="str">
        <v>DELETE</v>
      </c>
      <c r="BK181">
        <v>2.596217884597108E-2</v>
      </c>
      <c r="BL181">
        <v>0.20306170822316066</v>
      </c>
      <c r="BM181">
        <v>0.86150913627390358</v>
      </c>
    </row>
    <row r="182" spans="3:65">
      <c r="C182" s="136">
        <v>1</v>
      </c>
      <c r="D182" s="137" t="s">
        <v>264</v>
      </c>
      <c r="E182" s="136" t="s">
        <v>336</v>
      </c>
      <c r="F182" s="136" t="s">
        <v>547</v>
      </c>
      <c r="G182" s="136" t="s">
        <v>203</v>
      </c>
      <c r="H182" s="191">
        <v>-0.76351350000000007</v>
      </c>
      <c r="I182" s="191">
        <v>-0.34968251735000005</v>
      </c>
      <c r="J182" s="191">
        <v>0</v>
      </c>
      <c r="K182" s="191">
        <v>-1.6437060053944301</v>
      </c>
      <c r="L182" s="191">
        <v>-2.62382618144458</v>
      </c>
      <c r="M182" s="191">
        <v>-0.99061830076841595</v>
      </c>
      <c r="N182" s="191">
        <v>-0.75863355888275885</v>
      </c>
      <c r="O182" s="191">
        <v>0.21408134549894225</v>
      </c>
      <c r="T182" s="48">
        <v>1</v>
      </c>
      <c r="U182" s="46" t="s">
        <v>242</v>
      </c>
      <c r="V182" s="53" t="s">
        <v>543</v>
      </c>
      <c r="W182" s="53" t="s">
        <v>547</v>
      </c>
      <c r="X182" s="53" t="s">
        <v>203</v>
      </c>
      <c r="Y182" s="172">
        <f>IFERROR(-tblZwaste1422[[#This Row],[Weight (kgCO2e/kg)]],0)</f>
        <v>-1.00081</v>
      </c>
      <c r="Z182" s="172">
        <f>IF(AQ182="x",(AR182*-tblZwaste1422[[#This Row],[Weight (kgCO2e/kg)]])+AS182+($AR$10*Lookups!$J$38/1000),"DELETE")</f>
        <v>-0.72381545000000003</v>
      </c>
      <c r="AA182" s="172">
        <v>-0.20626249999999999</v>
      </c>
      <c r="AB182" s="172" t="str">
        <f t="shared" si="67"/>
        <v>DELETE</v>
      </c>
      <c r="AC182" s="172" t="str">
        <f t="shared" si="67"/>
        <v>DELETE</v>
      </c>
      <c r="AD182" s="172">
        <f t="shared" si="67"/>
        <v>2.5860000000000001E-2</v>
      </c>
      <c r="AE182" s="172">
        <f t="shared" si="67"/>
        <v>4.1510051336500847E-2</v>
      </c>
      <c r="AF182" s="172">
        <f t="shared" si="67"/>
        <v>4.8921913689100351E-2</v>
      </c>
      <c r="AG182" s="150"/>
      <c r="AI182" s="137">
        <v>1</v>
      </c>
      <c r="AJ182" s="136" t="s">
        <v>242</v>
      </c>
      <c r="AK182" s="142" t="s">
        <v>543</v>
      </c>
      <c r="AL182" s="136" t="s">
        <v>547</v>
      </c>
      <c r="AM182" s="136" t="s">
        <v>203</v>
      </c>
      <c r="AN182" s="1">
        <v>1.00081</v>
      </c>
      <c r="AO182" s="166">
        <v>0.33138000000000001</v>
      </c>
      <c r="AQ182" t="str">
        <f>_xlfn.XLOOKUP(tblGWP21[[#This Row],[Material Subcategory]],ls_Mat,Factors!$K$952:$K$1023)</f>
        <v>x</v>
      </c>
      <c r="AR182" s="173">
        <v>0.72499999999999998</v>
      </c>
      <c r="AS182">
        <v>0</v>
      </c>
      <c r="AT182" t="s">
        <v>527</v>
      </c>
      <c r="BA182" cm="1">
        <f t="array" ref="BA182:BM182">tblGWP21[#This Row]</f>
        <v>1</v>
      </c>
      <c r="BB182" t="str">
        <v>Electronics</v>
      </c>
      <c r="BC182" t="str">
        <v>Lightbulb/Lamps</v>
      </c>
      <c r="BD182" t="str">
        <v>Asia</v>
      </c>
      <c r="BE182" t="str">
        <v>n/a</v>
      </c>
      <c r="BF182">
        <v>-1.00081</v>
      </c>
      <c r="BG182">
        <v>-0.72381545000000003</v>
      </c>
      <c r="BH182">
        <v>-0.20626249999999999</v>
      </c>
      <c r="BI182" t="str">
        <v>DELETE</v>
      </c>
      <c r="BJ182" t="str">
        <v>DELETE</v>
      </c>
      <c r="BK182">
        <v>2.5860000000000001E-2</v>
      </c>
      <c r="BL182">
        <v>4.1510051336500847E-2</v>
      </c>
      <c r="BM182">
        <v>4.8921913689100351E-2</v>
      </c>
    </row>
    <row r="183" spans="3:65">
      <c r="C183" s="362">
        <v>1</v>
      </c>
      <c r="D183" s="363" t="s">
        <v>242</v>
      </c>
      <c r="E183" s="362" t="s">
        <v>251</v>
      </c>
      <c r="F183" s="362" t="s">
        <v>547</v>
      </c>
      <c r="G183" s="362" t="s">
        <v>203</v>
      </c>
      <c r="H183" s="368">
        <v>-4.9218200000000003</v>
      </c>
      <c r="I183" s="368">
        <v>-3.5665477000000001</v>
      </c>
      <c r="J183" s="368">
        <v>-1.2190350000000001</v>
      </c>
      <c r="K183" s="368">
        <v>0</v>
      </c>
      <c r="L183" s="368">
        <v>0</v>
      </c>
      <c r="M183" s="368">
        <v>2.596217884597108E-2</v>
      </c>
      <c r="N183" s="368">
        <v>0.20306170822316066</v>
      </c>
      <c r="O183" s="368">
        <v>0.86150913627390358</v>
      </c>
      <c r="T183" s="48">
        <v>1</v>
      </c>
      <c r="U183" s="46" t="s">
        <v>264</v>
      </c>
      <c r="V183" s="53" t="s">
        <v>544</v>
      </c>
      <c r="W183" s="53" t="s">
        <v>547</v>
      </c>
      <c r="X183" s="53" t="s">
        <v>203</v>
      </c>
      <c r="Y183" s="172">
        <f>IFERROR(-tblZwaste1422[[#This Row],[Weight (kgCO2e/kg)]],0)</f>
        <v>-3.0939100000000002</v>
      </c>
      <c r="Z183" s="172">
        <f>IF(AQ183="x",(AR183*-tblZwaste1422[[#This Row],[Weight (kgCO2e/kg)]])+AS183+($AR$10*Lookups!$J$38/1000),"DELETE")</f>
        <v>-1.8644402423500002</v>
      </c>
      <c r="AA183" s="172">
        <f t="shared" si="67"/>
        <v>0.15112249999999994</v>
      </c>
      <c r="AB183" s="172" t="str">
        <f t="shared" si="67"/>
        <v>DELETE</v>
      </c>
      <c r="AC183" s="172" t="str">
        <f t="shared" si="67"/>
        <v>DELETE</v>
      </c>
      <c r="AD183" s="172">
        <f t="shared" si="67"/>
        <v>0.35464389652122053</v>
      </c>
      <c r="AE183" s="172">
        <f t="shared" si="67"/>
        <v>-0.29018706808009498</v>
      </c>
      <c r="AF183" s="172">
        <f t="shared" si="67"/>
        <v>0.70929568017679201</v>
      </c>
      <c r="AG183" s="150"/>
      <c r="AI183" s="137">
        <v>1</v>
      </c>
      <c r="AJ183" s="136" t="s">
        <v>264</v>
      </c>
      <c r="AK183" s="142" t="s">
        <v>544</v>
      </c>
      <c r="AL183" s="136" t="s">
        <v>547</v>
      </c>
      <c r="AM183" s="136" t="s">
        <v>203</v>
      </c>
      <c r="AN183" s="1">
        <v>3.0939100000000002</v>
      </c>
      <c r="AO183" s="166">
        <v>0.49807000000000001</v>
      </c>
      <c r="AQ183" t="str">
        <f>_xlfn.XLOOKUP(tblGWP21[[#This Row],[Material Subcategory]],ls_Mat,Factors!$K$952:$K$1023)</f>
        <v>x</v>
      </c>
      <c r="AR183" s="173">
        <v>0.65</v>
      </c>
      <c r="AS183">
        <v>0.14482945764999999</v>
      </c>
      <c r="AT183" t="s">
        <v>541</v>
      </c>
      <c r="BA183" cm="1">
        <f t="array" ref="BA183:BM183">tblGWP21[#This Row]</f>
        <v>1</v>
      </c>
      <c r="BB183" t="str">
        <v>Furniture/Textiles</v>
      </c>
      <c r="BC183" t="str">
        <v>Textiles</v>
      </c>
      <c r="BD183" t="str">
        <v>Asia</v>
      </c>
      <c r="BE183" t="str">
        <v>n/a</v>
      </c>
      <c r="BF183">
        <v>-3.0939100000000002</v>
      </c>
      <c r="BG183">
        <v>-1.8644402423500002</v>
      </c>
      <c r="BH183">
        <v>0.15112249999999994</v>
      </c>
      <c r="BI183" t="str">
        <v>DELETE</v>
      </c>
      <c r="BJ183" t="str">
        <v>DELETE</v>
      </c>
      <c r="BK183">
        <v>0.35464389652122053</v>
      </c>
      <c r="BL183">
        <v>-0.29018706808009498</v>
      </c>
      <c r="BM183">
        <v>0.70929568017679201</v>
      </c>
    </row>
    <row r="184" spans="3:65">
      <c r="C184" s="136">
        <v>1</v>
      </c>
      <c r="D184" s="137" t="s">
        <v>242</v>
      </c>
      <c r="E184" s="136" t="s">
        <v>543</v>
      </c>
      <c r="F184" s="136" t="s">
        <v>547</v>
      </c>
      <c r="G184" s="136" t="s">
        <v>203</v>
      </c>
      <c r="H184" s="191">
        <v>-1.00081</v>
      </c>
      <c r="I184" s="191">
        <v>-0.72381545000000003</v>
      </c>
      <c r="J184" s="191">
        <v>-0.20626249999999999</v>
      </c>
      <c r="K184" s="191">
        <v>0</v>
      </c>
      <c r="L184" s="191">
        <v>0</v>
      </c>
      <c r="M184" s="191">
        <v>2.5860000000000001E-2</v>
      </c>
      <c r="N184" s="191">
        <v>4.1510051336500847E-2</v>
      </c>
      <c r="O184" s="191">
        <v>4.8921913689100351E-2</v>
      </c>
      <c r="T184" s="48">
        <v>1</v>
      </c>
      <c r="U184" s="46" t="s">
        <v>237</v>
      </c>
      <c r="V184" s="53" t="s">
        <v>545</v>
      </c>
      <c r="W184" s="53" t="s">
        <v>547</v>
      </c>
      <c r="X184" s="53" t="s">
        <v>203</v>
      </c>
      <c r="Y184" s="172">
        <f>IFERROR(-tblZwaste1422[[#This Row],[Weight (kgCO2e/kg)]],0)</f>
        <v>-2.8533815875203707</v>
      </c>
      <c r="Z184" s="172" t="str">
        <f>IF(AQ184="x",(AR184*-tblZwaste1422[[#This Row],[Weight (kgCO2e/kg)]])+AS184+($AR$10*Lookups!$J$38/1000),"DELETE")</f>
        <v>DELETE</v>
      </c>
      <c r="AA184" s="172" t="str">
        <f t="shared" si="67"/>
        <v>DELETE</v>
      </c>
      <c r="AB184" s="172" t="str">
        <f t="shared" si="67"/>
        <v>DELETE</v>
      </c>
      <c r="AC184" s="172" t="str">
        <f t="shared" si="67"/>
        <v>DELETE</v>
      </c>
      <c r="AD184" s="172">
        <f t="shared" si="67"/>
        <v>-0.43045193315319141</v>
      </c>
      <c r="AE184" s="172">
        <f t="shared" si="67"/>
        <v>-0.56255922354308074</v>
      </c>
      <c r="AF184" s="172">
        <f t="shared" si="67"/>
        <v>2.7969653006563899E-2</v>
      </c>
      <c r="AG184" s="150"/>
      <c r="AI184" s="137">
        <v>1</v>
      </c>
      <c r="AJ184" s="136" t="s">
        <v>237</v>
      </c>
      <c r="AK184" s="142" t="s">
        <v>545</v>
      </c>
      <c r="AL184" s="136" t="s">
        <v>547</v>
      </c>
      <c r="AM184" s="136" t="s">
        <v>203</v>
      </c>
      <c r="AN184" s="1">
        <v>2.8533815875203707</v>
      </c>
      <c r="AO184" s="166">
        <v>1.0711602172222223</v>
      </c>
      <c r="AQ184">
        <f>_xlfn.XLOOKUP(tblGWP21[[#This Row],[Material Subcategory]],ls_Mat,Factors!$K$952:$K$1023)</f>
        <v>0</v>
      </c>
      <c r="AU184" t="s">
        <v>526</v>
      </c>
      <c r="AV184" s="347">
        <v>0.95</v>
      </c>
      <c r="BA184" cm="1">
        <f t="array" ref="BA184:BM184">tblGWP21[#This Row]</f>
        <v>1</v>
      </c>
      <c r="BB184" t="str">
        <v>Mixed/Custom</v>
      </c>
      <c r="BC184" t="str">
        <v>General other</v>
      </c>
      <c r="BD184" t="str">
        <v>Asia</v>
      </c>
      <c r="BE184" t="str">
        <v>n/a</v>
      </c>
      <c r="BF184">
        <v>-2.8533815875203707</v>
      </c>
      <c r="BG184" t="str">
        <v>DELETE</v>
      </c>
      <c r="BH184" t="str">
        <v>DELETE</v>
      </c>
      <c r="BI184" t="str">
        <v>DELETE</v>
      </c>
      <c r="BJ184" t="str">
        <v>DELETE</v>
      </c>
      <c r="BK184">
        <v>-0.43045193315319141</v>
      </c>
      <c r="BL184">
        <v>-0.56255922354308074</v>
      </c>
      <c r="BM184">
        <v>2.7969653006563899E-2</v>
      </c>
    </row>
    <row r="185" spans="3:65">
      <c r="C185" s="362">
        <v>1</v>
      </c>
      <c r="D185" s="363" t="s">
        <v>264</v>
      </c>
      <c r="E185" s="362" t="s">
        <v>544</v>
      </c>
      <c r="F185" s="362" t="s">
        <v>547</v>
      </c>
      <c r="G185" s="362" t="s">
        <v>203</v>
      </c>
      <c r="H185" s="368">
        <v>-3.0939100000000002</v>
      </c>
      <c r="I185" s="368">
        <v>-1.8644402423500002</v>
      </c>
      <c r="J185" s="368">
        <v>0.15112249999999994</v>
      </c>
      <c r="K185" s="368">
        <v>0</v>
      </c>
      <c r="L185" s="368">
        <v>0</v>
      </c>
      <c r="M185" s="368">
        <v>0.35464389652122053</v>
      </c>
      <c r="N185" s="368">
        <v>-0.29018706808009498</v>
      </c>
      <c r="O185" s="368">
        <v>0.70929568017679201</v>
      </c>
      <c r="T185" s="48">
        <v>1</v>
      </c>
      <c r="U185" s="46" t="s">
        <v>233</v>
      </c>
      <c r="V185" s="53" t="s">
        <v>233</v>
      </c>
      <c r="W185" s="53" t="s">
        <v>548</v>
      </c>
      <c r="X185" s="53" t="s">
        <v>203</v>
      </c>
      <c r="Y185" s="172">
        <f>IFERROR(-tblZwaste1422[[#This Row],[Weight (kgCO2e/kg)]],0)</f>
        <v>0</v>
      </c>
      <c r="Z185" s="172">
        <f>AVERAGE(Z189:Z191)</f>
        <v>-0.13905086666666666</v>
      </c>
      <c r="AA185" s="172" t="str">
        <f t="shared" ref="AA185:AF194" si="68">IF(ISNUMBER(AVERAGE(AA521,AA577)),AVERAGE(AA521,AA577),AA521)</f>
        <v>DELETE</v>
      </c>
      <c r="AB185" s="172">
        <f t="shared" si="68"/>
        <v>-1.4466149770683279</v>
      </c>
      <c r="AC185" s="172">
        <f t="shared" si="68"/>
        <v>-2.050911389892994</v>
      </c>
      <c r="AD185" s="172">
        <f t="shared" si="68"/>
        <v>-1.01413429774312</v>
      </c>
      <c r="AE185" s="172">
        <f t="shared" si="68"/>
        <v>-0.88842844978498614</v>
      </c>
      <c r="AF185" s="172">
        <f t="shared" si="68"/>
        <v>3.3141484317552879E-2</v>
      </c>
      <c r="AG185" s="150"/>
      <c r="AI185" s="137">
        <v>1</v>
      </c>
      <c r="AJ185" s="136"/>
      <c r="AK185" s="142"/>
      <c r="AL185" s="136" t="s">
        <v>548</v>
      </c>
      <c r="AM185" s="136" t="s">
        <v>203</v>
      </c>
      <c r="AN185" s="1" t="s">
        <v>525</v>
      </c>
      <c r="AO185" s="166" t="s">
        <v>525</v>
      </c>
      <c r="AQ185" t="e">
        <f>_xlfn.XLOOKUP(tblGWP21[[#This Row],[Material Subcategory]],ls_Mat,Factors!$K$952:$K$1023)</f>
        <v>#N/A</v>
      </c>
      <c r="AR185" s="173">
        <v>0.77500000000000002</v>
      </c>
      <c r="AS185">
        <v>0</v>
      </c>
      <c r="AT185" t="s">
        <v>527</v>
      </c>
      <c r="AU185" t="s">
        <v>526</v>
      </c>
      <c r="AV185" s="347">
        <v>0.95</v>
      </c>
      <c r="BA185" cm="1">
        <f t="array" ref="BA185:BM185">tblGWP21[#This Row]</f>
        <v>1</v>
      </c>
      <c r="BB185" t="str">
        <v>Wood/Yard Trimmings</v>
      </c>
      <c r="BC185" t="str">
        <v>Wood/Yard Trimmings</v>
      </c>
      <c r="BD185" t="str">
        <v>Europe</v>
      </c>
      <c r="BE185" t="str">
        <v>n/a</v>
      </c>
      <c r="BF185">
        <v>0</v>
      </c>
      <c r="BG185">
        <v>-0.13905086666666666</v>
      </c>
      <c r="BH185" t="str">
        <v>DELETE</v>
      </c>
      <c r="BI185">
        <v>-1.4466149770683279</v>
      </c>
      <c r="BJ185">
        <v>-2.050911389892994</v>
      </c>
      <c r="BK185">
        <v>-1.01413429774312</v>
      </c>
      <c r="BL185">
        <v>-0.88842844978498614</v>
      </c>
      <c r="BM185">
        <v>3.3141484317552879E-2</v>
      </c>
    </row>
    <row r="186" spans="3:65" ht="28.8">
      <c r="C186" s="136">
        <v>1</v>
      </c>
      <c r="D186" s="137" t="s">
        <v>10157</v>
      </c>
      <c r="E186" s="136" t="s">
        <v>545</v>
      </c>
      <c r="F186" s="136" t="s">
        <v>547</v>
      </c>
      <c r="G186" s="136" t="s">
        <v>203</v>
      </c>
      <c r="H186" s="191">
        <v>-2.8533815875203707</v>
      </c>
      <c r="I186" s="191">
        <v>0</v>
      </c>
      <c r="J186" s="191">
        <v>0</v>
      </c>
      <c r="K186" s="191">
        <v>0</v>
      </c>
      <c r="L186" s="191">
        <v>0</v>
      </c>
      <c r="M186" s="191">
        <v>-0.43045193315319141</v>
      </c>
      <c r="N186" s="191">
        <v>-0.56255922354308074</v>
      </c>
      <c r="O186" s="191">
        <v>2.7969653006563899E-2</v>
      </c>
      <c r="T186" s="48">
        <v>1</v>
      </c>
      <c r="U186" s="46" t="s">
        <v>233</v>
      </c>
      <c r="V186" s="53" t="s">
        <v>250</v>
      </c>
      <c r="W186" s="53" t="s">
        <v>548</v>
      </c>
      <c r="X186" s="53" t="s">
        <v>203</v>
      </c>
      <c r="Y186" s="172">
        <f>IFERROR(-tblZwaste1422[[#This Row],[Weight (kgCO2e/kg)]],0)</f>
        <v>0</v>
      </c>
      <c r="Z186" s="172" t="str">
        <f>IF(AQ186="x",(AR186*-tblZwaste1422[[#This Row],[Weight (kgCO2e/kg)]])+AS186+($AR$10*Lookups!$J$38/1000),"DELETE")</f>
        <v>DELETE</v>
      </c>
      <c r="AA186" s="172" t="str">
        <f t="shared" si="68"/>
        <v>DELETE</v>
      </c>
      <c r="AB186" s="172">
        <f t="shared" si="68"/>
        <v>-1.7444670062767949</v>
      </c>
      <c r="AC186" s="172">
        <f t="shared" si="68"/>
        <v>-2.1504934128077098</v>
      </c>
      <c r="AD186" s="172">
        <f t="shared" si="68"/>
        <v>-1.0452247267483399</v>
      </c>
      <c r="AE186" s="172">
        <f t="shared" si="68"/>
        <v>-0.95171051291483044</v>
      </c>
      <c r="AF186" s="172">
        <f t="shared" si="68"/>
        <v>2.8432474723685652E-2</v>
      </c>
      <c r="AG186" s="150"/>
      <c r="AI186" s="137">
        <v>1</v>
      </c>
      <c r="AJ186" s="136"/>
      <c r="AK186" s="142"/>
      <c r="AL186" s="136" t="s">
        <v>548</v>
      </c>
      <c r="AM186" s="136" t="s">
        <v>203</v>
      </c>
      <c r="AN186" s="1" t="s">
        <v>525</v>
      </c>
      <c r="AO186" s="166" t="s">
        <v>525</v>
      </c>
      <c r="AQ186">
        <f>_xlfn.XLOOKUP(tblGWP21[[#This Row],[Material Subcategory]],ls_Mat,Factors!$K$952:$K$1023)</f>
        <v>0</v>
      </c>
      <c r="AU186" t="s">
        <v>526</v>
      </c>
      <c r="AV186" s="347">
        <v>0.95</v>
      </c>
      <c r="BA186" cm="1">
        <f t="array" ref="BA186:BM186">tblGWP21[#This Row]</f>
        <v>1</v>
      </c>
      <c r="BB186" t="str">
        <v>Wood/Yard Trimmings</v>
      </c>
      <c r="BC186" t="str">
        <v>Yard Trimmings – Leaves</v>
      </c>
      <c r="BD186" t="str">
        <v>Europe</v>
      </c>
      <c r="BE186" t="str">
        <v>n/a</v>
      </c>
      <c r="BF186">
        <v>0</v>
      </c>
      <c r="BG186" t="str">
        <v>DELETE</v>
      </c>
      <c r="BH186" t="str">
        <v>DELETE</v>
      </c>
      <c r="BI186">
        <v>-1.7444670062767949</v>
      </c>
      <c r="BJ186">
        <v>-2.1504934128077098</v>
      </c>
      <c r="BK186">
        <v>-1.0452247267483399</v>
      </c>
      <c r="BL186">
        <v>-0.95171051291483044</v>
      </c>
      <c r="BM186">
        <v>2.8432474723685652E-2</v>
      </c>
    </row>
    <row r="187" spans="3:65" ht="28.8">
      <c r="C187" s="362">
        <v>1</v>
      </c>
      <c r="D187" s="363" t="s">
        <v>10169</v>
      </c>
      <c r="E187" s="362" t="s">
        <v>10170</v>
      </c>
      <c r="F187" s="362" t="s">
        <v>547</v>
      </c>
      <c r="G187" s="362" t="s">
        <v>203</v>
      </c>
      <c r="H187" s="368">
        <v>-0.74582333333333339</v>
      </c>
      <c r="I187" s="368">
        <v>-0.58351400000000009</v>
      </c>
      <c r="J187" s="368">
        <v>0.3259926084346883</v>
      </c>
      <c r="K187" s="368">
        <v>0</v>
      </c>
      <c r="L187" s="368">
        <v>0</v>
      </c>
      <c r="M187" s="368">
        <v>0.45668176288049178</v>
      </c>
      <c r="N187" s="368">
        <v>1.0683983533052401</v>
      </c>
      <c r="O187" s="368">
        <v>1.142290877337675</v>
      </c>
      <c r="T187" s="48">
        <v>1</v>
      </c>
      <c r="U187" s="46" t="s">
        <v>233</v>
      </c>
      <c r="V187" s="53" t="s">
        <v>249</v>
      </c>
      <c r="W187" s="53" t="s">
        <v>548</v>
      </c>
      <c r="X187" s="53" t="s">
        <v>203</v>
      </c>
      <c r="Y187" s="172">
        <f>IFERROR(-tblZwaste1422[[#This Row],[Weight (kgCO2e/kg)]],0)</f>
        <v>0</v>
      </c>
      <c r="Z187" s="172" t="str">
        <f>IF(AQ187="x",(AR187*-tblZwaste1422[[#This Row],[Weight (kgCO2e/kg)]])+AS187+($AR$10*Lookups!$J$38/1000),"DELETE")</f>
        <v>DELETE</v>
      </c>
      <c r="AA187" s="172" t="str">
        <f t="shared" si="68"/>
        <v>DELETE</v>
      </c>
      <c r="AB187" s="172">
        <f t="shared" si="68"/>
        <v>-0.54332995230300396</v>
      </c>
      <c r="AC187" s="172">
        <f t="shared" si="68"/>
        <v>-0.74589452034084003</v>
      </c>
      <c r="AD187" s="172">
        <f t="shared" si="68"/>
        <v>1.685362342088435E-2</v>
      </c>
      <c r="AE187" s="172">
        <f t="shared" si="68"/>
        <v>-0.20187637501393249</v>
      </c>
      <c r="AF187" s="172">
        <f t="shared" si="68"/>
        <v>2.57536170796481E-2</v>
      </c>
      <c r="AG187" s="150"/>
      <c r="AI187" s="137">
        <v>1</v>
      </c>
      <c r="AJ187" s="136"/>
      <c r="AK187" s="142"/>
      <c r="AL187" s="136" t="s">
        <v>548</v>
      </c>
      <c r="AM187" s="136" t="s">
        <v>203</v>
      </c>
      <c r="AN187" s="1" t="s">
        <v>525</v>
      </c>
      <c r="AO187" s="166" t="s">
        <v>525</v>
      </c>
      <c r="AQ187">
        <f>_xlfn.XLOOKUP(tblGWP21[[#This Row],[Material Subcategory]],ls_Mat,Factors!$K$952:$K$1023)</f>
        <v>0</v>
      </c>
      <c r="BA187" cm="1">
        <f t="array" ref="BA187:BM187">tblGWP21[#This Row]</f>
        <v>1</v>
      </c>
      <c r="BB187" t="str">
        <v>Wood/Yard Trimmings</v>
      </c>
      <c r="BC187" t="str">
        <v>Yard Trimmings – Grass</v>
      </c>
      <c r="BD187" t="str">
        <v>Europe</v>
      </c>
      <c r="BE187" t="str">
        <v>n/a</v>
      </c>
      <c r="BF187">
        <v>0</v>
      </c>
      <c r="BG187" t="str">
        <v>DELETE</v>
      </c>
      <c r="BH187" t="str">
        <v>DELETE</v>
      </c>
      <c r="BI187">
        <v>-0.54332995230300396</v>
      </c>
      <c r="BJ187">
        <v>-0.74589452034084003</v>
      </c>
      <c r="BK187">
        <v>1.685362342088435E-2</v>
      </c>
      <c r="BL187">
        <v>-0.20187637501393249</v>
      </c>
      <c r="BM187">
        <v>2.57536170796481E-2</v>
      </c>
    </row>
    <row r="188" spans="3:65" ht="28.8">
      <c r="C188" s="136">
        <v>1</v>
      </c>
      <c r="D188" s="137" t="s">
        <v>233</v>
      </c>
      <c r="E188" s="136" t="s">
        <v>233</v>
      </c>
      <c r="F188" s="136" t="s">
        <v>548</v>
      </c>
      <c r="G188" s="136" t="s">
        <v>203</v>
      </c>
      <c r="H188" s="191">
        <v>0</v>
      </c>
      <c r="I188" s="191">
        <v>-0.13905086666666666</v>
      </c>
      <c r="J188" s="191">
        <v>0</v>
      </c>
      <c r="K188" s="191">
        <v>-1.4466149770683279</v>
      </c>
      <c r="L188" s="191">
        <v>-2.050911389892994</v>
      </c>
      <c r="M188" s="191">
        <v>-1.01413429774312</v>
      </c>
      <c r="N188" s="191">
        <v>-0.88842844978498614</v>
      </c>
      <c r="O188" s="191">
        <v>3.3141484317552879E-2</v>
      </c>
      <c r="T188" s="48">
        <v>1</v>
      </c>
      <c r="U188" s="46" t="s">
        <v>233</v>
      </c>
      <c r="V188" s="53" t="s">
        <v>273</v>
      </c>
      <c r="W188" s="53" t="s">
        <v>548</v>
      </c>
      <c r="X188" s="53" t="s">
        <v>203</v>
      </c>
      <c r="Y188" s="172">
        <f>IFERROR(-tblZwaste1422[[#This Row],[Weight (kgCO2e/kg)]],0)</f>
        <v>0</v>
      </c>
      <c r="Z188" s="172" t="str">
        <f>IF(AQ188="x",(AR188*-tblZwaste1422[[#This Row],[Weight (kgCO2e/kg)]])+AS188+($AR$10*Lookups!$J$38/1000),"DELETE")</f>
        <v>DELETE</v>
      </c>
      <c r="AA188" s="172" t="str">
        <f t="shared" si="68"/>
        <v>DELETE</v>
      </c>
      <c r="AB188" s="172">
        <f t="shared" si="68"/>
        <v>-1.6484259755872799</v>
      </c>
      <c r="AC188" s="172">
        <f t="shared" si="68"/>
        <v>-2.1010617758563699</v>
      </c>
      <c r="AD188" s="172">
        <f t="shared" si="68"/>
        <v>-0.80379438484857491</v>
      </c>
      <c r="AE188" s="172">
        <f t="shared" si="68"/>
        <v>-0.92435102829579896</v>
      </c>
      <c r="AF188" s="172">
        <f t="shared" si="68"/>
        <v>2.7208521201325751E-2</v>
      </c>
      <c r="AG188" s="150"/>
      <c r="AI188" s="137">
        <v>1</v>
      </c>
      <c r="AJ188" s="136"/>
      <c r="AK188" s="142"/>
      <c r="AL188" s="136" t="s">
        <v>548</v>
      </c>
      <c r="AM188" s="136" t="s">
        <v>203</v>
      </c>
      <c r="AN188" s="1" t="s">
        <v>525</v>
      </c>
      <c r="AO188" s="166" t="s">
        <v>525</v>
      </c>
      <c r="AQ188">
        <f>_xlfn.XLOOKUP(tblGWP21[[#This Row],[Material Subcategory]],ls_Mat,Factors!$K$952:$K$1023)</f>
        <v>0</v>
      </c>
      <c r="AR188" s="173"/>
      <c r="AU188" t="s">
        <v>526</v>
      </c>
      <c r="AV188" s="347">
        <v>0.95</v>
      </c>
      <c r="BA188" cm="1">
        <f t="array" ref="BA188:BM188">tblGWP21[#This Row]</f>
        <v>1</v>
      </c>
      <c r="BB188" t="str">
        <v>Wood/Yard Trimmings</v>
      </c>
      <c r="BC188" t="str">
        <v>Yard Trimming – Branches</v>
      </c>
      <c r="BD188" t="str">
        <v>Europe</v>
      </c>
      <c r="BE188" t="str">
        <v>n/a</v>
      </c>
      <c r="BF188">
        <v>0</v>
      </c>
      <c r="BG188" t="str">
        <v>DELETE</v>
      </c>
      <c r="BH188" t="str">
        <v>DELETE</v>
      </c>
      <c r="BI188">
        <v>-1.6484259755872799</v>
      </c>
      <c r="BJ188">
        <v>-2.1010617758563699</v>
      </c>
      <c r="BK188">
        <v>-0.80379438484857491</v>
      </c>
      <c r="BL188">
        <v>-0.92435102829579896</v>
      </c>
      <c r="BM188">
        <v>2.7208521201325751E-2</v>
      </c>
    </row>
    <row r="189" spans="3:65" ht="28.8">
      <c r="C189" s="362">
        <v>1</v>
      </c>
      <c r="D189" s="363" t="s">
        <v>233</v>
      </c>
      <c r="E189" s="362" t="s">
        <v>250</v>
      </c>
      <c r="F189" s="362" t="s">
        <v>548</v>
      </c>
      <c r="G189" s="362" t="s">
        <v>203</v>
      </c>
      <c r="H189" s="368">
        <v>0</v>
      </c>
      <c r="I189" s="368">
        <v>0</v>
      </c>
      <c r="J189" s="368">
        <v>0</v>
      </c>
      <c r="K189" s="368">
        <v>-1.7444670062767949</v>
      </c>
      <c r="L189" s="368">
        <v>-2.1504934128077098</v>
      </c>
      <c r="M189" s="368">
        <v>-1.0452247267483399</v>
      </c>
      <c r="N189" s="368">
        <v>-0.95171051291483044</v>
      </c>
      <c r="O189" s="368">
        <v>2.8432474723685652E-2</v>
      </c>
      <c r="T189" s="48">
        <v>1</v>
      </c>
      <c r="U189" s="46" t="s">
        <v>233</v>
      </c>
      <c r="V189" s="53" t="s">
        <v>330</v>
      </c>
      <c r="W189" s="53" t="s">
        <v>548</v>
      </c>
      <c r="X189" s="53" t="s">
        <v>203</v>
      </c>
      <c r="Y189" s="172">
        <f>IFERROR(-tblZwaste1422[[#This Row],[Weight (kgCO2e/kg)]],0)</f>
        <v>-0.14119999999999999</v>
      </c>
      <c r="Z189" s="172">
        <f>IF(AQ189="x",(AR189*-tblZwaste1422[[#This Row],[Weight (kgCO2e/kg)]])+AS189+($AR$10*Lookups!$J$38/1000),"DELETE")</f>
        <v>-0.1076582</v>
      </c>
      <c r="AA189" s="172" t="str">
        <f t="shared" si="68"/>
        <v>DELETE</v>
      </c>
      <c r="AB189" s="172" t="str">
        <f t="shared" si="68"/>
        <v>DELETE</v>
      </c>
      <c r="AC189" s="172" t="str">
        <f t="shared" si="68"/>
        <v>DELETE</v>
      </c>
      <c r="AD189" s="172">
        <f t="shared" si="68"/>
        <v>-1.4818190020127502</v>
      </c>
      <c r="AE189" s="172">
        <f t="shared" si="68"/>
        <v>-1.076124196808905</v>
      </c>
      <c r="AF189" s="172">
        <f t="shared" si="68"/>
        <v>5.3036627035606604E-2</v>
      </c>
      <c r="AG189" s="150"/>
      <c r="AI189" s="137">
        <v>1</v>
      </c>
      <c r="AJ189" s="136" t="s">
        <v>330</v>
      </c>
      <c r="AK189" s="142" t="s">
        <v>330</v>
      </c>
      <c r="AL189" s="136" t="s">
        <v>548</v>
      </c>
      <c r="AM189" s="136" t="s">
        <v>203</v>
      </c>
      <c r="AN189" s="1">
        <v>0.14119999999999999</v>
      </c>
      <c r="AO189" s="166">
        <v>0.43014000000000002</v>
      </c>
      <c r="AQ189" t="str">
        <f>_xlfn.XLOOKUP(tblGWP21[[#This Row],[Material Subcategory]],ls_Mat,Factors!$K$952:$K$1023)</f>
        <v>x</v>
      </c>
      <c r="AR189" s="173">
        <v>0.77500000000000002</v>
      </c>
      <c r="AS189">
        <v>0</v>
      </c>
      <c r="AT189" t="s">
        <v>527</v>
      </c>
      <c r="AU189" t="s">
        <v>526</v>
      </c>
      <c r="AV189" s="347">
        <v>0.9</v>
      </c>
      <c r="BA189" cm="1">
        <f t="array" ref="BA189:BM189">tblGWP21[#This Row]</f>
        <v>1</v>
      </c>
      <c r="BB189" t="str">
        <v>Wood/Yard Trimmings</v>
      </c>
      <c r="BC189" t="str">
        <v>Wood</v>
      </c>
      <c r="BD189" t="str">
        <v>Europe</v>
      </c>
      <c r="BE189" t="str">
        <v>n/a</v>
      </c>
      <c r="BF189">
        <v>-0.14119999999999999</v>
      </c>
      <c r="BG189">
        <v>-0.1076582</v>
      </c>
      <c r="BH189" t="str">
        <v>DELETE</v>
      </c>
      <c r="BI189" t="str">
        <v>DELETE</v>
      </c>
      <c r="BJ189" t="str">
        <v>DELETE</v>
      </c>
      <c r="BK189">
        <v>-1.4818190020127502</v>
      </c>
      <c r="BL189">
        <v>-1.076124196808905</v>
      </c>
      <c r="BM189">
        <v>5.3036627035606604E-2</v>
      </c>
    </row>
    <row r="190" spans="3:65" ht="28.8">
      <c r="C190" s="136">
        <v>1</v>
      </c>
      <c r="D190" s="137" t="s">
        <v>233</v>
      </c>
      <c r="E190" s="136" t="s">
        <v>249</v>
      </c>
      <c r="F190" s="136" t="s">
        <v>548</v>
      </c>
      <c r="G190" s="136" t="s">
        <v>203</v>
      </c>
      <c r="H190" s="191">
        <v>0</v>
      </c>
      <c r="I190" s="191">
        <v>0</v>
      </c>
      <c r="J190" s="191">
        <v>0</v>
      </c>
      <c r="K190" s="191">
        <v>-0.54332995230300396</v>
      </c>
      <c r="L190" s="191">
        <v>-0.74589452034084003</v>
      </c>
      <c r="M190" s="191">
        <v>1.685362342088435E-2</v>
      </c>
      <c r="N190" s="191">
        <v>-0.20187637501393249</v>
      </c>
      <c r="O190" s="191">
        <v>2.57536170796481E-2</v>
      </c>
      <c r="T190" s="48">
        <v>1</v>
      </c>
      <c r="U190" s="46" t="s">
        <v>233</v>
      </c>
      <c r="V190" s="53" t="s">
        <v>335</v>
      </c>
      <c r="W190" s="53" t="s">
        <v>548</v>
      </c>
      <c r="X190" s="53" t="s">
        <v>203</v>
      </c>
      <c r="Y190" s="172">
        <f>IFERROR(-tblZwaste1422[[#This Row],[Weight (kgCO2e/kg)]],0)</f>
        <v>-0.26272000000000001</v>
      </c>
      <c r="Z190" s="172">
        <f>IF(AQ190="x",(AR190*-tblZwaste1422[[#This Row],[Weight (kgCO2e/kg)]])+AS190+($AR$10*Lookups!$J$38/1000),"DELETE")</f>
        <v>-0.20183620000000002</v>
      </c>
      <c r="AA190" s="172" t="str">
        <f t="shared" si="68"/>
        <v>DELETE</v>
      </c>
      <c r="AB190" s="172">
        <f t="shared" si="68"/>
        <v>-1.6484259755872799</v>
      </c>
      <c r="AC190" s="172">
        <f t="shared" si="68"/>
        <v>-2.6285536202300248</v>
      </c>
      <c r="AD190" s="172">
        <f t="shared" si="68"/>
        <v>-1.3854106481349699</v>
      </c>
      <c r="AE190" s="172">
        <f t="shared" si="68"/>
        <v>-1.0882542928382248</v>
      </c>
      <c r="AF190" s="172">
        <f t="shared" si="68"/>
        <v>3.2208832932525605E-2</v>
      </c>
      <c r="AG190" s="150"/>
      <c r="AI190" s="137">
        <v>1</v>
      </c>
      <c r="AJ190" s="136" t="s">
        <v>330</v>
      </c>
      <c r="AK190" s="142" t="s">
        <v>335</v>
      </c>
      <c r="AL190" s="136" t="s">
        <v>548</v>
      </c>
      <c r="AM190" s="136" t="s">
        <v>203</v>
      </c>
      <c r="AN190" s="1">
        <v>0.26272000000000001</v>
      </c>
      <c r="AO190" s="166">
        <v>0.43014000000000002</v>
      </c>
      <c r="AQ190" t="str">
        <f>_xlfn.XLOOKUP(tblGWP21[[#This Row],[Material Subcategory]],ls_Mat,Factors!$K$952:$K$1023)</f>
        <v>x</v>
      </c>
      <c r="AR190" s="173">
        <v>0.77500000000000002</v>
      </c>
      <c r="AS190">
        <v>0</v>
      </c>
      <c r="AT190" t="s">
        <v>527</v>
      </c>
      <c r="AU190" t="s">
        <v>526</v>
      </c>
      <c r="AV190" s="347">
        <v>0.9</v>
      </c>
      <c r="BA190" cm="1">
        <f t="array" ref="BA190:BM190">tblGWP21[#This Row]</f>
        <v>1</v>
      </c>
      <c r="BB190" t="str">
        <v>Wood/Yard Trimmings</v>
      </c>
      <c r="BC190" t="str">
        <v>Pallets</v>
      </c>
      <c r="BD190" t="str">
        <v>Europe</v>
      </c>
      <c r="BE190" t="str">
        <v>n/a</v>
      </c>
      <c r="BF190">
        <v>-0.26272000000000001</v>
      </c>
      <c r="BG190">
        <v>-0.20183620000000002</v>
      </c>
      <c r="BH190" t="str">
        <v>DELETE</v>
      </c>
      <c r="BI190">
        <v>-1.6484259755872799</v>
      </c>
      <c r="BJ190">
        <v>-2.6285536202300248</v>
      </c>
      <c r="BK190">
        <v>-1.3854106481349699</v>
      </c>
      <c r="BL190">
        <v>-1.0882542928382248</v>
      </c>
      <c r="BM190">
        <v>3.2208832932525605E-2</v>
      </c>
    </row>
    <row r="191" spans="3:65" ht="28.8">
      <c r="C191" s="362">
        <v>1</v>
      </c>
      <c r="D191" s="363" t="s">
        <v>233</v>
      </c>
      <c r="E191" s="362" t="s">
        <v>273</v>
      </c>
      <c r="F191" s="362" t="s">
        <v>548</v>
      </c>
      <c r="G191" s="362" t="s">
        <v>203</v>
      </c>
      <c r="H191" s="368">
        <v>0</v>
      </c>
      <c r="I191" s="368">
        <v>0</v>
      </c>
      <c r="J191" s="368">
        <v>0</v>
      </c>
      <c r="K191" s="368">
        <v>-1.6484259755872799</v>
      </c>
      <c r="L191" s="368">
        <v>-2.1010617758563699</v>
      </c>
      <c r="M191" s="368">
        <v>-0.80379438484857491</v>
      </c>
      <c r="N191" s="368">
        <v>-0.92435102829579896</v>
      </c>
      <c r="O191" s="368">
        <v>2.7208521201325751E-2</v>
      </c>
      <c r="T191" s="48">
        <v>1</v>
      </c>
      <c r="U191" s="46" t="s">
        <v>233</v>
      </c>
      <c r="V191" s="53" t="s">
        <v>326</v>
      </c>
      <c r="W191" s="53" t="s">
        <v>548</v>
      </c>
      <c r="X191" s="53" t="s">
        <v>203</v>
      </c>
      <c r="Y191" s="172">
        <f>IFERROR(-tblZwaste1422[[#This Row],[Weight (kgCO2e/kg)]],0)</f>
        <v>-0.14119999999999999</v>
      </c>
      <c r="Z191" s="172">
        <f>IF(AQ191="x",(AR191*-tblZwaste1422[[#This Row],[Weight (kgCO2e/kg)]])+AS191+($AR$10*Lookups!$J$38/1000),"DELETE")</f>
        <v>-0.1076582</v>
      </c>
      <c r="AA191" s="172" t="str">
        <f t="shared" si="68"/>
        <v>DELETE</v>
      </c>
      <c r="AB191" s="172">
        <f t="shared" si="68"/>
        <v>-1.6484259755872799</v>
      </c>
      <c r="AC191" s="172">
        <f t="shared" si="68"/>
        <v>-2.6285536202300248</v>
      </c>
      <c r="AD191" s="172">
        <f t="shared" si="68"/>
        <v>-1.3854106481349699</v>
      </c>
      <c r="AE191" s="172">
        <f t="shared" si="68"/>
        <v>-1.0882542928382248</v>
      </c>
      <c r="AF191" s="172">
        <f t="shared" si="68"/>
        <v>3.2208832932525605E-2</v>
      </c>
      <c r="AG191" s="150"/>
      <c r="AI191" s="137">
        <v>1</v>
      </c>
      <c r="AJ191" s="136" t="s">
        <v>330</v>
      </c>
      <c r="AK191" s="142" t="s">
        <v>326</v>
      </c>
      <c r="AL191" s="136" t="s">
        <v>548</v>
      </c>
      <c r="AM191" s="136" t="s">
        <v>203</v>
      </c>
      <c r="AN191" s="1">
        <v>0.14119999999999999</v>
      </c>
      <c r="AO191" s="166">
        <v>0.43014000000000002</v>
      </c>
      <c r="AQ191" t="str">
        <f>_xlfn.XLOOKUP(tblGWP21[[#This Row],[Material Subcategory]],ls_Mat,Factors!$K$952:$K$1023)</f>
        <v>x</v>
      </c>
      <c r="AR191" s="173">
        <v>0.77500000000000002</v>
      </c>
      <c r="AS191">
        <v>0</v>
      </c>
      <c r="AT191" t="s">
        <v>527</v>
      </c>
      <c r="AU191" t="s">
        <v>526</v>
      </c>
      <c r="AV191" s="347">
        <v>0.95</v>
      </c>
      <c r="BA191" cm="1">
        <f t="array" ref="BA191:BM191">tblGWP21[#This Row]</f>
        <v>1</v>
      </c>
      <c r="BB191" t="str">
        <v>Wood/Yard Trimmings</v>
      </c>
      <c r="BC191" t="str">
        <v>Other Wood</v>
      </c>
      <c r="BD191" t="str">
        <v>Europe</v>
      </c>
      <c r="BE191" t="str">
        <v>n/a</v>
      </c>
      <c r="BF191">
        <v>-0.14119999999999999</v>
      </c>
      <c r="BG191">
        <v>-0.1076582</v>
      </c>
      <c r="BH191" t="str">
        <v>DELETE</v>
      </c>
      <c r="BI191">
        <v>-1.6484259755872799</v>
      </c>
      <c r="BJ191">
        <v>-2.6285536202300248</v>
      </c>
      <c r="BK191">
        <v>-1.3854106481349699</v>
      </c>
      <c r="BL191">
        <v>-1.0882542928382248</v>
      </c>
      <c r="BM191">
        <v>3.2208832932525605E-2</v>
      </c>
    </row>
    <row r="192" spans="3:65" ht="28.8">
      <c r="C192" s="136">
        <v>1</v>
      </c>
      <c r="D192" s="137" t="s">
        <v>233</v>
      </c>
      <c r="E192" s="136" t="s">
        <v>330</v>
      </c>
      <c r="F192" s="136" t="s">
        <v>548</v>
      </c>
      <c r="G192" s="136" t="s">
        <v>203</v>
      </c>
      <c r="H192" s="191">
        <v>-0.14119999999999999</v>
      </c>
      <c r="I192" s="191">
        <v>-0.1076582</v>
      </c>
      <c r="J192" s="191">
        <v>0</v>
      </c>
      <c r="K192" s="191">
        <v>0</v>
      </c>
      <c r="L192" s="191">
        <v>0</v>
      </c>
      <c r="M192" s="191">
        <v>-1.4818190020127502</v>
      </c>
      <c r="N192" s="191">
        <v>-1.076124196808905</v>
      </c>
      <c r="O192" s="191">
        <v>5.3036627035606604E-2</v>
      </c>
      <c r="T192" s="48">
        <v>1</v>
      </c>
      <c r="U192" s="46" t="s">
        <v>261</v>
      </c>
      <c r="V192" s="53" t="s">
        <v>261</v>
      </c>
      <c r="W192" s="53" t="s">
        <v>548</v>
      </c>
      <c r="X192" s="53" t="s">
        <v>203</v>
      </c>
      <c r="Y192" s="172">
        <f>IFERROR(-tblZwaste1422[[#This Row],[Weight (kgCO2e/kg)]],0)</f>
        <v>-4.72241</v>
      </c>
      <c r="Z192" s="172" t="e">
        <f>IF(AQ192="x",(AR192*-tblZwaste1422[[#This Row],[Weight (kgCO2e/kg)]])+AS192+($AR$10*Lookups!$J$38/1000),"DELETE")</f>
        <v>#N/A</v>
      </c>
      <c r="AA192" s="172" t="str">
        <f t="shared" si="68"/>
        <v>DELETE</v>
      </c>
      <c r="AB192" s="172">
        <f t="shared" si="68"/>
        <v>-0.36339985149728427</v>
      </c>
      <c r="AC192" s="172">
        <f t="shared" si="68"/>
        <v>-0.60009626006766448</v>
      </c>
      <c r="AD192" s="172">
        <f t="shared" si="68"/>
        <v>0.133465930092207</v>
      </c>
      <c r="AE192" s="172">
        <f t="shared" si="68"/>
        <v>-0.18625582270963725</v>
      </c>
      <c r="AF192" s="172">
        <f t="shared" si="68"/>
        <v>2.5406988283164577E-2</v>
      </c>
      <c r="AG192" s="150"/>
      <c r="AI192" s="137">
        <v>1</v>
      </c>
      <c r="AJ192" s="136" t="s">
        <v>529</v>
      </c>
      <c r="AK192" s="142" t="s">
        <v>529</v>
      </c>
      <c r="AL192" s="136" t="s">
        <v>548</v>
      </c>
      <c r="AM192" s="136" t="s">
        <v>203</v>
      </c>
      <c r="AN192" s="1">
        <v>4.72241</v>
      </c>
      <c r="AO192" s="166">
        <v>1.758</v>
      </c>
      <c r="AQ192" t="e">
        <f>_xlfn.XLOOKUP(tblGWP21[[#This Row],[Material Subcategory]],ls_Mat,Factors!$K$952:$K$1023)</f>
        <v>#N/A</v>
      </c>
      <c r="AR192" s="347">
        <v>0.5</v>
      </c>
      <c r="AS192">
        <v>0</v>
      </c>
      <c r="AT192" t="s">
        <v>528</v>
      </c>
      <c r="AU192" t="s">
        <v>526</v>
      </c>
      <c r="AV192" s="347">
        <v>0.7</v>
      </c>
      <c r="BA192" cm="1">
        <f t="array" ref="BA192:BM192">tblGWP21[#This Row]</f>
        <v>1</v>
      </c>
      <c r="BB192" t="str">
        <v>Food Waste</v>
      </c>
      <c r="BC192" t="str">
        <v>Food Waste</v>
      </c>
      <c r="BD192" t="str">
        <v>Europe</v>
      </c>
      <c r="BE192" t="str">
        <v>n/a</v>
      </c>
      <c r="BF192">
        <v>-4.72241</v>
      </c>
      <c r="BG192" t="e">
        <v>#N/A</v>
      </c>
      <c r="BH192" t="str">
        <v>DELETE</v>
      </c>
      <c r="BI192">
        <v>-0.36339985149728427</v>
      </c>
      <c r="BJ192">
        <v>-0.60009626006766448</v>
      </c>
      <c r="BK192">
        <v>0.133465930092207</v>
      </c>
      <c r="BL192">
        <v>-0.18625582270963725</v>
      </c>
      <c r="BM192">
        <v>2.5406988283164577E-2</v>
      </c>
    </row>
    <row r="193" spans="3:65" ht="28.8">
      <c r="C193" s="362">
        <v>1</v>
      </c>
      <c r="D193" s="363" t="s">
        <v>233</v>
      </c>
      <c r="E193" s="362" t="s">
        <v>335</v>
      </c>
      <c r="F193" s="362" t="s">
        <v>548</v>
      </c>
      <c r="G193" s="362" t="s">
        <v>203</v>
      </c>
      <c r="H193" s="368">
        <v>-0.26272000000000001</v>
      </c>
      <c r="I193" s="368">
        <v>-0.20183620000000002</v>
      </c>
      <c r="J193" s="368">
        <v>0</v>
      </c>
      <c r="K193" s="368">
        <v>-1.6484259755872799</v>
      </c>
      <c r="L193" s="368">
        <v>-2.6285536202300248</v>
      </c>
      <c r="M193" s="368">
        <v>-1.3854106481349699</v>
      </c>
      <c r="N193" s="368">
        <v>-1.0882542928382248</v>
      </c>
      <c r="O193" s="368">
        <v>3.2208832932525605E-2</v>
      </c>
      <c r="T193" s="48">
        <v>1</v>
      </c>
      <c r="U193" s="46" t="s">
        <v>261</v>
      </c>
      <c r="V193" s="53" t="s">
        <v>269</v>
      </c>
      <c r="W193" s="53" t="s">
        <v>548</v>
      </c>
      <c r="X193" s="53" t="s">
        <v>203</v>
      </c>
      <c r="Y193" s="172">
        <f>IFERROR(-tblZwaste1422[[#This Row],[Weight (kgCO2e/kg)]],0)</f>
        <v>-0.25034000000000001</v>
      </c>
      <c r="Z193" s="172">
        <f>IF(AQ193="x",(AR193*-tblZwaste1422[[#This Row],[Weight (kgCO2e/kg)]])+AS193+($AR$10*Lookups!$J$38/1000),"DELETE")</f>
        <v>-0.1233982</v>
      </c>
      <c r="AA193" s="172" t="str">
        <f t="shared" si="68"/>
        <v>DELETE</v>
      </c>
      <c r="AB193" s="172">
        <f t="shared" si="68"/>
        <v>-0.30334942176462953</v>
      </c>
      <c r="AC193" s="172">
        <f t="shared" si="68"/>
        <v>-0.50938308501056051</v>
      </c>
      <c r="AD193" s="172">
        <f t="shared" si="68"/>
        <v>0.165175853618374</v>
      </c>
      <c r="AE193" s="172">
        <f t="shared" si="68"/>
        <v>-0.12898637125575851</v>
      </c>
      <c r="AF193" s="172">
        <f t="shared" si="68"/>
        <v>2.5084838028247451E-2</v>
      </c>
      <c r="AG193" s="150"/>
      <c r="AI193" s="137">
        <v>1</v>
      </c>
      <c r="AJ193" s="136" t="s">
        <v>529</v>
      </c>
      <c r="AK193" s="142" t="s">
        <v>327</v>
      </c>
      <c r="AL193" s="136" t="s">
        <v>548</v>
      </c>
      <c r="AM193" s="136" t="s">
        <v>203</v>
      </c>
      <c r="AN193" s="1">
        <v>0.25034000000000001</v>
      </c>
      <c r="AO193" s="166">
        <v>0.99672000000000005</v>
      </c>
      <c r="AQ193" t="str">
        <f>_xlfn.XLOOKUP(tblGWP21[[#This Row],[Material Subcategory]],ls_Mat,Factors!$K$952:$K$1023)</f>
        <v>x</v>
      </c>
      <c r="AR193" s="347">
        <v>0.5</v>
      </c>
      <c r="AS193">
        <v>0</v>
      </c>
      <c r="AT193" t="s">
        <v>528</v>
      </c>
      <c r="BA193" cm="1">
        <f t="array" ref="BA193:BM193">tblGWP21[#This Row]</f>
        <v>1</v>
      </c>
      <c r="BB193" t="str">
        <v>Food Waste</v>
      </c>
      <c r="BC193" t="str">
        <v>Food Waste – Vegetable</v>
      </c>
      <c r="BD193" t="str">
        <v>Europe</v>
      </c>
      <c r="BE193" t="str">
        <v>n/a</v>
      </c>
      <c r="BF193">
        <v>-0.25034000000000001</v>
      </c>
      <c r="BG193">
        <v>-0.1233982</v>
      </c>
      <c r="BH193" t="str">
        <v>DELETE</v>
      </c>
      <c r="BI193">
        <v>-0.30334942176462953</v>
      </c>
      <c r="BJ193">
        <v>-0.50938308501056051</v>
      </c>
      <c r="BK193">
        <v>0.165175853618374</v>
      </c>
      <c r="BL193">
        <v>-0.12898637125575851</v>
      </c>
      <c r="BM193">
        <v>2.5084838028247451E-2</v>
      </c>
    </row>
    <row r="194" spans="3:65" ht="28.8">
      <c r="C194" s="136">
        <v>1</v>
      </c>
      <c r="D194" s="137" t="s">
        <v>233</v>
      </c>
      <c r="E194" s="136" t="s">
        <v>326</v>
      </c>
      <c r="F194" s="136" t="s">
        <v>548</v>
      </c>
      <c r="G194" s="136" t="s">
        <v>203</v>
      </c>
      <c r="H194" s="191">
        <v>-0.14119999999999999</v>
      </c>
      <c r="I194" s="191">
        <v>-0.1076582</v>
      </c>
      <c r="J194" s="191">
        <v>0</v>
      </c>
      <c r="K194" s="191">
        <v>-1.6484259755872799</v>
      </c>
      <c r="L194" s="191">
        <v>-2.6285536202300248</v>
      </c>
      <c r="M194" s="191">
        <v>-1.3854106481349699</v>
      </c>
      <c r="N194" s="191">
        <v>-1.0882542928382248</v>
      </c>
      <c r="O194" s="191">
        <v>3.2208832932525605E-2</v>
      </c>
      <c r="T194" s="48">
        <v>1</v>
      </c>
      <c r="U194" s="46" t="s">
        <v>261</v>
      </c>
      <c r="V194" s="53" t="s">
        <v>530</v>
      </c>
      <c r="W194" s="53" t="s">
        <v>548</v>
      </c>
      <c r="X194" s="53" t="s">
        <v>203</v>
      </c>
      <c r="Y194" s="172">
        <f>IFERROR(-tblZwaste1422[[#This Row],[Weight (kgCO2e/kg)]],0)</f>
        <v>-9.1944800000000004</v>
      </c>
      <c r="Z194" s="172">
        <f>IF(AQ194="x",(AR194*-tblZwaste1422[[#This Row],[Weight (kgCO2e/kg)]])+AS194+($AR$10*Lookups!$J$38/1000),"DELETE")</f>
        <v>-4.5954682</v>
      </c>
      <c r="AA194" s="172" t="str">
        <f t="shared" si="68"/>
        <v>DELETE</v>
      </c>
      <c r="AB194" s="172">
        <f t="shared" si="68"/>
        <v>-0.423450281229939</v>
      </c>
      <c r="AC194" s="172">
        <f t="shared" si="68"/>
        <v>-0.69080943512476845</v>
      </c>
      <c r="AD194" s="172">
        <f t="shared" si="68"/>
        <v>0.10175600656604</v>
      </c>
      <c r="AE194" s="172">
        <f t="shared" si="68"/>
        <v>-0.24352527416351599</v>
      </c>
      <c r="AF194" s="172">
        <f t="shared" si="68"/>
        <v>2.5729138538081703E-2</v>
      </c>
      <c r="AG194" s="150"/>
      <c r="AI194" s="137">
        <v>1</v>
      </c>
      <c r="AJ194" s="136" t="s">
        <v>529</v>
      </c>
      <c r="AK194" s="142" t="s">
        <v>331</v>
      </c>
      <c r="AL194" s="136" t="s">
        <v>548</v>
      </c>
      <c r="AM194" s="136" t="s">
        <v>203</v>
      </c>
      <c r="AN194" s="1">
        <v>9.1944800000000004</v>
      </c>
      <c r="AO194" s="166">
        <v>2.5192800000000002</v>
      </c>
      <c r="AQ194" t="str">
        <f>_xlfn.XLOOKUP(tblGWP21[[#This Row],[Material Subcategory]],ls_Mat,Factors!$K$952:$K$1023)</f>
        <v>x</v>
      </c>
      <c r="AR194" s="347">
        <v>0.5</v>
      </c>
      <c r="AS194">
        <v>0</v>
      </c>
      <c r="AT194" t="s">
        <v>528</v>
      </c>
      <c r="BA194" cm="1">
        <f t="array" ref="BA194:BM194">tblGWP21[#This Row]</f>
        <v>1</v>
      </c>
      <c r="BB194" t="str">
        <v>Food Waste</v>
      </c>
      <c r="BC194" t="str">
        <v>Food Waste – Non-Vegetable</v>
      </c>
      <c r="BD194" t="str">
        <v>Europe</v>
      </c>
      <c r="BE194" t="str">
        <v>n/a</v>
      </c>
      <c r="BF194">
        <v>-9.1944800000000004</v>
      </c>
      <c r="BG194">
        <v>-4.5954682</v>
      </c>
      <c r="BH194" t="str">
        <v>DELETE</v>
      </c>
      <c r="BI194">
        <v>-0.423450281229939</v>
      </c>
      <c r="BJ194">
        <v>-0.69080943512476845</v>
      </c>
      <c r="BK194">
        <v>0.10175600656604</v>
      </c>
      <c r="BL194">
        <v>-0.24352527416351599</v>
      </c>
      <c r="BM194">
        <v>2.5729138538081703E-2</v>
      </c>
    </row>
    <row r="195" spans="3:65">
      <c r="C195" s="362">
        <v>1</v>
      </c>
      <c r="D195" s="363" t="s">
        <v>261</v>
      </c>
      <c r="E195" s="362" t="s">
        <v>261</v>
      </c>
      <c r="F195" s="362" t="s">
        <v>548</v>
      </c>
      <c r="G195" s="362" t="s">
        <v>203</v>
      </c>
      <c r="H195" s="368">
        <v>-4.72241</v>
      </c>
      <c r="I195" s="368">
        <v>-2.3594331999999998</v>
      </c>
      <c r="J195" s="368">
        <v>0</v>
      </c>
      <c r="K195" s="368">
        <v>-0.36339985149728427</v>
      </c>
      <c r="L195" s="368">
        <v>-0.60009626006766448</v>
      </c>
      <c r="M195" s="368">
        <v>0.133465930092207</v>
      </c>
      <c r="N195" s="368">
        <v>-0.18625582270963725</v>
      </c>
      <c r="O195" s="368">
        <v>2.5406988283164577E-2</v>
      </c>
      <c r="T195" s="48">
        <v>1</v>
      </c>
      <c r="U195" s="46" t="s">
        <v>261</v>
      </c>
      <c r="V195" s="53" t="s">
        <v>262</v>
      </c>
      <c r="W195" s="53" t="s">
        <v>548</v>
      </c>
      <c r="X195" s="53" t="s">
        <v>203</v>
      </c>
      <c r="Y195" s="172">
        <f>IFERROR(-tblZwaste1422[[#This Row],[Weight (kgCO2e/kg)]],0)</f>
        <v>-2.5034000000000001</v>
      </c>
      <c r="Z195" s="172" t="str">
        <f>IF(AQ195="x",(AR195*-tblZwaste1422[[#This Row],[Weight (kgCO2e/kg)]])+AS195+($AR$10*Lookups!$J$38/1000),"DELETE")</f>
        <v>DELETE</v>
      </c>
      <c r="AA195" s="172" t="str">
        <f t="shared" ref="AA195:AF204" si="69">IF(ISNUMBER(AVERAGE(AA531,AA587)),AVERAGE(AA531,AA587),AA531)</f>
        <v>DELETE</v>
      </c>
      <c r="AB195" s="172">
        <f t="shared" si="69"/>
        <v>-0.423450281229939</v>
      </c>
      <c r="AC195" s="172">
        <f t="shared" si="69"/>
        <v>-0.69080943512476845</v>
      </c>
      <c r="AD195" s="172">
        <f t="shared" si="69"/>
        <v>0.10175600656604</v>
      </c>
      <c r="AE195" s="172">
        <f t="shared" si="69"/>
        <v>-0.24352527416351599</v>
      </c>
      <c r="AF195" s="172">
        <f t="shared" si="69"/>
        <v>2.5729138538081703E-2</v>
      </c>
      <c r="AG195" s="150"/>
      <c r="AI195" s="137">
        <v>1</v>
      </c>
      <c r="AJ195" s="136" t="s">
        <v>529</v>
      </c>
      <c r="AK195" s="142" t="s">
        <v>332</v>
      </c>
      <c r="AL195" s="136" t="s">
        <v>548</v>
      </c>
      <c r="AM195" s="136" t="s">
        <v>203</v>
      </c>
      <c r="AN195" s="1">
        <v>2.5034000000000001</v>
      </c>
      <c r="AO195" s="166">
        <v>1.0183800000000001</v>
      </c>
      <c r="AQ195">
        <f>_xlfn.XLOOKUP(tblGWP21[[#This Row],[Material Subcategory]],ls_Mat,Factors!$K$952:$K$1023)</f>
        <v>0</v>
      </c>
      <c r="AR195" s="347">
        <v>0.5</v>
      </c>
      <c r="AS195">
        <v>0</v>
      </c>
      <c r="AT195" t="s">
        <v>528</v>
      </c>
      <c r="BA195" cm="1">
        <f t="array" ref="BA195:BM195">tblGWP21[#This Row]</f>
        <v>1</v>
      </c>
      <c r="BB195" t="str">
        <v>Food Waste</v>
      </c>
      <c r="BC195" t="str">
        <v>Oils/Grease</v>
      </c>
      <c r="BD195" t="str">
        <v>Europe</v>
      </c>
      <c r="BE195" t="str">
        <v>n/a</v>
      </c>
      <c r="BF195">
        <v>-2.5034000000000001</v>
      </c>
      <c r="BG195" t="str">
        <v>DELETE</v>
      </c>
      <c r="BH195" t="str">
        <v>DELETE</v>
      </c>
      <c r="BI195">
        <v>-0.423450281229939</v>
      </c>
      <c r="BJ195">
        <v>-0.69080943512476845</v>
      </c>
      <c r="BK195">
        <v>0.10175600656604</v>
      </c>
      <c r="BL195">
        <v>-0.24352527416351599</v>
      </c>
      <c r="BM195">
        <v>2.5729138538081703E-2</v>
      </c>
    </row>
    <row r="196" spans="3:65">
      <c r="C196" s="136">
        <v>1</v>
      </c>
      <c r="D196" s="137" t="s">
        <v>261</v>
      </c>
      <c r="E196" s="136" t="s">
        <v>269</v>
      </c>
      <c r="F196" s="136" t="s">
        <v>548</v>
      </c>
      <c r="G196" s="136" t="s">
        <v>203</v>
      </c>
      <c r="H196" s="191">
        <v>-0.25034000000000001</v>
      </c>
      <c r="I196" s="191">
        <v>-0.1233982</v>
      </c>
      <c r="J196" s="191">
        <v>0</v>
      </c>
      <c r="K196" s="191">
        <v>-0.30334942176462953</v>
      </c>
      <c r="L196" s="191">
        <v>-0.50938308501056051</v>
      </c>
      <c r="M196" s="191">
        <v>0.165175853618374</v>
      </c>
      <c r="N196" s="191">
        <v>-0.12898637125575851</v>
      </c>
      <c r="O196" s="191">
        <v>2.5084838028247451E-2</v>
      </c>
      <c r="T196" s="48">
        <v>1</v>
      </c>
      <c r="U196" s="46" t="s">
        <v>252</v>
      </c>
      <c r="V196" s="53" t="s">
        <v>252</v>
      </c>
      <c r="W196" s="53" t="s">
        <v>548</v>
      </c>
      <c r="X196" s="53" t="s">
        <v>203</v>
      </c>
      <c r="Y196" s="172">
        <f>IFERROR(-tblZwaste1422[[#This Row],[Weight (kgCO2e/kg)]],0)</f>
        <v>-2.0953266666666663</v>
      </c>
      <c r="Z196" s="172" t="e">
        <f>IF(AQ196="x",(AR196*-tblZwaste1422[[#This Row],[Weight (kgCO2e/kg)]])+AS196+($AR$10*Lookups!$J$38/1000),"DELETE")</f>
        <v>#N/A</v>
      </c>
      <c r="AA196" s="172">
        <f t="shared" si="69"/>
        <v>-4.4029102771861357</v>
      </c>
      <c r="AB196" s="172" t="str">
        <f t="shared" si="69"/>
        <v>DELETE</v>
      </c>
      <c r="AC196" s="172" t="str">
        <f t="shared" si="69"/>
        <v>DELETE</v>
      </c>
      <c r="AD196" s="172">
        <f t="shared" si="69"/>
        <v>2.602959882319645E-2</v>
      </c>
      <c r="AE196" s="172">
        <f t="shared" si="69"/>
        <v>0.55868496079411156</v>
      </c>
      <c r="AF196" s="172">
        <f t="shared" si="69"/>
        <v>2.18702540347368</v>
      </c>
      <c r="AG196" s="150"/>
      <c r="AI196" s="137">
        <v>1</v>
      </c>
      <c r="AJ196" s="136" t="s">
        <v>252</v>
      </c>
      <c r="AK196" s="142" t="s">
        <v>252</v>
      </c>
      <c r="AL196" s="136" t="s">
        <v>548</v>
      </c>
      <c r="AM196" s="136" t="s">
        <v>203</v>
      </c>
      <c r="AN196" s="1">
        <v>2.0953266666666663</v>
      </c>
      <c r="AO196" s="166">
        <v>1.77911</v>
      </c>
      <c r="AQ196" t="e">
        <f>_xlfn.XLOOKUP(tblGWP21[[#This Row],[Material Subcategory]],ls_Mat,Factors!$K$952:$K$1023)</f>
        <v>#N/A</v>
      </c>
      <c r="AR196" s="173">
        <v>0.77500000000000002</v>
      </c>
      <c r="AS196">
        <v>8.1306407300000008E-2</v>
      </c>
      <c r="AT196" t="s">
        <v>531</v>
      </c>
      <c r="BA196" cm="1">
        <f t="array" ref="BA196:BM196">tblGWP21[#This Row]</f>
        <v>1</v>
      </c>
      <c r="BB196" t="str">
        <v>Plastics</v>
      </c>
      <c r="BC196" t="str">
        <v>Plastics</v>
      </c>
      <c r="BD196" t="str">
        <v>Europe</v>
      </c>
      <c r="BE196" t="str">
        <v>n/a</v>
      </c>
      <c r="BF196">
        <v>-2.0953266666666663</v>
      </c>
      <c r="BG196" t="e">
        <v>#N/A</v>
      </c>
      <c r="BH196">
        <v>-4.4029102771861357</v>
      </c>
      <c r="BI196" t="str">
        <v>DELETE</v>
      </c>
      <c r="BJ196" t="str">
        <v>DELETE</v>
      </c>
      <c r="BK196">
        <v>2.602959882319645E-2</v>
      </c>
      <c r="BL196">
        <v>0.55868496079411156</v>
      </c>
      <c r="BM196">
        <v>2.18702540347368</v>
      </c>
    </row>
    <row r="197" spans="3:65" ht="28.8">
      <c r="C197" s="362">
        <v>1</v>
      </c>
      <c r="D197" s="363" t="s">
        <v>261</v>
      </c>
      <c r="E197" s="362" t="s">
        <v>530</v>
      </c>
      <c r="F197" s="362" t="s">
        <v>548</v>
      </c>
      <c r="G197" s="362" t="s">
        <v>203</v>
      </c>
      <c r="H197" s="368">
        <v>-9.1944800000000004</v>
      </c>
      <c r="I197" s="368">
        <v>-4.5954682</v>
      </c>
      <c r="J197" s="368">
        <v>0</v>
      </c>
      <c r="K197" s="368">
        <v>-0.423450281229939</v>
      </c>
      <c r="L197" s="368">
        <v>-0.69080943512476845</v>
      </c>
      <c r="M197" s="368">
        <v>0.10175600656604</v>
      </c>
      <c r="N197" s="368">
        <v>-0.24352527416351599</v>
      </c>
      <c r="O197" s="368">
        <v>2.5729138538081703E-2</v>
      </c>
      <c r="T197" s="48">
        <v>1</v>
      </c>
      <c r="U197" s="46" t="s">
        <v>252</v>
      </c>
      <c r="V197" s="53" t="s">
        <v>253</v>
      </c>
      <c r="W197" s="53" t="s">
        <v>548</v>
      </c>
      <c r="X197" s="53" t="s">
        <v>203</v>
      </c>
      <c r="Y197" s="172">
        <f>IFERROR(-tblZwaste1422[[#This Row],[Weight (kgCO2e/kg)]],0)</f>
        <v>-2.04928</v>
      </c>
      <c r="Z197" s="172" t="e">
        <f>IF(AQ197="x",(AR197*-tblZwaste1422[[#This Row],[Weight (kgCO2e/kg)]])+AS197+($AR$10*Lookups!$J$38/1000),"DELETE")</f>
        <v>#N/A</v>
      </c>
      <c r="AA197" s="172">
        <f t="shared" si="69"/>
        <v>-3.8546074500389462</v>
      </c>
      <c r="AB197" s="172" t="str">
        <f t="shared" si="69"/>
        <v>DELETE</v>
      </c>
      <c r="AC197" s="172" t="str">
        <f t="shared" si="69"/>
        <v>DELETE</v>
      </c>
      <c r="AD197" s="172">
        <f t="shared" si="69"/>
        <v>2.6029595842242199E-2</v>
      </c>
      <c r="AE197" s="172">
        <f t="shared" si="69"/>
        <v>0.37355368910860748</v>
      </c>
      <c r="AF197" s="172">
        <f t="shared" si="69"/>
        <v>3.1831778120059999</v>
      </c>
      <c r="AG197" s="150"/>
      <c r="AI197" s="137">
        <v>1</v>
      </c>
      <c r="AJ197" s="136" t="s">
        <v>252</v>
      </c>
      <c r="AK197" s="142" t="s">
        <v>253</v>
      </c>
      <c r="AL197" s="136" t="s">
        <v>548</v>
      </c>
      <c r="AM197" s="136" t="s">
        <v>203</v>
      </c>
      <c r="AN197" s="1">
        <v>2.04928</v>
      </c>
      <c r="AO197" s="166">
        <v>1.77911</v>
      </c>
      <c r="AQ197" t="e">
        <f>_xlfn.XLOOKUP(tblGWP21[[#This Row],[Material Subcategory]],ls_Mat,Factors!$K$952:$K$1023)</f>
        <v>#N/A</v>
      </c>
      <c r="AR197" s="173">
        <v>0.77500000000000002</v>
      </c>
      <c r="AS197">
        <v>8.1306407300000008E-2</v>
      </c>
      <c r="AT197" t="s">
        <v>531</v>
      </c>
      <c r="AU197" t="s">
        <v>526</v>
      </c>
      <c r="AV197" s="347">
        <v>0.7</v>
      </c>
      <c r="BA197" cm="1">
        <f t="array" ref="BA197:BM197">tblGWP21[#This Row]</f>
        <v>1</v>
      </c>
      <c r="BB197" t="str">
        <v>Plastics</v>
      </c>
      <c r="BC197" t="str">
        <v>HDPE (translucent and pigmented)</v>
      </c>
      <c r="BD197" t="str">
        <v>Europe</v>
      </c>
      <c r="BE197" t="str">
        <v>n/a</v>
      </c>
      <c r="BF197">
        <v>-2.04928</v>
      </c>
      <c r="BG197" t="e">
        <v>#N/A</v>
      </c>
      <c r="BH197">
        <v>-3.8546074500389462</v>
      </c>
      <c r="BI197" t="str">
        <v>DELETE</v>
      </c>
      <c r="BJ197" t="str">
        <v>DELETE</v>
      </c>
      <c r="BK197">
        <v>2.6029595842242199E-2</v>
      </c>
      <c r="BL197">
        <v>0.37355368910860748</v>
      </c>
      <c r="BM197">
        <v>3.1831778120059999</v>
      </c>
    </row>
    <row r="198" spans="3:65">
      <c r="C198" s="136">
        <v>1</v>
      </c>
      <c r="D198" s="137" t="s">
        <v>261</v>
      </c>
      <c r="E198" s="136" t="s">
        <v>262</v>
      </c>
      <c r="F198" s="136" t="s">
        <v>548</v>
      </c>
      <c r="G198" s="136" t="s">
        <v>203</v>
      </c>
      <c r="H198" s="191">
        <v>-2.5034000000000001</v>
      </c>
      <c r="I198" s="191">
        <v>0</v>
      </c>
      <c r="J198" s="191">
        <v>0</v>
      </c>
      <c r="K198" s="191">
        <v>-0.423450281229939</v>
      </c>
      <c r="L198" s="191">
        <v>-0.69080943512476845</v>
      </c>
      <c r="M198" s="191">
        <v>0.10175600656604</v>
      </c>
      <c r="N198" s="191">
        <v>-0.24352527416351599</v>
      </c>
      <c r="O198" s="191">
        <v>2.5729138538081703E-2</v>
      </c>
      <c r="T198" s="48">
        <v>1</v>
      </c>
      <c r="U198" s="46" t="s">
        <v>252</v>
      </c>
      <c r="V198" s="53" t="s">
        <v>328</v>
      </c>
      <c r="W198" s="53" t="s">
        <v>548</v>
      </c>
      <c r="X198" s="53" t="s">
        <v>203</v>
      </c>
      <c r="Y198" s="172">
        <f>IFERROR(-tblZwaste1422[[#This Row],[Weight (kgCO2e/kg)]],0)</f>
        <v>-2.3231199999999999</v>
      </c>
      <c r="Z198" s="172" t="e">
        <f>IF(AQ198="x",(AR198*-tblZwaste1422[[#This Row],[Weight (kgCO2e/kg)]])+AS198+($AR$10*Lookups!$J$38/1000),"DELETE")</f>
        <v>#N/A</v>
      </c>
      <c r="AA198" s="172">
        <f t="shared" si="69"/>
        <v>-4.5599139993352242</v>
      </c>
      <c r="AB198" s="172" t="str">
        <f t="shared" si="69"/>
        <v>DELETE</v>
      </c>
      <c r="AC198" s="172" t="str">
        <f t="shared" si="69"/>
        <v>DELETE</v>
      </c>
      <c r="AD198" s="172">
        <f t="shared" si="69"/>
        <v>2.6029596634248302E-2</v>
      </c>
      <c r="AE198" s="172">
        <f t="shared" si="69"/>
        <v>0.44881817096995547</v>
      </c>
      <c r="AF198" s="172">
        <f t="shared" si="69"/>
        <v>2.49560853790079</v>
      </c>
      <c r="AG198" s="150"/>
      <c r="AI198" s="137">
        <v>1</v>
      </c>
      <c r="AJ198" s="136" t="s">
        <v>252</v>
      </c>
      <c r="AK198" s="142" t="s">
        <v>328</v>
      </c>
      <c r="AL198" s="136" t="s">
        <v>548</v>
      </c>
      <c r="AM198" s="136" t="s">
        <v>203</v>
      </c>
      <c r="AN198" s="1">
        <v>2.3231199999999999</v>
      </c>
      <c r="AO198" s="166">
        <v>1.77911</v>
      </c>
      <c r="AQ198" t="e">
        <f>_xlfn.XLOOKUP(tblGWP21[[#This Row],[Material Subcategory]],ls_Mat,Factors!$K$952:$K$1023)</f>
        <v>#N/A</v>
      </c>
      <c r="AR198" s="173">
        <v>0.77500000000000002</v>
      </c>
      <c r="AU198" t="s">
        <v>526</v>
      </c>
      <c r="AV198" s="347">
        <v>0.65</v>
      </c>
      <c r="BA198" cm="1">
        <f t="array" ref="BA198:BM198">tblGWP21[#This Row]</f>
        <v>1</v>
      </c>
      <c r="BB198" t="str">
        <v>Plastics</v>
      </c>
      <c r="BC198" t="str">
        <v>LDPE</v>
      </c>
      <c r="BD198" t="str">
        <v>Europe</v>
      </c>
      <c r="BE198" t="str">
        <v>n/a</v>
      </c>
      <c r="BF198">
        <v>-2.3231199999999999</v>
      </c>
      <c r="BG198" t="e">
        <v>#N/A</v>
      </c>
      <c r="BH198">
        <v>-4.5599139993352242</v>
      </c>
      <c r="BI198" t="str">
        <v>DELETE</v>
      </c>
      <c r="BJ198" t="str">
        <v>DELETE</v>
      </c>
      <c r="BK198">
        <v>2.6029596634248302E-2</v>
      </c>
      <c r="BL198">
        <v>0.44881817096995547</v>
      </c>
      <c r="BM198">
        <v>2.49560853790079</v>
      </c>
    </row>
    <row r="199" spans="3:65">
      <c r="C199" s="362">
        <v>1</v>
      </c>
      <c r="D199" s="363" t="s">
        <v>252</v>
      </c>
      <c r="E199" s="362" t="s">
        <v>252</v>
      </c>
      <c r="F199" s="362" t="s">
        <v>548</v>
      </c>
      <c r="G199" s="362" t="s">
        <v>203</v>
      </c>
      <c r="H199" s="368">
        <v>-2.0953266666666663</v>
      </c>
      <c r="I199" s="368">
        <v>-1.5407999593666664</v>
      </c>
      <c r="J199" s="368">
        <v>-4.4029102771861357</v>
      </c>
      <c r="K199" s="368">
        <v>0</v>
      </c>
      <c r="L199" s="368">
        <v>0</v>
      </c>
      <c r="M199" s="368">
        <v>2.602959882319645E-2</v>
      </c>
      <c r="N199" s="368">
        <v>0.55868496079411156</v>
      </c>
      <c r="O199" s="368">
        <v>2.18702540347368</v>
      </c>
      <c r="T199" s="48">
        <v>1</v>
      </c>
      <c r="U199" s="46" t="s">
        <v>252</v>
      </c>
      <c r="V199" s="53" t="s">
        <v>254</v>
      </c>
      <c r="W199" s="53" t="s">
        <v>548</v>
      </c>
      <c r="X199" s="53" t="s">
        <v>203</v>
      </c>
      <c r="Y199" s="172">
        <f>IFERROR(-tblZwaste1422[[#This Row],[Weight (kgCO2e/kg)]],0)</f>
        <v>-2.1485799999999999</v>
      </c>
      <c r="Z199" s="172" t="e">
        <f>IF(AQ199="x",(AR199*-tblZwaste1422[[#This Row],[Weight (kgCO2e/kg)]])+AS199+($AR$10*Lookups!$J$38/1000),"DELETE")</f>
        <v>#N/A</v>
      </c>
      <c r="AA199" s="172">
        <f t="shared" si="69"/>
        <v>-4.6372056600351463</v>
      </c>
      <c r="AB199" s="172" t="str">
        <f t="shared" si="69"/>
        <v>DELETE</v>
      </c>
      <c r="AC199" s="172" t="str">
        <f t="shared" si="69"/>
        <v>DELETE</v>
      </c>
      <c r="AD199" s="172">
        <f t="shared" si="69"/>
        <v>2.6029595842242251E-2</v>
      </c>
      <c r="AE199" s="172">
        <f t="shared" si="69"/>
        <v>0.61604196009701906</v>
      </c>
      <c r="AF199" s="172">
        <f t="shared" si="69"/>
        <v>2.5363327632831649</v>
      </c>
      <c r="AG199" s="150"/>
      <c r="AI199" s="137">
        <v>1</v>
      </c>
      <c r="AJ199" s="136" t="s">
        <v>252</v>
      </c>
      <c r="AK199" s="142" t="s">
        <v>254</v>
      </c>
      <c r="AL199" s="136" t="s">
        <v>548</v>
      </c>
      <c r="AM199" s="136" t="s">
        <v>203</v>
      </c>
      <c r="AN199" s="1">
        <v>2.1485799999999999</v>
      </c>
      <c r="AO199" s="166">
        <v>1.77911</v>
      </c>
      <c r="AQ199" t="e">
        <f>_xlfn.XLOOKUP(tblGWP21[[#This Row],[Material Subcategory]],ls_Mat,Factors!$K$952:$K$1023)</f>
        <v>#N/A</v>
      </c>
      <c r="AR199" s="173">
        <v>0.77500000000000002</v>
      </c>
      <c r="AS199">
        <v>8.1306407300000008E-2</v>
      </c>
      <c r="AT199" t="s">
        <v>531</v>
      </c>
      <c r="BA199" cm="1">
        <f t="array" ref="BA199:BM199">tblGWP21[#This Row]</f>
        <v>1</v>
      </c>
      <c r="BB199" t="str">
        <v>Plastics</v>
      </c>
      <c r="BC199" t="str">
        <v>PET</v>
      </c>
      <c r="BD199" t="str">
        <v>Europe</v>
      </c>
      <c r="BE199" t="str">
        <v>n/a</v>
      </c>
      <c r="BF199">
        <v>-2.1485799999999999</v>
      </c>
      <c r="BG199" t="e">
        <v>#N/A</v>
      </c>
      <c r="BH199">
        <v>-4.6372056600351463</v>
      </c>
      <c r="BI199" t="str">
        <v>DELETE</v>
      </c>
      <c r="BJ199" t="str">
        <v>DELETE</v>
      </c>
      <c r="BK199">
        <v>2.6029595842242251E-2</v>
      </c>
      <c r="BL199">
        <v>0.61604196009701906</v>
      </c>
      <c r="BM199">
        <v>2.5363327632831649</v>
      </c>
    </row>
    <row r="200" spans="3:65" ht="28.8">
      <c r="C200" s="136">
        <v>1</v>
      </c>
      <c r="D200" s="137" t="s">
        <v>252</v>
      </c>
      <c r="E200" s="136" t="s">
        <v>253</v>
      </c>
      <c r="F200" s="136" t="s">
        <v>548</v>
      </c>
      <c r="G200" s="136" t="s">
        <v>203</v>
      </c>
      <c r="H200" s="191">
        <v>-2.04928</v>
      </c>
      <c r="I200" s="191">
        <v>0</v>
      </c>
      <c r="J200" s="191">
        <v>-3.8546074500389462</v>
      </c>
      <c r="K200" s="191">
        <v>0</v>
      </c>
      <c r="L200" s="191">
        <v>0</v>
      </c>
      <c r="M200" s="191">
        <v>2.6029595842242199E-2</v>
      </c>
      <c r="N200" s="191">
        <v>0.37355368910860748</v>
      </c>
      <c r="O200" s="191">
        <v>3.1831778120059999</v>
      </c>
      <c r="T200" s="48">
        <v>1</v>
      </c>
      <c r="U200" s="46" t="s">
        <v>252</v>
      </c>
      <c r="V200" s="53" t="s">
        <v>532</v>
      </c>
      <c r="W200" s="53" t="s">
        <v>548</v>
      </c>
      <c r="X200" s="53" t="s">
        <v>203</v>
      </c>
      <c r="Y200" s="172">
        <f>IFERROR(-tblZwaste1422[[#This Row],[Weight (kgCO2e/kg)]],0)</f>
        <v>-1.9492499999999999</v>
      </c>
      <c r="Z200" s="172" t="e">
        <f>IF(AQ200="x",(AR200*-tblZwaste1422[[#This Row],[Weight (kgCO2e/kg)]])+AS200+($AR$10*Lookups!$J$38/1000),"DELETE")</f>
        <v>#N/A</v>
      </c>
      <c r="AA200" s="172">
        <f t="shared" si="69"/>
        <v>-4.5599139993352242</v>
      </c>
      <c r="AB200" s="172" t="str">
        <f t="shared" si="69"/>
        <v>DELETE</v>
      </c>
      <c r="AC200" s="172" t="str">
        <f t="shared" si="69"/>
        <v>DELETE</v>
      </c>
      <c r="AD200" s="172">
        <f t="shared" si="69"/>
        <v>2.6029596634248302E-2</v>
      </c>
      <c r="AE200" s="172">
        <f t="shared" si="69"/>
        <v>0.44881817096995547</v>
      </c>
      <c r="AF200" s="172">
        <f t="shared" si="69"/>
        <v>2.49560853790079</v>
      </c>
      <c r="AG200" s="150"/>
      <c r="AI200" s="137">
        <v>1</v>
      </c>
      <c r="AJ200" s="136" t="s">
        <v>252</v>
      </c>
      <c r="AK200" s="142" t="s">
        <v>532</v>
      </c>
      <c r="AL200" s="136" t="s">
        <v>548</v>
      </c>
      <c r="AM200" s="136" t="s">
        <v>203</v>
      </c>
      <c r="AN200" s="1">
        <v>1.9492499999999999</v>
      </c>
      <c r="AO200" s="166">
        <v>1.77911</v>
      </c>
      <c r="AQ200" t="e">
        <f>_xlfn.XLOOKUP(tblGWP21[[#This Row],[Material Subcategory]],ls_Mat,Factors!$K$952:$K$1023)</f>
        <v>#N/A</v>
      </c>
      <c r="BA200" cm="1">
        <f t="array" ref="BA200:BM200">tblGWP21[#This Row]</f>
        <v>1</v>
      </c>
      <c r="BB200" t="str">
        <v>Plastics</v>
      </c>
      <c r="BC200" t="str">
        <v>LLDPE</v>
      </c>
      <c r="BD200" t="str">
        <v>Europe</v>
      </c>
      <c r="BE200" t="str">
        <v>n/a</v>
      </c>
      <c r="BF200">
        <v>-1.9492499999999999</v>
      </c>
      <c r="BG200" t="e">
        <v>#N/A</v>
      </c>
      <c r="BH200">
        <v>-4.5599139993352242</v>
      </c>
      <c r="BI200" t="str">
        <v>DELETE</v>
      </c>
      <c r="BJ200" t="str">
        <v>DELETE</v>
      </c>
      <c r="BK200">
        <v>2.6029596634248302E-2</v>
      </c>
      <c r="BL200">
        <v>0.44881817096995547</v>
      </c>
      <c r="BM200">
        <v>2.49560853790079</v>
      </c>
    </row>
    <row r="201" spans="3:65">
      <c r="C201" s="362">
        <v>1</v>
      </c>
      <c r="D201" s="363" t="s">
        <v>252</v>
      </c>
      <c r="E201" s="362" t="s">
        <v>328</v>
      </c>
      <c r="F201" s="362" t="s">
        <v>548</v>
      </c>
      <c r="G201" s="362" t="s">
        <v>203</v>
      </c>
      <c r="H201" s="368">
        <v>-2.3231199999999999</v>
      </c>
      <c r="I201" s="368">
        <v>0</v>
      </c>
      <c r="J201" s="368">
        <v>-4.5599139993352242</v>
      </c>
      <c r="K201" s="368">
        <v>0</v>
      </c>
      <c r="L201" s="368">
        <v>0</v>
      </c>
      <c r="M201" s="368">
        <v>2.6029596634248302E-2</v>
      </c>
      <c r="N201" s="368">
        <v>0.44881817096995547</v>
      </c>
      <c r="O201" s="368">
        <v>2.49560853790079</v>
      </c>
      <c r="T201" s="48">
        <v>1</v>
      </c>
      <c r="U201" s="46" t="s">
        <v>252</v>
      </c>
      <c r="V201" s="53" t="s">
        <v>245</v>
      </c>
      <c r="W201" s="53" t="s">
        <v>548</v>
      </c>
      <c r="X201" s="53" t="s">
        <v>203</v>
      </c>
      <c r="Y201" s="172">
        <f>IFERROR(-tblZwaste1422[[#This Row],[Weight (kgCO2e/kg)]],0)</f>
        <v>-2.0269300000000001</v>
      </c>
      <c r="Z201" s="172" t="e">
        <f>IF(AQ201="x",(AR201*-tblZwaste1422[[#This Row],[Weight (kgCO2e/kg)]])+AS201+($AR$10*Lookups!$J$38/1000),"DELETE")</f>
        <v>#N/A</v>
      </c>
      <c r="AA201" s="172" t="str">
        <f t="shared" si="69"/>
        <v>DELETE</v>
      </c>
      <c r="AB201" s="172" t="str">
        <f t="shared" si="69"/>
        <v>DELETE</v>
      </c>
      <c r="AC201" s="172" t="str">
        <f t="shared" si="69"/>
        <v>DELETE</v>
      </c>
      <c r="AD201" s="172">
        <f t="shared" si="69"/>
        <v>2.6029596751589598E-2</v>
      </c>
      <c r="AE201" s="172">
        <f t="shared" si="69"/>
        <v>0.32623207954830602</v>
      </c>
      <c r="AF201" s="172">
        <f t="shared" si="69"/>
        <v>3.183367121908105</v>
      </c>
      <c r="AG201" s="150"/>
      <c r="AI201" s="137">
        <v>1</v>
      </c>
      <c r="AJ201" s="136" t="s">
        <v>252</v>
      </c>
      <c r="AK201" s="142" t="s">
        <v>245</v>
      </c>
      <c r="AL201" s="136" t="s">
        <v>548</v>
      </c>
      <c r="AM201" s="136" t="s">
        <v>203</v>
      </c>
      <c r="AN201" s="1">
        <v>2.0269300000000001</v>
      </c>
      <c r="AO201" s="166">
        <v>1.77911</v>
      </c>
      <c r="AQ201" t="e">
        <f>_xlfn.XLOOKUP(tblGWP21[[#This Row],[Material Subcategory]],ls_Mat,Factors!$K$952:$K$1023)</f>
        <v>#N/A</v>
      </c>
      <c r="AR201" s="173">
        <v>0.77500000000000002</v>
      </c>
      <c r="AS201">
        <v>8.1306407300000008E-2</v>
      </c>
      <c r="AT201" t="s">
        <v>531</v>
      </c>
      <c r="BA201" cm="1">
        <f t="array" ref="BA201:BM201">tblGWP21[#This Row]</f>
        <v>1</v>
      </c>
      <c r="BB201" t="str">
        <v>Plastics</v>
      </c>
      <c r="BC201" t="str">
        <v>PP</v>
      </c>
      <c r="BD201" t="str">
        <v>Europe</v>
      </c>
      <c r="BE201" t="str">
        <v>n/a</v>
      </c>
      <c r="BF201">
        <v>-2.0269300000000001</v>
      </c>
      <c r="BG201" t="e">
        <v>#N/A</v>
      </c>
      <c r="BH201" t="str">
        <v>DELETE</v>
      </c>
      <c r="BI201" t="str">
        <v>DELETE</v>
      </c>
      <c r="BJ201" t="str">
        <v>DELETE</v>
      </c>
      <c r="BK201">
        <v>2.6029596751589598E-2</v>
      </c>
      <c r="BL201">
        <v>0.32623207954830602</v>
      </c>
      <c r="BM201">
        <v>3.183367121908105</v>
      </c>
    </row>
    <row r="202" spans="3:65">
      <c r="C202" s="136">
        <v>1</v>
      </c>
      <c r="D202" s="137" t="s">
        <v>252</v>
      </c>
      <c r="E202" s="136" t="s">
        <v>254</v>
      </c>
      <c r="F202" s="136" t="s">
        <v>548</v>
      </c>
      <c r="G202" s="136" t="s">
        <v>203</v>
      </c>
      <c r="H202" s="191">
        <v>-2.1485799999999999</v>
      </c>
      <c r="I202" s="191">
        <v>0</v>
      </c>
      <c r="J202" s="191">
        <v>-4.6372056600351463</v>
      </c>
      <c r="K202" s="191">
        <v>0</v>
      </c>
      <c r="L202" s="191">
        <v>0</v>
      </c>
      <c r="M202" s="191">
        <v>2.6029595842242251E-2</v>
      </c>
      <c r="N202" s="191">
        <v>0.61604196009701906</v>
      </c>
      <c r="O202" s="191">
        <v>2.5363327632831649</v>
      </c>
      <c r="T202" s="48">
        <v>1</v>
      </c>
      <c r="U202" s="46" t="s">
        <v>252</v>
      </c>
      <c r="V202" s="53" t="s">
        <v>533</v>
      </c>
      <c r="W202" s="53" t="s">
        <v>548</v>
      </c>
      <c r="X202" s="53" t="s">
        <v>203</v>
      </c>
      <c r="Y202" s="172">
        <f>IFERROR(-tblZwaste1422[[#This Row],[Weight (kgCO2e/kg)]],0)</f>
        <v>-2.0748000000000002</v>
      </c>
      <c r="Z202" s="172" t="e">
        <f>IF(AQ202="x",(AR202*-tblZwaste1422[[#This Row],[Weight (kgCO2e/kg)]])+AS202+($AR$10*Lookups!$J$38/1000),"DELETE")</f>
        <v>#N/A</v>
      </c>
      <c r="AA202" s="172" t="str">
        <f t="shared" si="69"/>
        <v>DELETE</v>
      </c>
      <c r="AB202" s="172" t="str">
        <f t="shared" si="69"/>
        <v>DELETE</v>
      </c>
      <c r="AC202" s="172" t="str">
        <f t="shared" si="69"/>
        <v>DELETE</v>
      </c>
      <c r="AD202" s="172">
        <f t="shared" si="69"/>
        <v>2.6029591611187401E-2</v>
      </c>
      <c r="AE202" s="172">
        <f t="shared" si="69"/>
        <v>0.53952750959870199</v>
      </c>
      <c r="AF202" s="172">
        <f t="shared" si="69"/>
        <v>3.0368309109799752</v>
      </c>
      <c r="AG202" s="150"/>
      <c r="AI202" s="137">
        <v>1</v>
      </c>
      <c r="AJ202" s="136" t="s">
        <v>252</v>
      </c>
      <c r="AK202" s="142" t="s">
        <v>533</v>
      </c>
      <c r="AL202" s="136" t="s">
        <v>548</v>
      </c>
      <c r="AM202" s="136" t="s">
        <v>203</v>
      </c>
      <c r="AN202" s="1">
        <v>2.0748000000000002</v>
      </c>
      <c r="AO202" s="166">
        <v>1.77911</v>
      </c>
      <c r="AQ202" t="e">
        <f>_xlfn.XLOOKUP(tblGWP21[[#This Row],[Material Subcategory]],ls_Mat,Factors!$K$952:$K$1023)</f>
        <v>#N/A</v>
      </c>
      <c r="AR202" s="173">
        <v>0.77500000000000002</v>
      </c>
      <c r="AS202">
        <v>8.1306407300000008E-2</v>
      </c>
      <c r="AT202" t="s">
        <v>531</v>
      </c>
      <c r="BA202" cm="1">
        <f t="array" ref="BA202:BM202">tblGWP21[#This Row]</f>
        <v>1</v>
      </c>
      <c r="BB202" t="str">
        <v>Plastics</v>
      </c>
      <c r="BC202" t="str">
        <v>PVC</v>
      </c>
      <c r="BD202" t="str">
        <v>Europe</v>
      </c>
      <c r="BE202" t="str">
        <v>n/a</v>
      </c>
      <c r="BF202">
        <v>-2.0748000000000002</v>
      </c>
      <c r="BG202" t="e">
        <v>#N/A</v>
      </c>
      <c r="BH202" t="str">
        <v>DELETE</v>
      </c>
      <c r="BI202" t="str">
        <v>DELETE</v>
      </c>
      <c r="BJ202" t="str">
        <v>DELETE</v>
      </c>
      <c r="BK202">
        <v>2.6029591611187401E-2</v>
      </c>
      <c r="BL202">
        <v>0.53952750959870199</v>
      </c>
      <c r="BM202">
        <v>3.0368309109799752</v>
      </c>
    </row>
    <row r="203" spans="3:65">
      <c r="C203" s="362">
        <v>1</v>
      </c>
      <c r="D203" s="363" t="s">
        <v>252</v>
      </c>
      <c r="E203" s="362" t="s">
        <v>532</v>
      </c>
      <c r="F203" s="362" t="s">
        <v>548</v>
      </c>
      <c r="G203" s="362" t="s">
        <v>203</v>
      </c>
      <c r="H203" s="368">
        <v>-1.9492499999999999</v>
      </c>
      <c r="I203" s="368">
        <v>0</v>
      </c>
      <c r="J203" s="368">
        <v>-4.5599139993352242</v>
      </c>
      <c r="K203" s="368">
        <v>0</v>
      </c>
      <c r="L203" s="368">
        <v>0</v>
      </c>
      <c r="M203" s="368">
        <v>2.6029596634248302E-2</v>
      </c>
      <c r="N203" s="368">
        <v>0.44881817096995547</v>
      </c>
      <c r="O203" s="368">
        <v>2.49560853790079</v>
      </c>
      <c r="T203" s="48">
        <v>1</v>
      </c>
      <c r="U203" s="46" t="s">
        <v>242</v>
      </c>
      <c r="V203" s="53" t="s">
        <v>242</v>
      </c>
      <c r="W203" s="53" t="s">
        <v>548</v>
      </c>
      <c r="X203" s="53" t="s">
        <v>203</v>
      </c>
      <c r="Y203" s="172">
        <f>IFERROR(-tblZwaste1422[[#This Row],[Weight (kgCO2e/kg)]],0)</f>
        <v>-38.486130000000003</v>
      </c>
      <c r="Z203" s="172" t="e">
        <f>IF(AQ203="x",(AR203*-tblZwaste1422[[#This Row],[Weight (kgCO2e/kg)]])+AS203+($AR$10*Lookups!$J$38/1000),"DELETE")</f>
        <v>#N/A</v>
      </c>
      <c r="AA203" s="172">
        <f>AVERAGE(AA204,AA205,AA237,AA238)</f>
        <v>-3.2868550000000001</v>
      </c>
      <c r="AB203" s="172" t="str">
        <f t="shared" si="69"/>
        <v>DELETE</v>
      </c>
      <c r="AC203" s="172" t="str">
        <f t="shared" si="69"/>
        <v>DELETE</v>
      </c>
      <c r="AD203" s="172">
        <f t="shared" si="69"/>
        <v>2.5860000000000001E-2</v>
      </c>
      <c r="AE203" s="172">
        <f t="shared" si="69"/>
        <v>4.149464191173885E-2</v>
      </c>
      <c r="AF203" s="172">
        <f t="shared" si="69"/>
        <v>4.8921198460972599E-2</v>
      </c>
      <c r="AG203" s="150"/>
      <c r="AI203" s="137">
        <v>1</v>
      </c>
      <c r="AJ203" s="136" t="s">
        <v>242</v>
      </c>
      <c r="AK203" s="142" t="s">
        <v>242</v>
      </c>
      <c r="AL203" s="136" t="s">
        <v>548</v>
      </c>
      <c r="AM203" s="136" t="s">
        <v>203</v>
      </c>
      <c r="AN203" s="1">
        <v>38.486130000000003</v>
      </c>
      <c r="AO203" s="166">
        <v>0.20843</v>
      </c>
      <c r="AQ203" t="e">
        <f>_xlfn.XLOOKUP(tblGWP21[[#This Row],[Material Subcategory]],ls_Mat,Factors!$K$952:$K$1023)</f>
        <v>#N/A</v>
      </c>
      <c r="AR203" s="173">
        <v>0.72499999999999998</v>
      </c>
      <c r="AS203">
        <v>0</v>
      </c>
      <c r="AT203" t="s">
        <v>527</v>
      </c>
      <c r="AU203" t="s">
        <v>526</v>
      </c>
      <c r="AV203" s="347">
        <v>0.5</v>
      </c>
      <c r="BA203" cm="1">
        <f t="array" ref="BA203:BM203">tblGWP21[#This Row]</f>
        <v>1</v>
      </c>
      <c r="BB203" t="str">
        <v>Electronics</v>
      </c>
      <c r="BC203" t="str">
        <v>Electronics</v>
      </c>
      <c r="BD203" t="str">
        <v>Europe</v>
      </c>
      <c r="BE203" t="str">
        <v>n/a</v>
      </c>
      <c r="BF203">
        <v>-38.486130000000003</v>
      </c>
      <c r="BG203" t="e">
        <v>#N/A</v>
      </c>
      <c r="BH203">
        <v>-3.2868550000000001</v>
      </c>
      <c r="BI203" t="str">
        <v>DELETE</v>
      </c>
      <c r="BJ203" t="str">
        <v>DELETE</v>
      </c>
      <c r="BK203">
        <v>2.5860000000000001E-2</v>
      </c>
      <c r="BL203">
        <v>4.149464191173885E-2</v>
      </c>
      <c r="BM203">
        <v>4.8921198460972599E-2</v>
      </c>
    </row>
    <row r="204" spans="3:65">
      <c r="C204" s="136">
        <v>1</v>
      </c>
      <c r="D204" s="137" t="s">
        <v>252</v>
      </c>
      <c r="E204" s="136" t="s">
        <v>245</v>
      </c>
      <c r="F204" s="136" t="s">
        <v>548</v>
      </c>
      <c r="G204" s="136" t="s">
        <v>203</v>
      </c>
      <c r="H204" s="191">
        <v>-2.0269300000000001</v>
      </c>
      <c r="I204" s="191">
        <v>0</v>
      </c>
      <c r="J204" s="191">
        <v>0</v>
      </c>
      <c r="K204" s="191">
        <v>0</v>
      </c>
      <c r="L204" s="191">
        <v>0</v>
      </c>
      <c r="M204" s="191">
        <v>2.6029596751589598E-2</v>
      </c>
      <c r="N204" s="191">
        <v>0.32623207954830602</v>
      </c>
      <c r="O204" s="191">
        <v>3.183367121908105</v>
      </c>
      <c r="T204" s="48">
        <v>1</v>
      </c>
      <c r="U204" s="46" t="s">
        <v>242</v>
      </c>
      <c r="V204" s="53" t="s">
        <v>274</v>
      </c>
      <c r="W204" s="53" t="s">
        <v>548</v>
      </c>
      <c r="X204" s="53" t="s">
        <v>203</v>
      </c>
      <c r="Y204" s="172">
        <f>IFERROR(-tblZwaste1422[[#This Row],[Weight (kgCO2e/kg)]],0)</f>
        <v>-38.486130000000003</v>
      </c>
      <c r="Z204" s="172">
        <f>IF(AQ204="x",(AR204*-tblZwaste1422[[#This Row],[Weight (kgCO2e/kg)]])+AS204+($AR$10*Lookups!$J$38/1000),"DELETE")</f>
        <v>-27.900672450000002</v>
      </c>
      <c r="AA204" s="172">
        <v>-8.5278425000000002</v>
      </c>
      <c r="AB204" s="172" t="str">
        <f t="shared" si="69"/>
        <v>DELETE</v>
      </c>
      <c r="AC204" s="172" t="str">
        <f t="shared" si="69"/>
        <v>DELETE</v>
      </c>
      <c r="AD204" s="172">
        <f t="shared" si="69"/>
        <v>2.5860000000000001E-2</v>
      </c>
      <c r="AE204" s="172">
        <f t="shared" si="69"/>
        <v>4.149464191173885E-2</v>
      </c>
      <c r="AF204" s="172">
        <f t="shared" si="69"/>
        <v>4.8921198460972599E-2</v>
      </c>
      <c r="AG204" s="150"/>
      <c r="AI204" s="137">
        <v>1</v>
      </c>
      <c r="AJ204" s="136" t="s">
        <v>242</v>
      </c>
      <c r="AK204" s="142" t="s">
        <v>242</v>
      </c>
      <c r="AL204" s="136" t="s">
        <v>548</v>
      </c>
      <c r="AM204" s="136" t="s">
        <v>203</v>
      </c>
      <c r="AN204" s="1">
        <v>38.486130000000003</v>
      </c>
      <c r="AO204" s="166">
        <v>0.20843</v>
      </c>
      <c r="AQ204" t="str">
        <f>_xlfn.XLOOKUP(tblGWP21[[#This Row],[Material Subcategory]],ls_Mat,Factors!$K$952:$K$1023)</f>
        <v>x</v>
      </c>
      <c r="AR204" s="173">
        <v>0.72499999999999998</v>
      </c>
      <c r="AS204">
        <v>0</v>
      </c>
      <c r="AT204" t="s">
        <v>527</v>
      </c>
      <c r="BA204" cm="1">
        <f t="array" ref="BA204:BM204">tblGWP21[#This Row]</f>
        <v>1</v>
      </c>
      <c r="BB204" t="str">
        <v>Electronics</v>
      </c>
      <c r="BC204" t="str">
        <v>E-waste</v>
      </c>
      <c r="BD204" t="str">
        <v>Europe</v>
      </c>
      <c r="BE204" t="str">
        <v>n/a</v>
      </c>
      <c r="BF204">
        <v>-38.486130000000003</v>
      </c>
      <c r="BG204">
        <v>-27.900672450000002</v>
      </c>
      <c r="BH204">
        <v>-8.5278425000000002</v>
      </c>
      <c r="BI204" t="str">
        <v>DELETE</v>
      </c>
      <c r="BJ204" t="str">
        <v>DELETE</v>
      </c>
      <c r="BK204">
        <v>2.5860000000000001E-2</v>
      </c>
      <c r="BL204">
        <v>4.149464191173885E-2</v>
      </c>
      <c r="BM204">
        <v>4.8921198460972599E-2</v>
      </c>
    </row>
    <row r="205" spans="3:65">
      <c r="C205" s="362">
        <v>1</v>
      </c>
      <c r="D205" s="363" t="s">
        <v>252</v>
      </c>
      <c r="E205" s="362" t="s">
        <v>533</v>
      </c>
      <c r="F205" s="362" t="s">
        <v>548</v>
      </c>
      <c r="G205" s="362" t="s">
        <v>203</v>
      </c>
      <c r="H205" s="368">
        <v>-2.0748000000000002</v>
      </c>
      <c r="I205" s="368">
        <v>0</v>
      </c>
      <c r="J205" s="368">
        <v>0</v>
      </c>
      <c r="K205" s="368">
        <v>0</v>
      </c>
      <c r="L205" s="368">
        <v>0</v>
      </c>
      <c r="M205" s="368">
        <v>2.6029591611187401E-2</v>
      </c>
      <c r="N205" s="368">
        <v>0.53952750959870199</v>
      </c>
      <c r="O205" s="368">
        <v>3.0368309109799752</v>
      </c>
      <c r="T205" s="48">
        <v>1</v>
      </c>
      <c r="U205" s="46" t="s">
        <v>242</v>
      </c>
      <c r="V205" s="53" t="s">
        <v>534</v>
      </c>
      <c r="W205" s="53" t="s">
        <v>548</v>
      </c>
      <c r="X205" s="53" t="s">
        <v>203</v>
      </c>
      <c r="Y205" s="172">
        <f>IFERROR(-tblZwaste1422[[#This Row],[Weight (kgCO2e/kg)]],0)</f>
        <v>-15.0122</v>
      </c>
      <c r="Z205" s="172">
        <f>IF(AQ205="x",(AR205*-tblZwaste1422[[#This Row],[Weight (kgCO2e/kg)]])+AS205+($AR$10*Lookups!$J$38/1000),"DELETE")</f>
        <v>-10.882073199999999</v>
      </c>
      <c r="AA205" s="172">
        <v>-3.19428</v>
      </c>
      <c r="AB205" s="172" t="str">
        <f t="shared" ref="AA205:AF214" si="70">IF(ISNUMBER(AVERAGE(AB541,AB597)),AVERAGE(AB541,AB597),AB541)</f>
        <v>DELETE</v>
      </c>
      <c r="AC205" s="172" t="str">
        <f t="shared" si="70"/>
        <v>DELETE</v>
      </c>
      <c r="AD205" s="172">
        <f t="shared" si="70"/>
        <v>2.5860000000000001E-2</v>
      </c>
      <c r="AE205" s="172">
        <f t="shared" si="70"/>
        <v>4.149464191173885E-2</v>
      </c>
      <c r="AF205" s="172">
        <f t="shared" si="70"/>
        <v>4.8921198460972599E-2</v>
      </c>
      <c r="AG205" s="150"/>
      <c r="AI205" s="137">
        <v>1</v>
      </c>
      <c r="AJ205" s="136" t="s">
        <v>242</v>
      </c>
      <c r="AK205" s="142" t="s">
        <v>534</v>
      </c>
      <c r="AL205" s="136" t="s">
        <v>548</v>
      </c>
      <c r="AM205" s="136" t="s">
        <v>203</v>
      </c>
      <c r="AN205" s="1">
        <v>15.0122</v>
      </c>
      <c r="AO205" s="166">
        <v>0.37092000000000003</v>
      </c>
      <c r="AQ205" t="str">
        <f>_xlfn.XLOOKUP(tblGWP21[[#This Row],[Material Subcategory]],ls_Mat,Factors!$K$952:$K$1023)</f>
        <v>x</v>
      </c>
      <c r="AR205" s="173">
        <v>0.72499999999999998</v>
      </c>
      <c r="AS205">
        <v>0</v>
      </c>
      <c r="AT205" t="s">
        <v>527</v>
      </c>
      <c r="BA205" cm="1">
        <f t="array" ref="BA205:BM205">tblGWP21[#This Row]</f>
        <v>1</v>
      </c>
      <c r="BB205" t="str">
        <v>Electronics</v>
      </c>
      <c r="BC205" t="str">
        <v>Batteries</v>
      </c>
      <c r="BD205" t="str">
        <v>Europe</v>
      </c>
      <c r="BE205" t="str">
        <v>n/a</v>
      </c>
      <c r="BF205">
        <v>-15.0122</v>
      </c>
      <c r="BG205">
        <v>-10.882073199999999</v>
      </c>
      <c r="BH205">
        <v>-3.19428</v>
      </c>
      <c r="BI205" t="str">
        <v>DELETE</v>
      </c>
      <c r="BJ205" t="str">
        <v>DELETE</v>
      </c>
      <c r="BK205">
        <v>2.5860000000000001E-2</v>
      </c>
      <c r="BL205">
        <v>4.149464191173885E-2</v>
      </c>
      <c r="BM205">
        <v>4.8921198460972599E-2</v>
      </c>
    </row>
    <row r="206" spans="3:65">
      <c r="C206" s="136">
        <v>1</v>
      </c>
      <c r="D206" s="137" t="s">
        <v>242</v>
      </c>
      <c r="E206" s="136" t="s">
        <v>242</v>
      </c>
      <c r="F206" s="136" t="s">
        <v>548</v>
      </c>
      <c r="G206" s="136" t="s">
        <v>203</v>
      </c>
      <c r="H206" s="191">
        <v>-38.486130000000003</v>
      </c>
      <c r="I206" s="191">
        <v>-27.900672450000002</v>
      </c>
      <c r="J206" s="191">
        <v>-3.2868550000000001</v>
      </c>
      <c r="K206" s="191">
        <v>0</v>
      </c>
      <c r="L206" s="191">
        <v>0</v>
      </c>
      <c r="M206" s="191">
        <v>2.5860000000000001E-2</v>
      </c>
      <c r="N206" s="191">
        <v>4.149464191173885E-2</v>
      </c>
      <c r="O206" s="191">
        <v>4.8921198460972599E-2</v>
      </c>
      <c r="T206" s="48">
        <v>1</v>
      </c>
      <c r="U206" s="46" t="s">
        <v>239</v>
      </c>
      <c r="V206" s="53" t="s">
        <v>239</v>
      </c>
      <c r="W206" s="53" t="s">
        <v>548</v>
      </c>
      <c r="X206" s="53" t="s">
        <v>203</v>
      </c>
      <c r="Y206" s="172">
        <f>IFERROR(-tblZwaste1422[[#This Row],[Weight (kgCO2e/kg)]],0)</f>
        <v>-2.6644477777777777</v>
      </c>
      <c r="Z206" s="172" t="e">
        <f>IF(AQ206="x",(AR206*-tblZwaste1422[[#This Row],[Weight (kgCO2e/kg)]])+AS206+($AR$10*Lookups!$J$38/1000),"DELETE")</f>
        <v>#N/A</v>
      </c>
      <c r="AA206" s="172">
        <f t="shared" si="70"/>
        <v>-0.85833004785491607</v>
      </c>
      <c r="AB206" s="172">
        <f t="shared" si="70"/>
        <v>-1.6414671197248598</v>
      </c>
      <c r="AC206" s="172">
        <f t="shared" si="70"/>
        <v>-2.3925339273081798</v>
      </c>
      <c r="AD206" s="172">
        <f t="shared" si="70"/>
        <v>-0.65837821830812748</v>
      </c>
      <c r="AE206" s="172">
        <f t="shared" si="70"/>
        <v>-0.87839925196487956</v>
      </c>
      <c r="AF206" s="172">
        <f t="shared" si="70"/>
        <v>2.747212960518635E-2</v>
      </c>
      <c r="AG206" s="150"/>
      <c r="AI206" s="137">
        <v>1</v>
      </c>
      <c r="AJ206" s="136" t="s">
        <v>239</v>
      </c>
      <c r="AK206" s="142" t="s">
        <v>239</v>
      </c>
      <c r="AL206" s="136" t="s">
        <v>548</v>
      </c>
      <c r="AM206" s="136" t="s">
        <v>203</v>
      </c>
      <c r="AN206" s="1">
        <v>2.6644477777777777</v>
      </c>
      <c r="AO206" s="166">
        <v>0.64099666666666666</v>
      </c>
      <c r="AQ206" t="e">
        <f>_xlfn.XLOOKUP(tblGWP21[[#This Row],[Material Subcategory]],ls_Mat,Factors!$K$952:$K$1023)</f>
        <v>#N/A</v>
      </c>
      <c r="AR206" s="173">
        <v>0.64600000000000002</v>
      </c>
      <c r="AS206">
        <v>0</v>
      </c>
      <c r="AT206" t="s">
        <v>527</v>
      </c>
      <c r="BA206" cm="1">
        <f t="array" ref="BA206:BM206">tblGWP21[#This Row]</f>
        <v>1</v>
      </c>
      <c r="BB206" t="str">
        <v>Paper</v>
      </c>
      <c r="BC206" t="str">
        <v>Paper</v>
      </c>
      <c r="BD206" t="str">
        <v>Europe</v>
      </c>
      <c r="BE206" t="str">
        <v>n/a</v>
      </c>
      <c r="BF206">
        <v>-2.6644477777777777</v>
      </c>
      <c r="BG206" t="e">
        <v>#N/A</v>
      </c>
      <c r="BH206">
        <v>-0.85833004785491607</v>
      </c>
      <c r="BI206">
        <v>-1.6414671197248598</v>
      </c>
      <c r="BJ206">
        <v>-2.3925339273081798</v>
      </c>
      <c r="BK206">
        <v>-0.65837821830812748</v>
      </c>
      <c r="BL206">
        <v>-0.87839925196487956</v>
      </c>
      <c r="BM206">
        <v>2.747212960518635E-2</v>
      </c>
    </row>
    <row r="207" spans="3:65">
      <c r="C207" s="362">
        <v>1</v>
      </c>
      <c r="D207" s="363" t="s">
        <v>242</v>
      </c>
      <c r="E207" s="362" t="s">
        <v>274</v>
      </c>
      <c r="F207" s="362" t="s">
        <v>548</v>
      </c>
      <c r="G207" s="362" t="s">
        <v>203</v>
      </c>
      <c r="H207" s="368">
        <v>-38.486130000000003</v>
      </c>
      <c r="I207" s="368">
        <v>-27.900672450000002</v>
      </c>
      <c r="J207" s="368">
        <v>-8.5278425000000002</v>
      </c>
      <c r="K207" s="368">
        <v>0</v>
      </c>
      <c r="L207" s="368">
        <v>0</v>
      </c>
      <c r="M207" s="368">
        <v>2.5860000000000001E-2</v>
      </c>
      <c r="N207" s="368">
        <v>4.149464191173885E-2</v>
      </c>
      <c r="O207" s="368">
        <v>4.8921198460972599E-2</v>
      </c>
      <c r="T207" s="48">
        <v>1</v>
      </c>
      <c r="U207" s="46" t="s">
        <v>239</v>
      </c>
      <c r="V207" s="53" t="s">
        <v>324</v>
      </c>
      <c r="W207" s="53" t="s">
        <v>548</v>
      </c>
      <c r="X207" s="53" t="s">
        <v>203</v>
      </c>
      <c r="Y207" s="172">
        <f>IFERROR(-tblZwaste1422[[#This Row],[Weight (kgCO2e/kg)]],0)</f>
        <v>-1.66</v>
      </c>
      <c r="Z207" s="172" t="str">
        <f>IF(AQ207="x",(AR207*-tblZwaste1422[[#This Row],[Weight (kgCO2e/kg)]])+AS207+($AR$10*Lookups!$J$38/1000),"DELETE")</f>
        <v>DELETE</v>
      </c>
      <c r="AA207" s="172">
        <f t="shared" si="70"/>
        <v>0.18949360935366541</v>
      </c>
      <c r="AB207" s="172">
        <f t="shared" si="70"/>
        <v>-1.652022815953095</v>
      </c>
      <c r="AC207" s="172">
        <f t="shared" si="70"/>
        <v>-2.24332977082106</v>
      </c>
      <c r="AD207" s="172">
        <f t="shared" si="70"/>
        <v>-1.1351931530606949</v>
      </c>
      <c r="AE207" s="172">
        <f t="shared" si="70"/>
        <v>-0.95498670625346649</v>
      </c>
      <c r="AF207" s="172">
        <f t="shared" si="70"/>
        <v>2.6682714417182649E-2</v>
      </c>
      <c r="AG207" s="150"/>
      <c r="AI207" s="137">
        <v>1</v>
      </c>
      <c r="AJ207" s="136" t="s">
        <v>239</v>
      </c>
      <c r="AK207" s="142" t="s">
        <v>324</v>
      </c>
      <c r="AL207" s="136" t="s">
        <v>548</v>
      </c>
      <c r="AM207" s="136" t="s">
        <v>203</v>
      </c>
      <c r="AN207" s="1">
        <v>1.66</v>
      </c>
      <c r="AO207" s="166">
        <v>0.13142999999999999</v>
      </c>
      <c r="AQ207">
        <f>_xlfn.XLOOKUP(tblGWP21[[#This Row],[Material Subcategory]],ls_Mat,Factors!$K$952:$K$1023)</f>
        <v>0</v>
      </c>
      <c r="AR207" s="173">
        <v>0.64600000000000002</v>
      </c>
      <c r="AS207">
        <v>0</v>
      </c>
      <c r="AT207" t="s">
        <v>527</v>
      </c>
      <c r="BA207" cm="1">
        <f t="array" ref="BA207:BM207">tblGWP21[#This Row]</f>
        <v>1</v>
      </c>
      <c r="BB207" t="str">
        <v>Paper</v>
      </c>
      <c r="BC207" t="str">
        <v>Newsprint</v>
      </c>
      <c r="BD207" t="str">
        <v>Europe</v>
      </c>
      <c r="BE207" t="str">
        <v>n/a</v>
      </c>
      <c r="BF207">
        <v>-1.66</v>
      </c>
      <c r="BG207" t="str">
        <v>DELETE</v>
      </c>
      <c r="BH207">
        <v>0.18949360935366541</v>
      </c>
      <c r="BI207">
        <v>-1.652022815953095</v>
      </c>
      <c r="BJ207">
        <v>-2.24332977082106</v>
      </c>
      <c r="BK207">
        <v>-1.1351931530606949</v>
      </c>
      <c r="BL207">
        <v>-0.95498670625346649</v>
      </c>
      <c r="BM207">
        <v>2.6682714417182649E-2</v>
      </c>
    </row>
    <row r="208" spans="3:65">
      <c r="C208" s="136">
        <v>1</v>
      </c>
      <c r="D208" s="137" t="s">
        <v>242</v>
      </c>
      <c r="E208" s="136" t="s">
        <v>534</v>
      </c>
      <c r="F208" s="136" t="s">
        <v>548</v>
      </c>
      <c r="G208" s="136" t="s">
        <v>203</v>
      </c>
      <c r="H208" s="191">
        <v>-15.0122</v>
      </c>
      <c r="I208" s="191">
        <v>-10.882073199999999</v>
      </c>
      <c r="J208" s="191">
        <v>-3.19428</v>
      </c>
      <c r="K208" s="191">
        <v>0</v>
      </c>
      <c r="L208" s="191">
        <v>0</v>
      </c>
      <c r="M208" s="191">
        <v>2.5860000000000001E-2</v>
      </c>
      <c r="N208" s="191">
        <v>4.149464191173885E-2</v>
      </c>
      <c r="O208" s="191">
        <v>4.8921198460972599E-2</v>
      </c>
      <c r="T208" s="48">
        <v>1</v>
      </c>
      <c r="U208" s="46" t="s">
        <v>239</v>
      </c>
      <c r="V208" s="53" t="s">
        <v>272</v>
      </c>
      <c r="W208" s="53" t="s">
        <v>548</v>
      </c>
      <c r="X208" s="53" t="s">
        <v>203</v>
      </c>
      <c r="Y208" s="172">
        <f>IFERROR(-tblZwaste1422[[#This Row],[Weight (kgCO2e/kg)]],0)</f>
        <v>-2.1278299999999999</v>
      </c>
      <c r="Z208" s="172">
        <f>IF(AQ208="x",(AR208*-tblZwaste1422[[#This Row],[Weight (kgCO2e/kg)]])+AS208+($AR$10*Lookups!$J$38/1000),"DELETE")</f>
        <v>-1.3728063799999999</v>
      </c>
      <c r="AA208" s="172">
        <f t="shared" si="70"/>
        <v>6.7149033296869348E-4</v>
      </c>
      <c r="AB208" s="172">
        <f t="shared" si="70"/>
        <v>-1.4788706992459</v>
      </c>
      <c r="AC208" s="172">
        <f t="shared" si="70"/>
        <v>-2.2546356859584602</v>
      </c>
      <c r="AD208" s="172">
        <f t="shared" si="70"/>
        <v>2.8719999999999999E-2</v>
      </c>
      <c r="AE208" s="172">
        <f t="shared" si="70"/>
        <v>-0.75102742563179503</v>
      </c>
      <c r="AF208" s="172">
        <f t="shared" si="70"/>
        <v>3.458579173223085E-2</v>
      </c>
      <c r="AG208" s="150"/>
      <c r="AI208" s="137">
        <v>1</v>
      </c>
      <c r="AJ208" s="136" t="s">
        <v>239</v>
      </c>
      <c r="AK208" s="142" t="s">
        <v>272</v>
      </c>
      <c r="AL208" s="136" t="s">
        <v>548</v>
      </c>
      <c r="AM208" s="136" t="s">
        <v>203</v>
      </c>
      <c r="AN208" s="1">
        <v>2.1278299999999999</v>
      </c>
      <c r="AO208" s="166">
        <v>1.2152400000000001</v>
      </c>
      <c r="AQ208" t="str">
        <f>_xlfn.XLOOKUP(tblGWP21[[#This Row],[Material Subcategory]],ls_Mat,Factors!$K$952:$K$1023)</f>
        <v>x</v>
      </c>
      <c r="AR208" s="173">
        <v>0.64600000000000002</v>
      </c>
      <c r="AS208">
        <v>0</v>
      </c>
      <c r="AT208" t="s">
        <v>527</v>
      </c>
      <c r="BA208" cm="1">
        <f t="array" ref="BA208:BM208">tblGWP21[#This Row]</f>
        <v>1</v>
      </c>
      <c r="BB208" t="str">
        <v>Paper</v>
      </c>
      <c r="BC208" t="str">
        <v>Corr. Cardboard</v>
      </c>
      <c r="BD208" t="str">
        <v>Europe</v>
      </c>
      <c r="BE208" t="str">
        <v>n/a</v>
      </c>
      <c r="BF208">
        <v>-2.1278299999999999</v>
      </c>
      <c r="BG208">
        <v>-1.3728063799999999</v>
      </c>
      <c r="BH208">
        <v>6.7149033296869348E-4</v>
      </c>
      <c r="BI208">
        <v>-1.4788706992459</v>
      </c>
      <c r="BJ208">
        <v>-2.2546356859584602</v>
      </c>
      <c r="BK208">
        <v>2.8719999999999999E-2</v>
      </c>
      <c r="BL208">
        <v>-0.75102742563179503</v>
      </c>
      <c r="BM208">
        <v>3.458579173223085E-2</v>
      </c>
    </row>
    <row r="209" spans="3:65">
      <c r="C209" s="362">
        <v>1</v>
      </c>
      <c r="D209" s="363" t="s">
        <v>239</v>
      </c>
      <c r="E209" s="362" t="s">
        <v>239</v>
      </c>
      <c r="F209" s="362" t="s">
        <v>548</v>
      </c>
      <c r="G209" s="362" t="s">
        <v>203</v>
      </c>
      <c r="H209" s="368">
        <v>-2.6644477777777777</v>
      </c>
      <c r="I209" s="368">
        <v>-1.7194614644444446</v>
      </c>
      <c r="J209" s="368">
        <v>-0.85833004785491607</v>
      </c>
      <c r="K209" s="368">
        <v>-1.6414671197248598</v>
      </c>
      <c r="L209" s="368">
        <v>-2.3925339273081798</v>
      </c>
      <c r="M209" s="368">
        <v>-0.65837821830812748</v>
      </c>
      <c r="N209" s="368">
        <v>-0.87839925196487956</v>
      </c>
      <c r="O209" s="368">
        <v>2.747212960518635E-2</v>
      </c>
      <c r="T209" s="48">
        <v>1</v>
      </c>
      <c r="U209" s="46" t="s">
        <v>239</v>
      </c>
      <c r="V209" s="53" t="s">
        <v>329</v>
      </c>
      <c r="W209" s="53" t="s">
        <v>548</v>
      </c>
      <c r="X209" s="53" t="s">
        <v>203</v>
      </c>
      <c r="Y209" s="172">
        <f>IFERROR(-tblZwaste1422[[#This Row],[Weight (kgCO2e/kg)]],0)</f>
        <v>-3.4792200000000002</v>
      </c>
      <c r="Z209" s="172" t="str">
        <f>IF(AQ209="x",(AR209*-tblZwaste1422[[#This Row],[Weight (kgCO2e/kg)]])+AS209+($AR$10*Lookups!$J$38/1000),"DELETE")</f>
        <v>DELETE</v>
      </c>
      <c r="AA209" s="172">
        <f t="shared" si="70"/>
        <v>-3.0322928974139289</v>
      </c>
      <c r="AB209" s="172">
        <f t="shared" si="70"/>
        <v>-1.6014919536148251</v>
      </c>
      <c r="AC209" s="172">
        <f t="shared" si="70"/>
        <v>-2.50669558445095</v>
      </c>
      <c r="AD209" s="172">
        <f t="shared" si="70"/>
        <v>0.43400677480849797</v>
      </c>
      <c r="AE209" s="172">
        <f t="shared" si="70"/>
        <v>-0.75382492684581703</v>
      </c>
      <c r="AF209" s="172">
        <f t="shared" si="70"/>
        <v>3.7249157720338544E-2</v>
      </c>
      <c r="AG209" s="150"/>
      <c r="AI209" s="137">
        <v>1</v>
      </c>
      <c r="AJ209" s="136" t="s">
        <v>239</v>
      </c>
      <c r="AK209" s="142" t="s">
        <v>329</v>
      </c>
      <c r="AL209" s="136" t="s">
        <v>548</v>
      </c>
      <c r="AM209" s="136" t="s">
        <v>203</v>
      </c>
      <c r="AN209" s="1">
        <v>3.4792200000000002</v>
      </c>
      <c r="AO209" s="166">
        <v>1.0383</v>
      </c>
      <c r="AQ209">
        <f>_xlfn.XLOOKUP(tblGWP21[[#This Row],[Material Subcategory]],ls_Mat,Factors!$K$952:$K$1023)</f>
        <v>0</v>
      </c>
      <c r="BA209" cm="1">
        <f t="array" ref="BA209:BM209">tblGWP21[#This Row]</f>
        <v>1</v>
      </c>
      <c r="BB209" t="str">
        <v>Paper</v>
      </c>
      <c r="BC209" t="str">
        <v>Office Paper</v>
      </c>
      <c r="BD209" t="str">
        <v>Europe</v>
      </c>
      <c r="BE209" t="str">
        <v>n/a</v>
      </c>
      <c r="BF209">
        <v>-3.4792200000000002</v>
      </c>
      <c r="BG209" t="str">
        <v>DELETE</v>
      </c>
      <c r="BH209">
        <v>-3.0322928974139289</v>
      </c>
      <c r="BI209">
        <v>-1.6014919536148251</v>
      </c>
      <c r="BJ209">
        <v>-2.50669558445095</v>
      </c>
      <c r="BK209">
        <v>0.43400677480849797</v>
      </c>
      <c r="BL209">
        <v>-0.75382492684581703</v>
      </c>
      <c r="BM209">
        <v>3.7249157720338544E-2</v>
      </c>
    </row>
    <row r="210" spans="3:65">
      <c r="C210" s="136">
        <v>1</v>
      </c>
      <c r="D210" s="137" t="s">
        <v>239</v>
      </c>
      <c r="E210" s="136" t="s">
        <v>324</v>
      </c>
      <c r="F210" s="136" t="s">
        <v>548</v>
      </c>
      <c r="G210" s="136" t="s">
        <v>203</v>
      </c>
      <c r="H210" s="191">
        <v>-1.66</v>
      </c>
      <c r="I210" s="191">
        <v>0</v>
      </c>
      <c r="J210" s="191">
        <v>0.18949360935366541</v>
      </c>
      <c r="K210" s="191">
        <v>-1.652022815953095</v>
      </c>
      <c r="L210" s="191">
        <v>-2.24332977082106</v>
      </c>
      <c r="M210" s="191">
        <v>-1.1351931530606949</v>
      </c>
      <c r="N210" s="191">
        <v>-0.95498670625346649</v>
      </c>
      <c r="O210" s="191">
        <v>2.6682714417182649E-2</v>
      </c>
      <c r="T210" s="48">
        <v>1</v>
      </c>
      <c r="U210" s="46" t="s">
        <v>239</v>
      </c>
      <c r="V210" s="53" t="s">
        <v>271</v>
      </c>
      <c r="W210" s="53" t="s">
        <v>548</v>
      </c>
      <c r="X210" s="53" t="s">
        <v>203</v>
      </c>
      <c r="Y210" s="172">
        <f>IFERROR(-tblZwaste1422[[#This Row],[Weight (kgCO2e/kg)]],0)</f>
        <v>-3.1045600000000002</v>
      </c>
      <c r="Z210" s="172" t="str">
        <f>IF(AQ210="x",(AR210*-tblZwaste1422[[#This Row],[Weight (kgCO2e/kg)]])+AS210+($AR$10*Lookups!$J$38/1000),"DELETE")</f>
        <v>DELETE</v>
      </c>
      <c r="AA210" s="172">
        <f t="shared" si="70"/>
        <v>-0.96562130383678069</v>
      </c>
      <c r="AB210" s="172">
        <f t="shared" si="70"/>
        <v>-1.5168029177773601</v>
      </c>
      <c r="AC210" s="172">
        <f t="shared" si="70"/>
        <v>-2.6021854361733499</v>
      </c>
      <c r="AD210" s="172">
        <f t="shared" si="70"/>
        <v>-0.66754541152750402</v>
      </c>
      <c r="AE210" s="172">
        <f t="shared" si="70"/>
        <v>-0.71819461484389702</v>
      </c>
      <c r="AF210" s="172">
        <f t="shared" si="70"/>
        <v>4.0394810627093151E-2</v>
      </c>
      <c r="AG210" s="150"/>
      <c r="AI210" s="137">
        <v>1</v>
      </c>
      <c r="AJ210" s="136" t="s">
        <v>239</v>
      </c>
      <c r="AK210" s="142" t="s">
        <v>271</v>
      </c>
      <c r="AL210" s="136" t="s">
        <v>548</v>
      </c>
      <c r="AM210" s="136" t="s">
        <v>203</v>
      </c>
      <c r="AN210" s="1">
        <v>3.1045600000000002</v>
      </c>
      <c r="AO210" s="166">
        <v>0.12864</v>
      </c>
      <c r="AQ210">
        <f>_xlfn.XLOOKUP(tblGWP21[[#This Row],[Material Subcategory]],ls_Mat,Factors!$K$952:$K$1023)</f>
        <v>0</v>
      </c>
      <c r="BA210" cm="1">
        <f t="array" ref="BA210:BM210">tblGWP21[#This Row]</f>
        <v>1</v>
      </c>
      <c r="BB210" t="str">
        <v>Paper</v>
      </c>
      <c r="BC210" t="str">
        <v>Magazines</v>
      </c>
      <c r="BD210" t="str">
        <v>Europe</v>
      </c>
      <c r="BE210" t="str">
        <v>n/a</v>
      </c>
      <c r="BF210">
        <v>-3.1045600000000002</v>
      </c>
      <c r="BG210" t="str">
        <v>DELETE</v>
      </c>
      <c r="BH210">
        <v>-0.96562130383678069</v>
      </c>
      <c r="BI210">
        <v>-1.5168029177773601</v>
      </c>
      <c r="BJ210">
        <v>-2.6021854361733499</v>
      </c>
      <c r="BK210">
        <v>-0.66754541152750402</v>
      </c>
      <c r="BL210">
        <v>-0.71819461484389702</v>
      </c>
      <c r="BM210">
        <v>4.0394810627093151E-2</v>
      </c>
    </row>
    <row r="211" spans="3:65">
      <c r="C211" s="362">
        <v>1</v>
      </c>
      <c r="D211" s="363" t="s">
        <v>239</v>
      </c>
      <c r="E211" s="362" t="s">
        <v>272</v>
      </c>
      <c r="F211" s="362" t="s">
        <v>548</v>
      </c>
      <c r="G211" s="362" t="s">
        <v>203</v>
      </c>
      <c r="H211" s="368">
        <v>-2.1278299999999999</v>
      </c>
      <c r="I211" s="368">
        <v>-1.3728063799999999</v>
      </c>
      <c r="J211" s="368">
        <v>6.7149033296869348E-4</v>
      </c>
      <c r="K211" s="368">
        <v>-1.4788706992459</v>
      </c>
      <c r="L211" s="368">
        <v>-2.2546356859584602</v>
      </c>
      <c r="M211" s="368">
        <v>2.8719999999999999E-2</v>
      </c>
      <c r="N211" s="368">
        <v>-0.75102742563179503</v>
      </c>
      <c r="O211" s="368">
        <v>3.458579173223085E-2</v>
      </c>
      <c r="T211" s="48">
        <v>1</v>
      </c>
      <c r="U211" s="46" t="s">
        <v>239</v>
      </c>
      <c r="V211" s="53" t="s">
        <v>535</v>
      </c>
      <c r="W211" s="53" t="s">
        <v>548</v>
      </c>
      <c r="X211" s="53" t="s">
        <v>203</v>
      </c>
      <c r="Y211" s="172">
        <f>IFERROR(-tblZwaste1422[[#This Row],[Weight (kgCO2e/kg)]],0)</f>
        <v>-3.1045600000000002</v>
      </c>
      <c r="Z211" s="172" t="str">
        <f>IF(AQ211="x",(AR211*-tblZwaste1422[[#This Row],[Weight (kgCO2e/kg)]])+AS211+($AR$10*Lookups!$J$38/1000),"DELETE")</f>
        <v>DELETE</v>
      </c>
      <c r="AA211" s="172">
        <f t="shared" si="70"/>
        <v>-0.96562130383678069</v>
      </c>
      <c r="AB211" s="172">
        <f t="shared" si="70"/>
        <v>-1.6254451797332852</v>
      </c>
      <c r="AC211" s="172">
        <f t="shared" si="70"/>
        <v>-2.6091905320718602</v>
      </c>
      <c r="AD211" s="172">
        <f t="shared" si="70"/>
        <v>-0.86487022690543491</v>
      </c>
      <c r="AE211" s="172">
        <f t="shared" si="70"/>
        <v>-0.79954051378057045</v>
      </c>
      <c r="AF211" s="172">
        <f t="shared" si="70"/>
        <v>2.9213880813235199E-2</v>
      </c>
      <c r="AG211" s="150"/>
      <c r="AI211" s="137">
        <v>1</v>
      </c>
      <c r="AJ211" s="136" t="s">
        <v>239</v>
      </c>
      <c r="AK211" s="142" t="s">
        <v>535</v>
      </c>
      <c r="AL211" s="136" t="s">
        <v>548</v>
      </c>
      <c r="AM211" s="136" t="s">
        <v>203</v>
      </c>
      <c r="AN211" s="1">
        <v>3.1045600000000002</v>
      </c>
      <c r="AO211" s="166">
        <v>0.12864</v>
      </c>
      <c r="AQ211">
        <f>_xlfn.XLOOKUP(tblGWP21[[#This Row],[Material Subcategory]],ls_Mat,Factors!$K$952:$K$1023)</f>
        <v>0</v>
      </c>
      <c r="BA211" cm="1">
        <f t="array" ref="BA211:BM211">tblGWP21[#This Row]</f>
        <v>1</v>
      </c>
      <c r="BB211" t="str">
        <v>Paper</v>
      </c>
      <c r="BC211" t="str">
        <v>3rd Class Mail</v>
      </c>
      <c r="BD211" t="str">
        <v>Europe</v>
      </c>
      <c r="BE211" t="str">
        <v>n/a</v>
      </c>
      <c r="BF211">
        <v>-3.1045600000000002</v>
      </c>
      <c r="BG211" t="str">
        <v>DELETE</v>
      </c>
      <c r="BH211">
        <v>-0.96562130383678069</v>
      </c>
      <c r="BI211">
        <v>-1.6254451797332852</v>
      </c>
      <c r="BJ211">
        <v>-2.6091905320718602</v>
      </c>
      <c r="BK211">
        <v>-0.86487022690543491</v>
      </c>
      <c r="BL211">
        <v>-0.79954051378057045</v>
      </c>
      <c r="BM211">
        <v>2.9213880813235199E-2</v>
      </c>
    </row>
    <row r="212" spans="3:65">
      <c r="C212" s="136">
        <v>1</v>
      </c>
      <c r="D212" s="137" t="s">
        <v>239</v>
      </c>
      <c r="E212" s="136" t="s">
        <v>329</v>
      </c>
      <c r="F212" s="136" t="s">
        <v>548</v>
      </c>
      <c r="G212" s="136" t="s">
        <v>203</v>
      </c>
      <c r="H212" s="191">
        <v>-3.4792200000000002</v>
      </c>
      <c r="I212" s="191">
        <v>0</v>
      </c>
      <c r="J212" s="191">
        <v>-3.0322928974139289</v>
      </c>
      <c r="K212" s="191">
        <v>-1.6014919536148251</v>
      </c>
      <c r="L212" s="191">
        <v>-2.50669558445095</v>
      </c>
      <c r="M212" s="191">
        <v>0.43400677480849797</v>
      </c>
      <c r="N212" s="191">
        <v>-0.75382492684581703</v>
      </c>
      <c r="O212" s="191">
        <v>3.7249157720338544E-2</v>
      </c>
      <c r="T212" s="48">
        <v>1</v>
      </c>
      <c r="U212" s="46" t="s">
        <v>239</v>
      </c>
      <c r="V212" s="53" t="s">
        <v>259</v>
      </c>
      <c r="W212" s="53" t="s">
        <v>548</v>
      </c>
      <c r="X212" s="53" t="s">
        <v>203</v>
      </c>
      <c r="Y212" s="172">
        <f>IFERROR(-tblZwaste1422[[#This Row],[Weight (kgCO2e/kg)]],0)</f>
        <v>-2.86965</v>
      </c>
      <c r="Z212" s="172" t="str">
        <f>IF(AQ212="x",(AR212*-tblZwaste1422[[#This Row],[Weight (kgCO2e/kg)]])+AS212+($AR$10*Lookups!$J$38/1000),"DELETE")</f>
        <v>DELETE</v>
      </c>
      <c r="AA212" s="172">
        <f t="shared" si="70"/>
        <v>-0.96562130383678069</v>
      </c>
      <c r="AB212" s="172">
        <f t="shared" si="70"/>
        <v>-1.340428401135765</v>
      </c>
      <c r="AC212" s="172">
        <f t="shared" si="70"/>
        <v>-2.026024899441615</v>
      </c>
      <c r="AD212" s="172">
        <f t="shared" si="70"/>
        <v>-0.3763094184737435</v>
      </c>
      <c r="AE212" s="172">
        <f t="shared" si="70"/>
        <v>-0.65126541493596546</v>
      </c>
      <c r="AF212" s="172">
        <f t="shared" si="70"/>
        <v>2.8421492578545551E-2</v>
      </c>
      <c r="AG212" s="150"/>
      <c r="AI212" s="137">
        <v>1</v>
      </c>
      <c r="AJ212" s="136" t="s">
        <v>239</v>
      </c>
      <c r="AK212" s="142" t="s">
        <v>259</v>
      </c>
      <c r="AL212" s="136" t="s">
        <v>548</v>
      </c>
      <c r="AM212" s="136" t="s">
        <v>203</v>
      </c>
      <c r="AN212" s="1">
        <v>2.86965</v>
      </c>
      <c r="AO212" s="166">
        <v>0.79600000000000004</v>
      </c>
      <c r="AQ212">
        <f>_xlfn.XLOOKUP(tblGWP21[[#This Row],[Material Subcategory]],ls_Mat,Factors!$K$952:$K$1023)</f>
        <v>0</v>
      </c>
      <c r="AR212" s="173"/>
      <c r="BA212" cm="1">
        <f t="array" ref="BA212:BM212">tblGWP21[#This Row]</f>
        <v>1</v>
      </c>
      <c r="BB212" t="str">
        <v>Paper</v>
      </c>
      <c r="BC212" t="str">
        <v>Folding Containers</v>
      </c>
      <c r="BD212" t="str">
        <v>Europe</v>
      </c>
      <c r="BE212" t="str">
        <v>n/a</v>
      </c>
      <c r="BF212">
        <v>-2.86965</v>
      </c>
      <c r="BG212" t="str">
        <v>DELETE</v>
      </c>
      <c r="BH212">
        <v>-0.96562130383678069</v>
      </c>
      <c r="BI212">
        <v>-1.340428401135765</v>
      </c>
      <c r="BJ212">
        <v>-2.026024899441615</v>
      </c>
      <c r="BK212">
        <v>-0.3763094184737435</v>
      </c>
      <c r="BL212">
        <v>-0.65126541493596546</v>
      </c>
      <c r="BM212">
        <v>2.8421492578545551E-2</v>
      </c>
    </row>
    <row r="213" spans="3:65">
      <c r="C213" s="362">
        <v>1</v>
      </c>
      <c r="D213" s="363" t="s">
        <v>239</v>
      </c>
      <c r="E213" s="362" t="s">
        <v>271</v>
      </c>
      <c r="F213" s="362" t="s">
        <v>548</v>
      </c>
      <c r="G213" s="362" t="s">
        <v>203</v>
      </c>
      <c r="H213" s="368">
        <v>-3.1045600000000002</v>
      </c>
      <c r="I213" s="368">
        <v>0</v>
      </c>
      <c r="J213" s="368">
        <v>-0.96562130383678069</v>
      </c>
      <c r="K213" s="368">
        <v>-1.5168029177773601</v>
      </c>
      <c r="L213" s="368">
        <v>-2.6021854361733499</v>
      </c>
      <c r="M213" s="368">
        <v>-0.66754541152750402</v>
      </c>
      <c r="N213" s="368">
        <v>-0.71819461484389702</v>
      </c>
      <c r="O213" s="368">
        <v>4.0394810627093151E-2</v>
      </c>
      <c r="T213" s="48">
        <v>1</v>
      </c>
      <c r="U213" s="46" t="s">
        <v>239</v>
      </c>
      <c r="V213" s="53" t="s">
        <v>334</v>
      </c>
      <c r="W213" s="53" t="s">
        <v>548</v>
      </c>
      <c r="X213" s="53" t="s">
        <v>203</v>
      </c>
      <c r="Y213" s="172">
        <f>IFERROR(-tblZwaste1422[[#This Row],[Weight (kgCO2e/kg)]],0)</f>
        <v>-2.86965</v>
      </c>
      <c r="Z213" s="172" t="str">
        <f>IF(AQ213="x",(AR213*-tblZwaste1422[[#This Row],[Weight (kgCO2e/kg)]])+AS213+($AR$10*Lookups!$J$38/1000),"DELETE")</f>
        <v>DELETE</v>
      </c>
      <c r="AA213" s="172">
        <f t="shared" si="70"/>
        <v>-0.96562130383678069</v>
      </c>
      <c r="AB213" s="172">
        <f t="shared" si="70"/>
        <v>-1.7509378089722198</v>
      </c>
      <c r="AC213" s="172">
        <f t="shared" si="70"/>
        <v>-2.4932375866024952</v>
      </c>
      <c r="AD213" s="172">
        <f t="shared" si="70"/>
        <v>-0.31851076261191252</v>
      </c>
      <c r="AE213" s="172">
        <f t="shared" si="70"/>
        <v>-0.95080564810270896</v>
      </c>
      <c r="AF213" s="172">
        <f t="shared" si="70"/>
        <v>2.638990961429585E-2</v>
      </c>
      <c r="AG213" s="150"/>
      <c r="AI213" s="137">
        <v>1</v>
      </c>
      <c r="AJ213" s="136" t="s">
        <v>239</v>
      </c>
      <c r="AK213" s="142" t="s">
        <v>334</v>
      </c>
      <c r="AL213" s="136" t="s">
        <v>548</v>
      </c>
      <c r="AM213" s="136" t="s">
        <v>203</v>
      </c>
      <c r="AN213" s="1">
        <v>2.86965</v>
      </c>
      <c r="AO213" s="166">
        <v>0.76736000000000004</v>
      </c>
      <c r="AQ213">
        <f>_xlfn.XLOOKUP(tblGWP21[[#This Row],[Material Subcategory]],ls_Mat,Factors!$K$952:$K$1023)</f>
        <v>0</v>
      </c>
      <c r="AR213" s="173"/>
      <c r="BA213" cm="1">
        <f t="array" ref="BA213:BM213">tblGWP21[#This Row]</f>
        <v>1</v>
      </c>
      <c r="BB213" t="str">
        <v>Paper</v>
      </c>
      <c r="BC213" t="str">
        <v>Paper Bags</v>
      </c>
      <c r="BD213" t="str">
        <v>Europe</v>
      </c>
      <c r="BE213" t="str">
        <v>n/a</v>
      </c>
      <c r="BF213">
        <v>-2.86965</v>
      </c>
      <c r="BG213" t="str">
        <v>DELETE</v>
      </c>
      <c r="BH213">
        <v>-0.96562130383678069</v>
      </c>
      <c r="BI213">
        <v>-1.7509378089722198</v>
      </c>
      <c r="BJ213">
        <v>-2.4932375866024952</v>
      </c>
      <c r="BK213">
        <v>-0.31851076261191252</v>
      </c>
      <c r="BL213">
        <v>-0.95080564810270896</v>
      </c>
      <c r="BM213">
        <v>2.638990961429585E-2</v>
      </c>
    </row>
    <row r="214" spans="3:65">
      <c r="C214" s="136">
        <v>1</v>
      </c>
      <c r="D214" s="137" t="s">
        <v>239</v>
      </c>
      <c r="E214" s="136" t="s">
        <v>535</v>
      </c>
      <c r="F214" s="136" t="s">
        <v>548</v>
      </c>
      <c r="G214" s="136" t="s">
        <v>203</v>
      </c>
      <c r="H214" s="191">
        <v>-3.1045600000000002</v>
      </c>
      <c r="I214" s="191">
        <v>0</v>
      </c>
      <c r="J214" s="191">
        <v>-0.96562130383678069</v>
      </c>
      <c r="K214" s="191">
        <v>-1.6254451797332852</v>
      </c>
      <c r="L214" s="191">
        <v>-2.6091905320718602</v>
      </c>
      <c r="M214" s="191">
        <v>-0.86487022690543491</v>
      </c>
      <c r="N214" s="191">
        <v>-0.79954051378057045</v>
      </c>
      <c r="O214" s="191">
        <v>2.9213880813235199E-2</v>
      </c>
      <c r="T214" s="48">
        <v>1</v>
      </c>
      <c r="U214" s="46" t="s">
        <v>239</v>
      </c>
      <c r="V214" s="53" t="s">
        <v>240</v>
      </c>
      <c r="W214" s="53" t="s">
        <v>548</v>
      </c>
      <c r="X214" s="53" t="s">
        <v>203</v>
      </c>
      <c r="Y214" s="172">
        <f>IFERROR(-tblZwaste1422[[#This Row],[Weight (kgCO2e/kg)]],0)</f>
        <v>-3.1045600000000002</v>
      </c>
      <c r="Z214" s="172" t="str">
        <f>IF(AQ214="x",(AR214*-tblZwaste1422[[#This Row],[Weight (kgCO2e/kg)]])+AS214+($AR$10*Lookups!$J$38/1000),"DELETE")</f>
        <v>DELETE</v>
      </c>
      <c r="AA214" s="172" t="str">
        <f t="shared" si="70"/>
        <v>DELETE</v>
      </c>
      <c r="AB214" s="172">
        <f t="shared" si="70"/>
        <v>-1.7796941515749749</v>
      </c>
      <c r="AC214" s="172">
        <f t="shared" si="70"/>
        <v>-2.5729221856354401</v>
      </c>
      <c r="AD214" s="172">
        <f t="shared" si="70"/>
        <v>-0.69806900684888995</v>
      </c>
      <c r="AE214" s="172">
        <f t="shared" si="70"/>
        <v>0.4139115868024455</v>
      </c>
      <c r="AF214" s="172">
        <f t="shared" si="70"/>
        <v>2.36701281892993</v>
      </c>
      <c r="AG214" s="150"/>
      <c r="AI214" s="137">
        <v>1</v>
      </c>
      <c r="AJ214" s="136" t="s">
        <v>239</v>
      </c>
      <c r="AK214" s="142" t="s">
        <v>240</v>
      </c>
      <c r="AL214" s="136" t="s">
        <v>548</v>
      </c>
      <c r="AM214" s="136" t="s">
        <v>203</v>
      </c>
      <c r="AN214" s="1">
        <v>3.1045600000000002</v>
      </c>
      <c r="AO214" s="166">
        <v>0.76736000000000004</v>
      </c>
      <c r="AQ214">
        <f>_xlfn.XLOOKUP(tblGWP21[[#This Row],[Material Subcategory]],ls_Mat,Factors!$K$952:$K$1023)</f>
        <v>0</v>
      </c>
      <c r="AR214" s="173"/>
      <c r="AU214" t="s">
        <v>526</v>
      </c>
      <c r="AV214" s="347">
        <v>0.85</v>
      </c>
      <c r="BA214" cm="1">
        <f t="array" ref="BA214:BM214">tblGWP21[#This Row]</f>
        <v>1</v>
      </c>
      <c r="BB214" t="str">
        <v>Paper</v>
      </c>
      <c r="BC214" t="str">
        <v>Paper – Non-Recyclable</v>
      </c>
      <c r="BD214" t="str">
        <v>Europe</v>
      </c>
      <c r="BE214" t="str">
        <v>n/a</v>
      </c>
      <c r="BF214">
        <v>-3.1045600000000002</v>
      </c>
      <c r="BG214" t="str">
        <v>DELETE</v>
      </c>
      <c r="BH214" t="str">
        <v>DELETE</v>
      </c>
      <c r="BI214">
        <v>-1.7796941515749749</v>
      </c>
      <c r="BJ214">
        <v>-2.5729221856354401</v>
      </c>
      <c r="BK214">
        <v>-0.69806900684888995</v>
      </c>
      <c r="BL214">
        <v>0.4139115868024455</v>
      </c>
      <c r="BM214">
        <v>2.36701281892993</v>
      </c>
    </row>
    <row r="215" spans="3:65" ht="28.8">
      <c r="C215" s="362">
        <v>1</v>
      </c>
      <c r="D215" s="363" t="s">
        <v>239</v>
      </c>
      <c r="E215" s="362" t="s">
        <v>259</v>
      </c>
      <c r="F215" s="362" t="s">
        <v>548</v>
      </c>
      <c r="G215" s="362" t="s">
        <v>203</v>
      </c>
      <c r="H215" s="368">
        <v>-2.86965</v>
      </c>
      <c r="I215" s="368">
        <v>0</v>
      </c>
      <c r="J215" s="368">
        <v>-0.96562130383678069</v>
      </c>
      <c r="K215" s="368">
        <v>-1.340428401135765</v>
      </c>
      <c r="L215" s="368">
        <v>-2.026024899441615</v>
      </c>
      <c r="M215" s="368">
        <v>-0.3763094184737435</v>
      </c>
      <c r="N215" s="368">
        <v>-0.65126541493596546</v>
      </c>
      <c r="O215" s="368">
        <v>2.8421492578545551E-2</v>
      </c>
      <c r="T215" s="48">
        <v>1</v>
      </c>
      <c r="U215" s="46" t="s">
        <v>239</v>
      </c>
      <c r="V215" s="53" t="s">
        <v>325</v>
      </c>
      <c r="W215" s="53" t="s">
        <v>548</v>
      </c>
      <c r="X215" s="53" t="s">
        <v>203</v>
      </c>
      <c r="Y215" s="172">
        <f>IFERROR(-tblZwaste1422[[#This Row],[Weight (kgCO2e/kg)]],0)</f>
        <v>-1.66</v>
      </c>
      <c r="Z215" s="172" t="str">
        <f>IF(AQ215="x",(AR215*-tblZwaste1422[[#This Row],[Weight (kgCO2e/kg)]])+AS215+($AR$10*Lookups!$J$38/1000),"DELETE")</f>
        <v>DELETE</v>
      </c>
      <c r="AA215" s="172" t="str">
        <f t="shared" ref="AA215:AF224" si="71">IF(ISNUMBER(AVERAGE(AA551,AA607)),AVERAGE(AA551,AA607),AA551)</f>
        <v>DELETE</v>
      </c>
      <c r="AB215" s="172">
        <f t="shared" si="71"/>
        <v>-1.6414671197248598</v>
      </c>
      <c r="AC215" s="172">
        <f t="shared" si="71"/>
        <v>-2.3925339273081798</v>
      </c>
      <c r="AD215" s="172">
        <f t="shared" si="71"/>
        <v>-0.65837821830812748</v>
      </c>
      <c r="AE215" s="172">
        <f t="shared" si="71"/>
        <v>-0.87839925196487956</v>
      </c>
      <c r="AF215" s="172">
        <f t="shared" si="71"/>
        <v>2.747212960518635E-2</v>
      </c>
      <c r="AG215" s="150"/>
      <c r="AI215" s="137">
        <v>1</v>
      </c>
      <c r="AJ215" s="136" t="s">
        <v>239</v>
      </c>
      <c r="AK215" s="142" t="s">
        <v>325</v>
      </c>
      <c r="AL215" s="136" t="s">
        <v>548</v>
      </c>
      <c r="AM215" s="136" t="s">
        <v>203</v>
      </c>
      <c r="AN215" s="1">
        <v>1.66</v>
      </c>
      <c r="AO215" s="166">
        <v>0.79600000000000004</v>
      </c>
      <c r="AQ215">
        <f>_xlfn.XLOOKUP(tblGWP21[[#This Row],[Material Subcategory]],ls_Mat,Factors!$K$952:$K$1023)</f>
        <v>0</v>
      </c>
      <c r="AU215" t="s">
        <v>526</v>
      </c>
      <c r="AV215" s="347">
        <v>0.7</v>
      </c>
      <c r="BA215" cm="1">
        <f t="array" ref="BA215:BM215">tblGWP21[#This Row]</f>
        <v>1</v>
      </c>
      <c r="BB215" t="str">
        <v>Paper</v>
      </c>
      <c r="BC215" t="str">
        <v>Compostable Food Service Ware</v>
      </c>
      <c r="BD215" t="str">
        <v>Europe</v>
      </c>
      <c r="BE215" t="str">
        <v>n/a</v>
      </c>
      <c r="BF215">
        <v>-1.66</v>
      </c>
      <c r="BG215" t="str">
        <v>DELETE</v>
      </c>
      <c r="BH215" t="str">
        <v>DELETE</v>
      </c>
      <c r="BI215">
        <v>-1.6414671197248598</v>
      </c>
      <c r="BJ215">
        <v>-2.3925339273081798</v>
      </c>
      <c r="BK215">
        <v>-0.65837821830812748</v>
      </c>
      <c r="BL215">
        <v>-0.87839925196487956</v>
      </c>
      <c r="BM215">
        <v>2.747212960518635E-2</v>
      </c>
    </row>
    <row r="216" spans="3:65">
      <c r="C216" s="136">
        <v>1</v>
      </c>
      <c r="D216" s="137" t="s">
        <v>239</v>
      </c>
      <c r="E216" s="136" t="s">
        <v>334</v>
      </c>
      <c r="F216" s="136" t="s">
        <v>548</v>
      </c>
      <c r="G216" s="136" t="s">
        <v>203</v>
      </c>
      <c r="H216" s="191">
        <v>-2.86965</v>
      </c>
      <c r="I216" s="191">
        <v>0</v>
      </c>
      <c r="J216" s="191">
        <v>-0.96562130383678069</v>
      </c>
      <c r="K216" s="191">
        <v>-1.7509378089722198</v>
      </c>
      <c r="L216" s="191">
        <v>-2.4932375866024952</v>
      </c>
      <c r="M216" s="191">
        <v>-0.31851076261191252</v>
      </c>
      <c r="N216" s="191">
        <v>-0.95080564810270896</v>
      </c>
      <c r="O216" s="191">
        <v>2.638990961429585E-2</v>
      </c>
      <c r="T216" s="48">
        <v>1</v>
      </c>
      <c r="U216" s="46" t="s">
        <v>256</v>
      </c>
      <c r="V216" s="53" t="s">
        <v>256</v>
      </c>
      <c r="W216" s="53" t="s">
        <v>548</v>
      </c>
      <c r="X216" s="53" t="s">
        <v>203</v>
      </c>
      <c r="Y216" s="172">
        <f>IFERROR(-tblZwaste1422[[#This Row],[Weight (kgCO2e/kg)]],0)</f>
        <v>-3.3097799999999999</v>
      </c>
      <c r="Z216" s="172" t="e">
        <f>IF(AQ216="x",(AR216*-tblZwaste1422[[#This Row],[Weight (kgCO2e/kg)]])+AS216+($AR$10*Lookups!$J$38/1000),"DELETE")</f>
        <v>#N/A</v>
      </c>
      <c r="AA216" s="172">
        <f t="shared" si="71"/>
        <v>-12.740166639094927</v>
      </c>
      <c r="AB216" s="172" t="str">
        <f t="shared" si="71"/>
        <v>DELETE</v>
      </c>
      <c r="AC216" s="172" t="str">
        <f t="shared" si="71"/>
        <v>DELETE</v>
      </c>
      <c r="AD216" s="172">
        <f t="shared" si="71"/>
        <v>2.5944788872302275E-2</v>
      </c>
      <c r="AE216" s="172">
        <f t="shared" si="71"/>
        <v>-0.11143343733964284</v>
      </c>
      <c r="AF216" s="172">
        <f t="shared" si="71"/>
        <v>-9.4105118231725432E-2</v>
      </c>
      <c r="AG216" s="150"/>
      <c r="AI216" s="137">
        <v>1</v>
      </c>
      <c r="AJ216" s="136" t="s">
        <v>256</v>
      </c>
      <c r="AK216" s="142" t="s">
        <v>256</v>
      </c>
      <c r="AL216" s="136" t="s">
        <v>548</v>
      </c>
      <c r="AM216" s="136" t="s">
        <v>203</v>
      </c>
      <c r="AN216" s="1">
        <v>3.3097799999999999</v>
      </c>
      <c r="AO216" s="166">
        <v>1.0068550000000001</v>
      </c>
      <c r="AQ216" t="e">
        <f>_xlfn.XLOOKUP(tblGWP21[[#This Row],[Material Subcategory]],ls_Mat,Factors!$K$952:$K$1023)</f>
        <v>#N/A</v>
      </c>
      <c r="AR216" s="173">
        <v>1</v>
      </c>
      <c r="AS216">
        <v>8.1306407300000008E-2</v>
      </c>
      <c r="AT216" t="s">
        <v>531</v>
      </c>
      <c r="AU216" t="s">
        <v>526</v>
      </c>
      <c r="AV216" s="347">
        <v>0.8</v>
      </c>
      <c r="BA216" cm="1">
        <f t="array" ref="BA216:BM216">tblGWP21[#This Row]</f>
        <v>1</v>
      </c>
      <c r="BB216" t="str">
        <v>Metals</v>
      </c>
      <c r="BC216" t="str">
        <v>Metals</v>
      </c>
      <c r="BD216" t="str">
        <v>Europe</v>
      </c>
      <c r="BE216" t="str">
        <v>n/a</v>
      </c>
      <c r="BF216">
        <v>-3.3097799999999999</v>
      </c>
      <c r="BG216" t="e">
        <v>#N/A</v>
      </c>
      <c r="BH216">
        <v>-12.740166639094927</v>
      </c>
      <c r="BI216" t="str">
        <v>DELETE</v>
      </c>
      <c r="BJ216" t="str">
        <v>DELETE</v>
      </c>
      <c r="BK216">
        <v>2.5944788872302275E-2</v>
      </c>
      <c r="BL216">
        <v>-0.11143343733964284</v>
      </c>
      <c r="BM216">
        <v>-9.4105118231725432E-2</v>
      </c>
    </row>
    <row r="217" spans="3:65">
      <c r="C217" s="362">
        <v>1</v>
      </c>
      <c r="D217" s="363" t="s">
        <v>239</v>
      </c>
      <c r="E217" s="362" t="s">
        <v>240</v>
      </c>
      <c r="F217" s="362" t="s">
        <v>548</v>
      </c>
      <c r="G217" s="362" t="s">
        <v>203</v>
      </c>
      <c r="H217" s="368">
        <v>-3.1045600000000002</v>
      </c>
      <c r="I217" s="368">
        <v>0</v>
      </c>
      <c r="J217" s="368">
        <v>0</v>
      </c>
      <c r="K217" s="368">
        <v>-1.7796941515749749</v>
      </c>
      <c r="L217" s="368">
        <v>-2.5729221856354401</v>
      </c>
      <c r="M217" s="368">
        <v>-0.69806900684888995</v>
      </c>
      <c r="N217" s="368">
        <v>0.4139115868024455</v>
      </c>
      <c r="O217" s="368">
        <v>2.36701281892993</v>
      </c>
      <c r="T217" s="48">
        <v>1</v>
      </c>
      <c r="U217" s="46" t="s">
        <v>256</v>
      </c>
      <c r="V217" s="53" t="s">
        <v>536</v>
      </c>
      <c r="W217" s="53" t="s">
        <v>548</v>
      </c>
      <c r="X217" s="53" t="s">
        <v>203</v>
      </c>
      <c r="Y217" s="172">
        <f>IFERROR(-tblZwaste1422[[#This Row],[Weight (kgCO2e/kg)]],0)</f>
        <v>-1.9798800000000001</v>
      </c>
      <c r="Z217" s="172">
        <f>IF(AQ217="x",(AR217*-tblZwaste1422[[#This Row],[Weight (kgCO2e/kg)]])+AS217+($AR$10*Lookups!$J$38/1000),"DELETE")</f>
        <v>-1.8968017927</v>
      </c>
      <c r="AA217" s="172">
        <f t="shared" si="71"/>
        <v>-2.2966096268154939</v>
      </c>
      <c r="AB217" s="172" t="str">
        <f t="shared" si="71"/>
        <v>DELETE</v>
      </c>
      <c r="AC217" s="172" t="str">
        <f t="shared" si="71"/>
        <v>DELETE</v>
      </c>
      <c r="AD217" s="172">
        <f t="shared" si="71"/>
        <v>2.602957774460455E-2</v>
      </c>
      <c r="AE217" s="172">
        <f t="shared" si="71"/>
        <v>-0.16359118801780148</v>
      </c>
      <c r="AF217" s="172">
        <f t="shared" si="71"/>
        <v>-0.13662634051367301</v>
      </c>
      <c r="AG217" s="150"/>
      <c r="AI217" s="137">
        <v>1</v>
      </c>
      <c r="AJ217" s="136" t="s">
        <v>256</v>
      </c>
      <c r="AK217" s="142" t="s">
        <v>536</v>
      </c>
      <c r="AL217" s="136" t="s">
        <v>548</v>
      </c>
      <c r="AM217" s="136" t="s">
        <v>203</v>
      </c>
      <c r="AN217" s="1">
        <v>1.9798800000000001</v>
      </c>
      <c r="AO217" s="166">
        <v>0.72957000000000005</v>
      </c>
      <c r="AQ217" t="str">
        <f>_xlfn.XLOOKUP(tblGWP21[[#This Row],[Material Subcategory]],ls_Mat,Factors!$K$952:$K$1023)</f>
        <v>x</v>
      </c>
      <c r="AR217" s="173">
        <v>1</v>
      </c>
      <c r="AS217">
        <v>8.1306407300000008E-2</v>
      </c>
      <c r="AT217" t="s">
        <v>531</v>
      </c>
      <c r="AU217" t="s">
        <v>526</v>
      </c>
      <c r="AV217" s="347">
        <v>0.7</v>
      </c>
      <c r="BA217" cm="1">
        <f t="array" ref="BA217:BM217">tblGWP21[#This Row]</f>
        <v>1</v>
      </c>
      <c r="BB217" t="str">
        <v>Metals</v>
      </c>
      <c r="BC217" t="str">
        <v>Ferrous Cans</v>
      </c>
      <c r="BD217" t="str">
        <v>Europe</v>
      </c>
      <c r="BE217" t="str">
        <v>n/a</v>
      </c>
      <c r="BF217">
        <v>-1.9798800000000001</v>
      </c>
      <c r="BG217">
        <v>-1.8968017927</v>
      </c>
      <c r="BH217">
        <v>-2.2966096268154939</v>
      </c>
      <c r="BI217" t="str">
        <v>DELETE</v>
      </c>
      <c r="BJ217" t="str">
        <v>DELETE</v>
      </c>
      <c r="BK217">
        <v>2.602957774460455E-2</v>
      </c>
      <c r="BL217">
        <v>-0.16359118801780148</v>
      </c>
      <c r="BM217">
        <v>-0.13662634051367301</v>
      </c>
    </row>
    <row r="218" spans="3:65" ht="28.8">
      <c r="C218" s="136">
        <v>1</v>
      </c>
      <c r="D218" s="137" t="s">
        <v>239</v>
      </c>
      <c r="E218" s="136" t="s">
        <v>325</v>
      </c>
      <c r="F218" s="136" t="s">
        <v>548</v>
      </c>
      <c r="G218" s="136" t="s">
        <v>203</v>
      </c>
      <c r="H218" s="191">
        <v>-1.66</v>
      </c>
      <c r="I218" s="191">
        <v>0</v>
      </c>
      <c r="J218" s="191">
        <v>0</v>
      </c>
      <c r="K218" s="191">
        <v>-1.6414671197248598</v>
      </c>
      <c r="L218" s="191">
        <v>-2.3925339273081798</v>
      </c>
      <c r="M218" s="191">
        <v>-0.65837821830812748</v>
      </c>
      <c r="N218" s="191">
        <v>-0.87839925196487956</v>
      </c>
      <c r="O218" s="191">
        <v>2.747212960518635E-2</v>
      </c>
      <c r="T218" s="48">
        <v>1</v>
      </c>
      <c r="U218" s="46" t="s">
        <v>256</v>
      </c>
      <c r="V218" s="53" t="s">
        <v>257</v>
      </c>
      <c r="W218" s="53" t="s">
        <v>548</v>
      </c>
      <c r="X218" s="53" t="s">
        <v>203</v>
      </c>
      <c r="Y218" s="172">
        <f>IFERROR(-tblZwaste1422[[#This Row],[Weight (kgCO2e/kg)]],0)</f>
        <v>-1.9798800000000001</v>
      </c>
      <c r="Z218" s="172">
        <f>IF(AQ218="x",(AR218*-tblZwaste1422[[#This Row],[Weight (kgCO2e/kg)]])+AS218+($AR$10*Lookups!$J$38/1000),"DELETE")</f>
        <v>-1.8968017927</v>
      </c>
      <c r="AA218" s="172">
        <f t="shared" si="71"/>
        <v>-2.2966096268154939</v>
      </c>
      <c r="AB218" s="172" t="str">
        <f t="shared" si="71"/>
        <v>DELETE</v>
      </c>
      <c r="AC218" s="172" t="str">
        <f t="shared" si="71"/>
        <v>DELETE</v>
      </c>
      <c r="AD218" s="172">
        <f t="shared" si="71"/>
        <v>2.60295777446043E-2</v>
      </c>
      <c r="AE218" s="172">
        <f t="shared" si="71"/>
        <v>-0.16359118801780148</v>
      </c>
      <c r="AF218" s="172">
        <f t="shared" si="71"/>
        <v>-0.13662634051367201</v>
      </c>
      <c r="AG218" s="150"/>
      <c r="AI218" s="137">
        <v>1</v>
      </c>
      <c r="AJ218" s="136" t="s">
        <v>256</v>
      </c>
      <c r="AK218" s="142" t="s">
        <v>257</v>
      </c>
      <c r="AL218" s="136" t="s">
        <v>548</v>
      </c>
      <c r="AM218" s="136" t="s">
        <v>203</v>
      </c>
      <c r="AN218" s="1">
        <v>1.9798800000000001</v>
      </c>
      <c r="AO218" s="166">
        <v>0.46493000000000001</v>
      </c>
      <c r="AQ218" t="str">
        <f>_xlfn.XLOOKUP(tblGWP21[[#This Row],[Material Subcategory]],ls_Mat,Factors!$K$952:$K$1023)</f>
        <v>x</v>
      </c>
      <c r="AR218" s="173">
        <v>1</v>
      </c>
      <c r="AS218">
        <v>8.1306407300000008E-2</v>
      </c>
      <c r="AT218" t="s">
        <v>531</v>
      </c>
      <c r="AV218" s="347"/>
      <c r="BA218" cm="1">
        <f t="array" ref="BA218:BM218">tblGWP21[#This Row]</f>
        <v>1</v>
      </c>
      <c r="BB218" t="str">
        <v>Metals</v>
      </c>
      <c r="BC218" t="str">
        <v>Ferrous Metal</v>
      </c>
      <c r="BD218" t="str">
        <v>Europe</v>
      </c>
      <c r="BE218" t="str">
        <v>n/a</v>
      </c>
      <c r="BF218">
        <v>-1.9798800000000001</v>
      </c>
      <c r="BG218">
        <v>-1.8968017927</v>
      </c>
      <c r="BH218">
        <v>-2.2966096268154939</v>
      </c>
      <c r="BI218" t="str">
        <v>DELETE</v>
      </c>
      <c r="BJ218" t="str">
        <v>DELETE</v>
      </c>
      <c r="BK218">
        <v>2.60295777446043E-2</v>
      </c>
      <c r="BL218">
        <v>-0.16359118801780148</v>
      </c>
      <c r="BM218">
        <v>-0.13662634051367201</v>
      </c>
    </row>
    <row r="219" spans="3:65">
      <c r="C219" s="362">
        <v>1</v>
      </c>
      <c r="D219" s="363" t="s">
        <v>256</v>
      </c>
      <c r="E219" s="362" t="s">
        <v>256</v>
      </c>
      <c r="F219" s="362" t="s">
        <v>548</v>
      </c>
      <c r="G219" s="362" t="s">
        <v>203</v>
      </c>
      <c r="H219" s="368">
        <v>-3.3097799999999999</v>
      </c>
      <c r="I219" s="368">
        <v>-3.2267017926999997</v>
      </c>
      <c r="J219" s="368">
        <v>-12.740166639094927</v>
      </c>
      <c r="K219" s="368">
        <v>0</v>
      </c>
      <c r="L219" s="368">
        <v>0</v>
      </c>
      <c r="M219" s="368">
        <v>2.5944788872302275E-2</v>
      </c>
      <c r="N219" s="368">
        <v>-0.11143343733964284</v>
      </c>
      <c r="O219" s="368">
        <v>-9.4105118231725432E-2</v>
      </c>
      <c r="T219" s="48">
        <v>1</v>
      </c>
      <c r="U219" s="46" t="s">
        <v>256</v>
      </c>
      <c r="V219" s="53" t="s">
        <v>537</v>
      </c>
      <c r="W219" s="53" t="s">
        <v>548</v>
      </c>
      <c r="X219" s="53" t="s">
        <v>203</v>
      </c>
      <c r="Y219" s="172">
        <f>IFERROR(-tblZwaste1422[[#This Row],[Weight (kgCO2e/kg)]],0)</f>
        <v>-5.0082800000000001</v>
      </c>
      <c r="Z219" s="172">
        <f>IF(AQ219="x",(AR219*-tblZwaste1422[[#This Row],[Weight (kgCO2e/kg)]])+AS219+($AR$10*Lookups!$J$38/1000),"DELETE")</f>
        <v>-4.9252017927000002</v>
      </c>
      <c r="AA219" s="172">
        <f t="shared" si="71"/>
        <v>-5.0399399240303886</v>
      </c>
      <c r="AB219" s="172" t="str">
        <f t="shared" si="71"/>
        <v>DELETE</v>
      </c>
      <c r="AC219" s="172" t="str">
        <f t="shared" si="71"/>
        <v>DELETE</v>
      </c>
      <c r="AD219" s="172">
        <f t="shared" si="71"/>
        <v>2.5860000000000001E-2</v>
      </c>
      <c r="AE219" s="172">
        <f t="shared" si="71"/>
        <v>-5.9275686661484195E-2</v>
      </c>
      <c r="AF219" s="172">
        <f t="shared" si="71"/>
        <v>-5.1583895949777851E-2</v>
      </c>
      <c r="AG219" s="150"/>
      <c r="AI219" s="137">
        <v>1</v>
      </c>
      <c r="AJ219" s="136" t="s">
        <v>256</v>
      </c>
      <c r="AK219" s="142" t="s">
        <v>537</v>
      </c>
      <c r="AL219" s="136" t="s">
        <v>548</v>
      </c>
      <c r="AM219" s="136" t="s">
        <v>203</v>
      </c>
      <c r="AN219" s="1">
        <v>5.0082800000000001</v>
      </c>
      <c r="AO219" s="166">
        <v>1.54878</v>
      </c>
      <c r="AQ219" t="str">
        <f>_xlfn.XLOOKUP(tblGWP21[[#This Row],[Material Subcategory]],ls_Mat,Factors!$K$952:$K$1023)</f>
        <v>x</v>
      </c>
      <c r="AR219" s="173">
        <v>1</v>
      </c>
      <c r="AS219">
        <v>8.1306407300000008E-2</v>
      </c>
      <c r="AT219" t="s">
        <v>531</v>
      </c>
      <c r="BA219" cm="1">
        <f t="array" ref="BA219:BM219">tblGWP21[#This Row]</f>
        <v>1</v>
      </c>
      <c r="BB219" t="str">
        <v>Metals</v>
      </c>
      <c r="BC219" t="str">
        <v>Aluminum Cans</v>
      </c>
      <c r="BD219" t="str">
        <v>Europe</v>
      </c>
      <c r="BE219" t="str">
        <v>n/a</v>
      </c>
      <c r="BF219">
        <v>-5.0082800000000001</v>
      </c>
      <c r="BG219">
        <v>-4.9252017927000002</v>
      </c>
      <c r="BH219">
        <v>-5.0399399240303886</v>
      </c>
      <c r="BI219" t="str">
        <v>DELETE</v>
      </c>
      <c r="BJ219" t="str">
        <v>DELETE</v>
      </c>
      <c r="BK219">
        <v>2.5860000000000001E-2</v>
      </c>
      <c r="BL219">
        <v>-5.9275686661484195E-2</v>
      </c>
      <c r="BM219">
        <v>-5.1583895949777851E-2</v>
      </c>
    </row>
    <row r="220" spans="3:65">
      <c r="C220" s="136">
        <v>1</v>
      </c>
      <c r="D220" s="137" t="s">
        <v>256</v>
      </c>
      <c r="E220" s="136" t="s">
        <v>536</v>
      </c>
      <c r="F220" s="136" t="s">
        <v>548</v>
      </c>
      <c r="G220" s="136" t="s">
        <v>203</v>
      </c>
      <c r="H220" s="191">
        <v>-1.9798800000000001</v>
      </c>
      <c r="I220" s="191">
        <v>-1.8968017927</v>
      </c>
      <c r="J220" s="191">
        <v>-2.2966096268154939</v>
      </c>
      <c r="K220" s="191">
        <v>0</v>
      </c>
      <c r="L220" s="191">
        <v>0</v>
      </c>
      <c r="M220" s="191">
        <v>2.602957774460455E-2</v>
      </c>
      <c r="N220" s="191">
        <v>-0.16359118801780148</v>
      </c>
      <c r="O220" s="191">
        <v>-0.13662634051367301</v>
      </c>
      <c r="T220" s="48">
        <v>1</v>
      </c>
      <c r="U220" s="46" t="s">
        <v>256</v>
      </c>
      <c r="V220" s="53" t="s">
        <v>538</v>
      </c>
      <c r="W220" s="53" t="s">
        <v>548</v>
      </c>
      <c r="X220" s="53" t="s">
        <v>203</v>
      </c>
      <c r="Y220" s="172">
        <f>IFERROR(-tblZwaste1422[[#This Row],[Weight (kgCO2e/kg)]],0)</f>
        <v>-4.6396800000000002</v>
      </c>
      <c r="Z220" s="172" t="str">
        <f>IF(AQ220="x",(AR220*-tblZwaste1422[[#This Row],[Weight (kgCO2e/kg)]])+AS220+($AR$10*Lookups!$J$38/1000),"DELETE")</f>
        <v>DELETE</v>
      </c>
      <c r="AA220" s="172" t="str">
        <f t="shared" si="71"/>
        <v>DELETE</v>
      </c>
      <c r="AB220" s="172" t="str">
        <f t="shared" si="71"/>
        <v>DELETE</v>
      </c>
      <c r="AC220" s="172" t="str">
        <f t="shared" si="71"/>
        <v>DELETE</v>
      </c>
      <c r="AD220" s="172">
        <f t="shared" si="71"/>
        <v>2.5860000000000001E-2</v>
      </c>
      <c r="AE220" s="172">
        <f t="shared" si="71"/>
        <v>-5.56508197743582E-2</v>
      </c>
      <c r="AF220" s="172">
        <f t="shared" si="71"/>
        <v>-5.1583895949777851E-2</v>
      </c>
      <c r="AG220" s="150"/>
      <c r="AI220" s="137">
        <v>1</v>
      </c>
      <c r="AJ220" s="136" t="s">
        <v>256</v>
      </c>
      <c r="AK220" s="142" t="s">
        <v>538</v>
      </c>
      <c r="AL220" s="136" t="s">
        <v>548</v>
      </c>
      <c r="AM220" s="136" t="s">
        <v>203</v>
      </c>
      <c r="AN220" s="1">
        <v>4.6396800000000002</v>
      </c>
      <c r="AO220" s="166">
        <v>1.54878</v>
      </c>
      <c r="AQ220">
        <f>_xlfn.XLOOKUP(tblGWP21[[#This Row],[Material Subcategory]],ls_Mat,Factors!$K$952:$K$1023)</f>
        <v>0</v>
      </c>
      <c r="AR220" s="173"/>
      <c r="BA220" cm="1">
        <f t="array" ref="BA220:BM220">tblGWP21[#This Row]</f>
        <v>1</v>
      </c>
      <c r="BB220" t="str">
        <v>Metals</v>
      </c>
      <c r="BC220" t="str">
        <v>Aluminum Foil</v>
      </c>
      <c r="BD220" t="str">
        <v>Europe</v>
      </c>
      <c r="BE220" t="str">
        <v>n/a</v>
      </c>
      <c r="BF220">
        <v>-4.6396800000000002</v>
      </c>
      <c r="BG220" t="str">
        <v>DELETE</v>
      </c>
      <c r="BH220" t="str">
        <v>DELETE</v>
      </c>
      <c r="BI220" t="str">
        <v>DELETE</v>
      </c>
      <c r="BJ220" t="str">
        <v>DELETE</v>
      </c>
      <c r="BK220">
        <v>2.5860000000000001E-2</v>
      </c>
      <c r="BL220">
        <v>-5.56508197743582E-2</v>
      </c>
      <c r="BM220">
        <v>-5.1583895949777851E-2</v>
      </c>
    </row>
    <row r="221" spans="3:65">
      <c r="C221" s="362">
        <v>1</v>
      </c>
      <c r="D221" s="363" t="s">
        <v>256</v>
      </c>
      <c r="E221" s="362" t="s">
        <v>257</v>
      </c>
      <c r="F221" s="362" t="s">
        <v>548</v>
      </c>
      <c r="G221" s="362" t="s">
        <v>203</v>
      </c>
      <c r="H221" s="368">
        <v>-1.9798800000000001</v>
      </c>
      <c r="I221" s="368">
        <v>-1.8968017927</v>
      </c>
      <c r="J221" s="368">
        <v>-2.2966096268154939</v>
      </c>
      <c r="K221" s="368">
        <v>0</v>
      </c>
      <c r="L221" s="368">
        <v>0</v>
      </c>
      <c r="M221" s="368">
        <v>2.60295777446043E-2</v>
      </c>
      <c r="N221" s="368">
        <v>-0.16359118801780148</v>
      </c>
      <c r="O221" s="368">
        <v>-0.13662634051367201</v>
      </c>
      <c r="T221" s="48">
        <v>1</v>
      </c>
      <c r="U221" s="46" t="s">
        <v>256</v>
      </c>
      <c r="V221" s="53" t="s">
        <v>258</v>
      </c>
      <c r="W221" s="53" t="s">
        <v>548</v>
      </c>
      <c r="X221" s="53" t="s">
        <v>203</v>
      </c>
      <c r="Y221" s="172">
        <f>IFERROR(-tblZwaste1422[[#This Row],[Weight (kgCO2e/kg)]],0)</f>
        <v>-4.6396800000000002</v>
      </c>
      <c r="Z221" s="172">
        <f>IF(AQ221="x",(AR221*-tblZwaste1422[[#This Row],[Weight (kgCO2e/kg)]])+AS221+($AR$10*Lookups!$J$38/1000),"DELETE")</f>
        <v>-4.5566017927000004</v>
      </c>
      <c r="AA221" s="172">
        <f t="shared" si="71"/>
        <v>-4.8856560488049539</v>
      </c>
      <c r="AB221" s="172" t="str">
        <f t="shared" si="71"/>
        <v>DELETE</v>
      </c>
      <c r="AC221" s="172" t="str">
        <f t="shared" si="71"/>
        <v>DELETE</v>
      </c>
      <c r="AD221" s="172">
        <f t="shared" si="71"/>
        <v>2.5860000000000001E-2</v>
      </c>
      <c r="AE221" s="172">
        <f t="shared" si="71"/>
        <v>-5.9275686661484153E-2</v>
      </c>
      <c r="AF221" s="172">
        <f t="shared" si="71"/>
        <v>-5.15838959497779E-2</v>
      </c>
      <c r="AG221" s="150"/>
      <c r="AI221" s="137">
        <v>1</v>
      </c>
      <c r="AJ221" s="136" t="s">
        <v>256</v>
      </c>
      <c r="AK221" s="142" t="s">
        <v>258</v>
      </c>
      <c r="AL221" s="136" t="s">
        <v>548</v>
      </c>
      <c r="AM221" s="136" t="s">
        <v>203</v>
      </c>
      <c r="AN221" s="1">
        <v>4.6396800000000002</v>
      </c>
      <c r="AO221" s="166">
        <v>1.54878</v>
      </c>
      <c r="AQ221" t="str">
        <f>_xlfn.XLOOKUP(tblGWP21[[#This Row],[Material Subcategory]],ls_Mat,Factors!$K$952:$K$1023)</f>
        <v>x</v>
      </c>
      <c r="AR221" s="173">
        <v>1</v>
      </c>
      <c r="AS221">
        <v>8.1306407300000008E-2</v>
      </c>
      <c r="AT221" t="s">
        <v>531</v>
      </c>
      <c r="BA221" cm="1">
        <f t="array" ref="BA221:BM221">tblGWP21[#This Row]</f>
        <v>1</v>
      </c>
      <c r="BB221" t="str">
        <v>Metals</v>
      </c>
      <c r="BC221" t="str">
        <v>Other Aluminum</v>
      </c>
      <c r="BD221" t="str">
        <v>Europe</v>
      </c>
      <c r="BE221" t="str">
        <v>n/a</v>
      </c>
      <c r="BF221">
        <v>-4.6396800000000002</v>
      </c>
      <c r="BG221">
        <v>-4.5566017927000004</v>
      </c>
      <c r="BH221">
        <v>-4.8856560488049539</v>
      </c>
      <c r="BI221" t="str">
        <v>DELETE</v>
      </c>
      <c r="BJ221" t="str">
        <v>DELETE</v>
      </c>
      <c r="BK221">
        <v>2.5860000000000001E-2</v>
      </c>
      <c r="BL221">
        <v>-5.9275686661484153E-2</v>
      </c>
      <c r="BM221">
        <v>-5.15838959497779E-2</v>
      </c>
    </row>
    <row r="222" spans="3:65">
      <c r="C222" s="136">
        <v>1</v>
      </c>
      <c r="D222" s="137" t="s">
        <v>256</v>
      </c>
      <c r="E222" s="136" t="s">
        <v>537</v>
      </c>
      <c r="F222" s="136" t="s">
        <v>548</v>
      </c>
      <c r="G222" s="136" t="s">
        <v>203</v>
      </c>
      <c r="H222" s="191">
        <v>-5.0082800000000001</v>
      </c>
      <c r="I222" s="191">
        <v>-4.9252017927000002</v>
      </c>
      <c r="J222" s="191">
        <v>-5.0399399240303886</v>
      </c>
      <c r="K222" s="191">
        <v>0</v>
      </c>
      <c r="L222" s="191">
        <v>0</v>
      </c>
      <c r="M222" s="191">
        <v>2.5860000000000001E-2</v>
      </c>
      <c r="N222" s="191">
        <v>-5.9275686661484195E-2</v>
      </c>
      <c r="O222" s="191">
        <v>-5.1583895949777851E-2</v>
      </c>
      <c r="T222" s="48">
        <v>1</v>
      </c>
      <c r="U222" s="46" t="s">
        <v>247</v>
      </c>
      <c r="V222" s="53" t="s">
        <v>247</v>
      </c>
      <c r="W222" s="53" t="s">
        <v>548</v>
      </c>
      <c r="X222" s="53" t="s">
        <v>203</v>
      </c>
      <c r="Y222" s="172">
        <f>IFERROR(-tblZwaste1422[[#This Row],[Weight (kgCO2e/kg)]],0)</f>
        <v>-1.0505633333333335</v>
      </c>
      <c r="Z222" s="172">
        <f>IF(AQ222="x",(AR222*-tblZwaste1422[[#This Row],[Weight (kgCO2e/kg)]])+AS222+($AR$10*Lookups!$J$38/1000),"DELETE")</f>
        <v>-0.96748512603333348</v>
      </c>
      <c r="AA222" s="172">
        <f t="shared" si="71"/>
        <v>-0.31729999798828479</v>
      </c>
      <c r="AB222" s="172" t="str">
        <f t="shared" si="71"/>
        <v>DELETE</v>
      </c>
      <c r="AC222" s="172" t="str">
        <f t="shared" si="71"/>
        <v>DELETE</v>
      </c>
      <c r="AD222" s="172">
        <f t="shared" si="71"/>
        <v>2.6029592082361448E-2</v>
      </c>
      <c r="AE222" s="172">
        <f t="shared" si="71"/>
        <v>3.0233119146166498E-2</v>
      </c>
      <c r="AF222" s="172">
        <f t="shared" si="71"/>
        <v>4.8922715188156496E-2</v>
      </c>
      <c r="AG222" s="150"/>
      <c r="AI222" s="137">
        <v>1</v>
      </c>
      <c r="AJ222" s="136" t="s">
        <v>247</v>
      </c>
      <c r="AK222" s="142" t="s">
        <v>247</v>
      </c>
      <c r="AL222" s="136" t="s">
        <v>548</v>
      </c>
      <c r="AM222" s="136" t="s">
        <v>203</v>
      </c>
      <c r="AN222" s="1">
        <v>1.0505633333333335</v>
      </c>
      <c r="AO222" s="166">
        <v>0.89563000000000004</v>
      </c>
      <c r="AQ222" t="str">
        <f>_xlfn.XLOOKUP(tblGWP21[[#This Row],[Material Subcategory]],ls_Mat,Factors!$K$952:$K$1023)</f>
        <v>x</v>
      </c>
      <c r="AR222" s="173">
        <v>1</v>
      </c>
      <c r="AS222">
        <v>8.1306407300000008E-2</v>
      </c>
      <c r="AT222" t="s">
        <v>531</v>
      </c>
      <c r="AU222" t="s">
        <v>526</v>
      </c>
      <c r="AV222" s="347">
        <v>0.8</v>
      </c>
      <c r="BA222" cm="1">
        <f t="array" ref="BA222:BM222">tblGWP21[#This Row]</f>
        <v>1</v>
      </c>
      <c r="BB222" t="str">
        <v>Glass</v>
      </c>
      <c r="BC222" t="str">
        <v>Glass</v>
      </c>
      <c r="BD222" t="str">
        <v>Europe</v>
      </c>
      <c r="BE222" t="str">
        <v>n/a</v>
      </c>
      <c r="BF222">
        <v>-1.0505633333333335</v>
      </c>
      <c r="BG222">
        <v>-0.96748512603333348</v>
      </c>
      <c r="BH222">
        <v>-0.31729999798828479</v>
      </c>
      <c r="BI222" t="str">
        <v>DELETE</v>
      </c>
      <c r="BJ222" t="str">
        <v>DELETE</v>
      </c>
      <c r="BK222">
        <v>2.6029592082361448E-2</v>
      </c>
      <c r="BL222">
        <v>3.0233119146166498E-2</v>
      </c>
      <c r="BM222">
        <v>4.8922715188156496E-2</v>
      </c>
    </row>
    <row r="223" spans="3:65">
      <c r="C223" s="362">
        <v>1</v>
      </c>
      <c r="D223" s="363" t="s">
        <v>256</v>
      </c>
      <c r="E223" s="362" t="s">
        <v>538</v>
      </c>
      <c r="F223" s="362" t="s">
        <v>548</v>
      </c>
      <c r="G223" s="362" t="s">
        <v>203</v>
      </c>
      <c r="H223" s="368">
        <v>-4.6396800000000002</v>
      </c>
      <c r="I223" s="368">
        <v>0</v>
      </c>
      <c r="J223" s="368">
        <v>0</v>
      </c>
      <c r="K223" s="368">
        <v>0</v>
      </c>
      <c r="L223" s="368">
        <v>0</v>
      </c>
      <c r="M223" s="368">
        <v>2.5860000000000001E-2</v>
      </c>
      <c r="N223" s="368">
        <v>-5.56508197743582E-2</v>
      </c>
      <c r="O223" s="368">
        <v>-5.1583895949777851E-2</v>
      </c>
      <c r="T223" s="48">
        <v>1</v>
      </c>
      <c r="U223" s="46" t="s">
        <v>247</v>
      </c>
      <c r="V223" s="53" t="s">
        <v>248</v>
      </c>
      <c r="W223" s="53" t="s">
        <v>548</v>
      </c>
      <c r="X223" s="53" t="s">
        <v>203</v>
      </c>
      <c r="Y223" s="172">
        <f>IFERROR(-tblZwaste1422[[#This Row],[Weight (kgCO2e/kg)]],0)</f>
        <v>-1.0606100000000001</v>
      </c>
      <c r="Z223" s="172">
        <f>IF(AQ223="x",(AR223*-tblZwaste1422[[#This Row],[Weight (kgCO2e/kg)]])+AS223+($AR$10*Lookups!$J$38/1000),"DELETE")</f>
        <v>-0.97753179270000001</v>
      </c>
      <c r="AA223" s="172">
        <f t="shared" si="71"/>
        <v>-0.16832522281711892</v>
      </c>
      <c r="AB223" s="172" t="str">
        <f t="shared" si="71"/>
        <v>DELETE</v>
      </c>
      <c r="AC223" s="172" t="str">
        <f t="shared" si="71"/>
        <v>DELETE</v>
      </c>
      <c r="AD223" s="172">
        <f t="shared" si="71"/>
        <v>2.6029598061898848E-2</v>
      </c>
      <c r="AE223" s="172">
        <f t="shared" si="71"/>
        <v>3.4137431052983253E-2</v>
      </c>
      <c r="AF223" s="172">
        <f t="shared" si="71"/>
        <v>4.892153158255045E-2</v>
      </c>
      <c r="AG223" s="150"/>
      <c r="AI223" s="137">
        <v>1</v>
      </c>
      <c r="AJ223" s="136" t="s">
        <v>247</v>
      </c>
      <c r="AK223" s="142" t="s">
        <v>248</v>
      </c>
      <c r="AL223" s="136" t="s">
        <v>548</v>
      </c>
      <c r="AM223" s="136" t="s">
        <v>203</v>
      </c>
      <c r="AN223" s="1">
        <v>1.0606100000000001</v>
      </c>
      <c r="AO223" s="166">
        <v>0.89563000000000004</v>
      </c>
      <c r="AQ223" t="str">
        <f>_xlfn.XLOOKUP(tblGWP21[[#This Row],[Material Subcategory]],ls_Mat,Factors!$K$952:$K$1023)</f>
        <v>x</v>
      </c>
      <c r="AR223" s="173">
        <v>1</v>
      </c>
      <c r="AS223">
        <v>8.1306407300000008E-2</v>
      </c>
      <c r="AT223" t="s">
        <v>531</v>
      </c>
      <c r="AU223" t="s">
        <v>526</v>
      </c>
      <c r="AV223" s="347">
        <v>0.88</v>
      </c>
      <c r="BA223" cm="1">
        <f t="array" ref="BA223:BM223">tblGWP21[#This Row]</f>
        <v>1</v>
      </c>
      <c r="BB223" t="str">
        <v>Glass</v>
      </c>
      <c r="BC223" t="str">
        <v>Glass – Brown</v>
      </c>
      <c r="BD223" t="str">
        <v>Europe</v>
      </c>
      <c r="BE223" t="str">
        <v>n/a</v>
      </c>
      <c r="BF223">
        <v>-1.0606100000000001</v>
      </c>
      <c r="BG223">
        <v>-0.97753179270000001</v>
      </c>
      <c r="BH223">
        <v>-0.16832522281711892</v>
      </c>
      <c r="BI223" t="str">
        <v>DELETE</v>
      </c>
      <c r="BJ223" t="str">
        <v>DELETE</v>
      </c>
      <c r="BK223">
        <v>2.6029598061898848E-2</v>
      </c>
      <c r="BL223">
        <v>3.4137431052983253E-2</v>
      </c>
      <c r="BM223">
        <v>4.892153158255045E-2</v>
      </c>
    </row>
    <row r="224" spans="3:65">
      <c r="C224" s="136">
        <v>1</v>
      </c>
      <c r="D224" s="137" t="s">
        <v>256</v>
      </c>
      <c r="E224" s="136" t="s">
        <v>258</v>
      </c>
      <c r="F224" s="136" t="s">
        <v>548</v>
      </c>
      <c r="G224" s="136" t="s">
        <v>203</v>
      </c>
      <c r="H224" s="191">
        <v>-4.6396800000000002</v>
      </c>
      <c r="I224" s="191">
        <v>-4.5566017927000004</v>
      </c>
      <c r="J224" s="191">
        <v>-4.8856560488049539</v>
      </c>
      <c r="K224" s="191">
        <v>0</v>
      </c>
      <c r="L224" s="191">
        <v>0</v>
      </c>
      <c r="M224" s="191">
        <v>2.5860000000000001E-2</v>
      </c>
      <c r="N224" s="191">
        <v>-5.9275686661484153E-2</v>
      </c>
      <c r="O224" s="191">
        <v>-5.15838959497779E-2</v>
      </c>
      <c r="T224" s="48">
        <v>1</v>
      </c>
      <c r="U224" s="46" t="s">
        <v>247</v>
      </c>
      <c r="V224" s="53" t="s">
        <v>263</v>
      </c>
      <c r="W224" s="53" t="s">
        <v>548</v>
      </c>
      <c r="X224" s="53" t="s">
        <v>203</v>
      </c>
      <c r="Y224" s="172">
        <f>IFERROR(-tblZwaste1422[[#This Row],[Weight (kgCO2e/kg)]],0)</f>
        <v>-1.0341199999999999</v>
      </c>
      <c r="Z224" s="172">
        <f>IF(AQ224="x",(AR224*-tblZwaste1422[[#This Row],[Weight (kgCO2e/kg)]])+AS224+($AR$10*Lookups!$J$38/1000),"DELETE")</f>
        <v>-0.95104179269999989</v>
      </c>
      <c r="AA224" s="172">
        <f t="shared" si="71"/>
        <v>-0.16832522281711987</v>
      </c>
      <c r="AB224" s="172" t="str">
        <f t="shared" si="71"/>
        <v>DELETE</v>
      </c>
      <c r="AC224" s="172" t="str">
        <f t="shared" si="71"/>
        <v>DELETE</v>
      </c>
      <c r="AD224" s="172">
        <f t="shared" si="71"/>
        <v>2.6029601767455848E-2</v>
      </c>
      <c r="AE224" s="172">
        <f t="shared" si="71"/>
        <v>3.6477878463772401E-2</v>
      </c>
      <c r="AF224" s="172">
        <f t="shared" si="71"/>
        <v>4.8921607150688752E-2</v>
      </c>
      <c r="AG224" s="150"/>
      <c r="AI224" s="137">
        <v>1</v>
      </c>
      <c r="AJ224" s="136" t="s">
        <v>247</v>
      </c>
      <c r="AK224" s="142" t="s">
        <v>263</v>
      </c>
      <c r="AL224" s="136" t="s">
        <v>548</v>
      </c>
      <c r="AM224" s="136" t="s">
        <v>203</v>
      </c>
      <c r="AN224" s="1">
        <v>1.0341199999999999</v>
      </c>
      <c r="AO224" s="166">
        <v>0.89563000000000004</v>
      </c>
      <c r="AQ224" t="str">
        <f>_xlfn.XLOOKUP(tblGWP21[[#This Row],[Material Subcategory]],ls_Mat,Factors!$K$952:$K$1023)</f>
        <v>x</v>
      </c>
      <c r="AR224" s="173">
        <v>1</v>
      </c>
      <c r="AS224">
        <v>8.1306407300000008E-2</v>
      </c>
      <c r="AT224" t="s">
        <v>531</v>
      </c>
      <c r="AU224" t="s">
        <v>526</v>
      </c>
      <c r="AV224" s="347">
        <v>0.8</v>
      </c>
      <c r="BA224" cm="1">
        <f t="array" ref="BA224:BM224">tblGWP21[#This Row]</f>
        <v>1</v>
      </c>
      <c r="BB224" t="str">
        <v>Glass</v>
      </c>
      <c r="BC224" t="str">
        <v>Glass – Green</v>
      </c>
      <c r="BD224" t="str">
        <v>Europe</v>
      </c>
      <c r="BE224" t="str">
        <v>n/a</v>
      </c>
      <c r="BF224">
        <v>-1.0341199999999999</v>
      </c>
      <c r="BG224">
        <v>-0.95104179269999989</v>
      </c>
      <c r="BH224">
        <v>-0.16832522281711987</v>
      </c>
      <c r="BI224" t="str">
        <v>DELETE</v>
      </c>
      <c r="BJ224" t="str">
        <v>DELETE</v>
      </c>
      <c r="BK224">
        <v>2.6029601767455848E-2</v>
      </c>
      <c r="BL224">
        <v>3.6477878463772401E-2</v>
      </c>
      <c r="BM224">
        <v>4.8921607150688752E-2</v>
      </c>
    </row>
    <row r="225" spans="3:65">
      <c r="C225" s="362">
        <v>1</v>
      </c>
      <c r="D225" s="363" t="s">
        <v>247</v>
      </c>
      <c r="E225" s="362" t="s">
        <v>247</v>
      </c>
      <c r="F225" s="362" t="s">
        <v>548</v>
      </c>
      <c r="G225" s="362" t="s">
        <v>203</v>
      </c>
      <c r="H225" s="368">
        <v>-1.0505633333333335</v>
      </c>
      <c r="I225" s="368">
        <v>-0.96748512603333348</v>
      </c>
      <c r="J225" s="368">
        <v>-0.31729999798828479</v>
      </c>
      <c r="K225" s="368">
        <v>0</v>
      </c>
      <c r="L225" s="368">
        <v>0</v>
      </c>
      <c r="M225" s="368">
        <v>2.6029592082361448E-2</v>
      </c>
      <c r="N225" s="368">
        <v>3.0233119146166498E-2</v>
      </c>
      <c r="O225" s="368">
        <v>4.8922715188156496E-2</v>
      </c>
      <c r="T225" s="48">
        <v>1</v>
      </c>
      <c r="U225" s="46" t="s">
        <v>247</v>
      </c>
      <c r="V225" s="53" t="s">
        <v>539</v>
      </c>
      <c r="W225" s="53" t="s">
        <v>548</v>
      </c>
      <c r="X225" s="53" t="s">
        <v>203</v>
      </c>
      <c r="Y225" s="172">
        <f>IFERROR(-tblZwaste1422[[#This Row],[Weight (kgCO2e/kg)]],0)</f>
        <v>-1.0569599999999999</v>
      </c>
      <c r="Z225" s="172">
        <f>IF(AQ225="x",(AR225*-tblZwaste1422[[#This Row],[Weight (kgCO2e/kg)]])+AS225+($AR$10*Lookups!$J$38/1000),"DELETE")</f>
        <v>-0.97388179269999986</v>
      </c>
      <c r="AA225" s="172">
        <f t="shared" ref="AA225:AF234" si="72">IF(ISNUMBER(AVERAGE(AA561,AA617)),AVERAGE(AA561,AA617),AA561)</f>
        <v>-0.17364075616923944</v>
      </c>
      <c r="AB225" s="172" t="str">
        <f t="shared" si="72"/>
        <v>DELETE</v>
      </c>
      <c r="AC225" s="172" t="str">
        <f t="shared" si="72"/>
        <v>DELETE</v>
      </c>
      <c r="AD225" s="172">
        <f t="shared" si="72"/>
        <v>2.6029582406386399E-2</v>
      </c>
      <c r="AE225" s="172">
        <f t="shared" si="72"/>
        <v>2.394464457171265E-2</v>
      </c>
      <c r="AF225" s="172">
        <f t="shared" si="72"/>
        <v>4.8923989940827452E-2</v>
      </c>
      <c r="AG225" s="150"/>
      <c r="AI225" s="137">
        <v>1</v>
      </c>
      <c r="AJ225" s="136" t="s">
        <v>247</v>
      </c>
      <c r="AK225" s="142" t="s">
        <v>539</v>
      </c>
      <c r="AL225" s="136" t="s">
        <v>548</v>
      </c>
      <c r="AM225" s="136" t="s">
        <v>203</v>
      </c>
      <c r="AN225" s="1">
        <v>1.0569599999999999</v>
      </c>
      <c r="AO225" s="166">
        <v>0.89563000000000004</v>
      </c>
      <c r="AQ225" t="str">
        <f>_xlfn.XLOOKUP(tblGWP21[[#This Row],[Material Subcategory]],ls_Mat,Factors!$K$952:$K$1023)</f>
        <v>x</v>
      </c>
      <c r="AR225" s="173">
        <v>1</v>
      </c>
      <c r="AS225">
        <v>8.1306407300000008E-2</v>
      </c>
      <c r="AT225" t="s">
        <v>531</v>
      </c>
      <c r="AU225" t="s">
        <v>526</v>
      </c>
      <c r="AV225" s="347">
        <v>0.65</v>
      </c>
      <c r="BA225" cm="1">
        <f t="array" ref="BA225:BM225">tblGWP21[#This Row]</f>
        <v>1</v>
      </c>
      <c r="BB225" t="str">
        <v>Glass</v>
      </c>
      <c r="BC225" t="str">
        <v>Glass – Clear</v>
      </c>
      <c r="BD225" t="str">
        <v>Europe</v>
      </c>
      <c r="BE225" t="str">
        <v>n/a</v>
      </c>
      <c r="BF225">
        <v>-1.0569599999999999</v>
      </c>
      <c r="BG225">
        <v>-0.97388179269999986</v>
      </c>
      <c r="BH225">
        <v>-0.17364075616923944</v>
      </c>
      <c r="BI225" t="str">
        <v>DELETE</v>
      </c>
      <c r="BJ225" t="str">
        <v>DELETE</v>
      </c>
      <c r="BK225">
        <v>2.6029582406386399E-2</v>
      </c>
      <c r="BL225">
        <v>2.394464457171265E-2</v>
      </c>
      <c r="BM225">
        <v>4.8923989940827452E-2</v>
      </c>
    </row>
    <row r="226" spans="3:65">
      <c r="C226" s="136">
        <v>1</v>
      </c>
      <c r="D226" s="137" t="s">
        <v>247</v>
      </c>
      <c r="E226" s="136" t="s">
        <v>248</v>
      </c>
      <c r="F226" s="136" t="s">
        <v>548</v>
      </c>
      <c r="G226" s="136" t="s">
        <v>203</v>
      </c>
      <c r="H226" s="191">
        <v>-1.0606100000000001</v>
      </c>
      <c r="I226" s="191">
        <v>-0.97753179270000001</v>
      </c>
      <c r="J226" s="191">
        <v>-0.16832522281711892</v>
      </c>
      <c r="K226" s="191">
        <v>0</v>
      </c>
      <c r="L226" s="191">
        <v>0</v>
      </c>
      <c r="M226" s="191">
        <v>2.6029598061898848E-2</v>
      </c>
      <c r="N226" s="191">
        <v>3.4137431052983253E-2</v>
      </c>
      <c r="O226" s="191">
        <v>4.892153158255045E-2</v>
      </c>
      <c r="T226" s="48">
        <v>1</v>
      </c>
      <c r="U226" s="46" t="s">
        <v>247</v>
      </c>
      <c r="V226" s="53" t="s">
        <v>270</v>
      </c>
      <c r="W226" s="53" t="s">
        <v>548</v>
      </c>
      <c r="X226" s="53" t="s">
        <v>203</v>
      </c>
      <c r="Y226" s="172">
        <f>IFERROR(-tblZwaste1422[[#This Row],[Weight (kgCO2e/kg)]],0)</f>
        <v>-1.0505633333333335</v>
      </c>
      <c r="Z226" s="172">
        <f>IF(AQ226="x",(AR226*-tblZwaste1422[[#This Row],[Weight (kgCO2e/kg)]])+AS226+($AR$10*Lookups!$J$38/1000),"DELETE")</f>
        <v>-0.96748512603333348</v>
      </c>
      <c r="AA226" s="172">
        <f t="shared" si="72"/>
        <v>-0.31729999798828479</v>
      </c>
      <c r="AB226" s="172" t="str">
        <f t="shared" si="72"/>
        <v>DELETE</v>
      </c>
      <c r="AC226" s="172" t="str">
        <f t="shared" si="72"/>
        <v>DELETE</v>
      </c>
      <c r="AD226" s="172">
        <f t="shared" si="72"/>
        <v>2.6029592082361448E-2</v>
      </c>
      <c r="AE226" s="172">
        <f t="shared" si="72"/>
        <v>3.0233119146166498E-2</v>
      </c>
      <c r="AF226" s="172">
        <f t="shared" si="72"/>
        <v>4.8922715188156496E-2</v>
      </c>
      <c r="AG226" s="150"/>
      <c r="AI226" s="137">
        <v>1</v>
      </c>
      <c r="AJ226" s="136" t="s">
        <v>247</v>
      </c>
      <c r="AK226" s="142" t="s">
        <v>270</v>
      </c>
      <c r="AL226" s="136" t="s">
        <v>548</v>
      </c>
      <c r="AM226" s="136" t="s">
        <v>203</v>
      </c>
      <c r="AN226" s="1">
        <v>1.0505633333333335</v>
      </c>
      <c r="AO226" s="166">
        <v>0.89563000000000004</v>
      </c>
      <c r="AQ226" t="str">
        <f>_xlfn.XLOOKUP(tblGWP21[[#This Row],[Material Subcategory]],ls_Mat,Factors!$K$952:$K$1023)</f>
        <v>x</v>
      </c>
      <c r="AR226" s="173">
        <v>1</v>
      </c>
      <c r="AS226">
        <v>8.1306407300000008E-2</v>
      </c>
      <c r="AT226" t="s">
        <v>531</v>
      </c>
      <c r="AU226" t="s">
        <v>526</v>
      </c>
      <c r="AV226" s="347">
        <v>0.65</v>
      </c>
      <c r="BA226" cm="1">
        <f t="array" ref="BA226:BM226">tblGWP21[#This Row]</f>
        <v>1</v>
      </c>
      <c r="BB226" t="str">
        <v>Glass</v>
      </c>
      <c r="BC226" t="str">
        <v>Mixed Glass</v>
      </c>
      <c r="BD226" t="str">
        <v>Europe</v>
      </c>
      <c r="BE226" t="str">
        <v>n/a</v>
      </c>
      <c r="BF226">
        <v>-1.0505633333333335</v>
      </c>
      <c r="BG226">
        <v>-0.96748512603333348</v>
      </c>
      <c r="BH226">
        <v>-0.31729999798828479</v>
      </c>
      <c r="BI226" t="str">
        <v>DELETE</v>
      </c>
      <c r="BJ226" t="str">
        <v>DELETE</v>
      </c>
      <c r="BK226">
        <v>2.6029592082361448E-2</v>
      </c>
      <c r="BL226">
        <v>3.0233119146166498E-2</v>
      </c>
      <c r="BM226">
        <v>4.8922715188156496E-2</v>
      </c>
    </row>
    <row r="227" spans="3:65">
      <c r="C227" s="362">
        <v>1</v>
      </c>
      <c r="D227" s="363" t="s">
        <v>247</v>
      </c>
      <c r="E227" s="362" t="s">
        <v>263</v>
      </c>
      <c r="F227" s="362" t="s">
        <v>548</v>
      </c>
      <c r="G227" s="362" t="s">
        <v>203</v>
      </c>
      <c r="H227" s="368">
        <v>-1.0341199999999999</v>
      </c>
      <c r="I227" s="368">
        <v>-0.95104179269999989</v>
      </c>
      <c r="J227" s="368">
        <v>-0.16832522281711987</v>
      </c>
      <c r="K227" s="368">
        <v>0</v>
      </c>
      <c r="L227" s="368">
        <v>0</v>
      </c>
      <c r="M227" s="368">
        <v>2.6029601767455848E-2</v>
      </c>
      <c r="N227" s="368">
        <v>3.6477878463772401E-2</v>
      </c>
      <c r="O227" s="368">
        <v>4.8921607150688752E-2</v>
      </c>
      <c r="T227" s="48">
        <v>1</v>
      </c>
      <c r="U227" s="46" t="s">
        <v>247</v>
      </c>
      <c r="V227" s="53" t="s">
        <v>540</v>
      </c>
      <c r="W227" s="53" t="s">
        <v>548</v>
      </c>
      <c r="X227" s="53" t="s">
        <v>203</v>
      </c>
      <c r="Y227" s="172">
        <f>IFERROR(-tblZwaste1422[[#This Row],[Weight (kgCO2e/kg)]],0)</f>
        <v>-1.0473650000000001</v>
      </c>
      <c r="Z227" s="172">
        <f>IF(AQ227="x",(AR227*-tblZwaste1422[[#This Row],[Weight (kgCO2e/kg)]])+AS227+($AR$10*Lookups!$J$38/1000),"DELETE")</f>
        <v>-0.96428679270000006</v>
      </c>
      <c r="AA227" s="172" t="str">
        <f t="shared" si="72"/>
        <v>DELETE</v>
      </c>
      <c r="AB227" s="172" t="str">
        <f t="shared" si="72"/>
        <v>DELETE</v>
      </c>
      <c r="AC227" s="172" t="str">
        <f t="shared" si="72"/>
        <v>DELETE</v>
      </c>
      <c r="AD227" s="172">
        <f t="shared" si="72"/>
        <v>2.6029575633542447E-2</v>
      </c>
      <c r="AE227" s="172">
        <f t="shared" si="72"/>
        <v>2.6284571827274651E-2</v>
      </c>
      <c r="AF227" s="172">
        <f t="shared" si="72"/>
        <v>4.8923545353738704E-2</v>
      </c>
      <c r="AG227" s="150"/>
      <c r="AI227" s="137">
        <v>1</v>
      </c>
      <c r="AJ227" s="136" t="s">
        <v>247</v>
      </c>
      <c r="AK227" s="142" t="s">
        <v>540</v>
      </c>
      <c r="AL227" s="136" t="s">
        <v>548</v>
      </c>
      <c r="AM227" s="136" t="s">
        <v>203</v>
      </c>
      <c r="AN227" s="1">
        <v>1.0473650000000001</v>
      </c>
      <c r="AO227" s="166">
        <v>0.89563000000000004</v>
      </c>
      <c r="AQ227" t="str">
        <f>_xlfn.XLOOKUP(tblGWP21[[#This Row],[Material Subcategory]],ls_Mat,Factors!$K$952:$K$1023)</f>
        <v>x</v>
      </c>
      <c r="AR227" s="173">
        <v>1</v>
      </c>
      <c r="AS227">
        <v>8.1306407300000008E-2</v>
      </c>
      <c r="AT227" t="s">
        <v>531</v>
      </c>
      <c r="AU227" t="s">
        <v>526</v>
      </c>
      <c r="AV227" s="347">
        <v>0.65</v>
      </c>
      <c r="BA227" cm="1">
        <f t="array" ref="BA227:BM227">tblGWP21[#This Row]</f>
        <v>1</v>
      </c>
      <c r="BB227" t="str">
        <v>Glass</v>
      </c>
      <c r="BC227" t="str">
        <v>Glass – Non-Recyclable</v>
      </c>
      <c r="BD227" t="str">
        <v>Europe</v>
      </c>
      <c r="BE227" t="str">
        <v>n/a</v>
      </c>
      <c r="BF227">
        <v>-1.0473650000000001</v>
      </c>
      <c r="BG227">
        <v>-0.96428679270000006</v>
      </c>
      <c r="BH227" t="str">
        <v>DELETE</v>
      </c>
      <c r="BI227" t="str">
        <v>DELETE</v>
      </c>
      <c r="BJ227" t="str">
        <v>DELETE</v>
      </c>
      <c r="BK227">
        <v>2.6029575633542447E-2</v>
      </c>
      <c r="BL227">
        <v>2.6284571827274651E-2</v>
      </c>
      <c r="BM227">
        <v>4.8923545353738704E-2</v>
      </c>
    </row>
    <row r="228" spans="3:65">
      <c r="C228" s="136">
        <v>1</v>
      </c>
      <c r="D228" s="137" t="s">
        <v>247</v>
      </c>
      <c r="E228" s="136" t="s">
        <v>539</v>
      </c>
      <c r="F228" s="136" t="s">
        <v>548</v>
      </c>
      <c r="G228" s="136" t="s">
        <v>203</v>
      </c>
      <c r="H228" s="191">
        <v>-1.0569599999999999</v>
      </c>
      <c r="I228" s="191">
        <v>-0.97388179269999986</v>
      </c>
      <c r="J228" s="191">
        <v>-0.17364075616923944</v>
      </c>
      <c r="K228" s="191">
        <v>0</v>
      </c>
      <c r="L228" s="191">
        <v>0</v>
      </c>
      <c r="M228" s="191">
        <v>2.6029582406386399E-2</v>
      </c>
      <c r="N228" s="191">
        <v>2.394464457171265E-2</v>
      </c>
      <c r="O228" s="191">
        <v>4.8923989940827452E-2</v>
      </c>
      <c r="T228" s="48">
        <v>1</v>
      </c>
      <c r="U228" s="46" t="s">
        <v>261</v>
      </c>
      <c r="V228" s="53" t="s">
        <v>260</v>
      </c>
      <c r="W228" s="53" t="s">
        <v>548</v>
      </c>
      <c r="X228" s="53" t="s">
        <v>203</v>
      </c>
      <c r="Y228" s="172">
        <f>IFERROR(-tblZwaste1422[[#This Row],[Weight (kgCO2e/kg)]],0)</f>
        <v>-4.0364225925925927</v>
      </c>
      <c r="Z228" s="172" t="str">
        <f>IF(AQ228="x",(AR228*-tblZwaste1422[[#This Row],[Weight (kgCO2e/kg)]])+AS228+($AR$10*Lookups!$J$38/1000),"DELETE")</f>
        <v>DELETE</v>
      </c>
      <c r="AA228" s="172" t="str">
        <f t="shared" si="72"/>
        <v>DELETE</v>
      </c>
      <c r="AB228" s="172">
        <f t="shared" si="72"/>
        <v>-0.50412550177472648</v>
      </c>
      <c r="AC228" s="172">
        <f t="shared" si="72"/>
        <v>-0.86668182891430401</v>
      </c>
      <c r="AD228" s="172">
        <f t="shared" si="72"/>
        <v>-0.18013472149019349</v>
      </c>
      <c r="AE228" s="172">
        <f t="shared" si="72"/>
        <v>-0.25153690717815702</v>
      </c>
      <c r="AF228" s="172">
        <f t="shared" si="72"/>
        <v>2.75306124071697E-2</v>
      </c>
      <c r="AG228" s="150"/>
      <c r="AI228" s="137">
        <v>1</v>
      </c>
      <c r="AJ228" s="136" t="s">
        <v>529</v>
      </c>
      <c r="AK228" s="142" t="s">
        <v>260</v>
      </c>
      <c r="AL228" s="136" t="s">
        <v>548</v>
      </c>
      <c r="AM228" s="136" t="s">
        <v>203</v>
      </c>
      <c r="AN228" s="1">
        <v>4.0364225925925927</v>
      </c>
      <c r="AO228" s="166">
        <v>1.3856655555555555</v>
      </c>
      <c r="AQ228">
        <f>_xlfn.XLOOKUP(tblGWP21[[#This Row],[Material Subcategory]],ls_Mat,Factors!$K$952:$K$1023)</f>
        <v>0</v>
      </c>
      <c r="AR228" s="173"/>
      <c r="AU228" t="s">
        <v>526</v>
      </c>
      <c r="AV228" s="347">
        <v>0.8</v>
      </c>
      <c r="BA228" cm="1">
        <f t="array" ref="BA228:BM228">tblGWP21[#This Row]</f>
        <v>1</v>
      </c>
      <c r="BB228" t="str">
        <v>Food Waste</v>
      </c>
      <c r="BC228" t="str">
        <v>Mixed Organics</v>
      </c>
      <c r="BD228" t="str">
        <v>Europe</v>
      </c>
      <c r="BE228" t="str">
        <v>n/a</v>
      </c>
      <c r="BF228">
        <v>-4.0364225925925927</v>
      </c>
      <c r="BG228" t="str">
        <v>DELETE</v>
      </c>
      <c r="BH228" t="str">
        <v>DELETE</v>
      </c>
      <c r="BI228">
        <v>-0.50412550177472648</v>
      </c>
      <c r="BJ228">
        <v>-0.86668182891430401</v>
      </c>
      <c r="BK228">
        <v>-0.18013472149019349</v>
      </c>
      <c r="BL228">
        <v>-0.25153690717815702</v>
      </c>
      <c r="BM228">
        <v>2.75306124071697E-2</v>
      </c>
    </row>
    <row r="229" spans="3:65">
      <c r="C229" s="362">
        <v>1</v>
      </c>
      <c r="D229" s="363" t="s">
        <v>247</v>
      </c>
      <c r="E229" s="362" t="s">
        <v>270</v>
      </c>
      <c r="F229" s="362" t="s">
        <v>548</v>
      </c>
      <c r="G229" s="362" t="s">
        <v>203</v>
      </c>
      <c r="H229" s="368">
        <v>-1.0505633333333335</v>
      </c>
      <c r="I229" s="368">
        <v>-0.96748512603333348</v>
      </c>
      <c r="J229" s="368">
        <v>-0.31729999798828479</v>
      </c>
      <c r="K229" s="368">
        <v>0</v>
      </c>
      <c r="L229" s="368">
        <v>0</v>
      </c>
      <c r="M229" s="368">
        <v>2.6029592082361448E-2</v>
      </c>
      <c r="N229" s="368">
        <v>3.0233119146166498E-2</v>
      </c>
      <c r="O229" s="368">
        <v>4.8922715188156496E-2</v>
      </c>
      <c r="T229" s="48">
        <v>1</v>
      </c>
      <c r="U229" s="46" t="s">
        <v>237</v>
      </c>
      <c r="V229" s="53" t="s">
        <v>237</v>
      </c>
      <c r="W229" s="53" t="s">
        <v>548</v>
      </c>
      <c r="X229" s="53" t="s">
        <v>203</v>
      </c>
      <c r="Y229" s="172">
        <f>IFERROR(-tblZwaste1422[[#This Row],[Weight (kgCO2e/kg)]],0)</f>
        <v>-2.8533815875203707</v>
      </c>
      <c r="Z229" s="172" t="e">
        <f>IF(AQ229="x",(AR229*-tblZwaste1422[[#This Row],[Weight (kgCO2e/kg)]])+AS229+($AR$10*Lookups!$J$38/1000),"DELETE")</f>
        <v>#N/A</v>
      </c>
      <c r="AA229" s="172" t="s">
        <v>567</v>
      </c>
      <c r="AB229" s="172" t="str">
        <f t="shared" si="72"/>
        <v>DELETE</v>
      </c>
      <c r="AC229" s="172" t="str">
        <f t="shared" si="72"/>
        <v>DELETE</v>
      </c>
      <c r="AD229" s="172">
        <f t="shared" si="72"/>
        <v>-0.47410512659641396</v>
      </c>
      <c r="AE229" s="172">
        <f t="shared" si="72"/>
        <v>-0.563730049331581</v>
      </c>
      <c r="AF229" s="172">
        <f t="shared" si="72"/>
        <v>2.7969565018779084E-2</v>
      </c>
      <c r="AG229" s="150"/>
      <c r="AI229" s="137">
        <v>1</v>
      </c>
      <c r="AJ229" s="136" t="s">
        <v>237</v>
      </c>
      <c r="AK229" s="142" t="s">
        <v>237</v>
      </c>
      <c r="AL229" s="136" t="s">
        <v>548</v>
      </c>
      <c r="AM229" s="136" t="s">
        <v>203</v>
      </c>
      <c r="AN229" s="1">
        <v>2.8533815875203707</v>
      </c>
      <c r="AO229" s="166">
        <v>1.0711602172222223</v>
      </c>
      <c r="AQ229" t="e">
        <f>_xlfn.XLOOKUP(tblGWP21[[#This Row],[Material Subcategory]],ls_Mat,Factors!$K$952:$K$1023)</f>
        <v>#N/A</v>
      </c>
      <c r="AR229" s="173">
        <v>0.5</v>
      </c>
      <c r="AS229">
        <v>0</v>
      </c>
      <c r="AT229" t="s">
        <v>527</v>
      </c>
      <c r="BA229" cm="1">
        <f t="array" ref="BA229:BM229">tblGWP21[#This Row]</f>
        <v>1</v>
      </c>
      <c r="BB229" t="str">
        <v>Mixed/Custom</v>
      </c>
      <c r="BC229" t="str">
        <v>Mixed/Custom</v>
      </c>
      <c r="BD229" t="str">
        <v>Europe</v>
      </c>
      <c r="BE229" t="str">
        <v>n/a</v>
      </c>
      <c r="BF229">
        <v>-2.8533815875203707</v>
      </c>
      <c r="BG229" t="e">
        <v>#N/A</v>
      </c>
      <c r="BH229" t="str">
        <v>DELETE</v>
      </c>
      <c r="BI229" t="str">
        <v>DELETE</v>
      </c>
      <c r="BJ229" t="str">
        <v>DELETE</v>
      </c>
      <c r="BK229">
        <v>-0.47410512659641396</v>
      </c>
      <c r="BL229">
        <v>-0.563730049331581</v>
      </c>
      <c r="BM229">
        <v>2.7969565018779084E-2</v>
      </c>
    </row>
    <row r="230" spans="3:65">
      <c r="C230" s="136">
        <v>1</v>
      </c>
      <c r="D230" s="137" t="s">
        <v>247</v>
      </c>
      <c r="E230" s="136" t="s">
        <v>540</v>
      </c>
      <c r="F230" s="136" t="s">
        <v>548</v>
      </c>
      <c r="G230" s="136" t="s">
        <v>203</v>
      </c>
      <c r="H230" s="191">
        <v>-1.0473650000000001</v>
      </c>
      <c r="I230" s="191">
        <v>-0.96428679270000006</v>
      </c>
      <c r="J230" s="191">
        <v>0</v>
      </c>
      <c r="K230" s="191">
        <v>0</v>
      </c>
      <c r="L230" s="191">
        <v>0</v>
      </c>
      <c r="M230" s="191">
        <v>2.6029575633542447E-2</v>
      </c>
      <c r="N230" s="191">
        <v>2.6284571827274651E-2</v>
      </c>
      <c r="O230" s="191">
        <v>4.8923545353738704E-2</v>
      </c>
      <c r="T230" s="48">
        <v>1</v>
      </c>
      <c r="U230" s="46" t="s">
        <v>237</v>
      </c>
      <c r="V230" s="53" t="s">
        <v>246</v>
      </c>
      <c r="W230" s="53" t="s">
        <v>548</v>
      </c>
      <c r="X230" s="53" t="s">
        <v>203</v>
      </c>
      <c r="Y230" s="172">
        <f>IFERROR(-tblZwaste1422[[#This Row],[Weight (kgCO2e/kg)]],0)</f>
        <v>-7.3412433500000009</v>
      </c>
      <c r="Z230" s="172" t="str">
        <f>IF(AQ230="x",(AR230*-tblZwaste1422[[#This Row],[Weight (kgCO2e/kg)]])+AS230+($AR$10*Lookups!$J$38/1000),"DELETE")</f>
        <v>DELETE</v>
      </c>
      <c r="AA230" s="172" t="str">
        <f t="shared" si="72"/>
        <v>DELETE</v>
      </c>
      <c r="AB230" s="172" t="str">
        <f t="shared" si="72"/>
        <v>DELETE</v>
      </c>
      <c r="AC230" s="172" t="str">
        <f t="shared" si="72"/>
        <v>DELETE</v>
      </c>
      <c r="AD230" s="172">
        <f t="shared" si="72"/>
        <v>2.6029626346381451E-2</v>
      </c>
      <c r="AE230" s="172">
        <f t="shared" si="72"/>
        <v>4.149464191173885E-2</v>
      </c>
      <c r="AF230" s="172">
        <f t="shared" si="72"/>
        <v>4.8921198460972648E-2</v>
      </c>
      <c r="AG230" s="150"/>
      <c r="AI230" s="137">
        <v>1</v>
      </c>
      <c r="AJ230" s="136" t="s">
        <v>237</v>
      </c>
      <c r="AK230" s="142" t="s">
        <v>246</v>
      </c>
      <c r="AL230" s="136" t="s">
        <v>548</v>
      </c>
      <c r="AM230" s="136" t="s">
        <v>203</v>
      </c>
      <c r="AN230" s="1">
        <v>7.3412433500000009</v>
      </c>
      <c r="AO230" s="166">
        <v>0.66842500000000005</v>
      </c>
      <c r="AQ230">
        <f>_xlfn.XLOOKUP(tblGWP21[[#This Row],[Material Subcategory]],ls_Mat,Factors!$K$952:$K$1023)</f>
        <v>0</v>
      </c>
      <c r="AR230" s="173"/>
      <c r="BA230" cm="1">
        <f t="array" ref="BA230:BM230">tblGWP21[#This Row]</f>
        <v>1</v>
      </c>
      <c r="BB230" t="str">
        <v>Mixed/Custom</v>
      </c>
      <c r="BC230" t="str">
        <v>Mixed Inorganics</v>
      </c>
      <c r="BD230" t="str">
        <v>Europe</v>
      </c>
      <c r="BE230" t="str">
        <v>n/a</v>
      </c>
      <c r="BF230">
        <v>-7.3412433500000009</v>
      </c>
      <c r="BG230" t="str">
        <v>DELETE</v>
      </c>
      <c r="BH230" t="str">
        <v>DELETE</v>
      </c>
      <c r="BI230" t="str">
        <v>DELETE</v>
      </c>
      <c r="BJ230" t="str">
        <v>DELETE</v>
      </c>
      <c r="BK230">
        <v>2.6029626346381451E-2</v>
      </c>
      <c r="BL230">
        <v>4.149464191173885E-2</v>
      </c>
      <c r="BM230">
        <v>4.8921198460972648E-2</v>
      </c>
    </row>
    <row r="231" spans="3:65">
      <c r="C231" s="362">
        <v>1</v>
      </c>
      <c r="D231" s="363" t="s">
        <v>261</v>
      </c>
      <c r="E231" s="362" t="s">
        <v>260</v>
      </c>
      <c r="F231" s="362" t="s">
        <v>548</v>
      </c>
      <c r="G231" s="362" t="s">
        <v>203</v>
      </c>
      <c r="H231" s="368">
        <v>-4.0364225925925927</v>
      </c>
      <c r="I231" s="368">
        <v>0</v>
      </c>
      <c r="J231" s="368">
        <v>0</v>
      </c>
      <c r="K231" s="368">
        <v>-0.50412550177472648</v>
      </c>
      <c r="L231" s="368">
        <v>-0.86668182891430401</v>
      </c>
      <c r="M231" s="368">
        <v>-0.18013472149019349</v>
      </c>
      <c r="N231" s="368">
        <v>-0.25153690717815702</v>
      </c>
      <c r="O231" s="368">
        <v>2.75306124071697E-2</v>
      </c>
      <c r="T231" s="48">
        <v>1</v>
      </c>
      <c r="U231" s="46" t="s">
        <v>237</v>
      </c>
      <c r="V231" s="53" t="s">
        <v>243</v>
      </c>
      <c r="W231" s="53" t="s">
        <v>548</v>
      </c>
      <c r="X231" s="53" t="s">
        <v>203</v>
      </c>
      <c r="Y231" s="172">
        <f>IFERROR(-tblZwaste1422[[#This Row],[Weight (kgCO2e/kg)]],0)</f>
        <v>-2.8533815875203707</v>
      </c>
      <c r="Z231" s="172" t="e">
        <f>IF(AQ231="x",(AR231*-tblZwaste1422[[#This Row],[Weight (kgCO2e/kg)]])+AS231+($AR$10*Lookups!$J$38/1000),"DELETE")</f>
        <v>#N/A</v>
      </c>
      <c r="AA231" s="172" t="str">
        <f t="shared" si="72"/>
        <v>DELETE</v>
      </c>
      <c r="AB231" s="172">
        <f t="shared" si="72"/>
        <v>-1.0337644591125981</v>
      </c>
      <c r="AC231" s="172">
        <f t="shared" si="72"/>
        <v>-1.5995514888993199</v>
      </c>
      <c r="AD231" s="172">
        <f t="shared" si="72"/>
        <v>-0.47410512659641396</v>
      </c>
      <c r="AE231" s="172">
        <f t="shared" si="72"/>
        <v>-0.563730049331581</v>
      </c>
      <c r="AF231" s="172">
        <f t="shared" si="72"/>
        <v>2.7969565018779084E-2</v>
      </c>
      <c r="AG231" s="150"/>
      <c r="AI231" s="137">
        <v>1</v>
      </c>
      <c r="AJ231" s="136" t="s">
        <v>237</v>
      </c>
      <c r="AK231" s="142" t="s">
        <v>243</v>
      </c>
      <c r="AL231" s="136" t="s">
        <v>548</v>
      </c>
      <c r="AM231" s="136" t="s">
        <v>203</v>
      </c>
      <c r="AN231" s="1">
        <v>2.8533815875203707</v>
      </c>
      <c r="AO231" s="166">
        <v>1.0711602172222223</v>
      </c>
      <c r="AQ231" t="e">
        <f>_xlfn.XLOOKUP(tblGWP21[[#This Row],[Material Subcategory]],ls_Mat,Factors!$K$952:$K$1023)</f>
        <v>#N/A</v>
      </c>
      <c r="AR231" s="173"/>
      <c r="AU231" t="s">
        <v>526</v>
      </c>
      <c r="AV231" s="347">
        <v>0.95</v>
      </c>
      <c r="BA231" cm="1">
        <f t="array" ref="BA231:BM231">tblGWP21[#This Row]</f>
        <v>1</v>
      </c>
      <c r="BB231" t="str">
        <v>Mixed/Custom</v>
      </c>
      <c r="BC231" t="str">
        <v>Mixed MSW</v>
      </c>
      <c r="BD231" t="str">
        <v>Europe</v>
      </c>
      <c r="BE231" t="str">
        <v>n/a</v>
      </c>
      <c r="BF231">
        <v>-2.8533815875203707</v>
      </c>
      <c r="BG231" t="e">
        <v>#N/A</v>
      </c>
      <c r="BH231" t="str">
        <v>DELETE</v>
      </c>
      <c r="BI231">
        <v>-1.0337644591125981</v>
      </c>
      <c r="BJ231">
        <v>-1.5995514888993199</v>
      </c>
      <c r="BK231">
        <v>-0.47410512659641396</v>
      </c>
      <c r="BL231">
        <v>-0.563730049331581</v>
      </c>
      <c r="BM231">
        <v>2.7969565018779084E-2</v>
      </c>
    </row>
    <row r="232" spans="3:65">
      <c r="C232" s="136">
        <v>1</v>
      </c>
      <c r="D232" s="137" t="s">
        <v>10157</v>
      </c>
      <c r="E232" s="136" t="s">
        <v>237</v>
      </c>
      <c r="F232" s="136" t="s">
        <v>548</v>
      </c>
      <c r="G232" s="136" t="s">
        <v>203</v>
      </c>
      <c r="H232" s="191">
        <v>-2.8533815875203707</v>
      </c>
      <c r="I232" s="191">
        <v>-1.4249189937601854</v>
      </c>
      <c r="J232" s="191">
        <v>0</v>
      </c>
      <c r="K232" s="191">
        <v>0</v>
      </c>
      <c r="L232" s="191">
        <v>0</v>
      </c>
      <c r="M232" s="191">
        <v>-0.47410512659641396</v>
      </c>
      <c r="N232" s="191">
        <v>-0.563730049331581</v>
      </c>
      <c r="O232" s="191">
        <v>2.7969565018779084E-2</v>
      </c>
      <c r="T232" s="48">
        <v>1</v>
      </c>
      <c r="U232" s="46" t="s">
        <v>252</v>
      </c>
      <c r="V232" s="53" t="s">
        <v>333</v>
      </c>
      <c r="W232" s="53" t="s">
        <v>548</v>
      </c>
      <c r="X232" s="53" t="s">
        <v>203</v>
      </c>
      <c r="Y232" s="172">
        <f>IFERROR(-tblZwaste1422[[#This Row],[Weight (kgCO2e/kg)]],0)</f>
        <v>-2.0953266666666663</v>
      </c>
      <c r="Z232" s="172" t="str">
        <f>IF(AQ232="x",(AR232*-tblZwaste1422[[#This Row],[Weight (kgCO2e/kg)]])+AS232+($AR$10*Lookups!$J$38/1000),"DELETE")</f>
        <v>DELETE</v>
      </c>
      <c r="AA232" s="172">
        <f t="shared" si="72"/>
        <v>-4.4029102771861357</v>
      </c>
      <c r="AB232" s="172" t="str">
        <f t="shared" si="72"/>
        <v>DELETE</v>
      </c>
      <c r="AC232" s="172" t="str">
        <f t="shared" si="72"/>
        <v>DELETE</v>
      </c>
      <c r="AD232" s="172">
        <f t="shared" si="72"/>
        <v>2.602959882319645E-2</v>
      </c>
      <c r="AE232" s="172">
        <f t="shared" si="72"/>
        <v>0.55868496079411156</v>
      </c>
      <c r="AF232" s="172">
        <f t="shared" si="72"/>
        <v>2.18702540347368</v>
      </c>
      <c r="AG232" s="150"/>
      <c r="AI232" s="137">
        <v>1</v>
      </c>
      <c r="AJ232" s="136" t="s">
        <v>252</v>
      </c>
      <c r="AK232" s="142" t="s">
        <v>333</v>
      </c>
      <c r="AL232" s="136" t="s">
        <v>548</v>
      </c>
      <c r="AM232" s="136" t="s">
        <v>203</v>
      </c>
      <c r="AN232" s="1">
        <v>2.0953266666666663</v>
      </c>
      <c r="AO232" s="166">
        <v>1.77911</v>
      </c>
      <c r="AQ232">
        <f>_xlfn.XLOOKUP(tblGWP21[[#This Row],[Material Subcategory]],ls_Mat,Factors!$K$952:$K$1023)</f>
        <v>0</v>
      </c>
      <c r="AR232" s="173"/>
      <c r="AU232" t="s">
        <v>526</v>
      </c>
      <c r="AV232" s="347">
        <v>0.95</v>
      </c>
      <c r="BA232" cm="1">
        <f t="array" ref="BA232:BM232">tblGWP21[#This Row]</f>
        <v>1</v>
      </c>
      <c r="BB232" t="str">
        <v>Plastics</v>
      </c>
      <c r="BC232" t="str">
        <v>Mixed Plastics</v>
      </c>
      <c r="BD232" t="str">
        <v>Europe</v>
      </c>
      <c r="BE232" t="str">
        <v>n/a</v>
      </c>
      <c r="BF232">
        <v>-2.0953266666666663</v>
      </c>
      <c r="BG232" t="str">
        <v>DELETE</v>
      </c>
      <c r="BH232">
        <v>-4.4029102771861357</v>
      </c>
      <c r="BI232" t="str">
        <v>DELETE</v>
      </c>
      <c r="BJ232" t="str">
        <v>DELETE</v>
      </c>
      <c r="BK232">
        <v>2.602959882319645E-2</v>
      </c>
      <c r="BL232">
        <v>0.55868496079411156</v>
      </c>
      <c r="BM232">
        <v>2.18702540347368</v>
      </c>
    </row>
    <row r="233" spans="3:65">
      <c r="C233" s="362">
        <v>1</v>
      </c>
      <c r="D233" s="363" t="s">
        <v>10157</v>
      </c>
      <c r="E233" s="362" t="s">
        <v>246</v>
      </c>
      <c r="F233" s="362" t="s">
        <v>548</v>
      </c>
      <c r="G233" s="362" t="s">
        <v>203</v>
      </c>
      <c r="H233" s="368">
        <v>-7.3412433500000009</v>
      </c>
      <c r="I233" s="368">
        <v>0</v>
      </c>
      <c r="J233" s="368">
        <v>0</v>
      </c>
      <c r="K233" s="368">
        <v>0</v>
      </c>
      <c r="L233" s="368">
        <v>0</v>
      </c>
      <c r="M233" s="368">
        <v>2.6029626346381451E-2</v>
      </c>
      <c r="N233" s="368">
        <v>4.149464191173885E-2</v>
      </c>
      <c r="O233" s="368">
        <v>4.8921198460972648E-2</v>
      </c>
      <c r="T233" s="48">
        <v>1</v>
      </c>
      <c r="U233" s="46" t="s">
        <v>239</v>
      </c>
      <c r="V233" s="53" t="s">
        <v>542</v>
      </c>
      <c r="W233" s="53" t="s">
        <v>548</v>
      </c>
      <c r="X233" s="53" t="s">
        <v>203</v>
      </c>
      <c r="Y233" s="172">
        <f>IFERROR(-tblZwaste1422[[#This Row],[Weight (kgCO2e/kg)]],0)</f>
        <v>-2.6644477777777777</v>
      </c>
      <c r="Z233" s="172" t="str">
        <f>IF(AQ233="x",(AR233*-tblZwaste1422[[#This Row],[Weight (kgCO2e/kg)]])+AS233+($AR$10*Lookups!$J$38/1000),"DELETE")</f>
        <v>DELETE</v>
      </c>
      <c r="AA233" s="172">
        <f t="shared" si="72"/>
        <v>-0.85833004785491607</v>
      </c>
      <c r="AB233" s="172">
        <f t="shared" si="72"/>
        <v>-1.6414671197248598</v>
      </c>
      <c r="AC233" s="172">
        <f t="shared" si="72"/>
        <v>-2.3925339273081798</v>
      </c>
      <c r="AD233" s="172">
        <f t="shared" si="72"/>
        <v>-0.65837821830812748</v>
      </c>
      <c r="AE233" s="172">
        <f t="shared" si="72"/>
        <v>-0.87839925196487956</v>
      </c>
      <c r="AF233" s="172">
        <f t="shared" si="72"/>
        <v>2.747212960518635E-2</v>
      </c>
      <c r="AG233" s="150"/>
      <c r="AI233" s="137">
        <v>1</v>
      </c>
      <c r="AJ233" s="136" t="s">
        <v>239</v>
      </c>
      <c r="AK233" s="142" t="s">
        <v>542</v>
      </c>
      <c r="AL233" s="136" t="s">
        <v>548</v>
      </c>
      <c r="AM233" s="136" t="s">
        <v>203</v>
      </c>
      <c r="AN233" s="1">
        <v>2.6644477777777777</v>
      </c>
      <c r="AO233" s="166">
        <v>0.64099666666666666</v>
      </c>
      <c r="AQ233">
        <f>_xlfn.XLOOKUP(tblGWP21[[#This Row],[Material Subcategory]],ls_Mat,Factors!$K$952:$K$1023)</f>
        <v>0</v>
      </c>
      <c r="AU233" t="s">
        <v>526</v>
      </c>
      <c r="AV233" s="347">
        <v>0.95</v>
      </c>
      <c r="BA233" cm="1">
        <f t="array" ref="BA233:BM233">tblGWP21[#This Row]</f>
        <v>1</v>
      </c>
      <c r="BB233" t="str">
        <v>Paper</v>
      </c>
      <c r="BC233" t="str">
        <v>Mixed Paper</v>
      </c>
      <c r="BD233" t="str">
        <v>Europe</v>
      </c>
      <c r="BE233" t="str">
        <v>n/a</v>
      </c>
      <c r="BF233">
        <v>-2.6644477777777777</v>
      </c>
      <c r="BG233" t="str">
        <v>DELETE</v>
      </c>
      <c r="BH233">
        <v>-0.85833004785491607</v>
      </c>
      <c r="BI233">
        <v>-1.6414671197248598</v>
      </c>
      <c r="BJ233">
        <v>-2.3925339273081798</v>
      </c>
      <c r="BK233">
        <v>-0.65837821830812748</v>
      </c>
      <c r="BL233">
        <v>-0.87839925196487956</v>
      </c>
      <c r="BM233">
        <v>2.747212960518635E-2</v>
      </c>
    </row>
    <row r="234" spans="3:65">
      <c r="C234" s="136">
        <v>1</v>
      </c>
      <c r="D234" s="137" t="s">
        <v>10157</v>
      </c>
      <c r="E234" s="136" t="s">
        <v>243</v>
      </c>
      <c r="F234" s="136" t="s">
        <v>548</v>
      </c>
      <c r="G234" s="136" t="s">
        <v>203</v>
      </c>
      <c r="H234" s="191">
        <v>-2.8533815875203707</v>
      </c>
      <c r="I234" s="191">
        <v>0</v>
      </c>
      <c r="J234" s="191">
        <v>0</v>
      </c>
      <c r="K234" s="191">
        <v>-1.0337644591125981</v>
      </c>
      <c r="L234" s="191">
        <v>-1.5995514888993199</v>
      </c>
      <c r="M234" s="191">
        <v>-0.47410512659641396</v>
      </c>
      <c r="N234" s="191">
        <v>-0.563730049331581</v>
      </c>
      <c r="O234" s="191">
        <v>2.7969565018779084E-2</v>
      </c>
      <c r="T234" s="48">
        <v>1</v>
      </c>
      <c r="U234" s="46" t="s">
        <v>237</v>
      </c>
      <c r="V234" s="53" t="s">
        <v>238</v>
      </c>
      <c r="W234" s="53" t="s">
        <v>548</v>
      </c>
      <c r="X234" s="53" t="s">
        <v>203</v>
      </c>
      <c r="Y234" s="172">
        <f>IFERROR(-tblZwaste1422[[#This Row],[Weight (kgCO2e/kg)]],0)</f>
        <v>-2.7046544444444445</v>
      </c>
      <c r="Z234" s="172" t="str">
        <f>IF(AQ234="x",(AR234*-tblZwaste1422[[#This Row],[Weight (kgCO2e/kg)]])+AS234+($AR$10*Lookups!$J$38/1000),"DELETE")</f>
        <v>DELETE</v>
      </c>
      <c r="AA234" s="172" t="str">
        <f t="shared" si="72"/>
        <v>DELETE</v>
      </c>
      <c r="AB234" s="172" t="str">
        <f t="shared" si="72"/>
        <v>DELETE</v>
      </c>
      <c r="AC234" s="172" t="str">
        <f t="shared" si="72"/>
        <v>DELETE</v>
      </c>
      <c r="AD234" s="172">
        <f t="shared" si="72"/>
        <v>-0.14509355963256682</v>
      </c>
      <c r="AE234" s="172">
        <f t="shared" si="72"/>
        <v>-0.10022865234106108</v>
      </c>
      <c r="AF234" s="172">
        <f t="shared" si="72"/>
        <v>0.54232878250882444</v>
      </c>
      <c r="AG234" s="150"/>
      <c r="AI234" s="137">
        <v>1</v>
      </c>
      <c r="AJ234" s="136" t="s">
        <v>237</v>
      </c>
      <c r="AK234" s="142" t="s">
        <v>238</v>
      </c>
      <c r="AL234" s="136" t="s">
        <v>548</v>
      </c>
      <c r="AM234" s="136" t="s">
        <v>203</v>
      </c>
      <c r="AN234" s="1">
        <v>2.7046544444444445</v>
      </c>
      <c r="AO234" s="166">
        <v>1.2161291666666667</v>
      </c>
      <c r="AQ234">
        <f>_xlfn.XLOOKUP(tblGWP21[[#This Row],[Material Subcategory]],ls_Mat,Factors!$K$952:$K$1023)</f>
        <v>0</v>
      </c>
      <c r="BA234" cm="1">
        <f t="array" ref="BA234:BM234">tblGWP21[#This Row]</f>
        <v>1</v>
      </c>
      <c r="BB234" t="str">
        <v>Mixed/Custom</v>
      </c>
      <c r="BC234" t="str">
        <v>Mixed Recycling</v>
      </c>
      <c r="BD234" t="str">
        <v>Europe</v>
      </c>
      <c r="BE234" t="str">
        <v>n/a</v>
      </c>
      <c r="BF234">
        <v>-2.7046544444444445</v>
      </c>
      <c r="BG234" t="str">
        <v>DELETE</v>
      </c>
      <c r="BH234" t="str">
        <v>DELETE</v>
      </c>
      <c r="BI234" t="str">
        <v>DELETE</v>
      </c>
      <c r="BJ234" t="str">
        <v>DELETE</v>
      </c>
      <c r="BK234">
        <v>-0.14509355963256682</v>
      </c>
      <c r="BL234">
        <v>-0.10022865234106108</v>
      </c>
      <c r="BM234">
        <v>0.54232878250882444</v>
      </c>
    </row>
    <row r="235" spans="3:65">
      <c r="C235" s="362">
        <v>1</v>
      </c>
      <c r="D235" s="363" t="s">
        <v>252</v>
      </c>
      <c r="E235" s="362" t="s">
        <v>333</v>
      </c>
      <c r="F235" s="362" t="s">
        <v>548</v>
      </c>
      <c r="G235" s="362" t="s">
        <v>203</v>
      </c>
      <c r="H235" s="368">
        <v>-2.0953266666666663</v>
      </c>
      <c r="I235" s="368">
        <v>0</v>
      </c>
      <c r="J235" s="368">
        <v>-4.4029102771861357</v>
      </c>
      <c r="K235" s="368">
        <v>0</v>
      </c>
      <c r="L235" s="368">
        <v>0</v>
      </c>
      <c r="M235" s="368">
        <v>2.602959882319645E-2</v>
      </c>
      <c r="N235" s="368">
        <v>0.55868496079411156</v>
      </c>
      <c r="O235" s="368">
        <v>2.18702540347368</v>
      </c>
      <c r="T235" s="48">
        <v>1</v>
      </c>
      <c r="U235" s="46" t="s">
        <v>264</v>
      </c>
      <c r="V235" s="53" t="s">
        <v>264</v>
      </c>
      <c r="W235" s="53" t="s">
        <v>548</v>
      </c>
      <c r="X235" s="53" t="s">
        <v>203</v>
      </c>
      <c r="Y235" s="172">
        <f>IFERROR(-tblZwaste1422[[#This Row],[Weight (kgCO2e/kg)]],0)</f>
        <v>-1.9287117500000002</v>
      </c>
      <c r="Z235" s="172" t="e">
        <f>IF(AQ235="x",(AR235*-tblZwaste1422[[#This Row],[Weight (kgCO2e/kg)]])+AS235+($AR$10*Lookups!$J$38/1000),"DELETE")</f>
        <v>#N/A</v>
      </c>
      <c r="AA235" s="172">
        <f>AA239</f>
        <v>0.15112249999999994</v>
      </c>
      <c r="AB235" s="172" t="str">
        <f t="shared" ref="AA235:AF240" si="73">IF(ISNUMBER(AVERAGE(AB571,AB627)),AVERAGE(AB571,AB627),AB571)</f>
        <v>DELETE</v>
      </c>
      <c r="AC235" s="172" t="str">
        <f t="shared" si="73"/>
        <v>DELETE</v>
      </c>
      <c r="AD235" s="172">
        <f t="shared" si="73"/>
        <v>-0.35159822223575132</v>
      </c>
      <c r="AE235" s="172">
        <f t="shared" si="73"/>
        <v>-0.52818491099825726</v>
      </c>
      <c r="AF235" s="172">
        <f t="shared" si="73"/>
        <v>0.45986888012810623</v>
      </c>
      <c r="AG235" s="150"/>
      <c r="AI235" s="137">
        <v>1</v>
      </c>
      <c r="AJ235" s="136" t="s">
        <v>264</v>
      </c>
      <c r="AK235" s="142" t="s">
        <v>264</v>
      </c>
      <c r="AL235" s="136" t="s">
        <v>548</v>
      </c>
      <c r="AM235" s="136" t="s">
        <v>203</v>
      </c>
      <c r="AN235" s="1">
        <v>1.9287117500000002</v>
      </c>
      <c r="AO235" s="166">
        <v>0.467055</v>
      </c>
      <c r="AQ235" t="e">
        <f>_xlfn.XLOOKUP(tblGWP21[[#This Row],[Material Subcategory]],ls_Mat,Factors!$K$952:$K$1023)</f>
        <v>#N/A</v>
      </c>
      <c r="AR235" s="173">
        <v>0.65</v>
      </c>
      <c r="AS235">
        <v>0.14482945764999999</v>
      </c>
      <c r="AT235" t="s">
        <v>541</v>
      </c>
      <c r="AU235" t="s">
        <v>526</v>
      </c>
      <c r="AV235" s="347">
        <v>0.95</v>
      </c>
      <c r="BA235" cm="1">
        <f t="array" ref="BA235:BM235">tblGWP21[#This Row]</f>
        <v>1</v>
      </c>
      <c r="BB235" t="str">
        <v>Furniture/Textiles</v>
      </c>
      <c r="BC235" t="str">
        <v>Furniture/Textiles</v>
      </c>
      <c r="BD235" t="str">
        <v>Europe</v>
      </c>
      <c r="BE235" t="str">
        <v>n/a</v>
      </c>
      <c r="BF235">
        <v>-1.9287117500000002</v>
      </c>
      <c r="BG235" t="e">
        <v>#N/A</v>
      </c>
      <c r="BH235">
        <v>0.15112249999999994</v>
      </c>
      <c r="BI235" t="str">
        <v>DELETE</v>
      </c>
      <c r="BJ235" t="str">
        <v>DELETE</v>
      </c>
      <c r="BK235">
        <v>-0.35159822223575132</v>
      </c>
      <c r="BL235">
        <v>-0.52818491099825726</v>
      </c>
      <c r="BM235">
        <v>0.45986888012810623</v>
      </c>
    </row>
    <row r="236" spans="3:65">
      <c r="C236" s="136">
        <v>1</v>
      </c>
      <c r="D236" s="137" t="s">
        <v>239</v>
      </c>
      <c r="E236" s="136" t="s">
        <v>542</v>
      </c>
      <c r="F236" s="136" t="s">
        <v>548</v>
      </c>
      <c r="G236" s="136" t="s">
        <v>203</v>
      </c>
      <c r="H236" s="191">
        <v>-2.6644477777777777</v>
      </c>
      <c r="I236" s="191">
        <v>0</v>
      </c>
      <c r="J236" s="191">
        <v>-0.85833004785491607</v>
      </c>
      <c r="K236" s="191">
        <v>-1.6414671197248598</v>
      </c>
      <c r="L236" s="191">
        <v>-2.3925339273081798</v>
      </c>
      <c r="M236" s="191">
        <v>-0.65837821830812748</v>
      </c>
      <c r="N236" s="191">
        <v>-0.87839925196487956</v>
      </c>
      <c r="O236" s="191">
        <v>2.747212960518635E-2</v>
      </c>
      <c r="T236" s="48">
        <v>1</v>
      </c>
      <c r="U236" s="46" t="s">
        <v>264</v>
      </c>
      <c r="V236" s="53" t="s">
        <v>336</v>
      </c>
      <c r="W236" s="53" t="s">
        <v>548</v>
      </c>
      <c r="X236" s="53" t="s">
        <v>203</v>
      </c>
      <c r="Y236" s="172">
        <f>IFERROR(-tblZwaste1422[[#This Row],[Weight (kgCO2e/kg)]],0)</f>
        <v>-0.76351350000000007</v>
      </c>
      <c r="Z236" s="172">
        <f>IF(AQ236="x",(AR236*-tblZwaste1422[[#This Row],[Weight (kgCO2e/kg)]])+AS236+($AR$10*Lookups!$J$38/1000),"DELETE")</f>
        <v>-0.34968251735000005</v>
      </c>
      <c r="AA236" s="172" t="str">
        <f t="shared" si="73"/>
        <v>DELETE</v>
      </c>
      <c r="AB236" s="172">
        <f t="shared" si="73"/>
        <v>-1.6484259755872799</v>
      </c>
      <c r="AC236" s="172">
        <f t="shared" si="73"/>
        <v>-2.6285536202300248</v>
      </c>
      <c r="AD236" s="172">
        <f t="shared" si="73"/>
        <v>-1.0021777340214246</v>
      </c>
      <c r="AE236" s="172">
        <f t="shared" si="73"/>
        <v>-0.76420123609348667</v>
      </c>
      <c r="AF236" s="172">
        <f t="shared" si="73"/>
        <v>0.21044209914587741</v>
      </c>
      <c r="AG236" s="150"/>
      <c r="AI236" s="137">
        <v>1</v>
      </c>
      <c r="AJ236" s="136" t="s">
        <v>264</v>
      </c>
      <c r="AK236" s="142" t="s">
        <v>336</v>
      </c>
      <c r="AL236" s="136" t="s">
        <v>548</v>
      </c>
      <c r="AM236" s="136" t="s">
        <v>203</v>
      </c>
      <c r="AN236" s="1">
        <v>0.76351350000000007</v>
      </c>
      <c r="AO236" s="166">
        <v>0.43603999999999998</v>
      </c>
      <c r="AQ236" t="str">
        <f>_xlfn.XLOOKUP(tblGWP21[[#This Row],[Material Subcategory]],ls_Mat,Factors!$K$952:$K$1023)</f>
        <v>x</v>
      </c>
      <c r="AR236" s="173">
        <v>0.65</v>
      </c>
      <c r="AS236">
        <v>0.14482945764999999</v>
      </c>
      <c r="AT236" t="s">
        <v>541</v>
      </c>
      <c r="AU236" t="s">
        <v>526</v>
      </c>
      <c r="AV236" s="347">
        <v>0.9</v>
      </c>
      <c r="BA236" cm="1">
        <f t="array" ref="BA236:BM236">tblGWP21[#This Row]</f>
        <v>1</v>
      </c>
      <c r="BB236" t="str">
        <v>Furniture/Textiles</v>
      </c>
      <c r="BC236" t="str">
        <v>Furniture</v>
      </c>
      <c r="BD236" t="str">
        <v>Europe</v>
      </c>
      <c r="BE236" t="str">
        <v>n/a</v>
      </c>
      <c r="BF236">
        <v>-0.76351350000000007</v>
      </c>
      <c r="BG236">
        <v>-0.34968251735000005</v>
      </c>
      <c r="BH236" t="str">
        <v>DELETE</v>
      </c>
      <c r="BI236">
        <v>-1.6484259755872799</v>
      </c>
      <c r="BJ236">
        <v>-2.6285536202300248</v>
      </c>
      <c r="BK236">
        <v>-1.0021777340214246</v>
      </c>
      <c r="BL236">
        <v>-0.76420123609348667</v>
      </c>
      <c r="BM236">
        <v>0.21044209914587741</v>
      </c>
    </row>
    <row r="237" spans="3:65">
      <c r="C237" s="362">
        <v>1</v>
      </c>
      <c r="D237" s="363" t="s">
        <v>10157</v>
      </c>
      <c r="E237" s="362" t="s">
        <v>238</v>
      </c>
      <c r="F237" s="362" t="s">
        <v>548</v>
      </c>
      <c r="G237" s="362" t="s">
        <v>203</v>
      </c>
      <c r="H237" s="368">
        <v>-2.7046544444444445</v>
      </c>
      <c r="I237" s="368">
        <v>0</v>
      </c>
      <c r="J237" s="368">
        <v>0</v>
      </c>
      <c r="K237" s="368">
        <v>0</v>
      </c>
      <c r="L237" s="368">
        <v>0</v>
      </c>
      <c r="M237" s="368">
        <v>-0.14509355963256682</v>
      </c>
      <c r="N237" s="368">
        <v>-0.10022865234106108</v>
      </c>
      <c r="O237" s="368">
        <v>0.54232878250882444</v>
      </c>
      <c r="T237" s="48">
        <v>1</v>
      </c>
      <c r="U237" s="46" t="s">
        <v>242</v>
      </c>
      <c r="V237" s="53" t="s">
        <v>251</v>
      </c>
      <c r="W237" s="53" t="s">
        <v>548</v>
      </c>
      <c r="X237" s="53" t="s">
        <v>203</v>
      </c>
      <c r="Y237" s="172">
        <f>IFERROR(-tblZwaste1422[[#This Row],[Weight (kgCO2e/kg)]],0)</f>
        <v>-4.9218200000000003</v>
      </c>
      <c r="Z237" s="172">
        <f>IF(AQ237="x",(AR237*-tblZwaste1422[[#This Row],[Weight (kgCO2e/kg)]])+AS237+($AR$10*Lookups!$J$38/1000),"DELETE")</f>
        <v>-3.5665477000000001</v>
      </c>
      <c r="AA237" s="172">
        <v>-1.2190350000000001</v>
      </c>
      <c r="AB237" s="172" t="str">
        <f t="shared" si="73"/>
        <v>DELETE</v>
      </c>
      <c r="AC237" s="172" t="str">
        <f t="shared" si="73"/>
        <v>DELETE</v>
      </c>
      <c r="AD237" s="172">
        <f t="shared" si="73"/>
        <v>2.5961755078199492E-2</v>
      </c>
      <c r="AE237" s="172">
        <f t="shared" si="73"/>
        <v>0.18719953776413523</v>
      </c>
      <c r="AF237" s="172">
        <f t="shared" si="73"/>
        <v>0.84695235378897638</v>
      </c>
      <c r="AG237" s="150"/>
      <c r="AI237" s="137">
        <v>1</v>
      </c>
      <c r="AJ237" s="136" t="s">
        <v>242</v>
      </c>
      <c r="AK237" s="142" t="s">
        <v>251</v>
      </c>
      <c r="AL237" s="136" t="s">
        <v>548</v>
      </c>
      <c r="AM237" s="136" t="s">
        <v>203</v>
      </c>
      <c r="AN237" s="1">
        <v>4.9218200000000003</v>
      </c>
      <c r="AO237" s="166">
        <v>0.15096000000000001</v>
      </c>
      <c r="AQ237" t="str">
        <f>_xlfn.XLOOKUP(tblGWP21[[#This Row],[Material Subcategory]],ls_Mat,Factors!$K$952:$K$1023)</f>
        <v>x</v>
      </c>
      <c r="AR237" s="173">
        <v>0.72499999999999998</v>
      </c>
      <c r="AS237">
        <v>0</v>
      </c>
      <c r="AT237" t="s">
        <v>527</v>
      </c>
      <c r="AU237" t="s">
        <v>526</v>
      </c>
      <c r="AV237" s="347">
        <v>0.9</v>
      </c>
      <c r="BA237" cm="1">
        <f t="array" ref="BA237:BM237">tblGWP21[#This Row]</f>
        <v>1</v>
      </c>
      <c r="BB237" t="str">
        <v>Electronics</v>
      </c>
      <c r="BC237" t="str">
        <v>Appliances</v>
      </c>
      <c r="BD237" t="str">
        <v>Europe</v>
      </c>
      <c r="BE237" t="str">
        <v>n/a</v>
      </c>
      <c r="BF237">
        <v>-4.9218200000000003</v>
      </c>
      <c r="BG237">
        <v>-3.5665477000000001</v>
      </c>
      <c r="BH237">
        <v>-1.2190350000000001</v>
      </c>
      <c r="BI237" t="str">
        <v>DELETE</v>
      </c>
      <c r="BJ237" t="str">
        <v>DELETE</v>
      </c>
      <c r="BK237">
        <v>2.5961755078199492E-2</v>
      </c>
      <c r="BL237">
        <v>0.18719953776413523</v>
      </c>
      <c r="BM237">
        <v>0.84695235378897638</v>
      </c>
    </row>
    <row r="238" spans="3:65">
      <c r="C238" s="136">
        <v>1</v>
      </c>
      <c r="D238" s="137" t="s">
        <v>264</v>
      </c>
      <c r="E238" s="136" t="s">
        <v>264</v>
      </c>
      <c r="F238" s="136" t="s">
        <v>548</v>
      </c>
      <c r="G238" s="136" t="s">
        <v>203</v>
      </c>
      <c r="H238" s="191">
        <v>-1.9287117500000002</v>
      </c>
      <c r="I238" s="191">
        <v>-1.1070613798500002</v>
      </c>
      <c r="J238" s="191">
        <v>0.15112249999999994</v>
      </c>
      <c r="K238" s="191">
        <v>0</v>
      </c>
      <c r="L238" s="191">
        <v>0</v>
      </c>
      <c r="M238" s="191">
        <v>-0.35159822223575132</v>
      </c>
      <c r="N238" s="191">
        <v>-0.52818491099825726</v>
      </c>
      <c r="O238" s="191">
        <v>0.45986888012810623</v>
      </c>
      <c r="T238" s="48">
        <v>1</v>
      </c>
      <c r="U238" s="46" t="s">
        <v>242</v>
      </c>
      <c r="V238" s="53" t="s">
        <v>543</v>
      </c>
      <c r="W238" s="53" t="s">
        <v>548</v>
      </c>
      <c r="X238" s="53" t="s">
        <v>203</v>
      </c>
      <c r="Y238" s="172">
        <f>IFERROR(-tblZwaste1422[[#This Row],[Weight (kgCO2e/kg)]],0)</f>
        <v>-1.00081</v>
      </c>
      <c r="Z238" s="172">
        <f>IF(AQ238="x",(AR238*-tblZwaste1422[[#This Row],[Weight (kgCO2e/kg)]])+AS238+($AR$10*Lookups!$J$38/1000),"DELETE")</f>
        <v>-0.72381545000000003</v>
      </c>
      <c r="AA238" s="172">
        <v>-0.20626249999999999</v>
      </c>
      <c r="AB238" s="172" t="str">
        <f t="shared" si="73"/>
        <v>DELETE</v>
      </c>
      <c r="AC238" s="172" t="str">
        <f t="shared" si="73"/>
        <v>DELETE</v>
      </c>
      <c r="AD238" s="172">
        <f t="shared" si="73"/>
        <v>2.5860000000000001E-2</v>
      </c>
      <c r="AE238" s="172">
        <f t="shared" si="73"/>
        <v>4.149464191173885E-2</v>
      </c>
      <c r="AF238" s="172">
        <f t="shared" si="73"/>
        <v>4.8921198460972599E-2</v>
      </c>
      <c r="AG238" s="150"/>
      <c r="AI238" s="137">
        <v>1</v>
      </c>
      <c r="AJ238" s="136" t="s">
        <v>242</v>
      </c>
      <c r="AK238" s="142" t="s">
        <v>543</v>
      </c>
      <c r="AL238" s="136" t="s">
        <v>548</v>
      </c>
      <c r="AM238" s="136" t="s">
        <v>203</v>
      </c>
      <c r="AN238" s="1">
        <v>1.00081</v>
      </c>
      <c r="AO238" s="166">
        <v>0.33138000000000001</v>
      </c>
      <c r="AQ238" t="str">
        <f>_xlfn.XLOOKUP(tblGWP21[[#This Row],[Material Subcategory]],ls_Mat,Factors!$K$952:$K$1023)</f>
        <v>x</v>
      </c>
      <c r="AR238" s="173">
        <v>0.72499999999999998</v>
      </c>
      <c r="AS238">
        <v>0</v>
      </c>
      <c r="AT238" t="s">
        <v>527</v>
      </c>
      <c r="AU238" t="s">
        <v>526</v>
      </c>
      <c r="AV238" s="347">
        <v>0.95</v>
      </c>
      <c r="BA238" cm="1">
        <f t="array" ref="BA238:BM238">tblGWP21[#This Row]</f>
        <v>1</v>
      </c>
      <c r="BB238" t="str">
        <v>Electronics</v>
      </c>
      <c r="BC238" t="str">
        <v>Lightbulb/Lamps</v>
      </c>
      <c r="BD238" t="str">
        <v>Europe</v>
      </c>
      <c r="BE238" t="str">
        <v>n/a</v>
      </c>
      <c r="BF238">
        <v>-1.00081</v>
      </c>
      <c r="BG238">
        <v>-0.72381545000000003</v>
      </c>
      <c r="BH238">
        <v>-0.20626249999999999</v>
      </c>
      <c r="BI238" t="str">
        <v>DELETE</v>
      </c>
      <c r="BJ238" t="str">
        <v>DELETE</v>
      </c>
      <c r="BK238">
        <v>2.5860000000000001E-2</v>
      </c>
      <c r="BL238">
        <v>4.149464191173885E-2</v>
      </c>
      <c r="BM238">
        <v>4.8921198460972599E-2</v>
      </c>
    </row>
    <row r="239" spans="3:65">
      <c r="C239" s="362">
        <v>1</v>
      </c>
      <c r="D239" s="363" t="s">
        <v>264</v>
      </c>
      <c r="E239" s="362" t="s">
        <v>336</v>
      </c>
      <c r="F239" s="362" t="s">
        <v>548</v>
      </c>
      <c r="G239" s="362" t="s">
        <v>203</v>
      </c>
      <c r="H239" s="368">
        <v>-0.76351350000000007</v>
      </c>
      <c r="I239" s="368">
        <v>-0.34968251735000005</v>
      </c>
      <c r="J239" s="368">
        <v>0</v>
      </c>
      <c r="K239" s="368">
        <v>-1.6484259755872799</v>
      </c>
      <c r="L239" s="368">
        <v>-2.6285536202300248</v>
      </c>
      <c r="M239" s="368">
        <v>-1.0021777340214246</v>
      </c>
      <c r="N239" s="368">
        <v>-0.76420123609348667</v>
      </c>
      <c r="O239" s="368">
        <v>0.21044209914587741</v>
      </c>
      <c r="T239" s="48">
        <v>1</v>
      </c>
      <c r="U239" s="46" t="s">
        <v>264</v>
      </c>
      <c r="V239" s="53" t="s">
        <v>544</v>
      </c>
      <c r="W239" s="53" t="s">
        <v>548</v>
      </c>
      <c r="X239" s="53" t="s">
        <v>203</v>
      </c>
      <c r="Y239" s="172">
        <f>IFERROR(-tblZwaste1422[[#This Row],[Weight (kgCO2e/kg)]],0)</f>
        <v>-3.0939100000000002</v>
      </c>
      <c r="Z239" s="172">
        <f>IF(AQ239="x",(AR239*-tblZwaste1422[[#This Row],[Weight (kgCO2e/kg)]])+AS239+($AR$10*Lookups!$J$38/1000),"DELETE")</f>
        <v>-1.8644402423500002</v>
      </c>
      <c r="AA239" s="172">
        <f t="shared" si="73"/>
        <v>0.15112249999999994</v>
      </c>
      <c r="AB239" s="172" t="str">
        <f t="shared" si="73"/>
        <v>DELETE</v>
      </c>
      <c r="AC239" s="172" t="str">
        <f t="shared" si="73"/>
        <v>DELETE</v>
      </c>
      <c r="AD239" s="172">
        <f t="shared" si="73"/>
        <v>0.29898128954992198</v>
      </c>
      <c r="AE239" s="172">
        <f t="shared" si="73"/>
        <v>-0.29216858590302802</v>
      </c>
      <c r="AF239" s="172">
        <f t="shared" si="73"/>
        <v>0.70929566111033493</v>
      </c>
      <c r="AG239" s="150"/>
      <c r="AI239" s="137">
        <v>1</v>
      </c>
      <c r="AJ239" s="136" t="s">
        <v>264</v>
      </c>
      <c r="AK239" s="142" t="s">
        <v>544</v>
      </c>
      <c r="AL239" s="136" t="s">
        <v>548</v>
      </c>
      <c r="AM239" s="136" t="s">
        <v>203</v>
      </c>
      <c r="AN239" s="1">
        <v>3.0939100000000002</v>
      </c>
      <c r="AO239" s="166">
        <v>0.49807000000000001</v>
      </c>
      <c r="AQ239" t="str">
        <f>_xlfn.XLOOKUP(tblGWP21[[#This Row],[Material Subcategory]],ls_Mat,Factors!$K$952:$K$1023)</f>
        <v>x</v>
      </c>
      <c r="AR239" s="173">
        <v>0.65</v>
      </c>
      <c r="AS239">
        <v>0.14482945764999999</v>
      </c>
      <c r="AT239" t="s">
        <v>541</v>
      </c>
      <c r="AU239" t="s">
        <v>526</v>
      </c>
      <c r="AV239" s="347">
        <v>0.7</v>
      </c>
      <c r="BA239" cm="1">
        <f t="array" ref="BA239:BM239">tblGWP21[#This Row]</f>
        <v>1</v>
      </c>
      <c r="BB239" t="str">
        <v>Furniture/Textiles</v>
      </c>
      <c r="BC239" t="str">
        <v>Textiles</v>
      </c>
      <c r="BD239" t="str">
        <v>Europe</v>
      </c>
      <c r="BE239" t="str">
        <v>n/a</v>
      </c>
      <c r="BF239">
        <v>-3.0939100000000002</v>
      </c>
      <c r="BG239">
        <v>-1.8644402423500002</v>
      </c>
      <c r="BH239">
        <v>0.15112249999999994</v>
      </c>
      <c r="BI239" t="str">
        <v>DELETE</v>
      </c>
      <c r="BJ239" t="str">
        <v>DELETE</v>
      </c>
      <c r="BK239">
        <v>0.29898128954992198</v>
      </c>
      <c r="BL239">
        <v>-0.29216858590302802</v>
      </c>
      <c r="BM239">
        <v>0.70929566111033493</v>
      </c>
    </row>
    <row r="240" spans="3:65">
      <c r="C240" s="136">
        <v>1</v>
      </c>
      <c r="D240" s="137" t="s">
        <v>242</v>
      </c>
      <c r="E240" s="136" t="s">
        <v>251</v>
      </c>
      <c r="F240" s="136" t="s">
        <v>548</v>
      </c>
      <c r="G240" s="136" t="s">
        <v>203</v>
      </c>
      <c r="H240" s="191">
        <v>-4.9218200000000003</v>
      </c>
      <c r="I240" s="191">
        <v>-3.5665477000000001</v>
      </c>
      <c r="J240" s="191">
        <v>-1.2190350000000001</v>
      </c>
      <c r="K240" s="191">
        <v>0</v>
      </c>
      <c r="L240" s="191">
        <v>0</v>
      </c>
      <c r="M240" s="191">
        <v>2.5961755078199492E-2</v>
      </c>
      <c r="N240" s="191">
        <v>0.18719953776413523</v>
      </c>
      <c r="O240" s="191">
        <v>0.84695235378897638</v>
      </c>
      <c r="T240" s="48">
        <v>1</v>
      </c>
      <c r="U240" s="46" t="s">
        <v>237</v>
      </c>
      <c r="V240" s="53" t="s">
        <v>545</v>
      </c>
      <c r="W240" s="53" t="s">
        <v>548</v>
      </c>
      <c r="X240" s="53" t="s">
        <v>203</v>
      </c>
      <c r="Y240" s="172">
        <f>IFERROR(-tblZwaste1422[[#This Row],[Weight (kgCO2e/kg)]],0)</f>
        <v>-2.8533815875203707</v>
      </c>
      <c r="Z240" s="172" t="str">
        <f>IF(AQ240="x",(AR240*-tblZwaste1422[[#This Row],[Weight (kgCO2e/kg)]])+AS240+($AR$10*Lookups!$J$38/1000),"DELETE")</f>
        <v>DELETE</v>
      </c>
      <c r="AA240" s="172" t="str">
        <f t="shared" si="73"/>
        <v>DELETE</v>
      </c>
      <c r="AB240" s="172" t="str">
        <f t="shared" si="73"/>
        <v>DELETE</v>
      </c>
      <c r="AC240" s="172" t="str">
        <f t="shared" si="73"/>
        <v>DELETE</v>
      </c>
      <c r="AD240" s="172">
        <f t="shared" si="73"/>
        <v>-0.47410512659641396</v>
      </c>
      <c r="AE240" s="172">
        <f t="shared" si="73"/>
        <v>-0.563730049331581</v>
      </c>
      <c r="AF240" s="172">
        <f t="shared" si="73"/>
        <v>2.7969565018779084E-2</v>
      </c>
      <c r="AG240" s="150"/>
      <c r="AI240" s="137">
        <v>1</v>
      </c>
      <c r="AJ240" s="136" t="s">
        <v>237</v>
      </c>
      <c r="AK240" s="142" t="s">
        <v>545</v>
      </c>
      <c r="AL240" s="136" t="s">
        <v>548</v>
      </c>
      <c r="AM240" s="136" t="s">
        <v>203</v>
      </c>
      <c r="AN240" s="1">
        <v>2.8533815875203707</v>
      </c>
      <c r="AO240" s="166">
        <v>1.0711602172222223</v>
      </c>
      <c r="AQ240">
        <f>_xlfn.XLOOKUP(tblGWP21[[#This Row],[Material Subcategory]],ls_Mat,Factors!$K$952:$K$1023)</f>
        <v>0</v>
      </c>
      <c r="BA240" cm="1">
        <f t="array" ref="BA240:BM240">tblGWP21[#This Row]</f>
        <v>1</v>
      </c>
      <c r="BB240" t="str">
        <v>Mixed/Custom</v>
      </c>
      <c r="BC240" t="str">
        <v>General other</v>
      </c>
      <c r="BD240" t="str">
        <v>Europe</v>
      </c>
      <c r="BE240" t="str">
        <v>n/a</v>
      </c>
      <c r="BF240">
        <v>-2.8533815875203707</v>
      </c>
      <c r="BG240" t="str">
        <v>DELETE</v>
      </c>
      <c r="BH240" t="str">
        <v>DELETE</v>
      </c>
      <c r="BI240" t="str">
        <v>DELETE</v>
      </c>
      <c r="BJ240" t="str">
        <v>DELETE</v>
      </c>
      <c r="BK240">
        <v>-0.47410512659641396</v>
      </c>
      <c r="BL240">
        <v>-0.563730049331581</v>
      </c>
      <c r="BM240">
        <v>2.7969565018779084E-2</v>
      </c>
    </row>
    <row r="241" spans="3:65">
      <c r="C241" s="362">
        <v>1</v>
      </c>
      <c r="D241" s="363" t="s">
        <v>242</v>
      </c>
      <c r="E241" s="362" t="s">
        <v>543</v>
      </c>
      <c r="F241" s="362" t="s">
        <v>548</v>
      </c>
      <c r="G241" s="362" t="s">
        <v>203</v>
      </c>
      <c r="H241" s="368">
        <v>-1.00081</v>
      </c>
      <c r="I241" s="368">
        <v>-0.72381545000000003</v>
      </c>
      <c r="J241" s="368">
        <v>-0.20626249999999999</v>
      </c>
      <c r="K241" s="368">
        <v>0</v>
      </c>
      <c r="L241" s="368">
        <v>0</v>
      </c>
      <c r="M241" s="368">
        <v>2.5860000000000001E-2</v>
      </c>
      <c r="N241" s="368">
        <v>4.149464191173885E-2</v>
      </c>
      <c r="O241" s="368">
        <v>4.8921198460972599E-2</v>
      </c>
      <c r="T241" s="48">
        <v>1</v>
      </c>
      <c r="U241" s="46" t="s">
        <v>233</v>
      </c>
      <c r="V241" s="53" t="s">
        <v>233</v>
      </c>
      <c r="W241" s="53" t="s">
        <v>549</v>
      </c>
      <c r="X241" s="53" t="s">
        <v>203</v>
      </c>
      <c r="Y241" s="172">
        <f>IFERROR(-tblZwaste1422[[#This Row],[Weight (kgCO2e/kg)]],0)</f>
        <v>0</v>
      </c>
      <c r="Z241" s="172">
        <f>AVERAGE(Z245:Z247)</f>
        <v>-0.13905086666666666</v>
      </c>
      <c r="AA241" s="172" t="str">
        <f t="shared" ref="AA241:AF250" si="74">IF(ISNUMBER(AVERAGE(AA633,AA689,AA745)),AVERAGE(AA633,AA689,AA745),AA633)</f>
        <v>DELETE</v>
      </c>
      <c r="AB241" s="172">
        <f t="shared" si="74"/>
        <v>-1.4463173754122476</v>
      </c>
      <c r="AC241" s="172">
        <f t="shared" si="74"/>
        <v>-2.0480932548359161</v>
      </c>
      <c r="AD241" s="172">
        <f t="shared" si="74"/>
        <v>-1.0083948792270045</v>
      </c>
      <c r="AE241" s="172">
        <f t="shared" si="74"/>
        <v>-0.86214406530898835</v>
      </c>
      <c r="AF241" s="172">
        <f t="shared" si="74"/>
        <v>3.3140894122044136E-2</v>
      </c>
      <c r="AG241" s="150"/>
      <c r="AI241" s="137">
        <v>1</v>
      </c>
      <c r="AJ241" s="136"/>
      <c r="AK241" s="142"/>
      <c r="AL241" s="136" t="s">
        <v>549</v>
      </c>
      <c r="AM241" s="136" t="s">
        <v>203</v>
      </c>
      <c r="AN241" s="1" t="s">
        <v>525</v>
      </c>
      <c r="AO241" s="166" t="s">
        <v>525</v>
      </c>
      <c r="AQ241" t="e">
        <f>_xlfn.XLOOKUP(tblGWP21[[#This Row],[Material Subcategory]],ls_Mat,Factors!$K$952:$K$1023)</f>
        <v>#N/A</v>
      </c>
      <c r="AR241" s="173">
        <v>0.77500000000000002</v>
      </c>
      <c r="AS241">
        <v>0</v>
      </c>
      <c r="AT241" t="s">
        <v>527</v>
      </c>
      <c r="BA241" cm="1">
        <f t="array" ref="BA241:BM241">tblGWP21[#This Row]</f>
        <v>1</v>
      </c>
      <c r="BB241" t="str">
        <v>Wood/Yard Trimmings</v>
      </c>
      <c r="BC241" t="str">
        <v>Wood/Yard Trimmings</v>
      </c>
      <c r="BD241" t="str">
        <v>North America</v>
      </c>
      <c r="BE241" t="str">
        <v>n/a</v>
      </c>
      <c r="BF241">
        <v>0</v>
      </c>
      <c r="BG241">
        <v>-0.13905086666666666</v>
      </c>
      <c r="BH241" t="str">
        <v>DELETE</v>
      </c>
      <c r="BI241">
        <v>-1.4463173754122476</v>
      </c>
      <c r="BJ241">
        <v>-2.0480932548359161</v>
      </c>
      <c r="BK241">
        <v>-1.0083948792270045</v>
      </c>
      <c r="BL241">
        <v>-0.86214406530898835</v>
      </c>
      <c r="BM241">
        <v>3.3140894122044136E-2</v>
      </c>
    </row>
    <row r="242" spans="3:65" ht="28.8">
      <c r="C242" s="136">
        <v>1</v>
      </c>
      <c r="D242" s="137" t="s">
        <v>264</v>
      </c>
      <c r="E242" s="136" t="s">
        <v>544</v>
      </c>
      <c r="F242" s="136" t="s">
        <v>548</v>
      </c>
      <c r="G242" s="136" t="s">
        <v>203</v>
      </c>
      <c r="H242" s="191">
        <v>-3.0939100000000002</v>
      </c>
      <c r="I242" s="191">
        <v>-1.8644402423500002</v>
      </c>
      <c r="J242" s="191">
        <v>0.15112249999999994</v>
      </c>
      <c r="K242" s="191">
        <v>0</v>
      </c>
      <c r="L242" s="191">
        <v>0</v>
      </c>
      <c r="M242" s="191">
        <v>0.29898128954992198</v>
      </c>
      <c r="N242" s="191">
        <v>-0.29216858590302802</v>
      </c>
      <c r="O242" s="191">
        <v>0.70929566111033493</v>
      </c>
      <c r="T242" s="48">
        <v>1</v>
      </c>
      <c r="U242" s="46" t="s">
        <v>233</v>
      </c>
      <c r="V242" s="53" t="s">
        <v>250</v>
      </c>
      <c r="W242" s="53" t="s">
        <v>549</v>
      </c>
      <c r="X242" s="53" t="s">
        <v>203</v>
      </c>
      <c r="Y242" s="172">
        <f>IFERROR(-tblZwaste1422[[#This Row],[Weight (kgCO2e/kg)]],0)</f>
        <v>0</v>
      </c>
      <c r="Z242" s="172" t="str">
        <f>IF(AQ242="x",(AR242*-tblZwaste1422[[#This Row],[Weight (kgCO2e/kg)]])+AS242+($AR$10*Lookups!$J$38/1000),"DELETE")</f>
        <v>DELETE</v>
      </c>
      <c r="AA242" s="172" t="str">
        <f t="shared" si="74"/>
        <v>DELETE</v>
      </c>
      <c r="AB242" s="172">
        <f t="shared" si="74"/>
        <v>-1.7444132337854867</v>
      </c>
      <c r="AC242" s="172">
        <f t="shared" si="74"/>
        <v>-2.14804594103621</v>
      </c>
      <c r="AD242" s="172">
        <f t="shared" si="74"/>
        <v>-1.0347224077277033</v>
      </c>
      <c r="AE242" s="172">
        <f t="shared" si="74"/>
        <v>-0.92375536904329858</v>
      </c>
      <c r="AF242" s="172">
        <f t="shared" si="74"/>
        <v>2.8432026023046467E-2</v>
      </c>
      <c r="AG242" s="150"/>
      <c r="AI242" s="137">
        <v>1</v>
      </c>
      <c r="AJ242" s="136"/>
      <c r="AK242" s="142"/>
      <c r="AL242" s="136" t="s">
        <v>549</v>
      </c>
      <c r="AM242" s="136" t="s">
        <v>203</v>
      </c>
      <c r="AN242" s="1" t="s">
        <v>525</v>
      </c>
      <c r="AO242" s="166" t="s">
        <v>525</v>
      </c>
      <c r="AQ242">
        <f>_xlfn.XLOOKUP(tblGWP21[[#This Row],[Material Subcategory]],ls_Mat,Factors!$K$952:$K$1023)</f>
        <v>0</v>
      </c>
      <c r="BA242" cm="1">
        <f t="array" ref="BA242:BM242">tblGWP21[#This Row]</f>
        <v>1</v>
      </c>
      <c r="BB242" t="str">
        <v>Wood/Yard Trimmings</v>
      </c>
      <c r="BC242" t="str">
        <v>Yard Trimmings – Leaves</v>
      </c>
      <c r="BD242" t="str">
        <v>North America</v>
      </c>
      <c r="BE242" t="str">
        <v>n/a</v>
      </c>
      <c r="BF242">
        <v>0</v>
      </c>
      <c r="BG242" t="str">
        <v>DELETE</v>
      </c>
      <c r="BH242" t="str">
        <v>DELETE</v>
      </c>
      <c r="BI242">
        <v>-1.7444132337854867</v>
      </c>
      <c r="BJ242">
        <v>-2.14804594103621</v>
      </c>
      <c r="BK242">
        <v>-1.0347224077277033</v>
      </c>
      <c r="BL242">
        <v>-0.92375536904329858</v>
      </c>
      <c r="BM242">
        <v>2.8432026023046467E-2</v>
      </c>
    </row>
    <row r="243" spans="3:65" ht="28.8">
      <c r="C243" s="362">
        <v>1</v>
      </c>
      <c r="D243" s="363" t="s">
        <v>10157</v>
      </c>
      <c r="E243" s="362" t="s">
        <v>545</v>
      </c>
      <c r="F243" s="362" t="s">
        <v>548</v>
      </c>
      <c r="G243" s="362" t="s">
        <v>203</v>
      </c>
      <c r="H243" s="368">
        <v>-2.8533815875203707</v>
      </c>
      <c r="I243" s="368">
        <v>0</v>
      </c>
      <c r="J243" s="368">
        <v>0</v>
      </c>
      <c r="K243" s="368">
        <v>0</v>
      </c>
      <c r="L243" s="368">
        <v>0</v>
      </c>
      <c r="M243" s="368">
        <v>-0.47410512659641396</v>
      </c>
      <c r="N243" s="368">
        <v>-0.563730049331581</v>
      </c>
      <c r="O243" s="368">
        <v>2.7969565018779084E-2</v>
      </c>
      <c r="T243" s="48">
        <v>1</v>
      </c>
      <c r="U243" s="46" t="s">
        <v>233</v>
      </c>
      <c r="V243" s="53" t="s">
        <v>249</v>
      </c>
      <c r="W243" s="53" t="s">
        <v>549</v>
      </c>
      <c r="X243" s="53" t="s">
        <v>203</v>
      </c>
      <c r="Y243" s="172">
        <f>IFERROR(-tblZwaste1422[[#This Row],[Weight (kgCO2e/kg)]],0)</f>
        <v>0</v>
      </c>
      <c r="Z243" s="172" t="str">
        <f>IF(AQ243="x",(AR243*-tblZwaste1422[[#This Row],[Weight (kgCO2e/kg)]])+AS243+($AR$10*Lookups!$J$38/1000),"DELETE")</f>
        <v>DELETE</v>
      </c>
      <c r="AA243" s="172" t="str">
        <f t="shared" si="74"/>
        <v>DELETE</v>
      </c>
      <c r="AB243" s="172">
        <f t="shared" si="74"/>
        <v>-0.54333026102102233</v>
      </c>
      <c r="AC243" s="172">
        <f t="shared" si="74"/>
        <v>-0.74178187732574641</v>
      </c>
      <c r="AD243" s="172">
        <f t="shared" si="74"/>
        <v>3.07716767476966E-2</v>
      </c>
      <c r="AE243" s="172">
        <f t="shared" si="74"/>
        <v>-0.19538428625322299</v>
      </c>
      <c r="AF243" s="172">
        <f t="shared" si="74"/>
        <v>2.5753253824242466E-2</v>
      </c>
      <c r="AG243" s="150"/>
      <c r="AI243" s="137">
        <v>1</v>
      </c>
      <c r="AJ243" s="136"/>
      <c r="AK243" s="142"/>
      <c r="AL243" s="136" t="s">
        <v>549</v>
      </c>
      <c r="AM243" s="136" t="s">
        <v>203</v>
      </c>
      <c r="AN243" s="1" t="s">
        <v>525</v>
      </c>
      <c r="AO243" s="166" t="s">
        <v>525</v>
      </c>
      <c r="AQ243">
        <f>_xlfn.XLOOKUP(tblGWP21[[#This Row],[Material Subcategory]],ls_Mat,Factors!$K$952:$K$1023)</f>
        <v>0</v>
      </c>
      <c r="BA243" cm="1">
        <f t="array" ref="BA243:BM243">tblGWP21[#This Row]</f>
        <v>1</v>
      </c>
      <c r="BB243" t="str">
        <v>Wood/Yard Trimmings</v>
      </c>
      <c r="BC243" t="str">
        <v>Yard Trimmings – Grass</v>
      </c>
      <c r="BD243" t="str">
        <v>North America</v>
      </c>
      <c r="BE243" t="str">
        <v>n/a</v>
      </c>
      <c r="BF243">
        <v>0</v>
      </c>
      <c r="BG243" t="str">
        <v>DELETE</v>
      </c>
      <c r="BH243" t="str">
        <v>DELETE</v>
      </c>
      <c r="BI243">
        <v>-0.54333026102102233</v>
      </c>
      <c r="BJ243">
        <v>-0.74178187732574641</v>
      </c>
      <c r="BK243">
        <v>3.07716767476966E-2</v>
      </c>
      <c r="BL243">
        <v>-0.19538428625322299</v>
      </c>
      <c r="BM243">
        <v>2.5753253824242466E-2</v>
      </c>
    </row>
    <row r="244" spans="3:65" ht="28.8">
      <c r="C244" s="136">
        <v>1</v>
      </c>
      <c r="D244" s="137" t="s">
        <v>10169</v>
      </c>
      <c r="E244" s="136" t="s">
        <v>10170</v>
      </c>
      <c r="F244" s="136" t="s">
        <v>548</v>
      </c>
      <c r="G244" s="136" t="s">
        <v>203</v>
      </c>
      <c r="H244" s="191">
        <v>-0.74582333333333339</v>
      </c>
      <c r="I244" s="191">
        <v>-0.58351400000000009</v>
      </c>
      <c r="J244" s="191">
        <v>0.3259926084346883</v>
      </c>
      <c r="K244" s="191">
        <v>0</v>
      </c>
      <c r="L244" s="191">
        <v>0</v>
      </c>
      <c r="M244" s="191">
        <v>0.45668176288049178</v>
      </c>
      <c r="N244" s="191">
        <v>1.0683983533052401</v>
      </c>
      <c r="O244" s="191">
        <v>1.142290877337675</v>
      </c>
      <c r="T244" s="48">
        <v>1</v>
      </c>
      <c r="U244" s="46" t="s">
        <v>233</v>
      </c>
      <c r="V244" s="53" t="s">
        <v>273</v>
      </c>
      <c r="W244" s="53" t="s">
        <v>549</v>
      </c>
      <c r="X244" s="53" t="s">
        <v>203</v>
      </c>
      <c r="Y244" s="172">
        <f>IFERROR(-tblZwaste1422[[#This Row],[Weight (kgCO2e/kg)]],0)</f>
        <v>0</v>
      </c>
      <c r="Z244" s="172" t="str">
        <f>IF(AQ244="x",(AR244*-tblZwaste1422[[#This Row],[Weight (kgCO2e/kg)]])+AS244+($AR$10*Lookups!$J$38/1000),"DELETE")</f>
        <v>DELETE</v>
      </c>
      <c r="AA244" s="172" t="str">
        <f t="shared" si="74"/>
        <v>DELETE</v>
      </c>
      <c r="AB244" s="172">
        <f t="shared" si="74"/>
        <v>-1.6479477940849101</v>
      </c>
      <c r="AC244" s="172">
        <f t="shared" si="74"/>
        <v>-2.1000190969679733</v>
      </c>
      <c r="AD244" s="172">
        <f t="shared" si="74"/>
        <v>-0.79854269939773104</v>
      </c>
      <c r="AE244" s="172">
        <f t="shared" si="74"/>
        <v>-0.89721094846143501</v>
      </c>
      <c r="AF244" s="172">
        <f t="shared" si="74"/>
        <v>2.7208263952840733E-2</v>
      </c>
      <c r="AG244" s="150"/>
      <c r="AI244" s="137">
        <v>1</v>
      </c>
      <c r="AJ244" s="136"/>
      <c r="AK244" s="142"/>
      <c r="AL244" s="136" t="s">
        <v>549</v>
      </c>
      <c r="AM244" s="136" t="s">
        <v>203</v>
      </c>
      <c r="AN244" s="1" t="s">
        <v>525</v>
      </c>
      <c r="AO244" s="166" t="s">
        <v>525</v>
      </c>
      <c r="AQ244">
        <f>_xlfn.XLOOKUP(tblGWP21[[#This Row],[Material Subcategory]],ls_Mat,Factors!$K$952:$K$1023)</f>
        <v>0</v>
      </c>
      <c r="AR244" s="173"/>
      <c r="AU244" t="s">
        <v>526</v>
      </c>
      <c r="AV244" s="347">
        <v>0.7</v>
      </c>
      <c r="BA244" cm="1">
        <f t="array" ref="BA244:BM244">tblGWP21[#This Row]</f>
        <v>1</v>
      </c>
      <c r="BB244" t="str">
        <v>Wood/Yard Trimmings</v>
      </c>
      <c r="BC244" t="str">
        <v>Yard Trimming – Branches</v>
      </c>
      <c r="BD244" t="str">
        <v>North America</v>
      </c>
      <c r="BE244" t="str">
        <v>n/a</v>
      </c>
      <c r="BF244">
        <v>0</v>
      </c>
      <c r="BG244" t="str">
        <v>DELETE</v>
      </c>
      <c r="BH244" t="str">
        <v>DELETE</v>
      </c>
      <c r="BI244">
        <v>-1.6479477940849101</v>
      </c>
      <c r="BJ244">
        <v>-2.1000190969679733</v>
      </c>
      <c r="BK244">
        <v>-0.79854269939773104</v>
      </c>
      <c r="BL244">
        <v>-0.89721094846143501</v>
      </c>
      <c r="BM244">
        <v>2.7208263952840733E-2</v>
      </c>
    </row>
    <row r="245" spans="3:65" ht="28.8">
      <c r="C245" s="362">
        <v>1</v>
      </c>
      <c r="D245" s="363" t="s">
        <v>233</v>
      </c>
      <c r="E245" s="362" t="s">
        <v>233</v>
      </c>
      <c r="F245" s="362" t="s">
        <v>549</v>
      </c>
      <c r="G245" s="362" t="s">
        <v>203</v>
      </c>
      <c r="H245" s="368">
        <v>0</v>
      </c>
      <c r="I245" s="368">
        <v>-0.13905086666666666</v>
      </c>
      <c r="J245" s="368">
        <v>0</v>
      </c>
      <c r="K245" s="368">
        <v>-1.4463173754122476</v>
      </c>
      <c r="L245" s="368">
        <v>-2.0480932548359161</v>
      </c>
      <c r="M245" s="368">
        <v>-1.0083948792270045</v>
      </c>
      <c r="N245" s="368">
        <v>-0.86214406530898835</v>
      </c>
      <c r="O245" s="368">
        <v>3.3140894122044136E-2</v>
      </c>
      <c r="T245" s="48">
        <v>1</v>
      </c>
      <c r="U245" s="46" t="s">
        <v>233</v>
      </c>
      <c r="V245" s="53" t="s">
        <v>330</v>
      </c>
      <c r="W245" s="53" t="s">
        <v>549</v>
      </c>
      <c r="X245" s="53" t="s">
        <v>203</v>
      </c>
      <c r="Y245" s="172">
        <f>IFERROR(-tblZwaste1422[[#This Row],[Weight (kgCO2e/kg)]],0)</f>
        <v>-0.14119999999999999</v>
      </c>
      <c r="Z245" s="172">
        <f>IF(AQ245="x",(AR245*-tblZwaste1422[[#This Row],[Weight (kgCO2e/kg)]])+AS245+($AR$10*Lookups!$J$38/1000),"DELETE")</f>
        <v>-0.1076582</v>
      </c>
      <c r="AA245" s="172" t="str">
        <f t="shared" si="74"/>
        <v>DELETE</v>
      </c>
      <c r="AB245" s="172" t="str">
        <f t="shared" si="74"/>
        <v>DELETE</v>
      </c>
      <c r="AC245" s="172" t="str">
        <f t="shared" si="74"/>
        <v>DELETE</v>
      </c>
      <c r="AD245" s="172">
        <f t="shared" si="74"/>
        <v>-1.48009745429205</v>
      </c>
      <c r="AE245" s="172">
        <f t="shared" si="74"/>
        <v>-1.0439188133739399</v>
      </c>
      <c r="AF245" s="172">
        <f t="shared" si="74"/>
        <v>5.3036138125445893E-2</v>
      </c>
      <c r="AG245" s="150"/>
      <c r="AI245" s="137">
        <v>1</v>
      </c>
      <c r="AJ245" s="136" t="s">
        <v>330</v>
      </c>
      <c r="AK245" s="142" t="s">
        <v>330</v>
      </c>
      <c r="AL245" s="136" t="s">
        <v>549</v>
      </c>
      <c r="AM245" s="136" t="s">
        <v>203</v>
      </c>
      <c r="AN245" s="1">
        <v>0.14119999999999999</v>
      </c>
      <c r="AO245" s="166">
        <v>0.43014000000000002</v>
      </c>
      <c r="AQ245" t="str">
        <f>_xlfn.XLOOKUP(tblGWP21[[#This Row],[Material Subcategory]],ls_Mat,Factors!$K$952:$K$1023)</f>
        <v>x</v>
      </c>
      <c r="AR245" s="173">
        <v>0.77500000000000002</v>
      </c>
      <c r="AS245">
        <v>0</v>
      </c>
      <c r="AT245" t="s">
        <v>527</v>
      </c>
      <c r="AU245" t="s">
        <v>526</v>
      </c>
      <c r="AV245" s="347">
        <v>0.65</v>
      </c>
      <c r="BA245" cm="1">
        <f t="array" ref="BA245:BM245">tblGWP21[#This Row]</f>
        <v>1</v>
      </c>
      <c r="BB245" t="str">
        <v>Wood/Yard Trimmings</v>
      </c>
      <c r="BC245" t="str">
        <v>Wood</v>
      </c>
      <c r="BD245" t="str">
        <v>North America</v>
      </c>
      <c r="BE245" t="str">
        <v>n/a</v>
      </c>
      <c r="BF245">
        <v>-0.14119999999999999</v>
      </c>
      <c r="BG245">
        <v>-0.1076582</v>
      </c>
      <c r="BH245" t="str">
        <v>DELETE</v>
      </c>
      <c r="BI245" t="str">
        <v>DELETE</v>
      </c>
      <c r="BJ245" t="str">
        <v>DELETE</v>
      </c>
      <c r="BK245">
        <v>-1.48009745429205</v>
      </c>
      <c r="BL245">
        <v>-1.0439188133739399</v>
      </c>
      <c r="BM245">
        <v>5.3036138125445893E-2</v>
      </c>
    </row>
    <row r="246" spans="3:65" ht="28.8">
      <c r="C246" s="136">
        <v>1</v>
      </c>
      <c r="D246" s="137" t="s">
        <v>233</v>
      </c>
      <c r="E246" s="136" t="s">
        <v>250</v>
      </c>
      <c r="F246" s="136" t="s">
        <v>549</v>
      </c>
      <c r="G246" s="136" t="s">
        <v>203</v>
      </c>
      <c r="H246" s="191">
        <v>0</v>
      </c>
      <c r="I246" s="191">
        <v>0</v>
      </c>
      <c r="J246" s="191">
        <v>0</v>
      </c>
      <c r="K246" s="191">
        <v>-1.7444132337854867</v>
      </c>
      <c r="L246" s="191">
        <v>-2.14804594103621</v>
      </c>
      <c r="M246" s="191">
        <v>-1.0347224077277033</v>
      </c>
      <c r="N246" s="191">
        <v>-0.92375536904329858</v>
      </c>
      <c r="O246" s="191">
        <v>2.8432026023046467E-2</v>
      </c>
      <c r="T246" s="48">
        <v>1</v>
      </c>
      <c r="U246" s="46" t="s">
        <v>233</v>
      </c>
      <c r="V246" s="53" t="s">
        <v>335</v>
      </c>
      <c r="W246" s="53" t="s">
        <v>549</v>
      </c>
      <c r="X246" s="53" t="s">
        <v>203</v>
      </c>
      <c r="Y246" s="172">
        <f>IFERROR(-tblZwaste1422[[#This Row],[Weight (kgCO2e/kg)]],0)</f>
        <v>-0.26272000000000001</v>
      </c>
      <c r="Z246" s="172">
        <f>IF(AQ246="x",(AR246*-tblZwaste1422[[#This Row],[Weight (kgCO2e/kg)]])+AS246+($AR$10*Lookups!$J$38/1000),"DELETE")</f>
        <v>-0.20183620000000002</v>
      </c>
      <c r="AA246" s="172" t="str">
        <f t="shared" si="74"/>
        <v>DELETE</v>
      </c>
      <c r="AB246" s="172">
        <f t="shared" si="74"/>
        <v>-1.6479477940849101</v>
      </c>
      <c r="AC246" s="172">
        <f t="shared" si="74"/>
        <v>-2.6253096794248267</v>
      </c>
      <c r="AD246" s="172">
        <f t="shared" si="74"/>
        <v>-1.3838891953461199</v>
      </c>
      <c r="AE246" s="172">
        <f t="shared" si="74"/>
        <v>-1.0562974873610167</v>
      </c>
      <c r="AF246" s="172">
        <f t="shared" si="74"/>
        <v>3.2207841403344636E-2</v>
      </c>
      <c r="AG246" s="150"/>
      <c r="AI246" s="137">
        <v>1</v>
      </c>
      <c r="AJ246" s="136" t="s">
        <v>330</v>
      </c>
      <c r="AK246" s="142" t="s">
        <v>335</v>
      </c>
      <c r="AL246" s="136" t="s">
        <v>549</v>
      </c>
      <c r="AM246" s="136" t="s">
        <v>203</v>
      </c>
      <c r="AN246" s="1">
        <v>0.26272000000000001</v>
      </c>
      <c r="AO246" s="166">
        <v>0.43014000000000002</v>
      </c>
      <c r="AQ246" t="str">
        <f>_xlfn.XLOOKUP(tblGWP21[[#This Row],[Material Subcategory]],ls_Mat,Factors!$K$952:$K$1023)</f>
        <v>x</v>
      </c>
      <c r="AR246" s="173">
        <v>0.77500000000000002</v>
      </c>
      <c r="AS246">
        <v>0</v>
      </c>
      <c r="AT246" t="s">
        <v>527</v>
      </c>
      <c r="BA246" cm="1">
        <f t="array" ref="BA246:BM246">tblGWP21[#This Row]</f>
        <v>1</v>
      </c>
      <c r="BB246" t="str">
        <v>Wood/Yard Trimmings</v>
      </c>
      <c r="BC246" t="str">
        <v>Pallets</v>
      </c>
      <c r="BD246" t="str">
        <v>North America</v>
      </c>
      <c r="BE246" t="str">
        <v>n/a</v>
      </c>
      <c r="BF246">
        <v>-0.26272000000000001</v>
      </c>
      <c r="BG246">
        <v>-0.20183620000000002</v>
      </c>
      <c r="BH246" t="str">
        <v>DELETE</v>
      </c>
      <c r="BI246">
        <v>-1.6479477940849101</v>
      </c>
      <c r="BJ246">
        <v>-2.6253096794248267</v>
      </c>
      <c r="BK246">
        <v>-1.3838891953461199</v>
      </c>
      <c r="BL246">
        <v>-1.0562974873610167</v>
      </c>
      <c r="BM246">
        <v>3.2207841403344636E-2</v>
      </c>
    </row>
    <row r="247" spans="3:65" ht="28.8">
      <c r="C247" s="362">
        <v>1</v>
      </c>
      <c r="D247" s="363" t="s">
        <v>233</v>
      </c>
      <c r="E247" s="362" t="s">
        <v>249</v>
      </c>
      <c r="F247" s="362" t="s">
        <v>549</v>
      </c>
      <c r="G247" s="362" t="s">
        <v>203</v>
      </c>
      <c r="H247" s="368">
        <v>0</v>
      </c>
      <c r="I247" s="368">
        <v>0</v>
      </c>
      <c r="J247" s="368">
        <v>0</v>
      </c>
      <c r="K247" s="368">
        <v>-0.54333026102102233</v>
      </c>
      <c r="L247" s="368">
        <v>-0.74178187732574641</v>
      </c>
      <c r="M247" s="368">
        <v>3.07716767476966E-2</v>
      </c>
      <c r="N247" s="368">
        <v>-0.19538428625322299</v>
      </c>
      <c r="O247" s="368">
        <v>2.5753253824242466E-2</v>
      </c>
      <c r="T247" s="48">
        <v>1</v>
      </c>
      <c r="U247" s="46" t="s">
        <v>233</v>
      </c>
      <c r="V247" s="53" t="s">
        <v>326</v>
      </c>
      <c r="W247" s="53" t="s">
        <v>549</v>
      </c>
      <c r="X247" s="53" t="s">
        <v>203</v>
      </c>
      <c r="Y247" s="172">
        <f>IFERROR(-tblZwaste1422[[#This Row],[Weight (kgCO2e/kg)]],0)</f>
        <v>-0.14119999999999999</v>
      </c>
      <c r="Z247" s="172">
        <f>IF(AQ247="x",(AR247*-tblZwaste1422[[#This Row],[Weight (kgCO2e/kg)]])+AS247+($AR$10*Lookups!$J$38/1000),"DELETE")</f>
        <v>-0.1076582</v>
      </c>
      <c r="AA247" s="172" t="str">
        <f t="shared" si="74"/>
        <v>DELETE</v>
      </c>
      <c r="AB247" s="172">
        <f t="shared" si="74"/>
        <v>-1.6479477940849101</v>
      </c>
      <c r="AC247" s="172">
        <f t="shared" si="74"/>
        <v>-2.6253096794248267</v>
      </c>
      <c r="AD247" s="172">
        <f t="shared" si="74"/>
        <v>-1.3838891953461199</v>
      </c>
      <c r="AE247" s="172">
        <f t="shared" si="74"/>
        <v>-1.0562974873610167</v>
      </c>
      <c r="AF247" s="172">
        <f t="shared" si="74"/>
        <v>3.2207841403344636E-2</v>
      </c>
      <c r="AG247" s="150"/>
      <c r="AI247" s="137">
        <v>1</v>
      </c>
      <c r="AJ247" s="136" t="s">
        <v>330</v>
      </c>
      <c r="AK247" s="142" t="s">
        <v>326</v>
      </c>
      <c r="AL247" s="136" t="s">
        <v>549</v>
      </c>
      <c r="AM247" s="136" t="s">
        <v>203</v>
      </c>
      <c r="AN247" s="1">
        <v>0.14119999999999999</v>
      </c>
      <c r="AO247" s="166">
        <v>0.43014000000000002</v>
      </c>
      <c r="AQ247" t="str">
        <f>_xlfn.XLOOKUP(tblGWP21[[#This Row],[Material Subcategory]],ls_Mat,Factors!$K$952:$K$1023)</f>
        <v>x</v>
      </c>
      <c r="AR247" s="173">
        <v>0.77500000000000002</v>
      </c>
      <c r="AS247">
        <v>0</v>
      </c>
      <c r="AT247" t="s">
        <v>527</v>
      </c>
      <c r="BA247" cm="1">
        <f t="array" ref="BA247:BM247">tblGWP21[#This Row]</f>
        <v>1</v>
      </c>
      <c r="BB247" t="str">
        <v>Wood/Yard Trimmings</v>
      </c>
      <c r="BC247" t="str">
        <v>Other Wood</v>
      </c>
      <c r="BD247" t="str">
        <v>North America</v>
      </c>
      <c r="BE247" t="str">
        <v>n/a</v>
      </c>
      <c r="BF247">
        <v>-0.14119999999999999</v>
      </c>
      <c r="BG247">
        <v>-0.1076582</v>
      </c>
      <c r="BH247" t="str">
        <v>DELETE</v>
      </c>
      <c r="BI247">
        <v>-1.6479477940849101</v>
      </c>
      <c r="BJ247">
        <v>-2.6253096794248267</v>
      </c>
      <c r="BK247">
        <v>-1.3838891953461199</v>
      </c>
      <c r="BL247">
        <v>-1.0562974873610167</v>
      </c>
      <c r="BM247">
        <v>3.2207841403344636E-2</v>
      </c>
    </row>
    <row r="248" spans="3:65" ht="28.8">
      <c r="C248" s="136">
        <v>1</v>
      </c>
      <c r="D248" s="137" t="s">
        <v>233</v>
      </c>
      <c r="E248" s="136" t="s">
        <v>273</v>
      </c>
      <c r="F248" s="136" t="s">
        <v>549</v>
      </c>
      <c r="G248" s="136" t="s">
        <v>203</v>
      </c>
      <c r="H248" s="191">
        <v>0</v>
      </c>
      <c r="I248" s="191">
        <v>0</v>
      </c>
      <c r="J248" s="191">
        <v>0</v>
      </c>
      <c r="K248" s="191">
        <v>-1.6479477940849101</v>
      </c>
      <c r="L248" s="191">
        <v>-2.1000190969679733</v>
      </c>
      <c r="M248" s="191">
        <v>-0.79854269939773104</v>
      </c>
      <c r="N248" s="191">
        <v>-0.89721094846143501</v>
      </c>
      <c r="O248" s="191">
        <v>2.7208263952840733E-2</v>
      </c>
      <c r="T248" s="48">
        <v>1</v>
      </c>
      <c r="U248" s="46" t="s">
        <v>261</v>
      </c>
      <c r="V248" s="53" t="s">
        <v>261</v>
      </c>
      <c r="W248" s="53" t="s">
        <v>549</v>
      </c>
      <c r="X248" s="53" t="s">
        <v>203</v>
      </c>
      <c r="Y248" s="172">
        <f>IFERROR(-tblZwaste1422[[#This Row],[Weight (kgCO2e/kg)]],0)</f>
        <v>-4.72241</v>
      </c>
      <c r="Z248" s="172" t="e">
        <f>IF(AQ248="x",(AR248*-tblZwaste1422[[#This Row],[Weight (kgCO2e/kg)]])+AS248+($AR$10*Lookups!$J$38/1000),"DELETE")</f>
        <v>#N/A</v>
      </c>
      <c r="AA248" s="172" t="str">
        <f t="shared" si="74"/>
        <v>DELETE</v>
      </c>
      <c r="AB248" s="172">
        <f t="shared" si="74"/>
        <v>-0.3634073714566548</v>
      </c>
      <c r="AC248" s="172">
        <f t="shared" si="74"/>
        <v>-0.5926848604143482</v>
      </c>
      <c r="AD248" s="172">
        <f t="shared" si="74"/>
        <v>0.14826167031641715</v>
      </c>
      <c r="AE248" s="172">
        <f t="shared" si="74"/>
        <v>-0.18021909408382583</v>
      </c>
      <c r="AF248" s="172">
        <f t="shared" si="74"/>
        <v>2.5406680087387983E-2</v>
      </c>
      <c r="AG248" s="150"/>
      <c r="AI248" s="137">
        <v>1</v>
      </c>
      <c r="AJ248" s="136" t="s">
        <v>529</v>
      </c>
      <c r="AK248" s="142" t="s">
        <v>529</v>
      </c>
      <c r="AL248" s="136" t="s">
        <v>549</v>
      </c>
      <c r="AM248" s="136" t="s">
        <v>203</v>
      </c>
      <c r="AN248" s="1">
        <v>4.72241</v>
      </c>
      <c r="AO248" s="166">
        <v>1.758</v>
      </c>
      <c r="AQ248" t="e">
        <f>_xlfn.XLOOKUP(tblGWP21[[#This Row],[Material Subcategory]],ls_Mat,Factors!$K$952:$K$1023)</f>
        <v>#N/A</v>
      </c>
      <c r="AR248" s="347">
        <v>0.5</v>
      </c>
      <c r="AS248">
        <v>0</v>
      </c>
      <c r="AT248" t="s">
        <v>528</v>
      </c>
      <c r="BA248" cm="1">
        <f t="array" ref="BA248:BM248">tblGWP21[#This Row]</f>
        <v>1</v>
      </c>
      <c r="BB248" t="str">
        <v>Food Waste</v>
      </c>
      <c r="BC248" t="str">
        <v>Food Waste</v>
      </c>
      <c r="BD248" t="str">
        <v>North America</v>
      </c>
      <c r="BE248" t="str">
        <v>n/a</v>
      </c>
      <c r="BF248">
        <v>-4.72241</v>
      </c>
      <c r="BG248" t="e">
        <v>#N/A</v>
      </c>
      <c r="BH248" t="str">
        <v>DELETE</v>
      </c>
      <c r="BI248">
        <v>-0.3634073714566548</v>
      </c>
      <c r="BJ248">
        <v>-0.5926848604143482</v>
      </c>
      <c r="BK248">
        <v>0.14826167031641715</v>
      </c>
      <c r="BL248">
        <v>-0.18021909408382583</v>
      </c>
      <c r="BM248">
        <v>2.5406680087387983E-2</v>
      </c>
    </row>
    <row r="249" spans="3:65" ht="28.8">
      <c r="C249" s="362">
        <v>1</v>
      </c>
      <c r="D249" s="363" t="s">
        <v>233</v>
      </c>
      <c r="E249" s="362" t="s">
        <v>330</v>
      </c>
      <c r="F249" s="362" t="s">
        <v>549</v>
      </c>
      <c r="G249" s="362" t="s">
        <v>203</v>
      </c>
      <c r="H249" s="368">
        <v>-0.14119999999999999</v>
      </c>
      <c r="I249" s="368">
        <v>-0.1076582</v>
      </c>
      <c r="J249" s="368">
        <v>0</v>
      </c>
      <c r="K249" s="368">
        <v>0</v>
      </c>
      <c r="L249" s="368">
        <v>0</v>
      </c>
      <c r="M249" s="368">
        <v>-1.48009745429205</v>
      </c>
      <c r="N249" s="368">
        <v>-1.0439188133739399</v>
      </c>
      <c r="O249" s="368">
        <v>5.3036138125445893E-2</v>
      </c>
      <c r="T249" s="48">
        <v>1</v>
      </c>
      <c r="U249" s="46" t="s">
        <v>261</v>
      </c>
      <c r="V249" s="53" t="s">
        <v>269</v>
      </c>
      <c r="W249" s="53" t="s">
        <v>549</v>
      </c>
      <c r="X249" s="53" t="s">
        <v>203</v>
      </c>
      <c r="Y249" s="172">
        <f>IFERROR(-tblZwaste1422[[#This Row],[Weight (kgCO2e/kg)]],0)</f>
        <v>-0.25034000000000001</v>
      </c>
      <c r="Z249" s="172">
        <f>IF(AQ249="x",(AR249*-tblZwaste1422[[#This Row],[Weight (kgCO2e/kg)]])+AS249+($AR$10*Lookups!$J$38/1000),"DELETE")</f>
        <v>-0.1233982</v>
      </c>
      <c r="AA249" s="172" t="str">
        <f t="shared" si="74"/>
        <v>DELETE</v>
      </c>
      <c r="AB249" s="172">
        <f t="shared" si="74"/>
        <v>-0.30335986083094563</v>
      </c>
      <c r="AC249" s="172">
        <f t="shared" si="74"/>
        <v>-0.50244214620484595</v>
      </c>
      <c r="AD249" s="172">
        <f t="shared" si="74"/>
        <v>0.17908328713614932</v>
      </c>
      <c r="AE249" s="172">
        <f t="shared" si="74"/>
        <v>-0.124592242247965</v>
      </c>
      <c r="AF249" s="172">
        <f t="shared" si="74"/>
        <v>2.5084555191885068E-2</v>
      </c>
      <c r="AG249" s="150"/>
      <c r="AI249" s="137">
        <v>1</v>
      </c>
      <c r="AJ249" s="136" t="s">
        <v>529</v>
      </c>
      <c r="AK249" s="142" t="s">
        <v>327</v>
      </c>
      <c r="AL249" s="136" t="s">
        <v>549</v>
      </c>
      <c r="AM249" s="136" t="s">
        <v>203</v>
      </c>
      <c r="AN249" s="1">
        <v>0.25034000000000001</v>
      </c>
      <c r="AO249" s="166">
        <v>0.99672000000000005</v>
      </c>
      <c r="AQ249" t="str">
        <f>_xlfn.XLOOKUP(tblGWP21[[#This Row],[Material Subcategory]],ls_Mat,Factors!$K$952:$K$1023)</f>
        <v>x</v>
      </c>
      <c r="AR249" s="347">
        <v>0.5</v>
      </c>
      <c r="AS249">
        <v>0</v>
      </c>
      <c r="AT249" t="s">
        <v>528</v>
      </c>
      <c r="BA249" cm="1">
        <f t="array" ref="BA249:BM249">tblGWP21[#This Row]</f>
        <v>1</v>
      </c>
      <c r="BB249" t="str">
        <v>Food Waste</v>
      </c>
      <c r="BC249" t="str">
        <v>Food Waste – Vegetable</v>
      </c>
      <c r="BD249" t="str">
        <v>North America</v>
      </c>
      <c r="BE249" t="str">
        <v>n/a</v>
      </c>
      <c r="BF249">
        <v>-0.25034000000000001</v>
      </c>
      <c r="BG249">
        <v>-0.1233982</v>
      </c>
      <c r="BH249" t="str">
        <v>DELETE</v>
      </c>
      <c r="BI249">
        <v>-0.30335986083094563</v>
      </c>
      <c r="BJ249">
        <v>-0.50244214620484595</v>
      </c>
      <c r="BK249">
        <v>0.17908328713614932</v>
      </c>
      <c r="BL249">
        <v>-0.124592242247965</v>
      </c>
      <c r="BM249">
        <v>2.5084555191885068E-2</v>
      </c>
    </row>
    <row r="250" spans="3:65" ht="28.8">
      <c r="C250" s="136">
        <v>1</v>
      </c>
      <c r="D250" s="137" t="s">
        <v>233</v>
      </c>
      <c r="E250" s="136" t="s">
        <v>335</v>
      </c>
      <c r="F250" s="136" t="s">
        <v>549</v>
      </c>
      <c r="G250" s="136" t="s">
        <v>203</v>
      </c>
      <c r="H250" s="191">
        <v>-0.26272000000000001</v>
      </c>
      <c r="I250" s="191">
        <v>-0.20183620000000002</v>
      </c>
      <c r="J250" s="191">
        <v>0</v>
      </c>
      <c r="K250" s="191">
        <v>-1.6479477940849101</v>
      </c>
      <c r="L250" s="191">
        <v>-2.6253096794248267</v>
      </c>
      <c r="M250" s="191">
        <v>-1.3838891953461199</v>
      </c>
      <c r="N250" s="191">
        <v>-1.0562974873610167</v>
      </c>
      <c r="O250" s="191">
        <v>3.2207841403344636E-2</v>
      </c>
      <c r="T250" s="48">
        <v>1</v>
      </c>
      <c r="U250" s="46" t="s">
        <v>261</v>
      </c>
      <c r="V250" s="53" t="s">
        <v>530</v>
      </c>
      <c r="W250" s="53" t="s">
        <v>549</v>
      </c>
      <c r="X250" s="53" t="s">
        <v>203</v>
      </c>
      <c r="Y250" s="172">
        <f>IFERROR(-tblZwaste1422[[#This Row],[Weight (kgCO2e/kg)]],0)</f>
        <v>-9.1944800000000004</v>
      </c>
      <c r="Z250" s="172">
        <f>IF(AQ250="x",(AR250*-tblZwaste1422[[#This Row],[Weight (kgCO2e/kg)]])+AS250+($AR$10*Lookups!$J$38/1000),"DELETE")</f>
        <v>-4.5954682</v>
      </c>
      <c r="AA250" s="172" t="str">
        <f t="shared" si="74"/>
        <v>DELETE</v>
      </c>
      <c r="AB250" s="172">
        <f t="shared" si="74"/>
        <v>-0.42345488208236404</v>
      </c>
      <c r="AC250" s="172">
        <f t="shared" si="74"/>
        <v>-0.68292757462385045</v>
      </c>
      <c r="AD250" s="172">
        <f t="shared" si="74"/>
        <v>0.117440053496685</v>
      </c>
      <c r="AE250" s="172">
        <f t="shared" si="74"/>
        <v>-0.23584594591968666</v>
      </c>
      <c r="AF250" s="172">
        <f t="shared" si="74"/>
        <v>2.5728804982890902E-2</v>
      </c>
      <c r="AG250" s="150"/>
      <c r="AI250" s="137">
        <v>1</v>
      </c>
      <c r="AJ250" s="136" t="s">
        <v>529</v>
      </c>
      <c r="AK250" s="142" t="s">
        <v>331</v>
      </c>
      <c r="AL250" s="136" t="s">
        <v>549</v>
      </c>
      <c r="AM250" s="136" t="s">
        <v>203</v>
      </c>
      <c r="AN250" s="1">
        <v>9.1944800000000004</v>
      </c>
      <c r="AO250" s="166">
        <v>2.5192800000000002</v>
      </c>
      <c r="AQ250" t="str">
        <f>_xlfn.XLOOKUP(tblGWP21[[#This Row],[Material Subcategory]],ls_Mat,Factors!$K$952:$K$1023)</f>
        <v>x</v>
      </c>
      <c r="AR250" s="347">
        <v>0.5</v>
      </c>
      <c r="AS250">
        <v>0</v>
      </c>
      <c r="AT250" t="s">
        <v>528</v>
      </c>
      <c r="AU250" t="s">
        <v>526</v>
      </c>
      <c r="AV250" s="347">
        <v>0.5</v>
      </c>
      <c r="BA250" cm="1">
        <f t="array" ref="BA250:BM250">tblGWP21[#This Row]</f>
        <v>1</v>
      </c>
      <c r="BB250" t="str">
        <v>Food Waste</v>
      </c>
      <c r="BC250" t="str">
        <v>Food Waste – Non-Vegetable</v>
      </c>
      <c r="BD250" t="str">
        <v>North America</v>
      </c>
      <c r="BE250" t="str">
        <v>n/a</v>
      </c>
      <c r="BF250">
        <v>-9.1944800000000004</v>
      </c>
      <c r="BG250">
        <v>-4.5954682</v>
      </c>
      <c r="BH250" t="str">
        <v>DELETE</v>
      </c>
      <c r="BI250">
        <v>-0.42345488208236404</v>
      </c>
      <c r="BJ250">
        <v>-0.68292757462385045</v>
      </c>
      <c r="BK250">
        <v>0.117440053496685</v>
      </c>
      <c r="BL250">
        <v>-0.23584594591968666</v>
      </c>
      <c r="BM250">
        <v>2.5728804982890902E-2</v>
      </c>
    </row>
    <row r="251" spans="3:65" ht="28.8">
      <c r="C251" s="362">
        <v>1</v>
      </c>
      <c r="D251" s="363" t="s">
        <v>233</v>
      </c>
      <c r="E251" s="362" t="s">
        <v>326</v>
      </c>
      <c r="F251" s="362" t="s">
        <v>549</v>
      </c>
      <c r="G251" s="362" t="s">
        <v>203</v>
      </c>
      <c r="H251" s="368">
        <v>-0.14119999999999999</v>
      </c>
      <c r="I251" s="368">
        <v>-0.1076582</v>
      </c>
      <c r="J251" s="368">
        <v>0</v>
      </c>
      <c r="K251" s="368">
        <v>-1.6479477940849101</v>
      </c>
      <c r="L251" s="368">
        <v>-2.6253096794248267</v>
      </c>
      <c r="M251" s="368">
        <v>-1.3838891953461199</v>
      </c>
      <c r="N251" s="368">
        <v>-1.0562974873610167</v>
      </c>
      <c r="O251" s="368">
        <v>3.2207841403344636E-2</v>
      </c>
      <c r="T251" s="48">
        <v>1</v>
      </c>
      <c r="U251" s="46" t="s">
        <v>261</v>
      </c>
      <c r="V251" s="53" t="s">
        <v>262</v>
      </c>
      <c r="W251" s="53" t="s">
        <v>549</v>
      </c>
      <c r="X251" s="53" t="s">
        <v>203</v>
      </c>
      <c r="Y251" s="172">
        <f>IFERROR(-tblZwaste1422[[#This Row],[Weight (kgCO2e/kg)]],0)</f>
        <v>-2.5034000000000001</v>
      </c>
      <c r="Z251" s="172" t="str">
        <f>IF(AQ251="x",(AR251*-tblZwaste1422[[#This Row],[Weight (kgCO2e/kg)]])+AS251+($AR$10*Lookups!$J$38/1000),"DELETE")</f>
        <v>DELETE</v>
      </c>
      <c r="AA251" s="172" t="str">
        <f t="shared" ref="AA251:AF260" si="75">IF(ISNUMBER(AVERAGE(AA643,AA699,AA755)),AVERAGE(AA643,AA699,AA755),AA643)</f>
        <v>DELETE</v>
      </c>
      <c r="AB251" s="172">
        <f t="shared" si="75"/>
        <v>-0.42345488208236404</v>
      </c>
      <c r="AC251" s="172">
        <f t="shared" si="75"/>
        <v>-0.68292757462385045</v>
      </c>
      <c r="AD251" s="172">
        <f t="shared" si="75"/>
        <v>0.117440053496685</v>
      </c>
      <c r="AE251" s="172">
        <f t="shared" si="75"/>
        <v>-0.23584594591968666</v>
      </c>
      <c r="AF251" s="172">
        <f t="shared" si="75"/>
        <v>2.5728804982890902E-2</v>
      </c>
      <c r="AG251" s="150"/>
      <c r="AI251" s="137">
        <v>1</v>
      </c>
      <c r="AJ251" s="136" t="s">
        <v>529</v>
      </c>
      <c r="AK251" s="142" t="s">
        <v>332</v>
      </c>
      <c r="AL251" s="136" t="s">
        <v>549</v>
      </c>
      <c r="AM251" s="136" t="s">
        <v>203</v>
      </c>
      <c r="AN251" s="1">
        <v>2.5034000000000001</v>
      </c>
      <c r="AO251" s="166">
        <v>1.0183800000000001</v>
      </c>
      <c r="AQ251">
        <f>_xlfn.XLOOKUP(tblGWP21[[#This Row],[Material Subcategory]],ls_Mat,Factors!$K$952:$K$1023)</f>
        <v>0</v>
      </c>
      <c r="AR251" s="347">
        <v>0.5</v>
      </c>
      <c r="AS251">
        <v>0</v>
      </c>
      <c r="AT251" t="s">
        <v>528</v>
      </c>
      <c r="BA251" cm="1">
        <f t="array" ref="BA251:BM251">tblGWP21[#This Row]</f>
        <v>1</v>
      </c>
      <c r="BB251" t="str">
        <v>Food Waste</v>
      </c>
      <c r="BC251" t="str">
        <v>Oils/Grease</v>
      </c>
      <c r="BD251" t="str">
        <v>North America</v>
      </c>
      <c r="BE251" t="str">
        <v>n/a</v>
      </c>
      <c r="BF251">
        <v>-2.5034000000000001</v>
      </c>
      <c r="BG251" t="str">
        <v>DELETE</v>
      </c>
      <c r="BH251" t="str">
        <v>DELETE</v>
      </c>
      <c r="BI251">
        <v>-0.42345488208236404</v>
      </c>
      <c r="BJ251">
        <v>-0.68292757462385045</v>
      </c>
      <c r="BK251">
        <v>0.117440053496685</v>
      </c>
      <c r="BL251">
        <v>-0.23584594591968666</v>
      </c>
      <c r="BM251">
        <v>2.5728804982890902E-2</v>
      </c>
    </row>
    <row r="252" spans="3:65">
      <c r="C252" s="136">
        <v>1</v>
      </c>
      <c r="D252" s="137" t="s">
        <v>261</v>
      </c>
      <c r="E252" s="136" t="s">
        <v>261</v>
      </c>
      <c r="F252" s="136" t="s">
        <v>549</v>
      </c>
      <c r="G252" s="136" t="s">
        <v>203</v>
      </c>
      <c r="H252" s="191">
        <v>-4.72241</v>
      </c>
      <c r="I252" s="191">
        <v>-2.3594331999999998</v>
      </c>
      <c r="J252" s="191">
        <v>0</v>
      </c>
      <c r="K252" s="191">
        <v>-0.3634073714566548</v>
      </c>
      <c r="L252" s="191">
        <v>-0.5926848604143482</v>
      </c>
      <c r="M252" s="191">
        <v>0.14826167031641715</v>
      </c>
      <c r="N252" s="191">
        <v>-0.18021909408382583</v>
      </c>
      <c r="O252" s="191">
        <v>2.5406680087387983E-2</v>
      </c>
      <c r="T252" s="48">
        <v>1</v>
      </c>
      <c r="U252" s="46" t="s">
        <v>252</v>
      </c>
      <c r="V252" s="53" t="s">
        <v>252</v>
      </c>
      <c r="W252" s="53" t="s">
        <v>549</v>
      </c>
      <c r="X252" s="53" t="s">
        <v>203</v>
      </c>
      <c r="Y252" s="172">
        <f>IFERROR(-tblZwaste1422[[#This Row],[Weight (kgCO2e/kg)]],0)</f>
        <v>-2.0953266666666663</v>
      </c>
      <c r="Z252" s="172" t="e">
        <f>IF(AQ252="x",(AR252*-tblZwaste1422[[#This Row],[Weight (kgCO2e/kg)]])+AS252+($AR$10*Lookups!$J$38/1000),"DELETE")</f>
        <v>#N/A</v>
      </c>
      <c r="AA252" s="172">
        <f t="shared" si="75"/>
        <v>-4.4030402701352562</v>
      </c>
      <c r="AB252" s="172" t="str">
        <f t="shared" si="75"/>
        <v>DELETE</v>
      </c>
      <c r="AC252" s="172" t="str">
        <f t="shared" si="75"/>
        <v>DELETE</v>
      </c>
      <c r="AD252" s="172">
        <f t="shared" si="75"/>
        <v>2.6025029664629367E-2</v>
      </c>
      <c r="AE252" s="172">
        <f t="shared" si="75"/>
        <v>0.60512788547787932</v>
      </c>
      <c r="AF252" s="172">
        <f t="shared" si="75"/>
        <v>2.1870248780094035</v>
      </c>
      <c r="AG252" s="150"/>
      <c r="AI252" s="137">
        <v>1</v>
      </c>
      <c r="AJ252" s="136" t="s">
        <v>252</v>
      </c>
      <c r="AK252" s="142" t="s">
        <v>252</v>
      </c>
      <c r="AL252" s="136" t="s">
        <v>549</v>
      </c>
      <c r="AM252" s="136" t="s">
        <v>203</v>
      </c>
      <c r="AN252" s="1">
        <v>2.0953266666666663</v>
      </c>
      <c r="AO252" s="166">
        <v>1.77911</v>
      </c>
      <c r="AQ252" t="e">
        <f>_xlfn.XLOOKUP(tblGWP21[[#This Row],[Material Subcategory]],ls_Mat,Factors!$K$952:$K$1023)</f>
        <v>#N/A</v>
      </c>
      <c r="AR252" s="173">
        <v>0.77500000000000002</v>
      </c>
      <c r="AS252">
        <v>8.1306407300000008E-2</v>
      </c>
      <c r="AT252" t="s">
        <v>531</v>
      </c>
      <c r="BA252" cm="1">
        <f t="array" ref="BA252:BM252">tblGWP21[#This Row]</f>
        <v>1</v>
      </c>
      <c r="BB252" t="str">
        <v>Plastics</v>
      </c>
      <c r="BC252" t="str">
        <v>Plastics</v>
      </c>
      <c r="BD252" t="str">
        <v>North America</v>
      </c>
      <c r="BE252" t="str">
        <v>n/a</v>
      </c>
      <c r="BF252">
        <v>-2.0953266666666663</v>
      </c>
      <c r="BG252" t="e">
        <v>#N/A</v>
      </c>
      <c r="BH252">
        <v>-4.4030402701352562</v>
      </c>
      <c r="BI252" t="str">
        <v>DELETE</v>
      </c>
      <c r="BJ252" t="str">
        <v>DELETE</v>
      </c>
      <c r="BK252">
        <v>2.6025029664629367E-2</v>
      </c>
      <c r="BL252">
        <v>0.60512788547787932</v>
      </c>
      <c r="BM252">
        <v>2.1870248780094035</v>
      </c>
    </row>
    <row r="253" spans="3:65" ht="28.8">
      <c r="C253" s="362">
        <v>1</v>
      </c>
      <c r="D253" s="363" t="s">
        <v>261</v>
      </c>
      <c r="E253" s="362" t="s">
        <v>269</v>
      </c>
      <c r="F253" s="362" t="s">
        <v>549</v>
      </c>
      <c r="G253" s="362" t="s">
        <v>203</v>
      </c>
      <c r="H253" s="368">
        <v>-0.25034000000000001</v>
      </c>
      <c r="I253" s="368">
        <v>-0.1233982</v>
      </c>
      <c r="J253" s="368">
        <v>0</v>
      </c>
      <c r="K253" s="368">
        <v>-0.30335986083094563</v>
      </c>
      <c r="L253" s="368">
        <v>-0.50244214620484595</v>
      </c>
      <c r="M253" s="368">
        <v>0.17908328713614932</v>
      </c>
      <c r="N253" s="368">
        <v>-0.124592242247965</v>
      </c>
      <c r="O253" s="368">
        <v>2.5084555191885068E-2</v>
      </c>
      <c r="T253" s="48">
        <v>1</v>
      </c>
      <c r="U253" s="46" t="s">
        <v>252</v>
      </c>
      <c r="V253" s="53" t="s">
        <v>253</v>
      </c>
      <c r="W253" s="53" t="s">
        <v>549</v>
      </c>
      <c r="X253" s="53" t="s">
        <v>203</v>
      </c>
      <c r="Y253" s="172">
        <f>IFERROR(-tblZwaste1422[[#This Row],[Weight (kgCO2e/kg)]],0)</f>
        <v>-2.04928</v>
      </c>
      <c r="Z253" s="172" t="e">
        <f>IF(AQ253="x",(AR253*-tblZwaste1422[[#This Row],[Weight (kgCO2e/kg)]])+AS253+($AR$10*Lookups!$J$38/1000),"DELETE")</f>
        <v>#N/A</v>
      </c>
      <c r="AA253" s="172">
        <f t="shared" si="75"/>
        <v>-3.8627047504836902</v>
      </c>
      <c r="AB253" s="172" t="str">
        <f t="shared" si="75"/>
        <v>DELETE</v>
      </c>
      <c r="AC253" s="172" t="str">
        <f t="shared" si="75"/>
        <v>DELETE</v>
      </c>
      <c r="AD253" s="172">
        <f t="shared" si="75"/>
        <v>2.60250266611744E-2</v>
      </c>
      <c r="AE253" s="172">
        <f t="shared" si="75"/>
        <v>0.45368959788048563</v>
      </c>
      <c r="AF253" s="172">
        <f t="shared" si="75"/>
        <v>3.1831777526066403</v>
      </c>
      <c r="AG253" s="150"/>
      <c r="AI253" s="137">
        <v>1</v>
      </c>
      <c r="AJ253" s="136" t="s">
        <v>252</v>
      </c>
      <c r="AK253" s="142" t="s">
        <v>253</v>
      </c>
      <c r="AL253" s="136" t="s">
        <v>549</v>
      </c>
      <c r="AM253" s="136" t="s">
        <v>203</v>
      </c>
      <c r="AN253" s="1">
        <v>2.04928</v>
      </c>
      <c r="AO253" s="166">
        <v>1.77911</v>
      </c>
      <c r="AQ253" t="e">
        <f>_xlfn.XLOOKUP(tblGWP21[[#This Row],[Material Subcategory]],ls_Mat,Factors!$K$952:$K$1023)</f>
        <v>#N/A</v>
      </c>
      <c r="AR253" s="173">
        <v>0.77500000000000002</v>
      </c>
      <c r="AS253">
        <v>8.1306407300000008E-2</v>
      </c>
      <c r="AT253" t="s">
        <v>531</v>
      </c>
      <c r="BA253" cm="1">
        <f t="array" ref="BA253:BM253">tblGWP21[#This Row]</f>
        <v>1</v>
      </c>
      <c r="BB253" t="str">
        <v>Plastics</v>
      </c>
      <c r="BC253" t="str">
        <v>HDPE (translucent and pigmented)</v>
      </c>
      <c r="BD253" t="str">
        <v>North America</v>
      </c>
      <c r="BE253" t="str">
        <v>n/a</v>
      </c>
      <c r="BF253">
        <v>-2.04928</v>
      </c>
      <c r="BG253" t="e">
        <v>#N/A</v>
      </c>
      <c r="BH253">
        <v>-3.8627047504836902</v>
      </c>
      <c r="BI253" t="str">
        <v>DELETE</v>
      </c>
      <c r="BJ253" t="str">
        <v>DELETE</v>
      </c>
      <c r="BK253">
        <v>2.60250266611744E-2</v>
      </c>
      <c r="BL253">
        <v>0.45368959788048563</v>
      </c>
      <c r="BM253">
        <v>3.1831777526066403</v>
      </c>
    </row>
    <row r="254" spans="3:65" ht="28.8">
      <c r="C254" s="136">
        <v>1</v>
      </c>
      <c r="D254" s="137" t="s">
        <v>261</v>
      </c>
      <c r="E254" s="136" t="s">
        <v>530</v>
      </c>
      <c r="F254" s="136" t="s">
        <v>549</v>
      </c>
      <c r="G254" s="136" t="s">
        <v>203</v>
      </c>
      <c r="H254" s="191">
        <v>-9.1944800000000004</v>
      </c>
      <c r="I254" s="191">
        <v>-4.5954682</v>
      </c>
      <c r="J254" s="191">
        <v>0</v>
      </c>
      <c r="K254" s="191">
        <v>-0.42345488208236404</v>
      </c>
      <c r="L254" s="191">
        <v>-0.68292757462385045</v>
      </c>
      <c r="M254" s="191">
        <v>0.117440053496685</v>
      </c>
      <c r="N254" s="191">
        <v>-0.23584594591968666</v>
      </c>
      <c r="O254" s="191">
        <v>2.5728804982890902E-2</v>
      </c>
      <c r="T254" s="48">
        <v>1</v>
      </c>
      <c r="U254" s="46" t="s">
        <v>252</v>
      </c>
      <c r="V254" s="53" t="s">
        <v>328</v>
      </c>
      <c r="W254" s="53" t="s">
        <v>549</v>
      </c>
      <c r="X254" s="53" t="s">
        <v>203</v>
      </c>
      <c r="Y254" s="172">
        <f>IFERROR(-tblZwaste1422[[#This Row],[Weight (kgCO2e/kg)]],0)</f>
        <v>-2.3231199999999999</v>
      </c>
      <c r="Z254" s="172" t="e">
        <f>IF(AQ254="x",(AR254*-tblZwaste1422[[#This Row],[Weight (kgCO2e/kg)]])+AS254+($AR$10*Lookups!$J$38/1000),"DELETE")</f>
        <v>#N/A</v>
      </c>
      <c r="AA254" s="172">
        <f t="shared" si="75"/>
        <v>-4.5565848181288349</v>
      </c>
      <c r="AB254" s="172" t="str">
        <f t="shared" si="75"/>
        <v>DELETE</v>
      </c>
      <c r="AC254" s="172" t="str">
        <f t="shared" si="75"/>
        <v>DELETE</v>
      </c>
      <c r="AD254" s="172">
        <f t="shared" si="75"/>
        <v>2.6025027456978402E-2</v>
      </c>
      <c r="AE254" s="172">
        <f t="shared" si="75"/>
        <v>0.50719626388394135</v>
      </c>
      <c r="AF254" s="172">
        <f t="shared" si="75"/>
        <v>2.4956081714469001</v>
      </c>
      <c r="AG254" s="150"/>
      <c r="AI254" s="137">
        <v>1</v>
      </c>
      <c r="AJ254" s="136" t="s">
        <v>252</v>
      </c>
      <c r="AK254" s="142" t="s">
        <v>328</v>
      </c>
      <c r="AL254" s="136" t="s">
        <v>549</v>
      </c>
      <c r="AM254" s="136" t="s">
        <v>203</v>
      </c>
      <c r="AN254" s="1">
        <v>2.3231199999999999</v>
      </c>
      <c r="AO254" s="166">
        <v>1.77911</v>
      </c>
      <c r="AQ254" t="e">
        <f>_xlfn.XLOOKUP(tblGWP21[[#This Row],[Material Subcategory]],ls_Mat,Factors!$K$952:$K$1023)</f>
        <v>#N/A</v>
      </c>
      <c r="AR254" s="173">
        <v>0.77500000000000002</v>
      </c>
      <c r="BA254" cm="1">
        <f t="array" ref="BA254:BM254">tblGWP21[#This Row]</f>
        <v>1</v>
      </c>
      <c r="BB254" t="str">
        <v>Plastics</v>
      </c>
      <c r="BC254" t="str">
        <v>LDPE</v>
      </c>
      <c r="BD254" t="str">
        <v>North America</v>
      </c>
      <c r="BE254" t="str">
        <v>n/a</v>
      </c>
      <c r="BF254">
        <v>-2.3231199999999999</v>
      </c>
      <c r="BG254" t="e">
        <v>#N/A</v>
      </c>
      <c r="BH254">
        <v>-4.5565848181288349</v>
      </c>
      <c r="BI254" t="str">
        <v>DELETE</v>
      </c>
      <c r="BJ254" t="str">
        <v>DELETE</v>
      </c>
      <c r="BK254">
        <v>2.6025027456978402E-2</v>
      </c>
      <c r="BL254">
        <v>0.50719626388394135</v>
      </c>
      <c r="BM254">
        <v>2.4956081714469001</v>
      </c>
    </row>
    <row r="255" spans="3:65">
      <c r="C255" s="362">
        <v>1</v>
      </c>
      <c r="D255" s="363" t="s">
        <v>261</v>
      </c>
      <c r="E255" s="362" t="s">
        <v>262</v>
      </c>
      <c r="F255" s="362" t="s">
        <v>549</v>
      </c>
      <c r="G255" s="362" t="s">
        <v>203</v>
      </c>
      <c r="H255" s="368">
        <v>-2.5034000000000001</v>
      </c>
      <c r="I255" s="368">
        <v>0</v>
      </c>
      <c r="J255" s="368">
        <v>0</v>
      </c>
      <c r="K255" s="368">
        <v>-0.42345488208236404</v>
      </c>
      <c r="L255" s="368">
        <v>-0.68292757462385045</v>
      </c>
      <c r="M255" s="368">
        <v>0.117440053496685</v>
      </c>
      <c r="N255" s="368">
        <v>-0.23584594591968666</v>
      </c>
      <c r="O255" s="368">
        <v>2.5728804982890902E-2</v>
      </c>
      <c r="T255" s="48">
        <v>1</v>
      </c>
      <c r="U255" s="46" t="s">
        <v>252</v>
      </c>
      <c r="V255" s="53" t="s">
        <v>254</v>
      </c>
      <c r="W255" s="53" t="s">
        <v>549</v>
      </c>
      <c r="X255" s="53" t="s">
        <v>203</v>
      </c>
      <c r="Y255" s="172">
        <f>IFERROR(-tblZwaste1422[[#This Row],[Weight (kgCO2e/kg)]],0)</f>
        <v>-2.1485799999999999</v>
      </c>
      <c r="Z255" s="172" t="e">
        <f>IF(AQ255="x",(AR255*-tblZwaste1422[[#This Row],[Weight (kgCO2e/kg)]])+AS255+($AR$10*Lookups!$J$38/1000),"DELETE")</f>
        <v>#N/A</v>
      </c>
      <c r="AA255" s="172">
        <f t="shared" si="75"/>
        <v>-4.6362866937996658</v>
      </c>
      <c r="AB255" s="172" t="str">
        <f t="shared" si="75"/>
        <v>DELETE</v>
      </c>
      <c r="AC255" s="172" t="str">
        <f t="shared" si="75"/>
        <v>DELETE</v>
      </c>
      <c r="AD255" s="172">
        <f t="shared" si="75"/>
        <v>2.602502666117433E-2</v>
      </c>
      <c r="AE255" s="172">
        <f t="shared" si="75"/>
        <v>0.67081228326731235</v>
      </c>
      <c r="AF255" s="172">
        <f t="shared" si="75"/>
        <v>2.5363326417418097</v>
      </c>
      <c r="AG255" s="150"/>
      <c r="AI255" s="137">
        <v>1</v>
      </c>
      <c r="AJ255" s="136" t="s">
        <v>252</v>
      </c>
      <c r="AK255" s="142" t="s">
        <v>254</v>
      </c>
      <c r="AL255" s="136" t="s">
        <v>549</v>
      </c>
      <c r="AM255" s="136" t="s">
        <v>203</v>
      </c>
      <c r="AN255" s="1">
        <v>2.1485799999999999</v>
      </c>
      <c r="AO255" s="166">
        <v>1.77911</v>
      </c>
      <c r="AQ255" t="e">
        <f>_xlfn.XLOOKUP(tblGWP21[[#This Row],[Material Subcategory]],ls_Mat,Factors!$K$952:$K$1023)</f>
        <v>#N/A</v>
      </c>
      <c r="AR255" s="173">
        <v>0.77500000000000002</v>
      </c>
      <c r="AS255">
        <v>8.1306407300000008E-2</v>
      </c>
      <c r="AT255" t="s">
        <v>531</v>
      </c>
      <c r="BA255" cm="1">
        <f t="array" ref="BA255:BM255">tblGWP21[#This Row]</f>
        <v>1</v>
      </c>
      <c r="BB255" t="str">
        <v>Plastics</v>
      </c>
      <c r="BC255" t="str">
        <v>PET</v>
      </c>
      <c r="BD255" t="str">
        <v>North America</v>
      </c>
      <c r="BE255" t="str">
        <v>n/a</v>
      </c>
      <c r="BF255">
        <v>-2.1485799999999999</v>
      </c>
      <c r="BG255" t="e">
        <v>#N/A</v>
      </c>
      <c r="BH255">
        <v>-4.6362866937996658</v>
      </c>
      <c r="BI255" t="str">
        <v>DELETE</v>
      </c>
      <c r="BJ255" t="str">
        <v>DELETE</v>
      </c>
      <c r="BK255">
        <v>2.602502666117433E-2</v>
      </c>
      <c r="BL255">
        <v>0.67081228326731235</v>
      </c>
      <c r="BM255">
        <v>2.5363326417418097</v>
      </c>
    </row>
    <row r="256" spans="3:65">
      <c r="C256" s="136">
        <v>1</v>
      </c>
      <c r="D256" s="137" t="s">
        <v>252</v>
      </c>
      <c r="E256" s="136" t="s">
        <v>252</v>
      </c>
      <c r="F256" s="136" t="s">
        <v>549</v>
      </c>
      <c r="G256" s="136" t="s">
        <v>203</v>
      </c>
      <c r="H256" s="191">
        <v>-2.0953266666666663</v>
      </c>
      <c r="I256" s="191">
        <v>-1.5407999593666664</v>
      </c>
      <c r="J256" s="191">
        <v>-4.4030402701352562</v>
      </c>
      <c r="K256" s="191">
        <v>0</v>
      </c>
      <c r="L256" s="191">
        <v>0</v>
      </c>
      <c r="M256" s="191">
        <v>2.6025029664629367E-2</v>
      </c>
      <c r="N256" s="191">
        <v>0.60512788547787932</v>
      </c>
      <c r="O256" s="191">
        <v>2.1870248780094035</v>
      </c>
      <c r="T256" s="48">
        <v>1</v>
      </c>
      <c r="U256" s="46" t="s">
        <v>252</v>
      </c>
      <c r="V256" s="53" t="s">
        <v>532</v>
      </c>
      <c r="W256" s="53" t="s">
        <v>549</v>
      </c>
      <c r="X256" s="53" t="s">
        <v>203</v>
      </c>
      <c r="Y256" s="172">
        <f>IFERROR(-tblZwaste1422[[#This Row],[Weight (kgCO2e/kg)]],0)</f>
        <v>-1.9492499999999999</v>
      </c>
      <c r="Z256" s="172" t="e">
        <f>IF(AQ256="x",(AR256*-tblZwaste1422[[#This Row],[Weight (kgCO2e/kg)]])+AS256+($AR$10*Lookups!$J$38/1000),"DELETE")</f>
        <v>#N/A</v>
      </c>
      <c r="AA256" s="172">
        <f t="shared" si="75"/>
        <v>-4.5565848181288349</v>
      </c>
      <c r="AB256" s="172" t="str">
        <f t="shared" si="75"/>
        <v>DELETE</v>
      </c>
      <c r="AC256" s="172" t="str">
        <f t="shared" si="75"/>
        <v>DELETE</v>
      </c>
      <c r="AD256" s="172">
        <f t="shared" si="75"/>
        <v>2.6025027456978402E-2</v>
      </c>
      <c r="AE256" s="172">
        <f t="shared" si="75"/>
        <v>0.50719626388394135</v>
      </c>
      <c r="AF256" s="172">
        <f t="shared" si="75"/>
        <v>2.4956081714469001</v>
      </c>
      <c r="AG256" s="150"/>
      <c r="AI256" s="137">
        <v>1</v>
      </c>
      <c r="AJ256" s="136" t="s">
        <v>252</v>
      </c>
      <c r="AK256" s="142" t="s">
        <v>532</v>
      </c>
      <c r="AL256" s="136" t="s">
        <v>549</v>
      </c>
      <c r="AM256" s="136" t="s">
        <v>203</v>
      </c>
      <c r="AN256" s="1">
        <v>1.9492499999999999</v>
      </c>
      <c r="AO256" s="166">
        <v>1.77911</v>
      </c>
      <c r="AQ256" t="e">
        <f>_xlfn.XLOOKUP(tblGWP21[[#This Row],[Material Subcategory]],ls_Mat,Factors!$K$952:$K$1023)</f>
        <v>#N/A</v>
      </c>
      <c r="BA256" cm="1">
        <f t="array" ref="BA256:BM256">tblGWP21[#This Row]</f>
        <v>1</v>
      </c>
      <c r="BB256" t="str">
        <v>Plastics</v>
      </c>
      <c r="BC256" t="str">
        <v>LLDPE</v>
      </c>
      <c r="BD256" t="str">
        <v>North America</v>
      </c>
      <c r="BE256" t="str">
        <v>n/a</v>
      </c>
      <c r="BF256">
        <v>-1.9492499999999999</v>
      </c>
      <c r="BG256" t="e">
        <v>#N/A</v>
      </c>
      <c r="BH256">
        <v>-4.5565848181288349</v>
      </c>
      <c r="BI256" t="str">
        <v>DELETE</v>
      </c>
      <c r="BJ256" t="str">
        <v>DELETE</v>
      </c>
      <c r="BK256">
        <v>2.6025027456978402E-2</v>
      </c>
      <c r="BL256">
        <v>0.50719626388394135</v>
      </c>
      <c r="BM256">
        <v>2.4956081714469001</v>
      </c>
    </row>
    <row r="257" spans="3:65" ht="28.8">
      <c r="C257" s="362">
        <v>1</v>
      </c>
      <c r="D257" s="363" t="s">
        <v>252</v>
      </c>
      <c r="E257" s="362" t="s">
        <v>253</v>
      </c>
      <c r="F257" s="362" t="s">
        <v>549</v>
      </c>
      <c r="G257" s="362" t="s">
        <v>203</v>
      </c>
      <c r="H257" s="368">
        <v>-2.04928</v>
      </c>
      <c r="I257" s="368">
        <v>0</v>
      </c>
      <c r="J257" s="368">
        <v>-3.8627047504836902</v>
      </c>
      <c r="K257" s="368">
        <v>0</v>
      </c>
      <c r="L257" s="368">
        <v>0</v>
      </c>
      <c r="M257" s="368">
        <v>2.60250266611744E-2</v>
      </c>
      <c r="N257" s="368">
        <v>0.45368959788048563</v>
      </c>
      <c r="O257" s="368">
        <v>3.1831777526066403</v>
      </c>
      <c r="T257" s="48">
        <v>1</v>
      </c>
      <c r="U257" s="46" t="s">
        <v>252</v>
      </c>
      <c r="V257" s="53" t="s">
        <v>245</v>
      </c>
      <c r="W257" s="53" t="s">
        <v>549</v>
      </c>
      <c r="X257" s="53" t="s">
        <v>203</v>
      </c>
      <c r="Y257" s="172">
        <f>IFERROR(-tblZwaste1422[[#This Row],[Weight (kgCO2e/kg)]],0)</f>
        <v>-2.0269300000000001</v>
      </c>
      <c r="Z257" s="172" t="e">
        <f>IF(AQ257="x",(AR257*-tblZwaste1422[[#This Row],[Weight (kgCO2e/kg)]])+AS257+($AR$10*Lookups!$J$38/1000),"DELETE")</f>
        <v>#N/A</v>
      </c>
      <c r="AA257" s="172" t="str">
        <f t="shared" si="75"/>
        <v>DELETE</v>
      </c>
      <c r="AB257" s="172" t="str">
        <f t="shared" si="75"/>
        <v>DELETE</v>
      </c>
      <c r="AC257" s="172" t="str">
        <f t="shared" si="75"/>
        <v>DELETE</v>
      </c>
      <c r="AD257" s="172">
        <f t="shared" si="75"/>
        <v>2.6025027575625633E-2</v>
      </c>
      <c r="AE257" s="172">
        <f t="shared" si="75"/>
        <v>0.407723092548824</v>
      </c>
      <c r="AF257" s="172">
        <f t="shared" si="75"/>
        <v>3.1833670625087436</v>
      </c>
      <c r="AG257" s="150"/>
      <c r="AI257" s="137">
        <v>1</v>
      </c>
      <c r="AJ257" s="136" t="s">
        <v>252</v>
      </c>
      <c r="AK257" s="142" t="s">
        <v>245</v>
      </c>
      <c r="AL257" s="136" t="s">
        <v>549</v>
      </c>
      <c r="AM257" s="136" t="s">
        <v>203</v>
      </c>
      <c r="AN257" s="1">
        <v>2.0269300000000001</v>
      </c>
      <c r="AO257" s="166">
        <v>1.77911</v>
      </c>
      <c r="AQ257" t="e">
        <f>_xlfn.XLOOKUP(tblGWP21[[#This Row],[Material Subcategory]],ls_Mat,Factors!$K$952:$K$1023)</f>
        <v>#N/A</v>
      </c>
      <c r="AR257" s="173">
        <v>0.77500000000000002</v>
      </c>
      <c r="AS257">
        <v>8.1306407300000008E-2</v>
      </c>
      <c r="AT257" t="s">
        <v>531</v>
      </c>
      <c r="BA257" cm="1">
        <f t="array" ref="BA257:BM257">tblGWP21[#This Row]</f>
        <v>1</v>
      </c>
      <c r="BB257" t="str">
        <v>Plastics</v>
      </c>
      <c r="BC257" t="str">
        <v>PP</v>
      </c>
      <c r="BD257" t="str">
        <v>North America</v>
      </c>
      <c r="BE257" t="str">
        <v>n/a</v>
      </c>
      <c r="BF257">
        <v>-2.0269300000000001</v>
      </c>
      <c r="BG257" t="e">
        <v>#N/A</v>
      </c>
      <c r="BH257" t="str">
        <v>DELETE</v>
      </c>
      <c r="BI257" t="str">
        <v>DELETE</v>
      </c>
      <c r="BJ257" t="str">
        <v>DELETE</v>
      </c>
      <c r="BK257">
        <v>2.6025027575625633E-2</v>
      </c>
      <c r="BL257">
        <v>0.407723092548824</v>
      </c>
      <c r="BM257">
        <v>3.1833670625087436</v>
      </c>
    </row>
    <row r="258" spans="3:65">
      <c r="C258" s="136">
        <v>1</v>
      </c>
      <c r="D258" s="137" t="s">
        <v>252</v>
      </c>
      <c r="E258" s="136" t="s">
        <v>328</v>
      </c>
      <c r="F258" s="136" t="s">
        <v>549</v>
      </c>
      <c r="G258" s="136" t="s">
        <v>203</v>
      </c>
      <c r="H258" s="191">
        <v>-2.3231199999999999</v>
      </c>
      <c r="I258" s="191">
        <v>0</v>
      </c>
      <c r="J258" s="191">
        <v>-4.5565848181288349</v>
      </c>
      <c r="K258" s="191">
        <v>0</v>
      </c>
      <c r="L258" s="191">
        <v>0</v>
      </c>
      <c r="M258" s="191">
        <v>2.6025027456978402E-2</v>
      </c>
      <c r="N258" s="191">
        <v>0.50719626388394135</v>
      </c>
      <c r="O258" s="191">
        <v>2.4956081714469001</v>
      </c>
      <c r="T258" s="48">
        <v>1</v>
      </c>
      <c r="U258" s="46" t="s">
        <v>252</v>
      </c>
      <c r="V258" s="53" t="s">
        <v>533</v>
      </c>
      <c r="W258" s="53" t="s">
        <v>549</v>
      </c>
      <c r="X258" s="53" t="s">
        <v>203</v>
      </c>
      <c r="Y258" s="172">
        <f>IFERROR(-tblZwaste1422[[#This Row],[Weight (kgCO2e/kg)]],0)</f>
        <v>-2.0748000000000002</v>
      </c>
      <c r="Z258" s="172" t="e">
        <f>IF(AQ258="x",(AR258*-tblZwaste1422[[#This Row],[Weight (kgCO2e/kg)]])+AS258+($AR$10*Lookups!$J$38/1000),"DELETE")</f>
        <v>#N/A</v>
      </c>
      <c r="AA258" s="172" t="str">
        <f t="shared" si="75"/>
        <v>DELETE</v>
      </c>
      <c r="AB258" s="172" t="str">
        <f t="shared" si="75"/>
        <v>DELETE</v>
      </c>
      <c r="AC258" s="172" t="str">
        <f t="shared" si="75"/>
        <v>DELETE</v>
      </c>
      <c r="AD258" s="172">
        <f t="shared" si="75"/>
        <v>2.6025022412781467E-2</v>
      </c>
      <c r="AE258" s="172">
        <f t="shared" si="75"/>
        <v>0.61075536192005531</v>
      </c>
      <c r="AF258" s="172">
        <f t="shared" si="75"/>
        <v>3.0368307921801865</v>
      </c>
      <c r="AG258" s="150"/>
      <c r="AI258" s="137">
        <v>1</v>
      </c>
      <c r="AJ258" s="136" t="s">
        <v>252</v>
      </c>
      <c r="AK258" s="142" t="s">
        <v>533</v>
      </c>
      <c r="AL258" s="136" t="s">
        <v>549</v>
      </c>
      <c r="AM258" s="136" t="s">
        <v>203</v>
      </c>
      <c r="AN258" s="1">
        <v>2.0748000000000002</v>
      </c>
      <c r="AO258" s="166">
        <v>1.77911</v>
      </c>
      <c r="AQ258" t="e">
        <f>_xlfn.XLOOKUP(tblGWP21[[#This Row],[Material Subcategory]],ls_Mat,Factors!$K$952:$K$1023)</f>
        <v>#N/A</v>
      </c>
      <c r="AR258" s="173">
        <v>0.77500000000000002</v>
      </c>
      <c r="AS258">
        <v>8.1306407300000008E-2</v>
      </c>
      <c r="AT258" t="s">
        <v>531</v>
      </c>
      <c r="BA258" cm="1">
        <f t="array" ref="BA258:BM258">tblGWP21[#This Row]</f>
        <v>1</v>
      </c>
      <c r="BB258" t="str">
        <v>Plastics</v>
      </c>
      <c r="BC258" t="str">
        <v>PVC</v>
      </c>
      <c r="BD258" t="str">
        <v>North America</v>
      </c>
      <c r="BE258" t="str">
        <v>n/a</v>
      </c>
      <c r="BF258">
        <v>-2.0748000000000002</v>
      </c>
      <c r="BG258" t="e">
        <v>#N/A</v>
      </c>
      <c r="BH258" t="str">
        <v>DELETE</v>
      </c>
      <c r="BI258" t="str">
        <v>DELETE</v>
      </c>
      <c r="BJ258" t="str">
        <v>DELETE</v>
      </c>
      <c r="BK258">
        <v>2.6025022412781467E-2</v>
      </c>
      <c r="BL258">
        <v>0.61075536192005531</v>
      </c>
      <c r="BM258">
        <v>3.0368307921801865</v>
      </c>
    </row>
    <row r="259" spans="3:65">
      <c r="C259" s="362">
        <v>1</v>
      </c>
      <c r="D259" s="363" t="s">
        <v>252</v>
      </c>
      <c r="E259" s="362" t="s">
        <v>254</v>
      </c>
      <c r="F259" s="362" t="s">
        <v>549</v>
      </c>
      <c r="G259" s="362" t="s">
        <v>203</v>
      </c>
      <c r="H259" s="368">
        <v>-2.1485799999999999</v>
      </c>
      <c r="I259" s="368">
        <v>0</v>
      </c>
      <c r="J259" s="368">
        <v>-4.6362866937996658</v>
      </c>
      <c r="K259" s="368">
        <v>0</v>
      </c>
      <c r="L259" s="368">
        <v>0</v>
      </c>
      <c r="M259" s="368">
        <v>2.602502666117433E-2</v>
      </c>
      <c r="N259" s="368">
        <v>0.67081228326731235</v>
      </c>
      <c r="O259" s="368">
        <v>2.5363326417418097</v>
      </c>
      <c r="T259" s="48">
        <v>1</v>
      </c>
      <c r="U259" s="46" t="s">
        <v>242</v>
      </c>
      <c r="V259" s="53" t="s">
        <v>242</v>
      </c>
      <c r="W259" s="53" t="s">
        <v>549</v>
      </c>
      <c r="X259" s="53" t="s">
        <v>203</v>
      </c>
      <c r="Y259" s="172">
        <f>IFERROR(-tblZwaste1422[[#This Row],[Weight (kgCO2e/kg)]],0)</f>
        <v>-38.486130000000003</v>
      </c>
      <c r="Z259" s="172" t="e">
        <f>IF(AQ259="x",(AR259*-tblZwaste1422[[#This Row],[Weight (kgCO2e/kg)]])+AS259+($AR$10*Lookups!$J$38/1000),"DELETE")</f>
        <v>#N/A</v>
      </c>
      <c r="AA259" s="172">
        <f>AVERAGE(AA260,AA261,AA293,AA294)</f>
        <v>-3.2868550000000001</v>
      </c>
      <c r="AB259" s="172" t="str">
        <f t="shared" si="75"/>
        <v>DELETE</v>
      </c>
      <c r="AC259" s="172" t="str">
        <f t="shared" si="75"/>
        <v>DELETE</v>
      </c>
      <c r="AD259" s="172">
        <f t="shared" si="75"/>
        <v>2.5860000000000005E-2</v>
      </c>
      <c r="AE259" s="172">
        <f t="shared" si="75"/>
        <v>4.1701833148022838E-2</v>
      </c>
      <c r="AF259" s="172">
        <f t="shared" si="75"/>
        <v>4.8916569797789571E-2</v>
      </c>
      <c r="AG259" s="150"/>
      <c r="AI259" s="137">
        <v>1</v>
      </c>
      <c r="AJ259" s="136" t="s">
        <v>242</v>
      </c>
      <c r="AK259" s="142" t="s">
        <v>242</v>
      </c>
      <c r="AL259" s="136" t="s">
        <v>549</v>
      </c>
      <c r="AM259" s="136" t="s">
        <v>203</v>
      </c>
      <c r="AN259" s="1">
        <v>38.486130000000003</v>
      </c>
      <c r="AO259" s="166">
        <v>0.20843</v>
      </c>
      <c r="AQ259" t="e">
        <f>_xlfn.XLOOKUP(tblGWP21[[#This Row],[Material Subcategory]],ls_Mat,Factors!$K$952:$K$1023)</f>
        <v>#N/A</v>
      </c>
      <c r="AR259" s="173">
        <v>0.72499999999999998</v>
      </c>
      <c r="AS259">
        <v>0</v>
      </c>
      <c r="AT259" t="s">
        <v>527</v>
      </c>
      <c r="BA259" cm="1">
        <f t="array" ref="BA259:BM259">tblGWP21[#This Row]</f>
        <v>1</v>
      </c>
      <c r="BB259" t="str">
        <v>Electronics</v>
      </c>
      <c r="BC259" t="str">
        <v>Electronics</v>
      </c>
      <c r="BD259" t="str">
        <v>North America</v>
      </c>
      <c r="BE259" t="str">
        <v>n/a</v>
      </c>
      <c r="BF259">
        <v>-38.486130000000003</v>
      </c>
      <c r="BG259" t="e">
        <v>#N/A</v>
      </c>
      <c r="BH259">
        <v>-3.2868550000000001</v>
      </c>
      <c r="BI259" t="str">
        <v>DELETE</v>
      </c>
      <c r="BJ259" t="str">
        <v>DELETE</v>
      </c>
      <c r="BK259">
        <v>2.5860000000000005E-2</v>
      </c>
      <c r="BL259">
        <v>4.1701833148022838E-2</v>
      </c>
      <c r="BM259">
        <v>4.8916569797789571E-2</v>
      </c>
    </row>
    <row r="260" spans="3:65">
      <c r="C260" s="136">
        <v>1</v>
      </c>
      <c r="D260" s="137" t="s">
        <v>252</v>
      </c>
      <c r="E260" s="136" t="s">
        <v>532</v>
      </c>
      <c r="F260" s="136" t="s">
        <v>549</v>
      </c>
      <c r="G260" s="136" t="s">
        <v>203</v>
      </c>
      <c r="H260" s="191">
        <v>-1.9492499999999999</v>
      </c>
      <c r="I260" s="191">
        <v>0</v>
      </c>
      <c r="J260" s="191">
        <v>-4.5565848181288349</v>
      </c>
      <c r="K260" s="191">
        <v>0</v>
      </c>
      <c r="L260" s="191">
        <v>0</v>
      </c>
      <c r="M260" s="191">
        <v>2.6025027456978402E-2</v>
      </c>
      <c r="N260" s="191">
        <v>0.50719626388394135</v>
      </c>
      <c r="O260" s="191">
        <v>2.4956081714469001</v>
      </c>
      <c r="T260" s="48">
        <v>1</v>
      </c>
      <c r="U260" s="46" t="s">
        <v>242</v>
      </c>
      <c r="V260" s="53" t="s">
        <v>274</v>
      </c>
      <c r="W260" s="53" t="s">
        <v>549</v>
      </c>
      <c r="X260" s="53" t="s">
        <v>203</v>
      </c>
      <c r="Y260" s="172">
        <f>IFERROR(-tblZwaste1422[[#This Row],[Weight (kgCO2e/kg)]],0)</f>
        <v>-38.486130000000003</v>
      </c>
      <c r="Z260" s="172">
        <f>IF(AQ260="x",(AR260*-tblZwaste1422[[#This Row],[Weight (kgCO2e/kg)]])+AS260+($AR$10*Lookups!$J$38/1000),"DELETE")</f>
        <v>-27.900672450000002</v>
      </c>
      <c r="AA260" s="172">
        <v>-8.5278425000000002</v>
      </c>
      <c r="AB260" s="172" t="str">
        <f t="shared" si="75"/>
        <v>DELETE</v>
      </c>
      <c r="AC260" s="172" t="str">
        <f t="shared" si="75"/>
        <v>DELETE</v>
      </c>
      <c r="AD260" s="172">
        <f t="shared" si="75"/>
        <v>2.5860000000000005E-2</v>
      </c>
      <c r="AE260" s="172">
        <f t="shared" si="75"/>
        <v>4.1701833148022838E-2</v>
      </c>
      <c r="AF260" s="172">
        <f t="shared" si="75"/>
        <v>4.8916569797789571E-2</v>
      </c>
      <c r="AG260" s="150"/>
      <c r="AI260" s="137">
        <v>1</v>
      </c>
      <c r="AJ260" s="136" t="s">
        <v>242</v>
      </c>
      <c r="AK260" s="142" t="s">
        <v>242</v>
      </c>
      <c r="AL260" s="136" t="s">
        <v>549</v>
      </c>
      <c r="AM260" s="136" t="s">
        <v>203</v>
      </c>
      <c r="AN260" s="1">
        <v>38.486130000000003</v>
      </c>
      <c r="AO260" s="166">
        <v>0.20843</v>
      </c>
      <c r="AQ260" t="str">
        <f>_xlfn.XLOOKUP(tblGWP21[[#This Row],[Material Subcategory]],ls_Mat,Factors!$K$952:$K$1023)</f>
        <v>x</v>
      </c>
      <c r="AR260" s="173">
        <v>0.72499999999999998</v>
      </c>
      <c r="AS260">
        <v>0</v>
      </c>
      <c r="AT260" t="s">
        <v>527</v>
      </c>
      <c r="BA260" cm="1">
        <f t="array" ref="BA260:BM260">tblGWP21[#This Row]</f>
        <v>1</v>
      </c>
      <c r="BB260" t="str">
        <v>Electronics</v>
      </c>
      <c r="BC260" t="str">
        <v>E-waste</v>
      </c>
      <c r="BD260" t="str">
        <v>North America</v>
      </c>
      <c r="BE260" t="str">
        <v>n/a</v>
      </c>
      <c r="BF260">
        <v>-38.486130000000003</v>
      </c>
      <c r="BG260">
        <v>-27.900672450000002</v>
      </c>
      <c r="BH260">
        <v>-8.5278425000000002</v>
      </c>
      <c r="BI260" t="str">
        <v>DELETE</v>
      </c>
      <c r="BJ260" t="str">
        <v>DELETE</v>
      </c>
      <c r="BK260">
        <v>2.5860000000000005E-2</v>
      </c>
      <c r="BL260">
        <v>4.1701833148022838E-2</v>
      </c>
      <c r="BM260">
        <v>4.8916569797789571E-2</v>
      </c>
    </row>
    <row r="261" spans="3:65">
      <c r="C261" s="362">
        <v>1</v>
      </c>
      <c r="D261" s="363" t="s">
        <v>252</v>
      </c>
      <c r="E261" s="362" t="s">
        <v>245</v>
      </c>
      <c r="F261" s="362" t="s">
        <v>549</v>
      </c>
      <c r="G261" s="362" t="s">
        <v>203</v>
      </c>
      <c r="H261" s="368">
        <v>-2.0269300000000001</v>
      </c>
      <c r="I261" s="368">
        <v>0</v>
      </c>
      <c r="J261" s="368">
        <v>0</v>
      </c>
      <c r="K261" s="368">
        <v>0</v>
      </c>
      <c r="L261" s="368">
        <v>0</v>
      </c>
      <c r="M261" s="368">
        <v>2.6025027575625633E-2</v>
      </c>
      <c r="N261" s="368">
        <v>0.407723092548824</v>
      </c>
      <c r="O261" s="368">
        <v>3.1833670625087436</v>
      </c>
      <c r="T261" s="48">
        <v>1</v>
      </c>
      <c r="U261" s="46" t="s">
        <v>242</v>
      </c>
      <c r="V261" s="53" t="s">
        <v>534</v>
      </c>
      <c r="W261" s="53" t="s">
        <v>549</v>
      </c>
      <c r="X261" s="53" t="s">
        <v>203</v>
      </c>
      <c r="Y261" s="172">
        <f>IFERROR(-tblZwaste1422[[#This Row],[Weight (kgCO2e/kg)]],0)</f>
        <v>-15.0122</v>
      </c>
      <c r="Z261" s="172">
        <f>IF(AQ261="x",(AR261*-tblZwaste1422[[#This Row],[Weight (kgCO2e/kg)]])+AS261+($AR$10*Lookups!$J$38/1000),"DELETE")</f>
        <v>-10.882073199999999</v>
      </c>
      <c r="AA261" s="172">
        <v>-3.19428</v>
      </c>
      <c r="AB261" s="172" t="str">
        <f t="shared" ref="AA261:AF270" si="76">IF(ISNUMBER(AVERAGE(AB653,AB709,AB765)),AVERAGE(AB653,AB709,AB765),AB653)</f>
        <v>DELETE</v>
      </c>
      <c r="AC261" s="172" t="str">
        <f t="shared" si="76"/>
        <v>DELETE</v>
      </c>
      <c r="AD261" s="172">
        <f t="shared" si="76"/>
        <v>2.5860000000000005E-2</v>
      </c>
      <c r="AE261" s="172">
        <f t="shared" si="76"/>
        <v>4.1701833148022838E-2</v>
      </c>
      <c r="AF261" s="172">
        <f t="shared" si="76"/>
        <v>4.8916569797789571E-2</v>
      </c>
      <c r="AG261" s="150"/>
      <c r="AI261" s="137">
        <v>1</v>
      </c>
      <c r="AJ261" s="136" t="s">
        <v>242</v>
      </c>
      <c r="AK261" s="142" t="s">
        <v>534</v>
      </c>
      <c r="AL261" s="136" t="s">
        <v>549</v>
      </c>
      <c r="AM261" s="136" t="s">
        <v>203</v>
      </c>
      <c r="AN261" s="1">
        <v>15.0122</v>
      </c>
      <c r="AO261" s="166">
        <v>0.37092000000000003</v>
      </c>
      <c r="AQ261" t="str">
        <f>_xlfn.XLOOKUP(tblGWP21[[#This Row],[Material Subcategory]],ls_Mat,Factors!$K$952:$K$1023)</f>
        <v>x</v>
      </c>
      <c r="AR261" s="173">
        <v>0.72499999999999998</v>
      </c>
      <c r="AS261">
        <v>0</v>
      </c>
      <c r="AT261" t="s">
        <v>527</v>
      </c>
      <c r="AU261" t="s">
        <v>526</v>
      </c>
      <c r="AV261" s="347">
        <v>0.85</v>
      </c>
      <c r="BA261" cm="1">
        <f t="array" ref="BA261:BM261">tblGWP21[#This Row]</f>
        <v>1</v>
      </c>
      <c r="BB261" t="str">
        <v>Electronics</v>
      </c>
      <c r="BC261" t="str">
        <v>Batteries</v>
      </c>
      <c r="BD261" t="str">
        <v>North America</v>
      </c>
      <c r="BE261" t="str">
        <v>n/a</v>
      </c>
      <c r="BF261">
        <v>-15.0122</v>
      </c>
      <c r="BG261">
        <v>-10.882073199999999</v>
      </c>
      <c r="BH261">
        <v>-3.19428</v>
      </c>
      <c r="BI261" t="str">
        <v>DELETE</v>
      </c>
      <c r="BJ261" t="str">
        <v>DELETE</v>
      </c>
      <c r="BK261">
        <v>2.5860000000000005E-2</v>
      </c>
      <c r="BL261">
        <v>4.1701833148022838E-2</v>
      </c>
      <c r="BM261">
        <v>4.8916569797789571E-2</v>
      </c>
    </row>
    <row r="262" spans="3:65">
      <c r="C262" s="136">
        <v>1</v>
      </c>
      <c r="D262" s="137" t="s">
        <v>252</v>
      </c>
      <c r="E262" s="136" t="s">
        <v>533</v>
      </c>
      <c r="F262" s="136" t="s">
        <v>549</v>
      </c>
      <c r="G262" s="136" t="s">
        <v>203</v>
      </c>
      <c r="H262" s="191">
        <v>-2.0748000000000002</v>
      </c>
      <c r="I262" s="191">
        <v>0</v>
      </c>
      <c r="J262" s="191">
        <v>0</v>
      </c>
      <c r="K262" s="191">
        <v>0</v>
      </c>
      <c r="L262" s="191">
        <v>0</v>
      </c>
      <c r="M262" s="191">
        <v>2.6025022412781467E-2</v>
      </c>
      <c r="N262" s="191">
        <v>0.61075536192005531</v>
      </c>
      <c r="O262" s="191">
        <v>3.0368307921801865</v>
      </c>
      <c r="T262" s="48">
        <v>1</v>
      </c>
      <c r="U262" s="46" t="s">
        <v>239</v>
      </c>
      <c r="V262" s="53" t="s">
        <v>239</v>
      </c>
      <c r="W262" s="53" t="s">
        <v>549</v>
      </c>
      <c r="X262" s="53" t="s">
        <v>203</v>
      </c>
      <c r="Y262" s="172">
        <f>IFERROR(-tblZwaste1422[[#This Row],[Weight (kgCO2e/kg)]],0)</f>
        <v>-2.6644477777777777</v>
      </c>
      <c r="Z262" s="172" t="e">
        <f>IF(AQ262="x",(AR262*-tblZwaste1422[[#This Row],[Weight (kgCO2e/kg)]])+AS262+($AR$10*Lookups!$J$38/1000),"DELETE")</f>
        <v>#N/A</v>
      </c>
      <c r="AA262" s="172">
        <f t="shared" si="76"/>
        <v>-0.83663902123242406</v>
      </c>
      <c r="AB262" s="172">
        <f t="shared" si="76"/>
        <v>-1.6373018863756965</v>
      </c>
      <c r="AC262" s="172">
        <f t="shared" si="76"/>
        <v>-2.3894460464658995</v>
      </c>
      <c r="AD262" s="172">
        <f t="shared" si="76"/>
        <v>-0.6467389853567006</v>
      </c>
      <c r="AE262" s="172">
        <f t="shared" si="76"/>
        <v>-0.85256236423159593</v>
      </c>
      <c r="AF262" s="172">
        <f t="shared" si="76"/>
        <v>2.7471796049995733E-2</v>
      </c>
      <c r="AG262" s="150"/>
      <c r="AI262" s="137">
        <v>1</v>
      </c>
      <c r="AJ262" s="136" t="s">
        <v>239</v>
      </c>
      <c r="AK262" s="142" t="s">
        <v>239</v>
      </c>
      <c r="AL262" s="136" t="s">
        <v>549</v>
      </c>
      <c r="AM262" s="136" t="s">
        <v>203</v>
      </c>
      <c r="AN262" s="1">
        <v>2.6644477777777777</v>
      </c>
      <c r="AO262" s="166">
        <v>0.64099666666666666</v>
      </c>
      <c r="AQ262" t="e">
        <f>_xlfn.XLOOKUP(tblGWP21[[#This Row],[Material Subcategory]],ls_Mat,Factors!$K$952:$K$1023)</f>
        <v>#N/A</v>
      </c>
      <c r="AR262" s="173">
        <v>0.64600000000000002</v>
      </c>
      <c r="AS262">
        <v>0</v>
      </c>
      <c r="AT262" t="s">
        <v>527</v>
      </c>
      <c r="AU262" t="s">
        <v>526</v>
      </c>
      <c r="AV262" s="347">
        <v>0.7</v>
      </c>
      <c r="BA262" cm="1">
        <f t="array" ref="BA262:BM262">tblGWP21[#This Row]</f>
        <v>1</v>
      </c>
      <c r="BB262" t="str">
        <v>Paper</v>
      </c>
      <c r="BC262" t="str">
        <v>Paper</v>
      </c>
      <c r="BD262" t="str">
        <v>North America</v>
      </c>
      <c r="BE262" t="str">
        <v>n/a</v>
      </c>
      <c r="BF262">
        <v>-2.6644477777777777</v>
      </c>
      <c r="BG262" t="e">
        <v>#N/A</v>
      </c>
      <c r="BH262">
        <v>-0.83663902123242406</v>
      </c>
      <c r="BI262">
        <v>-1.6373018863756965</v>
      </c>
      <c r="BJ262">
        <v>-2.3894460464658995</v>
      </c>
      <c r="BK262">
        <v>-0.6467389853567006</v>
      </c>
      <c r="BL262">
        <v>-0.85256236423159593</v>
      </c>
      <c r="BM262">
        <v>2.7471796049995733E-2</v>
      </c>
    </row>
    <row r="263" spans="3:65">
      <c r="C263" s="362">
        <v>1</v>
      </c>
      <c r="D263" s="363" t="s">
        <v>242</v>
      </c>
      <c r="E263" s="362" t="s">
        <v>242</v>
      </c>
      <c r="F263" s="362" t="s">
        <v>549</v>
      </c>
      <c r="G263" s="362" t="s">
        <v>203</v>
      </c>
      <c r="H263" s="368">
        <v>-38.486130000000003</v>
      </c>
      <c r="I263" s="368">
        <v>-27.900672450000002</v>
      </c>
      <c r="J263" s="368">
        <v>-3.2868550000000001</v>
      </c>
      <c r="K263" s="368">
        <v>0</v>
      </c>
      <c r="L263" s="368">
        <v>0</v>
      </c>
      <c r="M263" s="368">
        <v>2.5860000000000005E-2</v>
      </c>
      <c r="N263" s="368">
        <v>4.1701833148022838E-2</v>
      </c>
      <c r="O263" s="368">
        <v>4.8916569797789571E-2</v>
      </c>
      <c r="T263" s="48">
        <v>1</v>
      </c>
      <c r="U263" s="46" t="s">
        <v>239</v>
      </c>
      <c r="V263" s="53" t="s">
        <v>324</v>
      </c>
      <c r="W263" s="53" t="s">
        <v>549</v>
      </c>
      <c r="X263" s="53" t="s">
        <v>203</v>
      </c>
      <c r="Y263" s="172">
        <f>IFERROR(-tblZwaste1422[[#This Row],[Weight (kgCO2e/kg)]],0)</f>
        <v>-1.66</v>
      </c>
      <c r="Z263" s="172" t="str">
        <f>IF(AQ263="x",(AR263*-tblZwaste1422[[#This Row],[Weight (kgCO2e/kg)]])+AS263+($AR$10*Lookups!$J$38/1000),"DELETE")</f>
        <v>DELETE</v>
      </c>
      <c r="AA263" s="172">
        <f t="shared" si="76"/>
        <v>0.21397763465621492</v>
      </c>
      <c r="AB263" s="172">
        <f t="shared" si="76"/>
        <v>-1.64787437333598</v>
      </c>
      <c r="AC263" s="172">
        <f t="shared" si="76"/>
        <v>-2.2422669910732633</v>
      </c>
      <c r="AD263" s="172">
        <f t="shared" si="76"/>
        <v>-1.1293646113399698</v>
      </c>
      <c r="AE263" s="172">
        <f t="shared" si="76"/>
        <v>-0.92698772167415167</v>
      </c>
      <c r="AF263" s="172">
        <f t="shared" si="76"/>
        <v>2.6682569572587897E-2</v>
      </c>
      <c r="AG263" s="150"/>
      <c r="AI263" s="137">
        <v>1</v>
      </c>
      <c r="AJ263" s="136" t="s">
        <v>239</v>
      </c>
      <c r="AK263" s="142" t="s">
        <v>324</v>
      </c>
      <c r="AL263" s="136" t="s">
        <v>549</v>
      </c>
      <c r="AM263" s="136" t="s">
        <v>203</v>
      </c>
      <c r="AN263" s="1">
        <v>1.66</v>
      </c>
      <c r="AO263" s="166">
        <v>0.13142999999999999</v>
      </c>
      <c r="AQ263">
        <f>_xlfn.XLOOKUP(tblGWP21[[#This Row],[Material Subcategory]],ls_Mat,Factors!$K$952:$K$1023)</f>
        <v>0</v>
      </c>
      <c r="AR263" s="173">
        <v>0.64600000000000002</v>
      </c>
      <c r="AS263">
        <v>0</v>
      </c>
      <c r="AT263" t="s">
        <v>527</v>
      </c>
      <c r="AU263" t="s">
        <v>526</v>
      </c>
      <c r="AV263" s="347">
        <v>0.8</v>
      </c>
      <c r="BA263" cm="1">
        <f t="array" ref="BA263:BM263">tblGWP21[#This Row]</f>
        <v>1</v>
      </c>
      <c r="BB263" t="str">
        <v>Paper</v>
      </c>
      <c r="BC263" t="str">
        <v>Newsprint</v>
      </c>
      <c r="BD263" t="str">
        <v>North America</v>
      </c>
      <c r="BE263" t="str">
        <v>n/a</v>
      </c>
      <c r="BF263">
        <v>-1.66</v>
      </c>
      <c r="BG263" t="str">
        <v>DELETE</v>
      </c>
      <c r="BH263">
        <v>0.21397763465621492</v>
      </c>
      <c r="BI263">
        <v>-1.64787437333598</v>
      </c>
      <c r="BJ263">
        <v>-2.2422669910732633</v>
      </c>
      <c r="BK263">
        <v>-1.1293646113399698</v>
      </c>
      <c r="BL263">
        <v>-0.92698772167415167</v>
      </c>
      <c r="BM263">
        <v>2.6682569572587897E-2</v>
      </c>
    </row>
    <row r="264" spans="3:65">
      <c r="C264" s="136">
        <v>1</v>
      </c>
      <c r="D264" s="137" t="s">
        <v>242</v>
      </c>
      <c r="E264" s="136" t="s">
        <v>274</v>
      </c>
      <c r="F264" s="136" t="s">
        <v>549</v>
      </c>
      <c r="G264" s="136" t="s">
        <v>203</v>
      </c>
      <c r="H264" s="191">
        <v>-38.486130000000003</v>
      </c>
      <c r="I264" s="191">
        <v>-27.900672450000002</v>
      </c>
      <c r="J264" s="191">
        <v>-8.5278425000000002</v>
      </c>
      <c r="K264" s="191">
        <v>0</v>
      </c>
      <c r="L264" s="191">
        <v>0</v>
      </c>
      <c r="M264" s="191">
        <v>2.5860000000000005E-2</v>
      </c>
      <c r="N264" s="191">
        <v>4.1701833148022838E-2</v>
      </c>
      <c r="O264" s="191">
        <v>4.8916569797789571E-2</v>
      </c>
      <c r="T264" s="48">
        <v>1</v>
      </c>
      <c r="U264" s="46" t="s">
        <v>239</v>
      </c>
      <c r="V264" s="53" t="s">
        <v>272</v>
      </c>
      <c r="W264" s="53" t="s">
        <v>549</v>
      </c>
      <c r="X264" s="53" t="s">
        <v>203</v>
      </c>
      <c r="Y264" s="172">
        <f>IFERROR(-tblZwaste1422[[#This Row],[Weight (kgCO2e/kg)]],0)</f>
        <v>-2.1278299999999999</v>
      </c>
      <c r="Z264" s="172">
        <f>IF(AQ264="x",(AR264*-tblZwaste1422[[#This Row],[Weight (kgCO2e/kg)]])+AS264+($AR$10*Lookups!$J$38/1000),"DELETE")</f>
        <v>-1.3728063799999999</v>
      </c>
      <c r="AA264" s="172">
        <f t="shared" si="76"/>
        <v>-6.3997747718106601E-3</v>
      </c>
      <c r="AB264" s="172">
        <f t="shared" si="76"/>
        <v>-1.4747119437386234</v>
      </c>
      <c r="AC264" s="172">
        <f t="shared" si="76"/>
        <v>-2.2507098322481234</v>
      </c>
      <c r="AD264" s="172">
        <f t="shared" si="76"/>
        <v>3.1389999999999994E-2</v>
      </c>
      <c r="AE264" s="172">
        <f t="shared" si="76"/>
        <v>-0.72862076411143928</v>
      </c>
      <c r="AF264" s="172">
        <f t="shared" si="76"/>
        <v>3.4585229713848704E-2</v>
      </c>
      <c r="AG264" s="150"/>
      <c r="AI264" s="137">
        <v>1</v>
      </c>
      <c r="AJ264" s="136" t="s">
        <v>239</v>
      </c>
      <c r="AK264" s="142" t="s">
        <v>272</v>
      </c>
      <c r="AL264" s="136" t="s">
        <v>549</v>
      </c>
      <c r="AM264" s="136" t="s">
        <v>203</v>
      </c>
      <c r="AN264" s="1">
        <v>2.1278299999999999</v>
      </c>
      <c r="AO264" s="166">
        <v>1.2152400000000001</v>
      </c>
      <c r="AQ264" t="str">
        <f>_xlfn.XLOOKUP(tblGWP21[[#This Row],[Material Subcategory]],ls_Mat,Factors!$K$952:$K$1023)</f>
        <v>x</v>
      </c>
      <c r="AR264" s="173">
        <v>0.64600000000000002</v>
      </c>
      <c r="AS264">
        <v>0</v>
      </c>
      <c r="AT264" t="s">
        <v>527</v>
      </c>
      <c r="AU264" t="s">
        <v>526</v>
      </c>
      <c r="AV264" s="347">
        <v>0.7</v>
      </c>
      <c r="BA264" cm="1">
        <f t="array" ref="BA264:BM264">tblGWP21[#This Row]</f>
        <v>1</v>
      </c>
      <c r="BB264" t="str">
        <v>Paper</v>
      </c>
      <c r="BC264" t="str">
        <v>Corr. Cardboard</v>
      </c>
      <c r="BD264" t="str">
        <v>North America</v>
      </c>
      <c r="BE264" t="str">
        <v>n/a</v>
      </c>
      <c r="BF264">
        <v>-2.1278299999999999</v>
      </c>
      <c r="BG264">
        <v>-1.3728063799999999</v>
      </c>
      <c r="BH264">
        <v>-6.3997747718106601E-3</v>
      </c>
      <c r="BI264">
        <v>-1.4747119437386234</v>
      </c>
      <c r="BJ264">
        <v>-2.2507098322481234</v>
      </c>
      <c r="BK264">
        <v>3.1389999999999994E-2</v>
      </c>
      <c r="BL264">
        <v>-0.72862076411143928</v>
      </c>
      <c r="BM264">
        <v>3.4585229713848704E-2</v>
      </c>
    </row>
    <row r="265" spans="3:65">
      <c r="C265" s="362">
        <v>1</v>
      </c>
      <c r="D265" s="363" t="s">
        <v>242</v>
      </c>
      <c r="E265" s="362" t="s">
        <v>534</v>
      </c>
      <c r="F265" s="362" t="s">
        <v>549</v>
      </c>
      <c r="G265" s="362" t="s">
        <v>203</v>
      </c>
      <c r="H265" s="368">
        <v>-15.0122</v>
      </c>
      <c r="I265" s="368">
        <v>-10.882073199999999</v>
      </c>
      <c r="J265" s="368">
        <v>-3.19428</v>
      </c>
      <c r="K265" s="368">
        <v>0</v>
      </c>
      <c r="L265" s="368">
        <v>0</v>
      </c>
      <c r="M265" s="368">
        <v>2.5860000000000005E-2</v>
      </c>
      <c r="N265" s="368">
        <v>4.1701833148022838E-2</v>
      </c>
      <c r="O265" s="368">
        <v>4.8916569797789571E-2</v>
      </c>
      <c r="T265" s="48">
        <v>1</v>
      </c>
      <c r="U265" s="46" t="s">
        <v>239</v>
      </c>
      <c r="V265" s="53" t="s">
        <v>329</v>
      </c>
      <c r="W265" s="53" t="s">
        <v>549</v>
      </c>
      <c r="X265" s="53" t="s">
        <v>203</v>
      </c>
      <c r="Y265" s="172">
        <f>IFERROR(-tblZwaste1422[[#This Row],[Weight (kgCO2e/kg)]],0)</f>
        <v>-3.4792200000000002</v>
      </c>
      <c r="Z265" s="172" t="str">
        <f>IF(AQ265="x",(AR265*-tblZwaste1422[[#This Row],[Weight (kgCO2e/kg)]])+AS265+($AR$10*Lookups!$J$38/1000),"DELETE")</f>
        <v>DELETE</v>
      </c>
      <c r="AA265" s="172">
        <f t="shared" si="76"/>
        <v>-3.0359364948299157</v>
      </c>
      <c r="AB265" s="172">
        <f t="shared" si="76"/>
        <v>-1.5973009654564798</v>
      </c>
      <c r="AC265" s="172">
        <f t="shared" si="76"/>
        <v>-2.4963286456373734</v>
      </c>
      <c r="AD265" s="172">
        <f t="shared" si="76"/>
        <v>0.45861148441439831</v>
      </c>
      <c r="AE265" s="172">
        <f t="shared" si="76"/>
        <v>-0.73126295394444896</v>
      </c>
      <c r="AF265" s="172">
        <f t="shared" si="76"/>
        <v>3.7248152483366499E-2</v>
      </c>
      <c r="AG265" s="150"/>
      <c r="AI265" s="137">
        <v>1</v>
      </c>
      <c r="AJ265" s="136" t="s">
        <v>239</v>
      </c>
      <c r="AK265" s="142" t="s">
        <v>329</v>
      </c>
      <c r="AL265" s="136" t="s">
        <v>549</v>
      </c>
      <c r="AM265" s="136" t="s">
        <v>203</v>
      </c>
      <c r="AN265" s="1">
        <v>3.4792200000000002</v>
      </c>
      <c r="AO265" s="166">
        <v>1.0383</v>
      </c>
      <c r="AQ265">
        <f>_xlfn.XLOOKUP(tblGWP21[[#This Row],[Material Subcategory]],ls_Mat,Factors!$K$952:$K$1023)</f>
        <v>0</v>
      </c>
      <c r="AV265" s="347"/>
      <c r="BA265" cm="1">
        <f t="array" ref="BA265:BM265">tblGWP21[#This Row]</f>
        <v>1</v>
      </c>
      <c r="BB265" t="str">
        <v>Paper</v>
      </c>
      <c r="BC265" t="str">
        <v>Office Paper</v>
      </c>
      <c r="BD265" t="str">
        <v>North America</v>
      </c>
      <c r="BE265" t="str">
        <v>n/a</v>
      </c>
      <c r="BF265">
        <v>-3.4792200000000002</v>
      </c>
      <c r="BG265" t="str">
        <v>DELETE</v>
      </c>
      <c r="BH265">
        <v>-3.0359364948299157</v>
      </c>
      <c r="BI265">
        <v>-1.5973009654564798</v>
      </c>
      <c r="BJ265">
        <v>-2.4963286456373734</v>
      </c>
      <c r="BK265">
        <v>0.45861148441439831</v>
      </c>
      <c r="BL265">
        <v>-0.73126295394444896</v>
      </c>
      <c r="BM265">
        <v>3.7248152483366499E-2</v>
      </c>
    </row>
    <row r="266" spans="3:65">
      <c r="C266" s="136">
        <v>1</v>
      </c>
      <c r="D266" s="137" t="s">
        <v>239</v>
      </c>
      <c r="E266" s="136" t="s">
        <v>239</v>
      </c>
      <c r="F266" s="136" t="s">
        <v>549</v>
      </c>
      <c r="G266" s="136" t="s">
        <v>203</v>
      </c>
      <c r="H266" s="191">
        <v>-2.6644477777777777</v>
      </c>
      <c r="I266" s="191">
        <v>-1.7194614644444446</v>
      </c>
      <c r="J266" s="191">
        <v>-0.83663902123242406</v>
      </c>
      <c r="K266" s="191">
        <v>-1.6373018863756965</v>
      </c>
      <c r="L266" s="191">
        <v>-2.3894460464658995</v>
      </c>
      <c r="M266" s="191">
        <v>-0.6467389853567006</v>
      </c>
      <c r="N266" s="191">
        <v>-0.85256236423159593</v>
      </c>
      <c r="O266" s="191">
        <v>2.7471796049995733E-2</v>
      </c>
      <c r="T266" s="48">
        <v>1</v>
      </c>
      <c r="U266" s="46" t="s">
        <v>239</v>
      </c>
      <c r="V266" s="53" t="s">
        <v>271</v>
      </c>
      <c r="W266" s="53" t="s">
        <v>549</v>
      </c>
      <c r="X266" s="53" t="s">
        <v>203</v>
      </c>
      <c r="Y266" s="172">
        <f>IFERROR(-tblZwaste1422[[#This Row],[Weight (kgCO2e/kg)]],0)</f>
        <v>-3.1045600000000002</v>
      </c>
      <c r="Z266" s="172" t="str">
        <f>IF(AQ266="x",(AR266*-tblZwaste1422[[#This Row],[Weight (kgCO2e/kg)]])+AS266+($AR$10*Lookups!$J$38/1000),"DELETE")</f>
        <v>DELETE</v>
      </c>
      <c r="AA266" s="172">
        <f t="shared" si="76"/>
        <v>-0.94121889888647692</v>
      </c>
      <c r="AB266" s="172">
        <f t="shared" si="76"/>
        <v>-1.5126161299837868</v>
      </c>
      <c r="AC266" s="172">
        <f t="shared" si="76"/>
        <v>-2.5976127028688434</v>
      </c>
      <c r="AD266" s="172">
        <f t="shared" si="76"/>
        <v>-0.65525922104237366</v>
      </c>
      <c r="AE266" s="172">
        <f t="shared" si="76"/>
        <v>-0.69655977558600035</v>
      </c>
      <c r="AF266" s="172">
        <f t="shared" si="76"/>
        <v>4.0393197678032532E-2</v>
      </c>
      <c r="AG266" s="150"/>
      <c r="AI266" s="137">
        <v>1</v>
      </c>
      <c r="AJ266" s="136" t="s">
        <v>239</v>
      </c>
      <c r="AK266" s="142" t="s">
        <v>271</v>
      </c>
      <c r="AL266" s="136" t="s">
        <v>549</v>
      </c>
      <c r="AM266" s="136" t="s">
        <v>203</v>
      </c>
      <c r="AN266" s="1">
        <v>3.1045600000000002</v>
      </c>
      <c r="AO266" s="166">
        <v>0.12864</v>
      </c>
      <c r="AQ266">
        <f>_xlfn.XLOOKUP(tblGWP21[[#This Row],[Material Subcategory]],ls_Mat,Factors!$K$952:$K$1023)</f>
        <v>0</v>
      </c>
      <c r="BA266" cm="1">
        <f t="array" ref="BA266:BM266">tblGWP21[#This Row]</f>
        <v>1</v>
      </c>
      <c r="BB266" t="str">
        <v>Paper</v>
      </c>
      <c r="BC266" t="str">
        <v>Magazines</v>
      </c>
      <c r="BD266" t="str">
        <v>North America</v>
      </c>
      <c r="BE266" t="str">
        <v>n/a</v>
      </c>
      <c r="BF266">
        <v>-3.1045600000000002</v>
      </c>
      <c r="BG266" t="str">
        <v>DELETE</v>
      </c>
      <c r="BH266">
        <v>-0.94121889888647692</v>
      </c>
      <c r="BI266">
        <v>-1.5126161299837868</v>
      </c>
      <c r="BJ266">
        <v>-2.5976127028688434</v>
      </c>
      <c r="BK266">
        <v>-0.65525922104237366</v>
      </c>
      <c r="BL266">
        <v>-0.69655977558600035</v>
      </c>
      <c r="BM266">
        <v>4.0393197678032532E-2</v>
      </c>
    </row>
    <row r="267" spans="3:65">
      <c r="C267" s="362">
        <v>1</v>
      </c>
      <c r="D267" s="363" t="s">
        <v>239</v>
      </c>
      <c r="E267" s="362" t="s">
        <v>324</v>
      </c>
      <c r="F267" s="362" t="s">
        <v>549</v>
      </c>
      <c r="G267" s="362" t="s">
        <v>203</v>
      </c>
      <c r="H267" s="368">
        <v>-1.66</v>
      </c>
      <c r="I267" s="368">
        <v>0</v>
      </c>
      <c r="J267" s="368">
        <v>0.21397763465621492</v>
      </c>
      <c r="K267" s="368">
        <v>-1.64787437333598</v>
      </c>
      <c r="L267" s="368">
        <v>-2.2422669910732633</v>
      </c>
      <c r="M267" s="368">
        <v>-1.1293646113399698</v>
      </c>
      <c r="N267" s="368">
        <v>-0.92698772167415167</v>
      </c>
      <c r="O267" s="368">
        <v>2.6682569572587897E-2</v>
      </c>
      <c r="T267" s="48">
        <v>1</v>
      </c>
      <c r="U267" s="46" t="s">
        <v>239</v>
      </c>
      <c r="V267" s="53" t="s">
        <v>535</v>
      </c>
      <c r="W267" s="53" t="s">
        <v>549</v>
      </c>
      <c r="X267" s="53" t="s">
        <v>203</v>
      </c>
      <c r="Y267" s="172">
        <f>IFERROR(-tblZwaste1422[[#This Row],[Weight (kgCO2e/kg)]],0)</f>
        <v>-3.1045600000000002</v>
      </c>
      <c r="Z267" s="172" t="str">
        <f>IF(AQ267="x",(AR267*-tblZwaste1422[[#This Row],[Weight (kgCO2e/kg)]])+AS267+($AR$10*Lookups!$J$38/1000),"DELETE")</f>
        <v>DELETE</v>
      </c>
      <c r="AA267" s="172">
        <f t="shared" si="76"/>
        <v>-0.94121889888647692</v>
      </c>
      <c r="AB267" s="172">
        <f t="shared" si="76"/>
        <v>-1.6212617790247268</v>
      </c>
      <c r="AC267" s="172">
        <f t="shared" si="76"/>
        <v>-2.6053272170157333</v>
      </c>
      <c r="AD267" s="172">
        <f t="shared" si="76"/>
        <v>-0.8536276512293991</v>
      </c>
      <c r="AE267" s="172">
        <f t="shared" si="76"/>
        <v>-0.77590350498582572</v>
      </c>
      <c r="AF267" s="172">
        <f t="shared" si="76"/>
        <v>2.9213195424730234E-2</v>
      </c>
      <c r="AG267" s="150"/>
      <c r="AI267" s="137">
        <v>1</v>
      </c>
      <c r="AJ267" s="136" t="s">
        <v>239</v>
      </c>
      <c r="AK267" s="142" t="s">
        <v>535</v>
      </c>
      <c r="AL267" s="136" t="s">
        <v>549</v>
      </c>
      <c r="AM267" s="136" t="s">
        <v>203</v>
      </c>
      <c r="AN267" s="1">
        <v>3.1045600000000002</v>
      </c>
      <c r="AO267" s="166">
        <v>0.12864</v>
      </c>
      <c r="AQ267">
        <f>_xlfn.XLOOKUP(tblGWP21[[#This Row],[Material Subcategory]],ls_Mat,Factors!$K$952:$K$1023)</f>
        <v>0</v>
      </c>
      <c r="BA267" cm="1">
        <f t="array" ref="BA267:BM267">tblGWP21[#This Row]</f>
        <v>1</v>
      </c>
      <c r="BB267" t="str">
        <v>Paper</v>
      </c>
      <c r="BC267" t="str">
        <v>3rd Class Mail</v>
      </c>
      <c r="BD267" t="str">
        <v>North America</v>
      </c>
      <c r="BE267" t="str">
        <v>n/a</v>
      </c>
      <c r="BF267">
        <v>-3.1045600000000002</v>
      </c>
      <c r="BG267" t="str">
        <v>DELETE</v>
      </c>
      <c r="BH267">
        <v>-0.94121889888647692</v>
      </c>
      <c r="BI267">
        <v>-1.6212617790247268</v>
      </c>
      <c r="BJ267">
        <v>-2.6053272170157333</v>
      </c>
      <c r="BK267">
        <v>-0.8536276512293991</v>
      </c>
      <c r="BL267">
        <v>-0.77590350498582572</v>
      </c>
      <c r="BM267">
        <v>2.9213195424730234E-2</v>
      </c>
    </row>
    <row r="268" spans="3:65">
      <c r="C268" s="136">
        <v>1</v>
      </c>
      <c r="D268" s="137" t="s">
        <v>239</v>
      </c>
      <c r="E268" s="136" t="s">
        <v>272</v>
      </c>
      <c r="F268" s="136" t="s">
        <v>549</v>
      </c>
      <c r="G268" s="136" t="s">
        <v>203</v>
      </c>
      <c r="H268" s="191">
        <v>-2.1278299999999999</v>
      </c>
      <c r="I268" s="191">
        <v>-1.3728063799999999</v>
      </c>
      <c r="J268" s="191">
        <v>-6.3997747718106601E-3</v>
      </c>
      <c r="K268" s="191">
        <v>-1.4747119437386234</v>
      </c>
      <c r="L268" s="191">
        <v>-2.2507098322481234</v>
      </c>
      <c r="M268" s="191">
        <v>3.1389999999999994E-2</v>
      </c>
      <c r="N268" s="191">
        <v>-0.72862076411143928</v>
      </c>
      <c r="O268" s="191">
        <v>3.4585229713848704E-2</v>
      </c>
      <c r="T268" s="48">
        <v>1</v>
      </c>
      <c r="U268" s="46" t="s">
        <v>239</v>
      </c>
      <c r="V268" s="53" t="s">
        <v>259</v>
      </c>
      <c r="W268" s="53" t="s">
        <v>549</v>
      </c>
      <c r="X268" s="53" t="s">
        <v>203</v>
      </c>
      <c r="Y268" s="172">
        <f>IFERROR(-tblZwaste1422[[#This Row],[Weight (kgCO2e/kg)]],0)</f>
        <v>-2.86965</v>
      </c>
      <c r="Z268" s="172" t="str">
        <f>IF(AQ268="x",(AR268*-tblZwaste1422[[#This Row],[Weight (kgCO2e/kg)]])+AS268+($AR$10*Lookups!$J$38/1000),"DELETE")</f>
        <v>DELETE</v>
      </c>
      <c r="AA268" s="172">
        <f t="shared" si="76"/>
        <v>-0.94121889888647692</v>
      </c>
      <c r="AB268" s="172">
        <f t="shared" si="76"/>
        <v>-1.3362845909697765</v>
      </c>
      <c r="AC268" s="172">
        <f t="shared" si="76"/>
        <v>-2.0236717660048869</v>
      </c>
      <c r="AD268" s="172">
        <f t="shared" si="76"/>
        <v>-0.36882504533810367</v>
      </c>
      <c r="AE268" s="172">
        <f t="shared" si="76"/>
        <v>-0.63188003351510369</v>
      </c>
      <c r="AF268" s="172">
        <f t="shared" si="76"/>
        <v>2.8420875728997767E-2</v>
      </c>
      <c r="AG268" s="150"/>
      <c r="AI268" s="137">
        <v>1</v>
      </c>
      <c r="AJ268" s="136" t="s">
        <v>239</v>
      </c>
      <c r="AK268" s="142" t="s">
        <v>259</v>
      </c>
      <c r="AL268" s="136" t="s">
        <v>549</v>
      </c>
      <c r="AM268" s="136" t="s">
        <v>203</v>
      </c>
      <c r="AN268" s="1">
        <v>2.86965</v>
      </c>
      <c r="AO268" s="166">
        <v>0.79600000000000004</v>
      </c>
      <c r="AQ268">
        <f>_xlfn.XLOOKUP(tblGWP21[[#This Row],[Material Subcategory]],ls_Mat,Factors!$K$952:$K$1023)</f>
        <v>0</v>
      </c>
      <c r="AR268" s="173"/>
      <c r="BA268" cm="1">
        <f t="array" ref="BA268:BM268">tblGWP21[#This Row]</f>
        <v>1</v>
      </c>
      <c r="BB268" t="str">
        <v>Paper</v>
      </c>
      <c r="BC268" t="str">
        <v>Folding Containers</v>
      </c>
      <c r="BD268" t="str">
        <v>North America</v>
      </c>
      <c r="BE268" t="str">
        <v>n/a</v>
      </c>
      <c r="BF268">
        <v>-2.86965</v>
      </c>
      <c r="BG268" t="str">
        <v>DELETE</v>
      </c>
      <c r="BH268">
        <v>-0.94121889888647692</v>
      </c>
      <c r="BI268">
        <v>-1.3362845909697765</v>
      </c>
      <c r="BJ268">
        <v>-2.0236717660048869</v>
      </c>
      <c r="BK268">
        <v>-0.36882504533810367</v>
      </c>
      <c r="BL268">
        <v>-0.63188003351510369</v>
      </c>
      <c r="BM268">
        <v>2.8420875728997767E-2</v>
      </c>
    </row>
    <row r="269" spans="3:65">
      <c r="C269" s="362">
        <v>1</v>
      </c>
      <c r="D269" s="363" t="s">
        <v>239</v>
      </c>
      <c r="E269" s="362" t="s">
        <v>329</v>
      </c>
      <c r="F269" s="362" t="s">
        <v>549</v>
      </c>
      <c r="G269" s="362" t="s">
        <v>203</v>
      </c>
      <c r="H269" s="368">
        <v>-3.4792200000000002</v>
      </c>
      <c r="I269" s="368">
        <v>0</v>
      </c>
      <c r="J269" s="368">
        <v>-3.0359364948299157</v>
      </c>
      <c r="K269" s="368">
        <v>-1.5973009654564798</v>
      </c>
      <c r="L269" s="368">
        <v>-2.4963286456373734</v>
      </c>
      <c r="M269" s="368">
        <v>0.45861148441439831</v>
      </c>
      <c r="N269" s="368">
        <v>-0.73126295394444896</v>
      </c>
      <c r="O269" s="368">
        <v>3.7248152483366499E-2</v>
      </c>
      <c r="T269" s="48">
        <v>1</v>
      </c>
      <c r="U269" s="46" t="s">
        <v>239</v>
      </c>
      <c r="V269" s="53" t="s">
        <v>334</v>
      </c>
      <c r="W269" s="53" t="s">
        <v>549</v>
      </c>
      <c r="X269" s="53" t="s">
        <v>203</v>
      </c>
      <c r="Y269" s="172">
        <f>IFERROR(-tblZwaste1422[[#This Row],[Weight (kgCO2e/kg)]],0)</f>
        <v>-2.86965</v>
      </c>
      <c r="Z269" s="172" t="str">
        <f>IF(AQ269="x",(AR269*-tblZwaste1422[[#This Row],[Weight (kgCO2e/kg)]])+AS269+($AR$10*Lookups!$J$38/1000),"DELETE")</f>
        <v>DELETE</v>
      </c>
      <c r="AA269" s="172">
        <f t="shared" si="76"/>
        <v>-0.94121889888647692</v>
      </c>
      <c r="AB269" s="172">
        <f t="shared" si="76"/>
        <v>-1.7467678919187166</v>
      </c>
      <c r="AC269" s="172">
        <f t="shared" si="76"/>
        <v>-2.4880689884766101</v>
      </c>
      <c r="AD269" s="172">
        <f t="shared" si="76"/>
        <v>-0.30615631102942903</v>
      </c>
      <c r="AE269" s="172">
        <f t="shared" si="76"/>
        <v>-0.92293423027975263</v>
      </c>
      <c r="AF269" s="172">
        <f t="shared" si="76"/>
        <v>2.6389801323811368E-2</v>
      </c>
      <c r="AG269" s="150"/>
      <c r="AI269" s="137">
        <v>1</v>
      </c>
      <c r="AJ269" s="136" t="s">
        <v>239</v>
      </c>
      <c r="AK269" s="142" t="s">
        <v>334</v>
      </c>
      <c r="AL269" s="136" t="s">
        <v>549</v>
      </c>
      <c r="AM269" s="136" t="s">
        <v>203</v>
      </c>
      <c r="AN269" s="1">
        <v>2.86965</v>
      </c>
      <c r="AO269" s="166">
        <v>0.76736000000000004</v>
      </c>
      <c r="AQ269">
        <f>_xlfn.XLOOKUP(tblGWP21[[#This Row],[Material Subcategory]],ls_Mat,Factors!$K$952:$K$1023)</f>
        <v>0</v>
      </c>
      <c r="AR269" s="173"/>
      <c r="AU269" t="s">
        <v>526</v>
      </c>
      <c r="AV269" s="347">
        <v>0.8</v>
      </c>
      <c r="BA269" cm="1">
        <f t="array" ref="BA269:BM269">tblGWP21[#This Row]</f>
        <v>1</v>
      </c>
      <c r="BB269" t="str">
        <v>Paper</v>
      </c>
      <c r="BC269" t="str">
        <v>Paper Bags</v>
      </c>
      <c r="BD269" t="str">
        <v>North America</v>
      </c>
      <c r="BE269" t="str">
        <v>n/a</v>
      </c>
      <c r="BF269">
        <v>-2.86965</v>
      </c>
      <c r="BG269" t="str">
        <v>DELETE</v>
      </c>
      <c r="BH269">
        <v>-0.94121889888647692</v>
      </c>
      <c r="BI269">
        <v>-1.7467678919187166</v>
      </c>
      <c r="BJ269">
        <v>-2.4880689884766101</v>
      </c>
      <c r="BK269">
        <v>-0.30615631102942903</v>
      </c>
      <c r="BL269">
        <v>-0.92293423027975263</v>
      </c>
      <c r="BM269">
        <v>2.6389801323811368E-2</v>
      </c>
    </row>
    <row r="270" spans="3:65">
      <c r="C270" s="136">
        <v>1</v>
      </c>
      <c r="D270" s="137" t="s">
        <v>239</v>
      </c>
      <c r="E270" s="136" t="s">
        <v>271</v>
      </c>
      <c r="F270" s="136" t="s">
        <v>549</v>
      </c>
      <c r="G270" s="136" t="s">
        <v>203</v>
      </c>
      <c r="H270" s="191">
        <v>-3.1045600000000002</v>
      </c>
      <c r="I270" s="191">
        <v>0</v>
      </c>
      <c r="J270" s="191">
        <v>-0.94121889888647692</v>
      </c>
      <c r="K270" s="191">
        <v>-1.5126161299837868</v>
      </c>
      <c r="L270" s="191">
        <v>-2.5976127028688434</v>
      </c>
      <c r="M270" s="191">
        <v>-0.65525922104237366</v>
      </c>
      <c r="N270" s="191">
        <v>-0.69655977558600035</v>
      </c>
      <c r="O270" s="191">
        <v>4.0393197678032532E-2</v>
      </c>
      <c r="T270" s="48">
        <v>1</v>
      </c>
      <c r="U270" s="46" t="s">
        <v>239</v>
      </c>
      <c r="V270" s="53" t="s">
        <v>240</v>
      </c>
      <c r="W270" s="53" t="s">
        <v>549</v>
      </c>
      <c r="X270" s="53" t="s">
        <v>203</v>
      </c>
      <c r="Y270" s="172">
        <f>IFERROR(-tblZwaste1422[[#This Row],[Weight (kgCO2e/kg)]],0)</f>
        <v>-3.1045600000000002</v>
      </c>
      <c r="Z270" s="172" t="str">
        <f>IF(AQ270="x",(AR270*-tblZwaste1422[[#This Row],[Weight (kgCO2e/kg)]])+AS270+($AR$10*Lookups!$J$38/1000),"DELETE")</f>
        <v>DELETE</v>
      </c>
      <c r="AA270" s="172" t="str">
        <f t="shared" si="76"/>
        <v>DELETE</v>
      </c>
      <c r="AB270" s="172">
        <f t="shared" si="76"/>
        <v>-1.7755230788701934</v>
      </c>
      <c r="AC270" s="172">
        <f t="shared" si="76"/>
        <v>-2.5620796319160433</v>
      </c>
      <c r="AD270" s="172">
        <f t="shared" si="76"/>
        <v>-0.6758925700891707</v>
      </c>
      <c r="AE270" s="172">
        <f t="shared" si="76"/>
        <v>0.46961753832895603</v>
      </c>
      <c r="AF270" s="172">
        <f t="shared" si="76"/>
        <v>2.3670125082210602</v>
      </c>
      <c r="AG270" s="150"/>
      <c r="AI270" s="137">
        <v>1</v>
      </c>
      <c r="AJ270" s="136" t="s">
        <v>239</v>
      </c>
      <c r="AK270" s="142" t="s">
        <v>240</v>
      </c>
      <c r="AL270" s="136" t="s">
        <v>549</v>
      </c>
      <c r="AM270" s="136" t="s">
        <v>203</v>
      </c>
      <c r="AN270" s="1">
        <v>3.1045600000000002</v>
      </c>
      <c r="AO270" s="166">
        <v>0.76736000000000004</v>
      </c>
      <c r="AQ270">
        <f>_xlfn.XLOOKUP(tblGWP21[[#This Row],[Material Subcategory]],ls_Mat,Factors!$K$952:$K$1023)</f>
        <v>0</v>
      </c>
      <c r="AR270" s="173"/>
      <c r="AU270" t="s">
        <v>526</v>
      </c>
      <c r="AV270" s="347">
        <v>0.88</v>
      </c>
      <c r="BA270" cm="1">
        <f t="array" ref="BA270:BM270">tblGWP21[#This Row]</f>
        <v>1</v>
      </c>
      <c r="BB270" t="str">
        <v>Paper</v>
      </c>
      <c r="BC270" t="str">
        <v>Paper – Non-Recyclable</v>
      </c>
      <c r="BD270" t="str">
        <v>North America</v>
      </c>
      <c r="BE270" t="str">
        <v>n/a</v>
      </c>
      <c r="BF270">
        <v>-3.1045600000000002</v>
      </c>
      <c r="BG270" t="str">
        <v>DELETE</v>
      </c>
      <c r="BH270" t="str">
        <v>DELETE</v>
      </c>
      <c r="BI270">
        <v>-1.7755230788701934</v>
      </c>
      <c r="BJ270">
        <v>-2.5620796319160433</v>
      </c>
      <c r="BK270">
        <v>-0.6758925700891707</v>
      </c>
      <c r="BL270">
        <v>0.46961753832895603</v>
      </c>
      <c r="BM270">
        <v>2.3670125082210602</v>
      </c>
    </row>
    <row r="271" spans="3:65" ht="28.8">
      <c r="C271" s="362">
        <v>1</v>
      </c>
      <c r="D271" s="363" t="s">
        <v>239</v>
      </c>
      <c r="E271" s="362" t="s">
        <v>535</v>
      </c>
      <c r="F271" s="362" t="s">
        <v>549</v>
      </c>
      <c r="G271" s="362" t="s">
        <v>203</v>
      </c>
      <c r="H271" s="368">
        <v>-3.1045600000000002</v>
      </c>
      <c r="I271" s="368">
        <v>0</v>
      </c>
      <c r="J271" s="368">
        <v>-0.94121889888647692</v>
      </c>
      <c r="K271" s="368">
        <v>-1.6212617790247268</v>
      </c>
      <c r="L271" s="368">
        <v>-2.6053272170157333</v>
      </c>
      <c r="M271" s="368">
        <v>-0.8536276512293991</v>
      </c>
      <c r="N271" s="368">
        <v>-0.77590350498582572</v>
      </c>
      <c r="O271" s="368">
        <v>2.9213195424730234E-2</v>
      </c>
      <c r="T271" s="48">
        <v>1</v>
      </c>
      <c r="U271" s="46" t="s">
        <v>239</v>
      </c>
      <c r="V271" s="53" t="s">
        <v>325</v>
      </c>
      <c r="W271" s="53" t="s">
        <v>549</v>
      </c>
      <c r="X271" s="53" t="s">
        <v>203</v>
      </c>
      <c r="Y271" s="172">
        <f>IFERROR(-tblZwaste1422[[#This Row],[Weight (kgCO2e/kg)]],0)</f>
        <v>-1.66</v>
      </c>
      <c r="Z271" s="172" t="str">
        <f>IF(AQ271="x",(AR271*-tblZwaste1422[[#This Row],[Weight (kgCO2e/kg)]])+AS271+($AR$10*Lookups!$J$38/1000),"DELETE")</f>
        <v>DELETE</v>
      </c>
      <c r="AA271" s="172" t="str">
        <f t="shared" ref="AA271:AF280" si="77">IF(ISNUMBER(AVERAGE(AA663,AA719,AA775)),AVERAGE(AA663,AA719,AA775),AA663)</f>
        <v>DELETE</v>
      </c>
      <c r="AB271" s="172">
        <f t="shared" si="77"/>
        <v>-1.6373018863756965</v>
      </c>
      <c r="AC271" s="172">
        <f t="shared" si="77"/>
        <v>-2.3894460464658995</v>
      </c>
      <c r="AD271" s="172">
        <f t="shared" si="77"/>
        <v>-0.6467389853567006</v>
      </c>
      <c r="AE271" s="172">
        <f t="shared" si="77"/>
        <v>-0.85256236423159593</v>
      </c>
      <c r="AF271" s="172">
        <f t="shared" si="77"/>
        <v>2.7471796049995733E-2</v>
      </c>
      <c r="AG271" s="150"/>
      <c r="AI271" s="137">
        <v>1</v>
      </c>
      <c r="AJ271" s="136" t="s">
        <v>239</v>
      </c>
      <c r="AK271" s="142" t="s">
        <v>325</v>
      </c>
      <c r="AL271" s="136" t="s">
        <v>549</v>
      </c>
      <c r="AM271" s="136" t="s">
        <v>203</v>
      </c>
      <c r="AN271" s="1">
        <v>1.66</v>
      </c>
      <c r="AO271" s="166">
        <v>0.79600000000000004</v>
      </c>
      <c r="AQ271">
        <f>_xlfn.XLOOKUP(tblGWP21[[#This Row],[Material Subcategory]],ls_Mat,Factors!$K$952:$K$1023)</f>
        <v>0</v>
      </c>
      <c r="AU271" t="s">
        <v>526</v>
      </c>
      <c r="AV271" s="347">
        <v>0.8</v>
      </c>
      <c r="BA271" cm="1">
        <f t="array" ref="BA271:BM271">tblGWP21[#This Row]</f>
        <v>1</v>
      </c>
      <c r="BB271" t="str">
        <v>Paper</v>
      </c>
      <c r="BC271" t="str">
        <v>Compostable Food Service Ware</v>
      </c>
      <c r="BD271" t="str">
        <v>North America</v>
      </c>
      <c r="BE271" t="str">
        <v>n/a</v>
      </c>
      <c r="BF271">
        <v>-1.66</v>
      </c>
      <c r="BG271" t="str">
        <v>DELETE</v>
      </c>
      <c r="BH271" t="str">
        <v>DELETE</v>
      </c>
      <c r="BI271">
        <v>-1.6373018863756965</v>
      </c>
      <c r="BJ271">
        <v>-2.3894460464658995</v>
      </c>
      <c r="BK271">
        <v>-0.6467389853567006</v>
      </c>
      <c r="BL271">
        <v>-0.85256236423159593</v>
      </c>
      <c r="BM271">
        <v>2.7471796049995733E-2</v>
      </c>
    </row>
    <row r="272" spans="3:65">
      <c r="C272" s="136">
        <v>1</v>
      </c>
      <c r="D272" s="137" t="s">
        <v>239</v>
      </c>
      <c r="E272" s="136" t="s">
        <v>259</v>
      </c>
      <c r="F272" s="136" t="s">
        <v>549</v>
      </c>
      <c r="G272" s="136" t="s">
        <v>203</v>
      </c>
      <c r="H272" s="191">
        <v>-2.86965</v>
      </c>
      <c r="I272" s="191">
        <v>0</v>
      </c>
      <c r="J272" s="191">
        <v>-0.94121889888647692</v>
      </c>
      <c r="K272" s="191">
        <v>-1.3362845909697765</v>
      </c>
      <c r="L272" s="191">
        <v>-2.0236717660048869</v>
      </c>
      <c r="M272" s="191">
        <v>-0.36882504533810367</v>
      </c>
      <c r="N272" s="191">
        <v>-0.63188003351510369</v>
      </c>
      <c r="O272" s="191">
        <v>2.8420875728997767E-2</v>
      </c>
      <c r="T272" s="48">
        <v>1</v>
      </c>
      <c r="U272" s="46" t="s">
        <v>256</v>
      </c>
      <c r="V272" s="53" t="s">
        <v>256</v>
      </c>
      <c r="W272" s="53" t="s">
        <v>549</v>
      </c>
      <c r="X272" s="53" t="s">
        <v>203</v>
      </c>
      <c r="Y272" s="172">
        <f>IFERROR(-tblZwaste1422[[#This Row],[Weight (kgCO2e/kg)]],0)</f>
        <v>-3.3097799999999999</v>
      </c>
      <c r="Z272" s="172" t="e">
        <f>IF(AQ272="x",(AR272*-tblZwaste1422[[#This Row],[Weight (kgCO2e/kg)]])+AS272+($AR$10*Lookups!$J$38/1000),"DELETE")</f>
        <v>#N/A</v>
      </c>
      <c r="AA272" s="172">
        <f t="shared" si="77"/>
        <v>-12.500493842095237</v>
      </c>
      <c r="AB272" s="172" t="str">
        <f t="shared" si="77"/>
        <v>DELETE</v>
      </c>
      <c r="AC272" s="172" t="str">
        <f t="shared" si="77"/>
        <v>DELETE</v>
      </c>
      <c r="AD272" s="172">
        <f t="shared" si="77"/>
        <v>2.5942504251795086E-2</v>
      </c>
      <c r="AE272" s="172">
        <f t="shared" si="77"/>
        <v>-0.10477764541028994</v>
      </c>
      <c r="AF272" s="172">
        <f t="shared" si="77"/>
        <v>-8.7943563811644865E-2</v>
      </c>
      <c r="AG272" s="150"/>
      <c r="AI272" s="137">
        <v>1</v>
      </c>
      <c r="AJ272" s="136" t="s">
        <v>256</v>
      </c>
      <c r="AK272" s="142" t="s">
        <v>256</v>
      </c>
      <c r="AL272" s="136" t="s">
        <v>549</v>
      </c>
      <c r="AM272" s="136" t="s">
        <v>203</v>
      </c>
      <c r="AN272" s="1">
        <v>3.3097799999999999</v>
      </c>
      <c r="AO272" s="166">
        <v>1.0068550000000001</v>
      </c>
      <c r="AQ272" t="e">
        <f>_xlfn.XLOOKUP(tblGWP21[[#This Row],[Material Subcategory]],ls_Mat,Factors!$K$952:$K$1023)</f>
        <v>#N/A</v>
      </c>
      <c r="AR272" s="173">
        <v>1</v>
      </c>
      <c r="AS272">
        <v>8.1306407300000008E-2</v>
      </c>
      <c r="AT272" t="s">
        <v>531</v>
      </c>
      <c r="AU272" t="s">
        <v>526</v>
      </c>
      <c r="AV272" s="347">
        <v>0.65</v>
      </c>
      <c r="BA272" cm="1">
        <f t="array" ref="BA272:BM272">tblGWP21[#This Row]</f>
        <v>1</v>
      </c>
      <c r="BB272" t="str">
        <v>Metals</v>
      </c>
      <c r="BC272" t="str">
        <v>Metals</v>
      </c>
      <c r="BD272" t="str">
        <v>North America</v>
      </c>
      <c r="BE272" t="str">
        <v>n/a</v>
      </c>
      <c r="BF272">
        <v>-3.3097799999999999</v>
      </c>
      <c r="BG272" t="e">
        <v>#N/A</v>
      </c>
      <c r="BH272">
        <v>-12.500493842095237</v>
      </c>
      <c r="BI272" t="str">
        <v>DELETE</v>
      </c>
      <c r="BJ272" t="str">
        <v>DELETE</v>
      </c>
      <c r="BK272">
        <v>2.5942504251795086E-2</v>
      </c>
      <c r="BL272">
        <v>-0.10477764541028994</v>
      </c>
      <c r="BM272">
        <v>-8.7943563811644865E-2</v>
      </c>
    </row>
    <row r="273" spans="3:65">
      <c r="C273" s="362">
        <v>1</v>
      </c>
      <c r="D273" s="363" t="s">
        <v>239</v>
      </c>
      <c r="E273" s="362" t="s">
        <v>334</v>
      </c>
      <c r="F273" s="362" t="s">
        <v>549</v>
      </c>
      <c r="G273" s="362" t="s">
        <v>203</v>
      </c>
      <c r="H273" s="368">
        <v>-2.86965</v>
      </c>
      <c r="I273" s="368">
        <v>0</v>
      </c>
      <c r="J273" s="368">
        <v>-0.94121889888647692</v>
      </c>
      <c r="K273" s="368">
        <v>-1.7467678919187166</v>
      </c>
      <c r="L273" s="368">
        <v>-2.4880689884766101</v>
      </c>
      <c r="M273" s="368">
        <v>-0.30615631102942903</v>
      </c>
      <c r="N273" s="368">
        <v>-0.92293423027975263</v>
      </c>
      <c r="O273" s="368">
        <v>2.6389801323811368E-2</v>
      </c>
      <c r="T273" s="48">
        <v>1</v>
      </c>
      <c r="U273" s="46" t="s">
        <v>256</v>
      </c>
      <c r="V273" s="53" t="s">
        <v>536</v>
      </c>
      <c r="W273" s="53" t="s">
        <v>549</v>
      </c>
      <c r="X273" s="53" t="s">
        <v>203</v>
      </c>
      <c r="Y273" s="172">
        <f>IFERROR(-tblZwaste1422[[#This Row],[Weight (kgCO2e/kg)]],0)</f>
        <v>-1.9798800000000001</v>
      </c>
      <c r="Z273" s="172">
        <f>IF(AQ273="x",(AR273*-tblZwaste1422[[#This Row],[Weight (kgCO2e/kg)]])+AS273+($AR$10*Lookups!$J$38/1000),"DELETE")</f>
        <v>-1.8968017927</v>
      </c>
      <c r="AA273" s="172">
        <f t="shared" si="77"/>
        <v>-2.272364331159153</v>
      </c>
      <c r="AB273" s="172" t="str">
        <f t="shared" si="77"/>
        <v>DELETE</v>
      </c>
      <c r="AC273" s="172" t="str">
        <f t="shared" si="77"/>
        <v>DELETE</v>
      </c>
      <c r="AD273" s="172">
        <f t="shared" si="77"/>
        <v>2.6025008503590168E-2</v>
      </c>
      <c r="AE273" s="172">
        <f t="shared" si="77"/>
        <v>-0.15482735390975735</v>
      </c>
      <c r="AF273" s="172">
        <f t="shared" si="77"/>
        <v>-0.12863159652829767</v>
      </c>
      <c r="AG273" s="150"/>
      <c r="AI273" s="137">
        <v>1</v>
      </c>
      <c r="AJ273" s="136" t="s">
        <v>256</v>
      </c>
      <c r="AK273" s="142" t="s">
        <v>536</v>
      </c>
      <c r="AL273" s="136" t="s">
        <v>549</v>
      </c>
      <c r="AM273" s="136" t="s">
        <v>203</v>
      </c>
      <c r="AN273" s="1">
        <v>1.9798800000000001</v>
      </c>
      <c r="AO273" s="166">
        <v>0.72957000000000005</v>
      </c>
      <c r="AQ273" t="str">
        <f>_xlfn.XLOOKUP(tblGWP21[[#This Row],[Material Subcategory]],ls_Mat,Factors!$K$952:$K$1023)</f>
        <v>x</v>
      </c>
      <c r="AR273" s="173">
        <v>1</v>
      </c>
      <c r="AS273">
        <v>8.1306407300000008E-2</v>
      </c>
      <c r="AT273" t="s">
        <v>531</v>
      </c>
      <c r="AU273" t="s">
        <v>526</v>
      </c>
      <c r="AV273" s="347">
        <v>0.65</v>
      </c>
      <c r="BA273" cm="1">
        <f t="array" ref="BA273:BM273">tblGWP21[#This Row]</f>
        <v>1</v>
      </c>
      <c r="BB273" t="str">
        <v>Metals</v>
      </c>
      <c r="BC273" t="str">
        <v>Ferrous Cans</v>
      </c>
      <c r="BD273" t="str">
        <v>North America</v>
      </c>
      <c r="BE273" t="str">
        <v>n/a</v>
      </c>
      <c r="BF273">
        <v>-1.9798800000000001</v>
      </c>
      <c r="BG273">
        <v>-1.8968017927</v>
      </c>
      <c r="BH273">
        <v>-2.272364331159153</v>
      </c>
      <c r="BI273" t="str">
        <v>DELETE</v>
      </c>
      <c r="BJ273" t="str">
        <v>DELETE</v>
      </c>
      <c r="BK273">
        <v>2.6025008503590168E-2</v>
      </c>
      <c r="BL273">
        <v>-0.15482735390975735</v>
      </c>
      <c r="BM273">
        <v>-0.12863159652829767</v>
      </c>
    </row>
    <row r="274" spans="3:65">
      <c r="C274" s="136">
        <v>1</v>
      </c>
      <c r="D274" s="137" t="s">
        <v>239</v>
      </c>
      <c r="E274" s="136" t="s">
        <v>240</v>
      </c>
      <c r="F274" s="136" t="s">
        <v>549</v>
      </c>
      <c r="G274" s="136" t="s">
        <v>203</v>
      </c>
      <c r="H274" s="191">
        <v>-3.1045600000000002</v>
      </c>
      <c r="I274" s="191">
        <v>0</v>
      </c>
      <c r="J274" s="191">
        <v>0</v>
      </c>
      <c r="K274" s="191">
        <v>-1.7755230788701934</v>
      </c>
      <c r="L274" s="191">
        <v>-2.5620796319160433</v>
      </c>
      <c r="M274" s="191">
        <v>-0.6758925700891707</v>
      </c>
      <c r="N274" s="191">
        <v>0.46961753832895603</v>
      </c>
      <c r="O274" s="191">
        <v>2.3670125082210602</v>
      </c>
      <c r="T274" s="48">
        <v>1</v>
      </c>
      <c r="U274" s="46" t="s">
        <v>256</v>
      </c>
      <c r="V274" s="53" t="s">
        <v>257</v>
      </c>
      <c r="W274" s="53" t="s">
        <v>549</v>
      </c>
      <c r="X274" s="53" t="s">
        <v>203</v>
      </c>
      <c r="Y274" s="172">
        <f>IFERROR(-tblZwaste1422[[#This Row],[Weight (kgCO2e/kg)]],0)</f>
        <v>-1.9798800000000001</v>
      </c>
      <c r="Z274" s="172">
        <f>IF(AQ274="x",(AR274*-tblZwaste1422[[#This Row],[Weight (kgCO2e/kg)]])+AS274+($AR$10*Lookups!$J$38/1000),"DELETE")</f>
        <v>-1.8968017927</v>
      </c>
      <c r="AA274" s="172">
        <f t="shared" si="77"/>
        <v>-2.272364331159153</v>
      </c>
      <c r="AB274" s="172" t="str">
        <f t="shared" si="77"/>
        <v>DELETE</v>
      </c>
      <c r="AC274" s="172" t="str">
        <f t="shared" si="77"/>
        <v>DELETE</v>
      </c>
      <c r="AD274" s="172">
        <f t="shared" si="77"/>
        <v>2.6025008503590168E-2</v>
      </c>
      <c r="AE274" s="172">
        <f t="shared" si="77"/>
        <v>-0.15482735390975735</v>
      </c>
      <c r="AF274" s="172">
        <f t="shared" si="77"/>
        <v>-0.12863159652829767</v>
      </c>
      <c r="AG274" s="150"/>
      <c r="AI274" s="137">
        <v>1</v>
      </c>
      <c r="AJ274" s="136" t="s">
        <v>256</v>
      </c>
      <c r="AK274" s="142" t="s">
        <v>257</v>
      </c>
      <c r="AL274" s="136" t="s">
        <v>549</v>
      </c>
      <c r="AM274" s="136" t="s">
        <v>203</v>
      </c>
      <c r="AN274" s="1">
        <v>1.9798800000000001</v>
      </c>
      <c r="AO274" s="166">
        <v>0.46493000000000001</v>
      </c>
      <c r="AQ274" t="str">
        <f>_xlfn.XLOOKUP(tblGWP21[[#This Row],[Material Subcategory]],ls_Mat,Factors!$K$952:$K$1023)</f>
        <v>x</v>
      </c>
      <c r="AR274" s="173">
        <v>1</v>
      </c>
      <c r="AS274">
        <v>8.1306407300000008E-2</v>
      </c>
      <c r="AT274" t="s">
        <v>531</v>
      </c>
      <c r="AU274" t="s">
        <v>526</v>
      </c>
      <c r="AV274" s="347">
        <v>0.65</v>
      </c>
      <c r="BA274" cm="1">
        <f t="array" ref="BA274:BM274">tblGWP21[#This Row]</f>
        <v>1</v>
      </c>
      <c r="BB274" t="str">
        <v>Metals</v>
      </c>
      <c r="BC274" t="str">
        <v>Ferrous Metal</v>
      </c>
      <c r="BD274" t="str">
        <v>North America</v>
      </c>
      <c r="BE274" t="str">
        <v>n/a</v>
      </c>
      <c r="BF274">
        <v>-1.9798800000000001</v>
      </c>
      <c r="BG274">
        <v>-1.8968017927</v>
      </c>
      <c r="BH274">
        <v>-2.272364331159153</v>
      </c>
      <c r="BI274" t="str">
        <v>DELETE</v>
      </c>
      <c r="BJ274" t="str">
        <v>DELETE</v>
      </c>
      <c r="BK274">
        <v>2.6025008503590168E-2</v>
      </c>
      <c r="BL274">
        <v>-0.15482735390975735</v>
      </c>
      <c r="BM274">
        <v>-0.12863159652829767</v>
      </c>
    </row>
    <row r="275" spans="3:65" ht="28.8">
      <c r="C275" s="362">
        <v>1</v>
      </c>
      <c r="D275" s="363" t="s">
        <v>239</v>
      </c>
      <c r="E275" s="362" t="s">
        <v>325</v>
      </c>
      <c r="F275" s="362" t="s">
        <v>549</v>
      </c>
      <c r="G275" s="362" t="s">
        <v>203</v>
      </c>
      <c r="H275" s="368">
        <v>-1.66</v>
      </c>
      <c r="I275" s="368">
        <v>0</v>
      </c>
      <c r="J275" s="368">
        <v>0</v>
      </c>
      <c r="K275" s="368">
        <v>-1.6373018863756965</v>
      </c>
      <c r="L275" s="368">
        <v>-2.3894460464658995</v>
      </c>
      <c r="M275" s="368">
        <v>-0.6467389853567006</v>
      </c>
      <c r="N275" s="368">
        <v>-0.85256236423159593</v>
      </c>
      <c r="O275" s="368">
        <v>2.7471796049995733E-2</v>
      </c>
      <c r="T275" s="48">
        <v>1</v>
      </c>
      <c r="U275" s="46" t="s">
        <v>256</v>
      </c>
      <c r="V275" s="53" t="s">
        <v>537</v>
      </c>
      <c r="W275" s="53" t="s">
        <v>549</v>
      </c>
      <c r="X275" s="53" t="s">
        <v>203</v>
      </c>
      <c r="Y275" s="172">
        <f>IFERROR(-tblZwaste1422[[#This Row],[Weight (kgCO2e/kg)]],0)</f>
        <v>-5.0082800000000001</v>
      </c>
      <c r="Z275" s="172">
        <f>IF(AQ275="x",(AR275*-tblZwaste1422[[#This Row],[Weight (kgCO2e/kg)]])+AS275+($AR$10*Lookups!$J$38/1000),"DELETE")</f>
        <v>-4.9252017927000002</v>
      </c>
      <c r="AA275" s="172">
        <f t="shared" si="77"/>
        <v>-4.9410050765680671</v>
      </c>
      <c r="AB275" s="172" t="str">
        <f t="shared" si="77"/>
        <v>DELETE</v>
      </c>
      <c r="AC275" s="172" t="str">
        <f t="shared" si="77"/>
        <v>DELETE</v>
      </c>
      <c r="AD275" s="172">
        <f t="shared" si="77"/>
        <v>2.5860000000000005E-2</v>
      </c>
      <c r="AE275" s="172">
        <f t="shared" si="77"/>
        <v>-5.4727936910822533E-2</v>
      </c>
      <c r="AF275" s="172">
        <f t="shared" si="77"/>
        <v>-4.7255531094992066E-2</v>
      </c>
      <c r="AG275" s="150"/>
      <c r="AI275" s="137">
        <v>1</v>
      </c>
      <c r="AJ275" s="136" t="s">
        <v>256</v>
      </c>
      <c r="AK275" s="142" t="s">
        <v>537</v>
      </c>
      <c r="AL275" s="136" t="s">
        <v>549</v>
      </c>
      <c r="AM275" s="136" t="s">
        <v>203</v>
      </c>
      <c r="AN275" s="1">
        <v>5.0082800000000001</v>
      </c>
      <c r="AO275" s="166">
        <v>1.54878</v>
      </c>
      <c r="AQ275" t="str">
        <f>_xlfn.XLOOKUP(tblGWP21[[#This Row],[Material Subcategory]],ls_Mat,Factors!$K$952:$K$1023)</f>
        <v>x</v>
      </c>
      <c r="AR275" s="173">
        <v>1</v>
      </c>
      <c r="AS275">
        <v>8.1306407300000008E-2</v>
      </c>
      <c r="AT275" t="s">
        <v>531</v>
      </c>
      <c r="AU275" t="s">
        <v>526</v>
      </c>
      <c r="AV275" s="347">
        <v>0.8</v>
      </c>
      <c r="BA275" cm="1">
        <f t="array" ref="BA275:BM275">tblGWP21[#This Row]</f>
        <v>1</v>
      </c>
      <c r="BB275" t="str">
        <v>Metals</v>
      </c>
      <c r="BC275" t="str">
        <v>Aluminum Cans</v>
      </c>
      <c r="BD275" t="str">
        <v>North America</v>
      </c>
      <c r="BE275" t="str">
        <v>n/a</v>
      </c>
      <c r="BF275">
        <v>-5.0082800000000001</v>
      </c>
      <c r="BG275">
        <v>-4.9252017927000002</v>
      </c>
      <c r="BH275">
        <v>-4.9410050765680671</v>
      </c>
      <c r="BI275" t="str">
        <v>DELETE</v>
      </c>
      <c r="BJ275" t="str">
        <v>DELETE</v>
      </c>
      <c r="BK275">
        <v>2.5860000000000005E-2</v>
      </c>
      <c r="BL275">
        <v>-5.4727936910822533E-2</v>
      </c>
      <c r="BM275">
        <v>-4.7255531094992066E-2</v>
      </c>
    </row>
    <row r="276" spans="3:65">
      <c r="C276" s="136">
        <v>1</v>
      </c>
      <c r="D276" s="137" t="s">
        <v>256</v>
      </c>
      <c r="E276" s="136" t="s">
        <v>256</v>
      </c>
      <c r="F276" s="136" t="s">
        <v>549</v>
      </c>
      <c r="G276" s="136" t="s">
        <v>203</v>
      </c>
      <c r="H276" s="191">
        <v>-3.3097799999999999</v>
      </c>
      <c r="I276" s="191">
        <v>-3.2267017926999997</v>
      </c>
      <c r="J276" s="191">
        <v>-12.500493842095237</v>
      </c>
      <c r="K276" s="191">
        <v>0</v>
      </c>
      <c r="L276" s="191">
        <v>0</v>
      </c>
      <c r="M276" s="191">
        <v>2.5942504251795086E-2</v>
      </c>
      <c r="N276" s="191">
        <v>-0.10477764541028994</v>
      </c>
      <c r="O276" s="191">
        <v>-8.7943563811644865E-2</v>
      </c>
      <c r="T276" s="48">
        <v>1</v>
      </c>
      <c r="U276" s="46" t="s">
        <v>256</v>
      </c>
      <c r="V276" s="53" t="s">
        <v>538</v>
      </c>
      <c r="W276" s="53" t="s">
        <v>549</v>
      </c>
      <c r="X276" s="53" t="s">
        <v>203</v>
      </c>
      <c r="Y276" s="172">
        <f>IFERROR(-tblZwaste1422[[#This Row],[Weight (kgCO2e/kg)]],0)</f>
        <v>-4.6396800000000002</v>
      </c>
      <c r="Z276" s="172" t="str">
        <f>IF(AQ276="x",(AR276*-tblZwaste1422[[#This Row],[Weight (kgCO2e/kg)]])+AS276+($AR$10*Lookups!$J$38/1000),"DELETE")</f>
        <v>DELETE</v>
      </c>
      <c r="AA276" s="172" t="str">
        <f t="shared" si="77"/>
        <v>DELETE</v>
      </c>
      <c r="AB276" s="172" t="str">
        <f t="shared" si="77"/>
        <v>DELETE</v>
      </c>
      <c r="AC276" s="172" t="str">
        <f t="shared" si="77"/>
        <v>DELETE</v>
      </c>
      <c r="AD276" s="172">
        <f t="shared" si="77"/>
        <v>2.5860000000000005E-2</v>
      </c>
      <c r="AE276" s="172">
        <f t="shared" si="77"/>
        <v>-5.1206458307960001E-2</v>
      </c>
      <c r="AF276" s="172">
        <f t="shared" si="77"/>
        <v>-4.7255531094992066E-2</v>
      </c>
      <c r="AG276" s="150"/>
      <c r="AI276" s="137">
        <v>1</v>
      </c>
      <c r="AJ276" s="136" t="s">
        <v>256</v>
      </c>
      <c r="AK276" s="142" t="s">
        <v>538</v>
      </c>
      <c r="AL276" s="136" t="s">
        <v>549</v>
      </c>
      <c r="AM276" s="136" t="s">
        <v>203</v>
      </c>
      <c r="AN276" s="1">
        <v>4.6396800000000002</v>
      </c>
      <c r="AO276" s="166">
        <v>1.54878</v>
      </c>
      <c r="AQ276">
        <f>_xlfn.XLOOKUP(tblGWP21[[#This Row],[Material Subcategory]],ls_Mat,Factors!$K$952:$K$1023)</f>
        <v>0</v>
      </c>
      <c r="AR276" s="173"/>
      <c r="BA276" cm="1">
        <f t="array" ref="BA276:BM276">tblGWP21[#This Row]</f>
        <v>1</v>
      </c>
      <c r="BB276" t="str">
        <v>Metals</v>
      </c>
      <c r="BC276" t="str">
        <v>Aluminum Foil</v>
      </c>
      <c r="BD276" t="str">
        <v>North America</v>
      </c>
      <c r="BE276" t="str">
        <v>n/a</v>
      </c>
      <c r="BF276">
        <v>-4.6396800000000002</v>
      </c>
      <c r="BG276" t="str">
        <v>DELETE</v>
      </c>
      <c r="BH276" t="str">
        <v>DELETE</v>
      </c>
      <c r="BI276" t="str">
        <v>DELETE</v>
      </c>
      <c r="BJ276" t="str">
        <v>DELETE</v>
      </c>
      <c r="BK276">
        <v>2.5860000000000005E-2</v>
      </c>
      <c r="BL276">
        <v>-5.1206458307960001E-2</v>
      </c>
      <c r="BM276">
        <v>-4.7255531094992066E-2</v>
      </c>
    </row>
    <row r="277" spans="3:65">
      <c r="C277" s="362">
        <v>1</v>
      </c>
      <c r="D277" s="363" t="s">
        <v>256</v>
      </c>
      <c r="E277" s="362" t="s">
        <v>536</v>
      </c>
      <c r="F277" s="362" t="s">
        <v>549</v>
      </c>
      <c r="G277" s="362" t="s">
        <v>203</v>
      </c>
      <c r="H277" s="368">
        <v>-1.9798800000000001</v>
      </c>
      <c r="I277" s="368">
        <v>-1.8968017927</v>
      </c>
      <c r="J277" s="368">
        <v>-2.272364331159153</v>
      </c>
      <c r="K277" s="368">
        <v>0</v>
      </c>
      <c r="L277" s="368">
        <v>0</v>
      </c>
      <c r="M277" s="368">
        <v>2.6025008503590168E-2</v>
      </c>
      <c r="N277" s="368">
        <v>-0.15482735390975735</v>
      </c>
      <c r="O277" s="368">
        <v>-0.12863159652829767</v>
      </c>
      <c r="T277" s="48">
        <v>1</v>
      </c>
      <c r="U277" s="46" t="s">
        <v>256</v>
      </c>
      <c r="V277" s="53" t="s">
        <v>258</v>
      </c>
      <c r="W277" s="53" t="s">
        <v>549</v>
      </c>
      <c r="X277" s="53" t="s">
        <v>203</v>
      </c>
      <c r="Y277" s="172">
        <f>IFERROR(-tblZwaste1422[[#This Row],[Weight (kgCO2e/kg)]],0)</f>
        <v>-4.6396800000000002</v>
      </c>
      <c r="Z277" s="172">
        <f>IF(AQ277="x",(AR277*-tblZwaste1422[[#This Row],[Weight (kgCO2e/kg)]])+AS277+($AR$10*Lookups!$J$38/1000),"DELETE")</f>
        <v>-4.5566017927000004</v>
      </c>
      <c r="AA277" s="172">
        <f t="shared" si="77"/>
        <v>-4.7897498191221057</v>
      </c>
      <c r="AB277" s="172" t="str">
        <f t="shared" si="77"/>
        <v>DELETE</v>
      </c>
      <c r="AC277" s="172" t="str">
        <f t="shared" si="77"/>
        <v>DELETE</v>
      </c>
      <c r="AD277" s="172">
        <f t="shared" si="77"/>
        <v>2.5860000000000005E-2</v>
      </c>
      <c r="AE277" s="172">
        <f t="shared" si="77"/>
        <v>-5.4727936910821867E-2</v>
      </c>
      <c r="AF277" s="172">
        <f t="shared" si="77"/>
        <v>-4.7255531094992108E-2</v>
      </c>
      <c r="AG277" s="150"/>
      <c r="AI277" s="137">
        <v>1</v>
      </c>
      <c r="AJ277" s="136" t="s">
        <v>256</v>
      </c>
      <c r="AK277" s="142" t="s">
        <v>258</v>
      </c>
      <c r="AL277" s="136" t="s">
        <v>549</v>
      </c>
      <c r="AM277" s="136" t="s">
        <v>203</v>
      </c>
      <c r="AN277" s="1">
        <v>4.6396800000000002</v>
      </c>
      <c r="AO277" s="166">
        <v>1.54878</v>
      </c>
      <c r="AQ277" t="str">
        <f>_xlfn.XLOOKUP(tblGWP21[[#This Row],[Material Subcategory]],ls_Mat,Factors!$K$952:$K$1023)</f>
        <v>x</v>
      </c>
      <c r="AR277" s="173">
        <v>1</v>
      </c>
      <c r="AS277">
        <v>8.1306407300000008E-2</v>
      </c>
      <c r="AT277" t="s">
        <v>531</v>
      </c>
      <c r="BA277" cm="1">
        <f t="array" ref="BA277:BM277">tblGWP21[#This Row]</f>
        <v>1</v>
      </c>
      <c r="BB277" t="str">
        <v>Metals</v>
      </c>
      <c r="BC277" t="str">
        <v>Other Aluminum</v>
      </c>
      <c r="BD277" t="str">
        <v>North America</v>
      </c>
      <c r="BE277" t="str">
        <v>n/a</v>
      </c>
      <c r="BF277">
        <v>-4.6396800000000002</v>
      </c>
      <c r="BG277">
        <v>-4.5566017927000004</v>
      </c>
      <c r="BH277">
        <v>-4.7897498191221057</v>
      </c>
      <c r="BI277" t="str">
        <v>DELETE</v>
      </c>
      <c r="BJ277" t="str">
        <v>DELETE</v>
      </c>
      <c r="BK277">
        <v>2.5860000000000005E-2</v>
      </c>
      <c r="BL277">
        <v>-5.4727936910821867E-2</v>
      </c>
      <c r="BM277">
        <v>-4.7255531094992108E-2</v>
      </c>
    </row>
    <row r="278" spans="3:65">
      <c r="C278" s="136">
        <v>1</v>
      </c>
      <c r="D278" s="137" t="s">
        <v>256</v>
      </c>
      <c r="E278" s="136" t="s">
        <v>257</v>
      </c>
      <c r="F278" s="136" t="s">
        <v>549</v>
      </c>
      <c r="G278" s="136" t="s">
        <v>203</v>
      </c>
      <c r="H278" s="191">
        <v>-1.9798800000000001</v>
      </c>
      <c r="I278" s="191">
        <v>-1.8968017927</v>
      </c>
      <c r="J278" s="191">
        <v>-2.272364331159153</v>
      </c>
      <c r="K278" s="191">
        <v>0</v>
      </c>
      <c r="L278" s="191">
        <v>0</v>
      </c>
      <c r="M278" s="191">
        <v>2.6025008503590168E-2</v>
      </c>
      <c r="N278" s="191">
        <v>-0.15482735390975735</v>
      </c>
      <c r="O278" s="191">
        <v>-0.12863159652829767</v>
      </c>
      <c r="T278" s="48">
        <v>1</v>
      </c>
      <c r="U278" s="46" t="s">
        <v>247</v>
      </c>
      <c r="V278" s="53" t="s">
        <v>247</v>
      </c>
      <c r="W278" s="53" t="s">
        <v>549</v>
      </c>
      <c r="X278" s="53" t="s">
        <v>203</v>
      </c>
      <c r="Y278" s="172">
        <f>IFERROR(-tblZwaste1422[[#This Row],[Weight (kgCO2e/kg)]],0)</f>
        <v>-1.0505633333333335</v>
      </c>
      <c r="Z278" s="172">
        <f>IF(AQ278="x",(AR278*-tblZwaste1422[[#This Row],[Weight (kgCO2e/kg)]])+AS278+($AR$10*Lookups!$J$38/1000),"DELETE")</f>
        <v>-0.96748512603333348</v>
      </c>
      <c r="AA278" s="172">
        <f t="shared" si="77"/>
        <v>-0.3161462390486986</v>
      </c>
      <c r="AB278" s="172" t="str">
        <f t="shared" si="77"/>
        <v>DELETE</v>
      </c>
      <c r="AC278" s="172" t="str">
        <f t="shared" si="77"/>
        <v>DELETE</v>
      </c>
      <c r="AD278" s="172">
        <f t="shared" si="77"/>
        <v>2.6025022904209633E-2</v>
      </c>
      <c r="AE278" s="172">
        <f t="shared" si="77"/>
        <v>3.07615542694703E-2</v>
      </c>
      <c r="AF278" s="172">
        <f t="shared" si="77"/>
        <v>4.8918086524974959E-2</v>
      </c>
      <c r="AG278" s="150"/>
      <c r="AI278" s="137">
        <v>1</v>
      </c>
      <c r="AJ278" s="136" t="s">
        <v>247</v>
      </c>
      <c r="AK278" s="142" t="s">
        <v>247</v>
      </c>
      <c r="AL278" s="136" t="s">
        <v>549</v>
      </c>
      <c r="AM278" s="136" t="s">
        <v>203</v>
      </c>
      <c r="AN278" s="1">
        <v>1.0505633333333335</v>
      </c>
      <c r="AO278" s="166">
        <v>0.89563000000000004</v>
      </c>
      <c r="AQ278" t="str">
        <f>_xlfn.XLOOKUP(tblGWP21[[#This Row],[Material Subcategory]],ls_Mat,Factors!$K$952:$K$1023)</f>
        <v>x</v>
      </c>
      <c r="AR278" s="173">
        <v>1</v>
      </c>
      <c r="AS278">
        <v>8.1306407300000008E-2</v>
      </c>
      <c r="AT278" t="s">
        <v>531</v>
      </c>
      <c r="AU278" t="s">
        <v>526</v>
      </c>
      <c r="AV278" s="347">
        <v>0.95</v>
      </c>
      <c r="BA278" cm="1">
        <f t="array" ref="BA278:BM278">tblGWP21[#This Row]</f>
        <v>1</v>
      </c>
      <c r="BB278" t="str">
        <v>Glass</v>
      </c>
      <c r="BC278" t="str">
        <v>Glass</v>
      </c>
      <c r="BD278" t="str">
        <v>North America</v>
      </c>
      <c r="BE278" t="str">
        <v>n/a</v>
      </c>
      <c r="BF278">
        <v>-1.0505633333333335</v>
      </c>
      <c r="BG278">
        <v>-0.96748512603333348</v>
      </c>
      <c r="BH278">
        <v>-0.3161462390486986</v>
      </c>
      <c r="BI278" t="str">
        <v>DELETE</v>
      </c>
      <c r="BJ278" t="str">
        <v>DELETE</v>
      </c>
      <c r="BK278">
        <v>2.6025022904209633E-2</v>
      </c>
      <c r="BL278">
        <v>3.07615542694703E-2</v>
      </c>
      <c r="BM278">
        <v>4.8918086524974959E-2</v>
      </c>
    </row>
    <row r="279" spans="3:65">
      <c r="C279" s="362">
        <v>1</v>
      </c>
      <c r="D279" s="363" t="s">
        <v>256</v>
      </c>
      <c r="E279" s="362" t="s">
        <v>537</v>
      </c>
      <c r="F279" s="362" t="s">
        <v>549</v>
      </c>
      <c r="G279" s="362" t="s">
        <v>203</v>
      </c>
      <c r="H279" s="368">
        <v>-5.0082800000000001</v>
      </c>
      <c r="I279" s="368">
        <v>-4.9252017927000002</v>
      </c>
      <c r="J279" s="368">
        <v>-4.9410050765680671</v>
      </c>
      <c r="K279" s="368">
        <v>0</v>
      </c>
      <c r="L279" s="368">
        <v>0</v>
      </c>
      <c r="M279" s="368">
        <v>2.5860000000000005E-2</v>
      </c>
      <c r="N279" s="368">
        <v>-5.4727936910822533E-2</v>
      </c>
      <c r="O279" s="368">
        <v>-4.7255531094992066E-2</v>
      </c>
      <c r="T279" s="48">
        <v>1</v>
      </c>
      <c r="U279" s="46" t="s">
        <v>247</v>
      </c>
      <c r="V279" s="53" t="s">
        <v>248</v>
      </c>
      <c r="W279" s="53" t="s">
        <v>549</v>
      </c>
      <c r="X279" s="53" t="s">
        <v>203</v>
      </c>
      <c r="Y279" s="172">
        <f>IFERROR(-tblZwaste1422[[#This Row],[Weight (kgCO2e/kg)]],0)</f>
        <v>-1.0606100000000001</v>
      </c>
      <c r="Z279" s="172">
        <f>IF(AQ279="x",(AR279*-tblZwaste1422[[#This Row],[Weight (kgCO2e/kg)]])+AS279+($AR$10*Lookups!$J$38/1000),"DELETE")</f>
        <v>-0.97753179270000001</v>
      </c>
      <c r="AA279" s="172">
        <f t="shared" si="77"/>
        <v>-0.16852306962443819</v>
      </c>
      <c r="AB279" s="172" t="str">
        <f t="shared" si="77"/>
        <v>DELETE</v>
      </c>
      <c r="AC279" s="172" t="str">
        <f t="shared" si="77"/>
        <v>DELETE</v>
      </c>
      <c r="AD279" s="172">
        <f t="shared" si="77"/>
        <v>2.6025028908758668E-2</v>
      </c>
      <c r="AE279" s="172">
        <f t="shared" si="77"/>
        <v>3.45544738154627E-2</v>
      </c>
      <c r="AF279" s="172">
        <f t="shared" si="77"/>
        <v>4.8916902919368233E-2</v>
      </c>
      <c r="AG279" s="150"/>
      <c r="AI279" s="137">
        <v>1</v>
      </c>
      <c r="AJ279" s="136" t="s">
        <v>247</v>
      </c>
      <c r="AK279" s="142" t="s">
        <v>248</v>
      </c>
      <c r="AL279" s="136" t="s">
        <v>549</v>
      </c>
      <c r="AM279" s="136" t="s">
        <v>203</v>
      </c>
      <c r="AN279" s="1">
        <v>1.0606100000000001</v>
      </c>
      <c r="AO279" s="166">
        <v>0.89563000000000004</v>
      </c>
      <c r="AQ279" t="str">
        <f>_xlfn.XLOOKUP(tblGWP21[[#This Row],[Material Subcategory]],ls_Mat,Factors!$K$952:$K$1023)</f>
        <v>x</v>
      </c>
      <c r="AR279" s="173">
        <v>1</v>
      </c>
      <c r="AS279">
        <v>8.1306407300000008E-2</v>
      </c>
      <c r="AT279" t="s">
        <v>531</v>
      </c>
      <c r="AU279" t="s">
        <v>526</v>
      </c>
      <c r="AV279" s="347">
        <v>0.95</v>
      </c>
      <c r="BA279" cm="1">
        <f t="array" ref="BA279:BM279">tblGWP21[#This Row]</f>
        <v>1</v>
      </c>
      <c r="BB279" t="str">
        <v>Glass</v>
      </c>
      <c r="BC279" t="str">
        <v>Glass – Brown</v>
      </c>
      <c r="BD279" t="str">
        <v>North America</v>
      </c>
      <c r="BE279" t="str">
        <v>n/a</v>
      </c>
      <c r="BF279">
        <v>-1.0606100000000001</v>
      </c>
      <c r="BG279">
        <v>-0.97753179270000001</v>
      </c>
      <c r="BH279">
        <v>-0.16852306962443819</v>
      </c>
      <c r="BI279" t="str">
        <v>DELETE</v>
      </c>
      <c r="BJ279" t="str">
        <v>DELETE</v>
      </c>
      <c r="BK279">
        <v>2.6025028908758668E-2</v>
      </c>
      <c r="BL279">
        <v>3.45544738154627E-2</v>
      </c>
      <c r="BM279">
        <v>4.8916902919368233E-2</v>
      </c>
    </row>
    <row r="280" spans="3:65">
      <c r="C280" s="136">
        <v>1</v>
      </c>
      <c r="D280" s="137" t="s">
        <v>256</v>
      </c>
      <c r="E280" s="136" t="s">
        <v>538</v>
      </c>
      <c r="F280" s="136" t="s">
        <v>549</v>
      </c>
      <c r="G280" s="136" t="s">
        <v>203</v>
      </c>
      <c r="H280" s="191">
        <v>-4.6396800000000002</v>
      </c>
      <c r="I280" s="191">
        <v>0</v>
      </c>
      <c r="J280" s="191">
        <v>0</v>
      </c>
      <c r="K280" s="191">
        <v>0</v>
      </c>
      <c r="L280" s="191">
        <v>0</v>
      </c>
      <c r="M280" s="191">
        <v>2.5860000000000005E-2</v>
      </c>
      <c r="N280" s="191">
        <v>-5.1206458307960001E-2</v>
      </c>
      <c r="O280" s="191">
        <v>-4.7255531094992066E-2</v>
      </c>
      <c r="T280" s="48">
        <v>1</v>
      </c>
      <c r="U280" s="46" t="s">
        <v>247</v>
      </c>
      <c r="V280" s="53" t="s">
        <v>263</v>
      </c>
      <c r="W280" s="53" t="s">
        <v>549</v>
      </c>
      <c r="X280" s="53" t="s">
        <v>203</v>
      </c>
      <c r="Y280" s="172">
        <f>IFERROR(-tblZwaste1422[[#This Row],[Weight (kgCO2e/kg)]],0)</f>
        <v>-1.0341199999999999</v>
      </c>
      <c r="Z280" s="172">
        <f>IF(AQ280="x",(AR280*-tblZwaste1422[[#This Row],[Weight (kgCO2e/kg)]])+AS280+($AR$10*Lookups!$J$38/1000),"DELETE")</f>
        <v>-0.95104179269999989</v>
      </c>
      <c r="AA280" s="172">
        <f t="shared" si="77"/>
        <v>-0.16852306962443819</v>
      </c>
      <c r="AB280" s="172" t="str">
        <f t="shared" si="77"/>
        <v>DELETE</v>
      </c>
      <c r="AC280" s="172" t="str">
        <f t="shared" si="77"/>
        <v>DELETE</v>
      </c>
      <c r="AD280" s="172">
        <f t="shared" si="77"/>
        <v>2.6025032629993599E-2</v>
      </c>
      <c r="AE280" s="172">
        <f t="shared" si="77"/>
        <v>3.6828169249728669E-2</v>
      </c>
      <c r="AF280" s="172">
        <f t="shared" si="77"/>
        <v>4.8916978487506597E-2</v>
      </c>
      <c r="AG280" s="150"/>
      <c r="AI280" s="137">
        <v>1</v>
      </c>
      <c r="AJ280" s="136" t="s">
        <v>247</v>
      </c>
      <c r="AK280" s="142" t="s">
        <v>263</v>
      </c>
      <c r="AL280" s="136" t="s">
        <v>549</v>
      </c>
      <c r="AM280" s="136" t="s">
        <v>203</v>
      </c>
      <c r="AN280" s="1">
        <v>1.0341199999999999</v>
      </c>
      <c r="AO280" s="166">
        <v>0.89563000000000004</v>
      </c>
      <c r="AQ280" t="str">
        <f>_xlfn.XLOOKUP(tblGWP21[[#This Row],[Material Subcategory]],ls_Mat,Factors!$K$952:$K$1023)</f>
        <v>x</v>
      </c>
      <c r="AR280" s="173">
        <v>1</v>
      </c>
      <c r="AS280">
        <v>8.1306407300000008E-2</v>
      </c>
      <c r="AT280" t="s">
        <v>531</v>
      </c>
      <c r="AU280" t="s">
        <v>526</v>
      </c>
      <c r="AV280" s="347">
        <v>0.95</v>
      </c>
      <c r="BA280" cm="1">
        <f t="array" ref="BA280:BM280">tblGWP21[#This Row]</f>
        <v>1</v>
      </c>
      <c r="BB280" t="str">
        <v>Glass</v>
      </c>
      <c r="BC280" t="str">
        <v>Glass – Green</v>
      </c>
      <c r="BD280" t="str">
        <v>North America</v>
      </c>
      <c r="BE280" t="str">
        <v>n/a</v>
      </c>
      <c r="BF280">
        <v>-1.0341199999999999</v>
      </c>
      <c r="BG280">
        <v>-0.95104179269999989</v>
      </c>
      <c r="BH280">
        <v>-0.16852306962443819</v>
      </c>
      <c r="BI280" t="str">
        <v>DELETE</v>
      </c>
      <c r="BJ280" t="str">
        <v>DELETE</v>
      </c>
      <c r="BK280">
        <v>2.6025032629993599E-2</v>
      </c>
      <c r="BL280">
        <v>3.6828169249728669E-2</v>
      </c>
      <c r="BM280">
        <v>4.8916978487506597E-2</v>
      </c>
    </row>
    <row r="281" spans="3:65">
      <c r="C281" s="362">
        <v>1</v>
      </c>
      <c r="D281" s="363" t="s">
        <v>256</v>
      </c>
      <c r="E281" s="362" t="s">
        <v>258</v>
      </c>
      <c r="F281" s="362" t="s">
        <v>549</v>
      </c>
      <c r="G281" s="362" t="s">
        <v>203</v>
      </c>
      <c r="H281" s="368">
        <v>-4.6396800000000002</v>
      </c>
      <c r="I281" s="368">
        <v>-4.5566017927000004</v>
      </c>
      <c r="J281" s="368">
        <v>-4.7897498191221057</v>
      </c>
      <c r="K281" s="368">
        <v>0</v>
      </c>
      <c r="L281" s="368">
        <v>0</v>
      </c>
      <c r="M281" s="368">
        <v>2.5860000000000005E-2</v>
      </c>
      <c r="N281" s="368">
        <v>-5.4727936910821867E-2</v>
      </c>
      <c r="O281" s="368">
        <v>-4.7255531094992108E-2</v>
      </c>
      <c r="T281" s="48">
        <v>1</v>
      </c>
      <c r="U281" s="46" t="s">
        <v>247</v>
      </c>
      <c r="V281" s="53" t="s">
        <v>539</v>
      </c>
      <c r="W281" s="53" t="s">
        <v>549</v>
      </c>
      <c r="X281" s="53" t="s">
        <v>203</v>
      </c>
      <c r="Y281" s="172">
        <f>IFERROR(-tblZwaste1422[[#This Row],[Weight (kgCO2e/kg)]],0)</f>
        <v>-1.0569599999999999</v>
      </c>
      <c r="Z281" s="172">
        <f>IF(AQ281="x",(AR281*-tblZwaste1422[[#This Row],[Weight (kgCO2e/kg)]])+AS281+($AR$10*Lookups!$J$38/1000),"DELETE")</f>
        <v>-0.97388179269999986</v>
      </c>
      <c r="AA281" s="172">
        <f t="shared" ref="AA281:AF290" si="78">IF(ISNUMBER(AVERAGE(AA673,AA729,AA785)),AVERAGE(AA673,AA729,AA785),AA673)</f>
        <v>-0.17384485077047307</v>
      </c>
      <c r="AB281" s="172" t="str">
        <f t="shared" si="78"/>
        <v>DELETE</v>
      </c>
      <c r="AC281" s="172" t="str">
        <f t="shared" si="78"/>
        <v>DELETE</v>
      </c>
      <c r="AD281" s="172">
        <f t="shared" si="78"/>
        <v>2.6025013187695133E-2</v>
      </c>
      <c r="AE281" s="172">
        <f t="shared" si="78"/>
        <v>2.4652475631922632E-2</v>
      </c>
      <c r="AF281" s="172">
        <f t="shared" si="78"/>
        <v>4.8919361277645235E-2</v>
      </c>
      <c r="AG281" s="150"/>
      <c r="AI281" s="137">
        <v>1</v>
      </c>
      <c r="AJ281" s="136" t="s">
        <v>247</v>
      </c>
      <c r="AK281" s="142" t="s">
        <v>539</v>
      </c>
      <c r="AL281" s="136" t="s">
        <v>549</v>
      </c>
      <c r="AM281" s="136" t="s">
        <v>203</v>
      </c>
      <c r="AN281" s="1">
        <v>1.0569599999999999</v>
      </c>
      <c r="AO281" s="166">
        <v>0.89563000000000004</v>
      </c>
      <c r="AQ281" t="str">
        <f>_xlfn.XLOOKUP(tblGWP21[[#This Row],[Material Subcategory]],ls_Mat,Factors!$K$952:$K$1023)</f>
        <v>x</v>
      </c>
      <c r="AR281" s="173">
        <v>1</v>
      </c>
      <c r="AS281">
        <v>8.1306407300000008E-2</v>
      </c>
      <c r="AT281" t="s">
        <v>531</v>
      </c>
      <c r="BA281" cm="1">
        <f t="array" ref="BA281:BM281">tblGWP21[#This Row]</f>
        <v>1</v>
      </c>
      <c r="BB281" t="str">
        <v>Glass</v>
      </c>
      <c r="BC281" t="str">
        <v>Glass – Clear</v>
      </c>
      <c r="BD281" t="str">
        <v>North America</v>
      </c>
      <c r="BE281" t="str">
        <v>n/a</v>
      </c>
      <c r="BF281">
        <v>-1.0569599999999999</v>
      </c>
      <c r="BG281">
        <v>-0.97388179269999986</v>
      </c>
      <c r="BH281">
        <v>-0.17384485077047307</v>
      </c>
      <c r="BI281" t="str">
        <v>DELETE</v>
      </c>
      <c r="BJ281" t="str">
        <v>DELETE</v>
      </c>
      <c r="BK281">
        <v>2.6025013187695133E-2</v>
      </c>
      <c r="BL281">
        <v>2.4652475631922632E-2</v>
      </c>
      <c r="BM281">
        <v>4.8919361277645235E-2</v>
      </c>
    </row>
    <row r="282" spans="3:65">
      <c r="C282" s="136">
        <v>1</v>
      </c>
      <c r="D282" s="137" t="s">
        <v>247</v>
      </c>
      <c r="E282" s="136" t="s">
        <v>247</v>
      </c>
      <c r="F282" s="136" t="s">
        <v>549</v>
      </c>
      <c r="G282" s="136" t="s">
        <v>203</v>
      </c>
      <c r="H282" s="191">
        <v>-1.0505633333333335</v>
      </c>
      <c r="I282" s="191">
        <v>-0.96748512603333348</v>
      </c>
      <c r="J282" s="191">
        <v>-0.3161462390486986</v>
      </c>
      <c r="K282" s="191">
        <v>0</v>
      </c>
      <c r="L282" s="191">
        <v>0</v>
      </c>
      <c r="M282" s="191">
        <v>2.6025022904209633E-2</v>
      </c>
      <c r="N282" s="191">
        <v>3.07615542694703E-2</v>
      </c>
      <c r="O282" s="191">
        <v>4.8918086524974959E-2</v>
      </c>
      <c r="T282" s="48">
        <v>1</v>
      </c>
      <c r="U282" s="46" t="s">
        <v>247</v>
      </c>
      <c r="V282" s="53" t="s">
        <v>270</v>
      </c>
      <c r="W282" s="53" t="s">
        <v>549</v>
      </c>
      <c r="X282" s="53" t="s">
        <v>203</v>
      </c>
      <c r="Y282" s="172">
        <f>IFERROR(-tblZwaste1422[[#This Row],[Weight (kgCO2e/kg)]],0)</f>
        <v>-1.0505633333333335</v>
      </c>
      <c r="Z282" s="172">
        <f>IF(AQ282="x",(AR282*-tblZwaste1422[[#This Row],[Weight (kgCO2e/kg)]])+AS282+($AR$10*Lookups!$J$38/1000),"DELETE")</f>
        <v>-0.96748512603333348</v>
      </c>
      <c r="AA282" s="172">
        <f t="shared" si="78"/>
        <v>-0.3161462390486986</v>
      </c>
      <c r="AB282" s="172" t="str">
        <f t="shared" si="78"/>
        <v>DELETE</v>
      </c>
      <c r="AC282" s="172" t="str">
        <f t="shared" si="78"/>
        <v>DELETE</v>
      </c>
      <c r="AD282" s="172">
        <f t="shared" si="78"/>
        <v>2.6025022904209633E-2</v>
      </c>
      <c r="AE282" s="172">
        <f t="shared" si="78"/>
        <v>3.07615542694703E-2</v>
      </c>
      <c r="AF282" s="172">
        <f t="shared" si="78"/>
        <v>4.8918086524974959E-2</v>
      </c>
      <c r="AG282" s="150"/>
      <c r="AI282" s="137">
        <v>1</v>
      </c>
      <c r="AJ282" s="136" t="s">
        <v>247</v>
      </c>
      <c r="AK282" s="142" t="s">
        <v>270</v>
      </c>
      <c r="AL282" s="136" t="s">
        <v>549</v>
      </c>
      <c r="AM282" s="136" t="s">
        <v>203</v>
      </c>
      <c r="AN282" s="1">
        <v>1.0505633333333335</v>
      </c>
      <c r="AO282" s="166">
        <v>0.89563000000000004</v>
      </c>
      <c r="AQ282" t="str">
        <f>_xlfn.XLOOKUP(tblGWP21[[#This Row],[Material Subcategory]],ls_Mat,Factors!$K$952:$K$1023)</f>
        <v>x</v>
      </c>
      <c r="AR282" s="173">
        <v>1</v>
      </c>
      <c r="AS282">
        <v>8.1306407300000008E-2</v>
      </c>
      <c r="AT282" t="s">
        <v>531</v>
      </c>
      <c r="AU282" t="s">
        <v>526</v>
      </c>
      <c r="AV282" s="347">
        <v>0.95</v>
      </c>
      <c r="BA282" cm="1">
        <f t="array" ref="BA282:BM282">tblGWP21[#This Row]</f>
        <v>1</v>
      </c>
      <c r="BB282" t="str">
        <v>Glass</v>
      </c>
      <c r="BC282" t="str">
        <v>Mixed Glass</v>
      </c>
      <c r="BD282" t="str">
        <v>North America</v>
      </c>
      <c r="BE282" t="str">
        <v>n/a</v>
      </c>
      <c r="BF282">
        <v>-1.0505633333333335</v>
      </c>
      <c r="BG282">
        <v>-0.96748512603333348</v>
      </c>
      <c r="BH282">
        <v>-0.3161462390486986</v>
      </c>
      <c r="BI282" t="str">
        <v>DELETE</v>
      </c>
      <c r="BJ282" t="str">
        <v>DELETE</v>
      </c>
      <c r="BK282">
        <v>2.6025022904209633E-2</v>
      </c>
      <c r="BL282">
        <v>3.07615542694703E-2</v>
      </c>
      <c r="BM282">
        <v>4.8918086524974959E-2</v>
      </c>
    </row>
    <row r="283" spans="3:65">
      <c r="C283" s="362">
        <v>1</v>
      </c>
      <c r="D283" s="363" t="s">
        <v>247</v>
      </c>
      <c r="E283" s="362" t="s">
        <v>248</v>
      </c>
      <c r="F283" s="362" t="s">
        <v>549</v>
      </c>
      <c r="G283" s="362" t="s">
        <v>203</v>
      </c>
      <c r="H283" s="368">
        <v>-1.0606100000000001</v>
      </c>
      <c r="I283" s="368">
        <v>-0.97753179270000001</v>
      </c>
      <c r="J283" s="368">
        <v>-0.16852306962443819</v>
      </c>
      <c r="K283" s="368">
        <v>0</v>
      </c>
      <c r="L283" s="368">
        <v>0</v>
      </c>
      <c r="M283" s="368">
        <v>2.6025028908758668E-2</v>
      </c>
      <c r="N283" s="368">
        <v>3.45544738154627E-2</v>
      </c>
      <c r="O283" s="368">
        <v>4.8916902919368233E-2</v>
      </c>
      <c r="T283" s="48">
        <v>1</v>
      </c>
      <c r="U283" s="46" t="s">
        <v>247</v>
      </c>
      <c r="V283" s="53" t="s">
        <v>540</v>
      </c>
      <c r="W283" s="53" t="s">
        <v>549</v>
      </c>
      <c r="X283" s="53" t="s">
        <v>203</v>
      </c>
      <c r="Y283" s="172">
        <f>IFERROR(-tblZwaste1422[[#This Row],[Weight (kgCO2e/kg)]],0)</f>
        <v>-1.0473650000000001</v>
      </c>
      <c r="Z283" s="172">
        <f>IF(AQ283="x",(AR283*-tblZwaste1422[[#This Row],[Weight (kgCO2e/kg)]])+AS283+($AR$10*Lookups!$J$38/1000),"DELETE")</f>
        <v>-0.96428679270000006</v>
      </c>
      <c r="AA283" s="172" t="str">
        <f t="shared" si="78"/>
        <v>DELETE</v>
      </c>
      <c r="AB283" s="172" t="str">
        <f t="shared" si="78"/>
        <v>DELETE</v>
      </c>
      <c r="AC283" s="172" t="str">
        <f t="shared" si="78"/>
        <v>DELETE</v>
      </c>
      <c r="AD283" s="172">
        <f t="shared" si="78"/>
        <v>2.6025006371710669E-2</v>
      </c>
      <c r="AE283" s="172">
        <f t="shared" si="78"/>
        <v>2.6925650910961468E-2</v>
      </c>
      <c r="AF283" s="172">
        <f t="shared" si="78"/>
        <v>4.8918916690556501E-2</v>
      </c>
      <c r="AG283" s="150"/>
      <c r="AI283" s="137">
        <v>1</v>
      </c>
      <c r="AJ283" s="136" t="s">
        <v>247</v>
      </c>
      <c r="AK283" s="142" t="s">
        <v>540</v>
      </c>
      <c r="AL283" s="136" t="s">
        <v>549</v>
      </c>
      <c r="AM283" s="136" t="s">
        <v>203</v>
      </c>
      <c r="AN283" s="1">
        <v>1.0473650000000001</v>
      </c>
      <c r="AO283" s="166">
        <v>0.89563000000000004</v>
      </c>
      <c r="AQ283" t="str">
        <f>_xlfn.XLOOKUP(tblGWP21[[#This Row],[Material Subcategory]],ls_Mat,Factors!$K$952:$K$1023)</f>
        <v>x</v>
      </c>
      <c r="AR283" s="173">
        <v>1</v>
      </c>
      <c r="AS283">
        <v>8.1306407300000008E-2</v>
      </c>
      <c r="AT283" t="s">
        <v>531</v>
      </c>
      <c r="AU283" t="s">
        <v>526</v>
      </c>
      <c r="AV283" s="347">
        <v>0.9</v>
      </c>
      <c r="BA283" cm="1">
        <f t="array" ref="BA283:BM283">tblGWP21[#This Row]</f>
        <v>1</v>
      </c>
      <c r="BB283" t="str">
        <v>Glass</v>
      </c>
      <c r="BC283" t="str">
        <v>Glass – Non-Recyclable</v>
      </c>
      <c r="BD283" t="str">
        <v>North America</v>
      </c>
      <c r="BE283" t="str">
        <v>n/a</v>
      </c>
      <c r="BF283">
        <v>-1.0473650000000001</v>
      </c>
      <c r="BG283">
        <v>-0.96428679270000006</v>
      </c>
      <c r="BH283" t="str">
        <v>DELETE</v>
      </c>
      <c r="BI283" t="str">
        <v>DELETE</v>
      </c>
      <c r="BJ283" t="str">
        <v>DELETE</v>
      </c>
      <c r="BK283">
        <v>2.6025006371710669E-2</v>
      </c>
      <c r="BL283">
        <v>2.6925650910961468E-2</v>
      </c>
      <c r="BM283">
        <v>4.8918916690556501E-2</v>
      </c>
    </row>
    <row r="284" spans="3:65">
      <c r="C284" s="136">
        <v>1</v>
      </c>
      <c r="D284" s="137" t="s">
        <v>247</v>
      </c>
      <c r="E284" s="136" t="s">
        <v>263</v>
      </c>
      <c r="F284" s="136" t="s">
        <v>549</v>
      </c>
      <c r="G284" s="136" t="s">
        <v>203</v>
      </c>
      <c r="H284" s="191">
        <v>-1.0341199999999999</v>
      </c>
      <c r="I284" s="191">
        <v>-0.95104179269999989</v>
      </c>
      <c r="J284" s="191">
        <v>-0.16852306962443819</v>
      </c>
      <c r="K284" s="191">
        <v>0</v>
      </c>
      <c r="L284" s="191">
        <v>0</v>
      </c>
      <c r="M284" s="191">
        <v>2.6025032629993599E-2</v>
      </c>
      <c r="N284" s="191">
        <v>3.6828169249728669E-2</v>
      </c>
      <c r="O284" s="191">
        <v>4.8916978487506597E-2</v>
      </c>
      <c r="T284" s="48">
        <v>1</v>
      </c>
      <c r="U284" s="46" t="s">
        <v>261</v>
      </c>
      <c r="V284" s="53" t="s">
        <v>260</v>
      </c>
      <c r="W284" s="53" t="s">
        <v>549</v>
      </c>
      <c r="X284" s="53" t="s">
        <v>203</v>
      </c>
      <c r="Y284" s="172">
        <f>IFERROR(-tblZwaste1422[[#This Row],[Weight (kgCO2e/kg)]],0)</f>
        <v>-4.0364225925925927</v>
      </c>
      <c r="Z284" s="172" t="str">
        <f>IF(AQ284="x",(AR284*-tblZwaste1422[[#This Row],[Weight (kgCO2e/kg)]])+AS284+($AR$10*Lookups!$J$38/1000),"DELETE")</f>
        <v>DELETE</v>
      </c>
      <c r="AA284" s="172" t="str">
        <f t="shared" si="78"/>
        <v>DELETE</v>
      </c>
      <c r="AB284" s="172">
        <f t="shared" si="78"/>
        <v>-0.50376087635348876</v>
      </c>
      <c r="AC284" s="172">
        <f t="shared" si="78"/>
        <v>-0.86555170410796034</v>
      </c>
      <c r="AD284" s="172">
        <f t="shared" si="78"/>
        <v>-0.17125109892660831</v>
      </c>
      <c r="AE284" s="172">
        <f t="shared" si="78"/>
        <v>-0.24357800980601399</v>
      </c>
      <c r="AF284" s="172">
        <f t="shared" si="78"/>
        <v>2.7529959003511434E-2</v>
      </c>
      <c r="AG284" s="150"/>
      <c r="AI284" s="137">
        <v>1</v>
      </c>
      <c r="AJ284" s="136" t="s">
        <v>529</v>
      </c>
      <c r="AK284" s="142" t="s">
        <v>260</v>
      </c>
      <c r="AL284" s="136" t="s">
        <v>549</v>
      </c>
      <c r="AM284" s="136" t="s">
        <v>203</v>
      </c>
      <c r="AN284" s="1">
        <v>4.0364225925925927</v>
      </c>
      <c r="AO284" s="166">
        <v>1.3856655555555555</v>
      </c>
      <c r="AQ284">
        <f>_xlfn.XLOOKUP(tblGWP21[[#This Row],[Material Subcategory]],ls_Mat,Factors!$K$952:$K$1023)</f>
        <v>0</v>
      </c>
      <c r="AR284" s="173"/>
      <c r="AU284" t="s">
        <v>526</v>
      </c>
      <c r="AV284" s="347">
        <v>0.9</v>
      </c>
      <c r="BA284" cm="1">
        <f t="array" ref="BA284:BM284">tblGWP21[#This Row]</f>
        <v>1</v>
      </c>
      <c r="BB284" t="str">
        <v>Food Waste</v>
      </c>
      <c r="BC284" t="str">
        <v>Mixed Organics</v>
      </c>
      <c r="BD284" t="str">
        <v>North America</v>
      </c>
      <c r="BE284" t="str">
        <v>n/a</v>
      </c>
      <c r="BF284">
        <v>-4.0364225925925927</v>
      </c>
      <c r="BG284" t="str">
        <v>DELETE</v>
      </c>
      <c r="BH284" t="str">
        <v>DELETE</v>
      </c>
      <c r="BI284">
        <v>-0.50376087635348876</v>
      </c>
      <c r="BJ284">
        <v>-0.86555170410796034</v>
      </c>
      <c r="BK284">
        <v>-0.17125109892660831</v>
      </c>
      <c r="BL284">
        <v>-0.24357800980601399</v>
      </c>
      <c r="BM284">
        <v>2.7529959003511434E-2</v>
      </c>
    </row>
    <row r="285" spans="3:65">
      <c r="C285" s="362">
        <v>1</v>
      </c>
      <c r="D285" s="363" t="s">
        <v>247</v>
      </c>
      <c r="E285" s="362" t="s">
        <v>539</v>
      </c>
      <c r="F285" s="362" t="s">
        <v>549</v>
      </c>
      <c r="G285" s="362" t="s">
        <v>203</v>
      </c>
      <c r="H285" s="368">
        <v>-1.0569599999999999</v>
      </c>
      <c r="I285" s="368">
        <v>-0.97388179269999986</v>
      </c>
      <c r="J285" s="368">
        <v>-0.17384485077047307</v>
      </c>
      <c r="K285" s="368">
        <v>0</v>
      </c>
      <c r="L285" s="368">
        <v>0</v>
      </c>
      <c r="M285" s="368">
        <v>2.6025013187695133E-2</v>
      </c>
      <c r="N285" s="368">
        <v>2.4652475631922632E-2</v>
      </c>
      <c r="O285" s="368">
        <v>4.8919361277645235E-2</v>
      </c>
      <c r="T285" s="48">
        <v>1</v>
      </c>
      <c r="U285" s="46" t="s">
        <v>237</v>
      </c>
      <c r="V285" s="53" t="s">
        <v>237</v>
      </c>
      <c r="W285" s="53" t="s">
        <v>549</v>
      </c>
      <c r="X285" s="53" t="s">
        <v>203</v>
      </c>
      <c r="Y285" s="172">
        <f>IFERROR(-tblZwaste1422[[#This Row],[Weight (kgCO2e/kg)]],0)</f>
        <v>-2.8533815875203707</v>
      </c>
      <c r="Z285" s="172" t="e">
        <f>IF(AQ285="x",(AR285*-tblZwaste1422[[#This Row],[Weight (kgCO2e/kg)]])+AS285+($AR$10*Lookups!$J$38/1000),"DELETE")</f>
        <v>#N/A</v>
      </c>
      <c r="AA285" s="172" t="s">
        <v>567</v>
      </c>
      <c r="AB285" s="172" t="str">
        <f t="shared" si="78"/>
        <v>DELETE</v>
      </c>
      <c r="AC285" s="172" t="str">
        <f t="shared" si="78"/>
        <v>DELETE</v>
      </c>
      <c r="AD285" s="172">
        <f t="shared" si="78"/>
        <v>-0.4649356445509909</v>
      </c>
      <c r="AE285" s="172">
        <f t="shared" si="78"/>
        <v>-0.54685418993414026</v>
      </c>
      <c r="AF285" s="172">
        <f t="shared" si="78"/>
        <v>2.7968995617047198E-2</v>
      </c>
      <c r="AG285" s="150"/>
      <c r="AI285" s="137">
        <v>1</v>
      </c>
      <c r="AJ285" s="136" t="s">
        <v>237</v>
      </c>
      <c r="AK285" s="142" t="s">
        <v>237</v>
      </c>
      <c r="AL285" s="136" t="s">
        <v>549</v>
      </c>
      <c r="AM285" s="136" t="s">
        <v>203</v>
      </c>
      <c r="AN285" s="1">
        <v>2.8533815875203707</v>
      </c>
      <c r="AO285" s="166">
        <v>1.0711602172222223</v>
      </c>
      <c r="AQ285" t="e">
        <f>_xlfn.XLOOKUP(tblGWP21[[#This Row],[Material Subcategory]],ls_Mat,Factors!$K$952:$K$1023)</f>
        <v>#N/A</v>
      </c>
      <c r="AR285" s="173">
        <v>0.5</v>
      </c>
      <c r="AS285">
        <v>0</v>
      </c>
      <c r="AT285" t="s">
        <v>527</v>
      </c>
      <c r="AU285" t="s">
        <v>526</v>
      </c>
      <c r="AV285" s="347">
        <v>0.95</v>
      </c>
      <c r="BA285" cm="1">
        <f t="array" ref="BA285:BM285">tblGWP21[#This Row]</f>
        <v>1</v>
      </c>
      <c r="BB285" t="str">
        <v>Mixed/Custom</v>
      </c>
      <c r="BC285" t="str">
        <v>Mixed/Custom</v>
      </c>
      <c r="BD285" t="str">
        <v>North America</v>
      </c>
      <c r="BE285" t="str">
        <v>n/a</v>
      </c>
      <c r="BF285">
        <v>-2.8533815875203707</v>
      </c>
      <c r="BG285" t="e">
        <v>#N/A</v>
      </c>
      <c r="BH285" t="str">
        <v>DELETE</v>
      </c>
      <c r="BI285" t="str">
        <v>DELETE</v>
      </c>
      <c r="BJ285" t="str">
        <v>DELETE</v>
      </c>
      <c r="BK285">
        <v>-0.4649356445509909</v>
      </c>
      <c r="BL285">
        <v>-0.54685418993414026</v>
      </c>
      <c r="BM285">
        <v>2.7968995617047198E-2</v>
      </c>
    </row>
    <row r="286" spans="3:65">
      <c r="C286" s="136">
        <v>1</v>
      </c>
      <c r="D286" s="137" t="s">
        <v>247</v>
      </c>
      <c r="E286" s="136" t="s">
        <v>270</v>
      </c>
      <c r="F286" s="136" t="s">
        <v>549</v>
      </c>
      <c r="G286" s="136" t="s">
        <v>203</v>
      </c>
      <c r="H286" s="191">
        <v>-1.0505633333333335</v>
      </c>
      <c r="I286" s="191">
        <v>-0.96748512603333348</v>
      </c>
      <c r="J286" s="191">
        <v>-0.3161462390486986</v>
      </c>
      <c r="K286" s="191">
        <v>0</v>
      </c>
      <c r="L286" s="191">
        <v>0</v>
      </c>
      <c r="M286" s="191">
        <v>2.6025022904209633E-2</v>
      </c>
      <c r="N286" s="191">
        <v>3.07615542694703E-2</v>
      </c>
      <c r="O286" s="191">
        <v>4.8918086524974959E-2</v>
      </c>
      <c r="T286" s="48">
        <v>1</v>
      </c>
      <c r="U286" s="46" t="s">
        <v>237</v>
      </c>
      <c r="V286" s="53" t="s">
        <v>246</v>
      </c>
      <c r="W286" s="53" t="s">
        <v>549</v>
      </c>
      <c r="X286" s="53" t="s">
        <v>203</v>
      </c>
      <c r="Y286" s="172">
        <f>IFERROR(-tblZwaste1422[[#This Row],[Weight (kgCO2e/kg)]],0)</f>
        <v>-7.3412433500000009</v>
      </c>
      <c r="Z286" s="172" t="str">
        <f>IF(AQ286="x",(AR286*-tblZwaste1422[[#This Row],[Weight (kgCO2e/kg)]])+AS286+($AR$10*Lookups!$J$38/1000),"DELETE")</f>
        <v>DELETE</v>
      </c>
      <c r="AA286" s="172" t="str">
        <f t="shared" si="78"/>
        <v>DELETE</v>
      </c>
      <c r="AB286" s="172" t="str">
        <f t="shared" si="78"/>
        <v>DELETE</v>
      </c>
      <c r="AC286" s="172" t="str">
        <f t="shared" si="78"/>
        <v>DELETE</v>
      </c>
      <c r="AD286" s="172">
        <f t="shared" si="78"/>
        <v>2.6025057335892433E-2</v>
      </c>
      <c r="AE286" s="172">
        <f t="shared" si="78"/>
        <v>4.1701833148023365E-2</v>
      </c>
      <c r="AF286" s="172">
        <f t="shared" si="78"/>
        <v>4.8916569797790334E-2</v>
      </c>
      <c r="AG286" s="150"/>
      <c r="AI286" s="137">
        <v>1</v>
      </c>
      <c r="AJ286" s="136" t="s">
        <v>237</v>
      </c>
      <c r="AK286" s="142" t="s">
        <v>246</v>
      </c>
      <c r="AL286" s="136" t="s">
        <v>549</v>
      </c>
      <c r="AM286" s="136" t="s">
        <v>203</v>
      </c>
      <c r="AN286" s="1">
        <v>7.3412433500000009</v>
      </c>
      <c r="AO286" s="166">
        <v>0.66842500000000005</v>
      </c>
      <c r="AQ286">
        <f>_xlfn.XLOOKUP(tblGWP21[[#This Row],[Material Subcategory]],ls_Mat,Factors!$K$952:$K$1023)</f>
        <v>0</v>
      </c>
      <c r="AR286" s="173"/>
      <c r="AU286" t="s">
        <v>526</v>
      </c>
      <c r="AV286" s="347">
        <v>0.7</v>
      </c>
      <c r="BA286" cm="1">
        <f t="array" ref="BA286:BM286">tblGWP21[#This Row]</f>
        <v>1</v>
      </c>
      <c r="BB286" t="str">
        <v>Mixed/Custom</v>
      </c>
      <c r="BC286" t="str">
        <v>Mixed Inorganics</v>
      </c>
      <c r="BD286" t="str">
        <v>North America</v>
      </c>
      <c r="BE286" t="str">
        <v>n/a</v>
      </c>
      <c r="BF286">
        <v>-7.3412433500000009</v>
      </c>
      <c r="BG286" t="str">
        <v>DELETE</v>
      </c>
      <c r="BH286" t="str">
        <v>DELETE</v>
      </c>
      <c r="BI286" t="str">
        <v>DELETE</v>
      </c>
      <c r="BJ286" t="str">
        <v>DELETE</v>
      </c>
      <c r="BK286">
        <v>2.6025057335892433E-2</v>
      </c>
      <c r="BL286">
        <v>4.1701833148023365E-2</v>
      </c>
      <c r="BM286">
        <v>4.8916569797790334E-2</v>
      </c>
    </row>
    <row r="287" spans="3:65">
      <c r="C287" s="362">
        <v>1</v>
      </c>
      <c r="D287" s="363" t="s">
        <v>247</v>
      </c>
      <c r="E287" s="362" t="s">
        <v>540</v>
      </c>
      <c r="F287" s="362" t="s">
        <v>549</v>
      </c>
      <c r="G287" s="362" t="s">
        <v>203</v>
      </c>
      <c r="H287" s="368">
        <v>-1.0473650000000001</v>
      </c>
      <c r="I287" s="368">
        <v>-0.96428679270000006</v>
      </c>
      <c r="J287" s="368">
        <v>0</v>
      </c>
      <c r="K287" s="368">
        <v>0</v>
      </c>
      <c r="L287" s="368">
        <v>0</v>
      </c>
      <c r="M287" s="368">
        <v>2.6025006371710669E-2</v>
      </c>
      <c r="N287" s="368">
        <v>2.6925650910961468E-2</v>
      </c>
      <c r="O287" s="368">
        <v>4.8918916690556501E-2</v>
      </c>
      <c r="T287" s="48">
        <v>1</v>
      </c>
      <c r="U287" s="46" t="s">
        <v>237</v>
      </c>
      <c r="V287" s="53" t="s">
        <v>243</v>
      </c>
      <c r="W287" s="53" t="s">
        <v>549</v>
      </c>
      <c r="X287" s="53" t="s">
        <v>203</v>
      </c>
      <c r="Y287" s="172">
        <f>IFERROR(-tblZwaste1422[[#This Row],[Weight (kgCO2e/kg)]],0)</f>
        <v>-2.8533815875203707</v>
      </c>
      <c r="Z287" s="172" t="e">
        <f>IF(AQ287="x",(AR287*-tblZwaste1422[[#This Row],[Weight (kgCO2e/kg)]])+AS287+($AR$10*Lookups!$J$38/1000),"DELETE")</f>
        <v>#N/A</v>
      </c>
      <c r="AA287" s="172" t="str">
        <f t="shared" si="78"/>
        <v>DELETE</v>
      </c>
      <c r="AB287" s="172">
        <f t="shared" si="78"/>
        <v>-1.0319951020907556</v>
      </c>
      <c r="AC287" s="172">
        <f t="shared" si="78"/>
        <v>-1.5974954938767374</v>
      </c>
      <c r="AD287" s="172">
        <f t="shared" si="78"/>
        <v>-0.4649356445509909</v>
      </c>
      <c r="AE287" s="172">
        <f t="shared" si="78"/>
        <v>-0.54685418993414026</v>
      </c>
      <c r="AF287" s="172">
        <f t="shared" si="78"/>
        <v>2.7968995617047198E-2</v>
      </c>
      <c r="AG287" s="150"/>
      <c r="AI287" s="137">
        <v>1</v>
      </c>
      <c r="AJ287" s="136" t="s">
        <v>237</v>
      </c>
      <c r="AK287" s="142" t="s">
        <v>243</v>
      </c>
      <c r="AL287" s="136" t="s">
        <v>549</v>
      </c>
      <c r="AM287" s="136" t="s">
        <v>203</v>
      </c>
      <c r="AN287" s="1">
        <v>2.8533815875203707</v>
      </c>
      <c r="AO287" s="166">
        <v>1.0711602172222223</v>
      </c>
      <c r="AQ287" t="e">
        <f>_xlfn.XLOOKUP(tblGWP21[[#This Row],[Material Subcategory]],ls_Mat,Factors!$K$952:$K$1023)</f>
        <v>#N/A</v>
      </c>
      <c r="AR287" s="173"/>
      <c r="BA287" cm="1">
        <f t="array" ref="BA287:BM287">tblGWP21[#This Row]</f>
        <v>1</v>
      </c>
      <c r="BB287" t="str">
        <v>Mixed/Custom</v>
      </c>
      <c r="BC287" t="str">
        <v>Mixed MSW</v>
      </c>
      <c r="BD287" t="str">
        <v>North America</v>
      </c>
      <c r="BE287" t="str">
        <v>n/a</v>
      </c>
      <c r="BF287">
        <v>-2.8533815875203707</v>
      </c>
      <c r="BG287" t="e">
        <v>#N/A</v>
      </c>
      <c r="BH287" t="str">
        <v>DELETE</v>
      </c>
      <c r="BI287">
        <v>-1.0319951020907556</v>
      </c>
      <c r="BJ287">
        <v>-1.5974954938767374</v>
      </c>
      <c r="BK287">
        <v>-0.4649356445509909</v>
      </c>
      <c r="BL287">
        <v>-0.54685418993414026</v>
      </c>
      <c r="BM287">
        <v>2.7968995617047198E-2</v>
      </c>
    </row>
    <row r="288" spans="3:65">
      <c r="C288" s="136">
        <v>1</v>
      </c>
      <c r="D288" s="137" t="s">
        <v>261</v>
      </c>
      <c r="E288" s="136" t="s">
        <v>260</v>
      </c>
      <c r="F288" s="136" t="s">
        <v>549</v>
      </c>
      <c r="G288" s="136" t="s">
        <v>203</v>
      </c>
      <c r="H288" s="191">
        <v>-4.0364225925925927</v>
      </c>
      <c r="I288" s="191">
        <v>0</v>
      </c>
      <c r="J288" s="191">
        <v>0</v>
      </c>
      <c r="K288" s="191">
        <v>-0.50376087635348876</v>
      </c>
      <c r="L288" s="191">
        <v>-0.86555170410796034</v>
      </c>
      <c r="M288" s="191">
        <v>-0.17125109892660831</v>
      </c>
      <c r="N288" s="191">
        <v>-0.24357800980601399</v>
      </c>
      <c r="O288" s="191">
        <v>2.7529959003511434E-2</v>
      </c>
      <c r="T288" s="48">
        <v>1</v>
      </c>
      <c r="U288" s="46" t="s">
        <v>252</v>
      </c>
      <c r="V288" s="53" t="s">
        <v>333</v>
      </c>
      <c r="W288" s="53" t="s">
        <v>549</v>
      </c>
      <c r="X288" s="53" t="s">
        <v>203</v>
      </c>
      <c r="Y288" s="172">
        <f>IFERROR(-tblZwaste1422[[#This Row],[Weight (kgCO2e/kg)]],0)</f>
        <v>-2.0953266666666663</v>
      </c>
      <c r="Z288" s="172" t="str">
        <f>IF(AQ288="x",(AR288*-tblZwaste1422[[#This Row],[Weight (kgCO2e/kg)]])+AS288+($AR$10*Lookups!$J$38/1000),"DELETE")</f>
        <v>DELETE</v>
      </c>
      <c r="AA288" s="172">
        <f t="shared" si="78"/>
        <v>-4.4030402701352562</v>
      </c>
      <c r="AB288" s="172" t="str">
        <f t="shared" si="78"/>
        <v>DELETE</v>
      </c>
      <c r="AC288" s="172" t="str">
        <f t="shared" si="78"/>
        <v>DELETE</v>
      </c>
      <c r="AD288" s="172">
        <f t="shared" si="78"/>
        <v>2.6025029664629367E-2</v>
      </c>
      <c r="AE288" s="172">
        <f t="shared" si="78"/>
        <v>0.60512788547787932</v>
      </c>
      <c r="AF288" s="172">
        <f t="shared" si="78"/>
        <v>2.1870248780094035</v>
      </c>
      <c r="AG288" s="150"/>
      <c r="AI288" s="137">
        <v>1</v>
      </c>
      <c r="AJ288" s="136" t="s">
        <v>252</v>
      </c>
      <c r="AK288" s="142" t="s">
        <v>333</v>
      </c>
      <c r="AL288" s="136" t="s">
        <v>549</v>
      </c>
      <c r="AM288" s="136" t="s">
        <v>203</v>
      </c>
      <c r="AN288" s="1">
        <v>2.0953266666666663</v>
      </c>
      <c r="AO288" s="166">
        <v>1.77911</v>
      </c>
      <c r="AQ288">
        <f>_xlfn.XLOOKUP(tblGWP21[[#This Row],[Material Subcategory]],ls_Mat,Factors!$K$952:$K$1023)</f>
        <v>0</v>
      </c>
      <c r="AR288" s="173"/>
      <c r="BA288" cm="1">
        <f t="array" ref="BA288:BM288">tblGWP21[#This Row]</f>
        <v>1</v>
      </c>
      <c r="BB288" t="str">
        <v>Plastics</v>
      </c>
      <c r="BC288" t="str">
        <v>Mixed Plastics</v>
      </c>
      <c r="BD288" t="str">
        <v>North America</v>
      </c>
      <c r="BE288" t="str">
        <v>n/a</v>
      </c>
      <c r="BF288">
        <v>-2.0953266666666663</v>
      </c>
      <c r="BG288" t="str">
        <v>DELETE</v>
      </c>
      <c r="BH288">
        <v>-4.4030402701352562</v>
      </c>
      <c r="BI288" t="str">
        <v>DELETE</v>
      </c>
      <c r="BJ288" t="str">
        <v>DELETE</v>
      </c>
      <c r="BK288">
        <v>2.6025029664629367E-2</v>
      </c>
      <c r="BL288">
        <v>0.60512788547787932</v>
      </c>
      <c r="BM288">
        <v>2.1870248780094035</v>
      </c>
    </row>
    <row r="289" spans="3:65">
      <c r="C289" s="362">
        <v>1</v>
      </c>
      <c r="D289" s="363" t="s">
        <v>10157</v>
      </c>
      <c r="E289" s="362" t="s">
        <v>237</v>
      </c>
      <c r="F289" s="362" t="s">
        <v>549</v>
      </c>
      <c r="G289" s="362" t="s">
        <v>203</v>
      </c>
      <c r="H289" s="368">
        <v>-2.8533815875203707</v>
      </c>
      <c r="I289" s="368">
        <v>-1.4249189937601854</v>
      </c>
      <c r="J289" s="368">
        <v>0</v>
      </c>
      <c r="K289" s="368">
        <v>0</v>
      </c>
      <c r="L289" s="368">
        <v>0</v>
      </c>
      <c r="M289" s="368">
        <v>-0.4649356445509909</v>
      </c>
      <c r="N289" s="368">
        <v>-0.54685418993414026</v>
      </c>
      <c r="O289" s="368">
        <v>2.7968995617047198E-2</v>
      </c>
      <c r="T289" s="48">
        <v>1</v>
      </c>
      <c r="U289" s="46" t="s">
        <v>239</v>
      </c>
      <c r="V289" s="53" t="s">
        <v>542</v>
      </c>
      <c r="W289" s="53" t="s">
        <v>549</v>
      </c>
      <c r="X289" s="53" t="s">
        <v>203</v>
      </c>
      <c r="Y289" s="172">
        <f>IFERROR(-tblZwaste1422[[#This Row],[Weight (kgCO2e/kg)]],0)</f>
        <v>-2.6644477777777777</v>
      </c>
      <c r="Z289" s="172" t="str">
        <f>IF(AQ289="x",(AR289*-tblZwaste1422[[#This Row],[Weight (kgCO2e/kg)]])+AS289+($AR$10*Lookups!$J$38/1000),"DELETE")</f>
        <v>DELETE</v>
      </c>
      <c r="AA289" s="172">
        <f t="shared" si="78"/>
        <v>-0.83663902123242406</v>
      </c>
      <c r="AB289" s="172">
        <f t="shared" si="78"/>
        <v>-1.6373018863756965</v>
      </c>
      <c r="AC289" s="172">
        <f t="shared" si="78"/>
        <v>-2.3894460464658995</v>
      </c>
      <c r="AD289" s="172">
        <f t="shared" si="78"/>
        <v>-0.6467389853567006</v>
      </c>
      <c r="AE289" s="172">
        <f t="shared" si="78"/>
        <v>-0.85256236423159593</v>
      </c>
      <c r="AF289" s="172">
        <f t="shared" si="78"/>
        <v>2.7471796049995733E-2</v>
      </c>
      <c r="AG289" s="150"/>
      <c r="AI289" s="137">
        <v>1</v>
      </c>
      <c r="AJ289" s="136" t="s">
        <v>239</v>
      </c>
      <c r="AK289" s="142" t="s">
        <v>542</v>
      </c>
      <c r="AL289" s="136" t="s">
        <v>549</v>
      </c>
      <c r="AM289" s="136" t="s">
        <v>203</v>
      </c>
      <c r="AN289" s="1">
        <v>2.6644477777777777</v>
      </c>
      <c r="AO289" s="166">
        <v>0.64099666666666666</v>
      </c>
      <c r="AQ289">
        <f>_xlfn.XLOOKUP(tblGWP21[[#This Row],[Material Subcategory]],ls_Mat,Factors!$K$952:$K$1023)</f>
        <v>0</v>
      </c>
      <c r="BA289" cm="1">
        <f t="array" ref="BA289:BM289">tblGWP21[#This Row]</f>
        <v>1</v>
      </c>
      <c r="BB289" t="str">
        <v>Paper</v>
      </c>
      <c r="BC289" t="str">
        <v>Mixed Paper</v>
      </c>
      <c r="BD289" t="str">
        <v>North America</v>
      </c>
      <c r="BE289" t="str">
        <v>n/a</v>
      </c>
      <c r="BF289">
        <v>-2.6644477777777777</v>
      </c>
      <c r="BG289" t="str">
        <v>DELETE</v>
      </c>
      <c r="BH289">
        <v>-0.83663902123242406</v>
      </c>
      <c r="BI289">
        <v>-1.6373018863756965</v>
      </c>
      <c r="BJ289">
        <v>-2.3894460464658995</v>
      </c>
      <c r="BK289">
        <v>-0.6467389853567006</v>
      </c>
      <c r="BL289">
        <v>-0.85256236423159593</v>
      </c>
      <c r="BM289">
        <v>2.7471796049995733E-2</v>
      </c>
    </row>
    <row r="290" spans="3:65">
      <c r="C290" s="136">
        <v>1</v>
      </c>
      <c r="D290" s="137" t="s">
        <v>10157</v>
      </c>
      <c r="E290" s="136" t="s">
        <v>246</v>
      </c>
      <c r="F290" s="136" t="s">
        <v>549</v>
      </c>
      <c r="G290" s="136" t="s">
        <v>203</v>
      </c>
      <c r="H290" s="191">
        <v>-7.3412433500000009</v>
      </c>
      <c r="I290" s="191">
        <v>0</v>
      </c>
      <c r="J290" s="191">
        <v>0</v>
      </c>
      <c r="K290" s="191">
        <v>0</v>
      </c>
      <c r="L290" s="191">
        <v>0</v>
      </c>
      <c r="M290" s="191">
        <v>2.6025057335892433E-2</v>
      </c>
      <c r="N290" s="191">
        <v>4.1701833148023365E-2</v>
      </c>
      <c r="O290" s="191">
        <v>4.8916569797790334E-2</v>
      </c>
      <c r="T290" s="48">
        <v>1</v>
      </c>
      <c r="U290" s="46" t="s">
        <v>237</v>
      </c>
      <c r="V290" s="53" t="s">
        <v>238</v>
      </c>
      <c r="W290" s="53" t="s">
        <v>549</v>
      </c>
      <c r="X290" s="53" t="s">
        <v>203</v>
      </c>
      <c r="Y290" s="172">
        <f>IFERROR(-tblZwaste1422[[#This Row],[Weight (kgCO2e/kg)]],0)</f>
        <v>-2.7046544444444445</v>
      </c>
      <c r="Z290" s="172" t="str">
        <f>IF(AQ290="x",(AR290*-tblZwaste1422[[#This Row],[Weight (kgCO2e/kg)]])+AS290+($AR$10*Lookups!$J$38/1000),"DELETE")</f>
        <v>DELETE</v>
      </c>
      <c r="AA290" s="172" t="str">
        <f t="shared" si="78"/>
        <v>DELETE</v>
      </c>
      <c r="AB290" s="172" t="str">
        <f t="shared" si="78"/>
        <v>DELETE</v>
      </c>
      <c r="AC290" s="172" t="str">
        <f t="shared" si="78"/>
        <v>DELETE</v>
      </c>
      <c r="AD290" s="172">
        <f t="shared" si="78"/>
        <v>-0.14218660713401665</v>
      </c>
      <c r="AE290" s="172">
        <f t="shared" si="78"/>
        <v>-8.0362642473634074E-2</v>
      </c>
      <c r="AF290" s="172">
        <f t="shared" si="78"/>
        <v>0.5438677991931824</v>
      </c>
      <c r="AG290" s="150"/>
      <c r="AI290" s="137">
        <v>1</v>
      </c>
      <c r="AJ290" s="136" t="s">
        <v>237</v>
      </c>
      <c r="AK290" s="142" t="s">
        <v>238</v>
      </c>
      <c r="AL290" s="136" t="s">
        <v>549</v>
      </c>
      <c r="AM290" s="136" t="s">
        <v>203</v>
      </c>
      <c r="AN290" s="1">
        <v>2.7046544444444445</v>
      </c>
      <c r="AO290" s="166">
        <v>1.2161291666666667</v>
      </c>
      <c r="AQ290">
        <f>_xlfn.XLOOKUP(tblGWP21[[#This Row],[Material Subcategory]],ls_Mat,Factors!$K$952:$K$1023)</f>
        <v>0</v>
      </c>
      <c r="BA290" cm="1">
        <f t="array" ref="BA290:BM290">tblGWP21[#This Row]</f>
        <v>1</v>
      </c>
      <c r="BB290" t="str">
        <v>Mixed/Custom</v>
      </c>
      <c r="BC290" t="str">
        <v>Mixed Recycling</v>
      </c>
      <c r="BD290" t="str">
        <v>North America</v>
      </c>
      <c r="BE290" t="str">
        <v>n/a</v>
      </c>
      <c r="BF290">
        <v>-2.7046544444444445</v>
      </c>
      <c r="BG290" t="str">
        <v>DELETE</v>
      </c>
      <c r="BH290" t="str">
        <v>DELETE</v>
      </c>
      <c r="BI290" t="str">
        <v>DELETE</v>
      </c>
      <c r="BJ290" t="str">
        <v>DELETE</v>
      </c>
      <c r="BK290">
        <v>-0.14218660713401665</v>
      </c>
      <c r="BL290">
        <v>-8.0362642473634074E-2</v>
      </c>
      <c r="BM290">
        <v>0.5438677991931824</v>
      </c>
    </row>
    <row r="291" spans="3:65">
      <c r="C291" s="362">
        <v>1</v>
      </c>
      <c r="D291" s="363" t="s">
        <v>10157</v>
      </c>
      <c r="E291" s="362" t="s">
        <v>243</v>
      </c>
      <c r="F291" s="362" t="s">
        <v>549</v>
      </c>
      <c r="G291" s="362" t="s">
        <v>203</v>
      </c>
      <c r="H291" s="368">
        <v>-2.8533815875203707</v>
      </c>
      <c r="I291" s="368">
        <v>0</v>
      </c>
      <c r="J291" s="368">
        <v>0</v>
      </c>
      <c r="K291" s="368">
        <v>-1.0319951020907556</v>
      </c>
      <c r="L291" s="368">
        <v>-1.5974954938767374</v>
      </c>
      <c r="M291" s="368">
        <v>-0.4649356445509909</v>
      </c>
      <c r="N291" s="368">
        <v>-0.54685418993414026</v>
      </c>
      <c r="O291" s="368">
        <v>2.7968995617047198E-2</v>
      </c>
      <c r="T291" s="48">
        <v>1</v>
      </c>
      <c r="U291" s="46" t="s">
        <v>264</v>
      </c>
      <c r="V291" s="53" t="s">
        <v>264</v>
      </c>
      <c r="W291" s="53" t="s">
        <v>549</v>
      </c>
      <c r="X291" s="53" t="s">
        <v>203</v>
      </c>
      <c r="Y291" s="172">
        <f>IFERROR(-tblZwaste1422[[#This Row],[Weight (kgCO2e/kg)]],0)</f>
        <v>-1.9287117500000002</v>
      </c>
      <c r="Z291" s="172" t="e">
        <f>IF(AQ291="x",(AR291*-tblZwaste1422[[#This Row],[Weight (kgCO2e/kg)]])+AS291+($AR$10*Lookups!$J$38/1000),"DELETE")</f>
        <v>#N/A</v>
      </c>
      <c r="AA291" s="172">
        <f>AA295</f>
        <v>0.15112249999999994</v>
      </c>
      <c r="AB291" s="172" t="str">
        <f t="shared" ref="AA291:AF296" si="79">IF(ISNUMBER(AVERAGE(AB683,AB739,AB795)),AVERAGE(AB683,AB739,AB795),AB683)</f>
        <v>DELETE</v>
      </c>
      <c r="AC291" s="172" t="str">
        <f t="shared" si="79"/>
        <v>DELETE</v>
      </c>
      <c r="AD291" s="172">
        <f t="shared" si="79"/>
        <v>-0.34194305557191457</v>
      </c>
      <c r="AE291" s="172">
        <f t="shared" si="79"/>
        <v>-0.49969597696174411</v>
      </c>
      <c r="AF291" s="172">
        <f t="shared" si="79"/>
        <v>0.46017659002438727</v>
      </c>
      <c r="AG291" s="150"/>
      <c r="AI291" s="137">
        <v>1</v>
      </c>
      <c r="AJ291" s="136" t="s">
        <v>264</v>
      </c>
      <c r="AK291" s="142" t="s">
        <v>264</v>
      </c>
      <c r="AL291" s="136" t="s">
        <v>549</v>
      </c>
      <c r="AM291" s="136" t="s">
        <v>203</v>
      </c>
      <c r="AN291" s="1">
        <v>1.9287117500000002</v>
      </c>
      <c r="AO291" s="166">
        <v>0.467055</v>
      </c>
      <c r="AQ291" t="e">
        <f>_xlfn.XLOOKUP(tblGWP21[[#This Row],[Material Subcategory]],ls_Mat,Factors!$K$952:$K$1023)</f>
        <v>#N/A</v>
      </c>
      <c r="AR291" s="173">
        <v>0.65</v>
      </c>
      <c r="AS291">
        <v>0.14482945764999999</v>
      </c>
      <c r="AT291" t="s">
        <v>541</v>
      </c>
      <c r="AU291" t="s">
        <v>526</v>
      </c>
      <c r="AV291" s="347">
        <v>0.7</v>
      </c>
      <c r="BA291" cm="1">
        <f t="array" ref="BA291:BM291">tblGWP21[#This Row]</f>
        <v>1</v>
      </c>
      <c r="BB291" t="str">
        <v>Furniture/Textiles</v>
      </c>
      <c r="BC291" t="str">
        <v>Furniture/Textiles</v>
      </c>
      <c r="BD291" t="str">
        <v>North America</v>
      </c>
      <c r="BE291" t="str">
        <v>n/a</v>
      </c>
      <c r="BF291">
        <v>-1.9287117500000002</v>
      </c>
      <c r="BG291" t="e">
        <v>#N/A</v>
      </c>
      <c r="BH291">
        <v>0.15112249999999994</v>
      </c>
      <c r="BI291" t="str">
        <v>DELETE</v>
      </c>
      <c r="BJ291" t="str">
        <v>DELETE</v>
      </c>
      <c r="BK291">
        <v>-0.34194305557191457</v>
      </c>
      <c r="BL291">
        <v>-0.49969597696174411</v>
      </c>
      <c r="BM291">
        <v>0.46017659002438727</v>
      </c>
    </row>
    <row r="292" spans="3:65">
      <c r="C292" s="136">
        <v>1</v>
      </c>
      <c r="D292" s="137" t="s">
        <v>252</v>
      </c>
      <c r="E292" s="136" t="s">
        <v>333</v>
      </c>
      <c r="F292" s="136" t="s">
        <v>549</v>
      </c>
      <c r="G292" s="136" t="s">
        <v>203</v>
      </c>
      <c r="H292" s="191">
        <v>-2.0953266666666663</v>
      </c>
      <c r="I292" s="191">
        <v>0</v>
      </c>
      <c r="J292" s="191">
        <v>-4.4030402701352562</v>
      </c>
      <c r="K292" s="191">
        <v>0</v>
      </c>
      <c r="L292" s="191">
        <v>0</v>
      </c>
      <c r="M292" s="191">
        <v>2.6025029664629367E-2</v>
      </c>
      <c r="N292" s="191">
        <v>0.60512788547787932</v>
      </c>
      <c r="O292" s="191">
        <v>2.1870248780094035</v>
      </c>
      <c r="T292" s="48">
        <v>1</v>
      </c>
      <c r="U292" s="46" t="s">
        <v>264</v>
      </c>
      <c r="V292" s="53" t="s">
        <v>336</v>
      </c>
      <c r="W292" s="53" t="s">
        <v>549</v>
      </c>
      <c r="X292" s="53" t="s">
        <v>203</v>
      </c>
      <c r="Y292" s="172">
        <f>IFERROR(-tblZwaste1422[[#This Row],[Weight (kgCO2e/kg)]],0)</f>
        <v>-0.76351350000000007</v>
      </c>
      <c r="Z292" s="172">
        <f>IF(AQ292="x",(AR292*-tblZwaste1422[[#This Row],[Weight (kgCO2e/kg)]])+AS292+($AR$10*Lookups!$J$38/1000),"DELETE")</f>
        <v>-0.34968251735000005</v>
      </c>
      <c r="AA292" s="172" t="str">
        <f t="shared" si="79"/>
        <v>DELETE</v>
      </c>
      <c r="AB292" s="172">
        <f t="shared" si="79"/>
        <v>-1.6479477940849101</v>
      </c>
      <c r="AC292" s="172">
        <f t="shared" si="79"/>
        <v>-2.6253096794248267</v>
      </c>
      <c r="AD292" s="172">
        <f t="shared" si="79"/>
        <v>-0.99932734187745142</v>
      </c>
      <c r="AE292" s="172">
        <f t="shared" si="79"/>
        <v>-0.73578696118888021</v>
      </c>
      <c r="AF292" s="172">
        <f t="shared" si="79"/>
        <v>0.21105764230749458</v>
      </c>
      <c r="AG292" s="150"/>
      <c r="AI292" s="137">
        <v>1</v>
      </c>
      <c r="AJ292" s="136" t="s">
        <v>264</v>
      </c>
      <c r="AK292" s="142" t="s">
        <v>336</v>
      </c>
      <c r="AL292" s="136" t="s">
        <v>549</v>
      </c>
      <c r="AM292" s="136" t="s">
        <v>203</v>
      </c>
      <c r="AN292" s="1">
        <v>0.76351350000000007</v>
      </c>
      <c r="AO292" s="166">
        <v>0.43603999999999998</v>
      </c>
      <c r="AQ292" t="str">
        <f>_xlfn.XLOOKUP(tblGWP21[[#This Row],[Material Subcategory]],ls_Mat,Factors!$K$952:$K$1023)</f>
        <v>x</v>
      </c>
      <c r="AR292" s="173">
        <v>0.65</v>
      </c>
      <c r="AS292">
        <v>0.14482945764999999</v>
      </c>
      <c r="AT292" t="s">
        <v>541</v>
      </c>
      <c r="AU292" t="s">
        <v>526</v>
      </c>
      <c r="AV292" s="347">
        <v>0.65</v>
      </c>
      <c r="BA292" cm="1">
        <f t="array" ref="BA292:BM292">tblGWP21[#This Row]</f>
        <v>1</v>
      </c>
      <c r="BB292" t="str">
        <v>Furniture/Textiles</v>
      </c>
      <c r="BC292" t="str">
        <v>Furniture</v>
      </c>
      <c r="BD292" t="str">
        <v>North America</v>
      </c>
      <c r="BE292" t="str">
        <v>n/a</v>
      </c>
      <c r="BF292">
        <v>-0.76351350000000007</v>
      </c>
      <c r="BG292">
        <v>-0.34968251735000005</v>
      </c>
      <c r="BH292" t="str">
        <v>DELETE</v>
      </c>
      <c r="BI292">
        <v>-1.6479477940849101</v>
      </c>
      <c r="BJ292">
        <v>-2.6253096794248267</v>
      </c>
      <c r="BK292">
        <v>-0.99932734187745142</v>
      </c>
      <c r="BL292">
        <v>-0.73578696118888021</v>
      </c>
      <c r="BM292">
        <v>0.21105764230749458</v>
      </c>
    </row>
    <row r="293" spans="3:65">
      <c r="C293" s="362">
        <v>1</v>
      </c>
      <c r="D293" s="363" t="s">
        <v>239</v>
      </c>
      <c r="E293" s="362" t="s">
        <v>542</v>
      </c>
      <c r="F293" s="362" t="s">
        <v>549</v>
      </c>
      <c r="G293" s="362" t="s">
        <v>203</v>
      </c>
      <c r="H293" s="368">
        <v>-2.6644477777777777</v>
      </c>
      <c r="I293" s="368">
        <v>0</v>
      </c>
      <c r="J293" s="368">
        <v>-0.83663902123242406</v>
      </c>
      <c r="K293" s="368">
        <v>-1.6373018863756965</v>
      </c>
      <c r="L293" s="368">
        <v>-2.3894460464658995</v>
      </c>
      <c r="M293" s="368">
        <v>-0.6467389853567006</v>
      </c>
      <c r="N293" s="368">
        <v>-0.85256236423159593</v>
      </c>
      <c r="O293" s="368">
        <v>2.7471796049995733E-2</v>
      </c>
      <c r="T293" s="48">
        <v>1</v>
      </c>
      <c r="U293" s="46" t="s">
        <v>242</v>
      </c>
      <c r="V293" s="53" t="s">
        <v>251</v>
      </c>
      <c r="W293" s="53" t="s">
        <v>549</v>
      </c>
      <c r="X293" s="53" t="s">
        <v>203</v>
      </c>
      <c r="Y293" s="172">
        <f>IFERROR(-tblZwaste1422[[#This Row],[Weight (kgCO2e/kg)]],0)</f>
        <v>-4.9218200000000003</v>
      </c>
      <c r="Z293" s="172">
        <f>IF(AQ293="x",(AR293*-tblZwaste1422[[#This Row],[Weight (kgCO2e/kg)]])+AS293+($AR$10*Lookups!$J$38/1000),"DELETE")</f>
        <v>-3.5665477000000001</v>
      </c>
      <c r="AA293" s="172">
        <v>-1.2190350000000001</v>
      </c>
      <c r="AB293" s="172" t="str">
        <f t="shared" si="79"/>
        <v>DELETE</v>
      </c>
      <c r="AC293" s="172" t="str">
        <f t="shared" si="79"/>
        <v>DELETE</v>
      </c>
      <c r="AD293" s="172">
        <f t="shared" si="79"/>
        <v>2.5959013566569784E-2</v>
      </c>
      <c r="AE293" s="172">
        <f t="shared" si="79"/>
        <v>0.20848046265664033</v>
      </c>
      <c r="AF293" s="172">
        <f t="shared" si="79"/>
        <v>0.84941583963866141</v>
      </c>
      <c r="AG293" s="150"/>
      <c r="AI293" s="137">
        <v>1</v>
      </c>
      <c r="AJ293" s="136" t="s">
        <v>242</v>
      </c>
      <c r="AK293" s="142" t="s">
        <v>251</v>
      </c>
      <c r="AL293" s="136" t="s">
        <v>549</v>
      </c>
      <c r="AM293" s="136" t="s">
        <v>203</v>
      </c>
      <c r="AN293" s="1">
        <v>4.9218200000000003</v>
      </c>
      <c r="AO293" s="166">
        <v>0.15096000000000001</v>
      </c>
      <c r="AQ293" t="str">
        <f>_xlfn.XLOOKUP(tblGWP21[[#This Row],[Material Subcategory]],ls_Mat,Factors!$K$952:$K$1023)</f>
        <v>x</v>
      </c>
      <c r="AR293" s="173">
        <v>0.72499999999999998</v>
      </c>
      <c r="AS293">
        <v>0</v>
      </c>
      <c r="AT293" t="s">
        <v>527</v>
      </c>
      <c r="BA293" cm="1">
        <f t="array" ref="BA293:BM293">tblGWP21[#This Row]</f>
        <v>1</v>
      </c>
      <c r="BB293" t="str">
        <v>Electronics</v>
      </c>
      <c r="BC293" t="str">
        <v>Appliances</v>
      </c>
      <c r="BD293" t="str">
        <v>North America</v>
      </c>
      <c r="BE293" t="str">
        <v>n/a</v>
      </c>
      <c r="BF293">
        <v>-4.9218200000000003</v>
      </c>
      <c r="BG293">
        <v>-3.5665477000000001</v>
      </c>
      <c r="BH293">
        <v>-1.2190350000000001</v>
      </c>
      <c r="BI293" t="str">
        <v>DELETE</v>
      </c>
      <c r="BJ293" t="str">
        <v>DELETE</v>
      </c>
      <c r="BK293">
        <v>2.5959013566569784E-2</v>
      </c>
      <c r="BL293">
        <v>0.20848046265664033</v>
      </c>
      <c r="BM293">
        <v>0.84941583963866141</v>
      </c>
    </row>
    <row r="294" spans="3:65">
      <c r="C294" s="136">
        <v>1</v>
      </c>
      <c r="D294" s="137" t="s">
        <v>10157</v>
      </c>
      <c r="E294" s="136" t="s">
        <v>238</v>
      </c>
      <c r="F294" s="136" t="s">
        <v>549</v>
      </c>
      <c r="G294" s="136" t="s">
        <v>203</v>
      </c>
      <c r="H294" s="191">
        <v>-2.7046544444444445</v>
      </c>
      <c r="I294" s="191">
        <v>0</v>
      </c>
      <c r="J294" s="191">
        <v>0</v>
      </c>
      <c r="K294" s="191">
        <v>0</v>
      </c>
      <c r="L294" s="191">
        <v>0</v>
      </c>
      <c r="M294" s="191">
        <v>-0.14218660713401665</v>
      </c>
      <c r="N294" s="191">
        <v>-8.0362642473634074E-2</v>
      </c>
      <c r="O294" s="191">
        <v>0.5438677991931824</v>
      </c>
      <c r="T294" s="48">
        <v>1</v>
      </c>
      <c r="U294" s="46" t="s">
        <v>242</v>
      </c>
      <c r="V294" s="53" t="s">
        <v>543</v>
      </c>
      <c r="W294" s="53" t="s">
        <v>549</v>
      </c>
      <c r="X294" s="53" t="s">
        <v>203</v>
      </c>
      <c r="Y294" s="172">
        <f>IFERROR(-tblZwaste1422[[#This Row],[Weight (kgCO2e/kg)]],0)</f>
        <v>-1.00081</v>
      </c>
      <c r="Z294" s="172">
        <f>IF(AQ294="x",(AR294*-tblZwaste1422[[#This Row],[Weight (kgCO2e/kg)]])+AS294+($AR$10*Lookups!$J$38/1000),"DELETE")</f>
        <v>-0.72381545000000003</v>
      </c>
      <c r="AA294" s="172">
        <v>-0.20626249999999999</v>
      </c>
      <c r="AB294" s="172" t="str">
        <f t="shared" si="79"/>
        <v>DELETE</v>
      </c>
      <c r="AC294" s="172" t="str">
        <f t="shared" si="79"/>
        <v>DELETE</v>
      </c>
      <c r="AD294" s="172">
        <f t="shared" si="79"/>
        <v>2.5860000000000005E-2</v>
      </c>
      <c r="AE294" s="172">
        <f t="shared" si="79"/>
        <v>4.1701833148022838E-2</v>
      </c>
      <c r="AF294" s="172">
        <f t="shared" si="79"/>
        <v>4.8916569797789571E-2</v>
      </c>
      <c r="AG294" s="150"/>
      <c r="AI294" s="137">
        <v>1</v>
      </c>
      <c r="AJ294" s="136" t="s">
        <v>242</v>
      </c>
      <c r="AK294" s="142" t="s">
        <v>543</v>
      </c>
      <c r="AL294" s="136" t="s">
        <v>549</v>
      </c>
      <c r="AM294" s="136" t="s">
        <v>203</v>
      </c>
      <c r="AN294" s="1">
        <v>1.00081</v>
      </c>
      <c r="AO294" s="166">
        <v>0.33138000000000001</v>
      </c>
      <c r="AQ294" t="str">
        <f>_xlfn.XLOOKUP(tblGWP21[[#This Row],[Material Subcategory]],ls_Mat,Factors!$K$952:$K$1023)</f>
        <v>x</v>
      </c>
      <c r="AR294" s="173">
        <v>0.72499999999999998</v>
      </c>
      <c r="AS294">
        <v>0</v>
      </c>
      <c r="AT294" t="s">
        <v>527</v>
      </c>
      <c r="BA294" cm="1">
        <f t="array" ref="BA294:BM294">tblGWP21[#This Row]</f>
        <v>1</v>
      </c>
      <c r="BB294" t="str">
        <v>Electronics</v>
      </c>
      <c r="BC294" t="str">
        <v>Lightbulb/Lamps</v>
      </c>
      <c r="BD294" t="str">
        <v>North America</v>
      </c>
      <c r="BE294" t="str">
        <v>n/a</v>
      </c>
      <c r="BF294">
        <v>-1.00081</v>
      </c>
      <c r="BG294">
        <v>-0.72381545000000003</v>
      </c>
      <c r="BH294">
        <v>-0.20626249999999999</v>
      </c>
      <c r="BI294" t="str">
        <v>DELETE</v>
      </c>
      <c r="BJ294" t="str">
        <v>DELETE</v>
      </c>
      <c r="BK294">
        <v>2.5860000000000005E-2</v>
      </c>
      <c r="BL294">
        <v>4.1701833148022838E-2</v>
      </c>
      <c r="BM294">
        <v>4.8916569797789571E-2</v>
      </c>
    </row>
    <row r="295" spans="3:65">
      <c r="C295" s="362">
        <v>1</v>
      </c>
      <c r="D295" s="363" t="s">
        <v>264</v>
      </c>
      <c r="E295" s="362" t="s">
        <v>264</v>
      </c>
      <c r="F295" s="362" t="s">
        <v>549</v>
      </c>
      <c r="G295" s="362" t="s">
        <v>203</v>
      </c>
      <c r="H295" s="368">
        <v>-1.9287117500000002</v>
      </c>
      <c r="I295" s="368">
        <v>-1.1070613798500002</v>
      </c>
      <c r="J295" s="368">
        <v>0.15112249999999994</v>
      </c>
      <c r="K295" s="368">
        <v>0</v>
      </c>
      <c r="L295" s="368">
        <v>0</v>
      </c>
      <c r="M295" s="368">
        <v>-0.34194305557191457</v>
      </c>
      <c r="N295" s="368">
        <v>-0.49969597696174411</v>
      </c>
      <c r="O295" s="368">
        <v>0.46017659002438727</v>
      </c>
      <c r="T295" s="48">
        <v>1</v>
      </c>
      <c r="U295" s="46" t="s">
        <v>264</v>
      </c>
      <c r="V295" s="53" t="s">
        <v>544</v>
      </c>
      <c r="W295" s="53" t="s">
        <v>549</v>
      </c>
      <c r="X295" s="53" t="s">
        <v>203</v>
      </c>
      <c r="Y295" s="172">
        <f>IFERROR(-tblZwaste1422[[#This Row],[Weight (kgCO2e/kg)]],0)</f>
        <v>-3.0939100000000002</v>
      </c>
      <c r="Z295" s="172">
        <f>IF(AQ295="x",(AR295*-tblZwaste1422[[#This Row],[Weight (kgCO2e/kg)]])+AS295+($AR$10*Lookups!$J$38/1000),"DELETE")</f>
        <v>-1.8644402423500002</v>
      </c>
      <c r="AA295" s="172">
        <f t="shared" si="79"/>
        <v>0.15112249999999994</v>
      </c>
      <c r="AB295" s="172" t="str">
        <f t="shared" si="79"/>
        <v>DELETE</v>
      </c>
      <c r="AC295" s="172" t="str">
        <f t="shared" si="79"/>
        <v>DELETE</v>
      </c>
      <c r="AD295" s="172">
        <f t="shared" si="79"/>
        <v>0.31544123073362235</v>
      </c>
      <c r="AE295" s="172">
        <f t="shared" si="79"/>
        <v>-0.26360499273460797</v>
      </c>
      <c r="AF295" s="172">
        <f t="shared" si="79"/>
        <v>0.70929553774127996</v>
      </c>
      <c r="AG295" s="150"/>
      <c r="AI295" s="137">
        <v>1</v>
      </c>
      <c r="AJ295" s="136" t="s">
        <v>264</v>
      </c>
      <c r="AK295" s="142" t="s">
        <v>544</v>
      </c>
      <c r="AL295" s="136" t="s">
        <v>549</v>
      </c>
      <c r="AM295" s="136" t="s">
        <v>203</v>
      </c>
      <c r="AN295" s="1">
        <v>3.0939100000000002</v>
      </c>
      <c r="AO295" s="166">
        <v>0.49807000000000001</v>
      </c>
      <c r="AQ295" t="str">
        <f>_xlfn.XLOOKUP(tblGWP21[[#This Row],[Material Subcategory]],ls_Mat,Factors!$K$952:$K$1023)</f>
        <v>x</v>
      </c>
      <c r="AR295" s="173">
        <v>0.65</v>
      </c>
      <c r="AS295">
        <v>0.14482945764999999</v>
      </c>
      <c r="AT295" t="s">
        <v>541</v>
      </c>
      <c r="BA295" cm="1">
        <f t="array" ref="BA295:BM295">tblGWP21[#This Row]</f>
        <v>1</v>
      </c>
      <c r="BB295" t="str">
        <v>Furniture/Textiles</v>
      </c>
      <c r="BC295" t="str">
        <v>Textiles</v>
      </c>
      <c r="BD295" t="str">
        <v>North America</v>
      </c>
      <c r="BE295" t="str">
        <v>n/a</v>
      </c>
      <c r="BF295">
        <v>-3.0939100000000002</v>
      </c>
      <c r="BG295">
        <v>-1.8644402423500002</v>
      </c>
      <c r="BH295">
        <v>0.15112249999999994</v>
      </c>
      <c r="BI295" t="str">
        <v>DELETE</v>
      </c>
      <c r="BJ295" t="str">
        <v>DELETE</v>
      </c>
      <c r="BK295">
        <v>0.31544123073362235</v>
      </c>
      <c r="BL295">
        <v>-0.26360499273460797</v>
      </c>
      <c r="BM295">
        <v>0.70929553774127996</v>
      </c>
    </row>
    <row r="296" spans="3:65">
      <c r="C296" s="136">
        <v>1</v>
      </c>
      <c r="D296" s="137" t="s">
        <v>264</v>
      </c>
      <c r="E296" s="136" t="s">
        <v>336</v>
      </c>
      <c r="F296" s="136" t="s">
        <v>549</v>
      </c>
      <c r="G296" s="136" t="s">
        <v>203</v>
      </c>
      <c r="H296" s="191">
        <v>-0.76351350000000007</v>
      </c>
      <c r="I296" s="191">
        <v>-0.34968251735000005</v>
      </c>
      <c r="J296" s="191">
        <v>0</v>
      </c>
      <c r="K296" s="191">
        <v>-1.6479477940849101</v>
      </c>
      <c r="L296" s="191">
        <v>-2.6253096794248267</v>
      </c>
      <c r="M296" s="191">
        <v>-0.99932734187745142</v>
      </c>
      <c r="N296" s="191">
        <v>-0.73578696118888021</v>
      </c>
      <c r="O296" s="191">
        <v>0.21105764230749458</v>
      </c>
      <c r="T296" s="48">
        <v>1</v>
      </c>
      <c r="U296" s="46" t="s">
        <v>237</v>
      </c>
      <c r="V296" s="53" t="s">
        <v>545</v>
      </c>
      <c r="W296" s="53" t="s">
        <v>549</v>
      </c>
      <c r="X296" s="53" t="s">
        <v>203</v>
      </c>
      <c r="Y296" s="172">
        <f>IFERROR(-tblZwaste1422[[#This Row],[Weight (kgCO2e/kg)]],0)</f>
        <v>-2.8533815875203707</v>
      </c>
      <c r="Z296" s="172" t="str">
        <f>IF(AQ296="x",(AR296*-tblZwaste1422[[#This Row],[Weight (kgCO2e/kg)]])+AS296+($AR$10*Lookups!$J$38/1000),"DELETE")</f>
        <v>DELETE</v>
      </c>
      <c r="AA296" s="172" t="str">
        <f t="shared" si="79"/>
        <v>DELETE</v>
      </c>
      <c r="AB296" s="172" t="str">
        <f t="shared" si="79"/>
        <v>DELETE</v>
      </c>
      <c r="AC296" s="172" t="str">
        <f t="shared" si="79"/>
        <v>DELETE</v>
      </c>
      <c r="AD296" s="172">
        <f t="shared" si="79"/>
        <v>-0.4649356445509909</v>
      </c>
      <c r="AE296" s="172">
        <f t="shared" si="79"/>
        <v>-0.54685418993414026</v>
      </c>
      <c r="AF296" s="172">
        <f t="shared" si="79"/>
        <v>2.7968995617047198E-2</v>
      </c>
      <c r="AG296" s="150"/>
      <c r="AI296" s="137">
        <v>1</v>
      </c>
      <c r="AJ296" s="136" t="s">
        <v>237</v>
      </c>
      <c r="AK296" s="142" t="s">
        <v>545</v>
      </c>
      <c r="AL296" s="136" t="s">
        <v>549</v>
      </c>
      <c r="AM296" s="136" t="s">
        <v>203</v>
      </c>
      <c r="AN296" s="1">
        <v>2.8533815875203707</v>
      </c>
      <c r="AO296" s="166">
        <v>1.0711602172222223</v>
      </c>
      <c r="AQ296">
        <f>_xlfn.XLOOKUP(tblGWP21[[#This Row],[Material Subcategory]],ls_Mat,Factors!$K$952:$K$1023)</f>
        <v>0</v>
      </c>
      <c r="BA296" cm="1">
        <f t="array" ref="BA296:BM296">tblGWP21[#This Row]</f>
        <v>1</v>
      </c>
      <c r="BB296" t="str">
        <v>Mixed/Custom</v>
      </c>
      <c r="BC296" t="str">
        <v>General other</v>
      </c>
      <c r="BD296" t="str">
        <v>North America</v>
      </c>
      <c r="BE296" t="str">
        <v>n/a</v>
      </c>
      <c r="BF296">
        <v>-2.8533815875203707</v>
      </c>
      <c r="BG296" t="str">
        <v>DELETE</v>
      </c>
      <c r="BH296" t="str">
        <v>DELETE</v>
      </c>
      <c r="BI296" t="str">
        <v>DELETE</v>
      </c>
      <c r="BJ296" t="str">
        <v>DELETE</v>
      </c>
      <c r="BK296">
        <v>-0.4649356445509909</v>
      </c>
      <c r="BL296">
        <v>-0.54685418993414026</v>
      </c>
      <c r="BM296">
        <v>2.7968995617047198E-2</v>
      </c>
    </row>
    <row r="297" spans="3:65">
      <c r="C297" s="362">
        <v>1</v>
      </c>
      <c r="D297" s="363" t="s">
        <v>242</v>
      </c>
      <c r="E297" s="362" t="s">
        <v>251</v>
      </c>
      <c r="F297" s="362" t="s">
        <v>549</v>
      </c>
      <c r="G297" s="362" t="s">
        <v>203</v>
      </c>
      <c r="H297" s="368">
        <v>-4.9218200000000003</v>
      </c>
      <c r="I297" s="368">
        <v>-3.5665477000000001</v>
      </c>
      <c r="J297" s="368">
        <v>-1.2190350000000001</v>
      </c>
      <c r="K297" s="368">
        <v>0</v>
      </c>
      <c r="L297" s="368">
        <v>0</v>
      </c>
      <c r="M297" s="368">
        <v>2.5959013566569784E-2</v>
      </c>
      <c r="N297" s="368">
        <v>0.20848046265664033</v>
      </c>
      <c r="O297" s="368">
        <v>0.84941583963866141</v>
      </c>
      <c r="T297" s="48">
        <v>2</v>
      </c>
      <c r="U297" s="46" t="s">
        <v>233</v>
      </c>
      <c r="V297" s="53" t="s">
        <v>233</v>
      </c>
      <c r="W297" s="53" t="s">
        <v>550</v>
      </c>
      <c r="X297" s="53" t="s">
        <v>203</v>
      </c>
      <c r="Y297" s="172">
        <f>IFERROR(-tblZwaste1422[[#This Row],[Weight (kgCO2e/kg)]],0)</f>
        <v>0</v>
      </c>
      <c r="Z297" s="172">
        <f>AVERAGE(Z301:Z303)</f>
        <v>-0.13905086666666666</v>
      </c>
      <c r="AA297" s="172" t="str">
        <f t="shared" ref="AA297:AF306" si="80">AA801</f>
        <v>DELETE</v>
      </c>
      <c r="AB297" s="172">
        <f t="shared" si="80"/>
        <v>-1.4467129262285372</v>
      </c>
      <c r="AC297" s="172">
        <f t="shared" si="80"/>
        <v>-2.0473741651862505</v>
      </c>
      <c r="AD297" s="172">
        <f t="shared" si="80"/>
        <v>-1.0116897927652853</v>
      </c>
      <c r="AE297" s="172">
        <f t="shared" si="80"/>
        <v>-0.849519845769099</v>
      </c>
      <c r="AF297" s="172">
        <f t="shared" si="80"/>
        <v>3.3140542243510901E-2</v>
      </c>
      <c r="AG297" s="150"/>
      <c r="AI297" s="137">
        <v>2</v>
      </c>
      <c r="AJ297" s="136"/>
      <c r="AK297" s="142"/>
      <c r="AL297" s="136" t="s">
        <v>550</v>
      </c>
      <c r="AM297" s="136" t="s">
        <v>203</v>
      </c>
      <c r="AN297" s="1" t="s">
        <v>525</v>
      </c>
      <c r="AO297" s="166" t="s">
        <v>525</v>
      </c>
      <c r="AQ297" t="e">
        <f>_xlfn.XLOOKUP(tblGWP21[[#This Row],[Material Subcategory]],ls_Mat,Factors!$K$952:$K$1023)</f>
        <v>#N/A</v>
      </c>
      <c r="AR297" s="173">
        <v>0.77500000000000002</v>
      </c>
      <c r="AS297">
        <v>0</v>
      </c>
      <c r="AT297" t="s">
        <v>527</v>
      </c>
      <c r="AU297" t="s">
        <v>526</v>
      </c>
      <c r="AV297" s="347">
        <v>0.5</v>
      </c>
      <c r="BA297" cm="1">
        <f t="array" ref="BA297:BM297">tblGWP21[#This Row]</f>
        <v>2</v>
      </c>
      <c r="BB297" t="str">
        <v>Wood/Yard Trimmings</v>
      </c>
      <c r="BC297" t="str">
        <v>Wood/Yard Trimmings</v>
      </c>
      <c r="BD297" t="str">
        <v>Oceania</v>
      </c>
      <c r="BE297" t="str">
        <v>n/a</v>
      </c>
      <c r="BF297">
        <v>0</v>
      </c>
      <c r="BG297">
        <v>-0.13905086666666666</v>
      </c>
      <c r="BH297" t="str">
        <v>DELETE</v>
      </c>
      <c r="BI297">
        <v>-1.4467129262285372</v>
      </c>
      <c r="BJ297">
        <v>-2.0473741651862505</v>
      </c>
      <c r="BK297">
        <v>-1.0116897927652853</v>
      </c>
      <c r="BL297">
        <v>-0.849519845769099</v>
      </c>
      <c r="BM297">
        <v>3.3140542243510901E-2</v>
      </c>
    </row>
    <row r="298" spans="3:65" ht="28.8">
      <c r="C298" s="136">
        <v>1</v>
      </c>
      <c r="D298" s="137" t="s">
        <v>242</v>
      </c>
      <c r="E298" s="136" t="s">
        <v>543</v>
      </c>
      <c r="F298" s="136" t="s">
        <v>549</v>
      </c>
      <c r="G298" s="136" t="s">
        <v>203</v>
      </c>
      <c r="H298" s="191">
        <v>-1.00081</v>
      </c>
      <c r="I298" s="191">
        <v>-0.72381545000000003</v>
      </c>
      <c r="J298" s="191">
        <v>-0.20626249999999999</v>
      </c>
      <c r="K298" s="191">
        <v>0</v>
      </c>
      <c r="L298" s="191">
        <v>0</v>
      </c>
      <c r="M298" s="191">
        <v>2.5860000000000005E-2</v>
      </c>
      <c r="N298" s="191">
        <v>4.1701833148022838E-2</v>
      </c>
      <c r="O298" s="191">
        <v>4.8916569797789571E-2</v>
      </c>
      <c r="T298" s="48">
        <v>2</v>
      </c>
      <c r="U298" s="46" t="s">
        <v>233</v>
      </c>
      <c r="V298" s="53" t="s">
        <v>250</v>
      </c>
      <c r="W298" s="53" t="s">
        <v>550</v>
      </c>
      <c r="X298" s="53" t="s">
        <v>203</v>
      </c>
      <c r="Y298" s="172">
        <f>IFERROR(-tblZwaste1422[[#This Row],[Weight (kgCO2e/kg)]],0)</f>
        <v>0</v>
      </c>
      <c r="Z298" s="172" t="str">
        <f>IF(AQ298="x",(AR298*-tblZwaste1422[[#This Row],[Weight (kgCO2e/kg)]])+AS298+($AR$10*Lookups!$J$38/1000),"DELETE")</f>
        <v>DELETE</v>
      </c>
      <c r="AA298" s="172" t="str">
        <f t="shared" si="80"/>
        <v>DELETE</v>
      </c>
      <c r="AB298" s="172">
        <f t="shared" si="80"/>
        <v>-1.7445491769864401</v>
      </c>
      <c r="AC298" s="172">
        <f t="shared" si="80"/>
        <v>-2.1472669608911699</v>
      </c>
      <c r="AD298" s="172">
        <f t="shared" si="80"/>
        <v>-1.04199171049873</v>
      </c>
      <c r="AE298" s="172">
        <f t="shared" si="80"/>
        <v>-0.91032867384352301</v>
      </c>
      <c r="AF298" s="172">
        <f t="shared" si="80"/>
        <v>2.84317585042979E-2</v>
      </c>
      <c r="AG298" s="150"/>
      <c r="AI298" s="137">
        <v>2</v>
      </c>
      <c r="AJ298" s="136"/>
      <c r="AK298" s="142"/>
      <c r="AL298" s="136" t="s">
        <v>550</v>
      </c>
      <c r="AM298" s="136" t="s">
        <v>203</v>
      </c>
      <c r="AN298" s="1" t="s">
        <v>525</v>
      </c>
      <c r="AO298" s="166" t="s">
        <v>525</v>
      </c>
      <c r="AQ298">
        <f>_xlfn.XLOOKUP(tblGWP21[[#This Row],[Material Subcategory]],ls_Mat,Factors!$K$952:$K$1023)</f>
        <v>0</v>
      </c>
      <c r="BA298" cm="1">
        <f t="array" ref="BA298:BM298">tblGWP21[#This Row]</f>
        <v>2</v>
      </c>
      <c r="BB298" t="str">
        <v>Wood/Yard Trimmings</v>
      </c>
      <c r="BC298" t="str">
        <v>Yard Trimmings – Leaves</v>
      </c>
      <c r="BD298" t="str">
        <v>Oceania</v>
      </c>
      <c r="BE298" t="str">
        <v>n/a</v>
      </c>
      <c r="BF298">
        <v>0</v>
      </c>
      <c r="BG298" t="str">
        <v>DELETE</v>
      </c>
      <c r="BH298" t="str">
        <v>DELETE</v>
      </c>
      <c r="BI298">
        <v>-1.7445491769864401</v>
      </c>
      <c r="BJ298">
        <v>-2.1472669608911699</v>
      </c>
      <c r="BK298">
        <v>-1.04199171049873</v>
      </c>
      <c r="BL298">
        <v>-0.91032867384352301</v>
      </c>
      <c r="BM298">
        <v>2.84317585042979E-2</v>
      </c>
    </row>
    <row r="299" spans="3:65" ht="28.8">
      <c r="C299" s="362">
        <v>1</v>
      </c>
      <c r="D299" s="363" t="s">
        <v>264</v>
      </c>
      <c r="E299" s="362" t="s">
        <v>544</v>
      </c>
      <c r="F299" s="362" t="s">
        <v>549</v>
      </c>
      <c r="G299" s="362" t="s">
        <v>203</v>
      </c>
      <c r="H299" s="368">
        <v>-3.0939100000000002</v>
      </c>
      <c r="I299" s="368">
        <v>-1.8644402423500002</v>
      </c>
      <c r="J299" s="368">
        <v>0.15112249999999994</v>
      </c>
      <c r="K299" s="368">
        <v>0</v>
      </c>
      <c r="L299" s="368">
        <v>0</v>
      </c>
      <c r="M299" s="368">
        <v>0.31544123073362235</v>
      </c>
      <c r="N299" s="368">
        <v>-0.26360499273460797</v>
      </c>
      <c r="O299" s="368">
        <v>0.70929553774127996</v>
      </c>
      <c r="T299" s="48">
        <v>2</v>
      </c>
      <c r="U299" s="46" t="s">
        <v>233</v>
      </c>
      <c r="V299" s="53" t="s">
        <v>249</v>
      </c>
      <c r="W299" s="53" t="s">
        <v>550</v>
      </c>
      <c r="X299" s="53" t="s">
        <v>203</v>
      </c>
      <c r="Y299" s="172">
        <f>IFERROR(-tblZwaste1422[[#This Row],[Weight (kgCO2e/kg)]],0)</f>
        <v>0</v>
      </c>
      <c r="Z299" s="172" t="str">
        <f>IF(AQ299="x",(AR299*-tblZwaste1422[[#This Row],[Weight (kgCO2e/kg)]])+AS299+($AR$10*Lookups!$J$38/1000),"DELETE")</f>
        <v>DELETE</v>
      </c>
      <c r="AA299" s="172" t="str">
        <f t="shared" si="80"/>
        <v>DELETE</v>
      </c>
      <c r="AB299" s="172">
        <f t="shared" si="80"/>
        <v>-0.54338445241578603</v>
      </c>
      <c r="AC299" s="172">
        <f t="shared" si="80"/>
        <v>-0.74020312188889104</v>
      </c>
      <c r="AD299" s="172">
        <f t="shared" si="80"/>
        <v>1.8604858580971498E-2</v>
      </c>
      <c r="AE299" s="172">
        <f t="shared" si="80"/>
        <v>-0.19226620329942801</v>
      </c>
      <c r="AF299" s="172">
        <f t="shared" si="80"/>
        <v>2.5753037248270098E-2</v>
      </c>
      <c r="AG299" s="150"/>
      <c r="AI299" s="137">
        <v>2</v>
      </c>
      <c r="AJ299" s="136"/>
      <c r="AK299" s="142"/>
      <c r="AL299" s="136" t="s">
        <v>550</v>
      </c>
      <c r="AM299" s="136" t="s">
        <v>203</v>
      </c>
      <c r="AN299" s="1" t="s">
        <v>525</v>
      </c>
      <c r="AO299" s="166" t="s">
        <v>525</v>
      </c>
      <c r="AQ299">
        <f>_xlfn.XLOOKUP(tblGWP21[[#This Row],[Material Subcategory]],ls_Mat,Factors!$K$952:$K$1023)</f>
        <v>0</v>
      </c>
      <c r="BA299" cm="1">
        <f t="array" ref="BA299:BM299">tblGWP21[#This Row]</f>
        <v>2</v>
      </c>
      <c r="BB299" t="str">
        <v>Wood/Yard Trimmings</v>
      </c>
      <c r="BC299" t="str">
        <v>Yard Trimmings – Grass</v>
      </c>
      <c r="BD299" t="str">
        <v>Oceania</v>
      </c>
      <c r="BE299" t="str">
        <v>n/a</v>
      </c>
      <c r="BF299">
        <v>0</v>
      </c>
      <c r="BG299" t="str">
        <v>DELETE</v>
      </c>
      <c r="BH299" t="str">
        <v>DELETE</v>
      </c>
      <c r="BI299">
        <v>-0.54338445241578603</v>
      </c>
      <c r="BJ299">
        <v>-0.74020312188889104</v>
      </c>
      <c r="BK299">
        <v>1.8604858580971498E-2</v>
      </c>
      <c r="BL299">
        <v>-0.19226620329942801</v>
      </c>
      <c r="BM299">
        <v>2.5753037248270098E-2</v>
      </c>
    </row>
    <row r="300" spans="3:65" ht="28.8">
      <c r="C300" s="136">
        <v>1</v>
      </c>
      <c r="D300" s="137" t="s">
        <v>10157</v>
      </c>
      <c r="E300" s="136" t="s">
        <v>545</v>
      </c>
      <c r="F300" s="136" t="s">
        <v>549</v>
      </c>
      <c r="G300" s="136" t="s">
        <v>203</v>
      </c>
      <c r="H300" s="191">
        <v>-2.8533815875203707</v>
      </c>
      <c r="I300" s="191">
        <v>0</v>
      </c>
      <c r="J300" s="191">
        <v>0</v>
      </c>
      <c r="K300" s="191">
        <v>0</v>
      </c>
      <c r="L300" s="191">
        <v>0</v>
      </c>
      <c r="M300" s="191">
        <v>-0.4649356445509909</v>
      </c>
      <c r="N300" s="191">
        <v>-0.54685418993414026</v>
      </c>
      <c r="O300" s="191">
        <v>2.7968995617047198E-2</v>
      </c>
      <c r="T300" s="48">
        <v>2</v>
      </c>
      <c r="U300" s="46" t="s">
        <v>233</v>
      </c>
      <c r="V300" s="53" t="s">
        <v>273</v>
      </c>
      <c r="W300" s="53" t="s">
        <v>550</v>
      </c>
      <c r="X300" s="53" t="s">
        <v>203</v>
      </c>
      <c r="Y300" s="172">
        <f>IFERROR(-tblZwaste1422[[#This Row],[Weight (kgCO2e/kg)]],0)</f>
        <v>0</v>
      </c>
      <c r="Z300" s="172" t="str">
        <f>IF(AQ300="x",(AR300*-tblZwaste1422[[#This Row],[Weight (kgCO2e/kg)]])+AS300+($AR$10*Lookups!$J$38/1000),"DELETE")</f>
        <v>DELETE</v>
      </c>
      <c r="AA300" s="172" t="str">
        <f t="shared" si="80"/>
        <v>DELETE</v>
      </c>
      <c r="AB300" s="172">
        <f t="shared" si="80"/>
        <v>-1.6485436672468201</v>
      </c>
      <c r="AC300" s="172">
        <f t="shared" si="80"/>
        <v>-2.1003113644548699</v>
      </c>
      <c r="AD300" s="172">
        <f t="shared" si="80"/>
        <v>-0.79779467300472295</v>
      </c>
      <c r="AE300" s="172">
        <f t="shared" si="80"/>
        <v>-0.88417570316763305</v>
      </c>
      <c r="AF300" s="172">
        <f t="shared" si="80"/>
        <v>2.72081105786014E-2</v>
      </c>
      <c r="AG300" s="150"/>
      <c r="AI300" s="137">
        <v>2</v>
      </c>
      <c r="AJ300" s="136"/>
      <c r="AK300" s="142"/>
      <c r="AL300" s="136" t="s">
        <v>550</v>
      </c>
      <c r="AM300" s="136" t="s">
        <v>203</v>
      </c>
      <c r="AN300" s="1" t="s">
        <v>525</v>
      </c>
      <c r="AO300" s="166" t="s">
        <v>525</v>
      </c>
      <c r="AQ300">
        <f>_xlfn.XLOOKUP(tblGWP21[[#This Row],[Material Subcategory]],ls_Mat,Factors!$K$952:$K$1023)</f>
        <v>0</v>
      </c>
      <c r="AR300" s="173"/>
      <c r="BA300" cm="1">
        <f t="array" ref="BA300:BM300">tblGWP21[#This Row]</f>
        <v>2</v>
      </c>
      <c r="BB300" t="str">
        <v>Wood/Yard Trimmings</v>
      </c>
      <c r="BC300" t="str">
        <v>Yard Trimming – Branches</v>
      </c>
      <c r="BD300" t="str">
        <v>Oceania</v>
      </c>
      <c r="BE300" t="str">
        <v>n/a</v>
      </c>
      <c r="BF300">
        <v>0</v>
      </c>
      <c r="BG300" t="str">
        <v>DELETE</v>
      </c>
      <c r="BH300" t="str">
        <v>DELETE</v>
      </c>
      <c r="BI300">
        <v>-1.6485436672468201</v>
      </c>
      <c r="BJ300">
        <v>-2.1003113644548699</v>
      </c>
      <c r="BK300">
        <v>-0.79779467300472295</v>
      </c>
      <c r="BL300">
        <v>-0.88417570316763305</v>
      </c>
      <c r="BM300">
        <v>2.72081105786014E-2</v>
      </c>
    </row>
    <row r="301" spans="3:65" ht="28.8">
      <c r="C301" s="375">
        <v>1</v>
      </c>
      <c r="D301" s="374" t="s">
        <v>10169</v>
      </c>
      <c r="E301" s="375" t="s">
        <v>10170</v>
      </c>
      <c r="F301" s="362" t="s">
        <v>549</v>
      </c>
      <c r="G301" s="362" t="s">
        <v>203</v>
      </c>
      <c r="H301" s="368">
        <v>-0.74582333333333339</v>
      </c>
      <c r="I301" s="368">
        <v>-0.58351400000000009</v>
      </c>
      <c r="J301" s="368">
        <v>0.3259926084346883</v>
      </c>
      <c r="K301" s="368">
        <v>0</v>
      </c>
      <c r="L301" s="368">
        <v>0</v>
      </c>
      <c r="M301" s="368">
        <v>0.45668176288049178</v>
      </c>
      <c r="N301" s="368">
        <v>1.0683983533052401</v>
      </c>
      <c r="O301" s="368">
        <v>1.142290877337675</v>
      </c>
      <c r="T301" s="49">
        <v>2</v>
      </c>
      <c r="U301" s="143" t="s">
        <v>233</v>
      </c>
      <c r="V301" s="33" t="s">
        <v>330</v>
      </c>
      <c r="W301" s="53" t="s">
        <v>550</v>
      </c>
      <c r="X301" s="53" t="s">
        <v>203</v>
      </c>
      <c r="Y301" s="172">
        <f>IFERROR(-tblZwaste1422[[#This Row],[Weight (kgCO2e/kg)]],0)</f>
        <v>-0.14119999999999999</v>
      </c>
      <c r="Z301" s="172">
        <f>IF(AQ301="x",(AR301*-tblZwaste1422[[#This Row],[Weight (kgCO2e/kg)]])+AS301+($AR$10*Lookups!$J$38/1000),"DELETE")</f>
        <v>-0.1076582</v>
      </c>
      <c r="AA301" s="172" t="str">
        <f t="shared" si="80"/>
        <v>DELETE</v>
      </c>
      <c r="AB301" s="172" t="str">
        <f t="shared" si="80"/>
        <v>DELETE</v>
      </c>
      <c r="AC301" s="172" t="str">
        <f t="shared" si="80"/>
        <v>DELETE</v>
      </c>
      <c r="AD301" s="172">
        <f t="shared" si="80"/>
        <v>-1.4804878785558699</v>
      </c>
      <c r="AE301" s="172">
        <f t="shared" si="80"/>
        <v>-1.02845074925215</v>
      </c>
      <c r="AF301" s="172">
        <f t="shared" si="80"/>
        <v>5.3035846633626003E-2</v>
      </c>
      <c r="AG301" s="150"/>
      <c r="AI301" s="137">
        <v>2</v>
      </c>
      <c r="AJ301" s="136" t="s">
        <v>330</v>
      </c>
      <c r="AK301" s="142" t="s">
        <v>330</v>
      </c>
      <c r="AL301" s="136" t="s">
        <v>550</v>
      </c>
      <c r="AM301" s="136" t="s">
        <v>203</v>
      </c>
      <c r="AN301" s="1">
        <v>0.14119999999999999</v>
      </c>
      <c r="AO301" s="166">
        <v>0.43014000000000002</v>
      </c>
      <c r="AQ301" t="str">
        <f>_xlfn.XLOOKUP(tblGWP21[[#This Row],[Material Subcategory]],ls_Mat,Factors!$K$952:$K$1023)</f>
        <v>x</v>
      </c>
      <c r="AR301" s="173">
        <v>0.77500000000000002</v>
      </c>
      <c r="AS301">
        <v>0</v>
      </c>
      <c r="AT301" t="s">
        <v>527</v>
      </c>
      <c r="BA301" cm="1">
        <f t="array" ref="BA301:BM301">tblGWP21[#This Row]</f>
        <v>2</v>
      </c>
      <c r="BB301" t="str">
        <v>Wood/Yard Trimmings</v>
      </c>
      <c r="BC301" t="str">
        <v>Wood</v>
      </c>
      <c r="BD301" t="str">
        <v>Oceania</v>
      </c>
      <c r="BE301" t="str">
        <v>n/a</v>
      </c>
      <c r="BF301">
        <v>-0.14119999999999999</v>
      </c>
      <c r="BG301">
        <v>-0.1076582</v>
      </c>
      <c r="BH301" t="str">
        <v>DELETE</v>
      </c>
      <c r="BI301" t="str">
        <v>DELETE</v>
      </c>
      <c r="BJ301" t="str">
        <v>DELETE</v>
      </c>
      <c r="BK301">
        <v>-1.4804878785558699</v>
      </c>
      <c r="BL301">
        <v>-1.02845074925215</v>
      </c>
      <c r="BM301">
        <v>5.3035846633626003E-2</v>
      </c>
    </row>
    <row r="302" spans="3:65">
      <c r="C302" s="6">
        <v>2</v>
      </c>
      <c r="D302" s="373" t="s">
        <v>233</v>
      </c>
      <c r="E302" s="6" t="s">
        <v>233</v>
      </c>
      <c r="F302" s="136" t="s">
        <v>550</v>
      </c>
      <c r="G302" s="136" t="s">
        <v>203</v>
      </c>
      <c r="H302" s="191">
        <v>0</v>
      </c>
      <c r="I302" s="191">
        <v>-0.13905086666666666</v>
      </c>
      <c r="J302" s="191">
        <v>0</v>
      </c>
      <c r="K302" s="191">
        <v>-1.4467129262285372</v>
      </c>
      <c r="L302" s="191">
        <v>-2.0473741651862505</v>
      </c>
      <c r="M302" s="191">
        <v>-1.0116897927652853</v>
      </c>
      <c r="N302" s="191">
        <v>-0.849519845769099</v>
      </c>
      <c r="O302" s="191">
        <v>3.3140542243510901E-2</v>
      </c>
      <c r="T302" s="49">
        <v>2</v>
      </c>
      <c r="U302" s="143" t="s">
        <v>233</v>
      </c>
      <c r="V302" s="33" t="s">
        <v>335</v>
      </c>
      <c r="W302" s="53" t="s">
        <v>550</v>
      </c>
      <c r="X302" s="53" t="s">
        <v>203</v>
      </c>
      <c r="Y302" s="172">
        <f>IFERROR(-tblZwaste1422[[#This Row],[Weight (kgCO2e/kg)]],0)</f>
        <v>-0.26272000000000001</v>
      </c>
      <c r="Z302" s="172">
        <f>IF(AQ302="x",(AR302*-tblZwaste1422[[#This Row],[Weight (kgCO2e/kg)]])+AS302+($AR$10*Lookups!$J$38/1000),"DELETE")</f>
        <v>-0.20183620000000002</v>
      </c>
      <c r="AA302" s="172" t="str">
        <f t="shared" si="80"/>
        <v>DELETE</v>
      </c>
      <c r="AB302" s="172">
        <f t="shared" si="80"/>
        <v>-1.6485436672468201</v>
      </c>
      <c r="AC302" s="172">
        <f t="shared" si="80"/>
        <v>-2.6245446893481601</v>
      </c>
      <c r="AD302" s="172">
        <f t="shared" si="80"/>
        <v>-1.38423467655668</v>
      </c>
      <c r="AE302" s="172">
        <f t="shared" si="80"/>
        <v>-1.0409488725259299</v>
      </c>
      <c r="AF302" s="172">
        <f t="shared" si="80"/>
        <v>3.2207250248134998E-2</v>
      </c>
      <c r="AG302" s="150"/>
      <c r="AI302" s="137">
        <v>2</v>
      </c>
      <c r="AJ302" s="136" t="s">
        <v>330</v>
      </c>
      <c r="AK302" s="142" t="s">
        <v>335</v>
      </c>
      <c r="AL302" s="136" t="s">
        <v>550</v>
      </c>
      <c r="AM302" s="136" t="s">
        <v>203</v>
      </c>
      <c r="AN302" s="1">
        <v>0.26272000000000001</v>
      </c>
      <c r="AO302" s="166">
        <v>0.43014000000000002</v>
      </c>
      <c r="AQ302" t="str">
        <f>_xlfn.XLOOKUP(tblGWP21[[#This Row],[Material Subcategory]],ls_Mat,Factors!$K$952:$K$1023)</f>
        <v>x</v>
      </c>
      <c r="AR302" s="173">
        <v>0.77500000000000002</v>
      </c>
      <c r="AS302">
        <v>0</v>
      </c>
      <c r="AT302" t="s">
        <v>527</v>
      </c>
      <c r="BA302" cm="1">
        <f t="array" ref="BA302:BM302">tblGWP21[#This Row]</f>
        <v>2</v>
      </c>
      <c r="BB302" t="str">
        <v>Wood/Yard Trimmings</v>
      </c>
      <c r="BC302" t="str">
        <v>Pallets</v>
      </c>
      <c r="BD302" t="str">
        <v>Oceania</v>
      </c>
      <c r="BE302" t="str">
        <v>n/a</v>
      </c>
      <c r="BF302">
        <v>-0.26272000000000001</v>
      </c>
      <c r="BG302">
        <v>-0.20183620000000002</v>
      </c>
      <c r="BH302" t="str">
        <v>DELETE</v>
      </c>
      <c r="BI302">
        <v>-1.6485436672468201</v>
      </c>
      <c r="BJ302">
        <v>-2.6245446893481601</v>
      </c>
      <c r="BK302">
        <v>-1.38423467655668</v>
      </c>
      <c r="BL302">
        <v>-1.0409488725259299</v>
      </c>
      <c r="BM302">
        <v>3.2207250248134998E-2</v>
      </c>
    </row>
    <row r="303" spans="3:65">
      <c r="C303" s="375">
        <v>2</v>
      </c>
      <c r="D303" s="374" t="s">
        <v>233</v>
      </c>
      <c r="E303" s="375" t="s">
        <v>250</v>
      </c>
      <c r="F303" s="362" t="s">
        <v>550</v>
      </c>
      <c r="G303" s="362" t="s">
        <v>203</v>
      </c>
      <c r="H303" s="368">
        <v>0</v>
      </c>
      <c r="I303" s="368">
        <v>0</v>
      </c>
      <c r="J303" s="368">
        <v>0</v>
      </c>
      <c r="K303" s="368">
        <v>-1.7445491769864401</v>
      </c>
      <c r="L303" s="368">
        <v>-2.1472669608911699</v>
      </c>
      <c r="M303" s="368">
        <v>-1.04199171049873</v>
      </c>
      <c r="N303" s="368">
        <v>-0.91032867384352301</v>
      </c>
      <c r="O303" s="368">
        <v>2.84317585042979E-2</v>
      </c>
      <c r="T303" s="49">
        <v>2</v>
      </c>
      <c r="U303" s="143" t="s">
        <v>233</v>
      </c>
      <c r="V303" s="33" t="s">
        <v>326</v>
      </c>
      <c r="W303" s="53" t="s">
        <v>550</v>
      </c>
      <c r="X303" s="53" t="s">
        <v>203</v>
      </c>
      <c r="Y303" s="172">
        <f>IFERROR(-tblZwaste1422[[#This Row],[Weight (kgCO2e/kg)]],0)</f>
        <v>-0.14119999999999999</v>
      </c>
      <c r="Z303" s="172">
        <f>IF(AQ303="x",(AR303*-tblZwaste1422[[#This Row],[Weight (kgCO2e/kg)]])+AS303+($AR$10*Lookups!$J$38/1000),"DELETE")</f>
        <v>-0.1076582</v>
      </c>
      <c r="AA303" s="172" t="str">
        <f t="shared" si="80"/>
        <v>DELETE</v>
      </c>
      <c r="AB303" s="172">
        <f t="shared" si="80"/>
        <v>-1.6485436672468201</v>
      </c>
      <c r="AC303" s="172">
        <f t="shared" si="80"/>
        <v>-2.6245446893481601</v>
      </c>
      <c r="AD303" s="172">
        <f t="shared" si="80"/>
        <v>-1.38423467655668</v>
      </c>
      <c r="AE303" s="172">
        <f t="shared" si="80"/>
        <v>-1.0409488725259299</v>
      </c>
      <c r="AF303" s="172">
        <f t="shared" si="80"/>
        <v>3.2207250248134998E-2</v>
      </c>
      <c r="AG303" s="150"/>
      <c r="AI303" s="137">
        <v>2</v>
      </c>
      <c r="AJ303" s="136" t="s">
        <v>330</v>
      </c>
      <c r="AK303" s="142" t="s">
        <v>326</v>
      </c>
      <c r="AL303" s="136" t="s">
        <v>550</v>
      </c>
      <c r="AM303" s="136" t="s">
        <v>203</v>
      </c>
      <c r="AN303" s="1">
        <v>0.14119999999999999</v>
      </c>
      <c r="AO303" s="166">
        <v>0.43014000000000002</v>
      </c>
      <c r="AQ303" t="str">
        <f>_xlfn.XLOOKUP(tblGWP21[[#This Row],[Material Subcategory]],ls_Mat,Factors!$K$952:$K$1023)</f>
        <v>x</v>
      </c>
      <c r="AR303" s="173">
        <v>0.77500000000000002</v>
      </c>
      <c r="AS303">
        <v>0</v>
      </c>
      <c r="AT303" t="s">
        <v>527</v>
      </c>
      <c r="BA303" cm="1">
        <f t="array" ref="BA303:BM303">tblGWP21[#This Row]</f>
        <v>2</v>
      </c>
      <c r="BB303" t="str">
        <v>Wood/Yard Trimmings</v>
      </c>
      <c r="BC303" t="str">
        <v>Other Wood</v>
      </c>
      <c r="BD303" t="str">
        <v>Oceania</v>
      </c>
      <c r="BE303" t="str">
        <v>n/a</v>
      </c>
      <c r="BF303">
        <v>-0.14119999999999999</v>
      </c>
      <c r="BG303">
        <v>-0.1076582</v>
      </c>
      <c r="BH303" t="str">
        <v>DELETE</v>
      </c>
      <c r="BI303">
        <v>-1.6485436672468201</v>
      </c>
      <c r="BJ303">
        <v>-2.6245446893481601</v>
      </c>
      <c r="BK303">
        <v>-1.38423467655668</v>
      </c>
      <c r="BL303">
        <v>-1.0409488725259299</v>
      </c>
      <c r="BM303">
        <v>3.2207250248134998E-2</v>
      </c>
    </row>
    <row r="304" spans="3:65">
      <c r="C304" s="6">
        <v>2</v>
      </c>
      <c r="D304" s="373" t="s">
        <v>233</v>
      </c>
      <c r="E304" s="6" t="s">
        <v>249</v>
      </c>
      <c r="F304" s="136" t="s">
        <v>550</v>
      </c>
      <c r="G304" s="136" t="s">
        <v>203</v>
      </c>
      <c r="H304" s="191">
        <v>0</v>
      </c>
      <c r="I304" s="191">
        <v>0</v>
      </c>
      <c r="J304" s="191">
        <v>0</v>
      </c>
      <c r="K304" s="191">
        <v>-0.54338445241578603</v>
      </c>
      <c r="L304" s="191">
        <v>-0.74020312188889104</v>
      </c>
      <c r="M304" s="191">
        <v>1.8604858580971498E-2</v>
      </c>
      <c r="N304" s="191">
        <v>-0.19226620329942801</v>
      </c>
      <c r="O304" s="191">
        <v>2.5753037248270098E-2</v>
      </c>
      <c r="T304" s="49">
        <v>2</v>
      </c>
      <c r="U304" s="143" t="s">
        <v>261</v>
      </c>
      <c r="V304" s="33" t="s">
        <v>261</v>
      </c>
      <c r="W304" s="53" t="s">
        <v>550</v>
      </c>
      <c r="X304" s="53" t="s">
        <v>203</v>
      </c>
      <c r="Y304" s="172">
        <f>IFERROR(-tblZwaste1422[[#This Row],[Weight (kgCO2e/kg)]],0)</f>
        <v>-4.72241</v>
      </c>
      <c r="Z304" s="172" t="e">
        <f>IF(AQ304="x",(AR304*-tblZwaste1422[[#This Row],[Weight (kgCO2e/kg)]])+AS304+($AR$10*Lookups!$J$38/1000),"DELETE")</f>
        <v>#N/A</v>
      </c>
      <c r="AA304" s="172" t="str">
        <f t="shared" si="80"/>
        <v>DELETE</v>
      </c>
      <c r="AB304" s="172">
        <f t="shared" si="80"/>
        <v>-0.36345066198561049</v>
      </c>
      <c r="AC304" s="172">
        <f t="shared" si="80"/>
        <v>-0.58952172495462496</v>
      </c>
      <c r="AD304" s="172">
        <f t="shared" si="80"/>
        <v>0.13911075984299401</v>
      </c>
      <c r="AE304" s="172">
        <f t="shared" si="80"/>
        <v>-0.17731971245539049</v>
      </c>
      <c r="AF304" s="172">
        <f t="shared" si="80"/>
        <v>2.5406496338178101E-2</v>
      </c>
      <c r="AG304" s="150"/>
      <c r="AI304" s="137">
        <v>2</v>
      </c>
      <c r="AJ304" s="136" t="s">
        <v>529</v>
      </c>
      <c r="AK304" s="142" t="s">
        <v>529</v>
      </c>
      <c r="AL304" s="136" t="s">
        <v>550</v>
      </c>
      <c r="AM304" s="136" t="s">
        <v>203</v>
      </c>
      <c r="AN304" s="1">
        <v>4.72241</v>
      </c>
      <c r="AO304" s="166">
        <v>1.758</v>
      </c>
      <c r="AQ304" t="e">
        <f>_xlfn.XLOOKUP(tblGWP21[[#This Row],[Material Subcategory]],ls_Mat,Factors!$K$952:$K$1023)</f>
        <v>#N/A</v>
      </c>
      <c r="AR304" s="347">
        <v>0.5</v>
      </c>
      <c r="AS304">
        <v>0</v>
      </c>
      <c r="AT304" t="s">
        <v>528</v>
      </c>
      <c r="BA304" cm="1">
        <f t="array" ref="BA304:BM304">tblGWP21[#This Row]</f>
        <v>2</v>
      </c>
      <c r="BB304" t="str">
        <v>Food Waste</v>
      </c>
      <c r="BC304" t="str">
        <v>Food Waste</v>
      </c>
      <c r="BD304" t="str">
        <v>Oceania</v>
      </c>
      <c r="BE304" t="str">
        <v>n/a</v>
      </c>
      <c r="BF304">
        <v>-4.72241</v>
      </c>
      <c r="BG304" t="e">
        <v>#N/A</v>
      </c>
      <c r="BH304" t="str">
        <v>DELETE</v>
      </c>
      <c r="BI304">
        <v>-0.36345066198561049</v>
      </c>
      <c r="BJ304">
        <v>-0.58952172495462496</v>
      </c>
      <c r="BK304">
        <v>0.13911075984299401</v>
      </c>
      <c r="BL304">
        <v>-0.17731971245539049</v>
      </c>
      <c r="BM304">
        <v>2.5406496338178101E-2</v>
      </c>
    </row>
    <row r="305" spans="3:65">
      <c r="C305" s="375">
        <v>2</v>
      </c>
      <c r="D305" s="374" t="s">
        <v>233</v>
      </c>
      <c r="E305" s="375" t="s">
        <v>273</v>
      </c>
      <c r="F305" s="362" t="s">
        <v>550</v>
      </c>
      <c r="G305" s="362" t="s">
        <v>203</v>
      </c>
      <c r="H305" s="368">
        <v>0</v>
      </c>
      <c r="I305" s="368">
        <v>0</v>
      </c>
      <c r="J305" s="368">
        <v>0</v>
      </c>
      <c r="K305" s="368">
        <v>-1.6485436672468201</v>
      </c>
      <c r="L305" s="368">
        <v>-2.1003113644548699</v>
      </c>
      <c r="M305" s="368">
        <v>-0.79779467300472295</v>
      </c>
      <c r="N305" s="368">
        <v>-0.88417570316763305</v>
      </c>
      <c r="O305" s="368">
        <v>2.72081105786014E-2</v>
      </c>
      <c r="T305" s="49">
        <v>2</v>
      </c>
      <c r="U305" s="143" t="s">
        <v>261</v>
      </c>
      <c r="V305" s="33" t="s">
        <v>269</v>
      </c>
      <c r="W305" s="53" t="s">
        <v>550</v>
      </c>
      <c r="X305" s="53" t="s">
        <v>203</v>
      </c>
      <c r="Y305" s="172">
        <f>IFERROR(-tblZwaste1422[[#This Row],[Weight (kgCO2e/kg)]],0)</f>
        <v>-0.25034000000000001</v>
      </c>
      <c r="Z305" s="172">
        <f>IF(AQ305="x",(AR305*-tblZwaste1422[[#This Row],[Weight (kgCO2e/kg)]])+AS305+($AR$10*Lookups!$J$38/1000),"DELETE")</f>
        <v>-0.1233982</v>
      </c>
      <c r="AA305" s="172" t="str">
        <f t="shared" si="80"/>
        <v>DELETE</v>
      </c>
      <c r="AB305" s="172">
        <f t="shared" si="80"/>
        <v>-0.303398738694796</v>
      </c>
      <c r="AC305" s="172">
        <f t="shared" si="80"/>
        <v>-0.49950497126607302</v>
      </c>
      <c r="AD305" s="172">
        <f t="shared" si="80"/>
        <v>0.17048144598486401</v>
      </c>
      <c r="AE305" s="172">
        <f t="shared" si="80"/>
        <v>-0.122481791907762</v>
      </c>
      <c r="AF305" s="172">
        <f t="shared" si="80"/>
        <v>2.5084386562055101E-2</v>
      </c>
      <c r="AG305" s="150"/>
      <c r="AI305" s="137">
        <v>2</v>
      </c>
      <c r="AJ305" s="136" t="s">
        <v>529</v>
      </c>
      <c r="AK305" s="142" t="s">
        <v>327</v>
      </c>
      <c r="AL305" s="136" t="s">
        <v>550</v>
      </c>
      <c r="AM305" s="136" t="s">
        <v>203</v>
      </c>
      <c r="AN305" s="1">
        <v>0.25034000000000001</v>
      </c>
      <c r="AO305" s="166">
        <v>0.99672000000000005</v>
      </c>
      <c r="AQ305" t="str">
        <f>_xlfn.XLOOKUP(tblGWP21[[#This Row],[Material Subcategory]],ls_Mat,Factors!$K$952:$K$1023)</f>
        <v>x</v>
      </c>
      <c r="AR305" s="347">
        <v>0.5</v>
      </c>
      <c r="AS305">
        <v>0</v>
      </c>
      <c r="AT305" t="s">
        <v>528</v>
      </c>
      <c r="BA305" cm="1">
        <f t="array" ref="BA305:BM305">tblGWP21[#This Row]</f>
        <v>2</v>
      </c>
      <c r="BB305" t="str">
        <v>Food Waste</v>
      </c>
      <c r="BC305" t="str">
        <v>Food Waste – Vegetable</v>
      </c>
      <c r="BD305" t="str">
        <v>Oceania</v>
      </c>
      <c r="BE305" t="str">
        <v>n/a</v>
      </c>
      <c r="BF305">
        <v>-0.25034000000000001</v>
      </c>
      <c r="BG305">
        <v>-0.1233982</v>
      </c>
      <c r="BH305" t="str">
        <v>DELETE</v>
      </c>
      <c r="BI305">
        <v>-0.303398738694796</v>
      </c>
      <c r="BJ305">
        <v>-0.49950497126607302</v>
      </c>
      <c r="BK305">
        <v>0.17048144598486401</v>
      </c>
      <c r="BL305">
        <v>-0.122481791907762</v>
      </c>
      <c r="BM305">
        <v>2.5084386562055101E-2</v>
      </c>
    </row>
    <row r="306" spans="3:65" ht="28.8">
      <c r="C306" s="6">
        <v>2</v>
      </c>
      <c r="D306" s="373" t="s">
        <v>233</v>
      </c>
      <c r="E306" s="6" t="s">
        <v>330</v>
      </c>
      <c r="F306" s="136" t="s">
        <v>550</v>
      </c>
      <c r="G306" s="136" t="s">
        <v>203</v>
      </c>
      <c r="H306" s="191">
        <v>-0.14119999999999999</v>
      </c>
      <c r="I306" s="191">
        <v>-0.1076582</v>
      </c>
      <c r="J306" s="191">
        <v>0</v>
      </c>
      <c r="K306" s="191">
        <v>0</v>
      </c>
      <c r="L306" s="191">
        <v>0</v>
      </c>
      <c r="M306" s="191">
        <v>-1.4804878785558699</v>
      </c>
      <c r="N306" s="191">
        <v>-1.02845074925215</v>
      </c>
      <c r="O306" s="191">
        <v>5.3035846633626003E-2</v>
      </c>
      <c r="T306" s="49">
        <v>2</v>
      </c>
      <c r="U306" s="143" t="s">
        <v>261</v>
      </c>
      <c r="V306" s="33" t="s">
        <v>530</v>
      </c>
      <c r="W306" s="53" t="s">
        <v>550</v>
      </c>
      <c r="X306" s="53" t="s">
        <v>203</v>
      </c>
      <c r="Y306" s="172">
        <f>IFERROR(-tblZwaste1422[[#This Row],[Weight (kgCO2e/kg)]],0)</f>
        <v>-9.1944800000000004</v>
      </c>
      <c r="Z306" s="172">
        <f>IF(AQ306="x",(AR306*-tblZwaste1422[[#This Row],[Weight (kgCO2e/kg)]])+AS306+($AR$10*Lookups!$J$38/1000),"DELETE")</f>
        <v>-4.5954682</v>
      </c>
      <c r="AA306" s="172" t="str">
        <f t="shared" si="80"/>
        <v>DELETE</v>
      </c>
      <c r="AB306" s="172">
        <f t="shared" si="80"/>
        <v>-0.42350258527642498</v>
      </c>
      <c r="AC306" s="172">
        <f t="shared" si="80"/>
        <v>-0.67953847864317696</v>
      </c>
      <c r="AD306" s="172">
        <f t="shared" si="80"/>
        <v>0.107740073701124</v>
      </c>
      <c r="AE306" s="172">
        <f t="shared" si="80"/>
        <v>-0.232157633003019</v>
      </c>
      <c r="AF306" s="172">
        <f t="shared" si="80"/>
        <v>2.5728606114301101E-2</v>
      </c>
      <c r="AG306" s="150"/>
      <c r="AI306" s="137">
        <v>2</v>
      </c>
      <c r="AJ306" s="136" t="s">
        <v>529</v>
      </c>
      <c r="AK306" s="142" t="s">
        <v>331</v>
      </c>
      <c r="AL306" s="136" t="s">
        <v>550</v>
      </c>
      <c r="AM306" s="136" t="s">
        <v>203</v>
      </c>
      <c r="AN306" s="1">
        <v>9.1944800000000004</v>
      </c>
      <c r="AO306" s="166">
        <v>2.5192800000000002</v>
      </c>
      <c r="AQ306" t="str">
        <f>_xlfn.XLOOKUP(tblGWP21[[#This Row],[Material Subcategory]],ls_Mat,Factors!$K$952:$K$1023)</f>
        <v>x</v>
      </c>
      <c r="AR306" s="347">
        <v>0.5</v>
      </c>
      <c r="AS306">
        <v>0</v>
      </c>
      <c r="AT306" t="s">
        <v>528</v>
      </c>
      <c r="BA306" cm="1">
        <f t="array" ref="BA306:BM306">tblGWP21[#This Row]</f>
        <v>2</v>
      </c>
      <c r="BB306" t="str">
        <v>Food Waste</v>
      </c>
      <c r="BC306" t="str">
        <v>Food Waste – Non-Vegetable</v>
      </c>
      <c r="BD306" t="str">
        <v>Oceania</v>
      </c>
      <c r="BE306" t="str">
        <v>n/a</v>
      </c>
      <c r="BF306">
        <v>-9.1944800000000004</v>
      </c>
      <c r="BG306">
        <v>-4.5954682</v>
      </c>
      <c r="BH306" t="str">
        <v>DELETE</v>
      </c>
      <c r="BI306">
        <v>-0.42350258527642498</v>
      </c>
      <c r="BJ306">
        <v>-0.67953847864317696</v>
      </c>
      <c r="BK306">
        <v>0.107740073701124</v>
      </c>
      <c r="BL306">
        <v>-0.232157633003019</v>
      </c>
      <c r="BM306">
        <v>2.5728606114301101E-2</v>
      </c>
    </row>
    <row r="307" spans="3:65">
      <c r="C307" s="375">
        <v>2</v>
      </c>
      <c r="D307" s="374" t="s">
        <v>233</v>
      </c>
      <c r="E307" s="375" t="s">
        <v>335</v>
      </c>
      <c r="F307" s="362" t="s">
        <v>550</v>
      </c>
      <c r="G307" s="362" t="s">
        <v>203</v>
      </c>
      <c r="H307" s="368">
        <v>-0.26272000000000001</v>
      </c>
      <c r="I307" s="368">
        <v>-0.20183620000000002</v>
      </c>
      <c r="J307" s="368">
        <v>0</v>
      </c>
      <c r="K307" s="368">
        <v>-1.6485436672468201</v>
      </c>
      <c r="L307" s="368">
        <v>-2.6245446893481601</v>
      </c>
      <c r="M307" s="368">
        <v>-1.38423467655668</v>
      </c>
      <c r="N307" s="368">
        <v>-1.0409488725259299</v>
      </c>
      <c r="O307" s="368">
        <v>3.2207250248134998E-2</v>
      </c>
      <c r="T307" s="49">
        <v>2</v>
      </c>
      <c r="U307" s="143" t="s">
        <v>261</v>
      </c>
      <c r="V307" s="33" t="s">
        <v>262</v>
      </c>
      <c r="W307" s="53" t="s">
        <v>550</v>
      </c>
      <c r="X307" s="53" t="s">
        <v>203</v>
      </c>
      <c r="Y307" s="172">
        <f>IFERROR(-tblZwaste1422[[#This Row],[Weight (kgCO2e/kg)]],0)</f>
        <v>-2.5034000000000001</v>
      </c>
      <c r="Z307" s="172" t="str">
        <f>IF(AQ307="x",(AR307*-tblZwaste1422[[#This Row],[Weight (kgCO2e/kg)]])+AS307+($AR$10*Lookups!$J$38/1000),"DELETE")</f>
        <v>DELETE</v>
      </c>
      <c r="AA307" s="172" t="str">
        <f t="shared" ref="AA307:AF316" si="81">AA811</f>
        <v>DELETE</v>
      </c>
      <c r="AB307" s="172">
        <f t="shared" si="81"/>
        <v>-0.42350258527642498</v>
      </c>
      <c r="AC307" s="172">
        <f t="shared" si="81"/>
        <v>-0.67953847864317696</v>
      </c>
      <c r="AD307" s="172">
        <f t="shared" si="81"/>
        <v>0.107740073701124</v>
      </c>
      <c r="AE307" s="172">
        <f t="shared" si="81"/>
        <v>-0.232157633003019</v>
      </c>
      <c r="AF307" s="172">
        <f t="shared" si="81"/>
        <v>2.5728606114301101E-2</v>
      </c>
      <c r="AG307" s="150"/>
      <c r="AI307" s="137">
        <v>2</v>
      </c>
      <c r="AJ307" s="136" t="s">
        <v>529</v>
      </c>
      <c r="AK307" s="142" t="s">
        <v>332</v>
      </c>
      <c r="AL307" s="136" t="s">
        <v>550</v>
      </c>
      <c r="AM307" s="136" t="s">
        <v>203</v>
      </c>
      <c r="AN307" s="1">
        <v>2.5034000000000001</v>
      </c>
      <c r="AO307" s="166">
        <v>1.0183800000000001</v>
      </c>
      <c r="AQ307">
        <f>_xlfn.XLOOKUP(tblGWP21[[#This Row],[Material Subcategory]],ls_Mat,Factors!$K$952:$K$1023)</f>
        <v>0</v>
      </c>
      <c r="AR307" s="347">
        <v>0.5</v>
      </c>
      <c r="AS307">
        <v>0</v>
      </c>
      <c r="AT307" t="s">
        <v>528</v>
      </c>
      <c r="BA307" cm="1">
        <f t="array" ref="BA307:BM307">tblGWP21[#This Row]</f>
        <v>2</v>
      </c>
      <c r="BB307" t="str">
        <v>Food Waste</v>
      </c>
      <c r="BC307" t="str">
        <v>Oils/Grease</v>
      </c>
      <c r="BD307" t="str">
        <v>Oceania</v>
      </c>
      <c r="BE307" t="str">
        <v>n/a</v>
      </c>
      <c r="BF307">
        <v>-2.5034000000000001</v>
      </c>
      <c r="BG307" t="str">
        <v>DELETE</v>
      </c>
      <c r="BH307" t="str">
        <v>DELETE</v>
      </c>
      <c r="BI307">
        <v>-0.42350258527642498</v>
      </c>
      <c r="BJ307">
        <v>-0.67953847864317696</v>
      </c>
      <c r="BK307">
        <v>0.107740073701124</v>
      </c>
      <c r="BL307">
        <v>-0.232157633003019</v>
      </c>
      <c r="BM307">
        <v>2.5728606114301101E-2</v>
      </c>
    </row>
    <row r="308" spans="3:65">
      <c r="C308" s="6">
        <v>2</v>
      </c>
      <c r="D308" s="373" t="s">
        <v>233</v>
      </c>
      <c r="E308" s="6" t="s">
        <v>326</v>
      </c>
      <c r="F308" s="136" t="s">
        <v>550</v>
      </c>
      <c r="G308" s="136" t="s">
        <v>203</v>
      </c>
      <c r="H308" s="191">
        <v>-0.14119999999999999</v>
      </c>
      <c r="I308" s="191">
        <v>-0.1076582</v>
      </c>
      <c r="J308" s="191">
        <v>0</v>
      </c>
      <c r="K308" s="191">
        <v>-1.6485436672468201</v>
      </c>
      <c r="L308" s="191">
        <v>-2.6245446893481601</v>
      </c>
      <c r="M308" s="191">
        <v>-1.38423467655668</v>
      </c>
      <c r="N308" s="191">
        <v>-1.0409488725259299</v>
      </c>
      <c r="O308" s="191">
        <v>3.2207250248134998E-2</v>
      </c>
      <c r="T308" s="49">
        <v>2</v>
      </c>
      <c r="U308" s="143" t="s">
        <v>252</v>
      </c>
      <c r="V308" s="33" t="s">
        <v>252</v>
      </c>
      <c r="W308" s="53" t="s">
        <v>550</v>
      </c>
      <c r="X308" s="53" t="s">
        <v>203</v>
      </c>
      <c r="Y308" s="172">
        <f>IFERROR(-tblZwaste1422[[#This Row],[Weight (kgCO2e/kg)]],0)</f>
        <v>-2.0953266666666663</v>
      </c>
      <c r="Z308" s="172" t="e">
        <f>IF(AQ308="x",(AR308*-tblZwaste1422[[#This Row],[Weight (kgCO2e/kg)]])+AS308+($AR$10*Lookups!$J$38/1000),"DELETE")</f>
        <v>#N/A</v>
      </c>
      <c r="AA308" s="172">
        <f t="shared" si="81"/>
        <v>-4.4031027052446881</v>
      </c>
      <c r="AB308" s="172" t="str">
        <f t="shared" si="81"/>
        <v>DELETE</v>
      </c>
      <c r="AC308" s="172" t="str">
        <f t="shared" si="81"/>
        <v>DELETE</v>
      </c>
      <c r="AD308" s="172">
        <f t="shared" si="81"/>
        <v>2.6022305346742901E-2</v>
      </c>
      <c r="AE308" s="172">
        <f t="shared" si="81"/>
        <v>0.62743418122049499</v>
      </c>
      <c r="AF308" s="172">
        <f t="shared" si="81"/>
        <v>2.1870245647238802</v>
      </c>
      <c r="AG308" s="150"/>
      <c r="AI308" s="137">
        <v>2</v>
      </c>
      <c r="AJ308" s="136" t="s">
        <v>252</v>
      </c>
      <c r="AK308" s="142" t="s">
        <v>252</v>
      </c>
      <c r="AL308" s="136" t="s">
        <v>550</v>
      </c>
      <c r="AM308" s="136" t="s">
        <v>203</v>
      </c>
      <c r="AN308" s="1">
        <v>2.0953266666666663</v>
      </c>
      <c r="AO308" s="166">
        <v>1.77911</v>
      </c>
      <c r="AQ308" t="e">
        <f>_xlfn.XLOOKUP(tblGWP21[[#This Row],[Material Subcategory]],ls_Mat,Factors!$K$952:$K$1023)</f>
        <v>#N/A</v>
      </c>
      <c r="AR308" s="173">
        <v>0.77500000000000002</v>
      </c>
      <c r="AS308">
        <v>8.1306407300000008E-2</v>
      </c>
      <c r="AT308" t="s">
        <v>531</v>
      </c>
      <c r="AU308" t="s">
        <v>526</v>
      </c>
      <c r="AV308" s="347">
        <v>0.85</v>
      </c>
      <c r="BA308" cm="1">
        <f t="array" ref="BA308:BM308">tblGWP21[#This Row]</f>
        <v>2</v>
      </c>
      <c r="BB308" t="str">
        <v>Plastics</v>
      </c>
      <c r="BC308" t="str">
        <v>Plastics</v>
      </c>
      <c r="BD308" t="str">
        <v>Oceania</v>
      </c>
      <c r="BE308" t="str">
        <v>n/a</v>
      </c>
      <c r="BF308">
        <v>-2.0953266666666663</v>
      </c>
      <c r="BG308" t="e">
        <v>#N/A</v>
      </c>
      <c r="BH308">
        <v>-4.4031027052446881</v>
      </c>
      <c r="BI308" t="str">
        <v>DELETE</v>
      </c>
      <c r="BJ308" t="str">
        <v>DELETE</v>
      </c>
      <c r="BK308">
        <v>2.6022305346742901E-2</v>
      </c>
      <c r="BL308">
        <v>0.62743418122049499</v>
      </c>
      <c r="BM308">
        <v>2.1870245647238802</v>
      </c>
    </row>
    <row r="309" spans="3:65" ht="28.8">
      <c r="C309" s="375">
        <v>2</v>
      </c>
      <c r="D309" s="374" t="s">
        <v>261</v>
      </c>
      <c r="E309" s="375" t="s">
        <v>261</v>
      </c>
      <c r="F309" s="362" t="s">
        <v>550</v>
      </c>
      <c r="G309" s="362" t="s">
        <v>203</v>
      </c>
      <c r="H309" s="368">
        <v>-4.72241</v>
      </c>
      <c r="I309" s="368">
        <v>-2.3594331999999998</v>
      </c>
      <c r="J309" s="368">
        <v>0</v>
      </c>
      <c r="K309" s="368">
        <v>-0.36345066198561049</v>
      </c>
      <c r="L309" s="368">
        <v>-0.58952172495462496</v>
      </c>
      <c r="M309" s="368">
        <v>0.13911075984299401</v>
      </c>
      <c r="N309" s="368">
        <v>-0.17731971245539049</v>
      </c>
      <c r="O309" s="368">
        <v>2.5406496338178101E-2</v>
      </c>
      <c r="T309" s="49">
        <v>2</v>
      </c>
      <c r="U309" s="143" t="s">
        <v>252</v>
      </c>
      <c r="V309" s="33" t="s">
        <v>253</v>
      </c>
      <c r="W309" s="53" t="s">
        <v>550</v>
      </c>
      <c r="X309" s="53" t="s">
        <v>203</v>
      </c>
      <c r="Y309" s="172">
        <f>IFERROR(-tblZwaste1422[[#This Row],[Weight (kgCO2e/kg)]],0)</f>
        <v>-2.04928</v>
      </c>
      <c r="Z309" s="172" t="e">
        <f>IF(AQ309="x",(AR309*-tblZwaste1422[[#This Row],[Weight (kgCO2e/kg)]])+AS309+($AR$10*Lookups!$J$38/1000),"DELETE")</f>
        <v>#N/A</v>
      </c>
      <c r="AA309" s="172">
        <f t="shared" si="81"/>
        <v>-3.8665938524911381</v>
      </c>
      <c r="AB309" s="172" t="str">
        <f t="shared" si="81"/>
        <v>DELETE</v>
      </c>
      <c r="AC309" s="172" t="str">
        <f t="shared" si="81"/>
        <v>DELETE</v>
      </c>
      <c r="AD309" s="172">
        <f t="shared" si="81"/>
        <v>2.60223023657884E-2</v>
      </c>
      <c r="AE309" s="172">
        <f t="shared" si="81"/>
        <v>0.49217855726131798</v>
      </c>
      <c r="AF309" s="172">
        <f t="shared" si="81"/>
        <v>3.18317771719081</v>
      </c>
      <c r="AG309" s="150"/>
      <c r="AI309" s="137">
        <v>2</v>
      </c>
      <c r="AJ309" s="136" t="s">
        <v>252</v>
      </c>
      <c r="AK309" s="142" t="s">
        <v>253</v>
      </c>
      <c r="AL309" s="136" t="s">
        <v>550</v>
      </c>
      <c r="AM309" s="136" t="s">
        <v>203</v>
      </c>
      <c r="AN309" s="1">
        <v>2.04928</v>
      </c>
      <c r="AO309" s="166">
        <v>1.77911</v>
      </c>
      <c r="AQ309" t="e">
        <f>_xlfn.XLOOKUP(tblGWP21[[#This Row],[Material Subcategory]],ls_Mat,Factors!$K$952:$K$1023)</f>
        <v>#N/A</v>
      </c>
      <c r="AR309" s="173">
        <v>0.77500000000000002</v>
      </c>
      <c r="AS309">
        <v>8.1306407300000008E-2</v>
      </c>
      <c r="AT309" t="s">
        <v>531</v>
      </c>
      <c r="AU309" t="s">
        <v>526</v>
      </c>
      <c r="AV309" s="347">
        <v>0.7</v>
      </c>
      <c r="BA309" cm="1">
        <f t="array" ref="BA309:BM309">tblGWP21[#This Row]</f>
        <v>2</v>
      </c>
      <c r="BB309" t="str">
        <v>Plastics</v>
      </c>
      <c r="BC309" t="str">
        <v>HDPE (translucent and pigmented)</v>
      </c>
      <c r="BD309" t="str">
        <v>Oceania</v>
      </c>
      <c r="BE309" t="str">
        <v>n/a</v>
      </c>
      <c r="BF309">
        <v>-2.04928</v>
      </c>
      <c r="BG309" t="e">
        <v>#N/A</v>
      </c>
      <c r="BH309">
        <v>-3.8665938524911381</v>
      </c>
      <c r="BI309" t="str">
        <v>DELETE</v>
      </c>
      <c r="BJ309" t="str">
        <v>DELETE</v>
      </c>
      <c r="BK309">
        <v>2.60223023657884E-2</v>
      </c>
      <c r="BL309">
        <v>0.49217855726131798</v>
      </c>
      <c r="BM309">
        <v>3.18317771719081</v>
      </c>
    </row>
    <row r="310" spans="3:65">
      <c r="C310" s="6">
        <v>2</v>
      </c>
      <c r="D310" s="373" t="s">
        <v>261</v>
      </c>
      <c r="E310" s="6" t="s">
        <v>269</v>
      </c>
      <c r="F310" s="136" t="s">
        <v>550</v>
      </c>
      <c r="G310" s="136" t="s">
        <v>203</v>
      </c>
      <c r="H310" s="191">
        <v>-0.25034000000000001</v>
      </c>
      <c r="I310" s="191">
        <v>-0.1233982</v>
      </c>
      <c r="J310" s="191">
        <v>0</v>
      </c>
      <c r="K310" s="191">
        <v>-0.303398738694796</v>
      </c>
      <c r="L310" s="191">
        <v>-0.49950497126607302</v>
      </c>
      <c r="M310" s="191">
        <v>0.17048144598486401</v>
      </c>
      <c r="N310" s="191">
        <v>-0.122481791907762</v>
      </c>
      <c r="O310" s="191">
        <v>2.5084386562055101E-2</v>
      </c>
      <c r="T310" s="49">
        <v>2</v>
      </c>
      <c r="U310" s="143" t="s">
        <v>252</v>
      </c>
      <c r="V310" s="33" t="s">
        <v>328</v>
      </c>
      <c r="W310" s="53" t="s">
        <v>550</v>
      </c>
      <c r="X310" s="53" t="s">
        <v>203</v>
      </c>
      <c r="Y310" s="172">
        <f>IFERROR(-tblZwaste1422[[#This Row],[Weight (kgCO2e/kg)]],0)</f>
        <v>-2.3231199999999999</v>
      </c>
      <c r="Z310" s="172" t="e">
        <f>IF(AQ310="x",(AR310*-tblZwaste1422[[#This Row],[Weight (kgCO2e/kg)]])+AS310+($AR$10*Lookups!$J$38/1000),"DELETE")</f>
        <v>#N/A</v>
      </c>
      <c r="AA310" s="172">
        <f t="shared" si="81"/>
        <v>-4.5549858253038238</v>
      </c>
      <c r="AB310" s="172" t="str">
        <f t="shared" si="81"/>
        <v>DELETE</v>
      </c>
      <c r="AC310" s="172" t="str">
        <f t="shared" si="81"/>
        <v>DELETE</v>
      </c>
      <c r="AD310" s="172">
        <f t="shared" si="81"/>
        <v>2.6022303157787401E-2</v>
      </c>
      <c r="AE310" s="172">
        <f t="shared" si="81"/>
        <v>0.53523499308112499</v>
      </c>
      <c r="AF310" s="172">
        <f t="shared" si="81"/>
        <v>2.4956079529639799</v>
      </c>
      <c r="AG310" s="150"/>
      <c r="AI310" s="137">
        <v>2</v>
      </c>
      <c r="AJ310" s="136" t="s">
        <v>252</v>
      </c>
      <c r="AK310" s="142" t="s">
        <v>328</v>
      </c>
      <c r="AL310" s="136" t="s">
        <v>550</v>
      </c>
      <c r="AM310" s="136" t="s">
        <v>203</v>
      </c>
      <c r="AN310" s="1">
        <v>2.3231199999999999</v>
      </c>
      <c r="AO310" s="166">
        <v>1.77911</v>
      </c>
      <c r="AQ310" t="e">
        <f>_xlfn.XLOOKUP(tblGWP21[[#This Row],[Material Subcategory]],ls_Mat,Factors!$K$952:$K$1023)</f>
        <v>#N/A</v>
      </c>
      <c r="AR310" s="173">
        <v>0.77500000000000002</v>
      </c>
      <c r="AU310" t="s">
        <v>526</v>
      </c>
      <c r="AV310" s="347">
        <v>0.8</v>
      </c>
      <c r="BA310" cm="1">
        <f t="array" ref="BA310:BM310">tblGWP21[#This Row]</f>
        <v>2</v>
      </c>
      <c r="BB310" t="str">
        <v>Plastics</v>
      </c>
      <c r="BC310" t="str">
        <v>LDPE</v>
      </c>
      <c r="BD310" t="str">
        <v>Oceania</v>
      </c>
      <c r="BE310" t="str">
        <v>n/a</v>
      </c>
      <c r="BF310">
        <v>-2.3231199999999999</v>
      </c>
      <c r="BG310" t="e">
        <v>#N/A</v>
      </c>
      <c r="BH310">
        <v>-4.5549858253038238</v>
      </c>
      <c r="BI310" t="str">
        <v>DELETE</v>
      </c>
      <c r="BJ310" t="str">
        <v>DELETE</v>
      </c>
      <c r="BK310">
        <v>2.6022303157787401E-2</v>
      </c>
      <c r="BL310">
        <v>0.53523499308112499</v>
      </c>
      <c r="BM310">
        <v>2.4956079529639799</v>
      </c>
    </row>
    <row r="311" spans="3:65" ht="28.8">
      <c r="C311" s="375">
        <v>2</v>
      </c>
      <c r="D311" s="374" t="s">
        <v>261</v>
      </c>
      <c r="E311" s="375" t="s">
        <v>530</v>
      </c>
      <c r="F311" s="362" t="s">
        <v>550</v>
      </c>
      <c r="G311" s="362" t="s">
        <v>203</v>
      </c>
      <c r="H311" s="368">
        <v>-9.1944800000000004</v>
      </c>
      <c r="I311" s="368">
        <v>-4.5954682</v>
      </c>
      <c r="J311" s="368">
        <v>0</v>
      </c>
      <c r="K311" s="368">
        <v>-0.42350258527642498</v>
      </c>
      <c r="L311" s="368">
        <v>-0.67953847864317696</v>
      </c>
      <c r="M311" s="368">
        <v>0.107740073701124</v>
      </c>
      <c r="N311" s="368">
        <v>-0.232157633003019</v>
      </c>
      <c r="O311" s="368">
        <v>2.5728606114301101E-2</v>
      </c>
      <c r="T311" s="49">
        <v>2</v>
      </c>
      <c r="U311" s="143" t="s">
        <v>252</v>
      </c>
      <c r="V311" s="33" t="s">
        <v>254</v>
      </c>
      <c r="W311" s="53" t="s">
        <v>550</v>
      </c>
      <c r="X311" s="53" t="s">
        <v>203</v>
      </c>
      <c r="Y311" s="172">
        <f>IFERROR(-tblZwaste1422[[#This Row],[Weight (kgCO2e/kg)]],0)</f>
        <v>-2.1485799999999999</v>
      </c>
      <c r="Z311" s="172" t="e">
        <f>IF(AQ311="x",(AR311*-tblZwaste1422[[#This Row],[Weight (kgCO2e/kg)]])+AS311+($AR$10*Lookups!$J$38/1000),"DELETE")</f>
        <v>#N/A</v>
      </c>
      <c r="AA311" s="172">
        <f t="shared" si="81"/>
        <v>-4.6358453178799648</v>
      </c>
      <c r="AB311" s="172" t="str">
        <f t="shared" si="81"/>
        <v>DELETE</v>
      </c>
      <c r="AC311" s="172" t="str">
        <f t="shared" si="81"/>
        <v>DELETE</v>
      </c>
      <c r="AD311" s="172">
        <f t="shared" si="81"/>
        <v>2.60223023657884E-2</v>
      </c>
      <c r="AE311" s="172">
        <f t="shared" si="81"/>
        <v>0.69711824303247505</v>
      </c>
      <c r="AF311" s="172">
        <f t="shared" si="81"/>
        <v>2.53633256927669</v>
      </c>
      <c r="AG311" s="150"/>
      <c r="AI311" s="137">
        <v>2</v>
      </c>
      <c r="AJ311" s="136" t="s">
        <v>252</v>
      </c>
      <c r="AK311" s="142" t="s">
        <v>254</v>
      </c>
      <c r="AL311" s="136" t="s">
        <v>550</v>
      </c>
      <c r="AM311" s="136" t="s">
        <v>203</v>
      </c>
      <c r="AN311" s="1">
        <v>2.1485799999999999</v>
      </c>
      <c r="AO311" s="166">
        <v>1.77911</v>
      </c>
      <c r="AQ311" t="e">
        <f>_xlfn.XLOOKUP(tblGWP21[[#This Row],[Material Subcategory]],ls_Mat,Factors!$K$952:$K$1023)</f>
        <v>#N/A</v>
      </c>
      <c r="AR311" s="173">
        <v>0.77500000000000002</v>
      </c>
      <c r="AS311">
        <v>8.1306407300000008E-2</v>
      </c>
      <c r="AT311" t="s">
        <v>531</v>
      </c>
      <c r="AU311" t="s">
        <v>526</v>
      </c>
      <c r="AV311" s="347">
        <v>0.7</v>
      </c>
      <c r="BA311" cm="1">
        <f t="array" ref="BA311:BM311">tblGWP21[#This Row]</f>
        <v>2</v>
      </c>
      <c r="BB311" t="str">
        <v>Plastics</v>
      </c>
      <c r="BC311" t="str">
        <v>PET</v>
      </c>
      <c r="BD311" t="str">
        <v>Oceania</v>
      </c>
      <c r="BE311" t="str">
        <v>n/a</v>
      </c>
      <c r="BF311">
        <v>-2.1485799999999999</v>
      </c>
      <c r="BG311" t="e">
        <v>#N/A</v>
      </c>
      <c r="BH311">
        <v>-4.6358453178799648</v>
      </c>
      <c r="BI311" t="str">
        <v>DELETE</v>
      </c>
      <c r="BJ311" t="str">
        <v>DELETE</v>
      </c>
      <c r="BK311">
        <v>2.60223023657884E-2</v>
      </c>
      <c r="BL311">
        <v>0.69711824303247505</v>
      </c>
      <c r="BM311">
        <v>2.53633256927669</v>
      </c>
    </row>
    <row r="312" spans="3:65">
      <c r="C312" s="6">
        <v>2</v>
      </c>
      <c r="D312" s="373" t="s">
        <v>261</v>
      </c>
      <c r="E312" s="6" t="s">
        <v>262</v>
      </c>
      <c r="F312" s="136" t="s">
        <v>550</v>
      </c>
      <c r="G312" s="136" t="s">
        <v>203</v>
      </c>
      <c r="H312" s="191">
        <v>-2.5034000000000001</v>
      </c>
      <c r="I312" s="191">
        <v>0</v>
      </c>
      <c r="J312" s="191">
        <v>0</v>
      </c>
      <c r="K312" s="191">
        <v>-0.42350258527642498</v>
      </c>
      <c r="L312" s="191">
        <v>-0.67953847864317696</v>
      </c>
      <c r="M312" s="191">
        <v>0.107740073701124</v>
      </c>
      <c r="N312" s="191">
        <v>-0.232157633003019</v>
      </c>
      <c r="O312" s="191">
        <v>2.5728606114301101E-2</v>
      </c>
      <c r="T312" s="49">
        <v>2</v>
      </c>
      <c r="U312" s="143" t="s">
        <v>252</v>
      </c>
      <c r="V312" s="33" t="s">
        <v>532</v>
      </c>
      <c r="W312" s="53" t="s">
        <v>550</v>
      </c>
      <c r="X312" s="53" t="s">
        <v>203</v>
      </c>
      <c r="Y312" s="172">
        <f>IFERROR(-tblZwaste1422[[#This Row],[Weight (kgCO2e/kg)]],0)</f>
        <v>-1.9492499999999999</v>
      </c>
      <c r="Z312" s="172" t="e">
        <f>IF(AQ312="x",(AR312*-tblZwaste1422[[#This Row],[Weight (kgCO2e/kg)]])+AS312+($AR$10*Lookups!$J$38/1000),"DELETE")</f>
        <v>#N/A</v>
      </c>
      <c r="AA312" s="172">
        <f t="shared" si="81"/>
        <v>-4.5549858253038238</v>
      </c>
      <c r="AB312" s="172" t="str">
        <f t="shared" si="81"/>
        <v>DELETE</v>
      </c>
      <c r="AC312" s="172" t="str">
        <f t="shared" si="81"/>
        <v>DELETE</v>
      </c>
      <c r="AD312" s="172">
        <f t="shared" si="81"/>
        <v>2.6022303157787401E-2</v>
      </c>
      <c r="AE312" s="172">
        <f t="shared" si="81"/>
        <v>0.53523499308112499</v>
      </c>
      <c r="AF312" s="172">
        <f t="shared" si="81"/>
        <v>2.4956079529639799</v>
      </c>
      <c r="AG312" s="150"/>
      <c r="AI312" s="137">
        <v>2</v>
      </c>
      <c r="AJ312" s="136" t="s">
        <v>252</v>
      </c>
      <c r="AK312" s="142" t="s">
        <v>532</v>
      </c>
      <c r="AL312" s="136" t="s">
        <v>550</v>
      </c>
      <c r="AM312" s="136" t="s">
        <v>203</v>
      </c>
      <c r="AN312" s="1">
        <v>1.9492499999999999</v>
      </c>
      <c r="AO312" s="166">
        <v>1.77911</v>
      </c>
      <c r="AQ312" t="e">
        <f>_xlfn.XLOOKUP(tblGWP21[[#This Row],[Material Subcategory]],ls_Mat,Factors!$K$952:$K$1023)</f>
        <v>#N/A</v>
      </c>
      <c r="AV312" s="347"/>
      <c r="BA312" cm="1">
        <f t="array" ref="BA312:BM312">tblGWP21[#This Row]</f>
        <v>2</v>
      </c>
      <c r="BB312" t="str">
        <v>Plastics</v>
      </c>
      <c r="BC312" t="str">
        <v>LLDPE</v>
      </c>
      <c r="BD312" t="str">
        <v>Oceania</v>
      </c>
      <c r="BE312" t="str">
        <v>n/a</v>
      </c>
      <c r="BF312">
        <v>-1.9492499999999999</v>
      </c>
      <c r="BG312" t="e">
        <v>#N/A</v>
      </c>
      <c r="BH312">
        <v>-4.5549858253038238</v>
      </c>
      <c r="BI312" t="str">
        <v>DELETE</v>
      </c>
      <c r="BJ312" t="str">
        <v>DELETE</v>
      </c>
      <c r="BK312">
        <v>2.6022303157787401E-2</v>
      </c>
      <c r="BL312">
        <v>0.53523499308112499</v>
      </c>
      <c r="BM312">
        <v>2.4956079529639799</v>
      </c>
    </row>
    <row r="313" spans="3:65">
      <c r="C313" s="375">
        <v>2</v>
      </c>
      <c r="D313" s="374" t="s">
        <v>252</v>
      </c>
      <c r="E313" s="375" t="s">
        <v>252</v>
      </c>
      <c r="F313" s="362" t="s">
        <v>550</v>
      </c>
      <c r="G313" s="362" t="s">
        <v>203</v>
      </c>
      <c r="H313" s="368">
        <v>-2.0953266666666663</v>
      </c>
      <c r="I313" s="368">
        <v>-1.5407999593666664</v>
      </c>
      <c r="J313" s="368">
        <v>-4.4031027052446881</v>
      </c>
      <c r="K313" s="368">
        <v>0</v>
      </c>
      <c r="L313" s="368">
        <v>0</v>
      </c>
      <c r="M313" s="368">
        <v>2.6022305346742901E-2</v>
      </c>
      <c r="N313" s="368">
        <v>0.62743418122049499</v>
      </c>
      <c r="O313" s="368">
        <v>2.1870245647238802</v>
      </c>
      <c r="T313" s="49">
        <v>2</v>
      </c>
      <c r="U313" s="143" t="s">
        <v>252</v>
      </c>
      <c r="V313" s="33" t="s">
        <v>245</v>
      </c>
      <c r="W313" s="53" t="s">
        <v>550</v>
      </c>
      <c r="X313" s="53" t="s">
        <v>203</v>
      </c>
      <c r="Y313" s="172">
        <f>IFERROR(-tblZwaste1422[[#This Row],[Weight (kgCO2e/kg)]],0)</f>
        <v>-2.0269300000000001</v>
      </c>
      <c r="Z313" s="172" t="e">
        <f>IF(AQ313="x",(AR313*-tblZwaste1422[[#This Row],[Weight (kgCO2e/kg)]])+AS313+($AR$10*Lookups!$J$38/1000),"DELETE")</f>
        <v>#N/A</v>
      </c>
      <c r="AA313" s="172" t="str">
        <f t="shared" si="81"/>
        <v>DELETE</v>
      </c>
      <c r="AB313" s="172" t="str">
        <f t="shared" si="81"/>
        <v>DELETE</v>
      </c>
      <c r="AC313" s="172" t="str">
        <f t="shared" si="81"/>
        <v>DELETE</v>
      </c>
      <c r="AD313" s="172">
        <f t="shared" si="81"/>
        <v>2.60223032751358E-2</v>
      </c>
      <c r="AE313" s="172">
        <f t="shared" si="81"/>
        <v>0.44686290323644601</v>
      </c>
      <c r="AF313" s="172">
        <f t="shared" si="81"/>
        <v>3.1833670270929102</v>
      </c>
      <c r="AG313" s="150"/>
      <c r="AI313" s="137">
        <v>2</v>
      </c>
      <c r="AJ313" s="136" t="s">
        <v>252</v>
      </c>
      <c r="AK313" s="142" t="s">
        <v>245</v>
      </c>
      <c r="AL313" s="136" t="s">
        <v>550</v>
      </c>
      <c r="AM313" s="136" t="s">
        <v>203</v>
      </c>
      <c r="AN313" s="1">
        <v>2.0269300000000001</v>
      </c>
      <c r="AO313" s="166">
        <v>1.77911</v>
      </c>
      <c r="AQ313" t="e">
        <f>_xlfn.XLOOKUP(tblGWP21[[#This Row],[Material Subcategory]],ls_Mat,Factors!$K$952:$K$1023)</f>
        <v>#N/A</v>
      </c>
      <c r="AR313" s="173">
        <v>0.77500000000000002</v>
      </c>
      <c r="AS313">
        <v>8.1306407300000008E-2</v>
      </c>
      <c r="AT313" t="s">
        <v>531</v>
      </c>
      <c r="BA313" cm="1">
        <f t="array" ref="BA313:BM313">tblGWP21[#This Row]</f>
        <v>2</v>
      </c>
      <c r="BB313" t="str">
        <v>Plastics</v>
      </c>
      <c r="BC313" t="str">
        <v>PP</v>
      </c>
      <c r="BD313" t="str">
        <v>Oceania</v>
      </c>
      <c r="BE313" t="str">
        <v>n/a</v>
      </c>
      <c r="BF313">
        <v>-2.0269300000000001</v>
      </c>
      <c r="BG313" t="e">
        <v>#N/A</v>
      </c>
      <c r="BH313" t="str">
        <v>DELETE</v>
      </c>
      <c r="BI313" t="str">
        <v>DELETE</v>
      </c>
      <c r="BJ313" t="str">
        <v>DELETE</v>
      </c>
      <c r="BK313">
        <v>2.60223032751358E-2</v>
      </c>
      <c r="BL313">
        <v>0.44686290323644601</v>
      </c>
      <c r="BM313">
        <v>3.1833670270929102</v>
      </c>
    </row>
    <row r="314" spans="3:65" ht="28.8">
      <c r="C314" s="6">
        <v>2</v>
      </c>
      <c r="D314" s="373" t="s">
        <v>252</v>
      </c>
      <c r="E314" s="6" t="s">
        <v>253</v>
      </c>
      <c r="F314" s="136" t="s">
        <v>550</v>
      </c>
      <c r="G314" s="136" t="s">
        <v>203</v>
      </c>
      <c r="H314" s="191">
        <v>-2.04928</v>
      </c>
      <c r="I314" s="191">
        <v>0</v>
      </c>
      <c r="J314" s="191">
        <v>-3.8665938524911381</v>
      </c>
      <c r="K314" s="191">
        <v>0</v>
      </c>
      <c r="L314" s="191">
        <v>0</v>
      </c>
      <c r="M314" s="191">
        <v>2.60223023657884E-2</v>
      </c>
      <c r="N314" s="191">
        <v>0.49217855726131798</v>
      </c>
      <c r="O314" s="191">
        <v>3.18317771719081</v>
      </c>
      <c r="T314" s="49">
        <v>2</v>
      </c>
      <c r="U314" s="143" t="s">
        <v>252</v>
      </c>
      <c r="V314" s="33" t="s">
        <v>533</v>
      </c>
      <c r="W314" s="53" t="s">
        <v>550</v>
      </c>
      <c r="X314" s="53" t="s">
        <v>203</v>
      </c>
      <c r="Y314" s="172">
        <f>IFERROR(-tblZwaste1422[[#This Row],[Weight (kgCO2e/kg)]],0)</f>
        <v>-2.0748000000000002</v>
      </c>
      <c r="Z314" s="172" t="e">
        <f>IF(AQ314="x",(AR314*-tblZwaste1422[[#This Row],[Weight (kgCO2e/kg)]])+AS314+($AR$10*Lookups!$J$38/1000),"DELETE")</f>
        <v>#N/A</v>
      </c>
      <c r="AA314" s="172" t="str">
        <f t="shared" si="81"/>
        <v>DELETE</v>
      </c>
      <c r="AB314" s="172" t="str">
        <f t="shared" si="81"/>
        <v>DELETE</v>
      </c>
      <c r="AC314" s="172" t="str">
        <f t="shared" si="81"/>
        <v>DELETE</v>
      </c>
      <c r="AD314" s="172">
        <f t="shared" si="81"/>
        <v>2.6022298134733599E-2</v>
      </c>
      <c r="AE314" s="172">
        <f t="shared" si="81"/>
        <v>0.64496580944247495</v>
      </c>
      <c r="AF314" s="172">
        <f t="shared" si="81"/>
        <v>3.03683072134959</v>
      </c>
      <c r="AG314" s="150"/>
      <c r="AI314" s="137">
        <v>2</v>
      </c>
      <c r="AJ314" s="136" t="s">
        <v>252</v>
      </c>
      <c r="AK314" s="142" t="s">
        <v>533</v>
      </c>
      <c r="AL314" s="136" t="s">
        <v>550</v>
      </c>
      <c r="AM314" s="136" t="s">
        <v>203</v>
      </c>
      <c r="AN314" s="1">
        <v>2.0748000000000002</v>
      </c>
      <c r="AO314" s="166">
        <v>1.77911</v>
      </c>
      <c r="AQ314" t="e">
        <f>_xlfn.XLOOKUP(tblGWP21[[#This Row],[Material Subcategory]],ls_Mat,Factors!$K$952:$K$1023)</f>
        <v>#N/A</v>
      </c>
      <c r="AR314" s="173">
        <v>0.77500000000000002</v>
      </c>
      <c r="AS314">
        <v>8.1306407300000008E-2</v>
      </c>
      <c r="AT314" t="s">
        <v>531</v>
      </c>
      <c r="BA314" cm="1">
        <f t="array" ref="BA314:BM314">tblGWP21[#This Row]</f>
        <v>2</v>
      </c>
      <c r="BB314" t="str">
        <v>Plastics</v>
      </c>
      <c r="BC314" t="str">
        <v>PVC</v>
      </c>
      <c r="BD314" t="str">
        <v>Oceania</v>
      </c>
      <c r="BE314" t="str">
        <v>n/a</v>
      </c>
      <c r="BF314">
        <v>-2.0748000000000002</v>
      </c>
      <c r="BG314" t="e">
        <v>#N/A</v>
      </c>
      <c r="BH314" t="str">
        <v>DELETE</v>
      </c>
      <c r="BI314" t="str">
        <v>DELETE</v>
      </c>
      <c r="BJ314" t="str">
        <v>DELETE</v>
      </c>
      <c r="BK314">
        <v>2.6022298134733599E-2</v>
      </c>
      <c r="BL314">
        <v>0.64496580944247495</v>
      </c>
      <c r="BM314">
        <v>3.03683072134959</v>
      </c>
    </row>
    <row r="315" spans="3:65">
      <c r="C315" s="375">
        <v>2</v>
      </c>
      <c r="D315" s="374" t="s">
        <v>252</v>
      </c>
      <c r="E315" s="375" t="s">
        <v>328</v>
      </c>
      <c r="F315" s="362" t="s">
        <v>550</v>
      </c>
      <c r="G315" s="362" t="s">
        <v>203</v>
      </c>
      <c r="H315" s="368">
        <v>-2.3231199999999999</v>
      </c>
      <c r="I315" s="368">
        <v>0</v>
      </c>
      <c r="J315" s="368">
        <v>-4.5549858253038238</v>
      </c>
      <c r="K315" s="368">
        <v>0</v>
      </c>
      <c r="L315" s="368">
        <v>0</v>
      </c>
      <c r="M315" s="368">
        <v>2.6022303157787401E-2</v>
      </c>
      <c r="N315" s="368">
        <v>0.53523499308112499</v>
      </c>
      <c r="O315" s="368">
        <v>2.4956079529639799</v>
      </c>
      <c r="T315" s="49">
        <v>2</v>
      </c>
      <c r="U315" s="143" t="s">
        <v>242</v>
      </c>
      <c r="V315" s="33" t="s">
        <v>242</v>
      </c>
      <c r="W315" s="53" t="s">
        <v>550</v>
      </c>
      <c r="X315" s="53" t="s">
        <v>203</v>
      </c>
      <c r="Y315" s="172">
        <f>IFERROR(-tblZwaste1422[[#This Row],[Weight (kgCO2e/kg)]],0)</f>
        <v>-38.486130000000003</v>
      </c>
      <c r="Z315" s="172" t="e">
        <f>IF(AQ315="x",(AR315*-tblZwaste1422[[#This Row],[Weight (kgCO2e/kg)]])+AS315+($AR$10*Lookups!$J$38/1000),"DELETE")</f>
        <v>#N/A</v>
      </c>
      <c r="AA315" s="172">
        <f>AVERAGE(AA316,AA317,AA349,AA350)</f>
        <v>-3.2868550000000001</v>
      </c>
      <c r="AB315" s="172" t="str">
        <f t="shared" si="81"/>
        <v>DELETE</v>
      </c>
      <c r="AC315" s="172" t="str">
        <f t="shared" si="81"/>
        <v>DELETE</v>
      </c>
      <c r="AD315" s="172">
        <f t="shared" si="81"/>
        <v>2.5860000000000001E-2</v>
      </c>
      <c r="AE315" s="172">
        <f t="shared" si="81"/>
        <v>4.1800809795969597E-2</v>
      </c>
      <c r="AF315" s="172">
        <f t="shared" si="81"/>
        <v>4.8913810169323599E-2</v>
      </c>
      <c r="AG315" s="150"/>
      <c r="AI315" s="137">
        <v>2</v>
      </c>
      <c r="AJ315" s="136" t="s">
        <v>242</v>
      </c>
      <c r="AK315" s="142" t="s">
        <v>242</v>
      </c>
      <c r="AL315" s="136" t="s">
        <v>550</v>
      </c>
      <c r="AM315" s="136" t="s">
        <v>203</v>
      </c>
      <c r="AN315" s="1">
        <v>38.486130000000003</v>
      </c>
      <c r="AO315" s="166">
        <v>0.20843</v>
      </c>
      <c r="AQ315" t="e">
        <f>_xlfn.XLOOKUP(tblGWP21[[#This Row],[Material Subcategory]],ls_Mat,Factors!$K$952:$K$1023)</f>
        <v>#N/A</v>
      </c>
      <c r="AR315" s="173">
        <v>0.72499999999999998</v>
      </c>
      <c r="AS315">
        <v>0</v>
      </c>
      <c r="AT315" t="s">
        <v>527</v>
      </c>
      <c r="BA315" cm="1">
        <f t="array" ref="BA315:BM315">tblGWP21[#This Row]</f>
        <v>2</v>
      </c>
      <c r="BB315" t="str">
        <v>Electronics</v>
      </c>
      <c r="BC315" t="str">
        <v>Electronics</v>
      </c>
      <c r="BD315" t="str">
        <v>Oceania</v>
      </c>
      <c r="BE315" t="str">
        <v>n/a</v>
      </c>
      <c r="BF315">
        <v>-38.486130000000003</v>
      </c>
      <c r="BG315" t="e">
        <v>#N/A</v>
      </c>
      <c r="BH315">
        <v>-3.2868550000000001</v>
      </c>
      <c r="BI315" t="str">
        <v>DELETE</v>
      </c>
      <c r="BJ315" t="str">
        <v>DELETE</v>
      </c>
      <c r="BK315">
        <v>2.5860000000000001E-2</v>
      </c>
      <c r="BL315">
        <v>4.1800809795969597E-2</v>
      </c>
      <c r="BM315">
        <v>4.8913810169323599E-2</v>
      </c>
    </row>
    <row r="316" spans="3:65">
      <c r="C316" s="6">
        <v>2</v>
      </c>
      <c r="D316" s="373" t="s">
        <v>252</v>
      </c>
      <c r="E316" s="6" t="s">
        <v>254</v>
      </c>
      <c r="F316" s="136" t="s">
        <v>550</v>
      </c>
      <c r="G316" s="136" t="s">
        <v>203</v>
      </c>
      <c r="H316" s="191">
        <v>-2.1485799999999999</v>
      </c>
      <c r="I316" s="191">
        <v>0</v>
      </c>
      <c r="J316" s="191">
        <v>-4.6358453178799648</v>
      </c>
      <c r="K316" s="191">
        <v>0</v>
      </c>
      <c r="L316" s="191">
        <v>0</v>
      </c>
      <c r="M316" s="191">
        <v>2.60223023657884E-2</v>
      </c>
      <c r="N316" s="191">
        <v>0.69711824303247505</v>
      </c>
      <c r="O316" s="191">
        <v>2.53633256927669</v>
      </c>
      <c r="T316" s="49">
        <v>2</v>
      </c>
      <c r="U316" s="143" t="s">
        <v>242</v>
      </c>
      <c r="V316" s="33" t="s">
        <v>274</v>
      </c>
      <c r="W316" s="53" t="s">
        <v>550</v>
      </c>
      <c r="X316" s="53" t="s">
        <v>203</v>
      </c>
      <c r="Y316" s="172">
        <f>IFERROR(-tblZwaste1422[[#This Row],[Weight (kgCO2e/kg)]],0)</f>
        <v>-38.486130000000003</v>
      </c>
      <c r="Z316" s="172">
        <f>IF(AQ316="x",(AR316*-tblZwaste1422[[#This Row],[Weight (kgCO2e/kg)]])+AS316+($AR$10*Lookups!$J$38/1000),"DELETE")</f>
        <v>-27.900672450000002</v>
      </c>
      <c r="AA316" s="172">
        <v>-8.5278425000000002</v>
      </c>
      <c r="AB316" s="172" t="str">
        <f t="shared" si="81"/>
        <v>DELETE</v>
      </c>
      <c r="AC316" s="172" t="str">
        <f t="shared" si="81"/>
        <v>DELETE</v>
      </c>
      <c r="AD316" s="172">
        <f t="shared" si="81"/>
        <v>2.5860000000000001E-2</v>
      </c>
      <c r="AE316" s="172">
        <f t="shared" si="81"/>
        <v>4.1800809795969597E-2</v>
      </c>
      <c r="AF316" s="172">
        <f t="shared" si="81"/>
        <v>4.8913810169323599E-2</v>
      </c>
      <c r="AG316" s="150"/>
      <c r="AI316" s="137">
        <v>2</v>
      </c>
      <c r="AJ316" s="136" t="s">
        <v>242</v>
      </c>
      <c r="AK316" s="142" t="s">
        <v>242</v>
      </c>
      <c r="AL316" s="136" t="s">
        <v>550</v>
      </c>
      <c r="AM316" s="136" t="s">
        <v>203</v>
      </c>
      <c r="AN316" s="1">
        <v>38.486130000000003</v>
      </c>
      <c r="AO316" s="166">
        <v>0.20843</v>
      </c>
      <c r="AQ316" t="str">
        <f>_xlfn.XLOOKUP(tblGWP21[[#This Row],[Material Subcategory]],ls_Mat,Factors!$K$952:$K$1023)</f>
        <v>x</v>
      </c>
      <c r="AR316" s="173">
        <v>0.72499999999999998</v>
      </c>
      <c r="AS316">
        <v>0</v>
      </c>
      <c r="AT316" t="s">
        <v>527</v>
      </c>
      <c r="AU316" t="s">
        <v>526</v>
      </c>
      <c r="AV316" s="347">
        <v>0.8</v>
      </c>
      <c r="BA316" cm="1">
        <f t="array" ref="BA316:BM316">tblGWP21[#This Row]</f>
        <v>2</v>
      </c>
      <c r="BB316" t="str">
        <v>Electronics</v>
      </c>
      <c r="BC316" t="str">
        <v>E-waste</v>
      </c>
      <c r="BD316" t="str">
        <v>Oceania</v>
      </c>
      <c r="BE316" t="str">
        <v>n/a</v>
      </c>
      <c r="BF316">
        <v>-38.486130000000003</v>
      </c>
      <c r="BG316">
        <v>-27.900672450000002</v>
      </c>
      <c r="BH316">
        <v>-8.5278425000000002</v>
      </c>
      <c r="BI316" t="str">
        <v>DELETE</v>
      </c>
      <c r="BJ316" t="str">
        <v>DELETE</v>
      </c>
      <c r="BK316">
        <v>2.5860000000000001E-2</v>
      </c>
      <c r="BL316">
        <v>4.1800809795969597E-2</v>
      </c>
      <c r="BM316">
        <v>4.8913810169323599E-2</v>
      </c>
    </row>
    <row r="317" spans="3:65">
      <c r="C317" s="375">
        <v>2</v>
      </c>
      <c r="D317" s="374" t="s">
        <v>252</v>
      </c>
      <c r="E317" s="375" t="s">
        <v>532</v>
      </c>
      <c r="F317" s="362" t="s">
        <v>550</v>
      </c>
      <c r="G317" s="362" t="s">
        <v>203</v>
      </c>
      <c r="H317" s="368">
        <v>-1.9492499999999999</v>
      </c>
      <c r="I317" s="368">
        <v>0</v>
      </c>
      <c r="J317" s="368">
        <v>-4.5549858253038238</v>
      </c>
      <c r="K317" s="368">
        <v>0</v>
      </c>
      <c r="L317" s="368">
        <v>0</v>
      </c>
      <c r="M317" s="368">
        <v>2.6022303157787401E-2</v>
      </c>
      <c r="N317" s="368">
        <v>0.53523499308112499</v>
      </c>
      <c r="O317" s="368">
        <v>2.4956079529639799</v>
      </c>
      <c r="T317" s="49">
        <v>2</v>
      </c>
      <c r="U317" s="143" t="s">
        <v>242</v>
      </c>
      <c r="V317" s="33" t="s">
        <v>534</v>
      </c>
      <c r="W317" s="53" t="s">
        <v>550</v>
      </c>
      <c r="X317" s="53" t="s">
        <v>203</v>
      </c>
      <c r="Y317" s="172">
        <f>IFERROR(-tblZwaste1422[[#This Row],[Weight (kgCO2e/kg)]],0)</f>
        <v>-15.0122</v>
      </c>
      <c r="Z317" s="172">
        <f>IF(AQ317="x",(AR317*-tblZwaste1422[[#This Row],[Weight (kgCO2e/kg)]])+AS317+($AR$10*Lookups!$J$38/1000),"DELETE")</f>
        <v>-10.882073199999999</v>
      </c>
      <c r="AA317" s="172">
        <v>-3.19428</v>
      </c>
      <c r="AB317" s="172" t="str">
        <f t="shared" ref="AA317:AF326" si="82">AB821</f>
        <v>DELETE</v>
      </c>
      <c r="AC317" s="172" t="str">
        <f t="shared" si="82"/>
        <v>DELETE</v>
      </c>
      <c r="AD317" s="172">
        <f t="shared" si="82"/>
        <v>2.5860000000000001E-2</v>
      </c>
      <c r="AE317" s="172">
        <f t="shared" si="82"/>
        <v>4.1800809795969597E-2</v>
      </c>
      <c r="AF317" s="172">
        <f t="shared" si="82"/>
        <v>4.8913810169323599E-2</v>
      </c>
      <c r="AG317" s="150"/>
      <c r="AI317" s="137">
        <v>2</v>
      </c>
      <c r="AJ317" s="136" t="s">
        <v>242</v>
      </c>
      <c r="AK317" s="142" t="s">
        <v>534</v>
      </c>
      <c r="AL317" s="136" t="s">
        <v>550</v>
      </c>
      <c r="AM317" s="136" t="s">
        <v>203</v>
      </c>
      <c r="AN317" s="1">
        <v>15.0122</v>
      </c>
      <c r="AO317" s="166">
        <v>0.37092000000000003</v>
      </c>
      <c r="AQ317" t="str">
        <f>_xlfn.XLOOKUP(tblGWP21[[#This Row],[Material Subcategory]],ls_Mat,Factors!$K$952:$K$1023)</f>
        <v>x</v>
      </c>
      <c r="AR317" s="173">
        <v>0.72499999999999998</v>
      </c>
      <c r="AS317">
        <v>0</v>
      </c>
      <c r="AT317" t="s">
        <v>527</v>
      </c>
      <c r="AU317" t="s">
        <v>526</v>
      </c>
      <c r="AV317" s="347">
        <v>0.88</v>
      </c>
      <c r="BA317" cm="1">
        <f t="array" ref="BA317:BM317">tblGWP21[#This Row]</f>
        <v>2</v>
      </c>
      <c r="BB317" t="str">
        <v>Electronics</v>
      </c>
      <c r="BC317" t="str">
        <v>Batteries</v>
      </c>
      <c r="BD317" t="str">
        <v>Oceania</v>
      </c>
      <c r="BE317" t="str">
        <v>n/a</v>
      </c>
      <c r="BF317">
        <v>-15.0122</v>
      </c>
      <c r="BG317">
        <v>-10.882073199999999</v>
      </c>
      <c r="BH317">
        <v>-3.19428</v>
      </c>
      <c r="BI317" t="str">
        <v>DELETE</v>
      </c>
      <c r="BJ317" t="str">
        <v>DELETE</v>
      </c>
      <c r="BK317">
        <v>2.5860000000000001E-2</v>
      </c>
      <c r="BL317">
        <v>4.1800809795969597E-2</v>
      </c>
      <c r="BM317">
        <v>4.8913810169323599E-2</v>
      </c>
    </row>
    <row r="318" spans="3:65">
      <c r="C318" s="6">
        <v>2</v>
      </c>
      <c r="D318" s="373" t="s">
        <v>252</v>
      </c>
      <c r="E318" s="6" t="s">
        <v>245</v>
      </c>
      <c r="F318" s="136" t="s">
        <v>550</v>
      </c>
      <c r="G318" s="136" t="s">
        <v>203</v>
      </c>
      <c r="H318" s="191">
        <v>-2.0269300000000001</v>
      </c>
      <c r="I318" s="191">
        <v>0</v>
      </c>
      <c r="J318" s="191">
        <v>0</v>
      </c>
      <c r="K318" s="191">
        <v>0</v>
      </c>
      <c r="L318" s="191">
        <v>0</v>
      </c>
      <c r="M318" s="191">
        <v>2.60223032751358E-2</v>
      </c>
      <c r="N318" s="191">
        <v>0.44686290323644601</v>
      </c>
      <c r="O318" s="191">
        <v>3.1833670270929102</v>
      </c>
      <c r="T318" s="49">
        <v>2</v>
      </c>
      <c r="U318" s="143" t="s">
        <v>239</v>
      </c>
      <c r="V318" s="33" t="s">
        <v>239</v>
      </c>
      <c r="W318" s="53" t="s">
        <v>550</v>
      </c>
      <c r="X318" s="53" t="s">
        <v>203</v>
      </c>
      <c r="Y318" s="172">
        <f>IFERROR(-tblZwaste1422[[#This Row],[Weight (kgCO2e/kg)]],0)</f>
        <v>-2.6644477777777777</v>
      </c>
      <c r="Z318" s="172" t="e">
        <f>IF(AQ318="x",(AR318*-tblZwaste1422[[#This Row],[Weight (kgCO2e/kg)]])+AS318+($AR$10*Lookups!$J$38/1000),"DELETE")</f>
        <v>#N/A</v>
      </c>
      <c r="AA318" s="172">
        <f t="shared" si="82"/>
        <v>-0.82622090524955993</v>
      </c>
      <c r="AB318" s="172">
        <f t="shared" si="82"/>
        <v>-1.6415582940675599</v>
      </c>
      <c r="AC318" s="172">
        <f t="shared" si="82"/>
        <v>-2.38875601138436</v>
      </c>
      <c r="AD318" s="172">
        <f t="shared" si="82"/>
        <v>-0.64660766527578795</v>
      </c>
      <c r="AE318" s="172">
        <f t="shared" si="82"/>
        <v>-0.84015304589553597</v>
      </c>
      <c r="AF318" s="172">
        <f t="shared" si="82"/>
        <v>2.7471597181405401E-2</v>
      </c>
      <c r="AG318" s="150"/>
      <c r="AI318" s="137">
        <v>2</v>
      </c>
      <c r="AJ318" s="136" t="s">
        <v>239</v>
      </c>
      <c r="AK318" s="142" t="s">
        <v>239</v>
      </c>
      <c r="AL318" s="136" t="s">
        <v>550</v>
      </c>
      <c r="AM318" s="136" t="s">
        <v>203</v>
      </c>
      <c r="AN318" s="1">
        <v>2.6644477777777777</v>
      </c>
      <c r="AO318" s="166">
        <v>0.64099666666666666</v>
      </c>
      <c r="AQ318" t="e">
        <f>_xlfn.XLOOKUP(tblGWP21[[#This Row],[Material Subcategory]],ls_Mat,Factors!$K$952:$K$1023)</f>
        <v>#N/A</v>
      </c>
      <c r="AR318" s="173">
        <v>0.64600000000000002</v>
      </c>
      <c r="AS318">
        <v>0</v>
      </c>
      <c r="AT318" t="s">
        <v>527</v>
      </c>
      <c r="AU318" t="s">
        <v>526</v>
      </c>
      <c r="AV318" s="347">
        <v>0.8</v>
      </c>
      <c r="BA318" cm="1">
        <f t="array" ref="BA318:BM318">tblGWP21[#This Row]</f>
        <v>2</v>
      </c>
      <c r="BB318" t="str">
        <v>Paper</v>
      </c>
      <c r="BC318" t="str">
        <v>Paper</v>
      </c>
      <c r="BD318" t="str">
        <v>Oceania</v>
      </c>
      <c r="BE318" t="str">
        <v>n/a</v>
      </c>
      <c r="BF318">
        <v>-2.6644477777777777</v>
      </c>
      <c r="BG318" t="e">
        <v>#N/A</v>
      </c>
      <c r="BH318">
        <v>-0.82622090524955993</v>
      </c>
      <c r="BI318">
        <v>-1.6415582940675599</v>
      </c>
      <c r="BJ318">
        <v>-2.38875601138436</v>
      </c>
      <c r="BK318">
        <v>-0.64660766527578795</v>
      </c>
      <c r="BL318">
        <v>-0.84015304589553597</v>
      </c>
      <c r="BM318">
        <v>2.7471597181405401E-2</v>
      </c>
    </row>
    <row r="319" spans="3:65">
      <c r="C319" s="375">
        <v>2</v>
      </c>
      <c r="D319" s="374" t="s">
        <v>252</v>
      </c>
      <c r="E319" s="375" t="s">
        <v>533</v>
      </c>
      <c r="F319" s="362" t="s">
        <v>550</v>
      </c>
      <c r="G319" s="362" t="s">
        <v>203</v>
      </c>
      <c r="H319" s="368">
        <v>-2.0748000000000002</v>
      </c>
      <c r="I319" s="368">
        <v>0</v>
      </c>
      <c r="J319" s="368">
        <v>0</v>
      </c>
      <c r="K319" s="368">
        <v>0</v>
      </c>
      <c r="L319" s="368">
        <v>0</v>
      </c>
      <c r="M319" s="368">
        <v>2.6022298134733599E-2</v>
      </c>
      <c r="N319" s="368">
        <v>0.64496580944247495</v>
      </c>
      <c r="O319" s="368">
        <v>3.03683072134959</v>
      </c>
      <c r="T319" s="49">
        <v>2</v>
      </c>
      <c r="U319" s="143" t="s">
        <v>239</v>
      </c>
      <c r="V319" s="33" t="s">
        <v>324</v>
      </c>
      <c r="W319" s="53" t="s">
        <v>550</v>
      </c>
      <c r="X319" s="53" t="s">
        <v>203</v>
      </c>
      <c r="Y319" s="172">
        <f>IFERROR(-tblZwaste1422[[#This Row],[Weight (kgCO2e/kg)]],0)</f>
        <v>-1.66</v>
      </c>
      <c r="Z319" s="172" t="str">
        <f>IF(AQ319="x",(AR319*-tblZwaste1422[[#This Row],[Weight (kgCO2e/kg)]])+AS319+($AR$10*Lookups!$J$38/1000),"DELETE")</f>
        <v>DELETE</v>
      </c>
      <c r="AA319" s="172">
        <f t="shared" si="82"/>
        <v>0.2257372170756459</v>
      </c>
      <c r="AB319" s="172">
        <f t="shared" si="82"/>
        <v>-1.6521126151519701</v>
      </c>
      <c r="AC319" s="172">
        <f t="shared" si="82"/>
        <v>-2.2425496041953599</v>
      </c>
      <c r="AD319" s="172">
        <f t="shared" si="82"/>
        <v>-1.1293815758271</v>
      </c>
      <c r="AE319" s="172">
        <f t="shared" si="82"/>
        <v>-0.91353993473315398</v>
      </c>
      <c r="AF319" s="172">
        <f t="shared" si="82"/>
        <v>2.66824832139794E-2</v>
      </c>
      <c r="AG319" s="150"/>
      <c r="AI319" s="137">
        <v>2</v>
      </c>
      <c r="AJ319" s="136" t="s">
        <v>239</v>
      </c>
      <c r="AK319" s="142" t="s">
        <v>324</v>
      </c>
      <c r="AL319" s="136" t="s">
        <v>550</v>
      </c>
      <c r="AM319" s="136" t="s">
        <v>203</v>
      </c>
      <c r="AN319" s="1">
        <v>1.66</v>
      </c>
      <c r="AO319" s="166">
        <v>0.13142999999999999</v>
      </c>
      <c r="AQ319">
        <f>_xlfn.XLOOKUP(tblGWP21[[#This Row],[Material Subcategory]],ls_Mat,Factors!$K$952:$K$1023)</f>
        <v>0</v>
      </c>
      <c r="AR319" s="173">
        <v>0.64600000000000002</v>
      </c>
      <c r="AS319">
        <v>0</v>
      </c>
      <c r="AT319" t="s">
        <v>527</v>
      </c>
      <c r="AU319" t="s">
        <v>526</v>
      </c>
      <c r="AV319" s="347">
        <v>0.65</v>
      </c>
      <c r="BA319" cm="1">
        <f t="array" ref="BA319:BM319">tblGWP21[#This Row]</f>
        <v>2</v>
      </c>
      <c r="BB319" t="str">
        <v>Paper</v>
      </c>
      <c r="BC319" t="str">
        <v>Newsprint</v>
      </c>
      <c r="BD319" t="str">
        <v>Oceania</v>
      </c>
      <c r="BE319" t="str">
        <v>n/a</v>
      </c>
      <c r="BF319">
        <v>-1.66</v>
      </c>
      <c r="BG319" t="str">
        <v>DELETE</v>
      </c>
      <c r="BH319">
        <v>0.2257372170756459</v>
      </c>
      <c r="BI319">
        <v>-1.6521126151519701</v>
      </c>
      <c r="BJ319">
        <v>-2.2425496041953599</v>
      </c>
      <c r="BK319">
        <v>-1.1293815758271</v>
      </c>
      <c r="BL319">
        <v>-0.91353993473315398</v>
      </c>
      <c r="BM319">
        <v>2.66824832139794E-2</v>
      </c>
    </row>
    <row r="320" spans="3:65">
      <c r="C320" s="6">
        <v>2</v>
      </c>
      <c r="D320" s="373" t="s">
        <v>242</v>
      </c>
      <c r="E320" s="6" t="s">
        <v>242</v>
      </c>
      <c r="F320" s="136" t="s">
        <v>550</v>
      </c>
      <c r="G320" s="136" t="s">
        <v>203</v>
      </c>
      <c r="H320" s="191">
        <v>-38.486130000000003</v>
      </c>
      <c r="I320" s="191">
        <v>-27.900672450000002</v>
      </c>
      <c r="J320" s="191">
        <v>-3.2868550000000001</v>
      </c>
      <c r="K320" s="191">
        <v>0</v>
      </c>
      <c r="L320" s="191">
        <v>0</v>
      </c>
      <c r="M320" s="191">
        <v>2.5860000000000001E-2</v>
      </c>
      <c r="N320" s="191">
        <v>4.1800809795969597E-2</v>
      </c>
      <c r="O320" s="191">
        <v>4.8913810169323599E-2</v>
      </c>
      <c r="T320" s="49">
        <v>2</v>
      </c>
      <c r="U320" s="143" t="s">
        <v>239</v>
      </c>
      <c r="V320" s="33" t="s">
        <v>272</v>
      </c>
      <c r="W320" s="53" t="s">
        <v>550</v>
      </c>
      <c r="X320" s="53" t="s">
        <v>203</v>
      </c>
      <c r="Y320" s="172">
        <f>IFERROR(-tblZwaste1422[[#This Row],[Weight (kgCO2e/kg)]],0)</f>
        <v>-2.1278299999999999</v>
      </c>
      <c r="Z320" s="172">
        <f>IF(AQ320="x",(AR320*-tblZwaste1422[[#This Row],[Weight (kgCO2e/kg)]])+AS320+($AR$10*Lookups!$J$38/1000),"DELETE")</f>
        <v>-1.3728063799999999</v>
      </c>
      <c r="AA320" s="172">
        <f t="shared" si="82"/>
        <v>-9.7960759837963044E-3</v>
      </c>
      <c r="AB320" s="172">
        <f t="shared" si="82"/>
        <v>-1.47896134305996</v>
      </c>
      <c r="AC320" s="172">
        <f t="shared" si="82"/>
        <v>-2.2496173220472202</v>
      </c>
      <c r="AD320" s="172">
        <f t="shared" si="82"/>
        <v>2.8719999999999999E-2</v>
      </c>
      <c r="AE320" s="172">
        <f t="shared" si="82"/>
        <v>-0.71785899660587404</v>
      </c>
      <c r="AF320" s="172">
        <f t="shared" si="82"/>
        <v>3.4584894634626703E-2</v>
      </c>
      <c r="AG320" s="150"/>
      <c r="AI320" s="137">
        <v>2</v>
      </c>
      <c r="AJ320" s="136" t="s">
        <v>239</v>
      </c>
      <c r="AK320" s="142" t="s">
        <v>272</v>
      </c>
      <c r="AL320" s="136" t="s">
        <v>550</v>
      </c>
      <c r="AM320" s="136" t="s">
        <v>203</v>
      </c>
      <c r="AN320" s="1">
        <v>2.1278299999999999</v>
      </c>
      <c r="AO320" s="166">
        <v>1.2152400000000001</v>
      </c>
      <c r="AQ320" t="str">
        <f>_xlfn.XLOOKUP(tblGWP21[[#This Row],[Material Subcategory]],ls_Mat,Factors!$K$952:$K$1023)</f>
        <v>x</v>
      </c>
      <c r="AR320" s="173">
        <v>0.64600000000000002</v>
      </c>
      <c r="AS320">
        <v>0</v>
      </c>
      <c r="AT320" t="s">
        <v>527</v>
      </c>
      <c r="AU320" t="s">
        <v>526</v>
      </c>
      <c r="AV320" s="347">
        <v>0.65</v>
      </c>
      <c r="BA320" cm="1">
        <f t="array" ref="BA320:BM320">tblGWP21[#This Row]</f>
        <v>2</v>
      </c>
      <c r="BB320" t="str">
        <v>Paper</v>
      </c>
      <c r="BC320" t="str">
        <v>Corr. Cardboard</v>
      </c>
      <c r="BD320" t="str">
        <v>Oceania</v>
      </c>
      <c r="BE320" t="str">
        <v>n/a</v>
      </c>
      <c r="BF320">
        <v>-2.1278299999999999</v>
      </c>
      <c r="BG320">
        <v>-1.3728063799999999</v>
      </c>
      <c r="BH320">
        <v>-9.7960759837963044E-3</v>
      </c>
      <c r="BI320">
        <v>-1.47896134305996</v>
      </c>
      <c r="BJ320">
        <v>-2.2496173220472202</v>
      </c>
      <c r="BK320">
        <v>2.8719999999999999E-2</v>
      </c>
      <c r="BL320">
        <v>-0.71785899660587404</v>
      </c>
      <c r="BM320">
        <v>3.4584894634626703E-2</v>
      </c>
    </row>
    <row r="321" spans="3:65">
      <c r="C321" s="375">
        <v>2</v>
      </c>
      <c r="D321" s="374" t="s">
        <v>242</v>
      </c>
      <c r="E321" s="375" t="s">
        <v>274</v>
      </c>
      <c r="F321" s="362" t="s">
        <v>550</v>
      </c>
      <c r="G321" s="362" t="s">
        <v>203</v>
      </c>
      <c r="H321" s="368">
        <v>-38.486130000000003</v>
      </c>
      <c r="I321" s="368">
        <v>-27.900672450000002</v>
      </c>
      <c r="J321" s="368">
        <v>-8.5278425000000002</v>
      </c>
      <c r="K321" s="368">
        <v>0</v>
      </c>
      <c r="L321" s="368">
        <v>0</v>
      </c>
      <c r="M321" s="368">
        <v>2.5860000000000001E-2</v>
      </c>
      <c r="N321" s="368">
        <v>4.1800809795969597E-2</v>
      </c>
      <c r="O321" s="368">
        <v>4.8913810169323599E-2</v>
      </c>
      <c r="T321" s="49">
        <v>2</v>
      </c>
      <c r="U321" s="143" t="s">
        <v>239</v>
      </c>
      <c r="V321" s="33" t="s">
        <v>329</v>
      </c>
      <c r="W321" s="53" t="s">
        <v>550</v>
      </c>
      <c r="X321" s="53" t="s">
        <v>203</v>
      </c>
      <c r="Y321" s="172">
        <f>IFERROR(-tblZwaste1422[[#This Row],[Weight (kgCO2e/kg)]],0)</f>
        <v>-3.4792200000000002</v>
      </c>
      <c r="Z321" s="172" t="str">
        <f>IF(AQ321="x",(AR321*-tblZwaste1422[[#This Row],[Weight (kgCO2e/kg)]])+AS321+($AR$10*Lookups!$J$38/1000),"DELETE")</f>
        <v>DELETE</v>
      </c>
      <c r="AA321" s="172">
        <f t="shared" si="82"/>
        <v>-3.0376865005412763</v>
      </c>
      <c r="AB321" s="172">
        <f t="shared" si="82"/>
        <v>-1.60158523725014</v>
      </c>
      <c r="AC321" s="172">
        <f t="shared" si="82"/>
        <v>-2.4921425072357501</v>
      </c>
      <c r="AD321" s="172">
        <f t="shared" si="82"/>
        <v>0.45925517082806799</v>
      </c>
      <c r="AE321" s="172">
        <f t="shared" si="82"/>
        <v>-0.72042664235723797</v>
      </c>
      <c r="AF321" s="172">
        <f t="shared" si="82"/>
        <v>3.7247553155519197E-2</v>
      </c>
      <c r="AG321" s="150"/>
      <c r="AI321" s="137">
        <v>2</v>
      </c>
      <c r="AJ321" s="136" t="s">
        <v>239</v>
      </c>
      <c r="AK321" s="142" t="s">
        <v>329</v>
      </c>
      <c r="AL321" s="136" t="s">
        <v>550</v>
      </c>
      <c r="AM321" s="136" t="s">
        <v>203</v>
      </c>
      <c r="AN321" s="1">
        <v>3.4792200000000002</v>
      </c>
      <c r="AO321" s="166">
        <v>1.0383</v>
      </c>
      <c r="AQ321">
        <f>_xlfn.XLOOKUP(tblGWP21[[#This Row],[Material Subcategory]],ls_Mat,Factors!$K$952:$K$1023)</f>
        <v>0</v>
      </c>
      <c r="AU321" t="s">
        <v>526</v>
      </c>
      <c r="AV321" s="347">
        <v>0.65</v>
      </c>
      <c r="BA321" cm="1">
        <f t="array" ref="BA321:BM321">tblGWP21[#This Row]</f>
        <v>2</v>
      </c>
      <c r="BB321" t="str">
        <v>Paper</v>
      </c>
      <c r="BC321" t="str">
        <v>Office Paper</v>
      </c>
      <c r="BD321" t="str">
        <v>Oceania</v>
      </c>
      <c r="BE321" t="str">
        <v>n/a</v>
      </c>
      <c r="BF321">
        <v>-3.4792200000000002</v>
      </c>
      <c r="BG321" t="str">
        <v>DELETE</v>
      </c>
      <c r="BH321">
        <v>-3.0376865005412763</v>
      </c>
      <c r="BI321">
        <v>-1.60158523725014</v>
      </c>
      <c r="BJ321">
        <v>-2.4921425072357501</v>
      </c>
      <c r="BK321">
        <v>0.45925517082806799</v>
      </c>
      <c r="BL321">
        <v>-0.72042664235723797</v>
      </c>
      <c r="BM321">
        <v>3.7247553155519197E-2</v>
      </c>
    </row>
    <row r="322" spans="3:65">
      <c r="C322" s="6">
        <v>2</v>
      </c>
      <c r="D322" s="373" t="s">
        <v>242</v>
      </c>
      <c r="E322" s="6" t="s">
        <v>534</v>
      </c>
      <c r="F322" s="136" t="s">
        <v>550</v>
      </c>
      <c r="G322" s="136" t="s">
        <v>203</v>
      </c>
      <c r="H322" s="191">
        <v>-15.0122</v>
      </c>
      <c r="I322" s="191">
        <v>-10.882073199999999</v>
      </c>
      <c r="J322" s="191">
        <v>-3.19428</v>
      </c>
      <c r="K322" s="191">
        <v>0</v>
      </c>
      <c r="L322" s="191">
        <v>0</v>
      </c>
      <c r="M322" s="191">
        <v>2.5860000000000001E-2</v>
      </c>
      <c r="N322" s="191">
        <v>4.1800809795969597E-2</v>
      </c>
      <c r="O322" s="191">
        <v>4.8913810169323599E-2</v>
      </c>
      <c r="T322" s="49">
        <v>2</v>
      </c>
      <c r="U322" s="143" t="s">
        <v>239</v>
      </c>
      <c r="V322" s="33" t="s">
        <v>271</v>
      </c>
      <c r="W322" s="53" t="s">
        <v>550</v>
      </c>
      <c r="X322" s="53" t="s">
        <v>203</v>
      </c>
      <c r="Y322" s="172">
        <f>IFERROR(-tblZwaste1422[[#This Row],[Weight (kgCO2e/kg)]],0)</f>
        <v>-3.1045600000000002</v>
      </c>
      <c r="Z322" s="172" t="str">
        <f>IF(AQ322="x",(AR322*-tblZwaste1422[[#This Row],[Weight (kgCO2e/kg)]])+AS322+($AR$10*Lookups!$J$38/1000),"DELETE")</f>
        <v>DELETE</v>
      </c>
      <c r="AA322" s="172">
        <f t="shared" si="82"/>
        <v>-0.92949851840575493</v>
      </c>
      <c r="AB322" s="172">
        <f t="shared" si="82"/>
        <v>-1.5168958574070699</v>
      </c>
      <c r="AC322" s="172">
        <f t="shared" si="82"/>
        <v>-2.5962094989069802</v>
      </c>
      <c r="AD322" s="172">
        <f t="shared" si="82"/>
        <v>-0.66191224294392803</v>
      </c>
      <c r="AE322" s="172">
        <f t="shared" si="82"/>
        <v>-0.68616883313143695</v>
      </c>
      <c r="AF322" s="172">
        <f t="shared" si="82"/>
        <v>4.0392236029905E-2</v>
      </c>
      <c r="AG322" s="150"/>
      <c r="AI322" s="137">
        <v>2</v>
      </c>
      <c r="AJ322" s="136" t="s">
        <v>239</v>
      </c>
      <c r="AK322" s="142" t="s">
        <v>271</v>
      </c>
      <c r="AL322" s="136" t="s">
        <v>550</v>
      </c>
      <c r="AM322" s="136" t="s">
        <v>203</v>
      </c>
      <c r="AN322" s="1">
        <v>3.1045600000000002</v>
      </c>
      <c r="AO322" s="166">
        <v>0.12864</v>
      </c>
      <c r="AQ322">
        <f>_xlfn.XLOOKUP(tblGWP21[[#This Row],[Material Subcategory]],ls_Mat,Factors!$K$952:$K$1023)</f>
        <v>0</v>
      </c>
      <c r="AU322" t="s">
        <v>526</v>
      </c>
      <c r="AV322" s="347">
        <v>0.8</v>
      </c>
      <c r="BA322" cm="1">
        <f t="array" ref="BA322:BM322">tblGWP21[#This Row]</f>
        <v>2</v>
      </c>
      <c r="BB322" t="str">
        <v>Paper</v>
      </c>
      <c r="BC322" t="str">
        <v>Magazines</v>
      </c>
      <c r="BD322" t="str">
        <v>Oceania</v>
      </c>
      <c r="BE322" t="str">
        <v>n/a</v>
      </c>
      <c r="BF322">
        <v>-3.1045600000000002</v>
      </c>
      <c r="BG322" t="str">
        <v>DELETE</v>
      </c>
      <c r="BH322">
        <v>-0.92949851840575493</v>
      </c>
      <c r="BI322">
        <v>-1.5168958574070699</v>
      </c>
      <c r="BJ322">
        <v>-2.5962094989069802</v>
      </c>
      <c r="BK322">
        <v>-0.66191224294392803</v>
      </c>
      <c r="BL322">
        <v>-0.68616883313143695</v>
      </c>
      <c r="BM322">
        <v>4.0392236029905E-2</v>
      </c>
    </row>
    <row r="323" spans="3:65">
      <c r="C323" s="375">
        <v>2</v>
      </c>
      <c r="D323" s="374" t="s">
        <v>239</v>
      </c>
      <c r="E323" s="375" t="s">
        <v>239</v>
      </c>
      <c r="F323" s="362" t="s">
        <v>550</v>
      </c>
      <c r="G323" s="362" t="s">
        <v>203</v>
      </c>
      <c r="H323" s="368">
        <v>-2.6644477777777777</v>
      </c>
      <c r="I323" s="368">
        <v>-1.7194614644444446</v>
      </c>
      <c r="J323" s="368">
        <v>-0.82622090524955993</v>
      </c>
      <c r="K323" s="368">
        <v>-1.6415582940675599</v>
      </c>
      <c r="L323" s="368">
        <v>-2.38875601138436</v>
      </c>
      <c r="M323" s="368">
        <v>-0.64660766527578795</v>
      </c>
      <c r="N323" s="368">
        <v>-0.84015304589553597</v>
      </c>
      <c r="O323" s="368">
        <v>2.7471597181405401E-2</v>
      </c>
      <c r="T323" s="49">
        <v>2</v>
      </c>
      <c r="U323" s="143" t="s">
        <v>239</v>
      </c>
      <c r="V323" s="33" t="s">
        <v>535</v>
      </c>
      <c r="W323" s="53" t="s">
        <v>550</v>
      </c>
      <c r="X323" s="53" t="s">
        <v>203</v>
      </c>
      <c r="Y323" s="172">
        <f>IFERROR(-tblZwaste1422[[#This Row],[Weight (kgCO2e/kg)]],0)</f>
        <v>-3.1045600000000002</v>
      </c>
      <c r="Z323" s="172" t="str">
        <f>IF(AQ323="x",(AR323*-tblZwaste1422[[#This Row],[Weight (kgCO2e/kg)]])+AS323+($AR$10*Lookups!$J$38/1000),"DELETE")</f>
        <v>DELETE</v>
      </c>
      <c r="AA323" s="172">
        <f t="shared" si="82"/>
        <v>-0.92949851840575493</v>
      </c>
      <c r="AB323" s="172">
        <f t="shared" si="82"/>
        <v>-1.6255378419641999</v>
      </c>
      <c r="AC323" s="172">
        <f t="shared" si="82"/>
        <v>-2.60426474388799</v>
      </c>
      <c r="AD323" s="172">
        <f t="shared" si="82"/>
        <v>-0.85971599289899203</v>
      </c>
      <c r="AE323" s="172">
        <f t="shared" si="82"/>
        <v>-0.76455082075441605</v>
      </c>
      <c r="AF323" s="172">
        <f t="shared" si="82"/>
        <v>2.9212786791767201E-2</v>
      </c>
      <c r="AG323" s="150"/>
      <c r="AI323" s="137">
        <v>2</v>
      </c>
      <c r="AJ323" s="136" t="s">
        <v>239</v>
      </c>
      <c r="AK323" s="142" t="s">
        <v>535</v>
      </c>
      <c r="AL323" s="136" t="s">
        <v>550</v>
      </c>
      <c r="AM323" s="136" t="s">
        <v>203</v>
      </c>
      <c r="AN323" s="1">
        <v>3.1045600000000002</v>
      </c>
      <c r="AO323" s="166">
        <v>0.12864</v>
      </c>
      <c r="AQ323">
        <f>_xlfn.XLOOKUP(tblGWP21[[#This Row],[Material Subcategory]],ls_Mat,Factors!$K$952:$K$1023)</f>
        <v>0</v>
      </c>
      <c r="BA323" cm="1">
        <f t="array" ref="BA323:BM323">tblGWP21[#This Row]</f>
        <v>2</v>
      </c>
      <c r="BB323" t="str">
        <v>Paper</v>
      </c>
      <c r="BC323" t="str">
        <v>3rd Class Mail</v>
      </c>
      <c r="BD323" t="str">
        <v>Oceania</v>
      </c>
      <c r="BE323" t="str">
        <v>n/a</v>
      </c>
      <c r="BF323">
        <v>-3.1045600000000002</v>
      </c>
      <c r="BG323" t="str">
        <v>DELETE</v>
      </c>
      <c r="BH323">
        <v>-0.92949851840575493</v>
      </c>
      <c r="BI323">
        <v>-1.6255378419641999</v>
      </c>
      <c r="BJ323">
        <v>-2.60426474388799</v>
      </c>
      <c r="BK323">
        <v>-0.85971599289899203</v>
      </c>
      <c r="BL323">
        <v>-0.76455082075441605</v>
      </c>
      <c r="BM323">
        <v>2.9212786791767201E-2</v>
      </c>
    </row>
    <row r="324" spans="3:65">
      <c r="C324" s="6">
        <v>2</v>
      </c>
      <c r="D324" s="373" t="s">
        <v>239</v>
      </c>
      <c r="E324" s="6" t="s">
        <v>324</v>
      </c>
      <c r="F324" s="136" t="s">
        <v>550</v>
      </c>
      <c r="G324" s="136" t="s">
        <v>203</v>
      </c>
      <c r="H324" s="191">
        <v>-1.66</v>
      </c>
      <c r="I324" s="191">
        <v>0</v>
      </c>
      <c r="J324" s="191">
        <v>0.2257372170756459</v>
      </c>
      <c r="K324" s="191">
        <v>-1.6521126151519701</v>
      </c>
      <c r="L324" s="191">
        <v>-2.2425496041953599</v>
      </c>
      <c r="M324" s="191">
        <v>-1.1293815758271</v>
      </c>
      <c r="N324" s="191">
        <v>-0.91353993473315398</v>
      </c>
      <c r="O324" s="191">
        <v>2.66824832139794E-2</v>
      </c>
      <c r="T324" s="49">
        <v>2</v>
      </c>
      <c r="U324" s="143" t="s">
        <v>239</v>
      </c>
      <c r="V324" s="33" t="s">
        <v>259</v>
      </c>
      <c r="W324" s="53" t="s">
        <v>550</v>
      </c>
      <c r="X324" s="53" t="s">
        <v>203</v>
      </c>
      <c r="Y324" s="172">
        <f>IFERROR(-tblZwaste1422[[#This Row],[Weight (kgCO2e/kg)]],0)</f>
        <v>-2.86965</v>
      </c>
      <c r="Z324" s="172" t="str">
        <f>IF(AQ324="x",(AR324*-tblZwaste1422[[#This Row],[Weight (kgCO2e/kg)]])+AS324+($AR$10*Lookups!$J$38/1000),"DELETE")</f>
        <v>DELETE</v>
      </c>
      <c r="AA324" s="172">
        <f t="shared" si="82"/>
        <v>-0.92949851840575493</v>
      </c>
      <c r="AB324" s="172">
        <f t="shared" si="82"/>
        <v>-1.34051782094162</v>
      </c>
      <c r="AC324" s="172">
        <f t="shared" si="82"/>
        <v>-2.0233346272533499</v>
      </c>
      <c r="AD324" s="172">
        <f t="shared" si="82"/>
        <v>-0.36803475835338001</v>
      </c>
      <c r="AE324" s="172">
        <f t="shared" si="82"/>
        <v>-0.62256938148208896</v>
      </c>
      <c r="AF324" s="172">
        <f t="shared" si="82"/>
        <v>2.8420507959224201E-2</v>
      </c>
      <c r="AG324" s="150"/>
      <c r="AI324" s="137">
        <v>2</v>
      </c>
      <c r="AJ324" s="136" t="s">
        <v>239</v>
      </c>
      <c r="AK324" s="142" t="s">
        <v>259</v>
      </c>
      <c r="AL324" s="136" t="s">
        <v>550</v>
      </c>
      <c r="AM324" s="136" t="s">
        <v>203</v>
      </c>
      <c r="AN324" s="1">
        <v>2.86965</v>
      </c>
      <c r="AO324" s="166">
        <v>0.79600000000000004</v>
      </c>
      <c r="AQ324">
        <f>_xlfn.XLOOKUP(tblGWP21[[#This Row],[Material Subcategory]],ls_Mat,Factors!$K$952:$K$1023)</f>
        <v>0</v>
      </c>
      <c r="AR324" s="173"/>
      <c r="BA324" cm="1">
        <f t="array" ref="BA324:BM324">tblGWP21[#This Row]</f>
        <v>2</v>
      </c>
      <c r="BB324" t="str">
        <v>Paper</v>
      </c>
      <c r="BC324" t="str">
        <v>Folding Containers</v>
      </c>
      <c r="BD324" t="str">
        <v>Oceania</v>
      </c>
      <c r="BE324" t="str">
        <v>n/a</v>
      </c>
      <c r="BF324">
        <v>-2.86965</v>
      </c>
      <c r="BG324" t="str">
        <v>DELETE</v>
      </c>
      <c r="BH324">
        <v>-0.92949851840575493</v>
      </c>
      <c r="BI324">
        <v>-1.34051782094162</v>
      </c>
      <c r="BJ324">
        <v>-2.0233346272533499</v>
      </c>
      <c r="BK324">
        <v>-0.36803475835338001</v>
      </c>
      <c r="BL324">
        <v>-0.62256938148208896</v>
      </c>
      <c r="BM324">
        <v>2.8420507959224201E-2</v>
      </c>
    </row>
    <row r="325" spans="3:65">
      <c r="C325" s="375">
        <v>2</v>
      </c>
      <c r="D325" s="374" t="s">
        <v>239</v>
      </c>
      <c r="E325" s="375" t="s">
        <v>272</v>
      </c>
      <c r="F325" s="362" t="s">
        <v>550</v>
      </c>
      <c r="G325" s="362" t="s">
        <v>203</v>
      </c>
      <c r="H325" s="368">
        <v>-2.1278299999999999</v>
      </c>
      <c r="I325" s="368">
        <v>-1.3728063799999999</v>
      </c>
      <c r="J325" s="368">
        <v>-9.7960759837963044E-3</v>
      </c>
      <c r="K325" s="368">
        <v>-1.47896134305996</v>
      </c>
      <c r="L325" s="368">
        <v>-2.2496173220472202</v>
      </c>
      <c r="M325" s="368">
        <v>2.8719999999999999E-2</v>
      </c>
      <c r="N325" s="368">
        <v>-0.71785899660587404</v>
      </c>
      <c r="O325" s="368">
        <v>3.4584894634626703E-2</v>
      </c>
      <c r="T325" s="49">
        <v>2</v>
      </c>
      <c r="U325" s="143" t="s">
        <v>239</v>
      </c>
      <c r="V325" s="33" t="s">
        <v>334</v>
      </c>
      <c r="W325" s="53" t="s">
        <v>550</v>
      </c>
      <c r="X325" s="53" t="s">
        <v>203</v>
      </c>
      <c r="Y325" s="172">
        <f>IFERROR(-tblZwaste1422[[#This Row],[Weight (kgCO2e/kg)]],0)</f>
        <v>-2.86965</v>
      </c>
      <c r="Z325" s="172" t="str">
        <f>IF(AQ325="x",(AR325*-tblZwaste1422[[#This Row],[Weight (kgCO2e/kg)]])+AS325+($AR$10*Lookups!$J$38/1000),"DELETE")</f>
        <v>DELETE</v>
      </c>
      <c r="AA325" s="172">
        <f t="shared" si="82"/>
        <v>-0.92949851840575493</v>
      </c>
      <c r="AB325" s="172">
        <f t="shared" si="82"/>
        <v>-1.7510293669055299</v>
      </c>
      <c r="AC325" s="172">
        <f t="shared" si="82"/>
        <v>-2.4863795929514398</v>
      </c>
      <c r="AD325" s="172">
        <f t="shared" si="82"/>
        <v>-0.30485032701584303</v>
      </c>
      <c r="AE325" s="172">
        <f t="shared" si="82"/>
        <v>-0.909547708920311</v>
      </c>
      <c r="AF325" s="172">
        <f t="shared" si="82"/>
        <v>2.6389736758903899E-2</v>
      </c>
      <c r="AG325" s="150"/>
      <c r="AI325" s="137">
        <v>2</v>
      </c>
      <c r="AJ325" s="136" t="s">
        <v>239</v>
      </c>
      <c r="AK325" s="142" t="s">
        <v>334</v>
      </c>
      <c r="AL325" s="136" t="s">
        <v>550</v>
      </c>
      <c r="AM325" s="136" t="s">
        <v>203</v>
      </c>
      <c r="AN325" s="1">
        <v>2.86965</v>
      </c>
      <c r="AO325" s="166">
        <v>0.76736000000000004</v>
      </c>
      <c r="AQ325">
        <f>_xlfn.XLOOKUP(tblGWP21[[#This Row],[Material Subcategory]],ls_Mat,Factors!$K$952:$K$1023)</f>
        <v>0</v>
      </c>
      <c r="AR325" s="173"/>
      <c r="AU325" t="s">
        <v>526</v>
      </c>
      <c r="AV325" s="347">
        <v>0.95</v>
      </c>
      <c r="BA325" cm="1">
        <f t="array" ref="BA325:BM325">tblGWP21[#This Row]</f>
        <v>2</v>
      </c>
      <c r="BB325" t="str">
        <v>Paper</v>
      </c>
      <c r="BC325" t="str">
        <v>Paper Bags</v>
      </c>
      <c r="BD325" t="str">
        <v>Oceania</v>
      </c>
      <c r="BE325" t="str">
        <v>n/a</v>
      </c>
      <c r="BF325">
        <v>-2.86965</v>
      </c>
      <c r="BG325" t="str">
        <v>DELETE</v>
      </c>
      <c r="BH325">
        <v>-0.92949851840575493</v>
      </c>
      <c r="BI325">
        <v>-1.7510293669055299</v>
      </c>
      <c r="BJ325">
        <v>-2.4863795929514398</v>
      </c>
      <c r="BK325">
        <v>-0.30485032701584303</v>
      </c>
      <c r="BL325">
        <v>-0.909547708920311</v>
      </c>
      <c r="BM325">
        <v>2.6389736758903899E-2</v>
      </c>
    </row>
    <row r="326" spans="3:65">
      <c r="C326" s="6">
        <v>2</v>
      </c>
      <c r="D326" s="373" t="s">
        <v>239</v>
      </c>
      <c r="E326" s="6" t="s">
        <v>329</v>
      </c>
      <c r="F326" s="136" t="s">
        <v>550</v>
      </c>
      <c r="G326" s="136" t="s">
        <v>203</v>
      </c>
      <c r="H326" s="191">
        <v>-3.4792200000000002</v>
      </c>
      <c r="I326" s="191">
        <v>0</v>
      </c>
      <c r="J326" s="191">
        <v>-3.0376865005412763</v>
      </c>
      <c r="K326" s="191">
        <v>-1.60158523725014</v>
      </c>
      <c r="L326" s="191">
        <v>-2.4921425072357501</v>
      </c>
      <c r="M326" s="191">
        <v>0.45925517082806799</v>
      </c>
      <c r="N326" s="191">
        <v>-0.72042664235723797</v>
      </c>
      <c r="O326" s="191">
        <v>3.7247553155519197E-2</v>
      </c>
      <c r="T326" s="49">
        <v>2</v>
      </c>
      <c r="U326" s="143" t="s">
        <v>239</v>
      </c>
      <c r="V326" s="33" t="s">
        <v>240</v>
      </c>
      <c r="W326" s="53" t="s">
        <v>550</v>
      </c>
      <c r="X326" s="53" t="s">
        <v>203</v>
      </c>
      <c r="Y326" s="172">
        <f>IFERROR(-tblZwaste1422[[#This Row],[Weight (kgCO2e/kg)]],0)</f>
        <v>-3.1045600000000002</v>
      </c>
      <c r="Z326" s="172" t="str">
        <f>IF(AQ326="x",(AR326*-tblZwaste1422[[#This Row],[Weight (kgCO2e/kg)]])+AS326+($AR$10*Lookups!$J$38/1000),"DELETE")</f>
        <v>DELETE</v>
      </c>
      <c r="AA326" s="172" t="str">
        <f t="shared" si="82"/>
        <v>DELETE</v>
      </c>
      <c r="AB326" s="172">
        <f t="shared" si="82"/>
        <v>-1.7797858041549699</v>
      </c>
      <c r="AC326" s="172">
        <f t="shared" si="82"/>
        <v>-2.5576650575192899</v>
      </c>
      <c r="AD326" s="172">
        <f t="shared" si="82"/>
        <v>-0.68789701723431895</v>
      </c>
      <c r="AE326" s="172">
        <f t="shared" si="82"/>
        <v>0.49637285483986199</v>
      </c>
      <c r="AF326" s="172">
        <f t="shared" si="82"/>
        <v>2.36701232297353</v>
      </c>
      <c r="AG326" s="150"/>
      <c r="AI326" s="137">
        <v>2</v>
      </c>
      <c r="AJ326" s="136" t="s">
        <v>239</v>
      </c>
      <c r="AK326" s="142" t="s">
        <v>240</v>
      </c>
      <c r="AL326" s="136" t="s">
        <v>550</v>
      </c>
      <c r="AM326" s="136" t="s">
        <v>203</v>
      </c>
      <c r="AN326" s="1">
        <v>3.1045600000000002</v>
      </c>
      <c r="AO326" s="166">
        <v>0.76736000000000004</v>
      </c>
      <c r="AQ326">
        <f>_xlfn.XLOOKUP(tblGWP21[[#This Row],[Material Subcategory]],ls_Mat,Factors!$K$952:$K$1023)</f>
        <v>0</v>
      </c>
      <c r="AR326" s="173"/>
      <c r="AU326" t="s">
        <v>526</v>
      </c>
      <c r="AV326" s="347">
        <v>0.95</v>
      </c>
      <c r="BA326" cm="1">
        <f t="array" ref="BA326:BM326">tblGWP21[#This Row]</f>
        <v>2</v>
      </c>
      <c r="BB326" t="str">
        <v>Paper</v>
      </c>
      <c r="BC326" t="str">
        <v>Paper – Non-Recyclable</v>
      </c>
      <c r="BD326" t="str">
        <v>Oceania</v>
      </c>
      <c r="BE326" t="str">
        <v>n/a</v>
      </c>
      <c r="BF326">
        <v>-3.1045600000000002</v>
      </c>
      <c r="BG326" t="str">
        <v>DELETE</v>
      </c>
      <c r="BH326" t="str">
        <v>DELETE</v>
      </c>
      <c r="BI326">
        <v>-1.7797858041549699</v>
      </c>
      <c r="BJ326">
        <v>-2.5576650575192899</v>
      </c>
      <c r="BK326">
        <v>-0.68789701723431895</v>
      </c>
      <c r="BL326">
        <v>0.49637285483986199</v>
      </c>
      <c r="BM326">
        <v>2.36701232297353</v>
      </c>
    </row>
    <row r="327" spans="3:65" ht="28.8">
      <c r="C327" s="375">
        <v>2</v>
      </c>
      <c r="D327" s="374" t="s">
        <v>239</v>
      </c>
      <c r="E327" s="375" t="s">
        <v>271</v>
      </c>
      <c r="F327" s="362" t="s">
        <v>550</v>
      </c>
      <c r="G327" s="362" t="s">
        <v>203</v>
      </c>
      <c r="H327" s="368">
        <v>-3.1045600000000002</v>
      </c>
      <c r="I327" s="368">
        <v>0</v>
      </c>
      <c r="J327" s="368">
        <v>-0.92949851840575493</v>
      </c>
      <c r="K327" s="368">
        <v>-1.5168958574070699</v>
      </c>
      <c r="L327" s="368">
        <v>-2.5962094989069802</v>
      </c>
      <c r="M327" s="368">
        <v>-0.66191224294392803</v>
      </c>
      <c r="N327" s="368">
        <v>-0.68616883313143695</v>
      </c>
      <c r="O327" s="368">
        <v>4.0392236029905E-2</v>
      </c>
      <c r="T327" s="49">
        <v>2</v>
      </c>
      <c r="U327" s="143" t="s">
        <v>239</v>
      </c>
      <c r="V327" s="33" t="s">
        <v>325</v>
      </c>
      <c r="W327" s="53" t="s">
        <v>550</v>
      </c>
      <c r="X327" s="53" t="s">
        <v>203</v>
      </c>
      <c r="Y327" s="172">
        <f>IFERROR(-tblZwaste1422[[#This Row],[Weight (kgCO2e/kg)]],0)</f>
        <v>-1.66</v>
      </c>
      <c r="Z327" s="172" t="str">
        <f>IF(AQ327="x",(AR327*-tblZwaste1422[[#This Row],[Weight (kgCO2e/kg)]])+AS327+($AR$10*Lookups!$J$38/1000),"DELETE")</f>
        <v>DELETE</v>
      </c>
      <c r="AA327" s="172" t="str">
        <f t="shared" ref="AA327:AF336" si="83">AA831</f>
        <v>DELETE</v>
      </c>
      <c r="AB327" s="172">
        <f t="shared" si="83"/>
        <v>-1.6415582940675599</v>
      </c>
      <c r="AC327" s="172">
        <f t="shared" si="83"/>
        <v>-2.38875601138436</v>
      </c>
      <c r="AD327" s="172">
        <f t="shared" si="83"/>
        <v>-0.64660766527578795</v>
      </c>
      <c r="AE327" s="172">
        <f t="shared" si="83"/>
        <v>-0.84015304589553597</v>
      </c>
      <c r="AF327" s="172">
        <f t="shared" si="83"/>
        <v>2.7471597181405401E-2</v>
      </c>
      <c r="AG327" s="150"/>
      <c r="AI327" s="137">
        <v>2</v>
      </c>
      <c r="AJ327" s="136" t="s">
        <v>239</v>
      </c>
      <c r="AK327" s="142" t="s">
        <v>325</v>
      </c>
      <c r="AL327" s="136" t="s">
        <v>550</v>
      </c>
      <c r="AM327" s="136" t="s">
        <v>203</v>
      </c>
      <c r="AN327" s="1">
        <v>1.66</v>
      </c>
      <c r="AO327" s="166">
        <v>0.79600000000000004</v>
      </c>
      <c r="AQ327">
        <f>_xlfn.XLOOKUP(tblGWP21[[#This Row],[Material Subcategory]],ls_Mat,Factors!$K$952:$K$1023)</f>
        <v>0</v>
      </c>
      <c r="AU327" t="s">
        <v>526</v>
      </c>
      <c r="AV327" s="347">
        <v>0.95</v>
      </c>
      <c r="BA327" cm="1">
        <f t="array" ref="BA327:BM327">tblGWP21[#This Row]</f>
        <v>2</v>
      </c>
      <c r="BB327" t="str">
        <v>Paper</v>
      </c>
      <c r="BC327" t="str">
        <v>Compostable Food Service Ware</v>
      </c>
      <c r="BD327" t="str">
        <v>Oceania</v>
      </c>
      <c r="BE327" t="str">
        <v>n/a</v>
      </c>
      <c r="BF327">
        <v>-1.66</v>
      </c>
      <c r="BG327" t="str">
        <v>DELETE</v>
      </c>
      <c r="BH327" t="str">
        <v>DELETE</v>
      </c>
      <c r="BI327">
        <v>-1.6415582940675599</v>
      </c>
      <c r="BJ327">
        <v>-2.38875601138436</v>
      </c>
      <c r="BK327">
        <v>-0.64660766527578795</v>
      </c>
      <c r="BL327">
        <v>-0.84015304589553597</v>
      </c>
      <c r="BM327">
        <v>2.7471597181405401E-2</v>
      </c>
    </row>
    <row r="328" spans="3:65">
      <c r="C328" s="6">
        <v>2</v>
      </c>
      <c r="D328" s="373" t="s">
        <v>239</v>
      </c>
      <c r="E328" s="6" t="s">
        <v>535</v>
      </c>
      <c r="F328" s="136" t="s">
        <v>550</v>
      </c>
      <c r="G328" s="136" t="s">
        <v>203</v>
      </c>
      <c r="H328" s="191">
        <v>-3.1045600000000002</v>
      </c>
      <c r="I328" s="191">
        <v>0</v>
      </c>
      <c r="J328" s="191">
        <v>-0.92949851840575493</v>
      </c>
      <c r="K328" s="191">
        <v>-1.6255378419641999</v>
      </c>
      <c r="L328" s="191">
        <v>-2.60426474388799</v>
      </c>
      <c r="M328" s="191">
        <v>-0.85971599289899203</v>
      </c>
      <c r="N328" s="191">
        <v>-0.76455082075441605</v>
      </c>
      <c r="O328" s="191">
        <v>2.9212786791767201E-2</v>
      </c>
      <c r="T328" s="49">
        <v>2</v>
      </c>
      <c r="U328" s="143" t="s">
        <v>256</v>
      </c>
      <c r="V328" s="33" t="s">
        <v>256</v>
      </c>
      <c r="W328" s="53" t="s">
        <v>550</v>
      </c>
      <c r="X328" s="53" t="s">
        <v>203</v>
      </c>
      <c r="Y328" s="172">
        <f>IFERROR(-tblZwaste1422[[#This Row],[Weight (kgCO2e/kg)]],0)</f>
        <v>-3.3097799999999999</v>
      </c>
      <c r="Z328" s="172" t="e">
        <f>IF(AQ328="x",(AR328*-tblZwaste1422[[#This Row],[Weight (kgCO2e/kg)]])+AS328+($AR$10*Lookups!$J$38/1000),"DELETE")</f>
        <v>#N/A</v>
      </c>
      <c r="AA328" s="172">
        <f t="shared" si="83"/>
        <v>-12.385379926993377</v>
      </c>
      <c r="AB328" s="172" t="str">
        <f t="shared" si="83"/>
        <v>DELETE</v>
      </c>
      <c r="AC328" s="172" t="str">
        <f t="shared" si="83"/>
        <v>DELETE</v>
      </c>
      <c r="AD328" s="172">
        <f t="shared" si="83"/>
        <v>2.5860000000000001E-2</v>
      </c>
      <c r="AE328" s="172">
        <f t="shared" si="83"/>
        <v>-0.10693658489197445</v>
      </c>
      <c r="AF328" s="172">
        <f t="shared" si="83"/>
        <v>-9.0339883652696892E-2</v>
      </c>
      <c r="AG328" s="150"/>
      <c r="AI328" s="137">
        <v>2</v>
      </c>
      <c r="AJ328" s="136" t="s">
        <v>256</v>
      </c>
      <c r="AK328" s="142" t="s">
        <v>256</v>
      </c>
      <c r="AL328" s="136" t="s">
        <v>550</v>
      </c>
      <c r="AM328" s="136" t="s">
        <v>203</v>
      </c>
      <c r="AN328" s="1">
        <v>3.3097799999999999</v>
      </c>
      <c r="AO328" s="166">
        <v>1.0068550000000001</v>
      </c>
      <c r="AQ328" t="e">
        <f>_xlfn.XLOOKUP(tblGWP21[[#This Row],[Material Subcategory]],ls_Mat,Factors!$K$952:$K$1023)</f>
        <v>#N/A</v>
      </c>
      <c r="AR328" s="173">
        <v>1</v>
      </c>
      <c r="AS328">
        <v>8.1306407300000008E-2</v>
      </c>
      <c r="AT328" t="s">
        <v>531</v>
      </c>
      <c r="BA328" cm="1">
        <f t="array" ref="BA328:BM328">tblGWP21[#This Row]</f>
        <v>2</v>
      </c>
      <c r="BB328" t="str">
        <v>Metals</v>
      </c>
      <c r="BC328" t="str">
        <v>Metals</v>
      </c>
      <c r="BD328" t="str">
        <v>Oceania</v>
      </c>
      <c r="BE328" t="str">
        <v>n/a</v>
      </c>
      <c r="BF328">
        <v>-3.3097799999999999</v>
      </c>
      <c r="BG328" t="e">
        <v>#N/A</v>
      </c>
      <c r="BH328">
        <v>-12.385379926993377</v>
      </c>
      <c r="BI328" t="str">
        <v>DELETE</v>
      </c>
      <c r="BJ328" t="str">
        <v>DELETE</v>
      </c>
      <c r="BK328">
        <v>2.5860000000000001E-2</v>
      </c>
      <c r="BL328">
        <v>-0.10693658489197445</v>
      </c>
      <c r="BM328">
        <v>-9.0339883652696892E-2</v>
      </c>
    </row>
    <row r="329" spans="3:65">
      <c r="C329" s="375">
        <v>2</v>
      </c>
      <c r="D329" s="374" t="s">
        <v>239</v>
      </c>
      <c r="E329" s="375" t="s">
        <v>259</v>
      </c>
      <c r="F329" s="362" t="s">
        <v>550</v>
      </c>
      <c r="G329" s="362" t="s">
        <v>203</v>
      </c>
      <c r="H329" s="368">
        <v>-2.86965</v>
      </c>
      <c r="I329" s="368">
        <v>0</v>
      </c>
      <c r="J329" s="368">
        <v>-0.92949851840575493</v>
      </c>
      <c r="K329" s="368">
        <v>-1.34051782094162</v>
      </c>
      <c r="L329" s="368">
        <v>-2.0233346272533499</v>
      </c>
      <c r="M329" s="368">
        <v>-0.36803475835338001</v>
      </c>
      <c r="N329" s="368">
        <v>-0.62256938148208896</v>
      </c>
      <c r="O329" s="368">
        <v>2.8420507959224201E-2</v>
      </c>
      <c r="T329" s="49">
        <v>2</v>
      </c>
      <c r="U329" s="143" t="s">
        <v>256</v>
      </c>
      <c r="V329" s="33" t="s">
        <v>536</v>
      </c>
      <c r="W329" s="53" t="s">
        <v>550</v>
      </c>
      <c r="X329" s="53" t="s">
        <v>203</v>
      </c>
      <c r="Y329" s="172">
        <f>IFERROR(-tblZwaste1422[[#This Row],[Weight (kgCO2e/kg)]],0)</f>
        <v>-1.9798800000000001</v>
      </c>
      <c r="Z329" s="172">
        <f>IF(AQ329="x",(AR329*-tblZwaste1422[[#This Row],[Weight (kgCO2e/kg)]])+AS329+($AR$10*Lookups!$J$38/1000),"DELETE")</f>
        <v>-1.8968017927</v>
      </c>
      <c r="AA329" s="172">
        <f t="shared" si="83"/>
        <v>-2.2607194096631558</v>
      </c>
      <c r="AB329" s="172" t="str">
        <f t="shared" si="83"/>
        <v>DELETE</v>
      </c>
      <c r="AC329" s="172" t="str">
        <f t="shared" si="83"/>
        <v>DELETE</v>
      </c>
      <c r="AD329" s="172" t="str">
        <f t="shared" si="83"/>
        <v>Ferrous_Cans</v>
      </c>
      <c r="AE329" s="172">
        <f t="shared" si="83"/>
        <v>-0.157565881729051</v>
      </c>
      <c r="AF329" s="172">
        <f t="shared" si="83"/>
        <v>-0.13173951535147099</v>
      </c>
      <c r="AG329" s="150"/>
      <c r="AI329" s="137">
        <v>2</v>
      </c>
      <c r="AJ329" s="136" t="s">
        <v>256</v>
      </c>
      <c r="AK329" s="142" t="s">
        <v>536</v>
      </c>
      <c r="AL329" s="136" t="s">
        <v>550</v>
      </c>
      <c r="AM329" s="136" t="s">
        <v>203</v>
      </c>
      <c r="AN329" s="1">
        <v>1.9798800000000001</v>
      </c>
      <c r="AO329" s="166">
        <v>0.72957000000000005</v>
      </c>
      <c r="AQ329" t="str">
        <f>_xlfn.XLOOKUP(tblGWP21[[#This Row],[Material Subcategory]],ls_Mat,Factors!$K$952:$K$1023)</f>
        <v>x</v>
      </c>
      <c r="AR329" s="173">
        <v>1</v>
      </c>
      <c r="AS329">
        <v>8.1306407300000008E-2</v>
      </c>
      <c r="AT329" t="s">
        <v>531</v>
      </c>
      <c r="AU329" t="s">
        <v>526</v>
      </c>
      <c r="AV329" s="347">
        <v>0.95</v>
      </c>
      <c r="BA329" cm="1">
        <f t="array" ref="BA329:BM329">tblGWP21[#This Row]</f>
        <v>2</v>
      </c>
      <c r="BB329" t="str">
        <v>Metals</v>
      </c>
      <c r="BC329" t="str">
        <v>Ferrous Cans</v>
      </c>
      <c r="BD329" t="str">
        <v>Oceania</v>
      </c>
      <c r="BE329" t="str">
        <v>n/a</v>
      </c>
      <c r="BF329">
        <v>-1.9798800000000001</v>
      </c>
      <c r="BG329">
        <v>-1.8968017927</v>
      </c>
      <c r="BH329">
        <v>-2.2607194096631558</v>
      </c>
      <c r="BI329" t="str">
        <v>DELETE</v>
      </c>
      <c r="BJ329" t="str">
        <v>DELETE</v>
      </c>
      <c r="BK329" t="str">
        <v>Ferrous_Cans</v>
      </c>
      <c r="BL329">
        <v>-0.157565881729051</v>
      </c>
      <c r="BM329">
        <v>-0.13173951535147099</v>
      </c>
    </row>
    <row r="330" spans="3:65">
      <c r="C330" s="6">
        <v>2</v>
      </c>
      <c r="D330" s="373" t="s">
        <v>239</v>
      </c>
      <c r="E330" s="6" t="s">
        <v>334</v>
      </c>
      <c r="F330" s="136" t="s">
        <v>550</v>
      </c>
      <c r="G330" s="136" t="s">
        <v>203</v>
      </c>
      <c r="H330" s="191">
        <v>-2.86965</v>
      </c>
      <c r="I330" s="191">
        <v>0</v>
      </c>
      <c r="J330" s="191">
        <v>-0.92949851840575493</v>
      </c>
      <c r="K330" s="191">
        <v>-1.7510293669055299</v>
      </c>
      <c r="L330" s="191">
        <v>-2.4863795929514398</v>
      </c>
      <c r="M330" s="191">
        <v>-0.30485032701584303</v>
      </c>
      <c r="N330" s="191">
        <v>-0.909547708920311</v>
      </c>
      <c r="O330" s="191">
        <v>2.6389736758903899E-2</v>
      </c>
      <c r="T330" s="49">
        <v>2</v>
      </c>
      <c r="U330" s="143" t="s">
        <v>256</v>
      </c>
      <c r="V330" s="33" t="s">
        <v>257</v>
      </c>
      <c r="W330" s="53" t="s">
        <v>550</v>
      </c>
      <c r="X330" s="53" t="s">
        <v>203</v>
      </c>
      <c r="Y330" s="172">
        <f>IFERROR(-tblZwaste1422[[#This Row],[Weight (kgCO2e/kg)]],0)</f>
        <v>-1.9798800000000001</v>
      </c>
      <c r="Z330" s="172">
        <f>IF(AQ330="x",(AR330*-tblZwaste1422[[#This Row],[Weight (kgCO2e/kg)]])+AS330+($AR$10*Lookups!$J$38/1000),"DELETE")</f>
        <v>-1.8968017927</v>
      </c>
      <c r="AA330" s="172">
        <f t="shared" si="83"/>
        <v>-2.2607194096631558</v>
      </c>
      <c r="AB330" s="172" t="str">
        <f t="shared" si="83"/>
        <v>DELETE</v>
      </c>
      <c r="AC330" s="172" t="str">
        <f t="shared" si="83"/>
        <v>DELETE</v>
      </c>
      <c r="AD330" s="172">
        <f t="shared" si="83"/>
        <v>2.6022284268183E-2</v>
      </c>
      <c r="AE330" s="172">
        <f t="shared" si="83"/>
        <v>-0.157565881729051</v>
      </c>
      <c r="AF330" s="172">
        <f t="shared" si="83"/>
        <v>-0.13173951535147099</v>
      </c>
      <c r="AG330" s="150"/>
      <c r="AI330" s="137">
        <v>2</v>
      </c>
      <c r="AJ330" s="136" t="s">
        <v>256</v>
      </c>
      <c r="AK330" s="142" t="s">
        <v>257</v>
      </c>
      <c r="AL330" s="136" t="s">
        <v>550</v>
      </c>
      <c r="AM330" s="136" t="s">
        <v>203</v>
      </c>
      <c r="AN330" s="1">
        <v>1.9798800000000001</v>
      </c>
      <c r="AO330" s="166">
        <v>0.46493000000000001</v>
      </c>
      <c r="AQ330" t="str">
        <f>_xlfn.XLOOKUP(tblGWP21[[#This Row],[Material Subcategory]],ls_Mat,Factors!$K$952:$K$1023)</f>
        <v>x</v>
      </c>
      <c r="AR330" s="173">
        <v>1</v>
      </c>
      <c r="AS330">
        <v>8.1306407300000008E-2</v>
      </c>
      <c r="AT330" t="s">
        <v>531</v>
      </c>
      <c r="AU330" t="s">
        <v>526</v>
      </c>
      <c r="AV330" s="347">
        <v>0.9</v>
      </c>
      <c r="BA330" cm="1">
        <f t="array" ref="BA330:BM330">tblGWP21[#This Row]</f>
        <v>2</v>
      </c>
      <c r="BB330" t="str">
        <v>Metals</v>
      </c>
      <c r="BC330" t="str">
        <v>Ferrous Metal</v>
      </c>
      <c r="BD330" t="str">
        <v>Oceania</v>
      </c>
      <c r="BE330" t="str">
        <v>n/a</v>
      </c>
      <c r="BF330">
        <v>-1.9798800000000001</v>
      </c>
      <c r="BG330">
        <v>-1.8968017927</v>
      </c>
      <c r="BH330">
        <v>-2.2607194096631558</v>
      </c>
      <c r="BI330" t="str">
        <v>DELETE</v>
      </c>
      <c r="BJ330" t="str">
        <v>DELETE</v>
      </c>
      <c r="BK330">
        <v>2.6022284268183E-2</v>
      </c>
      <c r="BL330">
        <v>-0.157565881729051</v>
      </c>
      <c r="BM330">
        <v>-0.13173951535147099</v>
      </c>
    </row>
    <row r="331" spans="3:65">
      <c r="C331" s="375">
        <v>2</v>
      </c>
      <c r="D331" s="374" t="s">
        <v>239</v>
      </c>
      <c r="E331" s="375" t="s">
        <v>240</v>
      </c>
      <c r="F331" s="362" t="s">
        <v>550</v>
      </c>
      <c r="G331" s="362" t="s">
        <v>203</v>
      </c>
      <c r="H331" s="368">
        <v>-3.1045600000000002</v>
      </c>
      <c r="I331" s="368">
        <v>0</v>
      </c>
      <c r="J331" s="368">
        <v>0</v>
      </c>
      <c r="K331" s="368">
        <v>-1.7797858041549699</v>
      </c>
      <c r="L331" s="368">
        <v>-2.5576650575192899</v>
      </c>
      <c r="M331" s="368">
        <v>-0.68789701723431895</v>
      </c>
      <c r="N331" s="368">
        <v>0.49637285483986199</v>
      </c>
      <c r="O331" s="368">
        <v>2.36701232297353</v>
      </c>
      <c r="T331" s="49">
        <v>2</v>
      </c>
      <c r="U331" s="143" t="s">
        <v>256</v>
      </c>
      <c r="V331" s="33" t="s">
        <v>537</v>
      </c>
      <c r="W331" s="53" t="s">
        <v>550</v>
      </c>
      <c r="X331" s="53" t="s">
        <v>203</v>
      </c>
      <c r="Y331" s="172">
        <f>IFERROR(-tblZwaste1422[[#This Row],[Weight (kgCO2e/kg)]],0)</f>
        <v>-5.0082800000000001</v>
      </c>
      <c r="Z331" s="172">
        <f>IF(AQ331="x",(AR331*-tblZwaste1422[[#This Row],[Weight (kgCO2e/kg)]])+AS331+($AR$10*Lookups!$J$38/1000),"DELETE")</f>
        <v>-4.9252017927000002</v>
      </c>
      <c r="AA331" s="172">
        <f t="shared" si="83"/>
        <v>-4.8934870529376608</v>
      </c>
      <c r="AB331" s="172" t="str">
        <f t="shared" si="83"/>
        <v>DELETE</v>
      </c>
      <c r="AC331" s="172" t="str">
        <f t="shared" si="83"/>
        <v>DELETE</v>
      </c>
      <c r="AD331" s="172">
        <f t="shared" si="83"/>
        <v>2.5860000000000001E-2</v>
      </c>
      <c r="AE331" s="172">
        <f t="shared" si="83"/>
        <v>-5.6307288054897903E-2</v>
      </c>
      <c r="AF331" s="172">
        <f t="shared" si="83"/>
        <v>-4.8940251953922799E-2</v>
      </c>
      <c r="AG331" s="150"/>
      <c r="AI331" s="137">
        <v>2</v>
      </c>
      <c r="AJ331" s="136" t="s">
        <v>256</v>
      </c>
      <c r="AK331" s="142" t="s">
        <v>537</v>
      </c>
      <c r="AL331" s="136" t="s">
        <v>550</v>
      </c>
      <c r="AM331" s="136" t="s">
        <v>203</v>
      </c>
      <c r="AN331" s="1">
        <v>5.0082800000000001</v>
      </c>
      <c r="AO331" s="166">
        <v>1.54878</v>
      </c>
      <c r="AQ331" t="str">
        <f>_xlfn.XLOOKUP(tblGWP21[[#This Row],[Material Subcategory]],ls_Mat,Factors!$K$952:$K$1023)</f>
        <v>x</v>
      </c>
      <c r="AR331" s="173">
        <v>1</v>
      </c>
      <c r="AS331">
        <v>8.1306407300000008E-2</v>
      </c>
      <c r="AT331" t="s">
        <v>531</v>
      </c>
      <c r="AU331" t="s">
        <v>526</v>
      </c>
      <c r="AV331" s="347">
        <v>0.9</v>
      </c>
      <c r="BA331" cm="1">
        <f t="array" ref="BA331:BM331">tblGWP21[#This Row]</f>
        <v>2</v>
      </c>
      <c r="BB331" t="str">
        <v>Metals</v>
      </c>
      <c r="BC331" t="str">
        <v>Aluminum Cans</v>
      </c>
      <c r="BD331" t="str">
        <v>Oceania</v>
      </c>
      <c r="BE331" t="str">
        <v>n/a</v>
      </c>
      <c r="BF331">
        <v>-5.0082800000000001</v>
      </c>
      <c r="BG331">
        <v>-4.9252017927000002</v>
      </c>
      <c r="BH331">
        <v>-4.8934870529376608</v>
      </c>
      <c r="BI331" t="str">
        <v>DELETE</v>
      </c>
      <c r="BJ331" t="str">
        <v>DELETE</v>
      </c>
      <c r="BK331">
        <v>2.5860000000000001E-2</v>
      </c>
      <c r="BL331">
        <v>-5.6307288054897903E-2</v>
      </c>
      <c r="BM331">
        <v>-4.8940251953922799E-2</v>
      </c>
    </row>
    <row r="332" spans="3:65" ht="28.8">
      <c r="C332" s="6">
        <v>2</v>
      </c>
      <c r="D332" s="373" t="s">
        <v>239</v>
      </c>
      <c r="E332" s="6" t="s">
        <v>325</v>
      </c>
      <c r="F332" s="136" t="s">
        <v>550</v>
      </c>
      <c r="G332" s="136" t="s">
        <v>203</v>
      </c>
      <c r="H332" s="191">
        <v>-1.66</v>
      </c>
      <c r="I332" s="191">
        <v>0</v>
      </c>
      <c r="J332" s="191">
        <v>0</v>
      </c>
      <c r="K332" s="191">
        <v>-1.6415582940675599</v>
      </c>
      <c r="L332" s="191">
        <v>-2.38875601138436</v>
      </c>
      <c r="M332" s="191">
        <v>-0.64660766527578795</v>
      </c>
      <c r="N332" s="191">
        <v>-0.84015304589553597</v>
      </c>
      <c r="O332" s="191">
        <v>2.7471597181405401E-2</v>
      </c>
      <c r="T332" s="49">
        <v>2</v>
      </c>
      <c r="U332" s="143" t="s">
        <v>256</v>
      </c>
      <c r="V332" s="33" t="s">
        <v>538</v>
      </c>
      <c r="W332" s="53" t="s">
        <v>550</v>
      </c>
      <c r="X332" s="53" t="s">
        <v>203</v>
      </c>
      <c r="Y332" s="172">
        <f>IFERROR(-tblZwaste1422[[#This Row],[Weight (kgCO2e/kg)]],0)</f>
        <v>-4.6396800000000002</v>
      </c>
      <c r="Z332" s="172" t="str">
        <f>IF(AQ332="x",(AR332*-tblZwaste1422[[#This Row],[Weight (kgCO2e/kg)]])+AS332+($AR$10*Lookups!$J$38/1000),"DELETE")</f>
        <v>DELETE</v>
      </c>
      <c r="AA332" s="172" t="str">
        <f t="shared" si="83"/>
        <v>DELETE</v>
      </c>
      <c r="AB332" s="172" t="str">
        <f t="shared" si="83"/>
        <v>DELETE</v>
      </c>
      <c r="AC332" s="172" t="str">
        <f t="shared" si="83"/>
        <v>DELETE</v>
      </c>
      <c r="AD332" s="172">
        <f t="shared" si="83"/>
        <v>2.5860000000000001E-2</v>
      </c>
      <c r="AE332" s="172">
        <f t="shared" si="83"/>
        <v>-5.2835466444093697E-2</v>
      </c>
      <c r="AF332" s="172">
        <f t="shared" si="83"/>
        <v>-4.8940251953922799E-2</v>
      </c>
      <c r="AG332" s="150"/>
      <c r="AI332" s="137">
        <v>2</v>
      </c>
      <c r="AJ332" s="136" t="s">
        <v>256</v>
      </c>
      <c r="AK332" s="142" t="s">
        <v>538</v>
      </c>
      <c r="AL332" s="136" t="s">
        <v>550</v>
      </c>
      <c r="AM332" s="136" t="s">
        <v>203</v>
      </c>
      <c r="AN332" s="1">
        <v>4.6396800000000002</v>
      </c>
      <c r="AO332" s="166">
        <v>1.54878</v>
      </c>
      <c r="AQ332">
        <f>_xlfn.XLOOKUP(tblGWP21[[#This Row],[Material Subcategory]],ls_Mat,Factors!$K$952:$K$1023)</f>
        <v>0</v>
      </c>
      <c r="AR332" s="173"/>
      <c r="AU332" t="s">
        <v>526</v>
      </c>
      <c r="AV332" s="347">
        <v>0.95</v>
      </c>
      <c r="BA332" cm="1">
        <f t="array" ref="BA332:BM332">tblGWP21[#This Row]</f>
        <v>2</v>
      </c>
      <c r="BB332" t="str">
        <v>Metals</v>
      </c>
      <c r="BC332" t="str">
        <v>Aluminum Foil</v>
      </c>
      <c r="BD332" t="str">
        <v>Oceania</v>
      </c>
      <c r="BE332" t="str">
        <v>n/a</v>
      </c>
      <c r="BF332">
        <v>-4.6396800000000002</v>
      </c>
      <c r="BG332" t="str">
        <v>DELETE</v>
      </c>
      <c r="BH332" t="str">
        <v>DELETE</v>
      </c>
      <c r="BI332" t="str">
        <v>DELETE</v>
      </c>
      <c r="BJ332" t="str">
        <v>DELETE</v>
      </c>
      <c r="BK332">
        <v>2.5860000000000001E-2</v>
      </c>
      <c r="BL332">
        <v>-5.2835466444093697E-2</v>
      </c>
      <c r="BM332">
        <v>-4.8940251953922799E-2</v>
      </c>
    </row>
    <row r="333" spans="3:65">
      <c r="C333" s="375">
        <v>2</v>
      </c>
      <c r="D333" s="374" t="s">
        <v>256</v>
      </c>
      <c r="E333" s="375" t="s">
        <v>256</v>
      </c>
      <c r="F333" s="362" t="s">
        <v>550</v>
      </c>
      <c r="G333" s="362" t="s">
        <v>203</v>
      </c>
      <c r="H333" s="368">
        <v>-3.3097799999999999</v>
      </c>
      <c r="I333" s="368">
        <v>-3.2267017926999997</v>
      </c>
      <c r="J333" s="368">
        <v>-12.385379926993377</v>
      </c>
      <c r="K333" s="368">
        <v>0</v>
      </c>
      <c r="L333" s="368">
        <v>0</v>
      </c>
      <c r="M333" s="368">
        <v>2.5860000000000001E-2</v>
      </c>
      <c r="N333" s="368">
        <v>-0.10693658489197445</v>
      </c>
      <c r="O333" s="368">
        <v>-9.0339883652696892E-2</v>
      </c>
      <c r="T333" s="49">
        <v>2</v>
      </c>
      <c r="U333" s="143" t="s">
        <v>256</v>
      </c>
      <c r="V333" s="33" t="s">
        <v>258</v>
      </c>
      <c r="W333" s="53" t="s">
        <v>550</v>
      </c>
      <c r="X333" s="53" t="s">
        <v>203</v>
      </c>
      <c r="Y333" s="172">
        <f>IFERROR(-tblZwaste1422[[#This Row],[Weight (kgCO2e/kg)]],0)</f>
        <v>-4.6396800000000002</v>
      </c>
      <c r="Z333" s="172">
        <f>IF(AQ333="x",(AR333*-tblZwaste1422[[#This Row],[Weight (kgCO2e/kg)]])+AS333+($AR$10*Lookups!$J$38/1000),"DELETE")</f>
        <v>-4.5566017927000004</v>
      </c>
      <c r="AA333" s="172">
        <f t="shared" si="83"/>
        <v>-4.7436864288681404</v>
      </c>
      <c r="AB333" s="172" t="str">
        <f t="shared" si="83"/>
        <v>DELETE</v>
      </c>
      <c r="AC333" s="172" t="str">
        <f t="shared" si="83"/>
        <v>DELETE</v>
      </c>
      <c r="AD333" s="172">
        <f t="shared" si="83"/>
        <v>2.5860000000000001E-2</v>
      </c>
      <c r="AE333" s="172">
        <f t="shared" si="83"/>
        <v>-5.6307288054897903E-2</v>
      </c>
      <c r="AF333" s="172">
        <f t="shared" si="83"/>
        <v>-4.8940251953922799E-2</v>
      </c>
      <c r="AG333" s="150"/>
      <c r="AI333" s="137">
        <v>2</v>
      </c>
      <c r="AJ333" s="136" t="s">
        <v>256</v>
      </c>
      <c r="AK333" s="142" t="s">
        <v>258</v>
      </c>
      <c r="AL333" s="136" t="s">
        <v>550</v>
      </c>
      <c r="AM333" s="136" t="s">
        <v>203</v>
      </c>
      <c r="AN333" s="1">
        <v>4.6396800000000002</v>
      </c>
      <c r="AO333" s="166">
        <v>1.54878</v>
      </c>
      <c r="AQ333" t="str">
        <f>_xlfn.XLOOKUP(tblGWP21[[#This Row],[Material Subcategory]],ls_Mat,Factors!$K$952:$K$1023)</f>
        <v>x</v>
      </c>
      <c r="AR333" s="173">
        <v>1</v>
      </c>
      <c r="AS333">
        <v>8.1306407300000008E-2</v>
      </c>
      <c r="AT333" t="s">
        <v>531</v>
      </c>
      <c r="AU333" t="s">
        <v>526</v>
      </c>
      <c r="AV333" s="347">
        <v>0.7</v>
      </c>
      <c r="BA333" cm="1">
        <f t="array" ref="BA333:BM333">tblGWP21[#This Row]</f>
        <v>2</v>
      </c>
      <c r="BB333" t="str">
        <v>Metals</v>
      </c>
      <c r="BC333" t="str">
        <v>Other Aluminum</v>
      </c>
      <c r="BD333" t="str">
        <v>Oceania</v>
      </c>
      <c r="BE333" t="str">
        <v>n/a</v>
      </c>
      <c r="BF333">
        <v>-4.6396800000000002</v>
      </c>
      <c r="BG333">
        <v>-4.5566017927000004</v>
      </c>
      <c r="BH333">
        <v>-4.7436864288681404</v>
      </c>
      <c r="BI333" t="str">
        <v>DELETE</v>
      </c>
      <c r="BJ333" t="str">
        <v>DELETE</v>
      </c>
      <c r="BK333">
        <v>2.5860000000000001E-2</v>
      </c>
      <c r="BL333">
        <v>-5.6307288054897903E-2</v>
      </c>
      <c r="BM333">
        <v>-4.8940251953922799E-2</v>
      </c>
    </row>
    <row r="334" spans="3:65">
      <c r="C334" s="6">
        <v>2</v>
      </c>
      <c r="D334" s="373" t="s">
        <v>256</v>
      </c>
      <c r="E334" s="6" t="s">
        <v>536</v>
      </c>
      <c r="F334" s="136" t="s">
        <v>550</v>
      </c>
      <c r="G334" s="136" t="s">
        <v>203</v>
      </c>
      <c r="H334" s="191">
        <v>-1.9798800000000001</v>
      </c>
      <c r="I334" s="191">
        <v>-1.8968017927</v>
      </c>
      <c r="J334" s="191">
        <v>-2.2607194096631558</v>
      </c>
      <c r="K334" s="191">
        <v>0</v>
      </c>
      <c r="L334" s="191">
        <v>0</v>
      </c>
      <c r="M334" s="191" t="s">
        <v>551</v>
      </c>
      <c r="N334" s="191">
        <v>-0.157565881729051</v>
      </c>
      <c r="O334" s="191">
        <v>-0.13173951535147099</v>
      </c>
      <c r="T334" s="49">
        <v>2</v>
      </c>
      <c r="U334" s="143" t="s">
        <v>247</v>
      </c>
      <c r="V334" s="33" t="s">
        <v>247</v>
      </c>
      <c r="W334" s="53" t="s">
        <v>550</v>
      </c>
      <c r="X334" s="53" t="s">
        <v>203</v>
      </c>
      <c r="Y334" s="172">
        <f>IFERROR(-tblZwaste1422[[#This Row],[Weight (kgCO2e/kg)]],0)</f>
        <v>-1.0505633333333335</v>
      </c>
      <c r="Z334" s="172">
        <f>IF(AQ334="x",(AR334*-tblZwaste1422[[#This Row],[Weight (kgCO2e/kg)]])+AS334+($AR$10*Lookups!$J$38/1000),"DELETE")</f>
        <v>-0.96748512603333348</v>
      </c>
      <c r="AA334" s="172">
        <f t="shared" si="83"/>
        <v>-0.31559209310355407</v>
      </c>
      <c r="AB334" s="172" t="str">
        <f t="shared" si="83"/>
        <v>DELETE</v>
      </c>
      <c r="AC334" s="172" t="str">
        <f t="shared" si="83"/>
        <v>DELETE</v>
      </c>
      <c r="AD334" s="172">
        <f t="shared" si="83"/>
        <v>2.6022298605907601E-2</v>
      </c>
      <c r="AE334" s="172">
        <f t="shared" si="83"/>
        <v>3.10148231107726E-2</v>
      </c>
      <c r="AF334" s="172">
        <f t="shared" si="83"/>
        <v>4.8915326896509501E-2</v>
      </c>
      <c r="AG334" s="150"/>
      <c r="AI334" s="137">
        <v>2</v>
      </c>
      <c r="AJ334" s="136" t="s">
        <v>247</v>
      </c>
      <c r="AK334" s="142" t="s">
        <v>247</v>
      </c>
      <c r="AL334" s="136" t="s">
        <v>550</v>
      </c>
      <c r="AM334" s="136" t="s">
        <v>203</v>
      </c>
      <c r="AN334" s="1">
        <v>1.0505633333333335</v>
      </c>
      <c r="AO334" s="166">
        <v>0.89563000000000004</v>
      </c>
      <c r="AQ334" t="str">
        <f>_xlfn.XLOOKUP(tblGWP21[[#This Row],[Material Subcategory]],ls_Mat,Factors!$K$952:$K$1023)</f>
        <v>x</v>
      </c>
      <c r="AR334" s="173">
        <v>1</v>
      </c>
      <c r="AS334">
        <v>8.1306407300000008E-2</v>
      </c>
      <c r="AT334" t="s">
        <v>531</v>
      </c>
      <c r="BA334" cm="1">
        <f t="array" ref="BA334:BM334">tblGWP21[#This Row]</f>
        <v>2</v>
      </c>
      <c r="BB334" t="str">
        <v>Glass</v>
      </c>
      <c r="BC334" t="str">
        <v>Glass</v>
      </c>
      <c r="BD334" t="str">
        <v>Oceania</v>
      </c>
      <c r="BE334" t="str">
        <v>n/a</v>
      </c>
      <c r="BF334">
        <v>-1.0505633333333335</v>
      </c>
      <c r="BG334">
        <v>-0.96748512603333348</v>
      </c>
      <c r="BH334">
        <v>-0.31559209310355407</v>
      </c>
      <c r="BI334" t="str">
        <v>DELETE</v>
      </c>
      <c r="BJ334" t="str">
        <v>DELETE</v>
      </c>
      <c r="BK334">
        <v>2.6022298605907601E-2</v>
      </c>
      <c r="BL334">
        <v>3.10148231107726E-2</v>
      </c>
      <c r="BM334">
        <v>4.8915326896509501E-2</v>
      </c>
    </row>
    <row r="335" spans="3:65">
      <c r="C335" s="375">
        <v>2</v>
      </c>
      <c r="D335" s="374" t="s">
        <v>256</v>
      </c>
      <c r="E335" s="375" t="s">
        <v>257</v>
      </c>
      <c r="F335" s="362" t="s">
        <v>550</v>
      </c>
      <c r="G335" s="362" t="s">
        <v>203</v>
      </c>
      <c r="H335" s="368">
        <v>-1.9798800000000001</v>
      </c>
      <c r="I335" s="368">
        <v>-1.8968017927</v>
      </c>
      <c r="J335" s="368">
        <v>-2.2607194096631558</v>
      </c>
      <c r="K335" s="368">
        <v>0</v>
      </c>
      <c r="L335" s="368">
        <v>0</v>
      </c>
      <c r="M335" s="368">
        <v>2.6022284268183E-2</v>
      </c>
      <c r="N335" s="368">
        <v>-0.157565881729051</v>
      </c>
      <c r="O335" s="368">
        <v>-0.13173951535147099</v>
      </c>
      <c r="T335" s="49">
        <v>2</v>
      </c>
      <c r="U335" s="143" t="s">
        <v>247</v>
      </c>
      <c r="V335" s="33" t="s">
        <v>248</v>
      </c>
      <c r="W335" s="53" t="s">
        <v>550</v>
      </c>
      <c r="X335" s="53" t="s">
        <v>203</v>
      </c>
      <c r="Y335" s="172">
        <f>IFERROR(-tblZwaste1422[[#This Row],[Weight (kgCO2e/kg)]],0)</f>
        <v>-1.0606100000000001</v>
      </c>
      <c r="Z335" s="172">
        <f>IF(AQ335="x",(AR335*-tblZwaste1422[[#This Row],[Weight (kgCO2e/kg)]])+AS335+($AR$10*Lookups!$J$38/1000),"DELETE")</f>
        <v>-0.97753179270000001</v>
      </c>
      <c r="AA335" s="172">
        <f t="shared" si="83"/>
        <v>-0.16861809467887115</v>
      </c>
      <c r="AB335" s="172" t="str">
        <f t="shared" si="83"/>
        <v>DELETE</v>
      </c>
      <c r="AC335" s="172" t="str">
        <f t="shared" si="83"/>
        <v>DELETE</v>
      </c>
      <c r="AD335" s="172">
        <f t="shared" si="83"/>
        <v>2.6022304585445001E-2</v>
      </c>
      <c r="AE335" s="172">
        <f t="shared" si="83"/>
        <v>3.4754241337771698E-2</v>
      </c>
      <c r="AF335" s="172">
        <f t="shared" si="83"/>
        <v>4.8914143290902802E-2</v>
      </c>
      <c r="AG335" s="150"/>
      <c r="AI335" s="137">
        <v>2</v>
      </c>
      <c r="AJ335" s="136" t="s">
        <v>247</v>
      </c>
      <c r="AK335" s="142" t="s">
        <v>248</v>
      </c>
      <c r="AL335" s="136" t="s">
        <v>550</v>
      </c>
      <c r="AM335" s="136" t="s">
        <v>203</v>
      </c>
      <c r="AN335" s="1">
        <v>1.0606100000000001</v>
      </c>
      <c r="AO335" s="166">
        <v>0.89563000000000004</v>
      </c>
      <c r="AQ335" t="str">
        <f>_xlfn.XLOOKUP(tblGWP21[[#This Row],[Material Subcategory]],ls_Mat,Factors!$K$952:$K$1023)</f>
        <v>x</v>
      </c>
      <c r="AR335" s="173">
        <v>1</v>
      </c>
      <c r="AS335">
        <v>8.1306407300000008E-2</v>
      </c>
      <c r="AT335" t="s">
        <v>531</v>
      </c>
      <c r="BA335" cm="1">
        <f t="array" ref="BA335:BM335">tblGWP21[#This Row]</f>
        <v>2</v>
      </c>
      <c r="BB335" t="str">
        <v>Glass</v>
      </c>
      <c r="BC335" t="str">
        <v>Glass – Brown</v>
      </c>
      <c r="BD335" t="str">
        <v>Oceania</v>
      </c>
      <c r="BE335" t="str">
        <v>n/a</v>
      </c>
      <c r="BF335">
        <v>-1.0606100000000001</v>
      </c>
      <c r="BG335">
        <v>-0.97753179270000001</v>
      </c>
      <c r="BH335">
        <v>-0.16861809467887115</v>
      </c>
      <c r="BI335" t="str">
        <v>DELETE</v>
      </c>
      <c r="BJ335" t="str">
        <v>DELETE</v>
      </c>
      <c r="BK335">
        <v>2.6022304585445001E-2</v>
      </c>
      <c r="BL335">
        <v>3.4754241337771698E-2</v>
      </c>
      <c r="BM335">
        <v>4.8914143290902802E-2</v>
      </c>
    </row>
    <row r="336" spans="3:65">
      <c r="C336" s="6">
        <v>2</v>
      </c>
      <c r="D336" s="373" t="s">
        <v>256</v>
      </c>
      <c r="E336" s="6" t="s">
        <v>537</v>
      </c>
      <c r="F336" s="136" t="s">
        <v>550</v>
      </c>
      <c r="G336" s="136" t="s">
        <v>203</v>
      </c>
      <c r="H336" s="191">
        <v>-5.0082800000000001</v>
      </c>
      <c r="I336" s="191">
        <v>-4.9252017927000002</v>
      </c>
      <c r="J336" s="191">
        <v>-4.8934870529376608</v>
      </c>
      <c r="K336" s="191">
        <v>0</v>
      </c>
      <c r="L336" s="191">
        <v>0</v>
      </c>
      <c r="M336" s="191">
        <v>2.5860000000000001E-2</v>
      </c>
      <c r="N336" s="191">
        <v>-5.6307288054897903E-2</v>
      </c>
      <c r="O336" s="191">
        <v>-4.8940251953922799E-2</v>
      </c>
      <c r="T336" s="49">
        <v>2</v>
      </c>
      <c r="U336" s="143" t="s">
        <v>247</v>
      </c>
      <c r="V336" s="33" t="s">
        <v>263</v>
      </c>
      <c r="W336" s="53" t="s">
        <v>550</v>
      </c>
      <c r="X336" s="53" t="s">
        <v>203</v>
      </c>
      <c r="Y336" s="172">
        <f>IFERROR(-tblZwaste1422[[#This Row],[Weight (kgCO2e/kg)]],0)</f>
        <v>-1.0341199999999999</v>
      </c>
      <c r="Z336" s="172">
        <f>IF(AQ336="x",(AR336*-tblZwaste1422[[#This Row],[Weight (kgCO2e/kg)]])+AS336+($AR$10*Lookups!$J$38/1000),"DELETE")</f>
        <v>-0.95104179269999989</v>
      </c>
      <c r="AA336" s="172">
        <f t="shared" si="83"/>
        <v>-0.16861809467887018</v>
      </c>
      <c r="AB336" s="172" t="str">
        <f t="shared" si="83"/>
        <v>DELETE</v>
      </c>
      <c r="AC336" s="172" t="str">
        <f t="shared" si="83"/>
        <v>DELETE</v>
      </c>
      <c r="AD336" s="172">
        <f t="shared" si="83"/>
        <v>2.6022308291002001E-2</v>
      </c>
      <c r="AE336" s="172">
        <f t="shared" si="83"/>
        <v>3.69958760565346E-2</v>
      </c>
      <c r="AF336" s="172">
        <f t="shared" si="83"/>
        <v>4.8914218859041098E-2</v>
      </c>
      <c r="AG336" s="150"/>
      <c r="AI336" s="137">
        <v>2</v>
      </c>
      <c r="AJ336" s="136" t="s">
        <v>247</v>
      </c>
      <c r="AK336" s="142" t="s">
        <v>263</v>
      </c>
      <c r="AL336" s="136" t="s">
        <v>550</v>
      </c>
      <c r="AM336" s="136" t="s">
        <v>203</v>
      </c>
      <c r="AN336" s="1">
        <v>1.0341199999999999</v>
      </c>
      <c r="AO336" s="166">
        <v>0.89563000000000004</v>
      </c>
      <c r="AQ336" t="str">
        <f>_xlfn.XLOOKUP(tblGWP21[[#This Row],[Material Subcategory]],ls_Mat,Factors!$K$952:$K$1023)</f>
        <v>x</v>
      </c>
      <c r="AR336" s="173">
        <v>1</v>
      </c>
      <c r="AS336">
        <v>8.1306407300000008E-2</v>
      </c>
      <c r="AT336" t="s">
        <v>531</v>
      </c>
      <c r="BA336" cm="1">
        <f t="array" ref="BA336:BM336">tblGWP21[#This Row]</f>
        <v>2</v>
      </c>
      <c r="BB336" t="str">
        <v>Glass</v>
      </c>
      <c r="BC336" t="str">
        <v>Glass – Green</v>
      </c>
      <c r="BD336" t="str">
        <v>Oceania</v>
      </c>
      <c r="BE336" t="str">
        <v>n/a</v>
      </c>
      <c r="BF336">
        <v>-1.0341199999999999</v>
      </c>
      <c r="BG336">
        <v>-0.95104179269999989</v>
      </c>
      <c r="BH336">
        <v>-0.16861809467887018</v>
      </c>
      <c r="BI336" t="str">
        <v>DELETE</v>
      </c>
      <c r="BJ336" t="str">
        <v>DELETE</v>
      </c>
      <c r="BK336">
        <v>2.6022308291002001E-2</v>
      </c>
      <c r="BL336">
        <v>3.69958760565346E-2</v>
      </c>
      <c r="BM336">
        <v>4.8914218859041098E-2</v>
      </c>
    </row>
    <row r="337" spans="3:65">
      <c r="C337" s="375">
        <v>2</v>
      </c>
      <c r="D337" s="374" t="s">
        <v>256</v>
      </c>
      <c r="E337" s="375" t="s">
        <v>538</v>
      </c>
      <c r="F337" s="362" t="s">
        <v>550</v>
      </c>
      <c r="G337" s="362" t="s">
        <v>203</v>
      </c>
      <c r="H337" s="368">
        <v>-4.6396800000000002</v>
      </c>
      <c r="I337" s="368">
        <v>0</v>
      </c>
      <c r="J337" s="368">
        <v>0</v>
      </c>
      <c r="K337" s="368">
        <v>0</v>
      </c>
      <c r="L337" s="368">
        <v>0</v>
      </c>
      <c r="M337" s="368">
        <v>2.5860000000000001E-2</v>
      </c>
      <c r="N337" s="368">
        <v>-5.2835466444093697E-2</v>
      </c>
      <c r="O337" s="368">
        <v>-4.8940251953922799E-2</v>
      </c>
      <c r="T337" s="49">
        <v>2</v>
      </c>
      <c r="U337" s="143" t="s">
        <v>247</v>
      </c>
      <c r="V337" s="33" t="s">
        <v>539</v>
      </c>
      <c r="W337" s="53" t="s">
        <v>550</v>
      </c>
      <c r="X337" s="53" t="s">
        <v>203</v>
      </c>
      <c r="Y337" s="172">
        <f>IFERROR(-tblZwaste1422[[#This Row],[Weight (kgCO2e/kg)]],0)</f>
        <v>-1.0569599999999999</v>
      </c>
      <c r="Z337" s="172">
        <f>IF(AQ337="x",(AR337*-tblZwaste1422[[#This Row],[Weight (kgCO2e/kg)]])+AS337+($AR$10*Lookups!$J$38/1000),"DELETE")</f>
        <v>-0.97388179269999986</v>
      </c>
      <c r="AA337" s="172">
        <f t="shared" ref="AA337:AF346" si="84">AA841</f>
        <v>-0.17394287661610452</v>
      </c>
      <c r="AB337" s="172" t="str">
        <f t="shared" si="84"/>
        <v>DELETE</v>
      </c>
      <c r="AC337" s="172" t="str">
        <f t="shared" si="84"/>
        <v>DELETE</v>
      </c>
      <c r="AD337" s="172">
        <f t="shared" si="84"/>
        <v>2.60222889299325E-2</v>
      </c>
      <c r="AE337" s="172">
        <f t="shared" si="84"/>
        <v>2.4991907646140801E-2</v>
      </c>
      <c r="AF337" s="172">
        <f t="shared" si="84"/>
        <v>4.8916601649179797E-2</v>
      </c>
      <c r="AG337" s="150"/>
      <c r="AI337" s="137">
        <v>2</v>
      </c>
      <c r="AJ337" s="136" t="s">
        <v>247</v>
      </c>
      <c r="AK337" s="142" t="s">
        <v>539</v>
      </c>
      <c r="AL337" s="136" t="s">
        <v>550</v>
      </c>
      <c r="AM337" s="136" t="s">
        <v>203</v>
      </c>
      <c r="AN337" s="1">
        <v>1.0569599999999999</v>
      </c>
      <c r="AO337" s="166">
        <v>0.89563000000000004</v>
      </c>
      <c r="AQ337" t="str">
        <f>_xlfn.XLOOKUP(tblGWP21[[#This Row],[Material Subcategory]],ls_Mat,Factors!$K$952:$K$1023)</f>
        <v>x</v>
      </c>
      <c r="AR337" s="173">
        <v>1</v>
      </c>
      <c r="AS337">
        <v>8.1306407300000008E-2</v>
      </c>
      <c r="AT337" t="s">
        <v>531</v>
      </c>
      <c r="BA337" cm="1">
        <f t="array" ref="BA337:BM337">tblGWP21[#This Row]</f>
        <v>2</v>
      </c>
      <c r="BB337" t="str">
        <v>Glass</v>
      </c>
      <c r="BC337" t="str">
        <v>Glass – Clear</v>
      </c>
      <c r="BD337" t="str">
        <v>Oceania</v>
      </c>
      <c r="BE337" t="str">
        <v>n/a</v>
      </c>
      <c r="BF337">
        <v>-1.0569599999999999</v>
      </c>
      <c r="BG337">
        <v>-0.97388179269999986</v>
      </c>
      <c r="BH337">
        <v>-0.17394287661610452</v>
      </c>
      <c r="BI337" t="str">
        <v>DELETE</v>
      </c>
      <c r="BJ337" t="str">
        <v>DELETE</v>
      </c>
      <c r="BK337">
        <v>2.60222889299325E-2</v>
      </c>
      <c r="BL337">
        <v>2.4991907646140801E-2</v>
      </c>
      <c r="BM337">
        <v>4.8916601649179797E-2</v>
      </c>
    </row>
    <row r="338" spans="3:65">
      <c r="C338" s="6">
        <v>2</v>
      </c>
      <c r="D338" s="373" t="s">
        <v>256</v>
      </c>
      <c r="E338" s="6" t="s">
        <v>258</v>
      </c>
      <c r="F338" s="136" t="s">
        <v>550</v>
      </c>
      <c r="G338" s="136" t="s">
        <v>203</v>
      </c>
      <c r="H338" s="191">
        <v>-4.6396800000000002</v>
      </c>
      <c r="I338" s="191">
        <v>-4.5566017927000004</v>
      </c>
      <c r="J338" s="191">
        <v>-4.7436864288681404</v>
      </c>
      <c r="K338" s="191">
        <v>0</v>
      </c>
      <c r="L338" s="191">
        <v>0</v>
      </c>
      <c r="M338" s="191">
        <v>2.5860000000000001E-2</v>
      </c>
      <c r="N338" s="191">
        <v>-5.6307288054897903E-2</v>
      </c>
      <c r="O338" s="191">
        <v>-4.8940251953922799E-2</v>
      </c>
      <c r="T338" s="49">
        <v>2</v>
      </c>
      <c r="U338" s="143" t="s">
        <v>247</v>
      </c>
      <c r="V338" s="33" t="s">
        <v>270</v>
      </c>
      <c r="W338" s="53" t="s">
        <v>550</v>
      </c>
      <c r="X338" s="53" t="s">
        <v>203</v>
      </c>
      <c r="Y338" s="172">
        <f>IFERROR(-tblZwaste1422[[#This Row],[Weight (kgCO2e/kg)]],0)</f>
        <v>-1.0505633333333335</v>
      </c>
      <c r="Z338" s="172">
        <f>IF(AQ338="x",(AR338*-tblZwaste1422[[#This Row],[Weight (kgCO2e/kg)]])+AS338+($AR$10*Lookups!$J$38/1000),"DELETE")</f>
        <v>-0.96748512603333348</v>
      </c>
      <c r="AA338" s="172">
        <f t="shared" si="84"/>
        <v>-0.31559209310355407</v>
      </c>
      <c r="AB338" s="172" t="str">
        <f t="shared" si="84"/>
        <v>DELETE</v>
      </c>
      <c r="AC338" s="172" t="str">
        <f t="shared" si="84"/>
        <v>DELETE</v>
      </c>
      <c r="AD338" s="172">
        <f t="shared" si="84"/>
        <v>2.6022298605907601E-2</v>
      </c>
      <c r="AE338" s="172">
        <f t="shared" si="84"/>
        <v>3.10148231107726E-2</v>
      </c>
      <c r="AF338" s="172">
        <f t="shared" si="84"/>
        <v>4.8915326896509501E-2</v>
      </c>
      <c r="AG338" s="150"/>
      <c r="AI338" s="137">
        <v>2</v>
      </c>
      <c r="AJ338" s="136" t="s">
        <v>247</v>
      </c>
      <c r="AK338" s="142" t="s">
        <v>270</v>
      </c>
      <c r="AL338" s="136" t="s">
        <v>550</v>
      </c>
      <c r="AM338" s="136" t="s">
        <v>203</v>
      </c>
      <c r="AN338" s="1">
        <v>1.0505633333333335</v>
      </c>
      <c r="AO338" s="166">
        <v>0.89563000000000004</v>
      </c>
      <c r="AQ338" t="str">
        <f>_xlfn.XLOOKUP(tblGWP21[[#This Row],[Material Subcategory]],ls_Mat,Factors!$K$952:$K$1023)</f>
        <v>x</v>
      </c>
      <c r="AR338" s="173">
        <v>1</v>
      </c>
      <c r="AS338">
        <v>8.1306407300000008E-2</v>
      </c>
      <c r="AT338" t="s">
        <v>531</v>
      </c>
      <c r="AU338" t="s">
        <v>526</v>
      </c>
      <c r="AV338" s="347">
        <v>0.7</v>
      </c>
      <c r="BA338" cm="1">
        <f t="array" ref="BA338:BM338">tblGWP21[#This Row]</f>
        <v>2</v>
      </c>
      <c r="BB338" t="str">
        <v>Glass</v>
      </c>
      <c r="BC338" t="str">
        <v>Mixed Glass</v>
      </c>
      <c r="BD338" t="str">
        <v>Oceania</v>
      </c>
      <c r="BE338" t="str">
        <v>n/a</v>
      </c>
      <c r="BF338">
        <v>-1.0505633333333335</v>
      </c>
      <c r="BG338">
        <v>-0.96748512603333348</v>
      </c>
      <c r="BH338">
        <v>-0.31559209310355407</v>
      </c>
      <c r="BI338" t="str">
        <v>DELETE</v>
      </c>
      <c r="BJ338" t="str">
        <v>DELETE</v>
      </c>
      <c r="BK338">
        <v>2.6022298605907601E-2</v>
      </c>
      <c r="BL338">
        <v>3.10148231107726E-2</v>
      </c>
      <c r="BM338">
        <v>4.8915326896509501E-2</v>
      </c>
    </row>
    <row r="339" spans="3:65">
      <c r="C339" s="375">
        <v>2</v>
      </c>
      <c r="D339" s="374" t="s">
        <v>247</v>
      </c>
      <c r="E339" s="375" t="s">
        <v>247</v>
      </c>
      <c r="F339" s="362" t="s">
        <v>550</v>
      </c>
      <c r="G339" s="362" t="s">
        <v>203</v>
      </c>
      <c r="H339" s="368">
        <v>-1.0505633333333335</v>
      </c>
      <c r="I339" s="368">
        <v>-0.96748512603333348</v>
      </c>
      <c r="J339" s="368">
        <v>-0.31559209310355407</v>
      </c>
      <c r="K339" s="368">
        <v>0</v>
      </c>
      <c r="L339" s="368">
        <v>0</v>
      </c>
      <c r="M339" s="368">
        <v>2.6022298605907601E-2</v>
      </c>
      <c r="N339" s="368">
        <v>3.10148231107726E-2</v>
      </c>
      <c r="O339" s="368">
        <v>4.8915326896509501E-2</v>
      </c>
      <c r="T339" s="49">
        <v>2</v>
      </c>
      <c r="U339" s="143" t="s">
        <v>247</v>
      </c>
      <c r="V339" s="33" t="s">
        <v>540</v>
      </c>
      <c r="W339" s="53" t="s">
        <v>550</v>
      </c>
      <c r="X339" s="53" t="s">
        <v>203</v>
      </c>
      <c r="Y339" s="172">
        <f>IFERROR(-tblZwaste1422[[#This Row],[Weight (kgCO2e/kg)]],0)</f>
        <v>-1.0473650000000001</v>
      </c>
      <c r="Z339" s="172">
        <f>IF(AQ339="x",(AR339*-tblZwaste1422[[#This Row],[Weight (kgCO2e/kg)]])+AS339+($AR$10*Lookups!$J$38/1000),"DELETE")</f>
        <v>-0.96428679270000006</v>
      </c>
      <c r="AA339" s="172" t="str">
        <f t="shared" si="84"/>
        <v>DELETE</v>
      </c>
      <c r="AB339" s="172" t="str">
        <f t="shared" si="84"/>
        <v>DELETE</v>
      </c>
      <c r="AC339" s="172" t="str">
        <f t="shared" si="84"/>
        <v>DELETE</v>
      </c>
      <c r="AD339" s="172">
        <f t="shared" si="84"/>
        <v>2.60222821570886E-2</v>
      </c>
      <c r="AE339" s="172">
        <f t="shared" si="84"/>
        <v>2.7233022209676799E-2</v>
      </c>
      <c r="AF339" s="172">
        <f t="shared" si="84"/>
        <v>4.8916157062091001E-2</v>
      </c>
      <c r="AG339" s="150"/>
      <c r="AI339" s="137">
        <v>2</v>
      </c>
      <c r="AJ339" s="136" t="s">
        <v>247</v>
      </c>
      <c r="AK339" s="142" t="s">
        <v>540</v>
      </c>
      <c r="AL339" s="136" t="s">
        <v>550</v>
      </c>
      <c r="AM339" s="136" t="s">
        <v>203</v>
      </c>
      <c r="AN339" s="1">
        <v>1.0473650000000001</v>
      </c>
      <c r="AO339" s="166">
        <v>0.89563000000000004</v>
      </c>
      <c r="AQ339" t="str">
        <f>_xlfn.XLOOKUP(tblGWP21[[#This Row],[Material Subcategory]],ls_Mat,Factors!$K$952:$K$1023)</f>
        <v>x</v>
      </c>
      <c r="AR339" s="173">
        <v>1</v>
      </c>
      <c r="AS339">
        <v>8.1306407300000008E-2</v>
      </c>
      <c r="AT339" t="s">
        <v>531</v>
      </c>
      <c r="AU339" t="s">
        <v>526</v>
      </c>
      <c r="AV339" s="347">
        <v>0.65</v>
      </c>
      <c r="BA339" cm="1">
        <f t="array" ref="BA339:BM339">tblGWP21[#This Row]</f>
        <v>2</v>
      </c>
      <c r="BB339" t="str">
        <v>Glass</v>
      </c>
      <c r="BC339" t="str">
        <v>Glass – Non-Recyclable</v>
      </c>
      <c r="BD339" t="str">
        <v>Oceania</v>
      </c>
      <c r="BE339" t="str">
        <v>n/a</v>
      </c>
      <c r="BF339">
        <v>-1.0473650000000001</v>
      </c>
      <c r="BG339">
        <v>-0.96428679270000006</v>
      </c>
      <c r="BH339" t="str">
        <v>DELETE</v>
      </c>
      <c r="BI339" t="str">
        <v>DELETE</v>
      </c>
      <c r="BJ339" t="str">
        <v>DELETE</v>
      </c>
      <c r="BK339">
        <v>2.60222821570886E-2</v>
      </c>
      <c r="BL339">
        <v>2.7233022209676799E-2</v>
      </c>
      <c r="BM339">
        <v>4.8916157062091001E-2</v>
      </c>
    </row>
    <row r="340" spans="3:65">
      <c r="C340" s="6">
        <v>2</v>
      </c>
      <c r="D340" s="373" t="s">
        <v>247</v>
      </c>
      <c r="E340" s="6" t="s">
        <v>248</v>
      </c>
      <c r="F340" s="136" t="s">
        <v>550</v>
      </c>
      <c r="G340" s="136" t="s">
        <v>203</v>
      </c>
      <c r="H340" s="191">
        <v>-1.0606100000000001</v>
      </c>
      <c r="I340" s="191">
        <v>-0.97753179270000001</v>
      </c>
      <c r="J340" s="191">
        <v>-0.16861809467887115</v>
      </c>
      <c r="K340" s="191">
        <v>0</v>
      </c>
      <c r="L340" s="191">
        <v>0</v>
      </c>
      <c r="M340" s="191">
        <v>2.6022304585445001E-2</v>
      </c>
      <c r="N340" s="191">
        <v>3.4754241337771698E-2</v>
      </c>
      <c r="O340" s="191">
        <v>4.8914143290902802E-2</v>
      </c>
      <c r="T340" s="49">
        <v>2</v>
      </c>
      <c r="U340" s="143" t="s">
        <v>261</v>
      </c>
      <c r="V340" s="33" t="s">
        <v>260</v>
      </c>
      <c r="W340" s="53" t="s">
        <v>550</v>
      </c>
      <c r="X340" s="53" t="s">
        <v>203</v>
      </c>
      <c r="Y340" s="172">
        <f>IFERROR(-tblZwaste1422[[#This Row],[Weight (kgCO2e/kg)]],0)</f>
        <v>-4.0364225925925927</v>
      </c>
      <c r="Z340" s="172" t="str">
        <f>IF(AQ340="x",(AR340*-tblZwaste1422[[#This Row],[Weight (kgCO2e/kg)]])+AS340+($AR$10*Lookups!$J$38/1000),"DELETE")</f>
        <v>DELETE</v>
      </c>
      <c r="AA340" s="172" t="str">
        <f t="shared" si="84"/>
        <v>DELETE</v>
      </c>
      <c r="AB340" s="172">
        <f t="shared" si="84"/>
        <v>-0.50421803395133402</v>
      </c>
      <c r="AC340" s="172">
        <f t="shared" si="84"/>
        <v>-0.86540544060248603</v>
      </c>
      <c r="AD340" s="172">
        <f t="shared" si="84"/>
        <v>-0.17470400001792399</v>
      </c>
      <c r="AE340" s="172">
        <f t="shared" si="84"/>
        <v>-0.23975545799391401</v>
      </c>
      <c r="AF340" s="172">
        <f t="shared" si="84"/>
        <v>2.7529569440036799E-2</v>
      </c>
      <c r="AG340" s="150"/>
      <c r="AI340" s="137">
        <v>2</v>
      </c>
      <c r="AJ340" s="136" t="s">
        <v>529</v>
      </c>
      <c r="AK340" s="142" t="s">
        <v>260</v>
      </c>
      <c r="AL340" s="136" t="s">
        <v>550</v>
      </c>
      <c r="AM340" s="136" t="s">
        <v>203</v>
      </c>
      <c r="AN340" s="1">
        <v>4.0364225925925927</v>
      </c>
      <c r="AO340" s="166">
        <v>1.3856655555555555</v>
      </c>
      <c r="AQ340">
        <f>_xlfn.XLOOKUP(tblGWP21[[#This Row],[Material Subcategory]],ls_Mat,Factors!$K$952:$K$1023)</f>
        <v>0</v>
      </c>
      <c r="AR340" s="173"/>
      <c r="BA340" cm="1">
        <f t="array" ref="BA340:BM340">tblGWP21[#This Row]</f>
        <v>2</v>
      </c>
      <c r="BB340" t="str">
        <v>Food Waste</v>
      </c>
      <c r="BC340" t="str">
        <v>Mixed Organics</v>
      </c>
      <c r="BD340" t="str">
        <v>Oceania</v>
      </c>
      <c r="BE340" t="str">
        <v>n/a</v>
      </c>
      <c r="BF340">
        <v>-4.0364225925925927</v>
      </c>
      <c r="BG340" t="str">
        <v>DELETE</v>
      </c>
      <c r="BH340" t="str">
        <v>DELETE</v>
      </c>
      <c r="BI340">
        <v>-0.50421803395133402</v>
      </c>
      <c r="BJ340">
        <v>-0.86540544060248603</v>
      </c>
      <c r="BK340">
        <v>-0.17470400001792399</v>
      </c>
      <c r="BL340">
        <v>-0.23975545799391401</v>
      </c>
      <c r="BM340">
        <v>2.7529569440036799E-2</v>
      </c>
    </row>
    <row r="341" spans="3:65">
      <c r="C341" s="375">
        <v>2</v>
      </c>
      <c r="D341" s="374" t="s">
        <v>247</v>
      </c>
      <c r="E341" s="375" t="s">
        <v>263</v>
      </c>
      <c r="F341" s="362" t="s">
        <v>550</v>
      </c>
      <c r="G341" s="362" t="s">
        <v>203</v>
      </c>
      <c r="H341" s="368">
        <v>-1.0341199999999999</v>
      </c>
      <c r="I341" s="368">
        <v>-0.95104179269999989</v>
      </c>
      <c r="J341" s="368">
        <v>-0.16861809467887018</v>
      </c>
      <c r="K341" s="368">
        <v>0</v>
      </c>
      <c r="L341" s="368">
        <v>0</v>
      </c>
      <c r="M341" s="368">
        <v>2.6022308291002001E-2</v>
      </c>
      <c r="N341" s="368">
        <v>3.69958760565346E-2</v>
      </c>
      <c r="O341" s="368">
        <v>4.8914218859041098E-2</v>
      </c>
      <c r="T341" s="49">
        <v>2</v>
      </c>
      <c r="U341" s="143" t="s">
        <v>237</v>
      </c>
      <c r="V341" s="33" t="s">
        <v>237</v>
      </c>
      <c r="W341" s="53" t="s">
        <v>550</v>
      </c>
      <c r="X341" s="53" t="s">
        <v>203</v>
      </c>
      <c r="Y341" s="172">
        <f>IFERROR(-tblZwaste1422[[#This Row],[Weight (kgCO2e/kg)]],0)</f>
        <v>-2.8533815875203707</v>
      </c>
      <c r="Z341" s="172" t="e">
        <f>IF(AQ341="x",(AR341*-tblZwaste1422[[#This Row],[Weight (kgCO2e/kg)]])+AS341+($AR$10*Lookups!$J$38/1000),"DELETE")</f>
        <v>#N/A</v>
      </c>
      <c r="AA341" s="172" t="s">
        <v>567</v>
      </c>
      <c r="AB341" s="172" t="str">
        <f t="shared" si="84"/>
        <v>DELETE</v>
      </c>
      <c r="AC341" s="172" t="str">
        <f t="shared" si="84"/>
        <v>DELETE</v>
      </c>
      <c r="AD341" s="172">
        <f t="shared" si="84"/>
        <v>-0.46676852163692306</v>
      </c>
      <c r="AE341" s="172">
        <f t="shared" si="84"/>
        <v>-0.53874884609908802</v>
      </c>
      <c r="AF341" s="172">
        <f t="shared" si="84"/>
        <v>2.7968656135843518E-2</v>
      </c>
      <c r="AG341" s="150"/>
      <c r="AI341" s="137">
        <v>2</v>
      </c>
      <c r="AJ341" s="136" t="s">
        <v>237</v>
      </c>
      <c r="AK341" s="142" t="s">
        <v>237</v>
      </c>
      <c r="AL341" s="136" t="s">
        <v>550</v>
      </c>
      <c r="AM341" s="136" t="s">
        <v>203</v>
      </c>
      <c r="AN341" s="1">
        <v>2.8533815875203707</v>
      </c>
      <c r="AO341" s="166">
        <v>1.0711602172222223</v>
      </c>
      <c r="AQ341" t="e">
        <f>_xlfn.XLOOKUP(tblGWP21[[#This Row],[Material Subcategory]],ls_Mat,Factors!$K$952:$K$1023)</f>
        <v>#N/A</v>
      </c>
      <c r="AR341" s="173">
        <v>0.5</v>
      </c>
      <c r="AS341">
        <v>0</v>
      </c>
      <c r="AT341" t="s">
        <v>527</v>
      </c>
      <c r="BA341" cm="1">
        <f t="array" ref="BA341:BM341">tblGWP21[#This Row]</f>
        <v>2</v>
      </c>
      <c r="BB341" t="str">
        <v>Mixed/Custom</v>
      </c>
      <c r="BC341" t="str">
        <v>Mixed/Custom</v>
      </c>
      <c r="BD341" t="str">
        <v>Oceania</v>
      </c>
      <c r="BE341" t="str">
        <v>n/a</v>
      </c>
      <c r="BF341">
        <v>-2.8533815875203707</v>
      </c>
      <c r="BG341" t="e">
        <v>#N/A</v>
      </c>
      <c r="BH341" t="str">
        <v>DELETE</v>
      </c>
      <c r="BI341" t="str">
        <v>DELETE</v>
      </c>
      <c r="BJ341" t="str">
        <v>DELETE</v>
      </c>
      <c r="BK341">
        <v>-0.46676852163692306</v>
      </c>
      <c r="BL341">
        <v>-0.53874884609908802</v>
      </c>
      <c r="BM341">
        <v>2.7968656135843518E-2</v>
      </c>
    </row>
    <row r="342" spans="3:65">
      <c r="C342" s="6">
        <v>2</v>
      </c>
      <c r="D342" s="373" t="s">
        <v>247</v>
      </c>
      <c r="E342" s="6" t="s">
        <v>539</v>
      </c>
      <c r="F342" s="136" t="s">
        <v>550</v>
      </c>
      <c r="G342" s="136" t="s">
        <v>203</v>
      </c>
      <c r="H342" s="191">
        <v>-1.0569599999999999</v>
      </c>
      <c r="I342" s="191">
        <v>-0.97388179269999986</v>
      </c>
      <c r="J342" s="191">
        <v>-0.17394287661610452</v>
      </c>
      <c r="K342" s="191">
        <v>0</v>
      </c>
      <c r="L342" s="191">
        <v>0</v>
      </c>
      <c r="M342" s="191">
        <v>2.60222889299325E-2</v>
      </c>
      <c r="N342" s="191">
        <v>2.4991907646140801E-2</v>
      </c>
      <c r="O342" s="191">
        <v>4.8916601649179797E-2</v>
      </c>
      <c r="T342" s="49">
        <v>2</v>
      </c>
      <c r="U342" s="143" t="s">
        <v>237</v>
      </c>
      <c r="V342" s="33" t="s">
        <v>246</v>
      </c>
      <c r="W342" s="53" t="s">
        <v>550</v>
      </c>
      <c r="X342" s="53" t="s">
        <v>203</v>
      </c>
      <c r="Y342" s="172">
        <f>IFERROR(-tblZwaste1422[[#This Row],[Weight (kgCO2e/kg)]],0)</f>
        <v>-7.3412433500000009</v>
      </c>
      <c r="Z342" s="172" t="str">
        <f>IF(AQ342="x",(AR342*-tblZwaste1422[[#This Row],[Weight (kgCO2e/kg)]])+AS342+($AR$10*Lookups!$J$38/1000),"DELETE")</f>
        <v>DELETE</v>
      </c>
      <c r="AA342" s="172" t="str">
        <f t="shared" si="84"/>
        <v>DELETE</v>
      </c>
      <c r="AB342" s="172" t="str">
        <f t="shared" si="84"/>
        <v>DELETE</v>
      </c>
      <c r="AC342" s="172" t="str">
        <f t="shared" si="84"/>
        <v>DELETE</v>
      </c>
      <c r="AD342" s="172">
        <f t="shared" si="84"/>
        <v>2.6022332869927601E-2</v>
      </c>
      <c r="AE342" s="172">
        <f t="shared" si="84"/>
        <v>4.180080979597E-2</v>
      </c>
      <c r="AF342" s="172">
        <f t="shared" si="84"/>
        <v>4.8913810169324903E-2</v>
      </c>
      <c r="AG342" s="150"/>
      <c r="AI342" s="137">
        <v>2</v>
      </c>
      <c r="AJ342" s="136" t="s">
        <v>237</v>
      </c>
      <c r="AK342" s="142" t="s">
        <v>246</v>
      </c>
      <c r="AL342" s="136" t="s">
        <v>550</v>
      </c>
      <c r="AM342" s="136" t="s">
        <v>203</v>
      </c>
      <c r="AN342" s="1">
        <v>7.3412433500000009</v>
      </c>
      <c r="AO342" s="166">
        <v>0.66842500000000005</v>
      </c>
      <c r="AQ342">
        <f>_xlfn.XLOOKUP(tblGWP21[[#This Row],[Material Subcategory]],ls_Mat,Factors!$K$952:$K$1023)</f>
        <v>0</v>
      </c>
      <c r="AR342" s="173"/>
      <c r="BA342" cm="1">
        <f t="array" ref="BA342:BM342">tblGWP21[#This Row]</f>
        <v>2</v>
      </c>
      <c r="BB342" t="str">
        <v>Mixed/Custom</v>
      </c>
      <c r="BC342" t="str">
        <v>Mixed Inorganics</v>
      </c>
      <c r="BD342" t="str">
        <v>Oceania</v>
      </c>
      <c r="BE342" t="str">
        <v>n/a</v>
      </c>
      <c r="BF342">
        <v>-7.3412433500000009</v>
      </c>
      <c r="BG342" t="str">
        <v>DELETE</v>
      </c>
      <c r="BH342" t="str">
        <v>DELETE</v>
      </c>
      <c r="BI342" t="str">
        <v>DELETE</v>
      </c>
      <c r="BJ342" t="str">
        <v>DELETE</v>
      </c>
      <c r="BK342">
        <v>2.6022332869927601E-2</v>
      </c>
      <c r="BL342">
        <v>4.180080979597E-2</v>
      </c>
      <c r="BM342">
        <v>4.8913810169324903E-2</v>
      </c>
    </row>
    <row r="343" spans="3:65">
      <c r="C343" s="375">
        <v>2</v>
      </c>
      <c r="D343" s="374" t="s">
        <v>247</v>
      </c>
      <c r="E343" s="375" t="s">
        <v>270</v>
      </c>
      <c r="F343" s="362" t="s">
        <v>550</v>
      </c>
      <c r="G343" s="362" t="s">
        <v>203</v>
      </c>
      <c r="H343" s="368">
        <v>-1.0505633333333335</v>
      </c>
      <c r="I343" s="368">
        <v>-0.96748512603333348</v>
      </c>
      <c r="J343" s="368">
        <v>-0.31559209310355407</v>
      </c>
      <c r="K343" s="368">
        <v>0</v>
      </c>
      <c r="L343" s="368">
        <v>0</v>
      </c>
      <c r="M343" s="368">
        <v>2.6022298605907601E-2</v>
      </c>
      <c r="N343" s="368">
        <v>3.10148231107726E-2</v>
      </c>
      <c r="O343" s="368">
        <v>4.8915326896509501E-2</v>
      </c>
      <c r="T343" s="49">
        <v>2</v>
      </c>
      <c r="U343" s="143" t="s">
        <v>237</v>
      </c>
      <c r="V343" s="33" t="s">
        <v>243</v>
      </c>
      <c r="W343" s="53" t="s">
        <v>550</v>
      </c>
      <c r="X343" s="53" t="s">
        <v>203</v>
      </c>
      <c r="Y343" s="172">
        <f>IFERROR(-tblZwaste1422[[#This Row],[Weight (kgCO2e/kg)]],0)</f>
        <v>-2.8533815875203707</v>
      </c>
      <c r="Z343" s="172" t="e">
        <f>IF(AQ343="x",(AR343*-tblZwaste1422[[#This Row],[Weight (kgCO2e/kg)]])+AS343+($AR$10*Lookups!$J$38/1000),"DELETE")</f>
        <v>#N/A</v>
      </c>
      <c r="AA343" s="172" t="str">
        <f t="shared" si="84"/>
        <v>DELETE</v>
      </c>
      <c r="AB343" s="172">
        <f t="shared" si="84"/>
        <v>-1.0338589694293789</v>
      </c>
      <c r="AC343" s="172">
        <f t="shared" si="84"/>
        <v>-1.5970889569085887</v>
      </c>
      <c r="AD343" s="172">
        <f t="shared" si="84"/>
        <v>-0.46676852163692306</v>
      </c>
      <c r="AE343" s="172">
        <f t="shared" si="84"/>
        <v>-0.53874884609908802</v>
      </c>
      <c r="AF343" s="172">
        <f t="shared" si="84"/>
        <v>2.7968656135843518E-2</v>
      </c>
      <c r="AG343" s="150"/>
      <c r="AI343" s="137">
        <v>2</v>
      </c>
      <c r="AJ343" s="136" t="s">
        <v>237</v>
      </c>
      <c r="AK343" s="142" t="s">
        <v>243</v>
      </c>
      <c r="AL343" s="136" t="s">
        <v>550</v>
      </c>
      <c r="AM343" s="136" t="s">
        <v>203</v>
      </c>
      <c r="AN343" s="1">
        <v>2.8533815875203707</v>
      </c>
      <c r="AO343" s="166">
        <v>1.0711602172222223</v>
      </c>
      <c r="AQ343" t="e">
        <f>_xlfn.XLOOKUP(tblGWP21[[#This Row],[Material Subcategory]],ls_Mat,Factors!$K$952:$K$1023)</f>
        <v>#N/A</v>
      </c>
      <c r="AR343" s="173"/>
      <c r="BA343" cm="1">
        <f t="array" ref="BA343:BM343">tblGWP21[#This Row]</f>
        <v>2</v>
      </c>
      <c r="BB343" t="str">
        <v>Mixed/Custom</v>
      </c>
      <c r="BC343" t="str">
        <v>Mixed MSW</v>
      </c>
      <c r="BD343" t="str">
        <v>Oceania</v>
      </c>
      <c r="BE343" t="str">
        <v>n/a</v>
      </c>
      <c r="BF343">
        <v>-2.8533815875203707</v>
      </c>
      <c r="BG343" t="e">
        <v>#N/A</v>
      </c>
      <c r="BH343" t="str">
        <v>DELETE</v>
      </c>
      <c r="BI343">
        <v>-1.0338589694293789</v>
      </c>
      <c r="BJ343">
        <v>-1.5970889569085887</v>
      </c>
      <c r="BK343">
        <v>-0.46676852163692306</v>
      </c>
      <c r="BL343">
        <v>-0.53874884609908802</v>
      </c>
      <c r="BM343">
        <v>2.7968656135843518E-2</v>
      </c>
    </row>
    <row r="344" spans="3:65">
      <c r="C344" s="6">
        <v>2</v>
      </c>
      <c r="D344" s="373" t="s">
        <v>247</v>
      </c>
      <c r="E344" s="6" t="s">
        <v>540</v>
      </c>
      <c r="F344" s="136" t="s">
        <v>550</v>
      </c>
      <c r="G344" s="136" t="s">
        <v>203</v>
      </c>
      <c r="H344" s="191">
        <v>-1.0473650000000001</v>
      </c>
      <c r="I344" s="191">
        <v>-0.96428679270000006</v>
      </c>
      <c r="J344" s="191">
        <v>0</v>
      </c>
      <c r="K344" s="191">
        <v>0</v>
      </c>
      <c r="L344" s="191">
        <v>0</v>
      </c>
      <c r="M344" s="191">
        <v>2.60222821570886E-2</v>
      </c>
      <c r="N344" s="191">
        <v>2.7233022209676799E-2</v>
      </c>
      <c r="O344" s="191">
        <v>4.8916157062091001E-2</v>
      </c>
      <c r="T344" s="49">
        <v>2</v>
      </c>
      <c r="U344" s="143" t="s">
        <v>252</v>
      </c>
      <c r="V344" s="33" t="s">
        <v>333</v>
      </c>
      <c r="W344" s="53" t="s">
        <v>550</v>
      </c>
      <c r="X344" s="53" t="s">
        <v>203</v>
      </c>
      <c r="Y344" s="172">
        <f>IFERROR(-tblZwaste1422[[#This Row],[Weight (kgCO2e/kg)]],0)</f>
        <v>-2.0953266666666663</v>
      </c>
      <c r="Z344" s="172" t="str">
        <f>IF(AQ344="x",(AR344*-tblZwaste1422[[#This Row],[Weight (kgCO2e/kg)]])+AS344+($AR$10*Lookups!$J$38/1000),"DELETE")</f>
        <v>DELETE</v>
      </c>
      <c r="AA344" s="172">
        <f t="shared" si="84"/>
        <v>-4.4031027052446881</v>
      </c>
      <c r="AB344" s="172" t="str">
        <f t="shared" si="84"/>
        <v>DELETE</v>
      </c>
      <c r="AC344" s="172" t="str">
        <f t="shared" si="84"/>
        <v>DELETE</v>
      </c>
      <c r="AD344" s="172">
        <f t="shared" si="84"/>
        <v>2.6022305346742901E-2</v>
      </c>
      <c r="AE344" s="172">
        <f t="shared" si="84"/>
        <v>0.62743418122049499</v>
      </c>
      <c r="AF344" s="172">
        <f t="shared" si="84"/>
        <v>2.1870245647238802</v>
      </c>
      <c r="AG344" s="150"/>
      <c r="AI344" s="137">
        <v>2</v>
      </c>
      <c r="AJ344" s="136" t="s">
        <v>252</v>
      </c>
      <c r="AK344" s="142" t="s">
        <v>333</v>
      </c>
      <c r="AL344" s="136" t="s">
        <v>550</v>
      </c>
      <c r="AM344" s="136" t="s">
        <v>203</v>
      </c>
      <c r="AN344" s="1">
        <v>2.0953266666666663</v>
      </c>
      <c r="AO344" s="166">
        <v>1.77911</v>
      </c>
      <c r="AQ344">
        <f>_xlfn.XLOOKUP(tblGWP21[[#This Row],[Material Subcategory]],ls_Mat,Factors!$K$952:$K$1023)</f>
        <v>0</v>
      </c>
      <c r="AR344" s="173"/>
      <c r="AU344" t="s">
        <v>526</v>
      </c>
      <c r="AV344" s="347">
        <v>0.5</v>
      </c>
      <c r="BA344" cm="1">
        <f t="array" ref="BA344:BM344">tblGWP21[#This Row]</f>
        <v>2</v>
      </c>
      <c r="BB344" t="str">
        <v>Plastics</v>
      </c>
      <c r="BC344" t="str">
        <v>Mixed Plastics</v>
      </c>
      <c r="BD344" t="str">
        <v>Oceania</v>
      </c>
      <c r="BE344" t="str">
        <v>n/a</v>
      </c>
      <c r="BF344">
        <v>-2.0953266666666663</v>
      </c>
      <c r="BG344" t="str">
        <v>DELETE</v>
      </c>
      <c r="BH344">
        <v>-4.4031027052446881</v>
      </c>
      <c r="BI344" t="str">
        <v>DELETE</v>
      </c>
      <c r="BJ344" t="str">
        <v>DELETE</v>
      </c>
      <c r="BK344">
        <v>2.6022305346742901E-2</v>
      </c>
      <c r="BL344">
        <v>0.62743418122049499</v>
      </c>
      <c r="BM344">
        <v>2.1870245647238802</v>
      </c>
    </row>
    <row r="345" spans="3:65">
      <c r="C345" s="375">
        <v>2</v>
      </c>
      <c r="D345" s="374" t="s">
        <v>261</v>
      </c>
      <c r="E345" s="375" t="s">
        <v>260</v>
      </c>
      <c r="F345" s="362" t="s">
        <v>550</v>
      </c>
      <c r="G345" s="362" t="s">
        <v>203</v>
      </c>
      <c r="H345" s="368">
        <v>-4.0364225925925927</v>
      </c>
      <c r="I345" s="368">
        <v>0</v>
      </c>
      <c r="J345" s="368">
        <v>0</v>
      </c>
      <c r="K345" s="368">
        <v>-0.50421803395133402</v>
      </c>
      <c r="L345" s="368">
        <v>-0.86540544060248603</v>
      </c>
      <c r="M345" s="368">
        <v>-0.17470400001792399</v>
      </c>
      <c r="N345" s="368">
        <v>-0.23975545799391401</v>
      </c>
      <c r="O345" s="368">
        <v>2.7529569440036799E-2</v>
      </c>
      <c r="T345" s="49">
        <v>2</v>
      </c>
      <c r="U345" s="143" t="s">
        <v>239</v>
      </c>
      <c r="V345" s="33" t="s">
        <v>542</v>
      </c>
      <c r="W345" s="53" t="s">
        <v>550</v>
      </c>
      <c r="X345" s="53" t="s">
        <v>203</v>
      </c>
      <c r="Y345" s="172">
        <f>IFERROR(-tblZwaste1422[[#This Row],[Weight (kgCO2e/kg)]],0)</f>
        <v>-2.6644477777777777</v>
      </c>
      <c r="Z345" s="172" t="str">
        <f>IF(AQ345="x",(AR345*-tblZwaste1422[[#This Row],[Weight (kgCO2e/kg)]])+AS345+($AR$10*Lookups!$J$38/1000),"DELETE")</f>
        <v>DELETE</v>
      </c>
      <c r="AA345" s="172">
        <f t="shared" si="84"/>
        <v>-0.82622090524955993</v>
      </c>
      <c r="AB345" s="172">
        <f t="shared" si="84"/>
        <v>-1.6415582940675599</v>
      </c>
      <c r="AC345" s="172">
        <f t="shared" si="84"/>
        <v>-2.38875601138436</v>
      </c>
      <c r="AD345" s="172">
        <f t="shared" si="84"/>
        <v>-0.64660766527578795</v>
      </c>
      <c r="AE345" s="172">
        <f t="shared" si="84"/>
        <v>-0.84015304589553597</v>
      </c>
      <c r="AF345" s="172">
        <f t="shared" si="84"/>
        <v>2.7471597181405401E-2</v>
      </c>
      <c r="AG345" s="150"/>
      <c r="AI345" s="137">
        <v>2</v>
      </c>
      <c r="AJ345" s="136" t="s">
        <v>239</v>
      </c>
      <c r="AK345" s="142" t="s">
        <v>542</v>
      </c>
      <c r="AL345" s="136" t="s">
        <v>550</v>
      </c>
      <c r="AM345" s="136" t="s">
        <v>203</v>
      </c>
      <c r="AN345" s="1">
        <v>2.6644477777777777</v>
      </c>
      <c r="AO345" s="166">
        <v>0.64099666666666666</v>
      </c>
      <c r="AQ345">
        <f>_xlfn.XLOOKUP(tblGWP21[[#This Row],[Material Subcategory]],ls_Mat,Factors!$K$952:$K$1023)</f>
        <v>0</v>
      </c>
      <c r="BA345" cm="1">
        <f t="array" ref="BA345:BM345">tblGWP21[#This Row]</f>
        <v>2</v>
      </c>
      <c r="BB345" t="str">
        <v>Paper</v>
      </c>
      <c r="BC345" t="str">
        <v>Mixed Paper</v>
      </c>
      <c r="BD345" t="str">
        <v>Oceania</v>
      </c>
      <c r="BE345" t="str">
        <v>n/a</v>
      </c>
      <c r="BF345">
        <v>-2.6644477777777777</v>
      </c>
      <c r="BG345" t="str">
        <v>DELETE</v>
      </c>
      <c r="BH345">
        <v>-0.82622090524955993</v>
      </c>
      <c r="BI345">
        <v>-1.6415582940675599</v>
      </c>
      <c r="BJ345">
        <v>-2.38875601138436</v>
      </c>
      <c r="BK345">
        <v>-0.64660766527578795</v>
      </c>
      <c r="BL345">
        <v>-0.84015304589553597</v>
      </c>
      <c r="BM345">
        <v>2.7471597181405401E-2</v>
      </c>
    </row>
    <row r="346" spans="3:65">
      <c r="C346" s="6">
        <v>2</v>
      </c>
      <c r="D346" s="373" t="s">
        <v>10157</v>
      </c>
      <c r="E346" s="6" t="s">
        <v>237</v>
      </c>
      <c r="F346" s="136" t="s">
        <v>550</v>
      </c>
      <c r="G346" s="136" t="s">
        <v>203</v>
      </c>
      <c r="H346" s="191">
        <v>-2.8533815875203707</v>
      </c>
      <c r="I346" s="191">
        <v>-1.4249189937601854</v>
      </c>
      <c r="J346" s="191">
        <v>0</v>
      </c>
      <c r="K346" s="191">
        <v>0</v>
      </c>
      <c r="L346" s="191">
        <v>0</v>
      </c>
      <c r="M346" s="191">
        <v>-0.46676852163692306</v>
      </c>
      <c r="N346" s="191">
        <v>-0.53874884609908802</v>
      </c>
      <c r="O346" s="191">
        <v>2.7968656135843518E-2</v>
      </c>
      <c r="T346" s="49">
        <v>2</v>
      </c>
      <c r="U346" s="143" t="s">
        <v>237</v>
      </c>
      <c r="V346" s="33" t="s">
        <v>238</v>
      </c>
      <c r="W346" s="53" t="s">
        <v>550</v>
      </c>
      <c r="X346" s="53" t="s">
        <v>203</v>
      </c>
      <c r="Y346" s="172">
        <f>IFERROR(-tblZwaste1422[[#This Row],[Weight (kgCO2e/kg)]],0)</f>
        <v>-2.7046544444444445</v>
      </c>
      <c r="Z346" s="172" t="str">
        <f>IF(AQ346="x",(AR346*-tblZwaste1422[[#This Row],[Weight (kgCO2e/kg)]])+AS346+($AR$10*Lookups!$J$38/1000),"DELETE")</f>
        <v>DELETE</v>
      </c>
      <c r="AA346" s="172" t="str">
        <f t="shared" si="84"/>
        <v>DELETE</v>
      </c>
      <c r="AB346" s="172" t="str">
        <f t="shared" si="84"/>
        <v>DELETE</v>
      </c>
      <c r="AC346" s="172" t="str">
        <f t="shared" si="84"/>
        <v>DELETE</v>
      </c>
      <c r="AD346" s="172">
        <f t="shared" si="84"/>
        <v>-0.14217576533078435</v>
      </c>
      <c r="AE346" s="172">
        <f t="shared" si="84"/>
        <v>-7.2160156614060708E-2</v>
      </c>
      <c r="AF346" s="172">
        <f t="shared" si="84"/>
        <v>0.54326790128727453</v>
      </c>
      <c r="AG346" s="150"/>
      <c r="AI346" s="137">
        <v>2</v>
      </c>
      <c r="AJ346" s="136" t="s">
        <v>237</v>
      </c>
      <c r="AK346" s="142" t="s">
        <v>238</v>
      </c>
      <c r="AL346" s="136" t="s">
        <v>550</v>
      </c>
      <c r="AM346" s="136" t="s">
        <v>203</v>
      </c>
      <c r="AN346" s="1">
        <v>2.7046544444444445</v>
      </c>
      <c r="AO346" s="166">
        <v>1.2161291666666667</v>
      </c>
      <c r="AQ346">
        <f>_xlfn.XLOOKUP(tblGWP21[[#This Row],[Material Subcategory]],ls_Mat,Factors!$K$952:$K$1023)</f>
        <v>0</v>
      </c>
      <c r="BA346" cm="1">
        <f t="array" ref="BA346:BM346">tblGWP21[#This Row]</f>
        <v>2</v>
      </c>
      <c r="BB346" t="str">
        <v>Mixed/Custom</v>
      </c>
      <c r="BC346" t="str">
        <v>Mixed Recycling</v>
      </c>
      <c r="BD346" t="str">
        <v>Oceania</v>
      </c>
      <c r="BE346" t="str">
        <v>n/a</v>
      </c>
      <c r="BF346">
        <v>-2.7046544444444445</v>
      </c>
      <c r="BG346" t="str">
        <v>DELETE</v>
      </c>
      <c r="BH346" t="str">
        <v>DELETE</v>
      </c>
      <c r="BI346" t="str">
        <v>DELETE</v>
      </c>
      <c r="BJ346" t="str">
        <v>DELETE</v>
      </c>
      <c r="BK346">
        <v>-0.14217576533078435</v>
      </c>
      <c r="BL346">
        <v>-7.2160156614060708E-2</v>
      </c>
      <c r="BM346">
        <v>0.54326790128727453</v>
      </c>
    </row>
    <row r="347" spans="3:65">
      <c r="C347" s="375">
        <v>2</v>
      </c>
      <c r="D347" s="374" t="s">
        <v>10157</v>
      </c>
      <c r="E347" s="375" t="s">
        <v>246</v>
      </c>
      <c r="F347" s="362" t="s">
        <v>550</v>
      </c>
      <c r="G347" s="362" t="s">
        <v>203</v>
      </c>
      <c r="H347" s="368">
        <v>-7.3412433500000009</v>
      </c>
      <c r="I347" s="368">
        <v>0</v>
      </c>
      <c r="J347" s="368">
        <v>0</v>
      </c>
      <c r="K347" s="368">
        <v>0</v>
      </c>
      <c r="L347" s="368">
        <v>0</v>
      </c>
      <c r="M347" s="368">
        <v>2.6022332869927601E-2</v>
      </c>
      <c r="N347" s="368">
        <v>4.180080979597E-2</v>
      </c>
      <c r="O347" s="368">
        <v>4.8913810169324903E-2</v>
      </c>
      <c r="T347" s="49">
        <v>2</v>
      </c>
      <c r="U347" s="143" t="s">
        <v>264</v>
      </c>
      <c r="V347" s="33" t="s">
        <v>264</v>
      </c>
      <c r="W347" s="53" t="s">
        <v>550</v>
      </c>
      <c r="X347" s="53" t="s">
        <v>203</v>
      </c>
      <c r="Y347" s="172">
        <f>IFERROR(-tblZwaste1422[[#This Row],[Weight (kgCO2e/kg)]],0)</f>
        <v>-1.9287117500000002</v>
      </c>
      <c r="Z347" s="172" t="e">
        <f>IF(AQ347="x",(AR347*-tblZwaste1422[[#This Row],[Weight (kgCO2e/kg)]])+AS347+($AR$10*Lookups!$J$38/1000),"DELETE")</f>
        <v>#N/A</v>
      </c>
      <c r="AA347" s="172">
        <f>AA351</f>
        <v>0.15112249999999994</v>
      </c>
      <c r="AB347" s="172" t="str">
        <f t="shared" ref="AA347:AF356" si="85">AB851</f>
        <v>DELETE</v>
      </c>
      <c r="AC347" s="172" t="str">
        <f t="shared" si="85"/>
        <v>DELETE</v>
      </c>
      <c r="AD347" s="172">
        <f t="shared" si="85"/>
        <v>-0.34184760397441188</v>
      </c>
      <c r="AE347" s="172">
        <f t="shared" si="85"/>
        <v>-0.48628067956811966</v>
      </c>
      <c r="AF347" s="172">
        <f t="shared" si="85"/>
        <v>0.46005655473220308</v>
      </c>
      <c r="AG347" s="150"/>
      <c r="AI347" s="137">
        <v>2</v>
      </c>
      <c r="AJ347" s="136" t="s">
        <v>264</v>
      </c>
      <c r="AK347" s="142" t="s">
        <v>264</v>
      </c>
      <c r="AL347" s="136" t="s">
        <v>550</v>
      </c>
      <c r="AM347" s="136" t="s">
        <v>203</v>
      </c>
      <c r="AN347" s="1">
        <v>1.9287117500000002</v>
      </c>
      <c r="AO347" s="166">
        <v>0.467055</v>
      </c>
      <c r="AQ347" t="e">
        <f>_xlfn.XLOOKUP(tblGWP21[[#This Row],[Material Subcategory]],ls_Mat,Factors!$K$952:$K$1023)</f>
        <v>#N/A</v>
      </c>
      <c r="AR347" s="173">
        <v>0.65</v>
      </c>
      <c r="AS347">
        <v>0.14482945764999999</v>
      </c>
      <c r="AT347" t="s">
        <v>541</v>
      </c>
      <c r="BA347" cm="1">
        <f t="array" ref="BA347:BM347">tblGWP21[#This Row]</f>
        <v>2</v>
      </c>
      <c r="BB347" t="str">
        <v>Furniture/Textiles</v>
      </c>
      <c r="BC347" t="str">
        <v>Furniture/Textiles</v>
      </c>
      <c r="BD347" t="str">
        <v>Oceania</v>
      </c>
      <c r="BE347" t="str">
        <v>n/a</v>
      </c>
      <c r="BF347">
        <v>-1.9287117500000002</v>
      </c>
      <c r="BG347" t="e">
        <v>#N/A</v>
      </c>
      <c r="BH347">
        <v>0.15112249999999994</v>
      </c>
      <c r="BI347" t="str">
        <v>DELETE</v>
      </c>
      <c r="BJ347" t="str">
        <v>DELETE</v>
      </c>
      <c r="BK347">
        <v>-0.34184760397441188</v>
      </c>
      <c r="BL347">
        <v>-0.48628067956811966</v>
      </c>
      <c r="BM347">
        <v>0.46005655473220308</v>
      </c>
    </row>
    <row r="348" spans="3:65">
      <c r="C348" s="6">
        <v>2</v>
      </c>
      <c r="D348" s="373" t="s">
        <v>10157</v>
      </c>
      <c r="E348" s="6" t="s">
        <v>243</v>
      </c>
      <c r="F348" s="136" t="s">
        <v>550</v>
      </c>
      <c r="G348" s="136" t="s">
        <v>203</v>
      </c>
      <c r="H348" s="191">
        <v>-2.8533815875203707</v>
      </c>
      <c r="I348" s="191">
        <v>0</v>
      </c>
      <c r="J348" s="191">
        <v>0</v>
      </c>
      <c r="K348" s="191">
        <v>-1.0338589694293789</v>
      </c>
      <c r="L348" s="191">
        <v>-1.5970889569085887</v>
      </c>
      <c r="M348" s="191">
        <v>-0.46676852163692306</v>
      </c>
      <c r="N348" s="191">
        <v>-0.53874884609908802</v>
      </c>
      <c r="O348" s="191">
        <v>2.7968656135843518E-2</v>
      </c>
      <c r="T348" s="49">
        <v>2</v>
      </c>
      <c r="U348" s="143" t="s">
        <v>264</v>
      </c>
      <c r="V348" s="33" t="s">
        <v>336</v>
      </c>
      <c r="W348" s="53" t="s">
        <v>550</v>
      </c>
      <c r="X348" s="53" t="s">
        <v>203</v>
      </c>
      <c r="Y348" s="172">
        <f>IFERROR(-tblZwaste1422[[#This Row],[Weight (kgCO2e/kg)]],0)</f>
        <v>-0.76351350000000007</v>
      </c>
      <c r="Z348" s="172">
        <f>IF(AQ348="x",(AR348*-tblZwaste1422[[#This Row],[Weight (kgCO2e/kg)]])+AS348+($AR$10*Lookups!$J$38/1000),"DELETE")</f>
        <v>-0.34968251735000005</v>
      </c>
      <c r="AA348" s="172" t="str">
        <f t="shared" si="85"/>
        <v>DELETE</v>
      </c>
      <c r="AB348" s="172">
        <f t="shared" si="85"/>
        <v>-1.6485436672468201</v>
      </c>
      <c r="AC348" s="172">
        <f t="shared" si="85"/>
        <v>-2.6245446893481601</v>
      </c>
      <c r="AD348" s="172">
        <f t="shared" si="85"/>
        <v>-0.99956618689668975</v>
      </c>
      <c r="AE348" s="172">
        <f t="shared" si="85"/>
        <v>-0.72267533514796634</v>
      </c>
      <c r="AF348" s="172">
        <f t="shared" si="85"/>
        <v>0.21081764527793512</v>
      </c>
      <c r="AG348" s="150"/>
      <c r="AI348" s="137">
        <v>2</v>
      </c>
      <c r="AJ348" s="136" t="s">
        <v>264</v>
      </c>
      <c r="AK348" s="142" t="s">
        <v>336</v>
      </c>
      <c r="AL348" s="136" t="s">
        <v>550</v>
      </c>
      <c r="AM348" s="136" t="s">
        <v>203</v>
      </c>
      <c r="AN348" s="1">
        <v>0.76351350000000007</v>
      </c>
      <c r="AO348" s="166">
        <v>0.43603999999999998</v>
      </c>
      <c r="AQ348" t="str">
        <f>_xlfn.XLOOKUP(tblGWP21[[#This Row],[Material Subcategory]],ls_Mat,Factors!$K$952:$K$1023)</f>
        <v>x</v>
      </c>
      <c r="AR348" s="173">
        <v>0.65</v>
      </c>
      <c r="AS348">
        <v>0.14482945764999999</v>
      </c>
      <c r="AT348" t="s">
        <v>541</v>
      </c>
      <c r="BA348" cm="1">
        <f t="array" ref="BA348:BM348">tblGWP21[#This Row]</f>
        <v>2</v>
      </c>
      <c r="BB348" t="str">
        <v>Furniture/Textiles</v>
      </c>
      <c r="BC348" t="str">
        <v>Furniture</v>
      </c>
      <c r="BD348" t="str">
        <v>Oceania</v>
      </c>
      <c r="BE348" t="str">
        <v>n/a</v>
      </c>
      <c r="BF348">
        <v>-0.76351350000000007</v>
      </c>
      <c r="BG348">
        <v>-0.34968251735000005</v>
      </c>
      <c r="BH348" t="str">
        <v>DELETE</v>
      </c>
      <c r="BI348">
        <v>-1.6485436672468201</v>
      </c>
      <c r="BJ348">
        <v>-2.6245446893481601</v>
      </c>
      <c r="BK348">
        <v>-0.99956618689668975</v>
      </c>
      <c r="BL348">
        <v>-0.72267533514796634</v>
      </c>
      <c r="BM348">
        <v>0.21081764527793512</v>
      </c>
    </row>
    <row r="349" spans="3:65">
      <c r="C349" s="375">
        <v>2</v>
      </c>
      <c r="D349" s="374" t="s">
        <v>252</v>
      </c>
      <c r="E349" s="375" t="s">
        <v>333</v>
      </c>
      <c r="F349" s="362" t="s">
        <v>550</v>
      </c>
      <c r="G349" s="362" t="s">
        <v>203</v>
      </c>
      <c r="H349" s="368">
        <v>-2.0953266666666663</v>
      </c>
      <c r="I349" s="368">
        <v>0</v>
      </c>
      <c r="J349" s="368">
        <v>-4.4031027052446881</v>
      </c>
      <c r="K349" s="368">
        <v>0</v>
      </c>
      <c r="L349" s="368">
        <v>0</v>
      </c>
      <c r="M349" s="368">
        <v>2.6022305346742901E-2</v>
      </c>
      <c r="N349" s="368">
        <v>0.62743418122049499</v>
      </c>
      <c r="O349" s="368">
        <v>2.1870245647238802</v>
      </c>
      <c r="T349" s="49">
        <v>2</v>
      </c>
      <c r="U349" s="143" t="s">
        <v>242</v>
      </c>
      <c r="V349" s="33" t="s">
        <v>251</v>
      </c>
      <c r="W349" s="53" t="s">
        <v>550</v>
      </c>
      <c r="X349" s="53" t="s">
        <v>203</v>
      </c>
      <c r="Y349" s="172">
        <f>IFERROR(-tblZwaste1422[[#This Row],[Weight (kgCO2e/kg)]],0)</f>
        <v>-4.9218200000000003</v>
      </c>
      <c r="Z349" s="172">
        <f>IF(AQ349="x",(AR349*-tblZwaste1422[[#This Row],[Weight (kgCO2e/kg)]])+AS349+($AR$10*Lookups!$J$38/1000),"DELETE")</f>
        <v>-3.5665477000000001</v>
      </c>
      <c r="AA349" s="172">
        <v>-1.2190350000000001</v>
      </c>
      <c r="AB349" s="172" t="str">
        <f t="shared" si="85"/>
        <v>DELETE</v>
      </c>
      <c r="AC349" s="172" t="str">
        <f t="shared" si="85"/>
        <v>DELETE</v>
      </c>
      <c r="AD349" s="172">
        <f t="shared" si="85"/>
        <v>2.5924922138697161E-2</v>
      </c>
      <c r="AE349" s="172">
        <f t="shared" si="85"/>
        <v>0.21655920049060215</v>
      </c>
      <c r="AF349" s="172">
        <f t="shared" si="85"/>
        <v>0.8484566344623381</v>
      </c>
      <c r="AG349" s="150"/>
      <c r="AI349" s="137">
        <v>2</v>
      </c>
      <c r="AJ349" s="136" t="s">
        <v>242</v>
      </c>
      <c r="AK349" s="142" t="s">
        <v>251</v>
      </c>
      <c r="AL349" s="136" t="s">
        <v>550</v>
      </c>
      <c r="AM349" s="136" t="s">
        <v>203</v>
      </c>
      <c r="AN349" s="1">
        <v>4.9218200000000003</v>
      </c>
      <c r="AO349" s="166">
        <v>0.15096000000000001</v>
      </c>
      <c r="AQ349" t="str">
        <f>_xlfn.XLOOKUP(tblGWP21[[#This Row],[Material Subcategory]],ls_Mat,Factors!$K$952:$K$1023)</f>
        <v>x</v>
      </c>
      <c r="AR349" s="173">
        <v>0.72499999999999998</v>
      </c>
      <c r="AS349">
        <v>0</v>
      </c>
      <c r="AT349" t="s">
        <v>527</v>
      </c>
      <c r="BA349" cm="1">
        <f t="array" ref="BA349:BM349">tblGWP21[#This Row]</f>
        <v>2</v>
      </c>
      <c r="BB349" t="str">
        <v>Electronics</v>
      </c>
      <c r="BC349" t="str">
        <v>Appliances</v>
      </c>
      <c r="BD349" t="str">
        <v>Oceania</v>
      </c>
      <c r="BE349" t="str">
        <v>n/a</v>
      </c>
      <c r="BF349">
        <v>-4.9218200000000003</v>
      </c>
      <c r="BG349">
        <v>-3.5665477000000001</v>
      </c>
      <c r="BH349">
        <v>-1.2190350000000001</v>
      </c>
      <c r="BI349" t="str">
        <v>DELETE</v>
      </c>
      <c r="BJ349" t="str">
        <v>DELETE</v>
      </c>
      <c r="BK349">
        <v>2.5924922138697161E-2</v>
      </c>
      <c r="BL349">
        <v>0.21655920049060215</v>
      </c>
      <c r="BM349">
        <v>0.8484566344623381</v>
      </c>
    </row>
    <row r="350" spans="3:65">
      <c r="C350" s="6">
        <v>2</v>
      </c>
      <c r="D350" s="373" t="s">
        <v>239</v>
      </c>
      <c r="E350" s="6" t="s">
        <v>542</v>
      </c>
      <c r="F350" s="136" t="s">
        <v>550</v>
      </c>
      <c r="G350" s="136" t="s">
        <v>203</v>
      </c>
      <c r="H350" s="191">
        <v>-2.6644477777777777</v>
      </c>
      <c r="I350" s="191">
        <v>0</v>
      </c>
      <c r="J350" s="191">
        <v>-0.82622090524955993</v>
      </c>
      <c r="K350" s="191">
        <v>-1.6415582940675599</v>
      </c>
      <c r="L350" s="191">
        <v>-2.38875601138436</v>
      </c>
      <c r="M350" s="191">
        <v>-0.64660766527578795</v>
      </c>
      <c r="N350" s="191">
        <v>-0.84015304589553597</v>
      </c>
      <c r="O350" s="191">
        <v>2.7471597181405401E-2</v>
      </c>
      <c r="T350" s="49">
        <v>2</v>
      </c>
      <c r="U350" s="143" t="s">
        <v>242</v>
      </c>
      <c r="V350" s="33" t="s">
        <v>543</v>
      </c>
      <c r="W350" s="53" t="s">
        <v>550</v>
      </c>
      <c r="X350" s="53" t="s">
        <v>203</v>
      </c>
      <c r="Y350" s="172">
        <f>IFERROR(-tblZwaste1422[[#This Row],[Weight (kgCO2e/kg)]],0)</f>
        <v>-1.00081</v>
      </c>
      <c r="Z350" s="172">
        <f>IF(AQ350="x",(AR350*-tblZwaste1422[[#This Row],[Weight (kgCO2e/kg)]])+AS350+($AR$10*Lookups!$J$38/1000),"DELETE")</f>
        <v>-0.72381545000000003</v>
      </c>
      <c r="AA350" s="172">
        <v>-0.20626249999999999</v>
      </c>
      <c r="AB350" s="172" t="str">
        <f t="shared" si="85"/>
        <v>DELETE</v>
      </c>
      <c r="AC350" s="172" t="str">
        <f t="shared" si="85"/>
        <v>DELETE</v>
      </c>
      <c r="AD350" s="172">
        <f t="shared" si="85"/>
        <v>2.5860000000000001E-2</v>
      </c>
      <c r="AE350" s="172">
        <f t="shared" si="85"/>
        <v>4.1800809795969597E-2</v>
      </c>
      <c r="AF350" s="172">
        <f t="shared" si="85"/>
        <v>4.8913810169323599E-2</v>
      </c>
      <c r="AG350" s="150"/>
      <c r="AI350" s="137">
        <v>2</v>
      </c>
      <c r="AJ350" s="136" t="s">
        <v>242</v>
      </c>
      <c r="AK350" s="142" t="s">
        <v>543</v>
      </c>
      <c r="AL350" s="136" t="s">
        <v>550</v>
      </c>
      <c r="AM350" s="136" t="s">
        <v>203</v>
      </c>
      <c r="AN350" s="1">
        <v>1.00081</v>
      </c>
      <c r="AO350" s="166">
        <v>0.33138000000000001</v>
      </c>
      <c r="AQ350" t="str">
        <f>_xlfn.XLOOKUP(tblGWP21[[#This Row],[Material Subcategory]],ls_Mat,Factors!$K$952:$K$1023)</f>
        <v>x</v>
      </c>
      <c r="AR350" s="173">
        <v>0.72499999999999998</v>
      </c>
      <c r="AS350">
        <v>0</v>
      </c>
      <c r="AT350" t="s">
        <v>527</v>
      </c>
      <c r="BA350" cm="1">
        <f t="array" ref="BA350:BM350">tblGWP21[#This Row]</f>
        <v>2</v>
      </c>
      <c r="BB350" t="str">
        <v>Electronics</v>
      </c>
      <c r="BC350" t="str">
        <v>Lightbulb/Lamps</v>
      </c>
      <c r="BD350" t="str">
        <v>Oceania</v>
      </c>
      <c r="BE350" t="str">
        <v>n/a</v>
      </c>
      <c r="BF350">
        <v>-1.00081</v>
      </c>
      <c r="BG350">
        <v>-0.72381545000000003</v>
      </c>
      <c r="BH350">
        <v>-0.20626249999999999</v>
      </c>
      <c r="BI350" t="str">
        <v>DELETE</v>
      </c>
      <c r="BJ350" t="str">
        <v>DELETE</v>
      </c>
      <c r="BK350">
        <v>2.5860000000000001E-2</v>
      </c>
      <c r="BL350">
        <v>4.1800809795969597E-2</v>
      </c>
      <c r="BM350">
        <v>4.8913810169323599E-2</v>
      </c>
    </row>
    <row r="351" spans="3:65">
      <c r="C351" s="362">
        <v>2</v>
      </c>
      <c r="D351" s="363" t="s">
        <v>10157</v>
      </c>
      <c r="E351" s="362" t="s">
        <v>238</v>
      </c>
      <c r="F351" s="362" t="s">
        <v>550</v>
      </c>
      <c r="G351" s="362" t="s">
        <v>203</v>
      </c>
      <c r="H351" s="368">
        <v>-2.7046544444444445</v>
      </c>
      <c r="I351" s="368">
        <v>0</v>
      </c>
      <c r="J351" s="368">
        <v>0</v>
      </c>
      <c r="K351" s="368">
        <v>0</v>
      </c>
      <c r="L351" s="368">
        <v>0</v>
      </c>
      <c r="M351" s="368">
        <v>-0.14217576533078435</v>
      </c>
      <c r="N351" s="368">
        <v>-7.2160156614060708E-2</v>
      </c>
      <c r="O351" s="368">
        <v>0.54326790128727453</v>
      </c>
      <c r="T351" s="48">
        <v>2</v>
      </c>
      <c r="U351" s="46" t="s">
        <v>264</v>
      </c>
      <c r="V351" s="53" t="s">
        <v>544</v>
      </c>
      <c r="W351" s="53" t="s">
        <v>550</v>
      </c>
      <c r="X351" s="53" t="s">
        <v>203</v>
      </c>
      <c r="Y351" s="172">
        <f>IFERROR(-tblZwaste1422[[#This Row],[Weight (kgCO2e/kg)]],0)</f>
        <v>-3.0939100000000002</v>
      </c>
      <c r="Z351" s="172">
        <f>IF(AQ351="x",(AR351*-tblZwaste1422[[#This Row],[Weight (kgCO2e/kg)]])+AS351+($AR$10*Lookups!$J$38/1000),"DELETE")</f>
        <v>-1.8644402423500002</v>
      </c>
      <c r="AA351" s="172">
        <f t="shared" si="85"/>
        <v>0.15112249999999994</v>
      </c>
      <c r="AB351" s="172" t="str">
        <f t="shared" si="85"/>
        <v>DELETE</v>
      </c>
      <c r="AC351" s="172" t="str">
        <f t="shared" si="85"/>
        <v>DELETE</v>
      </c>
      <c r="AD351" s="172">
        <f t="shared" si="85"/>
        <v>0.31587097894786598</v>
      </c>
      <c r="AE351" s="172">
        <f t="shared" si="85"/>
        <v>-0.249886023988273</v>
      </c>
      <c r="AF351" s="172">
        <f t="shared" si="85"/>
        <v>0.70929546418647105</v>
      </c>
      <c r="AG351" s="150"/>
      <c r="AI351" s="137">
        <v>2</v>
      </c>
      <c r="AJ351" s="136" t="s">
        <v>264</v>
      </c>
      <c r="AK351" s="142" t="s">
        <v>544</v>
      </c>
      <c r="AL351" s="136" t="s">
        <v>550</v>
      </c>
      <c r="AM351" s="136" t="s">
        <v>203</v>
      </c>
      <c r="AN351" s="1">
        <v>3.0939100000000002</v>
      </c>
      <c r="AO351" s="166">
        <v>0.49807000000000001</v>
      </c>
      <c r="AQ351" t="str">
        <f>_xlfn.XLOOKUP(tblGWP21[[#This Row],[Material Subcategory]],ls_Mat,Factors!$K$952:$K$1023)</f>
        <v>x</v>
      </c>
      <c r="AR351" s="173">
        <v>0.65</v>
      </c>
      <c r="AS351">
        <v>0.14482945764999999</v>
      </c>
      <c r="AT351" t="s">
        <v>541</v>
      </c>
      <c r="BA351" cm="1">
        <f t="array" ref="BA351:BM351">tblGWP21[#This Row]</f>
        <v>2</v>
      </c>
      <c r="BB351" t="str">
        <v>Furniture/Textiles</v>
      </c>
      <c r="BC351" t="str">
        <v>Textiles</v>
      </c>
      <c r="BD351" t="str">
        <v>Oceania</v>
      </c>
      <c r="BE351" t="str">
        <v>n/a</v>
      </c>
      <c r="BF351">
        <v>-3.0939100000000002</v>
      </c>
      <c r="BG351">
        <v>-1.8644402423500002</v>
      </c>
      <c r="BH351">
        <v>0.15112249999999994</v>
      </c>
      <c r="BI351" t="str">
        <v>DELETE</v>
      </c>
      <c r="BJ351" t="str">
        <v>DELETE</v>
      </c>
      <c r="BK351">
        <v>0.31587097894786598</v>
      </c>
      <c r="BL351">
        <v>-0.249886023988273</v>
      </c>
      <c r="BM351">
        <v>0.70929546418647105</v>
      </c>
    </row>
    <row r="352" spans="3:65">
      <c r="C352" s="6">
        <v>2</v>
      </c>
      <c r="D352" s="373" t="s">
        <v>264</v>
      </c>
      <c r="E352" s="6" t="s">
        <v>264</v>
      </c>
      <c r="F352" s="136" t="s">
        <v>550</v>
      </c>
      <c r="G352" s="136" t="s">
        <v>203</v>
      </c>
      <c r="H352" s="191">
        <v>-1.9287117500000002</v>
      </c>
      <c r="I352" s="191">
        <v>-1.1070613798500002</v>
      </c>
      <c r="J352" s="191">
        <v>0.15112249999999994</v>
      </c>
      <c r="K352" s="191">
        <v>0</v>
      </c>
      <c r="L352" s="191">
        <v>0</v>
      </c>
      <c r="M352" s="191">
        <v>-0.34184760397441188</v>
      </c>
      <c r="N352" s="191">
        <v>-0.48628067956811966</v>
      </c>
      <c r="O352" s="191">
        <v>0.46005655473220308</v>
      </c>
      <c r="T352" s="49">
        <v>2</v>
      </c>
      <c r="U352" s="143" t="s">
        <v>237</v>
      </c>
      <c r="V352" s="33" t="s">
        <v>545</v>
      </c>
      <c r="W352" s="53" t="s">
        <v>550</v>
      </c>
      <c r="X352" s="53" t="s">
        <v>203</v>
      </c>
      <c r="Y352" s="172">
        <f>IFERROR(-tblZwaste1422[[#This Row],[Weight (kgCO2e/kg)]],0)</f>
        <v>-2.8533815875203707</v>
      </c>
      <c r="Z352" s="172" t="str">
        <f>IF(AQ352="x",(AR352*-tblZwaste1422[[#This Row],[Weight (kgCO2e/kg)]])+AS352+($AR$10*Lookups!$J$38/1000),"DELETE")</f>
        <v>DELETE</v>
      </c>
      <c r="AA352" s="172" t="str">
        <f t="shared" si="85"/>
        <v>DELETE</v>
      </c>
      <c r="AB352" s="172" t="str">
        <f t="shared" si="85"/>
        <v>DELETE</v>
      </c>
      <c r="AC352" s="172" t="str">
        <f t="shared" si="85"/>
        <v>DELETE</v>
      </c>
      <c r="AD352" s="172">
        <f t="shared" si="85"/>
        <v>-0.46676852163692306</v>
      </c>
      <c r="AE352" s="172">
        <f t="shared" si="85"/>
        <v>-0.53874884609908802</v>
      </c>
      <c r="AF352" s="172">
        <f t="shared" si="85"/>
        <v>2.7968656135843518E-2</v>
      </c>
      <c r="AG352" s="150"/>
      <c r="AI352" s="137">
        <v>2</v>
      </c>
      <c r="AJ352" s="136" t="s">
        <v>237</v>
      </c>
      <c r="AK352" s="142" t="s">
        <v>545</v>
      </c>
      <c r="AL352" s="136" t="s">
        <v>550</v>
      </c>
      <c r="AM352" s="136" t="s">
        <v>203</v>
      </c>
      <c r="AN352" s="1">
        <v>2.8533815875203707</v>
      </c>
      <c r="AO352" s="166">
        <v>1.0711602172222223</v>
      </c>
      <c r="AQ352">
        <f>_xlfn.XLOOKUP(tblGWP21[[#This Row],[Material Subcategory]],ls_Mat,Factors!$K$952:$K$1023)</f>
        <v>0</v>
      </c>
      <c r="BA352" cm="1">
        <f t="array" ref="BA352:BM352">tblGWP21[#This Row]</f>
        <v>2</v>
      </c>
      <c r="BB352" t="str">
        <v>Mixed/Custom</v>
      </c>
      <c r="BC352" t="str">
        <v>General other</v>
      </c>
      <c r="BD352" t="str">
        <v>Oceania</v>
      </c>
      <c r="BE352" t="str">
        <v>n/a</v>
      </c>
      <c r="BF352">
        <v>-2.8533815875203707</v>
      </c>
      <c r="BG352" t="str">
        <v>DELETE</v>
      </c>
      <c r="BH352" t="str">
        <v>DELETE</v>
      </c>
      <c r="BI352" t="str">
        <v>DELETE</v>
      </c>
      <c r="BJ352" t="str">
        <v>DELETE</v>
      </c>
      <c r="BK352">
        <v>-0.46676852163692306</v>
      </c>
      <c r="BL352">
        <v>-0.53874884609908802</v>
      </c>
      <c r="BM352">
        <v>2.7968656135843518E-2</v>
      </c>
    </row>
    <row r="353" spans="3:65">
      <c r="C353" s="375">
        <v>2</v>
      </c>
      <c r="D353" s="374" t="s">
        <v>264</v>
      </c>
      <c r="E353" s="375" t="s">
        <v>336</v>
      </c>
      <c r="F353" s="362" t="s">
        <v>550</v>
      </c>
      <c r="G353" s="362" t="s">
        <v>203</v>
      </c>
      <c r="H353" s="368">
        <v>-0.76351350000000007</v>
      </c>
      <c r="I353" s="368">
        <v>-0.34968251735000005</v>
      </c>
      <c r="J353" s="368">
        <v>0</v>
      </c>
      <c r="K353" s="368">
        <v>-1.6485436672468201</v>
      </c>
      <c r="L353" s="368">
        <v>-2.6245446893481601</v>
      </c>
      <c r="M353" s="368">
        <v>-0.99956618689668975</v>
      </c>
      <c r="N353" s="368">
        <v>-0.72267533514796634</v>
      </c>
      <c r="O353" s="368">
        <v>0.21081764527793512</v>
      </c>
      <c r="T353" s="49">
        <v>3</v>
      </c>
      <c r="U353" s="143" t="s">
        <v>233</v>
      </c>
      <c r="V353" s="33" t="s">
        <v>233</v>
      </c>
      <c r="W353" s="53" t="s">
        <v>552</v>
      </c>
      <c r="X353" s="53" t="s">
        <v>203</v>
      </c>
      <c r="Y353" s="172">
        <f>IFERROR(-tblZwaste1422[[#This Row],[Weight (kgCO2e/kg)]],0)</f>
        <v>0</v>
      </c>
      <c r="Z353" s="172">
        <f>AVERAGE(Z357:Z359)</f>
        <v>-0.13905086666666666</v>
      </c>
      <c r="AA353" s="172" t="str">
        <f t="shared" si="85"/>
        <v>DELETE</v>
      </c>
      <c r="AB353" s="172">
        <f t="shared" si="85"/>
        <v>-1.4453602071486411</v>
      </c>
      <c r="AC353" s="172">
        <f t="shared" si="85"/>
        <v>-2.0555285758021533</v>
      </c>
      <c r="AD353" s="172">
        <f t="shared" si="85"/>
        <v>-1.0059572388755897</v>
      </c>
      <c r="AE353" s="172">
        <f t="shared" si="85"/>
        <v>-0.9533595849861678</v>
      </c>
      <c r="AF353" s="172">
        <f t="shared" si="85"/>
        <v>3.3143201616163631E-2</v>
      </c>
      <c r="AG353" s="150"/>
      <c r="AI353" s="137">
        <v>3</v>
      </c>
      <c r="AJ353" s="136"/>
      <c r="AK353" s="142"/>
      <c r="AL353" s="136" t="s">
        <v>552</v>
      </c>
      <c r="AM353" s="136" t="s">
        <v>203</v>
      </c>
      <c r="AN353" s="1" t="s">
        <v>525</v>
      </c>
      <c r="AO353" s="166" t="s">
        <v>525</v>
      </c>
      <c r="AQ353" t="e">
        <f>_xlfn.XLOOKUP(tblGWP21[[#This Row],[Material Subcategory]],ls_Mat,Factors!$K$952:$K$1023)</f>
        <v>#N/A</v>
      </c>
      <c r="AR353" s="173">
        <v>0.77500000000000002</v>
      </c>
      <c r="AS353">
        <v>0</v>
      </c>
      <c r="AT353" t="s">
        <v>527</v>
      </c>
      <c r="BA353" cm="1">
        <f t="array" ref="BA353:BM353">tblGWP21[#This Row]</f>
        <v>3</v>
      </c>
      <c r="BB353" t="str">
        <v>Wood/Yard Trimmings</v>
      </c>
      <c r="BC353" t="str">
        <v>Wood/Yard Trimmings</v>
      </c>
      <c r="BD353" t="str">
        <v>South America</v>
      </c>
      <c r="BE353" t="str">
        <v>n/a</v>
      </c>
      <c r="BF353">
        <v>0</v>
      </c>
      <c r="BG353">
        <v>-0.13905086666666666</v>
      </c>
      <c r="BH353" t="str">
        <v>DELETE</v>
      </c>
      <c r="BI353">
        <v>-1.4453602071486411</v>
      </c>
      <c r="BJ353">
        <v>-2.0555285758021533</v>
      </c>
      <c r="BK353">
        <v>-1.0059572388755897</v>
      </c>
      <c r="BL353">
        <v>-0.9533595849861678</v>
      </c>
      <c r="BM353">
        <v>3.3143201616163631E-2</v>
      </c>
    </row>
    <row r="354" spans="3:65">
      <c r="C354" s="6">
        <v>2</v>
      </c>
      <c r="D354" s="373" t="s">
        <v>242</v>
      </c>
      <c r="E354" s="6" t="s">
        <v>251</v>
      </c>
      <c r="F354" s="136" t="s">
        <v>550</v>
      </c>
      <c r="G354" s="136" t="s">
        <v>203</v>
      </c>
      <c r="H354" s="191">
        <v>-4.9218200000000003</v>
      </c>
      <c r="I354" s="191">
        <v>-3.5665477000000001</v>
      </c>
      <c r="J354" s="191">
        <v>-1.2190350000000001</v>
      </c>
      <c r="K354" s="191">
        <v>0</v>
      </c>
      <c r="L354" s="191">
        <v>0</v>
      </c>
      <c r="M354" s="191">
        <v>2.5924922138697161E-2</v>
      </c>
      <c r="N354" s="191">
        <v>0.21655920049060215</v>
      </c>
      <c r="O354" s="191">
        <v>0.8484566344623381</v>
      </c>
      <c r="T354" s="49">
        <v>3</v>
      </c>
      <c r="U354" s="143" t="s">
        <v>233</v>
      </c>
      <c r="V354" s="33" t="s">
        <v>250</v>
      </c>
      <c r="W354" s="53" t="s">
        <v>552</v>
      </c>
      <c r="X354" s="53" t="s">
        <v>203</v>
      </c>
      <c r="Y354" s="172">
        <f>IFERROR(-tblZwaste1422[[#This Row],[Weight (kgCO2e/kg)]],0)</f>
        <v>0</v>
      </c>
      <c r="Z354" s="172" t="str">
        <f>IF(AQ354="x",(AR354*-tblZwaste1422[[#This Row],[Weight (kgCO2e/kg)]])+AS354+($AR$10*Lookups!$J$38/1000),"DELETE")</f>
        <v>DELETE</v>
      </c>
      <c r="AA354" s="172" t="str">
        <f t="shared" si="85"/>
        <v>DELETE</v>
      </c>
      <c r="AB354" s="172">
        <f t="shared" si="85"/>
        <v>-1.7440020321218299</v>
      </c>
      <c r="AC354" s="172">
        <f t="shared" si="85"/>
        <v>-2.1550741473042199</v>
      </c>
      <c r="AD354" s="172">
        <f t="shared" si="85"/>
        <v>-1.02568241234737</v>
      </c>
      <c r="AE354" s="172">
        <f t="shared" si="85"/>
        <v>-1.02076905583887</v>
      </c>
      <c r="AF354" s="172">
        <f t="shared" si="85"/>
        <v>2.8433780314571899E-2</v>
      </c>
      <c r="AG354" s="150"/>
      <c r="AI354" s="137">
        <v>3</v>
      </c>
      <c r="AJ354" s="136"/>
      <c r="AK354" s="142"/>
      <c r="AL354" s="136" t="s">
        <v>552</v>
      </c>
      <c r="AM354" s="136" t="s">
        <v>203</v>
      </c>
      <c r="AN354" s="1" t="s">
        <v>525</v>
      </c>
      <c r="AO354" s="166" t="s">
        <v>525</v>
      </c>
      <c r="AQ354">
        <f>_xlfn.XLOOKUP(tblGWP21[[#This Row],[Material Subcategory]],ls_Mat,Factors!$K$952:$K$1023)</f>
        <v>0</v>
      </c>
      <c r="BA354" cm="1">
        <f t="array" ref="BA354:BM354">tblGWP21[#This Row]</f>
        <v>3</v>
      </c>
      <c r="BB354" t="str">
        <v>Wood/Yard Trimmings</v>
      </c>
      <c r="BC354" t="str">
        <v>Yard Trimmings – Leaves</v>
      </c>
      <c r="BD354" t="str">
        <v>South America</v>
      </c>
      <c r="BE354" t="str">
        <v>n/a</v>
      </c>
      <c r="BF354">
        <v>0</v>
      </c>
      <c r="BG354" t="str">
        <v>DELETE</v>
      </c>
      <c r="BH354" t="str">
        <v>DELETE</v>
      </c>
      <c r="BI354">
        <v>-1.7440020321218299</v>
      </c>
      <c r="BJ354">
        <v>-2.1550741473042199</v>
      </c>
      <c r="BK354">
        <v>-1.02568241234737</v>
      </c>
      <c r="BL354">
        <v>-1.02076905583887</v>
      </c>
      <c r="BM354">
        <v>2.8433780314571899E-2</v>
      </c>
    </row>
    <row r="355" spans="3:65">
      <c r="C355" s="375">
        <v>2</v>
      </c>
      <c r="D355" s="374" t="s">
        <v>242</v>
      </c>
      <c r="E355" s="375" t="s">
        <v>543</v>
      </c>
      <c r="F355" s="362" t="s">
        <v>550</v>
      </c>
      <c r="G355" s="362" t="s">
        <v>203</v>
      </c>
      <c r="H355" s="368">
        <v>-1.00081</v>
      </c>
      <c r="I355" s="368">
        <v>-0.72381545000000003</v>
      </c>
      <c r="J355" s="368">
        <v>-0.20626249999999999</v>
      </c>
      <c r="K355" s="368">
        <v>0</v>
      </c>
      <c r="L355" s="368">
        <v>0</v>
      </c>
      <c r="M355" s="368">
        <v>2.5860000000000001E-2</v>
      </c>
      <c r="N355" s="368">
        <v>4.1800809795969597E-2</v>
      </c>
      <c r="O355" s="368">
        <v>4.8913810169323599E-2</v>
      </c>
      <c r="T355" s="49">
        <v>3</v>
      </c>
      <c r="U355" s="143" t="s">
        <v>233</v>
      </c>
      <c r="V355" s="33" t="s">
        <v>249</v>
      </c>
      <c r="W355" s="53" t="s">
        <v>552</v>
      </c>
      <c r="X355" s="53" t="s">
        <v>203</v>
      </c>
      <c r="Y355" s="172">
        <f>IFERROR(-tblZwaste1422[[#This Row],[Weight (kgCO2e/kg)]],0)</f>
        <v>0</v>
      </c>
      <c r="Z355" s="172" t="str">
        <f>IF(AQ355="x",(AR355*-tblZwaste1422[[#This Row],[Weight (kgCO2e/kg)]])+AS355+($AR$10*Lookups!$J$38/1000),"DELETE")</f>
        <v>DELETE</v>
      </c>
      <c r="AA355" s="172" t="str">
        <f t="shared" si="85"/>
        <v>DELETE</v>
      </c>
      <c r="AB355" s="172">
        <f t="shared" si="85"/>
        <v>-0.54312947672349599</v>
      </c>
      <c r="AC355" s="172">
        <f t="shared" si="85"/>
        <v>-0.75458879575177795</v>
      </c>
      <c r="AD355" s="172">
        <f t="shared" si="85"/>
        <v>5.21256992475796E-2</v>
      </c>
      <c r="AE355" s="172">
        <f t="shared" si="85"/>
        <v>-0.21791388891459801</v>
      </c>
      <c r="AF355" s="172">
        <f t="shared" si="85"/>
        <v>2.5754674050476802E-2</v>
      </c>
      <c r="AG355" s="150"/>
      <c r="AI355" s="137">
        <v>3</v>
      </c>
      <c r="AJ355" s="136"/>
      <c r="AK355" s="142"/>
      <c r="AL355" s="136" t="s">
        <v>552</v>
      </c>
      <c r="AM355" s="136" t="s">
        <v>203</v>
      </c>
      <c r="AN355" s="1" t="s">
        <v>525</v>
      </c>
      <c r="AO355" s="166" t="s">
        <v>525</v>
      </c>
      <c r="AQ355">
        <f>_xlfn.XLOOKUP(tblGWP21[[#This Row],[Material Subcategory]],ls_Mat,Factors!$K$952:$K$1023)</f>
        <v>0</v>
      </c>
      <c r="AU355" t="s">
        <v>526</v>
      </c>
      <c r="AV355" s="347">
        <v>0.85</v>
      </c>
      <c r="BA355" cm="1">
        <f t="array" ref="BA355:BM355">tblGWP21[#This Row]</f>
        <v>3</v>
      </c>
      <c r="BB355" t="str">
        <v>Wood/Yard Trimmings</v>
      </c>
      <c r="BC355" t="str">
        <v>Yard Trimmings – Grass</v>
      </c>
      <c r="BD355" t="str">
        <v>South America</v>
      </c>
      <c r="BE355" t="str">
        <v>n/a</v>
      </c>
      <c r="BF355">
        <v>0</v>
      </c>
      <c r="BG355" t="str">
        <v>DELETE</v>
      </c>
      <c r="BH355" t="str">
        <v>DELETE</v>
      </c>
      <c r="BI355">
        <v>-0.54312947672349599</v>
      </c>
      <c r="BJ355">
        <v>-0.75458879575177795</v>
      </c>
      <c r="BK355">
        <v>5.21256992475796E-2</v>
      </c>
      <c r="BL355">
        <v>-0.21791388891459801</v>
      </c>
      <c r="BM355">
        <v>2.5754674050476802E-2</v>
      </c>
    </row>
    <row r="356" spans="3:65">
      <c r="C356" s="6">
        <v>2</v>
      </c>
      <c r="D356" s="373" t="s">
        <v>264</v>
      </c>
      <c r="E356" s="6" t="s">
        <v>544</v>
      </c>
      <c r="F356" s="136" t="s">
        <v>550</v>
      </c>
      <c r="G356" s="136" t="s">
        <v>203</v>
      </c>
      <c r="H356" s="191">
        <v>-3.0939100000000002</v>
      </c>
      <c r="I356" s="191">
        <v>-1.8644402423500002</v>
      </c>
      <c r="J356" s="191">
        <v>0.15112249999999994</v>
      </c>
      <c r="K356" s="191">
        <v>0</v>
      </c>
      <c r="L356" s="191">
        <v>0</v>
      </c>
      <c r="M356" s="191">
        <v>0.31587097894786598</v>
      </c>
      <c r="N356" s="191">
        <v>-0.249886023988273</v>
      </c>
      <c r="O356" s="191">
        <v>0.70929546418647105</v>
      </c>
      <c r="T356" s="49">
        <v>3</v>
      </c>
      <c r="U356" s="143" t="s">
        <v>233</v>
      </c>
      <c r="V356" s="33" t="s">
        <v>273</v>
      </c>
      <c r="W356" s="53" t="s">
        <v>552</v>
      </c>
      <c r="X356" s="53" t="s">
        <v>203</v>
      </c>
      <c r="Y356" s="172">
        <f>IFERROR(-tblZwaste1422[[#This Row],[Weight (kgCO2e/kg)]],0)</f>
        <v>0</v>
      </c>
      <c r="Z356" s="172" t="str">
        <f>IF(AQ356="x",(AR356*-tblZwaste1422[[#This Row],[Weight (kgCO2e/kg)]])+AS356+($AR$10*Lookups!$J$38/1000),"DELETE")</f>
        <v>DELETE</v>
      </c>
      <c r="AA356" s="172" t="str">
        <f t="shared" si="85"/>
        <v>DELETE</v>
      </c>
      <c r="AB356" s="172">
        <f t="shared" si="85"/>
        <v>-1.64655650896596</v>
      </c>
      <c r="AC356" s="172">
        <f t="shared" si="85"/>
        <v>-2.1007068372542301</v>
      </c>
      <c r="AD356" s="172">
        <f t="shared" si="85"/>
        <v>-0.81021857242915696</v>
      </c>
      <c r="AE356" s="172">
        <f t="shared" si="85"/>
        <v>-0.99139616916911</v>
      </c>
      <c r="AF356" s="172">
        <f t="shared" si="85"/>
        <v>2.7209269723740701E-2</v>
      </c>
      <c r="AG356" s="150"/>
      <c r="AI356" s="137">
        <v>3</v>
      </c>
      <c r="AJ356" s="136"/>
      <c r="AK356" s="142"/>
      <c r="AL356" s="136" t="s">
        <v>552</v>
      </c>
      <c r="AM356" s="136" t="s">
        <v>203</v>
      </c>
      <c r="AN356" s="1" t="s">
        <v>525</v>
      </c>
      <c r="AO356" s="166" t="s">
        <v>525</v>
      </c>
      <c r="AQ356">
        <f>_xlfn.XLOOKUP(tblGWP21[[#This Row],[Material Subcategory]],ls_Mat,Factors!$K$952:$K$1023)</f>
        <v>0</v>
      </c>
      <c r="AR356" s="173"/>
      <c r="AU356" t="s">
        <v>526</v>
      </c>
      <c r="AV356" s="347">
        <v>0.7</v>
      </c>
      <c r="BA356" cm="1">
        <f t="array" ref="BA356:BM356">tblGWP21[#This Row]</f>
        <v>3</v>
      </c>
      <c r="BB356" t="str">
        <v>Wood/Yard Trimmings</v>
      </c>
      <c r="BC356" t="str">
        <v>Yard Trimming – Branches</v>
      </c>
      <c r="BD356" t="str">
        <v>South America</v>
      </c>
      <c r="BE356" t="str">
        <v>n/a</v>
      </c>
      <c r="BF356">
        <v>0</v>
      </c>
      <c r="BG356" t="str">
        <v>DELETE</v>
      </c>
      <c r="BH356" t="str">
        <v>DELETE</v>
      </c>
      <c r="BI356">
        <v>-1.64655650896596</v>
      </c>
      <c r="BJ356">
        <v>-2.1007068372542301</v>
      </c>
      <c r="BK356">
        <v>-0.81021857242915696</v>
      </c>
      <c r="BL356">
        <v>-0.99139616916911</v>
      </c>
      <c r="BM356">
        <v>2.7209269723740701E-2</v>
      </c>
    </row>
    <row r="357" spans="3:65">
      <c r="C357" s="375">
        <v>2</v>
      </c>
      <c r="D357" s="374" t="s">
        <v>10157</v>
      </c>
      <c r="E357" s="375" t="s">
        <v>545</v>
      </c>
      <c r="F357" s="362" t="s">
        <v>550</v>
      </c>
      <c r="G357" s="362" t="s">
        <v>203</v>
      </c>
      <c r="H357" s="368">
        <v>-2.8533815875203707</v>
      </c>
      <c r="I357" s="368">
        <v>0</v>
      </c>
      <c r="J357" s="368">
        <v>0</v>
      </c>
      <c r="K357" s="368">
        <v>0</v>
      </c>
      <c r="L357" s="368">
        <v>0</v>
      </c>
      <c r="M357" s="368">
        <v>-0.46676852163692306</v>
      </c>
      <c r="N357" s="368">
        <v>-0.53874884609908802</v>
      </c>
      <c r="O357" s="368">
        <v>2.7968656135843518E-2</v>
      </c>
      <c r="T357" s="49">
        <v>3</v>
      </c>
      <c r="U357" s="143" t="s">
        <v>233</v>
      </c>
      <c r="V357" s="33" t="s">
        <v>330</v>
      </c>
      <c r="W357" s="53" t="s">
        <v>552</v>
      </c>
      <c r="X357" s="53" t="s">
        <v>203</v>
      </c>
      <c r="Y357" s="172">
        <f>IFERROR(-tblZwaste1422[[#This Row],[Weight (kgCO2e/kg)]],0)</f>
        <v>-0.14119999999999999</v>
      </c>
      <c r="Z357" s="172">
        <f>IF(AQ357="x",(AR357*-tblZwaste1422[[#This Row],[Weight (kgCO2e/kg)]])+AS357+($AR$10*Lookups!$J$38/1000),"DELETE")</f>
        <v>-0.1076582</v>
      </c>
      <c r="AA357" s="172" t="str">
        <f t="shared" ref="AA357:AF366" si="86">AA861</f>
        <v>DELETE</v>
      </c>
      <c r="AB357" s="172" t="str">
        <f t="shared" si="86"/>
        <v>DELETE</v>
      </c>
      <c r="AC357" s="172" t="str">
        <f t="shared" si="86"/>
        <v>DELETE</v>
      </c>
      <c r="AD357" s="172">
        <f t="shared" si="86"/>
        <v>-1.4815773000277099</v>
      </c>
      <c r="AE357" s="172">
        <f t="shared" si="86"/>
        <v>-1.15568226342465</v>
      </c>
      <c r="AF357" s="172">
        <f t="shared" si="86"/>
        <v>5.3038049624167E-2</v>
      </c>
      <c r="AG357" s="150"/>
      <c r="AI357" s="137">
        <v>3</v>
      </c>
      <c r="AJ357" s="136" t="s">
        <v>330</v>
      </c>
      <c r="AK357" s="142" t="s">
        <v>330</v>
      </c>
      <c r="AL357" s="136" t="s">
        <v>552</v>
      </c>
      <c r="AM357" s="136" t="s">
        <v>203</v>
      </c>
      <c r="AN357" s="1">
        <v>0.14119999999999999</v>
      </c>
      <c r="AO357" s="166">
        <v>0.43014000000000002</v>
      </c>
      <c r="AQ357" t="str">
        <f>_xlfn.XLOOKUP(tblGWP21[[#This Row],[Material Subcategory]],ls_Mat,Factors!$K$952:$K$1023)</f>
        <v>x</v>
      </c>
      <c r="AR357" s="173">
        <v>0.77500000000000002</v>
      </c>
      <c r="AS357">
        <v>0</v>
      </c>
      <c r="AT357" t="s">
        <v>527</v>
      </c>
      <c r="AU357" t="s">
        <v>526</v>
      </c>
      <c r="AV357" s="347">
        <v>0.8</v>
      </c>
      <c r="BA357" cm="1">
        <f t="array" ref="BA357:BM357">tblGWP21[#This Row]</f>
        <v>3</v>
      </c>
      <c r="BB357" t="str">
        <v>Wood/Yard Trimmings</v>
      </c>
      <c r="BC357" t="str">
        <v>Wood</v>
      </c>
      <c r="BD357" t="str">
        <v>South America</v>
      </c>
      <c r="BE357" t="str">
        <v>n/a</v>
      </c>
      <c r="BF357">
        <v>-0.14119999999999999</v>
      </c>
      <c r="BG357">
        <v>-0.1076582</v>
      </c>
      <c r="BH357" t="str">
        <v>DELETE</v>
      </c>
      <c r="BI357" t="str">
        <v>DELETE</v>
      </c>
      <c r="BJ357" t="str">
        <v>DELETE</v>
      </c>
      <c r="BK357">
        <v>-1.4815773000277099</v>
      </c>
      <c r="BL357">
        <v>-1.15568226342465</v>
      </c>
      <c r="BM357">
        <v>5.3038049624167E-2</v>
      </c>
    </row>
    <row r="358" spans="3:65" ht="28.8">
      <c r="C358" s="6">
        <v>2</v>
      </c>
      <c r="D358" s="373" t="s">
        <v>10169</v>
      </c>
      <c r="E358" s="6" t="s">
        <v>10170</v>
      </c>
      <c r="F358" s="136" t="s">
        <v>550</v>
      </c>
      <c r="G358" s="136" t="s">
        <v>203</v>
      </c>
      <c r="H358" s="191">
        <v>-0.74582333333333339</v>
      </c>
      <c r="I358" s="191">
        <v>-0.58351400000000009</v>
      </c>
      <c r="J358" s="191">
        <v>0.3259926084346883</v>
      </c>
      <c r="K358" s="191">
        <v>0</v>
      </c>
      <c r="L358" s="191">
        <v>0</v>
      </c>
      <c r="M358" s="191">
        <v>0.45668176288049178</v>
      </c>
      <c r="N358" s="191">
        <v>1.0683983533052401</v>
      </c>
      <c r="O358" s="191">
        <v>1.142290877337675</v>
      </c>
      <c r="T358" s="49">
        <v>3</v>
      </c>
      <c r="U358" s="143" t="s">
        <v>233</v>
      </c>
      <c r="V358" s="33" t="s">
        <v>335</v>
      </c>
      <c r="W358" s="53" t="s">
        <v>552</v>
      </c>
      <c r="X358" s="53" t="s">
        <v>203</v>
      </c>
      <c r="Y358" s="172">
        <f>IFERROR(-tblZwaste1422[[#This Row],[Weight (kgCO2e/kg)]],0)</f>
        <v>-0.26272000000000001</v>
      </c>
      <c r="Z358" s="172">
        <f>IF(AQ358="x",(AR358*-tblZwaste1422[[#This Row],[Weight (kgCO2e/kg)]])+AS358+($AR$10*Lookups!$J$38/1000),"DELETE")</f>
        <v>-0.20183620000000002</v>
      </c>
      <c r="AA358" s="172" t="str">
        <f t="shared" si="86"/>
        <v>DELETE</v>
      </c>
      <c r="AB358" s="172">
        <f t="shared" si="86"/>
        <v>-1.64655650896596</v>
      </c>
      <c r="AC358" s="172">
        <f t="shared" si="86"/>
        <v>-2.6336365493502698</v>
      </c>
      <c r="AD358" s="172">
        <f t="shared" si="86"/>
        <v>-1.3851954238484401</v>
      </c>
      <c r="AE358" s="172">
        <f t="shared" si="86"/>
        <v>-1.16719806628489</v>
      </c>
      <c r="AF358" s="172">
        <f t="shared" si="86"/>
        <v>3.2211717992012702E-2</v>
      </c>
      <c r="AG358" s="150"/>
      <c r="AI358" s="137">
        <v>3</v>
      </c>
      <c r="AJ358" s="136" t="s">
        <v>330</v>
      </c>
      <c r="AK358" s="142" t="s">
        <v>335</v>
      </c>
      <c r="AL358" s="136" t="s">
        <v>552</v>
      </c>
      <c r="AM358" s="136" t="s">
        <v>203</v>
      </c>
      <c r="AN358" s="1">
        <v>0.26272000000000001</v>
      </c>
      <c r="AO358" s="166">
        <v>0.43014000000000002</v>
      </c>
      <c r="AQ358" t="str">
        <f>_xlfn.XLOOKUP(tblGWP21[[#This Row],[Material Subcategory]],ls_Mat,Factors!$K$952:$K$1023)</f>
        <v>x</v>
      </c>
      <c r="AR358" s="173">
        <v>0.77500000000000002</v>
      </c>
      <c r="AS358">
        <v>0</v>
      </c>
      <c r="AT358" t="s">
        <v>527</v>
      </c>
      <c r="AU358" t="s">
        <v>526</v>
      </c>
      <c r="AV358" s="347">
        <v>0.7</v>
      </c>
      <c r="BA358" cm="1">
        <f t="array" ref="BA358:BM358">tblGWP21[#This Row]</f>
        <v>3</v>
      </c>
      <c r="BB358" t="str">
        <v>Wood/Yard Trimmings</v>
      </c>
      <c r="BC358" t="str">
        <v>Pallets</v>
      </c>
      <c r="BD358" t="str">
        <v>South America</v>
      </c>
      <c r="BE358" t="str">
        <v>n/a</v>
      </c>
      <c r="BF358">
        <v>-0.26272000000000001</v>
      </c>
      <c r="BG358">
        <v>-0.20183620000000002</v>
      </c>
      <c r="BH358" t="str">
        <v>DELETE</v>
      </c>
      <c r="BI358">
        <v>-1.64655650896596</v>
      </c>
      <c r="BJ358">
        <v>-2.6336365493502698</v>
      </c>
      <c r="BK358">
        <v>-1.3851954238484401</v>
      </c>
      <c r="BL358">
        <v>-1.16719806628489</v>
      </c>
      <c r="BM358">
        <v>3.2211717992012702E-2</v>
      </c>
    </row>
    <row r="359" spans="3:65">
      <c r="C359" s="375">
        <v>3</v>
      </c>
      <c r="D359" s="374" t="s">
        <v>233</v>
      </c>
      <c r="E359" s="375" t="s">
        <v>233</v>
      </c>
      <c r="F359" s="362" t="s">
        <v>552</v>
      </c>
      <c r="G359" s="362" t="s">
        <v>203</v>
      </c>
      <c r="H359" s="368">
        <v>0</v>
      </c>
      <c r="I359" s="368">
        <v>-0.13905086666666666</v>
      </c>
      <c r="J359" s="368">
        <v>0</v>
      </c>
      <c r="K359" s="368">
        <v>-1.4453602071486411</v>
      </c>
      <c r="L359" s="368">
        <v>-2.0555285758021533</v>
      </c>
      <c r="M359" s="368">
        <v>-1.0059572388755897</v>
      </c>
      <c r="N359" s="368">
        <v>-0.9533595849861678</v>
      </c>
      <c r="O359" s="368">
        <v>3.3143201616163631E-2</v>
      </c>
      <c r="T359" s="49">
        <v>3</v>
      </c>
      <c r="U359" s="143" t="s">
        <v>233</v>
      </c>
      <c r="V359" s="33" t="s">
        <v>326</v>
      </c>
      <c r="W359" s="53" t="s">
        <v>552</v>
      </c>
      <c r="X359" s="53" t="s">
        <v>203</v>
      </c>
      <c r="Y359" s="172">
        <f>IFERROR(-tblZwaste1422[[#This Row],[Weight (kgCO2e/kg)]],0)</f>
        <v>-0.14119999999999999</v>
      </c>
      <c r="Z359" s="172">
        <f>IF(AQ359="x",(AR359*-tblZwaste1422[[#This Row],[Weight (kgCO2e/kg)]])+AS359+($AR$10*Lookups!$J$38/1000),"DELETE")</f>
        <v>-0.1076582</v>
      </c>
      <c r="AA359" s="172" t="str">
        <f t="shared" si="86"/>
        <v>DELETE</v>
      </c>
      <c r="AB359" s="172">
        <f t="shared" si="86"/>
        <v>-1.64655650896596</v>
      </c>
      <c r="AC359" s="172">
        <f t="shared" si="86"/>
        <v>-2.6336365493502698</v>
      </c>
      <c r="AD359" s="172">
        <f t="shared" si="86"/>
        <v>-1.3851954238484401</v>
      </c>
      <c r="AE359" s="172">
        <f t="shared" si="86"/>
        <v>-1.16719806628489</v>
      </c>
      <c r="AF359" s="172">
        <f t="shared" si="86"/>
        <v>3.2211717992012702E-2</v>
      </c>
      <c r="AG359" s="150"/>
      <c r="AI359" s="137">
        <v>3</v>
      </c>
      <c r="AJ359" s="136" t="s">
        <v>330</v>
      </c>
      <c r="AK359" s="142" t="s">
        <v>326</v>
      </c>
      <c r="AL359" s="136" t="s">
        <v>552</v>
      </c>
      <c r="AM359" s="136" t="s">
        <v>203</v>
      </c>
      <c r="AN359" s="1">
        <v>0.14119999999999999</v>
      </c>
      <c r="AO359" s="166">
        <v>0.43014000000000002</v>
      </c>
      <c r="AQ359" t="str">
        <f>_xlfn.XLOOKUP(tblGWP21[[#This Row],[Material Subcategory]],ls_Mat,Factors!$K$952:$K$1023)</f>
        <v>x</v>
      </c>
      <c r="AR359" s="173">
        <v>0.77500000000000002</v>
      </c>
      <c r="AS359">
        <v>0</v>
      </c>
      <c r="AT359" t="s">
        <v>527</v>
      </c>
      <c r="AV359" s="347"/>
      <c r="BA359" cm="1">
        <f t="array" ref="BA359:BM359">tblGWP21[#This Row]</f>
        <v>3</v>
      </c>
      <c r="BB359" t="str">
        <v>Wood/Yard Trimmings</v>
      </c>
      <c r="BC359" t="str">
        <v>Other Wood</v>
      </c>
      <c r="BD359" t="str">
        <v>South America</v>
      </c>
      <c r="BE359" t="str">
        <v>n/a</v>
      </c>
      <c r="BF359">
        <v>-0.14119999999999999</v>
      </c>
      <c r="BG359">
        <v>-0.1076582</v>
      </c>
      <c r="BH359" t="str">
        <v>DELETE</v>
      </c>
      <c r="BI359">
        <v>-1.64655650896596</v>
      </c>
      <c r="BJ359">
        <v>-2.6336365493502698</v>
      </c>
      <c r="BK359">
        <v>-1.3851954238484401</v>
      </c>
      <c r="BL359">
        <v>-1.16719806628489</v>
      </c>
      <c r="BM359">
        <v>3.2211717992012702E-2</v>
      </c>
    </row>
    <row r="360" spans="3:65">
      <c r="C360" s="6">
        <v>3</v>
      </c>
      <c r="D360" s="373" t="s">
        <v>233</v>
      </c>
      <c r="E360" s="6" t="s">
        <v>250</v>
      </c>
      <c r="F360" s="136" t="s">
        <v>552</v>
      </c>
      <c r="G360" s="136" t="s">
        <v>203</v>
      </c>
      <c r="H360" s="191">
        <v>0</v>
      </c>
      <c r="I360" s="191">
        <v>0</v>
      </c>
      <c r="J360" s="191">
        <v>0</v>
      </c>
      <c r="K360" s="191">
        <v>-1.7440020321218299</v>
      </c>
      <c r="L360" s="191">
        <v>-2.1550741473042199</v>
      </c>
      <c r="M360" s="191">
        <v>-1.02568241234737</v>
      </c>
      <c r="N360" s="191">
        <v>-1.02076905583887</v>
      </c>
      <c r="O360" s="191">
        <v>2.8433780314571899E-2</v>
      </c>
      <c r="T360" s="49">
        <v>3</v>
      </c>
      <c r="U360" s="143" t="s">
        <v>261</v>
      </c>
      <c r="V360" s="33" t="s">
        <v>261</v>
      </c>
      <c r="W360" s="53" t="s">
        <v>552</v>
      </c>
      <c r="X360" s="53" t="s">
        <v>203</v>
      </c>
      <c r="Y360" s="172">
        <f>IFERROR(-tblZwaste1422[[#This Row],[Weight (kgCO2e/kg)]],0)</f>
        <v>-4.72241</v>
      </c>
      <c r="Z360" s="172" t="e">
        <f>IF(AQ360="x",(AR360*-tblZwaste1422[[#This Row],[Weight (kgCO2e/kg)]])+AS360+($AR$10*Lookups!$J$38/1000),"DELETE")</f>
        <v>#N/A</v>
      </c>
      <c r="AA360" s="172" t="str">
        <f t="shared" si="86"/>
        <v>DELETE</v>
      </c>
      <c r="AB360" s="172">
        <f t="shared" si="86"/>
        <v>-0.36323464441652753</v>
      </c>
      <c r="AC360" s="172">
        <f t="shared" si="86"/>
        <v>-0.61693958948757244</v>
      </c>
      <c r="AD360" s="172">
        <f t="shared" si="86"/>
        <v>0.15696519926646002</v>
      </c>
      <c r="AE360" s="172">
        <f t="shared" si="86"/>
        <v>-0.2011684659576255</v>
      </c>
      <c r="AF360" s="172">
        <f t="shared" si="86"/>
        <v>2.5407885046950601E-2</v>
      </c>
      <c r="AG360" s="150"/>
      <c r="AI360" s="137">
        <v>3</v>
      </c>
      <c r="AJ360" s="136" t="s">
        <v>529</v>
      </c>
      <c r="AK360" s="142" t="s">
        <v>529</v>
      </c>
      <c r="AL360" s="136" t="s">
        <v>552</v>
      </c>
      <c r="AM360" s="136" t="s">
        <v>203</v>
      </c>
      <c r="AN360" s="1">
        <v>4.72241</v>
      </c>
      <c r="AO360" s="166">
        <v>1.758</v>
      </c>
      <c r="AQ360" t="e">
        <f>_xlfn.XLOOKUP(tblGWP21[[#This Row],[Material Subcategory]],ls_Mat,Factors!$K$952:$K$1023)</f>
        <v>#N/A</v>
      </c>
      <c r="AR360" s="347">
        <v>0.5</v>
      </c>
      <c r="AS360">
        <v>0</v>
      </c>
      <c r="AT360" t="s">
        <v>528</v>
      </c>
      <c r="BA360" cm="1">
        <f t="array" ref="BA360:BM360">tblGWP21[#This Row]</f>
        <v>3</v>
      </c>
      <c r="BB360" t="str">
        <v>Food Waste</v>
      </c>
      <c r="BC360" t="str">
        <v>Food Waste</v>
      </c>
      <c r="BD360" t="str">
        <v>South America</v>
      </c>
      <c r="BE360" t="str">
        <v>n/a</v>
      </c>
      <c r="BF360">
        <v>-4.72241</v>
      </c>
      <c r="BG360" t="e">
        <v>#N/A</v>
      </c>
      <c r="BH360" t="str">
        <v>DELETE</v>
      </c>
      <c r="BI360">
        <v>-0.36323464441652753</v>
      </c>
      <c r="BJ360">
        <v>-0.61693958948757244</v>
      </c>
      <c r="BK360">
        <v>0.15696519926646002</v>
      </c>
      <c r="BL360">
        <v>-0.2011684659576255</v>
      </c>
      <c r="BM360">
        <v>2.5407885046950601E-2</v>
      </c>
    </row>
    <row r="361" spans="3:65">
      <c r="C361" s="375">
        <v>3</v>
      </c>
      <c r="D361" s="374" t="s">
        <v>233</v>
      </c>
      <c r="E361" s="375" t="s">
        <v>249</v>
      </c>
      <c r="F361" s="362" t="s">
        <v>552</v>
      </c>
      <c r="G361" s="362" t="s">
        <v>203</v>
      </c>
      <c r="H361" s="368">
        <v>0</v>
      </c>
      <c r="I361" s="368">
        <v>0</v>
      </c>
      <c r="J361" s="368">
        <v>0</v>
      </c>
      <c r="K361" s="368">
        <v>-0.54312947672349599</v>
      </c>
      <c r="L361" s="368">
        <v>-0.75458879575177795</v>
      </c>
      <c r="M361" s="368">
        <v>5.21256992475796E-2</v>
      </c>
      <c r="N361" s="368">
        <v>-0.21791388891459801</v>
      </c>
      <c r="O361" s="368">
        <v>2.5754674050476802E-2</v>
      </c>
      <c r="T361" s="49">
        <v>3</v>
      </c>
      <c r="U361" s="143" t="s">
        <v>261</v>
      </c>
      <c r="V361" s="33" t="s">
        <v>269</v>
      </c>
      <c r="W361" s="53" t="s">
        <v>552</v>
      </c>
      <c r="X361" s="53" t="s">
        <v>203</v>
      </c>
      <c r="Y361" s="172">
        <f>IFERROR(-tblZwaste1422[[#This Row],[Weight (kgCO2e/kg)]],0)</f>
        <v>-0.25034000000000001</v>
      </c>
      <c r="Z361" s="172">
        <f>IF(AQ361="x",(AR361*-tblZwaste1422[[#This Row],[Weight (kgCO2e/kg)]])+AS361+($AR$10*Lookups!$J$38/1000),"DELETE")</f>
        <v>-0.1233982</v>
      </c>
      <c r="AA361" s="172" t="str">
        <f t="shared" si="86"/>
        <v>DELETE</v>
      </c>
      <c r="AB361" s="172">
        <f t="shared" si="86"/>
        <v>-0.30319849135481602</v>
      </c>
      <c r="AC361" s="172">
        <f t="shared" si="86"/>
        <v>-0.52506421567601302</v>
      </c>
      <c r="AD361" s="172">
        <f t="shared" si="86"/>
        <v>0.18726550694841601</v>
      </c>
      <c r="AE361" s="172">
        <f t="shared" si="86"/>
        <v>-0.13984124434489101</v>
      </c>
      <c r="AF361" s="172">
        <f t="shared" si="86"/>
        <v>2.50856610037276E-2</v>
      </c>
      <c r="AG361" s="150"/>
      <c r="AI361" s="137">
        <v>3</v>
      </c>
      <c r="AJ361" s="136" t="s">
        <v>529</v>
      </c>
      <c r="AK361" s="142" t="s">
        <v>327</v>
      </c>
      <c r="AL361" s="136" t="s">
        <v>552</v>
      </c>
      <c r="AM361" s="136" t="s">
        <v>203</v>
      </c>
      <c r="AN361" s="1">
        <v>0.25034000000000001</v>
      </c>
      <c r="AO361" s="166">
        <v>0.99672000000000005</v>
      </c>
      <c r="AQ361" t="str">
        <f>_xlfn.XLOOKUP(tblGWP21[[#This Row],[Material Subcategory]],ls_Mat,Factors!$K$952:$K$1023)</f>
        <v>x</v>
      </c>
      <c r="AR361" s="347">
        <v>0.5</v>
      </c>
      <c r="AS361">
        <v>0</v>
      </c>
      <c r="AT361" t="s">
        <v>528</v>
      </c>
      <c r="BA361" cm="1">
        <f t="array" ref="BA361:BM361">tblGWP21[#This Row]</f>
        <v>3</v>
      </c>
      <c r="BB361" t="str">
        <v>Food Waste</v>
      </c>
      <c r="BC361" t="str">
        <v>Food Waste – Vegetable</v>
      </c>
      <c r="BD361" t="str">
        <v>South America</v>
      </c>
      <c r="BE361" t="str">
        <v>n/a</v>
      </c>
      <c r="BF361">
        <v>-0.25034000000000001</v>
      </c>
      <c r="BG361">
        <v>-0.1233982</v>
      </c>
      <c r="BH361" t="str">
        <v>DELETE</v>
      </c>
      <c r="BI361">
        <v>-0.30319849135481602</v>
      </c>
      <c r="BJ361">
        <v>-0.52506421567601302</v>
      </c>
      <c r="BK361">
        <v>0.18726550694841601</v>
      </c>
      <c r="BL361">
        <v>-0.13984124434489101</v>
      </c>
      <c r="BM361">
        <v>2.50856610037276E-2</v>
      </c>
    </row>
    <row r="362" spans="3:65" ht="28.8">
      <c r="C362" s="6">
        <v>3</v>
      </c>
      <c r="D362" s="373" t="s">
        <v>233</v>
      </c>
      <c r="E362" s="6" t="s">
        <v>273</v>
      </c>
      <c r="F362" s="136" t="s">
        <v>552</v>
      </c>
      <c r="G362" s="136" t="s">
        <v>203</v>
      </c>
      <c r="H362" s="191">
        <v>0</v>
      </c>
      <c r="I362" s="191">
        <v>0</v>
      </c>
      <c r="J362" s="191">
        <v>0</v>
      </c>
      <c r="K362" s="191">
        <v>-1.64655650896596</v>
      </c>
      <c r="L362" s="191">
        <v>-2.1007068372542301</v>
      </c>
      <c r="M362" s="191">
        <v>-0.81021857242915696</v>
      </c>
      <c r="N362" s="191">
        <v>-0.99139616916911</v>
      </c>
      <c r="O362" s="191">
        <v>2.7209269723740701E-2</v>
      </c>
      <c r="T362" s="49">
        <v>3</v>
      </c>
      <c r="U362" s="143" t="s">
        <v>261</v>
      </c>
      <c r="V362" s="33" t="s">
        <v>530</v>
      </c>
      <c r="W362" s="53" t="s">
        <v>552</v>
      </c>
      <c r="X362" s="53" t="s">
        <v>203</v>
      </c>
      <c r="Y362" s="172">
        <f>IFERROR(-tblZwaste1422[[#This Row],[Weight (kgCO2e/kg)]],0)</f>
        <v>-9.1944800000000004</v>
      </c>
      <c r="Z362" s="172">
        <f>IF(AQ362="x",(AR362*-tblZwaste1422[[#This Row],[Weight (kgCO2e/kg)]])+AS362+($AR$10*Lookups!$J$38/1000),"DELETE")</f>
        <v>-4.5954682</v>
      </c>
      <c r="AA362" s="172" t="str">
        <f t="shared" si="86"/>
        <v>DELETE</v>
      </c>
      <c r="AB362" s="172">
        <f t="shared" si="86"/>
        <v>-0.42327079747823898</v>
      </c>
      <c r="AC362" s="172">
        <f t="shared" si="86"/>
        <v>-0.70881496329913196</v>
      </c>
      <c r="AD362" s="172">
        <f t="shared" si="86"/>
        <v>0.126664891584504</v>
      </c>
      <c r="AE362" s="172">
        <f t="shared" si="86"/>
        <v>-0.26249568757036001</v>
      </c>
      <c r="AF362" s="172">
        <f t="shared" si="86"/>
        <v>2.5730109090173599E-2</v>
      </c>
      <c r="AG362" s="150"/>
      <c r="AI362" s="137">
        <v>3</v>
      </c>
      <c r="AJ362" s="136" t="s">
        <v>529</v>
      </c>
      <c r="AK362" s="142" t="s">
        <v>331</v>
      </c>
      <c r="AL362" s="136" t="s">
        <v>552</v>
      </c>
      <c r="AM362" s="136" t="s">
        <v>203</v>
      </c>
      <c r="AN362" s="1">
        <v>9.1944800000000004</v>
      </c>
      <c r="AO362" s="166">
        <v>2.5192800000000002</v>
      </c>
      <c r="AQ362" t="str">
        <f>_xlfn.XLOOKUP(tblGWP21[[#This Row],[Material Subcategory]],ls_Mat,Factors!$K$952:$K$1023)</f>
        <v>x</v>
      </c>
      <c r="AR362" s="347">
        <v>0.5</v>
      </c>
      <c r="AS362">
        <v>0</v>
      </c>
      <c r="AT362" t="s">
        <v>528</v>
      </c>
      <c r="BA362" cm="1">
        <f t="array" ref="BA362:BM362">tblGWP21[#This Row]</f>
        <v>3</v>
      </c>
      <c r="BB362" t="str">
        <v>Food Waste</v>
      </c>
      <c r="BC362" t="str">
        <v>Food Waste – Non-Vegetable</v>
      </c>
      <c r="BD362" t="str">
        <v>South America</v>
      </c>
      <c r="BE362" t="str">
        <v>n/a</v>
      </c>
      <c r="BF362">
        <v>-9.1944800000000004</v>
      </c>
      <c r="BG362">
        <v>-4.5954682</v>
      </c>
      <c r="BH362" t="str">
        <v>DELETE</v>
      </c>
      <c r="BI362">
        <v>-0.42327079747823898</v>
      </c>
      <c r="BJ362">
        <v>-0.70881496329913196</v>
      </c>
      <c r="BK362">
        <v>0.126664891584504</v>
      </c>
      <c r="BL362">
        <v>-0.26249568757036001</v>
      </c>
      <c r="BM362">
        <v>2.5730109090173599E-2</v>
      </c>
    </row>
    <row r="363" spans="3:65">
      <c r="C363" s="375">
        <v>3</v>
      </c>
      <c r="D363" s="374" t="s">
        <v>233</v>
      </c>
      <c r="E363" s="375" t="s">
        <v>330</v>
      </c>
      <c r="F363" s="362" t="s">
        <v>552</v>
      </c>
      <c r="G363" s="362" t="s">
        <v>203</v>
      </c>
      <c r="H363" s="368">
        <v>-0.14119999999999999</v>
      </c>
      <c r="I363" s="368">
        <v>-0.1076582</v>
      </c>
      <c r="J363" s="368">
        <v>0</v>
      </c>
      <c r="K363" s="368">
        <v>0</v>
      </c>
      <c r="L363" s="368">
        <v>0</v>
      </c>
      <c r="M363" s="368">
        <v>-1.4815773000277099</v>
      </c>
      <c r="N363" s="368">
        <v>-1.15568226342465</v>
      </c>
      <c r="O363" s="368">
        <v>5.3038049624167E-2</v>
      </c>
      <c r="T363" s="49">
        <v>3</v>
      </c>
      <c r="U363" s="143" t="s">
        <v>261</v>
      </c>
      <c r="V363" s="33" t="s">
        <v>262</v>
      </c>
      <c r="W363" s="53" t="s">
        <v>552</v>
      </c>
      <c r="X363" s="53" t="s">
        <v>203</v>
      </c>
      <c r="Y363" s="172">
        <f>IFERROR(-tblZwaste1422[[#This Row],[Weight (kgCO2e/kg)]],0)</f>
        <v>-2.5034000000000001</v>
      </c>
      <c r="Z363" s="172" t="str">
        <f>IF(AQ363="x",(AR363*-tblZwaste1422[[#This Row],[Weight (kgCO2e/kg)]])+AS363+($AR$10*Lookups!$J$38/1000),"DELETE")</f>
        <v>DELETE</v>
      </c>
      <c r="AA363" s="172" t="str">
        <f t="shared" si="86"/>
        <v>DELETE</v>
      </c>
      <c r="AB363" s="172">
        <f t="shared" si="86"/>
        <v>-0.42327079747823898</v>
      </c>
      <c r="AC363" s="172">
        <f t="shared" si="86"/>
        <v>-0.70881496329913196</v>
      </c>
      <c r="AD363" s="172">
        <f t="shared" si="86"/>
        <v>0.126664891584504</v>
      </c>
      <c r="AE363" s="172">
        <f t="shared" si="86"/>
        <v>-0.26249568757036001</v>
      </c>
      <c r="AF363" s="172">
        <f t="shared" si="86"/>
        <v>2.5730109090173599E-2</v>
      </c>
      <c r="AG363" s="150"/>
      <c r="AI363" s="137">
        <v>3</v>
      </c>
      <c r="AJ363" s="136" t="s">
        <v>529</v>
      </c>
      <c r="AK363" s="142" t="s">
        <v>332</v>
      </c>
      <c r="AL363" s="136" t="s">
        <v>552</v>
      </c>
      <c r="AM363" s="136" t="s">
        <v>203</v>
      </c>
      <c r="AN363" s="1">
        <v>2.5034000000000001</v>
      </c>
      <c r="AO363" s="166">
        <v>1.0183800000000001</v>
      </c>
      <c r="AQ363">
        <f>_xlfn.XLOOKUP(tblGWP21[[#This Row],[Material Subcategory]],ls_Mat,Factors!$K$952:$K$1023)</f>
        <v>0</v>
      </c>
      <c r="AR363" s="347">
        <v>0.5</v>
      </c>
      <c r="AS363">
        <v>0</v>
      </c>
      <c r="AT363" t="s">
        <v>528</v>
      </c>
      <c r="AU363" t="s">
        <v>526</v>
      </c>
      <c r="AV363" s="347">
        <v>0.8</v>
      </c>
      <c r="BA363" cm="1">
        <f t="array" ref="BA363:BM363">tblGWP21[#This Row]</f>
        <v>3</v>
      </c>
      <c r="BB363" t="str">
        <v>Food Waste</v>
      </c>
      <c r="BC363" t="str">
        <v>Oils/Grease</v>
      </c>
      <c r="BD363" t="str">
        <v>South America</v>
      </c>
      <c r="BE363" t="str">
        <v>n/a</v>
      </c>
      <c r="BF363">
        <v>-2.5034000000000001</v>
      </c>
      <c r="BG363" t="str">
        <v>DELETE</v>
      </c>
      <c r="BH363" t="str">
        <v>DELETE</v>
      </c>
      <c r="BI363">
        <v>-0.42327079747823898</v>
      </c>
      <c r="BJ363">
        <v>-0.70881496329913196</v>
      </c>
      <c r="BK363">
        <v>0.126664891584504</v>
      </c>
      <c r="BL363">
        <v>-0.26249568757036001</v>
      </c>
      <c r="BM363">
        <v>2.5730109090173599E-2</v>
      </c>
    </row>
    <row r="364" spans="3:65">
      <c r="C364" s="6">
        <v>3</v>
      </c>
      <c r="D364" s="373" t="s">
        <v>233</v>
      </c>
      <c r="E364" s="6" t="s">
        <v>335</v>
      </c>
      <c r="F364" s="136" t="s">
        <v>552</v>
      </c>
      <c r="G364" s="136" t="s">
        <v>203</v>
      </c>
      <c r="H364" s="191">
        <v>-0.26272000000000001</v>
      </c>
      <c r="I364" s="191">
        <v>-0.20183620000000002</v>
      </c>
      <c r="J364" s="191">
        <v>0</v>
      </c>
      <c r="K364" s="191">
        <v>-1.64655650896596</v>
      </c>
      <c r="L364" s="191">
        <v>-2.6336365493502698</v>
      </c>
      <c r="M364" s="191">
        <v>-1.3851954238484401</v>
      </c>
      <c r="N364" s="191">
        <v>-1.16719806628489</v>
      </c>
      <c r="O364" s="191">
        <v>3.2211717992012702E-2</v>
      </c>
      <c r="T364" s="49">
        <v>3</v>
      </c>
      <c r="U364" s="143" t="s">
        <v>252</v>
      </c>
      <c r="V364" s="33" t="s">
        <v>252</v>
      </c>
      <c r="W364" s="53" t="s">
        <v>552</v>
      </c>
      <c r="X364" s="53" t="s">
        <v>203</v>
      </c>
      <c r="Y364" s="172">
        <f>IFERROR(-tblZwaste1422[[#This Row],[Weight (kgCO2e/kg)]],0)</f>
        <v>-2.0953266666666663</v>
      </c>
      <c r="Z364" s="172" t="e">
        <f>IF(AQ364="x",(AR364*-tblZwaste1422[[#This Row],[Weight (kgCO2e/kg)]])+AS364+($AR$10*Lookups!$J$38/1000),"DELETE")</f>
        <v>#N/A</v>
      </c>
      <c r="AA364" s="172">
        <f t="shared" si="86"/>
        <v>-4.4025891502648795</v>
      </c>
      <c r="AB364" s="172" t="str">
        <f t="shared" si="86"/>
        <v>DELETE</v>
      </c>
      <c r="AC364" s="172" t="str">
        <f t="shared" si="86"/>
        <v>DELETE</v>
      </c>
      <c r="AD364" s="172">
        <f t="shared" si="86"/>
        <v>2.6042894329189499E-2</v>
      </c>
      <c r="AE364" s="172">
        <f t="shared" si="86"/>
        <v>0.44395532733173598</v>
      </c>
      <c r="AF364" s="172">
        <f t="shared" si="86"/>
        <v>2.1870269324237599</v>
      </c>
      <c r="AG364" s="150"/>
      <c r="AI364" s="137">
        <v>3</v>
      </c>
      <c r="AJ364" s="136" t="s">
        <v>252</v>
      </c>
      <c r="AK364" s="142" t="s">
        <v>252</v>
      </c>
      <c r="AL364" s="136" t="s">
        <v>552</v>
      </c>
      <c r="AM364" s="136" t="s">
        <v>203</v>
      </c>
      <c r="AN364" s="1">
        <v>2.0953266666666663</v>
      </c>
      <c r="AO364" s="166">
        <v>1.77911</v>
      </c>
      <c r="AQ364" t="e">
        <f>_xlfn.XLOOKUP(tblGWP21[[#This Row],[Material Subcategory]],ls_Mat,Factors!$K$952:$K$1023)</f>
        <v>#N/A</v>
      </c>
      <c r="AR364" s="173">
        <v>0.77500000000000002</v>
      </c>
      <c r="AS364">
        <v>8.1306407300000008E-2</v>
      </c>
      <c r="AT364" t="s">
        <v>531</v>
      </c>
      <c r="AU364" t="s">
        <v>526</v>
      </c>
      <c r="AV364" s="347">
        <v>0.88</v>
      </c>
      <c r="BA364" cm="1">
        <f t="array" ref="BA364:BM364">tblGWP21[#This Row]</f>
        <v>3</v>
      </c>
      <c r="BB364" t="str">
        <v>Plastics</v>
      </c>
      <c r="BC364" t="str">
        <v>Plastics</v>
      </c>
      <c r="BD364" t="str">
        <v>South America</v>
      </c>
      <c r="BE364" t="str">
        <v>n/a</v>
      </c>
      <c r="BF364">
        <v>-2.0953266666666663</v>
      </c>
      <c r="BG364" t="e">
        <v>#N/A</v>
      </c>
      <c r="BH364">
        <v>-4.4025891502648795</v>
      </c>
      <c r="BI364" t="str">
        <v>DELETE</v>
      </c>
      <c r="BJ364" t="str">
        <v>DELETE</v>
      </c>
      <c r="BK364">
        <v>2.6042894329189499E-2</v>
      </c>
      <c r="BL364">
        <v>0.44395532733173598</v>
      </c>
      <c r="BM364">
        <v>2.1870269324237599</v>
      </c>
    </row>
    <row r="365" spans="3:65" ht="28.8">
      <c r="C365" s="375">
        <v>3</v>
      </c>
      <c r="D365" s="374" t="s">
        <v>233</v>
      </c>
      <c r="E365" s="375" t="s">
        <v>326</v>
      </c>
      <c r="F365" s="362" t="s">
        <v>552</v>
      </c>
      <c r="G365" s="362" t="s">
        <v>203</v>
      </c>
      <c r="H365" s="368">
        <v>-0.14119999999999999</v>
      </c>
      <c r="I365" s="368">
        <v>-0.1076582</v>
      </c>
      <c r="J365" s="368">
        <v>0</v>
      </c>
      <c r="K365" s="368">
        <v>-1.64655650896596</v>
      </c>
      <c r="L365" s="368">
        <v>-2.6336365493502698</v>
      </c>
      <c r="M365" s="368">
        <v>-1.3851954238484401</v>
      </c>
      <c r="N365" s="368">
        <v>-1.16719806628489</v>
      </c>
      <c r="O365" s="368">
        <v>3.2211717992012702E-2</v>
      </c>
      <c r="T365" s="49">
        <v>3</v>
      </c>
      <c r="U365" s="143" t="s">
        <v>252</v>
      </c>
      <c r="V365" s="33" t="s">
        <v>253</v>
      </c>
      <c r="W365" s="53" t="s">
        <v>552</v>
      </c>
      <c r="X365" s="53" t="s">
        <v>203</v>
      </c>
      <c r="Y365" s="172">
        <f>IFERROR(-tblZwaste1422[[#This Row],[Weight (kgCO2e/kg)]],0)</f>
        <v>-2.04928</v>
      </c>
      <c r="Z365" s="172" t="e">
        <f>IF(AQ365="x",(AR365*-tblZwaste1422[[#This Row],[Weight (kgCO2e/kg)]])+AS365+($AR$10*Lookups!$J$38/1000),"DELETE")</f>
        <v>#N/A</v>
      </c>
      <c r="AA365" s="172">
        <f t="shared" si="86"/>
        <v>-3.8346043561803635</v>
      </c>
      <c r="AB365" s="172" t="str">
        <f t="shared" si="86"/>
        <v>DELETE</v>
      </c>
      <c r="AC365" s="172" t="str">
        <f t="shared" si="86"/>
        <v>DELETE</v>
      </c>
      <c r="AD365" s="172">
        <f t="shared" si="86"/>
        <v>2.6042891280744201E-2</v>
      </c>
      <c r="AE365" s="172">
        <f t="shared" si="86"/>
        <v>0.175590688454898</v>
      </c>
      <c r="AF365" s="172">
        <f t="shared" si="86"/>
        <v>3.1831779848466799</v>
      </c>
      <c r="AG365" s="150"/>
      <c r="AI365" s="137">
        <v>3</v>
      </c>
      <c r="AJ365" s="136" t="s">
        <v>252</v>
      </c>
      <c r="AK365" s="142" t="s">
        <v>253</v>
      </c>
      <c r="AL365" s="136" t="s">
        <v>552</v>
      </c>
      <c r="AM365" s="136" t="s">
        <v>203</v>
      </c>
      <c r="AN365" s="1">
        <v>2.04928</v>
      </c>
      <c r="AO365" s="166">
        <v>1.77911</v>
      </c>
      <c r="AQ365" t="e">
        <f>_xlfn.XLOOKUP(tblGWP21[[#This Row],[Material Subcategory]],ls_Mat,Factors!$K$952:$K$1023)</f>
        <v>#N/A</v>
      </c>
      <c r="AR365" s="173">
        <v>0.77500000000000002</v>
      </c>
      <c r="AS365">
        <v>8.1306407300000008E-2</v>
      </c>
      <c r="AT365" t="s">
        <v>531</v>
      </c>
      <c r="AU365" t="s">
        <v>526</v>
      </c>
      <c r="AV365" s="347">
        <v>0.8</v>
      </c>
      <c r="BA365" cm="1">
        <f t="array" ref="BA365:BM365">tblGWP21[#This Row]</f>
        <v>3</v>
      </c>
      <c r="BB365" t="str">
        <v>Plastics</v>
      </c>
      <c r="BC365" t="str">
        <v>HDPE (translucent and pigmented)</v>
      </c>
      <c r="BD365" t="str">
        <v>South America</v>
      </c>
      <c r="BE365" t="str">
        <v>n/a</v>
      </c>
      <c r="BF365">
        <v>-2.04928</v>
      </c>
      <c r="BG365" t="e">
        <v>#N/A</v>
      </c>
      <c r="BH365">
        <v>-3.8346043561803635</v>
      </c>
      <c r="BI365" t="str">
        <v>DELETE</v>
      </c>
      <c r="BJ365" t="str">
        <v>DELETE</v>
      </c>
      <c r="BK365">
        <v>2.6042891280744201E-2</v>
      </c>
      <c r="BL365">
        <v>0.175590688454898</v>
      </c>
      <c r="BM365">
        <v>3.1831779848466799</v>
      </c>
    </row>
    <row r="366" spans="3:65">
      <c r="C366" s="6">
        <v>3</v>
      </c>
      <c r="D366" s="373" t="s">
        <v>261</v>
      </c>
      <c r="E366" s="6" t="s">
        <v>261</v>
      </c>
      <c r="F366" s="136" t="s">
        <v>552</v>
      </c>
      <c r="G366" s="136" t="s">
        <v>203</v>
      </c>
      <c r="H366" s="191">
        <v>-4.72241</v>
      </c>
      <c r="I366" s="191">
        <v>-2.3594331999999998</v>
      </c>
      <c r="J366" s="191">
        <v>0</v>
      </c>
      <c r="K366" s="191">
        <v>-0.36323464441652753</v>
      </c>
      <c r="L366" s="191">
        <v>-0.61693958948757244</v>
      </c>
      <c r="M366" s="191">
        <v>0.15696519926646002</v>
      </c>
      <c r="N366" s="191">
        <v>-0.2011684659576255</v>
      </c>
      <c r="O366" s="191">
        <v>2.5407885046950601E-2</v>
      </c>
      <c r="T366" s="49">
        <v>3</v>
      </c>
      <c r="U366" s="143" t="s">
        <v>252</v>
      </c>
      <c r="V366" s="33" t="s">
        <v>328</v>
      </c>
      <c r="W366" s="53" t="s">
        <v>552</v>
      </c>
      <c r="X366" s="53" t="s">
        <v>203</v>
      </c>
      <c r="Y366" s="172">
        <f>IFERROR(-tblZwaste1422[[#This Row],[Weight (kgCO2e/kg)]],0)</f>
        <v>-2.3231199999999999</v>
      </c>
      <c r="Z366" s="172" t="e">
        <f>IF(AQ366="x",(AR366*-tblZwaste1422[[#This Row],[Weight (kgCO2e/kg)]])+AS366+($AR$10*Lookups!$J$38/1000),"DELETE")</f>
        <v>#N/A</v>
      </c>
      <c r="AA366" s="172">
        <f t="shared" si="86"/>
        <v>-4.5681382124045369</v>
      </c>
      <c r="AB366" s="172" t="str">
        <f t="shared" si="86"/>
        <v>DELETE</v>
      </c>
      <c r="AC366" s="172" t="str">
        <f t="shared" si="86"/>
        <v>DELETE</v>
      </c>
      <c r="AD366" s="172">
        <f t="shared" si="86"/>
        <v>2.6042892084158099E-2</v>
      </c>
      <c r="AE366" s="172">
        <f t="shared" si="86"/>
        <v>0.30460453136799898</v>
      </c>
      <c r="AF366" s="172">
        <f t="shared" si="86"/>
        <v>2.4956096041782501</v>
      </c>
      <c r="AG366" s="150"/>
      <c r="AI366" s="137">
        <v>3</v>
      </c>
      <c r="AJ366" s="136" t="s">
        <v>252</v>
      </c>
      <c r="AK366" s="142" t="s">
        <v>328</v>
      </c>
      <c r="AL366" s="136" t="s">
        <v>552</v>
      </c>
      <c r="AM366" s="136" t="s">
        <v>203</v>
      </c>
      <c r="AN366" s="1">
        <v>2.3231199999999999</v>
      </c>
      <c r="AO366" s="166">
        <v>1.77911</v>
      </c>
      <c r="AQ366" t="e">
        <f>_xlfn.XLOOKUP(tblGWP21[[#This Row],[Material Subcategory]],ls_Mat,Factors!$K$952:$K$1023)</f>
        <v>#N/A</v>
      </c>
      <c r="AR366" s="173">
        <v>0.77500000000000002</v>
      </c>
      <c r="AU366" t="s">
        <v>526</v>
      </c>
      <c r="AV366" s="347">
        <v>0.65</v>
      </c>
      <c r="BA366" cm="1">
        <f t="array" ref="BA366:BM366">tblGWP21[#This Row]</f>
        <v>3</v>
      </c>
      <c r="BB366" t="str">
        <v>Plastics</v>
      </c>
      <c r="BC366" t="str">
        <v>LDPE</v>
      </c>
      <c r="BD366" t="str">
        <v>South America</v>
      </c>
      <c r="BE366" t="str">
        <v>n/a</v>
      </c>
      <c r="BF366">
        <v>-2.3231199999999999</v>
      </c>
      <c r="BG366" t="e">
        <v>#N/A</v>
      </c>
      <c r="BH366">
        <v>-4.5681382124045369</v>
      </c>
      <c r="BI366" t="str">
        <v>DELETE</v>
      </c>
      <c r="BJ366" t="str">
        <v>DELETE</v>
      </c>
      <c r="BK366">
        <v>2.6042892084158099E-2</v>
      </c>
      <c r="BL366">
        <v>0.30460453136799898</v>
      </c>
      <c r="BM366">
        <v>2.4956096041782501</v>
      </c>
    </row>
    <row r="367" spans="3:65">
      <c r="C367" s="375">
        <v>3</v>
      </c>
      <c r="D367" s="374" t="s">
        <v>261</v>
      </c>
      <c r="E367" s="375" t="s">
        <v>269</v>
      </c>
      <c r="F367" s="362" t="s">
        <v>552</v>
      </c>
      <c r="G367" s="362" t="s">
        <v>203</v>
      </c>
      <c r="H367" s="368">
        <v>-0.25034000000000001</v>
      </c>
      <c r="I367" s="368">
        <v>-0.1233982</v>
      </c>
      <c r="J367" s="368">
        <v>0</v>
      </c>
      <c r="K367" s="368">
        <v>-0.30319849135481602</v>
      </c>
      <c r="L367" s="368">
        <v>-0.52506421567601302</v>
      </c>
      <c r="M367" s="368">
        <v>0.18726550694841601</v>
      </c>
      <c r="N367" s="368">
        <v>-0.13984124434489101</v>
      </c>
      <c r="O367" s="368">
        <v>2.50856610037276E-2</v>
      </c>
      <c r="T367" s="49">
        <v>3</v>
      </c>
      <c r="U367" s="143" t="s">
        <v>252</v>
      </c>
      <c r="V367" s="33" t="s">
        <v>254</v>
      </c>
      <c r="W367" s="53" t="s">
        <v>552</v>
      </c>
      <c r="X367" s="53" t="s">
        <v>203</v>
      </c>
      <c r="Y367" s="172">
        <f>IFERROR(-tblZwaste1422[[#This Row],[Weight (kgCO2e/kg)]],0)</f>
        <v>-2.1485799999999999</v>
      </c>
      <c r="Z367" s="172" t="e">
        <f>IF(AQ367="x",(AR367*-tblZwaste1422[[#This Row],[Weight (kgCO2e/kg)]])+AS367+($AR$10*Lookups!$J$38/1000),"DELETE")</f>
        <v>#N/A</v>
      </c>
      <c r="AA367" s="172">
        <f t="shared" ref="AA367:AF376" si="87">AA871</f>
        <v>-4.6394758200700803</v>
      </c>
      <c r="AB367" s="172" t="str">
        <f t="shared" si="87"/>
        <v>DELETE</v>
      </c>
      <c r="AC367" s="172" t="str">
        <f t="shared" si="87"/>
        <v>DELETE</v>
      </c>
      <c r="AD367" s="172">
        <f t="shared" si="87"/>
        <v>2.6042891280744201E-2</v>
      </c>
      <c r="AE367" s="172">
        <f t="shared" si="87"/>
        <v>0.48074063466547701</v>
      </c>
      <c r="AF367" s="172">
        <f t="shared" si="87"/>
        <v>2.5363331169384198</v>
      </c>
      <c r="AG367" s="150"/>
      <c r="AI367" s="137">
        <v>3</v>
      </c>
      <c r="AJ367" s="136" t="s">
        <v>252</v>
      </c>
      <c r="AK367" s="142" t="s">
        <v>254</v>
      </c>
      <c r="AL367" s="136" t="s">
        <v>552</v>
      </c>
      <c r="AM367" s="136" t="s">
        <v>203</v>
      </c>
      <c r="AN367" s="1">
        <v>2.1485799999999999</v>
      </c>
      <c r="AO367" s="166">
        <v>1.77911</v>
      </c>
      <c r="AQ367" t="e">
        <f>_xlfn.XLOOKUP(tblGWP21[[#This Row],[Material Subcategory]],ls_Mat,Factors!$K$952:$K$1023)</f>
        <v>#N/A</v>
      </c>
      <c r="AR367" s="173">
        <v>0.77500000000000002</v>
      </c>
      <c r="AS367">
        <v>8.1306407300000008E-2</v>
      </c>
      <c r="AT367" t="s">
        <v>531</v>
      </c>
      <c r="AU367" t="s">
        <v>526</v>
      </c>
      <c r="AV367" s="347">
        <v>0.65</v>
      </c>
      <c r="BA367" cm="1">
        <f t="array" ref="BA367:BM367">tblGWP21[#This Row]</f>
        <v>3</v>
      </c>
      <c r="BB367" t="str">
        <v>Plastics</v>
      </c>
      <c r="BC367" t="str">
        <v>PET</v>
      </c>
      <c r="BD367" t="str">
        <v>South America</v>
      </c>
      <c r="BE367" t="str">
        <v>n/a</v>
      </c>
      <c r="BF367">
        <v>-2.1485799999999999</v>
      </c>
      <c r="BG367" t="e">
        <v>#N/A</v>
      </c>
      <c r="BH367">
        <v>-4.6394758200700803</v>
      </c>
      <c r="BI367" t="str">
        <v>DELETE</v>
      </c>
      <c r="BJ367" t="str">
        <v>DELETE</v>
      </c>
      <c r="BK367">
        <v>2.6042891280744201E-2</v>
      </c>
      <c r="BL367">
        <v>0.48074063466547701</v>
      </c>
      <c r="BM367">
        <v>2.5363331169384198</v>
      </c>
    </row>
    <row r="368" spans="3:65" ht="28.8">
      <c r="C368" s="6">
        <v>3</v>
      </c>
      <c r="D368" s="373" t="s">
        <v>261</v>
      </c>
      <c r="E368" s="6" t="s">
        <v>530</v>
      </c>
      <c r="F368" s="136" t="s">
        <v>552</v>
      </c>
      <c r="G368" s="136" t="s">
        <v>203</v>
      </c>
      <c r="H368" s="191">
        <v>-9.1944800000000004</v>
      </c>
      <c r="I368" s="191">
        <v>-4.5954682</v>
      </c>
      <c r="J368" s="191">
        <v>0</v>
      </c>
      <c r="K368" s="191">
        <v>-0.42327079747823898</v>
      </c>
      <c r="L368" s="191">
        <v>-0.70881496329913196</v>
      </c>
      <c r="M368" s="191">
        <v>0.126664891584504</v>
      </c>
      <c r="N368" s="191">
        <v>-0.26249568757036001</v>
      </c>
      <c r="O368" s="191">
        <v>2.5730109090173599E-2</v>
      </c>
      <c r="T368" s="49">
        <v>3</v>
      </c>
      <c r="U368" s="143" t="s">
        <v>252</v>
      </c>
      <c r="V368" s="33" t="s">
        <v>532</v>
      </c>
      <c r="W368" s="53" t="s">
        <v>552</v>
      </c>
      <c r="X368" s="53" t="s">
        <v>203</v>
      </c>
      <c r="Y368" s="172">
        <f>IFERROR(-tblZwaste1422[[#This Row],[Weight (kgCO2e/kg)]],0)</f>
        <v>-1.9492499999999999</v>
      </c>
      <c r="Z368" s="172" t="e">
        <f>IF(AQ368="x",(AR368*-tblZwaste1422[[#This Row],[Weight (kgCO2e/kg)]])+AS368+($AR$10*Lookups!$J$38/1000),"DELETE")</f>
        <v>#N/A</v>
      </c>
      <c r="AA368" s="172">
        <f t="shared" si="87"/>
        <v>-4.5681382124045369</v>
      </c>
      <c r="AB368" s="172" t="str">
        <f t="shared" si="87"/>
        <v>DELETE</v>
      </c>
      <c r="AC368" s="172" t="str">
        <f t="shared" si="87"/>
        <v>DELETE</v>
      </c>
      <c r="AD368" s="172">
        <f t="shared" si="87"/>
        <v>2.6042892084158099E-2</v>
      </c>
      <c r="AE368" s="172">
        <f t="shared" si="87"/>
        <v>0.30460453136799898</v>
      </c>
      <c r="AF368" s="172">
        <f t="shared" si="87"/>
        <v>2.4956096041782501</v>
      </c>
      <c r="AG368" s="150"/>
      <c r="AI368" s="137">
        <v>3</v>
      </c>
      <c r="AJ368" s="136" t="s">
        <v>252</v>
      </c>
      <c r="AK368" s="142" t="s">
        <v>532</v>
      </c>
      <c r="AL368" s="136" t="s">
        <v>552</v>
      </c>
      <c r="AM368" s="136" t="s">
        <v>203</v>
      </c>
      <c r="AN368" s="1">
        <v>1.9492499999999999</v>
      </c>
      <c r="AO368" s="166">
        <v>1.77911</v>
      </c>
      <c r="AQ368" t="e">
        <f>_xlfn.XLOOKUP(tblGWP21[[#This Row],[Material Subcategory]],ls_Mat,Factors!$K$952:$K$1023)</f>
        <v>#N/A</v>
      </c>
      <c r="AU368" t="s">
        <v>526</v>
      </c>
      <c r="AV368" s="347">
        <v>0.65</v>
      </c>
      <c r="BA368" cm="1">
        <f t="array" ref="BA368:BM368">tblGWP21[#This Row]</f>
        <v>3</v>
      </c>
      <c r="BB368" t="str">
        <v>Plastics</v>
      </c>
      <c r="BC368" t="str">
        <v>LLDPE</v>
      </c>
      <c r="BD368" t="str">
        <v>South America</v>
      </c>
      <c r="BE368" t="str">
        <v>n/a</v>
      </c>
      <c r="BF368">
        <v>-1.9492499999999999</v>
      </c>
      <c r="BG368" t="e">
        <v>#N/A</v>
      </c>
      <c r="BH368">
        <v>-4.5681382124045369</v>
      </c>
      <c r="BI368" t="str">
        <v>DELETE</v>
      </c>
      <c r="BJ368" t="str">
        <v>DELETE</v>
      </c>
      <c r="BK368">
        <v>2.6042892084158099E-2</v>
      </c>
      <c r="BL368">
        <v>0.30460453136799898</v>
      </c>
      <c r="BM368">
        <v>2.4956096041782501</v>
      </c>
    </row>
    <row r="369" spans="3:65">
      <c r="C369" s="375">
        <v>3</v>
      </c>
      <c r="D369" s="374" t="s">
        <v>261</v>
      </c>
      <c r="E369" s="375" t="s">
        <v>262</v>
      </c>
      <c r="F369" s="362" t="s">
        <v>552</v>
      </c>
      <c r="G369" s="362" t="s">
        <v>203</v>
      </c>
      <c r="H369" s="368">
        <v>-2.5034000000000001</v>
      </c>
      <c r="I369" s="368">
        <v>0</v>
      </c>
      <c r="J369" s="368">
        <v>0</v>
      </c>
      <c r="K369" s="368">
        <v>-0.42327079747823898</v>
      </c>
      <c r="L369" s="368">
        <v>-0.70881496329913196</v>
      </c>
      <c r="M369" s="368">
        <v>0.126664891584504</v>
      </c>
      <c r="N369" s="368">
        <v>-0.26249568757036001</v>
      </c>
      <c r="O369" s="368">
        <v>2.5730109090173599E-2</v>
      </c>
      <c r="T369" s="49">
        <v>3</v>
      </c>
      <c r="U369" s="143" t="s">
        <v>252</v>
      </c>
      <c r="V369" s="33" t="s">
        <v>245</v>
      </c>
      <c r="W369" s="53" t="s">
        <v>552</v>
      </c>
      <c r="X369" s="53" t="s">
        <v>203</v>
      </c>
      <c r="Y369" s="172">
        <f>IFERROR(-tblZwaste1422[[#This Row],[Weight (kgCO2e/kg)]],0)</f>
        <v>-2.0269300000000001</v>
      </c>
      <c r="Z369" s="172" t="e">
        <f>IF(AQ369="x",(AR369*-tblZwaste1422[[#This Row],[Weight (kgCO2e/kg)]])+AS369+($AR$10*Lookups!$J$38/1000),"DELETE")</f>
        <v>#N/A</v>
      </c>
      <c r="AA369" s="172" t="str">
        <f t="shared" si="87"/>
        <v>DELETE</v>
      </c>
      <c r="AB369" s="172" t="str">
        <f t="shared" si="87"/>
        <v>DELETE</v>
      </c>
      <c r="AC369" s="172" t="str">
        <f t="shared" si="87"/>
        <v>DELETE</v>
      </c>
      <c r="AD369" s="172">
        <f t="shared" si="87"/>
        <v>2.6042892205404101E-2</v>
      </c>
      <c r="AE369" s="172">
        <f t="shared" si="87"/>
        <v>0.124921509262145</v>
      </c>
      <c r="AF369" s="172">
        <f t="shared" si="87"/>
        <v>3.1833672947487801</v>
      </c>
      <c r="AG369" s="150"/>
      <c r="AI369" s="137">
        <v>3</v>
      </c>
      <c r="AJ369" s="136" t="s">
        <v>252</v>
      </c>
      <c r="AK369" s="142" t="s">
        <v>245</v>
      </c>
      <c r="AL369" s="136" t="s">
        <v>552</v>
      </c>
      <c r="AM369" s="136" t="s">
        <v>203</v>
      </c>
      <c r="AN369" s="1">
        <v>2.0269300000000001</v>
      </c>
      <c r="AO369" s="166">
        <v>1.77911</v>
      </c>
      <c r="AQ369" t="e">
        <f>_xlfn.XLOOKUP(tblGWP21[[#This Row],[Material Subcategory]],ls_Mat,Factors!$K$952:$K$1023)</f>
        <v>#N/A</v>
      </c>
      <c r="AR369" s="173">
        <v>0.77500000000000002</v>
      </c>
      <c r="AS369">
        <v>8.1306407300000008E-2</v>
      </c>
      <c r="AT369" t="s">
        <v>531</v>
      </c>
      <c r="AU369" t="s">
        <v>526</v>
      </c>
      <c r="AV369" s="347">
        <v>0.8</v>
      </c>
      <c r="BA369" cm="1">
        <f t="array" ref="BA369:BM369">tblGWP21[#This Row]</f>
        <v>3</v>
      </c>
      <c r="BB369" t="str">
        <v>Plastics</v>
      </c>
      <c r="BC369" t="str">
        <v>PP</v>
      </c>
      <c r="BD369" t="str">
        <v>South America</v>
      </c>
      <c r="BE369" t="str">
        <v>n/a</v>
      </c>
      <c r="BF369">
        <v>-2.0269300000000001</v>
      </c>
      <c r="BG369" t="e">
        <v>#N/A</v>
      </c>
      <c r="BH369" t="str">
        <v>DELETE</v>
      </c>
      <c r="BI369" t="str">
        <v>DELETE</v>
      </c>
      <c r="BJ369" t="str">
        <v>DELETE</v>
      </c>
      <c r="BK369">
        <v>2.6042892205404101E-2</v>
      </c>
      <c r="BL369">
        <v>0.124921509262145</v>
      </c>
      <c r="BM369">
        <v>3.1833672947487801</v>
      </c>
    </row>
    <row r="370" spans="3:65">
      <c r="C370" s="6">
        <v>3</v>
      </c>
      <c r="D370" s="373" t="s">
        <v>252</v>
      </c>
      <c r="E370" s="6" t="s">
        <v>252</v>
      </c>
      <c r="F370" s="136" t="s">
        <v>552</v>
      </c>
      <c r="G370" s="136" t="s">
        <v>203</v>
      </c>
      <c r="H370" s="191">
        <v>-2.0953266666666663</v>
      </c>
      <c r="I370" s="191">
        <v>-1.5407999593666664</v>
      </c>
      <c r="J370" s="191">
        <v>-4.4025891502648795</v>
      </c>
      <c r="K370" s="191">
        <v>0</v>
      </c>
      <c r="L370" s="191">
        <v>0</v>
      </c>
      <c r="M370" s="191">
        <v>2.6042894329189499E-2</v>
      </c>
      <c r="N370" s="191">
        <v>0.44395532733173598</v>
      </c>
      <c r="O370" s="191">
        <v>2.1870269324237599</v>
      </c>
      <c r="T370" s="49">
        <v>3</v>
      </c>
      <c r="U370" s="143" t="s">
        <v>252</v>
      </c>
      <c r="V370" s="33" t="s">
        <v>533</v>
      </c>
      <c r="W370" s="53" t="s">
        <v>552</v>
      </c>
      <c r="X370" s="53" t="s">
        <v>203</v>
      </c>
      <c r="Y370" s="172">
        <f>IFERROR(-tblZwaste1422[[#This Row],[Weight (kgCO2e/kg)]],0)</f>
        <v>-2.0748000000000002</v>
      </c>
      <c r="Z370" s="172" t="e">
        <f>IF(AQ370="x",(AR370*-tblZwaste1422[[#This Row],[Weight (kgCO2e/kg)]])+AS370+($AR$10*Lookups!$J$38/1000),"DELETE")</f>
        <v>#N/A</v>
      </c>
      <c r="AA370" s="172" t="str">
        <f t="shared" si="87"/>
        <v>DELETE</v>
      </c>
      <c r="AB370" s="172" t="str">
        <f t="shared" si="87"/>
        <v>DELETE</v>
      </c>
      <c r="AC370" s="172" t="str">
        <f t="shared" si="87"/>
        <v>DELETE</v>
      </c>
      <c r="AD370" s="172">
        <f t="shared" si="87"/>
        <v>2.6042886997659099E-2</v>
      </c>
      <c r="AE370" s="172">
        <f t="shared" si="87"/>
        <v>0.36357047276194199</v>
      </c>
      <c r="AF370" s="172">
        <f t="shared" si="87"/>
        <v>3.0368312566581301</v>
      </c>
      <c r="AG370" s="150"/>
      <c r="AI370" s="137">
        <v>3</v>
      </c>
      <c r="AJ370" s="136" t="s">
        <v>252</v>
      </c>
      <c r="AK370" s="142" t="s">
        <v>533</v>
      </c>
      <c r="AL370" s="136" t="s">
        <v>552</v>
      </c>
      <c r="AM370" s="136" t="s">
        <v>203</v>
      </c>
      <c r="AN370" s="1">
        <v>2.0748000000000002</v>
      </c>
      <c r="AO370" s="166">
        <v>1.77911</v>
      </c>
      <c r="AQ370" t="e">
        <f>_xlfn.XLOOKUP(tblGWP21[[#This Row],[Material Subcategory]],ls_Mat,Factors!$K$952:$K$1023)</f>
        <v>#N/A</v>
      </c>
      <c r="AR370" s="173">
        <v>0.77500000000000002</v>
      </c>
      <c r="AS370">
        <v>8.1306407300000008E-2</v>
      </c>
      <c r="AT370" t="s">
        <v>531</v>
      </c>
      <c r="BA370" cm="1">
        <f t="array" ref="BA370:BM370">tblGWP21[#This Row]</f>
        <v>3</v>
      </c>
      <c r="BB370" t="str">
        <v>Plastics</v>
      </c>
      <c r="BC370" t="str">
        <v>PVC</v>
      </c>
      <c r="BD370" t="str">
        <v>South America</v>
      </c>
      <c r="BE370" t="str">
        <v>n/a</v>
      </c>
      <c r="BF370">
        <v>-2.0748000000000002</v>
      </c>
      <c r="BG370" t="e">
        <v>#N/A</v>
      </c>
      <c r="BH370" t="str">
        <v>DELETE</v>
      </c>
      <c r="BI370" t="str">
        <v>DELETE</v>
      </c>
      <c r="BJ370" t="str">
        <v>DELETE</v>
      </c>
      <c r="BK370">
        <v>2.6042886997659099E-2</v>
      </c>
      <c r="BL370">
        <v>0.36357047276194199</v>
      </c>
      <c r="BM370">
        <v>3.0368312566581301</v>
      </c>
    </row>
    <row r="371" spans="3:65" ht="28.8">
      <c r="C371" s="375">
        <v>3</v>
      </c>
      <c r="D371" s="374" t="s">
        <v>252</v>
      </c>
      <c r="E371" s="375" t="s">
        <v>253</v>
      </c>
      <c r="F371" s="362" t="s">
        <v>552</v>
      </c>
      <c r="G371" s="362" t="s">
        <v>203</v>
      </c>
      <c r="H371" s="368">
        <v>-2.04928</v>
      </c>
      <c r="I371" s="368">
        <v>0</v>
      </c>
      <c r="J371" s="368">
        <v>-3.8346043561803635</v>
      </c>
      <c r="K371" s="368">
        <v>0</v>
      </c>
      <c r="L371" s="368">
        <v>0</v>
      </c>
      <c r="M371" s="368">
        <v>2.6042891280744201E-2</v>
      </c>
      <c r="N371" s="368">
        <v>0.175590688454898</v>
      </c>
      <c r="O371" s="368">
        <v>3.1831779848466799</v>
      </c>
      <c r="T371" s="49">
        <v>3</v>
      </c>
      <c r="U371" s="143" t="s">
        <v>242</v>
      </c>
      <c r="V371" s="33" t="s">
        <v>242</v>
      </c>
      <c r="W371" s="53" t="s">
        <v>552</v>
      </c>
      <c r="X371" s="53" t="s">
        <v>203</v>
      </c>
      <c r="Y371" s="172">
        <f>IFERROR(-tblZwaste1422[[#This Row],[Weight (kgCO2e/kg)]],0)</f>
        <v>-38.486130000000003</v>
      </c>
      <c r="Z371" s="172" t="e">
        <f>IF(AQ371="x",(AR371*-tblZwaste1422[[#This Row],[Weight (kgCO2e/kg)]])+AS371+($AR$10*Lookups!$J$38/1000),"DELETE")</f>
        <v>#N/A</v>
      </c>
      <c r="AA371" s="172">
        <f>AVERAGE(AA372,AA373,AA405,AA406)</f>
        <v>-3.2868550000000001</v>
      </c>
      <c r="AB371" s="172" t="str">
        <f t="shared" si="87"/>
        <v>DELETE</v>
      </c>
      <c r="AC371" s="172" t="str">
        <f t="shared" si="87"/>
        <v>DELETE</v>
      </c>
      <c r="AD371" s="172">
        <f t="shared" si="87"/>
        <v>2.5860000000000001E-2</v>
      </c>
      <c r="AE371" s="172">
        <f t="shared" si="87"/>
        <v>4.0984842545202599E-2</v>
      </c>
      <c r="AF371" s="172">
        <f t="shared" si="87"/>
        <v>4.8934666491893597E-2</v>
      </c>
      <c r="AG371" s="150"/>
      <c r="AI371" s="137">
        <v>3</v>
      </c>
      <c r="AJ371" s="136" t="s">
        <v>242</v>
      </c>
      <c r="AK371" s="142" t="s">
        <v>242</v>
      </c>
      <c r="AL371" s="136" t="s">
        <v>552</v>
      </c>
      <c r="AM371" s="136" t="s">
        <v>203</v>
      </c>
      <c r="AN371" s="1">
        <v>38.486130000000003</v>
      </c>
      <c r="AO371" s="166">
        <v>0.20843</v>
      </c>
      <c r="AQ371" t="e">
        <f>_xlfn.XLOOKUP(tblGWP21[[#This Row],[Material Subcategory]],ls_Mat,Factors!$K$952:$K$1023)</f>
        <v>#N/A</v>
      </c>
      <c r="AR371" s="173">
        <v>0.72499999999999998</v>
      </c>
      <c r="AS371">
        <v>0</v>
      </c>
      <c r="AT371" t="s">
        <v>527</v>
      </c>
      <c r="BA371" cm="1">
        <f t="array" ref="BA371:BM371">tblGWP21[#This Row]</f>
        <v>3</v>
      </c>
      <c r="BB371" t="str">
        <v>Electronics</v>
      </c>
      <c r="BC371" t="str">
        <v>Electronics</v>
      </c>
      <c r="BD371" t="str">
        <v>South America</v>
      </c>
      <c r="BE371" t="str">
        <v>n/a</v>
      </c>
      <c r="BF371">
        <v>-38.486130000000003</v>
      </c>
      <c r="BG371" t="e">
        <v>#N/A</v>
      </c>
      <c r="BH371">
        <v>-3.2868550000000001</v>
      </c>
      <c r="BI371" t="str">
        <v>DELETE</v>
      </c>
      <c r="BJ371" t="str">
        <v>DELETE</v>
      </c>
      <c r="BK371">
        <v>2.5860000000000001E-2</v>
      </c>
      <c r="BL371">
        <v>4.0984842545202599E-2</v>
      </c>
      <c r="BM371">
        <v>4.8934666491893597E-2</v>
      </c>
    </row>
    <row r="372" spans="3:65">
      <c r="C372" s="6">
        <v>3</v>
      </c>
      <c r="D372" s="373" t="s">
        <v>252</v>
      </c>
      <c r="E372" s="6" t="s">
        <v>328</v>
      </c>
      <c r="F372" s="136" t="s">
        <v>552</v>
      </c>
      <c r="G372" s="136" t="s">
        <v>203</v>
      </c>
      <c r="H372" s="191">
        <v>-2.3231199999999999</v>
      </c>
      <c r="I372" s="191">
        <v>0</v>
      </c>
      <c r="J372" s="191">
        <v>-4.5681382124045369</v>
      </c>
      <c r="K372" s="191">
        <v>0</v>
      </c>
      <c r="L372" s="191">
        <v>0</v>
      </c>
      <c r="M372" s="191">
        <v>2.6042892084158099E-2</v>
      </c>
      <c r="N372" s="191">
        <v>0.30460453136799898</v>
      </c>
      <c r="O372" s="191">
        <v>2.4956096041782501</v>
      </c>
      <c r="T372" s="49">
        <v>3</v>
      </c>
      <c r="U372" s="143" t="s">
        <v>242</v>
      </c>
      <c r="V372" s="33" t="s">
        <v>274</v>
      </c>
      <c r="W372" s="53" t="s">
        <v>552</v>
      </c>
      <c r="X372" s="53" t="s">
        <v>203</v>
      </c>
      <c r="Y372" s="172">
        <f>IFERROR(-tblZwaste1422[[#This Row],[Weight (kgCO2e/kg)]],0)</f>
        <v>-38.486130000000003</v>
      </c>
      <c r="Z372" s="172">
        <f>IF(AQ372="x",(AR372*-tblZwaste1422[[#This Row],[Weight (kgCO2e/kg)]])+AS372+($AR$10*Lookups!$J$38/1000),"DELETE")</f>
        <v>-27.900672450000002</v>
      </c>
      <c r="AA372" s="172">
        <v>-8.5278425000000002</v>
      </c>
      <c r="AB372" s="172" t="str">
        <f t="shared" si="87"/>
        <v>DELETE</v>
      </c>
      <c r="AC372" s="172" t="str">
        <f t="shared" si="87"/>
        <v>DELETE</v>
      </c>
      <c r="AD372" s="172">
        <f t="shared" si="87"/>
        <v>2.5860000000000001E-2</v>
      </c>
      <c r="AE372" s="172">
        <f t="shared" si="87"/>
        <v>4.0984842545202599E-2</v>
      </c>
      <c r="AF372" s="172">
        <f t="shared" si="87"/>
        <v>4.8934666491893597E-2</v>
      </c>
      <c r="AG372" s="150"/>
      <c r="AI372" s="137">
        <v>3</v>
      </c>
      <c r="AJ372" s="136" t="s">
        <v>242</v>
      </c>
      <c r="AK372" s="142" t="s">
        <v>242</v>
      </c>
      <c r="AL372" s="136" t="s">
        <v>552</v>
      </c>
      <c r="AM372" s="136" t="s">
        <v>203</v>
      </c>
      <c r="AN372" s="1">
        <v>38.486130000000003</v>
      </c>
      <c r="AO372" s="166">
        <v>0.20843</v>
      </c>
      <c r="AQ372" t="str">
        <f>_xlfn.XLOOKUP(tblGWP21[[#This Row],[Material Subcategory]],ls_Mat,Factors!$K$952:$K$1023)</f>
        <v>x</v>
      </c>
      <c r="AR372" s="173">
        <v>0.72499999999999998</v>
      </c>
      <c r="AS372">
        <v>0</v>
      </c>
      <c r="AT372" t="s">
        <v>527</v>
      </c>
      <c r="AU372" t="s">
        <v>526</v>
      </c>
      <c r="AV372" s="347">
        <v>0.95</v>
      </c>
      <c r="BA372" cm="1">
        <f t="array" ref="BA372:BM372">tblGWP21[#This Row]</f>
        <v>3</v>
      </c>
      <c r="BB372" t="str">
        <v>Electronics</v>
      </c>
      <c r="BC372" t="str">
        <v>E-waste</v>
      </c>
      <c r="BD372" t="str">
        <v>South America</v>
      </c>
      <c r="BE372" t="str">
        <v>n/a</v>
      </c>
      <c r="BF372">
        <v>-38.486130000000003</v>
      </c>
      <c r="BG372">
        <v>-27.900672450000002</v>
      </c>
      <c r="BH372">
        <v>-8.5278425000000002</v>
      </c>
      <c r="BI372" t="str">
        <v>DELETE</v>
      </c>
      <c r="BJ372" t="str">
        <v>DELETE</v>
      </c>
      <c r="BK372">
        <v>2.5860000000000001E-2</v>
      </c>
      <c r="BL372">
        <v>4.0984842545202599E-2</v>
      </c>
      <c r="BM372">
        <v>4.8934666491893597E-2</v>
      </c>
    </row>
    <row r="373" spans="3:65">
      <c r="C373" s="375">
        <v>3</v>
      </c>
      <c r="D373" s="374" t="s">
        <v>252</v>
      </c>
      <c r="E373" s="375" t="s">
        <v>254</v>
      </c>
      <c r="F373" s="362" t="s">
        <v>552</v>
      </c>
      <c r="G373" s="362" t="s">
        <v>203</v>
      </c>
      <c r="H373" s="368">
        <v>-2.1485799999999999</v>
      </c>
      <c r="I373" s="368">
        <v>0</v>
      </c>
      <c r="J373" s="368">
        <v>-4.6394758200700803</v>
      </c>
      <c r="K373" s="368">
        <v>0</v>
      </c>
      <c r="L373" s="368">
        <v>0</v>
      </c>
      <c r="M373" s="368">
        <v>2.6042891280744201E-2</v>
      </c>
      <c r="N373" s="368">
        <v>0.48074063466547701</v>
      </c>
      <c r="O373" s="368">
        <v>2.5363331169384198</v>
      </c>
      <c r="T373" s="49">
        <v>3</v>
      </c>
      <c r="U373" s="143" t="s">
        <v>242</v>
      </c>
      <c r="V373" s="33" t="s">
        <v>534</v>
      </c>
      <c r="W373" s="53" t="s">
        <v>552</v>
      </c>
      <c r="X373" s="53" t="s">
        <v>203</v>
      </c>
      <c r="Y373" s="172">
        <f>IFERROR(-tblZwaste1422[[#This Row],[Weight (kgCO2e/kg)]],0)</f>
        <v>-15.0122</v>
      </c>
      <c r="Z373" s="172">
        <f>IF(AQ373="x",(AR373*-tblZwaste1422[[#This Row],[Weight (kgCO2e/kg)]])+AS373+($AR$10*Lookups!$J$38/1000),"DELETE")</f>
        <v>-10.882073199999999</v>
      </c>
      <c r="AA373" s="172">
        <v>-3.19428</v>
      </c>
      <c r="AB373" s="172" t="str">
        <f t="shared" si="87"/>
        <v>DELETE</v>
      </c>
      <c r="AC373" s="172" t="str">
        <f t="shared" si="87"/>
        <v>DELETE</v>
      </c>
      <c r="AD373" s="172">
        <f t="shared" si="87"/>
        <v>2.5860000000000001E-2</v>
      </c>
      <c r="AE373" s="172">
        <f t="shared" si="87"/>
        <v>4.0984842545202599E-2</v>
      </c>
      <c r="AF373" s="172">
        <f t="shared" si="87"/>
        <v>4.8934666491893597E-2</v>
      </c>
      <c r="AG373" s="150"/>
      <c r="AI373" s="137">
        <v>3</v>
      </c>
      <c r="AJ373" s="136" t="s">
        <v>242</v>
      </c>
      <c r="AK373" s="142" t="s">
        <v>534</v>
      </c>
      <c r="AL373" s="136" t="s">
        <v>552</v>
      </c>
      <c r="AM373" s="136" t="s">
        <v>203</v>
      </c>
      <c r="AN373" s="1">
        <v>15.0122</v>
      </c>
      <c r="AO373" s="166">
        <v>0.37092000000000003</v>
      </c>
      <c r="AQ373" t="str">
        <f>_xlfn.XLOOKUP(tblGWP21[[#This Row],[Material Subcategory]],ls_Mat,Factors!$K$952:$K$1023)</f>
        <v>x</v>
      </c>
      <c r="AR373" s="173">
        <v>0.72499999999999998</v>
      </c>
      <c r="AS373">
        <v>0</v>
      </c>
      <c r="AT373" t="s">
        <v>527</v>
      </c>
      <c r="AU373" t="s">
        <v>526</v>
      </c>
      <c r="AV373" s="347">
        <v>0.95</v>
      </c>
      <c r="BA373" cm="1">
        <f t="array" ref="BA373:BM373">tblGWP21[#This Row]</f>
        <v>3</v>
      </c>
      <c r="BB373" t="str">
        <v>Electronics</v>
      </c>
      <c r="BC373" t="str">
        <v>Batteries</v>
      </c>
      <c r="BD373" t="str">
        <v>South America</v>
      </c>
      <c r="BE373" t="str">
        <v>n/a</v>
      </c>
      <c r="BF373">
        <v>-15.0122</v>
      </c>
      <c r="BG373">
        <v>-10.882073199999999</v>
      </c>
      <c r="BH373">
        <v>-3.19428</v>
      </c>
      <c r="BI373" t="str">
        <v>DELETE</v>
      </c>
      <c r="BJ373" t="str">
        <v>DELETE</v>
      </c>
      <c r="BK373">
        <v>2.5860000000000001E-2</v>
      </c>
      <c r="BL373">
        <v>4.0984842545202599E-2</v>
      </c>
      <c r="BM373">
        <v>4.8934666491893597E-2</v>
      </c>
    </row>
    <row r="374" spans="3:65">
      <c r="C374" s="6">
        <v>3</v>
      </c>
      <c r="D374" s="373" t="s">
        <v>252</v>
      </c>
      <c r="E374" s="6" t="s">
        <v>532</v>
      </c>
      <c r="F374" s="136" t="s">
        <v>552</v>
      </c>
      <c r="G374" s="136" t="s">
        <v>203</v>
      </c>
      <c r="H374" s="191">
        <v>-1.9492499999999999</v>
      </c>
      <c r="I374" s="191">
        <v>0</v>
      </c>
      <c r="J374" s="191">
        <v>-4.5681382124045369</v>
      </c>
      <c r="K374" s="191">
        <v>0</v>
      </c>
      <c r="L374" s="191">
        <v>0</v>
      </c>
      <c r="M374" s="191">
        <v>2.6042892084158099E-2</v>
      </c>
      <c r="N374" s="191">
        <v>0.30460453136799898</v>
      </c>
      <c r="O374" s="191">
        <v>2.4956096041782501</v>
      </c>
      <c r="T374" s="49">
        <v>3</v>
      </c>
      <c r="U374" s="143" t="s">
        <v>239</v>
      </c>
      <c r="V374" s="33" t="s">
        <v>239</v>
      </c>
      <c r="W374" s="53" t="s">
        <v>552</v>
      </c>
      <c r="X374" s="53" t="s">
        <v>203</v>
      </c>
      <c r="Y374" s="172">
        <f>IFERROR(-tblZwaste1422[[#This Row],[Weight (kgCO2e/kg)]],0)</f>
        <v>-2.6644477777777777</v>
      </c>
      <c r="Z374" s="172" t="e">
        <f>IF(AQ374="x",(AR374*-tblZwaste1422[[#This Row],[Weight (kgCO2e/kg)]])+AS374+($AR$10*Lookups!$J$38/1000),"DELETE")</f>
        <v>#N/A</v>
      </c>
      <c r="AA374" s="172">
        <f t="shared" si="87"/>
        <v>-0.91191428180792811</v>
      </c>
      <c r="AB374" s="172">
        <f t="shared" si="87"/>
        <v>-1.6286344906372801</v>
      </c>
      <c r="AC374" s="172">
        <f t="shared" si="87"/>
        <v>-2.3972313350924299</v>
      </c>
      <c r="AD374" s="172">
        <f t="shared" si="87"/>
        <v>-0.66697991340315199</v>
      </c>
      <c r="AE374" s="172">
        <f t="shared" si="87"/>
        <v>-0.942225030340478</v>
      </c>
      <c r="AF374" s="172">
        <f t="shared" si="87"/>
        <v>2.74731001572785E-2</v>
      </c>
      <c r="AG374" s="150"/>
      <c r="AI374" s="137">
        <v>3</v>
      </c>
      <c r="AJ374" s="136" t="s">
        <v>239</v>
      </c>
      <c r="AK374" s="142" t="s">
        <v>239</v>
      </c>
      <c r="AL374" s="136" t="s">
        <v>552</v>
      </c>
      <c r="AM374" s="136" t="s">
        <v>203</v>
      </c>
      <c r="AN374" s="1">
        <v>2.6644477777777777</v>
      </c>
      <c r="AO374" s="166">
        <v>0.64099666666666666</v>
      </c>
      <c r="AQ374" t="e">
        <f>_xlfn.XLOOKUP(tblGWP21[[#This Row],[Material Subcategory]],ls_Mat,Factors!$K$952:$K$1023)</f>
        <v>#N/A</v>
      </c>
      <c r="AR374" s="173">
        <v>0.64600000000000002</v>
      </c>
      <c r="AS374">
        <v>0</v>
      </c>
      <c r="AT374" t="s">
        <v>527</v>
      </c>
      <c r="AU374" t="s">
        <v>526</v>
      </c>
      <c r="AV374" s="347">
        <v>0.95</v>
      </c>
      <c r="BA374" cm="1">
        <f t="array" ref="BA374:BM374">tblGWP21[#This Row]</f>
        <v>3</v>
      </c>
      <c r="BB374" t="str">
        <v>Paper</v>
      </c>
      <c r="BC374" t="str">
        <v>Paper</v>
      </c>
      <c r="BD374" t="str">
        <v>South America</v>
      </c>
      <c r="BE374" t="str">
        <v>n/a</v>
      </c>
      <c r="BF374">
        <v>-2.6644477777777777</v>
      </c>
      <c r="BG374" t="e">
        <v>#N/A</v>
      </c>
      <c r="BH374">
        <v>-0.91191428180792811</v>
      </c>
      <c r="BI374">
        <v>-1.6286344906372801</v>
      </c>
      <c r="BJ374">
        <v>-2.3972313350924299</v>
      </c>
      <c r="BK374">
        <v>-0.66697991340315199</v>
      </c>
      <c r="BL374">
        <v>-0.942225030340478</v>
      </c>
      <c r="BM374">
        <v>2.74731001572785E-2</v>
      </c>
    </row>
    <row r="375" spans="3:65">
      <c r="C375" s="375">
        <v>3</v>
      </c>
      <c r="D375" s="374" t="s">
        <v>252</v>
      </c>
      <c r="E375" s="375" t="s">
        <v>245</v>
      </c>
      <c r="F375" s="362" t="s">
        <v>552</v>
      </c>
      <c r="G375" s="362" t="s">
        <v>203</v>
      </c>
      <c r="H375" s="368">
        <v>-2.0269300000000001</v>
      </c>
      <c r="I375" s="368">
        <v>0</v>
      </c>
      <c r="J375" s="368">
        <v>0</v>
      </c>
      <c r="K375" s="368">
        <v>0</v>
      </c>
      <c r="L375" s="368">
        <v>0</v>
      </c>
      <c r="M375" s="368">
        <v>2.6042892205404101E-2</v>
      </c>
      <c r="N375" s="368">
        <v>0.124921509262145</v>
      </c>
      <c r="O375" s="368">
        <v>3.1833672947487801</v>
      </c>
      <c r="T375" s="49">
        <v>3</v>
      </c>
      <c r="U375" s="143" t="s">
        <v>239</v>
      </c>
      <c r="V375" s="33" t="s">
        <v>324</v>
      </c>
      <c r="W375" s="53" t="s">
        <v>552</v>
      </c>
      <c r="X375" s="53" t="s">
        <v>203</v>
      </c>
      <c r="Y375" s="172">
        <f>IFERROR(-tblZwaste1422[[#This Row],[Weight (kgCO2e/kg)]],0)</f>
        <v>-1.66</v>
      </c>
      <c r="Z375" s="172" t="str">
        <f>IF(AQ375="x",(AR375*-tblZwaste1422[[#This Row],[Weight (kgCO2e/kg)]])+AS375+($AR$10*Lookups!$J$38/1000),"DELETE")</f>
        <v>DELETE</v>
      </c>
      <c r="AA375" s="172">
        <f t="shared" si="87"/>
        <v>0.129009716048088</v>
      </c>
      <c r="AB375" s="172">
        <f t="shared" si="87"/>
        <v>-1.6392456408190901</v>
      </c>
      <c r="AC375" s="172">
        <f t="shared" si="87"/>
        <v>-2.2430244881972801</v>
      </c>
      <c r="AD375" s="172">
        <f t="shared" si="87"/>
        <v>-1.1391950666710899</v>
      </c>
      <c r="AE375" s="172">
        <f t="shared" si="87"/>
        <v>-1.02415368418064</v>
      </c>
      <c r="AF375" s="172">
        <f t="shared" si="87"/>
        <v>2.66831358779176E-2</v>
      </c>
      <c r="AG375" s="150"/>
      <c r="AI375" s="137">
        <v>3</v>
      </c>
      <c r="AJ375" s="136" t="s">
        <v>239</v>
      </c>
      <c r="AK375" s="142" t="s">
        <v>324</v>
      </c>
      <c r="AL375" s="136" t="s">
        <v>552</v>
      </c>
      <c r="AM375" s="136" t="s">
        <v>203</v>
      </c>
      <c r="AN375" s="1">
        <v>1.66</v>
      </c>
      <c r="AO375" s="166">
        <v>0.13142999999999999</v>
      </c>
      <c r="AQ375">
        <f>_xlfn.XLOOKUP(tblGWP21[[#This Row],[Material Subcategory]],ls_Mat,Factors!$K$952:$K$1023)</f>
        <v>0</v>
      </c>
      <c r="AR375" s="173">
        <v>0.64600000000000002</v>
      </c>
      <c r="AS375">
        <v>0</v>
      </c>
      <c r="AT375" t="s">
        <v>527</v>
      </c>
      <c r="BA375" cm="1">
        <f t="array" ref="BA375:BM375">tblGWP21[#This Row]</f>
        <v>3</v>
      </c>
      <c r="BB375" t="str">
        <v>Paper</v>
      </c>
      <c r="BC375" t="str">
        <v>Newsprint</v>
      </c>
      <c r="BD375" t="str">
        <v>South America</v>
      </c>
      <c r="BE375" t="str">
        <v>n/a</v>
      </c>
      <c r="BF375">
        <v>-1.66</v>
      </c>
      <c r="BG375" t="str">
        <v>DELETE</v>
      </c>
      <c r="BH375">
        <v>0.129009716048088</v>
      </c>
      <c r="BI375">
        <v>-1.6392456408190901</v>
      </c>
      <c r="BJ375">
        <v>-2.2430244881972801</v>
      </c>
      <c r="BK375">
        <v>-1.1391950666710899</v>
      </c>
      <c r="BL375">
        <v>-1.02415368418064</v>
      </c>
      <c r="BM375">
        <v>2.66831358779176E-2</v>
      </c>
    </row>
    <row r="376" spans="3:65">
      <c r="C376" s="6">
        <v>3</v>
      </c>
      <c r="D376" s="373" t="s">
        <v>252</v>
      </c>
      <c r="E376" s="6" t="s">
        <v>533</v>
      </c>
      <c r="F376" s="136" t="s">
        <v>552</v>
      </c>
      <c r="G376" s="136" t="s">
        <v>203</v>
      </c>
      <c r="H376" s="191">
        <v>-2.0748000000000002</v>
      </c>
      <c r="I376" s="191">
        <v>0</v>
      </c>
      <c r="J376" s="191">
        <v>0</v>
      </c>
      <c r="K376" s="191">
        <v>0</v>
      </c>
      <c r="L376" s="191">
        <v>0</v>
      </c>
      <c r="M376" s="191">
        <v>2.6042886997659099E-2</v>
      </c>
      <c r="N376" s="191">
        <v>0.36357047276194199</v>
      </c>
      <c r="O376" s="191">
        <v>3.0368312566581301</v>
      </c>
      <c r="T376" s="49">
        <v>3</v>
      </c>
      <c r="U376" s="143" t="s">
        <v>239</v>
      </c>
      <c r="V376" s="33" t="s">
        <v>272</v>
      </c>
      <c r="W376" s="53" t="s">
        <v>552</v>
      </c>
      <c r="X376" s="53" t="s">
        <v>203</v>
      </c>
      <c r="Y376" s="172">
        <f>IFERROR(-tblZwaste1422[[#This Row],[Weight (kgCO2e/kg)]],0)</f>
        <v>-2.1278299999999999</v>
      </c>
      <c r="Z376" s="172">
        <f>IF(AQ376="x",(AR376*-tblZwaste1422[[#This Row],[Weight (kgCO2e/kg)]])+AS376+($AR$10*Lookups!$J$38/1000),"DELETE")</f>
        <v>-1.3728063799999999</v>
      </c>
      <c r="AA376" s="172">
        <f t="shared" si="87"/>
        <v>1.81399269502295E-2</v>
      </c>
      <c r="AB376" s="172">
        <f t="shared" si="87"/>
        <v>-1.46605946421915</v>
      </c>
      <c r="AC376" s="172">
        <f t="shared" si="87"/>
        <v>-2.2614031725356099</v>
      </c>
      <c r="AD376" s="172">
        <f t="shared" si="87"/>
        <v>3.6729999999999999E-2</v>
      </c>
      <c r="AE376" s="172">
        <f t="shared" si="87"/>
        <v>-0.80637927493084305</v>
      </c>
      <c r="AF376" s="172">
        <f t="shared" si="87"/>
        <v>3.4587427043835002E-2</v>
      </c>
      <c r="AG376" s="150"/>
      <c r="AI376" s="137">
        <v>3</v>
      </c>
      <c r="AJ376" s="136" t="s">
        <v>239</v>
      </c>
      <c r="AK376" s="142" t="s">
        <v>272</v>
      </c>
      <c r="AL376" s="136" t="s">
        <v>552</v>
      </c>
      <c r="AM376" s="136" t="s">
        <v>203</v>
      </c>
      <c r="AN376" s="1">
        <v>2.1278299999999999</v>
      </c>
      <c r="AO376" s="166">
        <v>1.2152400000000001</v>
      </c>
      <c r="AQ376" t="str">
        <f>_xlfn.XLOOKUP(tblGWP21[[#This Row],[Material Subcategory]],ls_Mat,Factors!$K$952:$K$1023)</f>
        <v>x</v>
      </c>
      <c r="AR376" s="173">
        <v>0.64600000000000002</v>
      </c>
      <c r="AS376">
        <v>0</v>
      </c>
      <c r="AT376" t="s">
        <v>527</v>
      </c>
      <c r="AU376" t="s">
        <v>526</v>
      </c>
      <c r="AV376" s="347">
        <v>0.95</v>
      </c>
      <c r="BA376" cm="1">
        <f t="array" ref="BA376:BM376">tblGWP21[#This Row]</f>
        <v>3</v>
      </c>
      <c r="BB376" t="str">
        <v>Paper</v>
      </c>
      <c r="BC376" t="str">
        <v>Corr. Cardboard</v>
      </c>
      <c r="BD376" t="str">
        <v>South America</v>
      </c>
      <c r="BE376" t="str">
        <v>n/a</v>
      </c>
      <c r="BF376">
        <v>-2.1278299999999999</v>
      </c>
      <c r="BG376">
        <v>-1.3728063799999999</v>
      </c>
      <c r="BH376">
        <v>1.81399269502295E-2</v>
      </c>
      <c r="BI376">
        <v>-1.46605946421915</v>
      </c>
      <c r="BJ376">
        <v>-2.2614031725356099</v>
      </c>
      <c r="BK376">
        <v>3.6729999999999999E-2</v>
      </c>
      <c r="BL376">
        <v>-0.80637927493084305</v>
      </c>
      <c r="BM376">
        <v>3.4587427043835002E-2</v>
      </c>
    </row>
    <row r="377" spans="3:65">
      <c r="C377" s="375">
        <v>3</v>
      </c>
      <c r="D377" s="374" t="s">
        <v>242</v>
      </c>
      <c r="E377" s="375" t="s">
        <v>242</v>
      </c>
      <c r="F377" s="362" t="s">
        <v>552</v>
      </c>
      <c r="G377" s="362" t="s">
        <v>203</v>
      </c>
      <c r="H377" s="368">
        <v>-38.486130000000003</v>
      </c>
      <c r="I377" s="368">
        <v>-27.900672450000002</v>
      </c>
      <c r="J377" s="368">
        <v>-3.2868550000000001</v>
      </c>
      <c r="K377" s="368">
        <v>0</v>
      </c>
      <c r="L377" s="368">
        <v>0</v>
      </c>
      <c r="M377" s="368">
        <v>2.5860000000000001E-2</v>
      </c>
      <c r="N377" s="368">
        <v>4.0984842545202599E-2</v>
      </c>
      <c r="O377" s="368">
        <v>4.8934666491893597E-2</v>
      </c>
      <c r="T377" s="49">
        <v>3</v>
      </c>
      <c r="U377" s="143" t="s">
        <v>239</v>
      </c>
      <c r="V377" s="33" t="s">
        <v>329</v>
      </c>
      <c r="W377" s="53" t="s">
        <v>552</v>
      </c>
      <c r="X377" s="53" t="s">
        <v>203</v>
      </c>
      <c r="Y377" s="172">
        <f>IFERROR(-tblZwaste1422[[#This Row],[Weight (kgCO2e/kg)]],0)</f>
        <v>-3.4792200000000002</v>
      </c>
      <c r="Z377" s="172" t="str">
        <f>IF(AQ377="x",(AR377*-tblZwaste1422[[#This Row],[Weight (kgCO2e/kg)]])+AS377+($AR$10*Lookups!$J$38/1000),"DELETE")</f>
        <v>DELETE</v>
      </c>
      <c r="AA377" s="172">
        <f t="shared" ref="AA377:AF386" si="88">AA881</f>
        <v>-3.0232919690684583</v>
      </c>
      <c r="AB377" s="172">
        <f t="shared" si="88"/>
        <v>-1.5885742653418</v>
      </c>
      <c r="AC377" s="172">
        <f t="shared" si="88"/>
        <v>-2.529374748105</v>
      </c>
      <c r="AD377" s="172">
        <f t="shared" si="88"/>
        <v>0.41447129794550402</v>
      </c>
      <c r="AE377" s="172">
        <f t="shared" si="88"/>
        <v>-0.80956025349591698</v>
      </c>
      <c r="AF377" s="172">
        <f t="shared" si="88"/>
        <v>3.7252082665396299E-2</v>
      </c>
      <c r="AG377" s="150"/>
      <c r="AI377" s="137">
        <v>3</v>
      </c>
      <c r="AJ377" s="136" t="s">
        <v>239</v>
      </c>
      <c r="AK377" s="142" t="s">
        <v>329</v>
      </c>
      <c r="AL377" s="136" t="s">
        <v>552</v>
      </c>
      <c r="AM377" s="136" t="s">
        <v>203</v>
      </c>
      <c r="AN377" s="1">
        <v>3.4792200000000002</v>
      </c>
      <c r="AO377" s="166">
        <v>1.0383</v>
      </c>
      <c r="AQ377">
        <f>_xlfn.XLOOKUP(tblGWP21[[#This Row],[Material Subcategory]],ls_Mat,Factors!$K$952:$K$1023)</f>
        <v>0</v>
      </c>
      <c r="AU377" t="s">
        <v>526</v>
      </c>
      <c r="AV377" s="347">
        <v>0.9</v>
      </c>
      <c r="BA377" cm="1">
        <f t="array" ref="BA377:BM377">tblGWP21[#This Row]</f>
        <v>3</v>
      </c>
      <c r="BB377" t="str">
        <v>Paper</v>
      </c>
      <c r="BC377" t="str">
        <v>Office Paper</v>
      </c>
      <c r="BD377" t="str">
        <v>South America</v>
      </c>
      <c r="BE377" t="str">
        <v>n/a</v>
      </c>
      <c r="BF377">
        <v>-3.4792200000000002</v>
      </c>
      <c r="BG377" t="str">
        <v>DELETE</v>
      </c>
      <c r="BH377">
        <v>-3.0232919690684583</v>
      </c>
      <c r="BI377">
        <v>-1.5885742653418</v>
      </c>
      <c r="BJ377">
        <v>-2.529374748105</v>
      </c>
      <c r="BK377">
        <v>0.41447129794550402</v>
      </c>
      <c r="BL377">
        <v>-0.80956025349591698</v>
      </c>
      <c r="BM377">
        <v>3.7252082665396299E-2</v>
      </c>
    </row>
    <row r="378" spans="3:65">
      <c r="C378" s="6">
        <v>3</v>
      </c>
      <c r="D378" s="373" t="s">
        <v>242</v>
      </c>
      <c r="E378" s="6" t="s">
        <v>274</v>
      </c>
      <c r="F378" s="136" t="s">
        <v>552</v>
      </c>
      <c r="G378" s="136" t="s">
        <v>203</v>
      </c>
      <c r="H378" s="191">
        <v>-38.486130000000003</v>
      </c>
      <c r="I378" s="191">
        <v>-27.900672450000002</v>
      </c>
      <c r="J378" s="191">
        <v>-8.5278425000000002</v>
      </c>
      <c r="K378" s="191">
        <v>0</v>
      </c>
      <c r="L378" s="191">
        <v>0</v>
      </c>
      <c r="M378" s="191">
        <v>2.5860000000000001E-2</v>
      </c>
      <c r="N378" s="191">
        <v>4.0984842545202599E-2</v>
      </c>
      <c r="O378" s="191">
        <v>4.8934666491893597E-2</v>
      </c>
      <c r="T378" s="49">
        <v>3</v>
      </c>
      <c r="U378" s="143" t="s">
        <v>239</v>
      </c>
      <c r="V378" s="33" t="s">
        <v>271</v>
      </c>
      <c r="W378" s="53" t="s">
        <v>552</v>
      </c>
      <c r="X378" s="53" t="s">
        <v>203</v>
      </c>
      <c r="Y378" s="172">
        <f>IFERROR(-tblZwaste1422[[#This Row],[Weight (kgCO2e/kg)]],0)</f>
        <v>-3.1045600000000002</v>
      </c>
      <c r="Z378" s="172" t="str">
        <f>IF(AQ378="x",(AR378*-tblZwaste1422[[#This Row],[Weight (kgCO2e/kg)]])+AS378+($AR$10*Lookups!$J$38/1000),"DELETE")</f>
        <v>DELETE</v>
      </c>
      <c r="AA378" s="172">
        <f t="shared" si="88"/>
        <v>-1.0259035670339192</v>
      </c>
      <c r="AB378" s="172">
        <f t="shared" si="88"/>
        <v>-1.5038991018496</v>
      </c>
      <c r="AC378" s="172">
        <f t="shared" si="88"/>
        <v>-2.6105509359807</v>
      </c>
      <c r="AD378" s="172">
        <f t="shared" si="88"/>
        <v>-0.65152926151439705</v>
      </c>
      <c r="AE378" s="172">
        <f t="shared" si="88"/>
        <v>-0.77163933817139796</v>
      </c>
      <c r="AF378" s="172">
        <f t="shared" si="88"/>
        <v>4.0399503832453401E-2</v>
      </c>
      <c r="AG378" s="150"/>
      <c r="AI378" s="137">
        <v>3</v>
      </c>
      <c r="AJ378" s="136" t="s">
        <v>239</v>
      </c>
      <c r="AK378" s="142" t="s">
        <v>271</v>
      </c>
      <c r="AL378" s="136" t="s">
        <v>552</v>
      </c>
      <c r="AM378" s="136" t="s">
        <v>203</v>
      </c>
      <c r="AN378" s="1">
        <v>3.1045600000000002</v>
      </c>
      <c r="AO378" s="166">
        <v>0.12864</v>
      </c>
      <c r="AQ378">
        <f>_xlfn.XLOOKUP(tblGWP21[[#This Row],[Material Subcategory]],ls_Mat,Factors!$K$952:$K$1023)</f>
        <v>0</v>
      </c>
      <c r="AU378" t="s">
        <v>526</v>
      </c>
      <c r="AV378" s="347">
        <v>0.9</v>
      </c>
      <c r="BA378" cm="1">
        <f t="array" ref="BA378:BM378">tblGWP21[#This Row]</f>
        <v>3</v>
      </c>
      <c r="BB378" t="str">
        <v>Paper</v>
      </c>
      <c r="BC378" t="str">
        <v>Magazines</v>
      </c>
      <c r="BD378" t="str">
        <v>South America</v>
      </c>
      <c r="BE378" t="str">
        <v>n/a</v>
      </c>
      <c r="BF378">
        <v>-3.1045600000000002</v>
      </c>
      <c r="BG378" t="str">
        <v>DELETE</v>
      </c>
      <c r="BH378">
        <v>-1.0259035670339192</v>
      </c>
      <c r="BI378">
        <v>-1.5038991018496</v>
      </c>
      <c r="BJ378">
        <v>-2.6105509359807</v>
      </c>
      <c r="BK378">
        <v>-0.65152926151439705</v>
      </c>
      <c r="BL378">
        <v>-0.77163933817139796</v>
      </c>
      <c r="BM378">
        <v>4.0399503832453401E-2</v>
      </c>
    </row>
    <row r="379" spans="3:65">
      <c r="C379" s="375">
        <v>3</v>
      </c>
      <c r="D379" s="374" t="s">
        <v>242</v>
      </c>
      <c r="E379" s="375" t="s">
        <v>534</v>
      </c>
      <c r="F379" s="362" t="s">
        <v>552</v>
      </c>
      <c r="G379" s="362" t="s">
        <v>203</v>
      </c>
      <c r="H379" s="368">
        <v>-15.0122</v>
      </c>
      <c r="I379" s="368">
        <v>-10.882073199999999</v>
      </c>
      <c r="J379" s="368">
        <v>-3.19428</v>
      </c>
      <c r="K379" s="368">
        <v>0</v>
      </c>
      <c r="L379" s="368">
        <v>0</v>
      </c>
      <c r="M379" s="368">
        <v>2.5860000000000001E-2</v>
      </c>
      <c r="N379" s="368">
        <v>4.0984842545202599E-2</v>
      </c>
      <c r="O379" s="368">
        <v>4.8934666491893597E-2</v>
      </c>
      <c r="T379" s="49">
        <v>3</v>
      </c>
      <c r="U379" s="143" t="s">
        <v>239</v>
      </c>
      <c r="V379" s="33" t="s">
        <v>535</v>
      </c>
      <c r="W379" s="53" t="s">
        <v>552</v>
      </c>
      <c r="X379" s="53" t="s">
        <v>203</v>
      </c>
      <c r="Y379" s="172">
        <f>IFERROR(-tblZwaste1422[[#This Row],[Weight (kgCO2e/kg)]],0)</f>
        <v>-3.1045600000000002</v>
      </c>
      <c r="Z379" s="172" t="str">
        <f>IF(AQ379="x",(AR379*-tblZwaste1422[[#This Row],[Weight (kgCO2e/kg)]])+AS379+($AR$10*Lookups!$J$38/1000),"DELETE")</f>
        <v>DELETE</v>
      </c>
      <c r="AA379" s="172">
        <f t="shared" si="88"/>
        <v>-1.0259035670339192</v>
      </c>
      <c r="AB379" s="172">
        <f t="shared" si="88"/>
        <v>-1.6125525501704201</v>
      </c>
      <c r="AC379" s="172">
        <f t="shared" si="88"/>
        <v>-2.6158035268424502</v>
      </c>
      <c r="AD379" s="172">
        <f t="shared" si="88"/>
        <v>-0.85021288760053804</v>
      </c>
      <c r="AE379" s="172">
        <f t="shared" si="88"/>
        <v>-0.85793168628016903</v>
      </c>
      <c r="AF379" s="172">
        <f t="shared" si="88"/>
        <v>2.9215875094976099E-2</v>
      </c>
      <c r="AG379" s="150"/>
      <c r="AI379" s="137">
        <v>3</v>
      </c>
      <c r="AJ379" s="136" t="s">
        <v>239</v>
      </c>
      <c r="AK379" s="142" t="s">
        <v>535</v>
      </c>
      <c r="AL379" s="136" t="s">
        <v>552</v>
      </c>
      <c r="AM379" s="136" t="s">
        <v>203</v>
      </c>
      <c r="AN379" s="1">
        <v>3.1045600000000002</v>
      </c>
      <c r="AO379" s="166">
        <v>0.12864</v>
      </c>
      <c r="AQ379">
        <f>_xlfn.XLOOKUP(tblGWP21[[#This Row],[Material Subcategory]],ls_Mat,Factors!$K$952:$K$1023)</f>
        <v>0</v>
      </c>
      <c r="AU379" t="s">
        <v>526</v>
      </c>
      <c r="AV379" s="347">
        <v>0.95</v>
      </c>
      <c r="BA379" cm="1">
        <f t="array" ref="BA379:BM379">tblGWP21[#This Row]</f>
        <v>3</v>
      </c>
      <c r="BB379" t="str">
        <v>Paper</v>
      </c>
      <c r="BC379" t="str">
        <v>3rd Class Mail</v>
      </c>
      <c r="BD379" t="str">
        <v>South America</v>
      </c>
      <c r="BE379" t="str">
        <v>n/a</v>
      </c>
      <c r="BF379">
        <v>-3.1045600000000002</v>
      </c>
      <c r="BG379" t="str">
        <v>DELETE</v>
      </c>
      <c r="BH379">
        <v>-1.0259035670339192</v>
      </c>
      <c r="BI379">
        <v>-1.6125525501704201</v>
      </c>
      <c r="BJ379">
        <v>-2.6158035268424502</v>
      </c>
      <c r="BK379">
        <v>-0.85021288760053804</v>
      </c>
      <c r="BL379">
        <v>-0.85793168628016903</v>
      </c>
      <c r="BM379">
        <v>2.9215875094976099E-2</v>
      </c>
    </row>
    <row r="380" spans="3:65">
      <c r="C380" s="6">
        <v>3</v>
      </c>
      <c r="D380" s="373" t="s">
        <v>239</v>
      </c>
      <c r="E380" s="6" t="s">
        <v>239</v>
      </c>
      <c r="F380" s="136" t="s">
        <v>552</v>
      </c>
      <c r="G380" s="136" t="s">
        <v>203</v>
      </c>
      <c r="H380" s="191">
        <v>-2.6644477777777777</v>
      </c>
      <c r="I380" s="191">
        <v>-1.7194614644444446</v>
      </c>
      <c r="J380" s="191">
        <v>-0.91191428180792811</v>
      </c>
      <c r="K380" s="191">
        <v>-1.6286344906372801</v>
      </c>
      <c r="L380" s="191">
        <v>-2.3972313350924299</v>
      </c>
      <c r="M380" s="191">
        <v>-0.66697991340315199</v>
      </c>
      <c r="N380" s="191">
        <v>-0.942225030340478</v>
      </c>
      <c r="O380" s="191">
        <v>2.74731001572785E-2</v>
      </c>
      <c r="T380" s="49">
        <v>3</v>
      </c>
      <c r="U380" s="143" t="s">
        <v>239</v>
      </c>
      <c r="V380" s="33" t="s">
        <v>259</v>
      </c>
      <c r="W380" s="53" t="s">
        <v>552</v>
      </c>
      <c r="X380" s="53" t="s">
        <v>203</v>
      </c>
      <c r="Y380" s="172">
        <f>IFERROR(-tblZwaste1422[[#This Row],[Weight (kgCO2e/kg)]],0)</f>
        <v>-2.86965</v>
      </c>
      <c r="Z380" s="172" t="str">
        <f>IF(AQ380="x",(AR380*-tblZwaste1422[[#This Row],[Weight (kgCO2e/kg)]])+AS380+($AR$10*Lookups!$J$38/1000),"DELETE")</f>
        <v>DELETE</v>
      </c>
      <c r="AA380" s="172">
        <f t="shared" si="88"/>
        <v>-1.0259035670339192</v>
      </c>
      <c r="AB380" s="172">
        <f t="shared" si="88"/>
        <v>-1.3276665253781801</v>
      </c>
      <c r="AC380" s="172">
        <f t="shared" si="88"/>
        <v>-2.0289072305326199</v>
      </c>
      <c r="AD380" s="172">
        <f t="shared" si="88"/>
        <v>-0.38444685255991901</v>
      </c>
      <c r="AE380" s="172">
        <f t="shared" si="88"/>
        <v>-0.69915364782550704</v>
      </c>
      <c r="AF380" s="172">
        <f t="shared" si="88"/>
        <v>2.8423287432432599E-2</v>
      </c>
      <c r="AG380" s="150"/>
      <c r="AI380" s="137">
        <v>3</v>
      </c>
      <c r="AJ380" s="136" t="s">
        <v>239</v>
      </c>
      <c r="AK380" s="142" t="s">
        <v>259</v>
      </c>
      <c r="AL380" s="136" t="s">
        <v>552</v>
      </c>
      <c r="AM380" s="136" t="s">
        <v>203</v>
      </c>
      <c r="AN380" s="1">
        <v>2.86965</v>
      </c>
      <c r="AO380" s="166">
        <v>0.79600000000000004</v>
      </c>
      <c r="AQ380">
        <f>_xlfn.XLOOKUP(tblGWP21[[#This Row],[Material Subcategory]],ls_Mat,Factors!$K$952:$K$1023)</f>
        <v>0</v>
      </c>
      <c r="AR380" s="173"/>
      <c r="AU380" t="s">
        <v>526</v>
      </c>
      <c r="AV380" s="347">
        <v>0.7</v>
      </c>
      <c r="BA380" cm="1">
        <f t="array" ref="BA380:BM380">tblGWP21[#This Row]</f>
        <v>3</v>
      </c>
      <c r="BB380" t="str">
        <v>Paper</v>
      </c>
      <c r="BC380" t="str">
        <v>Folding Containers</v>
      </c>
      <c r="BD380" t="str">
        <v>South America</v>
      </c>
      <c r="BE380" t="str">
        <v>n/a</v>
      </c>
      <c r="BF380">
        <v>-2.86965</v>
      </c>
      <c r="BG380" t="str">
        <v>DELETE</v>
      </c>
      <c r="BH380">
        <v>-1.0259035670339192</v>
      </c>
      <c r="BI380">
        <v>-1.3276665253781801</v>
      </c>
      <c r="BJ380">
        <v>-2.0289072305326199</v>
      </c>
      <c r="BK380">
        <v>-0.38444685255991901</v>
      </c>
      <c r="BL380">
        <v>-0.69915364782550704</v>
      </c>
      <c r="BM380">
        <v>2.8423287432432599E-2</v>
      </c>
    </row>
    <row r="381" spans="3:65">
      <c r="C381" s="375">
        <v>3</v>
      </c>
      <c r="D381" s="374" t="s">
        <v>239</v>
      </c>
      <c r="E381" s="375" t="s">
        <v>324</v>
      </c>
      <c r="F381" s="362" t="s">
        <v>552</v>
      </c>
      <c r="G381" s="362" t="s">
        <v>203</v>
      </c>
      <c r="H381" s="368">
        <v>-1.66</v>
      </c>
      <c r="I381" s="368">
        <v>0</v>
      </c>
      <c r="J381" s="368">
        <v>0.129009716048088</v>
      </c>
      <c r="K381" s="368">
        <v>-1.6392456408190901</v>
      </c>
      <c r="L381" s="368">
        <v>-2.2430244881972801</v>
      </c>
      <c r="M381" s="368">
        <v>-1.1391950666710899</v>
      </c>
      <c r="N381" s="368">
        <v>-1.02415368418064</v>
      </c>
      <c r="O381" s="368">
        <v>2.66831358779176E-2</v>
      </c>
      <c r="T381" s="49">
        <v>3</v>
      </c>
      <c r="U381" s="143" t="s">
        <v>239</v>
      </c>
      <c r="V381" s="33" t="s">
        <v>334</v>
      </c>
      <c r="W381" s="53" t="s">
        <v>552</v>
      </c>
      <c r="X381" s="53" t="s">
        <v>203</v>
      </c>
      <c r="Y381" s="172">
        <f>IFERROR(-tblZwaste1422[[#This Row],[Weight (kgCO2e/kg)]],0)</f>
        <v>-2.86965</v>
      </c>
      <c r="Z381" s="172" t="str">
        <f>IF(AQ381="x",(AR381*-tblZwaste1422[[#This Row],[Weight (kgCO2e/kg)]])+AS381+($AR$10*Lookups!$J$38/1000),"DELETE")</f>
        <v>DELETE</v>
      </c>
      <c r="AA381" s="172">
        <f t="shared" si="88"/>
        <v>-1.0259035670339192</v>
      </c>
      <c r="AB381" s="172">
        <f t="shared" si="88"/>
        <v>-1.73808971123668</v>
      </c>
      <c r="AC381" s="172">
        <f t="shared" si="88"/>
        <v>-2.5030750757510498</v>
      </c>
      <c r="AD381" s="172">
        <f t="shared" si="88"/>
        <v>-0.33194863615908099</v>
      </c>
      <c r="AE381" s="172">
        <f t="shared" si="88"/>
        <v>-1.01965750869267</v>
      </c>
      <c r="AF381" s="172">
        <f t="shared" si="88"/>
        <v>2.6390224713508399E-2</v>
      </c>
      <c r="AG381" s="150"/>
      <c r="AI381" s="137">
        <v>3</v>
      </c>
      <c r="AJ381" s="136" t="s">
        <v>239</v>
      </c>
      <c r="AK381" s="142" t="s">
        <v>334</v>
      </c>
      <c r="AL381" s="136" t="s">
        <v>552</v>
      </c>
      <c r="AM381" s="136" t="s">
        <v>203</v>
      </c>
      <c r="AN381" s="1">
        <v>2.86965</v>
      </c>
      <c r="AO381" s="166">
        <v>0.76736000000000004</v>
      </c>
      <c r="AQ381">
        <f>_xlfn.XLOOKUP(tblGWP21[[#This Row],[Material Subcategory]],ls_Mat,Factors!$K$952:$K$1023)</f>
        <v>0</v>
      </c>
      <c r="AR381" s="173"/>
      <c r="BA381" cm="1">
        <f t="array" ref="BA381:BM381">tblGWP21[#This Row]</f>
        <v>3</v>
      </c>
      <c r="BB381" t="str">
        <v>Paper</v>
      </c>
      <c r="BC381" t="str">
        <v>Paper Bags</v>
      </c>
      <c r="BD381" t="str">
        <v>South America</v>
      </c>
      <c r="BE381" t="str">
        <v>n/a</v>
      </c>
      <c r="BF381">
        <v>-2.86965</v>
      </c>
      <c r="BG381" t="str">
        <v>DELETE</v>
      </c>
      <c r="BH381">
        <v>-1.0259035670339192</v>
      </c>
      <c r="BI381">
        <v>-1.73808971123668</v>
      </c>
      <c r="BJ381">
        <v>-2.5030750757510498</v>
      </c>
      <c r="BK381">
        <v>-0.33194863615908099</v>
      </c>
      <c r="BL381">
        <v>-1.01965750869267</v>
      </c>
      <c r="BM381">
        <v>2.6390224713508399E-2</v>
      </c>
    </row>
    <row r="382" spans="3:65">
      <c r="C382" s="6">
        <v>3</v>
      </c>
      <c r="D382" s="373" t="s">
        <v>239</v>
      </c>
      <c r="E382" s="6" t="s">
        <v>272</v>
      </c>
      <c r="F382" s="136" t="s">
        <v>552</v>
      </c>
      <c r="G382" s="136" t="s">
        <v>203</v>
      </c>
      <c r="H382" s="191">
        <v>-2.1278299999999999</v>
      </c>
      <c r="I382" s="191">
        <v>-1.3728063799999999</v>
      </c>
      <c r="J382" s="191">
        <v>1.81399269502295E-2</v>
      </c>
      <c r="K382" s="191">
        <v>-1.46605946421915</v>
      </c>
      <c r="L382" s="191">
        <v>-2.2614031725356099</v>
      </c>
      <c r="M382" s="191">
        <v>3.6729999999999999E-2</v>
      </c>
      <c r="N382" s="191">
        <v>-0.80637927493084305</v>
      </c>
      <c r="O382" s="191">
        <v>3.4587427043835002E-2</v>
      </c>
      <c r="T382" s="49">
        <v>3</v>
      </c>
      <c r="U382" s="143" t="s">
        <v>239</v>
      </c>
      <c r="V382" s="33" t="s">
        <v>240</v>
      </c>
      <c r="W382" s="53" t="s">
        <v>552</v>
      </c>
      <c r="X382" s="53" t="s">
        <v>203</v>
      </c>
      <c r="Y382" s="172">
        <f>IFERROR(-tblZwaste1422[[#This Row],[Weight (kgCO2e/kg)]],0)</f>
        <v>-3.1045600000000002</v>
      </c>
      <c r="Z382" s="172" t="str">
        <f>IF(AQ382="x",(AR382*-tblZwaste1422[[#This Row],[Weight (kgCO2e/kg)]])+AS382+($AR$10*Lookups!$J$38/1000),"DELETE")</f>
        <v>DELETE</v>
      </c>
      <c r="AA382" s="172" t="str">
        <f t="shared" si="88"/>
        <v>DELETE</v>
      </c>
      <c r="AB382" s="172">
        <f t="shared" si="88"/>
        <v>-1.76684223712483</v>
      </c>
      <c r="AC382" s="172">
        <f t="shared" si="88"/>
        <v>-2.59677628032569</v>
      </c>
      <c r="AD382" s="172">
        <f t="shared" si="88"/>
        <v>-0.66917552633073896</v>
      </c>
      <c r="AE382" s="172">
        <f t="shared" si="88"/>
        <v>0.27629902332726303</v>
      </c>
      <c r="AF382" s="172">
        <f t="shared" si="88"/>
        <v>2.3670137230060702</v>
      </c>
      <c r="AG382" s="150"/>
      <c r="AI382" s="137">
        <v>3</v>
      </c>
      <c r="AJ382" s="136" t="s">
        <v>239</v>
      </c>
      <c r="AK382" s="142" t="s">
        <v>240</v>
      </c>
      <c r="AL382" s="136" t="s">
        <v>552</v>
      </c>
      <c r="AM382" s="136" t="s">
        <v>203</v>
      </c>
      <c r="AN382" s="1">
        <v>3.1045600000000002</v>
      </c>
      <c r="AO382" s="166">
        <v>0.76736000000000004</v>
      </c>
      <c r="AQ382">
        <f>_xlfn.XLOOKUP(tblGWP21[[#This Row],[Material Subcategory]],ls_Mat,Factors!$K$952:$K$1023)</f>
        <v>0</v>
      </c>
      <c r="AR382" s="173"/>
      <c r="BA382" cm="1">
        <f t="array" ref="BA382:BM382">tblGWP21[#This Row]</f>
        <v>3</v>
      </c>
      <c r="BB382" t="str">
        <v>Paper</v>
      </c>
      <c r="BC382" t="str">
        <v>Paper – Non-Recyclable</v>
      </c>
      <c r="BD382" t="str">
        <v>South America</v>
      </c>
      <c r="BE382" t="str">
        <v>n/a</v>
      </c>
      <c r="BF382">
        <v>-3.1045600000000002</v>
      </c>
      <c r="BG382" t="str">
        <v>DELETE</v>
      </c>
      <c r="BH382" t="str">
        <v>DELETE</v>
      </c>
      <c r="BI382">
        <v>-1.76684223712483</v>
      </c>
      <c r="BJ382">
        <v>-2.59677628032569</v>
      </c>
      <c r="BK382">
        <v>-0.66917552633073896</v>
      </c>
      <c r="BL382">
        <v>0.27629902332726303</v>
      </c>
      <c r="BM382">
        <v>2.3670137230060702</v>
      </c>
    </row>
    <row r="383" spans="3:65" ht="28.8">
      <c r="C383" s="375">
        <v>3</v>
      </c>
      <c r="D383" s="374" t="s">
        <v>239</v>
      </c>
      <c r="E383" s="375" t="s">
        <v>329</v>
      </c>
      <c r="F383" s="362" t="s">
        <v>552</v>
      </c>
      <c r="G383" s="362" t="s">
        <v>203</v>
      </c>
      <c r="H383" s="368">
        <v>-3.4792200000000002</v>
      </c>
      <c r="I383" s="368">
        <v>0</v>
      </c>
      <c r="J383" s="368">
        <v>-3.0232919690684583</v>
      </c>
      <c r="K383" s="368">
        <v>-1.5885742653418</v>
      </c>
      <c r="L383" s="368">
        <v>-2.529374748105</v>
      </c>
      <c r="M383" s="368">
        <v>0.41447129794550402</v>
      </c>
      <c r="N383" s="368">
        <v>-0.80956025349591698</v>
      </c>
      <c r="O383" s="368">
        <v>3.7252082665396299E-2</v>
      </c>
      <c r="T383" s="49">
        <v>3</v>
      </c>
      <c r="U383" s="143" t="s">
        <v>239</v>
      </c>
      <c r="V383" s="33" t="s">
        <v>325</v>
      </c>
      <c r="W383" s="53" t="s">
        <v>552</v>
      </c>
      <c r="X383" s="53" t="s">
        <v>203</v>
      </c>
      <c r="Y383" s="172">
        <f>IFERROR(-tblZwaste1422[[#This Row],[Weight (kgCO2e/kg)]],0)</f>
        <v>-1.66</v>
      </c>
      <c r="Z383" s="172" t="str">
        <f>IF(AQ383="x",(AR383*-tblZwaste1422[[#This Row],[Weight (kgCO2e/kg)]])+AS383+($AR$10*Lookups!$J$38/1000),"DELETE")</f>
        <v>DELETE</v>
      </c>
      <c r="AA383" s="172" t="str">
        <f t="shared" si="88"/>
        <v>DELETE</v>
      </c>
      <c r="AB383" s="172">
        <f t="shared" si="88"/>
        <v>-1.6286344906372801</v>
      </c>
      <c r="AC383" s="172">
        <f t="shared" si="88"/>
        <v>-2.3972313350924299</v>
      </c>
      <c r="AD383" s="172">
        <f t="shared" si="88"/>
        <v>-0.66697991340315199</v>
      </c>
      <c r="AE383" s="172">
        <f t="shared" si="88"/>
        <v>-0.942225030340478</v>
      </c>
      <c r="AF383" s="172">
        <f t="shared" si="88"/>
        <v>2.74731001572785E-2</v>
      </c>
      <c r="AG383" s="150"/>
      <c r="AI383" s="137">
        <v>3</v>
      </c>
      <c r="AJ383" s="136" t="s">
        <v>239</v>
      </c>
      <c r="AK383" s="142" t="s">
        <v>325</v>
      </c>
      <c r="AL383" s="136" t="s">
        <v>552</v>
      </c>
      <c r="AM383" s="136" t="s">
        <v>203</v>
      </c>
      <c r="AN383" s="1">
        <v>1.66</v>
      </c>
      <c r="AO383" s="166">
        <v>0.79600000000000004</v>
      </c>
      <c r="AQ383">
        <f>_xlfn.XLOOKUP(tblGWP21[[#This Row],[Material Subcategory]],ls_Mat,Factors!$K$952:$K$1023)</f>
        <v>0</v>
      </c>
      <c r="BA383" cm="1">
        <f t="array" ref="BA383:BM383">tblGWP21[#This Row]</f>
        <v>3</v>
      </c>
      <c r="BB383" t="str">
        <v>Paper</v>
      </c>
      <c r="BC383" t="str">
        <v>Compostable Food Service Ware</v>
      </c>
      <c r="BD383" t="str">
        <v>South America</v>
      </c>
      <c r="BE383" t="str">
        <v>n/a</v>
      </c>
      <c r="BF383">
        <v>-1.66</v>
      </c>
      <c r="BG383" t="str">
        <v>DELETE</v>
      </c>
      <c r="BH383" t="str">
        <v>DELETE</v>
      </c>
      <c r="BI383">
        <v>-1.6286344906372801</v>
      </c>
      <c r="BJ383">
        <v>-2.3972313350924299</v>
      </c>
      <c r="BK383">
        <v>-0.66697991340315199</v>
      </c>
      <c r="BL383">
        <v>-0.942225030340478</v>
      </c>
      <c r="BM383">
        <v>2.74731001572785E-2</v>
      </c>
    </row>
    <row r="384" spans="3:65">
      <c r="C384" s="6">
        <v>3</v>
      </c>
      <c r="D384" s="373" t="s">
        <v>239</v>
      </c>
      <c r="E384" s="6" t="s">
        <v>271</v>
      </c>
      <c r="F384" s="136" t="s">
        <v>552</v>
      </c>
      <c r="G384" s="136" t="s">
        <v>203</v>
      </c>
      <c r="H384" s="191">
        <v>-3.1045600000000002</v>
      </c>
      <c r="I384" s="191">
        <v>0</v>
      </c>
      <c r="J384" s="191">
        <v>-1.0259035670339192</v>
      </c>
      <c r="K384" s="191">
        <v>-1.5038991018496</v>
      </c>
      <c r="L384" s="191">
        <v>-2.6105509359807</v>
      </c>
      <c r="M384" s="191">
        <v>-0.65152926151439705</v>
      </c>
      <c r="N384" s="191">
        <v>-0.77163933817139796</v>
      </c>
      <c r="O384" s="191">
        <v>4.0399503832453401E-2</v>
      </c>
      <c r="T384" s="49">
        <v>3</v>
      </c>
      <c r="U384" s="143" t="s">
        <v>256</v>
      </c>
      <c r="V384" s="33" t="s">
        <v>256</v>
      </c>
      <c r="W384" s="53" t="s">
        <v>552</v>
      </c>
      <c r="X384" s="53" t="s">
        <v>203</v>
      </c>
      <c r="Y384" s="172">
        <f>IFERROR(-tblZwaste1422[[#This Row],[Weight (kgCO2e/kg)]],0)</f>
        <v>-3.3097799999999999</v>
      </c>
      <c r="Z384" s="172" t="e">
        <f>IF(AQ384="x",(AR384*-tblZwaste1422[[#This Row],[Weight (kgCO2e/kg)]])+AS384+($AR$10*Lookups!$J$38/1000),"DELETE")</f>
        <v>#N/A</v>
      </c>
      <c r="AA384" s="172">
        <f t="shared" si="88"/>
        <v>-13.332240193295439</v>
      </c>
      <c r="AB384" s="172" t="str">
        <f t="shared" si="88"/>
        <v>DELETE</v>
      </c>
      <c r="AC384" s="172" t="str">
        <f t="shared" si="88"/>
        <v>DELETE</v>
      </c>
      <c r="AD384" s="172">
        <f t="shared" si="88"/>
        <v>2.5951436501633351E-2</v>
      </c>
      <c r="AE384" s="172">
        <f t="shared" si="88"/>
        <v>-0.1080978425299278</v>
      </c>
      <c r="AF384" s="172">
        <f t="shared" si="88"/>
        <v>-8.9548588203676061E-2</v>
      </c>
      <c r="AG384" s="150"/>
      <c r="AI384" s="137">
        <v>3</v>
      </c>
      <c r="AJ384" s="136" t="s">
        <v>256</v>
      </c>
      <c r="AK384" s="142" t="s">
        <v>256</v>
      </c>
      <c r="AL384" s="136" t="s">
        <v>552</v>
      </c>
      <c r="AM384" s="136" t="s">
        <v>203</v>
      </c>
      <c r="AN384" s="1">
        <v>3.3097799999999999</v>
      </c>
      <c r="AO384" s="166">
        <v>1.0068550000000001</v>
      </c>
      <c r="AQ384" t="e">
        <f>_xlfn.XLOOKUP(tblGWP21[[#This Row],[Material Subcategory]],ls_Mat,Factors!$K$952:$K$1023)</f>
        <v>#N/A</v>
      </c>
      <c r="AR384" s="173">
        <v>1</v>
      </c>
      <c r="AS384">
        <v>8.1306407300000008E-2</v>
      </c>
      <c r="AT384" t="s">
        <v>531</v>
      </c>
      <c r="BA384" cm="1">
        <f t="array" ref="BA384:BM384">tblGWP21[#This Row]</f>
        <v>3</v>
      </c>
      <c r="BB384" t="str">
        <v>Metals</v>
      </c>
      <c r="BC384" t="str">
        <v>Metals</v>
      </c>
      <c r="BD384" t="str">
        <v>South America</v>
      </c>
      <c r="BE384" t="str">
        <v>n/a</v>
      </c>
      <c r="BF384">
        <v>-3.3097799999999999</v>
      </c>
      <c r="BG384" t="e">
        <v>#N/A</v>
      </c>
      <c r="BH384">
        <v>-13.332240193295439</v>
      </c>
      <c r="BI384" t="str">
        <v>DELETE</v>
      </c>
      <c r="BJ384" t="str">
        <v>DELETE</v>
      </c>
      <c r="BK384">
        <v>2.5951436501633351E-2</v>
      </c>
      <c r="BL384">
        <v>-0.1080978425299278</v>
      </c>
      <c r="BM384">
        <v>-8.9548588203676061E-2</v>
      </c>
    </row>
    <row r="385" spans="3:65">
      <c r="C385" s="375">
        <v>3</v>
      </c>
      <c r="D385" s="374" t="s">
        <v>239</v>
      </c>
      <c r="E385" s="375" t="s">
        <v>535</v>
      </c>
      <c r="F385" s="362" t="s">
        <v>552</v>
      </c>
      <c r="G385" s="362" t="s">
        <v>203</v>
      </c>
      <c r="H385" s="368">
        <v>-3.1045600000000002</v>
      </c>
      <c r="I385" s="368">
        <v>0</v>
      </c>
      <c r="J385" s="368">
        <v>-1.0259035670339192</v>
      </c>
      <c r="K385" s="368">
        <v>-1.6125525501704201</v>
      </c>
      <c r="L385" s="368">
        <v>-2.6158035268424502</v>
      </c>
      <c r="M385" s="368">
        <v>-0.85021288760053804</v>
      </c>
      <c r="N385" s="368">
        <v>-0.85793168628016903</v>
      </c>
      <c r="O385" s="368">
        <v>2.9215875094976099E-2</v>
      </c>
      <c r="T385" s="49">
        <v>3</v>
      </c>
      <c r="U385" s="143" t="s">
        <v>256</v>
      </c>
      <c r="V385" s="33" t="s">
        <v>536</v>
      </c>
      <c r="W385" s="53" t="s">
        <v>552</v>
      </c>
      <c r="X385" s="53" t="s">
        <v>203</v>
      </c>
      <c r="Y385" s="172">
        <f>IFERROR(-tblZwaste1422[[#This Row],[Weight (kgCO2e/kg)]],0)</f>
        <v>-1.9798800000000001</v>
      </c>
      <c r="Z385" s="172">
        <f>IF(AQ385="x",(AR385*-tblZwaste1422[[#This Row],[Weight (kgCO2e/kg)]])+AS385+($AR$10*Lookups!$J$38/1000),"DELETE")</f>
        <v>-1.8968017927</v>
      </c>
      <c r="AA385" s="172">
        <f t="shared" si="88"/>
        <v>-2.3565037764709471</v>
      </c>
      <c r="AB385" s="172" t="str">
        <f t="shared" si="88"/>
        <v>DELETE</v>
      </c>
      <c r="AC385" s="172" t="str">
        <f t="shared" si="88"/>
        <v>DELETE</v>
      </c>
      <c r="AD385" s="172">
        <f t="shared" si="88"/>
        <v>2.6042873003266701E-2</v>
      </c>
      <c r="AE385" s="172">
        <f t="shared" si="88"/>
        <v>-0.15958393285442499</v>
      </c>
      <c r="AF385" s="172">
        <f t="shared" si="88"/>
        <v>-0.13071917043242301</v>
      </c>
      <c r="AG385" s="150"/>
      <c r="AI385" s="137">
        <v>3</v>
      </c>
      <c r="AJ385" s="136" t="s">
        <v>256</v>
      </c>
      <c r="AK385" s="142" t="s">
        <v>536</v>
      </c>
      <c r="AL385" s="136" t="s">
        <v>552</v>
      </c>
      <c r="AM385" s="136" t="s">
        <v>203</v>
      </c>
      <c r="AN385" s="1">
        <v>1.9798800000000001</v>
      </c>
      <c r="AO385" s="166">
        <v>0.72957000000000005</v>
      </c>
      <c r="AQ385" t="str">
        <f>_xlfn.XLOOKUP(tblGWP21[[#This Row],[Material Subcategory]],ls_Mat,Factors!$K$952:$K$1023)</f>
        <v>x</v>
      </c>
      <c r="AR385" s="173">
        <v>1</v>
      </c>
      <c r="AS385">
        <v>8.1306407300000008E-2</v>
      </c>
      <c r="AT385" t="s">
        <v>531</v>
      </c>
      <c r="AU385" t="s">
        <v>526</v>
      </c>
      <c r="AV385" s="347">
        <v>0.7</v>
      </c>
      <c r="BA385" cm="1">
        <f t="array" ref="BA385:BM385">tblGWP21[#This Row]</f>
        <v>3</v>
      </c>
      <c r="BB385" t="str">
        <v>Metals</v>
      </c>
      <c r="BC385" t="str">
        <v>Ferrous Cans</v>
      </c>
      <c r="BD385" t="str">
        <v>South America</v>
      </c>
      <c r="BE385" t="str">
        <v>n/a</v>
      </c>
      <c r="BF385">
        <v>-1.9798800000000001</v>
      </c>
      <c r="BG385">
        <v>-1.8968017927</v>
      </c>
      <c r="BH385">
        <v>-2.3565037764709471</v>
      </c>
      <c r="BI385" t="str">
        <v>DELETE</v>
      </c>
      <c r="BJ385" t="str">
        <v>DELETE</v>
      </c>
      <c r="BK385">
        <v>2.6042873003266701E-2</v>
      </c>
      <c r="BL385">
        <v>-0.15958393285442499</v>
      </c>
      <c r="BM385">
        <v>-0.13071917043242301</v>
      </c>
    </row>
    <row r="386" spans="3:65">
      <c r="C386" s="6">
        <v>3</v>
      </c>
      <c r="D386" s="373" t="s">
        <v>239</v>
      </c>
      <c r="E386" s="6" t="s">
        <v>259</v>
      </c>
      <c r="F386" s="136" t="s">
        <v>552</v>
      </c>
      <c r="G386" s="136" t="s">
        <v>203</v>
      </c>
      <c r="H386" s="191">
        <v>-2.86965</v>
      </c>
      <c r="I386" s="191">
        <v>0</v>
      </c>
      <c r="J386" s="191">
        <v>-1.0259035670339192</v>
      </c>
      <c r="K386" s="191">
        <v>-1.3276665253781801</v>
      </c>
      <c r="L386" s="191">
        <v>-2.0289072305326199</v>
      </c>
      <c r="M386" s="191">
        <v>-0.38444685255991901</v>
      </c>
      <c r="N386" s="191">
        <v>-0.69915364782550704</v>
      </c>
      <c r="O386" s="191">
        <v>2.8423287432432599E-2</v>
      </c>
      <c r="T386" s="49">
        <v>3</v>
      </c>
      <c r="U386" s="143" t="s">
        <v>256</v>
      </c>
      <c r="V386" s="33" t="s">
        <v>257</v>
      </c>
      <c r="W386" s="53" t="s">
        <v>552</v>
      </c>
      <c r="X386" s="53" t="s">
        <v>203</v>
      </c>
      <c r="Y386" s="172">
        <f>IFERROR(-tblZwaste1422[[#This Row],[Weight (kgCO2e/kg)]],0)</f>
        <v>-1.9798800000000001</v>
      </c>
      <c r="Z386" s="172">
        <f>IF(AQ386="x",(AR386*-tblZwaste1422[[#This Row],[Weight (kgCO2e/kg)]])+AS386+($AR$10*Lookups!$J$38/1000),"DELETE")</f>
        <v>-1.8968017927</v>
      </c>
      <c r="AA386" s="172">
        <f t="shared" si="88"/>
        <v>-2.3565037764709471</v>
      </c>
      <c r="AB386" s="172" t="str">
        <f t="shared" si="88"/>
        <v>DELETE</v>
      </c>
      <c r="AC386" s="172" t="str">
        <f t="shared" si="88"/>
        <v>DELETE</v>
      </c>
      <c r="AD386" s="172">
        <f t="shared" si="88"/>
        <v>2.6042873003266701E-2</v>
      </c>
      <c r="AE386" s="172">
        <f t="shared" si="88"/>
        <v>-0.15958393285442499</v>
      </c>
      <c r="AF386" s="172">
        <f t="shared" si="88"/>
        <v>-0.13071917043242301</v>
      </c>
      <c r="AG386" s="150"/>
      <c r="AI386" s="137">
        <v>3</v>
      </c>
      <c r="AJ386" s="136" t="s">
        <v>256</v>
      </c>
      <c r="AK386" s="142" t="s">
        <v>257</v>
      </c>
      <c r="AL386" s="136" t="s">
        <v>552</v>
      </c>
      <c r="AM386" s="136" t="s">
        <v>203</v>
      </c>
      <c r="AN386" s="1">
        <v>1.9798800000000001</v>
      </c>
      <c r="AO386" s="166">
        <v>0.46493000000000001</v>
      </c>
      <c r="AQ386" t="str">
        <f>_xlfn.XLOOKUP(tblGWP21[[#This Row],[Material Subcategory]],ls_Mat,Factors!$K$952:$K$1023)</f>
        <v>x</v>
      </c>
      <c r="AR386" s="173">
        <v>1</v>
      </c>
      <c r="AS386">
        <v>8.1306407300000008E-2</v>
      </c>
      <c r="AT386" t="s">
        <v>531</v>
      </c>
      <c r="AU386" t="s">
        <v>526</v>
      </c>
      <c r="AV386" s="347">
        <v>0.65</v>
      </c>
      <c r="BA386" cm="1">
        <f t="array" ref="BA386:BM386">tblGWP21[#This Row]</f>
        <v>3</v>
      </c>
      <c r="BB386" t="str">
        <v>Metals</v>
      </c>
      <c r="BC386" t="str">
        <v>Ferrous Metal</v>
      </c>
      <c r="BD386" t="str">
        <v>South America</v>
      </c>
      <c r="BE386" t="str">
        <v>n/a</v>
      </c>
      <c r="BF386">
        <v>-1.9798800000000001</v>
      </c>
      <c r="BG386">
        <v>-1.8968017927</v>
      </c>
      <c r="BH386">
        <v>-2.3565037764709471</v>
      </c>
      <c r="BI386" t="str">
        <v>DELETE</v>
      </c>
      <c r="BJ386" t="str">
        <v>DELETE</v>
      </c>
      <c r="BK386">
        <v>2.6042873003266701E-2</v>
      </c>
      <c r="BL386">
        <v>-0.15958393285442499</v>
      </c>
      <c r="BM386">
        <v>-0.13071917043242301</v>
      </c>
    </row>
    <row r="387" spans="3:65">
      <c r="C387" s="362">
        <v>3</v>
      </c>
      <c r="D387" s="363" t="s">
        <v>239</v>
      </c>
      <c r="E387" s="362" t="s">
        <v>334</v>
      </c>
      <c r="F387" s="362" t="s">
        <v>552</v>
      </c>
      <c r="G387" s="362" t="s">
        <v>203</v>
      </c>
      <c r="H387" s="368">
        <v>-2.86965</v>
      </c>
      <c r="I387" s="368">
        <v>0</v>
      </c>
      <c r="J387" s="368">
        <v>-1.0259035670339192</v>
      </c>
      <c r="K387" s="368">
        <v>-1.73808971123668</v>
      </c>
      <c r="L387" s="368">
        <v>-2.5030750757510498</v>
      </c>
      <c r="M387" s="368">
        <v>-0.33194863615908099</v>
      </c>
      <c r="N387" s="368">
        <v>-1.01965750869267</v>
      </c>
      <c r="O387" s="368">
        <v>2.6390224713508399E-2</v>
      </c>
      <c r="T387" s="48">
        <v>3</v>
      </c>
      <c r="U387" s="46" t="s">
        <v>256</v>
      </c>
      <c r="V387" s="53" t="s">
        <v>537</v>
      </c>
      <c r="W387" s="53" t="s">
        <v>552</v>
      </c>
      <c r="X387" s="53" t="s">
        <v>203</v>
      </c>
      <c r="Y387" s="172">
        <f>IFERROR(-tblZwaste1422[[#This Row],[Weight (kgCO2e/kg)]],0)</f>
        <v>-5.0082800000000001</v>
      </c>
      <c r="Z387" s="172">
        <f>IF(AQ387="x",(AR387*-tblZwaste1422[[#This Row],[Weight (kgCO2e/kg)]])+AS387+($AR$10*Lookups!$J$38/1000),"DELETE")</f>
        <v>-4.9252017927000002</v>
      </c>
      <c r="AA387" s="172">
        <f t="shared" ref="AA387:AF396" si="89">AA891</f>
        <v>-5.2843427411401773</v>
      </c>
      <c r="AB387" s="172" t="str">
        <f t="shared" si="89"/>
        <v>DELETE</v>
      </c>
      <c r="AC387" s="172" t="str">
        <f t="shared" si="89"/>
        <v>DELETE</v>
      </c>
      <c r="AD387" s="172">
        <f t="shared" si="89"/>
        <v>2.5860000000000001E-2</v>
      </c>
      <c r="AE387" s="172">
        <f t="shared" si="89"/>
        <v>-5.6611752205430597E-2</v>
      </c>
      <c r="AF387" s="172">
        <f t="shared" si="89"/>
        <v>-4.8378005974929097E-2</v>
      </c>
      <c r="AG387" s="150"/>
      <c r="AI387" s="137">
        <v>3</v>
      </c>
      <c r="AJ387" s="136" t="s">
        <v>256</v>
      </c>
      <c r="AK387" s="142" t="s">
        <v>537</v>
      </c>
      <c r="AL387" s="136" t="s">
        <v>552</v>
      </c>
      <c r="AM387" s="136" t="s">
        <v>203</v>
      </c>
      <c r="AN387" s="1">
        <v>5.0082800000000001</v>
      </c>
      <c r="AO387" s="166">
        <v>1.54878</v>
      </c>
      <c r="AQ387" t="str">
        <f>_xlfn.XLOOKUP(tblGWP21[[#This Row],[Material Subcategory]],ls_Mat,Factors!$K$952:$K$1023)</f>
        <v>x</v>
      </c>
      <c r="AR387" s="173">
        <v>1</v>
      </c>
      <c r="AS387">
        <v>8.1306407300000008E-2</v>
      </c>
      <c r="AT387" t="s">
        <v>531</v>
      </c>
      <c r="BA387" cm="1">
        <f t="array" ref="BA387:BM387">tblGWP21[#This Row]</f>
        <v>3</v>
      </c>
      <c r="BB387" t="str">
        <v>Metals</v>
      </c>
      <c r="BC387" t="str">
        <v>Aluminum Cans</v>
      </c>
      <c r="BD387" t="str">
        <v>South America</v>
      </c>
      <c r="BE387" t="str">
        <v>n/a</v>
      </c>
      <c r="BF387">
        <v>-5.0082800000000001</v>
      </c>
      <c r="BG387">
        <v>-4.9252017927000002</v>
      </c>
      <c r="BH387">
        <v>-5.2843427411401773</v>
      </c>
      <c r="BI387" t="str">
        <v>DELETE</v>
      </c>
      <c r="BJ387" t="str">
        <v>DELETE</v>
      </c>
      <c r="BK387">
        <v>2.5860000000000001E-2</v>
      </c>
      <c r="BL387">
        <v>-5.6611752205430597E-2</v>
      </c>
      <c r="BM387">
        <v>-4.8378005974929097E-2</v>
      </c>
    </row>
    <row r="388" spans="3:65">
      <c r="C388" s="136">
        <v>3</v>
      </c>
      <c r="D388" s="137" t="s">
        <v>239</v>
      </c>
      <c r="E388" s="136" t="s">
        <v>240</v>
      </c>
      <c r="F388" s="136" t="s">
        <v>552</v>
      </c>
      <c r="G388" s="136" t="s">
        <v>203</v>
      </c>
      <c r="H388" s="191">
        <v>-3.1045600000000002</v>
      </c>
      <c r="I388" s="191">
        <v>0</v>
      </c>
      <c r="J388" s="191">
        <v>0</v>
      </c>
      <c r="K388" s="191">
        <v>-1.76684223712483</v>
      </c>
      <c r="L388" s="191">
        <v>-2.59677628032569</v>
      </c>
      <c r="M388" s="191">
        <v>-0.66917552633073896</v>
      </c>
      <c r="N388" s="191">
        <v>0.27629902332726303</v>
      </c>
      <c r="O388" s="191">
        <v>2.3670137230060702</v>
      </c>
      <c r="T388" s="48">
        <v>3</v>
      </c>
      <c r="U388" s="46" t="s">
        <v>256</v>
      </c>
      <c r="V388" s="53" t="s">
        <v>538</v>
      </c>
      <c r="W388" s="53" t="s">
        <v>552</v>
      </c>
      <c r="X388" s="53" t="s">
        <v>203</v>
      </c>
      <c r="Y388" s="172">
        <f>IFERROR(-tblZwaste1422[[#This Row],[Weight (kgCO2e/kg)]],0)</f>
        <v>-4.6396800000000002</v>
      </c>
      <c r="Z388" s="172" t="str">
        <f>IF(AQ388="x",(AR388*-tblZwaste1422[[#This Row],[Weight (kgCO2e/kg)]])+AS388+($AR$10*Lookups!$J$38/1000),"DELETE")</f>
        <v>DELETE</v>
      </c>
      <c r="AA388" s="172" t="str">
        <f t="shared" si="89"/>
        <v>DELETE</v>
      </c>
      <c r="AB388" s="172" t="str">
        <f t="shared" si="89"/>
        <v>DELETE</v>
      </c>
      <c r="AC388" s="172" t="str">
        <f t="shared" si="89"/>
        <v>DELETE</v>
      </c>
      <c r="AD388" s="172">
        <f t="shared" si="89"/>
        <v>2.5860000000000001E-2</v>
      </c>
      <c r="AE388" s="172">
        <f t="shared" si="89"/>
        <v>-5.2731480993355298E-2</v>
      </c>
      <c r="AF388" s="172">
        <f t="shared" si="89"/>
        <v>-4.8378005974929202E-2</v>
      </c>
      <c r="AG388" s="150"/>
      <c r="AI388" s="137">
        <v>3</v>
      </c>
      <c r="AJ388" s="136" t="s">
        <v>256</v>
      </c>
      <c r="AK388" s="142" t="s">
        <v>538</v>
      </c>
      <c r="AL388" s="136" t="s">
        <v>552</v>
      </c>
      <c r="AM388" s="136" t="s">
        <v>203</v>
      </c>
      <c r="AN388" s="1">
        <v>4.6396800000000002</v>
      </c>
      <c r="AO388" s="166">
        <v>1.54878</v>
      </c>
      <c r="AQ388">
        <f>_xlfn.XLOOKUP(tblGWP21[[#This Row],[Material Subcategory]],ls_Mat,Factors!$K$952:$K$1023)</f>
        <v>0</v>
      </c>
      <c r="AR388" s="173"/>
      <c r="BA388" cm="1">
        <f t="array" ref="BA388:BM388">tblGWP21[#This Row]</f>
        <v>3</v>
      </c>
      <c r="BB388" t="str">
        <v>Metals</v>
      </c>
      <c r="BC388" t="str">
        <v>Aluminum Foil</v>
      </c>
      <c r="BD388" t="str">
        <v>South America</v>
      </c>
      <c r="BE388" t="str">
        <v>n/a</v>
      </c>
      <c r="BF388">
        <v>-4.6396800000000002</v>
      </c>
      <c r="BG388" t="str">
        <v>DELETE</v>
      </c>
      <c r="BH388" t="str">
        <v>DELETE</v>
      </c>
      <c r="BI388" t="str">
        <v>DELETE</v>
      </c>
      <c r="BJ388" t="str">
        <v>DELETE</v>
      </c>
      <c r="BK388">
        <v>2.5860000000000001E-2</v>
      </c>
      <c r="BL388">
        <v>-5.2731480993355298E-2</v>
      </c>
      <c r="BM388">
        <v>-4.8378005974929202E-2</v>
      </c>
    </row>
    <row r="389" spans="3:65" ht="28.8">
      <c r="C389" s="362">
        <v>3</v>
      </c>
      <c r="D389" s="363" t="s">
        <v>239</v>
      </c>
      <c r="E389" s="362" t="s">
        <v>325</v>
      </c>
      <c r="F389" s="362" t="s">
        <v>552</v>
      </c>
      <c r="G389" s="362" t="s">
        <v>203</v>
      </c>
      <c r="H389" s="368">
        <v>-1.66</v>
      </c>
      <c r="I389" s="368">
        <v>0</v>
      </c>
      <c r="J389" s="368">
        <v>0</v>
      </c>
      <c r="K389" s="368">
        <v>-1.6286344906372801</v>
      </c>
      <c r="L389" s="368">
        <v>-2.3972313350924299</v>
      </c>
      <c r="M389" s="368">
        <v>-0.66697991340315199</v>
      </c>
      <c r="N389" s="368">
        <v>-0.942225030340478</v>
      </c>
      <c r="O389" s="368">
        <v>2.74731001572785E-2</v>
      </c>
      <c r="T389" s="48">
        <v>3</v>
      </c>
      <c r="U389" s="46" t="s">
        <v>256</v>
      </c>
      <c r="V389" s="53" t="s">
        <v>258</v>
      </c>
      <c r="W389" s="53" t="s">
        <v>552</v>
      </c>
      <c r="X389" s="53" t="s">
        <v>203</v>
      </c>
      <c r="Y389" s="172">
        <f>IFERROR(-tblZwaste1422[[#This Row],[Weight (kgCO2e/kg)]],0)</f>
        <v>-4.6396800000000002</v>
      </c>
      <c r="Z389" s="172">
        <f>IF(AQ389="x",(AR389*-tblZwaste1422[[#This Row],[Weight (kgCO2e/kg)]])+AS389+($AR$10*Lookups!$J$38/1000),"DELETE")</f>
        <v>-4.5566017927000004</v>
      </c>
      <c r="AA389" s="172">
        <f t="shared" si="89"/>
        <v>-5.1225771470236534</v>
      </c>
      <c r="AB389" s="172" t="str">
        <f t="shared" si="89"/>
        <v>DELETE</v>
      </c>
      <c r="AC389" s="172" t="str">
        <f t="shared" si="89"/>
        <v>DELETE</v>
      </c>
      <c r="AD389" s="172">
        <f t="shared" si="89"/>
        <v>2.5860000000000001E-2</v>
      </c>
      <c r="AE389" s="172">
        <f t="shared" si="89"/>
        <v>-5.6611752205430597E-2</v>
      </c>
      <c r="AF389" s="172">
        <f t="shared" si="89"/>
        <v>-4.8378005974929202E-2</v>
      </c>
      <c r="AG389" s="150"/>
      <c r="AI389" s="137">
        <v>3</v>
      </c>
      <c r="AJ389" s="136" t="s">
        <v>256</v>
      </c>
      <c r="AK389" s="142" t="s">
        <v>258</v>
      </c>
      <c r="AL389" s="136" t="s">
        <v>552</v>
      </c>
      <c r="AM389" s="136" t="s">
        <v>203</v>
      </c>
      <c r="AN389" s="1">
        <v>4.6396800000000002</v>
      </c>
      <c r="AO389" s="166">
        <v>1.54878</v>
      </c>
      <c r="AQ389" t="str">
        <f>_xlfn.XLOOKUP(tblGWP21[[#This Row],[Material Subcategory]],ls_Mat,Factors!$K$952:$K$1023)</f>
        <v>x</v>
      </c>
      <c r="AR389" s="173">
        <v>1</v>
      </c>
      <c r="AS389">
        <v>8.1306407300000008E-2</v>
      </c>
      <c r="AT389" t="s">
        <v>531</v>
      </c>
      <c r="BA389" cm="1">
        <f t="array" ref="BA389:BM389">tblGWP21[#This Row]</f>
        <v>3</v>
      </c>
      <c r="BB389" t="str">
        <v>Metals</v>
      </c>
      <c r="BC389" t="str">
        <v>Other Aluminum</v>
      </c>
      <c r="BD389" t="str">
        <v>South America</v>
      </c>
      <c r="BE389" t="str">
        <v>n/a</v>
      </c>
      <c r="BF389">
        <v>-4.6396800000000002</v>
      </c>
      <c r="BG389">
        <v>-4.5566017927000004</v>
      </c>
      <c r="BH389">
        <v>-5.1225771470236534</v>
      </c>
      <c r="BI389" t="str">
        <v>DELETE</v>
      </c>
      <c r="BJ389" t="str">
        <v>DELETE</v>
      </c>
      <c r="BK389">
        <v>2.5860000000000001E-2</v>
      </c>
      <c r="BL389">
        <v>-5.6611752205430597E-2</v>
      </c>
      <c r="BM389">
        <v>-4.8378005974929202E-2</v>
      </c>
    </row>
    <row r="390" spans="3:65">
      <c r="C390" s="136">
        <v>3</v>
      </c>
      <c r="D390" s="137" t="s">
        <v>256</v>
      </c>
      <c r="E390" s="136" t="s">
        <v>256</v>
      </c>
      <c r="F390" s="136" t="s">
        <v>552</v>
      </c>
      <c r="G390" s="136" t="s">
        <v>203</v>
      </c>
      <c r="H390" s="191">
        <v>-3.3097799999999999</v>
      </c>
      <c r="I390" s="191">
        <v>-3.2267017926999997</v>
      </c>
      <c r="J390" s="191">
        <v>-13.332240193295439</v>
      </c>
      <c r="K390" s="191">
        <v>0</v>
      </c>
      <c r="L390" s="191">
        <v>0</v>
      </c>
      <c r="M390" s="191">
        <v>2.5951436501633351E-2</v>
      </c>
      <c r="N390" s="191">
        <v>-0.1080978425299278</v>
      </c>
      <c r="O390" s="191">
        <v>-8.9548588203676061E-2</v>
      </c>
      <c r="T390" s="48">
        <v>3</v>
      </c>
      <c r="U390" s="46" t="s">
        <v>247</v>
      </c>
      <c r="V390" s="53" t="s">
        <v>247</v>
      </c>
      <c r="W390" s="53" t="s">
        <v>552</v>
      </c>
      <c r="X390" s="53" t="s">
        <v>203</v>
      </c>
      <c r="Y390" s="172">
        <f>IFERROR(-tblZwaste1422[[#This Row],[Weight (kgCO2e/kg)]],0)</f>
        <v>-1.0505633333333335</v>
      </c>
      <c r="Z390" s="172">
        <f>IF(AQ390="x",(AR390*-tblZwaste1422[[#This Row],[Weight (kgCO2e/kg)]])+AS390+($AR$10*Lookups!$J$38/1000),"DELETE")</f>
        <v>-0.96748512603333348</v>
      </c>
      <c r="AA390" s="172">
        <f t="shared" si="89"/>
        <v>-0.32015017608359242</v>
      </c>
      <c r="AB390" s="172" t="str">
        <f t="shared" si="89"/>
        <v>DELETE</v>
      </c>
      <c r="AC390" s="172" t="str">
        <f t="shared" si="89"/>
        <v>DELETE</v>
      </c>
      <c r="AD390" s="172">
        <f t="shared" si="89"/>
        <v>2.60428875296266E-2</v>
      </c>
      <c r="AE390" s="172">
        <f t="shared" si="89"/>
        <v>2.89297378114915E-2</v>
      </c>
      <c r="AF390" s="172">
        <f t="shared" si="89"/>
        <v>4.8936183219078298E-2</v>
      </c>
      <c r="AG390" s="150"/>
      <c r="AI390" s="137">
        <v>3</v>
      </c>
      <c r="AJ390" s="136" t="s">
        <v>247</v>
      </c>
      <c r="AK390" s="142" t="s">
        <v>247</v>
      </c>
      <c r="AL390" s="136" t="s">
        <v>552</v>
      </c>
      <c r="AM390" s="136" t="s">
        <v>203</v>
      </c>
      <c r="AN390" s="1">
        <v>1.0505633333333335</v>
      </c>
      <c r="AO390" s="166">
        <v>0.89563000000000004</v>
      </c>
      <c r="AQ390" t="str">
        <f>_xlfn.XLOOKUP(tblGWP21[[#This Row],[Material Subcategory]],ls_Mat,Factors!$K$952:$K$1023)</f>
        <v>x</v>
      </c>
      <c r="AR390" s="173">
        <v>1</v>
      </c>
      <c r="AS390">
        <v>8.1306407300000008E-2</v>
      </c>
      <c r="AT390" t="s">
        <v>531</v>
      </c>
      <c r="BA390" cm="1">
        <f t="array" ref="BA390:BM390">tblGWP21[#This Row]</f>
        <v>3</v>
      </c>
      <c r="BB390" t="str">
        <v>Glass</v>
      </c>
      <c r="BC390" t="str">
        <v>Glass</v>
      </c>
      <c r="BD390" t="str">
        <v>South America</v>
      </c>
      <c r="BE390" t="str">
        <v>n/a</v>
      </c>
      <c r="BF390">
        <v>-1.0505633333333335</v>
      </c>
      <c r="BG390">
        <v>-0.96748512603333348</v>
      </c>
      <c r="BH390">
        <v>-0.32015017608359242</v>
      </c>
      <c r="BI390" t="str">
        <v>DELETE</v>
      </c>
      <c r="BJ390" t="str">
        <v>DELETE</v>
      </c>
      <c r="BK390">
        <v>2.60428875296266E-2</v>
      </c>
      <c r="BL390">
        <v>2.89297378114915E-2</v>
      </c>
      <c r="BM390">
        <v>4.8936183219078298E-2</v>
      </c>
    </row>
    <row r="391" spans="3:65">
      <c r="C391" s="362">
        <v>3</v>
      </c>
      <c r="D391" s="363" t="s">
        <v>256</v>
      </c>
      <c r="E391" s="362" t="s">
        <v>536</v>
      </c>
      <c r="F391" s="362" t="s">
        <v>552</v>
      </c>
      <c r="G391" s="362" t="s">
        <v>203</v>
      </c>
      <c r="H391" s="368">
        <v>-1.9798800000000001</v>
      </c>
      <c r="I391" s="368">
        <v>-1.8968017927</v>
      </c>
      <c r="J391" s="368">
        <v>-2.3565037764709471</v>
      </c>
      <c r="K391" s="368">
        <v>0</v>
      </c>
      <c r="L391" s="368">
        <v>0</v>
      </c>
      <c r="M391" s="368">
        <v>2.6042873003266701E-2</v>
      </c>
      <c r="N391" s="368">
        <v>-0.15958393285442499</v>
      </c>
      <c r="O391" s="368">
        <v>-0.13071917043242301</v>
      </c>
      <c r="T391" s="48">
        <v>3</v>
      </c>
      <c r="U391" s="46" t="s">
        <v>247</v>
      </c>
      <c r="V391" s="53" t="s">
        <v>248</v>
      </c>
      <c r="W391" s="53" t="s">
        <v>552</v>
      </c>
      <c r="X391" s="53" t="s">
        <v>203</v>
      </c>
      <c r="Y391" s="172">
        <f>IFERROR(-tblZwaste1422[[#This Row],[Weight (kgCO2e/kg)]],0)</f>
        <v>-1.0606100000000001</v>
      </c>
      <c r="Z391" s="172">
        <f>IF(AQ391="x",(AR391*-tblZwaste1422[[#This Row],[Weight (kgCO2e/kg)]])+AS391+($AR$10*Lookups!$J$38/1000),"DELETE")</f>
        <v>-0.97753179270000001</v>
      </c>
      <c r="AA391" s="172">
        <f t="shared" si="89"/>
        <v>-0.16783647372309501</v>
      </c>
      <c r="AB391" s="172" t="str">
        <f t="shared" si="89"/>
        <v>DELETE</v>
      </c>
      <c r="AC391" s="172" t="str">
        <f t="shared" si="89"/>
        <v>DELETE</v>
      </c>
      <c r="AD391" s="172">
        <f t="shared" si="89"/>
        <v>2.6042893584184702E-2</v>
      </c>
      <c r="AE391" s="172">
        <f t="shared" si="89"/>
        <v>3.3109226842325201E-2</v>
      </c>
      <c r="AF391" s="172">
        <f t="shared" si="89"/>
        <v>4.8934999613471301E-2</v>
      </c>
      <c r="AG391" s="150"/>
      <c r="AI391" s="137">
        <v>3</v>
      </c>
      <c r="AJ391" s="136" t="s">
        <v>247</v>
      </c>
      <c r="AK391" s="142" t="s">
        <v>248</v>
      </c>
      <c r="AL391" s="136" t="s">
        <v>552</v>
      </c>
      <c r="AM391" s="136" t="s">
        <v>203</v>
      </c>
      <c r="AN391" s="1">
        <v>1.0606100000000001</v>
      </c>
      <c r="AO391" s="166">
        <v>0.89563000000000004</v>
      </c>
      <c r="AQ391" t="str">
        <f>_xlfn.XLOOKUP(tblGWP21[[#This Row],[Material Subcategory]],ls_Mat,Factors!$K$952:$K$1023)</f>
        <v>x</v>
      </c>
      <c r="AR391" s="173">
        <v>1</v>
      </c>
      <c r="AS391">
        <v>8.1306407300000008E-2</v>
      </c>
      <c r="AT391" t="s">
        <v>531</v>
      </c>
      <c r="AU391" t="s">
        <v>526</v>
      </c>
      <c r="AV391" s="347">
        <v>0.5</v>
      </c>
      <c r="BA391" cm="1">
        <f t="array" ref="BA391:BM391">tblGWP21[#This Row]</f>
        <v>3</v>
      </c>
      <c r="BB391" t="str">
        <v>Glass</v>
      </c>
      <c r="BC391" t="str">
        <v>Glass – Brown</v>
      </c>
      <c r="BD391" t="str">
        <v>South America</v>
      </c>
      <c r="BE391" t="str">
        <v>n/a</v>
      </c>
      <c r="BF391">
        <v>-1.0606100000000001</v>
      </c>
      <c r="BG391">
        <v>-0.97753179270000001</v>
      </c>
      <c r="BH391">
        <v>-0.16783647372309501</v>
      </c>
      <c r="BI391" t="str">
        <v>DELETE</v>
      </c>
      <c r="BJ391" t="str">
        <v>DELETE</v>
      </c>
      <c r="BK391">
        <v>2.6042893584184702E-2</v>
      </c>
      <c r="BL391">
        <v>3.3109226842325201E-2</v>
      </c>
      <c r="BM391">
        <v>4.8934999613471301E-2</v>
      </c>
    </row>
    <row r="392" spans="3:65">
      <c r="C392" s="136">
        <v>3</v>
      </c>
      <c r="D392" s="137" t="s">
        <v>256</v>
      </c>
      <c r="E392" s="136" t="s">
        <v>257</v>
      </c>
      <c r="F392" s="136" t="s">
        <v>552</v>
      </c>
      <c r="G392" s="136" t="s">
        <v>203</v>
      </c>
      <c r="H392" s="191">
        <v>-1.9798800000000001</v>
      </c>
      <c r="I392" s="191">
        <v>-1.8968017927</v>
      </c>
      <c r="J392" s="191">
        <v>-2.3565037764709471</v>
      </c>
      <c r="K392" s="191">
        <v>0</v>
      </c>
      <c r="L392" s="191">
        <v>0</v>
      </c>
      <c r="M392" s="191">
        <v>2.6042873003266701E-2</v>
      </c>
      <c r="N392" s="191">
        <v>-0.15958393285442499</v>
      </c>
      <c r="O392" s="191">
        <v>-0.13071917043242301</v>
      </c>
      <c r="T392" s="48">
        <v>3</v>
      </c>
      <c r="U392" s="46" t="s">
        <v>247</v>
      </c>
      <c r="V392" s="53" t="s">
        <v>263</v>
      </c>
      <c r="W392" s="53" t="s">
        <v>552</v>
      </c>
      <c r="X392" s="53" t="s">
        <v>203</v>
      </c>
      <c r="Y392" s="172">
        <f>IFERROR(-tblZwaste1422[[#This Row],[Weight (kgCO2e/kg)]],0)</f>
        <v>-1.0341199999999999</v>
      </c>
      <c r="Z392" s="172">
        <f>IF(AQ392="x",(AR392*-tblZwaste1422[[#This Row],[Weight (kgCO2e/kg)]])+AS392+($AR$10*Lookups!$J$38/1000),"DELETE")</f>
        <v>-0.95104179269999989</v>
      </c>
      <c r="AA392" s="172">
        <f t="shared" si="89"/>
        <v>-0.16783647372309501</v>
      </c>
      <c r="AB392" s="172" t="str">
        <f t="shared" si="89"/>
        <v>DELETE</v>
      </c>
      <c r="AC392" s="172" t="str">
        <f t="shared" si="89"/>
        <v>DELETE</v>
      </c>
      <c r="AD392" s="172">
        <f t="shared" si="89"/>
        <v>2.6042897336766301E-2</v>
      </c>
      <c r="AE392" s="172">
        <f t="shared" si="89"/>
        <v>3.5614574402337999E-2</v>
      </c>
      <c r="AF392" s="172">
        <f t="shared" si="89"/>
        <v>4.8935075181609701E-2</v>
      </c>
      <c r="AG392" s="150"/>
      <c r="AI392" s="137">
        <v>3</v>
      </c>
      <c r="AJ392" s="136" t="s">
        <v>247</v>
      </c>
      <c r="AK392" s="142" t="s">
        <v>263</v>
      </c>
      <c r="AL392" s="136" t="s">
        <v>552</v>
      </c>
      <c r="AM392" s="136" t="s">
        <v>203</v>
      </c>
      <c r="AN392" s="1">
        <v>1.0341199999999999</v>
      </c>
      <c r="AO392" s="166">
        <v>0.89563000000000004</v>
      </c>
      <c r="AQ392" t="str">
        <f>_xlfn.XLOOKUP(tblGWP21[[#This Row],[Material Subcategory]],ls_Mat,Factors!$K$952:$K$1023)</f>
        <v>x</v>
      </c>
      <c r="AR392" s="173">
        <v>1</v>
      </c>
      <c r="AS392">
        <v>8.1306407300000008E-2</v>
      </c>
      <c r="AT392" t="s">
        <v>531</v>
      </c>
      <c r="BA392" cm="1">
        <f t="array" ref="BA392:BM392">tblGWP21[#This Row]</f>
        <v>3</v>
      </c>
      <c r="BB392" t="str">
        <v>Glass</v>
      </c>
      <c r="BC392" t="str">
        <v>Glass – Green</v>
      </c>
      <c r="BD392" t="str">
        <v>South America</v>
      </c>
      <c r="BE392" t="str">
        <v>n/a</v>
      </c>
      <c r="BF392">
        <v>-1.0341199999999999</v>
      </c>
      <c r="BG392">
        <v>-0.95104179269999989</v>
      </c>
      <c r="BH392">
        <v>-0.16783647372309501</v>
      </c>
      <c r="BI392" t="str">
        <v>DELETE</v>
      </c>
      <c r="BJ392" t="str">
        <v>DELETE</v>
      </c>
      <c r="BK392">
        <v>2.6042897336766301E-2</v>
      </c>
      <c r="BL392">
        <v>3.5614574402337999E-2</v>
      </c>
      <c r="BM392">
        <v>4.8935075181609701E-2</v>
      </c>
    </row>
    <row r="393" spans="3:65">
      <c r="C393" s="362">
        <v>3</v>
      </c>
      <c r="D393" s="363" t="s">
        <v>256</v>
      </c>
      <c r="E393" s="362" t="s">
        <v>537</v>
      </c>
      <c r="F393" s="362" t="s">
        <v>552</v>
      </c>
      <c r="G393" s="362" t="s">
        <v>203</v>
      </c>
      <c r="H393" s="368">
        <v>-5.0082800000000001</v>
      </c>
      <c r="I393" s="368">
        <v>-4.9252017927000002</v>
      </c>
      <c r="J393" s="368">
        <v>-5.2843427411401773</v>
      </c>
      <c r="K393" s="368">
        <v>0</v>
      </c>
      <c r="L393" s="368">
        <v>0</v>
      </c>
      <c r="M393" s="368">
        <v>2.5860000000000001E-2</v>
      </c>
      <c r="N393" s="368">
        <v>-5.6611752205430597E-2</v>
      </c>
      <c r="O393" s="368">
        <v>-4.8378005974929097E-2</v>
      </c>
      <c r="T393" s="48">
        <v>3</v>
      </c>
      <c r="U393" s="46" t="s">
        <v>247</v>
      </c>
      <c r="V393" s="53" t="s">
        <v>539</v>
      </c>
      <c r="W393" s="53" t="s">
        <v>552</v>
      </c>
      <c r="X393" s="53" t="s">
        <v>203</v>
      </c>
      <c r="Y393" s="172">
        <f>IFERROR(-tblZwaste1422[[#This Row],[Weight (kgCO2e/kg)]],0)</f>
        <v>-1.0569599999999999</v>
      </c>
      <c r="Z393" s="172">
        <f>IF(AQ393="x",(AR393*-tblZwaste1422[[#This Row],[Weight (kgCO2e/kg)]])+AS393+($AR$10*Lookups!$J$38/1000),"DELETE")</f>
        <v>-0.97388179269999986</v>
      </c>
      <c r="AA393" s="172">
        <f t="shared" si="89"/>
        <v>-0.17313657289329801</v>
      </c>
      <c r="AB393" s="172" t="str">
        <f t="shared" si="89"/>
        <v>DELETE</v>
      </c>
      <c r="AC393" s="172" t="str">
        <f t="shared" si="89"/>
        <v>DELETE</v>
      </c>
      <c r="AD393" s="172">
        <f t="shared" si="89"/>
        <v>2.60428777320173E-2</v>
      </c>
      <c r="AE393" s="172">
        <f t="shared" si="89"/>
        <v>2.2198094085999199E-2</v>
      </c>
      <c r="AF393" s="172">
        <f t="shared" si="89"/>
        <v>4.8937457971748297E-2</v>
      </c>
      <c r="AG393" s="150"/>
      <c r="AI393" s="137">
        <v>3</v>
      </c>
      <c r="AJ393" s="136" t="s">
        <v>247</v>
      </c>
      <c r="AK393" s="142" t="s">
        <v>539</v>
      </c>
      <c r="AL393" s="136" t="s">
        <v>552</v>
      </c>
      <c r="AM393" s="136" t="s">
        <v>203</v>
      </c>
      <c r="AN393" s="1">
        <v>1.0569599999999999</v>
      </c>
      <c r="AO393" s="166">
        <v>0.89563000000000004</v>
      </c>
      <c r="AQ393" t="str">
        <f>_xlfn.XLOOKUP(tblGWP21[[#This Row],[Material Subcategory]],ls_Mat,Factors!$K$952:$K$1023)</f>
        <v>x</v>
      </c>
      <c r="AR393" s="173">
        <v>1</v>
      </c>
      <c r="AS393">
        <v>8.1306407300000008E-2</v>
      </c>
      <c r="AT393" t="s">
        <v>531</v>
      </c>
      <c r="BA393" cm="1">
        <f t="array" ref="BA393:BM393">tblGWP21[#This Row]</f>
        <v>3</v>
      </c>
      <c r="BB393" t="str">
        <v>Glass</v>
      </c>
      <c r="BC393" t="str">
        <v>Glass – Clear</v>
      </c>
      <c r="BD393" t="str">
        <v>South America</v>
      </c>
      <c r="BE393" t="str">
        <v>n/a</v>
      </c>
      <c r="BF393">
        <v>-1.0569599999999999</v>
      </c>
      <c r="BG393">
        <v>-0.97388179269999986</v>
      </c>
      <c r="BH393">
        <v>-0.17313657289329801</v>
      </c>
      <c r="BI393" t="str">
        <v>DELETE</v>
      </c>
      <c r="BJ393" t="str">
        <v>DELETE</v>
      </c>
      <c r="BK393">
        <v>2.60428777320173E-2</v>
      </c>
      <c r="BL393">
        <v>2.2198094085999199E-2</v>
      </c>
      <c r="BM393">
        <v>4.8937457971748297E-2</v>
      </c>
    </row>
    <row r="394" spans="3:65">
      <c r="C394" s="136">
        <v>3</v>
      </c>
      <c r="D394" s="137" t="s">
        <v>256</v>
      </c>
      <c r="E394" s="136" t="s">
        <v>538</v>
      </c>
      <c r="F394" s="136" t="s">
        <v>552</v>
      </c>
      <c r="G394" s="136" t="s">
        <v>203</v>
      </c>
      <c r="H394" s="191">
        <v>-4.6396800000000002</v>
      </c>
      <c r="I394" s="191">
        <v>0</v>
      </c>
      <c r="J394" s="191">
        <v>0</v>
      </c>
      <c r="K394" s="191">
        <v>0</v>
      </c>
      <c r="L394" s="191">
        <v>0</v>
      </c>
      <c r="M394" s="191">
        <v>2.5860000000000001E-2</v>
      </c>
      <c r="N394" s="191">
        <v>-5.2731480993355298E-2</v>
      </c>
      <c r="O394" s="191">
        <v>-4.8378005974929202E-2</v>
      </c>
      <c r="T394" s="48">
        <v>3</v>
      </c>
      <c r="U394" s="46" t="s">
        <v>247</v>
      </c>
      <c r="V394" s="53" t="s">
        <v>270</v>
      </c>
      <c r="W394" s="53" t="s">
        <v>552</v>
      </c>
      <c r="X394" s="53" t="s">
        <v>203</v>
      </c>
      <c r="Y394" s="172">
        <f>IFERROR(-tblZwaste1422[[#This Row],[Weight (kgCO2e/kg)]],0)</f>
        <v>-1.0505633333333335</v>
      </c>
      <c r="Z394" s="172">
        <f>IF(AQ394="x",(AR394*-tblZwaste1422[[#This Row],[Weight (kgCO2e/kg)]])+AS394+($AR$10*Lookups!$J$38/1000),"DELETE")</f>
        <v>-0.96748512603333348</v>
      </c>
      <c r="AA394" s="172">
        <f t="shared" si="89"/>
        <v>-0.32015017608359242</v>
      </c>
      <c r="AB394" s="172" t="str">
        <f t="shared" si="89"/>
        <v>DELETE</v>
      </c>
      <c r="AC394" s="172" t="str">
        <f t="shared" si="89"/>
        <v>DELETE</v>
      </c>
      <c r="AD394" s="172">
        <f t="shared" si="89"/>
        <v>2.60428875296266E-2</v>
      </c>
      <c r="AE394" s="172">
        <f t="shared" si="89"/>
        <v>2.89297378114915E-2</v>
      </c>
      <c r="AF394" s="172">
        <f t="shared" si="89"/>
        <v>4.8936183219078298E-2</v>
      </c>
      <c r="AG394" s="150"/>
      <c r="AI394" s="137">
        <v>3</v>
      </c>
      <c r="AJ394" s="136" t="s">
        <v>247</v>
      </c>
      <c r="AK394" s="142" t="s">
        <v>270</v>
      </c>
      <c r="AL394" s="136" t="s">
        <v>552</v>
      </c>
      <c r="AM394" s="136" t="s">
        <v>203</v>
      </c>
      <c r="AN394" s="1">
        <v>1.0505633333333335</v>
      </c>
      <c r="AO394" s="166">
        <v>0.89563000000000004</v>
      </c>
      <c r="AQ394" t="str">
        <f>_xlfn.XLOOKUP(tblGWP21[[#This Row],[Material Subcategory]],ls_Mat,Factors!$K$952:$K$1023)</f>
        <v>x</v>
      </c>
      <c r="AR394" s="173">
        <v>1</v>
      </c>
      <c r="AS394">
        <v>8.1306407300000008E-2</v>
      </c>
      <c r="AT394" t="s">
        <v>531</v>
      </c>
      <c r="BA394" cm="1">
        <f t="array" ref="BA394:BM394">tblGWP21[#This Row]</f>
        <v>3</v>
      </c>
      <c r="BB394" t="str">
        <v>Glass</v>
      </c>
      <c r="BC394" t="str">
        <v>Mixed Glass</v>
      </c>
      <c r="BD394" t="str">
        <v>South America</v>
      </c>
      <c r="BE394" t="str">
        <v>n/a</v>
      </c>
      <c r="BF394">
        <v>-1.0505633333333335</v>
      </c>
      <c r="BG394">
        <v>-0.96748512603333348</v>
      </c>
      <c r="BH394">
        <v>-0.32015017608359242</v>
      </c>
      <c r="BI394" t="str">
        <v>DELETE</v>
      </c>
      <c r="BJ394" t="str">
        <v>DELETE</v>
      </c>
      <c r="BK394">
        <v>2.60428875296266E-2</v>
      </c>
      <c r="BL394">
        <v>2.89297378114915E-2</v>
      </c>
      <c r="BM394">
        <v>4.8936183219078298E-2</v>
      </c>
    </row>
    <row r="395" spans="3:65">
      <c r="C395" s="362">
        <v>3</v>
      </c>
      <c r="D395" s="363" t="s">
        <v>256</v>
      </c>
      <c r="E395" s="362" t="s">
        <v>258</v>
      </c>
      <c r="F395" s="362" t="s">
        <v>552</v>
      </c>
      <c r="G395" s="362" t="s">
        <v>203</v>
      </c>
      <c r="H395" s="368">
        <v>-4.6396800000000002</v>
      </c>
      <c r="I395" s="368">
        <v>-4.5566017927000004</v>
      </c>
      <c r="J395" s="368">
        <v>-5.1225771470236534</v>
      </c>
      <c r="K395" s="368">
        <v>0</v>
      </c>
      <c r="L395" s="368">
        <v>0</v>
      </c>
      <c r="M395" s="368">
        <v>2.5860000000000001E-2</v>
      </c>
      <c r="N395" s="368">
        <v>-5.6611752205430597E-2</v>
      </c>
      <c r="O395" s="368">
        <v>-4.8378005974929202E-2</v>
      </c>
      <c r="T395" s="48">
        <v>3</v>
      </c>
      <c r="U395" s="46" t="s">
        <v>247</v>
      </c>
      <c r="V395" s="53" t="s">
        <v>540</v>
      </c>
      <c r="W395" s="53" t="s">
        <v>552</v>
      </c>
      <c r="X395" s="53" t="s">
        <v>203</v>
      </c>
      <c r="Y395" s="172">
        <f>IFERROR(-tblZwaste1422[[#This Row],[Weight (kgCO2e/kg)]],0)</f>
        <v>-1.0473650000000001</v>
      </c>
      <c r="Z395" s="172">
        <f>IF(AQ395="x",(AR395*-tblZwaste1422[[#This Row],[Weight (kgCO2e/kg)]])+AS395+($AR$10*Lookups!$J$38/1000),"DELETE")</f>
        <v>-0.96428679270000006</v>
      </c>
      <c r="AA395" s="172" t="str">
        <f t="shared" si="89"/>
        <v>DELETE</v>
      </c>
      <c r="AB395" s="172" t="str">
        <f t="shared" si="89"/>
        <v>DELETE</v>
      </c>
      <c r="AC395" s="172" t="str">
        <f t="shared" si="89"/>
        <v>DELETE</v>
      </c>
      <c r="AD395" s="172">
        <f t="shared" si="89"/>
        <v>2.6042870829753598E-2</v>
      </c>
      <c r="AE395" s="172">
        <f t="shared" si="89"/>
        <v>2.4702921490784801E-2</v>
      </c>
      <c r="AF395" s="172">
        <f t="shared" si="89"/>
        <v>4.8937013384659597E-2</v>
      </c>
      <c r="AG395" s="150"/>
      <c r="AI395" s="137">
        <v>3</v>
      </c>
      <c r="AJ395" s="136" t="s">
        <v>247</v>
      </c>
      <c r="AK395" s="142" t="s">
        <v>540</v>
      </c>
      <c r="AL395" s="136" t="s">
        <v>552</v>
      </c>
      <c r="AM395" s="136" t="s">
        <v>203</v>
      </c>
      <c r="AN395" s="1">
        <v>1.0473650000000001</v>
      </c>
      <c r="AO395" s="166">
        <v>0.89563000000000004</v>
      </c>
      <c r="AQ395" t="str">
        <f>_xlfn.XLOOKUP(tblGWP21[[#This Row],[Material Subcategory]],ls_Mat,Factors!$K$952:$K$1023)</f>
        <v>x</v>
      </c>
      <c r="AR395" s="173">
        <v>1</v>
      </c>
      <c r="AS395">
        <v>8.1306407300000008E-2</v>
      </c>
      <c r="AT395" t="s">
        <v>531</v>
      </c>
      <c r="BA395" cm="1">
        <f t="array" ref="BA395:BM395">tblGWP21[#This Row]</f>
        <v>3</v>
      </c>
      <c r="BB395" t="str">
        <v>Glass</v>
      </c>
      <c r="BC395" t="str">
        <v>Glass – Non-Recyclable</v>
      </c>
      <c r="BD395" t="str">
        <v>South America</v>
      </c>
      <c r="BE395" t="str">
        <v>n/a</v>
      </c>
      <c r="BF395">
        <v>-1.0473650000000001</v>
      </c>
      <c r="BG395">
        <v>-0.96428679270000006</v>
      </c>
      <c r="BH395" t="str">
        <v>DELETE</v>
      </c>
      <c r="BI395" t="str">
        <v>DELETE</v>
      </c>
      <c r="BJ395" t="str">
        <v>DELETE</v>
      </c>
      <c r="BK395">
        <v>2.6042870829753598E-2</v>
      </c>
      <c r="BL395">
        <v>2.4702921490784801E-2</v>
      </c>
      <c r="BM395">
        <v>4.8937013384659597E-2</v>
      </c>
    </row>
    <row r="396" spans="3:65">
      <c r="C396" s="136">
        <v>3</v>
      </c>
      <c r="D396" s="137" t="s">
        <v>247</v>
      </c>
      <c r="E396" s="136" t="s">
        <v>247</v>
      </c>
      <c r="F396" s="136" t="s">
        <v>552</v>
      </c>
      <c r="G396" s="136" t="s">
        <v>203</v>
      </c>
      <c r="H396" s="191">
        <v>-1.0505633333333335</v>
      </c>
      <c r="I396" s="191">
        <v>-0.96748512603333348</v>
      </c>
      <c r="J396" s="191">
        <v>-0.32015017608359242</v>
      </c>
      <c r="K396" s="191">
        <v>0</v>
      </c>
      <c r="L396" s="191">
        <v>0</v>
      </c>
      <c r="M396" s="191">
        <v>2.60428875296266E-2</v>
      </c>
      <c r="N396" s="191">
        <v>2.89297378114915E-2</v>
      </c>
      <c r="O396" s="191">
        <v>4.8936183219078298E-2</v>
      </c>
      <c r="T396" s="48">
        <v>3</v>
      </c>
      <c r="U396" s="46" t="s">
        <v>261</v>
      </c>
      <c r="V396" s="53" t="s">
        <v>260</v>
      </c>
      <c r="W396" s="53" t="s">
        <v>552</v>
      </c>
      <c r="X396" s="53" t="s">
        <v>203</v>
      </c>
      <c r="Y396" s="172">
        <f>IFERROR(-tblZwaste1422[[#This Row],[Weight (kgCO2e/kg)]],0)</f>
        <v>-4.0364225925925927</v>
      </c>
      <c r="Z396" s="172" t="str">
        <f>IF(AQ396="x",(AR396*-tblZwaste1422[[#This Row],[Weight (kgCO2e/kg)]])+AS396+($AR$10*Lookups!$J$38/1000),"DELETE")</f>
        <v>DELETE</v>
      </c>
      <c r="AA396" s="172" t="str">
        <f t="shared" si="89"/>
        <v>DELETE</v>
      </c>
      <c r="AB396" s="172">
        <f t="shared" si="89"/>
        <v>-0.50268967868134895</v>
      </c>
      <c r="AC396" s="172">
        <f t="shared" si="89"/>
        <v>-0.86800826709700496</v>
      </c>
      <c r="AD396" s="172">
        <f t="shared" si="89"/>
        <v>-0.17357286847922601</v>
      </c>
      <c r="AE396" s="172">
        <f t="shared" si="89"/>
        <v>-0.27119781115654301</v>
      </c>
      <c r="AF396" s="172">
        <f t="shared" si="89"/>
        <v>2.7532513622578698E-2</v>
      </c>
      <c r="AG396" s="150"/>
      <c r="AI396" s="137">
        <v>3</v>
      </c>
      <c r="AJ396" s="136" t="s">
        <v>529</v>
      </c>
      <c r="AK396" s="142" t="s">
        <v>260</v>
      </c>
      <c r="AL396" s="136" t="s">
        <v>552</v>
      </c>
      <c r="AM396" s="136" t="s">
        <v>203</v>
      </c>
      <c r="AN396" s="1">
        <v>4.0364225925925927</v>
      </c>
      <c r="AO396" s="166">
        <v>1.3856655555555555</v>
      </c>
      <c r="AQ396">
        <f>_xlfn.XLOOKUP(tblGWP21[[#This Row],[Material Subcategory]],ls_Mat,Factors!$K$952:$K$1023)</f>
        <v>0</v>
      </c>
      <c r="AR396" s="173"/>
      <c r="BA396" cm="1">
        <f t="array" ref="BA396:BM396">tblGWP21[#This Row]</f>
        <v>3</v>
      </c>
      <c r="BB396" t="str">
        <v>Food Waste</v>
      </c>
      <c r="BC396" t="str">
        <v>Mixed Organics</v>
      </c>
      <c r="BD396" t="str">
        <v>South America</v>
      </c>
      <c r="BE396" t="str">
        <v>n/a</v>
      </c>
      <c r="BF396">
        <v>-4.0364225925925927</v>
      </c>
      <c r="BG396" t="str">
        <v>DELETE</v>
      </c>
      <c r="BH396" t="str">
        <v>DELETE</v>
      </c>
      <c r="BI396">
        <v>-0.50268967868134895</v>
      </c>
      <c r="BJ396">
        <v>-0.86800826709700496</v>
      </c>
      <c r="BK396">
        <v>-0.17357286847922601</v>
      </c>
      <c r="BL396">
        <v>-0.27119781115654301</v>
      </c>
      <c r="BM396">
        <v>2.7532513622578698E-2</v>
      </c>
    </row>
    <row r="397" spans="3:65">
      <c r="C397" s="362">
        <v>3</v>
      </c>
      <c r="D397" s="363" t="s">
        <v>247</v>
      </c>
      <c r="E397" s="362" t="s">
        <v>248</v>
      </c>
      <c r="F397" s="362" t="s">
        <v>552</v>
      </c>
      <c r="G397" s="362" t="s">
        <v>203</v>
      </c>
      <c r="H397" s="368">
        <v>-1.0606100000000001</v>
      </c>
      <c r="I397" s="368">
        <v>-0.97753179270000001</v>
      </c>
      <c r="J397" s="368">
        <v>-0.16783647372309501</v>
      </c>
      <c r="K397" s="368">
        <v>0</v>
      </c>
      <c r="L397" s="368">
        <v>0</v>
      </c>
      <c r="M397" s="368">
        <v>2.6042893584184702E-2</v>
      </c>
      <c r="N397" s="368">
        <v>3.3109226842325201E-2</v>
      </c>
      <c r="O397" s="368">
        <v>4.8934999613471301E-2</v>
      </c>
      <c r="T397" s="48">
        <v>3</v>
      </c>
      <c r="U397" s="46" t="s">
        <v>237</v>
      </c>
      <c r="V397" s="53" t="s">
        <v>237</v>
      </c>
      <c r="W397" s="53" t="s">
        <v>552</v>
      </c>
      <c r="X397" s="53" t="s">
        <v>203</v>
      </c>
      <c r="Y397" s="172">
        <f>IFERROR(-tblZwaste1422[[#This Row],[Weight (kgCO2e/kg)]],0)</f>
        <v>-2.8533815875203707</v>
      </c>
      <c r="Z397" s="172" t="e">
        <f>IF(AQ397="x",(AR397*-tblZwaste1422[[#This Row],[Weight (kgCO2e/kg)]])+AS397+($AR$10*Lookups!$J$38/1000),"DELETE")</f>
        <v>#N/A</v>
      </c>
      <c r="AA397" s="172" t="s">
        <v>567</v>
      </c>
      <c r="AB397" s="172" t="str">
        <f t="shared" ref="AA397:AF406" si="90">AB901</f>
        <v>DELETE</v>
      </c>
      <c r="AC397" s="172" t="str">
        <f t="shared" si="90"/>
        <v>DELETE</v>
      </c>
      <c r="AD397" s="172">
        <f t="shared" si="90"/>
        <v>-0.47372783008290564</v>
      </c>
      <c r="AE397" s="172">
        <f t="shared" si="90"/>
        <v>-0.60541892774296602</v>
      </c>
      <c r="AF397" s="172">
        <f t="shared" si="90"/>
        <v>2.7971221813722445E-2</v>
      </c>
      <c r="AG397" s="150"/>
      <c r="AI397" s="137">
        <v>3</v>
      </c>
      <c r="AJ397" s="136" t="s">
        <v>237</v>
      </c>
      <c r="AK397" s="142" t="s">
        <v>237</v>
      </c>
      <c r="AL397" s="136" t="s">
        <v>552</v>
      </c>
      <c r="AM397" s="136" t="s">
        <v>203</v>
      </c>
      <c r="AN397" s="1">
        <v>2.8533815875203707</v>
      </c>
      <c r="AO397" s="166">
        <v>1.0711602172222223</v>
      </c>
      <c r="AQ397" t="e">
        <f>_xlfn.XLOOKUP(tblGWP21[[#This Row],[Material Subcategory]],ls_Mat,Factors!$K$952:$K$1023)</f>
        <v>#N/A</v>
      </c>
      <c r="AR397" s="173">
        <v>0.5</v>
      </c>
      <c r="AS397">
        <v>0</v>
      </c>
      <c r="AT397" t="s">
        <v>527</v>
      </c>
      <c r="BA397" cm="1">
        <f t="array" ref="BA397:BM397">tblGWP21[#This Row]</f>
        <v>3</v>
      </c>
      <c r="BB397" t="str">
        <v>Mixed/Custom</v>
      </c>
      <c r="BC397" t="str">
        <v>Mixed/Custom</v>
      </c>
      <c r="BD397" t="str">
        <v>South America</v>
      </c>
      <c r="BE397" t="str">
        <v>n/a</v>
      </c>
      <c r="BF397">
        <v>-2.8533815875203707</v>
      </c>
      <c r="BG397" t="e">
        <v>#N/A</v>
      </c>
      <c r="BH397" t="str">
        <v>DELETE</v>
      </c>
      <c r="BI397" t="str">
        <v>DELETE</v>
      </c>
      <c r="BJ397" t="str">
        <v>DELETE</v>
      </c>
      <c r="BK397">
        <v>-0.47372783008290564</v>
      </c>
      <c r="BL397">
        <v>-0.60541892774296602</v>
      </c>
      <c r="BM397">
        <v>2.7971221813722445E-2</v>
      </c>
    </row>
    <row r="398" spans="3:65">
      <c r="C398" s="136">
        <v>3</v>
      </c>
      <c r="D398" s="137" t="s">
        <v>247</v>
      </c>
      <c r="E398" s="136" t="s">
        <v>263</v>
      </c>
      <c r="F398" s="136" t="s">
        <v>552</v>
      </c>
      <c r="G398" s="136" t="s">
        <v>203</v>
      </c>
      <c r="H398" s="191">
        <v>-1.0341199999999999</v>
      </c>
      <c r="I398" s="191">
        <v>-0.95104179269999989</v>
      </c>
      <c r="J398" s="191">
        <v>-0.16783647372309501</v>
      </c>
      <c r="K398" s="191">
        <v>0</v>
      </c>
      <c r="L398" s="191">
        <v>0</v>
      </c>
      <c r="M398" s="191">
        <v>2.6042897336766301E-2</v>
      </c>
      <c r="N398" s="191">
        <v>3.5614574402337999E-2</v>
      </c>
      <c r="O398" s="191">
        <v>4.8935075181609701E-2</v>
      </c>
      <c r="T398" s="48">
        <v>3</v>
      </c>
      <c r="U398" s="46" t="s">
        <v>237</v>
      </c>
      <c r="V398" s="53" t="s">
        <v>246</v>
      </c>
      <c r="W398" s="53" t="s">
        <v>552</v>
      </c>
      <c r="X398" s="53" t="s">
        <v>203</v>
      </c>
      <c r="Y398" s="172">
        <f>IFERROR(-tblZwaste1422[[#This Row],[Weight (kgCO2e/kg)]],0)</f>
        <v>-7.3412433500000009</v>
      </c>
      <c r="Z398" s="172" t="str">
        <f>IF(AQ398="x",(AR398*-tblZwaste1422[[#This Row],[Weight (kgCO2e/kg)]])+AS398+($AR$10*Lookups!$J$38/1000),"DELETE")</f>
        <v>DELETE</v>
      </c>
      <c r="AA398" s="172" t="str">
        <f t="shared" si="90"/>
        <v>DELETE</v>
      </c>
      <c r="AB398" s="172" t="str">
        <f t="shared" si="90"/>
        <v>DELETE</v>
      </c>
      <c r="AC398" s="172" t="str">
        <f t="shared" si="90"/>
        <v>DELETE</v>
      </c>
      <c r="AD398" s="172">
        <f t="shared" si="90"/>
        <v>2.6042922296619801E-2</v>
      </c>
      <c r="AE398" s="172">
        <f t="shared" si="90"/>
        <v>4.0984842545202502E-2</v>
      </c>
      <c r="AF398" s="172">
        <f t="shared" si="90"/>
        <v>4.8934666491893701E-2</v>
      </c>
      <c r="AG398" s="150"/>
      <c r="AI398" s="137">
        <v>3</v>
      </c>
      <c r="AJ398" s="136" t="s">
        <v>237</v>
      </c>
      <c r="AK398" s="142" t="s">
        <v>246</v>
      </c>
      <c r="AL398" s="136" t="s">
        <v>552</v>
      </c>
      <c r="AM398" s="136" t="s">
        <v>203</v>
      </c>
      <c r="AN398" s="1">
        <v>7.3412433500000009</v>
      </c>
      <c r="AO398" s="166">
        <v>0.66842500000000005</v>
      </c>
      <c r="AQ398">
        <f>_xlfn.XLOOKUP(tblGWP21[[#This Row],[Material Subcategory]],ls_Mat,Factors!$K$952:$K$1023)</f>
        <v>0</v>
      </c>
      <c r="AR398" s="173"/>
      <c r="BA398" cm="1">
        <f t="array" ref="BA398:BM398">tblGWP21[#This Row]</f>
        <v>3</v>
      </c>
      <c r="BB398" t="str">
        <v>Mixed/Custom</v>
      </c>
      <c r="BC398" t="str">
        <v>Mixed Inorganics</v>
      </c>
      <c r="BD398" t="str">
        <v>South America</v>
      </c>
      <c r="BE398" t="str">
        <v>n/a</v>
      </c>
      <c r="BF398">
        <v>-7.3412433500000009</v>
      </c>
      <c r="BG398" t="str">
        <v>DELETE</v>
      </c>
      <c r="BH398" t="str">
        <v>DELETE</v>
      </c>
      <c r="BI398" t="str">
        <v>DELETE</v>
      </c>
      <c r="BJ398" t="str">
        <v>DELETE</v>
      </c>
      <c r="BK398">
        <v>2.6042922296619801E-2</v>
      </c>
      <c r="BL398">
        <v>4.0984842545202502E-2</v>
      </c>
      <c r="BM398">
        <v>4.8934666491893701E-2</v>
      </c>
    </row>
    <row r="399" spans="3:65">
      <c r="C399" s="362">
        <v>3</v>
      </c>
      <c r="D399" s="363" t="s">
        <v>247</v>
      </c>
      <c r="E399" s="362" t="s">
        <v>539</v>
      </c>
      <c r="F399" s="362" t="s">
        <v>552</v>
      </c>
      <c r="G399" s="362" t="s">
        <v>203</v>
      </c>
      <c r="H399" s="368">
        <v>-1.0569599999999999</v>
      </c>
      <c r="I399" s="368">
        <v>-0.97388179269999986</v>
      </c>
      <c r="J399" s="368">
        <v>-0.17313657289329801</v>
      </c>
      <c r="K399" s="368">
        <v>0</v>
      </c>
      <c r="L399" s="368">
        <v>0</v>
      </c>
      <c r="M399" s="368">
        <v>2.60428777320173E-2</v>
      </c>
      <c r="N399" s="368">
        <v>2.2198094085999199E-2</v>
      </c>
      <c r="O399" s="368">
        <v>4.8937457971748297E-2</v>
      </c>
      <c r="T399" s="48">
        <v>3</v>
      </c>
      <c r="U399" s="46" t="s">
        <v>237</v>
      </c>
      <c r="V399" s="53" t="s">
        <v>243</v>
      </c>
      <c r="W399" s="53" t="s">
        <v>552</v>
      </c>
      <c r="X399" s="53" t="s">
        <v>203</v>
      </c>
      <c r="Y399" s="172">
        <f>IFERROR(-tblZwaste1422[[#This Row],[Weight (kgCO2e/kg)]],0)</f>
        <v>-2.8533815875203707</v>
      </c>
      <c r="Z399" s="172" t="e">
        <f>IF(AQ399="x",(AR399*-tblZwaste1422[[#This Row],[Weight (kgCO2e/kg)]])+AS399+($AR$10*Lookups!$J$38/1000),"DELETE")</f>
        <v>#N/A</v>
      </c>
      <c r="AA399" s="172" t="str">
        <f t="shared" si="90"/>
        <v>DELETE</v>
      </c>
      <c r="AB399" s="172">
        <f t="shared" si="90"/>
        <v>-1.0281071311249455</v>
      </c>
      <c r="AC399" s="172">
        <f t="shared" si="90"/>
        <v>-1.602483635678982</v>
      </c>
      <c r="AD399" s="172">
        <f t="shared" si="90"/>
        <v>-0.47372783008290564</v>
      </c>
      <c r="AE399" s="172">
        <f t="shared" si="90"/>
        <v>-0.60541892774296602</v>
      </c>
      <c r="AF399" s="172">
        <f t="shared" si="90"/>
        <v>2.7971221813722445E-2</v>
      </c>
      <c r="AG399" s="150"/>
      <c r="AI399" s="137">
        <v>3</v>
      </c>
      <c r="AJ399" s="136" t="s">
        <v>237</v>
      </c>
      <c r="AK399" s="142" t="s">
        <v>243</v>
      </c>
      <c r="AL399" s="136" t="s">
        <v>552</v>
      </c>
      <c r="AM399" s="136" t="s">
        <v>203</v>
      </c>
      <c r="AN399" s="1">
        <v>2.8533815875203707</v>
      </c>
      <c r="AO399" s="166">
        <v>1.0711602172222223</v>
      </c>
      <c r="AQ399" t="e">
        <f>_xlfn.XLOOKUP(tblGWP21[[#This Row],[Material Subcategory]],ls_Mat,Factors!$K$952:$K$1023)</f>
        <v>#N/A</v>
      </c>
      <c r="AR399" s="173"/>
      <c r="BA399" cm="1">
        <f t="array" ref="BA399:BM399">tblGWP21[#This Row]</f>
        <v>3</v>
      </c>
      <c r="BB399" t="str">
        <v>Mixed/Custom</v>
      </c>
      <c r="BC399" t="str">
        <v>Mixed MSW</v>
      </c>
      <c r="BD399" t="str">
        <v>South America</v>
      </c>
      <c r="BE399" t="str">
        <v>n/a</v>
      </c>
      <c r="BF399">
        <v>-2.8533815875203707</v>
      </c>
      <c r="BG399" t="e">
        <v>#N/A</v>
      </c>
      <c r="BH399" t="str">
        <v>DELETE</v>
      </c>
      <c r="BI399">
        <v>-1.0281071311249455</v>
      </c>
      <c r="BJ399">
        <v>-1.602483635678982</v>
      </c>
      <c r="BK399">
        <v>-0.47372783008290564</v>
      </c>
      <c r="BL399">
        <v>-0.60541892774296602</v>
      </c>
      <c r="BM399">
        <v>2.7971221813722445E-2</v>
      </c>
    </row>
    <row r="400" spans="3:65">
      <c r="C400" s="136">
        <v>3</v>
      </c>
      <c r="D400" s="137" t="s">
        <v>247</v>
      </c>
      <c r="E400" s="136" t="s">
        <v>270</v>
      </c>
      <c r="F400" s="136" t="s">
        <v>552</v>
      </c>
      <c r="G400" s="136" t="s">
        <v>203</v>
      </c>
      <c r="H400" s="191">
        <v>-1.0505633333333335</v>
      </c>
      <c r="I400" s="191">
        <v>-0.96748512603333348</v>
      </c>
      <c r="J400" s="191">
        <v>-0.32015017608359242</v>
      </c>
      <c r="K400" s="191">
        <v>0</v>
      </c>
      <c r="L400" s="191">
        <v>0</v>
      </c>
      <c r="M400" s="191">
        <v>2.60428875296266E-2</v>
      </c>
      <c r="N400" s="191">
        <v>2.89297378114915E-2</v>
      </c>
      <c r="O400" s="191">
        <v>4.8936183219078298E-2</v>
      </c>
      <c r="T400" s="48">
        <v>3</v>
      </c>
      <c r="U400" s="46" t="s">
        <v>252</v>
      </c>
      <c r="V400" s="53" t="s">
        <v>333</v>
      </c>
      <c r="W400" s="53" t="s">
        <v>552</v>
      </c>
      <c r="X400" s="53" t="s">
        <v>203</v>
      </c>
      <c r="Y400" s="172">
        <f>IFERROR(-tblZwaste1422[[#This Row],[Weight (kgCO2e/kg)]],0)</f>
        <v>-2.0953266666666663</v>
      </c>
      <c r="Z400" s="172" t="str">
        <f>IF(AQ400="x",(AR400*-tblZwaste1422[[#This Row],[Weight (kgCO2e/kg)]])+AS400+($AR$10*Lookups!$J$38/1000),"DELETE")</f>
        <v>DELETE</v>
      </c>
      <c r="AA400" s="172">
        <f t="shared" si="90"/>
        <v>-4.4025891502648795</v>
      </c>
      <c r="AB400" s="172" t="str">
        <f t="shared" si="90"/>
        <v>DELETE</v>
      </c>
      <c r="AC400" s="172" t="str">
        <f t="shared" si="90"/>
        <v>DELETE</v>
      </c>
      <c r="AD400" s="172">
        <f t="shared" si="90"/>
        <v>2.6042894329189499E-2</v>
      </c>
      <c r="AE400" s="172">
        <f t="shared" si="90"/>
        <v>0.44395532733173598</v>
      </c>
      <c r="AF400" s="172">
        <f t="shared" si="90"/>
        <v>2.1870269324237599</v>
      </c>
      <c r="AG400" s="150"/>
      <c r="AI400" s="137">
        <v>3</v>
      </c>
      <c r="AJ400" s="136" t="s">
        <v>252</v>
      </c>
      <c r="AK400" s="142" t="s">
        <v>333</v>
      </c>
      <c r="AL400" s="136" t="s">
        <v>552</v>
      </c>
      <c r="AM400" s="136" t="s">
        <v>203</v>
      </c>
      <c r="AN400" s="1">
        <v>2.0953266666666663</v>
      </c>
      <c r="AO400" s="166">
        <v>1.77911</v>
      </c>
      <c r="AQ400">
        <f>_xlfn.XLOOKUP(tblGWP21[[#This Row],[Material Subcategory]],ls_Mat,Factors!$K$952:$K$1023)</f>
        <v>0</v>
      </c>
      <c r="AR400" s="173"/>
      <c r="BA400" cm="1">
        <f t="array" ref="BA400:BM400">tblGWP21[#This Row]</f>
        <v>3</v>
      </c>
      <c r="BB400" t="str">
        <v>Plastics</v>
      </c>
      <c r="BC400" t="str">
        <v>Mixed Plastics</v>
      </c>
      <c r="BD400" t="str">
        <v>South America</v>
      </c>
      <c r="BE400" t="str">
        <v>n/a</v>
      </c>
      <c r="BF400">
        <v>-2.0953266666666663</v>
      </c>
      <c r="BG400" t="str">
        <v>DELETE</v>
      </c>
      <c r="BH400">
        <v>-4.4025891502648795</v>
      </c>
      <c r="BI400" t="str">
        <v>DELETE</v>
      </c>
      <c r="BJ400" t="str">
        <v>DELETE</v>
      </c>
      <c r="BK400">
        <v>2.6042894329189499E-2</v>
      </c>
      <c r="BL400">
        <v>0.44395532733173598</v>
      </c>
      <c r="BM400">
        <v>2.1870269324237599</v>
      </c>
    </row>
    <row r="401" spans="3:65">
      <c r="C401" s="362">
        <v>3</v>
      </c>
      <c r="D401" s="363" t="s">
        <v>247</v>
      </c>
      <c r="E401" s="362" t="s">
        <v>540</v>
      </c>
      <c r="F401" s="362" t="s">
        <v>552</v>
      </c>
      <c r="G401" s="362" t="s">
        <v>203</v>
      </c>
      <c r="H401" s="368">
        <v>-1.0473650000000001</v>
      </c>
      <c r="I401" s="368">
        <v>-0.96428679270000006</v>
      </c>
      <c r="J401" s="368">
        <v>0</v>
      </c>
      <c r="K401" s="368">
        <v>0</v>
      </c>
      <c r="L401" s="368">
        <v>0</v>
      </c>
      <c r="M401" s="368">
        <v>2.6042870829753598E-2</v>
      </c>
      <c r="N401" s="368">
        <v>2.4702921490784801E-2</v>
      </c>
      <c r="O401" s="368">
        <v>4.8937013384659597E-2</v>
      </c>
      <c r="T401" s="48">
        <v>3</v>
      </c>
      <c r="U401" s="46" t="s">
        <v>239</v>
      </c>
      <c r="V401" s="53" t="s">
        <v>542</v>
      </c>
      <c r="W401" s="53" t="s">
        <v>552</v>
      </c>
      <c r="X401" s="53" t="s">
        <v>203</v>
      </c>
      <c r="Y401" s="172">
        <f>IFERROR(-tblZwaste1422[[#This Row],[Weight (kgCO2e/kg)]],0)</f>
        <v>-2.6644477777777777</v>
      </c>
      <c r="Z401" s="172" t="str">
        <f>IF(AQ401="x",(AR401*-tblZwaste1422[[#This Row],[Weight (kgCO2e/kg)]])+AS401+($AR$10*Lookups!$J$38/1000),"DELETE")</f>
        <v>DELETE</v>
      </c>
      <c r="AA401" s="172">
        <f t="shared" si="90"/>
        <v>-0.91191428180792811</v>
      </c>
      <c r="AB401" s="172">
        <f t="shared" si="90"/>
        <v>-1.6286344906372801</v>
      </c>
      <c r="AC401" s="172">
        <f t="shared" si="90"/>
        <v>-2.3972313350924299</v>
      </c>
      <c r="AD401" s="172">
        <f t="shared" si="90"/>
        <v>-0.66697991340315199</v>
      </c>
      <c r="AE401" s="172">
        <f t="shared" si="90"/>
        <v>-0.942225030340478</v>
      </c>
      <c r="AF401" s="172">
        <f t="shared" si="90"/>
        <v>2.74731001572785E-2</v>
      </c>
      <c r="AG401" s="150"/>
      <c r="AI401" s="137">
        <v>3</v>
      </c>
      <c r="AJ401" s="136" t="s">
        <v>239</v>
      </c>
      <c r="AK401" s="142" t="s">
        <v>542</v>
      </c>
      <c r="AL401" s="136" t="s">
        <v>552</v>
      </c>
      <c r="AM401" s="136" t="s">
        <v>203</v>
      </c>
      <c r="AN401" s="1">
        <v>2.6644477777777777</v>
      </c>
      <c r="AO401" s="166">
        <v>0.64099666666666666</v>
      </c>
      <c r="AQ401">
        <f>_xlfn.XLOOKUP(tblGWP21[[#This Row],[Material Subcategory]],ls_Mat,Factors!$K$952:$K$1023)</f>
        <v>0</v>
      </c>
      <c r="BA401" cm="1">
        <f t="array" ref="BA401:BM401">tblGWP21[#This Row]</f>
        <v>3</v>
      </c>
      <c r="BB401" t="str">
        <v>Paper</v>
      </c>
      <c r="BC401" t="str">
        <v>Mixed Paper</v>
      </c>
      <c r="BD401" t="str">
        <v>South America</v>
      </c>
      <c r="BE401" t="str">
        <v>n/a</v>
      </c>
      <c r="BF401">
        <v>-2.6644477777777777</v>
      </c>
      <c r="BG401" t="str">
        <v>DELETE</v>
      </c>
      <c r="BH401">
        <v>-0.91191428180792811</v>
      </c>
      <c r="BI401">
        <v>-1.6286344906372801</v>
      </c>
      <c r="BJ401">
        <v>-2.3972313350924299</v>
      </c>
      <c r="BK401">
        <v>-0.66697991340315199</v>
      </c>
      <c r="BL401">
        <v>-0.942225030340478</v>
      </c>
      <c r="BM401">
        <v>2.74731001572785E-2</v>
      </c>
    </row>
    <row r="402" spans="3:65">
      <c r="C402" s="136">
        <v>3</v>
      </c>
      <c r="D402" s="137" t="s">
        <v>261</v>
      </c>
      <c r="E402" s="136" t="s">
        <v>260</v>
      </c>
      <c r="F402" s="136" t="s">
        <v>552</v>
      </c>
      <c r="G402" s="136" t="s">
        <v>203</v>
      </c>
      <c r="H402" s="191">
        <v>-4.0364225925925927</v>
      </c>
      <c r="I402" s="191">
        <v>0</v>
      </c>
      <c r="J402" s="191">
        <v>0</v>
      </c>
      <c r="K402" s="191">
        <v>-0.50268967868134895</v>
      </c>
      <c r="L402" s="191">
        <v>-0.86800826709700496</v>
      </c>
      <c r="M402" s="191">
        <v>-0.17357286847922601</v>
      </c>
      <c r="N402" s="191">
        <v>-0.27119781115654301</v>
      </c>
      <c r="O402" s="191">
        <v>2.7532513622578698E-2</v>
      </c>
      <c r="T402" s="48">
        <v>3</v>
      </c>
      <c r="U402" s="46" t="s">
        <v>237</v>
      </c>
      <c r="V402" s="53" t="s">
        <v>238</v>
      </c>
      <c r="W402" s="53" t="s">
        <v>552</v>
      </c>
      <c r="X402" s="53" t="s">
        <v>203</v>
      </c>
      <c r="Y402" s="172">
        <f>IFERROR(-tblZwaste1422[[#This Row],[Weight (kgCO2e/kg)]],0)</f>
        <v>-2.7046544444444445</v>
      </c>
      <c r="Z402" s="172" t="str">
        <f>IF(AQ402="x",(AR402*-tblZwaste1422[[#This Row],[Weight (kgCO2e/kg)]])+AS402+($AR$10*Lookups!$J$38/1000),"DELETE")</f>
        <v>DELETE</v>
      </c>
      <c r="AA402" s="172" t="str">
        <f t="shared" si="90"/>
        <v>DELETE</v>
      </c>
      <c r="AB402" s="172" t="str">
        <f t="shared" si="90"/>
        <v>DELETE</v>
      </c>
      <c r="AC402" s="172" t="str">
        <f t="shared" si="90"/>
        <v>DELETE</v>
      </c>
      <c r="AD402" s="172">
        <f t="shared" si="90"/>
        <v>-0.14723567376067564</v>
      </c>
      <c r="AE402" s="172">
        <f t="shared" si="90"/>
        <v>-0.14435945193179459</v>
      </c>
      <c r="AF402" s="172">
        <f t="shared" si="90"/>
        <v>0.54347190689911018</v>
      </c>
      <c r="AG402" s="150"/>
      <c r="AI402" s="137">
        <v>3</v>
      </c>
      <c r="AJ402" s="136" t="s">
        <v>237</v>
      </c>
      <c r="AK402" s="142" t="s">
        <v>238</v>
      </c>
      <c r="AL402" s="136" t="s">
        <v>552</v>
      </c>
      <c r="AM402" s="136" t="s">
        <v>203</v>
      </c>
      <c r="AN402" s="1">
        <v>2.7046544444444445</v>
      </c>
      <c r="AO402" s="166">
        <v>1.2161291666666667</v>
      </c>
      <c r="AQ402">
        <f>_xlfn.XLOOKUP(tblGWP21[[#This Row],[Material Subcategory]],ls_Mat,Factors!$K$952:$K$1023)</f>
        <v>0</v>
      </c>
      <c r="AU402" t="s">
        <v>526</v>
      </c>
      <c r="AV402" s="347">
        <v>0.85</v>
      </c>
      <c r="BA402" cm="1">
        <f t="array" ref="BA402:BM402">tblGWP21[#This Row]</f>
        <v>3</v>
      </c>
      <c r="BB402" t="str">
        <v>Mixed/Custom</v>
      </c>
      <c r="BC402" t="str">
        <v>Mixed Recycling</v>
      </c>
      <c r="BD402" t="str">
        <v>South America</v>
      </c>
      <c r="BE402" t="str">
        <v>n/a</v>
      </c>
      <c r="BF402">
        <v>-2.7046544444444445</v>
      </c>
      <c r="BG402" t="str">
        <v>DELETE</v>
      </c>
      <c r="BH402" t="str">
        <v>DELETE</v>
      </c>
      <c r="BI402" t="str">
        <v>DELETE</v>
      </c>
      <c r="BJ402" t="str">
        <v>DELETE</v>
      </c>
      <c r="BK402">
        <v>-0.14723567376067564</v>
      </c>
      <c r="BL402">
        <v>-0.14435945193179459</v>
      </c>
      <c r="BM402">
        <v>0.54347190689911018</v>
      </c>
    </row>
    <row r="403" spans="3:65">
      <c r="C403" s="362">
        <v>3</v>
      </c>
      <c r="D403" s="363" t="s">
        <v>10157</v>
      </c>
      <c r="E403" s="362" t="s">
        <v>237</v>
      </c>
      <c r="F403" s="362" t="s">
        <v>552</v>
      </c>
      <c r="G403" s="362" t="s">
        <v>203</v>
      </c>
      <c r="H403" s="368">
        <v>-2.8533815875203707</v>
      </c>
      <c r="I403" s="368">
        <v>-1.4249189937601854</v>
      </c>
      <c r="J403" s="368">
        <v>0</v>
      </c>
      <c r="K403" s="368">
        <v>0</v>
      </c>
      <c r="L403" s="368">
        <v>0</v>
      </c>
      <c r="M403" s="368">
        <v>-0.47372783008290564</v>
      </c>
      <c r="N403" s="368">
        <v>-0.60541892774296602</v>
      </c>
      <c r="O403" s="368">
        <v>2.7971221813722445E-2</v>
      </c>
      <c r="T403" s="48">
        <v>3</v>
      </c>
      <c r="U403" s="46" t="s">
        <v>264</v>
      </c>
      <c r="V403" s="53" t="s">
        <v>264</v>
      </c>
      <c r="W403" s="53" t="s">
        <v>552</v>
      </c>
      <c r="X403" s="53" t="s">
        <v>203</v>
      </c>
      <c r="Y403" s="172">
        <f>IFERROR(-tblZwaste1422[[#This Row],[Weight (kgCO2e/kg)]],0)</f>
        <v>-1.9287117500000002</v>
      </c>
      <c r="Z403" s="172" t="e">
        <f>IF(AQ403="x",(AR403*-tblZwaste1422[[#This Row],[Weight (kgCO2e/kg)]])+AS403+($AR$10*Lookups!$J$38/1000),"DELETE")</f>
        <v>#N/A</v>
      </c>
      <c r="AA403" s="172">
        <f>AA407</f>
        <v>0.15112249999999994</v>
      </c>
      <c r="AB403" s="172" t="str">
        <f t="shared" si="90"/>
        <v>DELETE</v>
      </c>
      <c r="AC403" s="172" t="str">
        <f t="shared" si="90"/>
        <v>DELETE</v>
      </c>
      <c r="AD403" s="172">
        <f t="shared" si="90"/>
        <v>-0.35869868218287954</v>
      </c>
      <c r="AE403" s="172">
        <f t="shared" si="90"/>
        <v>-0.59757324967558434</v>
      </c>
      <c r="AF403" s="172">
        <f t="shared" si="90"/>
        <v>0.46009777689536741</v>
      </c>
      <c r="AG403" s="150"/>
      <c r="AI403" s="137">
        <v>3</v>
      </c>
      <c r="AJ403" s="136" t="s">
        <v>264</v>
      </c>
      <c r="AK403" s="142" t="s">
        <v>264</v>
      </c>
      <c r="AL403" s="136" t="s">
        <v>552</v>
      </c>
      <c r="AM403" s="136" t="s">
        <v>203</v>
      </c>
      <c r="AN403" s="1">
        <v>1.9287117500000002</v>
      </c>
      <c r="AO403" s="166">
        <v>0.467055</v>
      </c>
      <c r="AQ403" t="e">
        <f>_xlfn.XLOOKUP(tblGWP21[[#This Row],[Material Subcategory]],ls_Mat,Factors!$K$952:$K$1023)</f>
        <v>#N/A</v>
      </c>
      <c r="AR403" s="173">
        <v>0.65</v>
      </c>
      <c r="AS403">
        <v>0.14482945764999999</v>
      </c>
      <c r="AT403" t="s">
        <v>541</v>
      </c>
      <c r="AU403" t="s">
        <v>526</v>
      </c>
      <c r="AV403" s="347">
        <v>0.7</v>
      </c>
      <c r="BA403" cm="1">
        <f t="array" ref="BA403:BM403">tblGWP21[#This Row]</f>
        <v>3</v>
      </c>
      <c r="BB403" t="str">
        <v>Furniture/Textiles</v>
      </c>
      <c r="BC403" t="str">
        <v>Furniture/Textiles</v>
      </c>
      <c r="BD403" t="str">
        <v>South America</v>
      </c>
      <c r="BE403" t="str">
        <v>n/a</v>
      </c>
      <c r="BF403">
        <v>-1.9287117500000002</v>
      </c>
      <c r="BG403" t="e">
        <v>#N/A</v>
      </c>
      <c r="BH403">
        <v>0.15112249999999994</v>
      </c>
      <c r="BI403" t="str">
        <v>DELETE</v>
      </c>
      <c r="BJ403" t="str">
        <v>DELETE</v>
      </c>
      <c r="BK403">
        <v>-0.35869868218287954</v>
      </c>
      <c r="BL403">
        <v>-0.59757324967558434</v>
      </c>
      <c r="BM403">
        <v>0.46009777689536741</v>
      </c>
    </row>
    <row r="404" spans="3:65">
      <c r="C404" s="136">
        <v>3</v>
      </c>
      <c r="D404" s="137" t="s">
        <v>10157</v>
      </c>
      <c r="E404" s="136" t="s">
        <v>246</v>
      </c>
      <c r="F404" s="136" t="s">
        <v>552</v>
      </c>
      <c r="G404" s="136" t="s">
        <v>203</v>
      </c>
      <c r="H404" s="191">
        <v>-7.3412433500000009</v>
      </c>
      <c r="I404" s="191">
        <v>0</v>
      </c>
      <c r="J404" s="191">
        <v>0</v>
      </c>
      <c r="K404" s="191">
        <v>0</v>
      </c>
      <c r="L404" s="191">
        <v>0</v>
      </c>
      <c r="M404" s="191">
        <v>2.6042922296619801E-2</v>
      </c>
      <c r="N404" s="191">
        <v>4.0984842545202502E-2</v>
      </c>
      <c r="O404" s="191">
        <v>4.8934666491893701E-2</v>
      </c>
      <c r="T404" s="48">
        <v>3</v>
      </c>
      <c r="U404" s="46" t="s">
        <v>264</v>
      </c>
      <c r="V404" s="53" t="s">
        <v>336</v>
      </c>
      <c r="W404" s="53" t="s">
        <v>552</v>
      </c>
      <c r="X404" s="53" t="s">
        <v>203</v>
      </c>
      <c r="Y404" s="172">
        <f>IFERROR(-tblZwaste1422[[#This Row],[Weight (kgCO2e/kg)]],0)</f>
        <v>-0.76351350000000007</v>
      </c>
      <c r="Z404" s="172">
        <f>IF(AQ404="x",(AR404*-tblZwaste1422[[#This Row],[Weight (kgCO2e/kg)]])+AS404+($AR$10*Lookups!$J$38/1000),"DELETE")</f>
        <v>-0.34968251735000005</v>
      </c>
      <c r="AA404" s="172" t="str">
        <f t="shared" si="90"/>
        <v>DELETE</v>
      </c>
      <c r="AB404" s="172">
        <f t="shared" si="90"/>
        <v>-1.64655650896596</v>
      </c>
      <c r="AC404" s="172">
        <f t="shared" si="90"/>
        <v>-2.6336365493502698</v>
      </c>
      <c r="AD404" s="172">
        <f t="shared" si="90"/>
        <v>-1.0033131033753351</v>
      </c>
      <c r="AE404" s="172">
        <f t="shared" si="90"/>
        <v>-0.83241615029836658</v>
      </c>
      <c r="AF404" s="172">
        <f t="shared" si="90"/>
        <v>0.21089953370705883</v>
      </c>
      <c r="AG404" s="150"/>
      <c r="AI404" s="137">
        <v>3</v>
      </c>
      <c r="AJ404" s="136" t="s">
        <v>264</v>
      </c>
      <c r="AK404" s="142" t="s">
        <v>336</v>
      </c>
      <c r="AL404" s="136" t="s">
        <v>552</v>
      </c>
      <c r="AM404" s="136" t="s">
        <v>203</v>
      </c>
      <c r="AN404" s="1">
        <v>0.76351350000000007</v>
      </c>
      <c r="AO404" s="166">
        <v>0.43603999999999998</v>
      </c>
      <c r="AQ404" t="str">
        <f>_xlfn.XLOOKUP(tblGWP21[[#This Row],[Material Subcategory]],ls_Mat,Factors!$K$952:$K$1023)</f>
        <v>x</v>
      </c>
      <c r="AR404" s="173">
        <v>0.65</v>
      </c>
      <c r="AS404">
        <v>0.14482945764999999</v>
      </c>
      <c r="AT404" t="s">
        <v>541</v>
      </c>
      <c r="AU404" t="s">
        <v>526</v>
      </c>
      <c r="AV404" s="347">
        <v>0.8</v>
      </c>
      <c r="BA404" cm="1">
        <f t="array" ref="BA404:BM404">tblGWP21[#This Row]</f>
        <v>3</v>
      </c>
      <c r="BB404" t="str">
        <v>Furniture/Textiles</v>
      </c>
      <c r="BC404" t="str">
        <v>Furniture</v>
      </c>
      <c r="BD404" t="str">
        <v>South America</v>
      </c>
      <c r="BE404" t="str">
        <v>n/a</v>
      </c>
      <c r="BF404">
        <v>-0.76351350000000007</v>
      </c>
      <c r="BG404">
        <v>-0.34968251735000005</v>
      </c>
      <c r="BH404" t="str">
        <v>DELETE</v>
      </c>
      <c r="BI404">
        <v>-1.64655650896596</v>
      </c>
      <c r="BJ404">
        <v>-2.6336365493502698</v>
      </c>
      <c r="BK404">
        <v>-1.0033131033753351</v>
      </c>
      <c r="BL404">
        <v>-0.83241615029836658</v>
      </c>
      <c r="BM404">
        <v>0.21089953370705883</v>
      </c>
    </row>
    <row r="405" spans="3:65">
      <c r="C405" s="362">
        <v>3</v>
      </c>
      <c r="D405" s="363" t="s">
        <v>10157</v>
      </c>
      <c r="E405" s="362" t="s">
        <v>243</v>
      </c>
      <c r="F405" s="362" t="s">
        <v>552</v>
      </c>
      <c r="G405" s="362" t="s">
        <v>203</v>
      </c>
      <c r="H405" s="368">
        <v>-2.8533815875203707</v>
      </c>
      <c r="I405" s="368">
        <v>0</v>
      </c>
      <c r="J405" s="368">
        <v>0</v>
      </c>
      <c r="K405" s="368">
        <v>-1.0281071311249455</v>
      </c>
      <c r="L405" s="368">
        <v>-1.602483635678982</v>
      </c>
      <c r="M405" s="368">
        <v>-0.47372783008290564</v>
      </c>
      <c r="N405" s="368">
        <v>-0.60541892774296602</v>
      </c>
      <c r="O405" s="368">
        <v>2.7971221813722445E-2</v>
      </c>
      <c r="T405" s="48">
        <v>3</v>
      </c>
      <c r="U405" s="46" t="s">
        <v>242</v>
      </c>
      <c r="V405" s="53" t="s">
        <v>251</v>
      </c>
      <c r="W405" s="53" t="s">
        <v>552</v>
      </c>
      <c r="X405" s="53" t="s">
        <v>203</v>
      </c>
      <c r="Y405" s="172">
        <f>IFERROR(-tblZwaste1422[[#This Row],[Weight (kgCO2e/kg)]],0)</f>
        <v>-4.9218200000000003</v>
      </c>
      <c r="Z405" s="172">
        <f>IF(AQ405="x",(AR405*-tblZwaste1422[[#This Row],[Weight (kgCO2e/kg)]])+AS405+($AR$10*Lookups!$J$38/1000),"DELETE")</f>
        <v>-3.5665477000000001</v>
      </c>
      <c r="AA405" s="172">
        <v>-1.2190350000000001</v>
      </c>
      <c r="AB405" s="172" t="str">
        <f t="shared" si="90"/>
        <v>DELETE</v>
      </c>
      <c r="AC405" s="172" t="str">
        <f t="shared" si="90"/>
        <v>DELETE</v>
      </c>
      <c r="AD405" s="172">
        <f t="shared" si="90"/>
        <v>2.5969732332329142E-2</v>
      </c>
      <c r="AE405" s="172">
        <f t="shared" si="90"/>
        <v>0.1425399624297638</v>
      </c>
      <c r="AF405" s="172">
        <f t="shared" si="90"/>
        <v>0.84877827098641234</v>
      </c>
      <c r="AG405" s="150"/>
      <c r="AI405" s="137">
        <v>3</v>
      </c>
      <c r="AJ405" s="136" t="s">
        <v>242</v>
      </c>
      <c r="AK405" s="142" t="s">
        <v>251</v>
      </c>
      <c r="AL405" s="136" t="s">
        <v>552</v>
      </c>
      <c r="AM405" s="136" t="s">
        <v>203</v>
      </c>
      <c r="AN405" s="1">
        <v>4.9218200000000003</v>
      </c>
      <c r="AO405" s="166">
        <v>0.15096000000000001</v>
      </c>
      <c r="AQ405" t="str">
        <f>_xlfn.XLOOKUP(tblGWP21[[#This Row],[Material Subcategory]],ls_Mat,Factors!$K$952:$K$1023)</f>
        <v>x</v>
      </c>
      <c r="AR405" s="173">
        <v>0.72499999999999998</v>
      </c>
      <c r="AS405">
        <v>0</v>
      </c>
      <c r="AT405" t="s">
        <v>527</v>
      </c>
      <c r="AU405" t="s">
        <v>526</v>
      </c>
      <c r="AV405" s="347">
        <v>0.7</v>
      </c>
      <c r="BA405" cm="1">
        <f t="array" ref="BA405:BM405">tblGWP21[#This Row]</f>
        <v>3</v>
      </c>
      <c r="BB405" t="str">
        <v>Electronics</v>
      </c>
      <c r="BC405" t="str">
        <v>Appliances</v>
      </c>
      <c r="BD405" t="str">
        <v>South America</v>
      </c>
      <c r="BE405" t="str">
        <v>n/a</v>
      </c>
      <c r="BF405">
        <v>-4.9218200000000003</v>
      </c>
      <c r="BG405">
        <v>-3.5665477000000001</v>
      </c>
      <c r="BH405">
        <v>-1.2190350000000001</v>
      </c>
      <c r="BI405" t="str">
        <v>DELETE</v>
      </c>
      <c r="BJ405" t="str">
        <v>DELETE</v>
      </c>
      <c r="BK405">
        <v>2.5969732332329142E-2</v>
      </c>
      <c r="BL405">
        <v>0.1425399624297638</v>
      </c>
      <c r="BM405">
        <v>0.84877827098641234</v>
      </c>
    </row>
    <row r="406" spans="3:65">
      <c r="C406" s="136">
        <v>3</v>
      </c>
      <c r="D406" s="137" t="s">
        <v>252</v>
      </c>
      <c r="E406" s="136" t="s">
        <v>333</v>
      </c>
      <c r="F406" s="136" t="s">
        <v>552</v>
      </c>
      <c r="G406" s="136" t="s">
        <v>203</v>
      </c>
      <c r="H406" s="191">
        <v>-2.0953266666666663</v>
      </c>
      <c r="I406" s="191">
        <v>0</v>
      </c>
      <c r="J406" s="191">
        <v>-4.4025891502648795</v>
      </c>
      <c r="K406" s="191">
        <v>0</v>
      </c>
      <c r="L406" s="191">
        <v>0</v>
      </c>
      <c r="M406" s="191">
        <v>2.6042894329189499E-2</v>
      </c>
      <c r="N406" s="191">
        <v>0.44395532733173598</v>
      </c>
      <c r="O406" s="191">
        <v>2.1870269324237599</v>
      </c>
      <c r="T406" s="48">
        <v>3</v>
      </c>
      <c r="U406" s="46" t="s">
        <v>242</v>
      </c>
      <c r="V406" s="53" t="s">
        <v>543</v>
      </c>
      <c r="W406" s="53" t="s">
        <v>552</v>
      </c>
      <c r="X406" s="53" t="s">
        <v>203</v>
      </c>
      <c r="Y406" s="172">
        <f>IFERROR(-tblZwaste1422[[#This Row],[Weight (kgCO2e/kg)]],0)</f>
        <v>-1.00081</v>
      </c>
      <c r="Z406" s="172">
        <f>IF(AQ406="x",(AR406*-tblZwaste1422[[#This Row],[Weight (kgCO2e/kg)]])+AS406+($AR$10*Lookups!$J$38/1000),"DELETE")</f>
        <v>-0.72381545000000003</v>
      </c>
      <c r="AA406" s="172">
        <v>-0.20626249999999999</v>
      </c>
      <c r="AB406" s="172" t="str">
        <f t="shared" si="90"/>
        <v>DELETE</v>
      </c>
      <c r="AC406" s="172" t="str">
        <f t="shared" si="90"/>
        <v>DELETE</v>
      </c>
      <c r="AD406" s="172">
        <f t="shared" si="90"/>
        <v>2.5860000000000001E-2</v>
      </c>
      <c r="AE406" s="172">
        <f t="shared" si="90"/>
        <v>4.0984842545202599E-2</v>
      </c>
      <c r="AF406" s="172">
        <f t="shared" si="90"/>
        <v>4.8934666491893597E-2</v>
      </c>
      <c r="AG406" s="150"/>
      <c r="AI406" s="137">
        <v>3</v>
      </c>
      <c r="AJ406" s="136" t="s">
        <v>242</v>
      </c>
      <c r="AK406" s="142" t="s">
        <v>543</v>
      </c>
      <c r="AL406" s="136" t="s">
        <v>552</v>
      </c>
      <c r="AM406" s="136" t="s">
        <v>203</v>
      </c>
      <c r="AN406" s="1">
        <v>1.00081</v>
      </c>
      <c r="AO406" s="166">
        <v>0.33138000000000001</v>
      </c>
      <c r="AQ406" t="str">
        <f>_xlfn.XLOOKUP(tblGWP21[[#This Row],[Material Subcategory]],ls_Mat,Factors!$K$952:$K$1023)</f>
        <v>x</v>
      </c>
      <c r="AR406" s="173">
        <v>0.72499999999999998</v>
      </c>
      <c r="AS406">
        <v>0</v>
      </c>
      <c r="AT406" t="s">
        <v>527</v>
      </c>
      <c r="AV406" s="347"/>
      <c r="BA406" cm="1">
        <f t="array" ref="BA406:BM406">tblGWP21[#This Row]</f>
        <v>3</v>
      </c>
      <c r="BB406" t="str">
        <v>Electronics</v>
      </c>
      <c r="BC406" t="str">
        <v>Lightbulb/Lamps</v>
      </c>
      <c r="BD406" t="str">
        <v>South America</v>
      </c>
      <c r="BE406" t="str">
        <v>n/a</v>
      </c>
      <c r="BF406">
        <v>-1.00081</v>
      </c>
      <c r="BG406">
        <v>-0.72381545000000003</v>
      </c>
      <c r="BH406">
        <v>-0.20626249999999999</v>
      </c>
      <c r="BI406" t="str">
        <v>DELETE</v>
      </c>
      <c r="BJ406" t="str">
        <v>DELETE</v>
      </c>
      <c r="BK406">
        <v>2.5860000000000001E-2</v>
      </c>
      <c r="BL406">
        <v>4.0984842545202599E-2</v>
      </c>
      <c r="BM406">
        <v>4.8934666491893597E-2</v>
      </c>
    </row>
    <row r="407" spans="3:65">
      <c r="C407" s="362">
        <v>3</v>
      </c>
      <c r="D407" s="363" t="s">
        <v>239</v>
      </c>
      <c r="E407" s="362" t="s">
        <v>542</v>
      </c>
      <c r="F407" s="362" t="s">
        <v>552</v>
      </c>
      <c r="G407" s="362" t="s">
        <v>203</v>
      </c>
      <c r="H407" s="368">
        <v>-2.6644477777777777</v>
      </c>
      <c r="I407" s="368">
        <v>0</v>
      </c>
      <c r="J407" s="368">
        <v>-0.91191428180792811</v>
      </c>
      <c r="K407" s="368">
        <v>-1.6286344906372801</v>
      </c>
      <c r="L407" s="368">
        <v>-2.3972313350924299</v>
      </c>
      <c r="M407" s="368">
        <v>-0.66697991340315199</v>
      </c>
      <c r="N407" s="368">
        <v>-0.942225030340478</v>
      </c>
      <c r="O407" s="368">
        <v>2.74731001572785E-2</v>
      </c>
      <c r="T407" s="48">
        <v>3</v>
      </c>
      <c r="U407" s="46" t="s">
        <v>264</v>
      </c>
      <c r="V407" s="53" t="s">
        <v>544</v>
      </c>
      <c r="W407" s="53" t="s">
        <v>552</v>
      </c>
      <c r="X407" s="53" t="s">
        <v>203</v>
      </c>
      <c r="Y407" s="172">
        <f>IFERROR(-tblZwaste1422[[#This Row],[Weight (kgCO2e/kg)]],0)</f>
        <v>-3.0939100000000002</v>
      </c>
      <c r="Z407" s="172">
        <f>IF(AQ407="x",(AR407*-tblZwaste1422[[#This Row],[Weight (kgCO2e/kg)]])+AS407+($AR$10*Lookups!$J$38/1000),"DELETE")</f>
        <v>-1.8644402423500002</v>
      </c>
      <c r="AA407" s="172">
        <f t="shared" ref="AA407:AF408" si="91">AA911</f>
        <v>0.15112249999999994</v>
      </c>
      <c r="AB407" s="172" t="str">
        <f t="shared" si="91"/>
        <v>DELETE</v>
      </c>
      <c r="AC407" s="172" t="str">
        <f t="shared" si="91"/>
        <v>DELETE</v>
      </c>
      <c r="AD407" s="172">
        <f t="shared" si="91"/>
        <v>0.28591573900957601</v>
      </c>
      <c r="AE407" s="172">
        <f t="shared" si="91"/>
        <v>-0.36273034905280199</v>
      </c>
      <c r="AF407" s="172">
        <f t="shared" si="91"/>
        <v>0.70929602008367598</v>
      </c>
      <c r="AG407" s="150"/>
      <c r="AI407" s="137">
        <v>3</v>
      </c>
      <c r="AJ407" s="136" t="s">
        <v>264</v>
      </c>
      <c r="AK407" s="142" t="s">
        <v>544</v>
      </c>
      <c r="AL407" s="136" t="s">
        <v>552</v>
      </c>
      <c r="AM407" s="136" t="s">
        <v>203</v>
      </c>
      <c r="AN407" s="1">
        <v>3.0939100000000002</v>
      </c>
      <c r="AO407" s="166">
        <v>0.49807000000000001</v>
      </c>
      <c r="AQ407" t="str">
        <f>_xlfn.XLOOKUP(tblGWP21[[#This Row],[Material Subcategory]],ls_Mat,Factors!$K$952:$K$1023)</f>
        <v>x</v>
      </c>
      <c r="AR407" s="173">
        <v>0.65</v>
      </c>
      <c r="AS407">
        <v>0.14482945764999999</v>
      </c>
      <c r="AT407" t="s">
        <v>541</v>
      </c>
      <c r="BA407" cm="1">
        <f t="array" ref="BA407:BM407">tblGWP21[#This Row]</f>
        <v>3</v>
      </c>
      <c r="BB407" t="str">
        <v>Furniture/Textiles</v>
      </c>
      <c r="BC407" t="str">
        <v>Textiles</v>
      </c>
      <c r="BD407" t="str">
        <v>South America</v>
      </c>
      <c r="BE407" t="str">
        <v>n/a</v>
      </c>
      <c r="BF407">
        <v>-3.0939100000000002</v>
      </c>
      <c r="BG407">
        <v>-1.8644402423500002</v>
      </c>
      <c r="BH407">
        <v>0.15112249999999994</v>
      </c>
      <c r="BI407" t="str">
        <v>DELETE</v>
      </c>
      <c r="BJ407" t="str">
        <v>DELETE</v>
      </c>
      <c r="BK407">
        <v>0.28591573900957601</v>
      </c>
      <c r="BL407">
        <v>-0.36273034905280199</v>
      </c>
      <c r="BM407">
        <v>0.70929602008367598</v>
      </c>
    </row>
    <row r="408" spans="3:65">
      <c r="C408" s="136">
        <v>3</v>
      </c>
      <c r="D408" s="137" t="s">
        <v>10157</v>
      </c>
      <c r="E408" s="136" t="s">
        <v>238</v>
      </c>
      <c r="F408" s="136" t="s">
        <v>552</v>
      </c>
      <c r="G408" s="136" t="s">
        <v>203</v>
      </c>
      <c r="H408" s="191">
        <v>-2.7046544444444445</v>
      </c>
      <c r="I408" s="191">
        <v>0</v>
      </c>
      <c r="J408" s="191">
        <v>0</v>
      </c>
      <c r="K408" s="191">
        <v>0</v>
      </c>
      <c r="L408" s="191">
        <v>0</v>
      </c>
      <c r="M408" s="191">
        <v>-0.14723567376067564</v>
      </c>
      <c r="N408" s="191">
        <v>-0.14435945193179459</v>
      </c>
      <c r="O408" s="191">
        <v>0.54347190689911018</v>
      </c>
      <c r="T408" s="48">
        <v>3</v>
      </c>
      <c r="U408" s="46" t="s">
        <v>237</v>
      </c>
      <c r="V408" s="53" t="s">
        <v>545</v>
      </c>
      <c r="W408" s="53" t="s">
        <v>552</v>
      </c>
      <c r="X408" s="53" t="s">
        <v>203</v>
      </c>
      <c r="Y408" s="172">
        <f>IFERROR(-tblZwaste1422[[#This Row],[Weight (kgCO2e/kg)]],0)</f>
        <v>-2.8533815875203707</v>
      </c>
      <c r="Z408" s="172" t="str">
        <f>IF(AQ408="x",(AR408*-tblZwaste1422[[#This Row],[Weight (kgCO2e/kg)]])+AS408+($AR$10*Lookups!$J$38/1000),"DELETE")</f>
        <v>DELETE</v>
      </c>
      <c r="AA408" s="172" t="str">
        <f t="shared" si="91"/>
        <v>DELETE</v>
      </c>
      <c r="AB408" s="172" t="str">
        <f t="shared" si="91"/>
        <v>DELETE</v>
      </c>
      <c r="AC408" s="172" t="str">
        <f t="shared" si="91"/>
        <v>DELETE</v>
      </c>
      <c r="AD408" s="172">
        <f t="shared" si="91"/>
        <v>-0.47372783008290564</v>
      </c>
      <c r="AE408" s="172">
        <f t="shared" si="91"/>
        <v>-0.60541892774296602</v>
      </c>
      <c r="AF408" s="172">
        <f t="shared" si="91"/>
        <v>2.7971221813722445E-2</v>
      </c>
      <c r="AG408" s="150"/>
      <c r="AI408" s="137">
        <v>3</v>
      </c>
      <c r="AJ408" s="136" t="s">
        <v>237</v>
      </c>
      <c r="AK408" s="142" t="s">
        <v>545</v>
      </c>
      <c r="AL408" s="136" t="s">
        <v>552</v>
      </c>
      <c r="AM408" s="136" t="s">
        <v>203</v>
      </c>
      <c r="AN408" s="1">
        <v>2.8533815875203707</v>
      </c>
      <c r="AO408" s="166">
        <v>1.0711602172222223</v>
      </c>
      <c r="AQ408">
        <f>_xlfn.XLOOKUP(tblGWP21[[#This Row],[Material Subcategory]],ls_Mat,Factors!$K$952:$K$1023)</f>
        <v>0</v>
      </c>
      <c r="BA408" cm="1">
        <f t="array" ref="BA408:BM408">tblGWP21[#This Row]</f>
        <v>3</v>
      </c>
      <c r="BB408" t="str">
        <v>Mixed/Custom</v>
      </c>
      <c r="BC408" t="str">
        <v>General other</v>
      </c>
      <c r="BD408" t="str">
        <v>South America</v>
      </c>
      <c r="BE408" t="str">
        <v>n/a</v>
      </c>
      <c r="BF408">
        <v>-2.8533815875203707</v>
      </c>
      <c r="BG408" t="str">
        <v>DELETE</v>
      </c>
      <c r="BH408" t="str">
        <v>DELETE</v>
      </c>
      <c r="BI408" t="str">
        <v>DELETE</v>
      </c>
      <c r="BJ408" t="str">
        <v>DELETE</v>
      </c>
      <c r="BK408">
        <v>-0.47372783008290564</v>
      </c>
      <c r="BL408">
        <v>-0.60541892774296602</v>
      </c>
      <c r="BM408">
        <v>2.7971221813722445E-2</v>
      </c>
    </row>
    <row r="409" spans="3:65">
      <c r="C409" s="362">
        <v>3</v>
      </c>
      <c r="D409" s="363" t="s">
        <v>264</v>
      </c>
      <c r="E409" s="362" t="s">
        <v>264</v>
      </c>
      <c r="F409" s="362" t="s">
        <v>552</v>
      </c>
      <c r="G409" s="362" t="s">
        <v>203</v>
      </c>
      <c r="H409" s="368">
        <v>-1.9287117500000002</v>
      </c>
      <c r="I409" s="368">
        <v>-1.1070613798500002</v>
      </c>
      <c r="J409" s="368">
        <v>0.15112249999999994</v>
      </c>
      <c r="K409" s="368">
        <v>0</v>
      </c>
      <c r="L409" s="368">
        <v>0</v>
      </c>
      <c r="M409" s="368">
        <v>-0.35869868218287954</v>
      </c>
      <c r="N409" s="368">
        <v>-0.59757324967558434</v>
      </c>
      <c r="O409" s="368">
        <v>0.46009777689536741</v>
      </c>
      <c r="T409" s="48">
        <v>5</v>
      </c>
      <c r="U409" s="46" t="s">
        <v>233</v>
      </c>
      <c r="V409" s="53" t="s">
        <v>233</v>
      </c>
      <c r="W409" s="53" t="s">
        <v>547</v>
      </c>
      <c r="X409" s="53" t="s">
        <v>553</v>
      </c>
      <c r="Y409" s="172">
        <f>IFERROR(-tblZwaste1422[[#This Row],[Weight (kgCO2e/kg)]],0)</f>
        <v>0</v>
      </c>
      <c r="Z409" s="172">
        <f>AVERAGE(Z413:Z415)</f>
        <v>-0.13905086666666666</v>
      </c>
      <c r="AA409" s="176" t="s">
        <v>567</v>
      </c>
      <c r="AB409" s="172">
        <v>-1.4456674291972054</v>
      </c>
      <c r="AC409" s="172">
        <v>-2.0444339077338718</v>
      </c>
      <c r="AD409" s="172">
        <v>-0.99826878978042755</v>
      </c>
      <c r="AE409" s="172">
        <v>-0.83132097591593268</v>
      </c>
      <c r="AF409" s="172">
        <v>3.3140228838686371E-2</v>
      </c>
      <c r="AG409" s="150"/>
      <c r="AI409" s="137">
        <v>5</v>
      </c>
      <c r="AJ409" s="136"/>
      <c r="AK409" s="142"/>
      <c r="AL409" s="136" t="s">
        <v>547</v>
      </c>
      <c r="AM409" s="136" t="s">
        <v>553</v>
      </c>
      <c r="AN409" s="1" t="s">
        <v>525</v>
      </c>
      <c r="AO409" s="166" t="s">
        <v>525</v>
      </c>
      <c r="AQ409" t="e">
        <f>_xlfn.XLOOKUP(tblGWP21[[#This Row],[Material Subcategory]],ls_Mat,Factors!$K$952:$K$1023)</f>
        <v>#N/A</v>
      </c>
      <c r="AR409" s="173">
        <v>0.77500000000000002</v>
      </c>
      <c r="AS409">
        <v>0</v>
      </c>
      <c r="AT409" t="s">
        <v>527</v>
      </c>
      <c r="AX409" t="s">
        <v>554</v>
      </c>
      <c r="BA409" cm="1">
        <f t="array" ref="BA409:BM409">tblGWP21[#This Row]</f>
        <v>5</v>
      </c>
      <c r="BB409" t="str">
        <v>Wood/Yard Trimmings</v>
      </c>
      <c r="BC409" t="str">
        <v>Wood/Yard Trimmings</v>
      </c>
      <c r="BD409" t="str">
        <v>Asia</v>
      </c>
      <c r="BE409" t="str">
        <v>China</v>
      </c>
      <c r="BF409">
        <v>0</v>
      </c>
      <c r="BG409">
        <v>-0.13905086666666666</v>
      </c>
      <c r="BH409" t="str">
        <v>DELETE</v>
      </c>
      <c r="BI409">
        <v>-1.4456674291972054</v>
      </c>
      <c r="BJ409">
        <v>-2.0444339077338718</v>
      </c>
      <c r="BK409">
        <v>-0.99826878978042755</v>
      </c>
      <c r="BL409">
        <v>-0.83132097591593268</v>
      </c>
      <c r="BM409">
        <v>3.3140228838686371E-2</v>
      </c>
    </row>
    <row r="410" spans="3:65" ht="28.8">
      <c r="C410" s="136">
        <v>3</v>
      </c>
      <c r="D410" s="137" t="s">
        <v>264</v>
      </c>
      <c r="E410" s="136" t="s">
        <v>336</v>
      </c>
      <c r="F410" s="136" t="s">
        <v>552</v>
      </c>
      <c r="G410" s="136" t="s">
        <v>203</v>
      </c>
      <c r="H410" s="191">
        <v>-0.76351350000000007</v>
      </c>
      <c r="I410" s="191">
        <v>-0.34968251735000005</v>
      </c>
      <c r="J410" s="191">
        <v>0</v>
      </c>
      <c r="K410" s="191">
        <v>-1.64655650896596</v>
      </c>
      <c r="L410" s="191">
        <v>-2.6336365493502698</v>
      </c>
      <c r="M410" s="191">
        <v>-1.0033131033753351</v>
      </c>
      <c r="N410" s="191">
        <v>-0.83241615029836658</v>
      </c>
      <c r="O410" s="191">
        <v>0.21089953370705883</v>
      </c>
      <c r="T410" s="48">
        <v>5</v>
      </c>
      <c r="U410" s="46" t="s">
        <v>233</v>
      </c>
      <c r="V410" s="53" t="s">
        <v>250</v>
      </c>
      <c r="W410" s="53" t="s">
        <v>547</v>
      </c>
      <c r="X410" s="53" t="s">
        <v>553</v>
      </c>
      <c r="Y410" s="172">
        <f>IFERROR(-tblZwaste1422[[#This Row],[Weight (kgCO2e/kg)]],0)</f>
        <v>0</v>
      </c>
      <c r="Z410" s="172" t="str">
        <f>IF(AQ410="x",(AR410*-tblZwaste1422[[#This Row],[Weight (kgCO2e/kg)]])+AS410+($AR$10*Lookups!$J$38/1000),"DELETE")</f>
        <v>DELETE</v>
      </c>
      <c r="AA410" s="176" t="s">
        <v>567</v>
      </c>
      <c r="AB410" s="172">
        <v>-1.74425976433385</v>
      </c>
      <c r="AC410" s="172">
        <v>-2.1449542323934998</v>
      </c>
      <c r="AD410" s="172">
        <v>-1.01549446806522</v>
      </c>
      <c r="AE410" s="172">
        <v>-0.89097302690825297</v>
      </c>
      <c r="AF410" s="172">
        <v>2.8431520236520801E-2</v>
      </c>
      <c r="AG410" s="150"/>
      <c r="AI410" s="137">
        <v>5</v>
      </c>
      <c r="AJ410" s="136"/>
      <c r="AK410" s="142"/>
      <c r="AL410" s="136" t="s">
        <v>547</v>
      </c>
      <c r="AM410" s="136" t="s">
        <v>553</v>
      </c>
      <c r="AN410" s="1" t="s">
        <v>525</v>
      </c>
      <c r="AO410" s="166" t="s">
        <v>525</v>
      </c>
      <c r="AQ410">
        <f>_xlfn.XLOOKUP(tblGWP21[[#This Row],[Material Subcategory]],ls_Mat,Factors!$K$952:$K$1023)</f>
        <v>0</v>
      </c>
      <c r="AU410" t="s">
        <v>526</v>
      </c>
      <c r="AV410" s="347">
        <v>0.8</v>
      </c>
      <c r="AX410" t="s">
        <v>555</v>
      </c>
      <c r="BA410" cm="1">
        <f t="array" ref="BA410:BM410">tblGWP21[#This Row]</f>
        <v>5</v>
      </c>
      <c r="BB410" t="str">
        <v>Wood/Yard Trimmings</v>
      </c>
      <c r="BC410" t="str">
        <v>Yard Trimmings – Leaves</v>
      </c>
      <c r="BD410" t="str">
        <v>Asia</v>
      </c>
      <c r="BE410" t="str">
        <v>China</v>
      </c>
      <c r="BF410">
        <v>0</v>
      </c>
      <c r="BG410" t="str">
        <v>DELETE</v>
      </c>
      <c r="BH410" t="str">
        <v>DELETE</v>
      </c>
      <c r="BI410">
        <v>-1.74425976433385</v>
      </c>
      <c r="BJ410">
        <v>-2.1449542323934998</v>
      </c>
      <c r="BK410">
        <v>-1.01549446806522</v>
      </c>
      <c r="BL410">
        <v>-0.89097302690825297</v>
      </c>
      <c r="BM410">
        <v>2.8431520236520801E-2</v>
      </c>
    </row>
    <row r="411" spans="3:65" ht="28.8">
      <c r="C411" s="362">
        <v>3</v>
      </c>
      <c r="D411" s="363" t="s">
        <v>242</v>
      </c>
      <c r="E411" s="362" t="s">
        <v>251</v>
      </c>
      <c r="F411" s="362" t="s">
        <v>552</v>
      </c>
      <c r="G411" s="362" t="s">
        <v>203</v>
      </c>
      <c r="H411" s="368">
        <v>-4.9218200000000003</v>
      </c>
      <c r="I411" s="368">
        <v>-3.5665477000000001</v>
      </c>
      <c r="J411" s="368">
        <v>-1.2190350000000001</v>
      </c>
      <c r="K411" s="368">
        <v>0</v>
      </c>
      <c r="L411" s="368">
        <v>0</v>
      </c>
      <c r="M411" s="368">
        <v>2.5969732332329142E-2</v>
      </c>
      <c r="N411" s="368">
        <v>0.1425399624297638</v>
      </c>
      <c r="O411" s="368">
        <v>0.84877827098641234</v>
      </c>
      <c r="T411" s="48">
        <v>5</v>
      </c>
      <c r="U411" s="46" t="s">
        <v>233</v>
      </c>
      <c r="V411" s="53" t="s">
        <v>249</v>
      </c>
      <c r="W411" s="53" t="s">
        <v>547</v>
      </c>
      <c r="X411" s="53" t="s">
        <v>553</v>
      </c>
      <c r="Y411" s="172">
        <f>IFERROR(-tblZwaste1422[[#This Row],[Weight (kgCO2e/kg)]],0)</f>
        <v>0</v>
      </c>
      <c r="Z411" s="172" t="str">
        <f>IF(AQ411="x",(AR411*-tblZwaste1422[[#This Row],[Weight (kgCO2e/kg)]])+AS411+($AR$10*Lookups!$J$38/1000),"DELETE")</f>
        <v>DELETE</v>
      </c>
      <c r="AA411" s="176" t="s">
        <v>567</v>
      </c>
      <c r="AB411" s="172">
        <v>-0.54330041883521596</v>
      </c>
      <c r="AC411" s="172">
        <v>-0.73673746260093798</v>
      </c>
      <c r="AD411" s="172">
        <v>5.7647444565635697E-2</v>
      </c>
      <c r="AE411" s="172">
        <v>-0.187771154120662</v>
      </c>
      <c r="AF411" s="172">
        <v>2.57528443538876E-2</v>
      </c>
      <c r="AG411" s="150"/>
      <c r="AI411" s="137">
        <v>5</v>
      </c>
      <c r="AJ411" s="136"/>
      <c r="AK411" s="142"/>
      <c r="AL411" s="136" t="s">
        <v>547</v>
      </c>
      <c r="AM411" s="136" t="s">
        <v>553</v>
      </c>
      <c r="AN411" s="1" t="s">
        <v>525</v>
      </c>
      <c r="AO411" s="166" t="s">
        <v>525</v>
      </c>
      <c r="AQ411">
        <f>_xlfn.XLOOKUP(tblGWP21[[#This Row],[Material Subcategory]],ls_Mat,Factors!$K$952:$K$1023)</f>
        <v>0</v>
      </c>
      <c r="AU411" t="s">
        <v>526</v>
      </c>
      <c r="AV411" s="347">
        <v>0.88</v>
      </c>
      <c r="AX411" t="s">
        <v>556</v>
      </c>
      <c r="BA411" cm="1">
        <f t="array" ref="BA411:BM411">tblGWP21[#This Row]</f>
        <v>5</v>
      </c>
      <c r="BB411" t="str">
        <v>Wood/Yard Trimmings</v>
      </c>
      <c r="BC411" t="str">
        <v>Yard Trimmings – Grass</v>
      </c>
      <c r="BD411" t="str">
        <v>Asia</v>
      </c>
      <c r="BE411" t="str">
        <v>China</v>
      </c>
      <c r="BF411">
        <v>0</v>
      </c>
      <c r="BG411" t="str">
        <v>DELETE</v>
      </c>
      <c r="BH411" t="str">
        <v>DELETE</v>
      </c>
      <c r="BI411">
        <v>-0.54330041883521596</v>
      </c>
      <c r="BJ411">
        <v>-0.73673746260093798</v>
      </c>
      <c r="BK411">
        <v>5.7647444565635697E-2</v>
      </c>
      <c r="BL411">
        <v>-0.187771154120662</v>
      </c>
      <c r="BM411">
        <v>2.57528443538876E-2</v>
      </c>
    </row>
    <row r="412" spans="3:65" ht="28.8">
      <c r="C412" s="136">
        <v>3</v>
      </c>
      <c r="D412" s="137" t="s">
        <v>242</v>
      </c>
      <c r="E412" s="136" t="s">
        <v>543</v>
      </c>
      <c r="F412" s="136" t="s">
        <v>552</v>
      </c>
      <c r="G412" s="136" t="s">
        <v>203</v>
      </c>
      <c r="H412" s="191">
        <v>-1.00081</v>
      </c>
      <c r="I412" s="191">
        <v>-0.72381545000000003</v>
      </c>
      <c r="J412" s="191">
        <v>-0.20626249999999999</v>
      </c>
      <c r="K412" s="191">
        <v>0</v>
      </c>
      <c r="L412" s="191">
        <v>0</v>
      </c>
      <c r="M412" s="191">
        <v>2.5860000000000001E-2</v>
      </c>
      <c r="N412" s="191">
        <v>4.0984842545202599E-2</v>
      </c>
      <c r="O412" s="191">
        <v>4.8934666491893597E-2</v>
      </c>
      <c r="T412" s="48">
        <v>5</v>
      </c>
      <c r="U412" s="46" t="s">
        <v>233</v>
      </c>
      <c r="V412" s="53" t="s">
        <v>273</v>
      </c>
      <c r="W412" s="53" t="s">
        <v>547</v>
      </c>
      <c r="X412" s="53" t="s">
        <v>553</v>
      </c>
      <c r="Y412" s="172">
        <f>IFERROR(-tblZwaste1422[[#This Row],[Weight (kgCO2e/kg)]],0)</f>
        <v>0</v>
      </c>
      <c r="Z412" s="172" t="str">
        <f>IF(AQ412="x",(AR412*-tblZwaste1422[[#This Row],[Weight (kgCO2e/kg)]])+AS412+($AR$10*Lookups!$J$38/1000),"DELETE")</f>
        <v>DELETE</v>
      </c>
      <c r="AA412" s="176" t="s">
        <v>567</v>
      </c>
      <c r="AB412" s="172">
        <v>-1.6469256542723201</v>
      </c>
      <c r="AC412" s="172">
        <v>-2.0983531373609798</v>
      </c>
      <c r="AD412" s="172">
        <v>-0.79137904173828999</v>
      </c>
      <c r="AE412" s="172">
        <v>-0.86538442092976098</v>
      </c>
      <c r="AF412" s="172">
        <v>2.72079739763448E-2</v>
      </c>
      <c r="AG412" s="150"/>
      <c r="AI412" s="137">
        <v>5</v>
      </c>
      <c r="AJ412" s="136"/>
      <c r="AK412" s="142"/>
      <c r="AL412" s="136" t="s">
        <v>547</v>
      </c>
      <c r="AM412" s="136" t="s">
        <v>553</v>
      </c>
      <c r="AN412" s="1" t="s">
        <v>525</v>
      </c>
      <c r="AO412" s="166" t="s">
        <v>525</v>
      </c>
      <c r="AQ412">
        <f>_xlfn.XLOOKUP(tblGWP21[[#This Row],[Material Subcategory]],ls_Mat,Factors!$K$952:$K$1023)</f>
        <v>0</v>
      </c>
      <c r="AR412" s="173"/>
      <c r="AU412" t="s">
        <v>526</v>
      </c>
      <c r="AV412" s="347">
        <v>0.8</v>
      </c>
      <c r="AX412" t="s">
        <v>553</v>
      </c>
      <c r="BA412" cm="1">
        <f t="array" ref="BA412:BM412">tblGWP21[#This Row]</f>
        <v>5</v>
      </c>
      <c r="BB412" t="str">
        <v>Wood/Yard Trimmings</v>
      </c>
      <c r="BC412" t="str">
        <v>Yard Trimming – Branches</v>
      </c>
      <c r="BD412" t="str">
        <v>Asia</v>
      </c>
      <c r="BE412" t="str">
        <v>China</v>
      </c>
      <c r="BF412">
        <v>0</v>
      </c>
      <c r="BG412" t="str">
        <v>DELETE</v>
      </c>
      <c r="BH412" t="str">
        <v>DELETE</v>
      </c>
      <c r="BI412">
        <v>-1.6469256542723201</v>
      </c>
      <c r="BJ412">
        <v>-2.0983531373609798</v>
      </c>
      <c r="BK412">
        <v>-0.79137904173828999</v>
      </c>
      <c r="BL412">
        <v>-0.86538442092976098</v>
      </c>
      <c r="BM412">
        <v>2.72079739763448E-2</v>
      </c>
    </row>
    <row r="413" spans="3:65">
      <c r="C413" s="362">
        <v>3</v>
      </c>
      <c r="D413" s="363" t="s">
        <v>264</v>
      </c>
      <c r="E413" s="362" t="s">
        <v>544</v>
      </c>
      <c r="F413" s="362" t="s">
        <v>552</v>
      </c>
      <c r="G413" s="362" t="s">
        <v>203</v>
      </c>
      <c r="H413" s="368">
        <v>-3.0939100000000002</v>
      </c>
      <c r="I413" s="368">
        <v>-1.8644402423500002</v>
      </c>
      <c r="J413" s="368">
        <v>0.15112249999999994</v>
      </c>
      <c r="K413" s="368">
        <v>0</v>
      </c>
      <c r="L413" s="368">
        <v>0</v>
      </c>
      <c r="M413" s="368">
        <v>0.28591573900957601</v>
      </c>
      <c r="N413" s="368">
        <v>-0.36273034905280199</v>
      </c>
      <c r="O413" s="368">
        <v>0.70929602008367598</v>
      </c>
      <c r="T413" s="48">
        <v>5</v>
      </c>
      <c r="U413" s="46" t="s">
        <v>233</v>
      </c>
      <c r="V413" s="53" t="s">
        <v>330</v>
      </c>
      <c r="W413" s="53" t="s">
        <v>547</v>
      </c>
      <c r="X413" s="53" t="s">
        <v>553</v>
      </c>
      <c r="Y413" s="172">
        <f>IFERROR(-tblZwaste1422[[#This Row],[Weight (kgCO2e/kg)]],0)</f>
        <v>-0.14119999999999999</v>
      </c>
      <c r="Z413" s="172">
        <f>IF(AQ413="x",(AR413*-tblZwaste1422[[#This Row],[Weight (kgCO2e/kg)]])+AS413+($AR$10*Lookups!$J$38/1000),"DELETE")</f>
        <v>-0.1076582</v>
      </c>
      <c r="AA413" s="176" t="s">
        <v>567</v>
      </c>
      <c r="AB413" s="172" t="s">
        <v>567</v>
      </c>
      <c r="AC413" s="172" t="s">
        <v>567</v>
      </c>
      <c r="AD413" s="172">
        <v>-1.47739154979515</v>
      </c>
      <c r="AE413" s="172">
        <v>-1.00615231617344</v>
      </c>
      <c r="AF413" s="172">
        <v>5.3035587013663198E-2</v>
      </c>
      <c r="AG413" s="150"/>
      <c r="AI413" s="137">
        <v>5</v>
      </c>
      <c r="AJ413" s="136" t="s">
        <v>330</v>
      </c>
      <c r="AK413" s="142" t="s">
        <v>330</v>
      </c>
      <c r="AL413" s="136" t="s">
        <v>547</v>
      </c>
      <c r="AM413" s="136" t="s">
        <v>553</v>
      </c>
      <c r="AN413" s="1">
        <v>0.14119999999999999</v>
      </c>
      <c r="AO413" s="166">
        <v>0.43014000000000002</v>
      </c>
      <c r="AQ413" t="str">
        <f>_xlfn.XLOOKUP(tblGWP21[[#This Row],[Material Subcategory]],ls_Mat,Factors!$K$952:$K$1023)</f>
        <v>x</v>
      </c>
      <c r="AR413" s="173">
        <v>0.77500000000000002</v>
      </c>
      <c r="AS413">
        <v>0</v>
      </c>
      <c r="AT413" t="s">
        <v>527</v>
      </c>
      <c r="AU413" t="s">
        <v>526</v>
      </c>
      <c r="AV413" s="347">
        <v>0.65</v>
      </c>
      <c r="AX413" t="s">
        <v>557</v>
      </c>
      <c r="BA413" cm="1">
        <f t="array" ref="BA413:BM413">tblGWP21[#This Row]</f>
        <v>5</v>
      </c>
      <c r="BB413" t="str">
        <v>Wood/Yard Trimmings</v>
      </c>
      <c r="BC413" t="str">
        <v>Wood</v>
      </c>
      <c r="BD413" t="str">
        <v>Asia</v>
      </c>
      <c r="BE413" t="str">
        <v>China</v>
      </c>
      <c r="BF413">
        <v>-0.14119999999999999</v>
      </c>
      <c r="BG413">
        <v>-0.1076582</v>
      </c>
      <c r="BH413" t="str">
        <v>DELETE</v>
      </c>
      <c r="BI413" t="str">
        <v>DELETE</v>
      </c>
      <c r="BJ413" t="str">
        <v>DELETE</v>
      </c>
      <c r="BK413">
        <v>-1.47739154979515</v>
      </c>
      <c r="BL413">
        <v>-1.00615231617344</v>
      </c>
      <c r="BM413">
        <v>5.3035587013663198E-2</v>
      </c>
    </row>
    <row r="414" spans="3:65">
      <c r="C414" s="136">
        <v>3</v>
      </c>
      <c r="D414" s="137" t="s">
        <v>10157</v>
      </c>
      <c r="E414" s="136" t="s">
        <v>545</v>
      </c>
      <c r="F414" s="136" t="s">
        <v>552</v>
      </c>
      <c r="G414" s="136" t="s">
        <v>203</v>
      </c>
      <c r="H414" s="191">
        <v>-2.8533815875203707</v>
      </c>
      <c r="I414" s="191">
        <v>0</v>
      </c>
      <c r="J414" s="191">
        <v>0</v>
      </c>
      <c r="K414" s="191">
        <v>0</v>
      </c>
      <c r="L414" s="191">
        <v>0</v>
      </c>
      <c r="M414" s="191">
        <v>-0.47372783008290564</v>
      </c>
      <c r="N414" s="191">
        <v>-0.60541892774296602</v>
      </c>
      <c r="O414" s="191">
        <v>2.7971221813722445E-2</v>
      </c>
      <c r="T414" s="48">
        <v>5</v>
      </c>
      <c r="U414" s="46" t="s">
        <v>233</v>
      </c>
      <c r="V414" s="53" t="s">
        <v>335</v>
      </c>
      <c r="W414" s="53" t="s">
        <v>547</v>
      </c>
      <c r="X414" s="53" t="s">
        <v>553</v>
      </c>
      <c r="Y414" s="172">
        <f>IFERROR(-tblZwaste1422[[#This Row],[Weight (kgCO2e/kg)]],0)</f>
        <v>-0.26272000000000001</v>
      </c>
      <c r="Z414" s="172">
        <f>IF(AQ414="x",(AR414*-tblZwaste1422[[#This Row],[Weight (kgCO2e/kg)]])+AS414+($AR$10*Lookups!$J$38/1000),"DELETE")</f>
        <v>-0.20183620000000002</v>
      </c>
      <c r="AA414" s="176" t="s">
        <v>567</v>
      </c>
      <c r="AB414" s="172">
        <v>-1.6469256542723201</v>
      </c>
      <c r="AC414" s="172">
        <v>-2.6210623531569701</v>
      </c>
      <c r="AD414" s="172">
        <v>-1.38149756182477</v>
      </c>
      <c r="AE414" s="172">
        <v>-1.01882246868174</v>
      </c>
      <c r="AF414" s="172">
        <v>3.22067237258509E-2</v>
      </c>
      <c r="AG414" s="150"/>
      <c r="AI414" s="137">
        <v>5</v>
      </c>
      <c r="AJ414" s="136" t="s">
        <v>330</v>
      </c>
      <c r="AK414" s="142" t="s">
        <v>335</v>
      </c>
      <c r="AL414" s="136" t="s">
        <v>547</v>
      </c>
      <c r="AM414" s="136" t="s">
        <v>553</v>
      </c>
      <c r="AN414" s="1">
        <v>0.26272000000000001</v>
      </c>
      <c r="AO414" s="166">
        <v>0.43014000000000002</v>
      </c>
      <c r="AQ414" t="str">
        <f>_xlfn.XLOOKUP(tblGWP21[[#This Row],[Material Subcategory]],ls_Mat,Factors!$K$952:$K$1023)</f>
        <v>x</v>
      </c>
      <c r="AR414" s="173">
        <v>0.77500000000000002</v>
      </c>
      <c r="AS414">
        <v>0</v>
      </c>
      <c r="AT414" t="s">
        <v>527</v>
      </c>
      <c r="AU414" t="s">
        <v>526</v>
      </c>
      <c r="AV414" s="347">
        <v>0.65</v>
      </c>
      <c r="AX414" t="s">
        <v>558</v>
      </c>
      <c r="BA414" cm="1">
        <f t="array" ref="BA414:BM414">tblGWP21[#This Row]</f>
        <v>5</v>
      </c>
      <c r="BB414" t="str">
        <v>Wood/Yard Trimmings</v>
      </c>
      <c r="BC414" t="str">
        <v>Pallets</v>
      </c>
      <c r="BD414" t="str">
        <v>Asia</v>
      </c>
      <c r="BE414" t="str">
        <v>China</v>
      </c>
      <c r="BF414">
        <v>-0.26272000000000001</v>
      </c>
      <c r="BG414">
        <v>-0.20183620000000002</v>
      </c>
      <c r="BH414" t="str">
        <v>DELETE</v>
      </c>
      <c r="BI414">
        <v>-1.6469256542723201</v>
      </c>
      <c r="BJ414">
        <v>-2.6210623531569701</v>
      </c>
      <c r="BK414">
        <v>-1.38149756182477</v>
      </c>
      <c r="BL414">
        <v>-1.01882246868174</v>
      </c>
      <c r="BM414">
        <v>3.22067237258509E-2</v>
      </c>
    </row>
    <row r="415" spans="3:65" ht="28.8">
      <c r="C415" s="362">
        <v>3</v>
      </c>
      <c r="D415" s="363" t="s">
        <v>10169</v>
      </c>
      <c r="E415" s="362" t="s">
        <v>10170</v>
      </c>
      <c r="F415" s="362" t="s">
        <v>552</v>
      </c>
      <c r="G415" s="362" t="s">
        <v>203</v>
      </c>
      <c r="H415" s="368">
        <v>-0.74582333333333339</v>
      </c>
      <c r="I415" s="368">
        <v>-0.58351400000000009</v>
      </c>
      <c r="J415" s="368">
        <v>0.3259926084346883</v>
      </c>
      <c r="K415" s="368">
        <v>0</v>
      </c>
      <c r="L415" s="368">
        <v>0</v>
      </c>
      <c r="M415" s="368">
        <v>0.45668176288049178</v>
      </c>
      <c r="N415" s="368">
        <v>1.0683983533052401</v>
      </c>
      <c r="O415" s="368">
        <v>1.142290877337675</v>
      </c>
      <c r="T415" s="48">
        <v>5</v>
      </c>
      <c r="U415" s="46" t="s">
        <v>233</v>
      </c>
      <c r="V415" s="53" t="s">
        <v>326</v>
      </c>
      <c r="W415" s="53" t="s">
        <v>547</v>
      </c>
      <c r="X415" s="53" t="s">
        <v>553</v>
      </c>
      <c r="Y415" s="172">
        <f>IFERROR(-tblZwaste1422[[#This Row],[Weight (kgCO2e/kg)]],0)</f>
        <v>-0.14119999999999999</v>
      </c>
      <c r="Z415" s="172">
        <f>IF(AQ415="x",(AR415*-tblZwaste1422[[#This Row],[Weight (kgCO2e/kg)]])+AS415+($AR$10*Lookups!$J$38/1000),"DELETE")</f>
        <v>-0.1076582</v>
      </c>
      <c r="AA415" s="176" t="s">
        <v>567</v>
      </c>
      <c r="AB415" s="172">
        <v>-1.6469256542723201</v>
      </c>
      <c r="AC415" s="172">
        <v>-2.6210623531569701</v>
      </c>
      <c r="AD415" s="172">
        <v>-1.38149756182477</v>
      </c>
      <c r="AE415" s="172">
        <v>-1.01882246868174</v>
      </c>
      <c r="AF415" s="172">
        <v>3.22067237258509E-2</v>
      </c>
      <c r="AG415" s="150"/>
      <c r="AI415" s="137">
        <v>5</v>
      </c>
      <c r="AJ415" s="136" t="s">
        <v>330</v>
      </c>
      <c r="AK415" s="142" t="s">
        <v>326</v>
      </c>
      <c r="AL415" s="136" t="s">
        <v>547</v>
      </c>
      <c r="AM415" s="136" t="s">
        <v>553</v>
      </c>
      <c r="AN415" s="1">
        <v>0.14119999999999999</v>
      </c>
      <c r="AO415" s="166">
        <v>0.43014000000000002</v>
      </c>
      <c r="AQ415" t="str">
        <f>_xlfn.XLOOKUP(tblGWP21[[#This Row],[Material Subcategory]],ls_Mat,Factors!$K$952:$K$1023)</f>
        <v>x</v>
      </c>
      <c r="AR415" s="173">
        <v>0.77500000000000002</v>
      </c>
      <c r="AS415">
        <v>0</v>
      </c>
      <c r="AT415" t="s">
        <v>527</v>
      </c>
      <c r="AU415" t="s">
        <v>526</v>
      </c>
      <c r="AV415" s="347">
        <v>0.65</v>
      </c>
      <c r="AX415" t="s">
        <v>559</v>
      </c>
      <c r="BA415" cm="1">
        <f t="array" ref="BA415:BM415">tblGWP21[#This Row]</f>
        <v>5</v>
      </c>
      <c r="BB415" t="str">
        <v>Wood/Yard Trimmings</v>
      </c>
      <c r="BC415" t="str">
        <v>Other Wood</v>
      </c>
      <c r="BD415" t="str">
        <v>Asia</v>
      </c>
      <c r="BE415" t="str">
        <v>China</v>
      </c>
      <c r="BF415">
        <v>-0.14119999999999999</v>
      </c>
      <c r="BG415">
        <v>-0.1076582</v>
      </c>
      <c r="BH415" t="str">
        <v>DELETE</v>
      </c>
      <c r="BI415">
        <v>-1.6469256542723201</v>
      </c>
      <c r="BJ415">
        <v>-2.6210623531569701</v>
      </c>
      <c r="BK415">
        <v>-1.38149756182477</v>
      </c>
      <c r="BL415">
        <v>-1.01882246868174</v>
      </c>
      <c r="BM415">
        <v>3.22067237258509E-2</v>
      </c>
    </row>
    <row r="416" spans="3:65" ht="28.8">
      <c r="C416" s="136">
        <v>5</v>
      </c>
      <c r="D416" s="137" t="s">
        <v>233</v>
      </c>
      <c r="E416" s="136" t="s">
        <v>233</v>
      </c>
      <c r="F416" s="136" t="s">
        <v>547</v>
      </c>
      <c r="G416" s="136" t="s">
        <v>553</v>
      </c>
      <c r="H416" s="191">
        <v>0</v>
      </c>
      <c r="I416" s="191">
        <v>-0.13905086666666666</v>
      </c>
      <c r="J416" s="191">
        <v>0</v>
      </c>
      <c r="K416" s="191">
        <v>-1.4456674291972054</v>
      </c>
      <c r="L416" s="191">
        <v>-2.0444339077338718</v>
      </c>
      <c r="M416" s="191">
        <v>-0.99826878978042755</v>
      </c>
      <c r="N416" s="191">
        <v>-0.83132097591593268</v>
      </c>
      <c r="O416" s="191">
        <v>3.3140228838686371E-2</v>
      </c>
      <c r="T416" s="48">
        <v>5</v>
      </c>
      <c r="U416" s="46" t="s">
        <v>261</v>
      </c>
      <c r="V416" s="53" t="s">
        <v>261</v>
      </c>
      <c r="W416" s="53" t="s">
        <v>547</v>
      </c>
      <c r="X416" s="53" t="s">
        <v>553</v>
      </c>
      <c r="Y416" s="172">
        <f>IFERROR(-tblZwaste1422[[#This Row],[Weight (kgCO2e/kg)]],0)</f>
        <v>-4.72241</v>
      </c>
      <c r="Z416" s="172" t="e">
        <f>IF(AQ416="x",(AR416*-tblZwaste1422[[#This Row],[Weight (kgCO2e/kg)]])+AS416+($AR$10*Lookups!$J$38/1000),"DELETE")</f>
        <v>#N/A</v>
      </c>
      <c r="AA416" s="176" t="s">
        <v>567</v>
      </c>
      <c r="AB416" s="172">
        <v>-0.36339401385138703</v>
      </c>
      <c r="AC416" s="172">
        <v>-0.58377207348737448</v>
      </c>
      <c r="AD416" s="172">
        <v>0.17474709583780051</v>
      </c>
      <c r="AE416" s="172">
        <v>-0.17313995428104201</v>
      </c>
      <c r="AF416" s="172">
        <v>2.54063326817313E-2</v>
      </c>
      <c r="AG416" s="150"/>
      <c r="AI416" s="137">
        <v>5</v>
      </c>
      <c r="AJ416" s="136" t="s">
        <v>529</v>
      </c>
      <c r="AK416" s="142" t="s">
        <v>529</v>
      </c>
      <c r="AL416" s="136" t="s">
        <v>547</v>
      </c>
      <c r="AM416" s="136" t="s">
        <v>553</v>
      </c>
      <c r="AN416" s="1">
        <v>4.72241</v>
      </c>
      <c r="AO416" s="166">
        <v>1.758</v>
      </c>
      <c r="AQ416" t="e">
        <f>_xlfn.XLOOKUP(tblGWP21[[#This Row],[Material Subcategory]],ls_Mat,Factors!$K$952:$K$1023)</f>
        <v>#N/A</v>
      </c>
      <c r="AR416" s="347">
        <v>0.5</v>
      </c>
      <c r="AS416">
        <v>0</v>
      </c>
      <c r="AT416" t="s">
        <v>528</v>
      </c>
      <c r="AU416" t="s">
        <v>526</v>
      </c>
      <c r="AV416" s="347">
        <v>0.8</v>
      </c>
      <c r="AX416" t="s">
        <v>560</v>
      </c>
      <c r="BA416" cm="1">
        <f t="array" ref="BA416:BM416">tblGWP21[#This Row]</f>
        <v>5</v>
      </c>
      <c r="BB416" t="str">
        <v>Food Waste</v>
      </c>
      <c r="BC416" t="str">
        <v>Food Waste</v>
      </c>
      <c r="BD416" t="str">
        <v>Asia</v>
      </c>
      <c r="BE416" t="str">
        <v>China</v>
      </c>
      <c r="BF416">
        <v>-4.72241</v>
      </c>
      <c r="BG416" t="e">
        <v>#N/A</v>
      </c>
      <c r="BH416" t="str">
        <v>DELETE</v>
      </c>
      <c r="BI416">
        <v>-0.36339401385138703</v>
      </c>
      <c r="BJ416">
        <v>-0.58377207348737448</v>
      </c>
      <c r="BK416">
        <v>0.17474709583780051</v>
      </c>
      <c r="BL416">
        <v>-0.17313995428104201</v>
      </c>
      <c r="BM416">
        <v>2.54063326817313E-2</v>
      </c>
    </row>
    <row r="417" spans="3:65" ht="28.8">
      <c r="C417" s="362">
        <v>5</v>
      </c>
      <c r="D417" s="363" t="s">
        <v>233</v>
      </c>
      <c r="E417" s="362" t="s">
        <v>250</v>
      </c>
      <c r="F417" s="362" t="s">
        <v>547</v>
      </c>
      <c r="G417" s="362" t="s">
        <v>553</v>
      </c>
      <c r="H417" s="368">
        <v>0</v>
      </c>
      <c r="I417" s="368">
        <v>0</v>
      </c>
      <c r="J417" s="368">
        <v>0</v>
      </c>
      <c r="K417" s="368">
        <v>-1.74425976433385</v>
      </c>
      <c r="L417" s="368">
        <v>-2.1449542323934998</v>
      </c>
      <c r="M417" s="368">
        <v>-1.01549446806522</v>
      </c>
      <c r="N417" s="368">
        <v>-0.89097302690825297</v>
      </c>
      <c r="O417" s="368">
        <v>2.8431520236520801E-2</v>
      </c>
      <c r="T417" s="48">
        <v>5</v>
      </c>
      <c r="U417" s="46" t="s">
        <v>261</v>
      </c>
      <c r="V417" s="53" t="s">
        <v>269</v>
      </c>
      <c r="W417" s="53" t="s">
        <v>547</v>
      </c>
      <c r="X417" s="53" t="s">
        <v>553</v>
      </c>
      <c r="Y417" s="172">
        <f>IFERROR(-tblZwaste1422[[#This Row],[Weight (kgCO2e/kg)]],0)</f>
        <v>-0.25034000000000001</v>
      </c>
      <c r="Z417" s="172">
        <f>IF(AQ417="x",(AR417*-tblZwaste1422[[#This Row],[Weight (kgCO2e/kg)]])+AS417+($AR$10*Lookups!$J$38/1000),"DELETE")</f>
        <v>-0.1233982</v>
      </c>
      <c r="AA417" s="176" t="s">
        <v>567</v>
      </c>
      <c r="AB417" s="172">
        <v>-0.30335317617577701</v>
      </c>
      <c r="AC417" s="172">
        <v>-0.49408105734615099</v>
      </c>
      <c r="AD417" s="172">
        <v>0.203978762337724</v>
      </c>
      <c r="AE417" s="172">
        <v>-0.11943934047983901</v>
      </c>
      <c r="AF417" s="172">
        <v>2.5084236372043898E-2</v>
      </c>
      <c r="AG417" s="150"/>
      <c r="AI417" s="137">
        <v>5</v>
      </c>
      <c r="AJ417" s="136" t="s">
        <v>529</v>
      </c>
      <c r="AK417" s="142" t="s">
        <v>327</v>
      </c>
      <c r="AL417" s="136" t="s">
        <v>547</v>
      </c>
      <c r="AM417" s="136" t="s">
        <v>553</v>
      </c>
      <c r="AN417" s="1">
        <v>0.25034000000000001</v>
      </c>
      <c r="AO417" s="166">
        <v>0.99672000000000005</v>
      </c>
      <c r="AQ417" t="str">
        <f>_xlfn.XLOOKUP(tblGWP21[[#This Row],[Material Subcategory]],ls_Mat,Factors!$K$952:$K$1023)</f>
        <v>x</v>
      </c>
      <c r="AR417" s="347">
        <v>0.5</v>
      </c>
      <c r="AS417">
        <v>0</v>
      </c>
      <c r="AT417" t="s">
        <v>528</v>
      </c>
      <c r="AX417" t="s">
        <v>561</v>
      </c>
      <c r="BA417" cm="1">
        <f t="array" ref="BA417:BM417">tblGWP21[#This Row]</f>
        <v>5</v>
      </c>
      <c r="BB417" t="str">
        <v>Food Waste</v>
      </c>
      <c r="BC417" t="str">
        <v>Food Waste – Vegetable</v>
      </c>
      <c r="BD417" t="str">
        <v>Asia</v>
      </c>
      <c r="BE417" t="str">
        <v>China</v>
      </c>
      <c r="BF417">
        <v>-0.25034000000000001</v>
      </c>
      <c r="BG417">
        <v>-0.1233982</v>
      </c>
      <c r="BH417" t="str">
        <v>DELETE</v>
      </c>
      <c r="BI417">
        <v>-0.30335317617577701</v>
      </c>
      <c r="BJ417">
        <v>-0.49408105734615099</v>
      </c>
      <c r="BK417">
        <v>0.203978762337724</v>
      </c>
      <c r="BL417">
        <v>-0.11943934047983901</v>
      </c>
      <c r="BM417">
        <v>2.5084236372043898E-2</v>
      </c>
    </row>
    <row r="418" spans="3:65" ht="28.8">
      <c r="C418" s="136">
        <v>5</v>
      </c>
      <c r="D418" s="137" t="s">
        <v>233</v>
      </c>
      <c r="E418" s="136" t="s">
        <v>249</v>
      </c>
      <c r="F418" s="136" t="s">
        <v>547</v>
      </c>
      <c r="G418" s="136" t="s">
        <v>553</v>
      </c>
      <c r="H418" s="191">
        <v>0</v>
      </c>
      <c r="I418" s="191">
        <v>0</v>
      </c>
      <c r="J418" s="191">
        <v>0</v>
      </c>
      <c r="K418" s="191">
        <v>-0.54330041883521596</v>
      </c>
      <c r="L418" s="191">
        <v>-0.73673746260093798</v>
      </c>
      <c r="M418" s="191">
        <v>5.7647444565635697E-2</v>
      </c>
      <c r="N418" s="191">
        <v>-0.187771154120662</v>
      </c>
      <c r="O418" s="191">
        <v>2.57528443538876E-2</v>
      </c>
      <c r="T418" s="48">
        <v>5</v>
      </c>
      <c r="U418" s="46" t="s">
        <v>261</v>
      </c>
      <c r="V418" s="53" t="s">
        <v>530</v>
      </c>
      <c r="W418" s="53" t="s">
        <v>547</v>
      </c>
      <c r="X418" s="53" t="s">
        <v>553</v>
      </c>
      <c r="Y418" s="172">
        <f>IFERROR(-tblZwaste1422[[#This Row],[Weight (kgCO2e/kg)]],0)</f>
        <v>-9.1944800000000004</v>
      </c>
      <c r="Z418" s="172">
        <f>IF(AQ418="x",(AR418*-tblZwaste1422[[#This Row],[Weight (kgCO2e/kg)]])+AS418+($AR$10*Lookups!$J$38/1000),"DELETE")</f>
        <v>-4.5954682</v>
      </c>
      <c r="AA418" s="176" t="s">
        <v>567</v>
      </c>
      <c r="AB418" s="172">
        <v>-0.423434851526997</v>
      </c>
      <c r="AC418" s="172">
        <v>-0.67346308962859802</v>
      </c>
      <c r="AD418" s="172">
        <v>0.14551542933787701</v>
      </c>
      <c r="AE418" s="172">
        <v>-0.22684056808224501</v>
      </c>
      <c r="AF418" s="172">
        <v>2.5728428991418702E-2</v>
      </c>
      <c r="AG418" s="150"/>
      <c r="AI418" s="137">
        <v>5</v>
      </c>
      <c r="AJ418" s="136" t="s">
        <v>529</v>
      </c>
      <c r="AK418" s="142" t="s">
        <v>331</v>
      </c>
      <c r="AL418" s="136" t="s">
        <v>547</v>
      </c>
      <c r="AM418" s="136" t="s">
        <v>553</v>
      </c>
      <c r="AN418" s="1">
        <v>9.1944800000000004</v>
      </c>
      <c r="AO418" s="166">
        <v>2.5192800000000002</v>
      </c>
      <c r="AQ418" t="str">
        <f>_xlfn.XLOOKUP(tblGWP21[[#This Row],[Material Subcategory]],ls_Mat,Factors!$K$952:$K$1023)</f>
        <v>x</v>
      </c>
      <c r="AR418" s="347">
        <v>0.5</v>
      </c>
      <c r="AS418">
        <v>0</v>
      </c>
      <c r="AT418" t="s">
        <v>528</v>
      </c>
      <c r="BA418" cm="1">
        <f t="array" ref="BA418:BM418">tblGWP21[#This Row]</f>
        <v>5</v>
      </c>
      <c r="BB418" t="str">
        <v>Food Waste</v>
      </c>
      <c r="BC418" t="str">
        <v>Food Waste – Non-Vegetable</v>
      </c>
      <c r="BD418" t="str">
        <v>Asia</v>
      </c>
      <c r="BE418" t="str">
        <v>China</v>
      </c>
      <c r="BF418">
        <v>-9.1944800000000004</v>
      </c>
      <c r="BG418">
        <v>-4.5954682</v>
      </c>
      <c r="BH418" t="str">
        <v>DELETE</v>
      </c>
      <c r="BI418">
        <v>-0.423434851526997</v>
      </c>
      <c r="BJ418">
        <v>-0.67346308962859802</v>
      </c>
      <c r="BK418">
        <v>0.14551542933787701</v>
      </c>
      <c r="BL418">
        <v>-0.22684056808224501</v>
      </c>
      <c r="BM418">
        <v>2.5728428991418702E-2</v>
      </c>
    </row>
    <row r="419" spans="3:65" ht="28.8">
      <c r="C419" s="362">
        <v>5</v>
      </c>
      <c r="D419" s="363" t="s">
        <v>233</v>
      </c>
      <c r="E419" s="362" t="s">
        <v>273</v>
      </c>
      <c r="F419" s="362" t="s">
        <v>547</v>
      </c>
      <c r="G419" s="362" t="s">
        <v>553</v>
      </c>
      <c r="H419" s="368">
        <v>0</v>
      </c>
      <c r="I419" s="368">
        <v>0</v>
      </c>
      <c r="J419" s="368">
        <v>0</v>
      </c>
      <c r="K419" s="368">
        <v>-1.6469256542723201</v>
      </c>
      <c r="L419" s="368">
        <v>-2.0983531373609798</v>
      </c>
      <c r="M419" s="368">
        <v>-0.79137904173828999</v>
      </c>
      <c r="N419" s="368">
        <v>-0.86538442092976098</v>
      </c>
      <c r="O419" s="368">
        <v>2.72079739763448E-2</v>
      </c>
      <c r="T419" s="48">
        <v>5</v>
      </c>
      <c r="U419" s="46" t="s">
        <v>261</v>
      </c>
      <c r="V419" s="53" t="s">
        <v>262</v>
      </c>
      <c r="W419" s="53" t="s">
        <v>547</v>
      </c>
      <c r="X419" s="53" t="s">
        <v>553</v>
      </c>
      <c r="Y419" s="172">
        <f>IFERROR(-tblZwaste1422[[#This Row],[Weight (kgCO2e/kg)]],0)</f>
        <v>-2.5034000000000001</v>
      </c>
      <c r="Z419" s="172" t="str">
        <f>IF(AQ419="x",(AR419*-tblZwaste1422[[#This Row],[Weight (kgCO2e/kg)]])+AS419+($AR$10*Lookups!$J$38/1000),"DELETE")</f>
        <v>DELETE</v>
      </c>
      <c r="AA419" s="176" t="s">
        <v>567</v>
      </c>
      <c r="AB419" s="172">
        <v>-0.423434851526997</v>
      </c>
      <c r="AC419" s="172">
        <v>-0.67346308962859802</v>
      </c>
      <c r="AD419" s="172">
        <v>0.14551542933787701</v>
      </c>
      <c r="AE419" s="172">
        <v>-0.22684056808224501</v>
      </c>
      <c r="AF419" s="172">
        <v>2.5728428991418702E-2</v>
      </c>
      <c r="AG419" s="150"/>
      <c r="AI419" s="137">
        <v>5</v>
      </c>
      <c r="AJ419" s="136" t="s">
        <v>529</v>
      </c>
      <c r="AK419" s="142" t="s">
        <v>332</v>
      </c>
      <c r="AL419" s="136" t="s">
        <v>547</v>
      </c>
      <c r="AM419" s="136" t="s">
        <v>553</v>
      </c>
      <c r="AN419" s="1">
        <v>2.5034000000000001</v>
      </c>
      <c r="AO419" s="166">
        <v>1.0183800000000001</v>
      </c>
      <c r="AQ419">
        <f>_xlfn.XLOOKUP(tblGWP21[[#This Row],[Material Subcategory]],ls_Mat,Factors!$K$952:$K$1023)</f>
        <v>0</v>
      </c>
      <c r="AR419" s="347">
        <v>0.5</v>
      </c>
      <c r="AS419">
        <v>0</v>
      </c>
      <c r="AT419" t="s">
        <v>528</v>
      </c>
      <c r="AU419" t="s">
        <v>526</v>
      </c>
      <c r="AV419" s="347">
        <v>0.95</v>
      </c>
      <c r="BA419" cm="1">
        <f t="array" ref="BA419:BM419">tblGWP21[#This Row]</f>
        <v>5</v>
      </c>
      <c r="BB419" t="str">
        <v>Food Waste</v>
      </c>
      <c r="BC419" t="str">
        <v>Oils/Grease</v>
      </c>
      <c r="BD419" t="str">
        <v>Asia</v>
      </c>
      <c r="BE419" t="str">
        <v>China</v>
      </c>
      <c r="BF419">
        <v>-2.5034000000000001</v>
      </c>
      <c r="BG419" t="str">
        <v>DELETE</v>
      </c>
      <c r="BH419" t="str">
        <v>DELETE</v>
      </c>
      <c r="BI419">
        <v>-0.423434851526997</v>
      </c>
      <c r="BJ419">
        <v>-0.67346308962859802</v>
      </c>
      <c r="BK419">
        <v>0.14551542933787701</v>
      </c>
      <c r="BL419">
        <v>-0.22684056808224501</v>
      </c>
      <c r="BM419">
        <v>2.5728428991418702E-2</v>
      </c>
    </row>
    <row r="420" spans="3:65" ht="28.8">
      <c r="C420" s="136">
        <v>5</v>
      </c>
      <c r="D420" s="137" t="s">
        <v>233</v>
      </c>
      <c r="E420" s="136" t="s">
        <v>330</v>
      </c>
      <c r="F420" s="136" t="s">
        <v>547</v>
      </c>
      <c r="G420" s="136" t="s">
        <v>553</v>
      </c>
      <c r="H420" s="191">
        <v>-0.14119999999999999</v>
      </c>
      <c r="I420" s="191">
        <v>-0.1076582</v>
      </c>
      <c r="J420" s="191">
        <v>0</v>
      </c>
      <c r="K420" s="191">
        <v>0</v>
      </c>
      <c r="L420" s="191">
        <v>0</v>
      </c>
      <c r="M420" s="191">
        <v>-1.47739154979515</v>
      </c>
      <c r="N420" s="191">
        <v>-1.00615231617344</v>
      </c>
      <c r="O420" s="191">
        <v>5.3035587013663198E-2</v>
      </c>
      <c r="T420" s="48">
        <v>5</v>
      </c>
      <c r="U420" s="46" t="s">
        <v>252</v>
      </c>
      <c r="V420" s="53" t="s">
        <v>252</v>
      </c>
      <c r="W420" s="53" t="s">
        <v>547</v>
      </c>
      <c r="X420" s="53" t="s">
        <v>553</v>
      </c>
      <c r="Y420" s="172">
        <f>IFERROR(-tblZwaste1422[[#This Row],[Weight (kgCO2e/kg)]],0)</f>
        <v>-2.0953266666666663</v>
      </c>
      <c r="Z420" s="172" t="e">
        <f>IF(AQ420="x",(AR420*-tblZwaste1422[[#This Row],[Weight (kgCO2e/kg)]])+AS420+($AR$10*Lookups!$J$38/1000),"DELETE")</f>
        <v>#N/A</v>
      </c>
      <c r="AA420" s="176">
        <v>-4.4031927097256318</v>
      </c>
      <c r="AB420" s="172" t="s">
        <v>567</v>
      </c>
      <c r="AC420" s="172" t="s">
        <v>567</v>
      </c>
      <c r="AD420" s="172">
        <v>2.6019879277753101E-2</v>
      </c>
      <c r="AE420" s="172">
        <v>0.65959040494211596</v>
      </c>
      <c r="AF420" s="172">
        <v>2.1870242856928401</v>
      </c>
      <c r="AG420" s="150"/>
      <c r="AI420" s="137">
        <v>5</v>
      </c>
      <c r="AJ420" s="136" t="s">
        <v>252</v>
      </c>
      <c r="AK420" s="142" t="s">
        <v>252</v>
      </c>
      <c r="AL420" s="136" t="s">
        <v>547</v>
      </c>
      <c r="AM420" s="136" t="s">
        <v>553</v>
      </c>
      <c r="AN420" s="1">
        <v>2.0953266666666663</v>
      </c>
      <c r="AO420" s="166">
        <v>1.77911</v>
      </c>
      <c r="AQ420" t="e">
        <f>_xlfn.XLOOKUP(tblGWP21[[#This Row],[Material Subcategory]],ls_Mat,Factors!$K$952:$K$1023)</f>
        <v>#N/A</v>
      </c>
      <c r="AR420" s="173">
        <v>0.77500000000000002</v>
      </c>
      <c r="AS420">
        <v>8.1306407300000008E-2</v>
      </c>
      <c r="AT420" t="s">
        <v>531</v>
      </c>
      <c r="AU420" t="s">
        <v>526</v>
      </c>
      <c r="AV420" s="347">
        <v>0.95</v>
      </c>
      <c r="BA420" cm="1">
        <f t="array" ref="BA420:BM420">tblGWP21[#This Row]</f>
        <v>5</v>
      </c>
      <c r="BB420" t="str">
        <v>Plastics</v>
      </c>
      <c r="BC420" t="str">
        <v>Plastics</v>
      </c>
      <c r="BD420" t="str">
        <v>Asia</v>
      </c>
      <c r="BE420" t="str">
        <v>China</v>
      </c>
      <c r="BF420">
        <v>-2.0953266666666663</v>
      </c>
      <c r="BG420" t="e">
        <v>#N/A</v>
      </c>
      <c r="BH420">
        <v>-4.4031927097256318</v>
      </c>
      <c r="BI420" t="str">
        <v>DELETE</v>
      </c>
      <c r="BJ420" t="str">
        <v>DELETE</v>
      </c>
      <c r="BK420">
        <v>2.6019879277753101E-2</v>
      </c>
      <c r="BL420">
        <v>0.65959040494211596</v>
      </c>
      <c r="BM420">
        <v>2.1870242856928401</v>
      </c>
    </row>
    <row r="421" spans="3:65" ht="28.8">
      <c r="C421" s="362">
        <v>5</v>
      </c>
      <c r="D421" s="363" t="s">
        <v>233</v>
      </c>
      <c r="E421" s="362" t="s">
        <v>335</v>
      </c>
      <c r="F421" s="362" t="s">
        <v>547</v>
      </c>
      <c r="G421" s="362" t="s">
        <v>553</v>
      </c>
      <c r="H421" s="368">
        <v>-0.26272000000000001</v>
      </c>
      <c r="I421" s="368">
        <v>-0.20183620000000002</v>
      </c>
      <c r="J421" s="368">
        <v>0</v>
      </c>
      <c r="K421" s="368">
        <v>-1.6469256542723201</v>
      </c>
      <c r="L421" s="368">
        <v>-2.6210623531569701</v>
      </c>
      <c r="M421" s="368">
        <v>-1.38149756182477</v>
      </c>
      <c r="N421" s="368">
        <v>-1.01882246868174</v>
      </c>
      <c r="O421" s="368">
        <v>3.22067237258509E-2</v>
      </c>
      <c r="T421" s="48">
        <v>5</v>
      </c>
      <c r="U421" s="46" t="s">
        <v>252</v>
      </c>
      <c r="V421" s="53" t="s">
        <v>253</v>
      </c>
      <c r="W421" s="53" t="s">
        <v>547</v>
      </c>
      <c r="X421" s="53" t="s">
        <v>553</v>
      </c>
      <c r="Y421" s="172">
        <f>IFERROR(-tblZwaste1422[[#This Row],[Weight (kgCO2e/kg)]],0)</f>
        <v>-2.04928</v>
      </c>
      <c r="Z421" s="172" t="e">
        <f>IF(AQ421="x",(AR421*-tblZwaste1422[[#This Row],[Weight (kgCO2e/kg)]])+AS421+($AR$10*Lookups!$J$38/1000),"DELETE")</f>
        <v>#N/A</v>
      </c>
      <c r="AA421" s="176">
        <v>-3.8722002590609996</v>
      </c>
      <c r="AB421" s="172" t="s">
        <v>567</v>
      </c>
      <c r="AC421" s="172" t="s">
        <v>567</v>
      </c>
      <c r="AD421" s="172">
        <v>2.6019876229307799E-2</v>
      </c>
      <c r="AE421" s="172">
        <v>0.547663044482956</v>
      </c>
      <c r="AF421" s="172">
        <v>3.1831776856510099</v>
      </c>
      <c r="AG421" s="150"/>
      <c r="AI421" s="137">
        <v>5</v>
      </c>
      <c r="AJ421" s="136" t="s">
        <v>252</v>
      </c>
      <c r="AK421" s="142" t="s">
        <v>253</v>
      </c>
      <c r="AL421" s="136" t="s">
        <v>547</v>
      </c>
      <c r="AM421" s="136" t="s">
        <v>553</v>
      </c>
      <c r="AN421" s="1">
        <v>2.04928</v>
      </c>
      <c r="AO421" s="166">
        <v>1.77911</v>
      </c>
      <c r="AQ421" t="e">
        <f>_xlfn.XLOOKUP(tblGWP21[[#This Row],[Material Subcategory]],ls_Mat,Factors!$K$952:$K$1023)</f>
        <v>#N/A</v>
      </c>
      <c r="AR421" s="173">
        <v>0.77500000000000002</v>
      </c>
      <c r="AS421">
        <v>8.1306407300000008E-2</v>
      </c>
      <c r="AT421" t="s">
        <v>531</v>
      </c>
      <c r="AU421" t="s">
        <v>526</v>
      </c>
      <c r="AV421" s="347">
        <v>0.95</v>
      </c>
      <c r="BA421" cm="1">
        <f t="array" ref="BA421:BM421">tblGWP21[#This Row]</f>
        <v>5</v>
      </c>
      <c r="BB421" t="str">
        <v>Plastics</v>
      </c>
      <c r="BC421" t="str">
        <v>HDPE (translucent and pigmented)</v>
      </c>
      <c r="BD421" t="str">
        <v>Asia</v>
      </c>
      <c r="BE421" t="str">
        <v>China</v>
      </c>
      <c r="BF421">
        <v>-2.04928</v>
      </c>
      <c r="BG421" t="e">
        <v>#N/A</v>
      </c>
      <c r="BH421">
        <v>-3.8722002590609996</v>
      </c>
      <c r="BI421" t="str">
        <v>DELETE</v>
      </c>
      <c r="BJ421" t="str">
        <v>DELETE</v>
      </c>
      <c r="BK421">
        <v>2.6019876229307799E-2</v>
      </c>
      <c r="BL421">
        <v>0.547663044482956</v>
      </c>
      <c r="BM421">
        <v>3.1831776856510099</v>
      </c>
    </row>
    <row r="422" spans="3:65" ht="28.8">
      <c r="C422" s="136">
        <v>5</v>
      </c>
      <c r="D422" s="137" t="s">
        <v>233</v>
      </c>
      <c r="E422" s="136" t="s">
        <v>326</v>
      </c>
      <c r="F422" s="136" t="s">
        <v>547</v>
      </c>
      <c r="G422" s="136" t="s">
        <v>553</v>
      </c>
      <c r="H422" s="191">
        <v>-0.14119999999999999</v>
      </c>
      <c r="I422" s="191">
        <v>-0.1076582</v>
      </c>
      <c r="J422" s="191">
        <v>0</v>
      </c>
      <c r="K422" s="191">
        <v>-1.6469256542723201</v>
      </c>
      <c r="L422" s="191">
        <v>-2.6210623531569701</v>
      </c>
      <c r="M422" s="191">
        <v>-1.38149756182477</v>
      </c>
      <c r="N422" s="191">
        <v>-1.01882246868174</v>
      </c>
      <c r="O422" s="191">
        <v>3.22067237258509E-2</v>
      </c>
      <c r="T422" s="48">
        <v>5</v>
      </c>
      <c r="U422" s="46" t="s">
        <v>252</v>
      </c>
      <c r="V422" s="53" t="s">
        <v>328</v>
      </c>
      <c r="W422" s="53" t="s">
        <v>547</v>
      </c>
      <c r="X422" s="53" t="s">
        <v>553</v>
      </c>
      <c r="Y422" s="172">
        <f>IFERROR(-tblZwaste1422[[#This Row],[Weight (kgCO2e/kg)]],0)</f>
        <v>-2.3231199999999999</v>
      </c>
      <c r="Z422" s="172" t="e">
        <f>IF(AQ422="x",(AR422*-tblZwaste1422[[#This Row],[Weight (kgCO2e/kg)]])+AS422+($AR$10*Lookups!$J$38/1000),"DELETE")</f>
        <v>#N/A</v>
      </c>
      <c r="AA422" s="176">
        <v>-4.5526807677706405</v>
      </c>
      <c r="AB422" s="172" t="s">
        <v>567</v>
      </c>
      <c r="AC422" s="172" t="s">
        <v>567</v>
      </c>
      <c r="AD422" s="172">
        <v>2.6019877032721701E-2</v>
      </c>
      <c r="AE422" s="172">
        <v>0.57565485951678097</v>
      </c>
      <c r="AF422" s="172">
        <v>2.49560775837113</v>
      </c>
      <c r="AG422" s="150"/>
      <c r="AI422" s="137">
        <v>5</v>
      </c>
      <c r="AJ422" s="136" t="s">
        <v>252</v>
      </c>
      <c r="AK422" s="142" t="s">
        <v>328</v>
      </c>
      <c r="AL422" s="136" t="s">
        <v>547</v>
      </c>
      <c r="AM422" s="136" t="s">
        <v>553</v>
      </c>
      <c r="AN422" s="1">
        <v>2.3231199999999999</v>
      </c>
      <c r="AO422" s="166">
        <v>1.77911</v>
      </c>
      <c r="AQ422" t="e">
        <f>_xlfn.XLOOKUP(tblGWP21[[#This Row],[Material Subcategory]],ls_Mat,Factors!$K$952:$K$1023)</f>
        <v>#N/A</v>
      </c>
      <c r="AR422" s="173">
        <v>0.77500000000000002</v>
      </c>
      <c r="BA422" cm="1">
        <f t="array" ref="BA422:BM422">tblGWP21[#This Row]</f>
        <v>5</v>
      </c>
      <c r="BB422" t="str">
        <v>Plastics</v>
      </c>
      <c r="BC422" t="str">
        <v>LDPE</v>
      </c>
      <c r="BD422" t="str">
        <v>Asia</v>
      </c>
      <c r="BE422" t="str">
        <v>China</v>
      </c>
      <c r="BF422">
        <v>-2.3231199999999999</v>
      </c>
      <c r="BG422" t="e">
        <v>#N/A</v>
      </c>
      <c r="BH422">
        <v>-4.5526807677706405</v>
      </c>
      <c r="BI422" t="str">
        <v>DELETE</v>
      </c>
      <c r="BJ422" t="str">
        <v>DELETE</v>
      </c>
      <c r="BK422">
        <v>2.6019877032721701E-2</v>
      </c>
      <c r="BL422">
        <v>0.57565485951678097</v>
      </c>
      <c r="BM422">
        <v>2.49560775837113</v>
      </c>
    </row>
    <row r="423" spans="3:65">
      <c r="C423" s="362">
        <v>5</v>
      </c>
      <c r="D423" s="363" t="s">
        <v>261</v>
      </c>
      <c r="E423" s="362" t="s">
        <v>261</v>
      </c>
      <c r="F423" s="362" t="s">
        <v>547</v>
      </c>
      <c r="G423" s="362" t="s">
        <v>553</v>
      </c>
      <c r="H423" s="368">
        <v>-4.72241</v>
      </c>
      <c r="I423" s="368">
        <v>-2.3594331999999998</v>
      </c>
      <c r="J423" s="368">
        <v>0</v>
      </c>
      <c r="K423" s="368">
        <v>-0.36339401385138703</v>
      </c>
      <c r="L423" s="368">
        <v>-0.58377207348737448</v>
      </c>
      <c r="M423" s="368">
        <v>0.17474709583780051</v>
      </c>
      <c r="N423" s="368">
        <v>-0.17313995428104201</v>
      </c>
      <c r="O423" s="368">
        <v>2.54063326817313E-2</v>
      </c>
      <c r="T423" s="48">
        <v>5</v>
      </c>
      <c r="U423" s="46" t="s">
        <v>252</v>
      </c>
      <c r="V423" s="53" t="s">
        <v>254</v>
      </c>
      <c r="W423" s="53" t="s">
        <v>547</v>
      </c>
      <c r="X423" s="53" t="s">
        <v>553</v>
      </c>
      <c r="Y423" s="172">
        <f>IFERROR(-tblZwaste1422[[#This Row],[Weight (kgCO2e/kg)]],0)</f>
        <v>-2.1485799999999999</v>
      </c>
      <c r="Z423" s="172" t="e">
        <f>IF(AQ423="x",(AR423*-tblZwaste1422[[#This Row],[Weight (kgCO2e/kg)]])+AS423+($AR$10*Lookups!$J$38/1000),"DELETE")</f>
        <v>#N/A</v>
      </c>
      <c r="AA423" s="176">
        <v>-4.6352090443002485</v>
      </c>
      <c r="AB423" s="172" t="s">
        <v>567</v>
      </c>
      <c r="AC423" s="172" t="s">
        <v>567</v>
      </c>
      <c r="AD423" s="172">
        <v>2.6019876229307799E-2</v>
      </c>
      <c r="AE423" s="172">
        <v>0.73504012336485502</v>
      </c>
      <c r="AF423" s="172">
        <v>2.53633250473806</v>
      </c>
      <c r="AG423" s="150"/>
      <c r="AI423" s="137">
        <v>5</v>
      </c>
      <c r="AJ423" s="136" t="s">
        <v>252</v>
      </c>
      <c r="AK423" s="142" t="s">
        <v>254</v>
      </c>
      <c r="AL423" s="136" t="s">
        <v>547</v>
      </c>
      <c r="AM423" s="136" t="s">
        <v>553</v>
      </c>
      <c r="AN423" s="1">
        <v>2.1485799999999999</v>
      </c>
      <c r="AO423" s="166">
        <v>1.77911</v>
      </c>
      <c r="AQ423" t="e">
        <f>_xlfn.XLOOKUP(tblGWP21[[#This Row],[Material Subcategory]],ls_Mat,Factors!$K$952:$K$1023)</f>
        <v>#N/A</v>
      </c>
      <c r="AR423" s="173">
        <v>0.77500000000000002</v>
      </c>
      <c r="AS423">
        <v>8.1306407300000008E-2</v>
      </c>
      <c r="AT423" t="s">
        <v>531</v>
      </c>
      <c r="AU423" t="s">
        <v>526</v>
      </c>
      <c r="AV423" s="347">
        <v>0.95</v>
      </c>
      <c r="BA423" cm="1">
        <f t="array" ref="BA423:BM423">tblGWP21[#This Row]</f>
        <v>5</v>
      </c>
      <c r="BB423" t="str">
        <v>Plastics</v>
      </c>
      <c r="BC423" t="str">
        <v>PET</v>
      </c>
      <c r="BD423" t="str">
        <v>Asia</v>
      </c>
      <c r="BE423" t="str">
        <v>China</v>
      </c>
      <c r="BF423">
        <v>-2.1485799999999999</v>
      </c>
      <c r="BG423" t="e">
        <v>#N/A</v>
      </c>
      <c r="BH423">
        <v>-4.6352090443002485</v>
      </c>
      <c r="BI423" t="str">
        <v>DELETE</v>
      </c>
      <c r="BJ423" t="str">
        <v>DELETE</v>
      </c>
      <c r="BK423">
        <v>2.6019876229307799E-2</v>
      </c>
      <c r="BL423">
        <v>0.73504012336485502</v>
      </c>
      <c r="BM423">
        <v>2.53633250473806</v>
      </c>
    </row>
    <row r="424" spans="3:65">
      <c r="C424" s="136">
        <v>5</v>
      </c>
      <c r="D424" s="137" t="s">
        <v>261</v>
      </c>
      <c r="E424" s="136" t="s">
        <v>269</v>
      </c>
      <c r="F424" s="136" t="s">
        <v>547</v>
      </c>
      <c r="G424" s="136" t="s">
        <v>553</v>
      </c>
      <c r="H424" s="191">
        <v>-0.25034000000000001</v>
      </c>
      <c r="I424" s="191">
        <v>-0.1233982</v>
      </c>
      <c r="J424" s="191">
        <v>0</v>
      </c>
      <c r="K424" s="191">
        <v>-0.30335317617577701</v>
      </c>
      <c r="L424" s="191">
        <v>-0.49408105734615099</v>
      </c>
      <c r="M424" s="191">
        <v>0.203978762337724</v>
      </c>
      <c r="N424" s="191">
        <v>-0.11943934047983901</v>
      </c>
      <c r="O424" s="191">
        <v>2.5084236372043898E-2</v>
      </c>
      <c r="T424" s="48">
        <v>5</v>
      </c>
      <c r="U424" s="46" t="s">
        <v>252</v>
      </c>
      <c r="V424" s="53" t="s">
        <v>532</v>
      </c>
      <c r="W424" s="53" t="s">
        <v>547</v>
      </c>
      <c r="X424" s="53" t="s">
        <v>553</v>
      </c>
      <c r="Y424" s="172">
        <f>IFERROR(-tblZwaste1422[[#This Row],[Weight (kgCO2e/kg)]],0)</f>
        <v>-1.9492499999999999</v>
      </c>
      <c r="Z424" s="172" t="e">
        <f>IF(AQ424="x",(AR424*-tblZwaste1422[[#This Row],[Weight (kgCO2e/kg)]])+AS424+($AR$10*Lookups!$J$38/1000),"DELETE")</f>
        <v>#N/A</v>
      </c>
      <c r="AA424" s="176">
        <v>-4.5526807677706405</v>
      </c>
      <c r="AB424" s="172" t="s">
        <v>567</v>
      </c>
      <c r="AC424" s="172" t="s">
        <v>567</v>
      </c>
      <c r="AD424" s="172">
        <v>2.6019877032721701E-2</v>
      </c>
      <c r="AE424" s="172">
        <v>0.57565485951678097</v>
      </c>
      <c r="AF424" s="172">
        <v>2.49560775837113</v>
      </c>
      <c r="AG424" s="150"/>
      <c r="AI424" s="137">
        <v>5</v>
      </c>
      <c r="AJ424" s="136" t="s">
        <v>252</v>
      </c>
      <c r="AK424" s="142" t="s">
        <v>532</v>
      </c>
      <c r="AL424" s="136" t="s">
        <v>547</v>
      </c>
      <c r="AM424" s="136" t="s">
        <v>553</v>
      </c>
      <c r="AN424" s="1">
        <v>1.9492499999999999</v>
      </c>
      <c r="AO424" s="166">
        <v>1.77911</v>
      </c>
      <c r="AQ424" t="e">
        <f>_xlfn.XLOOKUP(tblGWP21[[#This Row],[Material Subcategory]],ls_Mat,Factors!$K$952:$K$1023)</f>
        <v>#N/A</v>
      </c>
      <c r="AU424" t="s">
        <v>526</v>
      </c>
      <c r="AV424" s="347">
        <v>0.9</v>
      </c>
      <c r="BA424" cm="1">
        <f t="array" ref="BA424:BM424">tblGWP21[#This Row]</f>
        <v>5</v>
      </c>
      <c r="BB424" t="str">
        <v>Plastics</v>
      </c>
      <c r="BC424" t="str">
        <v>LLDPE</v>
      </c>
      <c r="BD424" t="str">
        <v>Asia</v>
      </c>
      <c r="BE424" t="str">
        <v>China</v>
      </c>
      <c r="BF424">
        <v>-1.9492499999999999</v>
      </c>
      <c r="BG424" t="e">
        <v>#N/A</v>
      </c>
      <c r="BH424">
        <v>-4.5526807677706405</v>
      </c>
      <c r="BI424" t="str">
        <v>DELETE</v>
      </c>
      <c r="BJ424" t="str">
        <v>DELETE</v>
      </c>
      <c r="BK424">
        <v>2.6019877032721701E-2</v>
      </c>
      <c r="BL424">
        <v>0.57565485951678097</v>
      </c>
      <c r="BM424">
        <v>2.49560775837113</v>
      </c>
    </row>
    <row r="425" spans="3:65" ht="28.8">
      <c r="C425" s="362">
        <v>5</v>
      </c>
      <c r="D425" s="363" t="s">
        <v>261</v>
      </c>
      <c r="E425" s="362" t="s">
        <v>530</v>
      </c>
      <c r="F425" s="362" t="s">
        <v>547</v>
      </c>
      <c r="G425" s="362" t="s">
        <v>553</v>
      </c>
      <c r="H425" s="368">
        <v>-9.1944800000000004</v>
      </c>
      <c r="I425" s="368">
        <v>-4.5954682</v>
      </c>
      <c r="J425" s="368">
        <v>0</v>
      </c>
      <c r="K425" s="368">
        <v>-0.423434851526997</v>
      </c>
      <c r="L425" s="368">
        <v>-0.67346308962859802</v>
      </c>
      <c r="M425" s="368">
        <v>0.14551542933787701</v>
      </c>
      <c r="N425" s="368">
        <v>-0.22684056808224501</v>
      </c>
      <c r="O425" s="368">
        <v>2.5728428991418702E-2</v>
      </c>
      <c r="T425" s="48">
        <v>5</v>
      </c>
      <c r="U425" s="46" t="s">
        <v>252</v>
      </c>
      <c r="V425" s="53" t="s">
        <v>245</v>
      </c>
      <c r="W425" s="53" t="s">
        <v>547</v>
      </c>
      <c r="X425" s="53" t="s">
        <v>553</v>
      </c>
      <c r="Y425" s="172">
        <f>IFERROR(-tblZwaste1422[[#This Row],[Weight (kgCO2e/kg)]],0)</f>
        <v>-2.0269300000000001</v>
      </c>
      <c r="Z425" s="172" t="e">
        <f>IF(AQ425="x",(AR425*-tblZwaste1422[[#This Row],[Weight (kgCO2e/kg)]])+AS425+($AR$10*Lookups!$J$38/1000),"DELETE")</f>
        <v>#N/A</v>
      </c>
      <c r="AA425" s="176" t="s">
        <v>567</v>
      </c>
      <c r="AB425" s="172" t="s">
        <v>567</v>
      </c>
      <c r="AC425" s="172" t="s">
        <v>567</v>
      </c>
      <c r="AD425" s="172">
        <v>2.6019877153967599E-2</v>
      </c>
      <c r="AE425" s="172">
        <v>0.50328563713698804</v>
      </c>
      <c r="AF425" s="172">
        <v>3.1833669955531101</v>
      </c>
      <c r="AG425" s="150"/>
      <c r="AI425" s="137">
        <v>5</v>
      </c>
      <c r="AJ425" s="136" t="s">
        <v>252</v>
      </c>
      <c r="AK425" s="142" t="s">
        <v>245</v>
      </c>
      <c r="AL425" s="136" t="s">
        <v>547</v>
      </c>
      <c r="AM425" s="136" t="s">
        <v>553</v>
      </c>
      <c r="AN425" s="1">
        <v>2.0269300000000001</v>
      </c>
      <c r="AO425" s="166">
        <v>1.77911</v>
      </c>
      <c r="AQ425" t="e">
        <f>_xlfn.XLOOKUP(tblGWP21[[#This Row],[Material Subcategory]],ls_Mat,Factors!$K$952:$K$1023)</f>
        <v>#N/A</v>
      </c>
      <c r="AR425" s="173">
        <v>0.77500000000000002</v>
      </c>
      <c r="AS425">
        <v>8.1306407300000008E-2</v>
      </c>
      <c r="AT425" t="s">
        <v>531</v>
      </c>
      <c r="AU425" t="s">
        <v>526</v>
      </c>
      <c r="AV425" s="347">
        <v>0.9</v>
      </c>
      <c r="BA425" cm="1">
        <f t="array" ref="BA425:BM425">tblGWP21[#This Row]</f>
        <v>5</v>
      </c>
      <c r="BB425" t="str">
        <v>Plastics</v>
      </c>
      <c r="BC425" t="str">
        <v>PP</v>
      </c>
      <c r="BD425" t="str">
        <v>Asia</v>
      </c>
      <c r="BE425" t="str">
        <v>China</v>
      </c>
      <c r="BF425">
        <v>-2.0269300000000001</v>
      </c>
      <c r="BG425" t="e">
        <v>#N/A</v>
      </c>
      <c r="BH425" t="str">
        <v>DELETE</v>
      </c>
      <c r="BI425" t="str">
        <v>DELETE</v>
      </c>
      <c r="BJ425" t="str">
        <v>DELETE</v>
      </c>
      <c r="BK425">
        <v>2.6019877153967599E-2</v>
      </c>
      <c r="BL425">
        <v>0.50328563713698804</v>
      </c>
      <c r="BM425">
        <v>3.1833669955531101</v>
      </c>
    </row>
    <row r="426" spans="3:65">
      <c r="C426" s="136">
        <v>5</v>
      </c>
      <c r="D426" s="137" t="s">
        <v>261</v>
      </c>
      <c r="E426" s="136" t="s">
        <v>262</v>
      </c>
      <c r="F426" s="136" t="s">
        <v>547</v>
      </c>
      <c r="G426" s="136" t="s">
        <v>553</v>
      </c>
      <c r="H426" s="191">
        <v>-2.5034000000000001</v>
      </c>
      <c r="I426" s="191">
        <v>0</v>
      </c>
      <c r="J426" s="191">
        <v>0</v>
      </c>
      <c r="K426" s="191">
        <v>-0.423434851526997</v>
      </c>
      <c r="L426" s="191">
        <v>-0.67346308962859802</v>
      </c>
      <c r="M426" s="191">
        <v>0.14551542933787701</v>
      </c>
      <c r="N426" s="191">
        <v>-0.22684056808224501</v>
      </c>
      <c r="O426" s="191">
        <v>2.5728428991418702E-2</v>
      </c>
      <c r="T426" s="48">
        <v>5</v>
      </c>
      <c r="U426" s="46" t="s">
        <v>252</v>
      </c>
      <c r="V426" s="53" t="s">
        <v>533</v>
      </c>
      <c r="W426" s="53" t="s">
        <v>547</v>
      </c>
      <c r="X426" s="53" t="s">
        <v>553</v>
      </c>
      <c r="Y426" s="172">
        <f>IFERROR(-tblZwaste1422[[#This Row],[Weight (kgCO2e/kg)]],0)</f>
        <v>-2.0748000000000002</v>
      </c>
      <c r="Z426" s="172" t="e">
        <f>IF(AQ426="x",(AR426*-tblZwaste1422[[#This Row],[Weight (kgCO2e/kg)]])+AS426+($AR$10*Lookups!$J$38/1000),"DELETE")</f>
        <v>#N/A</v>
      </c>
      <c r="AA426" s="176" t="s">
        <v>567</v>
      </c>
      <c r="AB426" s="172" t="s">
        <v>567</v>
      </c>
      <c r="AC426" s="172" t="s">
        <v>567</v>
      </c>
      <c r="AD426" s="172">
        <v>2.6019871946222701E-2</v>
      </c>
      <c r="AE426" s="172">
        <v>0.69428254866703898</v>
      </c>
      <c r="AF426" s="172">
        <v>3.0368306582667901</v>
      </c>
      <c r="AG426" s="150"/>
      <c r="AI426" s="137">
        <v>5</v>
      </c>
      <c r="AJ426" s="136" t="s">
        <v>252</v>
      </c>
      <c r="AK426" s="142" t="s">
        <v>533</v>
      </c>
      <c r="AL426" s="136" t="s">
        <v>547</v>
      </c>
      <c r="AM426" s="136" t="s">
        <v>553</v>
      </c>
      <c r="AN426" s="1">
        <v>2.0748000000000002</v>
      </c>
      <c r="AO426" s="166">
        <v>1.77911</v>
      </c>
      <c r="AQ426" t="e">
        <f>_xlfn.XLOOKUP(tblGWP21[[#This Row],[Material Subcategory]],ls_Mat,Factors!$K$952:$K$1023)</f>
        <v>#N/A</v>
      </c>
      <c r="AR426" s="173">
        <v>0.77500000000000002</v>
      </c>
      <c r="AS426">
        <v>8.1306407300000008E-2</v>
      </c>
      <c r="AT426" t="s">
        <v>531</v>
      </c>
      <c r="AU426" t="s">
        <v>526</v>
      </c>
      <c r="AV426" s="347">
        <v>0.95</v>
      </c>
      <c r="BA426" cm="1">
        <f t="array" ref="BA426:BM426">tblGWP21[#This Row]</f>
        <v>5</v>
      </c>
      <c r="BB426" t="str">
        <v>Plastics</v>
      </c>
      <c r="BC426" t="str">
        <v>PVC</v>
      </c>
      <c r="BD426" t="str">
        <v>Asia</v>
      </c>
      <c r="BE426" t="str">
        <v>China</v>
      </c>
      <c r="BF426">
        <v>-2.0748000000000002</v>
      </c>
      <c r="BG426" t="e">
        <v>#N/A</v>
      </c>
      <c r="BH426" t="str">
        <v>DELETE</v>
      </c>
      <c r="BI426" t="str">
        <v>DELETE</v>
      </c>
      <c r="BJ426" t="str">
        <v>DELETE</v>
      </c>
      <c r="BK426">
        <v>2.6019871946222701E-2</v>
      </c>
      <c r="BL426">
        <v>0.69428254866703898</v>
      </c>
      <c r="BM426">
        <v>3.0368306582667901</v>
      </c>
    </row>
    <row r="427" spans="3:65">
      <c r="C427" s="362">
        <v>5</v>
      </c>
      <c r="D427" s="363" t="s">
        <v>252</v>
      </c>
      <c r="E427" s="362" t="s">
        <v>252</v>
      </c>
      <c r="F427" s="362" t="s">
        <v>547</v>
      </c>
      <c r="G427" s="362" t="s">
        <v>553</v>
      </c>
      <c r="H427" s="368">
        <v>-2.0953266666666663</v>
      </c>
      <c r="I427" s="368">
        <v>-1.5407999593666664</v>
      </c>
      <c r="J427" s="368">
        <v>-4.4031927097256318</v>
      </c>
      <c r="K427" s="368">
        <v>0</v>
      </c>
      <c r="L427" s="368">
        <v>0</v>
      </c>
      <c r="M427" s="368">
        <v>2.6019879277753101E-2</v>
      </c>
      <c r="N427" s="368">
        <v>0.65959040494211596</v>
      </c>
      <c r="O427" s="368">
        <v>2.1870242856928401</v>
      </c>
      <c r="T427" s="48">
        <v>5</v>
      </c>
      <c r="U427" s="46" t="s">
        <v>242</v>
      </c>
      <c r="V427" s="53" t="s">
        <v>242</v>
      </c>
      <c r="W427" s="53" t="s">
        <v>547</v>
      </c>
      <c r="X427" s="53" t="s">
        <v>553</v>
      </c>
      <c r="Y427" s="172">
        <f>IFERROR(-tblZwaste1422[[#This Row],[Weight (kgCO2e/kg)]],0)</f>
        <v>-38.486130000000003</v>
      </c>
      <c r="Z427" s="172" t="e">
        <f>IF(AQ427="x",(AR427*-tblZwaste1422[[#This Row],[Weight (kgCO2e/kg)]])+AS427+($AR$10*Lookups!$J$38/1000),"DELETE")</f>
        <v>#N/A</v>
      </c>
      <c r="AA427" s="172">
        <f>AVERAGE(AA428,AA429,AA461,AA462)</f>
        <v>-3.2868550000000001</v>
      </c>
      <c r="AB427" s="172" t="s">
        <v>567</v>
      </c>
      <c r="AC427" s="172" t="s">
        <v>567</v>
      </c>
      <c r="AD427" s="172">
        <v>2.5860000000000001E-2</v>
      </c>
      <c r="AE427" s="172">
        <v>4.1945011672945703E-2</v>
      </c>
      <c r="AF427" s="172">
        <v>4.89113522447873E-2</v>
      </c>
      <c r="AG427" s="150"/>
      <c r="AI427" s="137">
        <v>5</v>
      </c>
      <c r="AJ427" s="136" t="s">
        <v>242</v>
      </c>
      <c r="AK427" s="142" t="s">
        <v>242</v>
      </c>
      <c r="AL427" s="136" t="s">
        <v>547</v>
      </c>
      <c r="AM427" s="136" t="s">
        <v>553</v>
      </c>
      <c r="AN427" s="1">
        <v>38.486130000000003</v>
      </c>
      <c r="AO427" s="166">
        <v>0.20843</v>
      </c>
      <c r="AQ427" t="e">
        <f>_xlfn.XLOOKUP(tblGWP21[[#This Row],[Material Subcategory]],ls_Mat,Factors!$K$952:$K$1023)</f>
        <v>#N/A</v>
      </c>
      <c r="AR427" s="173">
        <v>0.72499999999999998</v>
      </c>
      <c r="AS427">
        <v>0</v>
      </c>
      <c r="AT427" t="s">
        <v>527</v>
      </c>
      <c r="AU427" t="s">
        <v>526</v>
      </c>
      <c r="AV427" s="347">
        <v>0.7</v>
      </c>
      <c r="BA427" cm="1">
        <f t="array" ref="BA427:BM427">tblGWP21[#This Row]</f>
        <v>5</v>
      </c>
      <c r="BB427" t="str">
        <v>Electronics</v>
      </c>
      <c r="BC427" t="str">
        <v>Electronics</v>
      </c>
      <c r="BD427" t="str">
        <v>Asia</v>
      </c>
      <c r="BE427" t="str">
        <v>China</v>
      </c>
      <c r="BF427">
        <v>-38.486130000000003</v>
      </c>
      <c r="BG427" t="e">
        <v>#N/A</v>
      </c>
      <c r="BH427">
        <v>-3.2868550000000001</v>
      </c>
      <c r="BI427" t="str">
        <v>DELETE</v>
      </c>
      <c r="BJ427" t="str">
        <v>DELETE</v>
      </c>
      <c r="BK427">
        <v>2.5860000000000001E-2</v>
      </c>
      <c r="BL427">
        <v>4.1945011672945703E-2</v>
      </c>
      <c r="BM427">
        <v>4.89113522447873E-2</v>
      </c>
    </row>
    <row r="428" spans="3:65" ht="28.8">
      <c r="C428" s="136">
        <v>5</v>
      </c>
      <c r="D428" s="137" t="s">
        <v>252</v>
      </c>
      <c r="E428" s="136" t="s">
        <v>253</v>
      </c>
      <c r="F428" s="136" t="s">
        <v>547</v>
      </c>
      <c r="G428" s="136" t="s">
        <v>553</v>
      </c>
      <c r="H428" s="191">
        <v>-2.04928</v>
      </c>
      <c r="I428" s="191">
        <v>0</v>
      </c>
      <c r="J428" s="191">
        <v>-3.8722002590609996</v>
      </c>
      <c r="K428" s="191">
        <v>0</v>
      </c>
      <c r="L428" s="191">
        <v>0</v>
      </c>
      <c r="M428" s="191">
        <v>2.6019876229307799E-2</v>
      </c>
      <c r="N428" s="191">
        <v>0.547663044482956</v>
      </c>
      <c r="O428" s="191">
        <v>3.1831776856510099</v>
      </c>
      <c r="T428" s="48">
        <v>5</v>
      </c>
      <c r="U428" s="46" t="s">
        <v>242</v>
      </c>
      <c r="V428" s="53" t="s">
        <v>274</v>
      </c>
      <c r="W428" s="53" t="s">
        <v>547</v>
      </c>
      <c r="X428" s="53" t="s">
        <v>553</v>
      </c>
      <c r="Y428" s="172">
        <f>IFERROR(-tblZwaste1422[[#This Row],[Weight (kgCO2e/kg)]],0)</f>
        <v>-38.486130000000003</v>
      </c>
      <c r="Z428" s="172">
        <f>IF(AQ428="x",(AR428*-tblZwaste1422[[#This Row],[Weight (kgCO2e/kg)]])+AS428+($AR$10*Lookups!$J$38/1000),"DELETE")</f>
        <v>-27.900672450000002</v>
      </c>
      <c r="AA428" s="172">
        <v>-8.5278425000000002</v>
      </c>
      <c r="AB428" s="172" t="s">
        <v>567</v>
      </c>
      <c r="AC428" s="172" t="s">
        <v>567</v>
      </c>
      <c r="AD428" s="172">
        <v>2.5860000000000001E-2</v>
      </c>
      <c r="AE428" s="172">
        <v>4.1945011672945703E-2</v>
      </c>
      <c r="AF428" s="172">
        <v>4.89113522447873E-2</v>
      </c>
      <c r="AG428" s="150"/>
      <c r="AI428" s="137">
        <v>5</v>
      </c>
      <c r="AJ428" s="136" t="s">
        <v>242</v>
      </c>
      <c r="AK428" s="142" t="s">
        <v>242</v>
      </c>
      <c r="AL428" s="136" t="s">
        <v>547</v>
      </c>
      <c r="AM428" s="136" t="s">
        <v>553</v>
      </c>
      <c r="AN428" s="1">
        <v>38.486130000000003</v>
      </c>
      <c r="AO428" s="166">
        <v>0.20843</v>
      </c>
      <c r="AQ428" t="str">
        <f>_xlfn.XLOOKUP(tblGWP21[[#This Row],[Material Subcategory]],ls_Mat,Factors!$K$952:$K$1023)</f>
        <v>x</v>
      </c>
      <c r="AR428" s="173">
        <v>0.72499999999999998</v>
      </c>
      <c r="AS428">
        <v>0</v>
      </c>
      <c r="AT428" t="s">
        <v>527</v>
      </c>
      <c r="BA428" cm="1">
        <f t="array" ref="BA428:BM428">tblGWP21[#This Row]</f>
        <v>5</v>
      </c>
      <c r="BB428" t="str">
        <v>Electronics</v>
      </c>
      <c r="BC428" t="str">
        <v>E-waste</v>
      </c>
      <c r="BD428" t="str">
        <v>Asia</v>
      </c>
      <c r="BE428" t="str">
        <v>China</v>
      </c>
      <c r="BF428">
        <v>-38.486130000000003</v>
      </c>
      <c r="BG428">
        <v>-27.900672450000002</v>
      </c>
      <c r="BH428">
        <v>-8.5278425000000002</v>
      </c>
      <c r="BI428" t="str">
        <v>DELETE</v>
      </c>
      <c r="BJ428" t="str">
        <v>DELETE</v>
      </c>
      <c r="BK428">
        <v>2.5860000000000001E-2</v>
      </c>
      <c r="BL428">
        <v>4.1945011672945703E-2</v>
      </c>
      <c r="BM428">
        <v>4.89113522447873E-2</v>
      </c>
    </row>
    <row r="429" spans="3:65">
      <c r="C429" s="362">
        <v>5</v>
      </c>
      <c r="D429" s="363" t="s">
        <v>252</v>
      </c>
      <c r="E429" s="362" t="s">
        <v>328</v>
      </c>
      <c r="F429" s="362" t="s">
        <v>547</v>
      </c>
      <c r="G429" s="362" t="s">
        <v>553</v>
      </c>
      <c r="H429" s="368">
        <v>-2.3231199999999999</v>
      </c>
      <c r="I429" s="368">
        <v>0</v>
      </c>
      <c r="J429" s="368">
        <v>-4.5526807677706405</v>
      </c>
      <c r="K429" s="368">
        <v>0</v>
      </c>
      <c r="L429" s="368">
        <v>0</v>
      </c>
      <c r="M429" s="368">
        <v>2.6019877032721701E-2</v>
      </c>
      <c r="N429" s="368">
        <v>0.57565485951678097</v>
      </c>
      <c r="O429" s="368">
        <v>2.49560775837113</v>
      </c>
      <c r="T429" s="48">
        <v>5</v>
      </c>
      <c r="U429" s="46" t="s">
        <v>242</v>
      </c>
      <c r="V429" s="53" t="s">
        <v>534</v>
      </c>
      <c r="W429" s="53" t="s">
        <v>547</v>
      </c>
      <c r="X429" s="53" t="s">
        <v>553</v>
      </c>
      <c r="Y429" s="172">
        <f>IFERROR(-tblZwaste1422[[#This Row],[Weight (kgCO2e/kg)]],0)</f>
        <v>-15.0122</v>
      </c>
      <c r="Z429" s="172">
        <f>IF(AQ429="x",(AR429*-tblZwaste1422[[#This Row],[Weight (kgCO2e/kg)]])+AS429+($AR$10*Lookups!$J$38/1000),"DELETE")</f>
        <v>-10.882073199999999</v>
      </c>
      <c r="AA429" s="172">
        <v>-3.19428</v>
      </c>
      <c r="AB429" s="172" t="s">
        <v>567</v>
      </c>
      <c r="AC429" s="172" t="s">
        <v>567</v>
      </c>
      <c r="AD429" s="172">
        <v>2.5860000000000001E-2</v>
      </c>
      <c r="AE429" s="172">
        <v>4.1945011672945703E-2</v>
      </c>
      <c r="AF429" s="172">
        <v>4.89113522447873E-2</v>
      </c>
      <c r="AG429" s="150"/>
      <c r="AI429" s="137">
        <v>5</v>
      </c>
      <c r="AJ429" s="136" t="s">
        <v>242</v>
      </c>
      <c r="AK429" s="142" t="s">
        <v>534</v>
      </c>
      <c r="AL429" s="136" t="s">
        <v>547</v>
      </c>
      <c r="AM429" s="136" t="s">
        <v>553</v>
      </c>
      <c r="AN429" s="1">
        <v>15.0122</v>
      </c>
      <c r="AO429" s="166">
        <v>0.37092000000000003</v>
      </c>
      <c r="AQ429" t="str">
        <f>_xlfn.XLOOKUP(tblGWP21[[#This Row],[Material Subcategory]],ls_Mat,Factors!$K$952:$K$1023)</f>
        <v>x</v>
      </c>
      <c r="AR429" s="173">
        <v>0.72499999999999998</v>
      </c>
      <c r="AS429">
        <v>0</v>
      </c>
      <c r="AT429" t="s">
        <v>527</v>
      </c>
      <c r="BA429" cm="1">
        <f t="array" ref="BA429:BM429">tblGWP21[#This Row]</f>
        <v>5</v>
      </c>
      <c r="BB429" t="str">
        <v>Electronics</v>
      </c>
      <c r="BC429" t="str">
        <v>Batteries</v>
      </c>
      <c r="BD429" t="str">
        <v>Asia</v>
      </c>
      <c r="BE429" t="str">
        <v>China</v>
      </c>
      <c r="BF429">
        <v>-15.0122</v>
      </c>
      <c r="BG429">
        <v>-10.882073199999999</v>
      </c>
      <c r="BH429">
        <v>-3.19428</v>
      </c>
      <c r="BI429" t="str">
        <v>DELETE</v>
      </c>
      <c r="BJ429" t="str">
        <v>DELETE</v>
      </c>
      <c r="BK429">
        <v>2.5860000000000001E-2</v>
      </c>
      <c r="BL429">
        <v>4.1945011672945703E-2</v>
      </c>
      <c r="BM429">
        <v>4.89113522447873E-2</v>
      </c>
    </row>
    <row r="430" spans="3:65">
      <c r="C430" s="136">
        <v>5</v>
      </c>
      <c r="D430" s="137" t="s">
        <v>252</v>
      </c>
      <c r="E430" s="136" t="s">
        <v>254</v>
      </c>
      <c r="F430" s="136" t="s">
        <v>547</v>
      </c>
      <c r="G430" s="136" t="s">
        <v>553</v>
      </c>
      <c r="H430" s="191">
        <v>-2.1485799999999999</v>
      </c>
      <c r="I430" s="191">
        <v>0</v>
      </c>
      <c r="J430" s="191">
        <v>-4.6352090443002485</v>
      </c>
      <c r="K430" s="191">
        <v>0</v>
      </c>
      <c r="L430" s="191">
        <v>0</v>
      </c>
      <c r="M430" s="191">
        <v>2.6019876229307799E-2</v>
      </c>
      <c r="N430" s="191">
        <v>0.73504012336485502</v>
      </c>
      <c r="O430" s="191">
        <v>2.53633250473806</v>
      </c>
      <c r="T430" s="48">
        <v>5</v>
      </c>
      <c r="U430" s="46" t="s">
        <v>239</v>
      </c>
      <c r="V430" s="53" t="s">
        <v>239</v>
      </c>
      <c r="W430" s="53" t="s">
        <v>547</v>
      </c>
      <c r="X430" s="53" t="s">
        <v>553</v>
      </c>
      <c r="Y430" s="172">
        <f>IFERROR(-tblZwaste1422[[#This Row],[Weight (kgCO2e/kg)]],0)</f>
        <v>-2.6644477777777777</v>
      </c>
      <c r="Z430" s="172" t="e">
        <f>IF(AQ430="x",(AR430*-tblZwaste1422[[#This Row],[Weight (kgCO2e/kg)]])+AS430+($AR$10*Lookups!$J$38/1000),"DELETE")</f>
        <v>#N/A</v>
      </c>
      <c r="AA430" s="176">
        <v>-0.81120247843016002</v>
      </c>
      <c r="AB430" s="172">
        <v>-1.6289204631588901</v>
      </c>
      <c r="AC430" s="172">
        <v>-2.3853817279456502</v>
      </c>
      <c r="AD430" s="172">
        <v>-0.63000031941498502</v>
      </c>
      <c r="AE430" s="172">
        <v>-0.82226405511991896</v>
      </c>
      <c r="AF430" s="172">
        <v>2.74714200585238E-2</v>
      </c>
      <c r="AG430" s="150"/>
      <c r="AI430" s="137">
        <v>5</v>
      </c>
      <c r="AJ430" s="136" t="s">
        <v>239</v>
      </c>
      <c r="AK430" s="142" t="s">
        <v>239</v>
      </c>
      <c r="AL430" s="136" t="s">
        <v>547</v>
      </c>
      <c r="AM430" s="136" t="s">
        <v>553</v>
      </c>
      <c r="AN430" s="1">
        <v>2.6644477777777777</v>
      </c>
      <c r="AO430" s="166">
        <v>0.64099666666666666</v>
      </c>
      <c r="AQ430" t="e">
        <f>_xlfn.XLOOKUP(tblGWP21[[#This Row],[Material Subcategory]],ls_Mat,Factors!$K$952:$K$1023)</f>
        <v>#N/A</v>
      </c>
      <c r="AR430" s="173">
        <v>0.64600000000000002</v>
      </c>
      <c r="AS430">
        <v>0</v>
      </c>
      <c r="AT430" t="s">
        <v>527</v>
      </c>
      <c r="BA430" cm="1">
        <f t="array" ref="BA430:BM430">tblGWP21[#This Row]</f>
        <v>5</v>
      </c>
      <c r="BB430" t="str">
        <v>Paper</v>
      </c>
      <c r="BC430" t="str">
        <v>Paper</v>
      </c>
      <c r="BD430" t="str">
        <v>Asia</v>
      </c>
      <c r="BE430" t="str">
        <v>China</v>
      </c>
      <c r="BF430">
        <v>-2.6644477777777777</v>
      </c>
      <c r="BG430" t="e">
        <v>#N/A</v>
      </c>
      <c r="BH430">
        <v>-0.81120247843016002</v>
      </c>
      <c r="BI430">
        <v>-1.6289204631588901</v>
      </c>
      <c r="BJ430">
        <v>-2.3853817279456502</v>
      </c>
      <c r="BK430">
        <v>-0.63000031941498502</v>
      </c>
      <c r="BL430">
        <v>-0.82226405511991896</v>
      </c>
      <c r="BM430">
        <v>2.74714200585238E-2</v>
      </c>
    </row>
    <row r="431" spans="3:65">
      <c r="C431" s="362">
        <v>5</v>
      </c>
      <c r="D431" s="363" t="s">
        <v>252</v>
      </c>
      <c r="E431" s="362" t="s">
        <v>532</v>
      </c>
      <c r="F431" s="362" t="s">
        <v>547</v>
      </c>
      <c r="G431" s="362" t="s">
        <v>553</v>
      </c>
      <c r="H431" s="368">
        <v>-1.9492499999999999</v>
      </c>
      <c r="I431" s="368">
        <v>0</v>
      </c>
      <c r="J431" s="368">
        <v>-4.5526807677706405</v>
      </c>
      <c r="K431" s="368">
        <v>0</v>
      </c>
      <c r="L431" s="368">
        <v>0</v>
      </c>
      <c r="M431" s="368">
        <v>2.6019877032721701E-2</v>
      </c>
      <c r="N431" s="368">
        <v>0.57565485951678097</v>
      </c>
      <c r="O431" s="368">
        <v>2.49560775837113</v>
      </c>
      <c r="T431" s="48">
        <v>5</v>
      </c>
      <c r="U431" s="46" t="s">
        <v>239</v>
      </c>
      <c r="V431" s="53" t="s">
        <v>324</v>
      </c>
      <c r="W431" s="53" t="s">
        <v>547</v>
      </c>
      <c r="X431" s="53" t="s">
        <v>553</v>
      </c>
      <c r="Y431" s="172">
        <f>IFERROR(-tblZwaste1422[[#This Row],[Weight (kgCO2e/kg)]],0)</f>
        <v>-1.66</v>
      </c>
      <c r="Z431" s="172" t="str">
        <f>IF(AQ431="x",(AR431*-tblZwaste1422[[#This Row],[Weight (kgCO2e/kg)]])+AS431+($AR$10*Lookups!$J$38/1000),"DELETE")</f>
        <v>DELETE</v>
      </c>
      <c r="AA431" s="176">
        <v>0.24268945952377441</v>
      </c>
      <c r="AB431" s="172">
        <v>-1.63952730013875</v>
      </c>
      <c r="AC431" s="172">
        <v>-2.2405774596742201</v>
      </c>
      <c r="AD431" s="172">
        <v>-1.1209359000225601</v>
      </c>
      <c r="AE431" s="172">
        <v>-0.89415398241032396</v>
      </c>
      <c r="AF431" s="172">
        <v>2.6682406300787401E-2</v>
      </c>
      <c r="AG431" s="150"/>
      <c r="AI431" s="137">
        <v>5</v>
      </c>
      <c r="AJ431" s="136" t="s">
        <v>239</v>
      </c>
      <c r="AK431" s="142" t="s">
        <v>324</v>
      </c>
      <c r="AL431" s="136" t="s">
        <v>547</v>
      </c>
      <c r="AM431" s="136" t="s">
        <v>553</v>
      </c>
      <c r="AN431" s="1">
        <v>1.66</v>
      </c>
      <c r="AO431" s="166">
        <v>0.13142999999999999</v>
      </c>
      <c r="AQ431">
        <f>_xlfn.XLOOKUP(tblGWP21[[#This Row],[Material Subcategory]],ls_Mat,Factors!$K$952:$K$1023)</f>
        <v>0</v>
      </c>
      <c r="AR431" s="173">
        <v>0.64600000000000002</v>
      </c>
      <c r="AS431">
        <v>0</v>
      </c>
      <c r="AT431" t="s">
        <v>527</v>
      </c>
      <c r="BA431" cm="1">
        <f t="array" ref="BA431:BM431">tblGWP21[#This Row]</f>
        <v>5</v>
      </c>
      <c r="BB431" t="str">
        <v>Paper</v>
      </c>
      <c r="BC431" t="str">
        <v>Newsprint</v>
      </c>
      <c r="BD431" t="str">
        <v>Asia</v>
      </c>
      <c r="BE431" t="str">
        <v>China</v>
      </c>
      <c r="BF431">
        <v>-1.66</v>
      </c>
      <c r="BG431" t="str">
        <v>DELETE</v>
      </c>
      <c r="BH431">
        <v>0.24268945952377441</v>
      </c>
      <c r="BI431">
        <v>-1.63952730013875</v>
      </c>
      <c r="BJ431">
        <v>-2.2405774596742201</v>
      </c>
      <c r="BK431">
        <v>-1.1209359000225601</v>
      </c>
      <c r="BL431">
        <v>-0.89415398241032396</v>
      </c>
      <c r="BM431">
        <v>2.6682406300787401E-2</v>
      </c>
    </row>
    <row r="432" spans="3:65">
      <c r="C432" s="136">
        <v>5</v>
      </c>
      <c r="D432" s="137" t="s">
        <v>252</v>
      </c>
      <c r="E432" s="136" t="s">
        <v>245</v>
      </c>
      <c r="F432" s="136" t="s">
        <v>547</v>
      </c>
      <c r="G432" s="136" t="s">
        <v>553</v>
      </c>
      <c r="H432" s="191">
        <v>-2.0269300000000001</v>
      </c>
      <c r="I432" s="191">
        <v>0</v>
      </c>
      <c r="J432" s="191">
        <v>0</v>
      </c>
      <c r="K432" s="191">
        <v>0</v>
      </c>
      <c r="L432" s="191">
        <v>0</v>
      </c>
      <c r="M432" s="191">
        <v>2.6019877153967599E-2</v>
      </c>
      <c r="N432" s="191">
        <v>0.50328563713698804</v>
      </c>
      <c r="O432" s="191">
        <v>3.1833669955531101</v>
      </c>
      <c r="T432" s="48">
        <v>5</v>
      </c>
      <c r="U432" s="46" t="s">
        <v>239</v>
      </c>
      <c r="V432" s="53" t="s">
        <v>272</v>
      </c>
      <c r="W432" s="53" t="s">
        <v>547</v>
      </c>
      <c r="X432" s="53" t="s">
        <v>553</v>
      </c>
      <c r="Y432" s="172">
        <f>IFERROR(-tblZwaste1422[[#This Row],[Weight (kgCO2e/kg)]],0)</f>
        <v>-2.1278299999999999</v>
      </c>
      <c r="Z432" s="172">
        <f>IF(AQ432="x",(AR432*-tblZwaste1422[[#This Row],[Weight (kgCO2e/kg)]])+AS432+($AR$10*Lookups!$J$38/1000),"DELETE")</f>
        <v>-1.3728063799999999</v>
      </c>
      <c r="AA432" s="176">
        <v>-1.4692076498007444E-2</v>
      </c>
      <c r="AB432" s="172">
        <v>-1.46634377271326</v>
      </c>
      <c r="AC432" s="172">
        <v>-2.24566284319341</v>
      </c>
      <c r="AD432" s="172">
        <v>3.6729999999999999E-2</v>
      </c>
      <c r="AE432" s="172">
        <v>-0.70234498801210599</v>
      </c>
      <c r="AF432" s="172">
        <v>3.4584596192507998E-2</v>
      </c>
      <c r="AG432" s="150"/>
      <c r="AI432" s="137">
        <v>5</v>
      </c>
      <c r="AJ432" s="136" t="s">
        <v>239</v>
      </c>
      <c r="AK432" s="142" t="s">
        <v>272</v>
      </c>
      <c r="AL432" s="136" t="s">
        <v>547</v>
      </c>
      <c r="AM432" s="136" t="s">
        <v>553</v>
      </c>
      <c r="AN432" s="1">
        <v>2.1278299999999999</v>
      </c>
      <c r="AO432" s="166">
        <v>1.2152400000000001</v>
      </c>
      <c r="AQ432" t="str">
        <f>_xlfn.XLOOKUP(tblGWP21[[#This Row],[Material Subcategory]],ls_Mat,Factors!$K$952:$K$1023)</f>
        <v>x</v>
      </c>
      <c r="AR432" s="173">
        <v>0.64600000000000002</v>
      </c>
      <c r="AS432">
        <v>0</v>
      </c>
      <c r="AT432" t="s">
        <v>527</v>
      </c>
      <c r="AU432" t="s">
        <v>526</v>
      </c>
      <c r="AV432" s="347">
        <v>0.7</v>
      </c>
      <c r="BA432" cm="1">
        <f t="array" ref="BA432:BM432">tblGWP21[#This Row]</f>
        <v>5</v>
      </c>
      <c r="BB432" t="str">
        <v>Paper</v>
      </c>
      <c r="BC432" t="str">
        <v>Corr. Cardboard</v>
      </c>
      <c r="BD432" t="str">
        <v>Asia</v>
      </c>
      <c r="BE432" t="str">
        <v>China</v>
      </c>
      <c r="BF432">
        <v>-2.1278299999999999</v>
      </c>
      <c r="BG432">
        <v>-1.3728063799999999</v>
      </c>
      <c r="BH432">
        <v>-1.4692076498007444E-2</v>
      </c>
      <c r="BI432">
        <v>-1.46634377271326</v>
      </c>
      <c r="BJ432">
        <v>-2.24566284319341</v>
      </c>
      <c r="BK432">
        <v>3.6729999999999999E-2</v>
      </c>
      <c r="BL432">
        <v>-0.70234498801210599</v>
      </c>
      <c r="BM432">
        <v>3.4584596192507998E-2</v>
      </c>
    </row>
    <row r="433" spans="3:65">
      <c r="C433" s="362">
        <v>5</v>
      </c>
      <c r="D433" s="363" t="s">
        <v>252</v>
      </c>
      <c r="E433" s="362" t="s">
        <v>533</v>
      </c>
      <c r="F433" s="362" t="s">
        <v>547</v>
      </c>
      <c r="G433" s="362" t="s">
        <v>553</v>
      </c>
      <c r="H433" s="368">
        <v>-2.0748000000000002</v>
      </c>
      <c r="I433" s="368">
        <v>0</v>
      </c>
      <c r="J433" s="368">
        <v>0</v>
      </c>
      <c r="K433" s="368">
        <v>0</v>
      </c>
      <c r="L433" s="368">
        <v>0</v>
      </c>
      <c r="M433" s="368">
        <v>2.6019871946222701E-2</v>
      </c>
      <c r="N433" s="368">
        <v>0.69428254866703898</v>
      </c>
      <c r="O433" s="368">
        <v>3.0368306582667901</v>
      </c>
      <c r="T433" s="48">
        <v>5</v>
      </c>
      <c r="U433" s="46" t="s">
        <v>239</v>
      </c>
      <c r="V433" s="53" t="s">
        <v>329</v>
      </c>
      <c r="W433" s="53" t="s">
        <v>547</v>
      </c>
      <c r="X433" s="53" t="s">
        <v>553</v>
      </c>
      <c r="Y433" s="172">
        <f>IFERROR(-tblZwaste1422[[#This Row],[Weight (kgCO2e/kg)]],0)</f>
        <v>-3.4792200000000002</v>
      </c>
      <c r="Z433" s="172" t="str">
        <f>IF(AQ433="x",(AR433*-tblZwaste1422[[#This Row],[Weight (kgCO2e/kg)]])+AS433+($AR$10*Lookups!$J$38/1000),"DELETE")</f>
        <v>DELETE</v>
      </c>
      <c r="AA433" s="176">
        <v>-3.0402092534798166</v>
      </c>
      <c r="AB433" s="172">
        <v>-1.5888668537567201</v>
      </c>
      <c r="AC433" s="172">
        <v>-2.4837283517173199</v>
      </c>
      <c r="AD433" s="172">
        <v>0.49378998072788599</v>
      </c>
      <c r="AE433" s="172">
        <v>-0.70480502779758603</v>
      </c>
      <c r="AF433" s="172">
        <v>3.7247019354080799E-2</v>
      </c>
      <c r="AG433" s="150"/>
      <c r="AI433" s="137">
        <v>5</v>
      </c>
      <c r="AJ433" s="136" t="s">
        <v>239</v>
      </c>
      <c r="AK433" s="142" t="s">
        <v>329</v>
      </c>
      <c r="AL433" s="136" t="s">
        <v>547</v>
      </c>
      <c r="AM433" s="136" t="s">
        <v>553</v>
      </c>
      <c r="AN433" s="1">
        <v>3.4792200000000002</v>
      </c>
      <c r="AO433" s="166">
        <v>1.0383</v>
      </c>
      <c r="AQ433">
        <f>_xlfn.XLOOKUP(tblGWP21[[#This Row],[Material Subcategory]],ls_Mat,Factors!$K$952:$K$1023)</f>
        <v>0</v>
      </c>
      <c r="AU433" t="s">
        <v>526</v>
      </c>
      <c r="AV433" s="347">
        <v>0.65</v>
      </c>
      <c r="BA433" cm="1">
        <f t="array" ref="BA433:BM433">tblGWP21[#This Row]</f>
        <v>5</v>
      </c>
      <c r="BB433" t="str">
        <v>Paper</v>
      </c>
      <c r="BC433" t="str">
        <v>Office Paper</v>
      </c>
      <c r="BD433" t="str">
        <v>Asia</v>
      </c>
      <c r="BE433" t="str">
        <v>China</v>
      </c>
      <c r="BF433">
        <v>-3.4792200000000002</v>
      </c>
      <c r="BG433" t="str">
        <v>DELETE</v>
      </c>
      <c r="BH433">
        <v>-3.0402092534798166</v>
      </c>
      <c r="BI433">
        <v>-1.5888668537567201</v>
      </c>
      <c r="BJ433">
        <v>-2.4837283517173199</v>
      </c>
      <c r="BK433">
        <v>0.49378998072788599</v>
      </c>
      <c r="BL433">
        <v>-0.70480502779758603</v>
      </c>
      <c r="BM433">
        <v>3.7247019354080799E-2</v>
      </c>
    </row>
    <row r="434" spans="3:65">
      <c r="C434" s="136">
        <v>5</v>
      </c>
      <c r="D434" s="137" t="s">
        <v>242</v>
      </c>
      <c r="E434" s="136" t="s">
        <v>242</v>
      </c>
      <c r="F434" s="136" t="s">
        <v>547</v>
      </c>
      <c r="G434" s="136" t="s">
        <v>553</v>
      </c>
      <c r="H434" s="191">
        <v>-38.486130000000003</v>
      </c>
      <c r="I434" s="191">
        <v>-27.900672450000002</v>
      </c>
      <c r="J434" s="191">
        <v>-3.2868550000000001</v>
      </c>
      <c r="K434" s="191">
        <v>0</v>
      </c>
      <c r="L434" s="191">
        <v>0</v>
      </c>
      <c r="M434" s="191">
        <v>2.5860000000000001E-2</v>
      </c>
      <c r="N434" s="191">
        <v>4.1945011672945703E-2</v>
      </c>
      <c r="O434" s="191">
        <v>4.89113522447873E-2</v>
      </c>
      <c r="T434" s="48">
        <v>5</v>
      </c>
      <c r="U434" s="46" t="s">
        <v>239</v>
      </c>
      <c r="V434" s="53" t="s">
        <v>271</v>
      </c>
      <c r="W434" s="53" t="s">
        <v>547</v>
      </c>
      <c r="X434" s="53" t="s">
        <v>553</v>
      </c>
      <c r="Y434" s="172">
        <f>IFERROR(-tblZwaste1422[[#This Row],[Weight (kgCO2e/kg)]],0)</f>
        <v>-3.1045600000000002</v>
      </c>
      <c r="Z434" s="172" t="str">
        <f>IF(AQ434="x",(AR434*-tblZwaste1422[[#This Row],[Weight (kgCO2e/kg)]])+AS434+($AR$10*Lookups!$J$38/1000),"DELETE")</f>
        <v>DELETE</v>
      </c>
      <c r="AA434" s="176">
        <v>-0.91260278823392993</v>
      </c>
      <c r="AB434" s="172">
        <v>-1.50419061127517</v>
      </c>
      <c r="AC434" s="172">
        <v>-2.5918071337444002</v>
      </c>
      <c r="AD434" s="172">
        <v>-0.63379064861635803</v>
      </c>
      <c r="AE434" s="172">
        <v>-0.67118904904078103</v>
      </c>
      <c r="AF434" s="172">
        <v>4.0391379519296298E-2</v>
      </c>
      <c r="AG434" s="150"/>
      <c r="AI434" s="137">
        <v>5</v>
      </c>
      <c r="AJ434" s="136" t="s">
        <v>239</v>
      </c>
      <c r="AK434" s="142" t="s">
        <v>271</v>
      </c>
      <c r="AL434" s="136" t="s">
        <v>547</v>
      </c>
      <c r="AM434" s="136" t="s">
        <v>553</v>
      </c>
      <c r="AN434" s="1">
        <v>3.1045600000000002</v>
      </c>
      <c r="AO434" s="166">
        <v>0.12864</v>
      </c>
      <c r="AQ434">
        <f>_xlfn.XLOOKUP(tblGWP21[[#This Row],[Material Subcategory]],ls_Mat,Factors!$K$952:$K$1023)</f>
        <v>0</v>
      </c>
      <c r="BA434" cm="1">
        <f t="array" ref="BA434:BM434">tblGWP21[#This Row]</f>
        <v>5</v>
      </c>
      <c r="BB434" t="str">
        <v>Paper</v>
      </c>
      <c r="BC434" t="str">
        <v>Magazines</v>
      </c>
      <c r="BD434" t="str">
        <v>Asia</v>
      </c>
      <c r="BE434" t="str">
        <v>China</v>
      </c>
      <c r="BF434">
        <v>-3.1045600000000002</v>
      </c>
      <c r="BG434" t="str">
        <v>DELETE</v>
      </c>
      <c r="BH434">
        <v>-0.91260278823392993</v>
      </c>
      <c r="BI434">
        <v>-1.50419061127517</v>
      </c>
      <c r="BJ434">
        <v>-2.5918071337444002</v>
      </c>
      <c r="BK434">
        <v>-0.63379064861635803</v>
      </c>
      <c r="BL434">
        <v>-0.67118904904078103</v>
      </c>
      <c r="BM434">
        <v>4.0391379519296298E-2</v>
      </c>
    </row>
    <row r="435" spans="3:65">
      <c r="C435" s="362">
        <v>5</v>
      </c>
      <c r="D435" s="363" t="s">
        <v>242</v>
      </c>
      <c r="E435" s="362" t="s">
        <v>274</v>
      </c>
      <c r="F435" s="362" t="s">
        <v>547</v>
      </c>
      <c r="G435" s="362" t="s">
        <v>553</v>
      </c>
      <c r="H435" s="368">
        <v>-38.486130000000003</v>
      </c>
      <c r="I435" s="368">
        <v>-27.900672450000002</v>
      </c>
      <c r="J435" s="368">
        <v>-8.5278425000000002</v>
      </c>
      <c r="K435" s="368">
        <v>0</v>
      </c>
      <c r="L435" s="368">
        <v>0</v>
      </c>
      <c r="M435" s="368">
        <v>2.5860000000000001E-2</v>
      </c>
      <c r="N435" s="368">
        <v>4.1945011672945703E-2</v>
      </c>
      <c r="O435" s="368">
        <v>4.89113522447873E-2</v>
      </c>
      <c r="T435" s="48">
        <v>5</v>
      </c>
      <c r="U435" s="46" t="s">
        <v>239</v>
      </c>
      <c r="V435" s="53" t="s">
        <v>535</v>
      </c>
      <c r="W435" s="53" t="s">
        <v>547</v>
      </c>
      <c r="X435" s="53" t="s">
        <v>553</v>
      </c>
      <c r="Y435" s="172">
        <f>IFERROR(-tblZwaste1422[[#This Row],[Weight (kgCO2e/kg)]],0)</f>
        <v>-3.1045600000000002</v>
      </c>
      <c r="Z435" s="172" t="str">
        <f>IF(AQ435="x",(AR435*-tblZwaste1422[[#This Row],[Weight (kgCO2e/kg)]])+AS435+($AR$10*Lookups!$J$38/1000),"DELETE")</f>
        <v>DELETE</v>
      </c>
      <c r="AA435" s="176">
        <v>-0.91260278823392993</v>
      </c>
      <c r="AB435" s="172">
        <v>-1.61284318952186</v>
      </c>
      <c r="AC435" s="172">
        <v>-2.6003535655297401</v>
      </c>
      <c r="AD435" s="172">
        <v>-0.83398242380103804</v>
      </c>
      <c r="AE435" s="172">
        <v>-0.74818492475951703</v>
      </c>
      <c r="AF435" s="172">
        <v>2.9212422837260599E-2</v>
      </c>
      <c r="AG435" s="150"/>
      <c r="AI435" s="137">
        <v>5</v>
      </c>
      <c r="AJ435" s="136" t="s">
        <v>239</v>
      </c>
      <c r="AK435" s="142" t="s">
        <v>535</v>
      </c>
      <c r="AL435" s="136" t="s">
        <v>547</v>
      </c>
      <c r="AM435" s="136" t="s">
        <v>553</v>
      </c>
      <c r="AN435" s="1">
        <v>3.1045600000000002</v>
      </c>
      <c r="AO435" s="166">
        <v>0.12864</v>
      </c>
      <c r="AQ435">
        <f>_xlfn.XLOOKUP(tblGWP21[[#This Row],[Material Subcategory]],ls_Mat,Factors!$K$952:$K$1023)</f>
        <v>0</v>
      </c>
      <c r="BA435" cm="1">
        <f t="array" ref="BA435:BM435">tblGWP21[#This Row]</f>
        <v>5</v>
      </c>
      <c r="BB435" t="str">
        <v>Paper</v>
      </c>
      <c r="BC435" t="str">
        <v>3rd Class Mail</v>
      </c>
      <c r="BD435" t="str">
        <v>Asia</v>
      </c>
      <c r="BE435" t="str">
        <v>China</v>
      </c>
      <c r="BF435">
        <v>-3.1045600000000002</v>
      </c>
      <c r="BG435" t="str">
        <v>DELETE</v>
      </c>
      <c r="BH435">
        <v>-0.91260278823392993</v>
      </c>
      <c r="BI435">
        <v>-1.61284318952186</v>
      </c>
      <c r="BJ435">
        <v>-2.6003535655297401</v>
      </c>
      <c r="BK435">
        <v>-0.83398242380103804</v>
      </c>
      <c r="BL435">
        <v>-0.74818492475951703</v>
      </c>
      <c r="BM435">
        <v>2.9212422837260599E-2</v>
      </c>
    </row>
    <row r="436" spans="3:65">
      <c r="C436" s="136">
        <v>5</v>
      </c>
      <c r="D436" s="137" t="s">
        <v>242</v>
      </c>
      <c r="E436" s="136" t="s">
        <v>534</v>
      </c>
      <c r="F436" s="136" t="s">
        <v>547</v>
      </c>
      <c r="G436" s="136" t="s">
        <v>553</v>
      </c>
      <c r="H436" s="191">
        <v>-15.0122</v>
      </c>
      <c r="I436" s="191">
        <v>-10.882073199999999</v>
      </c>
      <c r="J436" s="191">
        <v>-3.19428</v>
      </c>
      <c r="K436" s="191">
        <v>0</v>
      </c>
      <c r="L436" s="191">
        <v>0</v>
      </c>
      <c r="M436" s="191">
        <v>2.5860000000000001E-2</v>
      </c>
      <c r="N436" s="191">
        <v>4.1945011672945703E-2</v>
      </c>
      <c r="O436" s="191">
        <v>4.89113522447873E-2</v>
      </c>
      <c r="T436" s="48">
        <v>5</v>
      </c>
      <c r="U436" s="46" t="s">
        <v>239</v>
      </c>
      <c r="V436" s="53" t="s">
        <v>259</v>
      </c>
      <c r="W436" s="53" t="s">
        <v>547</v>
      </c>
      <c r="X436" s="53" t="s">
        <v>553</v>
      </c>
      <c r="Y436" s="172">
        <f>IFERROR(-tblZwaste1422[[#This Row],[Weight (kgCO2e/kg)]],0)</f>
        <v>-2.86965</v>
      </c>
      <c r="Z436" s="172" t="str">
        <f>IF(AQ436="x",(AR436*-tblZwaste1422[[#This Row],[Weight (kgCO2e/kg)]])+AS436+($AR$10*Lookups!$J$38/1000),"DELETE")</f>
        <v>DELETE</v>
      </c>
      <c r="AA436" s="176">
        <v>-0.91260278823392993</v>
      </c>
      <c r="AB436" s="172">
        <v>-1.32794699471418</v>
      </c>
      <c r="AC436" s="172">
        <v>-2.0204690680134201</v>
      </c>
      <c r="AD436" s="172">
        <v>-0.35845978146131702</v>
      </c>
      <c r="AE436" s="172">
        <v>-0.60914723709358098</v>
      </c>
      <c r="AF436" s="172">
        <v>2.8420180400488802E-2</v>
      </c>
      <c r="AG436" s="150"/>
      <c r="AI436" s="137">
        <v>5</v>
      </c>
      <c r="AJ436" s="136" t="s">
        <v>239</v>
      </c>
      <c r="AK436" s="142" t="s">
        <v>259</v>
      </c>
      <c r="AL436" s="136" t="s">
        <v>547</v>
      </c>
      <c r="AM436" s="136" t="s">
        <v>553</v>
      </c>
      <c r="AN436" s="1">
        <v>2.86965</v>
      </c>
      <c r="AO436" s="166">
        <v>0.79600000000000004</v>
      </c>
      <c r="AQ436">
        <f>_xlfn.XLOOKUP(tblGWP21[[#This Row],[Material Subcategory]],ls_Mat,Factors!$K$952:$K$1023)</f>
        <v>0</v>
      </c>
      <c r="AR436" s="173"/>
      <c r="BA436" cm="1">
        <f t="array" ref="BA436:BM436">tblGWP21[#This Row]</f>
        <v>5</v>
      </c>
      <c r="BB436" t="str">
        <v>Paper</v>
      </c>
      <c r="BC436" t="str">
        <v>Folding Containers</v>
      </c>
      <c r="BD436" t="str">
        <v>Asia</v>
      </c>
      <c r="BE436" t="str">
        <v>China</v>
      </c>
      <c r="BF436">
        <v>-2.86965</v>
      </c>
      <c r="BG436" t="str">
        <v>DELETE</v>
      </c>
      <c r="BH436">
        <v>-0.91260278823392993</v>
      </c>
      <c r="BI436">
        <v>-1.32794699471418</v>
      </c>
      <c r="BJ436">
        <v>-2.0204690680134201</v>
      </c>
      <c r="BK436">
        <v>-0.35845978146131702</v>
      </c>
      <c r="BL436">
        <v>-0.60914723709358098</v>
      </c>
      <c r="BM436">
        <v>2.8420180400488802E-2</v>
      </c>
    </row>
    <row r="437" spans="3:65">
      <c r="C437" s="362">
        <v>5</v>
      </c>
      <c r="D437" s="363" t="s">
        <v>239</v>
      </c>
      <c r="E437" s="362" t="s">
        <v>239</v>
      </c>
      <c r="F437" s="362" t="s">
        <v>547</v>
      </c>
      <c r="G437" s="362" t="s">
        <v>553</v>
      </c>
      <c r="H437" s="368">
        <v>-2.6644477777777777</v>
      </c>
      <c r="I437" s="368">
        <v>-1.7194614644444446</v>
      </c>
      <c r="J437" s="368">
        <v>-0.81120247843016002</v>
      </c>
      <c r="K437" s="368">
        <v>-1.6289204631588901</v>
      </c>
      <c r="L437" s="368">
        <v>-2.3853817279456502</v>
      </c>
      <c r="M437" s="368">
        <v>-0.63000031941498502</v>
      </c>
      <c r="N437" s="368">
        <v>-0.82226405511991896</v>
      </c>
      <c r="O437" s="368">
        <v>2.74714200585238E-2</v>
      </c>
      <c r="T437" s="48">
        <v>5</v>
      </c>
      <c r="U437" s="46" t="s">
        <v>239</v>
      </c>
      <c r="V437" s="53" t="s">
        <v>334</v>
      </c>
      <c r="W437" s="53" t="s">
        <v>547</v>
      </c>
      <c r="X437" s="53" t="s">
        <v>553</v>
      </c>
      <c r="Y437" s="172">
        <f>IFERROR(-tblZwaste1422[[#This Row],[Weight (kgCO2e/kg)]],0)</f>
        <v>-2.86965</v>
      </c>
      <c r="Z437" s="172" t="str">
        <f>IF(AQ437="x",(AR437*-tblZwaste1422[[#This Row],[Weight (kgCO2e/kg)]])+AS437+($AR$10*Lookups!$J$38/1000),"DELETE")</f>
        <v>DELETE</v>
      </c>
      <c r="AA437" s="176">
        <v>-0.91260278823392993</v>
      </c>
      <c r="AB437" s="172">
        <v>-1.7383768869078899</v>
      </c>
      <c r="AC437" s="172">
        <v>-2.48156466307401</v>
      </c>
      <c r="AD437" s="172">
        <v>-0.28904713992276498</v>
      </c>
      <c r="AE437" s="172">
        <v>-0.89025008713006903</v>
      </c>
      <c r="AF437" s="172">
        <v>2.63896792567898E-2</v>
      </c>
      <c r="AG437" s="150"/>
      <c r="AI437" s="137">
        <v>5</v>
      </c>
      <c r="AJ437" s="136" t="s">
        <v>239</v>
      </c>
      <c r="AK437" s="142" t="s">
        <v>334</v>
      </c>
      <c r="AL437" s="136" t="s">
        <v>547</v>
      </c>
      <c r="AM437" s="136" t="s">
        <v>553</v>
      </c>
      <c r="AN437" s="1">
        <v>2.86965</v>
      </c>
      <c r="AO437" s="166">
        <v>0.76736000000000004</v>
      </c>
      <c r="AQ437">
        <f>_xlfn.XLOOKUP(tblGWP21[[#This Row],[Material Subcategory]],ls_Mat,Factors!$K$952:$K$1023)</f>
        <v>0</v>
      </c>
      <c r="AR437" s="173"/>
      <c r="BA437" cm="1">
        <f t="array" ref="BA437:BM437">tblGWP21[#This Row]</f>
        <v>5</v>
      </c>
      <c r="BB437" t="str">
        <v>Paper</v>
      </c>
      <c r="BC437" t="str">
        <v>Paper Bags</v>
      </c>
      <c r="BD437" t="str">
        <v>Asia</v>
      </c>
      <c r="BE437" t="str">
        <v>China</v>
      </c>
      <c r="BF437">
        <v>-2.86965</v>
      </c>
      <c r="BG437" t="str">
        <v>DELETE</v>
      </c>
      <c r="BH437">
        <v>-0.91260278823392993</v>
      </c>
      <c r="BI437">
        <v>-1.7383768869078899</v>
      </c>
      <c r="BJ437">
        <v>-2.48156466307401</v>
      </c>
      <c r="BK437">
        <v>-0.28904713992276498</v>
      </c>
      <c r="BL437">
        <v>-0.89025008713006903</v>
      </c>
      <c r="BM437">
        <v>2.63896792567898E-2</v>
      </c>
    </row>
    <row r="438" spans="3:65">
      <c r="C438" s="136">
        <v>5</v>
      </c>
      <c r="D438" s="137" t="s">
        <v>239</v>
      </c>
      <c r="E438" s="136" t="s">
        <v>324</v>
      </c>
      <c r="F438" s="136" t="s">
        <v>547</v>
      </c>
      <c r="G438" s="136" t="s">
        <v>553</v>
      </c>
      <c r="H438" s="191">
        <v>-1.66</v>
      </c>
      <c r="I438" s="191">
        <v>0</v>
      </c>
      <c r="J438" s="191">
        <v>0.24268945952377441</v>
      </c>
      <c r="K438" s="191">
        <v>-1.63952730013875</v>
      </c>
      <c r="L438" s="191">
        <v>-2.2405774596742201</v>
      </c>
      <c r="M438" s="191">
        <v>-1.1209359000225601</v>
      </c>
      <c r="N438" s="191">
        <v>-0.89415398241032396</v>
      </c>
      <c r="O438" s="191">
        <v>2.6682406300787401E-2</v>
      </c>
      <c r="T438" s="48">
        <v>5</v>
      </c>
      <c r="U438" s="46" t="s">
        <v>239</v>
      </c>
      <c r="V438" s="53" t="s">
        <v>240</v>
      </c>
      <c r="W438" s="53" t="s">
        <v>547</v>
      </c>
      <c r="X438" s="53" t="s">
        <v>553</v>
      </c>
      <c r="Y438" s="172">
        <f>IFERROR(-tblZwaste1422[[#This Row],[Weight (kgCO2e/kg)]],0)</f>
        <v>-3.1045600000000002</v>
      </c>
      <c r="Z438" s="172" t="str">
        <f>IF(AQ438="x",(AR438*-tblZwaste1422[[#This Row],[Weight (kgCO2e/kg)]])+AS438+($AR$10*Lookups!$J$38/1000),"DELETE")</f>
        <v>DELETE</v>
      </c>
      <c r="AA438" s="176" t="s">
        <v>567</v>
      </c>
      <c r="AB438" s="172">
        <v>-1.7671297096596501</v>
      </c>
      <c r="AC438" s="172">
        <v>-2.5489215958880802</v>
      </c>
      <c r="AD438" s="172">
        <v>-0.637144316545458</v>
      </c>
      <c r="AE438" s="172">
        <v>0.53494257578980298</v>
      </c>
      <c r="AF438" s="172">
        <v>2.3670121579825798</v>
      </c>
      <c r="AG438" s="150"/>
      <c r="AI438" s="137">
        <v>5</v>
      </c>
      <c r="AJ438" s="136" t="s">
        <v>239</v>
      </c>
      <c r="AK438" s="142" t="s">
        <v>240</v>
      </c>
      <c r="AL438" s="136" t="s">
        <v>547</v>
      </c>
      <c r="AM438" s="136" t="s">
        <v>553</v>
      </c>
      <c r="AN438" s="1">
        <v>3.1045600000000002</v>
      </c>
      <c r="AO438" s="166">
        <v>0.76736000000000004</v>
      </c>
      <c r="AQ438">
        <f>_xlfn.XLOOKUP(tblGWP21[[#This Row],[Material Subcategory]],ls_Mat,Factors!$K$952:$K$1023)</f>
        <v>0</v>
      </c>
      <c r="AR438" s="173"/>
      <c r="AU438" t="s">
        <v>526</v>
      </c>
      <c r="AV438" s="347">
        <v>0.5</v>
      </c>
      <c r="BA438" cm="1">
        <f t="array" ref="BA438:BM438">tblGWP21[#This Row]</f>
        <v>5</v>
      </c>
      <c r="BB438" t="str">
        <v>Paper</v>
      </c>
      <c r="BC438" t="str">
        <v>Paper – Non-Recyclable</v>
      </c>
      <c r="BD438" t="str">
        <v>Asia</v>
      </c>
      <c r="BE438" t="str">
        <v>China</v>
      </c>
      <c r="BF438">
        <v>-3.1045600000000002</v>
      </c>
      <c r="BG438" t="str">
        <v>DELETE</v>
      </c>
      <c r="BH438" t="str">
        <v>DELETE</v>
      </c>
      <c r="BI438">
        <v>-1.7671297096596501</v>
      </c>
      <c r="BJ438">
        <v>-2.5489215958880802</v>
      </c>
      <c r="BK438">
        <v>-0.637144316545458</v>
      </c>
      <c r="BL438">
        <v>0.53494257578980298</v>
      </c>
      <c r="BM438">
        <v>2.3670121579825798</v>
      </c>
    </row>
    <row r="439" spans="3:65" ht="28.8">
      <c r="C439" s="362">
        <v>5</v>
      </c>
      <c r="D439" s="363" t="s">
        <v>239</v>
      </c>
      <c r="E439" s="362" t="s">
        <v>272</v>
      </c>
      <c r="F439" s="362" t="s">
        <v>547</v>
      </c>
      <c r="G439" s="362" t="s">
        <v>553</v>
      </c>
      <c r="H439" s="368">
        <v>-2.1278299999999999</v>
      </c>
      <c r="I439" s="368">
        <v>-1.3728063799999999</v>
      </c>
      <c r="J439" s="368">
        <v>-1.4692076498007444E-2</v>
      </c>
      <c r="K439" s="368">
        <v>-1.46634377271326</v>
      </c>
      <c r="L439" s="368">
        <v>-2.24566284319341</v>
      </c>
      <c r="M439" s="368">
        <v>3.6729999999999999E-2</v>
      </c>
      <c r="N439" s="368">
        <v>-0.70234498801210599</v>
      </c>
      <c r="O439" s="368">
        <v>3.4584596192507998E-2</v>
      </c>
      <c r="T439" s="48">
        <v>5</v>
      </c>
      <c r="U439" s="46" t="s">
        <v>239</v>
      </c>
      <c r="V439" s="53" t="s">
        <v>325</v>
      </c>
      <c r="W439" s="53" t="s">
        <v>547</v>
      </c>
      <c r="X439" s="53" t="s">
        <v>553</v>
      </c>
      <c r="Y439" s="172">
        <f>IFERROR(-tblZwaste1422[[#This Row],[Weight (kgCO2e/kg)]],0)</f>
        <v>-1.66</v>
      </c>
      <c r="Z439" s="172" t="str">
        <f>IF(AQ439="x",(AR439*-tblZwaste1422[[#This Row],[Weight (kgCO2e/kg)]])+AS439+($AR$10*Lookups!$J$38/1000),"DELETE")</f>
        <v>DELETE</v>
      </c>
      <c r="AA439" s="176" t="s">
        <v>567</v>
      </c>
      <c r="AB439" s="172">
        <v>-1.6289204631588901</v>
      </c>
      <c r="AC439" s="172">
        <v>-2.3853817279456502</v>
      </c>
      <c r="AD439" s="172">
        <v>-0.63000031941498502</v>
      </c>
      <c r="AE439" s="172">
        <v>-0.82226405511991896</v>
      </c>
      <c r="AF439" s="172">
        <v>2.74714200585238E-2</v>
      </c>
      <c r="AG439" s="150"/>
      <c r="AI439" s="137">
        <v>5</v>
      </c>
      <c r="AJ439" s="136" t="s">
        <v>239</v>
      </c>
      <c r="AK439" s="142" t="s">
        <v>325</v>
      </c>
      <c r="AL439" s="136" t="s">
        <v>547</v>
      </c>
      <c r="AM439" s="136" t="s">
        <v>553</v>
      </c>
      <c r="AN439" s="1">
        <v>1.66</v>
      </c>
      <c r="AO439" s="166">
        <v>0.79600000000000004</v>
      </c>
      <c r="AQ439">
        <f>_xlfn.XLOOKUP(tblGWP21[[#This Row],[Material Subcategory]],ls_Mat,Factors!$K$952:$K$1023)</f>
        <v>0</v>
      </c>
      <c r="BA439" cm="1">
        <f t="array" ref="BA439:BM439">tblGWP21[#This Row]</f>
        <v>5</v>
      </c>
      <c r="BB439" t="str">
        <v>Paper</v>
      </c>
      <c r="BC439" t="str">
        <v>Compostable Food Service Ware</v>
      </c>
      <c r="BD439" t="str">
        <v>Asia</v>
      </c>
      <c r="BE439" t="str">
        <v>China</v>
      </c>
      <c r="BF439">
        <v>-1.66</v>
      </c>
      <c r="BG439" t="str">
        <v>DELETE</v>
      </c>
      <c r="BH439" t="str">
        <v>DELETE</v>
      </c>
      <c r="BI439">
        <v>-1.6289204631588901</v>
      </c>
      <c r="BJ439">
        <v>-2.3853817279456502</v>
      </c>
      <c r="BK439">
        <v>-0.63000031941498502</v>
      </c>
      <c r="BL439">
        <v>-0.82226405511991896</v>
      </c>
      <c r="BM439">
        <v>2.74714200585238E-2</v>
      </c>
    </row>
    <row r="440" spans="3:65">
      <c r="C440" s="136">
        <v>5</v>
      </c>
      <c r="D440" s="137" t="s">
        <v>239</v>
      </c>
      <c r="E440" s="136" t="s">
        <v>329</v>
      </c>
      <c r="F440" s="136" t="s">
        <v>547</v>
      </c>
      <c r="G440" s="136" t="s">
        <v>553</v>
      </c>
      <c r="H440" s="191">
        <v>-3.4792200000000002</v>
      </c>
      <c r="I440" s="191">
        <v>0</v>
      </c>
      <c r="J440" s="191">
        <v>-3.0402092534798166</v>
      </c>
      <c r="K440" s="191">
        <v>-1.5888668537567201</v>
      </c>
      <c r="L440" s="191">
        <v>-2.4837283517173199</v>
      </c>
      <c r="M440" s="191">
        <v>0.49378998072788599</v>
      </c>
      <c r="N440" s="191">
        <v>-0.70480502779758603</v>
      </c>
      <c r="O440" s="191">
        <v>3.7247019354080799E-2</v>
      </c>
      <c r="T440" s="48">
        <v>5</v>
      </c>
      <c r="U440" s="46" t="s">
        <v>256</v>
      </c>
      <c r="V440" s="53" t="s">
        <v>256</v>
      </c>
      <c r="W440" s="53" t="s">
        <v>547</v>
      </c>
      <c r="X440" s="53" t="s">
        <v>553</v>
      </c>
      <c r="Y440" s="172">
        <f>IFERROR(-tblZwaste1422[[#This Row],[Weight (kgCO2e/kg)]],0)</f>
        <v>-3.3097799999999999</v>
      </c>
      <c r="Z440" s="172" t="e">
        <f>IF(AQ440="x",(AR440*-tblZwaste1422[[#This Row],[Weight (kgCO2e/kg)]])+AS440+($AR$10*Lookups!$J$38/1000),"DELETE")</f>
        <v>#N/A</v>
      </c>
      <c r="AA440" s="176">
        <v>-12.219435344239905</v>
      </c>
      <c r="AB440" s="172" t="s">
        <v>567</v>
      </c>
      <c r="AC440" s="172" t="s">
        <v>567</v>
      </c>
      <c r="AD440" s="172">
        <v>2.5939928975915148E-2</v>
      </c>
      <c r="AE440" s="172">
        <v>-9.3954870360862197E-2</v>
      </c>
      <c r="AF440" s="172">
        <v>-7.770036914713721E-2</v>
      </c>
      <c r="AG440" s="150"/>
      <c r="AI440" s="137">
        <v>5</v>
      </c>
      <c r="AJ440" s="136" t="s">
        <v>256</v>
      </c>
      <c r="AK440" s="142" t="s">
        <v>256</v>
      </c>
      <c r="AL440" s="136" t="s">
        <v>547</v>
      </c>
      <c r="AM440" s="136" t="s">
        <v>553</v>
      </c>
      <c r="AN440" s="1">
        <v>3.3097799999999999</v>
      </c>
      <c r="AO440" s="166">
        <v>1.0068550000000001</v>
      </c>
      <c r="AQ440" t="e">
        <f>_xlfn.XLOOKUP(tblGWP21[[#This Row],[Material Subcategory]],ls_Mat,Factors!$K$952:$K$1023)</f>
        <v>#N/A</v>
      </c>
      <c r="AR440" s="173">
        <v>1</v>
      </c>
      <c r="AS440">
        <v>8.1306407300000008E-2</v>
      </c>
      <c r="AT440" t="s">
        <v>531</v>
      </c>
      <c r="BA440" cm="1">
        <f t="array" ref="BA440:BM440">tblGWP21[#This Row]</f>
        <v>5</v>
      </c>
      <c r="BB440" t="str">
        <v>Metals</v>
      </c>
      <c r="BC440" t="str">
        <v>Metals</v>
      </c>
      <c r="BD440" t="str">
        <v>Asia</v>
      </c>
      <c r="BE440" t="str">
        <v>China</v>
      </c>
      <c r="BF440">
        <v>-3.3097799999999999</v>
      </c>
      <c r="BG440" t="e">
        <v>#N/A</v>
      </c>
      <c r="BH440">
        <v>-12.219435344239905</v>
      </c>
      <c r="BI440" t="str">
        <v>DELETE</v>
      </c>
      <c r="BJ440" t="str">
        <v>DELETE</v>
      </c>
      <c r="BK440">
        <v>2.5939928975915148E-2</v>
      </c>
      <c r="BL440">
        <v>-9.3954870360862197E-2</v>
      </c>
      <c r="BM440">
        <v>-7.770036914713721E-2</v>
      </c>
    </row>
    <row r="441" spans="3:65">
      <c r="C441" s="362">
        <v>5</v>
      </c>
      <c r="D441" s="363" t="s">
        <v>239</v>
      </c>
      <c r="E441" s="362" t="s">
        <v>271</v>
      </c>
      <c r="F441" s="362" t="s">
        <v>547</v>
      </c>
      <c r="G441" s="362" t="s">
        <v>553</v>
      </c>
      <c r="H441" s="368">
        <v>-3.1045600000000002</v>
      </c>
      <c r="I441" s="368">
        <v>0</v>
      </c>
      <c r="J441" s="368">
        <v>-0.91260278823392993</v>
      </c>
      <c r="K441" s="368">
        <v>-1.50419061127517</v>
      </c>
      <c r="L441" s="368">
        <v>-2.5918071337444002</v>
      </c>
      <c r="M441" s="368">
        <v>-0.63379064861635803</v>
      </c>
      <c r="N441" s="368">
        <v>-0.67118904904078103</v>
      </c>
      <c r="O441" s="368">
        <v>4.0391379519296298E-2</v>
      </c>
      <c r="T441" s="48">
        <v>5</v>
      </c>
      <c r="U441" s="46" t="s">
        <v>256</v>
      </c>
      <c r="V441" s="53" t="s">
        <v>536</v>
      </c>
      <c r="W441" s="53" t="s">
        <v>547</v>
      </c>
      <c r="X441" s="53" t="s">
        <v>553</v>
      </c>
      <c r="Y441" s="172">
        <f>IFERROR(-tblZwaste1422[[#This Row],[Weight (kgCO2e/kg)]],0)</f>
        <v>-1.9798800000000001</v>
      </c>
      <c r="Z441" s="172">
        <f>IF(AQ441="x",(AR441*-tblZwaste1422[[#This Row],[Weight (kgCO2e/kg)]])+AS441+($AR$10*Lookups!$J$38/1000),"DELETE")</f>
        <v>-1.8968017927</v>
      </c>
      <c r="AA441" s="176">
        <v>-2.243932458779323</v>
      </c>
      <c r="AB441" s="172" t="s">
        <v>567</v>
      </c>
      <c r="AC441" s="172" t="s">
        <v>567</v>
      </c>
      <c r="AD441" s="172">
        <v>2.6019857951830299E-2</v>
      </c>
      <c r="AE441" s="172">
        <v>-0.140635440587978</v>
      </c>
      <c r="AF441" s="172">
        <v>-0.115341576609937</v>
      </c>
      <c r="AG441" s="150"/>
      <c r="AI441" s="137">
        <v>5</v>
      </c>
      <c r="AJ441" s="136" t="s">
        <v>256</v>
      </c>
      <c r="AK441" s="142" t="s">
        <v>536</v>
      </c>
      <c r="AL441" s="136" t="s">
        <v>547</v>
      </c>
      <c r="AM441" s="136" t="s">
        <v>553</v>
      </c>
      <c r="AN441" s="1">
        <v>1.9798800000000001</v>
      </c>
      <c r="AO441" s="166">
        <v>0.72957000000000005</v>
      </c>
      <c r="AQ441" t="str">
        <f>_xlfn.XLOOKUP(tblGWP21[[#This Row],[Material Subcategory]],ls_Mat,Factors!$K$952:$K$1023)</f>
        <v>x</v>
      </c>
      <c r="AR441" s="173">
        <v>1</v>
      </c>
      <c r="AS441">
        <v>8.1306407300000008E-2</v>
      </c>
      <c r="AT441" t="s">
        <v>531</v>
      </c>
      <c r="BA441" cm="1">
        <f t="array" ref="BA441:BM441">tblGWP21[#This Row]</f>
        <v>5</v>
      </c>
      <c r="BB441" t="str">
        <v>Metals</v>
      </c>
      <c r="BC441" t="str">
        <v>Ferrous Cans</v>
      </c>
      <c r="BD441" t="str">
        <v>Asia</v>
      </c>
      <c r="BE441" t="str">
        <v>China</v>
      </c>
      <c r="BF441">
        <v>-1.9798800000000001</v>
      </c>
      <c r="BG441">
        <v>-1.8968017927</v>
      </c>
      <c r="BH441">
        <v>-2.243932458779323</v>
      </c>
      <c r="BI441" t="str">
        <v>DELETE</v>
      </c>
      <c r="BJ441" t="str">
        <v>DELETE</v>
      </c>
      <c r="BK441">
        <v>2.6019857951830299E-2</v>
      </c>
      <c r="BL441">
        <v>-0.140635440587978</v>
      </c>
      <c r="BM441">
        <v>-0.115341576609937</v>
      </c>
    </row>
    <row r="442" spans="3:65">
      <c r="C442" s="136">
        <v>5</v>
      </c>
      <c r="D442" s="137" t="s">
        <v>239</v>
      </c>
      <c r="E442" s="136" t="s">
        <v>535</v>
      </c>
      <c r="F442" s="136" t="s">
        <v>547</v>
      </c>
      <c r="G442" s="136" t="s">
        <v>553</v>
      </c>
      <c r="H442" s="191">
        <v>-3.1045600000000002</v>
      </c>
      <c r="I442" s="191">
        <v>0</v>
      </c>
      <c r="J442" s="191">
        <v>-0.91260278823392993</v>
      </c>
      <c r="K442" s="191">
        <v>-1.61284318952186</v>
      </c>
      <c r="L442" s="191">
        <v>-2.6003535655297401</v>
      </c>
      <c r="M442" s="191">
        <v>-0.83398242380103804</v>
      </c>
      <c r="N442" s="191">
        <v>-0.74818492475951703</v>
      </c>
      <c r="O442" s="191">
        <v>2.9212422837260599E-2</v>
      </c>
      <c r="T442" s="48">
        <v>5</v>
      </c>
      <c r="U442" s="46" t="s">
        <v>256</v>
      </c>
      <c r="V442" s="53" t="s">
        <v>257</v>
      </c>
      <c r="W442" s="53" t="s">
        <v>547</v>
      </c>
      <c r="X442" s="53" t="s">
        <v>553</v>
      </c>
      <c r="Y442" s="172">
        <f>IFERROR(-tblZwaste1422[[#This Row],[Weight (kgCO2e/kg)]],0)</f>
        <v>-1.9798800000000001</v>
      </c>
      <c r="Z442" s="172">
        <f>IF(AQ442="x",(AR442*-tblZwaste1422[[#This Row],[Weight (kgCO2e/kg)]])+AS442+($AR$10*Lookups!$J$38/1000),"DELETE")</f>
        <v>-1.8968017927</v>
      </c>
      <c r="AA442" s="176">
        <v>-2.243932458779323</v>
      </c>
      <c r="AB442" s="172" t="s">
        <v>567</v>
      </c>
      <c r="AC442" s="172" t="s">
        <v>567</v>
      </c>
      <c r="AD442" s="172">
        <v>2.6019857951830299E-2</v>
      </c>
      <c r="AE442" s="172">
        <v>-0.140635440587978</v>
      </c>
      <c r="AF442" s="172">
        <v>-0.115341576609937</v>
      </c>
      <c r="AG442" s="150"/>
      <c r="AI442" s="137">
        <v>5</v>
      </c>
      <c r="AJ442" s="136" t="s">
        <v>256</v>
      </c>
      <c r="AK442" s="142" t="s">
        <v>257</v>
      </c>
      <c r="AL442" s="136" t="s">
        <v>547</v>
      </c>
      <c r="AM442" s="136" t="s">
        <v>553</v>
      </c>
      <c r="AN442" s="1">
        <v>1.9798800000000001</v>
      </c>
      <c r="AO442" s="166">
        <v>0.46493000000000001</v>
      </c>
      <c r="AQ442" t="str">
        <f>_xlfn.XLOOKUP(tblGWP21[[#This Row],[Material Subcategory]],ls_Mat,Factors!$K$952:$K$1023)</f>
        <v>x</v>
      </c>
      <c r="AR442" s="173">
        <v>1</v>
      </c>
      <c r="AS442">
        <v>8.1306407300000008E-2</v>
      </c>
      <c r="AT442" t="s">
        <v>531</v>
      </c>
      <c r="BA442" cm="1">
        <f t="array" ref="BA442:BM442">tblGWP21[#This Row]</f>
        <v>5</v>
      </c>
      <c r="BB442" t="str">
        <v>Metals</v>
      </c>
      <c r="BC442" t="str">
        <v>Ferrous Metal</v>
      </c>
      <c r="BD442" t="str">
        <v>Asia</v>
      </c>
      <c r="BE442" t="str">
        <v>China</v>
      </c>
      <c r="BF442">
        <v>-1.9798800000000001</v>
      </c>
      <c r="BG442">
        <v>-1.8968017927</v>
      </c>
      <c r="BH442">
        <v>-2.243932458779323</v>
      </c>
      <c r="BI442" t="str">
        <v>DELETE</v>
      </c>
      <c r="BJ442" t="str">
        <v>DELETE</v>
      </c>
      <c r="BK442">
        <v>2.6019857951830299E-2</v>
      </c>
      <c r="BL442">
        <v>-0.140635440587978</v>
      </c>
      <c r="BM442">
        <v>-0.115341576609937</v>
      </c>
    </row>
    <row r="443" spans="3:65">
      <c r="C443" s="362">
        <v>5</v>
      </c>
      <c r="D443" s="363" t="s">
        <v>239</v>
      </c>
      <c r="E443" s="362" t="s">
        <v>259</v>
      </c>
      <c r="F443" s="362" t="s">
        <v>547</v>
      </c>
      <c r="G443" s="362" t="s">
        <v>553</v>
      </c>
      <c r="H443" s="368">
        <v>-2.86965</v>
      </c>
      <c r="I443" s="368">
        <v>0</v>
      </c>
      <c r="J443" s="368">
        <v>-0.91260278823392993</v>
      </c>
      <c r="K443" s="368">
        <v>-1.32794699471418</v>
      </c>
      <c r="L443" s="368">
        <v>-2.0204690680134201</v>
      </c>
      <c r="M443" s="368">
        <v>-0.35845978146131702</v>
      </c>
      <c r="N443" s="368">
        <v>-0.60914723709358098</v>
      </c>
      <c r="O443" s="368">
        <v>2.8420180400488802E-2</v>
      </c>
      <c r="T443" s="48">
        <v>5</v>
      </c>
      <c r="U443" s="46" t="s">
        <v>256</v>
      </c>
      <c r="V443" s="53" t="s">
        <v>537</v>
      </c>
      <c r="W443" s="53" t="s">
        <v>547</v>
      </c>
      <c r="X443" s="53" t="s">
        <v>553</v>
      </c>
      <c r="Y443" s="172">
        <f>IFERROR(-tblZwaste1422[[#This Row],[Weight (kgCO2e/kg)]],0)</f>
        <v>-5.0082800000000001</v>
      </c>
      <c r="Z443" s="172">
        <f>IF(AQ443="x",(AR443*-tblZwaste1422[[#This Row],[Weight (kgCO2e/kg)]])+AS443+($AR$10*Lookups!$J$38/1000),"DELETE")</f>
        <v>-4.9252017927000002</v>
      </c>
      <c r="AA443" s="176">
        <f>-22.1949382297005*0.21739130434</f>
        <v>-4.8249865715003226</v>
      </c>
      <c r="AB443" s="172" t="s">
        <v>567</v>
      </c>
      <c r="AC443" s="172" t="s">
        <v>567</v>
      </c>
      <c r="AD443" s="172">
        <v>2.5860000000000001E-2</v>
      </c>
      <c r="AE443" s="172">
        <v>-4.7274300133746401E-2</v>
      </c>
      <c r="AF443" s="172">
        <v>-4.0059161684337402E-2</v>
      </c>
      <c r="AG443" s="150"/>
      <c r="AI443" s="137">
        <v>5</v>
      </c>
      <c r="AJ443" s="136" t="s">
        <v>256</v>
      </c>
      <c r="AK443" s="142" t="s">
        <v>537</v>
      </c>
      <c r="AL443" s="136" t="s">
        <v>547</v>
      </c>
      <c r="AM443" s="136" t="s">
        <v>553</v>
      </c>
      <c r="AN443" s="1">
        <v>5.0082800000000001</v>
      </c>
      <c r="AO443" s="166">
        <v>1.54878</v>
      </c>
      <c r="AQ443" t="str">
        <f>_xlfn.XLOOKUP(tblGWP21[[#This Row],[Material Subcategory]],ls_Mat,Factors!$K$952:$K$1023)</f>
        <v>x</v>
      </c>
      <c r="AR443" s="173">
        <v>1</v>
      </c>
      <c r="AS443">
        <v>8.1306407300000008E-2</v>
      </c>
      <c r="AT443" t="s">
        <v>531</v>
      </c>
      <c r="BA443" cm="1">
        <f t="array" ref="BA443:BM443">tblGWP21[#This Row]</f>
        <v>5</v>
      </c>
      <c r="BB443" t="str">
        <v>Metals</v>
      </c>
      <c r="BC443" t="str">
        <v>Aluminum Cans</v>
      </c>
      <c r="BD443" t="str">
        <v>Asia</v>
      </c>
      <c r="BE443" t="str">
        <v>China</v>
      </c>
      <c r="BF443">
        <v>-5.0082800000000001</v>
      </c>
      <c r="BG443">
        <v>-4.9252017927000002</v>
      </c>
      <c r="BH443">
        <v>-4.8249865715003226</v>
      </c>
      <c r="BI443" t="str">
        <v>DELETE</v>
      </c>
      <c r="BJ443" t="str">
        <v>DELETE</v>
      </c>
      <c r="BK443">
        <v>2.5860000000000001E-2</v>
      </c>
      <c r="BL443">
        <v>-4.7274300133746401E-2</v>
      </c>
      <c r="BM443">
        <v>-4.0059161684337402E-2</v>
      </c>
    </row>
    <row r="444" spans="3:65">
      <c r="C444" s="136">
        <v>5</v>
      </c>
      <c r="D444" s="137" t="s">
        <v>239</v>
      </c>
      <c r="E444" s="136" t="s">
        <v>334</v>
      </c>
      <c r="F444" s="136" t="s">
        <v>547</v>
      </c>
      <c r="G444" s="136" t="s">
        <v>553</v>
      </c>
      <c r="H444" s="191">
        <v>-2.86965</v>
      </c>
      <c r="I444" s="191">
        <v>0</v>
      </c>
      <c r="J444" s="191">
        <v>-0.91260278823392993</v>
      </c>
      <c r="K444" s="191">
        <v>-1.7383768869078899</v>
      </c>
      <c r="L444" s="191">
        <v>-2.48156466307401</v>
      </c>
      <c r="M444" s="191">
        <v>-0.28904713992276498</v>
      </c>
      <c r="N444" s="191">
        <v>-0.89025008713006903</v>
      </c>
      <c r="O444" s="191">
        <v>2.63896792567898E-2</v>
      </c>
      <c r="T444" s="48">
        <v>5</v>
      </c>
      <c r="U444" s="46" t="s">
        <v>256</v>
      </c>
      <c r="V444" s="53" t="s">
        <v>538</v>
      </c>
      <c r="W444" s="53" t="s">
        <v>547</v>
      </c>
      <c r="X444" s="53" t="s">
        <v>553</v>
      </c>
      <c r="Y444" s="172">
        <f>IFERROR(-tblZwaste1422[[#This Row],[Weight (kgCO2e/kg)]],0)</f>
        <v>-4.6396800000000002</v>
      </c>
      <c r="Z444" s="172" t="str">
        <f>IF(AQ444="x",(AR444*-tblZwaste1422[[#This Row],[Weight (kgCO2e/kg)]])+AS444+($AR$10*Lookups!$J$38/1000),"DELETE")</f>
        <v>DELETE</v>
      </c>
      <c r="AA444" s="176" t="s">
        <v>567</v>
      </c>
      <c r="AB444" s="172" t="s">
        <v>567</v>
      </c>
      <c r="AC444" s="172" t="s">
        <v>567</v>
      </c>
      <c r="AD444" s="172">
        <v>2.5860000000000001E-2</v>
      </c>
      <c r="AE444" s="172">
        <v>-4.3874062473680198E-2</v>
      </c>
      <c r="AF444" s="172">
        <v>-4.0059161684337499E-2</v>
      </c>
      <c r="AG444" s="150"/>
      <c r="AI444" s="137">
        <v>5</v>
      </c>
      <c r="AJ444" s="136" t="s">
        <v>256</v>
      </c>
      <c r="AK444" s="142" t="s">
        <v>538</v>
      </c>
      <c r="AL444" s="136" t="s">
        <v>547</v>
      </c>
      <c r="AM444" s="136" t="s">
        <v>553</v>
      </c>
      <c r="AN444" s="1">
        <v>4.6396800000000002</v>
      </c>
      <c r="AO444" s="166">
        <v>1.54878</v>
      </c>
      <c r="AQ444">
        <f>_xlfn.XLOOKUP(tblGWP21[[#This Row],[Material Subcategory]],ls_Mat,Factors!$K$952:$K$1023)</f>
        <v>0</v>
      </c>
      <c r="AR444" s="173"/>
      <c r="BA444" cm="1">
        <f t="array" ref="BA444:BM444">tblGWP21[#This Row]</f>
        <v>5</v>
      </c>
      <c r="BB444" t="str">
        <v>Metals</v>
      </c>
      <c r="BC444" t="str">
        <v>Aluminum Foil</v>
      </c>
      <c r="BD444" t="str">
        <v>Asia</v>
      </c>
      <c r="BE444" t="str">
        <v>China</v>
      </c>
      <c r="BF444">
        <v>-4.6396800000000002</v>
      </c>
      <c r="BG444" t="str">
        <v>DELETE</v>
      </c>
      <c r="BH444" t="str">
        <v>DELETE</v>
      </c>
      <c r="BI444" t="str">
        <v>DELETE</v>
      </c>
      <c r="BJ444" t="str">
        <v>DELETE</v>
      </c>
      <c r="BK444">
        <v>2.5860000000000001E-2</v>
      </c>
      <c r="BL444">
        <v>-4.3874062473680198E-2</v>
      </c>
      <c r="BM444">
        <v>-4.0059161684337499E-2</v>
      </c>
    </row>
    <row r="445" spans="3:65">
      <c r="C445" s="362">
        <v>5</v>
      </c>
      <c r="D445" s="363" t="s">
        <v>239</v>
      </c>
      <c r="E445" s="362" t="s">
        <v>240</v>
      </c>
      <c r="F445" s="362" t="s">
        <v>547</v>
      </c>
      <c r="G445" s="362" t="s">
        <v>553</v>
      </c>
      <c r="H445" s="368">
        <v>-3.1045600000000002</v>
      </c>
      <c r="I445" s="368">
        <v>0</v>
      </c>
      <c r="J445" s="368">
        <v>0</v>
      </c>
      <c r="K445" s="368">
        <v>-1.7671297096596501</v>
      </c>
      <c r="L445" s="368">
        <v>-2.5489215958880802</v>
      </c>
      <c r="M445" s="368">
        <v>-0.637144316545458</v>
      </c>
      <c r="N445" s="368">
        <v>0.53494257578980298</v>
      </c>
      <c r="O445" s="368">
        <v>2.3670121579825798</v>
      </c>
      <c r="T445" s="48">
        <v>5</v>
      </c>
      <c r="U445" s="46" t="s">
        <v>256</v>
      </c>
      <c r="V445" s="53" t="s">
        <v>258</v>
      </c>
      <c r="W445" s="53" t="s">
        <v>547</v>
      </c>
      <c r="X445" s="53" t="s">
        <v>553</v>
      </c>
      <c r="Y445" s="172">
        <f>IFERROR(-tblZwaste1422[[#This Row],[Weight (kgCO2e/kg)]],0)</f>
        <v>-4.6396800000000002</v>
      </c>
      <c r="Z445" s="172">
        <f>IF(AQ445="x",(AR445*-tblZwaste1422[[#This Row],[Weight (kgCO2e/kg)]])+AS445+($AR$10*Lookups!$J$38/1000),"DELETE")</f>
        <v>-4.5566017927000004</v>
      </c>
      <c r="AA445" s="176">
        <f>-21.5155013451178*0.21739130434</f>
        <v>-4.6772829009441832</v>
      </c>
      <c r="AB445" s="172" t="s">
        <v>567</v>
      </c>
      <c r="AC445" s="172" t="s">
        <v>567</v>
      </c>
      <c r="AD445" s="172">
        <v>2.5860000000000001E-2</v>
      </c>
      <c r="AE445" s="172">
        <v>-4.7274300133746297E-2</v>
      </c>
      <c r="AF445" s="172">
        <v>-4.0059161684337499E-2</v>
      </c>
      <c r="AG445" s="150"/>
      <c r="AI445" s="137">
        <v>5</v>
      </c>
      <c r="AJ445" s="136" t="s">
        <v>256</v>
      </c>
      <c r="AK445" s="142" t="s">
        <v>258</v>
      </c>
      <c r="AL445" s="136" t="s">
        <v>547</v>
      </c>
      <c r="AM445" s="136" t="s">
        <v>553</v>
      </c>
      <c r="AN445" s="1">
        <v>4.6396800000000002</v>
      </c>
      <c r="AO445" s="166">
        <v>1.54878</v>
      </c>
      <c r="AQ445" t="str">
        <f>_xlfn.XLOOKUP(tblGWP21[[#This Row],[Material Subcategory]],ls_Mat,Factors!$K$952:$K$1023)</f>
        <v>x</v>
      </c>
      <c r="AR445" s="173">
        <v>1</v>
      </c>
      <c r="AS445">
        <v>8.1306407300000008E-2</v>
      </c>
      <c r="AT445" t="s">
        <v>531</v>
      </c>
      <c r="BA445" cm="1">
        <f t="array" ref="BA445:BM445">tblGWP21[#This Row]</f>
        <v>5</v>
      </c>
      <c r="BB445" t="str">
        <v>Metals</v>
      </c>
      <c r="BC445" t="str">
        <v>Other Aluminum</v>
      </c>
      <c r="BD445" t="str">
        <v>Asia</v>
      </c>
      <c r="BE445" t="str">
        <v>China</v>
      </c>
      <c r="BF445">
        <v>-4.6396800000000002</v>
      </c>
      <c r="BG445">
        <v>-4.5566017927000004</v>
      </c>
      <c r="BH445">
        <v>-4.6772829009441832</v>
      </c>
      <c r="BI445" t="str">
        <v>DELETE</v>
      </c>
      <c r="BJ445" t="str">
        <v>DELETE</v>
      </c>
      <c r="BK445">
        <v>2.5860000000000001E-2</v>
      </c>
      <c r="BL445">
        <v>-4.7274300133746297E-2</v>
      </c>
      <c r="BM445">
        <v>-4.0059161684337499E-2</v>
      </c>
    </row>
    <row r="446" spans="3:65" ht="28.8">
      <c r="C446" s="136">
        <v>5</v>
      </c>
      <c r="D446" s="137" t="s">
        <v>239</v>
      </c>
      <c r="E446" s="136" t="s">
        <v>325</v>
      </c>
      <c r="F446" s="136" t="s">
        <v>547</v>
      </c>
      <c r="G446" s="136" t="s">
        <v>553</v>
      </c>
      <c r="H446" s="191">
        <v>-1.66</v>
      </c>
      <c r="I446" s="191">
        <v>0</v>
      </c>
      <c r="J446" s="191">
        <v>0</v>
      </c>
      <c r="K446" s="191">
        <v>-1.6289204631588901</v>
      </c>
      <c r="L446" s="191">
        <v>-2.3853817279456502</v>
      </c>
      <c r="M446" s="191">
        <v>-0.63000031941498502</v>
      </c>
      <c r="N446" s="191">
        <v>-0.82226405511991896</v>
      </c>
      <c r="O446" s="191">
        <v>2.74714200585238E-2</v>
      </c>
      <c r="T446" s="48">
        <v>5</v>
      </c>
      <c r="U446" s="46" t="s">
        <v>247</v>
      </c>
      <c r="V446" s="53" t="s">
        <v>247</v>
      </c>
      <c r="W446" s="53" t="s">
        <v>547</v>
      </c>
      <c r="X446" s="53" t="s">
        <v>553</v>
      </c>
      <c r="Y446" s="172">
        <f>IFERROR(-tblZwaste1422[[#This Row],[Weight (kgCO2e/kg)]],0)</f>
        <v>-1.0505633333333335</v>
      </c>
      <c r="Z446" s="172">
        <f>IF(AQ446="x",(AR446*-tblZwaste1422[[#This Row],[Weight (kgCO2e/kg)]])+AS446+($AR$10*Lookups!$J$38/1000),"DELETE")</f>
        <v>-0.96748512603333348</v>
      </c>
      <c r="AA446" s="176">
        <v>-0.31479325381839296</v>
      </c>
      <c r="AB446" s="172" t="s">
        <v>567</v>
      </c>
      <c r="AC446" s="172" t="s">
        <v>567</v>
      </c>
      <c r="AD446" s="172">
        <v>2.6019872478175401E-2</v>
      </c>
      <c r="AE446" s="172">
        <v>3.13814477385191E-2</v>
      </c>
      <c r="AF446" s="172">
        <v>4.8912868971973202E-2</v>
      </c>
      <c r="AG446" s="150"/>
      <c r="AI446" s="137">
        <v>5</v>
      </c>
      <c r="AJ446" s="136" t="s">
        <v>247</v>
      </c>
      <c r="AK446" s="142" t="s">
        <v>247</v>
      </c>
      <c r="AL446" s="136" t="s">
        <v>547</v>
      </c>
      <c r="AM446" s="136" t="s">
        <v>553</v>
      </c>
      <c r="AN446" s="1">
        <v>1.0505633333333335</v>
      </c>
      <c r="AO446" s="166">
        <v>0.89563000000000004</v>
      </c>
      <c r="AQ446" t="str">
        <f>_xlfn.XLOOKUP(tblGWP21[[#This Row],[Material Subcategory]],ls_Mat,Factors!$K$952:$K$1023)</f>
        <v>x</v>
      </c>
      <c r="AR446" s="173">
        <v>1</v>
      </c>
      <c r="AS446">
        <v>8.1306407300000008E-2</v>
      </c>
      <c r="AT446" t="s">
        <v>531</v>
      </c>
      <c r="BA446" cm="1">
        <f t="array" ref="BA446:BM446">tblGWP21[#This Row]</f>
        <v>5</v>
      </c>
      <c r="BB446" t="str">
        <v>Glass</v>
      </c>
      <c r="BC446" t="str">
        <v>Glass</v>
      </c>
      <c r="BD446" t="str">
        <v>Asia</v>
      </c>
      <c r="BE446" t="str">
        <v>China</v>
      </c>
      <c r="BF446">
        <v>-1.0505633333333335</v>
      </c>
      <c r="BG446">
        <v>-0.96748512603333348</v>
      </c>
      <c r="BH446">
        <v>-0.31479325381839296</v>
      </c>
      <c r="BI446" t="str">
        <v>DELETE</v>
      </c>
      <c r="BJ446" t="str">
        <v>DELETE</v>
      </c>
      <c r="BK446">
        <v>2.6019872478175401E-2</v>
      </c>
      <c r="BL446">
        <v>3.13814477385191E-2</v>
      </c>
      <c r="BM446">
        <v>4.8912868971973202E-2</v>
      </c>
    </row>
    <row r="447" spans="3:65">
      <c r="C447" s="362">
        <v>5</v>
      </c>
      <c r="D447" s="363" t="s">
        <v>256</v>
      </c>
      <c r="E447" s="362" t="s">
        <v>256</v>
      </c>
      <c r="F447" s="362" t="s">
        <v>547</v>
      </c>
      <c r="G447" s="362" t="s">
        <v>553</v>
      </c>
      <c r="H447" s="368">
        <v>-3.3097799999999999</v>
      </c>
      <c r="I447" s="368">
        <v>-3.2267017926999997</v>
      </c>
      <c r="J447" s="368">
        <v>-12.219435344239905</v>
      </c>
      <c r="K447" s="368">
        <v>0</v>
      </c>
      <c r="L447" s="368">
        <v>0</v>
      </c>
      <c r="M447" s="368">
        <v>2.5939928975915148E-2</v>
      </c>
      <c r="N447" s="368">
        <v>-9.3954870360862197E-2</v>
      </c>
      <c r="O447" s="368">
        <v>-7.770036914713721E-2</v>
      </c>
      <c r="T447" s="48">
        <v>5</v>
      </c>
      <c r="U447" s="46" t="s">
        <v>247</v>
      </c>
      <c r="V447" s="53" t="s">
        <v>248</v>
      </c>
      <c r="W447" s="53" t="s">
        <v>547</v>
      </c>
      <c r="X447" s="53" t="s">
        <v>553</v>
      </c>
      <c r="Y447" s="172">
        <f>IFERROR(-tblZwaste1422[[#This Row],[Weight (kgCO2e/kg)]],0)</f>
        <v>-1.0606100000000001</v>
      </c>
      <c r="Z447" s="172">
        <f>IF(AQ447="x",(AR447*-tblZwaste1422[[#This Row],[Weight (kgCO2e/kg)]])+AS447+($AR$10*Lookups!$J$38/1000),"DELETE")</f>
        <v>-0.97753179270000001</v>
      </c>
      <c r="AA447" s="176">
        <v>-0.1687550797948309</v>
      </c>
      <c r="AB447" s="172" t="s">
        <v>567</v>
      </c>
      <c r="AC447" s="172" t="s">
        <v>567</v>
      </c>
      <c r="AD447" s="172">
        <v>2.60198785327483E-2</v>
      </c>
      <c r="AE447" s="172">
        <v>3.5043740154537401E-2</v>
      </c>
      <c r="AF447" s="172">
        <v>4.8911685366366399E-2</v>
      </c>
      <c r="AG447" s="150"/>
      <c r="AI447" s="137">
        <v>5</v>
      </c>
      <c r="AJ447" s="136" t="s">
        <v>247</v>
      </c>
      <c r="AK447" s="142" t="s">
        <v>248</v>
      </c>
      <c r="AL447" s="136" t="s">
        <v>547</v>
      </c>
      <c r="AM447" s="136" t="s">
        <v>553</v>
      </c>
      <c r="AN447" s="1">
        <v>1.0606100000000001</v>
      </c>
      <c r="AO447" s="166">
        <v>0.89563000000000004</v>
      </c>
      <c r="AQ447" t="str">
        <f>_xlfn.XLOOKUP(tblGWP21[[#This Row],[Material Subcategory]],ls_Mat,Factors!$K$952:$K$1023)</f>
        <v>x</v>
      </c>
      <c r="AR447" s="173">
        <v>1</v>
      </c>
      <c r="AS447">
        <v>8.1306407300000008E-2</v>
      </c>
      <c r="AT447" t="s">
        <v>531</v>
      </c>
      <c r="BA447" cm="1">
        <f t="array" ref="BA447:BM447">tblGWP21[#This Row]</f>
        <v>5</v>
      </c>
      <c r="BB447" t="str">
        <v>Glass</v>
      </c>
      <c r="BC447" t="str">
        <v>Glass – Brown</v>
      </c>
      <c r="BD447" t="str">
        <v>Asia</v>
      </c>
      <c r="BE447" t="str">
        <v>China</v>
      </c>
      <c r="BF447">
        <v>-1.0606100000000001</v>
      </c>
      <c r="BG447">
        <v>-0.97753179270000001</v>
      </c>
      <c r="BH447">
        <v>-0.1687550797948309</v>
      </c>
      <c r="BI447" t="str">
        <v>DELETE</v>
      </c>
      <c r="BJ447" t="str">
        <v>DELETE</v>
      </c>
      <c r="BK447">
        <v>2.60198785327483E-2</v>
      </c>
      <c r="BL447">
        <v>3.5043740154537401E-2</v>
      </c>
      <c r="BM447">
        <v>4.8911685366366399E-2</v>
      </c>
    </row>
    <row r="448" spans="3:65">
      <c r="C448" s="136">
        <v>5</v>
      </c>
      <c r="D448" s="137" t="s">
        <v>256</v>
      </c>
      <c r="E448" s="136" t="s">
        <v>536</v>
      </c>
      <c r="F448" s="136" t="s">
        <v>547</v>
      </c>
      <c r="G448" s="136" t="s">
        <v>553</v>
      </c>
      <c r="H448" s="191">
        <v>-1.9798800000000001</v>
      </c>
      <c r="I448" s="191">
        <v>-1.8968017927</v>
      </c>
      <c r="J448" s="191">
        <v>-2.243932458779323</v>
      </c>
      <c r="K448" s="191">
        <v>0</v>
      </c>
      <c r="L448" s="191">
        <v>0</v>
      </c>
      <c r="M448" s="191">
        <v>2.6019857951830299E-2</v>
      </c>
      <c r="N448" s="191">
        <v>-0.140635440587978</v>
      </c>
      <c r="O448" s="191">
        <v>-0.115341576609937</v>
      </c>
      <c r="T448" s="48">
        <v>5</v>
      </c>
      <c r="U448" s="46" t="s">
        <v>247</v>
      </c>
      <c r="V448" s="53" t="s">
        <v>263</v>
      </c>
      <c r="W448" s="53" t="s">
        <v>547</v>
      </c>
      <c r="X448" s="53" t="s">
        <v>553</v>
      </c>
      <c r="Y448" s="172">
        <f>IFERROR(-tblZwaste1422[[#This Row],[Weight (kgCO2e/kg)]],0)</f>
        <v>-1.0341199999999999</v>
      </c>
      <c r="Z448" s="172">
        <f>IF(AQ448="x",(AR448*-tblZwaste1422[[#This Row],[Weight (kgCO2e/kg)]])+AS448+($AR$10*Lookups!$J$38/1000),"DELETE")</f>
        <v>-0.95104179269999989</v>
      </c>
      <c r="AA448" s="176">
        <v>-0.1687550797948309</v>
      </c>
      <c r="AB448" s="172" t="s">
        <v>567</v>
      </c>
      <c r="AC448" s="172" t="s">
        <v>567</v>
      </c>
      <c r="AD448" s="172">
        <v>2.601988228533E-2</v>
      </c>
      <c r="AE448" s="172">
        <v>3.7239157158854501E-2</v>
      </c>
      <c r="AF448" s="172">
        <v>4.8911760934504701E-2</v>
      </c>
      <c r="AG448" s="150"/>
      <c r="AI448" s="137">
        <v>5</v>
      </c>
      <c r="AJ448" s="136" t="s">
        <v>247</v>
      </c>
      <c r="AK448" s="142" t="s">
        <v>263</v>
      </c>
      <c r="AL448" s="136" t="s">
        <v>547</v>
      </c>
      <c r="AM448" s="136" t="s">
        <v>553</v>
      </c>
      <c r="AN448" s="1">
        <v>1.0341199999999999</v>
      </c>
      <c r="AO448" s="166">
        <v>0.89563000000000004</v>
      </c>
      <c r="AQ448" t="str">
        <f>_xlfn.XLOOKUP(tblGWP21[[#This Row],[Material Subcategory]],ls_Mat,Factors!$K$952:$K$1023)</f>
        <v>x</v>
      </c>
      <c r="AR448" s="173">
        <v>1</v>
      </c>
      <c r="AS448">
        <v>8.1306407300000008E-2</v>
      </c>
      <c r="AT448" t="s">
        <v>531</v>
      </c>
      <c r="BA448" cm="1">
        <f t="array" ref="BA448:BM448">tblGWP21[#This Row]</f>
        <v>5</v>
      </c>
      <c r="BB448" t="str">
        <v>Glass</v>
      </c>
      <c r="BC448" t="str">
        <v>Glass – Green</v>
      </c>
      <c r="BD448" t="str">
        <v>Asia</v>
      </c>
      <c r="BE448" t="str">
        <v>China</v>
      </c>
      <c r="BF448">
        <v>-1.0341199999999999</v>
      </c>
      <c r="BG448">
        <v>-0.95104179269999989</v>
      </c>
      <c r="BH448">
        <v>-0.1687550797948309</v>
      </c>
      <c r="BI448" t="str">
        <v>DELETE</v>
      </c>
      <c r="BJ448" t="str">
        <v>DELETE</v>
      </c>
      <c r="BK448">
        <v>2.601988228533E-2</v>
      </c>
      <c r="BL448">
        <v>3.7239157158854501E-2</v>
      </c>
      <c r="BM448">
        <v>4.8911760934504701E-2</v>
      </c>
    </row>
    <row r="449" spans="3:65">
      <c r="C449" s="362">
        <v>5</v>
      </c>
      <c r="D449" s="363" t="s">
        <v>256</v>
      </c>
      <c r="E449" s="362" t="s">
        <v>257</v>
      </c>
      <c r="F449" s="362" t="s">
        <v>547</v>
      </c>
      <c r="G449" s="362" t="s">
        <v>553</v>
      </c>
      <c r="H449" s="368">
        <v>-1.9798800000000001</v>
      </c>
      <c r="I449" s="368">
        <v>-1.8968017927</v>
      </c>
      <c r="J449" s="368">
        <v>-2.243932458779323</v>
      </c>
      <c r="K449" s="368">
        <v>0</v>
      </c>
      <c r="L449" s="368">
        <v>0</v>
      </c>
      <c r="M449" s="368">
        <v>2.6019857951830299E-2</v>
      </c>
      <c r="N449" s="368">
        <v>-0.140635440587978</v>
      </c>
      <c r="O449" s="368">
        <v>-0.115341576609937</v>
      </c>
      <c r="T449" s="48">
        <v>5</v>
      </c>
      <c r="U449" s="46" t="s">
        <v>247</v>
      </c>
      <c r="V449" s="53" t="s">
        <v>539</v>
      </c>
      <c r="W449" s="53" t="s">
        <v>547</v>
      </c>
      <c r="X449" s="53" t="s">
        <v>553</v>
      </c>
      <c r="Y449" s="172">
        <f>IFERROR(-tblZwaste1422[[#This Row],[Weight (kgCO2e/kg)]],0)</f>
        <v>-1.0569599999999999</v>
      </c>
      <c r="Z449" s="172">
        <f>IF(AQ449="x",(AR449*-tblZwaste1422[[#This Row],[Weight (kgCO2e/kg)]])+AS449+($AR$10*Lookups!$J$38/1000),"DELETE")</f>
        <v>-0.97388179269999986</v>
      </c>
      <c r="AA449" s="176">
        <v>-0.17408418757782557</v>
      </c>
      <c r="AB449" s="172" t="s">
        <v>567</v>
      </c>
      <c r="AC449" s="172" t="s">
        <v>567</v>
      </c>
      <c r="AD449" s="172">
        <v>2.60198626805818E-2</v>
      </c>
      <c r="AE449" s="172">
        <v>2.5482742381461199E-2</v>
      </c>
      <c r="AF449" s="172">
        <v>4.8914143724643401E-2</v>
      </c>
      <c r="AG449" s="150"/>
      <c r="AI449" s="137">
        <v>5</v>
      </c>
      <c r="AJ449" s="136" t="s">
        <v>247</v>
      </c>
      <c r="AK449" s="142" t="s">
        <v>539</v>
      </c>
      <c r="AL449" s="136" t="s">
        <v>547</v>
      </c>
      <c r="AM449" s="136" t="s">
        <v>553</v>
      </c>
      <c r="AN449" s="1">
        <v>1.0569599999999999</v>
      </c>
      <c r="AO449" s="166">
        <v>0.89563000000000004</v>
      </c>
      <c r="AQ449" t="str">
        <f>_xlfn.XLOOKUP(tblGWP21[[#This Row],[Material Subcategory]],ls_Mat,Factors!$K$952:$K$1023)</f>
        <v>x</v>
      </c>
      <c r="AR449" s="173">
        <v>1</v>
      </c>
      <c r="AS449">
        <v>8.1306407300000008E-2</v>
      </c>
      <c r="AT449" t="s">
        <v>531</v>
      </c>
      <c r="AU449" t="s">
        <v>526</v>
      </c>
      <c r="AV449" s="347">
        <v>0.85</v>
      </c>
      <c r="BA449" cm="1">
        <f t="array" ref="BA449:BM449">tblGWP21[#This Row]</f>
        <v>5</v>
      </c>
      <c r="BB449" t="str">
        <v>Glass</v>
      </c>
      <c r="BC449" t="str">
        <v>Glass – Clear</v>
      </c>
      <c r="BD449" t="str">
        <v>Asia</v>
      </c>
      <c r="BE449" t="str">
        <v>China</v>
      </c>
      <c r="BF449">
        <v>-1.0569599999999999</v>
      </c>
      <c r="BG449">
        <v>-0.97388179269999986</v>
      </c>
      <c r="BH449">
        <v>-0.17408418757782557</v>
      </c>
      <c r="BI449" t="str">
        <v>DELETE</v>
      </c>
      <c r="BJ449" t="str">
        <v>DELETE</v>
      </c>
      <c r="BK449">
        <v>2.60198626805818E-2</v>
      </c>
      <c r="BL449">
        <v>2.5482742381461199E-2</v>
      </c>
      <c r="BM449">
        <v>4.8914143724643401E-2</v>
      </c>
    </row>
    <row r="450" spans="3:65">
      <c r="C450" s="136">
        <v>5</v>
      </c>
      <c r="D450" s="137" t="s">
        <v>256</v>
      </c>
      <c r="E450" s="136" t="s">
        <v>537</v>
      </c>
      <c r="F450" s="136" t="s">
        <v>547</v>
      </c>
      <c r="G450" s="136" t="s">
        <v>553</v>
      </c>
      <c r="H450" s="191">
        <v>-5.0082800000000001</v>
      </c>
      <c r="I450" s="191">
        <v>-4.9252017927000002</v>
      </c>
      <c r="J450" s="191">
        <v>-4.8249865715003226</v>
      </c>
      <c r="K450" s="191">
        <v>0</v>
      </c>
      <c r="L450" s="191">
        <v>0</v>
      </c>
      <c r="M450" s="191">
        <v>2.5860000000000001E-2</v>
      </c>
      <c r="N450" s="191">
        <v>-4.7274300133746401E-2</v>
      </c>
      <c r="O450" s="191">
        <v>-4.0059161684337402E-2</v>
      </c>
      <c r="T450" s="48">
        <v>5</v>
      </c>
      <c r="U450" s="46" t="s">
        <v>247</v>
      </c>
      <c r="V450" s="53" t="s">
        <v>270</v>
      </c>
      <c r="W450" s="53" t="s">
        <v>547</v>
      </c>
      <c r="X450" s="53" t="s">
        <v>553</v>
      </c>
      <c r="Y450" s="172">
        <f>IFERROR(-tblZwaste1422[[#This Row],[Weight (kgCO2e/kg)]],0)</f>
        <v>-1.0505633333333335</v>
      </c>
      <c r="Z450" s="172">
        <f>IF(AQ450="x",(AR450*-tblZwaste1422[[#This Row],[Weight (kgCO2e/kg)]])+AS450+($AR$10*Lookups!$J$38/1000),"DELETE")</f>
        <v>-0.96748512603333348</v>
      </c>
      <c r="AA450" s="176">
        <v>-0.31479325381839296</v>
      </c>
      <c r="AB450" s="172" t="s">
        <v>567</v>
      </c>
      <c r="AC450" s="172" t="s">
        <v>567</v>
      </c>
      <c r="AD450" s="172">
        <v>2.6019872478175401E-2</v>
      </c>
      <c r="AE450" s="172">
        <v>3.13814477385191E-2</v>
      </c>
      <c r="AF450" s="172">
        <v>4.8912868971973202E-2</v>
      </c>
      <c r="AG450" s="150"/>
      <c r="AI450" s="137">
        <v>5</v>
      </c>
      <c r="AJ450" s="136" t="s">
        <v>247</v>
      </c>
      <c r="AK450" s="142" t="s">
        <v>270</v>
      </c>
      <c r="AL450" s="136" t="s">
        <v>547</v>
      </c>
      <c r="AM450" s="136" t="s">
        <v>553</v>
      </c>
      <c r="AN450" s="1">
        <v>1.0505633333333335</v>
      </c>
      <c r="AO450" s="166">
        <v>0.89563000000000004</v>
      </c>
      <c r="AQ450" t="str">
        <f>_xlfn.XLOOKUP(tblGWP21[[#This Row],[Material Subcategory]],ls_Mat,Factors!$K$952:$K$1023)</f>
        <v>x</v>
      </c>
      <c r="AR450" s="173">
        <v>1</v>
      </c>
      <c r="AS450">
        <v>8.1306407300000008E-2</v>
      </c>
      <c r="AT450" t="s">
        <v>531</v>
      </c>
      <c r="AU450" t="s">
        <v>526</v>
      </c>
      <c r="AV450" s="347">
        <v>0.7</v>
      </c>
      <c r="BA450" cm="1">
        <f t="array" ref="BA450:BM450">tblGWP21[#This Row]</f>
        <v>5</v>
      </c>
      <c r="BB450" t="str">
        <v>Glass</v>
      </c>
      <c r="BC450" t="str">
        <v>Mixed Glass</v>
      </c>
      <c r="BD450" t="str">
        <v>Asia</v>
      </c>
      <c r="BE450" t="str">
        <v>China</v>
      </c>
      <c r="BF450">
        <v>-1.0505633333333335</v>
      </c>
      <c r="BG450">
        <v>-0.96748512603333348</v>
      </c>
      <c r="BH450">
        <v>-0.31479325381839296</v>
      </c>
      <c r="BI450" t="str">
        <v>DELETE</v>
      </c>
      <c r="BJ450" t="str">
        <v>DELETE</v>
      </c>
      <c r="BK450">
        <v>2.6019872478175401E-2</v>
      </c>
      <c r="BL450">
        <v>3.13814477385191E-2</v>
      </c>
      <c r="BM450">
        <v>4.8912868971973202E-2</v>
      </c>
    </row>
    <row r="451" spans="3:65">
      <c r="C451" s="362">
        <v>5</v>
      </c>
      <c r="D451" s="363" t="s">
        <v>256</v>
      </c>
      <c r="E451" s="362" t="s">
        <v>538</v>
      </c>
      <c r="F451" s="362" t="s">
        <v>547</v>
      </c>
      <c r="G451" s="362" t="s">
        <v>553</v>
      </c>
      <c r="H451" s="368">
        <v>-4.6396800000000002</v>
      </c>
      <c r="I451" s="368">
        <v>0</v>
      </c>
      <c r="J451" s="368">
        <v>0</v>
      </c>
      <c r="K451" s="368">
        <v>0</v>
      </c>
      <c r="L451" s="368">
        <v>0</v>
      </c>
      <c r="M451" s="368">
        <v>2.5860000000000001E-2</v>
      </c>
      <c r="N451" s="368">
        <v>-4.3874062473680198E-2</v>
      </c>
      <c r="O451" s="368">
        <v>-4.0059161684337499E-2</v>
      </c>
      <c r="T451" s="48">
        <v>5</v>
      </c>
      <c r="U451" s="46" t="s">
        <v>247</v>
      </c>
      <c r="V451" s="53" t="s">
        <v>540</v>
      </c>
      <c r="W451" s="53" t="s">
        <v>547</v>
      </c>
      <c r="X451" s="53" t="s">
        <v>553</v>
      </c>
      <c r="Y451" s="172">
        <f>IFERROR(-tblZwaste1422[[#This Row],[Weight (kgCO2e/kg)]],0)</f>
        <v>-1.0473650000000001</v>
      </c>
      <c r="Z451" s="172">
        <f>IF(AQ451="x",(AR451*-tblZwaste1422[[#This Row],[Weight (kgCO2e/kg)]])+AS451+($AR$10*Lookups!$J$38/1000),"DELETE")</f>
        <v>-0.96428679270000006</v>
      </c>
      <c r="AA451" s="176" t="s">
        <v>567</v>
      </c>
      <c r="AB451" s="172" t="s">
        <v>567</v>
      </c>
      <c r="AC451" s="172" t="s">
        <v>567</v>
      </c>
      <c r="AD451" s="172">
        <v>2.60198557783172E-2</v>
      </c>
      <c r="AE451" s="172">
        <v>2.76776392305495E-2</v>
      </c>
      <c r="AF451" s="172">
        <v>4.8913699137554598E-2</v>
      </c>
      <c r="AG451" s="150"/>
      <c r="AI451" s="137">
        <v>5</v>
      </c>
      <c r="AJ451" s="136" t="s">
        <v>247</v>
      </c>
      <c r="AK451" s="142" t="s">
        <v>540</v>
      </c>
      <c r="AL451" s="136" t="s">
        <v>547</v>
      </c>
      <c r="AM451" s="136" t="s">
        <v>553</v>
      </c>
      <c r="AN451" s="1">
        <v>1.0473650000000001</v>
      </c>
      <c r="AO451" s="166">
        <v>0.89563000000000004</v>
      </c>
      <c r="AQ451" t="str">
        <f>_xlfn.XLOOKUP(tblGWP21[[#This Row],[Material Subcategory]],ls_Mat,Factors!$K$952:$K$1023)</f>
        <v>x</v>
      </c>
      <c r="AR451" s="173">
        <v>1</v>
      </c>
      <c r="AS451">
        <v>8.1306407300000008E-2</v>
      </c>
      <c r="AT451" t="s">
        <v>531</v>
      </c>
      <c r="AU451" t="s">
        <v>526</v>
      </c>
      <c r="AV451" s="347">
        <v>0.8</v>
      </c>
      <c r="BA451" cm="1">
        <f t="array" ref="BA451:BM451">tblGWP21[#This Row]</f>
        <v>5</v>
      </c>
      <c r="BB451" t="str">
        <v>Glass</v>
      </c>
      <c r="BC451" t="str">
        <v>Glass – Non-Recyclable</v>
      </c>
      <c r="BD451" t="str">
        <v>Asia</v>
      </c>
      <c r="BE451" t="str">
        <v>China</v>
      </c>
      <c r="BF451">
        <v>-1.0473650000000001</v>
      </c>
      <c r="BG451">
        <v>-0.96428679270000006</v>
      </c>
      <c r="BH451" t="str">
        <v>DELETE</v>
      </c>
      <c r="BI451" t="str">
        <v>DELETE</v>
      </c>
      <c r="BJ451" t="str">
        <v>DELETE</v>
      </c>
      <c r="BK451">
        <v>2.60198557783172E-2</v>
      </c>
      <c r="BL451">
        <v>2.76776392305495E-2</v>
      </c>
      <c r="BM451">
        <v>4.8913699137554598E-2</v>
      </c>
    </row>
    <row r="452" spans="3:65">
      <c r="C452" s="136">
        <v>5</v>
      </c>
      <c r="D452" s="137" t="s">
        <v>256</v>
      </c>
      <c r="E452" s="136" t="s">
        <v>258</v>
      </c>
      <c r="F452" s="136" t="s">
        <v>547</v>
      </c>
      <c r="G452" s="136" t="s">
        <v>553</v>
      </c>
      <c r="H452" s="191">
        <v>-4.6396800000000002</v>
      </c>
      <c r="I452" s="191">
        <v>-4.5566017927000004</v>
      </c>
      <c r="J452" s="191">
        <v>-4.6772829009441832</v>
      </c>
      <c r="K452" s="191">
        <v>0</v>
      </c>
      <c r="L452" s="191">
        <v>0</v>
      </c>
      <c r="M452" s="191">
        <v>2.5860000000000001E-2</v>
      </c>
      <c r="N452" s="191">
        <v>-4.7274300133746297E-2</v>
      </c>
      <c r="O452" s="191">
        <v>-4.0059161684337499E-2</v>
      </c>
      <c r="T452" s="48">
        <v>5</v>
      </c>
      <c r="U452" s="46" t="s">
        <v>261</v>
      </c>
      <c r="V452" s="53" t="s">
        <v>260</v>
      </c>
      <c r="W452" s="53" t="s">
        <v>547</v>
      </c>
      <c r="X452" s="53" t="s">
        <v>553</v>
      </c>
      <c r="Y452" s="172">
        <f>IFERROR(-tblZwaste1422[[#This Row],[Weight (kgCO2e/kg)]],0)</f>
        <v>-4.0364225925925927</v>
      </c>
      <c r="Z452" s="172" t="str">
        <f>IF(AQ452="x",(AR452*-tblZwaste1422[[#This Row],[Weight (kgCO2e/kg)]])+AS452+($AR$10*Lookups!$J$38/1000),"DELETE")</f>
        <v>DELETE</v>
      </c>
      <c r="AA452" s="176" t="s">
        <v>567</v>
      </c>
      <c r="AB452" s="172">
        <v>-0.50297991011144205</v>
      </c>
      <c r="AC452" s="172">
        <v>-0.86400481642034499</v>
      </c>
      <c r="AD452" s="172">
        <v>-0.15648376345333601</v>
      </c>
      <c r="AE452" s="172">
        <v>-0.234244773470244</v>
      </c>
      <c r="AF452" s="172">
        <v>2.7529222470223401E-2</v>
      </c>
      <c r="AG452" s="150"/>
      <c r="AI452" s="137">
        <v>5</v>
      </c>
      <c r="AJ452" s="136" t="s">
        <v>529</v>
      </c>
      <c r="AK452" s="142" t="s">
        <v>260</v>
      </c>
      <c r="AL452" s="136" t="s">
        <v>547</v>
      </c>
      <c r="AM452" s="136" t="s">
        <v>553</v>
      </c>
      <c r="AN452" s="1">
        <v>4.0364225925925927</v>
      </c>
      <c r="AO452" s="166">
        <v>1.3856655555555555</v>
      </c>
      <c r="AQ452">
        <f>_xlfn.XLOOKUP(tblGWP21[[#This Row],[Material Subcategory]],ls_Mat,Factors!$K$952:$K$1023)</f>
        <v>0</v>
      </c>
      <c r="AR452" s="173"/>
      <c r="AU452" t="s">
        <v>526</v>
      </c>
      <c r="AV452" s="347">
        <v>0.7</v>
      </c>
      <c r="BA452" cm="1">
        <f t="array" ref="BA452:BM452">tblGWP21[#This Row]</f>
        <v>5</v>
      </c>
      <c r="BB452" t="str">
        <v>Food Waste</v>
      </c>
      <c r="BC452" t="str">
        <v>Mixed Organics</v>
      </c>
      <c r="BD452" t="str">
        <v>Asia</v>
      </c>
      <c r="BE452" t="str">
        <v>China</v>
      </c>
      <c r="BF452">
        <v>-4.0364225925925927</v>
      </c>
      <c r="BG452" t="str">
        <v>DELETE</v>
      </c>
      <c r="BH452" t="str">
        <v>DELETE</v>
      </c>
      <c r="BI452">
        <v>-0.50297991011144205</v>
      </c>
      <c r="BJ452">
        <v>-0.86400481642034499</v>
      </c>
      <c r="BK452">
        <v>-0.15648376345333601</v>
      </c>
      <c r="BL452">
        <v>-0.234244773470244</v>
      </c>
      <c r="BM452">
        <v>2.7529222470223401E-2</v>
      </c>
    </row>
    <row r="453" spans="3:65">
      <c r="C453" s="362">
        <v>5</v>
      </c>
      <c r="D453" s="363" t="s">
        <v>247</v>
      </c>
      <c r="E453" s="362" t="s">
        <v>247</v>
      </c>
      <c r="F453" s="362" t="s">
        <v>547</v>
      </c>
      <c r="G453" s="362" t="s">
        <v>553</v>
      </c>
      <c r="H453" s="368">
        <v>-1.0505633333333335</v>
      </c>
      <c r="I453" s="368">
        <v>-0.96748512603333348</v>
      </c>
      <c r="J453" s="368">
        <v>-0.31479325381839296</v>
      </c>
      <c r="K453" s="368">
        <v>0</v>
      </c>
      <c r="L453" s="368">
        <v>0</v>
      </c>
      <c r="M453" s="368">
        <v>2.6019872478175401E-2</v>
      </c>
      <c r="N453" s="368">
        <v>3.13814477385191E-2</v>
      </c>
      <c r="O453" s="368">
        <v>4.8912868971973202E-2</v>
      </c>
      <c r="T453" s="48">
        <v>5</v>
      </c>
      <c r="U453" s="46" t="s">
        <v>237</v>
      </c>
      <c r="V453" s="53" t="s">
        <v>237</v>
      </c>
      <c r="W453" s="53" t="s">
        <v>547</v>
      </c>
      <c r="X453" s="53" t="s">
        <v>553</v>
      </c>
      <c r="Y453" s="172">
        <f>IFERROR(-tblZwaste1422[[#This Row],[Weight (kgCO2e/kg)]],0)</f>
        <v>-2.8533815875203707</v>
      </c>
      <c r="Z453" s="172" t="e">
        <f>IF(AQ453="x",(AR453*-tblZwaste1422[[#This Row],[Weight (kgCO2e/kg)]])+AS453+($AR$10*Lookups!$J$38/1000),"DELETE")</f>
        <v>#N/A</v>
      </c>
      <c r="AA453" s="172" t="s">
        <v>567</v>
      </c>
      <c r="AB453" s="172" t="s">
        <v>567</v>
      </c>
      <c r="AC453" s="172" t="s">
        <v>567</v>
      </c>
      <c r="AD453" s="172">
        <v>-0.45066341412979605</v>
      </c>
      <c r="AE453" s="172">
        <v>-0.52706425150863701</v>
      </c>
      <c r="AF453" s="172">
        <v>2.7968353772995301E-2</v>
      </c>
      <c r="AG453" s="150"/>
      <c r="AI453" s="137">
        <v>5</v>
      </c>
      <c r="AJ453" s="136" t="s">
        <v>237</v>
      </c>
      <c r="AK453" s="142" t="s">
        <v>237</v>
      </c>
      <c r="AL453" s="136" t="s">
        <v>547</v>
      </c>
      <c r="AM453" s="136" t="s">
        <v>553</v>
      </c>
      <c r="AN453" s="1">
        <v>2.8533815875203707</v>
      </c>
      <c r="AO453" s="166">
        <v>1.0711602172222223</v>
      </c>
      <c r="AQ453" t="e">
        <f>_xlfn.XLOOKUP(tblGWP21[[#This Row],[Material Subcategory]],ls_Mat,Factors!$K$952:$K$1023)</f>
        <v>#N/A</v>
      </c>
      <c r="AR453" s="173">
        <v>0.5</v>
      </c>
      <c r="AS453">
        <v>0</v>
      </c>
      <c r="AT453" t="s">
        <v>527</v>
      </c>
      <c r="AV453" s="347"/>
      <c r="BA453" cm="1">
        <f t="array" ref="BA453:BM453">tblGWP21[#This Row]</f>
        <v>5</v>
      </c>
      <c r="BB453" t="str">
        <v>Mixed/Custom</v>
      </c>
      <c r="BC453" t="str">
        <v>Mixed/Custom</v>
      </c>
      <c r="BD453" t="str">
        <v>Asia</v>
      </c>
      <c r="BE453" t="str">
        <v>China</v>
      </c>
      <c r="BF453">
        <v>-2.8533815875203707</v>
      </c>
      <c r="BG453" t="e">
        <v>#N/A</v>
      </c>
      <c r="BH453" t="str">
        <v>DELETE</v>
      </c>
      <c r="BI453" t="str">
        <v>DELETE</v>
      </c>
      <c r="BJ453" t="str">
        <v>DELETE</v>
      </c>
      <c r="BK453">
        <v>-0.45066341412979605</v>
      </c>
      <c r="BL453">
        <v>-0.52706425150863701</v>
      </c>
      <c r="BM453">
        <v>2.7968353772995301E-2</v>
      </c>
    </row>
    <row r="454" spans="3:65">
      <c r="C454" s="136">
        <v>5</v>
      </c>
      <c r="D454" s="137" t="s">
        <v>247</v>
      </c>
      <c r="E454" s="136" t="s">
        <v>248</v>
      </c>
      <c r="F454" s="136" t="s">
        <v>547</v>
      </c>
      <c r="G454" s="136" t="s">
        <v>553</v>
      </c>
      <c r="H454" s="191">
        <v>-1.0606100000000001</v>
      </c>
      <c r="I454" s="191">
        <v>-0.97753179270000001</v>
      </c>
      <c r="J454" s="191">
        <v>-0.1687550797948309</v>
      </c>
      <c r="K454" s="191">
        <v>0</v>
      </c>
      <c r="L454" s="191">
        <v>0</v>
      </c>
      <c r="M454" s="191">
        <v>2.60198785327483E-2</v>
      </c>
      <c r="N454" s="191">
        <v>3.5043740154537401E-2</v>
      </c>
      <c r="O454" s="191">
        <v>4.8911685366366399E-2</v>
      </c>
      <c r="T454" s="48">
        <v>5</v>
      </c>
      <c r="U454" s="46" t="s">
        <v>237</v>
      </c>
      <c r="V454" s="53" t="s">
        <v>246</v>
      </c>
      <c r="W454" s="53" t="s">
        <v>547</v>
      </c>
      <c r="X454" s="53" t="s">
        <v>553</v>
      </c>
      <c r="Y454" s="172">
        <f>IFERROR(-tblZwaste1422[[#This Row],[Weight (kgCO2e/kg)]],0)</f>
        <v>-7.3412433500000009</v>
      </c>
      <c r="Z454" s="172" t="str">
        <f>IF(AQ454="x",(AR454*-tblZwaste1422[[#This Row],[Weight (kgCO2e/kg)]])+AS454+($AR$10*Lookups!$J$38/1000),"DELETE")</f>
        <v>DELETE</v>
      </c>
      <c r="AA454" s="176" t="s">
        <v>567</v>
      </c>
      <c r="AB454" s="172" t="s">
        <v>567</v>
      </c>
      <c r="AC454" s="172" t="s">
        <v>567</v>
      </c>
      <c r="AD454" s="172">
        <v>2.60199072451834E-2</v>
      </c>
      <c r="AE454" s="172">
        <v>4.1945011672943601E-2</v>
      </c>
      <c r="AF454" s="172">
        <v>4.89113522447885E-2</v>
      </c>
      <c r="AG454" s="150"/>
      <c r="AI454" s="137">
        <v>5</v>
      </c>
      <c r="AJ454" s="136" t="s">
        <v>237</v>
      </c>
      <c r="AK454" s="142" t="s">
        <v>246</v>
      </c>
      <c r="AL454" s="136" t="s">
        <v>547</v>
      </c>
      <c r="AM454" s="136" t="s">
        <v>553</v>
      </c>
      <c r="AN454" s="1">
        <v>7.3412433500000009</v>
      </c>
      <c r="AO454" s="166">
        <v>0.66842500000000005</v>
      </c>
      <c r="AQ454">
        <f>_xlfn.XLOOKUP(tblGWP21[[#This Row],[Material Subcategory]],ls_Mat,Factors!$K$952:$K$1023)</f>
        <v>0</v>
      </c>
      <c r="AR454" s="173"/>
      <c r="BA454" cm="1">
        <f t="array" ref="BA454:BM454">tblGWP21[#This Row]</f>
        <v>5</v>
      </c>
      <c r="BB454" t="str">
        <v>Mixed/Custom</v>
      </c>
      <c r="BC454" t="str">
        <v>Mixed Inorganics</v>
      </c>
      <c r="BD454" t="str">
        <v>Asia</v>
      </c>
      <c r="BE454" t="str">
        <v>China</v>
      </c>
      <c r="BF454">
        <v>-7.3412433500000009</v>
      </c>
      <c r="BG454" t="str">
        <v>DELETE</v>
      </c>
      <c r="BH454" t="str">
        <v>DELETE</v>
      </c>
      <c r="BI454" t="str">
        <v>DELETE</v>
      </c>
      <c r="BJ454" t="str">
        <v>DELETE</v>
      </c>
      <c r="BK454">
        <v>2.60199072451834E-2</v>
      </c>
      <c r="BL454">
        <v>4.1945011672943601E-2</v>
      </c>
      <c r="BM454">
        <v>4.89113522447885E-2</v>
      </c>
    </row>
    <row r="455" spans="3:65">
      <c r="C455" s="362">
        <v>5</v>
      </c>
      <c r="D455" s="363" t="s">
        <v>247</v>
      </c>
      <c r="E455" s="362" t="s">
        <v>263</v>
      </c>
      <c r="F455" s="362" t="s">
        <v>547</v>
      </c>
      <c r="G455" s="362" t="s">
        <v>553</v>
      </c>
      <c r="H455" s="368">
        <v>-1.0341199999999999</v>
      </c>
      <c r="I455" s="368">
        <v>-0.95104179269999989</v>
      </c>
      <c r="J455" s="368">
        <v>-0.1687550797948309</v>
      </c>
      <c r="K455" s="368">
        <v>0</v>
      </c>
      <c r="L455" s="368">
        <v>0</v>
      </c>
      <c r="M455" s="368">
        <v>2.601988228533E-2</v>
      </c>
      <c r="N455" s="368">
        <v>3.7239157158854501E-2</v>
      </c>
      <c r="O455" s="368">
        <v>4.8911760934504701E-2</v>
      </c>
      <c r="T455" s="48">
        <v>5</v>
      </c>
      <c r="U455" s="46" t="s">
        <v>237</v>
      </c>
      <c r="V455" s="53" t="s">
        <v>243</v>
      </c>
      <c r="W455" s="53" t="s">
        <v>547</v>
      </c>
      <c r="X455" s="53" t="s">
        <v>553</v>
      </c>
      <c r="Y455" s="172">
        <f>IFERROR(-tblZwaste1422[[#This Row],[Weight (kgCO2e/kg)]],0)</f>
        <v>-2.8533815875203707</v>
      </c>
      <c r="Z455" s="172" t="e">
        <f>IF(AQ455="x",(AR455*-tblZwaste1422[[#This Row],[Weight (kgCO2e/kg)]])+AS455+($AR$10*Lookups!$J$38/1000),"DELETE")</f>
        <v>#N/A</v>
      </c>
      <c r="AA455" s="176" t="s">
        <v>567</v>
      </c>
      <c r="AB455" s="172">
        <v>-1.0284035670827674</v>
      </c>
      <c r="AC455" s="172">
        <v>-1.594759790769577</v>
      </c>
      <c r="AD455" s="172">
        <v>-0.45066341412979605</v>
      </c>
      <c r="AE455" s="172">
        <v>-0.52706425150863701</v>
      </c>
      <c r="AF455" s="172">
        <v>2.7968353772995301E-2</v>
      </c>
      <c r="AG455" s="150"/>
      <c r="AI455" s="137">
        <v>5</v>
      </c>
      <c r="AJ455" s="136" t="s">
        <v>237</v>
      </c>
      <c r="AK455" s="142" t="s">
        <v>243</v>
      </c>
      <c r="AL455" s="136" t="s">
        <v>547</v>
      </c>
      <c r="AM455" s="136" t="s">
        <v>553</v>
      </c>
      <c r="AN455" s="1">
        <v>2.8533815875203707</v>
      </c>
      <c r="AO455" s="166">
        <v>1.0711602172222223</v>
      </c>
      <c r="AQ455" t="e">
        <f>_xlfn.XLOOKUP(tblGWP21[[#This Row],[Material Subcategory]],ls_Mat,Factors!$K$952:$K$1023)</f>
        <v>#N/A</v>
      </c>
      <c r="AR455" s="173"/>
      <c r="BA455" cm="1">
        <f t="array" ref="BA455:BM455">tblGWP21[#This Row]</f>
        <v>5</v>
      </c>
      <c r="BB455" t="str">
        <v>Mixed/Custom</v>
      </c>
      <c r="BC455" t="str">
        <v>Mixed MSW</v>
      </c>
      <c r="BD455" t="str">
        <v>Asia</v>
      </c>
      <c r="BE455" t="str">
        <v>China</v>
      </c>
      <c r="BF455">
        <v>-2.8533815875203707</v>
      </c>
      <c r="BG455" t="e">
        <v>#N/A</v>
      </c>
      <c r="BH455" t="str">
        <v>DELETE</v>
      </c>
      <c r="BI455">
        <v>-1.0284035670827674</v>
      </c>
      <c r="BJ455">
        <v>-1.594759790769577</v>
      </c>
      <c r="BK455">
        <v>-0.45066341412979605</v>
      </c>
      <c r="BL455">
        <v>-0.52706425150863701</v>
      </c>
      <c r="BM455">
        <v>2.7968353772995301E-2</v>
      </c>
    </row>
    <row r="456" spans="3:65">
      <c r="C456" s="136">
        <v>5</v>
      </c>
      <c r="D456" s="137" t="s">
        <v>247</v>
      </c>
      <c r="E456" s="136" t="s">
        <v>539</v>
      </c>
      <c r="F456" s="136" t="s">
        <v>547</v>
      </c>
      <c r="G456" s="136" t="s">
        <v>553</v>
      </c>
      <c r="H456" s="191">
        <v>-1.0569599999999999</v>
      </c>
      <c r="I456" s="191">
        <v>-0.97388179269999986</v>
      </c>
      <c r="J456" s="191">
        <v>-0.17408418757782557</v>
      </c>
      <c r="K456" s="191">
        <v>0</v>
      </c>
      <c r="L456" s="191">
        <v>0</v>
      </c>
      <c r="M456" s="191">
        <v>2.60198626805818E-2</v>
      </c>
      <c r="N456" s="191">
        <v>2.5482742381461199E-2</v>
      </c>
      <c r="O456" s="191">
        <v>4.8914143724643401E-2</v>
      </c>
      <c r="T456" s="48">
        <v>5</v>
      </c>
      <c r="U456" s="46" t="s">
        <v>252</v>
      </c>
      <c r="V456" s="53" t="s">
        <v>333</v>
      </c>
      <c r="W456" s="53" t="s">
        <v>547</v>
      </c>
      <c r="X456" s="53" t="s">
        <v>553</v>
      </c>
      <c r="Y456" s="172">
        <f>IFERROR(-tblZwaste1422[[#This Row],[Weight (kgCO2e/kg)]],0)</f>
        <v>-2.0953266666666663</v>
      </c>
      <c r="Z456" s="172" t="str">
        <f>IF(AQ456="x",(AR456*-tblZwaste1422[[#This Row],[Weight (kgCO2e/kg)]])+AS456+($AR$10*Lookups!$J$38/1000),"DELETE")</f>
        <v>DELETE</v>
      </c>
      <c r="AA456" s="176">
        <v>-4.4031927097256318</v>
      </c>
      <c r="AB456" s="172" t="s">
        <v>567</v>
      </c>
      <c r="AC456" s="172" t="s">
        <v>567</v>
      </c>
      <c r="AD456" s="172">
        <v>2.6019879277753101E-2</v>
      </c>
      <c r="AE456" s="172">
        <v>0.65959040494211596</v>
      </c>
      <c r="AF456" s="172">
        <v>2.1870242856928401</v>
      </c>
      <c r="AG456" s="150"/>
      <c r="AI456" s="137">
        <v>5</v>
      </c>
      <c r="AJ456" s="136" t="s">
        <v>252</v>
      </c>
      <c r="AK456" s="142" t="s">
        <v>333</v>
      </c>
      <c r="AL456" s="136" t="s">
        <v>547</v>
      </c>
      <c r="AM456" s="136" t="s">
        <v>553</v>
      </c>
      <c r="AN456" s="1">
        <v>2.0953266666666663</v>
      </c>
      <c r="AO456" s="166">
        <v>1.77911</v>
      </c>
      <c r="AQ456">
        <f>_xlfn.XLOOKUP(tblGWP21[[#This Row],[Material Subcategory]],ls_Mat,Factors!$K$952:$K$1023)</f>
        <v>0</v>
      </c>
      <c r="AR456" s="173"/>
      <c r="BA456" cm="1">
        <f t="array" ref="BA456:BM456">tblGWP21[#This Row]</f>
        <v>5</v>
      </c>
      <c r="BB456" t="str">
        <v>Plastics</v>
      </c>
      <c r="BC456" t="str">
        <v>Mixed Plastics</v>
      </c>
      <c r="BD456" t="str">
        <v>Asia</v>
      </c>
      <c r="BE456" t="str">
        <v>China</v>
      </c>
      <c r="BF456">
        <v>-2.0953266666666663</v>
      </c>
      <c r="BG456" t="str">
        <v>DELETE</v>
      </c>
      <c r="BH456">
        <v>-4.4031927097256318</v>
      </c>
      <c r="BI456" t="str">
        <v>DELETE</v>
      </c>
      <c r="BJ456" t="str">
        <v>DELETE</v>
      </c>
      <c r="BK456">
        <v>2.6019879277753101E-2</v>
      </c>
      <c r="BL456">
        <v>0.65959040494211596</v>
      </c>
      <c r="BM456">
        <v>2.1870242856928401</v>
      </c>
    </row>
    <row r="457" spans="3:65">
      <c r="C457" s="362">
        <v>5</v>
      </c>
      <c r="D457" s="363" t="s">
        <v>247</v>
      </c>
      <c r="E457" s="362" t="s">
        <v>270</v>
      </c>
      <c r="F457" s="362" t="s">
        <v>547</v>
      </c>
      <c r="G457" s="362" t="s">
        <v>553</v>
      </c>
      <c r="H457" s="368">
        <v>-1.0505633333333335</v>
      </c>
      <c r="I457" s="368">
        <v>-0.96748512603333348</v>
      </c>
      <c r="J457" s="368">
        <v>-0.31479325381839296</v>
      </c>
      <c r="K457" s="368">
        <v>0</v>
      </c>
      <c r="L457" s="368">
        <v>0</v>
      </c>
      <c r="M457" s="368">
        <v>2.6019872478175401E-2</v>
      </c>
      <c r="N457" s="368">
        <v>3.13814477385191E-2</v>
      </c>
      <c r="O457" s="368">
        <v>4.8912868971973202E-2</v>
      </c>
      <c r="T457" s="48">
        <v>5</v>
      </c>
      <c r="U457" s="46" t="s">
        <v>239</v>
      </c>
      <c r="V457" s="53" t="s">
        <v>542</v>
      </c>
      <c r="W457" s="53" t="s">
        <v>547</v>
      </c>
      <c r="X457" s="53" t="s">
        <v>553</v>
      </c>
      <c r="Y457" s="172">
        <f>IFERROR(-tblZwaste1422[[#This Row],[Weight (kgCO2e/kg)]],0)</f>
        <v>-2.6644477777777777</v>
      </c>
      <c r="Z457" s="172" t="str">
        <f>IF(AQ457="x",(AR457*-tblZwaste1422[[#This Row],[Weight (kgCO2e/kg)]])+AS457+($AR$10*Lookups!$J$38/1000),"DELETE")</f>
        <v>DELETE</v>
      </c>
      <c r="AA457" s="176">
        <v>-0.81120247843016002</v>
      </c>
      <c r="AB457" s="172">
        <v>-1.6289204631588901</v>
      </c>
      <c r="AC457" s="172">
        <v>-2.3853817279456502</v>
      </c>
      <c r="AD457" s="172">
        <v>-0.63000031941498502</v>
      </c>
      <c r="AE457" s="172">
        <v>-0.82226405511991896</v>
      </c>
      <c r="AF457" s="172">
        <v>2.74714200585238E-2</v>
      </c>
      <c r="AG457" s="150"/>
      <c r="AI457" s="137">
        <v>5</v>
      </c>
      <c r="AJ457" s="136" t="s">
        <v>239</v>
      </c>
      <c r="AK457" s="142" t="s">
        <v>542</v>
      </c>
      <c r="AL457" s="136" t="s">
        <v>547</v>
      </c>
      <c r="AM457" s="136" t="s">
        <v>553</v>
      </c>
      <c r="AN457" s="1">
        <v>2.6644477777777777</v>
      </c>
      <c r="AO457" s="166">
        <v>0.64099666666666666</v>
      </c>
      <c r="AQ457">
        <f>_xlfn.XLOOKUP(tblGWP21[[#This Row],[Material Subcategory]],ls_Mat,Factors!$K$952:$K$1023)</f>
        <v>0</v>
      </c>
      <c r="AU457" t="s">
        <v>526</v>
      </c>
      <c r="AV457" s="347">
        <v>0.8</v>
      </c>
      <c r="BA457" cm="1">
        <f t="array" ref="BA457:BM457">tblGWP21[#This Row]</f>
        <v>5</v>
      </c>
      <c r="BB457" t="str">
        <v>Paper</v>
      </c>
      <c r="BC457" t="str">
        <v>Mixed Paper</v>
      </c>
      <c r="BD457" t="str">
        <v>Asia</v>
      </c>
      <c r="BE457" t="str">
        <v>China</v>
      </c>
      <c r="BF457">
        <v>-2.6644477777777777</v>
      </c>
      <c r="BG457" t="str">
        <v>DELETE</v>
      </c>
      <c r="BH457">
        <v>-0.81120247843016002</v>
      </c>
      <c r="BI457">
        <v>-1.6289204631588901</v>
      </c>
      <c r="BJ457">
        <v>-2.3853817279456502</v>
      </c>
      <c r="BK457">
        <v>-0.63000031941498502</v>
      </c>
      <c r="BL457">
        <v>-0.82226405511991896</v>
      </c>
      <c r="BM457">
        <v>2.74714200585238E-2</v>
      </c>
    </row>
    <row r="458" spans="3:65">
      <c r="C458" s="136">
        <v>5</v>
      </c>
      <c r="D458" s="137" t="s">
        <v>247</v>
      </c>
      <c r="E458" s="136" t="s">
        <v>540</v>
      </c>
      <c r="F458" s="136" t="s">
        <v>547</v>
      </c>
      <c r="G458" s="136" t="s">
        <v>553</v>
      </c>
      <c r="H458" s="191">
        <v>-1.0473650000000001</v>
      </c>
      <c r="I458" s="191">
        <v>-0.96428679270000006</v>
      </c>
      <c r="J458" s="191">
        <v>0</v>
      </c>
      <c r="K458" s="191">
        <v>0</v>
      </c>
      <c r="L458" s="191">
        <v>0</v>
      </c>
      <c r="M458" s="191">
        <v>2.60198557783172E-2</v>
      </c>
      <c r="N458" s="191">
        <v>2.76776392305495E-2</v>
      </c>
      <c r="O458" s="191">
        <v>4.8913699137554598E-2</v>
      </c>
      <c r="T458" s="48">
        <v>5</v>
      </c>
      <c r="U458" s="46" t="s">
        <v>237</v>
      </c>
      <c r="V458" s="53" t="s">
        <v>238</v>
      </c>
      <c r="W458" s="53" t="s">
        <v>547</v>
      </c>
      <c r="X458" s="53" t="s">
        <v>553</v>
      </c>
      <c r="Y458" s="172">
        <f>IFERROR(-tblZwaste1422[[#This Row],[Weight (kgCO2e/kg)]],0)</f>
        <v>-2.7046544444444445</v>
      </c>
      <c r="Z458" s="172" t="str">
        <f>IF(AQ458="x",(AR458*-tblZwaste1422[[#This Row],[Weight (kgCO2e/kg)]])+AS458+($AR$10*Lookups!$J$38/1000),"DELETE")</f>
        <v>DELETE</v>
      </c>
      <c r="AA458" s="176" t="s">
        <v>567</v>
      </c>
      <c r="AB458" s="172" t="s">
        <v>567</v>
      </c>
      <c r="AC458" s="172" t="s">
        <v>567</v>
      </c>
      <c r="AD458" s="172">
        <v>-0.13800515967078536</v>
      </c>
      <c r="AE458" s="172">
        <v>-5.6311768200036527E-2</v>
      </c>
      <c r="AF458" s="172">
        <v>0.5464270513940499</v>
      </c>
      <c r="AG458" s="150"/>
      <c r="AI458" s="137">
        <v>5</v>
      </c>
      <c r="AJ458" s="136" t="s">
        <v>237</v>
      </c>
      <c r="AK458" s="142" t="s">
        <v>238</v>
      </c>
      <c r="AL458" s="136" t="s">
        <v>547</v>
      </c>
      <c r="AM458" s="136" t="s">
        <v>553</v>
      </c>
      <c r="AN458" s="1">
        <v>2.7046544444444445</v>
      </c>
      <c r="AO458" s="166">
        <v>1.2161291666666667</v>
      </c>
      <c r="AQ458">
        <f>_xlfn.XLOOKUP(tblGWP21[[#This Row],[Material Subcategory]],ls_Mat,Factors!$K$952:$K$1023)</f>
        <v>0</v>
      </c>
      <c r="AU458" t="s">
        <v>526</v>
      </c>
      <c r="AV458" s="347">
        <v>0.88</v>
      </c>
      <c r="BA458" cm="1">
        <f t="array" ref="BA458:BM458">tblGWP21[#This Row]</f>
        <v>5</v>
      </c>
      <c r="BB458" t="str">
        <v>Mixed/Custom</v>
      </c>
      <c r="BC458" t="str">
        <v>Mixed Recycling</v>
      </c>
      <c r="BD458" t="str">
        <v>Asia</v>
      </c>
      <c r="BE458" t="str">
        <v>China</v>
      </c>
      <c r="BF458">
        <v>-2.7046544444444445</v>
      </c>
      <c r="BG458" t="str">
        <v>DELETE</v>
      </c>
      <c r="BH458" t="str">
        <v>DELETE</v>
      </c>
      <c r="BI458" t="str">
        <v>DELETE</v>
      </c>
      <c r="BJ458" t="str">
        <v>DELETE</v>
      </c>
      <c r="BK458">
        <v>-0.13800515967078536</v>
      </c>
      <c r="BL458">
        <v>-5.6311768200036527E-2</v>
      </c>
      <c r="BM458">
        <v>0.5464270513940499</v>
      </c>
    </row>
    <row r="459" spans="3:65">
      <c r="C459" s="362">
        <v>5</v>
      </c>
      <c r="D459" s="363" t="s">
        <v>261</v>
      </c>
      <c r="E459" s="362" t="s">
        <v>260</v>
      </c>
      <c r="F459" s="362" t="s">
        <v>547</v>
      </c>
      <c r="G459" s="362" t="s">
        <v>553</v>
      </c>
      <c r="H459" s="368">
        <v>-4.0364225925925927</v>
      </c>
      <c r="I459" s="368">
        <v>0</v>
      </c>
      <c r="J459" s="368">
        <v>0</v>
      </c>
      <c r="K459" s="368">
        <v>-0.50297991011144205</v>
      </c>
      <c r="L459" s="368">
        <v>-0.86400481642034499</v>
      </c>
      <c r="M459" s="368">
        <v>-0.15648376345333601</v>
      </c>
      <c r="N459" s="368">
        <v>-0.234244773470244</v>
      </c>
      <c r="O459" s="368">
        <v>2.7529222470223401E-2</v>
      </c>
      <c r="T459" s="48">
        <v>5</v>
      </c>
      <c r="U459" s="46" t="s">
        <v>264</v>
      </c>
      <c r="V459" s="53" t="s">
        <v>264</v>
      </c>
      <c r="W459" s="53" t="s">
        <v>547</v>
      </c>
      <c r="X459" s="53" t="s">
        <v>553</v>
      </c>
      <c r="Y459" s="172">
        <f>IFERROR(-tblZwaste1422[[#This Row],[Weight (kgCO2e/kg)]],0)</f>
        <v>-1.9287117500000002</v>
      </c>
      <c r="Z459" s="172" t="e">
        <f>IF(AQ459="x",(AR459*-tblZwaste1422[[#This Row],[Weight (kgCO2e/kg)]])+AS459+($AR$10*Lookups!$J$38/1000),"DELETE")</f>
        <v>#N/A</v>
      </c>
      <c r="AA459" s="172">
        <f>AA463</f>
        <v>0.15112249999999994</v>
      </c>
      <c r="AB459" s="172" t="s">
        <v>567</v>
      </c>
      <c r="AC459" s="172" t="s">
        <v>567</v>
      </c>
      <c r="AD459" s="172">
        <v>-0.32805267526618676</v>
      </c>
      <c r="AE459" s="172">
        <v>-0.46613679124005147</v>
      </c>
      <c r="AF459" s="172">
        <v>0.46068833513655338</v>
      </c>
      <c r="AG459" s="150"/>
      <c r="AI459" s="137">
        <v>5</v>
      </c>
      <c r="AJ459" s="136" t="s">
        <v>264</v>
      </c>
      <c r="AK459" s="142" t="s">
        <v>264</v>
      </c>
      <c r="AL459" s="136" t="s">
        <v>547</v>
      </c>
      <c r="AM459" s="136" t="s">
        <v>553</v>
      </c>
      <c r="AN459" s="1">
        <v>1.9287117500000002</v>
      </c>
      <c r="AO459" s="166">
        <v>0.467055</v>
      </c>
      <c r="AQ459" t="e">
        <f>_xlfn.XLOOKUP(tblGWP21[[#This Row],[Material Subcategory]],ls_Mat,Factors!$K$952:$K$1023)</f>
        <v>#N/A</v>
      </c>
      <c r="AR459" s="173">
        <v>0.65</v>
      </c>
      <c r="AS459">
        <v>0.14482945764999999</v>
      </c>
      <c r="AT459" t="s">
        <v>541</v>
      </c>
      <c r="AU459" t="s">
        <v>526</v>
      </c>
      <c r="AV459" s="347">
        <v>0.8</v>
      </c>
      <c r="BA459" cm="1">
        <f t="array" ref="BA459:BM459">tblGWP21[#This Row]</f>
        <v>5</v>
      </c>
      <c r="BB459" t="str">
        <v>Furniture/Textiles</v>
      </c>
      <c r="BC459" t="str">
        <v>Furniture/Textiles</v>
      </c>
      <c r="BD459" t="str">
        <v>Asia</v>
      </c>
      <c r="BE459" t="str">
        <v>China</v>
      </c>
      <c r="BF459">
        <v>-1.9287117500000002</v>
      </c>
      <c r="BG459" t="e">
        <v>#N/A</v>
      </c>
      <c r="BH459">
        <v>0.15112249999999994</v>
      </c>
      <c r="BI459" t="str">
        <v>DELETE</v>
      </c>
      <c r="BJ459" t="str">
        <v>DELETE</v>
      </c>
      <c r="BK459">
        <v>-0.32805267526618676</v>
      </c>
      <c r="BL459">
        <v>-0.46613679124005147</v>
      </c>
      <c r="BM459">
        <v>0.46068833513655338</v>
      </c>
    </row>
    <row r="460" spans="3:65">
      <c r="C460" s="136">
        <v>5</v>
      </c>
      <c r="D460" s="137" t="s">
        <v>10157</v>
      </c>
      <c r="E460" s="136" t="s">
        <v>237</v>
      </c>
      <c r="F460" s="136" t="s">
        <v>547</v>
      </c>
      <c r="G460" s="136" t="s">
        <v>553</v>
      </c>
      <c r="H460" s="191">
        <v>-2.8533815875203707</v>
      </c>
      <c r="I460" s="191">
        <v>-1.4249189937601854</v>
      </c>
      <c r="J460" s="191">
        <v>0</v>
      </c>
      <c r="K460" s="191">
        <v>0</v>
      </c>
      <c r="L460" s="191">
        <v>0</v>
      </c>
      <c r="M460" s="191">
        <v>-0.45066341412979605</v>
      </c>
      <c r="N460" s="191">
        <v>-0.52706425150863701</v>
      </c>
      <c r="O460" s="191">
        <v>2.7968353772995301E-2</v>
      </c>
      <c r="T460" s="48">
        <v>5</v>
      </c>
      <c r="U460" s="46" t="s">
        <v>264</v>
      </c>
      <c r="V460" s="53" t="s">
        <v>336</v>
      </c>
      <c r="W460" s="53" t="s">
        <v>547</v>
      </c>
      <c r="X460" s="53" t="s">
        <v>553</v>
      </c>
      <c r="Y460" s="172">
        <f>IFERROR(-tblZwaste1422[[#This Row],[Weight (kgCO2e/kg)]],0)</f>
        <v>-0.76351350000000007</v>
      </c>
      <c r="Z460" s="172">
        <f>IF(AQ460="x",(AR460*-tblZwaste1422[[#This Row],[Weight (kgCO2e/kg)]])+AS460+($AR$10*Lookups!$J$38/1000),"DELETE")</f>
        <v>-0.34968251735000005</v>
      </c>
      <c r="AA460" s="176" t="s">
        <v>567</v>
      </c>
      <c r="AB460" s="172">
        <v>-1.6469256542723201</v>
      </c>
      <c r="AC460" s="172">
        <v>-2.6210623531569701</v>
      </c>
      <c r="AD460" s="172">
        <v>-0.99508058129495847</v>
      </c>
      <c r="AE460" s="172">
        <v>-0.70216443088315694</v>
      </c>
      <c r="AF460" s="172">
        <v>0.21208127159581985</v>
      </c>
      <c r="AG460" s="150"/>
      <c r="AI460" s="137">
        <v>5</v>
      </c>
      <c r="AJ460" s="136" t="s">
        <v>264</v>
      </c>
      <c r="AK460" s="142" t="s">
        <v>336</v>
      </c>
      <c r="AL460" s="136" t="s">
        <v>547</v>
      </c>
      <c r="AM460" s="136" t="s">
        <v>553</v>
      </c>
      <c r="AN460" s="1">
        <v>0.76351350000000007</v>
      </c>
      <c r="AO460" s="166">
        <v>0.43603999999999998</v>
      </c>
      <c r="AQ460" t="str">
        <f>_xlfn.XLOOKUP(tblGWP21[[#This Row],[Material Subcategory]],ls_Mat,Factors!$K$952:$K$1023)</f>
        <v>x</v>
      </c>
      <c r="AR460" s="173">
        <v>0.65</v>
      </c>
      <c r="AS460">
        <v>0.14482945764999999</v>
      </c>
      <c r="AT460" t="s">
        <v>541</v>
      </c>
      <c r="AU460" t="s">
        <v>526</v>
      </c>
      <c r="AV460" s="347">
        <v>0.65</v>
      </c>
      <c r="BA460" cm="1">
        <f t="array" ref="BA460:BM460">tblGWP21[#This Row]</f>
        <v>5</v>
      </c>
      <c r="BB460" t="str">
        <v>Furniture/Textiles</v>
      </c>
      <c r="BC460" t="str">
        <v>Furniture</v>
      </c>
      <c r="BD460" t="str">
        <v>Asia</v>
      </c>
      <c r="BE460" t="str">
        <v>China</v>
      </c>
      <c r="BF460">
        <v>-0.76351350000000007</v>
      </c>
      <c r="BG460">
        <v>-0.34968251735000005</v>
      </c>
      <c r="BH460" t="str">
        <v>DELETE</v>
      </c>
      <c r="BI460">
        <v>-1.6469256542723201</v>
      </c>
      <c r="BJ460">
        <v>-2.6210623531569701</v>
      </c>
      <c r="BK460">
        <v>-0.99508058129495847</v>
      </c>
      <c r="BL460">
        <v>-0.70216443088315694</v>
      </c>
      <c r="BM460">
        <v>0.21208127159581985</v>
      </c>
    </row>
    <row r="461" spans="3:65">
      <c r="C461" s="362">
        <v>5</v>
      </c>
      <c r="D461" s="363" t="s">
        <v>10157</v>
      </c>
      <c r="E461" s="362" t="s">
        <v>246</v>
      </c>
      <c r="F461" s="362" t="s">
        <v>547</v>
      </c>
      <c r="G461" s="362" t="s">
        <v>553</v>
      </c>
      <c r="H461" s="368">
        <v>-7.3412433500000009</v>
      </c>
      <c r="I461" s="368">
        <v>0</v>
      </c>
      <c r="J461" s="368">
        <v>0</v>
      </c>
      <c r="K461" s="368">
        <v>0</v>
      </c>
      <c r="L461" s="368">
        <v>0</v>
      </c>
      <c r="M461" s="368">
        <v>2.60199072451834E-2</v>
      </c>
      <c r="N461" s="368">
        <v>4.1945011672943601E-2</v>
      </c>
      <c r="O461" s="368">
        <v>4.89113522447885E-2</v>
      </c>
      <c r="T461" s="48">
        <v>5</v>
      </c>
      <c r="U461" s="46" t="s">
        <v>242</v>
      </c>
      <c r="V461" s="53" t="s">
        <v>251</v>
      </c>
      <c r="W461" s="53" t="s">
        <v>547</v>
      </c>
      <c r="X461" s="53" t="s">
        <v>553</v>
      </c>
      <c r="Y461" s="172">
        <f>IFERROR(-tblZwaste1422[[#This Row],[Weight (kgCO2e/kg)]],0)</f>
        <v>-4.9218200000000003</v>
      </c>
      <c r="Z461" s="172">
        <f>IF(AQ461="x",(AR461*-tblZwaste1422[[#This Row],[Weight (kgCO2e/kg)]])+AS461+($AR$10*Lookups!$J$38/1000),"DELETE")</f>
        <v>-3.5665477000000001</v>
      </c>
      <c r="AA461" s="172">
        <v>-1.2190350000000001</v>
      </c>
      <c r="AB461" s="172" t="s">
        <v>567</v>
      </c>
      <c r="AC461" s="172" t="s">
        <v>567</v>
      </c>
      <c r="AD461" s="172">
        <v>2.5955923301467301E-2</v>
      </c>
      <c r="AE461" s="172">
        <v>0.23464321616709066</v>
      </c>
      <c r="AF461" s="172">
        <v>0.85351183706723865</v>
      </c>
      <c r="AG461" s="150"/>
      <c r="AI461" s="137">
        <v>5</v>
      </c>
      <c r="AJ461" s="136" t="s">
        <v>242</v>
      </c>
      <c r="AK461" s="142" t="s">
        <v>251</v>
      </c>
      <c r="AL461" s="136" t="s">
        <v>547</v>
      </c>
      <c r="AM461" s="136" t="s">
        <v>553</v>
      </c>
      <c r="AN461" s="1">
        <v>4.9218200000000003</v>
      </c>
      <c r="AO461" s="166">
        <v>0.15096000000000001</v>
      </c>
      <c r="AQ461" t="str">
        <f>_xlfn.XLOOKUP(tblGWP21[[#This Row],[Material Subcategory]],ls_Mat,Factors!$K$952:$K$1023)</f>
        <v>x</v>
      </c>
      <c r="AR461" s="173">
        <v>0.72499999999999998</v>
      </c>
      <c r="AS461">
        <v>0</v>
      </c>
      <c r="AT461" t="s">
        <v>527</v>
      </c>
      <c r="AU461" t="s">
        <v>526</v>
      </c>
      <c r="AV461" s="347">
        <v>0.65</v>
      </c>
      <c r="BA461" cm="1">
        <f t="array" ref="BA461:BM461">tblGWP21[#This Row]</f>
        <v>5</v>
      </c>
      <c r="BB461" t="str">
        <v>Electronics</v>
      </c>
      <c r="BC461" t="str">
        <v>Appliances</v>
      </c>
      <c r="BD461" t="str">
        <v>Asia</v>
      </c>
      <c r="BE461" t="str">
        <v>China</v>
      </c>
      <c r="BF461">
        <v>-4.9218200000000003</v>
      </c>
      <c r="BG461">
        <v>-3.5665477000000001</v>
      </c>
      <c r="BH461">
        <v>-1.2190350000000001</v>
      </c>
      <c r="BI461" t="str">
        <v>DELETE</v>
      </c>
      <c r="BJ461" t="str">
        <v>DELETE</v>
      </c>
      <c r="BK461">
        <v>2.5955923301467301E-2</v>
      </c>
      <c r="BL461">
        <v>0.23464321616709066</v>
      </c>
      <c r="BM461">
        <v>0.85351183706723865</v>
      </c>
    </row>
    <row r="462" spans="3:65">
      <c r="C462" s="136">
        <v>5</v>
      </c>
      <c r="D462" s="137" t="s">
        <v>10157</v>
      </c>
      <c r="E462" s="136" t="s">
        <v>243</v>
      </c>
      <c r="F462" s="136" t="s">
        <v>547</v>
      </c>
      <c r="G462" s="136" t="s">
        <v>553</v>
      </c>
      <c r="H462" s="191">
        <v>-2.8533815875203707</v>
      </c>
      <c r="I462" s="191">
        <v>0</v>
      </c>
      <c r="J462" s="191">
        <v>0</v>
      </c>
      <c r="K462" s="191">
        <v>-1.0284035670827674</v>
      </c>
      <c r="L462" s="191">
        <v>-1.594759790769577</v>
      </c>
      <c r="M462" s="191">
        <v>-0.45066341412979605</v>
      </c>
      <c r="N462" s="191">
        <v>-0.52706425150863701</v>
      </c>
      <c r="O462" s="191">
        <v>2.7968353772995301E-2</v>
      </c>
      <c r="T462" s="48">
        <v>5</v>
      </c>
      <c r="U462" s="46" t="s">
        <v>242</v>
      </c>
      <c r="V462" s="53" t="s">
        <v>543</v>
      </c>
      <c r="W462" s="53" t="s">
        <v>547</v>
      </c>
      <c r="X462" s="53" t="s">
        <v>553</v>
      </c>
      <c r="Y462" s="172">
        <f>IFERROR(-tblZwaste1422[[#This Row],[Weight (kgCO2e/kg)]],0)</f>
        <v>-1.00081</v>
      </c>
      <c r="Z462" s="172">
        <f>IF(AQ462="x",(AR462*-tblZwaste1422[[#This Row],[Weight (kgCO2e/kg)]])+AS462+($AR$10*Lookups!$J$38/1000),"DELETE")</f>
        <v>-0.72381545000000003</v>
      </c>
      <c r="AA462" s="172">
        <v>-0.20626249999999999</v>
      </c>
      <c r="AB462" s="172" t="s">
        <v>567</v>
      </c>
      <c r="AC462" s="172" t="s">
        <v>567</v>
      </c>
      <c r="AD462" s="172">
        <v>2.5860000000000001E-2</v>
      </c>
      <c r="AE462" s="172">
        <v>4.1945011672945703E-2</v>
      </c>
      <c r="AF462" s="172">
        <v>4.89113522447873E-2</v>
      </c>
      <c r="AG462" s="150"/>
      <c r="AI462" s="137">
        <v>5</v>
      </c>
      <c r="AJ462" s="136" t="s">
        <v>242</v>
      </c>
      <c r="AK462" s="142" t="s">
        <v>543</v>
      </c>
      <c r="AL462" s="136" t="s">
        <v>547</v>
      </c>
      <c r="AM462" s="136" t="s">
        <v>553</v>
      </c>
      <c r="AN462" s="1">
        <v>1.00081</v>
      </c>
      <c r="AO462" s="166">
        <v>0.33138000000000001</v>
      </c>
      <c r="AQ462" t="str">
        <f>_xlfn.XLOOKUP(tblGWP21[[#This Row],[Material Subcategory]],ls_Mat,Factors!$K$952:$K$1023)</f>
        <v>x</v>
      </c>
      <c r="AR462" s="173">
        <v>0.72499999999999998</v>
      </c>
      <c r="AS462">
        <v>0</v>
      </c>
      <c r="AT462" t="s">
        <v>527</v>
      </c>
      <c r="AU462" t="s">
        <v>526</v>
      </c>
      <c r="AV462" s="347">
        <v>0.65</v>
      </c>
      <c r="BA462" cm="1">
        <f t="array" ref="BA462:BM462">tblGWP21[#This Row]</f>
        <v>5</v>
      </c>
      <c r="BB462" t="str">
        <v>Electronics</v>
      </c>
      <c r="BC462" t="str">
        <v>Lightbulb/Lamps</v>
      </c>
      <c r="BD462" t="str">
        <v>Asia</v>
      </c>
      <c r="BE462" t="str">
        <v>China</v>
      </c>
      <c r="BF462">
        <v>-1.00081</v>
      </c>
      <c r="BG462">
        <v>-0.72381545000000003</v>
      </c>
      <c r="BH462">
        <v>-0.20626249999999999</v>
      </c>
      <c r="BI462" t="str">
        <v>DELETE</v>
      </c>
      <c r="BJ462" t="str">
        <v>DELETE</v>
      </c>
      <c r="BK462">
        <v>2.5860000000000001E-2</v>
      </c>
      <c r="BL462">
        <v>4.1945011672945703E-2</v>
      </c>
      <c r="BM462">
        <v>4.89113522447873E-2</v>
      </c>
    </row>
    <row r="463" spans="3:65">
      <c r="C463" s="362">
        <v>5</v>
      </c>
      <c r="D463" s="363" t="s">
        <v>252</v>
      </c>
      <c r="E463" s="362" t="s">
        <v>333</v>
      </c>
      <c r="F463" s="362" t="s">
        <v>547</v>
      </c>
      <c r="G463" s="362" t="s">
        <v>553</v>
      </c>
      <c r="H463" s="368">
        <v>-2.0953266666666663</v>
      </c>
      <c r="I463" s="368">
        <v>0</v>
      </c>
      <c r="J463" s="368">
        <v>-4.4031927097256318</v>
      </c>
      <c r="K463" s="368">
        <v>0</v>
      </c>
      <c r="L463" s="368">
        <v>0</v>
      </c>
      <c r="M463" s="368">
        <v>2.6019879277753101E-2</v>
      </c>
      <c r="N463" s="368">
        <v>0.65959040494211596</v>
      </c>
      <c r="O463" s="368">
        <v>2.1870242856928401</v>
      </c>
      <c r="T463" s="48">
        <v>5</v>
      </c>
      <c r="U463" s="46" t="s">
        <v>264</v>
      </c>
      <c r="V463" s="53" t="s">
        <v>544</v>
      </c>
      <c r="W463" s="53" t="s">
        <v>547</v>
      </c>
      <c r="X463" s="53" t="s">
        <v>553</v>
      </c>
      <c r="Y463" s="172">
        <f>IFERROR(-tblZwaste1422[[#This Row],[Weight (kgCO2e/kg)]],0)</f>
        <v>-3.0939100000000002</v>
      </c>
      <c r="Z463" s="172">
        <f>IF(AQ463="x",(AR463*-tblZwaste1422[[#This Row],[Weight (kgCO2e/kg)]])+AS463+($AR$10*Lookups!$J$38/1000),"DELETE")</f>
        <v>-1.8644402423500002</v>
      </c>
      <c r="AA463" s="172">
        <v>0.15112249999999994</v>
      </c>
      <c r="AB463" s="172" t="s">
        <v>567</v>
      </c>
      <c r="AC463" s="172" t="s">
        <v>567</v>
      </c>
      <c r="AD463" s="172">
        <v>0.33897523076258501</v>
      </c>
      <c r="AE463" s="172">
        <v>-0.230109151596946</v>
      </c>
      <c r="AF463" s="172">
        <v>0.70929539867728697</v>
      </c>
      <c r="AG463" s="150"/>
      <c r="AI463" s="137">
        <v>5</v>
      </c>
      <c r="AJ463" s="136" t="s">
        <v>264</v>
      </c>
      <c r="AK463" s="142" t="s">
        <v>544</v>
      </c>
      <c r="AL463" s="136" t="s">
        <v>547</v>
      </c>
      <c r="AM463" s="136" t="s">
        <v>553</v>
      </c>
      <c r="AN463" s="1">
        <v>3.0939100000000002</v>
      </c>
      <c r="AO463" s="166">
        <v>0.49807000000000001</v>
      </c>
      <c r="AQ463" t="str">
        <f>_xlfn.XLOOKUP(tblGWP21[[#This Row],[Material Subcategory]],ls_Mat,Factors!$K$952:$K$1023)</f>
        <v>x</v>
      </c>
      <c r="AR463" s="173">
        <v>0.65</v>
      </c>
      <c r="AS463">
        <v>0.14482945764999999</v>
      </c>
      <c r="AT463" t="s">
        <v>541</v>
      </c>
      <c r="AU463" t="s">
        <v>526</v>
      </c>
      <c r="AV463" s="347">
        <v>0.8</v>
      </c>
      <c r="BA463" cm="1">
        <f t="array" ref="BA463:BM463">tblGWP21[#This Row]</f>
        <v>5</v>
      </c>
      <c r="BB463" t="str">
        <v>Furniture/Textiles</v>
      </c>
      <c r="BC463" t="str">
        <v>Textiles</v>
      </c>
      <c r="BD463" t="str">
        <v>Asia</v>
      </c>
      <c r="BE463" t="str">
        <v>China</v>
      </c>
      <c r="BF463">
        <v>-3.0939100000000002</v>
      </c>
      <c r="BG463">
        <v>-1.8644402423500002</v>
      </c>
      <c r="BH463">
        <v>0.15112249999999994</v>
      </c>
      <c r="BI463" t="str">
        <v>DELETE</v>
      </c>
      <c r="BJ463" t="str">
        <v>DELETE</v>
      </c>
      <c r="BK463">
        <v>0.33897523076258501</v>
      </c>
      <c r="BL463">
        <v>-0.230109151596946</v>
      </c>
      <c r="BM463">
        <v>0.70929539867728697</v>
      </c>
    </row>
    <row r="464" spans="3:65">
      <c r="C464" s="136">
        <v>5</v>
      </c>
      <c r="D464" s="137" t="s">
        <v>239</v>
      </c>
      <c r="E464" s="136" t="s">
        <v>542</v>
      </c>
      <c r="F464" s="136" t="s">
        <v>547</v>
      </c>
      <c r="G464" s="136" t="s">
        <v>553</v>
      </c>
      <c r="H464" s="191">
        <v>-2.6644477777777777</v>
      </c>
      <c r="I464" s="191">
        <v>0</v>
      </c>
      <c r="J464" s="191">
        <v>-0.81120247843016002</v>
      </c>
      <c r="K464" s="191">
        <v>-1.6289204631588901</v>
      </c>
      <c r="L464" s="191">
        <v>-2.3853817279456502</v>
      </c>
      <c r="M464" s="191">
        <v>-0.63000031941498502</v>
      </c>
      <c r="N464" s="191">
        <v>-0.82226405511991896</v>
      </c>
      <c r="O464" s="191">
        <v>2.74714200585238E-2</v>
      </c>
      <c r="T464" s="48">
        <v>5</v>
      </c>
      <c r="U464" s="46" t="s">
        <v>237</v>
      </c>
      <c r="V464" s="53" t="s">
        <v>545</v>
      </c>
      <c r="W464" s="53" t="s">
        <v>547</v>
      </c>
      <c r="X464" s="53" t="s">
        <v>553</v>
      </c>
      <c r="Y464" s="172">
        <f>IFERROR(-tblZwaste1422[[#This Row],[Weight (kgCO2e/kg)]],0)</f>
        <v>-2.8533815875203707</v>
      </c>
      <c r="Z464" s="172" t="str">
        <f>IF(AQ464="x",(AR464*-tblZwaste1422[[#This Row],[Weight (kgCO2e/kg)]])+AS464+($AR$10*Lookups!$J$38/1000),"DELETE")</f>
        <v>DELETE</v>
      </c>
      <c r="AA464" s="176" t="s">
        <v>567</v>
      </c>
      <c r="AB464" s="172" t="s">
        <v>567</v>
      </c>
      <c r="AC464" s="172" t="s">
        <v>567</v>
      </c>
      <c r="AD464" s="172">
        <v>-0.45066341412979605</v>
      </c>
      <c r="AE464" s="172">
        <v>-0.52706425150863701</v>
      </c>
      <c r="AF464" s="172">
        <v>2.7968353772995301E-2</v>
      </c>
      <c r="AG464" s="150"/>
      <c r="AI464" s="137">
        <v>5</v>
      </c>
      <c r="AJ464" s="136" t="s">
        <v>237</v>
      </c>
      <c r="AK464" s="142" t="s">
        <v>545</v>
      </c>
      <c r="AL464" s="136" t="s">
        <v>547</v>
      </c>
      <c r="AM464" s="136" t="s">
        <v>553</v>
      </c>
      <c r="AN464" s="1">
        <v>2.8533815875203707</v>
      </c>
      <c r="AO464" s="166">
        <v>1.0711602172222223</v>
      </c>
      <c r="AQ464">
        <f>_xlfn.XLOOKUP(tblGWP21[[#This Row],[Material Subcategory]],ls_Mat,Factors!$K$952:$K$1023)</f>
        <v>0</v>
      </c>
      <c r="BA464" cm="1">
        <f t="array" ref="BA464:BM464">tblGWP21[#This Row]</f>
        <v>5</v>
      </c>
      <c r="BB464" t="str">
        <v>Mixed/Custom</v>
      </c>
      <c r="BC464" t="str">
        <v>General other</v>
      </c>
      <c r="BD464" t="str">
        <v>Asia</v>
      </c>
      <c r="BE464" t="str">
        <v>China</v>
      </c>
      <c r="BF464">
        <v>-2.8533815875203707</v>
      </c>
      <c r="BG464" t="str">
        <v>DELETE</v>
      </c>
      <c r="BH464" t="str">
        <v>DELETE</v>
      </c>
      <c r="BI464" t="str">
        <v>DELETE</v>
      </c>
      <c r="BJ464" t="str">
        <v>DELETE</v>
      </c>
      <c r="BK464">
        <v>-0.45066341412979605</v>
      </c>
      <c r="BL464">
        <v>-0.52706425150863701</v>
      </c>
      <c r="BM464">
        <v>2.7968353772995301E-2</v>
      </c>
    </row>
    <row r="465" spans="3:65">
      <c r="C465" s="362">
        <v>5</v>
      </c>
      <c r="D465" s="363" t="s">
        <v>10157</v>
      </c>
      <c r="E465" s="362" t="s">
        <v>238</v>
      </c>
      <c r="F465" s="362" t="s">
        <v>547</v>
      </c>
      <c r="G465" s="362" t="s">
        <v>553</v>
      </c>
      <c r="H465" s="368">
        <v>-2.7046544444444445</v>
      </c>
      <c r="I465" s="368">
        <v>0</v>
      </c>
      <c r="J465" s="368">
        <v>0</v>
      </c>
      <c r="K465" s="368">
        <v>0</v>
      </c>
      <c r="L465" s="368">
        <v>0</v>
      </c>
      <c r="M465" s="368">
        <v>-0.13800515967078536</v>
      </c>
      <c r="N465" s="368">
        <v>-5.6311768200036527E-2</v>
      </c>
      <c r="O465" s="368">
        <v>0.5464270513940499</v>
      </c>
      <c r="T465" s="48">
        <v>6</v>
      </c>
      <c r="U465" s="46" t="s">
        <v>233</v>
      </c>
      <c r="V465" s="53" t="s">
        <v>233</v>
      </c>
      <c r="W465" s="53" t="s">
        <v>547</v>
      </c>
      <c r="X465" s="53" t="s">
        <v>556</v>
      </c>
      <c r="Y465" s="172">
        <f>IFERROR(-tblZwaste1422[[#This Row],[Weight (kgCO2e/kg)]],0)</f>
        <v>0</v>
      </c>
      <c r="Z465" s="172">
        <f>AVERAGE(Z469:Z471)</f>
        <v>-0.13905086666666666</v>
      </c>
      <c r="AA465" s="176" t="s">
        <v>567</v>
      </c>
      <c r="AB465" s="172">
        <v>-1.4414069883318792</v>
      </c>
      <c r="AC465" s="172">
        <v>-2.0497940328886326</v>
      </c>
      <c r="AD465" s="172">
        <v>-0.95369676715598761</v>
      </c>
      <c r="AE465" s="172">
        <v>-0.94188890176929407</v>
      </c>
      <c r="AF465" s="172">
        <v>3.3142922198131336E-2</v>
      </c>
      <c r="AG465" s="150"/>
      <c r="AI465" s="137">
        <v>6</v>
      </c>
      <c r="AJ465" s="136"/>
      <c r="AK465" s="142"/>
      <c r="AL465" s="136" t="s">
        <v>547</v>
      </c>
      <c r="AM465" s="136" t="s">
        <v>556</v>
      </c>
      <c r="AN465" s="1" t="s">
        <v>525</v>
      </c>
      <c r="AO465" s="166" t="s">
        <v>525</v>
      </c>
      <c r="AQ465" t="e">
        <f>_xlfn.XLOOKUP(tblGWP21[[#This Row],[Material Subcategory]],ls_Mat,Factors!$K$952:$K$1023)</f>
        <v>#N/A</v>
      </c>
      <c r="AR465" s="173">
        <v>0.77500000000000002</v>
      </c>
      <c r="AS465">
        <v>0</v>
      </c>
      <c r="AT465" t="s">
        <v>527</v>
      </c>
      <c r="BA465" cm="1">
        <f t="array" ref="BA465:BM465">tblGWP21[#This Row]</f>
        <v>6</v>
      </c>
      <c r="BB465" t="str">
        <v>Wood/Yard Trimmings</v>
      </c>
      <c r="BC465" t="str">
        <v>Wood/Yard Trimmings</v>
      </c>
      <c r="BD465" t="str">
        <v>Asia</v>
      </c>
      <c r="BE465" t="str">
        <v>India</v>
      </c>
      <c r="BF465">
        <v>0</v>
      </c>
      <c r="BG465">
        <v>-0.13905086666666666</v>
      </c>
      <c r="BH465" t="str">
        <v>DELETE</v>
      </c>
      <c r="BI465">
        <v>-1.4414069883318792</v>
      </c>
      <c r="BJ465">
        <v>-2.0497940328886326</v>
      </c>
      <c r="BK465">
        <v>-0.95369676715598761</v>
      </c>
      <c r="BL465">
        <v>-0.94188890176929407</v>
      </c>
      <c r="BM465">
        <v>3.3142922198131336E-2</v>
      </c>
    </row>
    <row r="466" spans="3:65" ht="28.8">
      <c r="C466" s="136">
        <v>5</v>
      </c>
      <c r="D466" s="137" t="s">
        <v>264</v>
      </c>
      <c r="E466" s="136" t="s">
        <v>264</v>
      </c>
      <c r="F466" s="136" t="s">
        <v>547</v>
      </c>
      <c r="G466" s="136" t="s">
        <v>553</v>
      </c>
      <c r="H466" s="191">
        <v>-1.9287117500000002</v>
      </c>
      <c r="I466" s="191">
        <v>-1.1070613798500002</v>
      </c>
      <c r="J466" s="191">
        <v>0.15112249999999994</v>
      </c>
      <c r="K466" s="191">
        <v>0</v>
      </c>
      <c r="L466" s="191">
        <v>0</v>
      </c>
      <c r="M466" s="191">
        <v>-0.32805267526618676</v>
      </c>
      <c r="N466" s="191">
        <v>-0.46613679124005147</v>
      </c>
      <c r="O466" s="191">
        <v>0.46068833513655338</v>
      </c>
      <c r="T466" s="48">
        <v>6</v>
      </c>
      <c r="U466" s="46" t="s">
        <v>233</v>
      </c>
      <c r="V466" s="53" t="s">
        <v>250</v>
      </c>
      <c r="W466" s="53" t="s">
        <v>547</v>
      </c>
      <c r="X466" s="53" t="s">
        <v>556</v>
      </c>
      <c r="Y466" s="172">
        <f>IFERROR(-tblZwaste1422[[#This Row],[Weight (kgCO2e/kg)]],0)</f>
        <v>0</v>
      </c>
      <c r="Z466" s="172" t="str">
        <f>IF(AQ466="x",(AR466*-tblZwaste1422[[#This Row],[Weight (kgCO2e/kg)]])+AS466+($AR$10*Lookups!$J$38/1000),"DELETE")</f>
        <v>DELETE</v>
      </c>
      <c r="AA466" s="176" t="s">
        <v>567</v>
      </c>
      <c r="AB466" s="172">
        <v>-1.7428299748564999</v>
      </c>
      <c r="AC466" s="172">
        <v>-2.15119062242628</v>
      </c>
      <c r="AD466" s="172">
        <v>-0.91901570762681595</v>
      </c>
      <c r="AE466" s="172">
        <v>-1.00856923529019</v>
      </c>
      <c r="AF466" s="172">
        <v>2.84335678847604E-2</v>
      </c>
      <c r="AG466" s="150"/>
      <c r="AI466" s="137">
        <v>6</v>
      </c>
      <c r="AJ466" s="136"/>
      <c r="AK466" s="142"/>
      <c r="AL466" s="136" t="s">
        <v>547</v>
      </c>
      <c r="AM466" s="136" t="s">
        <v>556</v>
      </c>
      <c r="AN466" s="1" t="s">
        <v>525</v>
      </c>
      <c r="AO466" s="166" t="s">
        <v>525</v>
      </c>
      <c r="AQ466">
        <f>_xlfn.XLOOKUP(tblGWP21[[#This Row],[Material Subcategory]],ls_Mat,Factors!$K$952:$K$1023)</f>
        <v>0</v>
      </c>
      <c r="AU466" t="s">
        <v>526</v>
      </c>
      <c r="AV466" s="347">
        <v>0.95</v>
      </c>
      <c r="BA466" cm="1">
        <f t="array" ref="BA466:BM466">tblGWP21[#This Row]</f>
        <v>6</v>
      </c>
      <c r="BB466" t="str">
        <v>Wood/Yard Trimmings</v>
      </c>
      <c r="BC466" t="str">
        <v>Yard Trimmings – Leaves</v>
      </c>
      <c r="BD466" t="str">
        <v>Asia</v>
      </c>
      <c r="BE466" t="str">
        <v>India</v>
      </c>
      <c r="BF466">
        <v>0</v>
      </c>
      <c r="BG466" t="str">
        <v>DELETE</v>
      </c>
      <c r="BH466" t="str">
        <v>DELETE</v>
      </c>
      <c r="BI466">
        <v>-1.7428299748564999</v>
      </c>
      <c r="BJ466">
        <v>-2.15119062242628</v>
      </c>
      <c r="BK466">
        <v>-0.91901570762681595</v>
      </c>
      <c r="BL466">
        <v>-1.00856923529019</v>
      </c>
      <c r="BM466">
        <v>2.84335678847604E-2</v>
      </c>
    </row>
    <row r="467" spans="3:65" ht="28.8">
      <c r="C467" s="362">
        <v>5</v>
      </c>
      <c r="D467" s="363" t="s">
        <v>264</v>
      </c>
      <c r="E467" s="362" t="s">
        <v>336</v>
      </c>
      <c r="F467" s="362" t="s">
        <v>547</v>
      </c>
      <c r="G467" s="362" t="s">
        <v>553</v>
      </c>
      <c r="H467" s="368">
        <v>-0.76351350000000007</v>
      </c>
      <c r="I467" s="368">
        <v>-0.34968251735000005</v>
      </c>
      <c r="J467" s="368">
        <v>0</v>
      </c>
      <c r="K467" s="368">
        <v>-1.6469256542723201</v>
      </c>
      <c r="L467" s="368">
        <v>-2.6210623531569701</v>
      </c>
      <c r="M467" s="368">
        <v>-0.99508058129495847</v>
      </c>
      <c r="N467" s="368">
        <v>-0.70216443088315694</v>
      </c>
      <c r="O467" s="368">
        <v>0.21208127159581985</v>
      </c>
      <c r="T467" s="48">
        <v>6</v>
      </c>
      <c r="U467" s="46" t="s">
        <v>233</v>
      </c>
      <c r="V467" s="53" t="s">
        <v>249</v>
      </c>
      <c r="W467" s="53" t="s">
        <v>547</v>
      </c>
      <c r="X467" s="53" t="s">
        <v>556</v>
      </c>
      <c r="Y467" s="172">
        <f>IFERROR(-tblZwaste1422[[#This Row],[Weight (kgCO2e/kg)]],0)</f>
        <v>0</v>
      </c>
      <c r="Z467" s="172" t="str">
        <f>IF(AQ467="x",(AR467*-tblZwaste1422[[#This Row],[Weight (kgCO2e/kg)]])+AS467+($AR$10*Lookups!$J$38/1000),"DELETE")</f>
        <v>DELETE</v>
      </c>
      <c r="AA467" s="176" t="s">
        <v>567</v>
      </c>
      <c r="AB467" s="172">
        <v>-0.54274589725327604</v>
      </c>
      <c r="AC467" s="172">
        <v>-0.74997857749286201</v>
      </c>
      <c r="AD467" s="172">
        <v>0.20327821719234701</v>
      </c>
      <c r="AE467" s="172">
        <v>-0.215080705508578</v>
      </c>
      <c r="AF467" s="172">
        <v>2.5754502073186199E-2</v>
      </c>
      <c r="AG467" s="150"/>
      <c r="AI467" s="137">
        <v>6</v>
      </c>
      <c r="AJ467" s="136"/>
      <c r="AK467" s="142"/>
      <c r="AL467" s="136" t="s">
        <v>547</v>
      </c>
      <c r="AM467" s="136" t="s">
        <v>556</v>
      </c>
      <c r="AN467" s="1" t="s">
        <v>525</v>
      </c>
      <c r="AO467" s="166" t="s">
        <v>525</v>
      </c>
      <c r="AQ467">
        <f>_xlfn.XLOOKUP(tblGWP21[[#This Row],[Material Subcategory]],ls_Mat,Factors!$K$952:$K$1023)</f>
        <v>0</v>
      </c>
      <c r="AU467" t="s">
        <v>526</v>
      </c>
      <c r="AV467" s="347">
        <v>0.95</v>
      </c>
      <c r="BA467" cm="1">
        <f t="array" ref="BA467:BM467">tblGWP21[#This Row]</f>
        <v>6</v>
      </c>
      <c r="BB467" t="str">
        <v>Wood/Yard Trimmings</v>
      </c>
      <c r="BC467" t="str">
        <v>Yard Trimmings – Grass</v>
      </c>
      <c r="BD467" t="str">
        <v>Asia</v>
      </c>
      <c r="BE467" t="str">
        <v>India</v>
      </c>
      <c r="BF467">
        <v>0</v>
      </c>
      <c r="BG467" t="str">
        <v>DELETE</v>
      </c>
      <c r="BH467" t="str">
        <v>DELETE</v>
      </c>
      <c r="BI467">
        <v>-0.54274589725327604</v>
      </c>
      <c r="BJ467">
        <v>-0.74997857749286201</v>
      </c>
      <c r="BK467">
        <v>0.20327821719234701</v>
      </c>
      <c r="BL467">
        <v>-0.215080705508578</v>
      </c>
      <c r="BM467">
        <v>2.5754502073186199E-2</v>
      </c>
    </row>
    <row r="468" spans="3:65" ht="28.8">
      <c r="C468" s="136">
        <v>5</v>
      </c>
      <c r="D468" s="137" t="s">
        <v>242</v>
      </c>
      <c r="E468" s="136" t="s">
        <v>251</v>
      </c>
      <c r="F468" s="136" t="s">
        <v>547</v>
      </c>
      <c r="G468" s="136" t="s">
        <v>553</v>
      </c>
      <c r="H468" s="191">
        <v>-4.9218200000000003</v>
      </c>
      <c r="I468" s="191">
        <v>-3.5665477000000001</v>
      </c>
      <c r="J468" s="191">
        <v>-1.2190350000000001</v>
      </c>
      <c r="K468" s="191">
        <v>0</v>
      </c>
      <c r="L468" s="191">
        <v>0</v>
      </c>
      <c r="M468" s="191">
        <v>2.5955923301467301E-2</v>
      </c>
      <c r="N468" s="191">
        <v>0.23464321616709066</v>
      </c>
      <c r="O468" s="191">
        <v>0.85351183706723865</v>
      </c>
      <c r="T468" s="48">
        <v>6</v>
      </c>
      <c r="U468" s="46" t="s">
        <v>233</v>
      </c>
      <c r="V468" s="53" t="s">
        <v>273</v>
      </c>
      <c r="W468" s="53" t="s">
        <v>547</v>
      </c>
      <c r="X468" s="53" t="s">
        <v>556</v>
      </c>
      <c r="Y468" s="172">
        <f>IFERROR(-tblZwaste1422[[#This Row],[Weight (kgCO2e/kg)]],0)</f>
        <v>0</v>
      </c>
      <c r="Z468" s="172" t="str">
        <f>IF(AQ468="x",(AR468*-tblZwaste1422[[#This Row],[Weight (kgCO2e/kg)]])+AS468+($AR$10*Lookups!$J$38/1000),"DELETE")</f>
        <v>DELETE</v>
      </c>
      <c r="AA468" s="176" t="s">
        <v>567</v>
      </c>
      <c r="AB468" s="172">
        <v>-1.64048635651654</v>
      </c>
      <c r="AC468" s="172">
        <v>-2.0946209450596398</v>
      </c>
      <c r="AD468" s="172">
        <v>-0.78894878429316695</v>
      </c>
      <c r="AE468" s="172">
        <v>-0.97955204166985599</v>
      </c>
      <c r="AF468" s="172">
        <v>2.7209147933534902E-2</v>
      </c>
      <c r="AG468" s="150"/>
      <c r="AI468" s="137">
        <v>6</v>
      </c>
      <c r="AJ468" s="136"/>
      <c r="AK468" s="142"/>
      <c r="AL468" s="136" t="s">
        <v>547</v>
      </c>
      <c r="AM468" s="136" t="s">
        <v>556</v>
      </c>
      <c r="AN468" s="1" t="s">
        <v>525</v>
      </c>
      <c r="AO468" s="166" t="s">
        <v>525</v>
      </c>
      <c r="AQ468">
        <f>_xlfn.XLOOKUP(tblGWP21[[#This Row],[Material Subcategory]],ls_Mat,Factors!$K$952:$K$1023)</f>
        <v>0</v>
      </c>
      <c r="AR468" s="173"/>
      <c r="AU468" t="s">
        <v>526</v>
      </c>
      <c r="AV468" s="347">
        <v>0.95</v>
      </c>
      <c r="BA468" cm="1">
        <f t="array" ref="BA468:BM468">tblGWP21[#This Row]</f>
        <v>6</v>
      </c>
      <c r="BB468" t="str">
        <v>Wood/Yard Trimmings</v>
      </c>
      <c r="BC468" t="str">
        <v>Yard Trimming – Branches</v>
      </c>
      <c r="BD468" t="str">
        <v>Asia</v>
      </c>
      <c r="BE468" t="str">
        <v>India</v>
      </c>
      <c r="BF468">
        <v>0</v>
      </c>
      <c r="BG468" t="str">
        <v>DELETE</v>
      </c>
      <c r="BH468" t="str">
        <v>DELETE</v>
      </c>
      <c r="BI468">
        <v>-1.64048635651654</v>
      </c>
      <c r="BJ468">
        <v>-2.0946209450596398</v>
      </c>
      <c r="BK468">
        <v>-0.78894878429316695</v>
      </c>
      <c r="BL468">
        <v>-0.97955204166985599</v>
      </c>
      <c r="BM468">
        <v>2.7209147933534902E-2</v>
      </c>
    </row>
    <row r="469" spans="3:65">
      <c r="C469" s="362">
        <v>5</v>
      </c>
      <c r="D469" s="363" t="s">
        <v>242</v>
      </c>
      <c r="E469" s="362" t="s">
        <v>543</v>
      </c>
      <c r="F469" s="362" t="s">
        <v>547</v>
      </c>
      <c r="G469" s="362" t="s">
        <v>553</v>
      </c>
      <c r="H469" s="368">
        <v>-1.00081</v>
      </c>
      <c r="I469" s="368">
        <v>-0.72381545000000003</v>
      </c>
      <c r="J469" s="368">
        <v>-0.20626249999999999</v>
      </c>
      <c r="K469" s="368">
        <v>0</v>
      </c>
      <c r="L469" s="368">
        <v>0</v>
      </c>
      <c r="M469" s="368">
        <v>2.5860000000000001E-2</v>
      </c>
      <c r="N469" s="368">
        <v>4.1945011672945703E-2</v>
      </c>
      <c r="O469" s="368">
        <v>4.89113522447873E-2</v>
      </c>
      <c r="T469" s="48">
        <v>6</v>
      </c>
      <c r="U469" s="46" t="s">
        <v>233</v>
      </c>
      <c r="V469" s="53" t="s">
        <v>330</v>
      </c>
      <c r="W469" s="53" t="s">
        <v>547</v>
      </c>
      <c r="X469" s="53" t="s">
        <v>556</v>
      </c>
      <c r="Y469" s="172">
        <f>IFERROR(-tblZwaste1422[[#This Row],[Weight (kgCO2e/kg)]],0)</f>
        <v>-0.14119999999999999</v>
      </c>
      <c r="Z469" s="172">
        <f>IF(AQ469="x",(AR469*-tblZwaste1422[[#This Row],[Weight (kgCO2e/kg)]])+AS469+($AR$10*Lookups!$J$38/1000),"DELETE")</f>
        <v>-0.1076582</v>
      </c>
      <c r="AA469" s="176" t="s">
        <v>567</v>
      </c>
      <c r="AB469" s="172" t="s">
        <v>567</v>
      </c>
      <c r="AC469" s="172" t="s">
        <v>567</v>
      </c>
      <c r="AD469" s="172">
        <v>-1.4691234067535699</v>
      </c>
      <c r="AE469" s="172">
        <v>-1.1416276075298999</v>
      </c>
      <c r="AF469" s="172">
        <v>5.3037818157875102E-2</v>
      </c>
      <c r="AG469" s="150"/>
      <c r="AI469" s="137">
        <v>6</v>
      </c>
      <c r="AJ469" s="136" t="s">
        <v>330</v>
      </c>
      <c r="AK469" s="142" t="s">
        <v>330</v>
      </c>
      <c r="AL469" s="136" t="s">
        <v>547</v>
      </c>
      <c r="AM469" s="136" t="s">
        <v>556</v>
      </c>
      <c r="AN469" s="1">
        <v>0.14119999999999999</v>
      </c>
      <c r="AO469" s="166">
        <v>0.43014000000000002</v>
      </c>
      <c r="AQ469" t="str">
        <f>_xlfn.XLOOKUP(tblGWP21[[#This Row],[Material Subcategory]],ls_Mat,Factors!$K$952:$K$1023)</f>
        <v>x</v>
      </c>
      <c r="AR469" s="173">
        <v>0.77500000000000002</v>
      </c>
      <c r="AS469">
        <v>0</v>
      </c>
      <c r="AT469" t="s">
        <v>527</v>
      </c>
      <c r="BA469" cm="1">
        <f t="array" ref="BA469:BM469">tblGWP21[#This Row]</f>
        <v>6</v>
      </c>
      <c r="BB469" t="str">
        <v>Wood/Yard Trimmings</v>
      </c>
      <c r="BC469" t="str">
        <v>Wood</v>
      </c>
      <c r="BD469" t="str">
        <v>Asia</v>
      </c>
      <c r="BE469" t="str">
        <v>India</v>
      </c>
      <c r="BF469">
        <v>-0.14119999999999999</v>
      </c>
      <c r="BG469">
        <v>-0.1076582</v>
      </c>
      <c r="BH469" t="str">
        <v>DELETE</v>
      </c>
      <c r="BI469" t="str">
        <v>DELETE</v>
      </c>
      <c r="BJ469" t="str">
        <v>DELETE</v>
      </c>
      <c r="BK469">
        <v>-1.4691234067535699</v>
      </c>
      <c r="BL469">
        <v>-1.1416276075298999</v>
      </c>
      <c r="BM469">
        <v>5.3037818157875102E-2</v>
      </c>
    </row>
    <row r="470" spans="3:65">
      <c r="C470" s="136">
        <v>5</v>
      </c>
      <c r="D470" s="137" t="s">
        <v>264</v>
      </c>
      <c r="E470" s="136" t="s">
        <v>544</v>
      </c>
      <c r="F470" s="136" t="s">
        <v>547</v>
      </c>
      <c r="G470" s="136" t="s">
        <v>553</v>
      </c>
      <c r="H470" s="191">
        <v>-3.0939100000000002</v>
      </c>
      <c r="I470" s="191">
        <v>-1.8644402423500002</v>
      </c>
      <c r="J470" s="191">
        <v>0.15112249999999994</v>
      </c>
      <c r="K470" s="191">
        <v>0</v>
      </c>
      <c r="L470" s="191">
        <v>0</v>
      </c>
      <c r="M470" s="191">
        <v>0.33897523076258501</v>
      </c>
      <c r="N470" s="191">
        <v>-0.230109151596946</v>
      </c>
      <c r="O470" s="191">
        <v>0.70929539867728697</v>
      </c>
      <c r="T470" s="48">
        <v>6</v>
      </c>
      <c r="U470" s="46" t="s">
        <v>233</v>
      </c>
      <c r="V470" s="53" t="s">
        <v>335</v>
      </c>
      <c r="W470" s="53" t="s">
        <v>547</v>
      </c>
      <c r="X470" s="53" t="s">
        <v>556</v>
      </c>
      <c r="Y470" s="172">
        <f>IFERROR(-tblZwaste1422[[#This Row],[Weight (kgCO2e/kg)]],0)</f>
        <v>-0.26272000000000001</v>
      </c>
      <c r="Z470" s="172">
        <f>IF(AQ470="x",(AR470*-tblZwaste1422[[#This Row],[Weight (kgCO2e/kg)]])+AS470+($AR$10*Lookups!$J$38/1000),"DELETE")</f>
        <v>-0.20183620000000002</v>
      </c>
      <c r="AA470" s="176" t="s">
        <v>567</v>
      </c>
      <c r="AB470" s="172">
        <v>-1.64048635651654</v>
      </c>
      <c r="AC470" s="172">
        <v>-2.6265900097321899</v>
      </c>
      <c r="AD470" s="172">
        <v>-1.37418546072736</v>
      </c>
      <c r="AE470" s="172">
        <v>-1.1532519103086201</v>
      </c>
      <c r="AF470" s="172">
        <v>3.2211248569715703E-2</v>
      </c>
      <c r="AG470" s="150"/>
      <c r="AI470" s="137">
        <v>6</v>
      </c>
      <c r="AJ470" s="136" t="s">
        <v>330</v>
      </c>
      <c r="AK470" s="142" t="s">
        <v>335</v>
      </c>
      <c r="AL470" s="136" t="s">
        <v>547</v>
      </c>
      <c r="AM470" s="136" t="s">
        <v>556</v>
      </c>
      <c r="AN470" s="1">
        <v>0.26272000000000001</v>
      </c>
      <c r="AO470" s="166">
        <v>0.43014000000000002</v>
      </c>
      <c r="AQ470" t="str">
        <f>_xlfn.XLOOKUP(tblGWP21[[#This Row],[Material Subcategory]],ls_Mat,Factors!$K$952:$K$1023)</f>
        <v>x</v>
      </c>
      <c r="AR470" s="173">
        <v>0.77500000000000002</v>
      </c>
      <c r="AS470">
        <v>0</v>
      </c>
      <c r="AT470" t="s">
        <v>527</v>
      </c>
      <c r="AU470" t="s">
        <v>526</v>
      </c>
      <c r="AV470" s="347">
        <v>0.95</v>
      </c>
      <c r="BA470" cm="1">
        <f t="array" ref="BA470:BM470">tblGWP21[#This Row]</f>
        <v>6</v>
      </c>
      <c r="BB470" t="str">
        <v>Wood/Yard Trimmings</v>
      </c>
      <c r="BC470" t="str">
        <v>Pallets</v>
      </c>
      <c r="BD470" t="str">
        <v>Asia</v>
      </c>
      <c r="BE470" t="str">
        <v>India</v>
      </c>
      <c r="BF470">
        <v>-0.26272000000000001</v>
      </c>
      <c r="BG470">
        <v>-0.20183620000000002</v>
      </c>
      <c r="BH470" t="str">
        <v>DELETE</v>
      </c>
      <c r="BI470">
        <v>-1.64048635651654</v>
      </c>
      <c r="BJ470">
        <v>-2.6265900097321899</v>
      </c>
      <c r="BK470">
        <v>-1.37418546072736</v>
      </c>
      <c r="BL470">
        <v>-1.1532519103086201</v>
      </c>
      <c r="BM470">
        <v>3.2211248569715703E-2</v>
      </c>
    </row>
    <row r="471" spans="3:65">
      <c r="C471" s="362">
        <v>5</v>
      </c>
      <c r="D471" s="363" t="s">
        <v>10157</v>
      </c>
      <c r="E471" s="362" t="s">
        <v>545</v>
      </c>
      <c r="F471" s="362" t="s">
        <v>547</v>
      </c>
      <c r="G471" s="362" t="s">
        <v>553</v>
      </c>
      <c r="H471" s="368">
        <v>-2.8533815875203707</v>
      </c>
      <c r="I471" s="368">
        <v>0</v>
      </c>
      <c r="J471" s="368">
        <v>0</v>
      </c>
      <c r="K471" s="368">
        <v>0</v>
      </c>
      <c r="L471" s="368">
        <v>0</v>
      </c>
      <c r="M471" s="368">
        <v>-0.45066341412979605</v>
      </c>
      <c r="N471" s="368">
        <v>-0.52706425150863701</v>
      </c>
      <c r="O471" s="368">
        <v>2.7968353772995301E-2</v>
      </c>
      <c r="T471" s="48">
        <v>6</v>
      </c>
      <c r="U471" s="46" t="s">
        <v>233</v>
      </c>
      <c r="V471" s="53" t="s">
        <v>326</v>
      </c>
      <c r="W471" s="53" t="s">
        <v>547</v>
      </c>
      <c r="X471" s="53" t="s">
        <v>556</v>
      </c>
      <c r="Y471" s="172">
        <f>IFERROR(-tblZwaste1422[[#This Row],[Weight (kgCO2e/kg)]],0)</f>
        <v>-0.14119999999999999</v>
      </c>
      <c r="Z471" s="172">
        <f>IF(AQ471="x",(AR471*-tblZwaste1422[[#This Row],[Weight (kgCO2e/kg)]])+AS471+($AR$10*Lookups!$J$38/1000),"DELETE")</f>
        <v>-0.1076582</v>
      </c>
      <c r="AA471" s="176" t="s">
        <v>567</v>
      </c>
      <c r="AB471" s="172">
        <v>-1.64048635651654</v>
      </c>
      <c r="AC471" s="172">
        <v>-2.6265900097321899</v>
      </c>
      <c r="AD471" s="172">
        <v>-1.37418546072736</v>
      </c>
      <c r="AE471" s="172">
        <v>-1.1532519103086201</v>
      </c>
      <c r="AF471" s="172">
        <v>3.2211248569715703E-2</v>
      </c>
      <c r="AG471" s="150"/>
      <c r="AI471" s="137">
        <v>6</v>
      </c>
      <c r="AJ471" s="136" t="s">
        <v>330</v>
      </c>
      <c r="AK471" s="142" t="s">
        <v>326</v>
      </c>
      <c r="AL471" s="136" t="s">
        <v>547</v>
      </c>
      <c r="AM471" s="136" t="s">
        <v>556</v>
      </c>
      <c r="AN471" s="1">
        <v>0.14119999999999999</v>
      </c>
      <c r="AO471" s="166">
        <v>0.43014000000000002</v>
      </c>
      <c r="AQ471" t="str">
        <f>_xlfn.XLOOKUP(tblGWP21[[#This Row],[Material Subcategory]],ls_Mat,Factors!$K$952:$K$1023)</f>
        <v>x</v>
      </c>
      <c r="AR471" s="173">
        <v>0.77500000000000002</v>
      </c>
      <c r="AS471">
        <v>0</v>
      </c>
      <c r="AT471" t="s">
        <v>527</v>
      </c>
      <c r="AU471" t="s">
        <v>526</v>
      </c>
      <c r="AV471" s="347">
        <v>0.9</v>
      </c>
      <c r="BA471" cm="1">
        <f t="array" ref="BA471:BM471">tblGWP21[#This Row]</f>
        <v>6</v>
      </c>
      <c r="BB471" t="str">
        <v>Wood/Yard Trimmings</v>
      </c>
      <c r="BC471" t="str">
        <v>Other Wood</v>
      </c>
      <c r="BD471" t="str">
        <v>Asia</v>
      </c>
      <c r="BE471" t="str">
        <v>India</v>
      </c>
      <c r="BF471">
        <v>-0.14119999999999999</v>
      </c>
      <c r="BG471">
        <v>-0.1076582</v>
      </c>
      <c r="BH471" t="str">
        <v>DELETE</v>
      </c>
      <c r="BI471">
        <v>-1.64048635651654</v>
      </c>
      <c r="BJ471">
        <v>-2.6265900097321899</v>
      </c>
      <c r="BK471">
        <v>-1.37418546072736</v>
      </c>
      <c r="BL471">
        <v>-1.1532519103086201</v>
      </c>
      <c r="BM471">
        <v>3.2211248569715703E-2</v>
      </c>
    </row>
    <row r="472" spans="3:65" ht="28.8">
      <c r="C472" s="136">
        <v>5</v>
      </c>
      <c r="D472" s="137" t="s">
        <v>10169</v>
      </c>
      <c r="E472" s="136" t="s">
        <v>10170</v>
      </c>
      <c r="F472" s="136" t="s">
        <v>547</v>
      </c>
      <c r="G472" s="136" t="s">
        <v>553</v>
      </c>
      <c r="H472" s="191">
        <v>-0.74582333333333339</v>
      </c>
      <c r="I472" s="191">
        <v>-0.58351400000000009</v>
      </c>
      <c r="J472" s="191">
        <v>0.3259926084346883</v>
      </c>
      <c r="K472" s="191">
        <v>0</v>
      </c>
      <c r="L472" s="191">
        <v>0</v>
      </c>
      <c r="M472" s="191">
        <v>0.45668176288049178</v>
      </c>
      <c r="N472" s="191">
        <v>1.0683983533052401</v>
      </c>
      <c r="O472" s="191">
        <v>1.142290877337675</v>
      </c>
      <c r="T472" s="48">
        <v>6</v>
      </c>
      <c r="U472" s="46" t="s">
        <v>261</v>
      </c>
      <c r="V472" s="53" t="s">
        <v>261</v>
      </c>
      <c r="W472" s="53" t="s">
        <v>547</v>
      </c>
      <c r="X472" s="53" t="s">
        <v>556</v>
      </c>
      <c r="Y472" s="172">
        <f>IFERROR(-tblZwaste1422[[#This Row],[Weight (kgCO2e/kg)]],0)</f>
        <v>-4.72241</v>
      </c>
      <c r="Z472" s="172" t="e">
        <f>IF(AQ472="x",(AR472*-tblZwaste1422[[#This Row],[Weight (kgCO2e/kg)]])+AS472+($AR$10*Lookups!$J$38/1000),"DELETE")</f>
        <v>#N/A</v>
      </c>
      <c r="AA472" s="176" t="s">
        <v>567</v>
      </c>
      <c r="AB472" s="172">
        <v>-0.36295620134676754</v>
      </c>
      <c r="AC472" s="172">
        <v>-0.61088976877090895</v>
      </c>
      <c r="AD472" s="172">
        <v>0.30189800859006249</v>
      </c>
      <c r="AE472" s="172">
        <v>-0.1985340031353065</v>
      </c>
      <c r="AF472" s="172">
        <v>2.5407739136658898E-2</v>
      </c>
      <c r="AG472" s="150"/>
      <c r="AI472" s="137">
        <v>6</v>
      </c>
      <c r="AJ472" s="136" t="s">
        <v>529</v>
      </c>
      <c r="AK472" s="142" t="s">
        <v>529</v>
      </c>
      <c r="AL472" s="136" t="s">
        <v>547</v>
      </c>
      <c r="AM472" s="136" t="s">
        <v>556</v>
      </c>
      <c r="AN472" s="1">
        <v>4.72241</v>
      </c>
      <c r="AO472" s="166">
        <v>1.758</v>
      </c>
      <c r="AQ472" t="e">
        <f>_xlfn.XLOOKUP(tblGWP21[[#This Row],[Material Subcategory]],ls_Mat,Factors!$K$952:$K$1023)</f>
        <v>#N/A</v>
      </c>
      <c r="AR472" s="347">
        <v>0.5</v>
      </c>
      <c r="AS472">
        <v>0</v>
      </c>
      <c r="AT472" t="s">
        <v>528</v>
      </c>
      <c r="AU472" t="s">
        <v>526</v>
      </c>
      <c r="AV472" s="347">
        <v>0.9</v>
      </c>
      <c r="BA472" cm="1">
        <f t="array" ref="BA472:BM472">tblGWP21[#This Row]</f>
        <v>6</v>
      </c>
      <c r="BB472" t="str">
        <v>Food Waste</v>
      </c>
      <c r="BC472" t="str">
        <v>Food Waste</v>
      </c>
      <c r="BD472" t="str">
        <v>Asia</v>
      </c>
      <c r="BE472" t="str">
        <v>India</v>
      </c>
      <c r="BF472">
        <v>-4.72241</v>
      </c>
      <c r="BG472" t="e">
        <v>#N/A</v>
      </c>
      <c r="BH472" t="str">
        <v>DELETE</v>
      </c>
      <c r="BI472">
        <v>-0.36295620134676754</v>
      </c>
      <c r="BJ472">
        <v>-0.61088976877090895</v>
      </c>
      <c r="BK472">
        <v>0.30189800859006249</v>
      </c>
      <c r="BL472">
        <v>-0.1985340031353065</v>
      </c>
      <c r="BM472">
        <v>2.5407739136658898E-2</v>
      </c>
    </row>
    <row r="473" spans="3:65" ht="28.8">
      <c r="C473" s="362">
        <v>6</v>
      </c>
      <c r="D473" s="363" t="s">
        <v>233</v>
      </c>
      <c r="E473" s="362" t="s">
        <v>233</v>
      </c>
      <c r="F473" s="362" t="s">
        <v>547</v>
      </c>
      <c r="G473" s="362" t="s">
        <v>556</v>
      </c>
      <c r="H473" s="368">
        <v>0</v>
      </c>
      <c r="I473" s="368">
        <v>-0.13905086666666666</v>
      </c>
      <c r="J473" s="368">
        <v>0</v>
      </c>
      <c r="K473" s="368">
        <v>-1.4414069883318792</v>
      </c>
      <c r="L473" s="368">
        <v>-2.0497940328886326</v>
      </c>
      <c r="M473" s="368">
        <v>-0.95369676715598761</v>
      </c>
      <c r="N473" s="368">
        <v>-0.94188890176929407</v>
      </c>
      <c r="O473" s="368">
        <v>3.3142922198131336E-2</v>
      </c>
      <c r="T473" s="48">
        <v>6</v>
      </c>
      <c r="U473" s="46" t="s">
        <v>261</v>
      </c>
      <c r="V473" s="53" t="s">
        <v>269</v>
      </c>
      <c r="W473" s="53" t="s">
        <v>547</v>
      </c>
      <c r="X473" s="53" t="s">
        <v>556</v>
      </c>
      <c r="Y473" s="172">
        <f>IFERROR(-tblZwaste1422[[#This Row],[Weight (kgCO2e/kg)]],0)</f>
        <v>-0.25034000000000001</v>
      </c>
      <c r="Z473" s="172">
        <f>IF(AQ473="x",(AR473*-tblZwaste1422[[#This Row],[Weight (kgCO2e/kg)]])+AS473+($AR$10*Lookups!$J$38/1000),"DELETE")</f>
        <v>-0.1233982</v>
      </c>
      <c r="AA473" s="176" t="s">
        <v>567</v>
      </c>
      <c r="AB473" s="172">
        <v>-0.30296260744822501</v>
      </c>
      <c r="AC473" s="172">
        <v>-0.51921970764736303</v>
      </c>
      <c r="AD473" s="172">
        <v>0.32349939747501499</v>
      </c>
      <c r="AE473" s="172">
        <v>-0.13792362353586499</v>
      </c>
      <c r="AF473" s="172">
        <v>2.5085527099398E-2</v>
      </c>
      <c r="AG473" s="150"/>
      <c r="AI473" s="137">
        <v>6</v>
      </c>
      <c r="AJ473" s="136" t="s">
        <v>529</v>
      </c>
      <c r="AK473" s="142" t="s">
        <v>327</v>
      </c>
      <c r="AL473" s="136" t="s">
        <v>547</v>
      </c>
      <c r="AM473" s="136" t="s">
        <v>556</v>
      </c>
      <c r="AN473" s="1">
        <v>0.25034000000000001</v>
      </c>
      <c r="AO473" s="166">
        <v>0.99672000000000005</v>
      </c>
      <c r="AQ473" t="str">
        <f>_xlfn.XLOOKUP(tblGWP21[[#This Row],[Material Subcategory]],ls_Mat,Factors!$K$952:$K$1023)</f>
        <v>x</v>
      </c>
      <c r="AR473" s="347">
        <v>0.5</v>
      </c>
      <c r="AS473">
        <v>0</v>
      </c>
      <c r="AT473" t="s">
        <v>528</v>
      </c>
      <c r="AU473" t="s">
        <v>526</v>
      </c>
      <c r="AV473" s="347">
        <v>0.95</v>
      </c>
      <c r="BA473" cm="1">
        <f t="array" ref="BA473:BM473">tblGWP21[#This Row]</f>
        <v>6</v>
      </c>
      <c r="BB473" t="str">
        <v>Food Waste</v>
      </c>
      <c r="BC473" t="str">
        <v>Food Waste – Vegetable</v>
      </c>
      <c r="BD473" t="str">
        <v>Asia</v>
      </c>
      <c r="BE473" t="str">
        <v>India</v>
      </c>
      <c r="BF473">
        <v>-0.25034000000000001</v>
      </c>
      <c r="BG473">
        <v>-0.1233982</v>
      </c>
      <c r="BH473" t="str">
        <v>DELETE</v>
      </c>
      <c r="BI473">
        <v>-0.30296260744822501</v>
      </c>
      <c r="BJ473">
        <v>-0.51921970764736303</v>
      </c>
      <c r="BK473">
        <v>0.32349939747501499</v>
      </c>
      <c r="BL473">
        <v>-0.13792362353586499</v>
      </c>
      <c r="BM473">
        <v>2.5085527099398E-2</v>
      </c>
    </row>
    <row r="474" spans="3:65" ht="28.8">
      <c r="C474" s="136">
        <v>6</v>
      </c>
      <c r="D474" s="137" t="s">
        <v>233</v>
      </c>
      <c r="E474" s="136" t="s">
        <v>250</v>
      </c>
      <c r="F474" s="136" t="s">
        <v>547</v>
      </c>
      <c r="G474" s="136" t="s">
        <v>556</v>
      </c>
      <c r="H474" s="191">
        <v>0</v>
      </c>
      <c r="I474" s="191">
        <v>0</v>
      </c>
      <c r="J474" s="191">
        <v>0</v>
      </c>
      <c r="K474" s="191">
        <v>-1.7428299748564999</v>
      </c>
      <c r="L474" s="191">
        <v>-2.15119062242628</v>
      </c>
      <c r="M474" s="191">
        <v>-0.91901570762681595</v>
      </c>
      <c r="N474" s="191">
        <v>-1.00856923529019</v>
      </c>
      <c r="O474" s="191">
        <v>2.84335678847604E-2</v>
      </c>
      <c r="T474" s="48">
        <v>6</v>
      </c>
      <c r="U474" s="46" t="s">
        <v>261</v>
      </c>
      <c r="V474" s="53" t="s">
        <v>530</v>
      </c>
      <c r="W474" s="53" t="s">
        <v>547</v>
      </c>
      <c r="X474" s="53" t="s">
        <v>556</v>
      </c>
      <c r="Y474" s="172">
        <f>IFERROR(-tblZwaste1422[[#This Row],[Weight (kgCO2e/kg)]],0)</f>
        <v>-9.1944800000000004</v>
      </c>
      <c r="Z474" s="172">
        <f>IF(AQ474="x",(AR474*-tblZwaste1422[[#This Row],[Weight (kgCO2e/kg)]])+AS474+($AR$10*Lookups!$J$38/1000),"DELETE")</f>
        <v>-4.5954682</v>
      </c>
      <c r="AA474" s="176" t="s">
        <v>567</v>
      </c>
      <c r="AB474" s="172">
        <v>-0.42294979524531001</v>
      </c>
      <c r="AC474" s="172">
        <v>-0.70255982989445498</v>
      </c>
      <c r="AD474" s="172">
        <v>0.28029661970511</v>
      </c>
      <c r="AE474" s="172">
        <v>-0.25914438273474799</v>
      </c>
      <c r="AF474" s="172">
        <v>2.57299511739198E-2</v>
      </c>
      <c r="AG474" s="150"/>
      <c r="AI474" s="137">
        <v>6</v>
      </c>
      <c r="AJ474" s="136" t="s">
        <v>529</v>
      </c>
      <c r="AK474" s="142" t="s">
        <v>331</v>
      </c>
      <c r="AL474" s="136" t="s">
        <v>547</v>
      </c>
      <c r="AM474" s="136" t="s">
        <v>556</v>
      </c>
      <c r="AN474" s="1">
        <v>9.1944800000000004</v>
      </c>
      <c r="AO474" s="166">
        <v>2.5192800000000002</v>
      </c>
      <c r="AQ474" t="str">
        <f>_xlfn.XLOOKUP(tblGWP21[[#This Row],[Material Subcategory]],ls_Mat,Factors!$K$952:$K$1023)</f>
        <v>x</v>
      </c>
      <c r="AR474" s="347">
        <v>0.5</v>
      </c>
      <c r="AS474">
        <v>0</v>
      </c>
      <c r="AT474" t="s">
        <v>528</v>
      </c>
      <c r="AU474" t="s">
        <v>526</v>
      </c>
      <c r="AV474" s="347">
        <v>0.7</v>
      </c>
      <c r="BA474" cm="1">
        <f t="array" ref="BA474:BM474">tblGWP21[#This Row]</f>
        <v>6</v>
      </c>
      <c r="BB474" t="str">
        <v>Food Waste</v>
      </c>
      <c r="BC474" t="str">
        <v>Food Waste – Non-Vegetable</v>
      </c>
      <c r="BD474" t="str">
        <v>Asia</v>
      </c>
      <c r="BE474" t="str">
        <v>India</v>
      </c>
      <c r="BF474">
        <v>-9.1944800000000004</v>
      </c>
      <c r="BG474">
        <v>-4.5954682</v>
      </c>
      <c r="BH474" t="str">
        <v>DELETE</v>
      </c>
      <c r="BI474">
        <v>-0.42294979524531001</v>
      </c>
      <c r="BJ474">
        <v>-0.70255982989445498</v>
      </c>
      <c r="BK474">
        <v>0.28029661970511</v>
      </c>
      <c r="BL474">
        <v>-0.25914438273474799</v>
      </c>
      <c r="BM474">
        <v>2.57299511739198E-2</v>
      </c>
    </row>
    <row r="475" spans="3:65" ht="28.8">
      <c r="C475" s="362">
        <v>6</v>
      </c>
      <c r="D475" s="363" t="s">
        <v>233</v>
      </c>
      <c r="E475" s="362" t="s">
        <v>249</v>
      </c>
      <c r="F475" s="362" t="s">
        <v>547</v>
      </c>
      <c r="G475" s="362" t="s">
        <v>556</v>
      </c>
      <c r="H475" s="368">
        <v>0</v>
      </c>
      <c r="I475" s="368">
        <v>0</v>
      </c>
      <c r="J475" s="368">
        <v>0</v>
      </c>
      <c r="K475" s="368">
        <v>-0.54274589725327604</v>
      </c>
      <c r="L475" s="368">
        <v>-0.74997857749286201</v>
      </c>
      <c r="M475" s="368">
        <v>0.20327821719234701</v>
      </c>
      <c r="N475" s="368">
        <v>-0.215080705508578</v>
      </c>
      <c r="O475" s="368">
        <v>2.5754502073186199E-2</v>
      </c>
      <c r="T475" s="48">
        <v>6</v>
      </c>
      <c r="U475" s="46" t="s">
        <v>261</v>
      </c>
      <c r="V475" s="53" t="s">
        <v>262</v>
      </c>
      <c r="W475" s="53" t="s">
        <v>547</v>
      </c>
      <c r="X475" s="53" t="s">
        <v>556</v>
      </c>
      <c r="Y475" s="172">
        <f>IFERROR(-tblZwaste1422[[#This Row],[Weight (kgCO2e/kg)]],0)</f>
        <v>-2.5034000000000001</v>
      </c>
      <c r="Z475" s="172" t="str">
        <f>IF(AQ475="x",(AR475*-tblZwaste1422[[#This Row],[Weight (kgCO2e/kg)]])+AS475+($AR$10*Lookups!$J$38/1000),"DELETE")</f>
        <v>DELETE</v>
      </c>
      <c r="AA475" s="176" t="s">
        <v>567</v>
      </c>
      <c r="AB475" s="172">
        <v>-0.42294979524531001</v>
      </c>
      <c r="AC475" s="172">
        <v>-0.70255982989445498</v>
      </c>
      <c r="AD475" s="172">
        <v>0.28029661970511</v>
      </c>
      <c r="AE475" s="172">
        <v>-0.25914438273474799</v>
      </c>
      <c r="AF475" s="172">
        <v>2.57299511739198E-2</v>
      </c>
      <c r="AG475" s="150"/>
      <c r="AI475" s="137">
        <v>6</v>
      </c>
      <c r="AJ475" s="136" t="s">
        <v>529</v>
      </c>
      <c r="AK475" s="142" t="s">
        <v>332</v>
      </c>
      <c r="AL475" s="136" t="s">
        <v>547</v>
      </c>
      <c r="AM475" s="136" t="s">
        <v>556</v>
      </c>
      <c r="AN475" s="1">
        <v>2.5034000000000001</v>
      </c>
      <c r="AO475" s="166">
        <v>1.0183800000000001</v>
      </c>
      <c r="AQ475">
        <f>_xlfn.XLOOKUP(tblGWP21[[#This Row],[Material Subcategory]],ls_Mat,Factors!$K$952:$K$1023)</f>
        <v>0</v>
      </c>
      <c r="AR475" s="347">
        <v>0.5</v>
      </c>
      <c r="AS475">
        <v>0</v>
      </c>
      <c r="AT475" t="s">
        <v>528</v>
      </c>
      <c r="BA475" cm="1">
        <f t="array" ref="BA475:BM475">tblGWP21[#This Row]</f>
        <v>6</v>
      </c>
      <c r="BB475" t="str">
        <v>Food Waste</v>
      </c>
      <c r="BC475" t="str">
        <v>Oils/Grease</v>
      </c>
      <c r="BD475" t="str">
        <v>Asia</v>
      </c>
      <c r="BE475" t="str">
        <v>India</v>
      </c>
      <c r="BF475">
        <v>-2.5034000000000001</v>
      </c>
      <c r="BG475" t="str">
        <v>DELETE</v>
      </c>
      <c r="BH475" t="str">
        <v>DELETE</v>
      </c>
      <c r="BI475">
        <v>-0.42294979524531001</v>
      </c>
      <c r="BJ475">
        <v>-0.70255982989445498</v>
      </c>
      <c r="BK475">
        <v>0.28029661970511</v>
      </c>
      <c r="BL475">
        <v>-0.25914438273474799</v>
      </c>
      <c r="BM475">
        <v>2.57299511739198E-2</v>
      </c>
    </row>
    <row r="476" spans="3:65" ht="28.8">
      <c r="C476" s="136">
        <v>6</v>
      </c>
      <c r="D476" s="137" t="s">
        <v>233</v>
      </c>
      <c r="E476" s="136" t="s">
        <v>273</v>
      </c>
      <c r="F476" s="136" t="s">
        <v>547</v>
      </c>
      <c r="G476" s="136" t="s">
        <v>556</v>
      </c>
      <c r="H476" s="191">
        <v>0</v>
      </c>
      <c r="I476" s="191">
        <v>0</v>
      </c>
      <c r="J476" s="191">
        <v>0</v>
      </c>
      <c r="K476" s="191">
        <v>-1.64048635651654</v>
      </c>
      <c r="L476" s="191">
        <v>-2.0946209450596398</v>
      </c>
      <c r="M476" s="191">
        <v>-0.78894878429316695</v>
      </c>
      <c r="N476" s="191">
        <v>-0.97955204166985599</v>
      </c>
      <c r="O476" s="191">
        <v>2.7209147933534902E-2</v>
      </c>
      <c r="T476" s="48">
        <v>6</v>
      </c>
      <c r="U476" s="46" t="s">
        <v>252</v>
      </c>
      <c r="V476" s="53" t="s">
        <v>252</v>
      </c>
      <c r="W476" s="53" t="s">
        <v>547</v>
      </c>
      <c r="X476" s="53" t="s">
        <v>556</v>
      </c>
      <c r="Y476" s="172">
        <f>IFERROR(-tblZwaste1422[[#This Row],[Weight (kgCO2e/kg)]],0)</f>
        <v>-2.0953266666666663</v>
      </c>
      <c r="Z476" s="172" t="e">
        <f>IF(AQ476="x",(AR476*-tblZwaste1422[[#This Row],[Weight (kgCO2e/kg)]])+AS476+($AR$10*Lookups!$J$38/1000),"DELETE")</f>
        <v>#N/A</v>
      </c>
      <c r="AA476" s="176">
        <v>-4.4026458801754389</v>
      </c>
      <c r="AB476" s="172" t="s">
        <v>567</v>
      </c>
      <c r="AC476" s="172" t="s">
        <v>567</v>
      </c>
      <c r="AD476" s="172">
        <v>2.6040731092765699E-2</v>
      </c>
      <c r="AE476" s="172">
        <v>0.464223353037373</v>
      </c>
      <c r="AF476" s="172">
        <v>2.1870266836515802</v>
      </c>
      <c r="AG476" s="150"/>
      <c r="AI476" s="137">
        <v>6</v>
      </c>
      <c r="AJ476" s="136" t="s">
        <v>252</v>
      </c>
      <c r="AK476" s="142" t="s">
        <v>252</v>
      </c>
      <c r="AL476" s="136" t="s">
        <v>547</v>
      </c>
      <c r="AM476" s="136" t="s">
        <v>556</v>
      </c>
      <c r="AN476" s="1">
        <v>2.0953266666666663</v>
      </c>
      <c r="AO476" s="166">
        <v>1.77911</v>
      </c>
      <c r="AQ476" t="e">
        <f>_xlfn.XLOOKUP(tblGWP21[[#This Row],[Material Subcategory]],ls_Mat,Factors!$K$952:$K$1023)</f>
        <v>#N/A</v>
      </c>
      <c r="AR476" s="173">
        <v>0.77500000000000002</v>
      </c>
      <c r="AS476">
        <v>8.1306407300000008E-2</v>
      </c>
      <c r="AT476" t="s">
        <v>531</v>
      </c>
      <c r="BA476" cm="1">
        <f t="array" ref="BA476:BM476">tblGWP21[#This Row]</f>
        <v>6</v>
      </c>
      <c r="BB476" t="str">
        <v>Plastics</v>
      </c>
      <c r="BC476" t="str">
        <v>Plastics</v>
      </c>
      <c r="BD476" t="str">
        <v>Asia</v>
      </c>
      <c r="BE476" t="str">
        <v>India</v>
      </c>
      <c r="BF476">
        <v>-2.0953266666666663</v>
      </c>
      <c r="BG476" t="e">
        <v>#N/A</v>
      </c>
      <c r="BH476">
        <v>-4.4026458801754389</v>
      </c>
      <c r="BI476" t="str">
        <v>DELETE</v>
      </c>
      <c r="BJ476" t="str">
        <v>DELETE</v>
      </c>
      <c r="BK476">
        <v>2.6040731092765699E-2</v>
      </c>
      <c r="BL476">
        <v>0.464223353037373</v>
      </c>
      <c r="BM476">
        <v>2.1870266836515802</v>
      </c>
    </row>
    <row r="477" spans="3:65" ht="28.8">
      <c r="C477" s="362">
        <v>6</v>
      </c>
      <c r="D477" s="363" t="s">
        <v>233</v>
      </c>
      <c r="E477" s="362" t="s">
        <v>330</v>
      </c>
      <c r="F477" s="362" t="s">
        <v>547</v>
      </c>
      <c r="G477" s="362" t="s">
        <v>556</v>
      </c>
      <c r="H477" s="368">
        <v>-0.14119999999999999</v>
      </c>
      <c r="I477" s="368">
        <v>-0.1076582</v>
      </c>
      <c r="J477" s="368">
        <v>0</v>
      </c>
      <c r="K477" s="368">
        <v>0</v>
      </c>
      <c r="L477" s="368">
        <v>0</v>
      </c>
      <c r="M477" s="368">
        <v>-1.4691234067535699</v>
      </c>
      <c r="N477" s="368">
        <v>-1.1416276075298999</v>
      </c>
      <c r="O477" s="368">
        <v>5.3037818157875102E-2</v>
      </c>
      <c r="T477" s="48">
        <v>6</v>
      </c>
      <c r="U477" s="46" t="s">
        <v>252</v>
      </c>
      <c r="V477" s="53" t="s">
        <v>253</v>
      </c>
      <c r="W477" s="53" t="s">
        <v>547</v>
      </c>
      <c r="X477" s="53" t="s">
        <v>556</v>
      </c>
      <c r="Y477" s="172">
        <f>IFERROR(-tblZwaste1422[[#This Row],[Weight (kgCO2e/kg)]],0)</f>
        <v>-2.04928</v>
      </c>
      <c r="Z477" s="172" t="e">
        <f>IF(AQ477="x",(AR477*-tblZwaste1422[[#This Row],[Weight (kgCO2e/kg)]])+AS477+($AR$10*Lookups!$J$38/1000),"DELETE")</f>
        <v>#N/A</v>
      </c>
      <c r="AA477" s="176">
        <v>-3.8381380796100326</v>
      </c>
      <c r="AB477" s="172" t="s">
        <v>567</v>
      </c>
      <c r="AC477" s="172" t="s">
        <v>567</v>
      </c>
      <c r="AD477" s="172">
        <v>2.6040728044352601E-2</v>
      </c>
      <c r="AE477" s="172">
        <v>0.210562605639705</v>
      </c>
      <c r="AF477" s="172">
        <v>3.1831779567246001</v>
      </c>
      <c r="AG477" s="150"/>
      <c r="AI477" s="137">
        <v>6</v>
      </c>
      <c r="AJ477" s="136" t="s">
        <v>252</v>
      </c>
      <c r="AK477" s="142" t="s">
        <v>253</v>
      </c>
      <c r="AL477" s="136" t="s">
        <v>547</v>
      </c>
      <c r="AM477" s="136" t="s">
        <v>556</v>
      </c>
      <c r="AN477" s="1">
        <v>2.04928</v>
      </c>
      <c r="AO477" s="166">
        <v>1.77911</v>
      </c>
      <c r="AQ477" t="e">
        <f>_xlfn.XLOOKUP(tblGWP21[[#This Row],[Material Subcategory]],ls_Mat,Factors!$K$952:$K$1023)</f>
        <v>#N/A</v>
      </c>
      <c r="AR477" s="173">
        <v>0.77500000000000002</v>
      </c>
      <c r="AS477">
        <v>8.1306407300000008E-2</v>
      </c>
      <c r="AT477" t="s">
        <v>531</v>
      </c>
      <c r="BA477" cm="1">
        <f t="array" ref="BA477:BM477">tblGWP21[#This Row]</f>
        <v>6</v>
      </c>
      <c r="BB477" t="str">
        <v>Plastics</v>
      </c>
      <c r="BC477" t="str">
        <v>HDPE (translucent and pigmented)</v>
      </c>
      <c r="BD477" t="str">
        <v>Asia</v>
      </c>
      <c r="BE477" t="str">
        <v>India</v>
      </c>
      <c r="BF477">
        <v>-2.04928</v>
      </c>
      <c r="BG477" t="e">
        <v>#N/A</v>
      </c>
      <c r="BH477">
        <v>-3.8381380796100326</v>
      </c>
      <c r="BI477" t="str">
        <v>DELETE</v>
      </c>
      <c r="BJ477" t="str">
        <v>DELETE</v>
      </c>
      <c r="BK477">
        <v>2.6040728044352601E-2</v>
      </c>
      <c r="BL477">
        <v>0.210562605639705</v>
      </c>
      <c r="BM477">
        <v>3.1831779567246001</v>
      </c>
    </row>
    <row r="478" spans="3:65" ht="28.8">
      <c r="C478" s="136">
        <v>6</v>
      </c>
      <c r="D478" s="137" t="s">
        <v>233</v>
      </c>
      <c r="E478" s="136" t="s">
        <v>335</v>
      </c>
      <c r="F478" s="136" t="s">
        <v>547</v>
      </c>
      <c r="G478" s="136" t="s">
        <v>556</v>
      </c>
      <c r="H478" s="191">
        <v>-0.26272000000000001</v>
      </c>
      <c r="I478" s="191">
        <v>-0.20183620000000002</v>
      </c>
      <c r="J478" s="191">
        <v>0</v>
      </c>
      <c r="K478" s="191">
        <v>-1.64048635651654</v>
      </c>
      <c r="L478" s="191">
        <v>-2.6265900097321899</v>
      </c>
      <c r="M478" s="191">
        <v>-1.37418546072736</v>
      </c>
      <c r="N478" s="191">
        <v>-1.1532519103086201</v>
      </c>
      <c r="O478" s="191">
        <v>3.2211248569715703E-2</v>
      </c>
      <c r="T478" s="48">
        <v>6</v>
      </c>
      <c r="U478" s="46" t="s">
        <v>252</v>
      </c>
      <c r="V478" s="53" t="s">
        <v>328</v>
      </c>
      <c r="W478" s="53" t="s">
        <v>547</v>
      </c>
      <c r="X478" s="53" t="s">
        <v>556</v>
      </c>
      <c r="Y478" s="172">
        <f>IFERROR(-tblZwaste1422[[#This Row],[Weight (kgCO2e/kg)]],0)</f>
        <v>-2.3231199999999999</v>
      </c>
      <c r="Z478" s="172" t="e">
        <f>IF(AQ478="x",(AR478*-tblZwaste1422[[#This Row],[Weight (kgCO2e/kg)]])+AS478+($AR$10*Lookups!$J$38/1000),"DELETE")</f>
        <v>#N/A</v>
      </c>
      <c r="AA478" s="176">
        <v>-4.5666853324341119</v>
      </c>
      <c r="AB478" s="172" t="s">
        <v>567</v>
      </c>
      <c r="AC478" s="172" t="s">
        <v>567</v>
      </c>
      <c r="AD478" s="172">
        <v>2.6040728847734299E-2</v>
      </c>
      <c r="AE478" s="172">
        <v>0.33008116104865598</v>
      </c>
      <c r="AF478" s="172">
        <v>2.4956094306866898</v>
      </c>
      <c r="AG478" s="150"/>
      <c r="AI478" s="137">
        <v>6</v>
      </c>
      <c r="AJ478" s="136" t="s">
        <v>252</v>
      </c>
      <c r="AK478" s="142" t="s">
        <v>328</v>
      </c>
      <c r="AL478" s="136" t="s">
        <v>547</v>
      </c>
      <c r="AM478" s="136" t="s">
        <v>556</v>
      </c>
      <c r="AN478" s="1">
        <v>2.3231199999999999</v>
      </c>
      <c r="AO478" s="166">
        <v>1.77911</v>
      </c>
      <c r="AQ478" t="e">
        <f>_xlfn.XLOOKUP(tblGWP21[[#This Row],[Material Subcategory]],ls_Mat,Factors!$K$952:$K$1023)</f>
        <v>#N/A</v>
      </c>
      <c r="AR478" s="173">
        <v>0.77500000000000002</v>
      </c>
      <c r="BA478" cm="1">
        <f t="array" ref="BA478:BM478">tblGWP21[#This Row]</f>
        <v>6</v>
      </c>
      <c r="BB478" t="str">
        <v>Plastics</v>
      </c>
      <c r="BC478" t="str">
        <v>LDPE</v>
      </c>
      <c r="BD478" t="str">
        <v>Asia</v>
      </c>
      <c r="BE478" t="str">
        <v>India</v>
      </c>
      <c r="BF478">
        <v>-2.3231199999999999</v>
      </c>
      <c r="BG478" t="e">
        <v>#N/A</v>
      </c>
      <c r="BH478">
        <v>-4.5666853324341119</v>
      </c>
      <c r="BI478" t="str">
        <v>DELETE</v>
      </c>
      <c r="BJ478" t="str">
        <v>DELETE</v>
      </c>
      <c r="BK478">
        <v>2.6040728847734299E-2</v>
      </c>
      <c r="BL478">
        <v>0.33008116104865598</v>
      </c>
      <c r="BM478">
        <v>2.4956094306866898</v>
      </c>
    </row>
    <row r="479" spans="3:65" ht="28.8">
      <c r="C479" s="362">
        <v>6</v>
      </c>
      <c r="D479" s="363" t="s">
        <v>233</v>
      </c>
      <c r="E479" s="362" t="s">
        <v>326</v>
      </c>
      <c r="F479" s="362" t="s">
        <v>547</v>
      </c>
      <c r="G479" s="362" t="s">
        <v>556</v>
      </c>
      <c r="H479" s="368">
        <v>-0.14119999999999999</v>
      </c>
      <c r="I479" s="368">
        <v>-0.1076582</v>
      </c>
      <c r="J479" s="368">
        <v>0</v>
      </c>
      <c r="K479" s="368">
        <v>-1.64048635651654</v>
      </c>
      <c r="L479" s="368">
        <v>-2.6265900097321899</v>
      </c>
      <c r="M479" s="368">
        <v>-1.37418546072736</v>
      </c>
      <c r="N479" s="368">
        <v>-1.1532519103086201</v>
      </c>
      <c r="O479" s="368">
        <v>3.2211248569715703E-2</v>
      </c>
      <c r="T479" s="48">
        <v>6</v>
      </c>
      <c r="U479" s="46" t="s">
        <v>252</v>
      </c>
      <c r="V479" s="53" t="s">
        <v>254</v>
      </c>
      <c r="W479" s="53" t="s">
        <v>547</v>
      </c>
      <c r="X479" s="53" t="s">
        <v>556</v>
      </c>
      <c r="Y479" s="172">
        <f>IFERROR(-tblZwaste1422[[#This Row],[Weight (kgCO2e/kg)]],0)</f>
        <v>-2.1485799999999999</v>
      </c>
      <c r="Z479" s="172" t="e">
        <f>IF(AQ479="x",(AR479*-tblZwaste1422[[#This Row],[Weight (kgCO2e/kg)]])+AS479+($AR$10*Lookups!$J$38/1000),"DELETE")</f>
        <v>#N/A</v>
      </c>
      <c r="AA479" s="176">
        <v>-4.6390747762234978</v>
      </c>
      <c r="AB479" s="172" t="s">
        <v>567</v>
      </c>
      <c r="AC479" s="172" t="s">
        <v>567</v>
      </c>
      <c r="AD479" s="172">
        <v>2.60407280443203E-2</v>
      </c>
      <c r="AE479" s="172">
        <v>0.50464281528936294</v>
      </c>
      <c r="AF479" s="172">
        <v>2.5363330593963398</v>
      </c>
      <c r="AG479" s="150"/>
      <c r="AI479" s="137">
        <v>6</v>
      </c>
      <c r="AJ479" s="136" t="s">
        <v>252</v>
      </c>
      <c r="AK479" s="142" t="s">
        <v>254</v>
      </c>
      <c r="AL479" s="136" t="s">
        <v>547</v>
      </c>
      <c r="AM479" s="136" t="s">
        <v>556</v>
      </c>
      <c r="AN479" s="1">
        <v>2.1485799999999999</v>
      </c>
      <c r="AO479" s="166">
        <v>1.77911</v>
      </c>
      <c r="AQ479" t="e">
        <f>_xlfn.XLOOKUP(tblGWP21[[#This Row],[Material Subcategory]],ls_Mat,Factors!$K$952:$K$1023)</f>
        <v>#N/A</v>
      </c>
      <c r="AR479" s="173">
        <v>0.77500000000000002</v>
      </c>
      <c r="AS479">
        <v>8.1306407300000008E-2</v>
      </c>
      <c r="AT479" t="s">
        <v>531</v>
      </c>
      <c r="AU479" t="s">
        <v>526</v>
      </c>
      <c r="AV479" s="347">
        <v>0.7</v>
      </c>
      <c r="BA479" cm="1">
        <f t="array" ref="BA479:BM479">tblGWP21[#This Row]</f>
        <v>6</v>
      </c>
      <c r="BB479" t="str">
        <v>Plastics</v>
      </c>
      <c r="BC479" t="str">
        <v>PET</v>
      </c>
      <c r="BD479" t="str">
        <v>Asia</v>
      </c>
      <c r="BE479" t="str">
        <v>India</v>
      </c>
      <c r="BF479">
        <v>-2.1485799999999999</v>
      </c>
      <c r="BG479" t="e">
        <v>#N/A</v>
      </c>
      <c r="BH479">
        <v>-4.6390747762234978</v>
      </c>
      <c r="BI479" t="str">
        <v>DELETE</v>
      </c>
      <c r="BJ479" t="str">
        <v>DELETE</v>
      </c>
      <c r="BK479">
        <v>2.60407280443203E-2</v>
      </c>
      <c r="BL479">
        <v>0.50464281528936294</v>
      </c>
      <c r="BM479">
        <v>2.5363330593963398</v>
      </c>
    </row>
    <row r="480" spans="3:65">
      <c r="C480" s="136">
        <v>6</v>
      </c>
      <c r="D480" s="137" t="s">
        <v>261</v>
      </c>
      <c r="E480" s="136" t="s">
        <v>261</v>
      </c>
      <c r="F480" s="136" t="s">
        <v>547</v>
      </c>
      <c r="G480" s="136" t="s">
        <v>556</v>
      </c>
      <c r="H480" s="191">
        <v>-4.72241</v>
      </c>
      <c r="I480" s="191">
        <v>-2.3594331999999998</v>
      </c>
      <c r="J480" s="191">
        <v>0</v>
      </c>
      <c r="K480" s="191">
        <v>-0.36295620134676754</v>
      </c>
      <c r="L480" s="191">
        <v>-0.61088976877090895</v>
      </c>
      <c r="M480" s="191">
        <v>0.30189800859006249</v>
      </c>
      <c r="N480" s="191">
        <v>-0.1985340031353065</v>
      </c>
      <c r="O480" s="191">
        <v>2.5407739136658898E-2</v>
      </c>
      <c r="T480" s="48">
        <v>6</v>
      </c>
      <c r="U480" s="46" t="s">
        <v>252</v>
      </c>
      <c r="V480" s="53" t="s">
        <v>532</v>
      </c>
      <c r="W480" s="53" t="s">
        <v>547</v>
      </c>
      <c r="X480" s="53" t="s">
        <v>556</v>
      </c>
      <c r="Y480" s="172">
        <f>IFERROR(-tblZwaste1422[[#This Row],[Weight (kgCO2e/kg)]],0)</f>
        <v>-1.9492499999999999</v>
      </c>
      <c r="Z480" s="172" t="e">
        <f>IF(AQ480="x",(AR480*-tblZwaste1422[[#This Row],[Weight (kgCO2e/kg)]])+AS480+($AR$10*Lookups!$J$38/1000),"DELETE")</f>
        <v>#N/A</v>
      </c>
      <c r="AA480" s="176">
        <v>-4.5666853324341119</v>
      </c>
      <c r="AB480" s="172" t="s">
        <v>567</v>
      </c>
      <c r="AC480" s="172" t="s">
        <v>567</v>
      </c>
      <c r="AD480" s="172">
        <v>2.6040728847734299E-2</v>
      </c>
      <c r="AE480" s="172">
        <v>0.33008116104865598</v>
      </c>
      <c r="AF480" s="172">
        <v>2.4956094306866898</v>
      </c>
      <c r="AG480" s="150"/>
      <c r="AI480" s="137">
        <v>6</v>
      </c>
      <c r="AJ480" s="136" t="s">
        <v>252</v>
      </c>
      <c r="AK480" s="142" t="s">
        <v>532</v>
      </c>
      <c r="AL480" s="136" t="s">
        <v>547</v>
      </c>
      <c r="AM480" s="136" t="s">
        <v>556</v>
      </c>
      <c r="AN480" s="1">
        <v>1.9492499999999999</v>
      </c>
      <c r="AO480" s="166">
        <v>1.77911</v>
      </c>
      <c r="AQ480" t="e">
        <f>_xlfn.XLOOKUP(tblGWP21[[#This Row],[Material Subcategory]],ls_Mat,Factors!$K$952:$K$1023)</f>
        <v>#N/A</v>
      </c>
      <c r="AU480" t="s">
        <v>526</v>
      </c>
      <c r="AV480" s="347">
        <v>0.65</v>
      </c>
      <c r="BA480" cm="1">
        <f t="array" ref="BA480:BM480">tblGWP21[#This Row]</f>
        <v>6</v>
      </c>
      <c r="BB480" t="str">
        <v>Plastics</v>
      </c>
      <c r="BC480" t="str">
        <v>LLDPE</v>
      </c>
      <c r="BD480" t="str">
        <v>Asia</v>
      </c>
      <c r="BE480" t="str">
        <v>India</v>
      </c>
      <c r="BF480">
        <v>-1.9492499999999999</v>
      </c>
      <c r="BG480" t="e">
        <v>#N/A</v>
      </c>
      <c r="BH480">
        <v>-4.5666853324341119</v>
      </c>
      <c r="BI480" t="str">
        <v>DELETE</v>
      </c>
      <c r="BJ480" t="str">
        <v>DELETE</v>
      </c>
      <c r="BK480">
        <v>2.6040728847734299E-2</v>
      </c>
      <c r="BL480">
        <v>0.33008116104865598</v>
      </c>
      <c r="BM480">
        <v>2.4956094306866898</v>
      </c>
    </row>
    <row r="481" spans="3:65">
      <c r="C481" s="362">
        <v>6</v>
      </c>
      <c r="D481" s="363" t="s">
        <v>261</v>
      </c>
      <c r="E481" s="362" t="s">
        <v>269</v>
      </c>
      <c r="F481" s="362" t="s">
        <v>547</v>
      </c>
      <c r="G481" s="362" t="s">
        <v>556</v>
      </c>
      <c r="H481" s="368">
        <v>-0.25034000000000001</v>
      </c>
      <c r="I481" s="368">
        <v>-0.1233982</v>
      </c>
      <c r="J481" s="368">
        <v>0</v>
      </c>
      <c r="K481" s="368">
        <v>-0.30296260744822501</v>
      </c>
      <c r="L481" s="368">
        <v>-0.51921970764736303</v>
      </c>
      <c r="M481" s="368">
        <v>0.32349939747501499</v>
      </c>
      <c r="N481" s="368">
        <v>-0.13792362353586499</v>
      </c>
      <c r="O481" s="368">
        <v>2.5085527099398E-2</v>
      </c>
      <c r="T481" s="48">
        <v>6</v>
      </c>
      <c r="U481" s="46" t="s">
        <v>252</v>
      </c>
      <c r="V481" s="53" t="s">
        <v>245</v>
      </c>
      <c r="W481" s="53" t="s">
        <v>547</v>
      </c>
      <c r="X481" s="53" t="s">
        <v>556</v>
      </c>
      <c r="Y481" s="172">
        <f>IFERROR(-tblZwaste1422[[#This Row],[Weight (kgCO2e/kg)]],0)</f>
        <v>-2.0269300000000001</v>
      </c>
      <c r="Z481" s="172" t="e">
        <f>IF(AQ481="x",(AR481*-tblZwaste1422[[#This Row],[Weight (kgCO2e/kg)]])+AS481+($AR$10*Lookups!$J$38/1000),"DELETE")</f>
        <v>#N/A</v>
      </c>
      <c r="AA481" s="176" t="s">
        <v>567</v>
      </c>
      <c r="AB481" s="172" t="s">
        <v>567</v>
      </c>
      <c r="AC481" s="172" t="s">
        <v>567</v>
      </c>
      <c r="AD481" s="172">
        <v>2.6040728968980201E-2</v>
      </c>
      <c r="AE481" s="172">
        <v>0.16048480422712499</v>
      </c>
      <c r="AF481" s="172">
        <v>3.1833672666267101</v>
      </c>
      <c r="AG481" s="150"/>
      <c r="AI481" s="137">
        <v>6</v>
      </c>
      <c r="AJ481" s="136" t="s">
        <v>252</v>
      </c>
      <c r="AK481" s="142" t="s">
        <v>245</v>
      </c>
      <c r="AL481" s="136" t="s">
        <v>547</v>
      </c>
      <c r="AM481" s="136" t="s">
        <v>556</v>
      </c>
      <c r="AN481" s="1">
        <v>2.0269300000000001</v>
      </c>
      <c r="AO481" s="166">
        <v>1.77911</v>
      </c>
      <c r="AQ481" t="e">
        <f>_xlfn.XLOOKUP(tblGWP21[[#This Row],[Material Subcategory]],ls_Mat,Factors!$K$952:$K$1023)</f>
        <v>#N/A</v>
      </c>
      <c r="AR481" s="173">
        <v>0.77500000000000002</v>
      </c>
      <c r="AS481">
        <v>8.1306407300000008E-2</v>
      </c>
      <c r="AT481" t="s">
        <v>531</v>
      </c>
      <c r="BA481" cm="1">
        <f t="array" ref="BA481:BM481">tblGWP21[#This Row]</f>
        <v>6</v>
      </c>
      <c r="BB481" t="str">
        <v>Plastics</v>
      </c>
      <c r="BC481" t="str">
        <v>PP</v>
      </c>
      <c r="BD481" t="str">
        <v>Asia</v>
      </c>
      <c r="BE481" t="str">
        <v>India</v>
      </c>
      <c r="BF481">
        <v>-2.0269300000000001</v>
      </c>
      <c r="BG481" t="e">
        <v>#N/A</v>
      </c>
      <c r="BH481" t="str">
        <v>DELETE</v>
      </c>
      <c r="BI481" t="str">
        <v>DELETE</v>
      </c>
      <c r="BJ481" t="str">
        <v>DELETE</v>
      </c>
      <c r="BK481">
        <v>2.6040728968980201E-2</v>
      </c>
      <c r="BL481">
        <v>0.16048480422712499</v>
      </c>
      <c r="BM481">
        <v>3.1833672666267101</v>
      </c>
    </row>
    <row r="482" spans="3:65" ht="28.8">
      <c r="C482" s="136">
        <v>6</v>
      </c>
      <c r="D482" s="137" t="s">
        <v>261</v>
      </c>
      <c r="E482" s="136" t="s">
        <v>530</v>
      </c>
      <c r="F482" s="136" t="s">
        <v>547</v>
      </c>
      <c r="G482" s="136" t="s">
        <v>556</v>
      </c>
      <c r="H482" s="191">
        <v>-9.1944800000000004</v>
      </c>
      <c r="I482" s="191">
        <v>-4.5954682</v>
      </c>
      <c r="J482" s="191">
        <v>0</v>
      </c>
      <c r="K482" s="191">
        <v>-0.42294979524531001</v>
      </c>
      <c r="L482" s="191">
        <v>-0.70255982989445498</v>
      </c>
      <c r="M482" s="191">
        <v>0.28029661970511</v>
      </c>
      <c r="N482" s="191">
        <v>-0.25914438273474799</v>
      </c>
      <c r="O482" s="191">
        <v>2.57299511739198E-2</v>
      </c>
      <c r="T482" s="48">
        <v>6</v>
      </c>
      <c r="U482" s="46" t="s">
        <v>252</v>
      </c>
      <c r="V482" s="53" t="s">
        <v>533</v>
      </c>
      <c r="W482" s="53" t="s">
        <v>547</v>
      </c>
      <c r="X482" s="53" t="s">
        <v>556</v>
      </c>
      <c r="Y482" s="172">
        <f>IFERROR(-tblZwaste1422[[#This Row],[Weight (kgCO2e/kg)]],0)</f>
        <v>-2.0748000000000002</v>
      </c>
      <c r="Z482" s="172" t="e">
        <f>IF(AQ482="x",(AR482*-tblZwaste1422[[#This Row],[Weight (kgCO2e/kg)]])+AS482+($AR$10*Lookups!$J$38/1000),"DELETE")</f>
        <v>#N/A</v>
      </c>
      <c r="AA482" s="176" t="s">
        <v>567</v>
      </c>
      <c r="AB482" s="172" t="s">
        <v>567</v>
      </c>
      <c r="AC482" s="172" t="s">
        <v>567</v>
      </c>
      <c r="AD482" s="172">
        <v>2.6040723761235202E-2</v>
      </c>
      <c r="AE482" s="172">
        <v>0.394654844237527</v>
      </c>
      <c r="AF482" s="172">
        <v>3.0368312004139799</v>
      </c>
      <c r="AG482" s="150"/>
      <c r="AI482" s="137">
        <v>6</v>
      </c>
      <c r="AJ482" s="136" t="s">
        <v>252</v>
      </c>
      <c r="AK482" s="142" t="s">
        <v>533</v>
      </c>
      <c r="AL482" s="136" t="s">
        <v>547</v>
      </c>
      <c r="AM482" s="136" t="s">
        <v>556</v>
      </c>
      <c r="AN482" s="1">
        <v>2.0748000000000002</v>
      </c>
      <c r="AO482" s="166">
        <v>1.77911</v>
      </c>
      <c r="AQ482" t="e">
        <f>_xlfn.XLOOKUP(tblGWP21[[#This Row],[Material Subcategory]],ls_Mat,Factors!$K$952:$K$1023)</f>
        <v>#N/A</v>
      </c>
      <c r="AR482" s="173">
        <v>0.77500000000000002</v>
      </c>
      <c r="AS482">
        <v>8.1306407300000008E-2</v>
      </c>
      <c r="AT482" t="s">
        <v>531</v>
      </c>
      <c r="BA482" cm="1">
        <f t="array" ref="BA482:BM482">tblGWP21[#This Row]</f>
        <v>6</v>
      </c>
      <c r="BB482" t="str">
        <v>Plastics</v>
      </c>
      <c r="BC482" t="str">
        <v>PVC</v>
      </c>
      <c r="BD482" t="str">
        <v>Asia</v>
      </c>
      <c r="BE482" t="str">
        <v>India</v>
      </c>
      <c r="BF482">
        <v>-2.0748000000000002</v>
      </c>
      <c r="BG482" t="e">
        <v>#N/A</v>
      </c>
      <c r="BH482" t="str">
        <v>DELETE</v>
      </c>
      <c r="BI482" t="str">
        <v>DELETE</v>
      </c>
      <c r="BJ482" t="str">
        <v>DELETE</v>
      </c>
      <c r="BK482">
        <v>2.6040723761235202E-2</v>
      </c>
      <c r="BL482">
        <v>0.394654844237527</v>
      </c>
      <c r="BM482">
        <v>3.0368312004139799</v>
      </c>
    </row>
    <row r="483" spans="3:65">
      <c r="C483" s="362">
        <v>6</v>
      </c>
      <c r="D483" s="363" t="s">
        <v>261</v>
      </c>
      <c r="E483" s="362" t="s">
        <v>262</v>
      </c>
      <c r="F483" s="362" t="s">
        <v>547</v>
      </c>
      <c r="G483" s="362" t="s">
        <v>556</v>
      </c>
      <c r="H483" s="368">
        <v>-2.5034000000000001</v>
      </c>
      <c r="I483" s="368">
        <v>0</v>
      </c>
      <c r="J483" s="368">
        <v>0</v>
      </c>
      <c r="K483" s="368">
        <v>-0.42294979524531001</v>
      </c>
      <c r="L483" s="368">
        <v>-0.70255982989445498</v>
      </c>
      <c r="M483" s="368">
        <v>0.28029661970511</v>
      </c>
      <c r="N483" s="368">
        <v>-0.25914438273474799</v>
      </c>
      <c r="O483" s="368">
        <v>2.57299511739198E-2</v>
      </c>
      <c r="T483" s="48">
        <v>6</v>
      </c>
      <c r="U483" s="46" t="s">
        <v>242</v>
      </c>
      <c r="V483" s="53" t="s">
        <v>242</v>
      </c>
      <c r="W483" s="53" t="s">
        <v>547</v>
      </c>
      <c r="X483" s="53" t="s">
        <v>556</v>
      </c>
      <c r="Y483" s="172">
        <f>IFERROR(-tblZwaste1422[[#This Row],[Weight (kgCO2e/kg)]],0)</f>
        <v>-38.486130000000003</v>
      </c>
      <c r="Z483" s="172" t="e">
        <f>IF(AQ483="x",(AR483*-tblZwaste1422[[#This Row],[Weight (kgCO2e/kg)]])+AS483+($AR$10*Lookups!$J$38/1000),"DELETE")</f>
        <v>#N/A</v>
      </c>
      <c r="AA483" s="172">
        <f>AVERAGE(AA484,AA485,AA517,AA518)</f>
        <v>-3.2868550000000001</v>
      </c>
      <c r="AB483" s="172" t="s">
        <v>567</v>
      </c>
      <c r="AC483" s="172" t="s">
        <v>567</v>
      </c>
      <c r="AD483" s="172">
        <v>2.5860000000000001E-2</v>
      </c>
      <c r="AE483" s="172">
        <v>4.1075091000055998E-2</v>
      </c>
      <c r="AF483" s="172">
        <v>4.8932475133413401E-2</v>
      </c>
      <c r="AG483" s="150"/>
      <c r="AI483" s="137">
        <v>6</v>
      </c>
      <c r="AJ483" s="136" t="s">
        <v>242</v>
      </c>
      <c r="AK483" s="142" t="s">
        <v>242</v>
      </c>
      <c r="AL483" s="136" t="s">
        <v>547</v>
      </c>
      <c r="AM483" s="136" t="s">
        <v>556</v>
      </c>
      <c r="AN483" s="1">
        <v>38.486130000000003</v>
      </c>
      <c r="AO483" s="166">
        <v>0.20843</v>
      </c>
      <c r="AQ483" t="e">
        <f>_xlfn.XLOOKUP(tblGWP21[[#This Row],[Material Subcategory]],ls_Mat,Factors!$K$952:$K$1023)</f>
        <v>#N/A</v>
      </c>
      <c r="AR483" s="173">
        <v>0.72499999999999998</v>
      </c>
      <c r="AS483">
        <v>0</v>
      </c>
      <c r="AT483" t="s">
        <v>527</v>
      </c>
      <c r="BA483" cm="1">
        <f t="array" ref="BA483:BM483">tblGWP21[#This Row]</f>
        <v>6</v>
      </c>
      <c r="BB483" t="str">
        <v>Electronics</v>
      </c>
      <c r="BC483" t="str">
        <v>Electronics</v>
      </c>
      <c r="BD483" t="str">
        <v>Asia</v>
      </c>
      <c r="BE483" t="str">
        <v>India</v>
      </c>
      <c r="BF483">
        <v>-38.486130000000003</v>
      </c>
      <c r="BG483" t="e">
        <v>#N/A</v>
      </c>
      <c r="BH483">
        <v>-3.2868550000000001</v>
      </c>
      <c r="BI483" t="str">
        <v>DELETE</v>
      </c>
      <c r="BJ483" t="str">
        <v>DELETE</v>
      </c>
      <c r="BK483">
        <v>2.5860000000000001E-2</v>
      </c>
      <c r="BL483">
        <v>4.1075091000055998E-2</v>
      </c>
      <c r="BM483">
        <v>4.8932475133413401E-2</v>
      </c>
    </row>
    <row r="484" spans="3:65">
      <c r="C484" s="136">
        <v>6</v>
      </c>
      <c r="D484" s="137" t="s">
        <v>252</v>
      </c>
      <c r="E484" s="136" t="s">
        <v>252</v>
      </c>
      <c r="F484" s="136" t="s">
        <v>547</v>
      </c>
      <c r="G484" s="136" t="s">
        <v>556</v>
      </c>
      <c r="H484" s="191">
        <v>-2.0953266666666663</v>
      </c>
      <c r="I484" s="191">
        <v>-1.5407999593666664</v>
      </c>
      <c r="J484" s="191">
        <v>-4.4026458801754389</v>
      </c>
      <c r="K484" s="191">
        <v>0</v>
      </c>
      <c r="L484" s="191">
        <v>0</v>
      </c>
      <c r="M484" s="191">
        <v>2.6040731092765699E-2</v>
      </c>
      <c r="N484" s="191">
        <v>0.464223353037373</v>
      </c>
      <c r="O484" s="191">
        <v>2.1870266836515802</v>
      </c>
      <c r="T484" s="48">
        <v>6</v>
      </c>
      <c r="U484" s="46" t="s">
        <v>242</v>
      </c>
      <c r="V484" s="53" t="s">
        <v>274</v>
      </c>
      <c r="W484" s="53" t="s">
        <v>547</v>
      </c>
      <c r="X484" s="53" t="s">
        <v>556</v>
      </c>
      <c r="Y484" s="172">
        <f>IFERROR(-tblZwaste1422[[#This Row],[Weight (kgCO2e/kg)]],0)</f>
        <v>-38.486130000000003</v>
      </c>
      <c r="Z484" s="172">
        <f>IF(AQ484="x",(AR484*-tblZwaste1422[[#This Row],[Weight (kgCO2e/kg)]])+AS484+($AR$10*Lookups!$J$38/1000),"DELETE")</f>
        <v>-27.900672450000002</v>
      </c>
      <c r="AA484" s="172">
        <v>-8.5278425000000002</v>
      </c>
      <c r="AB484" s="172" t="s">
        <v>567</v>
      </c>
      <c r="AC484" s="172" t="s">
        <v>567</v>
      </c>
      <c r="AD484" s="172">
        <v>2.5860000000000001E-2</v>
      </c>
      <c r="AE484" s="172">
        <v>4.1075091000055998E-2</v>
      </c>
      <c r="AF484" s="172">
        <v>4.8932475133413401E-2</v>
      </c>
      <c r="AG484" s="150"/>
      <c r="AI484" s="137">
        <v>6</v>
      </c>
      <c r="AJ484" s="136" t="s">
        <v>242</v>
      </c>
      <c r="AK484" s="142" t="s">
        <v>242</v>
      </c>
      <c r="AL484" s="136" t="s">
        <v>547</v>
      </c>
      <c r="AM484" s="136" t="s">
        <v>556</v>
      </c>
      <c r="AN484" s="1">
        <v>38.486130000000003</v>
      </c>
      <c r="AO484" s="166">
        <v>0.20843</v>
      </c>
      <c r="AQ484" t="str">
        <f>_xlfn.XLOOKUP(tblGWP21[[#This Row],[Material Subcategory]],ls_Mat,Factors!$K$952:$K$1023)</f>
        <v>x</v>
      </c>
      <c r="AR484" s="173">
        <v>0.72499999999999998</v>
      </c>
      <c r="AS484">
        <v>0</v>
      </c>
      <c r="AT484" t="s">
        <v>527</v>
      </c>
      <c r="BA484" cm="1">
        <f t="array" ref="BA484:BM484">tblGWP21[#This Row]</f>
        <v>6</v>
      </c>
      <c r="BB484" t="str">
        <v>Electronics</v>
      </c>
      <c r="BC484" t="str">
        <v>E-waste</v>
      </c>
      <c r="BD484" t="str">
        <v>Asia</v>
      </c>
      <c r="BE484" t="str">
        <v>India</v>
      </c>
      <c r="BF484">
        <v>-38.486130000000003</v>
      </c>
      <c r="BG484">
        <v>-27.900672450000002</v>
      </c>
      <c r="BH484">
        <v>-8.5278425000000002</v>
      </c>
      <c r="BI484" t="str">
        <v>DELETE</v>
      </c>
      <c r="BJ484" t="str">
        <v>DELETE</v>
      </c>
      <c r="BK484">
        <v>2.5860000000000001E-2</v>
      </c>
      <c r="BL484">
        <v>4.1075091000055998E-2</v>
      </c>
      <c r="BM484">
        <v>4.8932475133413401E-2</v>
      </c>
    </row>
    <row r="485" spans="3:65" ht="28.8">
      <c r="C485" s="362">
        <v>6</v>
      </c>
      <c r="D485" s="363" t="s">
        <v>252</v>
      </c>
      <c r="E485" s="362" t="s">
        <v>253</v>
      </c>
      <c r="F485" s="362" t="s">
        <v>547</v>
      </c>
      <c r="G485" s="362" t="s">
        <v>556</v>
      </c>
      <c r="H485" s="368">
        <v>-2.04928</v>
      </c>
      <c r="I485" s="368">
        <v>0</v>
      </c>
      <c r="J485" s="368">
        <v>-3.8381380796100326</v>
      </c>
      <c r="K485" s="368">
        <v>0</v>
      </c>
      <c r="L485" s="368">
        <v>0</v>
      </c>
      <c r="M485" s="368">
        <v>2.6040728044352601E-2</v>
      </c>
      <c r="N485" s="368">
        <v>0.210562605639705</v>
      </c>
      <c r="O485" s="368">
        <v>3.1831779567246001</v>
      </c>
      <c r="T485" s="48">
        <v>6</v>
      </c>
      <c r="U485" s="46" t="s">
        <v>242</v>
      </c>
      <c r="V485" s="53" t="s">
        <v>534</v>
      </c>
      <c r="W485" s="53" t="s">
        <v>547</v>
      </c>
      <c r="X485" s="53" t="s">
        <v>556</v>
      </c>
      <c r="Y485" s="172">
        <f>IFERROR(-tblZwaste1422[[#This Row],[Weight (kgCO2e/kg)]],0)</f>
        <v>-15.0122</v>
      </c>
      <c r="Z485" s="172">
        <f>IF(AQ485="x",(AR485*-tblZwaste1422[[#This Row],[Weight (kgCO2e/kg)]])+AS485+($AR$10*Lookups!$J$38/1000),"DELETE")</f>
        <v>-10.882073199999999</v>
      </c>
      <c r="AA485" s="172">
        <v>-3.19428</v>
      </c>
      <c r="AB485" s="172" t="s">
        <v>567</v>
      </c>
      <c r="AC485" s="172" t="s">
        <v>567</v>
      </c>
      <c r="AD485" s="172">
        <v>2.5860000000000001E-2</v>
      </c>
      <c r="AE485" s="172">
        <v>4.1075091000055998E-2</v>
      </c>
      <c r="AF485" s="172">
        <v>4.8932475133413401E-2</v>
      </c>
      <c r="AG485" s="150"/>
      <c r="AI485" s="137">
        <v>6</v>
      </c>
      <c r="AJ485" s="136" t="s">
        <v>242</v>
      </c>
      <c r="AK485" s="142" t="s">
        <v>534</v>
      </c>
      <c r="AL485" s="136" t="s">
        <v>547</v>
      </c>
      <c r="AM485" s="136" t="s">
        <v>556</v>
      </c>
      <c r="AN485" s="1">
        <v>15.0122</v>
      </c>
      <c r="AO485" s="166">
        <v>0.37092000000000003</v>
      </c>
      <c r="AQ485" t="str">
        <f>_xlfn.XLOOKUP(tblGWP21[[#This Row],[Material Subcategory]],ls_Mat,Factors!$K$952:$K$1023)</f>
        <v>x</v>
      </c>
      <c r="AR485" s="173">
        <v>0.72499999999999998</v>
      </c>
      <c r="AS485">
        <v>0</v>
      </c>
      <c r="AT485" t="s">
        <v>527</v>
      </c>
      <c r="AU485" t="s">
        <v>526</v>
      </c>
      <c r="AV485" s="347">
        <v>0.5</v>
      </c>
      <c r="BA485" cm="1">
        <f t="array" ref="BA485:BM485">tblGWP21[#This Row]</f>
        <v>6</v>
      </c>
      <c r="BB485" t="str">
        <v>Electronics</v>
      </c>
      <c r="BC485" t="str">
        <v>Batteries</v>
      </c>
      <c r="BD485" t="str">
        <v>Asia</v>
      </c>
      <c r="BE485" t="str">
        <v>India</v>
      </c>
      <c r="BF485">
        <v>-15.0122</v>
      </c>
      <c r="BG485">
        <v>-10.882073199999999</v>
      </c>
      <c r="BH485">
        <v>-3.19428</v>
      </c>
      <c r="BI485" t="str">
        <v>DELETE</v>
      </c>
      <c r="BJ485" t="str">
        <v>DELETE</v>
      </c>
      <c r="BK485">
        <v>2.5860000000000001E-2</v>
      </c>
      <c r="BL485">
        <v>4.1075091000055998E-2</v>
      </c>
      <c r="BM485">
        <v>4.8932475133413401E-2</v>
      </c>
    </row>
    <row r="486" spans="3:65">
      <c r="C486" s="136">
        <v>6</v>
      </c>
      <c r="D486" s="137" t="s">
        <v>252</v>
      </c>
      <c r="E486" s="136" t="s">
        <v>328</v>
      </c>
      <c r="F486" s="136" t="s">
        <v>547</v>
      </c>
      <c r="G486" s="136" t="s">
        <v>556</v>
      </c>
      <c r="H486" s="191">
        <v>-2.3231199999999999</v>
      </c>
      <c r="I486" s="191">
        <v>0</v>
      </c>
      <c r="J486" s="191">
        <v>-4.5666853324341119</v>
      </c>
      <c r="K486" s="191">
        <v>0</v>
      </c>
      <c r="L486" s="191">
        <v>0</v>
      </c>
      <c r="M486" s="191">
        <v>2.6040728847734299E-2</v>
      </c>
      <c r="N486" s="191">
        <v>0.33008116104865598</v>
      </c>
      <c r="O486" s="191">
        <v>2.4956094306866898</v>
      </c>
      <c r="T486" s="48">
        <v>6</v>
      </c>
      <c r="U486" s="46" t="s">
        <v>239</v>
      </c>
      <c r="V486" s="53" t="s">
        <v>239</v>
      </c>
      <c r="W486" s="53" t="s">
        <v>547</v>
      </c>
      <c r="X486" s="53" t="s">
        <v>556</v>
      </c>
      <c r="Y486" s="172">
        <f>IFERROR(-tblZwaste1422[[#This Row],[Weight (kgCO2e/kg)]],0)</f>
        <v>-2.6644477777777777</v>
      </c>
      <c r="Z486" s="172" t="e">
        <f>IF(AQ486="x",(AR486*-tblZwaste1422[[#This Row],[Weight (kgCO2e/kg)]])+AS486+($AR$10*Lookups!$J$38/1000),"DELETE")</f>
        <v>#N/A</v>
      </c>
      <c r="AA486" s="176">
        <v>-0.90244815300206405</v>
      </c>
      <c r="AB486" s="172">
        <v>-1.5823914514950801</v>
      </c>
      <c r="AC486" s="172">
        <v>-2.39025290122775</v>
      </c>
      <c r="AD486" s="172">
        <v>-0.60576406900190205</v>
      </c>
      <c r="AE486" s="172">
        <v>-0.93094962859978103</v>
      </c>
      <c r="AF486" s="172">
        <v>2.7472942241024201E-2</v>
      </c>
      <c r="AG486" s="150"/>
      <c r="AI486" s="137">
        <v>6</v>
      </c>
      <c r="AJ486" s="136" t="s">
        <v>239</v>
      </c>
      <c r="AK486" s="142" t="s">
        <v>239</v>
      </c>
      <c r="AL486" s="136" t="s">
        <v>547</v>
      </c>
      <c r="AM486" s="136" t="s">
        <v>556</v>
      </c>
      <c r="AN486" s="1">
        <v>2.6644477777777777</v>
      </c>
      <c r="AO486" s="166">
        <v>0.64099666666666666</v>
      </c>
      <c r="AQ486" t="e">
        <f>_xlfn.XLOOKUP(tblGWP21[[#This Row],[Material Subcategory]],ls_Mat,Factors!$K$952:$K$1023)</f>
        <v>#N/A</v>
      </c>
      <c r="AR486" s="173">
        <v>0.64600000000000002</v>
      </c>
      <c r="AS486">
        <v>0</v>
      </c>
      <c r="AT486" t="s">
        <v>527</v>
      </c>
      <c r="BA486" cm="1">
        <f t="array" ref="BA486:BM486">tblGWP21[#This Row]</f>
        <v>6</v>
      </c>
      <c r="BB486" t="str">
        <v>Paper</v>
      </c>
      <c r="BC486" t="str">
        <v>Paper</v>
      </c>
      <c r="BD486" t="str">
        <v>Asia</v>
      </c>
      <c r="BE486" t="str">
        <v>India</v>
      </c>
      <c r="BF486">
        <v>-2.6644477777777777</v>
      </c>
      <c r="BG486" t="e">
        <v>#N/A</v>
      </c>
      <c r="BH486">
        <v>-0.90244815300206405</v>
      </c>
      <c r="BI486">
        <v>-1.5823914514950801</v>
      </c>
      <c r="BJ486">
        <v>-2.39025290122775</v>
      </c>
      <c r="BK486">
        <v>-0.60576406900190205</v>
      </c>
      <c r="BL486">
        <v>-0.93094962859978103</v>
      </c>
      <c r="BM486">
        <v>2.7472942241024201E-2</v>
      </c>
    </row>
    <row r="487" spans="3:65">
      <c r="C487" s="362">
        <v>6</v>
      </c>
      <c r="D487" s="363" t="s">
        <v>252</v>
      </c>
      <c r="E487" s="362" t="s">
        <v>254</v>
      </c>
      <c r="F487" s="362" t="s">
        <v>547</v>
      </c>
      <c r="G487" s="362" t="s">
        <v>556</v>
      </c>
      <c r="H487" s="368">
        <v>-2.1485799999999999</v>
      </c>
      <c r="I487" s="368">
        <v>0</v>
      </c>
      <c r="J487" s="368">
        <v>-4.6390747762234978</v>
      </c>
      <c r="K487" s="368">
        <v>0</v>
      </c>
      <c r="L487" s="368">
        <v>0</v>
      </c>
      <c r="M487" s="368">
        <v>2.60407280443203E-2</v>
      </c>
      <c r="N487" s="368">
        <v>0.50464281528936294</v>
      </c>
      <c r="O487" s="368">
        <v>2.5363330593963398</v>
      </c>
      <c r="T487" s="48">
        <v>6</v>
      </c>
      <c r="U487" s="46" t="s">
        <v>239</v>
      </c>
      <c r="V487" s="53" t="s">
        <v>324</v>
      </c>
      <c r="W487" s="53" t="s">
        <v>547</v>
      </c>
      <c r="X487" s="53" t="s">
        <v>556</v>
      </c>
      <c r="Y487" s="172">
        <f>IFERROR(-tblZwaste1422[[#This Row],[Weight (kgCO2e/kg)]],0)</f>
        <v>-1.66</v>
      </c>
      <c r="Z487" s="172" t="str">
        <f>IF(AQ487="x",(AR487*-tblZwaste1422[[#This Row],[Weight (kgCO2e/kg)]])+AS487+($AR$10*Lookups!$J$38/1000),"DELETE")</f>
        <v>DELETE</v>
      </c>
      <c r="AA487" s="176">
        <v>0.1396947306964815</v>
      </c>
      <c r="AB487" s="172">
        <v>-1.5931961690249401</v>
      </c>
      <c r="AC487" s="172">
        <v>-2.2369298238349402</v>
      </c>
      <c r="AD487" s="172">
        <v>-1.10780997520734</v>
      </c>
      <c r="AE487" s="172">
        <v>-1.01193471996385</v>
      </c>
      <c r="AF487" s="172">
        <v>2.6683067303327399E-2</v>
      </c>
      <c r="AG487" s="150"/>
      <c r="AI487" s="137">
        <v>6</v>
      </c>
      <c r="AJ487" s="136" t="s">
        <v>239</v>
      </c>
      <c r="AK487" s="142" t="s">
        <v>324</v>
      </c>
      <c r="AL487" s="136" t="s">
        <v>547</v>
      </c>
      <c r="AM487" s="136" t="s">
        <v>556</v>
      </c>
      <c r="AN487" s="1">
        <v>1.66</v>
      </c>
      <c r="AO487" s="166">
        <v>0.13142999999999999</v>
      </c>
      <c r="AQ487">
        <f>_xlfn.XLOOKUP(tblGWP21[[#This Row],[Material Subcategory]],ls_Mat,Factors!$K$952:$K$1023)</f>
        <v>0</v>
      </c>
      <c r="AR487" s="173">
        <v>0.64600000000000002</v>
      </c>
      <c r="AS487">
        <v>0</v>
      </c>
      <c r="AT487" t="s">
        <v>527</v>
      </c>
      <c r="BA487" cm="1">
        <f t="array" ref="BA487:BM487">tblGWP21[#This Row]</f>
        <v>6</v>
      </c>
      <c r="BB487" t="str">
        <v>Paper</v>
      </c>
      <c r="BC487" t="str">
        <v>Newsprint</v>
      </c>
      <c r="BD487" t="str">
        <v>Asia</v>
      </c>
      <c r="BE487" t="str">
        <v>India</v>
      </c>
      <c r="BF487">
        <v>-1.66</v>
      </c>
      <c r="BG487" t="str">
        <v>DELETE</v>
      </c>
      <c r="BH487">
        <v>0.1396947306964815</v>
      </c>
      <c r="BI487">
        <v>-1.5931961690249401</v>
      </c>
      <c r="BJ487">
        <v>-2.2369298238349402</v>
      </c>
      <c r="BK487">
        <v>-1.10780997520734</v>
      </c>
      <c r="BL487">
        <v>-1.01193471996385</v>
      </c>
      <c r="BM487">
        <v>2.6683067303327399E-2</v>
      </c>
    </row>
    <row r="488" spans="3:65">
      <c r="C488" s="136">
        <v>6</v>
      </c>
      <c r="D488" s="137" t="s">
        <v>252</v>
      </c>
      <c r="E488" s="136" t="s">
        <v>532</v>
      </c>
      <c r="F488" s="136" t="s">
        <v>547</v>
      </c>
      <c r="G488" s="136" t="s">
        <v>556</v>
      </c>
      <c r="H488" s="191">
        <v>-1.9492499999999999</v>
      </c>
      <c r="I488" s="191">
        <v>0</v>
      </c>
      <c r="J488" s="191">
        <v>-4.5666853324341119</v>
      </c>
      <c r="K488" s="191">
        <v>0</v>
      </c>
      <c r="L488" s="191">
        <v>0</v>
      </c>
      <c r="M488" s="191">
        <v>2.6040728847734299E-2</v>
      </c>
      <c r="N488" s="191">
        <v>0.33008116104865598</v>
      </c>
      <c r="O488" s="191">
        <v>2.4956094306866898</v>
      </c>
      <c r="T488" s="48">
        <v>6</v>
      </c>
      <c r="U488" s="46" t="s">
        <v>239</v>
      </c>
      <c r="V488" s="53" t="s">
        <v>272</v>
      </c>
      <c r="W488" s="53" t="s">
        <v>547</v>
      </c>
      <c r="X488" s="53" t="s">
        <v>556</v>
      </c>
      <c r="Y488" s="172">
        <f>IFERROR(-tblZwaste1422[[#This Row],[Weight (kgCO2e/kg)]],0)</f>
        <v>-2.1278299999999999</v>
      </c>
      <c r="Z488" s="172">
        <f>IF(AQ488="x",(AR488*-tblZwaste1422[[#This Row],[Weight (kgCO2e/kg)]])+AS488+($AR$10*Lookups!$J$38/1000),"DELETE")</f>
        <v>-1.3728063799999999</v>
      </c>
      <c r="AA488" s="176">
        <v>1.5053973137750708E-2</v>
      </c>
      <c r="AB488" s="172">
        <v>-1.4198911030999699</v>
      </c>
      <c r="AC488" s="172">
        <v>-2.25405904094508</v>
      </c>
      <c r="AD488" s="172">
        <v>6.7720000000000002E-2</v>
      </c>
      <c r="AE488" s="172">
        <v>-0.79660085842781303</v>
      </c>
      <c r="AF488" s="172">
        <v>3.4587160965760602E-2</v>
      </c>
      <c r="AG488" s="150"/>
      <c r="AI488" s="137">
        <v>6</v>
      </c>
      <c r="AJ488" s="136" t="s">
        <v>239</v>
      </c>
      <c r="AK488" s="142" t="s">
        <v>272</v>
      </c>
      <c r="AL488" s="136" t="s">
        <v>547</v>
      </c>
      <c r="AM488" s="136" t="s">
        <v>556</v>
      </c>
      <c r="AN488" s="1">
        <v>2.1278299999999999</v>
      </c>
      <c r="AO488" s="166">
        <v>1.2152400000000001</v>
      </c>
      <c r="AQ488" t="str">
        <f>_xlfn.XLOOKUP(tblGWP21[[#This Row],[Material Subcategory]],ls_Mat,Factors!$K$952:$K$1023)</f>
        <v>x</v>
      </c>
      <c r="AR488" s="173">
        <v>0.64600000000000002</v>
      </c>
      <c r="AS488">
        <v>0</v>
      </c>
      <c r="AT488" t="s">
        <v>527</v>
      </c>
      <c r="BA488" cm="1">
        <f t="array" ref="BA488:BM488">tblGWP21[#This Row]</f>
        <v>6</v>
      </c>
      <c r="BB488" t="str">
        <v>Paper</v>
      </c>
      <c r="BC488" t="str">
        <v>Corr. Cardboard</v>
      </c>
      <c r="BD488" t="str">
        <v>Asia</v>
      </c>
      <c r="BE488" t="str">
        <v>India</v>
      </c>
      <c r="BF488">
        <v>-2.1278299999999999</v>
      </c>
      <c r="BG488">
        <v>-1.3728063799999999</v>
      </c>
      <c r="BH488">
        <v>1.5053973137750708E-2</v>
      </c>
      <c r="BI488">
        <v>-1.4198911030999699</v>
      </c>
      <c r="BJ488">
        <v>-2.25405904094508</v>
      </c>
      <c r="BK488">
        <v>6.7720000000000002E-2</v>
      </c>
      <c r="BL488">
        <v>-0.79660085842781303</v>
      </c>
      <c r="BM488">
        <v>3.4587160965760602E-2</v>
      </c>
    </row>
    <row r="489" spans="3:65">
      <c r="C489" s="362">
        <v>6</v>
      </c>
      <c r="D489" s="363" t="s">
        <v>252</v>
      </c>
      <c r="E489" s="362" t="s">
        <v>245</v>
      </c>
      <c r="F489" s="362" t="s">
        <v>547</v>
      </c>
      <c r="G489" s="362" t="s">
        <v>556</v>
      </c>
      <c r="H489" s="368">
        <v>-2.0269300000000001</v>
      </c>
      <c r="I489" s="368">
        <v>0</v>
      </c>
      <c r="J489" s="368">
        <v>0</v>
      </c>
      <c r="K489" s="368">
        <v>0</v>
      </c>
      <c r="L489" s="368">
        <v>0</v>
      </c>
      <c r="M489" s="368">
        <v>2.6040728968980201E-2</v>
      </c>
      <c r="N489" s="368">
        <v>0.16048480422712499</v>
      </c>
      <c r="O489" s="368">
        <v>3.1833672666267101</v>
      </c>
      <c r="T489" s="48">
        <v>6</v>
      </c>
      <c r="U489" s="46" t="s">
        <v>239</v>
      </c>
      <c r="V489" s="53" t="s">
        <v>329</v>
      </c>
      <c r="W489" s="53" t="s">
        <v>547</v>
      </c>
      <c r="X489" s="53" t="s">
        <v>556</v>
      </c>
      <c r="Y489" s="172">
        <f>IFERROR(-tblZwaste1422[[#This Row],[Weight (kgCO2e/kg)]],0)</f>
        <v>-3.4792200000000002</v>
      </c>
      <c r="Z489" s="172" t="str">
        <f>IF(AQ489="x",(AR489*-tblZwaste1422[[#This Row],[Weight (kgCO2e/kg)]])+AS489+($AR$10*Lookups!$J$38/1000),"DELETE")</f>
        <v>DELETE</v>
      </c>
      <c r="AA489" s="176">
        <v>-3.0248820626613884</v>
      </c>
      <c r="AB489" s="172">
        <v>-1.54203431894792</v>
      </c>
      <c r="AC489" s="172">
        <v>-2.5192196780422198</v>
      </c>
      <c r="AD489" s="172">
        <v>0.54061914698270197</v>
      </c>
      <c r="AE489" s="172">
        <v>-0.79971407433627795</v>
      </c>
      <c r="AF489" s="172">
        <v>3.7251606753389899E-2</v>
      </c>
      <c r="AG489" s="150"/>
      <c r="AI489" s="137">
        <v>6</v>
      </c>
      <c r="AJ489" s="136" t="s">
        <v>239</v>
      </c>
      <c r="AK489" s="142" t="s">
        <v>329</v>
      </c>
      <c r="AL489" s="136" t="s">
        <v>547</v>
      </c>
      <c r="AM489" s="136" t="s">
        <v>556</v>
      </c>
      <c r="AN489" s="1">
        <v>3.4792200000000002</v>
      </c>
      <c r="AO489" s="166">
        <v>1.0383</v>
      </c>
      <c r="AQ489">
        <f>_xlfn.XLOOKUP(tblGWP21[[#This Row],[Material Subcategory]],ls_Mat,Factors!$K$952:$K$1023)</f>
        <v>0</v>
      </c>
      <c r="BA489" cm="1">
        <f t="array" ref="BA489:BM489">tblGWP21[#This Row]</f>
        <v>6</v>
      </c>
      <c r="BB489" t="str">
        <v>Paper</v>
      </c>
      <c r="BC489" t="str">
        <v>Office Paper</v>
      </c>
      <c r="BD489" t="str">
        <v>Asia</v>
      </c>
      <c r="BE489" t="str">
        <v>India</v>
      </c>
      <c r="BF489">
        <v>-3.4792200000000002</v>
      </c>
      <c r="BG489" t="str">
        <v>DELETE</v>
      </c>
      <c r="BH489">
        <v>-3.0248820626613884</v>
      </c>
      <c r="BI489">
        <v>-1.54203431894792</v>
      </c>
      <c r="BJ489">
        <v>-2.5192196780422198</v>
      </c>
      <c r="BK489">
        <v>0.54061914698270197</v>
      </c>
      <c r="BL489">
        <v>-0.79971407433627795</v>
      </c>
      <c r="BM489">
        <v>3.7251606753389899E-2</v>
      </c>
    </row>
    <row r="490" spans="3:65">
      <c r="C490" s="136">
        <v>6</v>
      </c>
      <c r="D490" s="137" t="s">
        <v>252</v>
      </c>
      <c r="E490" s="136" t="s">
        <v>533</v>
      </c>
      <c r="F490" s="136" t="s">
        <v>547</v>
      </c>
      <c r="G490" s="136" t="s">
        <v>556</v>
      </c>
      <c r="H490" s="191">
        <v>-2.0748000000000002</v>
      </c>
      <c r="I490" s="191">
        <v>0</v>
      </c>
      <c r="J490" s="191">
        <v>0</v>
      </c>
      <c r="K490" s="191">
        <v>0</v>
      </c>
      <c r="L490" s="191">
        <v>0</v>
      </c>
      <c r="M490" s="191">
        <v>2.6040723761235202E-2</v>
      </c>
      <c r="N490" s="191">
        <v>0.394654844237527</v>
      </c>
      <c r="O490" s="191">
        <v>3.0368312004139799</v>
      </c>
      <c r="T490" s="48">
        <v>6</v>
      </c>
      <c r="U490" s="46" t="s">
        <v>239</v>
      </c>
      <c r="V490" s="53" t="s">
        <v>271</v>
      </c>
      <c r="W490" s="53" t="s">
        <v>547</v>
      </c>
      <c r="X490" s="53" t="s">
        <v>556</v>
      </c>
      <c r="Y490" s="172">
        <f>IFERROR(-tblZwaste1422[[#This Row],[Weight (kgCO2e/kg)]],0)</f>
        <v>-3.1045600000000002</v>
      </c>
      <c r="Z490" s="172" t="str">
        <f>IF(AQ490="x",(AR490*-tblZwaste1422[[#This Row],[Weight (kgCO2e/kg)]])+AS490+($AR$10*Lookups!$J$38/1000),"DELETE")</f>
        <v>DELETE</v>
      </c>
      <c r="AA490" s="176">
        <v>-1.0152541721273221</v>
      </c>
      <c r="AB490" s="172">
        <v>-1.45740757820858</v>
      </c>
      <c r="AC490" s="172">
        <v>-2.6029245012209099</v>
      </c>
      <c r="AD490" s="172">
        <v>-0.53637594297431002</v>
      </c>
      <c r="AE490" s="172">
        <v>-0.76219778967752105</v>
      </c>
      <c r="AF490" s="172">
        <v>4.0398740210004398E-2</v>
      </c>
      <c r="AG490" s="150"/>
      <c r="AI490" s="137">
        <v>6</v>
      </c>
      <c r="AJ490" s="136" t="s">
        <v>239</v>
      </c>
      <c r="AK490" s="142" t="s">
        <v>271</v>
      </c>
      <c r="AL490" s="136" t="s">
        <v>547</v>
      </c>
      <c r="AM490" s="136" t="s">
        <v>556</v>
      </c>
      <c r="AN490" s="1">
        <v>3.1045600000000002</v>
      </c>
      <c r="AO490" s="166">
        <v>0.12864</v>
      </c>
      <c r="AQ490">
        <f>_xlfn.XLOOKUP(tblGWP21[[#This Row],[Material Subcategory]],ls_Mat,Factors!$K$952:$K$1023)</f>
        <v>0</v>
      </c>
      <c r="BA490" cm="1">
        <f t="array" ref="BA490:BM490">tblGWP21[#This Row]</f>
        <v>6</v>
      </c>
      <c r="BB490" t="str">
        <v>Paper</v>
      </c>
      <c r="BC490" t="str">
        <v>Magazines</v>
      </c>
      <c r="BD490" t="str">
        <v>Asia</v>
      </c>
      <c r="BE490" t="str">
        <v>India</v>
      </c>
      <c r="BF490">
        <v>-3.1045600000000002</v>
      </c>
      <c r="BG490" t="str">
        <v>DELETE</v>
      </c>
      <c r="BH490">
        <v>-1.0152541721273221</v>
      </c>
      <c r="BI490">
        <v>-1.45740757820858</v>
      </c>
      <c r="BJ490">
        <v>-2.6029245012209099</v>
      </c>
      <c r="BK490">
        <v>-0.53637594297431002</v>
      </c>
      <c r="BL490">
        <v>-0.76219778967752105</v>
      </c>
      <c r="BM490">
        <v>4.0398740210004398E-2</v>
      </c>
    </row>
    <row r="491" spans="3:65">
      <c r="C491" s="362">
        <v>6</v>
      </c>
      <c r="D491" s="363" t="s">
        <v>242</v>
      </c>
      <c r="E491" s="362" t="s">
        <v>242</v>
      </c>
      <c r="F491" s="362" t="s">
        <v>547</v>
      </c>
      <c r="G491" s="362" t="s">
        <v>556</v>
      </c>
      <c r="H491" s="368">
        <v>-38.486130000000003</v>
      </c>
      <c r="I491" s="368">
        <v>-27.900672450000002</v>
      </c>
      <c r="J491" s="368">
        <v>-3.2868550000000001</v>
      </c>
      <c r="K491" s="368">
        <v>0</v>
      </c>
      <c r="L491" s="368">
        <v>0</v>
      </c>
      <c r="M491" s="368">
        <v>2.5860000000000001E-2</v>
      </c>
      <c r="N491" s="368">
        <v>4.1075091000055998E-2</v>
      </c>
      <c r="O491" s="368">
        <v>4.8932475133413401E-2</v>
      </c>
      <c r="T491" s="48">
        <v>6</v>
      </c>
      <c r="U491" s="46" t="s">
        <v>239</v>
      </c>
      <c r="V491" s="53" t="s">
        <v>535</v>
      </c>
      <c r="W491" s="53" t="s">
        <v>547</v>
      </c>
      <c r="X491" s="53" t="s">
        <v>556</v>
      </c>
      <c r="Y491" s="172">
        <f>IFERROR(-tblZwaste1422[[#This Row],[Weight (kgCO2e/kg)]],0)</f>
        <v>-3.1045600000000002</v>
      </c>
      <c r="Z491" s="172" t="str">
        <f>IF(AQ491="x",(AR491*-tblZwaste1422[[#This Row],[Weight (kgCO2e/kg)]])+AS491+($AR$10*Lookups!$J$38/1000),"DELETE")</f>
        <v>DELETE</v>
      </c>
      <c r="AA491" s="176">
        <v>-1.0152541721273221</v>
      </c>
      <c r="AB491" s="172">
        <v>-1.5661000736097901</v>
      </c>
      <c r="AC491" s="172">
        <v>-2.6084866875958999</v>
      </c>
      <c r="AD491" s="172">
        <v>-0.74483748111485704</v>
      </c>
      <c r="AE491" s="172">
        <v>-0.84761634144731002</v>
      </c>
      <c r="AF491" s="172">
        <v>2.9215550609518599E-2</v>
      </c>
      <c r="AG491" s="150"/>
      <c r="AI491" s="137">
        <v>6</v>
      </c>
      <c r="AJ491" s="136" t="s">
        <v>239</v>
      </c>
      <c r="AK491" s="142" t="s">
        <v>535</v>
      </c>
      <c r="AL491" s="136" t="s">
        <v>547</v>
      </c>
      <c r="AM491" s="136" t="s">
        <v>556</v>
      </c>
      <c r="AN491" s="1">
        <v>3.1045600000000002</v>
      </c>
      <c r="AO491" s="166">
        <v>0.12864</v>
      </c>
      <c r="AQ491">
        <f>_xlfn.XLOOKUP(tblGWP21[[#This Row],[Material Subcategory]],ls_Mat,Factors!$K$952:$K$1023)</f>
        <v>0</v>
      </c>
      <c r="BA491" cm="1">
        <f t="array" ref="BA491:BM491">tblGWP21[#This Row]</f>
        <v>6</v>
      </c>
      <c r="BB491" t="str">
        <v>Paper</v>
      </c>
      <c r="BC491" t="str">
        <v>3rd Class Mail</v>
      </c>
      <c r="BD491" t="str">
        <v>Asia</v>
      </c>
      <c r="BE491" t="str">
        <v>India</v>
      </c>
      <c r="BF491">
        <v>-3.1045600000000002</v>
      </c>
      <c r="BG491" t="str">
        <v>DELETE</v>
      </c>
      <c r="BH491">
        <v>-1.0152541721273221</v>
      </c>
      <c r="BI491">
        <v>-1.5661000736097901</v>
      </c>
      <c r="BJ491">
        <v>-2.6084866875958999</v>
      </c>
      <c r="BK491">
        <v>-0.74483748111485704</v>
      </c>
      <c r="BL491">
        <v>-0.84761634144731002</v>
      </c>
      <c r="BM491">
        <v>2.9215550609518599E-2</v>
      </c>
    </row>
    <row r="492" spans="3:65">
      <c r="C492" s="136">
        <v>6</v>
      </c>
      <c r="D492" s="137" t="s">
        <v>242</v>
      </c>
      <c r="E492" s="136" t="s">
        <v>274</v>
      </c>
      <c r="F492" s="136" t="s">
        <v>547</v>
      </c>
      <c r="G492" s="136" t="s">
        <v>556</v>
      </c>
      <c r="H492" s="191">
        <v>-38.486130000000003</v>
      </c>
      <c r="I492" s="191">
        <v>-27.900672450000002</v>
      </c>
      <c r="J492" s="191">
        <v>-8.5278425000000002</v>
      </c>
      <c r="K492" s="191">
        <v>0</v>
      </c>
      <c r="L492" s="191">
        <v>0</v>
      </c>
      <c r="M492" s="191">
        <v>2.5860000000000001E-2</v>
      </c>
      <c r="N492" s="191">
        <v>4.1075091000055998E-2</v>
      </c>
      <c r="O492" s="191">
        <v>4.8932475133413401E-2</v>
      </c>
      <c r="T492" s="48">
        <v>6</v>
      </c>
      <c r="U492" s="46" t="s">
        <v>239</v>
      </c>
      <c r="V492" s="53" t="s">
        <v>259</v>
      </c>
      <c r="W492" s="53" t="s">
        <v>547</v>
      </c>
      <c r="X492" s="53" t="s">
        <v>556</v>
      </c>
      <c r="Y492" s="172">
        <f>IFERROR(-tblZwaste1422[[#This Row],[Weight (kgCO2e/kg)]],0)</f>
        <v>-2.86965</v>
      </c>
      <c r="Z492" s="172" t="str">
        <f>IF(AQ492="x",(AR492*-tblZwaste1422[[#This Row],[Weight (kgCO2e/kg)]])+AS492+($AR$10*Lookups!$J$38/1000),"DELETE")</f>
        <v>DELETE</v>
      </c>
      <c r="AA492" s="176">
        <v>-1.0152541721273221</v>
      </c>
      <c r="AB492" s="172">
        <v>-1.2816704575259601</v>
      </c>
      <c r="AC492" s="172">
        <v>-2.0222494460176099</v>
      </c>
      <c r="AD492" s="172">
        <v>-0.35151709373397</v>
      </c>
      <c r="AE492" s="172">
        <v>-0.69069374294081098</v>
      </c>
      <c r="AF492" s="172">
        <v>2.8422995395521299E-2</v>
      </c>
      <c r="AG492" s="150"/>
      <c r="AI492" s="137">
        <v>6</v>
      </c>
      <c r="AJ492" s="136" t="s">
        <v>239</v>
      </c>
      <c r="AK492" s="142" t="s">
        <v>259</v>
      </c>
      <c r="AL492" s="136" t="s">
        <v>547</v>
      </c>
      <c r="AM492" s="136" t="s">
        <v>556</v>
      </c>
      <c r="AN492" s="1">
        <v>2.86965</v>
      </c>
      <c r="AO492" s="166">
        <v>0.79600000000000004</v>
      </c>
      <c r="AQ492">
        <f>_xlfn.XLOOKUP(tblGWP21[[#This Row],[Material Subcategory]],ls_Mat,Factors!$K$952:$K$1023)</f>
        <v>0</v>
      </c>
      <c r="AR492" s="173"/>
      <c r="BA492" cm="1">
        <f t="array" ref="BA492:BM492">tblGWP21[#This Row]</f>
        <v>6</v>
      </c>
      <c r="BB492" t="str">
        <v>Paper</v>
      </c>
      <c r="BC492" t="str">
        <v>Folding Containers</v>
      </c>
      <c r="BD492" t="str">
        <v>Asia</v>
      </c>
      <c r="BE492" t="str">
        <v>India</v>
      </c>
      <c r="BF492">
        <v>-2.86965</v>
      </c>
      <c r="BG492" t="str">
        <v>DELETE</v>
      </c>
      <c r="BH492">
        <v>-1.0152541721273221</v>
      </c>
      <c r="BI492">
        <v>-1.2816704575259601</v>
      </c>
      <c r="BJ492">
        <v>-2.0222494460176099</v>
      </c>
      <c r="BK492">
        <v>-0.35151709373397</v>
      </c>
      <c r="BL492">
        <v>-0.69069374294081098</v>
      </c>
      <c r="BM492">
        <v>2.8422995395521299E-2</v>
      </c>
    </row>
    <row r="493" spans="3:65">
      <c r="C493" s="362">
        <v>6</v>
      </c>
      <c r="D493" s="363" t="s">
        <v>242</v>
      </c>
      <c r="E493" s="362" t="s">
        <v>534</v>
      </c>
      <c r="F493" s="362" t="s">
        <v>547</v>
      </c>
      <c r="G493" s="362" t="s">
        <v>556</v>
      </c>
      <c r="H493" s="368">
        <v>-15.0122</v>
      </c>
      <c r="I493" s="368">
        <v>-10.882073199999999</v>
      </c>
      <c r="J493" s="368">
        <v>-3.19428</v>
      </c>
      <c r="K493" s="368">
        <v>0</v>
      </c>
      <c r="L493" s="368">
        <v>0</v>
      </c>
      <c r="M493" s="368">
        <v>2.5860000000000001E-2</v>
      </c>
      <c r="N493" s="368">
        <v>4.1075091000055998E-2</v>
      </c>
      <c r="O493" s="368">
        <v>4.8932475133413401E-2</v>
      </c>
      <c r="T493" s="48">
        <v>6</v>
      </c>
      <c r="U493" s="46" t="s">
        <v>239</v>
      </c>
      <c r="V493" s="53" t="s">
        <v>334</v>
      </c>
      <c r="W493" s="53" t="s">
        <v>547</v>
      </c>
      <c r="X493" s="53" t="s">
        <v>556</v>
      </c>
      <c r="Y493" s="172">
        <f>IFERROR(-tblZwaste1422[[#This Row],[Weight (kgCO2e/kg)]],0)</f>
        <v>-2.86965</v>
      </c>
      <c r="Z493" s="172" t="str">
        <f>IF(AQ493="x",(AR493*-tblZwaste1422[[#This Row],[Weight (kgCO2e/kg)]])+AS493+($AR$10*Lookups!$J$38/1000),"DELETE")</f>
        <v>DELETE</v>
      </c>
      <c r="AA493" s="176">
        <v>-1.0152541721273221</v>
      </c>
      <c r="AB493" s="172">
        <v>-1.69179267729399</v>
      </c>
      <c r="AC493" s="172">
        <v>-2.4951886010564799</v>
      </c>
      <c r="AD493" s="172">
        <v>-0.27760316470718299</v>
      </c>
      <c r="AE493" s="172">
        <v>-1.0074942142240799</v>
      </c>
      <c r="AF493" s="172">
        <v>2.6390173444809501E-2</v>
      </c>
      <c r="AG493" s="150"/>
      <c r="AI493" s="137">
        <v>6</v>
      </c>
      <c r="AJ493" s="136" t="s">
        <v>239</v>
      </c>
      <c r="AK493" s="142" t="s">
        <v>334</v>
      </c>
      <c r="AL493" s="136" t="s">
        <v>547</v>
      </c>
      <c r="AM493" s="136" t="s">
        <v>556</v>
      </c>
      <c r="AN493" s="1">
        <v>2.86965</v>
      </c>
      <c r="AO493" s="166">
        <v>0.76736000000000004</v>
      </c>
      <c r="AQ493">
        <f>_xlfn.XLOOKUP(tblGWP21[[#This Row],[Material Subcategory]],ls_Mat,Factors!$K$952:$K$1023)</f>
        <v>0</v>
      </c>
      <c r="AR493" s="173"/>
      <c r="BA493" cm="1">
        <f t="array" ref="BA493:BM493">tblGWP21[#This Row]</f>
        <v>6</v>
      </c>
      <c r="BB493" t="str">
        <v>Paper</v>
      </c>
      <c r="BC493" t="str">
        <v>Paper Bags</v>
      </c>
      <c r="BD493" t="str">
        <v>Asia</v>
      </c>
      <c r="BE493" t="str">
        <v>India</v>
      </c>
      <c r="BF493">
        <v>-2.86965</v>
      </c>
      <c r="BG493" t="str">
        <v>DELETE</v>
      </c>
      <c r="BH493">
        <v>-1.0152541721273221</v>
      </c>
      <c r="BI493">
        <v>-1.69179267729399</v>
      </c>
      <c r="BJ493">
        <v>-2.4951886010564799</v>
      </c>
      <c r="BK493">
        <v>-0.27760316470718299</v>
      </c>
      <c r="BL493">
        <v>-1.0074942142240799</v>
      </c>
      <c r="BM493">
        <v>2.6390173444809501E-2</v>
      </c>
    </row>
    <row r="494" spans="3:65">
      <c r="C494" s="136">
        <v>6</v>
      </c>
      <c r="D494" s="137" t="s">
        <v>239</v>
      </c>
      <c r="E494" s="136" t="s">
        <v>239</v>
      </c>
      <c r="F494" s="136" t="s">
        <v>547</v>
      </c>
      <c r="G494" s="136" t="s">
        <v>556</v>
      </c>
      <c r="H494" s="191">
        <v>-2.6644477777777777</v>
      </c>
      <c r="I494" s="191">
        <v>-1.7194614644444446</v>
      </c>
      <c r="J494" s="191">
        <v>-0.90244815300206405</v>
      </c>
      <c r="K494" s="191">
        <v>-1.5823914514950801</v>
      </c>
      <c r="L494" s="191">
        <v>-2.39025290122775</v>
      </c>
      <c r="M494" s="191">
        <v>-0.60576406900190205</v>
      </c>
      <c r="N494" s="191">
        <v>-0.93094962859978103</v>
      </c>
      <c r="O494" s="191">
        <v>2.7472942241024201E-2</v>
      </c>
      <c r="T494" s="48">
        <v>6</v>
      </c>
      <c r="U494" s="46" t="s">
        <v>239</v>
      </c>
      <c r="V494" s="53" t="s">
        <v>240</v>
      </c>
      <c r="W494" s="53" t="s">
        <v>547</v>
      </c>
      <c r="X494" s="53" t="s">
        <v>556</v>
      </c>
      <c r="Y494" s="172">
        <f>IFERROR(-tblZwaste1422[[#This Row],[Weight (kgCO2e/kg)]],0)</f>
        <v>-3.1045600000000002</v>
      </c>
      <c r="Z494" s="172" t="str">
        <f>IF(AQ494="x",(AR494*-tblZwaste1422[[#This Row],[Weight (kgCO2e/kg)]])+AS494+($AR$10*Lookups!$J$38/1000),"DELETE")</f>
        <v>DELETE</v>
      </c>
      <c r="AA494" s="176" t="s">
        <v>567</v>
      </c>
      <c r="AB494" s="172">
        <v>-1.72053188057342</v>
      </c>
      <c r="AC494" s="172">
        <v>-2.5864136483045601</v>
      </c>
      <c r="AD494" s="172">
        <v>-0.46135779183343001</v>
      </c>
      <c r="AE494" s="172">
        <v>0.30060951226996901</v>
      </c>
      <c r="AF494" s="172">
        <v>2.3670135759059998</v>
      </c>
      <c r="AG494" s="150"/>
      <c r="AI494" s="137">
        <v>6</v>
      </c>
      <c r="AJ494" s="136" t="s">
        <v>239</v>
      </c>
      <c r="AK494" s="142" t="s">
        <v>240</v>
      </c>
      <c r="AL494" s="136" t="s">
        <v>547</v>
      </c>
      <c r="AM494" s="136" t="s">
        <v>556</v>
      </c>
      <c r="AN494" s="1">
        <v>3.1045600000000002</v>
      </c>
      <c r="AO494" s="166">
        <v>0.76736000000000004</v>
      </c>
      <c r="AQ494">
        <f>_xlfn.XLOOKUP(tblGWP21[[#This Row],[Material Subcategory]],ls_Mat,Factors!$K$952:$K$1023)</f>
        <v>0</v>
      </c>
      <c r="AR494" s="173"/>
      <c r="BA494" cm="1">
        <f t="array" ref="BA494:BM494">tblGWP21[#This Row]</f>
        <v>6</v>
      </c>
      <c r="BB494" t="str">
        <v>Paper</v>
      </c>
      <c r="BC494" t="str">
        <v>Paper – Non-Recyclable</v>
      </c>
      <c r="BD494" t="str">
        <v>Asia</v>
      </c>
      <c r="BE494" t="str">
        <v>India</v>
      </c>
      <c r="BF494">
        <v>-3.1045600000000002</v>
      </c>
      <c r="BG494" t="str">
        <v>DELETE</v>
      </c>
      <c r="BH494" t="str">
        <v>DELETE</v>
      </c>
      <c r="BI494">
        <v>-1.72053188057342</v>
      </c>
      <c r="BJ494">
        <v>-2.5864136483045601</v>
      </c>
      <c r="BK494">
        <v>-0.46135779183343001</v>
      </c>
      <c r="BL494">
        <v>0.30060951226996901</v>
      </c>
      <c r="BM494">
        <v>2.3670135759059998</v>
      </c>
    </row>
    <row r="495" spans="3:65" ht="28.8">
      <c r="C495" s="362">
        <v>6</v>
      </c>
      <c r="D495" s="363" t="s">
        <v>239</v>
      </c>
      <c r="E495" s="362" t="s">
        <v>324</v>
      </c>
      <c r="F495" s="362" t="s">
        <v>547</v>
      </c>
      <c r="G495" s="362" t="s">
        <v>556</v>
      </c>
      <c r="H495" s="368">
        <v>-1.66</v>
      </c>
      <c r="I495" s="368">
        <v>0</v>
      </c>
      <c r="J495" s="368">
        <v>0.1396947306964815</v>
      </c>
      <c r="K495" s="368">
        <v>-1.5931961690249401</v>
      </c>
      <c r="L495" s="368">
        <v>-2.2369298238349402</v>
      </c>
      <c r="M495" s="368">
        <v>-1.10780997520734</v>
      </c>
      <c r="N495" s="368">
        <v>-1.01193471996385</v>
      </c>
      <c r="O495" s="368">
        <v>2.6683067303327399E-2</v>
      </c>
      <c r="T495" s="48">
        <v>6</v>
      </c>
      <c r="U495" s="46" t="s">
        <v>239</v>
      </c>
      <c r="V495" s="53" t="s">
        <v>325</v>
      </c>
      <c r="W495" s="53" t="s">
        <v>547</v>
      </c>
      <c r="X495" s="53" t="s">
        <v>556</v>
      </c>
      <c r="Y495" s="172">
        <f>IFERROR(-tblZwaste1422[[#This Row],[Weight (kgCO2e/kg)]],0)</f>
        <v>-1.66</v>
      </c>
      <c r="Z495" s="172" t="str">
        <f>IF(AQ495="x",(AR495*-tblZwaste1422[[#This Row],[Weight (kgCO2e/kg)]])+AS495+($AR$10*Lookups!$J$38/1000),"DELETE")</f>
        <v>DELETE</v>
      </c>
      <c r="AA495" s="176" t="s">
        <v>567</v>
      </c>
      <c r="AB495" s="172">
        <v>-1.5823914514950801</v>
      </c>
      <c r="AC495" s="172">
        <v>-2.39025290122775</v>
      </c>
      <c r="AD495" s="172">
        <v>-0.60576406900190205</v>
      </c>
      <c r="AE495" s="172">
        <v>-0.93094962859978103</v>
      </c>
      <c r="AF495" s="172">
        <v>2.7472942241024201E-2</v>
      </c>
      <c r="AG495" s="150"/>
      <c r="AI495" s="137">
        <v>6</v>
      </c>
      <c r="AJ495" s="136" t="s">
        <v>239</v>
      </c>
      <c r="AK495" s="142" t="s">
        <v>325</v>
      </c>
      <c r="AL495" s="136" t="s">
        <v>547</v>
      </c>
      <c r="AM495" s="136" t="s">
        <v>556</v>
      </c>
      <c r="AN495" s="1">
        <v>1.66</v>
      </c>
      <c r="AO495" s="166">
        <v>0.79600000000000004</v>
      </c>
      <c r="AQ495">
        <f>_xlfn.XLOOKUP(tblGWP21[[#This Row],[Material Subcategory]],ls_Mat,Factors!$K$952:$K$1023)</f>
        <v>0</v>
      </c>
      <c r="BA495" cm="1">
        <f t="array" ref="BA495:BM495">tblGWP21[#This Row]</f>
        <v>6</v>
      </c>
      <c r="BB495" t="str">
        <v>Paper</v>
      </c>
      <c r="BC495" t="str">
        <v>Compostable Food Service Ware</v>
      </c>
      <c r="BD495" t="str">
        <v>Asia</v>
      </c>
      <c r="BE495" t="str">
        <v>India</v>
      </c>
      <c r="BF495">
        <v>-1.66</v>
      </c>
      <c r="BG495" t="str">
        <v>DELETE</v>
      </c>
      <c r="BH495" t="str">
        <v>DELETE</v>
      </c>
      <c r="BI495">
        <v>-1.5823914514950801</v>
      </c>
      <c r="BJ495">
        <v>-2.39025290122775</v>
      </c>
      <c r="BK495">
        <v>-0.60576406900190205</v>
      </c>
      <c r="BL495">
        <v>-0.93094962859978103</v>
      </c>
      <c r="BM495">
        <v>2.7472942241024201E-2</v>
      </c>
    </row>
    <row r="496" spans="3:65">
      <c r="C496" s="136">
        <v>6</v>
      </c>
      <c r="D496" s="137" t="s">
        <v>239</v>
      </c>
      <c r="E496" s="136" t="s">
        <v>272</v>
      </c>
      <c r="F496" s="136" t="s">
        <v>547</v>
      </c>
      <c r="G496" s="136" t="s">
        <v>556</v>
      </c>
      <c r="H496" s="191">
        <v>-2.1278299999999999</v>
      </c>
      <c r="I496" s="191">
        <v>-1.3728063799999999</v>
      </c>
      <c r="J496" s="191">
        <v>1.5053973137750708E-2</v>
      </c>
      <c r="K496" s="191">
        <v>-1.4198911030999699</v>
      </c>
      <c r="L496" s="191">
        <v>-2.25405904094508</v>
      </c>
      <c r="M496" s="191">
        <v>6.7720000000000002E-2</v>
      </c>
      <c r="N496" s="191">
        <v>-0.79660085842781303</v>
      </c>
      <c r="O496" s="191">
        <v>3.4587160965760602E-2</v>
      </c>
      <c r="T496" s="48">
        <v>6</v>
      </c>
      <c r="U496" s="46" t="s">
        <v>256</v>
      </c>
      <c r="V496" s="53" t="s">
        <v>256</v>
      </c>
      <c r="W496" s="53" t="s">
        <v>547</v>
      </c>
      <c r="X496" s="53" t="s">
        <v>556</v>
      </c>
      <c r="Y496" s="172">
        <f>IFERROR(-tblZwaste1422[[#This Row],[Weight (kgCO2e/kg)]],0)</f>
        <v>-3.3097799999999999</v>
      </c>
      <c r="Z496" s="172" t="e">
        <f>IF(AQ496="x",(AR496*-tblZwaste1422[[#This Row],[Weight (kgCO2e/kg)]])+AS496+($AR$10*Lookups!$J$38/1000),"DELETE")</f>
        <v>#N/A</v>
      </c>
      <c r="AA496" s="176">
        <v>-13.227645163878373</v>
      </c>
      <c r="AB496" s="172" t="s">
        <v>567</v>
      </c>
      <c r="AC496" s="172" t="s">
        <v>567</v>
      </c>
      <c r="AD496" s="172">
        <v>2.5950354883421449E-2</v>
      </c>
      <c r="AE496" s="172">
        <v>-5.6060397839324247E-2</v>
      </c>
      <c r="AF496" s="172">
        <v>-3.7726832516865899E-2</v>
      </c>
      <c r="AG496" s="150"/>
      <c r="AI496" s="137">
        <v>6</v>
      </c>
      <c r="AJ496" s="136" t="s">
        <v>256</v>
      </c>
      <c r="AK496" s="142" t="s">
        <v>256</v>
      </c>
      <c r="AL496" s="136" t="s">
        <v>547</v>
      </c>
      <c r="AM496" s="136" t="s">
        <v>556</v>
      </c>
      <c r="AN496" s="1">
        <v>3.3097799999999999</v>
      </c>
      <c r="AO496" s="166">
        <v>1.0068550000000001</v>
      </c>
      <c r="AQ496" t="e">
        <f>_xlfn.XLOOKUP(tblGWP21[[#This Row],[Material Subcategory]],ls_Mat,Factors!$K$952:$K$1023)</f>
        <v>#N/A</v>
      </c>
      <c r="AR496" s="173">
        <v>1</v>
      </c>
      <c r="AS496">
        <v>8.1306407300000008E-2</v>
      </c>
      <c r="AT496" t="s">
        <v>531</v>
      </c>
      <c r="AU496" t="s">
        <v>526</v>
      </c>
      <c r="AV496" s="347">
        <v>0.85</v>
      </c>
      <c r="BA496" cm="1">
        <f t="array" ref="BA496:BM496">tblGWP21[#This Row]</f>
        <v>6</v>
      </c>
      <c r="BB496" t="str">
        <v>Metals</v>
      </c>
      <c r="BC496" t="str">
        <v>Metals</v>
      </c>
      <c r="BD496" t="str">
        <v>Asia</v>
      </c>
      <c r="BE496" t="str">
        <v>India</v>
      </c>
      <c r="BF496">
        <v>-3.3097799999999999</v>
      </c>
      <c r="BG496" t="e">
        <v>#N/A</v>
      </c>
      <c r="BH496">
        <v>-13.227645163878373</v>
      </c>
      <c r="BI496" t="str">
        <v>DELETE</v>
      </c>
      <c r="BJ496" t="str">
        <v>DELETE</v>
      </c>
      <c r="BK496">
        <v>2.5950354883421449E-2</v>
      </c>
      <c r="BL496">
        <v>-5.6060397839324247E-2</v>
      </c>
      <c r="BM496">
        <v>-3.7726832516865899E-2</v>
      </c>
    </row>
    <row r="497" spans="3:65">
      <c r="C497" s="362">
        <v>6</v>
      </c>
      <c r="D497" s="363" t="s">
        <v>239</v>
      </c>
      <c r="E497" s="362" t="s">
        <v>329</v>
      </c>
      <c r="F497" s="362" t="s">
        <v>547</v>
      </c>
      <c r="G497" s="362" t="s">
        <v>556</v>
      </c>
      <c r="H497" s="368">
        <v>-3.4792200000000002</v>
      </c>
      <c r="I497" s="368">
        <v>0</v>
      </c>
      <c r="J497" s="368">
        <v>-3.0248820626613884</v>
      </c>
      <c r="K497" s="368">
        <v>-1.54203431894792</v>
      </c>
      <c r="L497" s="368">
        <v>-2.5192196780422198</v>
      </c>
      <c r="M497" s="368">
        <v>0.54061914698270197</v>
      </c>
      <c r="N497" s="368">
        <v>-0.79971407433627795</v>
      </c>
      <c r="O497" s="368">
        <v>3.7251606753389899E-2</v>
      </c>
      <c r="T497" s="48">
        <v>6</v>
      </c>
      <c r="U497" s="46" t="s">
        <v>256</v>
      </c>
      <c r="V497" s="53" t="s">
        <v>536</v>
      </c>
      <c r="W497" s="53" t="s">
        <v>547</v>
      </c>
      <c r="X497" s="53" t="s">
        <v>556</v>
      </c>
      <c r="Y497" s="172">
        <f>IFERROR(-tblZwaste1422[[#This Row],[Weight (kgCO2e/kg)]],0)</f>
        <v>-1.9798800000000001</v>
      </c>
      <c r="Z497" s="172">
        <f>IF(AQ497="x",(AR497*-tblZwaste1422[[#This Row],[Weight (kgCO2e/kg)]])+AS497+($AR$10*Lookups!$J$38/1000),"DELETE")</f>
        <v>-1.8968017927</v>
      </c>
      <c r="AA497" s="176">
        <v>-2.3459229452538106</v>
      </c>
      <c r="AB497" s="172" t="s">
        <v>567</v>
      </c>
      <c r="AC497" s="172" t="s">
        <v>567</v>
      </c>
      <c r="AD497" s="172">
        <v>2.60407097668429E-2</v>
      </c>
      <c r="AE497" s="172">
        <v>-9.2019421003423599E-2</v>
      </c>
      <c r="AF497" s="172">
        <v>-6.3490295353769793E-2</v>
      </c>
      <c r="AG497" s="150"/>
      <c r="AI497" s="137">
        <v>6</v>
      </c>
      <c r="AJ497" s="136" t="s">
        <v>256</v>
      </c>
      <c r="AK497" s="142" t="s">
        <v>536</v>
      </c>
      <c r="AL497" s="136" t="s">
        <v>547</v>
      </c>
      <c r="AM497" s="136" t="s">
        <v>556</v>
      </c>
      <c r="AN497" s="1">
        <v>1.9798800000000001</v>
      </c>
      <c r="AO497" s="166">
        <v>0.72957000000000005</v>
      </c>
      <c r="AQ497" t="str">
        <f>_xlfn.XLOOKUP(tblGWP21[[#This Row],[Material Subcategory]],ls_Mat,Factors!$K$952:$K$1023)</f>
        <v>x</v>
      </c>
      <c r="AR497" s="173">
        <v>1</v>
      </c>
      <c r="AS497">
        <v>8.1306407300000008E-2</v>
      </c>
      <c r="AT497" t="s">
        <v>531</v>
      </c>
      <c r="AU497" t="s">
        <v>526</v>
      </c>
      <c r="AV497" s="347">
        <v>0.7</v>
      </c>
      <c r="BA497" cm="1">
        <f t="array" ref="BA497:BM497">tblGWP21[#This Row]</f>
        <v>6</v>
      </c>
      <c r="BB497" t="str">
        <v>Metals</v>
      </c>
      <c r="BC497" t="str">
        <v>Ferrous Cans</v>
      </c>
      <c r="BD497" t="str">
        <v>Asia</v>
      </c>
      <c r="BE497" t="str">
        <v>India</v>
      </c>
      <c r="BF497">
        <v>-1.9798800000000001</v>
      </c>
      <c r="BG497">
        <v>-1.8968017927</v>
      </c>
      <c r="BH497">
        <v>-2.3459229452538106</v>
      </c>
      <c r="BI497" t="str">
        <v>DELETE</v>
      </c>
      <c r="BJ497" t="str">
        <v>DELETE</v>
      </c>
      <c r="BK497">
        <v>2.60407097668429E-2</v>
      </c>
      <c r="BL497">
        <v>-9.2019421003423599E-2</v>
      </c>
      <c r="BM497">
        <v>-6.3490295353769793E-2</v>
      </c>
    </row>
    <row r="498" spans="3:65">
      <c r="C498" s="136">
        <v>6</v>
      </c>
      <c r="D498" s="137" t="s">
        <v>239</v>
      </c>
      <c r="E498" s="136" t="s">
        <v>271</v>
      </c>
      <c r="F498" s="136" t="s">
        <v>547</v>
      </c>
      <c r="G498" s="136" t="s">
        <v>556</v>
      </c>
      <c r="H498" s="191">
        <v>-3.1045600000000002</v>
      </c>
      <c r="I498" s="191">
        <v>0</v>
      </c>
      <c r="J498" s="191">
        <v>-1.0152541721273221</v>
      </c>
      <c r="K498" s="191">
        <v>-1.45740757820858</v>
      </c>
      <c r="L498" s="191">
        <v>-2.6029245012209099</v>
      </c>
      <c r="M498" s="191">
        <v>-0.53637594297431002</v>
      </c>
      <c r="N498" s="191">
        <v>-0.76219778967752105</v>
      </c>
      <c r="O498" s="191">
        <v>4.0398740210004398E-2</v>
      </c>
      <c r="T498" s="48">
        <v>6</v>
      </c>
      <c r="U498" s="46" t="s">
        <v>256</v>
      </c>
      <c r="V498" s="53" t="s">
        <v>257</v>
      </c>
      <c r="W498" s="53" t="s">
        <v>547</v>
      </c>
      <c r="X498" s="53" t="s">
        <v>556</v>
      </c>
      <c r="Y498" s="172">
        <f>IFERROR(-tblZwaste1422[[#This Row],[Weight (kgCO2e/kg)]],0)</f>
        <v>-1.9798800000000001</v>
      </c>
      <c r="Z498" s="172">
        <f>IF(AQ498="x",(AR498*-tblZwaste1422[[#This Row],[Weight (kgCO2e/kg)]])+AS498+($AR$10*Lookups!$J$38/1000),"DELETE")</f>
        <v>-1.8968017927</v>
      </c>
      <c r="AA498" s="176">
        <v>-2.3459229452538106</v>
      </c>
      <c r="AB498" s="172" t="s">
        <v>567</v>
      </c>
      <c r="AC498" s="172" t="s">
        <v>567</v>
      </c>
      <c r="AD498" s="172">
        <v>2.60407097668429E-2</v>
      </c>
      <c r="AE498" s="172">
        <v>-9.2019421003423696E-2</v>
      </c>
      <c r="AF498" s="172">
        <v>-6.3490295353769502E-2</v>
      </c>
      <c r="AG498" s="150"/>
      <c r="AI498" s="137">
        <v>6</v>
      </c>
      <c r="AJ498" s="136" t="s">
        <v>256</v>
      </c>
      <c r="AK498" s="142" t="s">
        <v>257</v>
      </c>
      <c r="AL498" s="136" t="s">
        <v>547</v>
      </c>
      <c r="AM498" s="136" t="s">
        <v>556</v>
      </c>
      <c r="AN498" s="1">
        <v>1.9798800000000001</v>
      </c>
      <c r="AO498" s="166">
        <v>0.46493000000000001</v>
      </c>
      <c r="AQ498" t="str">
        <f>_xlfn.XLOOKUP(tblGWP21[[#This Row],[Material Subcategory]],ls_Mat,Factors!$K$952:$K$1023)</f>
        <v>x</v>
      </c>
      <c r="AR498" s="173">
        <v>1</v>
      </c>
      <c r="AS498">
        <v>8.1306407300000008E-2</v>
      </c>
      <c r="AT498" t="s">
        <v>531</v>
      </c>
      <c r="AU498" t="s">
        <v>526</v>
      </c>
      <c r="AV498" s="347">
        <v>0.8</v>
      </c>
      <c r="BA498" cm="1">
        <f t="array" ref="BA498:BM498">tblGWP21[#This Row]</f>
        <v>6</v>
      </c>
      <c r="BB498" t="str">
        <v>Metals</v>
      </c>
      <c r="BC498" t="str">
        <v>Ferrous Metal</v>
      </c>
      <c r="BD498" t="str">
        <v>Asia</v>
      </c>
      <c r="BE498" t="str">
        <v>India</v>
      </c>
      <c r="BF498">
        <v>-1.9798800000000001</v>
      </c>
      <c r="BG498">
        <v>-1.8968017927</v>
      </c>
      <c r="BH498">
        <v>-2.3459229452538106</v>
      </c>
      <c r="BI498" t="str">
        <v>DELETE</v>
      </c>
      <c r="BJ498" t="str">
        <v>DELETE</v>
      </c>
      <c r="BK498">
        <v>2.60407097668429E-2</v>
      </c>
      <c r="BL498">
        <v>-9.2019421003423696E-2</v>
      </c>
      <c r="BM498">
        <v>-6.3490295353769502E-2</v>
      </c>
    </row>
    <row r="499" spans="3:65">
      <c r="C499" s="362">
        <v>6</v>
      </c>
      <c r="D499" s="363" t="s">
        <v>239</v>
      </c>
      <c r="E499" s="362" t="s">
        <v>535</v>
      </c>
      <c r="F499" s="362" t="s">
        <v>547</v>
      </c>
      <c r="G499" s="362" t="s">
        <v>556</v>
      </c>
      <c r="H499" s="368">
        <v>-3.1045600000000002</v>
      </c>
      <c r="I499" s="368">
        <v>0</v>
      </c>
      <c r="J499" s="368">
        <v>-1.0152541721273221</v>
      </c>
      <c r="K499" s="368">
        <v>-1.5661000736097901</v>
      </c>
      <c r="L499" s="368">
        <v>-2.6084866875958999</v>
      </c>
      <c r="M499" s="368">
        <v>-0.74483748111485704</v>
      </c>
      <c r="N499" s="368">
        <v>-0.84761634144731002</v>
      </c>
      <c r="O499" s="368">
        <v>2.9215550609518599E-2</v>
      </c>
      <c r="T499" s="48">
        <v>6</v>
      </c>
      <c r="U499" s="46" t="s">
        <v>256</v>
      </c>
      <c r="V499" s="53" t="s">
        <v>537</v>
      </c>
      <c r="W499" s="53" t="s">
        <v>547</v>
      </c>
      <c r="X499" s="53" t="s">
        <v>556</v>
      </c>
      <c r="Y499" s="172">
        <f>IFERROR(-tblZwaste1422[[#This Row],[Weight (kgCO2e/kg)]],0)</f>
        <v>-5.0082800000000001</v>
      </c>
      <c r="Z499" s="172">
        <f>IF(AQ499="x",(AR499*-tblZwaste1422[[#This Row],[Weight (kgCO2e/kg)]])+AS499+($AR$10*Lookups!$J$38/1000),"DELETE")</f>
        <v>-4.9252017927000002</v>
      </c>
      <c r="AA499" s="176">
        <f>-24.1093673825029*0.21739130434</f>
        <v>-5.2411668220945575</v>
      </c>
      <c r="AB499" s="172" t="s">
        <v>567</v>
      </c>
      <c r="AC499" s="172" t="s">
        <v>567</v>
      </c>
      <c r="AD499" s="172">
        <v>2.5860000000000001E-2</v>
      </c>
      <c r="AE499" s="172">
        <v>-2.0101374675224899E-2</v>
      </c>
      <c r="AF499" s="172">
        <v>-1.1963369679962E-2</v>
      </c>
      <c r="AG499" s="150"/>
      <c r="AI499" s="137">
        <v>6</v>
      </c>
      <c r="AJ499" s="136" t="s">
        <v>256</v>
      </c>
      <c r="AK499" s="142" t="s">
        <v>537</v>
      </c>
      <c r="AL499" s="136" t="s">
        <v>547</v>
      </c>
      <c r="AM499" s="136" t="s">
        <v>556</v>
      </c>
      <c r="AN499" s="1">
        <v>5.0082800000000001</v>
      </c>
      <c r="AO499" s="166">
        <v>1.54878</v>
      </c>
      <c r="AQ499" t="str">
        <f>_xlfn.XLOOKUP(tblGWP21[[#This Row],[Material Subcategory]],ls_Mat,Factors!$K$952:$K$1023)</f>
        <v>x</v>
      </c>
      <c r="AR499" s="173">
        <v>1</v>
      </c>
      <c r="AS499">
        <v>8.1306407300000008E-2</v>
      </c>
      <c r="AT499" t="s">
        <v>531</v>
      </c>
      <c r="AU499" t="s">
        <v>526</v>
      </c>
      <c r="AV499" s="347">
        <v>0.7</v>
      </c>
      <c r="BA499" cm="1">
        <f t="array" ref="BA499:BM499">tblGWP21[#This Row]</f>
        <v>6</v>
      </c>
      <c r="BB499" t="str">
        <v>Metals</v>
      </c>
      <c r="BC499" t="str">
        <v>Aluminum Cans</v>
      </c>
      <c r="BD499" t="str">
        <v>Asia</v>
      </c>
      <c r="BE499" t="str">
        <v>India</v>
      </c>
      <c r="BF499">
        <v>-5.0082800000000001</v>
      </c>
      <c r="BG499">
        <v>-4.9252017927000002</v>
      </c>
      <c r="BH499">
        <v>-5.2411668220945575</v>
      </c>
      <c r="BI499" t="str">
        <v>DELETE</v>
      </c>
      <c r="BJ499" t="str">
        <v>DELETE</v>
      </c>
      <c r="BK499">
        <v>2.5860000000000001E-2</v>
      </c>
      <c r="BL499">
        <v>-2.0101374675224899E-2</v>
      </c>
      <c r="BM499">
        <v>-1.1963369679962E-2</v>
      </c>
    </row>
    <row r="500" spans="3:65">
      <c r="C500" s="136">
        <v>6</v>
      </c>
      <c r="D500" s="137" t="s">
        <v>239</v>
      </c>
      <c r="E500" s="136" t="s">
        <v>259</v>
      </c>
      <c r="F500" s="136" t="s">
        <v>547</v>
      </c>
      <c r="G500" s="136" t="s">
        <v>556</v>
      </c>
      <c r="H500" s="191">
        <v>-2.86965</v>
      </c>
      <c r="I500" s="191">
        <v>0</v>
      </c>
      <c r="J500" s="191">
        <v>-1.0152541721273221</v>
      </c>
      <c r="K500" s="191">
        <v>-1.2816704575259601</v>
      </c>
      <c r="L500" s="191">
        <v>-2.0222494460176099</v>
      </c>
      <c r="M500" s="191">
        <v>-0.35151709373397</v>
      </c>
      <c r="N500" s="191">
        <v>-0.69069374294081098</v>
      </c>
      <c r="O500" s="191">
        <v>2.8422995395521299E-2</v>
      </c>
      <c r="T500" s="48">
        <v>6</v>
      </c>
      <c r="U500" s="46" t="s">
        <v>256</v>
      </c>
      <c r="V500" s="53" t="s">
        <v>538</v>
      </c>
      <c r="W500" s="53" t="s">
        <v>547</v>
      </c>
      <c r="X500" s="53" t="s">
        <v>556</v>
      </c>
      <c r="Y500" s="172">
        <f>IFERROR(-tblZwaste1422[[#This Row],[Weight (kgCO2e/kg)]],0)</f>
        <v>-4.6396800000000002</v>
      </c>
      <c r="Z500" s="172" t="str">
        <f>IF(AQ500="x",(AR500*-tblZwaste1422[[#This Row],[Weight (kgCO2e/kg)]])+AS500+($AR$10*Lookups!$J$38/1000),"DELETE")</f>
        <v>DELETE</v>
      </c>
      <c r="AA500" s="176" t="s">
        <v>567</v>
      </c>
      <c r="AB500" s="172" t="s">
        <v>567</v>
      </c>
      <c r="AC500" s="172" t="s">
        <v>567</v>
      </c>
      <c r="AD500" s="172">
        <v>2.5860000000000001E-2</v>
      </c>
      <c r="AE500" s="172">
        <v>-1.6266222895848101E-2</v>
      </c>
      <c r="AF500" s="172">
        <v>-1.1963369679962E-2</v>
      </c>
      <c r="AG500" s="150"/>
      <c r="AI500" s="137">
        <v>6</v>
      </c>
      <c r="AJ500" s="136" t="s">
        <v>256</v>
      </c>
      <c r="AK500" s="142" t="s">
        <v>538</v>
      </c>
      <c r="AL500" s="136" t="s">
        <v>547</v>
      </c>
      <c r="AM500" s="136" t="s">
        <v>556</v>
      </c>
      <c r="AN500" s="1">
        <v>4.6396800000000002</v>
      </c>
      <c r="AO500" s="166">
        <v>1.54878</v>
      </c>
      <c r="AQ500">
        <f>_xlfn.XLOOKUP(tblGWP21[[#This Row],[Material Subcategory]],ls_Mat,Factors!$K$952:$K$1023)</f>
        <v>0</v>
      </c>
      <c r="AR500" s="173"/>
      <c r="AV500" s="347"/>
      <c r="BA500" cm="1">
        <f t="array" ref="BA500:BM500">tblGWP21[#This Row]</f>
        <v>6</v>
      </c>
      <c r="BB500" t="str">
        <v>Metals</v>
      </c>
      <c r="BC500" t="str">
        <v>Aluminum Foil</v>
      </c>
      <c r="BD500" t="str">
        <v>Asia</v>
      </c>
      <c r="BE500" t="str">
        <v>India</v>
      </c>
      <c r="BF500">
        <v>-4.6396800000000002</v>
      </c>
      <c r="BG500" t="str">
        <v>DELETE</v>
      </c>
      <c r="BH500" t="str">
        <v>DELETE</v>
      </c>
      <c r="BI500" t="str">
        <v>DELETE</v>
      </c>
      <c r="BJ500" t="str">
        <v>DELETE</v>
      </c>
      <c r="BK500">
        <v>2.5860000000000001E-2</v>
      </c>
      <c r="BL500">
        <v>-1.6266222895848101E-2</v>
      </c>
      <c r="BM500">
        <v>-1.1963369679962E-2</v>
      </c>
    </row>
    <row r="501" spans="3:65">
      <c r="C501" s="362">
        <v>6</v>
      </c>
      <c r="D501" s="363" t="s">
        <v>239</v>
      </c>
      <c r="E501" s="362" t="s">
        <v>334</v>
      </c>
      <c r="F501" s="362" t="s">
        <v>547</v>
      </c>
      <c r="G501" s="362" t="s">
        <v>556</v>
      </c>
      <c r="H501" s="368">
        <v>-2.86965</v>
      </c>
      <c r="I501" s="368">
        <v>0</v>
      </c>
      <c r="J501" s="368">
        <v>-1.0152541721273221</v>
      </c>
      <c r="K501" s="368">
        <v>-1.69179267729399</v>
      </c>
      <c r="L501" s="368">
        <v>-2.4951886010564799</v>
      </c>
      <c r="M501" s="368">
        <v>-0.27760316470718299</v>
      </c>
      <c r="N501" s="368">
        <v>-1.0074942142240799</v>
      </c>
      <c r="O501" s="368">
        <v>2.6390173444809501E-2</v>
      </c>
      <c r="T501" s="48">
        <v>6</v>
      </c>
      <c r="U501" s="46" t="s">
        <v>256</v>
      </c>
      <c r="V501" s="53" t="s">
        <v>258</v>
      </c>
      <c r="W501" s="53" t="s">
        <v>547</v>
      </c>
      <c r="X501" s="53" t="s">
        <v>556</v>
      </c>
      <c r="Y501" s="172">
        <f>IFERROR(-tblZwaste1422[[#This Row],[Weight (kgCO2e/kg)]],0)</f>
        <v>-4.6396800000000002</v>
      </c>
      <c r="Z501" s="172">
        <f>IF(AQ501="x",(AR501*-tblZwaste1422[[#This Row],[Weight (kgCO2e/kg)]])+AS501+($AR$10*Lookups!$J$38/1000),"DELETE")</f>
        <v>-4.5566017927000004</v>
      </c>
      <c r="AA501" s="176">
        <f>-23.3713255238549*0.21739130434</f>
        <v>-5.0807229397855505</v>
      </c>
      <c r="AB501" s="172" t="s">
        <v>567</v>
      </c>
      <c r="AC501" s="172" t="s">
        <v>567</v>
      </c>
      <c r="AD501" s="172">
        <v>2.5860000000000001E-2</v>
      </c>
      <c r="AE501" s="172">
        <v>-2.0101374675224899E-2</v>
      </c>
      <c r="AF501" s="172">
        <v>-1.1963369679962E-2</v>
      </c>
      <c r="AG501" s="150"/>
      <c r="AI501" s="137">
        <v>6</v>
      </c>
      <c r="AJ501" s="136" t="s">
        <v>256</v>
      </c>
      <c r="AK501" s="142" t="s">
        <v>258</v>
      </c>
      <c r="AL501" s="136" t="s">
        <v>547</v>
      </c>
      <c r="AM501" s="136" t="s">
        <v>556</v>
      </c>
      <c r="AN501" s="1">
        <v>4.6396800000000002</v>
      </c>
      <c r="AO501" s="166">
        <v>1.54878</v>
      </c>
      <c r="AQ501" t="str">
        <f>_xlfn.XLOOKUP(tblGWP21[[#This Row],[Material Subcategory]],ls_Mat,Factors!$K$952:$K$1023)</f>
        <v>x</v>
      </c>
      <c r="AR501" s="173">
        <v>1</v>
      </c>
      <c r="AS501">
        <v>8.1306407300000008E-2</v>
      </c>
      <c r="AT501" t="s">
        <v>531</v>
      </c>
      <c r="BA501" cm="1">
        <f t="array" ref="BA501:BM501">tblGWP21[#This Row]</f>
        <v>6</v>
      </c>
      <c r="BB501" t="str">
        <v>Metals</v>
      </c>
      <c r="BC501" t="str">
        <v>Other Aluminum</v>
      </c>
      <c r="BD501" t="str">
        <v>Asia</v>
      </c>
      <c r="BE501" t="str">
        <v>India</v>
      </c>
      <c r="BF501">
        <v>-4.6396800000000002</v>
      </c>
      <c r="BG501">
        <v>-4.5566017927000004</v>
      </c>
      <c r="BH501">
        <v>-5.0807229397855505</v>
      </c>
      <c r="BI501" t="str">
        <v>DELETE</v>
      </c>
      <c r="BJ501" t="str">
        <v>DELETE</v>
      </c>
      <c r="BK501">
        <v>2.5860000000000001E-2</v>
      </c>
      <c r="BL501">
        <v>-2.0101374675224899E-2</v>
      </c>
      <c r="BM501">
        <v>-1.1963369679962E-2</v>
      </c>
    </row>
    <row r="502" spans="3:65">
      <c r="C502" s="136">
        <v>6</v>
      </c>
      <c r="D502" s="137" t="s">
        <v>239</v>
      </c>
      <c r="E502" s="136" t="s">
        <v>240</v>
      </c>
      <c r="F502" s="136" t="s">
        <v>547</v>
      </c>
      <c r="G502" s="136" t="s">
        <v>556</v>
      </c>
      <c r="H502" s="191">
        <v>-3.1045600000000002</v>
      </c>
      <c r="I502" s="191">
        <v>0</v>
      </c>
      <c r="J502" s="191">
        <v>0</v>
      </c>
      <c r="K502" s="191">
        <v>-1.72053188057342</v>
      </c>
      <c r="L502" s="191">
        <v>-2.5864136483045601</v>
      </c>
      <c r="M502" s="191">
        <v>-0.46135779183343001</v>
      </c>
      <c r="N502" s="191">
        <v>0.30060951226996901</v>
      </c>
      <c r="O502" s="191">
        <v>2.3670135759059998</v>
      </c>
      <c r="T502" s="48">
        <v>6</v>
      </c>
      <c r="U502" s="46" t="s">
        <v>247</v>
      </c>
      <c r="V502" s="53" t="s">
        <v>247</v>
      </c>
      <c r="W502" s="53" t="s">
        <v>547</v>
      </c>
      <c r="X502" s="53" t="s">
        <v>556</v>
      </c>
      <c r="Y502" s="172">
        <f>IFERROR(-tblZwaste1422[[#This Row],[Weight (kgCO2e/kg)]],0)</f>
        <v>-1.0505633333333335</v>
      </c>
      <c r="Z502" s="172">
        <f>IF(AQ502="x",(AR502*-tblZwaste1422[[#This Row],[Weight (kgCO2e/kg)]])+AS502+($AR$10*Lookups!$J$38/1000),"DELETE")</f>
        <v>-0.96748512603333348</v>
      </c>
      <c r="AA502" s="176">
        <v>-0.31964666691719285</v>
      </c>
      <c r="AB502" s="172" t="s">
        <v>567</v>
      </c>
      <c r="AC502" s="172" t="s">
        <v>567</v>
      </c>
      <c r="AD502" s="172">
        <v>2.6040724293187999E-2</v>
      </c>
      <c r="AE502" s="172">
        <v>2.9160179539146E-2</v>
      </c>
      <c r="AF502" s="172">
        <v>4.8933991860598297E-2</v>
      </c>
      <c r="AG502" s="150"/>
      <c r="AI502" s="137">
        <v>6</v>
      </c>
      <c r="AJ502" s="136" t="s">
        <v>247</v>
      </c>
      <c r="AK502" s="142" t="s">
        <v>247</v>
      </c>
      <c r="AL502" s="136" t="s">
        <v>547</v>
      </c>
      <c r="AM502" s="136" t="s">
        <v>556</v>
      </c>
      <c r="AN502" s="1">
        <v>1.0505633333333335</v>
      </c>
      <c r="AO502" s="166">
        <v>0.89563000000000004</v>
      </c>
      <c r="AQ502" t="str">
        <f>_xlfn.XLOOKUP(tblGWP21[[#This Row],[Material Subcategory]],ls_Mat,Factors!$K$952:$K$1023)</f>
        <v>x</v>
      </c>
      <c r="AR502" s="173">
        <v>1</v>
      </c>
      <c r="AS502">
        <v>8.1306407300000008E-2</v>
      </c>
      <c r="AT502" t="s">
        <v>531</v>
      </c>
      <c r="BA502" cm="1">
        <f t="array" ref="BA502:BM502">tblGWP21[#This Row]</f>
        <v>6</v>
      </c>
      <c r="BB502" t="str">
        <v>Glass</v>
      </c>
      <c r="BC502" t="str">
        <v>Glass</v>
      </c>
      <c r="BD502" t="str">
        <v>Asia</v>
      </c>
      <c r="BE502" t="str">
        <v>India</v>
      </c>
      <c r="BF502">
        <v>-1.0505633333333335</v>
      </c>
      <c r="BG502">
        <v>-0.96748512603333348</v>
      </c>
      <c r="BH502">
        <v>-0.31964666691719285</v>
      </c>
      <c r="BI502" t="str">
        <v>DELETE</v>
      </c>
      <c r="BJ502" t="str">
        <v>DELETE</v>
      </c>
      <c r="BK502">
        <v>2.6040724293187999E-2</v>
      </c>
      <c r="BL502">
        <v>2.9160179539146E-2</v>
      </c>
      <c r="BM502">
        <v>4.8933991860598297E-2</v>
      </c>
    </row>
    <row r="503" spans="3:65" ht="28.8">
      <c r="C503" s="362">
        <v>6</v>
      </c>
      <c r="D503" s="363" t="s">
        <v>239</v>
      </c>
      <c r="E503" s="362" t="s">
        <v>325</v>
      </c>
      <c r="F503" s="362" t="s">
        <v>547</v>
      </c>
      <c r="G503" s="362" t="s">
        <v>556</v>
      </c>
      <c r="H503" s="368">
        <v>-1.66</v>
      </c>
      <c r="I503" s="368">
        <v>0</v>
      </c>
      <c r="J503" s="368">
        <v>0</v>
      </c>
      <c r="K503" s="368">
        <v>-1.5823914514950801</v>
      </c>
      <c r="L503" s="368">
        <v>-2.39025290122775</v>
      </c>
      <c r="M503" s="368">
        <v>-0.60576406900190205</v>
      </c>
      <c r="N503" s="368">
        <v>-0.93094962859978103</v>
      </c>
      <c r="O503" s="368">
        <v>2.7472942241024201E-2</v>
      </c>
      <c r="T503" s="48">
        <v>6</v>
      </c>
      <c r="U503" s="46" t="s">
        <v>247</v>
      </c>
      <c r="V503" s="53" t="s">
        <v>248</v>
      </c>
      <c r="W503" s="53" t="s">
        <v>547</v>
      </c>
      <c r="X503" s="53" t="s">
        <v>556</v>
      </c>
      <c r="Y503" s="172">
        <f>IFERROR(-tblZwaste1422[[#This Row],[Weight (kgCO2e/kg)]],0)</f>
        <v>-1.0606100000000001</v>
      </c>
      <c r="Z503" s="172">
        <f>IF(AQ503="x",(AR503*-tblZwaste1422[[#This Row],[Weight (kgCO2e/kg)]])+AS503+($AR$10*Lookups!$J$38/1000),"DELETE")</f>
        <v>-0.97753179270000001</v>
      </c>
      <c r="AA503" s="176">
        <v>-0.16792281557286154</v>
      </c>
      <c r="AB503" s="172" t="s">
        <v>567</v>
      </c>
      <c r="AC503" s="172" t="s">
        <v>567</v>
      </c>
      <c r="AD503" s="172">
        <v>2.6040730347760901E-2</v>
      </c>
      <c r="AE503" s="172">
        <v>3.3291056097463002E-2</v>
      </c>
      <c r="AF503" s="172">
        <v>4.89328082549913E-2</v>
      </c>
      <c r="AG503" s="150"/>
      <c r="AI503" s="137">
        <v>6</v>
      </c>
      <c r="AJ503" s="136" t="s">
        <v>247</v>
      </c>
      <c r="AK503" s="142" t="s">
        <v>248</v>
      </c>
      <c r="AL503" s="136" t="s">
        <v>547</v>
      </c>
      <c r="AM503" s="136" t="s">
        <v>556</v>
      </c>
      <c r="AN503" s="1">
        <v>1.0606100000000001</v>
      </c>
      <c r="AO503" s="166">
        <v>0.89563000000000004</v>
      </c>
      <c r="AQ503" t="str">
        <f>_xlfn.XLOOKUP(tblGWP21[[#This Row],[Material Subcategory]],ls_Mat,Factors!$K$952:$K$1023)</f>
        <v>x</v>
      </c>
      <c r="AR503" s="173">
        <v>1</v>
      </c>
      <c r="AS503">
        <v>8.1306407300000008E-2</v>
      </c>
      <c r="AT503" t="s">
        <v>531</v>
      </c>
      <c r="BA503" cm="1">
        <f t="array" ref="BA503:BM503">tblGWP21[#This Row]</f>
        <v>6</v>
      </c>
      <c r="BB503" t="str">
        <v>Glass</v>
      </c>
      <c r="BC503" t="str">
        <v>Glass – Brown</v>
      </c>
      <c r="BD503" t="str">
        <v>Asia</v>
      </c>
      <c r="BE503" t="str">
        <v>India</v>
      </c>
      <c r="BF503">
        <v>-1.0606100000000001</v>
      </c>
      <c r="BG503">
        <v>-0.97753179270000001</v>
      </c>
      <c r="BH503">
        <v>-0.16792281557286154</v>
      </c>
      <c r="BI503" t="str">
        <v>DELETE</v>
      </c>
      <c r="BJ503" t="str">
        <v>DELETE</v>
      </c>
      <c r="BK503">
        <v>2.6040730347760901E-2</v>
      </c>
      <c r="BL503">
        <v>3.3291056097463002E-2</v>
      </c>
      <c r="BM503">
        <v>4.89328082549913E-2</v>
      </c>
    </row>
    <row r="504" spans="3:65">
      <c r="C504" s="136">
        <v>6</v>
      </c>
      <c r="D504" s="137" t="s">
        <v>256</v>
      </c>
      <c r="E504" s="136" t="s">
        <v>256</v>
      </c>
      <c r="F504" s="136" t="s">
        <v>547</v>
      </c>
      <c r="G504" s="136" t="s">
        <v>556</v>
      </c>
      <c r="H504" s="191">
        <v>-3.3097799999999999</v>
      </c>
      <c r="I504" s="191">
        <v>-3.2267017926999997</v>
      </c>
      <c r="J504" s="191">
        <v>-13.227645163878373</v>
      </c>
      <c r="K504" s="191">
        <v>0</v>
      </c>
      <c r="L504" s="191">
        <v>0</v>
      </c>
      <c r="M504" s="191">
        <v>2.5950354883421449E-2</v>
      </c>
      <c r="N504" s="191">
        <v>-5.6060397839324247E-2</v>
      </c>
      <c r="O504" s="191">
        <v>-3.7726832516865899E-2</v>
      </c>
      <c r="T504" s="48">
        <v>6</v>
      </c>
      <c r="U504" s="46" t="s">
        <v>247</v>
      </c>
      <c r="V504" s="53" t="s">
        <v>263</v>
      </c>
      <c r="W504" s="53" t="s">
        <v>547</v>
      </c>
      <c r="X504" s="53" t="s">
        <v>556</v>
      </c>
      <c r="Y504" s="172">
        <f>IFERROR(-tblZwaste1422[[#This Row],[Weight (kgCO2e/kg)]],0)</f>
        <v>-1.0341199999999999</v>
      </c>
      <c r="Z504" s="172">
        <f>IF(AQ504="x",(AR504*-tblZwaste1422[[#This Row],[Weight (kgCO2e/kg)]])+AS504+($AR$10*Lookups!$J$38/1000),"DELETE")</f>
        <v>-0.95104179269999989</v>
      </c>
      <c r="AA504" s="176">
        <v>-0.16792281557286154</v>
      </c>
      <c r="AB504" s="172" t="s">
        <v>567</v>
      </c>
      <c r="AC504" s="172" t="s">
        <v>567</v>
      </c>
      <c r="AD504" s="172">
        <v>2.6040734100342699E-2</v>
      </c>
      <c r="AE504" s="172">
        <v>3.5767272587802802E-2</v>
      </c>
      <c r="AF504" s="172">
        <v>4.8932883823129603E-2</v>
      </c>
      <c r="AG504" s="150"/>
      <c r="AI504" s="137">
        <v>6</v>
      </c>
      <c r="AJ504" s="136" t="s">
        <v>247</v>
      </c>
      <c r="AK504" s="142" t="s">
        <v>263</v>
      </c>
      <c r="AL504" s="136" t="s">
        <v>547</v>
      </c>
      <c r="AM504" s="136" t="s">
        <v>556</v>
      </c>
      <c r="AN504" s="1">
        <v>1.0341199999999999</v>
      </c>
      <c r="AO504" s="166">
        <v>0.89563000000000004</v>
      </c>
      <c r="AQ504" t="str">
        <f>_xlfn.XLOOKUP(tblGWP21[[#This Row],[Material Subcategory]],ls_Mat,Factors!$K$952:$K$1023)</f>
        <v>x</v>
      </c>
      <c r="AR504" s="173">
        <v>1</v>
      </c>
      <c r="AS504">
        <v>8.1306407300000008E-2</v>
      </c>
      <c r="AT504" t="s">
        <v>531</v>
      </c>
      <c r="AU504" t="s">
        <v>526</v>
      </c>
      <c r="AV504" s="347">
        <v>0.8</v>
      </c>
      <c r="BA504" cm="1">
        <f t="array" ref="BA504:BM504">tblGWP21[#This Row]</f>
        <v>6</v>
      </c>
      <c r="BB504" t="str">
        <v>Glass</v>
      </c>
      <c r="BC504" t="str">
        <v>Glass – Green</v>
      </c>
      <c r="BD504" t="str">
        <v>Asia</v>
      </c>
      <c r="BE504" t="str">
        <v>India</v>
      </c>
      <c r="BF504">
        <v>-1.0341199999999999</v>
      </c>
      <c r="BG504">
        <v>-0.95104179269999989</v>
      </c>
      <c r="BH504">
        <v>-0.16792281557286154</v>
      </c>
      <c r="BI504" t="str">
        <v>DELETE</v>
      </c>
      <c r="BJ504" t="str">
        <v>DELETE</v>
      </c>
      <c r="BK504">
        <v>2.6040734100342699E-2</v>
      </c>
      <c r="BL504">
        <v>3.5767272587802802E-2</v>
      </c>
      <c r="BM504">
        <v>4.8932883823129603E-2</v>
      </c>
    </row>
    <row r="505" spans="3:65">
      <c r="C505" s="362">
        <v>6</v>
      </c>
      <c r="D505" s="363" t="s">
        <v>256</v>
      </c>
      <c r="E505" s="362" t="s">
        <v>536</v>
      </c>
      <c r="F505" s="362" t="s">
        <v>547</v>
      </c>
      <c r="G505" s="362" t="s">
        <v>556</v>
      </c>
      <c r="H505" s="368">
        <v>-1.9798800000000001</v>
      </c>
      <c r="I505" s="368">
        <v>-1.8968017927</v>
      </c>
      <c r="J505" s="368">
        <v>-2.3459229452538106</v>
      </c>
      <c r="K505" s="368">
        <v>0</v>
      </c>
      <c r="L505" s="368">
        <v>0</v>
      </c>
      <c r="M505" s="368">
        <v>2.60407097668429E-2</v>
      </c>
      <c r="N505" s="368">
        <v>-9.2019421003423599E-2</v>
      </c>
      <c r="O505" s="368">
        <v>-6.3490295353769793E-2</v>
      </c>
      <c r="T505" s="48">
        <v>6</v>
      </c>
      <c r="U505" s="46" t="s">
        <v>247</v>
      </c>
      <c r="V505" s="53" t="s">
        <v>539</v>
      </c>
      <c r="W505" s="53" t="s">
        <v>547</v>
      </c>
      <c r="X505" s="53" t="s">
        <v>556</v>
      </c>
      <c r="Y505" s="172">
        <f>IFERROR(-tblZwaste1422[[#This Row],[Weight (kgCO2e/kg)]],0)</f>
        <v>-1.0569599999999999</v>
      </c>
      <c r="Z505" s="172">
        <f>IF(AQ505="x",(AR505*-tblZwaste1422[[#This Row],[Weight (kgCO2e/kg)]])+AS505+($AR$10*Lookups!$J$38/1000),"DELETE")</f>
        <v>-0.97388179269999986</v>
      </c>
      <c r="AA505" s="176">
        <v>-0.17322564132779403</v>
      </c>
      <c r="AB505" s="172" t="s">
        <v>567</v>
      </c>
      <c r="AC505" s="172" t="s">
        <v>567</v>
      </c>
      <c r="AD505" s="172">
        <v>2.6040714495594499E-2</v>
      </c>
      <c r="AE505" s="172">
        <v>2.25068255633998E-2</v>
      </c>
      <c r="AF505" s="172">
        <v>4.8935266613268302E-2</v>
      </c>
      <c r="AG505" s="150"/>
      <c r="AI505" s="137">
        <v>6</v>
      </c>
      <c r="AJ505" s="136" t="s">
        <v>247</v>
      </c>
      <c r="AK505" s="142" t="s">
        <v>539</v>
      </c>
      <c r="AL505" s="136" t="s">
        <v>547</v>
      </c>
      <c r="AM505" s="136" t="s">
        <v>556</v>
      </c>
      <c r="AN505" s="1">
        <v>1.0569599999999999</v>
      </c>
      <c r="AO505" s="166">
        <v>0.89563000000000004</v>
      </c>
      <c r="AQ505" t="str">
        <f>_xlfn.XLOOKUP(tblGWP21[[#This Row],[Material Subcategory]],ls_Mat,Factors!$K$952:$K$1023)</f>
        <v>x</v>
      </c>
      <c r="AR505" s="173">
        <v>1</v>
      </c>
      <c r="AS505">
        <v>8.1306407300000008E-2</v>
      </c>
      <c r="AT505" t="s">
        <v>531</v>
      </c>
      <c r="AU505" t="s">
        <v>526</v>
      </c>
      <c r="AV505" s="347">
        <v>0.88</v>
      </c>
      <c r="BA505" cm="1">
        <f t="array" ref="BA505:BM505">tblGWP21[#This Row]</f>
        <v>6</v>
      </c>
      <c r="BB505" t="str">
        <v>Glass</v>
      </c>
      <c r="BC505" t="str">
        <v>Glass – Clear</v>
      </c>
      <c r="BD505" t="str">
        <v>Asia</v>
      </c>
      <c r="BE505" t="str">
        <v>India</v>
      </c>
      <c r="BF505">
        <v>-1.0569599999999999</v>
      </c>
      <c r="BG505">
        <v>-0.97388179269999986</v>
      </c>
      <c r="BH505">
        <v>-0.17322564132779403</v>
      </c>
      <c r="BI505" t="str">
        <v>DELETE</v>
      </c>
      <c r="BJ505" t="str">
        <v>DELETE</v>
      </c>
      <c r="BK505">
        <v>2.6040714495594499E-2</v>
      </c>
      <c r="BL505">
        <v>2.25068255633998E-2</v>
      </c>
      <c r="BM505">
        <v>4.8935266613268302E-2</v>
      </c>
    </row>
    <row r="506" spans="3:65">
      <c r="C506" s="136">
        <v>6</v>
      </c>
      <c r="D506" s="137" t="s">
        <v>256</v>
      </c>
      <c r="E506" s="136" t="s">
        <v>257</v>
      </c>
      <c r="F506" s="136" t="s">
        <v>547</v>
      </c>
      <c r="G506" s="136" t="s">
        <v>556</v>
      </c>
      <c r="H506" s="191">
        <v>-1.9798800000000001</v>
      </c>
      <c r="I506" s="191">
        <v>-1.8968017927</v>
      </c>
      <c r="J506" s="191">
        <v>-2.3459229452538106</v>
      </c>
      <c r="K506" s="191">
        <v>0</v>
      </c>
      <c r="L506" s="191">
        <v>0</v>
      </c>
      <c r="M506" s="191">
        <v>2.60407097668429E-2</v>
      </c>
      <c r="N506" s="191">
        <v>-9.2019421003423696E-2</v>
      </c>
      <c r="O506" s="191">
        <v>-6.3490295353769502E-2</v>
      </c>
      <c r="T506" s="48">
        <v>6</v>
      </c>
      <c r="U506" s="46" t="s">
        <v>247</v>
      </c>
      <c r="V506" s="53" t="s">
        <v>270</v>
      </c>
      <c r="W506" s="53" t="s">
        <v>547</v>
      </c>
      <c r="X506" s="53" t="s">
        <v>556</v>
      </c>
      <c r="Y506" s="172">
        <f>IFERROR(-tblZwaste1422[[#This Row],[Weight (kgCO2e/kg)]],0)</f>
        <v>-1.0505633333333335</v>
      </c>
      <c r="Z506" s="172">
        <f>IF(AQ506="x",(AR506*-tblZwaste1422[[#This Row],[Weight (kgCO2e/kg)]])+AS506+($AR$10*Lookups!$J$38/1000),"DELETE")</f>
        <v>-0.96748512603333348</v>
      </c>
      <c r="AA506" s="176">
        <v>-0.31964666691719285</v>
      </c>
      <c r="AB506" s="172" t="s">
        <v>567</v>
      </c>
      <c r="AC506" s="172" t="s">
        <v>567</v>
      </c>
      <c r="AD506" s="172">
        <v>2.6040724293187999E-2</v>
      </c>
      <c r="AE506" s="172">
        <v>2.9160179539146E-2</v>
      </c>
      <c r="AF506" s="172">
        <v>4.8933991860598297E-2</v>
      </c>
      <c r="AG506" s="150"/>
      <c r="AI506" s="137">
        <v>6</v>
      </c>
      <c r="AJ506" s="136" t="s">
        <v>247</v>
      </c>
      <c r="AK506" s="142" t="s">
        <v>270</v>
      </c>
      <c r="AL506" s="136" t="s">
        <v>547</v>
      </c>
      <c r="AM506" s="136" t="s">
        <v>556</v>
      </c>
      <c r="AN506" s="1">
        <v>1.0505633333333335</v>
      </c>
      <c r="AO506" s="166">
        <v>0.89563000000000004</v>
      </c>
      <c r="AQ506" t="str">
        <f>_xlfn.XLOOKUP(tblGWP21[[#This Row],[Material Subcategory]],ls_Mat,Factors!$K$952:$K$1023)</f>
        <v>x</v>
      </c>
      <c r="AR506" s="173">
        <v>1</v>
      </c>
      <c r="AS506">
        <v>8.1306407300000008E-2</v>
      </c>
      <c r="AT506" t="s">
        <v>531</v>
      </c>
      <c r="AU506" t="s">
        <v>526</v>
      </c>
      <c r="AV506" s="347">
        <v>0.8</v>
      </c>
      <c r="BA506" cm="1">
        <f t="array" ref="BA506:BM506">tblGWP21[#This Row]</f>
        <v>6</v>
      </c>
      <c r="BB506" t="str">
        <v>Glass</v>
      </c>
      <c r="BC506" t="str">
        <v>Mixed Glass</v>
      </c>
      <c r="BD506" t="str">
        <v>Asia</v>
      </c>
      <c r="BE506" t="str">
        <v>India</v>
      </c>
      <c r="BF506">
        <v>-1.0505633333333335</v>
      </c>
      <c r="BG506">
        <v>-0.96748512603333348</v>
      </c>
      <c r="BH506">
        <v>-0.31964666691719285</v>
      </c>
      <c r="BI506" t="str">
        <v>DELETE</v>
      </c>
      <c r="BJ506" t="str">
        <v>DELETE</v>
      </c>
      <c r="BK506">
        <v>2.6040724293187999E-2</v>
      </c>
      <c r="BL506">
        <v>2.9160179539146E-2</v>
      </c>
      <c r="BM506">
        <v>4.8933991860598297E-2</v>
      </c>
    </row>
    <row r="507" spans="3:65">
      <c r="C507" s="362">
        <v>6</v>
      </c>
      <c r="D507" s="363" t="s">
        <v>256</v>
      </c>
      <c r="E507" s="362" t="s">
        <v>537</v>
      </c>
      <c r="F507" s="362" t="s">
        <v>547</v>
      </c>
      <c r="G507" s="362" t="s">
        <v>556</v>
      </c>
      <c r="H507" s="368">
        <v>-5.0082800000000001</v>
      </c>
      <c r="I507" s="368">
        <v>-4.9252017927000002</v>
      </c>
      <c r="J507" s="368">
        <v>-5.2411668220945575</v>
      </c>
      <c r="K507" s="368">
        <v>0</v>
      </c>
      <c r="L507" s="368">
        <v>0</v>
      </c>
      <c r="M507" s="368">
        <v>2.5860000000000001E-2</v>
      </c>
      <c r="N507" s="368">
        <v>-2.0101374675224899E-2</v>
      </c>
      <c r="O507" s="368">
        <v>-1.1963369679962E-2</v>
      </c>
      <c r="T507" s="48">
        <v>6</v>
      </c>
      <c r="U507" s="46" t="s">
        <v>247</v>
      </c>
      <c r="V507" s="53" t="s">
        <v>540</v>
      </c>
      <c r="W507" s="53" t="s">
        <v>547</v>
      </c>
      <c r="X507" s="53" t="s">
        <v>556</v>
      </c>
      <c r="Y507" s="172">
        <f>IFERROR(-tblZwaste1422[[#This Row],[Weight (kgCO2e/kg)]],0)</f>
        <v>-1.0473650000000001</v>
      </c>
      <c r="Z507" s="172">
        <f>IF(AQ507="x",(AR507*-tblZwaste1422[[#This Row],[Weight (kgCO2e/kg)]])+AS507+($AR$10*Lookups!$J$38/1000),"DELETE")</f>
        <v>-0.96428679270000006</v>
      </c>
      <c r="AA507" s="176" t="s">
        <v>567</v>
      </c>
      <c r="AB507" s="172" t="s">
        <v>567</v>
      </c>
      <c r="AC507" s="172" t="s">
        <v>567</v>
      </c>
      <c r="AD507" s="172">
        <v>2.6040707593329899E-2</v>
      </c>
      <c r="AE507" s="172">
        <v>2.4982521898512501E-2</v>
      </c>
      <c r="AF507" s="172">
        <v>4.8934822026179499E-2</v>
      </c>
      <c r="AG507" s="150"/>
      <c r="AI507" s="137">
        <v>6</v>
      </c>
      <c r="AJ507" s="136" t="s">
        <v>247</v>
      </c>
      <c r="AK507" s="142" t="s">
        <v>540</v>
      </c>
      <c r="AL507" s="136" t="s">
        <v>547</v>
      </c>
      <c r="AM507" s="136" t="s">
        <v>556</v>
      </c>
      <c r="AN507" s="1">
        <v>1.0473650000000001</v>
      </c>
      <c r="AO507" s="166">
        <v>0.89563000000000004</v>
      </c>
      <c r="AQ507" t="str">
        <f>_xlfn.XLOOKUP(tblGWP21[[#This Row],[Material Subcategory]],ls_Mat,Factors!$K$952:$K$1023)</f>
        <v>x</v>
      </c>
      <c r="AR507" s="173">
        <v>1</v>
      </c>
      <c r="AS507">
        <v>8.1306407300000008E-2</v>
      </c>
      <c r="AT507" t="s">
        <v>531</v>
      </c>
      <c r="AU507" t="s">
        <v>526</v>
      </c>
      <c r="AV507" s="347">
        <v>0.65</v>
      </c>
      <c r="BA507" cm="1">
        <f t="array" ref="BA507:BM507">tblGWP21[#This Row]</f>
        <v>6</v>
      </c>
      <c r="BB507" t="str">
        <v>Glass</v>
      </c>
      <c r="BC507" t="str">
        <v>Glass – Non-Recyclable</v>
      </c>
      <c r="BD507" t="str">
        <v>Asia</v>
      </c>
      <c r="BE507" t="str">
        <v>India</v>
      </c>
      <c r="BF507">
        <v>-1.0473650000000001</v>
      </c>
      <c r="BG507">
        <v>-0.96428679270000006</v>
      </c>
      <c r="BH507" t="str">
        <v>DELETE</v>
      </c>
      <c r="BI507" t="str">
        <v>DELETE</v>
      </c>
      <c r="BJ507" t="str">
        <v>DELETE</v>
      </c>
      <c r="BK507">
        <v>2.6040707593329899E-2</v>
      </c>
      <c r="BL507">
        <v>2.4982521898512501E-2</v>
      </c>
      <c r="BM507">
        <v>4.8934822026179499E-2</v>
      </c>
    </row>
    <row r="508" spans="3:65">
      <c r="C508" s="136">
        <v>6</v>
      </c>
      <c r="D508" s="137" t="s">
        <v>256</v>
      </c>
      <c r="E508" s="136" t="s">
        <v>538</v>
      </c>
      <c r="F508" s="136" t="s">
        <v>547</v>
      </c>
      <c r="G508" s="136" t="s">
        <v>556</v>
      </c>
      <c r="H508" s="191">
        <v>-4.6396800000000002</v>
      </c>
      <c r="I508" s="191">
        <v>0</v>
      </c>
      <c r="J508" s="191">
        <v>0</v>
      </c>
      <c r="K508" s="191">
        <v>0</v>
      </c>
      <c r="L508" s="191">
        <v>0</v>
      </c>
      <c r="M508" s="191">
        <v>2.5860000000000001E-2</v>
      </c>
      <c r="N508" s="191">
        <v>-1.6266222895848101E-2</v>
      </c>
      <c r="O508" s="191">
        <v>-1.1963369679962E-2</v>
      </c>
      <c r="T508" s="48">
        <v>6</v>
      </c>
      <c r="U508" s="46" t="s">
        <v>261</v>
      </c>
      <c r="V508" s="53" t="s">
        <v>260</v>
      </c>
      <c r="W508" s="53" t="s">
        <v>547</v>
      </c>
      <c r="X508" s="53" t="s">
        <v>556</v>
      </c>
      <c r="Y508" s="172">
        <f>IFERROR(-tblZwaste1422[[#This Row],[Weight (kgCO2e/kg)]],0)</f>
        <v>-4.0364225925925927</v>
      </c>
      <c r="Z508" s="172" t="str">
        <f>IF(AQ508="x",(AR508*-tblZwaste1422[[#This Row],[Weight (kgCO2e/kg)]])+AS508+($AR$10*Lookups!$J$38/1000),"DELETE")</f>
        <v>DELETE</v>
      </c>
      <c r="AA508" s="176" t="s">
        <v>567</v>
      </c>
      <c r="AB508" s="172">
        <v>-0.49804123014899998</v>
      </c>
      <c r="AC508" s="172">
        <v>-0.86469964244274</v>
      </c>
      <c r="AD508" s="172">
        <v>-9.8873846785501499E-2</v>
      </c>
      <c r="AE508" s="172">
        <v>-0.26772451207168102</v>
      </c>
      <c r="AF508" s="172">
        <v>2.7532204279775999E-2</v>
      </c>
      <c r="AG508" s="150"/>
      <c r="AI508" s="137">
        <v>6</v>
      </c>
      <c r="AJ508" s="136" t="s">
        <v>529</v>
      </c>
      <c r="AK508" s="142" t="s">
        <v>260</v>
      </c>
      <c r="AL508" s="136" t="s">
        <v>547</v>
      </c>
      <c r="AM508" s="136" t="s">
        <v>556</v>
      </c>
      <c r="AN508" s="1">
        <v>4.0364225925925927</v>
      </c>
      <c r="AO508" s="166">
        <v>1.3856655555555555</v>
      </c>
      <c r="AQ508">
        <f>_xlfn.XLOOKUP(tblGWP21[[#This Row],[Material Subcategory]],ls_Mat,Factors!$K$952:$K$1023)</f>
        <v>0</v>
      </c>
      <c r="AR508" s="173"/>
      <c r="AU508" t="s">
        <v>526</v>
      </c>
      <c r="AV508" s="347">
        <v>0.65</v>
      </c>
      <c r="BA508" cm="1">
        <f t="array" ref="BA508:BM508">tblGWP21[#This Row]</f>
        <v>6</v>
      </c>
      <c r="BB508" t="str">
        <v>Food Waste</v>
      </c>
      <c r="BC508" t="str">
        <v>Mixed Organics</v>
      </c>
      <c r="BD508" t="str">
        <v>Asia</v>
      </c>
      <c r="BE508" t="str">
        <v>India</v>
      </c>
      <c r="BF508">
        <v>-4.0364225925925927</v>
      </c>
      <c r="BG508" t="str">
        <v>DELETE</v>
      </c>
      <c r="BH508" t="str">
        <v>DELETE</v>
      </c>
      <c r="BI508">
        <v>-0.49804123014899998</v>
      </c>
      <c r="BJ508">
        <v>-0.86469964244274</v>
      </c>
      <c r="BK508">
        <v>-9.8873846785501499E-2</v>
      </c>
      <c r="BL508">
        <v>-0.26772451207168102</v>
      </c>
      <c r="BM508">
        <v>2.7532204279775999E-2</v>
      </c>
    </row>
    <row r="509" spans="3:65">
      <c r="C509" s="362">
        <v>6</v>
      </c>
      <c r="D509" s="363" t="s">
        <v>256</v>
      </c>
      <c r="E509" s="362" t="s">
        <v>258</v>
      </c>
      <c r="F509" s="362" t="s">
        <v>547</v>
      </c>
      <c r="G509" s="362" t="s">
        <v>556</v>
      </c>
      <c r="H509" s="368">
        <v>-4.6396800000000002</v>
      </c>
      <c r="I509" s="368">
        <v>-4.5566017927000004</v>
      </c>
      <c r="J509" s="368">
        <v>-5.0807229397855505</v>
      </c>
      <c r="K509" s="368">
        <v>0</v>
      </c>
      <c r="L509" s="368">
        <v>0</v>
      </c>
      <c r="M509" s="368">
        <v>2.5860000000000001E-2</v>
      </c>
      <c r="N509" s="368">
        <v>-2.0101374675224899E-2</v>
      </c>
      <c r="O509" s="368">
        <v>-1.1963369679962E-2</v>
      </c>
      <c r="T509" s="48">
        <v>6</v>
      </c>
      <c r="U509" s="46" t="s">
        <v>237</v>
      </c>
      <c r="V509" s="53" t="s">
        <v>237</v>
      </c>
      <c r="W509" s="53" t="s">
        <v>547</v>
      </c>
      <c r="X509" s="53" t="s">
        <v>556</v>
      </c>
      <c r="Y509" s="172">
        <f>IFERROR(-tblZwaste1422[[#This Row],[Weight (kgCO2e/kg)]],0)</f>
        <v>-2.8533815875203707</v>
      </c>
      <c r="Z509" s="172" t="e">
        <f>IF(AQ509="x",(AR509*-tblZwaste1422[[#This Row],[Weight (kgCO2e/kg)]])+AS509+($AR$10*Lookups!$J$38/1000),"DELETE")</f>
        <v>#N/A</v>
      </c>
      <c r="AA509" s="172" t="s">
        <v>567</v>
      </c>
      <c r="AB509" s="172" t="s">
        <v>567</v>
      </c>
      <c r="AC509" s="172" t="s">
        <v>567</v>
      </c>
      <c r="AD509" s="172">
        <v>-0.41024045217658678</v>
      </c>
      <c r="AE509" s="172">
        <v>-0.59805419557752437</v>
      </c>
      <c r="AF509" s="172">
        <v>2.7970952240132501E-2</v>
      </c>
      <c r="AG509" s="150"/>
      <c r="AI509" s="137">
        <v>6</v>
      </c>
      <c r="AJ509" s="136" t="s">
        <v>237</v>
      </c>
      <c r="AK509" s="142" t="s">
        <v>237</v>
      </c>
      <c r="AL509" s="136" t="s">
        <v>547</v>
      </c>
      <c r="AM509" s="136" t="s">
        <v>556</v>
      </c>
      <c r="AN509" s="1">
        <v>2.8533815875203707</v>
      </c>
      <c r="AO509" s="166">
        <v>1.0711602172222223</v>
      </c>
      <c r="AQ509" t="e">
        <f>_xlfn.XLOOKUP(tblGWP21[[#This Row],[Material Subcategory]],ls_Mat,Factors!$K$952:$K$1023)</f>
        <v>#N/A</v>
      </c>
      <c r="AR509" s="173">
        <v>0.5</v>
      </c>
      <c r="AS509">
        <v>0</v>
      </c>
      <c r="AT509" t="s">
        <v>527</v>
      </c>
      <c r="AU509" t="s">
        <v>526</v>
      </c>
      <c r="AV509" s="347">
        <v>0.65</v>
      </c>
      <c r="BA509" cm="1">
        <f t="array" ref="BA509:BM509">tblGWP21[#This Row]</f>
        <v>6</v>
      </c>
      <c r="BB509" t="str">
        <v>Mixed/Custom</v>
      </c>
      <c r="BC509" t="str">
        <v>Mixed/Custom</v>
      </c>
      <c r="BD509" t="str">
        <v>Asia</v>
      </c>
      <c r="BE509" t="str">
        <v>India</v>
      </c>
      <c r="BF509">
        <v>-2.8533815875203707</v>
      </c>
      <c r="BG509" t="e">
        <v>#N/A</v>
      </c>
      <c r="BH509" t="str">
        <v>DELETE</v>
      </c>
      <c r="BI509" t="str">
        <v>DELETE</v>
      </c>
      <c r="BJ509" t="str">
        <v>DELETE</v>
      </c>
      <c r="BK509">
        <v>-0.41024045217658678</v>
      </c>
      <c r="BL509">
        <v>-0.59805419557752437</v>
      </c>
      <c r="BM509">
        <v>2.7970952240132501E-2</v>
      </c>
    </row>
    <row r="510" spans="3:65">
      <c r="C510" s="136">
        <v>6</v>
      </c>
      <c r="D510" s="137" t="s">
        <v>247</v>
      </c>
      <c r="E510" s="136" t="s">
        <v>247</v>
      </c>
      <c r="F510" s="136" t="s">
        <v>547</v>
      </c>
      <c r="G510" s="136" t="s">
        <v>556</v>
      </c>
      <c r="H510" s="191">
        <v>-1.0505633333333335</v>
      </c>
      <c r="I510" s="191">
        <v>-0.96748512603333348</v>
      </c>
      <c r="J510" s="191">
        <v>-0.31964666691719285</v>
      </c>
      <c r="K510" s="191">
        <v>0</v>
      </c>
      <c r="L510" s="191">
        <v>0</v>
      </c>
      <c r="M510" s="191">
        <v>2.6040724293187999E-2</v>
      </c>
      <c r="N510" s="191">
        <v>2.9160179539146E-2</v>
      </c>
      <c r="O510" s="191">
        <v>4.8933991860598297E-2</v>
      </c>
      <c r="T510" s="48">
        <v>6</v>
      </c>
      <c r="U510" s="46" t="s">
        <v>237</v>
      </c>
      <c r="V510" s="53" t="s">
        <v>246</v>
      </c>
      <c r="W510" s="53" t="s">
        <v>547</v>
      </c>
      <c r="X510" s="53" t="s">
        <v>556</v>
      </c>
      <c r="Y510" s="172">
        <f>IFERROR(-tblZwaste1422[[#This Row],[Weight (kgCO2e/kg)]],0)</f>
        <v>-7.3412433500000009</v>
      </c>
      <c r="Z510" s="172" t="str">
        <f>IF(AQ510="x",(AR510*-tblZwaste1422[[#This Row],[Weight (kgCO2e/kg)]])+AS510+($AR$10*Lookups!$J$38/1000),"DELETE")</f>
        <v>DELETE</v>
      </c>
      <c r="AA510" s="176" t="s">
        <v>567</v>
      </c>
      <c r="AB510" s="172" t="s">
        <v>567</v>
      </c>
      <c r="AC510" s="172" t="s">
        <v>567</v>
      </c>
      <c r="AD510" s="172">
        <v>2.60407590601959E-2</v>
      </c>
      <c r="AE510" s="172">
        <v>4.1075091000055998E-2</v>
      </c>
      <c r="AF510" s="172">
        <v>4.8932475133413603E-2</v>
      </c>
      <c r="AG510" s="150"/>
      <c r="AI510" s="137">
        <v>6</v>
      </c>
      <c r="AJ510" s="136" t="s">
        <v>237</v>
      </c>
      <c r="AK510" s="142" t="s">
        <v>246</v>
      </c>
      <c r="AL510" s="136" t="s">
        <v>547</v>
      </c>
      <c r="AM510" s="136" t="s">
        <v>556</v>
      </c>
      <c r="AN510" s="1">
        <v>7.3412433500000009</v>
      </c>
      <c r="AO510" s="166">
        <v>0.66842500000000005</v>
      </c>
      <c r="AQ510">
        <f>_xlfn.XLOOKUP(tblGWP21[[#This Row],[Material Subcategory]],ls_Mat,Factors!$K$952:$K$1023)</f>
        <v>0</v>
      </c>
      <c r="AR510" s="173"/>
      <c r="AU510" t="s">
        <v>526</v>
      </c>
      <c r="AV510" s="347">
        <v>0.8</v>
      </c>
      <c r="BA510" cm="1">
        <f t="array" ref="BA510:BM510">tblGWP21[#This Row]</f>
        <v>6</v>
      </c>
      <c r="BB510" t="str">
        <v>Mixed/Custom</v>
      </c>
      <c r="BC510" t="str">
        <v>Mixed Inorganics</v>
      </c>
      <c r="BD510" t="str">
        <v>Asia</v>
      </c>
      <c r="BE510" t="str">
        <v>India</v>
      </c>
      <c r="BF510">
        <v>-7.3412433500000009</v>
      </c>
      <c r="BG510" t="str">
        <v>DELETE</v>
      </c>
      <c r="BH510" t="str">
        <v>DELETE</v>
      </c>
      <c r="BI510" t="str">
        <v>DELETE</v>
      </c>
      <c r="BJ510" t="str">
        <v>DELETE</v>
      </c>
      <c r="BK510">
        <v>2.60407590601959E-2</v>
      </c>
      <c r="BL510">
        <v>4.1075091000055998E-2</v>
      </c>
      <c r="BM510">
        <v>4.8932475133413603E-2</v>
      </c>
    </row>
    <row r="511" spans="3:65">
      <c r="C511" s="362">
        <v>6</v>
      </c>
      <c r="D511" s="363" t="s">
        <v>247</v>
      </c>
      <c r="E511" s="362" t="s">
        <v>248</v>
      </c>
      <c r="F511" s="362" t="s">
        <v>547</v>
      </c>
      <c r="G511" s="362" t="s">
        <v>556</v>
      </c>
      <c r="H511" s="368">
        <v>-1.0606100000000001</v>
      </c>
      <c r="I511" s="368">
        <v>-0.97753179270000001</v>
      </c>
      <c r="J511" s="368">
        <v>-0.16792281557286154</v>
      </c>
      <c r="K511" s="368">
        <v>0</v>
      </c>
      <c r="L511" s="368">
        <v>0</v>
      </c>
      <c r="M511" s="368">
        <v>2.6040730347760901E-2</v>
      </c>
      <c r="N511" s="368">
        <v>3.3291056097463002E-2</v>
      </c>
      <c r="O511" s="368">
        <v>4.89328082549913E-2</v>
      </c>
      <c r="T511" s="48">
        <v>6</v>
      </c>
      <c r="U511" s="46" t="s">
        <v>237</v>
      </c>
      <c r="V511" s="53" t="s">
        <v>243</v>
      </c>
      <c r="W511" s="53" t="s">
        <v>547</v>
      </c>
      <c r="X511" s="53" t="s">
        <v>556</v>
      </c>
      <c r="Y511" s="172">
        <f>IFERROR(-tblZwaste1422[[#This Row],[Weight (kgCO2e/kg)]],0)</f>
        <v>-2.8533815875203707</v>
      </c>
      <c r="Z511" s="172" t="e">
        <f>IF(AQ511="x",(AR511*-tblZwaste1422[[#This Row],[Weight (kgCO2e/kg)]])+AS511+($AR$10*Lookups!$J$38/1000),"DELETE")</f>
        <v>#N/A</v>
      </c>
      <c r="AA511" s="176" t="s">
        <v>567</v>
      </c>
      <c r="AB511" s="172">
        <v>-1.0080674189834951</v>
      </c>
      <c r="AC511" s="172">
        <v>-1.5974615560162053</v>
      </c>
      <c r="AD511" s="172">
        <v>-0.41024045217658678</v>
      </c>
      <c r="AE511" s="172">
        <v>-0.59805419557752437</v>
      </c>
      <c r="AF511" s="172">
        <v>2.7970952240132501E-2</v>
      </c>
      <c r="AG511" s="150"/>
      <c r="AI511" s="137">
        <v>6</v>
      </c>
      <c r="AJ511" s="136" t="s">
        <v>237</v>
      </c>
      <c r="AK511" s="142" t="s">
        <v>243</v>
      </c>
      <c r="AL511" s="136" t="s">
        <v>547</v>
      </c>
      <c r="AM511" s="136" t="s">
        <v>556</v>
      </c>
      <c r="AN511" s="1">
        <v>2.8533815875203707</v>
      </c>
      <c r="AO511" s="166">
        <v>1.0711602172222223</v>
      </c>
      <c r="AQ511" t="e">
        <f>_xlfn.XLOOKUP(tblGWP21[[#This Row],[Material Subcategory]],ls_Mat,Factors!$K$952:$K$1023)</f>
        <v>#N/A</v>
      </c>
      <c r="AR511" s="173"/>
      <c r="BA511" cm="1">
        <f t="array" ref="BA511:BM511">tblGWP21[#This Row]</f>
        <v>6</v>
      </c>
      <c r="BB511" t="str">
        <v>Mixed/Custom</v>
      </c>
      <c r="BC511" t="str">
        <v>Mixed MSW</v>
      </c>
      <c r="BD511" t="str">
        <v>Asia</v>
      </c>
      <c r="BE511" t="str">
        <v>India</v>
      </c>
      <c r="BF511">
        <v>-2.8533815875203707</v>
      </c>
      <c r="BG511" t="e">
        <v>#N/A</v>
      </c>
      <c r="BH511" t="str">
        <v>DELETE</v>
      </c>
      <c r="BI511">
        <v>-1.0080674189834951</v>
      </c>
      <c r="BJ511">
        <v>-1.5974615560162053</v>
      </c>
      <c r="BK511">
        <v>-0.41024045217658678</v>
      </c>
      <c r="BL511">
        <v>-0.59805419557752437</v>
      </c>
      <c r="BM511">
        <v>2.7970952240132501E-2</v>
      </c>
    </row>
    <row r="512" spans="3:65">
      <c r="C512" s="136">
        <v>6</v>
      </c>
      <c r="D512" s="137" t="s">
        <v>247</v>
      </c>
      <c r="E512" s="136" t="s">
        <v>263</v>
      </c>
      <c r="F512" s="136" t="s">
        <v>547</v>
      </c>
      <c r="G512" s="136" t="s">
        <v>556</v>
      </c>
      <c r="H512" s="191">
        <v>-1.0341199999999999</v>
      </c>
      <c r="I512" s="191">
        <v>-0.95104179269999989</v>
      </c>
      <c r="J512" s="191">
        <v>-0.16792281557286154</v>
      </c>
      <c r="K512" s="191">
        <v>0</v>
      </c>
      <c r="L512" s="191">
        <v>0</v>
      </c>
      <c r="M512" s="191">
        <v>2.6040734100342699E-2</v>
      </c>
      <c r="N512" s="191">
        <v>3.5767272587802802E-2</v>
      </c>
      <c r="O512" s="191">
        <v>4.8932883823129603E-2</v>
      </c>
      <c r="T512" s="48">
        <v>6</v>
      </c>
      <c r="U512" s="46" t="s">
        <v>252</v>
      </c>
      <c r="V512" s="53" t="s">
        <v>333</v>
      </c>
      <c r="W512" s="53" t="s">
        <v>547</v>
      </c>
      <c r="X512" s="53" t="s">
        <v>556</v>
      </c>
      <c r="Y512" s="172">
        <f>IFERROR(-tblZwaste1422[[#This Row],[Weight (kgCO2e/kg)]],0)</f>
        <v>-2.0953266666666663</v>
      </c>
      <c r="Z512" s="172" t="str">
        <f>IF(AQ512="x",(AR512*-tblZwaste1422[[#This Row],[Weight (kgCO2e/kg)]])+AS512+($AR$10*Lookups!$J$38/1000),"DELETE")</f>
        <v>DELETE</v>
      </c>
      <c r="AA512" s="176">
        <v>-4.4026458801754389</v>
      </c>
      <c r="AB512" s="172" t="s">
        <v>567</v>
      </c>
      <c r="AC512" s="172" t="s">
        <v>567</v>
      </c>
      <c r="AD512" s="172">
        <v>2.6040731092765699E-2</v>
      </c>
      <c r="AE512" s="172">
        <v>0.464223353037373</v>
      </c>
      <c r="AF512" s="172">
        <v>2.1870266836515802</v>
      </c>
      <c r="AG512" s="150"/>
      <c r="AI512" s="137">
        <v>6</v>
      </c>
      <c r="AJ512" s="136" t="s">
        <v>252</v>
      </c>
      <c r="AK512" s="142" t="s">
        <v>333</v>
      </c>
      <c r="AL512" s="136" t="s">
        <v>547</v>
      </c>
      <c r="AM512" s="136" t="s">
        <v>556</v>
      </c>
      <c r="AN512" s="1">
        <v>2.0953266666666663</v>
      </c>
      <c r="AO512" s="166">
        <v>1.77911</v>
      </c>
      <c r="AQ512">
        <f>_xlfn.XLOOKUP(tblGWP21[[#This Row],[Material Subcategory]],ls_Mat,Factors!$K$952:$K$1023)</f>
        <v>0</v>
      </c>
      <c r="AR512" s="173"/>
      <c r="BA512" cm="1">
        <f t="array" ref="BA512:BM512">tblGWP21[#This Row]</f>
        <v>6</v>
      </c>
      <c r="BB512" t="str">
        <v>Plastics</v>
      </c>
      <c r="BC512" t="str">
        <v>Mixed Plastics</v>
      </c>
      <c r="BD512" t="str">
        <v>Asia</v>
      </c>
      <c r="BE512" t="str">
        <v>India</v>
      </c>
      <c r="BF512">
        <v>-2.0953266666666663</v>
      </c>
      <c r="BG512" t="str">
        <v>DELETE</v>
      </c>
      <c r="BH512">
        <v>-4.4026458801754389</v>
      </c>
      <c r="BI512" t="str">
        <v>DELETE</v>
      </c>
      <c r="BJ512" t="str">
        <v>DELETE</v>
      </c>
      <c r="BK512">
        <v>2.6040731092765699E-2</v>
      </c>
      <c r="BL512">
        <v>0.464223353037373</v>
      </c>
      <c r="BM512">
        <v>2.1870266836515802</v>
      </c>
    </row>
    <row r="513" spans="3:65">
      <c r="C513" s="362">
        <v>6</v>
      </c>
      <c r="D513" s="363" t="s">
        <v>247</v>
      </c>
      <c r="E513" s="362" t="s">
        <v>539</v>
      </c>
      <c r="F513" s="362" t="s">
        <v>547</v>
      </c>
      <c r="G513" s="362" t="s">
        <v>556</v>
      </c>
      <c r="H513" s="368">
        <v>-1.0569599999999999</v>
      </c>
      <c r="I513" s="368">
        <v>-0.97388179269999986</v>
      </c>
      <c r="J513" s="368">
        <v>-0.17322564132779403</v>
      </c>
      <c r="K513" s="368">
        <v>0</v>
      </c>
      <c r="L513" s="368">
        <v>0</v>
      </c>
      <c r="M513" s="368">
        <v>2.6040714495594499E-2</v>
      </c>
      <c r="N513" s="368">
        <v>2.25068255633998E-2</v>
      </c>
      <c r="O513" s="368">
        <v>4.8935266613268302E-2</v>
      </c>
      <c r="T513" s="48">
        <v>6</v>
      </c>
      <c r="U513" s="46" t="s">
        <v>239</v>
      </c>
      <c r="V513" s="53" t="s">
        <v>542</v>
      </c>
      <c r="W513" s="53" t="s">
        <v>547</v>
      </c>
      <c r="X513" s="53" t="s">
        <v>556</v>
      </c>
      <c r="Y513" s="172">
        <f>IFERROR(-tblZwaste1422[[#This Row],[Weight (kgCO2e/kg)]],0)</f>
        <v>-2.6644477777777777</v>
      </c>
      <c r="Z513" s="172" t="str">
        <f>IF(AQ513="x",(AR513*-tblZwaste1422[[#This Row],[Weight (kgCO2e/kg)]])+AS513+($AR$10*Lookups!$J$38/1000),"DELETE")</f>
        <v>DELETE</v>
      </c>
      <c r="AA513" s="176">
        <v>-0.90244815300206405</v>
      </c>
      <c r="AB513" s="172">
        <v>-1.5823914514950801</v>
      </c>
      <c r="AC513" s="172">
        <v>-2.39025290122775</v>
      </c>
      <c r="AD513" s="172">
        <v>-0.60576406900190205</v>
      </c>
      <c r="AE513" s="172">
        <v>-0.93094962859978103</v>
      </c>
      <c r="AF513" s="172">
        <v>2.7472942241024201E-2</v>
      </c>
      <c r="AG513" s="150"/>
      <c r="AI513" s="137">
        <v>6</v>
      </c>
      <c r="AJ513" s="136" t="s">
        <v>239</v>
      </c>
      <c r="AK513" s="142" t="s">
        <v>542</v>
      </c>
      <c r="AL513" s="136" t="s">
        <v>547</v>
      </c>
      <c r="AM513" s="136" t="s">
        <v>556</v>
      </c>
      <c r="AN513" s="1">
        <v>2.6644477777777777</v>
      </c>
      <c r="AO513" s="166">
        <v>0.64099666666666666</v>
      </c>
      <c r="AQ513">
        <f>_xlfn.XLOOKUP(tblGWP21[[#This Row],[Material Subcategory]],ls_Mat,Factors!$K$952:$K$1023)</f>
        <v>0</v>
      </c>
      <c r="AU513" t="s">
        <v>526</v>
      </c>
      <c r="AV513" s="347">
        <v>0.95</v>
      </c>
      <c r="BA513" cm="1">
        <f t="array" ref="BA513:BM513">tblGWP21[#This Row]</f>
        <v>6</v>
      </c>
      <c r="BB513" t="str">
        <v>Paper</v>
      </c>
      <c r="BC513" t="str">
        <v>Mixed Paper</v>
      </c>
      <c r="BD513" t="str">
        <v>Asia</v>
      </c>
      <c r="BE513" t="str">
        <v>India</v>
      </c>
      <c r="BF513">
        <v>-2.6644477777777777</v>
      </c>
      <c r="BG513" t="str">
        <v>DELETE</v>
      </c>
      <c r="BH513">
        <v>-0.90244815300206405</v>
      </c>
      <c r="BI513">
        <v>-1.5823914514950801</v>
      </c>
      <c r="BJ513">
        <v>-2.39025290122775</v>
      </c>
      <c r="BK513">
        <v>-0.60576406900190205</v>
      </c>
      <c r="BL513">
        <v>-0.93094962859978103</v>
      </c>
      <c r="BM513">
        <v>2.7472942241024201E-2</v>
      </c>
    </row>
    <row r="514" spans="3:65">
      <c r="C514" s="136">
        <v>6</v>
      </c>
      <c r="D514" s="137" t="s">
        <v>247</v>
      </c>
      <c r="E514" s="136" t="s">
        <v>270</v>
      </c>
      <c r="F514" s="136" t="s">
        <v>547</v>
      </c>
      <c r="G514" s="136" t="s">
        <v>556</v>
      </c>
      <c r="H514" s="191">
        <v>-1.0505633333333335</v>
      </c>
      <c r="I514" s="191">
        <v>-0.96748512603333348</v>
      </c>
      <c r="J514" s="191">
        <v>-0.31964666691719285</v>
      </c>
      <c r="K514" s="191">
        <v>0</v>
      </c>
      <c r="L514" s="191">
        <v>0</v>
      </c>
      <c r="M514" s="191">
        <v>2.6040724293187999E-2</v>
      </c>
      <c r="N514" s="191">
        <v>2.9160179539146E-2</v>
      </c>
      <c r="O514" s="191">
        <v>4.8933991860598297E-2</v>
      </c>
      <c r="T514" s="48">
        <v>6</v>
      </c>
      <c r="U514" s="46" t="s">
        <v>237</v>
      </c>
      <c r="V514" s="53" t="s">
        <v>238</v>
      </c>
      <c r="W514" s="53" t="s">
        <v>547</v>
      </c>
      <c r="X514" s="53" t="s">
        <v>556</v>
      </c>
      <c r="Y514" s="172">
        <f>IFERROR(-tblZwaste1422[[#This Row],[Weight (kgCO2e/kg)]],0)</f>
        <v>-2.7046544444444445</v>
      </c>
      <c r="Z514" s="172" t="str">
        <f>IF(AQ514="x",(AR514*-tblZwaste1422[[#This Row],[Weight (kgCO2e/kg)]])+AS514+($AR$10*Lookups!$J$38/1000),"DELETE")</f>
        <v>DELETE</v>
      </c>
      <c r="AA514" s="176" t="s">
        <v>567</v>
      </c>
      <c r="AB514" s="172" t="s">
        <v>567</v>
      </c>
      <c r="AC514" s="172" t="s">
        <v>567</v>
      </c>
      <c r="AD514" s="172">
        <v>-0.13193306468313171</v>
      </c>
      <c r="AE514" s="172">
        <v>-0.12340662346564657</v>
      </c>
      <c r="AF514" s="172">
        <v>0.55642669630908426</v>
      </c>
      <c r="AG514" s="150"/>
      <c r="AI514" s="137">
        <v>6</v>
      </c>
      <c r="AJ514" s="136" t="s">
        <v>237</v>
      </c>
      <c r="AK514" s="142" t="s">
        <v>238</v>
      </c>
      <c r="AL514" s="136" t="s">
        <v>547</v>
      </c>
      <c r="AM514" s="136" t="s">
        <v>556</v>
      </c>
      <c r="AN514" s="1">
        <v>2.7046544444444445</v>
      </c>
      <c r="AO514" s="166">
        <v>1.2161291666666667</v>
      </c>
      <c r="AQ514">
        <f>_xlfn.XLOOKUP(tblGWP21[[#This Row],[Material Subcategory]],ls_Mat,Factors!$K$952:$K$1023)</f>
        <v>0</v>
      </c>
      <c r="AU514" t="s">
        <v>526</v>
      </c>
      <c r="AV514" s="347">
        <v>0.95</v>
      </c>
      <c r="BA514" cm="1">
        <f t="array" ref="BA514:BM514">tblGWP21[#This Row]</f>
        <v>6</v>
      </c>
      <c r="BB514" t="str">
        <v>Mixed/Custom</v>
      </c>
      <c r="BC514" t="str">
        <v>Mixed Recycling</v>
      </c>
      <c r="BD514" t="str">
        <v>Asia</v>
      </c>
      <c r="BE514" t="str">
        <v>India</v>
      </c>
      <c r="BF514">
        <v>-2.7046544444444445</v>
      </c>
      <c r="BG514" t="str">
        <v>DELETE</v>
      </c>
      <c r="BH514" t="str">
        <v>DELETE</v>
      </c>
      <c r="BI514" t="str">
        <v>DELETE</v>
      </c>
      <c r="BJ514" t="str">
        <v>DELETE</v>
      </c>
      <c r="BK514">
        <v>-0.13193306468313171</v>
      </c>
      <c r="BL514">
        <v>-0.12340662346564657</v>
      </c>
      <c r="BM514">
        <v>0.55642669630908426</v>
      </c>
    </row>
    <row r="515" spans="3:65">
      <c r="C515" s="362">
        <v>6</v>
      </c>
      <c r="D515" s="363" t="s">
        <v>247</v>
      </c>
      <c r="E515" s="362" t="s">
        <v>540</v>
      </c>
      <c r="F515" s="362" t="s">
        <v>547</v>
      </c>
      <c r="G515" s="362" t="s">
        <v>556</v>
      </c>
      <c r="H515" s="368">
        <v>-1.0473650000000001</v>
      </c>
      <c r="I515" s="368">
        <v>-0.96428679270000006</v>
      </c>
      <c r="J515" s="368">
        <v>0</v>
      </c>
      <c r="K515" s="368">
        <v>0</v>
      </c>
      <c r="L515" s="368">
        <v>0</v>
      </c>
      <c r="M515" s="368">
        <v>2.6040707593329899E-2</v>
      </c>
      <c r="N515" s="368">
        <v>2.4982521898512501E-2</v>
      </c>
      <c r="O515" s="368">
        <v>4.8934822026179499E-2</v>
      </c>
      <c r="T515" s="48">
        <v>6</v>
      </c>
      <c r="U515" s="46" t="s">
        <v>264</v>
      </c>
      <c r="V515" s="53" t="s">
        <v>264</v>
      </c>
      <c r="W515" s="53" t="s">
        <v>547</v>
      </c>
      <c r="X515" s="53" t="s">
        <v>556</v>
      </c>
      <c r="Y515" s="172">
        <f>IFERROR(-tblZwaste1422[[#This Row],[Weight (kgCO2e/kg)]],0)</f>
        <v>-1.9287117500000002</v>
      </c>
      <c r="Z515" s="172" t="e">
        <f>IF(AQ515="x",(AR515*-tblZwaste1422[[#This Row],[Weight (kgCO2e/kg)]])+AS515+($AR$10*Lookups!$J$38/1000),"DELETE")</f>
        <v>#N/A</v>
      </c>
      <c r="AA515" s="172">
        <f>AA519</f>
        <v>0.15112249999999994</v>
      </c>
      <c r="AB515" s="172" t="s">
        <v>567</v>
      </c>
      <c r="AC515" s="172" t="s">
        <v>567</v>
      </c>
      <c r="AD515" s="172">
        <v>-0.30792172898100867</v>
      </c>
      <c r="AE515" s="172">
        <v>-0.58268383572280236</v>
      </c>
      <c r="AF515" s="172">
        <v>0.46268869053918082</v>
      </c>
      <c r="AG515" s="150"/>
      <c r="AI515" s="137">
        <v>6</v>
      </c>
      <c r="AJ515" s="136" t="s">
        <v>264</v>
      </c>
      <c r="AK515" s="142" t="s">
        <v>264</v>
      </c>
      <c r="AL515" s="136" t="s">
        <v>547</v>
      </c>
      <c r="AM515" s="136" t="s">
        <v>556</v>
      </c>
      <c r="AN515" s="1">
        <v>1.9287117500000002</v>
      </c>
      <c r="AO515" s="166">
        <v>0.467055</v>
      </c>
      <c r="AQ515" t="e">
        <f>_xlfn.XLOOKUP(tblGWP21[[#This Row],[Material Subcategory]],ls_Mat,Factors!$K$952:$K$1023)</f>
        <v>#N/A</v>
      </c>
      <c r="AR515" s="173">
        <v>0.65</v>
      </c>
      <c r="AS515">
        <v>0.14482945764999999</v>
      </c>
      <c r="AT515" t="s">
        <v>541</v>
      </c>
      <c r="AU515" t="s">
        <v>526</v>
      </c>
      <c r="AV515" s="347">
        <v>0.95</v>
      </c>
      <c r="BA515" cm="1">
        <f t="array" ref="BA515:BM515">tblGWP21[#This Row]</f>
        <v>6</v>
      </c>
      <c r="BB515" t="str">
        <v>Furniture/Textiles</v>
      </c>
      <c r="BC515" t="str">
        <v>Furniture/Textiles</v>
      </c>
      <c r="BD515" t="str">
        <v>Asia</v>
      </c>
      <c r="BE515" t="str">
        <v>India</v>
      </c>
      <c r="BF515">
        <v>-1.9287117500000002</v>
      </c>
      <c r="BG515" t="e">
        <v>#N/A</v>
      </c>
      <c r="BH515">
        <v>0.15112249999999994</v>
      </c>
      <c r="BI515" t="str">
        <v>DELETE</v>
      </c>
      <c r="BJ515" t="str">
        <v>DELETE</v>
      </c>
      <c r="BK515">
        <v>-0.30792172898100867</v>
      </c>
      <c r="BL515">
        <v>-0.58268383572280236</v>
      </c>
      <c r="BM515">
        <v>0.46268869053918082</v>
      </c>
    </row>
    <row r="516" spans="3:65">
      <c r="C516" s="136">
        <v>6</v>
      </c>
      <c r="D516" s="137" t="s">
        <v>261</v>
      </c>
      <c r="E516" s="136" t="s">
        <v>260</v>
      </c>
      <c r="F516" s="136" t="s">
        <v>547</v>
      </c>
      <c r="G516" s="136" t="s">
        <v>556</v>
      </c>
      <c r="H516" s="191">
        <v>-4.0364225925925927</v>
      </c>
      <c r="I516" s="191">
        <v>0</v>
      </c>
      <c r="J516" s="191">
        <v>0</v>
      </c>
      <c r="K516" s="191">
        <v>-0.49804123014899998</v>
      </c>
      <c r="L516" s="191">
        <v>-0.86469964244274</v>
      </c>
      <c r="M516" s="191">
        <v>-9.8873846785501499E-2</v>
      </c>
      <c r="N516" s="191">
        <v>-0.26772451207168102</v>
      </c>
      <c r="O516" s="191">
        <v>2.7532204279775999E-2</v>
      </c>
      <c r="T516" s="48">
        <v>6</v>
      </c>
      <c r="U516" s="46" t="s">
        <v>264</v>
      </c>
      <c r="V516" s="53" t="s">
        <v>336</v>
      </c>
      <c r="W516" s="53" t="s">
        <v>547</v>
      </c>
      <c r="X516" s="53" t="s">
        <v>556</v>
      </c>
      <c r="Y516" s="172">
        <f>IFERROR(-tblZwaste1422[[#This Row],[Weight (kgCO2e/kg)]],0)</f>
        <v>-0.76351350000000007</v>
      </c>
      <c r="Z516" s="172">
        <f>IF(AQ516="x",(AR516*-tblZwaste1422[[#This Row],[Weight (kgCO2e/kg)]])+AS516+($AR$10*Lookups!$J$38/1000),"DELETE")</f>
        <v>-0.34968251735000005</v>
      </c>
      <c r="AA516" s="176" t="s">
        <v>567</v>
      </c>
      <c r="AB516" s="172">
        <v>-1.64048635651654</v>
      </c>
      <c r="AC516" s="172">
        <v>-2.6265900097321899</v>
      </c>
      <c r="AD516" s="172">
        <v>-0.98615602024187332</v>
      </c>
      <c r="AE516" s="172">
        <v>-0.81510268688236076</v>
      </c>
      <c r="AF516" s="172">
        <v>0.21608141940206463</v>
      </c>
      <c r="AG516" s="150"/>
      <c r="AI516" s="137">
        <v>6</v>
      </c>
      <c r="AJ516" s="136" t="s">
        <v>264</v>
      </c>
      <c r="AK516" s="142" t="s">
        <v>336</v>
      </c>
      <c r="AL516" s="136" t="s">
        <v>547</v>
      </c>
      <c r="AM516" s="136" t="s">
        <v>556</v>
      </c>
      <c r="AN516" s="1">
        <v>0.76351350000000007</v>
      </c>
      <c r="AO516" s="166">
        <v>0.43603999999999998</v>
      </c>
      <c r="AQ516" t="str">
        <f>_xlfn.XLOOKUP(tblGWP21[[#This Row],[Material Subcategory]],ls_Mat,Factors!$K$952:$K$1023)</f>
        <v>x</v>
      </c>
      <c r="AR516" s="173">
        <v>0.65</v>
      </c>
      <c r="AS516">
        <v>0.14482945764999999</v>
      </c>
      <c r="AT516" t="s">
        <v>541</v>
      </c>
      <c r="BA516" cm="1">
        <f t="array" ref="BA516:BM516">tblGWP21[#This Row]</f>
        <v>6</v>
      </c>
      <c r="BB516" t="str">
        <v>Furniture/Textiles</v>
      </c>
      <c r="BC516" t="str">
        <v>Furniture</v>
      </c>
      <c r="BD516" t="str">
        <v>Asia</v>
      </c>
      <c r="BE516" t="str">
        <v>India</v>
      </c>
      <c r="BF516">
        <v>-0.76351350000000007</v>
      </c>
      <c r="BG516">
        <v>-0.34968251735000005</v>
      </c>
      <c r="BH516" t="str">
        <v>DELETE</v>
      </c>
      <c r="BI516">
        <v>-1.64048635651654</v>
      </c>
      <c r="BJ516">
        <v>-2.6265900097321899</v>
      </c>
      <c r="BK516">
        <v>-0.98615602024187332</v>
      </c>
      <c r="BL516">
        <v>-0.81510268688236076</v>
      </c>
      <c r="BM516">
        <v>0.21608141940206463</v>
      </c>
    </row>
    <row r="517" spans="3:65">
      <c r="C517" s="362">
        <v>6</v>
      </c>
      <c r="D517" s="363" t="s">
        <v>10157</v>
      </c>
      <c r="E517" s="362" t="s">
        <v>237</v>
      </c>
      <c r="F517" s="362" t="s">
        <v>547</v>
      </c>
      <c r="G517" s="362" t="s">
        <v>556</v>
      </c>
      <c r="H517" s="368">
        <v>-2.8533815875203707</v>
      </c>
      <c r="I517" s="368">
        <v>-1.4249189937601854</v>
      </c>
      <c r="J517" s="368">
        <v>0</v>
      </c>
      <c r="K517" s="368">
        <v>0</v>
      </c>
      <c r="L517" s="368">
        <v>0</v>
      </c>
      <c r="M517" s="368">
        <v>-0.41024045217658678</v>
      </c>
      <c r="N517" s="368">
        <v>-0.59805419557752437</v>
      </c>
      <c r="O517" s="368">
        <v>2.7970952240132501E-2</v>
      </c>
      <c r="T517" s="48">
        <v>6</v>
      </c>
      <c r="U517" s="46" t="s">
        <v>242</v>
      </c>
      <c r="V517" s="53" t="s">
        <v>251</v>
      </c>
      <c r="W517" s="53" t="s">
        <v>547</v>
      </c>
      <c r="X517" s="53" t="s">
        <v>556</v>
      </c>
      <c r="Y517" s="172">
        <f>IFERROR(-tblZwaste1422[[#This Row],[Weight (kgCO2e/kg)]],0)</f>
        <v>-4.9218200000000003</v>
      </c>
      <c r="Z517" s="172">
        <f>IF(AQ517="x",(AR517*-tblZwaste1422[[#This Row],[Weight (kgCO2e/kg)]])+AS517+($AR$10*Lookups!$J$38/1000),"DELETE")</f>
        <v>-3.5665477000000001</v>
      </c>
      <c r="AA517" s="172">
        <v>-1.2190350000000001</v>
      </c>
      <c r="AB517" s="172" t="s">
        <v>567</v>
      </c>
      <c r="AC517" s="172" t="s">
        <v>567</v>
      </c>
      <c r="AD517" s="172">
        <v>2.5968434390474859E-2</v>
      </c>
      <c r="AE517" s="172">
        <v>0.17148020027923069</v>
      </c>
      <c r="AF517" s="172">
        <v>0.8695064354805685</v>
      </c>
      <c r="AG517" s="150"/>
      <c r="AI517" s="137">
        <v>6</v>
      </c>
      <c r="AJ517" s="136" t="s">
        <v>242</v>
      </c>
      <c r="AK517" s="142" t="s">
        <v>251</v>
      </c>
      <c r="AL517" s="136" t="s">
        <v>547</v>
      </c>
      <c r="AM517" s="136" t="s">
        <v>556</v>
      </c>
      <c r="AN517" s="1">
        <v>4.9218200000000003</v>
      </c>
      <c r="AO517" s="166">
        <v>0.15096000000000001</v>
      </c>
      <c r="AQ517" t="str">
        <f>_xlfn.XLOOKUP(tblGWP21[[#This Row],[Material Subcategory]],ls_Mat,Factors!$K$952:$K$1023)</f>
        <v>x</v>
      </c>
      <c r="AR517" s="173">
        <v>0.72499999999999998</v>
      </c>
      <c r="AS517">
        <v>0</v>
      </c>
      <c r="AT517" t="s">
        <v>527</v>
      </c>
      <c r="AU517" t="s">
        <v>526</v>
      </c>
      <c r="AV517" s="347">
        <v>0.95</v>
      </c>
      <c r="BA517" cm="1">
        <f t="array" ref="BA517:BM517">tblGWP21[#This Row]</f>
        <v>6</v>
      </c>
      <c r="BB517" t="str">
        <v>Electronics</v>
      </c>
      <c r="BC517" t="str">
        <v>Appliances</v>
      </c>
      <c r="BD517" t="str">
        <v>Asia</v>
      </c>
      <c r="BE517" t="str">
        <v>India</v>
      </c>
      <c r="BF517">
        <v>-4.9218200000000003</v>
      </c>
      <c r="BG517">
        <v>-3.5665477000000001</v>
      </c>
      <c r="BH517">
        <v>-1.2190350000000001</v>
      </c>
      <c r="BI517" t="str">
        <v>DELETE</v>
      </c>
      <c r="BJ517" t="str">
        <v>DELETE</v>
      </c>
      <c r="BK517">
        <v>2.5968434390474859E-2</v>
      </c>
      <c r="BL517">
        <v>0.17148020027923069</v>
      </c>
      <c r="BM517">
        <v>0.8695064354805685</v>
      </c>
    </row>
    <row r="518" spans="3:65">
      <c r="C518" s="136">
        <v>6</v>
      </c>
      <c r="D518" s="137" t="s">
        <v>10157</v>
      </c>
      <c r="E518" s="136" t="s">
        <v>246</v>
      </c>
      <c r="F518" s="136" t="s">
        <v>547</v>
      </c>
      <c r="G518" s="136" t="s">
        <v>556</v>
      </c>
      <c r="H518" s="191">
        <v>-7.3412433500000009</v>
      </c>
      <c r="I518" s="191">
        <v>0</v>
      </c>
      <c r="J518" s="191">
        <v>0</v>
      </c>
      <c r="K518" s="191">
        <v>0</v>
      </c>
      <c r="L518" s="191">
        <v>0</v>
      </c>
      <c r="M518" s="191">
        <v>2.60407590601959E-2</v>
      </c>
      <c r="N518" s="191">
        <v>4.1075091000055998E-2</v>
      </c>
      <c r="O518" s="191">
        <v>4.8932475133413603E-2</v>
      </c>
      <c r="T518" s="48">
        <v>6</v>
      </c>
      <c r="U518" s="46" t="s">
        <v>242</v>
      </c>
      <c r="V518" s="53" t="s">
        <v>543</v>
      </c>
      <c r="W518" s="53" t="s">
        <v>547</v>
      </c>
      <c r="X518" s="53" t="s">
        <v>556</v>
      </c>
      <c r="Y518" s="172">
        <f>IFERROR(-tblZwaste1422[[#This Row],[Weight (kgCO2e/kg)]],0)</f>
        <v>-1.00081</v>
      </c>
      <c r="Z518" s="172">
        <f>IF(AQ518="x",(AR518*-tblZwaste1422[[#This Row],[Weight (kgCO2e/kg)]])+AS518+($AR$10*Lookups!$J$38/1000),"DELETE")</f>
        <v>-0.72381545000000003</v>
      </c>
      <c r="AA518" s="172">
        <v>-0.20626249999999999</v>
      </c>
      <c r="AB518" s="172" t="s">
        <v>567</v>
      </c>
      <c r="AC518" s="172" t="s">
        <v>567</v>
      </c>
      <c r="AD518" s="172">
        <v>2.5860000000000001E-2</v>
      </c>
      <c r="AE518" s="172">
        <v>4.1075091000055998E-2</v>
      </c>
      <c r="AF518" s="172">
        <v>4.8932475133413401E-2</v>
      </c>
      <c r="AG518" s="150"/>
      <c r="AI518" s="137">
        <v>6</v>
      </c>
      <c r="AJ518" s="136" t="s">
        <v>242</v>
      </c>
      <c r="AK518" s="142" t="s">
        <v>543</v>
      </c>
      <c r="AL518" s="136" t="s">
        <v>547</v>
      </c>
      <c r="AM518" s="136" t="s">
        <v>556</v>
      </c>
      <c r="AN518" s="1">
        <v>1.00081</v>
      </c>
      <c r="AO518" s="166">
        <v>0.33138000000000001</v>
      </c>
      <c r="AQ518" t="str">
        <f>_xlfn.XLOOKUP(tblGWP21[[#This Row],[Material Subcategory]],ls_Mat,Factors!$K$952:$K$1023)</f>
        <v>x</v>
      </c>
      <c r="AR518" s="173">
        <v>0.72499999999999998</v>
      </c>
      <c r="AS518">
        <v>0</v>
      </c>
      <c r="AT518" t="s">
        <v>527</v>
      </c>
      <c r="AU518" t="s">
        <v>526</v>
      </c>
      <c r="AV518" s="347">
        <v>0.9</v>
      </c>
      <c r="BA518" cm="1">
        <f t="array" ref="BA518:BM518">tblGWP21[#This Row]</f>
        <v>6</v>
      </c>
      <c r="BB518" t="str">
        <v>Electronics</v>
      </c>
      <c r="BC518" t="str">
        <v>Lightbulb/Lamps</v>
      </c>
      <c r="BD518" t="str">
        <v>Asia</v>
      </c>
      <c r="BE518" t="str">
        <v>India</v>
      </c>
      <c r="BF518">
        <v>-1.00081</v>
      </c>
      <c r="BG518">
        <v>-0.72381545000000003</v>
      </c>
      <c r="BH518">
        <v>-0.20626249999999999</v>
      </c>
      <c r="BI518" t="str">
        <v>DELETE</v>
      </c>
      <c r="BJ518" t="str">
        <v>DELETE</v>
      </c>
      <c r="BK518">
        <v>2.5860000000000001E-2</v>
      </c>
      <c r="BL518">
        <v>4.1075091000055998E-2</v>
      </c>
      <c r="BM518">
        <v>4.8932475133413401E-2</v>
      </c>
    </row>
    <row r="519" spans="3:65">
      <c r="C519" s="362">
        <v>6</v>
      </c>
      <c r="D519" s="363" t="s">
        <v>10157</v>
      </c>
      <c r="E519" s="362" t="s">
        <v>243</v>
      </c>
      <c r="F519" s="362" t="s">
        <v>547</v>
      </c>
      <c r="G519" s="362" t="s">
        <v>556</v>
      </c>
      <c r="H519" s="368">
        <v>-2.8533815875203707</v>
      </c>
      <c r="I519" s="368">
        <v>0</v>
      </c>
      <c r="J519" s="368">
        <v>0</v>
      </c>
      <c r="K519" s="368">
        <v>-1.0080674189834951</v>
      </c>
      <c r="L519" s="368">
        <v>-1.5974615560162053</v>
      </c>
      <c r="M519" s="368">
        <v>-0.41024045217658678</v>
      </c>
      <c r="N519" s="368">
        <v>-0.59805419557752437</v>
      </c>
      <c r="O519" s="368">
        <v>2.7970952240132501E-2</v>
      </c>
      <c r="T519" s="48">
        <v>6</v>
      </c>
      <c r="U519" s="46" t="s">
        <v>264</v>
      </c>
      <c r="V519" s="53" t="s">
        <v>544</v>
      </c>
      <c r="W519" s="53" t="s">
        <v>547</v>
      </c>
      <c r="X519" s="53" t="s">
        <v>556</v>
      </c>
      <c r="Y519" s="172">
        <f>IFERROR(-tblZwaste1422[[#This Row],[Weight (kgCO2e/kg)]],0)</f>
        <v>-3.0939100000000002</v>
      </c>
      <c r="Z519" s="172">
        <f>IF(AQ519="x",(AR519*-tblZwaste1422[[#This Row],[Weight (kgCO2e/kg)]])+AS519+($AR$10*Lookups!$J$38/1000),"DELETE")</f>
        <v>-1.8644402423500002</v>
      </c>
      <c r="AA519" s="172">
        <v>0.15112249999999994</v>
      </c>
      <c r="AB519" s="172" t="s">
        <v>567</v>
      </c>
      <c r="AC519" s="172" t="s">
        <v>567</v>
      </c>
      <c r="AD519" s="172">
        <v>0.37031256227985598</v>
      </c>
      <c r="AE519" s="172">
        <v>-0.35026498456324401</v>
      </c>
      <c r="AF519" s="172">
        <v>0.70929596167629705</v>
      </c>
      <c r="AG519" s="150"/>
      <c r="AI519" s="137">
        <v>6</v>
      </c>
      <c r="AJ519" s="136" t="s">
        <v>264</v>
      </c>
      <c r="AK519" s="142" t="s">
        <v>544</v>
      </c>
      <c r="AL519" s="136" t="s">
        <v>547</v>
      </c>
      <c r="AM519" s="136" t="s">
        <v>556</v>
      </c>
      <c r="AN519" s="1">
        <v>3.0939100000000002</v>
      </c>
      <c r="AO519" s="166">
        <v>0.49807000000000001</v>
      </c>
      <c r="AQ519" t="str">
        <f>_xlfn.XLOOKUP(tblGWP21[[#This Row],[Material Subcategory]],ls_Mat,Factors!$K$952:$K$1023)</f>
        <v>x</v>
      </c>
      <c r="AR519" s="173">
        <v>0.65</v>
      </c>
      <c r="AS519">
        <v>0.14482945764999999</v>
      </c>
      <c r="AT519" t="s">
        <v>541</v>
      </c>
      <c r="AU519" t="s">
        <v>526</v>
      </c>
      <c r="AV519" s="347">
        <v>0.9</v>
      </c>
      <c r="BA519" cm="1">
        <f t="array" ref="BA519:BM519">tblGWP21[#This Row]</f>
        <v>6</v>
      </c>
      <c r="BB519" t="str">
        <v>Furniture/Textiles</v>
      </c>
      <c r="BC519" t="str">
        <v>Textiles</v>
      </c>
      <c r="BD519" t="str">
        <v>Asia</v>
      </c>
      <c r="BE519" t="str">
        <v>India</v>
      </c>
      <c r="BF519">
        <v>-3.0939100000000002</v>
      </c>
      <c r="BG519">
        <v>-1.8644402423500002</v>
      </c>
      <c r="BH519">
        <v>0.15112249999999994</v>
      </c>
      <c r="BI519" t="str">
        <v>DELETE</v>
      </c>
      <c r="BJ519" t="str">
        <v>DELETE</v>
      </c>
      <c r="BK519">
        <v>0.37031256227985598</v>
      </c>
      <c r="BL519">
        <v>-0.35026498456324401</v>
      </c>
      <c r="BM519">
        <v>0.70929596167629705</v>
      </c>
    </row>
    <row r="520" spans="3:65">
      <c r="C520" s="136">
        <v>6</v>
      </c>
      <c r="D520" s="137" t="s">
        <v>252</v>
      </c>
      <c r="E520" s="136" t="s">
        <v>333</v>
      </c>
      <c r="F520" s="136" t="s">
        <v>547</v>
      </c>
      <c r="G520" s="136" t="s">
        <v>556</v>
      </c>
      <c r="H520" s="191">
        <v>-2.0953266666666663</v>
      </c>
      <c r="I520" s="191">
        <v>0</v>
      </c>
      <c r="J520" s="191">
        <v>-4.4026458801754389</v>
      </c>
      <c r="K520" s="191">
        <v>0</v>
      </c>
      <c r="L520" s="191">
        <v>0</v>
      </c>
      <c r="M520" s="191">
        <v>2.6040731092765699E-2</v>
      </c>
      <c r="N520" s="191">
        <v>0.464223353037373</v>
      </c>
      <c r="O520" s="191">
        <v>2.1870266836515802</v>
      </c>
      <c r="T520" s="48">
        <v>6</v>
      </c>
      <c r="U520" s="46" t="s">
        <v>237</v>
      </c>
      <c r="V520" s="53" t="s">
        <v>545</v>
      </c>
      <c r="W520" s="53" t="s">
        <v>547</v>
      </c>
      <c r="X520" s="53" t="s">
        <v>556</v>
      </c>
      <c r="Y520" s="172">
        <f>IFERROR(-tblZwaste1422[[#This Row],[Weight (kgCO2e/kg)]],0)</f>
        <v>-2.8533815875203707</v>
      </c>
      <c r="Z520" s="172" t="str">
        <f>IF(AQ520="x",(AR520*-tblZwaste1422[[#This Row],[Weight (kgCO2e/kg)]])+AS520+($AR$10*Lookups!$J$38/1000),"DELETE")</f>
        <v>DELETE</v>
      </c>
      <c r="AA520" s="176" t="s">
        <v>567</v>
      </c>
      <c r="AB520" s="172" t="s">
        <v>567</v>
      </c>
      <c r="AC520" s="172" t="s">
        <v>567</v>
      </c>
      <c r="AD520" s="172">
        <v>-0.41024045217658678</v>
      </c>
      <c r="AE520" s="172">
        <v>-0.59805419557752437</v>
      </c>
      <c r="AF520" s="172">
        <v>2.7970952240132501E-2</v>
      </c>
      <c r="AG520" s="150"/>
      <c r="AI520" s="137">
        <v>6</v>
      </c>
      <c r="AJ520" s="136" t="s">
        <v>237</v>
      </c>
      <c r="AK520" s="142" t="s">
        <v>545</v>
      </c>
      <c r="AL520" s="136" t="s">
        <v>547</v>
      </c>
      <c r="AM520" s="136" t="s">
        <v>556</v>
      </c>
      <c r="AN520" s="1">
        <v>2.8533815875203707</v>
      </c>
      <c r="AO520" s="166">
        <v>1.0711602172222223</v>
      </c>
      <c r="AQ520">
        <f>_xlfn.XLOOKUP(tblGWP21[[#This Row],[Material Subcategory]],ls_Mat,Factors!$K$952:$K$1023)</f>
        <v>0</v>
      </c>
      <c r="AU520" t="s">
        <v>526</v>
      </c>
      <c r="AV520" s="347">
        <v>0.95</v>
      </c>
      <c r="BA520" cm="1">
        <f t="array" ref="BA520:BM520">tblGWP21[#This Row]</f>
        <v>6</v>
      </c>
      <c r="BB520" t="str">
        <v>Mixed/Custom</v>
      </c>
      <c r="BC520" t="str">
        <v>General other</v>
      </c>
      <c r="BD520" t="str">
        <v>Asia</v>
      </c>
      <c r="BE520" t="str">
        <v>India</v>
      </c>
      <c r="BF520">
        <v>-2.8533815875203707</v>
      </c>
      <c r="BG520" t="str">
        <v>DELETE</v>
      </c>
      <c r="BH520" t="str">
        <v>DELETE</v>
      </c>
      <c r="BI520" t="str">
        <v>DELETE</v>
      </c>
      <c r="BJ520" t="str">
        <v>DELETE</v>
      </c>
      <c r="BK520">
        <v>-0.41024045217658678</v>
      </c>
      <c r="BL520">
        <v>-0.59805419557752437</v>
      </c>
      <c r="BM520">
        <v>2.7970952240132501E-2</v>
      </c>
    </row>
    <row r="521" spans="3:65">
      <c r="C521" s="362">
        <v>6</v>
      </c>
      <c r="D521" s="363" t="s">
        <v>239</v>
      </c>
      <c r="E521" s="362" t="s">
        <v>542</v>
      </c>
      <c r="F521" s="362" t="s">
        <v>547</v>
      </c>
      <c r="G521" s="362" t="s">
        <v>556</v>
      </c>
      <c r="H521" s="368">
        <v>-2.6644477777777777</v>
      </c>
      <c r="I521" s="368">
        <v>0</v>
      </c>
      <c r="J521" s="368">
        <v>-0.90244815300206405</v>
      </c>
      <c r="K521" s="368">
        <v>-1.5823914514950801</v>
      </c>
      <c r="L521" s="368">
        <v>-2.39025290122775</v>
      </c>
      <c r="M521" s="368">
        <v>-0.60576406900190205</v>
      </c>
      <c r="N521" s="368">
        <v>-0.93094962859978103</v>
      </c>
      <c r="O521" s="368">
        <v>2.7472942241024201E-2</v>
      </c>
      <c r="T521" s="48">
        <v>7</v>
      </c>
      <c r="U521" s="46" t="s">
        <v>233</v>
      </c>
      <c r="V521" s="53" t="s">
        <v>233</v>
      </c>
      <c r="W521" s="53" t="s">
        <v>548</v>
      </c>
      <c r="X521" s="53" t="s">
        <v>557</v>
      </c>
      <c r="Y521" s="172">
        <f>IFERROR(-tblZwaste1422[[#This Row],[Weight (kgCO2e/kg)]],0)</f>
        <v>0</v>
      </c>
      <c r="Z521" s="172">
        <f>AVERAGE(Z525:Z527)</f>
        <v>-0.13905086666666666</v>
      </c>
      <c r="AA521" s="176" t="s">
        <v>567</v>
      </c>
      <c r="AB521" s="172">
        <v>-1.4466404706853726</v>
      </c>
      <c r="AC521" s="172">
        <v>-2.0499907423665853</v>
      </c>
      <c r="AD521" s="172">
        <v>-1.0134980567214902</v>
      </c>
      <c r="AE521" s="172">
        <v>-0.87830155284934364</v>
      </c>
      <c r="AF521" s="172">
        <v>3.3141239120199513E-2</v>
      </c>
      <c r="AG521" s="150"/>
      <c r="AI521" s="137">
        <v>7</v>
      </c>
      <c r="AJ521" s="136"/>
      <c r="AK521" s="142"/>
      <c r="AL521" s="136" t="s">
        <v>548</v>
      </c>
      <c r="AM521" s="136" t="s">
        <v>557</v>
      </c>
      <c r="AN521" s="1" t="s">
        <v>525</v>
      </c>
      <c r="AO521" s="166" t="s">
        <v>525</v>
      </c>
      <c r="AQ521" t="e">
        <f>_xlfn.XLOOKUP(tblGWP21[[#This Row],[Material Subcategory]],ls_Mat,Factors!$K$952:$K$1023)</f>
        <v>#N/A</v>
      </c>
      <c r="AR521" s="173">
        <v>0.77500000000000002</v>
      </c>
      <c r="AS521">
        <v>0</v>
      </c>
      <c r="AT521" t="s">
        <v>527</v>
      </c>
      <c r="AU521" t="s">
        <v>526</v>
      </c>
      <c r="AV521" s="347">
        <v>0.7</v>
      </c>
      <c r="BA521" cm="1">
        <f t="array" ref="BA521:BM521">tblGWP21[#This Row]</f>
        <v>7</v>
      </c>
      <c r="BB521" t="str">
        <v>Wood/Yard Trimmings</v>
      </c>
      <c r="BC521" t="str">
        <v>Wood/Yard Trimmings</v>
      </c>
      <c r="BD521" t="str">
        <v>Europe</v>
      </c>
      <c r="BE521" t="str">
        <v>Ireland</v>
      </c>
      <c r="BF521">
        <v>0</v>
      </c>
      <c r="BG521">
        <v>-0.13905086666666666</v>
      </c>
      <c r="BH521" t="str">
        <v>DELETE</v>
      </c>
      <c r="BI521">
        <v>-1.4466404706853726</v>
      </c>
      <c r="BJ521">
        <v>-2.0499907423665853</v>
      </c>
      <c r="BK521">
        <v>-1.0134980567214902</v>
      </c>
      <c r="BL521">
        <v>-0.87830155284934364</v>
      </c>
      <c r="BM521">
        <v>3.3141239120199513E-2</v>
      </c>
    </row>
    <row r="522" spans="3:65" ht="28.8">
      <c r="C522" s="136">
        <v>6</v>
      </c>
      <c r="D522" s="137" t="s">
        <v>10157</v>
      </c>
      <c r="E522" s="136" t="s">
        <v>238</v>
      </c>
      <c r="F522" s="136" t="s">
        <v>547</v>
      </c>
      <c r="G522" s="136" t="s">
        <v>556</v>
      </c>
      <c r="H522" s="191">
        <v>-2.7046544444444445</v>
      </c>
      <c r="I522" s="191">
        <v>0</v>
      </c>
      <c r="J522" s="191">
        <v>0</v>
      </c>
      <c r="K522" s="191">
        <v>0</v>
      </c>
      <c r="L522" s="191">
        <v>0</v>
      </c>
      <c r="M522" s="191">
        <v>-0.13193306468313171</v>
      </c>
      <c r="N522" s="191">
        <v>-0.12340662346564657</v>
      </c>
      <c r="O522" s="191">
        <v>0.55642669630908426</v>
      </c>
      <c r="T522" s="48">
        <v>7</v>
      </c>
      <c r="U522" s="46" t="s">
        <v>233</v>
      </c>
      <c r="V522" s="53" t="s">
        <v>250</v>
      </c>
      <c r="W522" s="53" t="s">
        <v>548</v>
      </c>
      <c r="X522" s="53" t="s">
        <v>557</v>
      </c>
      <c r="Y522" s="172">
        <f>IFERROR(-tblZwaste1422[[#This Row],[Weight (kgCO2e/kg)]],0)</f>
        <v>0</v>
      </c>
      <c r="Z522" s="172" t="str">
        <f>IF(AQ522="x",(AR522*-tblZwaste1422[[#This Row],[Weight (kgCO2e/kg)]])+AS522+($AR$10*Lookups!$J$38/1000),"DELETE")</f>
        <v>DELETE</v>
      </c>
      <c r="AA522" s="176" t="s">
        <v>567</v>
      </c>
      <c r="AB522" s="172">
        <v>-1.74448839317378</v>
      </c>
      <c r="AC522" s="172">
        <v>-2.14965365134998</v>
      </c>
      <c r="AD522" s="172">
        <v>-1.04438325676556</v>
      </c>
      <c r="AE522" s="172">
        <v>-0.94093989726613403</v>
      </c>
      <c r="AF522" s="172">
        <v>2.8432288310420301E-2</v>
      </c>
      <c r="AG522" s="150"/>
      <c r="AI522" s="137">
        <v>7</v>
      </c>
      <c r="AJ522" s="136"/>
      <c r="AK522" s="142"/>
      <c r="AL522" s="136" t="s">
        <v>548</v>
      </c>
      <c r="AM522" s="136" t="s">
        <v>557</v>
      </c>
      <c r="AN522" s="1" t="s">
        <v>525</v>
      </c>
      <c r="AO522" s="166" t="s">
        <v>525</v>
      </c>
      <c r="AQ522">
        <f>_xlfn.XLOOKUP(tblGWP21[[#This Row],[Material Subcategory]],ls_Mat,Factors!$K$952:$K$1023)</f>
        <v>0</v>
      </c>
      <c r="BA522" cm="1">
        <f t="array" ref="BA522:BM522">tblGWP21[#This Row]</f>
        <v>7</v>
      </c>
      <c r="BB522" t="str">
        <v>Wood/Yard Trimmings</v>
      </c>
      <c r="BC522" t="str">
        <v>Yard Trimmings – Leaves</v>
      </c>
      <c r="BD522" t="str">
        <v>Europe</v>
      </c>
      <c r="BE522" t="str">
        <v>Ireland</v>
      </c>
      <c r="BF522">
        <v>0</v>
      </c>
      <c r="BG522" t="str">
        <v>DELETE</v>
      </c>
      <c r="BH522" t="str">
        <v>DELETE</v>
      </c>
      <c r="BI522">
        <v>-1.74448839317378</v>
      </c>
      <c r="BJ522">
        <v>-2.14965365134998</v>
      </c>
      <c r="BK522">
        <v>-1.04438325676556</v>
      </c>
      <c r="BL522">
        <v>-0.94093989726613403</v>
      </c>
      <c r="BM522">
        <v>2.8432288310420301E-2</v>
      </c>
    </row>
    <row r="523" spans="3:65" ht="28.8">
      <c r="C523" s="362">
        <v>6</v>
      </c>
      <c r="D523" s="363" t="s">
        <v>264</v>
      </c>
      <c r="E523" s="362" t="s">
        <v>264</v>
      </c>
      <c r="F523" s="362" t="s">
        <v>547</v>
      </c>
      <c r="G523" s="362" t="s">
        <v>556</v>
      </c>
      <c r="H523" s="368">
        <v>-1.9287117500000002</v>
      </c>
      <c r="I523" s="368">
        <v>-1.1070613798500002</v>
      </c>
      <c r="J523" s="368">
        <v>0.15112249999999994</v>
      </c>
      <c r="K523" s="368">
        <v>0</v>
      </c>
      <c r="L523" s="368">
        <v>0</v>
      </c>
      <c r="M523" s="368">
        <v>-0.30792172898100867</v>
      </c>
      <c r="N523" s="368">
        <v>-0.58268383572280236</v>
      </c>
      <c r="O523" s="368">
        <v>0.46268869053918082</v>
      </c>
      <c r="T523" s="48">
        <v>7</v>
      </c>
      <c r="U523" s="46" t="s">
        <v>233</v>
      </c>
      <c r="V523" s="53" t="s">
        <v>249</v>
      </c>
      <c r="W523" s="53" t="s">
        <v>548</v>
      </c>
      <c r="X523" s="53" t="s">
        <v>557</v>
      </c>
      <c r="Y523" s="172">
        <f>IFERROR(-tblZwaste1422[[#This Row],[Weight (kgCO2e/kg)]],0)</f>
        <v>0</v>
      </c>
      <c r="Z523" s="172" t="str">
        <f>IF(AQ523="x",(AR523*-tblZwaste1422[[#This Row],[Weight (kgCO2e/kg)]])+AS523+($AR$10*Lookups!$J$38/1000),"DELETE")</f>
        <v>DELETE</v>
      </c>
      <c r="AA523" s="176" t="s">
        <v>567</v>
      </c>
      <c r="AB523" s="172">
        <v>-0.54334413726387398</v>
      </c>
      <c r="AC523" s="172">
        <v>-0.74441319745608603</v>
      </c>
      <c r="AD523" s="172">
        <v>1.7309424352961799E-2</v>
      </c>
      <c r="AE523" s="172">
        <v>-0.19937509744440399</v>
      </c>
      <c r="AF523" s="172">
        <v>2.57534661646318E-2</v>
      </c>
      <c r="AG523" s="150"/>
      <c r="AI523" s="137">
        <v>7</v>
      </c>
      <c r="AJ523" s="136"/>
      <c r="AK523" s="142"/>
      <c r="AL523" s="136" t="s">
        <v>548</v>
      </c>
      <c r="AM523" s="136" t="s">
        <v>557</v>
      </c>
      <c r="AN523" s="1" t="s">
        <v>525</v>
      </c>
      <c r="AO523" s="166" t="s">
        <v>525</v>
      </c>
      <c r="AQ523">
        <f>_xlfn.XLOOKUP(tblGWP21[[#This Row],[Material Subcategory]],ls_Mat,Factors!$K$952:$K$1023)</f>
        <v>0</v>
      </c>
      <c r="BA523" cm="1">
        <f t="array" ref="BA523:BM523">tblGWP21[#This Row]</f>
        <v>7</v>
      </c>
      <c r="BB523" t="str">
        <v>Wood/Yard Trimmings</v>
      </c>
      <c r="BC523" t="str">
        <v>Yard Trimmings – Grass</v>
      </c>
      <c r="BD523" t="str">
        <v>Europe</v>
      </c>
      <c r="BE523" t="str">
        <v>Ireland</v>
      </c>
      <c r="BF523">
        <v>0</v>
      </c>
      <c r="BG523" t="str">
        <v>DELETE</v>
      </c>
      <c r="BH523" t="str">
        <v>DELETE</v>
      </c>
      <c r="BI523">
        <v>-0.54334413726387398</v>
      </c>
      <c r="BJ523">
        <v>-0.74441319745608603</v>
      </c>
      <c r="BK523">
        <v>1.7309424352961799E-2</v>
      </c>
      <c r="BL523">
        <v>-0.19937509744440399</v>
      </c>
      <c r="BM523">
        <v>2.57534661646318E-2</v>
      </c>
    </row>
    <row r="524" spans="3:65" ht="28.8">
      <c r="C524" s="136">
        <v>6</v>
      </c>
      <c r="D524" s="137" t="s">
        <v>264</v>
      </c>
      <c r="E524" s="136" t="s">
        <v>336</v>
      </c>
      <c r="F524" s="136" t="s">
        <v>547</v>
      </c>
      <c r="G524" s="136" t="s">
        <v>556</v>
      </c>
      <c r="H524" s="191">
        <v>-0.76351350000000007</v>
      </c>
      <c r="I524" s="191">
        <v>-0.34968251735000005</v>
      </c>
      <c r="J524" s="191">
        <v>0</v>
      </c>
      <c r="K524" s="191">
        <v>-1.64048635651654</v>
      </c>
      <c r="L524" s="191">
        <v>-2.6265900097321899</v>
      </c>
      <c r="M524" s="191">
        <v>-0.98615602024187332</v>
      </c>
      <c r="N524" s="191">
        <v>-0.81510268688236076</v>
      </c>
      <c r="O524" s="191">
        <v>0.21608141940206463</v>
      </c>
      <c r="T524" s="48">
        <v>7</v>
      </c>
      <c r="U524" s="46" t="s">
        <v>233</v>
      </c>
      <c r="V524" s="53" t="s">
        <v>273</v>
      </c>
      <c r="W524" s="53" t="s">
        <v>548</v>
      </c>
      <c r="X524" s="53" t="s">
        <v>557</v>
      </c>
      <c r="Y524" s="172">
        <f>IFERROR(-tblZwaste1422[[#This Row],[Weight (kgCO2e/kg)]],0)</f>
        <v>0</v>
      </c>
      <c r="Z524" s="172" t="str">
        <f>IF(AQ524="x",(AR524*-tblZwaste1422[[#This Row],[Weight (kgCO2e/kg)]])+AS524+($AR$10*Lookups!$J$38/1000),"DELETE")</f>
        <v>DELETE</v>
      </c>
      <c r="AA524" s="176" t="s">
        <v>567</v>
      </c>
      <c r="AB524" s="172">
        <v>-1.64845660766307</v>
      </c>
      <c r="AC524" s="172">
        <v>-2.1008664632998002</v>
      </c>
      <c r="AD524" s="172">
        <v>-0.80223281601250396</v>
      </c>
      <c r="AE524" s="172">
        <v>-0.913894436824084</v>
      </c>
      <c r="AF524" s="172">
        <v>2.72084143269181E-2</v>
      </c>
      <c r="AG524" s="150"/>
      <c r="AI524" s="137">
        <v>7</v>
      </c>
      <c r="AJ524" s="136"/>
      <c r="AK524" s="142"/>
      <c r="AL524" s="136" t="s">
        <v>548</v>
      </c>
      <c r="AM524" s="136" t="s">
        <v>557</v>
      </c>
      <c r="AN524" s="1" t="s">
        <v>525</v>
      </c>
      <c r="AO524" s="166" t="s">
        <v>525</v>
      </c>
      <c r="AQ524">
        <f>_xlfn.XLOOKUP(tblGWP21[[#This Row],[Material Subcategory]],ls_Mat,Factors!$K$952:$K$1023)</f>
        <v>0</v>
      </c>
      <c r="AR524" s="173"/>
      <c r="BA524" cm="1">
        <f t="array" ref="BA524:BM524">tblGWP21[#This Row]</f>
        <v>7</v>
      </c>
      <c r="BB524" t="str">
        <v>Wood/Yard Trimmings</v>
      </c>
      <c r="BC524" t="str">
        <v>Yard Trimming – Branches</v>
      </c>
      <c r="BD524" t="str">
        <v>Europe</v>
      </c>
      <c r="BE524" t="str">
        <v>Ireland</v>
      </c>
      <c r="BF524">
        <v>0</v>
      </c>
      <c r="BG524" t="str">
        <v>DELETE</v>
      </c>
      <c r="BH524" t="str">
        <v>DELETE</v>
      </c>
      <c r="BI524">
        <v>-1.64845660766307</v>
      </c>
      <c r="BJ524">
        <v>-2.1008664632998002</v>
      </c>
      <c r="BK524">
        <v>-0.80223281601250396</v>
      </c>
      <c r="BL524">
        <v>-0.913894436824084</v>
      </c>
      <c r="BM524">
        <v>2.72084143269181E-2</v>
      </c>
    </row>
    <row r="525" spans="3:65">
      <c r="C525" s="362">
        <v>6</v>
      </c>
      <c r="D525" s="363" t="s">
        <v>242</v>
      </c>
      <c r="E525" s="362" t="s">
        <v>251</v>
      </c>
      <c r="F525" s="362" t="s">
        <v>547</v>
      </c>
      <c r="G525" s="362" t="s">
        <v>556</v>
      </c>
      <c r="H525" s="368">
        <v>-4.9218200000000003</v>
      </c>
      <c r="I525" s="368">
        <v>-3.5665477000000001</v>
      </c>
      <c r="J525" s="368">
        <v>-1.2190350000000001</v>
      </c>
      <c r="K525" s="368">
        <v>0</v>
      </c>
      <c r="L525" s="368">
        <v>0</v>
      </c>
      <c r="M525" s="368">
        <v>2.5968434390474859E-2</v>
      </c>
      <c r="N525" s="368">
        <v>0.17148020027923069</v>
      </c>
      <c r="O525" s="368">
        <v>0.8695064354805685</v>
      </c>
      <c r="T525" s="48">
        <v>7</v>
      </c>
      <c r="U525" s="46" t="s">
        <v>233</v>
      </c>
      <c r="V525" s="53" t="s">
        <v>330</v>
      </c>
      <c r="W525" s="53" t="s">
        <v>548</v>
      </c>
      <c r="X525" s="53" t="s">
        <v>557</v>
      </c>
      <c r="Y525" s="172">
        <f>IFERROR(-tblZwaste1422[[#This Row],[Weight (kgCO2e/kg)]],0)</f>
        <v>-0.14119999999999999</v>
      </c>
      <c r="Z525" s="172">
        <f>IF(AQ525="x",(AR525*-tblZwaste1422[[#This Row],[Weight (kgCO2e/kg)]])+AS525+($AR$10*Lookups!$J$38/1000),"DELETE")</f>
        <v>-0.1076582</v>
      </c>
      <c r="AA525" s="176" t="s">
        <v>567</v>
      </c>
      <c r="AB525" s="172" t="s">
        <v>567</v>
      </c>
      <c r="AC525" s="172" t="s">
        <v>567</v>
      </c>
      <c r="AD525" s="172">
        <v>-1.4814725452226001</v>
      </c>
      <c r="AE525" s="172">
        <v>-1.06371603922564</v>
      </c>
      <c r="AF525" s="172">
        <v>5.3036423917282902E-2</v>
      </c>
      <c r="AG525" s="150"/>
      <c r="AI525" s="137">
        <v>7</v>
      </c>
      <c r="AJ525" s="136" t="s">
        <v>330</v>
      </c>
      <c r="AK525" s="142" t="s">
        <v>330</v>
      </c>
      <c r="AL525" s="136" t="s">
        <v>548</v>
      </c>
      <c r="AM525" s="136" t="s">
        <v>557</v>
      </c>
      <c r="AN525" s="1">
        <v>0.14119999999999999</v>
      </c>
      <c r="AO525" s="166">
        <v>0.43014000000000002</v>
      </c>
      <c r="AQ525" t="str">
        <f>_xlfn.XLOOKUP(tblGWP21[[#This Row],[Material Subcategory]],ls_Mat,Factors!$K$952:$K$1023)</f>
        <v>x</v>
      </c>
      <c r="AR525" s="173">
        <v>0.77500000000000002</v>
      </c>
      <c r="AS525">
        <v>0</v>
      </c>
      <c r="AT525" t="s">
        <v>527</v>
      </c>
      <c r="BA525" cm="1">
        <f t="array" ref="BA525:BM525">tblGWP21[#This Row]</f>
        <v>7</v>
      </c>
      <c r="BB525" t="str">
        <v>Wood/Yard Trimmings</v>
      </c>
      <c r="BC525" t="str">
        <v>Wood</v>
      </c>
      <c r="BD525" t="str">
        <v>Europe</v>
      </c>
      <c r="BE525" t="str">
        <v>Ireland</v>
      </c>
      <c r="BF525">
        <v>-0.14119999999999999</v>
      </c>
      <c r="BG525">
        <v>-0.1076582</v>
      </c>
      <c r="BH525" t="str">
        <v>DELETE</v>
      </c>
      <c r="BI525" t="str">
        <v>DELETE</v>
      </c>
      <c r="BJ525" t="str">
        <v>DELETE</v>
      </c>
      <c r="BK525">
        <v>-1.4814725452226001</v>
      </c>
      <c r="BL525">
        <v>-1.06371603922564</v>
      </c>
      <c r="BM525">
        <v>5.3036423917282902E-2</v>
      </c>
    </row>
    <row r="526" spans="3:65">
      <c r="C526" s="136">
        <v>6</v>
      </c>
      <c r="D526" s="137" t="s">
        <v>242</v>
      </c>
      <c r="E526" s="136" t="s">
        <v>543</v>
      </c>
      <c r="F526" s="136" t="s">
        <v>547</v>
      </c>
      <c r="G526" s="136" t="s">
        <v>556</v>
      </c>
      <c r="H526" s="191">
        <v>-1.00081</v>
      </c>
      <c r="I526" s="191">
        <v>-0.72381545000000003</v>
      </c>
      <c r="J526" s="191">
        <v>-0.20626249999999999</v>
      </c>
      <c r="K526" s="191">
        <v>0</v>
      </c>
      <c r="L526" s="191">
        <v>0</v>
      </c>
      <c r="M526" s="191">
        <v>2.5860000000000001E-2</v>
      </c>
      <c r="N526" s="191">
        <v>4.1075091000055998E-2</v>
      </c>
      <c r="O526" s="191">
        <v>4.8932475133413401E-2</v>
      </c>
      <c r="T526" s="48">
        <v>7</v>
      </c>
      <c r="U526" s="46" t="s">
        <v>233</v>
      </c>
      <c r="V526" s="53" t="s">
        <v>335</v>
      </c>
      <c r="W526" s="53" t="s">
        <v>548</v>
      </c>
      <c r="X526" s="53" t="s">
        <v>557</v>
      </c>
      <c r="Y526" s="172">
        <f>IFERROR(-tblZwaste1422[[#This Row],[Weight (kgCO2e/kg)]],0)</f>
        <v>-0.26272000000000001</v>
      </c>
      <c r="Z526" s="172">
        <f>IF(AQ526="x",(AR526*-tblZwaste1422[[#This Row],[Weight (kgCO2e/kg)]])+AS526+($AR$10*Lookups!$J$38/1000),"DELETE")</f>
        <v>-0.20183620000000002</v>
      </c>
      <c r="AA526" s="176" t="s">
        <v>567</v>
      </c>
      <c r="AB526" s="172">
        <v>-1.64845660766307</v>
      </c>
      <c r="AC526" s="172">
        <v>-2.6275101998635302</v>
      </c>
      <c r="AD526" s="172">
        <v>-1.38510457334062</v>
      </c>
      <c r="AE526" s="172">
        <v>-1.0759419231678999</v>
      </c>
      <c r="AF526" s="172">
        <v>3.2208421000972001E-2</v>
      </c>
      <c r="AG526" s="150"/>
      <c r="AI526" s="137">
        <v>7</v>
      </c>
      <c r="AJ526" s="136" t="s">
        <v>330</v>
      </c>
      <c r="AK526" s="142" t="s">
        <v>335</v>
      </c>
      <c r="AL526" s="136" t="s">
        <v>548</v>
      </c>
      <c r="AM526" s="136" t="s">
        <v>557</v>
      </c>
      <c r="AN526" s="1">
        <v>0.26272000000000001</v>
      </c>
      <c r="AO526" s="166">
        <v>0.43014000000000002</v>
      </c>
      <c r="AQ526" t="str">
        <f>_xlfn.XLOOKUP(tblGWP21[[#This Row],[Material Subcategory]],ls_Mat,Factors!$K$952:$K$1023)</f>
        <v>x</v>
      </c>
      <c r="AR526" s="173">
        <v>0.77500000000000002</v>
      </c>
      <c r="AS526">
        <v>0</v>
      </c>
      <c r="AT526" t="s">
        <v>527</v>
      </c>
      <c r="AU526" t="s">
        <v>526</v>
      </c>
      <c r="AV526" s="347">
        <v>0.7</v>
      </c>
      <c r="BA526" cm="1">
        <f t="array" ref="BA526:BM526">tblGWP21[#This Row]</f>
        <v>7</v>
      </c>
      <c r="BB526" t="str">
        <v>Wood/Yard Trimmings</v>
      </c>
      <c r="BC526" t="str">
        <v>Pallets</v>
      </c>
      <c r="BD526" t="str">
        <v>Europe</v>
      </c>
      <c r="BE526" t="str">
        <v>Ireland</v>
      </c>
      <c r="BF526">
        <v>-0.26272000000000001</v>
      </c>
      <c r="BG526">
        <v>-0.20183620000000002</v>
      </c>
      <c r="BH526" t="str">
        <v>DELETE</v>
      </c>
      <c r="BI526">
        <v>-1.64845660766307</v>
      </c>
      <c r="BJ526">
        <v>-2.6275101998635302</v>
      </c>
      <c r="BK526">
        <v>-1.38510457334062</v>
      </c>
      <c r="BL526">
        <v>-1.0759419231678999</v>
      </c>
      <c r="BM526">
        <v>3.2208421000972001E-2</v>
      </c>
    </row>
    <row r="527" spans="3:65">
      <c r="C527" s="362">
        <v>6</v>
      </c>
      <c r="D527" s="363" t="s">
        <v>264</v>
      </c>
      <c r="E527" s="362" t="s">
        <v>544</v>
      </c>
      <c r="F527" s="362" t="s">
        <v>547</v>
      </c>
      <c r="G527" s="362" t="s">
        <v>556</v>
      </c>
      <c r="H527" s="368">
        <v>-3.0939100000000002</v>
      </c>
      <c r="I527" s="368">
        <v>-1.8644402423500002</v>
      </c>
      <c r="J527" s="368">
        <v>0.15112249999999994</v>
      </c>
      <c r="K527" s="368">
        <v>0</v>
      </c>
      <c r="L527" s="368">
        <v>0</v>
      </c>
      <c r="M527" s="368">
        <v>0.37031256227985598</v>
      </c>
      <c r="N527" s="368">
        <v>-0.35026498456324401</v>
      </c>
      <c r="O527" s="368">
        <v>0.70929596167629705</v>
      </c>
      <c r="T527" s="48">
        <v>7</v>
      </c>
      <c r="U527" s="46" t="s">
        <v>233</v>
      </c>
      <c r="V527" s="53" t="s">
        <v>326</v>
      </c>
      <c r="W527" s="53" t="s">
        <v>548</v>
      </c>
      <c r="X527" s="53" t="s">
        <v>557</v>
      </c>
      <c r="Y527" s="172">
        <f>IFERROR(-tblZwaste1422[[#This Row],[Weight (kgCO2e/kg)]],0)</f>
        <v>-0.14119999999999999</v>
      </c>
      <c r="Z527" s="172">
        <f>IF(AQ527="x",(AR527*-tblZwaste1422[[#This Row],[Weight (kgCO2e/kg)]])+AS527+($AR$10*Lookups!$J$38/1000),"DELETE")</f>
        <v>-0.1076582</v>
      </c>
      <c r="AA527" s="176" t="s">
        <v>567</v>
      </c>
      <c r="AB527" s="172">
        <v>-1.64845660766307</v>
      </c>
      <c r="AC527" s="172">
        <v>-2.6275101998635302</v>
      </c>
      <c r="AD527" s="172">
        <v>-1.38510457334062</v>
      </c>
      <c r="AE527" s="172">
        <v>-1.0759419231678999</v>
      </c>
      <c r="AF527" s="172">
        <v>3.2208421000972001E-2</v>
      </c>
      <c r="AG527" s="150"/>
      <c r="AI527" s="137">
        <v>7</v>
      </c>
      <c r="AJ527" s="136" t="s">
        <v>330</v>
      </c>
      <c r="AK527" s="142" t="s">
        <v>326</v>
      </c>
      <c r="AL527" s="136" t="s">
        <v>548</v>
      </c>
      <c r="AM527" s="136" t="s">
        <v>557</v>
      </c>
      <c r="AN527" s="1">
        <v>0.14119999999999999</v>
      </c>
      <c r="AO527" s="166">
        <v>0.43014000000000002</v>
      </c>
      <c r="AQ527" t="str">
        <f>_xlfn.XLOOKUP(tblGWP21[[#This Row],[Material Subcategory]],ls_Mat,Factors!$K$952:$K$1023)</f>
        <v>x</v>
      </c>
      <c r="AR527" s="173">
        <v>0.77500000000000002</v>
      </c>
      <c r="AS527">
        <v>0</v>
      </c>
      <c r="AT527" t="s">
        <v>527</v>
      </c>
      <c r="AU527" t="s">
        <v>526</v>
      </c>
      <c r="AV527" s="347">
        <v>0.65</v>
      </c>
      <c r="BA527" cm="1">
        <f t="array" ref="BA527:BM527">tblGWP21[#This Row]</f>
        <v>7</v>
      </c>
      <c r="BB527" t="str">
        <v>Wood/Yard Trimmings</v>
      </c>
      <c r="BC527" t="str">
        <v>Other Wood</v>
      </c>
      <c r="BD527" t="str">
        <v>Europe</v>
      </c>
      <c r="BE527" t="str">
        <v>Ireland</v>
      </c>
      <c r="BF527">
        <v>-0.14119999999999999</v>
      </c>
      <c r="BG527">
        <v>-0.1076582</v>
      </c>
      <c r="BH527" t="str">
        <v>DELETE</v>
      </c>
      <c r="BI527">
        <v>-1.64845660766307</v>
      </c>
      <c r="BJ527">
        <v>-2.6275101998635302</v>
      </c>
      <c r="BK527">
        <v>-1.38510457334062</v>
      </c>
      <c r="BL527">
        <v>-1.0759419231678999</v>
      </c>
      <c r="BM527">
        <v>3.2208421000972001E-2</v>
      </c>
    </row>
    <row r="528" spans="3:65">
      <c r="C528" s="136">
        <v>6</v>
      </c>
      <c r="D528" s="137" t="s">
        <v>10157</v>
      </c>
      <c r="E528" s="136" t="s">
        <v>545</v>
      </c>
      <c r="F528" s="136" t="s">
        <v>547</v>
      </c>
      <c r="G528" s="136" t="s">
        <v>556</v>
      </c>
      <c r="H528" s="191">
        <v>-2.8533815875203707</v>
      </c>
      <c r="I528" s="191">
        <v>0</v>
      </c>
      <c r="J528" s="191">
        <v>0</v>
      </c>
      <c r="K528" s="191">
        <v>0</v>
      </c>
      <c r="L528" s="191">
        <v>0</v>
      </c>
      <c r="M528" s="191">
        <v>-0.41024045217658678</v>
      </c>
      <c r="N528" s="191">
        <v>-0.59805419557752437</v>
      </c>
      <c r="O528" s="191">
        <v>2.7970952240132501E-2</v>
      </c>
      <c r="T528" s="48">
        <v>7</v>
      </c>
      <c r="U528" s="46" t="s">
        <v>261</v>
      </c>
      <c r="V528" s="53" t="s">
        <v>261</v>
      </c>
      <c r="W528" s="53" t="s">
        <v>548</v>
      </c>
      <c r="X528" s="53" t="s">
        <v>557</v>
      </c>
      <c r="Y528" s="172">
        <f>IFERROR(-tblZwaste1422[[#This Row],[Weight (kgCO2e/kg)]],0)</f>
        <v>-4.72241</v>
      </c>
      <c r="Z528" s="172" t="e">
        <f>IF(AQ528="x",(AR528*-tblZwaste1422[[#This Row],[Weight (kgCO2e/kg)]])+AS528+($AR$10*Lookups!$J$38/1000),"DELETE")</f>
        <v>#N/A</v>
      </c>
      <c r="AA528" s="176" t="s">
        <v>567</v>
      </c>
      <c r="AB528" s="172">
        <v>-0.36341307614493246</v>
      </c>
      <c r="AC528" s="172">
        <v>-0.59734398380536746</v>
      </c>
      <c r="AD528" s="172">
        <v>0.13493513235611049</v>
      </c>
      <c r="AE528" s="172">
        <v>-0.18392998579414849</v>
      </c>
      <c r="AF528" s="172">
        <v>2.5406860242688553E-2</v>
      </c>
      <c r="AG528" s="150"/>
      <c r="AI528" s="137">
        <v>7</v>
      </c>
      <c r="AJ528" s="136" t="s">
        <v>529</v>
      </c>
      <c r="AK528" s="142" t="s">
        <v>529</v>
      </c>
      <c r="AL528" s="136" t="s">
        <v>548</v>
      </c>
      <c r="AM528" s="136" t="s">
        <v>557</v>
      </c>
      <c r="AN528" s="1">
        <v>4.72241</v>
      </c>
      <c r="AO528" s="166">
        <v>1.758</v>
      </c>
      <c r="AQ528" t="e">
        <f>_xlfn.XLOOKUP(tblGWP21[[#This Row],[Material Subcategory]],ls_Mat,Factors!$K$952:$K$1023)</f>
        <v>#N/A</v>
      </c>
      <c r="AR528" s="347">
        <v>0.5</v>
      </c>
      <c r="AS528">
        <v>0</v>
      </c>
      <c r="AT528" t="s">
        <v>528</v>
      </c>
      <c r="BA528" cm="1">
        <f t="array" ref="BA528:BM528">tblGWP21[#This Row]</f>
        <v>7</v>
      </c>
      <c r="BB528" t="str">
        <v>Food Waste</v>
      </c>
      <c r="BC528" t="str">
        <v>Food Waste</v>
      </c>
      <c r="BD528" t="str">
        <v>Europe</v>
      </c>
      <c r="BE528" t="str">
        <v>Ireland</v>
      </c>
      <c r="BF528">
        <v>-4.72241</v>
      </c>
      <c r="BG528" t="e">
        <v>#N/A</v>
      </c>
      <c r="BH528" t="str">
        <v>DELETE</v>
      </c>
      <c r="BI528">
        <v>-0.36341307614493246</v>
      </c>
      <c r="BJ528">
        <v>-0.59734398380536746</v>
      </c>
      <c r="BK528">
        <v>0.13493513235611049</v>
      </c>
      <c r="BL528">
        <v>-0.18392998579414849</v>
      </c>
      <c r="BM528">
        <v>2.5406860242688553E-2</v>
      </c>
    </row>
    <row r="529" spans="3:65" ht="28.8">
      <c r="C529" s="362">
        <v>6</v>
      </c>
      <c r="D529" s="363" t="s">
        <v>10169</v>
      </c>
      <c r="E529" s="362" t="s">
        <v>10170</v>
      </c>
      <c r="F529" s="362" t="s">
        <v>547</v>
      </c>
      <c r="G529" s="362" t="s">
        <v>556</v>
      </c>
      <c r="H529" s="368">
        <v>-0.74582333333333339</v>
      </c>
      <c r="I529" s="368">
        <v>-0.58351400000000009</v>
      </c>
      <c r="J529" s="368">
        <v>0.3259926084346883</v>
      </c>
      <c r="K529" s="368">
        <v>0</v>
      </c>
      <c r="L529" s="368">
        <v>0</v>
      </c>
      <c r="M529" s="368">
        <v>0.45668176288049178</v>
      </c>
      <c r="N529" s="368">
        <v>1.0683983533052401</v>
      </c>
      <c r="O529" s="368">
        <v>1.142290877337675</v>
      </c>
      <c r="T529" s="48">
        <v>7</v>
      </c>
      <c r="U529" s="46" t="s">
        <v>261</v>
      </c>
      <c r="V529" s="53" t="s">
        <v>269</v>
      </c>
      <c r="W529" s="53" t="s">
        <v>548</v>
      </c>
      <c r="X529" s="53" t="s">
        <v>557</v>
      </c>
      <c r="Y529" s="172">
        <f>IFERROR(-tblZwaste1422[[#This Row],[Weight (kgCO2e/kg)]],0)</f>
        <v>-0.25034000000000001</v>
      </c>
      <c r="Z529" s="172">
        <f>IF(AQ529="x",(AR529*-tblZwaste1422[[#This Row],[Weight (kgCO2e/kg)]])+AS529+($AR$10*Lookups!$J$38/1000),"DELETE")</f>
        <v>-0.1233982</v>
      </c>
      <c r="AA529" s="176" t="s">
        <v>567</v>
      </c>
      <c r="AB529" s="172">
        <v>-0.30336225767796399</v>
      </c>
      <c r="AC529" s="172">
        <v>-0.50681206910446297</v>
      </c>
      <c r="AD529" s="172">
        <v>0.166556761220611</v>
      </c>
      <c r="AE529" s="172">
        <v>-0.127293398548746</v>
      </c>
      <c r="AF529" s="172">
        <v>2.5084720523348002E-2</v>
      </c>
      <c r="AG529" s="150"/>
      <c r="AI529" s="137">
        <v>7</v>
      </c>
      <c r="AJ529" s="136" t="s">
        <v>529</v>
      </c>
      <c r="AK529" s="142" t="s">
        <v>327</v>
      </c>
      <c r="AL529" s="136" t="s">
        <v>548</v>
      </c>
      <c r="AM529" s="136" t="s">
        <v>557</v>
      </c>
      <c r="AN529" s="1">
        <v>0.25034000000000001</v>
      </c>
      <c r="AO529" s="166">
        <v>0.99672000000000005</v>
      </c>
      <c r="AQ529" t="str">
        <f>_xlfn.XLOOKUP(tblGWP21[[#This Row],[Material Subcategory]],ls_Mat,Factors!$K$952:$K$1023)</f>
        <v>x</v>
      </c>
      <c r="AR529" s="347">
        <v>0.5</v>
      </c>
      <c r="AS529">
        <v>0</v>
      </c>
      <c r="AT529" t="s">
        <v>528</v>
      </c>
      <c r="BA529" cm="1">
        <f t="array" ref="BA529:BM529">tblGWP21[#This Row]</f>
        <v>7</v>
      </c>
      <c r="BB529" t="str">
        <v>Food Waste</v>
      </c>
      <c r="BC529" t="str">
        <v>Food Waste – Vegetable</v>
      </c>
      <c r="BD529" t="str">
        <v>Europe</v>
      </c>
      <c r="BE529" t="str">
        <v>Ireland</v>
      </c>
      <c r="BF529">
        <v>-0.25034000000000001</v>
      </c>
      <c r="BG529">
        <v>-0.1233982</v>
      </c>
      <c r="BH529" t="str">
        <v>DELETE</v>
      </c>
      <c r="BI529">
        <v>-0.30336225767796399</v>
      </c>
      <c r="BJ529">
        <v>-0.50681206910446297</v>
      </c>
      <c r="BK529">
        <v>0.166556761220611</v>
      </c>
      <c r="BL529">
        <v>-0.127293398548746</v>
      </c>
      <c r="BM529">
        <v>2.5084720523348002E-2</v>
      </c>
    </row>
    <row r="530" spans="3:65" ht="28.8">
      <c r="C530" s="136">
        <v>7</v>
      </c>
      <c r="D530" s="137" t="s">
        <v>233</v>
      </c>
      <c r="E530" s="136" t="s">
        <v>233</v>
      </c>
      <c r="F530" s="136" t="s">
        <v>548</v>
      </c>
      <c r="G530" s="136" t="s">
        <v>557</v>
      </c>
      <c r="H530" s="191">
        <v>0</v>
      </c>
      <c r="I530" s="191">
        <v>-0.13905086666666666</v>
      </c>
      <c r="J530" s="191">
        <v>0</v>
      </c>
      <c r="K530" s="191">
        <v>-1.4466404706853726</v>
      </c>
      <c r="L530" s="191">
        <v>-2.0499907423665853</v>
      </c>
      <c r="M530" s="191">
        <v>-1.0134980567214902</v>
      </c>
      <c r="N530" s="191">
        <v>-0.87830155284934364</v>
      </c>
      <c r="O530" s="191">
        <v>3.3141239120199513E-2</v>
      </c>
      <c r="T530" s="48">
        <v>7</v>
      </c>
      <c r="U530" s="46" t="s">
        <v>261</v>
      </c>
      <c r="V530" s="53" t="s">
        <v>530</v>
      </c>
      <c r="W530" s="53" t="s">
        <v>548</v>
      </c>
      <c r="X530" s="53" t="s">
        <v>557</v>
      </c>
      <c r="Y530" s="172">
        <f>IFERROR(-tblZwaste1422[[#This Row],[Weight (kgCO2e/kg)]],0)</f>
        <v>-9.1944800000000004</v>
      </c>
      <c r="Z530" s="172">
        <f>IF(AQ530="x",(AR530*-tblZwaste1422[[#This Row],[Weight (kgCO2e/kg)]])+AS530+($AR$10*Lookups!$J$38/1000),"DELETE")</f>
        <v>-4.5954682</v>
      </c>
      <c r="AA530" s="176" t="s">
        <v>567</v>
      </c>
      <c r="AB530" s="172">
        <v>-0.42346389461190098</v>
      </c>
      <c r="AC530" s="172">
        <v>-0.68787589850627195</v>
      </c>
      <c r="AD530" s="172">
        <v>0.10331350349161</v>
      </c>
      <c r="AE530" s="172">
        <v>-0.24056657303955101</v>
      </c>
      <c r="AF530" s="172">
        <v>2.5728999962029101E-2</v>
      </c>
      <c r="AG530" s="150"/>
      <c r="AI530" s="137">
        <v>7</v>
      </c>
      <c r="AJ530" s="136" t="s">
        <v>529</v>
      </c>
      <c r="AK530" s="142" t="s">
        <v>331</v>
      </c>
      <c r="AL530" s="136" t="s">
        <v>548</v>
      </c>
      <c r="AM530" s="136" t="s">
        <v>557</v>
      </c>
      <c r="AN530" s="1">
        <v>9.1944800000000004</v>
      </c>
      <c r="AO530" s="166">
        <v>2.5192800000000002</v>
      </c>
      <c r="AQ530" t="str">
        <f>_xlfn.XLOOKUP(tblGWP21[[#This Row],[Material Subcategory]],ls_Mat,Factors!$K$952:$K$1023)</f>
        <v>x</v>
      </c>
      <c r="AR530" s="347">
        <v>0.5</v>
      </c>
      <c r="AS530">
        <v>0</v>
      </c>
      <c r="AT530" t="s">
        <v>528</v>
      </c>
      <c r="BA530" cm="1">
        <f t="array" ref="BA530:BM530">tblGWP21[#This Row]</f>
        <v>7</v>
      </c>
      <c r="BB530" t="str">
        <v>Food Waste</v>
      </c>
      <c r="BC530" t="str">
        <v>Food Waste – Non-Vegetable</v>
      </c>
      <c r="BD530" t="str">
        <v>Europe</v>
      </c>
      <c r="BE530" t="str">
        <v>Ireland</v>
      </c>
      <c r="BF530">
        <v>-9.1944800000000004</v>
      </c>
      <c r="BG530">
        <v>-4.5954682</v>
      </c>
      <c r="BH530" t="str">
        <v>DELETE</v>
      </c>
      <c r="BI530">
        <v>-0.42346389461190098</v>
      </c>
      <c r="BJ530">
        <v>-0.68787589850627195</v>
      </c>
      <c r="BK530">
        <v>0.10331350349161</v>
      </c>
      <c r="BL530">
        <v>-0.24056657303955101</v>
      </c>
      <c r="BM530">
        <v>2.5728999962029101E-2</v>
      </c>
    </row>
    <row r="531" spans="3:65" ht="28.8">
      <c r="C531" s="362">
        <v>7</v>
      </c>
      <c r="D531" s="363" t="s">
        <v>233</v>
      </c>
      <c r="E531" s="362" t="s">
        <v>250</v>
      </c>
      <c r="F531" s="362" t="s">
        <v>548</v>
      </c>
      <c r="G531" s="362" t="s">
        <v>557</v>
      </c>
      <c r="H531" s="368">
        <v>0</v>
      </c>
      <c r="I531" s="368">
        <v>0</v>
      </c>
      <c r="J531" s="368">
        <v>0</v>
      </c>
      <c r="K531" s="368">
        <v>-1.74448839317378</v>
      </c>
      <c r="L531" s="368">
        <v>-2.14965365134998</v>
      </c>
      <c r="M531" s="368">
        <v>-1.04438325676556</v>
      </c>
      <c r="N531" s="368">
        <v>-0.94093989726613403</v>
      </c>
      <c r="O531" s="368">
        <v>2.8432288310420301E-2</v>
      </c>
      <c r="T531" s="48">
        <v>7</v>
      </c>
      <c r="U531" s="46" t="s">
        <v>261</v>
      </c>
      <c r="V531" s="53" t="s">
        <v>262</v>
      </c>
      <c r="W531" s="53" t="s">
        <v>548</v>
      </c>
      <c r="X531" s="53" t="s">
        <v>557</v>
      </c>
      <c r="Y531" s="172">
        <f>IFERROR(-tblZwaste1422[[#This Row],[Weight (kgCO2e/kg)]],0)</f>
        <v>-2.5034000000000001</v>
      </c>
      <c r="Z531" s="172" t="str">
        <f>IF(AQ531="x",(AR531*-tblZwaste1422[[#This Row],[Weight (kgCO2e/kg)]])+AS531+($AR$10*Lookups!$J$38/1000),"DELETE")</f>
        <v>DELETE</v>
      </c>
      <c r="AA531" s="176" t="s">
        <v>567</v>
      </c>
      <c r="AB531" s="172">
        <v>-0.42346389461190098</v>
      </c>
      <c r="AC531" s="172">
        <v>-0.68787589850627195</v>
      </c>
      <c r="AD531" s="172">
        <v>0.10331350349161</v>
      </c>
      <c r="AE531" s="172">
        <v>-0.24056657303955101</v>
      </c>
      <c r="AF531" s="172">
        <v>2.5728999962029101E-2</v>
      </c>
      <c r="AG531" s="150"/>
      <c r="AI531" s="137">
        <v>7</v>
      </c>
      <c r="AJ531" s="136" t="s">
        <v>529</v>
      </c>
      <c r="AK531" s="142" t="s">
        <v>332</v>
      </c>
      <c r="AL531" s="136" t="s">
        <v>548</v>
      </c>
      <c r="AM531" s="136" t="s">
        <v>557</v>
      </c>
      <c r="AN531" s="1">
        <v>2.5034000000000001</v>
      </c>
      <c r="AO531" s="166">
        <v>1.0183800000000001</v>
      </c>
      <c r="AQ531">
        <f>_xlfn.XLOOKUP(tblGWP21[[#This Row],[Material Subcategory]],ls_Mat,Factors!$K$952:$K$1023)</f>
        <v>0</v>
      </c>
      <c r="AR531" s="347">
        <v>0.5</v>
      </c>
      <c r="AS531">
        <v>0</v>
      </c>
      <c r="AT531" t="s">
        <v>528</v>
      </c>
      <c r="BA531" cm="1">
        <f t="array" ref="BA531:BM531">tblGWP21[#This Row]</f>
        <v>7</v>
      </c>
      <c r="BB531" t="str">
        <v>Food Waste</v>
      </c>
      <c r="BC531" t="str">
        <v>Oils/Grease</v>
      </c>
      <c r="BD531" t="str">
        <v>Europe</v>
      </c>
      <c r="BE531" t="str">
        <v>Ireland</v>
      </c>
      <c r="BF531">
        <v>-2.5034000000000001</v>
      </c>
      <c r="BG531" t="str">
        <v>DELETE</v>
      </c>
      <c r="BH531" t="str">
        <v>DELETE</v>
      </c>
      <c r="BI531">
        <v>-0.42346389461190098</v>
      </c>
      <c r="BJ531">
        <v>-0.68787589850627195</v>
      </c>
      <c r="BK531">
        <v>0.10331350349161</v>
      </c>
      <c r="BL531">
        <v>-0.24056657303955101</v>
      </c>
      <c r="BM531">
        <v>2.5728999962029101E-2</v>
      </c>
    </row>
    <row r="532" spans="3:65" ht="28.8">
      <c r="C532" s="136">
        <v>7</v>
      </c>
      <c r="D532" s="137" t="s">
        <v>233</v>
      </c>
      <c r="E532" s="136" t="s">
        <v>249</v>
      </c>
      <c r="F532" s="136" t="s">
        <v>548</v>
      </c>
      <c r="G532" s="136" t="s">
        <v>557</v>
      </c>
      <c r="H532" s="191">
        <v>0</v>
      </c>
      <c r="I532" s="191">
        <v>0</v>
      </c>
      <c r="J532" s="191">
        <v>0</v>
      </c>
      <c r="K532" s="191">
        <v>-0.54334413726387398</v>
      </c>
      <c r="L532" s="191">
        <v>-0.74441319745608603</v>
      </c>
      <c r="M532" s="191">
        <v>1.7309424352961799E-2</v>
      </c>
      <c r="N532" s="191">
        <v>-0.19937509744440399</v>
      </c>
      <c r="O532" s="191">
        <v>2.57534661646318E-2</v>
      </c>
      <c r="T532" s="48">
        <v>7</v>
      </c>
      <c r="U532" s="46" t="s">
        <v>252</v>
      </c>
      <c r="V532" s="53" t="s">
        <v>252</v>
      </c>
      <c r="W532" s="53" t="s">
        <v>548</v>
      </c>
      <c r="X532" s="53" t="s">
        <v>557</v>
      </c>
      <c r="Y532" s="172">
        <f>IFERROR(-tblZwaste1422[[#This Row],[Weight (kgCO2e/kg)]],0)</f>
        <v>-2.0953266666666663</v>
      </c>
      <c r="Z532" s="172" t="e">
        <f>IF(AQ532="x",(AR532*-tblZwaste1422[[#This Row],[Weight (kgCO2e/kg)]])+AS532+($AR$10*Lookups!$J$38/1000),"DELETE")</f>
        <v>#N/A</v>
      </c>
      <c r="AA532" s="176">
        <v>-4.402960361201381</v>
      </c>
      <c r="AB532" s="172" t="s">
        <v>567</v>
      </c>
      <c r="AC532" s="172" t="s">
        <v>567</v>
      </c>
      <c r="AD532" s="172">
        <v>2.6027700521105999E-2</v>
      </c>
      <c r="AE532" s="172">
        <v>0.57657859350782803</v>
      </c>
      <c r="AF532" s="172">
        <v>2.18702518516894</v>
      </c>
      <c r="AG532" s="150"/>
      <c r="AI532" s="137">
        <v>7</v>
      </c>
      <c r="AJ532" s="136" t="s">
        <v>252</v>
      </c>
      <c r="AK532" s="142" t="s">
        <v>252</v>
      </c>
      <c r="AL532" s="136" t="s">
        <v>548</v>
      </c>
      <c r="AM532" s="136" t="s">
        <v>557</v>
      </c>
      <c r="AN532" s="1">
        <v>2.0953266666666663</v>
      </c>
      <c r="AO532" s="166">
        <v>1.77911</v>
      </c>
      <c r="AQ532" t="e">
        <f>_xlfn.XLOOKUP(tblGWP21[[#This Row],[Material Subcategory]],ls_Mat,Factors!$K$952:$K$1023)</f>
        <v>#N/A</v>
      </c>
      <c r="AR532" s="173">
        <v>0.77500000000000002</v>
      </c>
      <c r="AS532">
        <v>8.1306407300000008E-2</v>
      </c>
      <c r="AT532" t="s">
        <v>531</v>
      </c>
      <c r="AU532" t="s">
        <v>526</v>
      </c>
      <c r="AV532" s="347">
        <v>0.5</v>
      </c>
      <c r="BA532" cm="1">
        <f t="array" ref="BA532:BM532">tblGWP21[#This Row]</f>
        <v>7</v>
      </c>
      <c r="BB532" t="str">
        <v>Plastics</v>
      </c>
      <c r="BC532" t="str">
        <v>Plastics</v>
      </c>
      <c r="BD532" t="str">
        <v>Europe</v>
      </c>
      <c r="BE532" t="str">
        <v>Ireland</v>
      </c>
      <c r="BF532">
        <v>-2.0953266666666663</v>
      </c>
      <c r="BG532" t="e">
        <v>#N/A</v>
      </c>
      <c r="BH532">
        <v>-4.402960361201381</v>
      </c>
      <c r="BI532" t="str">
        <v>DELETE</v>
      </c>
      <c r="BJ532" t="str">
        <v>DELETE</v>
      </c>
      <c r="BK532">
        <v>2.6027700521105999E-2</v>
      </c>
      <c r="BL532">
        <v>0.57657859350782803</v>
      </c>
      <c r="BM532">
        <v>2.18702518516894</v>
      </c>
    </row>
    <row r="533" spans="3:65" ht="28.8">
      <c r="C533" s="362">
        <v>7</v>
      </c>
      <c r="D533" s="363" t="s">
        <v>233</v>
      </c>
      <c r="E533" s="362" t="s">
        <v>273</v>
      </c>
      <c r="F533" s="362" t="s">
        <v>548</v>
      </c>
      <c r="G533" s="362" t="s">
        <v>557</v>
      </c>
      <c r="H533" s="368">
        <v>0</v>
      </c>
      <c r="I533" s="368">
        <v>0</v>
      </c>
      <c r="J533" s="368">
        <v>0</v>
      </c>
      <c r="K533" s="368">
        <v>-1.64845660766307</v>
      </c>
      <c r="L533" s="368">
        <v>-2.1008664632998002</v>
      </c>
      <c r="M533" s="368">
        <v>-0.80223281601250396</v>
      </c>
      <c r="N533" s="368">
        <v>-0.913894436824084</v>
      </c>
      <c r="O533" s="368">
        <v>2.72084143269181E-2</v>
      </c>
      <c r="T533" s="48">
        <v>7</v>
      </c>
      <c r="U533" s="46" t="s">
        <v>252</v>
      </c>
      <c r="V533" s="53" t="s">
        <v>253</v>
      </c>
      <c r="W533" s="53" t="s">
        <v>548</v>
      </c>
      <c r="X533" s="53" t="s">
        <v>557</v>
      </c>
      <c r="Y533" s="172">
        <f>IFERROR(-tblZwaste1422[[#This Row],[Weight (kgCO2e/kg)]],0)</f>
        <v>-2.04928</v>
      </c>
      <c r="Z533" s="172" t="e">
        <f>IF(AQ533="x",(AR533*-tblZwaste1422[[#This Row],[Weight (kgCO2e/kg)]])+AS533+($AR$10*Lookups!$J$38/1000),"DELETE")</f>
        <v>#N/A</v>
      </c>
      <c r="AA533" s="176">
        <v>-3.8577271986224009</v>
      </c>
      <c r="AB533" s="172" t="s">
        <v>567</v>
      </c>
      <c r="AC533" s="172" t="s">
        <v>567</v>
      </c>
      <c r="AD533" s="172">
        <v>2.6027697540151499E-2</v>
      </c>
      <c r="AE533" s="172">
        <v>0.40442865479218998</v>
      </c>
      <c r="AF533" s="172">
        <v>3.18317778732807</v>
      </c>
      <c r="AG533" s="150"/>
      <c r="AI533" s="137">
        <v>7</v>
      </c>
      <c r="AJ533" s="136" t="s">
        <v>252</v>
      </c>
      <c r="AK533" s="142" t="s">
        <v>253</v>
      </c>
      <c r="AL533" s="136" t="s">
        <v>548</v>
      </c>
      <c r="AM533" s="136" t="s">
        <v>557</v>
      </c>
      <c r="AN533" s="1">
        <v>2.04928</v>
      </c>
      <c r="AO533" s="166">
        <v>1.77911</v>
      </c>
      <c r="AQ533" t="e">
        <f>_xlfn.XLOOKUP(tblGWP21[[#This Row],[Material Subcategory]],ls_Mat,Factors!$K$952:$K$1023)</f>
        <v>#N/A</v>
      </c>
      <c r="AR533" s="173">
        <v>0.77500000000000002</v>
      </c>
      <c r="AS533">
        <v>8.1306407300000008E-2</v>
      </c>
      <c r="AT533" t="s">
        <v>531</v>
      </c>
      <c r="BA533" cm="1">
        <f t="array" ref="BA533:BM533">tblGWP21[#This Row]</f>
        <v>7</v>
      </c>
      <c r="BB533" t="str">
        <v>Plastics</v>
      </c>
      <c r="BC533" t="str">
        <v>HDPE (translucent and pigmented)</v>
      </c>
      <c r="BD533" t="str">
        <v>Europe</v>
      </c>
      <c r="BE533" t="str">
        <v>Ireland</v>
      </c>
      <c r="BF533">
        <v>-2.04928</v>
      </c>
      <c r="BG533" t="e">
        <v>#N/A</v>
      </c>
      <c r="BH533">
        <v>-3.8577271986224009</v>
      </c>
      <c r="BI533" t="str">
        <v>DELETE</v>
      </c>
      <c r="BJ533" t="str">
        <v>DELETE</v>
      </c>
      <c r="BK533">
        <v>2.6027697540151499E-2</v>
      </c>
      <c r="BL533">
        <v>0.40442865479218998</v>
      </c>
      <c r="BM533">
        <v>3.18317778732807</v>
      </c>
    </row>
    <row r="534" spans="3:65" ht="28.8">
      <c r="C534" s="136">
        <v>7</v>
      </c>
      <c r="D534" s="137" t="s">
        <v>233</v>
      </c>
      <c r="E534" s="136" t="s">
        <v>330</v>
      </c>
      <c r="F534" s="136" t="s">
        <v>548</v>
      </c>
      <c r="G534" s="136" t="s">
        <v>557</v>
      </c>
      <c r="H534" s="191">
        <v>-0.14119999999999999</v>
      </c>
      <c r="I534" s="191">
        <v>-0.1076582</v>
      </c>
      <c r="J534" s="191">
        <v>0</v>
      </c>
      <c r="K534" s="191">
        <v>0</v>
      </c>
      <c r="L534" s="191">
        <v>0</v>
      </c>
      <c r="M534" s="191">
        <v>-1.4814725452226001</v>
      </c>
      <c r="N534" s="191">
        <v>-1.06371603922564</v>
      </c>
      <c r="O534" s="191">
        <v>5.3036423917282902E-2</v>
      </c>
      <c r="T534" s="48">
        <v>7</v>
      </c>
      <c r="U534" s="46" t="s">
        <v>252</v>
      </c>
      <c r="V534" s="53" t="s">
        <v>328</v>
      </c>
      <c r="W534" s="53" t="s">
        <v>548</v>
      </c>
      <c r="X534" s="53" t="s">
        <v>557</v>
      </c>
      <c r="Y534" s="172">
        <f>IFERROR(-tblZwaste1422[[#This Row],[Weight (kgCO2e/kg)]],0)</f>
        <v>-2.3231199999999999</v>
      </c>
      <c r="Z534" s="172" t="e">
        <f>IF(AQ534="x",(AR534*-tblZwaste1422[[#This Row],[Weight (kgCO2e/kg)]])+AS534+($AR$10*Lookups!$J$38/1000),"DELETE")</f>
        <v>#N/A</v>
      </c>
      <c r="AA534" s="176">
        <v>-4.5586313239024001</v>
      </c>
      <c r="AB534" s="172" t="s">
        <v>567</v>
      </c>
      <c r="AC534" s="172" t="s">
        <v>567</v>
      </c>
      <c r="AD534" s="172">
        <v>2.6027698332150601E-2</v>
      </c>
      <c r="AE534" s="172">
        <v>0.47131022056053301</v>
      </c>
      <c r="AF534" s="172">
        <v>2.49560838565696</v>
      </c>
      <c r="AG534" s="150"/>
      <c r="AI534" s="137">
        <v>7</v>
      </c>
      <c r="AJ534" s="136" t="s">
        <v>252</v>
      </c>
      <c r="AK534" s="142" t="s">
        <v>328</v>
      </c>
      <c r="AL534" s="136" t="s">
        <v>548</v>
      </c>
      <c r="AM534" s="136" t="s">
        <v>557</v>
      </c>
      <c r="AN534" s="1">
        <v>2.3231199999999999</v>
      </c>
      <c r="AO534" s="166">
        <v>1.77911</v>
      </c>
      <c r="AQ534" t="e">
        <f>_xlfn.XLOOKUP(tblGWP21[[#This Row],[Material Subcategory]],ls_Mat,Factors!$K$952:$K$1023)</f>
        <v>#N/A</v>
      </c>
      <c r="AR534" s="173">
        <v>0.77500000000000002</v>
      </c>
      <c r="BA534" cm="1">
        <f t="array" ref="BA534:BM534">tblGWP21[#This Row]</f>
        <v>7</v>
      </c>
      <c r="BB534" t="str">
        <v>Plastics</v>
      </c>
      <c r="BC534" t="str">
        <v>LDPE</v>
      </c>
      <c r="BD534" t="str">
        <v>Europe</v>
      </c>
      <c r="BE534" t="str">
        <v>Ireland</v>
      </c>
      <c r="BF534">
        <v>-2.3231199999999999</v>
      </c>
      <c r="BG534" t="e">
        <v>#N/A</v>
      </c>
      <c r="BH534">
        <v>-4.5586313239024001</v>
      </c>
      <c r="BI534" t="str">
        <v>DELETE</v>
      </c>
      <c r="BJ534" t="str">
        <v>DELETE</v>
      </c>
      <c r="BK534">
        <v>2.6027698332150601E-2</v>
      </c>
      <c r="BL534">
        <v>0.47131022056053301</v>
      </c>
      <c r="BM534">
        <v>2.49560838565696</v>
      </c>
    </row>
    <row r="535" spans="3:65" ht="28.8">
      <c r="C535" s="362">
        <v>7</v>
      </c>
      <c r="D535" s="363" t="s">
        <v>233</v>
      </c>
      <c r="E535" s="362" t="s">
        <v>335</v>
      </c>
      <c r="F535" s="362" t="s">
        <v>548</v>
      </c>
      <c r="G535" s="362" t="s">
        <v>557</v>
      </c>
      <c r="H535" s="368">
        <v>-0.26272000000000001</v>
      </c>
      <c r="I535" s="368">
        <v>-0.20183620000000002</v>
      </c>
      <c r="J535" s="368">
        <v>0</v>
      </c>
      <c r="K535" s="368">
        <v>-1.64845660766307</v>
      </c>
      <c r="L535" s="368">
        <v>-2.6275101998635302</v>
      </c>
      <c r="M535" s="368">
        <v>-1.38510457334062</v>
      </c>
      <c r="N535" s="368">
        <v>-1.0759419231678999</v>
      </c>
      <c r="O535" s="368">
        <v>3.2208421000972001E-2</v>
      </c>
      <c r="T535" s="48">
        <v>7</v>
      </c>
      <c r="U535" s="46" t="s">
        <v>252</v>
      </c>
      <c r="V535" s="53" t="s">
        <v>254</v>
      </c>
      <c r="W535" s="53" t="s">
        <v>548</v>
      </c>
      <c r="X535" s="53" t="s">
        <v>557</v>
      </c>
      <c r="Y535" s="172">
        <f>IFERROR(-tblZwaste1422[[#This Row],[Weight (kgCO2e/kg)]],0)</f>
        <v>-2.1485799999999999</v>
      </c>
      <c r="Z535" s="172" t="e">
        <f>IF(AQ535="x",(AR535*-tblZwaste1422[[#This Row],[Weight (kgCO2e/kg)]])+AS535+($AR$10*Lookups!$J$38/1000),"DELETE")</f>
        <v>#N/A</v>
      </c>
      <c r="AA535" s="176">
        <v>-4.6368515983783229</v>
      </c>
      <c r="AB535" s="172" t="s">
        <v>567</v>
      </c>
      <c r="AC535" s="172" t="s">
        <v>567</v>
      </c>
      <c r="AD535" s="172">
        <v>2.6027697540151499E-2</v>
      </c>
      <c r="AE535" s="172">
        <v>0.63714400634049295</v>
      </c>
      <c r="AF535" s="172">
        <v>2.5363327127883299</v>
      </c>
      <c r="AG535" s="150"/>
      <c r="AI535" s="137">
        <v>7</v>
      </c>
      <c r="AJ535" s="136" t="s">
        <v>252</v>
      </c>
      <c r="AK535" s="142" t="s">
        <v>254</v>
      </c>
      <c r="AL535" s="136" t="s">
        <v>548</v>
      </c>
      <c r="AM535" s="136" t="s">
        <v>557</v>
      </c>
      <c r="AN535" s="1">
        <v>2.1485799999999999</v>
      </c>
      <c r="AO535" s="166">
        <v>1.77911</v>
      </c>
      <c r="AQ535" t="e">
        <f>_xlfn.XLOOKUP(tblGWP21[[#This Row],[Material Subcategory]],ls_Mat,Factors!$K$952:$K$1023)</f>
        <v>#N/A</v>
      </c>
      <c r="AR535" s="173">
        <v>0.77500000000000002</v>
      </c>
      <c r="AS535">
        <v>8.1306407300000008E-2</v>
      </c>
      <c r="AT535" t="s">
        <v>531</v>
      </c>
      <c r="BA535" cm="1">
        <f t="array" ref="BA535:BM535">tblGWP21[#This Row]</f>
        <v>7</v>
      </c>
      <c r="BB535" t="str">
        <v>Plastics</v>
      </c>
      <c r="BC535" t="str">
        <v>PET</v>
      </c>
      <c r="BD535" t="str">
        <v>Europe</v>
      </c>
      <c r="BE535" t="str">
        <v>Ireland</v>
      </c>
      <c r="BF535">
        <v>-2.1485799999999999</v>
      </c>
      <c r="BG535" t="e">
        <v>#N/A</v>
      </c>
      <c r="BH535">
        <v>-4.6368515983783229</v>
      </c>
      <c r="BI535" t="str">
        <v>DELETE</v>
      </c>
      <c r="BJ535" t="str">
        <v>DELETE</v>
      </c>
      <c r="BK535">
        <v>2.6027697540151499E-2</v>
      </c>
      <c r="BL535">
        <v>0.63714400634049295</v>
      </c>
      <c r="BM535">
        <v>2.5363327127883299</v>
      </c>
    </row>
    <row r="536" spans="3:65">
      <c r="C536" s="6">
        <v>7</v>
      </c>
      <c r="D536" s="373" t="s">
        <v>233</v>
      </c>
      <c r="E536" s="6" t="s">
        <v>326</v>
      </c>
      <c r="F536" s="136" t="s">
        <v>548</v>
      </c>
      <c r="G536" s="136" t="s">
        <v>557</v>
      </c>
      <c r="H536" s="191">
        <v>-0.14119999999999999</v>
      </c>
      <c r="I536" s="191">
        <v>-0.1076582</v>
      </c>
      <c r="J536" s="191">
        <v>0</v>
      </c>
      <c r="K536" s="191">
        <v>-1.64845660766307</v>
      </c>
      <c r="L536" s="191">
        <v>-2.6275101998635302</v>
      </c>
      <c r="M536" s="191">
        <v>-1.38510457334062</v>
      </c>
      <c r="N536" s="191">
        <v>-1.0759419231678999</v>
      </c>
      <c r="O536" s="191">
        <v>3.2208421000972001E-2</v>
      </c>
      <c r="T536" s="49">
        <v>7</v>
      </c>
      <c r="U536" s="143" t="s">
        <v>252</v>
      </c>
      <c r="V536" s="33" t="s">
        <v>532</v>
      </c>
      <c r="W536" s="53" t="s">
        <v>548</v>
      </c>
      <c r="X536" s="53" t="s">
        <v>557</v>
      </c>
      <c r="Y536" s="172">
        <f>IFERROR(-tblZwaste1422[[#This Row],[Weight (kgCO2e/kg)]],0)</f>
        <v>-1.9492499999999999</v>
      </c>
      <c r="Z536" s="172" t="e">
        <f>IF(AQ536="x",(AR536*-tblZwaste1422[[#This Row],[Weight (kgCO2e/kg)]])+AS536+($AR$10*Lookups!$J$38/1000),"DELETE")</f>
        <v>#N/A</v>
      </c>
      <c r="AA536" s="176">
        <v>-4.5586313239024001</v>
      </c>
      <c r="AB536" s="172" t="s">
        <v>567</v>
      </c>
      <c r="AC536" s="172" t="s">
        <v>567</v>
      </c>
      <c r="AD536" s="172">
        <v>2.6027698332150601E-2</v>
      </c>
      <c r="AE536" s="172">
        <v>0.47131022056053301</v>
      </c>
      <c r="AF536" s="172">
        <v>2.49560838565696</v>
      </c>
      <c r="AG536" s="150"/>
      <c r="AI536" s="137">
        <v>7</v>
      </c>
      <c r="AJ536" s="136" t="s">
        <v>252</v>
      </c>
      <c r="AK536" s="142" t="s">
        <v>532</v>
      </c>
      <c r="AL536" s="136" t="s">
        <v>548</v>
      </c>
      <c r="AM536" s="136" t="s">
        <v>557</v>
      </c>
      <c r="AN536" s="1">
        <v>1.9492499999999999</v>
      </c>
      <c r="AO536" s="166">
        <v>1.77911</v>
      </c>
      <c r="AQ536" t="e">
        <f>_xlfn.XLOOKUP(tblGWP21[[#This Row],[Material Subcategory]],ls_Mat,Factors!$K$952:$K$1023)</f>
        <v>#N/A</v>
      </c>
      <c r="BA536" cm="1">
        <f t="array" ref="BA536:BM536">tblGWP21[#This Row]</f>
        <v>7</v>
      </c>
      <c r="BB536" t="str">
        <v>Plastics</v>
      </c>
      <c r="BC536" t="str">
        <v>LLDPE</v>
      </c>
      <c r="BD536" t="str">
        <v>Europe</v>
      </c>
      <c r="BE536" t="str">
        <v>Ireland</v>
      </c>
      <c r="BF536">
        <v>-1.9492499999999999</v>
      </c>
      <c r="BG536" t="e">
        <v>#N/A</v>
      </c>
      <c r="BH536">
        <v>-4.5586313239024001</v>
      </c>
      <c r="BI536" t="str">
        <v>DELETE</v>
      </c>
      <c r="BJ536" t="str">
        <v>DELETE</v>
      </c>
      <c r="BK536">
        <v>2.6027698332150601E-2</v>
      </c>
      <c r="BL536">
        <v>0.47131022056053301</v>
      </c>
      <c r="BM536">
        <v>2.49560838565696</v>
      </c>
    </row>
    <row r="537" spans="3:65">
      <c r="C537" s="375">
        <v>7</v>
      </c>
      <c r="D537" s="374" t="s">
        <v>261</v>
      </c>
      <c r="E537" s="375" t="s">
        <v>261</v>
      </c>
      <c r="F537" s="362" t="s">
        <v>548</v>
      </c>
      <c r="G537" s="362" t="s">
        <v>557</v>
      </c>
      <c r="H537" s="368">
        <v>-4.72241</v>
      </c>
      <c r="I537" s="368">
        <v>-2.3594331999999998</v>
      </c>
      <c r="J537" s="368">
        <v>0</v>
      </c>
      <c r="K537" s="368">
        <v>-0.36341307614493246</v>
      </c>
      <c r="L537" s="368">
        <v>-0.59734398380536746</v>
      </c>
      <c r="M537" s="368">
        <v>0.13493513235611049</v>
      </c>
      <c r="N537" s="368">
        <v>-0.18392998579414849</v>
      </c>
      <c r="O537" s="368">
        <v>2.5406860242688553E-2</v>
      </c>
      <c r="T537" s="49">
        <v>7</v>
      </c>
      <c r="U537" s="143" t="s">
        <v>252</v>
      </c>
      <c r="V537" s="33" t="s">
        <v>245</v>
      </c>
      <c r="W537" s="53" t="s">
        <v>548</v>
      </c>
      <c r="X537" s="53" t="s">
        <v>557</v>
      </c>
      <c r="Y537" s="172">
        <f>IFERROR(-tblZwaste1422[[#This Row],[Weight (kgCO2e/kg)]],0)</f>
        <v>-2.0269300000000001</v>
      </c>
      <c r="Z537" s="172" t="e">
        <f>IF(AQ537="x",(AR537*-tblZwaste1422[[#This Row],[Weight (kgCO2e/kg)]])+AS537+($AR$10*Lookups!$J$38/1000),"DELETE")</f>
        <v>#N/A</v>
      </c>
      <c r="AA537" s="176" t="s">
        <v>567</v>
      </c>
      <c r="AB537" s="172" t="s">
        <v>567</v>
      </c>
      <c r="AC537" s="172" t="s">
        <v>567</v>
      </c>
      <c r="AD537" s="172">
        <v>2.6027698449498898E-2</v>
      </c>
      <c r="AE537" s="172">
        <v>0.35762914324795803</v>
      </c>
      <c r="AF537" s="172">
        <v>3.18336709723018</v>
      </c>
      <c r="AG537" s="150"/>
      <c r="AI537" s="137">
        <v>7</v>
      </c>
      <c r="AJ537" s="136" t="s">
        <v>252</v>
      </c>
      <c r="AK537" s="142" t="s">
        <v>245</v>
      </c>
      <c r="AL537" s="136" t="s">
        <v>548</v>
      </c>
      <c r="AM537" s="136" t="s">
        <v>557</v>
      </c>
      <c r="AN537" s="1">
        <v>2.0269300000000001</v>
      </c>
      <c r="AO537" s="166">
        <v>1.77911</v>
      </c>
      <c r="AQ537" t="e">
        <f>_xlfn.XLOOKUP(tblGWP21[[#This Row],[Material Subcategory]],ls_Mat,Factors!$K$952:$K$1023)</f>
        <v>#N/A</v>
      </c>
      <c r="AR537" s="173">
        <v>0.77500000000000002</v>
      </c>
      <c r="AS537">
        <v>8.1306407300000008E-2</v>
      </c>
      <c r="AT537" t="s">
        <v>531</v>
      </c>
      <c r="BA537" cm="1">
        <f t="array" ref="BA537:BM537">tblGWP21[#This Row]</f>
        <v>7</v>
      </c>
      <c r="BB537" t="str">
        <v>Plastics</v>
      </c>
      <c r="BC537" t="str">
        <v>PP</v>
      </c>
      <c r="BD537" t="str">
        <v>Europe</v>
      </c>
      <c r="BE537" t="str">
        <v>Ireland</v>
      </c>
      <c r="BF537">
        <v>-2.0269300000000001</v>
      </c>
      <c r="BG537" t="e">
        <v>#N/A</v>
      </c>
      <c r="BH537" t="str">
        <v>DELETE</v>
      </c>
      <c r="BI537" t="str">
        <v>DELETE</v>
      </c>
      <c r="BJ537" t="str">
        <v>DELETE</v>
      </c>
      <c r="BK537">
        <v>2.6027698449498898E-2</v>
      </c>
      <c r="BL537">
        <v>0.35762914324795803</v>
      </c>
      <c r="BM537">
        <v>3.18336709723018</v>
      </c>
    </row>
    <row r="538" spans="3:65">
      <c r="C538" s="6">
        <v>7</v>
      </c>
      <c r="D538" s="373" t="s">
        <v>261</v>
      </c>
      <c r="E538" s="6" t="s">
        <v>269</v>
      </c>
      <c r="F538" s="136" t="s">
        <v>548</v>
      </c>
      <c r="G538" s="136" t="s">
        <v>557</v>
      </c>
      <c r="H538" s="191">
        <v>-0.25034000000000001</v>
      </c>
      <c r="I538" s="191">
        <v>-0.1233982</v>
      </c>
      <c r="J538" s="191">
        <v>0</v>
      </c>
      <c r="K538" s="191">
        <v>-0.30336225767796399</v>
      </c>
      <c r="L538" s="191">
        <v>-0.50681206910446297</v>
      </c>
      <c r="M538" s="191">
        <v>0.166556761220611</v>
      </c>
      <c r="N538" s="191">
        <v>-0.127293398548746</v>
      </c>
      <c r="O538" s="191">
        <v>2.5084720523348002E-2</v>
      </c>
      <c r="T538" s="49">
        <v>7</v>
      </c>
      <c r="U538" s="143" t="s">
        <v>252</v>
      </c>
      <c r="V538" s="33" t="s">
        <v>533</v>
      </c>
      <c r="W538" s="53" t="s">
        <v>548</v>
      </c>
      <c r="X538" s="53" t="s">
        <v>557</v>
      </c>
      <c r="Y538" s="172">
        <f>IFERROR(-tblZwaste1422[[#This Row],[Weight (kgCO2e/kg)]],0)</f>
        <v>-2.0748000000000002</v>
      </c>
      <c r="Z538" s="172" t="e">
        <f>IF(AQ538="x",(AR538*-tblZwaste1422[[#This Row],[Weight (kgCO2e/kg)]])+AS538+($AR$10*Lookups!$J$38/1000),"DELETE")</f>
        <v>#N/A</v>
      </c>
      <c r="AA538" s="176" t="s">
        <v>567</v>
      </c>
      <c r="AB538" s="172" t="s">
        <v>567</v>
      </c>
      <c r="AC538" s="172" t="s">
        <v>567</v>
      </c>
      <c r="AD538" s="172">
        <v>2.6027693309096801E-2</v>
      </c>
      <c r="AE538" s="172">
        <v>0.56697035476351698</v>
      </c>
      <c r="AF538" s="172">
        <v>3.0368308616241202</v>
      </c>
      <c r="AG538" s="150"/>
      <c r="AI538" s="137">
        <v>7</v>
      </c>
      <c r="AJ538" s="136" t="s">
        <v>252</v>
      </c>
      <c r="AK538" s="142" t="s">
        <v>533</v>
      </c>
      <c r="AL538" s="136" t="s">
        <v>548</v>
      </c>
      <c r="AM538" s="136" t="s">
        <v>557</v>
      </c>
      <c r="AN538" s="1">
        <v>2.0748000000000002</v>
      </c>
      <c r="AO538" s="166">
        <v>1.77911</v>
      </c>
      <c r="AQ538" t="e">
        <f>_xlfn.XLOOKUP(tblGWP21[[#This Row],[Material Subcategory]],ls_Mat,Factors!$K$952:$K$1023)</f>
        <v>#N/A</v>
      </c>
      <c r="AR538" s="173">
        <v>0.77500000000000002</v>
      </c>
      <c r="AS538">
        <v>8.1306407300000008E-2</v>
      </c>
      <c r="AT538" t="s">
        <v>531</v>
      </c>
      <c r="BA538" cm="1">
        <f t="array" ref="BA538:BM538">tblGWP21[#This Row]</f>
        <v>7</v>
      </c>
      <c r="BB538" t="str">
        <v>Plastics</v>
      </c>
      <c r="BC538" t="str">
        <v>PVC</v>
      </c>
      <c r="BD538" t="str">
        <v>Europe</v>
      </c>
      <c r="BE538" t="str">
        <v>Ireland</v>
      </c>
      <c r="BF538">
        <v>-2.0748000000000002</v>
      </c>
      <c r="BG538" t="e">
        <v>#N/A</v>
      </c>
      <c r="BH538" t="str">
        <v>DELETE</v>
      </c>
      <c r="BI538" t="str">
        <v>DELETE</v>
      </c>
      <c r="BJ538" t="str">
        <v>DELETE</v>
      </c>
      <c r="BK538">
        <v>2.6027693309096801E-2</v>
      </c>
      <c r="BL538">
        <v>0.56697035476351698</v>
      </c>
      <c r="BM538">
        <v>3.0368308616241202</v>
      </c>
    </row>
    <row r="539" spans="3:65" ht="28.8">
      <c r="C539" s="375">
        <v>7</v>
      </c>
      <c r="D539" s="374" t="s">
        <v>261</v>
      </c>
      <c r="E539" s="375" t="s">
        <v>530</v>
      </c>
      <c r="F539" s="362" t="s">
        <v>548</v>
      </c>
      <c r="G539" s="362" t="s">
        <v>557</v>
      </c>
      <c r="H539" s="368">
        <v>-9.1944800000000004</v>
      </c>
      <c r="I539" s="368">
        <v>-4.5954682</v>
      </c>
      <c r="J539" s="368">
        <v>0</v>
      </c>
      <c r="K539" s="368">
        <v>-0.42346389461190098</v>
      </c>
      <c r="L539" s="368">
        <v>-0.68787589850627195</v>
      </c>
      <c r="M539" s="368">
        <v>0.10331350349161</v>
      </c>
      <c r="N539" s="368">
        <v>-0.24056657303955101</v>
      </c>
      <c r="O539" s="368">
        <v>2.5728999962029101E-2</v>
      </c>
      <c r="T539" s="49">
        <v>7</v>
      </c>
      <c r="U539" s="143" t="s">
        <v>242</v>
      </c>
      <c r="V539" s="33" t="s">
        <v>242</v>
      </c>
      <c r="W539" s="53" t="s">
        <v>548</v>
      </c>
      <c r="X539" s="53" t="s">
        <v>557</v>
      </c>
      <c r="Y539" s="172">
        <f>IFERROR(-tblZwaste1422[[#This Row],[Weight (kgCO2e/kg)]],0)</f>
        <v>-38.486130000000003</v>
      </c>
      <c r="Z539" s="172" t="e">
        <f>IF(AQ539="x",(AR539*-tblZwaste1422[[#This Row],[Weight (kgCO2e/kg)]])+AS539+($AR$10*Lookups!$J$38/1000),"DELETE")</f>
        <v>#N/A</v>
      </c>
      <c r="AA539" s="172">
        <f>AVERAGE(AA540,AA541,AA573,AA574)</f>
        <v>-3.2868550000000001</v>
      </c>
      <c r="AB539" s="172" t="s">
        <v>567</v>
      </c>
      <c r="AC539" s="172" t="s">
        <v>567</v>
      </c>
      <c r="AD539" s="172">
        <v>2.5860000000000001E-2</v>
      </c>
      <c r="AE539" s="172">
        <v>4.1574329443250999E-2</v>
      </c>
      <c r="AF539" s="172">
        <v>4.8919275480954698E-2</v>
      </c>
      <c r="AG539" s="150"/>
      <c r="AI539" s="137">
        <v>7</v>
      </c>
      <c r="AJ539" s="136" t="s">
        <v>242</v>
      </c>
      <c r="AK539" s="142" t="s">
        <v>242</v>
      </c>
      <c r="AL539" s="136" t="s">
        <v>548</v>
      </c>
      <c r="AM539" s="136" t="s">
        <v>557</v>
      </c>
      <c r="AN539" s="1">
        <v>38.486130000000003</v>
      </c>
      <c r="AO539" s="166">
        <v>0.20843</v>
      </c>
      <c r="AQ539" t="e">
        <f>_xlfn.XLOOKUP(tblGWP21[[#This Row],[Material Subcategory]],ls_Mat,Factors!$K$952:$K$1023)</f>
        <v>#N/A</v>
      </c>
      <c r="AR539" s="173">
        <v>0.72499999999999998</v>
      </c>
      <c r="AS539">
        <v>0</v>
      </c>
      <c r="AT539" t="s">
        <v>527</v>
      </c>
      <c r="BA539" cm="1">
        <f t="array" ref="BA539:BM539">tblGWP21[#This Row]</f>
        <v>7</v>
      </c>
      <c r="BB539" t="str">
        <v>Electronics</v>
      </c>
      <c r="BC539" t="str">
        <v>Electronics</v>
      </c>
      <c r="BD539" t="str">
        <v>Europe</v>
      </c>
      <c r="BE539" t="str">
        <v>Ireland</v>
      </c>
      <c r="BF539">
        <v>-38.486130000000003</v>
      </c>
      <c r="BG539" t="e">
        <v>#N/A</v>
      </c>
      <c r="BH539">
        <v>-3.2868550000000001</v>
      </c>
      <c r="BI539" t="str">
        <v>DELETE</v>
      </c>
      <c r="BJ539" t="str">
        <v>DELETE</v>
      </c>
      <c r="BK539">
        <v>2.5860000000000001E-2</v>
      </c>
      <c r="BL539">
        <v>4.1574329443250999E-2</v>
      </c>
      <c r="BM539">
        <v>4.8919275480954698E-2</v>
      </c>
    </row>
    <row r="540" spans="3:65">
      <c r="C540" s="6">
        <v>7</v>
      </c>
      <c r="D540" s="373" t="s">
        <v>261</v>
      </c>
      <c r="E540" s="6" t="s">
        <v>262</v>
      </c>
      <c r="F540" s="136" t="s">
        <v>548</v>
      </c>
      <c r="G540" s="136" t="s">
        <v>557</v>
      </c>
      <c r="H540" s="191">
        <v>-2.5034000000000001</v>
      </c>
      <c r="I540" s="191">
        <v>0</v>
      </c>
      <c r="J540" s="191">
        <v>0</v>
      </c>
      <c r="K540" s="191">
        <v>-0.42346389461190098</v>
      </c>
      <c r="L540" s="191">
        <v>-0.68787589850627195</v>
      </c>
      <c r="M540" s="191">
        <v>0.10331350349161</v>
      </c>
      <c r="N540" s="191">
        <v>-0.24056657303955101</v>
      </c>
      <c r="O540" s="191">
        <v>2.5728999962029101E-2</v>
      </c>
      <c r="T540" s="49">
        <v>7</v>
      </c>
      <c r="U540" s="143" t="s">
        <v>242</v>
      </c>
      <c r="V540" s="33" t="s">
        <v>274</v>
      </c>
      <c r="W540" s="53" t="s">
        <v>548</v>
      </c>
      <c r="X540" s="53" t="s">
        <v>557</v>
      </c>
      <c r="Y540" s="172">
        <f>IFERROR(-tblZwaste1422[[#This Row],[Weight (kgCO2e/kg)]],0)</f>
        <v>-38.486130000000003</v>
      </c>
      <c r="Z540" s="172">
        <f>IF(AQ540="x",(AR540*-tblZwaste1422[[#This Row],[Weight (kgCO2e/kg)]])+AS540+($AR$10*Lookups!$J$38/1000),"DELETE")</f>
        <v>-27.900672450000002</v>
      </c>
      <c r="AA540" s="172">
        <v>-8.5278425000000002</v>
      </c>
      <c r="AB540" s="172" t="s">
        <v>567</v>
      </c>
      <c r="AC540" s="172" t="s">
        <v>567</v>
      </c>
      <c r="AD540" s="172">
        <v>2.5860000000000001E-2</v>
      </c>
      <c r="AE540" s="172">
        <v>4.1574329443250999E-2</v>
      </c>
      <c r="AF540" s="172">
        <v>4.8919275480954698E-2</v>
      </c>
      <c r="AG540" s="150"/>
      <c r="AI540" s="137">
        <v>7</v>
      </c>
      <c r="AJ540" s="136" t="s">
        <v>242</v>
      </c>
      <c r="AK540" s="142" t="s">
        <v>242</v>
      </c>
      <c r="AL540" s="136" t="s">
        <v>548</v>
      </c>
      <c r="AM540" s="136" t="s">
        <v>557</v>
      </c>
      <c r="AN540" s="1">
        <v>38.486130000000003</v>
      </c>
      <c r="AO540" s="166">
        <v>0.20843</v>
      </c>
      <c r="AQ540" t="str">
        <f>_xlfn.XLOOKUP(tblGWP21[[#This Row],[Material Subcategory]],ls_Mat,Factors!$K$952:$K$1023)</f>
        <v>x</v>
      </c>
      <c r="AR540" s="173">
        <v>0.72499999999999998</v>
      </c>
      <c r="AS540">
        <v>0</v>
      </c>
      <c r="AT540" t="s">
        <v>527</v>
      </c>
      <c r="BA540" cm="1">
        <f t="array" ref="BA540:BM540">tblGWP21[#This Row]</f>
        <v>7</v>
      </c>
      <c r="BB540" t="str">
        <v>Electronics</v>
      </c>
      <c r="BC540" t="str">
        <v>E-waste</v>
      </c>
      <c r="BD540" t="str">
        <v>Europe</v>
      </c>
      <c r="BE540" t="str">
        <v>Ireland</v>
      </c>
      <c r="BF540">
        <v>-38.486130000000003</v>
      </c>
      <c r="BG540">
        <v>-27.900672450000002</v>
      </c>
      <c r="BH540">
        <v>-8.5278425000000002</v>
      </c>
      <c r="BI540" t="str">
        <v>DELETE</v>
      </c>
      <c r="BJ540" t="str">
        <v>DELETE</v>
      </c>
      <c r="BK540">
        <v>2.5860000000000001E-2</v>
      </c>
      <c r="BL540">
        <v>4.1574329443250999E-2</v>
      </c>
      <c r="BM540">
        <v>4.8919275480954698E-2</v>
      </c>
    </row>
    <row r="541" spans="3:65">
      <c r="C541" s="375">
        <v>7</v>
      </c>
      <c r="D541" s="374" t="s">
        <v>252</v>
      </c>
      <c r="E541" s="375" t="s">
        <v>252</v>
      </c>
      <c r="F541" s="362" t="s">
        <v>548</v>
      </c>
      <c r="G541" s="362" t="s">
        <v>557</v>
      </c>
      <c r="H541" s="368">
        <v>-2.0953266666666663</v>
      </c>
      <c r="I541" s="368">
        <v>-1.5407999593666664</v>
      </c>
      <c r="J541" s="368">
        <v>-4.402960361201381</v>
      </c>
      <c r="K541" s="368">
        <v>0</v>
      </c>
      <c r="L541" s="368">
        <v>0</v>
      </c>
      <c r="M541" s="368">
        <v>2.6027700521105999E-2</v>
      </c>
      <c r="N541" s="368">
        <v>0.57657859350782803</v>
      </c>
      <c r="O541" s="368">
        <v>2.18702518516894</v>
      </c>
      <c r="T541" s="49">
        <v>7</v>
      </c>
      <c r="U541" s="143" t="s">
        <v>242</v>
      </c>
      <c r="V541" s="33" t="s">
        <v>534</v>
      </c>
      <c r="W541" s="53" t="s">
        <v>548</v>
      </c>
      <c r="X541" s="53" t="s">
        <v>557</v>
      </c>
      <c r="Y541" s="172">
        <f>IFERROR(-tblZwaste1422[[#This Row],[Weight (kgCO2e/kg)]],0)</f>
        <v>-15.0122</v>
      </c>
      <c r="Z541" s="172">
        <f>IF(AQ541="x",(AR541*-tblZwaste1422[[#This Row],[Weight (kgCO2e/kg)]])+AS541+($AR$10*Lookups!$J$38/1000),"DELETE")</f>
        <v>-10.882073199999999</v>
      </c>
      <c r="AA541" s="172">
        <v>-3.19428</v>
      </c>
      <c r="AB541" s="172" t="s">
        <v>567</v>
      </c>
      <c r="AC541" s="172" t="s">
        <v>567</v>
      </c>
      <c r="AD541" s="172">
        <v>2.5860000000000001E-2</v>
      </c>
      <c r="AE541" s="172">
        <v>4.1574329443250999E-2</v>
      </c>
      <c r="AF541" s="172">
        <v>4.8919275480954698E-2</v>
      </c>
      <c r="AG541" s="150"/>
      <c r="AI541" s="137">
        <v>7</v>
      </c>
      <c r="AJ541" s="136" t="s">
        <v>242</v>
      </c>
      <c r="AK541" s="142" t="s">
        <v>534</v>
      </c>
      <c r="AL541" s="136" t="s">
        <v>548</v>
      </c>
      <c r="AM541" s="136" t="s">
        <v>557</v>
      </c>
      <c r="AN541" s="1">
        <v>15.0122</v>
      </c>
      <c r="AO541" s="166">
        <v>0.37092000000000003</v>
      </c>
      <c r="AQ541" t="str">
        <f>_xlfn.XLOOKUP(tblGWP21[[#This Row],[Material Subcategory]],ls_Mat,Factors!$K$952:$K$1023)</f>
        <v>x</v>
      </c>
      <c r="AR541" s="173">
        <v>0.72499999999999998</v>
      </c>
      <c r="AS541">
        <v>0</v>
      </c>
      <c r="AT541" t="s">
        <v>527</v>
      </c>
      <c r="BA541" cm="1">
        <f t="array" ref="BA541:BM541">tblGWP21[#This Row]</f>
        <v>7</v>
      </c>
      <c r="BB541" t="str">
        <v>Electronics</v>
      </c>
      <c r="BC541" t="str">
        <v>Batteries</v>
      </c>
      <c r="BD541" t="str">
        <v>Europe</v>
      </c>
      <c r="BE541" t="str">
        <v>Ireland</v>
      </c>
      <c r="BF541">
        <v>-15.0122</v>
      </c>
      <c r="BG541">
        <v>-10.882073199999999</v>
      </c>
      <c r="BH541">
        <v>-3.19428</v>
      </c>
      <c r="BI541" t="str">
        <v>DELETE</v>
      </c>
      <c r="BJ541" t="str">
        <v>DELETE</v>
      </c>
      <c r="BK541">
        <v>2.5860000000000001E-2</v>
      </c>
      <c r="BL541">
        <v>4.1574329443250999E-2</v>
      </c>
      <c r="BM541">
        <v>4.8919275480954698E-2</v>
      </c>
    </row>
    <row r="542" spans="3:65" ht="28.8">
      <c r="C542" s="6">
        <v>7</v>
      </c>
      <c r="D542" s="373" t="s">
        <v>252</v>
      </c>
      <c r="E542" s="6" t="s">
        <v>253</v>
      </c>
      <c r="F542" s="136" t="s">
        <v>548</v>
      </c>
      <c r="G542" s="136" t="s">
        <v>557</v>
      </c>
      <c r="H542" s="191">
        <v>-2.04928</v>
      </c>
      <c r="I542" s="191">
        <v>0</v>
      </c>
      <c r="J542" s="191">
        <v>-3.8577271986224009</v>
      </c>
      <c r="K542" s="191">
        <v>0</v>
      </c>
      <c r="L542" s="191">
        <v>0</v>
      </c>
      <c r="M542" s="191">
        <v>2.6027697540151499E-2</v>
      </c>
      <c r="N542" s="191">
        <v>0.40442865479218998</v>
      </c>
      <c r="O542" s="191">
        <v>3.18317778732807</v>
      </c>
      <c r="T542" s="49">
        <v>7</v>
      </c>
      <c r="U542" s="143" t="s">
        <v>239</v>
      </c>
      <c r="V542" s="33" t="s">
        <v>239</v>
      </c>
      <c r="W542" s="53" t="s">
        <v>548</v>
      </c>
      <c r="X542" s="53" t="s">
        <v>557</v>
      </c>
      <c r="Y542" s="172">
        <f>IFERROR(-tblZwaste1422[[#This Row],[Weight (kgCO2e/kg)]],0)</f>
        <v>-2.6644477777777777</v>
      </c>
      <c r="Z542" s="172" t="e">
        <f>IF(AQ542="x",(AR542*-tblZwaste1422[[#This Row],[Weight (kgCO2e/kg)]])+AS542+($AR$10*Lookups!$J$38/1000),"DELETE")</f>
        <v>#N/A</v>
      </c>
      <c r="AA542" s="176">
        <v>-0.84997287375215214</v>
      </c>
      <c r="AB542" s="172">
        <v>-1.6414908500332299</v>
      </c>
      <c r="AC542" s="172">
        <v>-2.3915506341225301</v>
      </c>
      <c r="AD542" s="172">
        <v>-0.65531464971066899</v>
      </c>
      <c r="AE542" s="172">
        <v>-0.86844475997422799</v>
      </c>
      <c r="AF542" s="172">
        <v>2.7471991029133901E-2</v>
      </c>
      <c r="AG542" s="150"/>
      <c r="AI542" s="137">
        <v>7</v>
      </c>
      <c r="AJ542" s="136" t="s">
        <v>239</v>
      </c>
      <c r="AK542" s="142" t="s">
        <v>239</v>
      </c>
      <c r="AL542" s="136" t="s">
        <v>548</v>
      </c>
      <c r="AM542" s="136" t="s">
        <v>557</v>
      </c>
      <c r="AN542" s="1">
        <v>2.6644477777777777</v>
      </c>
      <c r="AO542" s="166">
        <v>0.64099666666666666</v>
      </c>
      <c r="AQ542" t="e">
        <f>_xlfn.XLOOKUP(tblGWP21[[#This Row],[Material Subcategory]],ls_Mat,Factors!$K$952:$K$1023)</f>
        <v>#N/A</v>
      </c>
      <c r="AR542" s="173">
        <v>0.64600000000000002</v>
      </c>
      <c r="AS542">
        <v>0</v>
      </c>
      <c r="AT542" t="s">
        <v>527</v>
      </c>
      <c r="BA542" cm="1">
        <f t="array" ref="BA542:BM542">tblGWP21[#This Row]</f>
        <v>7</v>
      </c>
      <c r="BB542" t="str">
        <v>Paper</v>
      </c>
      <c r="BC542" t="str">
        <v>Paper</v>
      </c>
      <c r="BD542" t="str">
        <v>Europe</v>
      </c>
      <c r="BE542" t="str">
        <v>Ireland</v>
      </c>
      <c r="BF542">
        <v>-2.6644477777777777</v>
      </c>
      <c r="BG542" t="e">
        <v>#N/A</v>
      </c>
      <c r="BH542">
        <v>-0.84997287375215214</v>
      </c>
      <c r="BI542">
        <v>-1.6414908500332299</v>
      </c>
      <c r="BJ542">
        <v>-2.3915506341225301</v>
      </c>
      <c r="BK542">
        <v>-0.65531464971066899</v>
      </c>
      <c r="BL542">
        <v>-0.86844475997422799</v>
      </c>
      <c r="BM542">
        <v>2.7471991029133901E-2</v>
      </c>
    </row>
    <row r="543" spans="3:65">
      <c r="C543" s="375">
        <v>7</v>
      </c>
      <c r="D543" s="374" t="s">
        <v>252</v>
      </c>
      <c r="E543" s="375" t="s">
        <v>328</v>
      </c>
      <c r="F543" s="362" t="s">
        <v>548</v>
      </c>
      <c r="G543" s="362" t="s">
        <v>557</v>
      </c>
      <c r="H543" s="368">
        <v>-2.3231199999999999</v>
      </c>
      <c r="I543" s="368">
        <v>0</v>
      </c>
      <c r="J543" s="368">
        <v>-4.5586313239024001</v>
      </c>
      <c r="K543" s="368">
        <v>0</v>
      </c>
      <c r="L543" s="368">
        <v>0</v>
      </c>
      <c r="M543" s="368">
        <v>2.6027698332150601E-2</v>
      </c>
      <c r="N543" s="368">
        <v>0.47131022056053301</v>
      </c>
      <c r="O543" s="368">
        <v>2.49560838565696</v>
      </c>
      <c r="T543" s="49">
        <v>7</v>
      </c>
      <c r="U543" s="143" t="s">
        <v>239</v>
      </c>
      <c r="V543" s="33" t="s">
        <v>324</v>
      </c>
      <c r="W543" s="53" t="s">
        <v>548</v>
      </c>
      <c r="X543" s="53" t="s">
        <v>557</v>
      </c>
      <c r="Y543" s="172">
        <f>IFERROR(-tblZwaste1422[[#This Row],[Weight (kgCO2e/kg)]],0)</f>
        <v>-1.66</v>
      </c>
      <c r="Z543" s="172" t="str">
        <f>IF(AQ543="x",(AR543*-tblZwaste1422[[#This Row],[Weight (kgCO2e/kg)]])+AS543+($AR$10*Lookups!$J$38/1000),"DELETE")</f>
        <v>DELETE</v>
      </c>
      <c r="AA543" s="176">
        <v>0.1989268771169205</v>
      </c>
      <c r="AB543" s="172">
        <v>-1.6520461883473201</v>
      </c>
      <c r="AC543" s="172">
        <v>-2.2431267137541102</v>
      </c>
      <c r="AD543" s="172">
        <v>-1.13368055076702</v>
      </c>
      <c r="AE543" s="172">
        <v>-0.94419919037831701</v>
      </c>
      <c r="AF543" s="172">
        <v>2.66826542410066E-2</v>
      </c>
      <c r="AG543" s="150"/>
      <c r="AI543" s="137">
        <v>7</v>
      </c>
      <c r="AJ543" s="136" t="s">
        <v>239</v>
      </c>
      <c r="AK543" s="142" t="s">
        <v>324</v>
      </c>
      <c r="AL543" s="136" t="s">
        <v>548</v>
      </c>
      <c r="AM543" s="136" t="s">
        <v>557</v>
      </c>
      <c r="AN543" s="1">
        <v>1.66</v>
      </c>
      <c r="AO543" s="166">
        <v>0.13142999999999999</v>
      </c>
      <c r="AQ543">
        <f>_xlfn.XLOOKUP(tblGWP21[[#This Row],[Material Subcategory]],ls_Mat,Factors!$K$952:$K$1023)</f>
        <v>0</v>
      </c>
      <c r="AR543" s="173">
        <v>0.64600000000000002</v>
      </c>
      <c r="AS543">
        <v>0</v>
      </c>
      <c r="AT543" t="s">
        <v>527</v>
      </c>
      <c r="AU543" t="s">
        <v>526</v>
      </c>
      <c r="AV543" s="347">
        <v>0.85</v>
      </c>
      <c r="BA543" cm="1">
        <f t="array" ref="BA543:BM543">tblGWP21[#This Row]</f>
        <v>7</v>
      </c>
      <c r="BB543" t="str">
        <v>Paper</v>
      </c>
      <c r="BC543" t="str">
        <v>Newsprint</v>
      </c>
      <c r="BD543" t="str">
        <v>Europe</v>
      </c>
      <c r="BE543" t="str">
        <v>Ireland</v>
      </c>
      <c r="BF543">
        <v>-1.66</v>
      </c>
      <c r="BG543" t="str">
        <v>DELETE</v>
      </c>
      <c r="BH543">
        <v>0.1989268771169205</v>
      </c>
      <c r="BI543">
        <v>-1.6520461883473201</v>
      </c>
      <c r="BJ543">
        <v>-2.2431267137541102</v>
      </c>
      <c r="BK543">
        <v>-1.13368055076702</v>
      </c>
      <c r="BL543">
        <v>-0.94419919037831701</v>
      </c>
      <c r="BM543">
        <v>2.66826542410066E-2</v>
      </c>
    </row>
    <row r="544" spans="3:65">
      <c r="C544" s="6">
        <v>7</v>
      </c>
      <c r="D544" s="373" t="s">
        <v>252</v>
      </c>
      <c r="E544" s="6" t="s">
        <v>254</v>
      </c>
      <c r="F544" s="136" t="s">
        <v>548</v>
      </c>
      <c r="G544" s="136" t="s">
        <v>557</v>
      </c>
      <c r="H544" s="191">
        <v>-2.1485799999999999</v>
      </c>
      <c r="I544" s="191">
        <v>0</v>
      </c>
      <c r="J544" s="191">
        <v>-4.6368515983783229</v>
      </c>
      <c r="K544" s="191">
        <v>0</v>
      </c>
      <c r="L544" s="191">
        <v>0</v>
      </c>
      <c r="M544" s="191">
        <v>2.6027697540151499E-2</v>
      </c>
      <c r="N544" s="191">
        <v>0.63714400634049295</v>
      </c>
      <c r="O544" s="191">
        <v>2.5363327127883299</v>
      </c>
      <c r="T544" s="49">
        <v>7</v>
      </c>
      <c r="U544" s="143" t="s">
        <v>239</v>
      </c>
      <c r="V544" s="33" t="s">
        <v>272</v>
      </c>
      <c r="W544" s="53" t="s">
        <v>548</v>
      </c>
      <c r="X544" s="53" t="s">
        <v>557</v>
      </c>
      <c r="Y544" s="172">
        <f>IFERROR(-tblZwaste1422[[#This Row],[Weight (kgCO2e/kg)]],0)</f>
        <v>-2.1278299999999999</v>
      </c>
      <c r="Z544" s="172">
        <f>IF(AQ544="x",(AR544*-tblZwaste1422[[#This Row],[Weight (kgCO2e/kg)]])+AS544+($AR$10*Lookups!$J$38/1000),"DELETE")</f>
        <v>-1.3728063799999999</v>
      </c>
      <c r="AA544" s="176">
        <v>-2.0529447357788794E-3</v>
      </c>
      <c r="AB544" s="172">
        <v>-1.47889429147148</v>
      </c>
      <c r="AC544" s="172">
        <v>-2.2533295364473198</v>
      </c>
      <c r="AD544" s="172">
        <v>2.8719999999999999E-2</v>
      </c>
      <c r="AE544" s="172">
        <v>-0.74239454684422701</v>
      </c>
      <c r="AF544" s="172">
        <v>3.4585558241073698E-2</v>
      </c>
      <c r="AG544" s="150"/>
      <c r="AI544" s="137">
        <v>7</v>
      </c>
      <c r="AJ544" s="136" t="s">
        <v>239</v>
      </c>
      <c r="AK544" s="142" t="s">
        <v>272</v>
      </c>
      <c r="AL544" s="136" t="s">
        <v>548</v>
      </c>
      <c r="AM544" s="136" t="s">
        <v>557</v>
      </c>
      <c r="AN544" s="1">
        <v>2.1278299999999999</v>
      </c>
      <c r="AO544" s="166">
        <v>1.2152400000000001</v>
      </c>
      <c r="AQ544" t="str">
        <f>_xlfn.XLOOKUP(tblGWP21[[#This Row],[Material Subcategory]],ls_Mat,Factors!$K$952:$K$1023)</f>
        <v>x</v>
      </c>
      <c r="AR544" s="173">
        <v>0.64600000000000002</v>
      </c>
      <c r="AS544">
        <v>0</v>
      </c>
      <c r="AT544" t="s">
        <v>527</v>
      </c>
      <c r="AU544" t="s">
        <v>526</v>
      </c>
      <c r="AV544" s="347">
        <v>0.7</v>
      </c>
      <c r="BA544" cm="1">
        <f t="array" ref="BA544:BM544">tblGWP21[#This Row]</f>
        <v>7</v>
      </c>
      <c r="BB544" t="str">
        <v>Paper</v>
      </c>
      <c r="BC544" t="str">
        <v>Corr. Cardboard</v>
      </c>
      <c r="BD544" t="str">
        <v>Europe</v>
      </c>
      <c r="BE544" t="str">
        <v>Ireland</v>
      </c>
      <c r="BF544">
        <v>-2.1278299999999999</v>
      </c>
      <c r="BG544">
        <v>-1.3728063799999999</v>
      </c>
      <c r="BH544">
        <v>-2.0529447357788794E-3</v>
      </c>
      <c r="BI544">
        <v>-1.47889429147148</v>
      </c>
      <c r="BJ544">
        <v>-2.2533295364473198</v>
      </c>
      <c r="BK544">
        <v>2.8719999999999999E-2</v>
      </c>
      <c r="BL544">
        <v>-0.74239454684422701</v>
      </c>
      <c r="BM544">
        <v>3.4585558241073698E-2</v>
      </c>
    </row>
    <row r="545" spans="3:65">
      <c r="C545" s="375">
        <v>7</v>
      </c>
      <c r="D545" s="374" t="s">
        <v>252</v>
      </c>
      <c r="E545" s="375" t="s">
        <v>532</v>
      </c>
      <c r="F545" s="362" t="s">
        <v>548</v>
      </c>
      <c r="G545" s="362" t="s">
        <v>557</v>
      </c>
      <c r="H545" s="368">
        <v>-1.9492499999999999</v>
      </c>
      <c r="I545" s="368">
        <v>0</v>
      </c>
      <c r="J545" s="368">
        <v>-4.5586313239024001</v>
      </c>
      <c r="K545" s="368">
        <v>0</v>
      </c>
      <c r="L545" s="368">
        <v>0</v>
      </c>
      <c r="M545" s="368">
        <v>2.6027698332150601E-2</v>
      </c>
      <c r="N545" s="368">
        <v>0.47131022056053301</v>
      </c>
      <c r="O545" s="368">
        <v>2.49560838565696</v>
      </c>
      <c r="T545" s="49">
        <v>7</v>
      </c>
      <c r="U545" s="143" t="s">
        <v>239</v>
      </c>
      <c r="V545" s="33" t="s">
        <v>329</v>
      </c>
      <c r="W545" s="53" t="s">
        <v>548</v>
      </c>
      <c r="X545" s="53" t="s">
        <v>557</v>
      </c>
      <c r="Y545" s="172">
        <f>IFERROR(-tblZwaste1422[[#This Row],[Weight (kgCO2e/kg)]],0)</f>
        <v>-3.4792200000000002</v>
      </c>
      <c r="Z545" s="172" t="str">
        <f>IF(AQ545="x",(AR545*-tblZwaste1422[[#This Row],[Weight (kgCO2e/kg)]])+AS545+($AR$10*Lookups!$J$38/1000),"DELETE")</f>
        <v>DELETE</v>
      </c>
      <c r="AA545" s="176">
        <v>-3.0336967119265266</v>
      </c>
      <c r="AB545" s="172">
        <v>-1.6015162329171799</v>
      </c>
      <c r="AC545" s="172">
        <v>-2.5029077972305598</v>
      </c>
      <c r="AD545" s="172">
        <v>0.44057827514235898</v>
      </c>
      <c r="AE545" s="172">
        <v>-0.74513222266385803</v>
      </c>
      <c r="AF545" s="172">
        <v>3.7248740093878997E-2</v>
      </c>
      <c r="AG545" s="150"/>
      <c r="AI545" s="137">
        <v>7</v>
      </c>
      <c r="AJ545" s="136" t="s">
        <v>239</v>
      </c>
      <c r="AK545" s="142" t="s">
        <v>329</v>
      </c>
      <c r="AL545" s="136" t="s">
        <v>548</v>
      </c>
      <c r="AM545" s="136" t="s">
        <v>557</v>
      </c>
      <c r="AN545" s="1">
        <v>3.4792200000000002</v>
      </c>
      <c r="AO545" s="166">
        <v>1.0383</v>
      </c>
      <c r="AQ545">
        <f>_xlfn.XLOOKUP(tblGWP21[[#This Row],[Material Subcategory]],ls_Mat,Factors!$K$952:$K$1023)</f>
        <v>0</v>
      </c>
      <c r="AU545" t="s">
        <v>526</v>
      </c>
      <c r="AV545" s="347">
        <v>0.8</v>
      </c>
      <c r="BA545" cm="1">
        <f t="array" ref="BA545:BM545">tblGWP21[#This Row]</f>
        <v>7</v>
      </c>
      <c r="BB545" t="str">
        <v>Paper</v>
      </c>
      <c r="BC545" t="str">
        <v>Office Paper</v>
      </c>
      <c r="BD545" t="str">
        <v>Europe</v>
      </c>
      <c r="BE545" t="str">
        <v>Ireland</v>
      </c>
      <c r="BF545">
        <v>-3.4792200000000002</v>
      </c>
      <c r="BG545" t="str">
        <v>DELETE</v>
      </c>
      <c r="BH545">
        <v>-3.0336967119265266</v>
      </c>
      <c r="BI545">
        <v>-1.6015162329171799</v>
      </c>
      <c r="BJ545">
        <v>-2.5029077972305598</v>
      </c>
      <c r="BK545">
        <v>0.44057827514235898</v>
      </c>
      <c r="BL545">
        <v>-0.74513222266385803</v>
      </c>
      <c r="BM545">
        <v>3.7248740093878997E-2</v>
      </c>
    </row>
    <row r="546" spans="3:65">
      <c r="C546" s="6">
        <v>7</v>
      </c>
      <c r="D546" s="373" t="s">
        <v>252</v>
      </c>
      <c r="E546" s="6" t="s">
        <v>245</v>
      </c>
      <c r="F546" s="136" t="s">
        <v>548</v>
      </c>
      <c r="G546" s="136" t="s">
        <v>557</v>
      </c>
      <c r="H546" s="191">
        <v>-2.0269300000000001</v>
      </c>
      <c r="I546" s="191">
        <v>0</v>
      </c>
      <c r="J546" s="191">
        <v>0</v>
      </c>
      <c r="K546" s="191">
        <v>0</v>
      </c>
      <c r="L546" s="191">
        <v>0</v>
      </c>
      <c r="M546" s="191">
        <v>2.6027698449498898E-2</v>
      </c>
      <c r="N546" s="191">
        <v>0.35762914324795803</v>
      </c>
      <c r="O546" s="191">
        <v>3.18336709723018</v>
      </c>
      <c r="T546" s="49">
        <v>7</v>
      </c>
      <c r="U546" s="143" t="s">
        <v>239</v>
      </c>
      <c r="V546" s="33" t="s">
        <v>271</v>
      </c>
      <c r="W546" s="53" t="s">
        <v>548</v>
      </c>
      <c r="X546" s="53" t="s">
        <v>557</v>
      </c>
      <c r="Y546" s="172">
        <f>IFERROR(-tblZwaste1422[[#This Row],[Weight (kgCO2e/kg)]],0)</f>
        <v>-3.1045600000000002</v>
      </c>
      <c r="Z546" s="172" t="str">
        <f>IF(AQ546="x",(AR546*-tblZwaste1422[[#This Row],[Weight (kgCO2e/kg)]])+AS546+($AR$10*Lookups!$J$38/1000),"DELETE")</f>
        <v>DELETE</v>
      </c>
      <c r="AA546" s="176">
        <v>-0.9562194829711711</v>
      </c>
      <c r="AB546" s="172">
        <v>-1.5168271075440001</v>
      </c>
      <c r="AC546" s="172">
        <v>-2.6006300552409898</v>
      </c>
      <c r="AD546" s="172">
        <v>-0.66607924436191601</v>
      </c>
      <c r="AE546" s="172">
        <v>-0.709859137411887</v>
      </c>
      <c r="AF546" s="172">
        <v>4.0394140526455E-2</v>
      </c>
      <c r="AG546" s="150"/>
      <c r="AI546" s="137">
        <v>7</v>
      </c>
      <c r="AJ546" s="136" t="s">
        <v>239</v>
      </c>
      <c r="AK546" s="142" t="s">
        <v>271</v>
      </c>
      <c r="AL546" s="136" t="s">
        <v>548</v>
      </c>
      <c r="AM546" s="136" t="s">
        <v>557</v>
      </c>
      <c r="AN546" s="1">
        <v>3.1045600000000002</v>
      </c>
      <c r="AO546" s="166">
        <v>0.12864</v>
      </c>
      <c r="AQ546">
        <f>_xlfn.XLOOKUP(tblGWP21[[#This Row],[Material Subcategory]],ls_Mat,Factors!$K$952:$K$1023)</f>
        <v>0</v>
      </c>
      <c r="AU546" t="s">
        <v>526</v>
      </c>
      <c r="AV546" s="347">
        <v>0.7</v>
      </c>
      <c r="BA546" cm="1">
        <f t="array" ref="BA546:BM546">tblGWP21[#This Row]</f>
        <v>7</v>
      </c>
      <c r="BB546" t="str">
        <v>Paper</v>
      </c>
      <c r="BC546" t="str">
        <v>Magazines</v>
      </c>
      <c r="BD546" t="str">
        <v>Europe</v>
      </c>
      <c r="BE546" t="str">
        <v>Ireland</v>
      </c>
      <c r="BF546">
        <v>-3.1045600000000002</v>
      </c>
      <c r="BG546" t="str">
        <v>DELETE</v>
      </c>
      <c r="BH546">
        <v>-0.9562194829711711</v>
      </c>
      <c r="BI546">
        <v>-1.5168271075440001</v>
      </c>
      <c r="BJ546">
        <v>-2.6006300552409898</v>
      </c>
      <c r="BK546">
        <v>-0.66607924436191601</v>
      </c>
      <c r="BL546">
        <v>-0.709859137411887</v>
      </c>
      <c r="BM546">
        <v>4.0394140526455E-2</v>
      </c>
    </row>
    <row r="547" spans="3:65">
      <c r="C547" s="375">
        <v>7</v>
      </c>
      <c r="D547" s="374" t="s">
        <v>252</v>
      </c>
      <c r="E547" s="375" t="s">
        <v>533</v>
      </c>
      <c r="F547" s="362" t="s">
        <v>548</v>
      </c>
      <c r="G547" s="362" t="s">
        <v>557</v>
      </c>
      <c r="H547" s="368">
        <v>-2.0748000000000002</v>
      </c>
      <c r="I547" s="368">
        <v>0</v>
      </c>
      <c r="J547" s="368">
        <v>0</v>
      </c>
      <c r="K547" s="368">
        <v>0</v>
      </c>
      <c r="L547" s="368">
        <v>0</v>
      </c>
      <c r="M547" s="368">
        <v>2.6027693309096801E-2</v>
      </c>
      <c r="N547" s="368">
        <v>0.56697035476351698</v>
      </c>
      <c r="O547" s="368">
        <v>3.0368308616241202</v>
      </c>
      <c r="T547" s="49">
        <v>7</v>
      </c>
      <c r="U547" s="143" t="s">
        <v>239</v>
      </c>
      <c r="V547" s="33" t="s">
        <v>535</v>
      </c>
      <c r="W547" s="53" t="s">
        <v>548</v>
      </c>
      <c r="X547" s="53" t="s">
        <v>557</v>
      </c>
      <c r="Y547" s="172">
        <f>IFERROR(-tblZwaste1422[[#This Row],[Weight (kgCO2e/kg)]],0)</f>
        <v>-3.1045600000000002</v>
      </c>
      <c r="Z547" s="172" t="str">
        <f>IF(AQ547="x",(AR547*-tblZwaste1422[[#This Row],[Weight (kgCO2e/kg)]])+AS547+($AR$10*Lookups!$J$38/1000),"DELETE")</f>
        <v>DELETE</v>
      </c>
      <c r="AA547" s="176">
        <v>-0.9562194829711711</v>
      </c>
      <c r="AB547" s="172">
        <v>-1.62546929730024</v>
      </c>
      <c r="AC547" s="172">
        <v>-2.60790847761321</v>
      </c>
      <c r="AD547" s="172">
        <v>-0.86352871394485398</v>
      </c>
      <c r="AE547" s="172">
        <v>-0.79043360737650703</v>
      </c>
      <c r="AF547" s="172">
        <v>2.92135960679216E-2</v>
      </c>
      <c r="AG547" s="150"/>
      <c r="AI547" s="137">
        <v>7</v>
      </c>
      <c r="AJ547" s="136" t="s">
        <v>239</v>
      </c>
      <c r="AK547" s="142" t="s">
        <v>535</v>
      </c>
      <c r="AL547" s="136" t="s">
        <v>548</v>
      </c>
      <c r="AM547" s="136" t="s">
        <v>557</v>
      </c>
      <c r="AN547" s="1">
        <v>3.1045600000000002</v>
      </c>
      <c r="AO547" s="166">
        <v>0.12864</v>
      </c>
      <c r="AQ547">
        <f>_xlfn.XLOOKUP(tblGWP21[[#This Row],[Material Subcategory]],ls_Mat,Factors!$K$952:$K$1023)</f>
        <v>0</v>
      </c>
      <c r="AV547" s="347"/>
      <c r="BA547" cm="1">
        <f t="array" ref="BA547:BM547">tblGWP21[#This Row]</f>
        <v>7</v>
      </c>
      <c r="BB547" t="str">
        <v>Paper</v>
      </c>
      <c r="BC547" t="str">
        <v>3rd Class Mail</v>
      </c>
      <c r="BD547" t="str">
        <v>Europe</v>
      </c>
      <c r="BE547" t="str">
        <v>Ireland</v>
      </c>
      <c r="BF547">
        <v>-3.1045600000000002</v>
      </c>
      <c r="BG547" t="str">
        <v>DELETE</v>
      </c>
      <c r="BH547">
        <v>-0.9562194829711711</v>
      </c>
      <c r="BI547">
        <v>-1.62546929730024</v>
      </c>
      <c r="BJ547">
        <v>-2.60790847761321</v>
      </c>
      <c r="BK547">
        <v>-0.86352871394485398</v>
      </c>
      <c r="BL547">
        <v>-0.79043360737650703</v>
      </c>
      <c r="BM547">
        <v>2.92135960679216E-2</v>
      </c>
    </row>
    <row r="548" spans="3:65">
      <c r="C548" s="6">
        <v>7</v>
      </c>
      <c r="D548" s="373" t="s">
        <v>242</v>
      </c>
      <c r="E548" s="6" t="s">
        <v>242</v>
      </c>
      <c r="F548" s="136" t="s">
        <v>548</v>
      </c>
      <c r="G548" s="136" t="s">
        <v>557</v>
      </c>
      <c r="H548" s="191">
        <v>-38.486130000000003</v>
      </c>
      <c r="I548" s="191">
        <v>-27.900672450000002</v>
      </c>
      <c r="J548" s="191">
        <v>-3.2868550000000001</v>
      </c>
      <c r="K548" s="191">
        <v>0</v>
      </c>
      <c r="L548" s="191">
        <v>0</v>
      </c>
      <c r="M548" s="191">
        <v>2.5860000000000001E-2</v>
      </c>
      <c r="N548" s="191">
        <v>4.1574329443250999E-2</v>
      </c>
      <c r="O548" s="191">
        <v>4.8919275480954698E-2</v>
      </c>
      <c r="T548" s="49">
        <v>7</v>
      </c>
      <c r="U548" s="143" t="s">
        <v>239</v>
      </c>
      <c r="V548" s="33" t="s">
        <v>259</v>
      </c>
      <c r="W548" s="53" t="s">
        <v>548</v>
      </c>
      <c r="X548" s="53" t="s">
        <v>557</v>
      </c>
      <c r="Y548" s="172">
        <f>IFERROR(-tblZwaste1422[[#This Row],[Weight (kgCO2e/kg)]],0)</f>
        <v>-2.86965</v>
      </c>
      <c r="Z548" s="172" t="str">
        <f>IF(AQ548="x",(AR548*-tblZwaste1422[[#This Row],[Weight (kgCO2e/kg)]])+AS548+($AR$10*Lookups!$J$38/1000),"DELETE")</f>
        <v>DELETE</v>
      </c>
      <c r="AA548" s="176">
        <v>-0.9562194829711711</v>
      </c>
      <c r="AB548" s="172">
        <v>-1.34045167478387</v>
      </c>
      <c r="AC548" s="172">
        <v>-2.0253246916117602</v>
      </c>
      <c r="AD548" s="172">
        <v>-0.37415573981227901</v>
      </c>
      <c r="AE548" s="172">
        <v>-0.64379658431098397</v>
      </c>
      <c r="AF548" s="172">
        <v>2.84212363077633E-2</v>
      </c>
      <c r="AG548" s="150"/>
      <c r="AI548" s="137">
        <v>7</v>
      </c>
      <c r="AJ548" s="136" t="s">
        <v>239</v>
      </c>
      <c r="AK548" s="142" t="s">
        <v>259</v>
      </c>
      <c r="AL548" s="136" t="s">
        <v>548</v>
      </c>
      <c r="AM548" s="136" t="s">
        <v>557</v>
      </c>
      <c r="AN548" s="1">
        <v>2.86965</v>
      </c>
      <c r="AO548" s="166">
        <v>0.79600000000000004</v>
      </c>
      <c r="AQ548">
        <f>_xlfn.XLOOKUP(tblGWP21[[#This Row],[Material Subcategory]],ls_Mat,Factors!$K$952:$K$1023)</f>
        <v>0</v>
      </c>
      <c r="AR548" s="173"/>
      <c r="BA548" cm="1">
        <f t="array" ref="BA548:BM548">tblGWP21[#This Row]</f>
        <v>7</v>
      </c>
      <c r="BB548" t="str">
        <v>Paper</v>
      </c>
      <c r="BC548" t="str">
        <v>Folding Containers</v>
      </c>
      <c r="BD548" t="str">
        <v>Europe</v>
      </c>
      <c r="BE548" t="str">
        <v>Ireland</v>
      </c>
      <c r="BF548">
        <v>-2.86965</v>
      </c>
      <c r="BG548" t="str">
        <v>DELETE</v>
      </c>
      <c r="BH548">
        <v>-0.9562194829711711</v>
      </c>
      <c r="BI548">
        <v>-1.34045167478387</v>
      </c>
      <c r="BJ548">
        <v>-2.0253246916117602</v>
      </c>
      <c r="BK548">
        <v>-0.37415573981227901</v>
      </c>
      <c r="BL548">
        <v>-0.64379658431098397</v>
      </c>
      <c r="BM548">
        <v>2.84212363077633E-2</v>
      </c>
    </row>
    <row r="549" spans="3:65">
      <c r="C549" s="375">
        <v>7</v>
      </c>
      <c r="D549" s="374" t="s">
        <v>242</v>
      </c>
      <c r="E549" s="375" t="s">
        <v>274</v>
      </c>
      <c r="F549" s="362" t="s">
        <v>548</v>
      </c>
      <c r="G549" s="362" t="s">
        <v>557</v>
      </c>
      <c r="H549" s="368">
        <v>-38.486130000000003</v>
      </c>
      <c r="I549" s="368">
        <v>-27.900672450000002</v>
      </c>
      <c r="J549" s="368">
        <v>-8.5278425000000002</v>
      </c>
      <c r="K549" s="368">
        <v>0</v>
      </c>
      <c r="L549" s="368">
        <v>0</v>
      </c>
      <c r="M549" s="368">
        <v>2.5860000000000001E-2</v>
      </c>
      <c r="N549" s="368">
        <v>4.1574329443250999E-2</v>
      </c>
      <c r="O549" s="368">
        <v>4.8919275480954698E-2</v>
      </c>
      <c r="T549" s="49">
        <v>7</v>
      </c>
      <c r="U549" s="143" t="s">
        <v>239</v>
      </c>
      <c r="V549" s="33" t="s">
        <v>334</v>
      </c>
      <c r="W549" s="53" t="s">
        <v>548</v>
      </c>
      <c r="X549" s="53" t="s">
        <v>557</v>
      </c>
      <c r="Y549" s="172">
        <f>IFERROR(-tblZwaste1422[[#This Row],[Weight (kgCO2e/kg)]],0)</f>
        <v>-2.86965</v>
      </c>
      <c r="Z549" s="172" t="str">
        <f>IF(AQ549="x",(AR549*-tblZwaste1422[[#This Row],[Weight (kgCO2e/kg)]])+AS549+($AR$10*Lookups!$J$38/1000),"DELETE")</f>
        <v>DELETE</v>
      </c>
      <c r="AA549" s="176">
        <v>-0.9562194829711711</v>
      </c>
      <c r="AB549" s="172">
        <v>-1.75096163911925</v>
      </c>
      <c r="AC549" s="172">
        <v>-2.4914526293508499</v>
      </c>
      <c r="AD549" s="172">
        <v>-0.31495530677184003</v>
      </c>
      <c r="AE549" s="172">
        <v>-0.94006728037030396</v>
      </c>
      <c r="AF549" s="172">
        <v>2.63898646245362E-2</v>
      </c>
      <c r="AG549" s="150"/>
      <c r="AI549" s="137">
        <v>7</v>
      </c>
      <c r="AJ549" s="136" t="s">
        <v>239</v>
      </c>
      <c r="AK549" s="142" t="s">
        <v>334</v>
      </c>
      <c r="AL549" s="136" t="s">
        <v>548</v>
      </c>
      <c r="AM549" s="136" t="s">
        <v>557</v>
      </c>
      <c r="AN549" s="1">
        <v>2.86965</v>
      </c>
      <c r="AO549" s="166">
        <v>0.76736000000000004</v>
      </c>
      <c r="AQ549">
        <f>_xlfn.XLOOKUP(tblGWP21[[#This Row],[Material Subcategory]],ls_Mat,Factors!$K$952:$K$1023)</f>
        <v>0</v>
      </c>
      <c r="AR549" s="173"/>
      <c r="BA549" cm="1">
        <f t="array" ref="BA549:BM549">tblGWP21[#This Row]</f>
        <v>7</v>
      </c>
      <c r="BB549" t="str">
        <v>Paper</v>
      </c>
      <c r="BC549" t="str">
        <v>Paper Bags</v>
      </c>
      <c r="BD549" t="str">
        <v>Europe</v>
      </c>
      <c r="BE549" t="str">
        <v>Ireland</v>
      </c>
      <c r="BF549">
        <v>-2.86965</v>
      </c>
      <c r="BG549" t="str">
        <v>DELETE</v>
      </c>
      <c r="BH549">
        <v>-0.9562194829711711</v>
      </c>
      <c r="BI549">
        <v>-1.75096163911925</v>
      </c>
      <c r="BJ549">
        <v>-2.4914526293508499</v>
      </c>
      <c r="BK549">
        <v>-0.31495530677184003</v>
      </c>
      <c r="BL549">
        <v>-0.94006728037030396</v>
      </c>
      <c r="BM549">
        <v>2.63898646245362E-2</v>
      </c>
    </row>
    <row r="550" spans="3:65">
      <c r="C550" s="6">
        <v>7</v>
      </c>
      <c r="D550" s="373" t="s">
        <v>242</v>
      </c>
      <c r="E550" s="6" t="s">
        <v>534</v>
      </c>
      <c r="F550" s="136" t="s">
        <v>548</v>
      </c>
      <c r="G550" s="136" t="s">
        <v>557</v>
      </c>
      <c r="H550" s="191">
        <v>-15.0122</v>
      </c>
      <c r="I550" s="191">
        <v>-10.882073199999999</v>
      </c>
      <c r="J550" s="191">
        <v>-3.19428</v>
      </c>
      <c r="K550" s="191">
        <v>0</v>
      </c>
      <c r="L550" s="191">
        <v>0</v>
      </c>
      <c r="M550" s="191">
        <v>2.5860000000000001E-2</v>
      </c>
      <c r="N550" s="191">
        <v>4.1574329443250999E-2</v>
      </c>
      <c r="O550" s="191">
        <v>4.8919275480954698E-2</v>
      </c>
      <c r="T550" s="49">
        <v>7</v>
      </c>
      <c r="U550" s="143" t="s">
        <v>239</v>
      </c>
      <c r="V550" s="33" t="s">
        <v>240</v>
      </c>
      <c r="W550" s="53" t="s">
        <v>548</v>
      </c>
      <c r="X550" s="53" t="s">
        <v>557</v>
      </c>
      <c r="Y550" s="172">
        <f>IFERROR(-tblZwaste1422[[#This Row],[Weight (kgCO2e/kg)]],0)</f>
        <v>-3.1045600000000002</v>
      </c>
      <c r="Z550" s="172" t="str">
        <f>IF(AQ550="x",(AR550*-tblZwaste1422[[#This Row],[Weight (kgCO2e/kg)]])+AS550+($AR$10*Lookups!$J$38/1000),"DELETE")</f>
        <v>DELETE</v>
      </c>
      <c r="AA550" s="176" t="s">
        <v>567</v>
      </c>
      <c r="AB550" s="172">
        <v>-1.77971800635607</v>
      </c>
      <c r="AC550" s="172">
        <v>-2.56895115229015</v>
      </c>
      <c r="AD550" s="172">
        <v>-0.69542150270263203</v>
      </c>
      <c r="AE550" s="172">
        <v>0.43537410862040299</v>
      </c>
      <c r="AF550" s="172">
        <v>2.36701268984539</v>
      </c>
      <c r="AG550" s="150"/>
      <c r="AI550" s="137">
        <v>7</v>
      </c>
      <c r="AJ550" s="136" t="s">
        <v>239</v>
      </c>
      <c r="AK550" s="142" t="s">
        <v>240</v>
      </c>
      <c r="AL550" s="136" t="s">
        <v>548</v>
      </c>
      <c r="AM550" s="136" t="s">
        <v>557</v>
      </c>
      <c r="AN550" s="1">
        <v>3.1045600000000002</v>
      </c>
      <c r="AO550" s="166">
        <v>0.76736000000000004</v>
      </c>
      <c r="AQ550">
        <f>_xlfn.XLOOKUP(tblGWP21[[#This Row],[Material Subcategory]],ls_Mat,Factors!$K$952:$K$1023)</f>
        <v>0</v>
      </c>
      <c r="AR550" s="173"/>
      <c r="BA550" cm="1">
        <f t="array" ref="BA550:BM550">tblGWP21[#This Row]</f>
        <v>7</v>
      </c>
      <c r="BB550" t="str">
        <v>Paper</v>
      </c>
      <c r="BC550" t="str">
        <v>Paper – Non-Recyclable</v>
      </c>
      <c r="BD550" t="str">
        <v>Europe</v>
      </c>
      <c r="BE550" t="str">
        <v>Ireland</v>
      </c>
      <c r="BF550">
        <v>-3.1045600000000002</v>
      </c>
      <c r="BG550" t="str">
        <v>DELETE</v>
      </c>
      <c r="BH550" t="str">
        <v>DELETE</v>
      </c>
      <c r="BI550">
        <v>-1.77971800635607</v>
      </c>
      <c r="BJ550">
        <v>-2.56895115229015</v>
      </c>
      <c r="BK550">
        <v>-0.69542150270263203</v>
      </c>
      <c r="BL550">
        <v>0.43537410862040299</v>
      </c>
      <c r="BM550">
        <v>2.36701268984539</v>
      </c>
    </row>
    <row r="551" spans="3:65" ht="28.8">
      <c r="C551" s="375">
        <v>7</v>
      </c>
      <c r="D551" s="374" t="s">
        <v>239</v>
      </c>
      <c r="E551" s="375" t="s">
        <v>239</v>
      </c>
      <c r="F551" s="362" t="s">
        <v>548</v>
      </c>
      <c r="G551" s="362" t="s">
        <v>557</v>
      </c>
      <c r="H551" s="368">
        <v>-2.6644477777777777</v>
      </c>
      <c r="I551" s="368">
        <v>-1.7194614644444446</v>
      </c>
      <c r="J551" s="368">
        <v>-0.84997287375215214</v>
      </c>
      <c r="K551" s="368">
        <v>-1.6414908500332299</v>
      </c>
      <c r="L551" s="368">
        <v>-2.3915506341225301</v>
      </c>
      <c r="M551" s="368">
        <v>-0.65531464971066899</v>
      </c>
      <c r="N551" s="368">
        <v>-0.86844475997422799</v>
      </c>
      <c r="O551" s="368">
        <v>2.7471991029133901E-2</v>
      </c>
      <c r="T551" s="49">
        <v>7</v>
      </c>
      <c r="U551" s="143" t="s">
        <v>239</v>
      </c>
      <c r="V551" s="33" t="s">
        <v>325</v>
      </c>
      <c r="W551" s="53" t="s">
        <v>548</v>
      </c>
      <c r="X551" s="53" t="s">
        <v>557</v>
      </c>
      <c r="Y551" s="172">
        <f>IFERROR(-tblZwaste1422[[#This Row],[Weight (kgCO2e/kg)]],0)</f>
        <v>-1.66</v>
      </c>
      <c r="Z551" s="172" t="str">
        <f>IF(AQ551="x",(AR551*-tblZwaste1422[[#This Row],[Weight (kgCO2e/kg)]])+AS551+($AR$10*Lookups!$J$38/1000),"DELETE")</f>
        <v>DELETE</v>
      </c>
      <c r="AA551" s="176" t="s">
        <v>567</v>
      </c>
      <c r="AB551" s="172">
        <v>-1.6414908500332299</v>
      </c>
      <c r="AC551" s="172">
        <v>-2.3915506341225301</v>
      </c>
      <c r="AD551" s="172">
        <v>-0.65531464971066899</v>
      </c>
      <c r="AE551" s="172">
        <v>-0.86844475997422799</v>
      </c>
      <c r="AF551" s="172">
        <v>2.7471991029133901E-2</v>
      </c>
      <c r="AG551" s="150"/>
      <c r="AI551" s="137">
        <v>7</v>
      </c>
      <c r="AJ551" s="136" t="s">
        <v>239</v>
      </c>
      <c r="AK551" s="142" t="s">
        <v>325</v>
      </c>
      <c r="AL551" s="136" t="s">
        <v>548</v>
      </c>
      <c r="AM551" s="136" t="s">
        <v>557</v>
      </c>
      <c r="AN551" s="1">
        <v>1.66</v>
      </c>
      <c r="AO551" s="166">
        <v>0.79600000000000004</v>
      </c>
      <c r="AQ551">
        <f>_xlfn.XLOOKUP(tblGWP21[[#This Row],[Material Subcategory]],ls_Mat,Factors!$K$952:$K$1023)</f>
        <v>0</v>
      </c>
      <c r="AU551" t="s">
        <v>526</v>
      </c>
      <c r="AV551" s="347">
        <v>0.8</v>
      </c>
      <c r="BA551" cm="1">
        <f t="array" ref="BA551:BM551">tblGWP21[#This Row]</f>
        <v>7</v>
      </c>
      <c r="BB551" t="str">
        <v>Paper</v>
      </c>
      <c r="BC551" t="str">
        <v>Compostable Food Service Ware</v>
      </c>
      <c r="BD551" t="str">
        <v>Europe</v>
      </c>
      <c r="BE551" t="str">
        <v>Ireland</v>
      </c>
      <c r="BF551">
        <v>-1.66</v>
      </c>
      <c r="BG551" t="str">
        <v>DELETE</v>
      </c>
      <c r="BH551" t="str">
        <v>DELETE</v>
      </c>
      <c r="BI551">
        <v>-1.6414908500332299</v>
      </c>
      <c r="BJ551">
        <v>-2.3915506341225301</v>
      </c>
      <c r="BK551">
        <v>-0.65531464971066899</v>
      </c>
      <c r="BL551">
        <v>-0.86844475997422799</v>
      </c>
      <c r="BM551">
        <v>2.7471991029133901E-2</v>
      </c>
    </row>
    <row r="552" spans="3:65">
      <c r="C552" s="6">
        <v>7</v>
      </c>
      <c r="D552" s="373" t="s">
        <v>239</v>
      </c>
      <c r="E552" s="6" t="s">
        <v>324</v>
      </c>
      <c r="F552" s="136" t="s">
        <v>548</v>
      </c>
      <c r="G552" s="136" t="s">
        <v>557</v>
      </c>
      <c r="H552" s="191">
        <v>-1.66</v>
      </c>
      <c r="I552" s="191">
        <v>0</v>
      </c>
      <c r="J552" s="191">
        <v>0.1989268771169205</v>
      </c>
      <c r="K552" s="191">
        <v>-1.6520461883473201</v>
      </c>
      <c r="L552" s="191">
        <v>-2.2431267137541102</v>
      </c>
      <c r="M552" s="191">
        <v>-1.13368055076702</v>
      </c>
      <c r="N552" s="191">
        <v>-0.94419919037831701</v>
      </c>
      <c r="O552" s="191">
        <v>2.66826542410066E-2</v>
      </c>
      <c r="T552" s="49">
        <v>7</v>
      </c>
      <c r="U552" s="143" t="s">
        <v>256</v>
      </c>
      <c r="V552" s="33" t="s">
        <v>256</v>
      </c>
      <c r="W552" s="53" t="s">
        <v>548</v>
      </c>
      <c r="X552" s="53" t="s">
        <v>557</v>
      </c>
      <c r="Y552" s="172">
        <f>IFERROR(-tblZwaste1422[[#This Row],[Weight (kgCO2e/kg)]],0)</f>
        <v>-3.3097799999999999</v>
      </c>
      <c r="Z552" s="172" t="e">
        <f>IF(AQ552="x",(AR552*-tblZwaste1422[[#This Row],[Weight (kgCO2e/kg)]])+AS552+($AR$10*Lookups!$J$38/1000),"DELETE")</f>
        <v>#N/A</v>
      </c>
      <c r="AA552" s="176">
        <v>-12.647824892110014</v>
      </c>
      <c r="AB552" s="172" t="s">
        <v>567</v>
      </c>
      <c r="AC552" s="172" t="s">
        <v>567</v>
      </c>
      <c r="AD552" s="172">
        <v>2.5943839721256901E-2</v>
      </c>
      <c r="AE552" s="172">
        <v>-0.11026302368887969</v>
      </c>
      <c r="AF552" s="172">
        <v>-9.3125125670060094E-2</v>
      </c>
      <c r="AG552" s="150"/>
      <c r="AI552" s="137">
        <v>7</v>
      </c>
      <c r="AJ552" s="136" t="s">
        <v>256</v>
      </c>
      <c r="AK552" s="142" t="s">
        <v>256</v>
      </c>
      <c r="AL552" s="136" t="s">
        <v>548</v>
      </c>
      <c r="AM552" s="136" t="s">
        <v>557</v>
      </c>
      <c r="AN552" s="1">
        <v>3.3097799999999999</v>
      </c>
      <c r="AO552" s="166">
        <v>1.0068550000000001</v>
      </c>
      <c r="AQ552" t="e">
        <f>_xlfn.XLOOKUP(tblGWP21[[#This Row],[Material Subcategory]],ls_Mat,Factors!$K$952:$K$1023)</f>
        <v>#N/A</v>
      </c>
      <c r="AR552" s="173">
        <v>1</v>
      </c>
      <c r="AS552">
        <v>8.1306407300000008E-2</v>
      </c>
      <c r="AT552" t="s">
        <v>531</v>
      </c>
      <c r="AU552" t="s">
        <v>526</v>
      </c>
      <c r="AV552" s="347">
        <v>0.88</v>
      </c>
      <c r="BA552" cm="1">
        <f t="array" ref="BA552:BM552">tblGWP21[#This Row]</f>
        <v>7</v>
      </c>
      <c r="BB552" t="str">
        <v>Metals</v>
      </c>
      <c r="BC552" t="str">
        <v>Metals</v>
      </c>
      <c r="BD552" t="str">
        <v>Europe</v>
      </c>
      <c r="BE552" t="str">
        <v>Ireland</v>
      </c>
      <c r="BF552">
        <v>-3.3097799999999999</v>
      </c>
      <c r="BG552" t="e">
        <v>#N/A</v>
      </c>
      <c r="BH552">
        <v>-12.647824892110014</v>
      </c>
      <c r="BI552" t="str">
        <v>DELETE</v>
      </c>
      <c r="BJ552" t="str">
        <v>DELETE</v>
      </c>
      <c r="BK552">
        <v>2.5943839721256901E-2</v>
      </c>
      <c r="BL552">
        <v>-0.11026302368887969</v>
      </c>
      <c r="BM552">
        <v>-9.3125125670060094E-2</v>
      </c>
    </row>
    <row r="553" spans="3:65">
      <c r="C553" s="375">
        <v>7</v>
      </c>
      <c r="D553" s="374" t="s">
        <v>239</v>
      </c>
      <c r="E553" s="375" t="s">
        <v>272</v>
      </c>
      <c r="F553" s="362" t="s">
        <v>548</v>
      </c>
      <c r="G553" s="362" t="s">
        <v>557</v>
      </c>
      <c r="H553" s="368">
        <v>-2.1278299999999999</v>
      </c>
      <c r="I553" s="368">
        <v>-1.3728063799999999</v>
      </c>
      <c r="J553" s="368">
        <v>-2.0529447357788794E-3</v>
      </c>
      <c r="K553" s="368">
        <v>-1.47889429147148</v>
      </c>
      <c r="L553" s="368">
        <v>-2.2533295364473198</v>
      </c>
      <c r="M553" s="368">
        <v>2.8719999999999999E-2</v>
      </c>
      <c r="N553" s="368">
        <v>-0.74239454684422701</v>
      </c>
      <c r="O553" s="368">
        <v>3.4585558241073698E-2</v>
      </c>
      <c r="T553" s="49">
        <v>7</v>
      </c>
      <c r="U553" s="143" t="s">
        <v>256</v>
      </c>
      <c r="V553" s="33" t="s">
        <v>536</v>
      </c>
      <c r="W553" s="53" t="s">
        <v>548</v>
      </c>
      <c r="X553" s="53" t="s">
        <v>557</v>
      </c>
      <c r="Y553" s="172">
        <f>IFERROR(-tblZwaste1422[[#This Row],[Weight (kgCO2e/kg)]],0)</f>
        <v>-1.9798800000000001</v>
      </c>
      <c r="Z553" s="172">
        <f>IF(AQ553="x",(AR553*-tblZwaste1422[[#This Row],[Weight (kgCO2e/kg)]])+AS553+($AR$10*Lookups!$J$38/1000),"DELETE")</f>
        <v>-1.8968017927</v>
      </c>
      <c r="AA553" s="176">
        <v>-2.2872683374196705</v>
      </c>
      <c r="AB553" s="172" t="s">
        <v>567</v>
      </c>
      <c r="AC553" s="172" t="s">
        <v>567</v>
      </c>
      <c r="AD553" s="172">
        <v>2.6027679442513801E-2</v>
      </c>
      <c r="AE553" s="172">
        <v>-0.16202295761388</v>
      </c>
      <c r="AF553" s="172">
        <v>-0.135354427115291</v>
      </c>
      <c r="AG553" s="150"/>
      <c r="AI553" s="137">
        <v>7</v>
      </c>
      <c r="AJ553" s="136" t="s">
        <v>256</v>
      </c>
      <c r="AK553" s="142" t="s">
        <v>536</v>
      </c>
      <c r="AL553" s="136" t="s">
        <v>548</v>
      </c>
      <c r="AM553" s="136" t="s">
        <v>557</v>
      </c>
      <c r="AN553" s="1">
        <v>1.9798800000000001</v>
      </c>
      <c r="AO553" s="166">
        <v>0.72957000000000005</v>
      </c>
      <c r="AQ553" t="str">
        <f>_xlfn.XLOOKUP(tblGWP21[[#This Row],[Material Subcategory]],ls_Mat,Factors!$K$952:$K$1023)</f>
        <v>x</v>
      </c>
      <c r="AR553" s="173">
        <v>1</v>
      </c>
      <c r="AS553">
        <v>8.1306407300000008E-2</v>
      </c>
      <c r="AT553" t="s">
        <v>531</v>
      </c>
      <c r="AU553" t="s">
        <v>526</v>
      </c>
      <c r="AV553" s="347">
        <v>0.8</v>
      </c>
      <c r="BA553" cm="1">
        <f t="array" ref="BA553:BM553">tblGWP21[#This Row]</f>
        <v>7</v>
      </c>
      <c r="BB553" t="str">
        <v>Metals</v>
      </c>
      <c r="BC553" t="str">
        <v>Ferrous Cans</v>
      </c>
      <c r="BD553" t="str">
        <v>Europe</v>
      </c>
      <c r="BE553" t="str">
        <v>Ireland</v>
      </c>
      <c r="BF553">
        <v>-1.9798800000000001</v>
      </c>
      <c r="BG553">
        <v>-1.8968017927</v>
      </c>
      <c r="BH553">
        <v>-2.2872683374196705</v>
      </c>
      <c r="BI553" t="str">
        <v>DELETE</v>
      </c>
      <c r="BJ553" t="str">
        <v>DELETE</v>
      </c>
      <c r="BK553">
        <v>2.6027679442513801E-2</v>
      </c>
      <c r="BL553">
        <v>-0.16202295761388</v>
      </c>
      <c r="BM553">
        <v>-0.135354427115291</v>
      </c>
    </row>
    <row r="554" spans="3:65">
      <c r="C554" s="6">
        <v>7</v>
      </c>
      <c r="D554" s="373" t="s">
        <v>239</v>
      </c>
      <c r="E554" s="6" t="s">
        <v>329</v>
      </c>
      <c r="F554" s="136" t="s">
        <v>548</v>
      </c>
      <c r="G554" s="136" t="s">
        <v>557</v>
      </c>
      <c r="H554" s="191">
        <v>-3.4792200000000002</v>
      </c>
      <c r="I554" s="191">
        <v>0</v>
      </c>
      <c r="J554" s="191">
        <v>-3.0336967119265266</v>
      </c>
      <c r="K554" s="191">
        <v>-1.6015162329171799</v>
      </c>
      <c r="L554" s="191">
        <v>-2.5029077972305598</v>
      </c>
      <c r="M554" s="191">
        <v>0.44057827514235898</v>
      </c>
      <c r="N554" s="191">
        <v>-0.74513222266385803</v>
      </c>
      <c r="O554" s="191">
        <v>3.7248740093878997E-2</v>
      </c>
      <c r="T554" s="49">
        <v>7</v>
      </c>
      <c r="U554" s="143" t="s">
        <v>256</v>
      </c>
      <c r="V554" s="33" t="s">
        <v>257</v>
      </c>
      <c r="W554" s="53" t="s">
        <v>548</v>
      </c>
      <c r="X554" s="53" t="s">
        <v>557</v>
      </c>
      <c r="Y554" s="172">
        <f>IFERROR(-tblZwaste1422[[#This Row],[Weight (kgCO2e/kg)]],0)</f>
        <v>-1.9798800000000001</v>
      </c>
      <c r="Z554" s="172">
        <f>IF(AQ554="x",(AR554*-tblZwaste1422[[#This Row],[Weight (kgCO2e/kg)]])+AS554+($AR$10*Lookups!$J$38/1000),"DELETE")</f>
        <v>-1.8968017927</v>
      </c>
      <c r="AA554" s="176">
        <v>-2.2872683374196705</v>
      </c>
      <c r="AB554" s="172" t="s">
        <v>567</v>
      </c>
      <c r="AC554" s="172" t="s">
        <v>567</v>
      </c>
      <c r="AD554" s="172">
        <v>2.6027679442513298E-2</v>
      </c>
      <c r="AE554" s="172">
        <v>-0.162022957613879</v>
      </c>
      <c r="AF554" s="172">
        <v>-0.13535442711529</v>
      </c>
      <c r="AG554" s="150"/>
      <c r="AI554" s="137">
        <v>7</v>
      </c>
      <c r="AJ554" s="136" t="s">
        <v>256</v>
      </c>
      <c r="AK554" s="142" t="s">
        <v>257</v>
      </c>
      <c r="AL554" s="136" t="s">
        <v>548</v>
      </c>
      <c r="AM554" s="136" t="s">
        <v>557</v>
      </c>
      <c r="AN554" s="1">
        <v>1.9798800000000001</v>
      </c>
      <c r="AO554" s="166">
        <v>0.46493000000000001</v>
      </c>
      <c r="AQ554" t="str">
        <f>_xlfn.XLOOKUP(tblGWP21[[#This Row],[Material Subcategory]],ls_Mat,Factors!$K$952:$K$1023)</f>
        <v>x</v>
      </c>
      <c r="AR554" s="173">
        <v>1</v>
      </c>
      <c r="AS554">
        <v>8.1306407300000008E-2</v>
      </c>
      <c r="AT554" t="s">
        <v>531</v>
      </c>
      <c r="AU554" t="s">
        <v>526</v>
      </c>
      <c r="AV554" s="347">
        <v>0.65</v>
      </c>
      <c r="BA554" cm="1">
        <f t="array" ref="BA554:BM554">tblGWP21[#This Row]</f>
        <v>7</v>
      </c>
      <c r="BB554" t="str">
        <v>Metals</v>
      </c>
      <c r="BC554" t="str">
        <v>Ferrous Metal</v>
      </c>
      <c r="BD554" t="str">
        <v>Europe</v>
      </c>
      <c r="BE554" t="str">
        <v>Ireland</v>
      </c>
      <c r="BF554">
        <v>-1.9798800000000001</v>
      </c>
      <c r="BG554">
        <v>-1.8968017927</v>
      </c>
      <c r="BH554">
        <v>-2.2872683374196705</v>
      </c>
      <c r="BI554" t="str">
        <v>DELETE</v>
      </c>
      <c r="BJ554" t="str">
        <v>DELETE</v>
      </c>
      <c r="BK554">
        <v>2.6027679442513298E-2</v>
      </c>
      <c r="BL554">
        <v>-0.162022957613879</v>
      </c>
      <c r="BM554">
        <v>-0.13535442711529</v>
      </c>
    </row>
    <row r="555" spans="3:65">
      <c r="C555" s="375">
        <v>7</v>
      </c>
      <c r="D555" s="374" t="s">
        <v>239</v>
      </c>
      <c r="E555" s="375" t="s">
        <v>271</v>
      </c>
      <c r="F555" s="362" t="s">
        <v>548</v>
      </c>
      <c r="G555" s="362" t="s">
        <v>557</v>
      </c>
      <c r="H555" s="368">
        <v>-3.1045600000000002</v>
      </c>
      <c r="I555" s="368">
        <v>0</v>
      </c>
      <c r="J555" s="368">
        <v>-0.9562194829711711</v>
      </c>
      <c r="K555" s="368">
        <v>-1.5168271075440001</v>
      </c>
      <c r="L555" s="368">
        <v>-2.6006300552409898</v>
      </c>
      <c r="M555" s="368">
        <v>-0.66607924436191601</v>
      </c>
      <c r="N555" s="368">
        <v>-0.709859137411887</v>
      </c>
      <c r="O555" s="368">
        <v>4.0394140526455E-2</v>
      </c>
      <c r="T555" s="49">
        <v>7</v>
      </c>
      <c r="U555" s="143" t="s">
        <v>256</v>
      </c>
      <c r="V555" s="33" t="s">
        <v>537</v>
      </c>
      <c r="W555" s="53" t="s">
        <v>548</v>
      </c>
      <c r="X555" s="53" t="s">
        <v>557</v>
      </c>
      <c r="Y555" s="172">
        <f>IFERROR(-tblZwaste1422[[#This Row],[Weight (kgCO2e/kg)]],0)</f>
        <v>-5.0082800000000001</v>
      </c>
      <c r="Z555" s="172">
        <f>IF(AQ555="x",(AR555*-tblZwaste1422[[#This Row],[Weight (kgCO2e/kg)]])+AS555+($AR$10*Lookups!$J$38/1000),"DELETE")</f>
        <v>-4.9252017927000002</v>
      </c>
      <c r="AA555" s="176">
        <f>-23.0083814468004*0.21739130434</f>
        <v>-5.0018220534721953</v>
      </c>
      <c r="AB555" s="172" t="s">
        <v>567</v>
      </c>
      <c r="AC555" s="172" t="s">
        <v>567</v>
      </c>
      <c r="AD555" s="172">
        <v>2.5860000000000001E-2</v>
      </c>
      <c r="AE555" s="172">
        <v>-5.8503089763879398E-2</v>
      </c>
      <c r="AF555" s="172">
        <v>-5.0895824224829203E-2</v>
      </c>
      <c r="AG555" s="150"/>
      <c r="AI555" s="137">
        <v>7</v>
      </c>
      <c r="AJ555" s="136" t="s">
        <v>256</v>
      </c>
      <c r="AK555" s="142" t="s">
        <v>537</v>
      </c>
      <c r="AL555" s="136" t="s">
        <v>548</v>
      </c>
      <c r="AM555" s="136" t="s">
        <v>557</v>
      </c>
      <c r="AN555" s="1">
        <v>5.0082800000000001</v>
      </c>
      <c r="AO555" s="166">
        <v>1.54878</v>
      </c>
      <c r="AQ555" t="str">
        <f>_xlfn.XLOOKUP(tblGWP21[[#This Row],[Material Subcategory]],ls_Mat,Factors!$K$952:$K$1023)</f>
        <v>x</v>
      </c>
      <c r="AR555" s="173">
        <v>1</v>
      </c>
      <c r="AS555">
        <v>8.1306407300000008E-2</v>
      </c>
      <c r="AT555" t="s">
        <v>531</v>
      </c>
      <c r="AU555" t="s">
        <v>526</v>
      </c>
      <c r="AV555" s="347">
        <v>0.65</v>
      </c>
      <c r="BA555" cm="1">
        <f t="array" ref="BA555:BM555">tblGWP21[#This Row]</f>
        <v>7</v>
      </c>
      <c r="BB555" t="str">
        <v>Metals</v>
      </c>
      <c r="BC555" t="str">
        <v>Aluminum Cans</v>
      </c>
      <c r="BD555" t="str">
        <v>Europe</v>
      </c>
      <c r="BE555" t="str">
        <v>Ireland</v>
      </c>
      <c r="BF555">
        <v>-5.0082800000000001</v>
      </c>
      <c r="BG555">
        <v>-4.9252017927000002</v>
      </c>
      <c r="BH555">
        <v>-5.0018220534721953</v>
      </c>
      <c r="BI555" t="str">
        <v>DELETE</v>
      </c>
      <c r="BJ555" t="str">
        <v>DELETE</v>
      </c>
      <c r="BK555">
        <v>2.5860000000000001E-2</v>
      </c>
      <c r="BL555">
        <v>-5.8503089763879398E-2</v>
      </c>
      <c r="BM555">
        <v>-5.0895824224829203E-2</v>
      </c>
    </row>
    <row r="556" spans="3:65">
      <c r="C556" s="6">
        <v>7</v>
      </c>
      <c r="D556" s="373" t="s">
        <v>239</v>
      </c>
      <c r="E556" s="6" t="s">
        <v>535</v>
      </c>
      <c r="F556" s="136" t="s">
        <v>548</v>
      </c>
      <c r="G556" s="136" t="s">
        <v>557</v>
      </c>
      <c r="H556" s="191">
        <v>-3.1045600000000002</v>
      </c>
      <c r="I556" s="191">
        <v>0</v>
      </c>
      <c r="J556" s="191">
        <v>-0.9562194829711711</v>
      </c>
      <c r="K556" s="191">
        <v>-1.62546929730024</v>
      </c>
      <c r="L556" s="191">
        <v>-2.60790847761321</v>
      </c>
      <c r="M556" s="191">
        <v>-0.86352871394485398</v>
      </c>
      <c r="N556" s="191">
        <v>-0.79043360737650703</v>
      </c>
      <c r="O556" s="191">
        <v>2.92135960679216E-2</v>
      </c>
      <c r="T556" s="49">
        <v>7</v>
      </c>
      <c r="U556" s="143" t="s">
        <v>256</v>
      </c>
      <c r="V556" s="33" t="s">
        <v>538</v>
      </c>
      <c r="W556" s="53" t="s">
        <v>548</v>
      </c>
      <c r="X556" s="53" t="s">
        <v>557</v>
      </c>
      <c r="Y556" s="172">
        <f>IFERROR(-tblZwaste1422[[#This Row],[Weight (kgCO2e/kg)]],0)</f>
        <v>-4.6396800000000002</v>
      </c>
      <c r="Z556" s="172" t="str">
        <f>IF(AQ556="x",(AR556*-tblZwaste1422[[#This Row],[Weight (kgCO2e/kg)]])+AS556+($AR$10*Lookups!$J$38/1000),"DELETE")</f>
        <v>DELETE</v>
      </c>
      <c r="AA556" s="176" t="s">
        <v>567</v>
      </c>
      <c r="AB556" s="172" t="s">
        <v>567</v>
      </c>
      <c r="AC556" s="172" t="s">
        <v>567</v>
      </c>
      <c r="AD556" s="172">
        <v>2.5860000000000001E-2</v>
      </c>
      <c r="AE556" s="172">
        <v>-5.4918056578809701E-2</v>
      </c>
      <c r="AF556" s="172">
        <v>-5.0895824224829203E-2</v>
      </c>
      <c r="AG556" s="150"/>
      <c r="AI556" s="137">
        <v>7</v>
      </c>
      <c r="AJ556" s="136" t="s">
        <v>256</v>
      </c>
      <c r="AK556" s="142" t="s">
        <v>538</v>
      </c>
      <c r="AL556" s="136" t="s">
        <v>548</v>
      </c>
      <c r="AM556" s="136" t="s">
        <v>557</v>
      </c>
      <c r="AN556" s="1">
        <v>4.6396800000000002</v>
      </c>
      <c r="AO556" s="166">
        <v>1.54878</v>
      </c>
      <c r="AQ556">
        <f>_xlfn.XLOOKUP(tblGWP21[[#This Row],[Material Subcategory]],ls_Mat,Factors!$K$952:$K$1023)</f>
        <v>0</v>
      </c>
      <c r="AR556" s="173"/>
      <c r="AU556" t="s">
        <v>526</v>
      </c>
      <c r="AV556" s="347">
        <v>0.65</v>
      </c>
      <c r="BA556" cm="1">
        <f t="array" ref="BA556:BM556">tblGWP21[#This Row]</f>
        <v>7</v>
      </c>
      <c r="BB556" t="str">
        <v>Metals</v>
      </c>
      <c r="BC556" t="str">
        <v>Aluminum Foil</v>
      </c>
      <c r="BD556" t="str">
        <v>Europe</v>
      </c>
      <c r="BE556" t="str">
        <v>Ireland</v>
      </c>
      <c r="BF556">
        <v>-4.6396800000000002</v>
      </c>
      <c r="BG556" t="str">
        <v>DELETE</v>
      </c>
      <c r="BH556" t="str">
        <v>DELETE</v>
      </c>
      <c r="BI556" t="str">
        <v>DELETE</v>
      </c>
      <c r="BJ556" t="str">
        <v>DELETE</v>
      </c>
      <c r="BK556">
        <v>2.5860000000000001E-2</v>
      </c>
      <c r="BL556">
        <v>-5.4918056578809701E-2</v>
      </c>
      <c r="BM556">
        <v>-5.0895824224829203E-2</v>
      </c>
    </row>
    <row r="557" spans="3:65">
      <c r="C557" s="375">
        <v>7</v>
      </c>
      <c r="D557" s="374" t="s">
        <v>239</v>
      </c>
      <c r="E557" s="375" t="s">
        <v>259</v>
      </c>
      <c r="F557" s="362" t="s">
        <v>548</v>
      </c>
      <c r="G557" s="362" t="s">
        <v>557</v>
      </c>
      <c r="H557" s="368">
        <v>-2.86965</v>
      </c>
      <c r="I557" s="368">
        <v>0</v>
      </c>
      <c r="J557" s="368">
        <v>-0.9562194829711711</v>
      </c>
      <c r="K557" s="368">
        <v>-1.34045167478387</v>
      </c>
      <c r="L557" s="368">
        <v>-2.0253246916117602</v>
      </c>
      <c r="M557" s="368">
        <v>-0.37415573981227901</v>
      </c>
      <c r="N557" s="368">
        <v>-0.64379658431098397</v>
      </c>
      <c r="O557" s="368">
        <v>2.84212363077633E-2</v>
      </c>
      <c r="T557" s="49">
        <v>7</v>
      </c>
      <c r="U557" s="143" t="s">
        <v>256</v>
      </c>
      <c r="V557" s="33" t="s">
        <v>258</v>
      </c>
      <c r="W557" s="53" t="s">
        <v>548</v>
      </c>
      <c r="X557" s="53" t="s">
        <v>557</v>
      </c>
      <c r="Y557" s="172">
        <f>IFERROR(-tblZwaste1422[[#This Row],[Weight (kgCO2e/kg)]],0)</f>
        <v>-4.6396800000000002</v>
      </c>
      <c r="Z557" s="172">
        <f>IF(AQ557="x",(AR557*-tblZwaste1422[[#This Row],[Weight (kgCO2e/kg)]])+AS557+($AR$10*Lookups!$J$38/1000),"DELETE")</f>
        <v>-4.5566017927000004</v>
      </c>
      <c r="AA557" s="176">
        <f>-22.3040432392452*0.21739130434</f>
        <v>-4.8487050518352728</v>
      </c>
      <c r="AB557" s="172" t="s">
        <v>567</v>
      </c>
      <c r="AC557" s="172" t="s">
        <v>567</v>
      </c>
      <c r="AD557" s="172">
        <v>2.5860000000000001E-2</v>
      </c>
      <c r="AE557" s="172">
        <v>-5.8503089763879398E-2</v>
      </c>
      <c r="AF557" s="172">
        <v>-5.08958242248293E-2</v>
      </c>
      <c r="AG557" s="150"/>
      <c r="AI557" s="137">
        <v>7</v>
      </c>
      <c r="AJ557" s="136" t="s">
        <v>256</v>
      </c>
      <c r="AK557" s="142" t="s">
        <v>258</v>
      </c>
      <c r="AL557" s="136" t="s">
        <v>548</v>
      </c>
      <c r="AM557" s="136" t="s">
        <v>557</v>
      </c>
      <c r="AN557" s="1">
        <v>4.6396800000000002</v>
      </c>
      <c r="AO557" s="166">
        <v>1.54878</v>
      </c>
      <c r="AQ557" t="str">
        <f>_xlfn.XLOOKUP(tblGWP21[[#This Row],[Material Subcategory]],ls_Mat,Factors!$K$952:$K$1023)</f>
        <v>x</v>
      </c>
      <c r="AR557" s="173">
        <v>1</v>
      </c>
      <c r="AS557">
        <v>8.1306407300000008E-2</v>
      </c>
      <c r="AT557" t="s">
        <v>531</v>
      </c>
      <c r="AU557" t="s">
        <v>526</v>
      </c>
      <c r="AV557" s="347">
        <v>0.8</v>
      </c>
      <c r="BA557" cm="1">
        <f t="array" ref="BA557:BM557">tblGWP21[#This Row]</f>
        <v>7</v>
      </c>
      <c r="BB557" t="str">
        <v>Metals</v>
      </c>
      <c r="BC557" t="str">
        <v>Other Aluminum</v>
      </c>
      <c r="BD557" t="str">
        <v>Europe</v>
      </c>
      <c r="BE557" t="str">
        <v>Ireland</v>
      </c>
      <c r="BF557">
        <v>-4.6396800000000002</v>
      </c>
      <c r="BG557">
        <v>-4.5566017927000004</v>
      </c>
      <c r="BH557">
        <v>-4.8487050518352728</v>
      </c>
      <c r="BI557" t="str">
        <v>DELETE</v>
      </c>
      <c r="BJ557" t="str">
        <v>DELETE</v>
      </c>
      <c r="BK557">
        <v>2.5860000000000001E-2</v>
      </c>
      <c r="BL557">
        <v>-5.8503089763879398E-2</v>
      </c>
      <c r="BM557">
        <v>-5.08958242248293E-2</v>
      </c>
    </row>
    <row r="558" spans="3:65">
      <c r="C558" s="6">
        <v>7</v>
      </c>
      <c r="D558" s="373" t="s">
        <v>239</v>
      </c>
      <c r="E558" s="6" t="s">
        <v>334</v>
      </c>
      <c r="F558" s="136" t="s">
        <v>548</v>
      </c>
      <c r="G558" s="136" t="s">
        <v>557</v>
      </c>
      <c r="H558" s="191">
        <v>-2.86965</v>
      </c>
      <c r="I558" s="191">
        <v>0</v>
      </c>
      <c r="J558" s="191">
        <v>-0.9562194829711711</v>
      </c>
      <c r="K558" s="191">
        <v>-1.75096163911925</v>
      </c>
      <c r="L558" s="191">
        <v>-2.4914526293508499</v>
      </c>
      <c r="M558" s="191">
        <v>-0.31495530677184003</v>
      </c>
      <c r="N558" s="191">
        <v>-0.94006728037030396</v>
      </c>
      <c r="O558" s="191">
        <v>2.63898646245362E-2</v>
      </c>
      <c r="T558" s="49">
        <v>7</v>
      </c>
      <c r="U558" s="143" t="s">
        <v>247</v>
      </c>
      <c r="V558" s="33" t="s">
        <v>247</v>
      </c>
      <c r="W558" s="53" t="s">
        <v>548</v>
      </c>
      <c r="X558" s="53" t="s">
        <v>557</v>
      </c>
      <c r="Y558" s="172">
        <f>IFERROR(-tblZwaste1422[[#This Row],[Weight (kgCO2e/kg)]],0)</f>
        <v>-1.0505633333333335</v>
      </c>
      <c r="Z558" s="172">
        <f>IF(AQ558="x",(AR558*-tblZwaste1422[[#This Row],[Weight (kgCO2e/kg)]])+AS558+($AR$10*Lookups!$J$38/1000),"DELETE")</f>
        <v>-0.96748512603333348</v>
      </c>
      <c r="AA558" s="176">
        <v>-0.31685547479910803</v>
      </c>
      <c r="AB558" s="172" t="s">
        <v>567</v>
      </c>
      <c r="AC558" s="172" t="s">
        <v>567</v>
      </c>
      <c r="AD558" s="172">
        <v>2.60276937802707E-2</v>
      </c>
      <c r="AE558" s="172">
        <v>3.0436576342434098E-2</v>
      </c>
      <c r="AF558" s="172">
        <v>4.8920792208139198E-2</v>
      </c>
      <c r="AG558" s="150"/>
      <c r="AI558" s="137">
        <v>7</v>
      </c>
      <c r="AJ558" s="136" t="s">
        <v>247</v>
      </c>
      <c r="AK558" s="142" t="s">
        <v>247</v>
      </c>
      <c r="AL558" s="136" t="s">
        <v>548</v>
      </c>
      <c r="AM558" s="136" t="s">
        <v>557</v>
      </c>
      <c r="AN558" s="1">
        <v>1.0505633333333335</v>
      </c>
      <c r="AO558" s="166">
        <v>0.89563000000000004</v>
      </c>
      <c r="AQ558" t="str">
        <f>_xlfn.XLOOKUP(tblGWP21[[#This Row],[Material Subcategory]],ls_Mat,Factors!$K$952:$K$1023)</f>
        <v>x</v>
      </c>
      <c r="AR558" s="173">
        <v>1</v>
      </c>
      <c r="AS558">
        <v>8.1306407300000008E-2</v>
      </c>
      <c r="AT558" t="s">
        <v>531</v>
      </c>
      <c r="BA558" cm="1">
        <f t="array" ref="BA558:BM558">tblGWP21[#This Row]</f>
        <v>7</v>
      </c>
      <c r="BB558" t="str">
        <v>Glass</v>
      </c>
      <c r="BC558" t="str">
        <v>Glass</v>
      </c>
      <c r="BD558" t="str">
        <v>Europe</v>
      </c>
      <c r="BE558" t="str">
        <v>Ireland</v>
      </c>
      <c r="BF558">
        <v>-1.0505633333333335</v>
      </c>
      <c r="BG558">
        <v>-0.96748512603333348</v>
      </c>
      <c r="BH558">
        <v>-0.31685547479910803</v>
      </c>
      <c r="BI558" t="str">
        <v>DELETE</v>
      </c>
      <c r="BJ558" t="str">
        <v>DELETE</v>
      </c>
      <c r="BK558">
        <v>2.60276937802707E-2</v>
      </c>
      <c r="BL558">
        <v>3.0436576342434098E-2</v>
      </c>
      <c r="BM558">
        <v>4.8920792208139198E-2</v>
      </c>
    </row>
    <row r="559" spans="3:65">
      <c r="C559" s="375">
        <v>7</v>
      </c>
      <c r="D559" s="374" t="s">
        <v>239</v>
      </c>
      <c r="E559" s="375" t="s">
        <v>240</v>
      </c>
      <c r="F559" s="362" t="s">
        <v>548</v>
      </c>
      <c r="G559" s="362" t="s">
        <v>557</v>
      </c>
      <c r="H559" s="368">
        <v>-3.1045600000000002</v>
      </c>
      <c r="I559" s="368">
        <v>0</v>
      </c>
      <c r="J559" s="368">
        <v>0</v>
      </c>
      <c r="K559" s="368">
        <v>-1.77971800635607</v>
      </c>
      <c r="L559" s="368">
        <v>-2.56895115229015</v>
      </c>
      <c r="M559" s="368">
        <v>-0.69542150270263203</v>
      </c>
      <c r="N559" s="368">
        <v>0.43537410862040299</v>
      </c>
      <c r="O559" s="368">
        <v>2.36701268984539</v>
      </c>
      <c r="T559" s="49">
        <v>7</v>
      </c>
      <c r="U559" s="143" t="s">
        <v>247</v>
      </c>
      <c r="V559" s="33" t="s">
        <v>248</v>
      </c>
      <c r="W559" s="53" t="s">
        <v>548</v>
      </c>
      <c r="X559" s="53" t="s">
        <v>557</v>
      </c>
      <c r="Y559" s="172">
        <f>IFERROR(-tblZwaste1422[[#This Row],[Weight (kgCO2e/kg)]],0)</f>
        <v>-1.0606100000000001</v>
      </c>
      <c r="Z559" s="172">
        <f>IF(AQ559="x",(AR559*-tblZwaste1422[[#This Row],[Weight (kgCO2e/kg)]])+AS559+($AR$10*Lookups!$J$38/1000),"DELETE")</f>
        <v>-0.97753179270000001</v>
      </c>
      <c r="AA559" s="176">
        <v>-0.16840144974004073</v>
      </c>
      <c r="AB559" s="172" t="s">
        <v>567</v>
      </c>
      <c r="AC559" s="172" t="s">
        <v>567</v>
      </c>
      <c r="AD559" s="172">
        <v>2.60276997598081E-2</v>
      </c>
      <c r="AE559" s="172">
        <v>3.4297970716147402E-2</v>
      </c>
      <c r="AF559" s="172">
        <v>4.8919608602532499E-2</v>
      </c>
      <c r="AG559" s="150"/>
      <c r="AI559" s="137">
        <v>7</v>
      </c>
      <c r="AJ559" s="136" t="s">
        <v>247</v>
      </c>
      <c r="AK559" s="142" t="s">
        <v>248</v>
      </c>
      <c r="AL559" s="136" t="s">
        <v>548</v>
      </c>
      <c r="AM559" s="136" t="s">
        <v>557</v>
      </c>
      <c r="AN559" s="1">
        <v>1.0606100000000001</v>
      </c>
      <c r="AO559" s="166">
        <v>0.89563000000000004</v>
      </c>
      <c r="AQ559" t="str">
        <f>_xlfn.XLOOKUP(tblGWP21[[#This Row],[Material Subcategory]],ls_Mat,Factors!$K$952:$K$1023)</f>
        <v>x</v>
      </c>
      <c r="AR559" s="173">
        <v>1</v>
      </c>
      <c r="AS559">
        <v>8.1306407300000008E-2</v>
      </c>
      <c r="AT559" t="s">
        <v>531</v>
      </c>
      <c r="BA559" cm="1">
        <f t="array" ref="BA559:BM559">tblGWP21[#This Row]</f>
        <v>7</v>
      </c>
      <c r="BB559" t="str">
        <v>Glass</v>
      </c>
      <c r="BC559" t="str">
        <v>Glass – Brown</v>
      </c>
      <c r="BD559" t="str">
        <v>Europe</v>
      </c>
      <c r="BE559" t="str">
        <v>Ireland</v>
      </c>
      <c r="BF559">
        <v>-1.0606100000000001</v>
      </c>
      <c r="BG559">
        <v>-0.97753179270000001</v>
      </c>
      <c r="BH559">
        <v>-0.16840144974004073</v>
      </c>
      <c r="BI559" t="str">
        <v>DELETE</v>
      </c>
      <c r="BJ559" t="str">
        <v>DELETE</v>
      </c>
      <c r="BK559">
        <v>2.60276997598081E-2</v>
      </c>
      <c r="BL559">
        <v>3.4297970716147402E-2</v>
      </c>
      <c r="BM559">
        <v>4.8919608602532499E-2</v>
      </c>
    </row>
    <row r="560" spans="3:65" ht="28.8">
      <c r="C560" s="6">
        <v>7</v>
      </c>
      <c r="D560" s="373" t="s">
        <v>239</v>
      </c>
      <c r="E560" s="6" t="s">
        <v>325</v>
      </c>
      <c r="F560" s="136" t="s">
        <v>548</v>
      </c>
      <c r="G560" s="136" t="s">
        <v>557</v>
      </c>
      <c r="H560" s="191">
        <v>-1.66</v>
      </c>
      <c r="I560" s="191">
        <v>0</v>
      </c>
      <c r="J560" s="191">
        <v>0</v>
      </c>
      <c r="K560" s="191">
        <v>-1.6414908500332299</v>
      </c>
      <c r="L560" s="191">
        <v>-2.3915506341225301</v>
      </c>
      <c r="M560" s="191">
        <v>-0.65531464971066899</v>
      </c>
      <c r="N560" s="191">
        <v>-0.86844475997422799</v>
      </c>
      <c r="O560" s="191">
        <v>2.7471991029133901E-2</v>
      </c>
      <c r="T560" s="49">
        <v>7</v>
      </c>
      <c r="U560" s="143" t="s">
        <v>247</v>
      </c>
      <c r="V560" s="33" t="s">
        <v>263</v>
      </c>
      <c r="W560" s="53" t="s">
        <v>548</v>
      </c>
      <c r="X560" s="53" t="s">
        <v>557</v>
      </c>
      <c r="Y560" s="172">
        <f>IFERROR(-tblZwaste1422[[#This Row],[Weight (kgCO2e/kg)]],0)</f>
        <v>-1.0341199999999999</v>
      </c>
      <c r="Z560" s="172">
        <f>IF(AQ560="x",(AR560*-tblZwaste1422[[#This Row],[Weight (kgCO2e/kg)]])+AS560+($AR$10*Lookups!$J$38/1000),"DELETE")</f>
        <v>-0.95104179269999989</v>
      </c>
      <c r="AA560" s="176">
        <v>-0.16840144974004073</v>
      </c>
      <c r="AB560" s="172" t="s">
        <v>567</v>
      </c>
      <c r="AC560" s="172" t="s">
        <v>567</v>
      </c>
      <c r="AD560" s="172">
        <v>2.60277034653651E-2</v>
      </c>
      <c r="AE560" s="172">
        <v>3.66126997550393E-2</v>
      </c>
      <c r="AF560" s="172">
        <v>4.8919684170670802E-2</v>
      </c>
      <c r="AG560" s="150"/>
      <c r="AI560" s="137">
        <v>7</v>
      </c>
      <c r="AJ560" s="136" t="s">
        <v>247</v>
      </c>
      <c r="AK560" s="142" t="s">
        <v>263</v>
      </c>
      <c r="AL560" s="136" t="s">
        <v>548</v>
      </c>
      <c r="AM560" s="136" t="s">
        <v>557</v>
      </c>
      <c r="AN560" s="1">
        <v>1.0341199999999999</v>
      </c>
      <c r="AO560" s="166">
        <v>0.89563000000000004</v>
      </c>
      <c r="AQ560" t="str">
        <f>_xlfn.XLOOKUP(tblGWP21[[#This Row],[Material Subcategory]],ls_Mat,Factors!$K$952:$K$1023)</f>
        <v>x</v>
      </c>
      <c r="AR560" s="173">
        <v>1</v>
      </c>
      <c r="AS560">
        <v>8.1306407300000008E-2</v>
      </c>
      <c r="AT560" t="s">
        <v>531</v>
      </c>
      <c r="AU560" t="s">
        <v>526</v>
      </c>
      <c r="AV560" s="347">
        <v>0.95</v>
      </c>
      <c r="BA560" cm="1">
        <f t="array" ref="BA560:BM560">tblGWP21[#This Row]</f>
        <v>7</v>
      </c>
      <c r="BB560" t="str">
        <v>Glass</v>
      </c>
      <c r="BC560" t="str">
        <v>Glass – Green</v>
      </c>
      <c r="BD560" t="str">
        <v>Europe</v>
      </c>
      <c r="BE560" t="str">
        <v>Ireland</v>
      </c>
      <c r="BF560">
        <v>-1.0341199999999999</v>
      </c>
      <c r="BG560">
        <v>-0.95104179269999989</v>
      </c>
      <c r="BH560">
        <v>-0.16840144974004073</v>
      </c>
      <c r="BI560" t="str">
        <v>DELETE</v>
      </c>
      <c r="BJ560" t="str">
        <v>DELETE</v>
      </c>
      <c r="BK560">
        <v>2.60277034653651E-2</v>
      </c>
      <c r="BL560">
        <v>3.66126997550393E-2</v>
      </c>
      <c r="BM560">
        <v>4.8919684170670802E-2</v>
      </c>
    </row>
    <row r="561" spans="3:65">
      <c r="C561" s="375">
        <v>7</v>
      </c>
      <c r="D561" s="374" t="s">
        <v>256</v>
      </c>
      <c r="E561" s="375" t="s">
        <v>256</v>
      </c>
      <c r="F561" s="362" t="s">
        <v>548</v>
      </c>
      <c r="G561" s="362" t="s">
        <v>557</v>
      </c>
      <c r="H561" s="368">
        <v>-3.3097799999999999</v>
      </c>
      <c r="I561" s="368">
        <v>-3.2267017926999997</v>
      </c>
      <c r="J561" s="368">
        <v>-12.647824892110014</v>
      </c>
      <c r="K561" s="368">
        <v>0</v>
      </c>
      <c r="L561" s="368">
        <v>0</v>
      </c>
      <c r="M561" s="368">
        <v>2.5943839721256901E-2</v>
      </c>
      <c r="N561" s="368">
        <v>-0.11026302368887969</v>
      </c>
      <c r="O561" s="368">
        <v>-9.3125125670060094E-2</v>
      </c>
      <c r="T561" s="49">
        <v>7</v>
      </c>
      <c r="U561" s="143" t="s">
        <v>247</v>
      </c>
      <c r="V561" s="33" t="s">
        <v>539</v>
      </c>
      <c r="W561" s="53" t="s">
        <v>548</v>
      </c>
      <c r="X561" s="53" t="s">
        <v>557</v>
      </c>
      <c r="Y561" s="172">
        <f>IFERROR(-tblZwaste1422[[#This Row],[Weight (kgCO2e/kg)]],0)</f>
        <v>-1.0569599999999999</v>
      </c>
      <c r="Z561" s="172">
        <f>IF(AQ561="x",(AR561*-tblZwaste1422[[#This Row],[Weight (kgCO2e/kg)]])+AS561+($AR$10*Lookups!$J$38/1000),"DELETE")</f>
        <v>-0.97388179269999986</v>
      </c>
      <c r="AA561" s="176">
        <v>-0.17371939025814728</v>
      </c>
      <c r="AB561" s="172" t="s">
        <v>567</v>
      </c>
      <c r="AC561" s="172" t="s">
        <v>567</v>
      </c>
      <c r="AD561" s="172">
        <v>2.6027684104295699E-2</v>
      </c>
      <c r="AE561" s="172">
        <v>2.42172198924543E-2</v>
      </c>
      <c r="AF561" s="172">
        <v>4.8922066960809502E-2</v>
      </c>
      <c r="AG561" s="150"/>
      <c r="AI561" s="137">
        <v>7</v>
      </c>
      <c r="AJ561" s="136" t="s">
        <v>247</v>
      </c>
      <c r="AK561" s="142" t="s">
        <v>539</v>
      </c>
      <c r="AL561" s="136" t="s">
        <v>548</v>
      </c>
      <c r="AM561" s="136" t="s">
        <v>557</v>
      </c>
      <c r="AN561" s="1">
        <v>1.0569599999999999</v>
      </c>
      <c r="AO561" s="166">
        <v>0.89563000000000004</v>
      </c>
      <c r="AQ561" t="str">
        <f>_xlfn.XLOOKUP(tblGWP21[[#This Row],[Material Subcategory]],ls_Mat,Factors!$K$952:$K$1023)</f>
        <v>x</v>
      </c>
      <c r="AR561" s="173">
        <v>1</v>
      </c>
      <c r="AS561">
        <v>8.1306407300000008E-2</v>
      </c>
      <c r="AT561" t="s">
        <v>531</v>
      </c>
      <c r="AU561" t="s">
        <v>526</v>
      </c>
      <c r="AV561" s="347">
        <v>0.95</v>
      </c>
      <c r="BA561" cm="1">
        <f t="array" ref="BA561:BM561">tblGWP21[#This Row]</f>
        <v>7</v>
      </c>
      <c r="BB561" t="str">
        <v>Glass</v>
      </c>
      <c r="BC561" t="str">
        <v>Glass – Clear</v>
      </c>
      <c r="BD561" t="str">
        <v>Europe</v>
      </c>
      <c r="BE561" t="str">
        <v>Ireland</v>
      </c>
      <c r="BF561">
        <v>-1.0569599999999999</v>
      </c>
      <c r="BG561">
        <v>-0.97388179269999986</v>
      </c>
      <c r="BH561">
        <v>-0.17371939025814728</v>
      </c>
      <c r="BI561" t="str">
        <v>DELETE</v>
      </c>
      <c r="BJ561" t="str">
        <v>DELETE</v>
      </c>
      <c r="BK561">
        <v>2.6027684104295699E-2</v>
      </c>
      <c r="BL561">
        <v>2.42172198924543E-2</v>
      </c>
      <c r="BM561">
        <v>4.8922066960809502E-2</v>
      </c>
    </row>
    <row r="562" spans="3:65">
      <c r="C562" s="6">
        <v>7</v>
      </c>
      <c r="D562" s="373" t="s">
        <v>256</v>
      </c>
      <c r="E562" s="6" t="s">
        <v>536</v>
      </c>
      <c r="F562" s="136" t="s">
        <v>548</v>
      </c>
      <c r="G562" s="136" t="s">
        <v>557</v>
      </c>
      <c r="H562" s="191">
        <v>-1.9798800000000001</v>
      </c>
      <c r="I562" s="191">
        <v>-1.8968017927</v>
      </c>
      <c r="J562" s="191">
        <v>-2.2872683374196705</v>
      </c>
      <c r="K562" s="191">
        <v>0</v>
      </c>
      <c r="L562" s="191">
        <v>0</v>
      </c>
      <c r="M562" s="191">
        <v>2.6027679442513801E-2</v>
      </c>
      <c r="N562" s="191">
        <v>-0.16202295761388</v>
      </c>
      <c r="O562" s="191">
        <v>-0.135354427115291</v>
      </c>
      <c r="T562" s="49">
        <v>7</v>
      </c>
      <c r="U562" s="143" t="s">
        <v>247</v>
      </c>
      <c r="V562" s="33" t="s">
        <v>270</v>
      </c>
      <c r="W562" s="53" t="s">
        <v>548</v>
      </c>
      <c r="X562" s="53" t="s">
        <v>557</v>
      </c>
      <c r="Y562" s="172">
        <f>IFERROR(-tblZwaste1422[[#This Row],[Weight (kgCO2e/kg)]],0)</f>
        <v>-1.0505633333333335</v>
      </c>
      <c r="Z562" s="172">
        <f>IF(AQ562="x",(AR562*-tblZwaste1422[[#This Row],[Weight (kgCO2e/kg)]])+AS562+($AR$10*Lookups!$J$38/1000),"DELETE")</f>
        <v>-0.96748512603333348</v>
      </c>
      <c r="AA562" s="176">
        <v>-0.31685547479910803</v>
      </c>
      <c r="AB562" s="172" t="s">
        <v>567</v>
      </c>
      <c r="AC562" s="172" t="s">
        <v>567</v>
      </c>
      <c r="AD562" s="172">
        <v>2.60276937802707E-2</v>
      </c>
      <c r="AE562" s="172">
        <v>3.0436576342434098E-2</v>
      </c>
      <c r="AF562" s="172">
        <v>4.8920792208139198E-2</v>
      </c>
      <c r="AG562" s="150"/>
      <c r="AI562" s="137">
        <v>7</v>
      </c>
      <c r="AJ562" s="136" t="s">
        <v>247</v>
      </c>
      <c r="AK562" s="142" t="s">
        <v>270</v>
      </c>
      <c r="AL562" s="136" t="s">
        <v>548</v>
      </c>
      <c r="AM562" s="136" t="s">
        <v>557</v>
      </c>
      <c r="AN562" s="1">
        <v>1.0505633333333335</v>
      </c>
      <c r="AO562" s="166">
        <v>0.89563000000000004</v>
      </c>
      <c r="AQ562" t="str">
        <f>_xlfn.XLOOKUP(tblGWP21[[#This Row],[Material Subcategory]],ls_Mat,Factors!$K$952:$K$1023)</f>
        <v>x</v>
      </c>
      <c r="AR562" s="173">
        <v>1</v>
      </c>
      <c r="AS562">
        <v>8.1306407300000008E-2</v>
      </c>
      <c r="AT562" t="s">
        <v>531</v>
      </c>
      <c r="AU562" t="s">
        <v>526</v>
      </c>
      <c r="AV562" s="347">
        <v>0.95</v>
      </c>
      <c r="BA562" cm="1">
        <f t="array" ref="BA562:BM562">tblGWP21[#This Row]</f>
        <v>7</v>
      </c>
      <c r="BB562" t="str">
        <v>Glass</v>
      </c>
      <c r="BC562" t="str">
        <v>Mixed Glass</v>
      </c>
      <c r="BD562" t="str">
        <v>Europe</v>
      </c>
      <c r="BE562" t="str">
        <v>Ireland</v>
      </c>
      <c r="BF562">
        <v>-1.0505633333333335</v>
      </c>
      <c r="BG562">
        <v>-0.96748512603333348</v>
      </c>
      <c r="BH562">
        <v>-0.31685547479910803</v>
      </c>
      <c r="BI562" t="str">
        <v>DELETE</v>
      </c>
      <c r="BJ562" t="str">
        <v>DELETE</v>
      </c>
      <c r="BK562">
        <v>2.60276937802707E-2</v>
      </c>
      <c r="BL562">
        <v>3.0436576342434098E-2</v>
      </c>
      <c r="BM562">
        <v>4.8920792208139198E-2</v>
      </c>
    </row>
    <row r="563" spans="3:65">
      <c r="C563" s="375">
        <v>7</v>
      </c>
      <c r="D563" s="374" t="s">
        <v>256</v>
      </c>
      <c r="E563" s="375" t="s">
        <v>257</v>
      </c>
      <c r="F563" s="362" t="s">
        <v>548</v>
      </c>
      <c r="G563" s="362" t="s">
        <v>557</v>
      </c>
      <c r="H563" s="368">
        <v>-1.9798800000000001</v>
      </c>
      <c r="I563" s="368">
        <v>-1.8968017927</v>
      </c>
      <c r="J563" s="368">
        <v>-2.2872683374196705</v>
      </c>
      <c r="K563" s="368">
        <v>0</v>
      </c>
      <c r="L563" s="368">
        <v>0</v>
      </c>
      <c r="M563" s="368">
        <v>2.6027679442513298E-2</v>
      </c>
      <c r="N563" s="368">
        <v>-0.162022957613879</v>
      </c>
      <c r="O563" s="368">
        <v>-0.13535442711529</v>
      </c>
      <c r="T563" s="49">
        <v>7</v>
      </c>
      <c r="U563" s="143" t="s">
        <v>247</v>
      </c>
      <c r="V563" s="33" t="s">
        <v>540</v>
      </c>
      <c r="W563" s="53" t="s">
        <v>548</v>
      </c>
      <c r="X563" s="53" t="s">
        <v>557</v>
      </c>
      <c r="Y563" s="172">
        <f>IFERROR(-tblZwaste1422[[#This Row],[Weight (kgCO2e/kg)]],0)</f>
        <v>-1.0473650000000001</v>
      </c>
      <c r="Z563" s="172">
        <f>IF(AQ563="x",(AR563*-tblZwaste1422[[#This Row],[Weight (kgCO2e/kg)]])+AS563+($AR$10*Lookups!$J$38/1000),"DELETE")</f>
        <v>-0.96428679270000006</v>
      </c>
      <c r="AA563" s="176" t="s">
        <v>567</v>
      </c>
      <c r="AB563" s="172" t="s">
        <v>567</v>
      </c>
      <c r="AC563" s="172" t="s">
        <v>567</v>
      </c>
      <c r="AD563" s="172">
        <v>2.6027677331451698E-2</v>
      </c>
      <c r="AE563" s="172">
        <v>2.6531428776119002E-2</v>
      </c>
      <c r="AF563" s="172">
        <v>4.8921622373720698E-2</v>
      </c>
      <c r="AG563" s="150"/>
      <c r="AI563" s="137">
        <v>7</v>
      </c>
      <c r="AJ563" s="136" t="s">
        <v>247</v>
      </c>
      <c r="AK563" s="142" t="s">
        <v>540</v>
      </c>
      <c r="AL563" s="136" t="s">
        <v>548</v>
      </c>
      <c r="AM563" s="136" t="s">
        <v>557</v>
      </c>
      <c r="AN563" s="1">
        <v>1.0473650000000001</v>
      </c>
      <c r="AO563" s="166">
        <v>0.89563000000000004</v>
      </c>
      <c r="AQ563" t="str">
        <f>_xlfn.XLOOKUP(tblGWP21[[#This Row],[Material Subcategory]],ls_Mat,Factors!$K$952:$K$1023)</f>
        <v>x</v>
      </c>
      <c r="AR563" s="173">
        <v>1</v>
      </c>
      <c r="AS563">
        <v>8.1306407300000008E-2</v>
      </c>
      <c r="AT563" t="s">
        <v>531</v>
      </c>
      <c r="BA563" cm="1">
        <f t="array" ref="BA563:BM563">tblGWP21[#This Row]</f>
        <v>7</v>
      </c>
      <c r="BB563" t="str">
        <v>Glass</v>
      </c>
      <c r="BC563" t="str">
        <v>Glass – Non-Recyclable</v>
      </c>
      <c r="BD563" t="str">
        <v>Europe</v>
      </c>
      <c r="BE563" t="str">
        <v>Ireland</v>
      </c>
      <c r="BF563">
        <v>-1.0473650000000001</v>
      </c>
      <c r="BG563">
        <v>-0.96428679270000006</v>
      </c>
      <c r="BH563" t="str">
        <v>DELETE</v>
      </c>
      <c r="BI563" t="str">
        <v>DELETE</v>
      </c>
      <c r="BJ563" t="str">
        <v>DELETE</v>
      </c>
      <c r="BK563">
        <v>2.6027677331451698E-2</v>
      </c>
      <c r="BL563">
        <v>2.6531428776119002E-2</v>
      </c>
      <c r="BM563">
        <v>4.8921622373720698E-2</v>
      </c>
    </row>
    <row r="564" spans="3:65">
      <c r="C564" s="6">
        <v>7</v>
      </c>
      <c r="D564" s="373" t="s">
        <v>256</v>
      </c>
      <c r="E564" s="6" t="s">
        <v>537</v>
      </c>
      <c r="F564" s="136" t="s">
        <v>548</v>
      </c>
      <c r="G564" s="136" t="s">
        <v>557</v>
      </c>
      <c r="H564" s="191">
        <v>-5.0082800000000001</v>
      </c>
      <c r="I564" s="191">
        <v>-4.9252017927000002</v>
      </c>
      <c r="J564" s="191">
        <v>-5.0018220534721953</v>
      </c>
      <c r="K564" s="191">
        <v>0</v>
      </c>
      <c r="L564" s="191">
        <v>0</v>
      </c>
      <c r="M564" s="191">
        <v>2.5860000000000001E-2</v>
      </c>
      <c r="N564" s="191">
        <v>-5.8503089763879398E-2</v>
      </c>
      <c r="O564" s="191">
        <v>-5.0895824224829203E-2</v>
      </c>
      <c r="T564" s="49">
        <v>7</v>
      </c>
      <c r="U564" s="143" t="s">
        <v>261</v>
      </c>
      <c r="V564" s="33" t="s">
        <v>260</v>
      </c>
      <c r="W564" s="53" t="s">
        <v>548</v>
      </c>
      <c r="X564" s="53" t="s">
        <v>557</v>
      </c>
      <c r="Y564" s="172">
        <f>IFERROR(-tblZwaste1422[[#This Row],[Weight (kgCO2e/kg)]],0)</f>
        <v>-4.0364225925925927</v>
      </c>
      <c r="Z564" s="172" t="str">
        <f>IF(AQ564="x",(AR564*-tblZwaste1422[[#This Row],[Weight (kgCO2e/kg)]])+AS564+($AR$10*Lookups!$J$38/1000),"DELETE")</f>
        <v>DELETE</v>
      </c>
      <c r="AA564" s="176" t="s">
        <v>567</v>
      </c>
      <c r="AB564" s="172">
        <v>-0.50414958549192801</v>
      </c>
      <c r="AC564" s="172">
        <v>-0.86634961825781198</v>
      </c>
      <c r="AD564" s="172">
        <v>-0.178721246038507</v>
      </c>
      <c r="AE564" s="172">
        <v>-0.24847050259595699</v>
      </c>
      <c r="AF564" s="172">
        <v>2.75303409499707E-2</v>
      </c>
      <c r="AG564" s="150"/>
      <c r="AI564" s="137">
        <v>7</v>
      </c>
      <c r="AJ564" s="136" t="s">
        <v>529</v>
      </c>
      <c r="AK564" s="142" t="s">
        <v>260</v>
      </c>
      <c r="AL564" s="136" t="s">
        <v>548</v>
      </c>
      <c r="AM564" s="136" t="s">
        <v>557</v>
      </c>
      <c r="AN564" s="1">
        <v>4.0364225925925927</v>
      </c>
      <c r="AO564" s="166">
        <v>1.3856655555555555</v>
      </c>
      <c r="AQ564">
        <f>_xlfn.XLOOKUP(tblGWP21[[#This Row],[Material Subcategory]],ls_Mat,Factors!$K$952:$K$1023)</f>
        <v>0</v>
      </c>
      <c r="AR564" s="173"/>
      <c r="AU564" t="s">
        <v>526</v>
      </c>
      <c r="AV564" s="347">
        <v>0.95</v>
      </c>
      <c r="BA564" cm="1">
        <f t="array" ref="BA564:BM564">tblGWP21[#This Row]</f>
        <v>7</v>
      </c>
      <c r="BB564" t="str">
        <v>Food Waste</v>
      </c>
      <c r="BC564" t="str">
        <v>Mixed Organics</v>
      </c>
      <c r="BD564" t="str">
        <v>Europe</v>
      </c>
      <c r="BE564" t="str">
        <v>Ireland</v>
      </c>
      <c r="BF564">
        <v>-4.0364225925925927</v>
      </c>
      <c r="BG564" t="str">
        <v>DELETE</v>
      </c>
      <c r="BH564" t="str">
        <v>DELETE</v>
      </c>
      <c r="BI564">
        <v>-0.50414958549192801</v>
      </c>
      <c r="BJ564">
        <v>-0.86634961825781198</v>
      </c>
      <c r="BK564">
        <v>-0.178721246038507</v>
      </c>
      <c r="BL564">
        <v>-0.24847050259595699</v>
      </c>
      <c r="BM564">
        <v>2.75303409499707E-2</v>
      </c>
    </row>
    <row r="565" spans="3:65">
      <c r="C565" s="375">
        <v>7</v>
      </c>
      <c r="D565" s="374" t="s">
        <v>256</v>
      </c>
      <c r="E565" s="375" t="s">
        <v>538</v>
      </c>
      <c r="F565" s="362" t="s">
        <v>548</v>
      </c>
      <c r="G565" s="362" t="s">
        <v>557</v>
      </c>
      <c r="H565" s="368">
        <v>-4.6396800000000002</v>
      </c>
      <c r="I565" s="368">
        <v>0</v>
      </c>
      <c r="J565" s="368">
        <v>0</v>
      </c>
      <c r="K565" s="368">
        <v>0</v>
      </c>
      <c r="L565" s="368">
        <v>0</v>
      </c>
      <c r="M565" s="368">
        <v>2.5860000000000001E-2</v>
      </c>
      <c r="N565" s="368">
        <v>-5.4918056578809701E-2</v>
      </c>
      <c r="O565" s="368">
        <v>-5.0895824224829203E-2</v>
      </c>
      <c r="T565" s="49">
        <v>7</v>
      </c>
      <c r="U565" s="143" t="s">
        <v>237</v>
      </c>
      <c r="V565" s="33" t="s">
        <v>237</v>
      </c>
      <c r="W565" s="53" t="s">
        <v>548</v>
      </c>
      <c r="X565" s="53" t="s">
        <v>557</v>
      </c>
      <c r="Y565" s="172">
        <f>IFERROR(-tblZwaste1422[[#This Row],[Weight (kgCO2e/kg)]],0)</f>
        <v>-2.8533815875203707</v>
      </c>
      <c r="Z565" s="172" t="e">
        <f>IF(AQ565="x",(AR565*-tblZwaste1422[[#This Row],[Weight (kgCO2e/kg)]])+AS565+($AR$10*Lookups!$J$38/1000),"DELETE")</f>
        <v>#N/A</v>
      </c>
      <c r="AA565" s="172" t="s">
        <v>567</v>
      </c>
      <c r="AB565" s="172" t="s">
        <v>567</v>
      </c>
      <c r="AC565" s="172" t="s">
        <v>567</v>
      </c>
      <c r="AD565" s="172">
        <v>-0.47219559927819021</v>
      </c>
      <c r="AE565" s="172">
        <v>-0.55722809232586346</v>
      </c>
      <c r="AF565" s="172">
        <v>2.796932846020686E-2</v>
      </c>
      <c r="AG565" s="150"/>
      <c r="AI565" s="137">
        <v>7</v>
      </c>
      <c r="AJ565" s="136" t="s">
        <v>237</v>
      </c>
      <c r="AK565" s="142" t="s">
        <v>237</v>
      </c>
      <c r="AL565" s="136" t="s">
        <v>548</v>
      </c>
      <c r="AM565" s="136" t="s">
        <v>557</v>
      </c>
      <c r="AN565" s="1">
        <v>2.8533815875203707</v>
      </c>
      <c r="AO565" s="166">
        <v>1.0711602172222223</v>
      </c>
      <c r="AQ565" t="e">
        <f>_xlfn.XLOOKUP(tblGWP21[[#This Row],[Material Subcategory]],ls_Mat,Factors!$K$952:$K$1023)</f>
        <v>#N/A</v>
      </c>
      <c r="AR565" s="173">
        <v>0.5</v>
      </c>
      <c r="AS565">
        <v>0</v>
      </c>
      <c r="AT565" t="s">
        <v>527</v>
      </c>
      <c r="AU565" t="s">
        <v>526</v>
      </c>
      <c r="AV565" s="347">
        <v>0.9</v>
      </c>
      <c r="BA565" cm="1">
        <f t="array" ref="BA565:BM565">tblGWP21[#This Row]</f>
        <v>7</v>
      </c>
      <c r="BB565" t="str">
        <v>Mixed/Custom</v>
      </c>
      <c r="BC565" t="str">
        <v>Mixed/Custom</v>
      </c>
      <c r="BD565" t="str">
        <v>Europe</v>
      </c>
      <c r="BE565" t="str">
        <v>Ireland</v>
      </c>
      <c r="BF565">
        <v>-2.8533815875203707</v>
      </c>
      <c r="BG565" t="e">
        <v>#N/A</v>
      </c>
      <c r="BH565" t="str">
        <v>DELETE</v>
      </c>
      <c r="BI565" t="str">
        <v>DELETE</v>
      </c>
      <c r="BJ565" t="str">
        <v>DELETE</v>
      </c>
      <c r="BK565">
        <v>-0.47219559927819021</v>
      </c>
      <c r="BL565">
        <v>-0.55722809232586346</v>
      </c>
      <c r="BM565">
        <v>2.796932846020686E-2</v>
      </c>
    </row>
    <row r="566" spans="3:65">
      <c r="C566" s="6">
        <v>7</v>
      </c>
      <c r="D566" s="373" t="s">
        <v>256</v>
      </c>
      <c r="E566" s="6" t="s">
        <v>258</v>
      </c>
      <c r="F566" s="136" t="s">
        <v>548</v>
      </c>
      <c r="G566" s="136" t="s">
        <v>557</v>
      </c>
      <c r="H566" s="191">
        <v>-4.6396800000000002</v>
      </c>
      <c r="I566" s="191">
        <v>-4.5566017927000004</v>
      </c>
      <c r="J566" s="191">
        <v>-4.8487050518352728</v>
      </c>
      <c r="K566" s="191">
        <v>0</v>
      </c>
      <c r="L566" s="191">
        <v>0</v>
      </c>
      <c r="M566" s="191">
        <v>2.5860000000000001E-2</v>
      </c>
      <c r="N566" s="191">
        <v>-5.8503089763879398E-2</v>
      </c>
      <c r="O566" s="191">
        <v>-5.08958242248293E-2</v>
      </c>
      <c r="T566" s="49">
        <v>7</v>
      </c>
      <c r="U566" s="143" t="s">
        <v>237</v>
      </c>
      <c r="V566" s="33" t="s">
        <v>246</v>
      </c>
      <c r="W566" s="53" t="s">
        <v>548</v>
      </c>
      <c r="X566" s="53" t="s">
        <v>557</v>
      </c>
      <c r="Y566" s="172">
        <f>IFERROR(-tblZwaste1422[[#This Row],[Weight (kgCO2e/kg)]],0)</f>
        <v>-7.3412433500000009</v>
      </c>
      <c r="Z566" s="172" t="str">
        <f>IF(AQ566="x",(AR566*-tblZwaste1422[[#This Row],[Weight (kgCO2e/kg)]])+AS566+($AR$10*Lookups!$J$38/1000),"DELETE")</f>
        <v>DELETE</v>
      </c>
      <c r="AA566" s="176" t="s">
        <v>567</v>
      </c>
      <c r="AB566" s="172" t="s">
        <v>567</v>
      </c>
      <c r="AC566" s="172" t="s">
        <v>567</v>
      </c>
      <c r="AD566" s="172">
        <v>2.60277280442907E-2</v>
      </c>
      <c r="AE566" s="172">
        <v>4.1574329443250999E-2</v>
      </c>
      <c r="AF566" s="172">
        <v>4.8919275480954601E-2</v>
      </c>
      <c r="AG566" s="150"/>
      <c r="AI566" s="137">
        <v>7</v>
      </c>
      <c r="AJ566" s="136" t="s">
        <v>237</v>
      </c>
      <c r="AK566" s="142" t="s">
        <v>246</v>
      </c>
      <c r="AL566" s="136" t="s">
        <v>548</v>
      </c>
      <c r="AM566" s="136" t="s">
        <v>557</v>
      </c>
      <c r="AN566" s="1">
        <v>7.3412433500000009</v>
      </c>
      <c r="AO566" s="166">
        <v>0.66842500000000005</v>
      </c>
      <c r="AQ566">
        <f>_xlfn.XLOOKUP(tblGWP21[[#This Row],[Material Subcategory]],ls_Mat,Factors!$K$952:$K$1023)</f>
        <v>0</v>
      </c>
      <c r="AR566" s="173"/>
      <c r="AU566" t="s">
        <v>526</v>
      </c>
      <c r="AV566" s="347">
        <v>0.9</v>
      </c>
      <c r="BA566" cm="1">
        <f t="array" ref="BA566:BM566">tblGWP21[#This Row]</f>
        <v>7</v>
      </c>
      <c r="BB566" t="str">
        <v>Mixed/Custom</v>
      </c>
      <c r="BC566" t="str">
        <v>Mixed Inorganics</v>
      </c>
      <c r="BD566" t="str">
        <v>Europe</v>
      </c>
      <c r="BE566" t="str">
        <v>Ireland</v>
      </c>
      <c r="BF566">
        <v>-7.3412433500000009</v>
      </c>
      <c r="BG566" t="str">
        <v>DELETE</v>
      </c>
      <c r="BH566" t="str">
        <v>DELETE</v>
      </c>
      <c r="BI566" t="str">
        <v>DELETE</v>
      </c>
      <c r="BJ566" t="str">
        <v>DELETE</v>
      </c>
      <c r="BK566">
        <v>2.60277280442907E-2</v>
      </c>
      <c r="BL566">
        <v>4.1574329443250999E-2</v>
      </c>
      <c r="BM566">
        <v>4.8919275480954601E-2</v>
      </c>
    </row>
    <row r="567" spans="3:65">
      <c r="C567" s="375">
        <v>7</v>
      </c>
      <c r="D567" s="374" t="s">
        <v>247</v>
      </c>
      <c r="E567" s="375" t="s">
        <v>247</v>
      </c>
      <c r="F567" s="362" t="s">
        <v>548</v>
      </c>
      <c r="G567" s="362" t="s">
        <v>557</v>
      </c>
      <c r="H567" s="368">
        <v>-1.0505633333333335</v>
      </c>
      <c r="I567" s="368">
        <v>-0.96748512603333348</v>
      </c>
      <c r="J567" s="368">
        <v>-0.31685547479910803</v>
      </c>
      <c r="K567" s="368">
        <v>0</v>
      </c>
      <c r="L567" s="368">
        <v>0</v>
      </c>
      <c r="M567" s="368">
        <v>2.60276937802707E-2</v>
      </c>
      <c r="N567" s="368">
        <v>3.0436576342434098E-2</v>
      </c>
      <c r="O567" s="368">
        <v>4.8920792208139198E-2</v>
      </c>
      <c r="T567" s="49">
        <v>7</v>
      </c>
      <c r="U567" s="143" t="s">
        <v>237</v>
      </c>
      <c r="V567" s="33" t="s">
        <v>243</v>
      </c>
      <c r="W567" s="53" t="s">
        <v>548</v>
      </c>
      <c r="X567" s="53" t="s">
        <v>557</v>
      </c>
      <c r="Y567" s="172">
        <f>IFERROR(-tblZwaste1422[[#This Row],[Weight (kgCO2e/kg)]],0)</f>
        <v>-2.8533815875203707</v>
      </c>
      <c r="Z567" s="172" t="e">
        <f>IF(AQ567="x",(AR567*-tblZwaste1422[[#This Row],[Weight (kgCO2e/kg)]])+AS567+($AR$10*Lookups!$J$38/1000),"DELETE")</f>
        <v>#N/A</v>
      </c>
      <c r="AA567" s="176" t="s">
        <v>567</v>
      </c>
      <c r="AB567" s="172">
        <v>-1.0337890576882003</v>
      </c>
      <c r="AC567" s="172">
        <v>-1.598910555915438</v>
      </c>
      <c r="AD567" s="172">
        <v>-0.47219559927819021</v>
      </c>
      <c r="AE567" s="172">
        <v>-0.55722809232586346</v>
      </c>
      <c r="AF567" s="172">
        <v>2.796932846020686E-2</v>
      </c>
      <c r="AG567" s="150"/>
      <c r="AI567" s="137">
        <v>7</v>
      </c>
      <c r="AJ567" s="136" t="s">
        <v>237</v>
      </c>
      <c r="AK567" s="142" t="s">
        <v>243</v>
      </c>
      <c r="AL567" s="136" t="s">
        <v>548</v>
      </c>
      <c r="AM567" s="136" t="s">
        <v>557</v>
      </c>
      <c r="AN567" s="1">
        <v>2.8533815875203707</v>
      </c>
      <c r="AO567" s="166">
        <v>1.0711602172222223</v>
      </c>
      <c r="AQ567" t="e">
        <f>_xlfn.XLOOKUP(tblGWP21[[#This Row],[Material Subcategory]],ls_Mat,Factors!$K$952:$K$1023)</f>
        <v>#N/A</v>
      </c>
      <c r="AR567" s="173"/>
      <c r="AU567" t="s">
        <v>526</v>
      </c>
      <c r="AV567" s="347">
        <v>0.95</v>
      </c>
      <c r="BA567" cm="1">
        <f t="array" ref="BA567:BM567">tblGWP21[#This Row]</f>
        <v>7</v>
      </c>
      <c r="BB567" t="str">
        <v>Mixed/Custom</v>
      </c>
      <c r="BC567" t="str">
        <v>Mixed MSW</v>
      </c>
      <c r="BD567" t="str">
        <v>Europe</v>
      </c>
      <c r="BE567" t="str">
        <v>Ireland</v>
      </c>
      <c r="BF567">
        <v>-2.8533815875203707</v>
      </c>
      <c r="BG567" t="e">
        <v>#N/A</v>
      </c>
      <c r="BH567" t="str">
        <v>DELETE</v>
      </c>
      <c r="BI567">
        <v>-1.0337890576882003</v>
      </c>
      <c r="BJ567">
        <v>-1.598910555915438</v>
      </c>
      <c r="BK567">
        <v>-0.47219559927819021</v>
      </c>
      <c r="BL567">
        <v>-0.55722809232586346</v>
      </c>
      <c r="BM567">
        <v>2.796932846020686E-2</v>
      </c>
    </row>
    <row r="568" spans="3:65">
      <c r="C568" s="6">
        <v>7</v>
      </c>
      <c r="D568" s="373" t="s">
        <v>247</v>
      </c>
      <c r="E568" s="6" t="s">
        <v>248</v>
      </c>
      <c r="F568" s="136" t="s">
        <v>548</v>
      </c>
      <c r="G568" s="136" t="s">
        <v>557</v>
      </c>
      <c r="H568" s="191">
        <v>-1.0606100000000001</v>
      </c>
      <c r="I568" s="191">
        <v>-0.97753179270000001</v>
      </c>
      <c r="J568" s="191">
        <v>-0.16840144974004073</v>
      </c>
      <c r="K568" s="191">
        <v>0</v>
      </c>
      <c r="L568" s="191">
        <v>0</v>
      </c>
      <c r="M568" s="191">
        <v>2.60276997598081E-2</v>
      </c>
      <c r="N568" s="191">
        <v>3.4297970716147402E-2</v>
      </c>
      <c r="O568" s="191">
        <v>4.8919608602532499E-2</v>
      </c>
      <c r="T568" s="49">
        <v>7</v>
      </c>
      <c r="U568" s="143" t="s">
        <v>252</v>
      </c>
      <c r="V568" s="33" t="s">
        <v>333</v>
      </c>
      <c r="W568" s="53" t="s">
        <v>548</v>
      </c>
      <c r="X568" s="53" t="s">
        <v>557</v>
      </c>
      <c r="Y568" s="172">
        <f>IFERROR(-tblZwaste1422[[#This Row],[Weight (kgCO2e/kg)]],0)</f>
        <v>-2.0953266666666663</v>
      </c>
      <c r="Z568" s="172" t="str">
        <f>IF(AQ568="x",(AR568*-tblZwaste1422[[#This Row],[Weight (kgCO2e/kg)]])+AS568+($AR$10*Lookups!$J$38/1000),"DELETE")</f>
        <v>DELETE</v>
      </c>
      <c r="AA568" s="176">
        <v>-4.402960361201381</v>
      </c>
      <c r="AB568" s="172" t="s">
        <v>567</v>
      </c>
      <c r="AC568" s="172" t="s">
        <v>567</v>
      </c>
      <c r="AD568" s="172">
        <v>2.6027700521105999E-2</v>
      </c>
      <c r="AE568" s="172">
        <v>0.57657859350782803</v>
      </c>
      <c r="AF568" s="172">
        <v>2.18702518516894</v>
      </c>
      <c r="AG568" s="150"/>
      <c r="AI568" s="137">
        <v>7</v>
      </c>
      <c r="AJ568" s="136" t="s">
        <v>252</v>
      </c>
      <c r="AK568" s="142" t="s">
        <v>333</v>
      </c>
      <c r="AL568" s="136" t="s">
        <v>548</v>
      </c>
      <c r="AM568" s="136" t="s">
        <v>557</v>
      </c>
      <c r="AN568" s="1">
        <v>2.0953266666666663</v>
      </c>
      <c r="AO568" s="166">
        <v>1.77911</v>
      </c>
      <c r="AQ568">
        <f>_xlfn.XLOOKUP(tblGWP21[[#This Row],[Material Subcategory]],ls_Mat,Factors!$K$952:$K$1023)</f>
        <v>0</v>
      </c>
      <c r="AR568" s="173"/>
      <c r="AU568" t="s">
        <v>526</v>
      </c>
      <c r="AV568" s="347">
        <v>0.7</v>
      </c>
      <c r="BA568" cm="1">
        <f t="array" ref="BA568:BM568">tblGWP21[#This Row]</f>
        <v>7</v>
      </c>
      <c r="BB568" t="str">
        <v>Plastics</v>
      </c>
      <c r="BC568" t="str">
        <v>Mixed Plastics</v>
      </c>
      <c r="BD568" t="str">
        <v>Europe</v>
      </c>
      <c r="BE568" t="str">
        <v>Ireland</v>
      </c>
      <c r="BF568">
        <v>-2.0953266666666663</v>
      </c>
      <c r="BG568" t="str">
        <v>DELETE</v>
      </c>
      <c r="BH568">
        <v>-4.402960361201381</v>
      </c>
      <c r="BI568" t="str">
        <v>DELETE</v>
      </c>
      <c r="BJ568" t="str">
        <v>DELETE</v>
      </c>
      <c r="BK568">
        <v>2.6027700521105999E-2</v>
      </c>
      <c r="BL568">
        <v>0.57657859350782803</v>
      </c>
      <c r="BM568">
        <v>2.18702518516894</v>
      </c>
    </row>
    <row r="569" spans="3:65">
      <c r="C569" s="375">
        <v>7</v>
      </c>
      <c r="D569" s="374" t="s">
        <v>247</v>
      </c>
      <c r="E569" s="375" t="s">
        <v>263</v>
      </c>
      <c r="F569" s="362" t="s">
        <v>548</v>
      </c>
      <c r="G569" s="362" t="s">
        <v>557</v>
      </c>
      <c r="H569" s="368">
        <v>-1.0341199999999999</v>
      </c>
      <c r="I569" s="368">
        <v>-0.95104179269999989</v>
      </c>
      <c r="J569" s="368">
        <v>-0.16840144974004073</v>
      </c>
      <c r="K569" s="368">
        <v>0</v>
      </c>
      <c r="L569" s="368">
        <v>0</v>
      </c>
      <c r="M569" s="368">
        <v>2.60277034653651E-2</v>
      </c>
      <c r="N569" s="368">
        <v>3.66126997550393E-2</v>
      </c>
      <c r="O569" s="368">
        <v>4.8919684170670802E-2</v>
      </c>
      <c r="T569" s="49">
        <v>7</v>
      </c>
      <c r="U569" s="143" t="s">
        <v>239</v>
      </c>
      <c r="V569" s="33" t="s">
        <v>542</v>
      </c>
      <c r="W569" s="53" t="s">
        <v>548</v>
      </c>
      <c r="X569" s="53" t="s">
        <v>557</v>
      </c>
      <c r="Y569" s="172">
        <f>IFERROR(-tblZwaste1422[[#This Row],[Weight (kgCO2e/kg)]],0)</f>
        <v>-2.6644477777777777</v>
      </c>
      <c r="Z569" s="172" t="str">
        <f>IF(AQ569="x",(AR569*-tblZwaste1422[[#This Row],[Weight (kgCO2e/kg)]])+AS569+($AR$10*Lookups!$J$38/1000),"DELETE")</f>
        <v>DELETE</v>
      </c>
      <c r="AA569" s="176">
        <v>-0.84997287375215214</v>
      </c>
      <c r="AB569" s="172">
        <v>-1.6414908500332299</v>
      </c>
      <c r="AC569" s="172">
        <v>-2.3915506341225301</v>
      </c>
      <c r="AD569" s="172">
        <v>-0.65531464971066899</v>
      </c>
      <c r="AE569" s="172">
        <v>-0.86844475997422799</v>
      </c>
      <c r="AF569" s="172">
        <v>2.7471991029133901E-2</v>
      </c>
      <c r="AG569" s="150"/>
      <c r="AI569" s="137">
        <v>7</v>
      </c>
      <c r="AJ569" s="136" t="s">
        <v>239</v>
      </c>
      <c r="AK569" s="142" t="s">
        <v>542</v>
      </c>
      <c r="AL569" s="136" t="s">
        <v>548</v>
      </c>
      <c r="AM569" s="136" t="s">
        <v>557</v>
      </c>
      <c r="AN569" s="1">
        <v>2.6644477777777777</v>
      </c>
      <c r="AO569" s="166">
        <v>0.64099666666666666</v>
      </c>
      <c r="AQ569">
        <f>_xlfn.XLOOKUP(tblGWP21[[#This Row],[Material Subcategory]],ls_Mat,Factors!$K$952:$K$1023)</f>
        <v>0</v>
      </c>
      <c r="BA569" cm="1">
        <f t="array" ref="BA569:BM569">tblGWP21[#This Row]</f>
        <v>7</v>
      </c>
      <c r="BB569" t="str">
        <v>Paper</v>
      </c>
      <c r="BC569" t="str">
        <v>Mixed Paper</v>
      </c>
      <c r="BD569" t="str">
        <v>Europe</v>
      </c>
      <c r="BE569" t="str">
        <v>Ireland</v>
      </c>
      <c r="BF569">
        <v>-2.6644477777777777</v>
      </c>
      <c r="BG569" t="str">
        <v>DELETE</v>
      </c>
      <c r="BH569">
        <v>-0.84997287375215214</v>
      </c>
      <c r="BI569">
        <v>-1.6414908500332299</v>
      </c>
      <c r="BJ569">
        <v>-2.3915506341225301</v>
      </c>
      <c r="BK569">
        <v>-0.65531464971066899</v>
      </c>
      <c r="BL569">
        <v>-0.86844475997422799</v>
      </c>
      <c r="BM569">
        <v>2.7471991029133901E-2</v>
      </c>
    </row>
    <row r="570" spans="3:65">
      <c r="C570" s="6">
        <v>7</v>
      </c>
      <c r="D570" s="373" t="s">
        <v>247</v>
      </c>
      <c r="E570" s="6" t="s">
        <v>539</v>
      </c>
      <c r="F570" s="136" t="s">
        <v>548</v>
      </c>
      <c r="G570" s="136" t="s">
        <v>557</v>
      </c>
      <c r="H570" s="191">
        <v>-1.0569599999999999</v>
      </c>
      <c r="I570" s="191">
        <v>-0.97388179269999986</v>
      </c>
      <c r="J570" s="191">
        <v>-0.17371939025814728</v>
      </c>
      <c r="K570" s="191">
        <v>0</v>
      </c>
      <c r="L570" s="191">
        <v>0</v>
      </c>
      <c r="M570" s="191">
        <v>2.6027684104295699E-2</v>
      </c>
      <c r="N570" s="191">
        <v>2.42172198924543E-2</v>
      </c>
      <c r="O570" s="191">
        <v>4.8922066960809502E-2</v>
      </c>
      <c r="T570" s="49">
        <v>7</v>
      </c>
      <c r="U570" s="143" t="s">
        <v>237</v>
      </c>
      <c r="V570" s="33" t="s">
        <v>238</v>
      </c>
      <c r="W570" s="53" t="s">
        <v>548</v>
      </c>
      <c r="X570" s="53" t="s">
        <v>557</v>
      </c>
      <c r="Y570" s="172">
        <f>IFERROR(-tblZwaste1422[[#This Row],[Weight (kgCO2e/kg)]],0)</f>
        <v>-2.7046544444444445</v>
      </c>
      <c r="Z570" s="172" t="str">
        <f>IF(AQ570="x",(AR570*-tblZwaste1422[[#This Row],[Weight (kgCO2e/kg)]])+AS570+($AR$10*Lookups!$J$38/1000),"DELETE")</f>
        <v>DELETE</v>
      </c>
      <c r="AA570" s="176" t="s">
        <v>567</v>
      </c>
      <c r="AB570" s="172" t="s">
        <v>567</v>
      </c>
      <c r="AC570" s="172" t="s">
        <v>567</v>
      </c>
      <c r="AD570" s="172">
        <v>-0.14432885392200884</v>
      </c>
      <c r="AE570" s="172">
        <v>-9.2923153453211393E-2</v>
      </c>
      <c r="AF570" s="172">
        <v>0.5425732106840383</v>
      </c>
      <c r="AG570" s="150"/>
      <c r="AI570" s="137">
        <v>7</v>
      </c>
      <c r="AJ570" s="136" t="s">
        <v>237</v>
      </c>
      <c r="AK570" s="142" t="s">
        <v>238</v>
      </c>
      <c r="AL570" s="136" t="s">
        <v>548</v>
      </c>
      <c r="AM570" s="136" t="s">
        <v>557</v>
      </c>
      <c r="AN570" s="1">
        <v>2.7046544444444445</v>
      </c>
      <c r="AO570" s="166">
        <v>1.2161291666666667</v>
      </c>
      <c r="AQ570">
        <f>_xlfn.XLOOKUP(tblGWP21[[#This Row],[Material Subcategory]],ls_Mat,Factors!$K$952:$K$1023)</f>
        <v>0</v>
      </c>
      <c r="BA570" cm="1">
        <f t="array" ref="BA570:BM570">tblGWP21[#This Row]</f>
        <v>7</v>
      </c>
      <c r="BB570" t="str">
        <v>Mixed/Custom</v>
      </c>
      <c r="BC570" t="str">
        <v>Mixed Recycling</v>
      </c>
      <c r="BD570" t="str">
        <v>Europe</v>
      </c>
      <c r="BE570" t="str">
        <v>Ireland</v>
      </c>
      <c r="BF570">
        <v>-2.7046544444444445</v>
      </c>
      <c r="BG570" t="str">
        <v>DELETE</v>
      </c>
      <c r="BH570" t="str">
        <v>DELETE</v>
      </c>
      <c r="BI570" t="str">
        <v>DELETE</v>
      </c>
      <c r="BJ570" t="str">
        <v>DELETE</v>
      </c>
      <c r="BK570">
        <v>-0.14432885392200884</v>
      </c>
      <c r="BL570">
        <v>-9.2923153453211393E-2</v>
      </c>
      <c r="BM570">
        <v>0.5425732106840383</v>
      </c>
    </row>
    <row r="571" spans="3:65">
      <c r="C571" s="375">
        <v>7</v>
      </c>
      <c r="D571" s="374" t="s">
        <v>247</v>
      </c>
      <c r="E571" s="375" t="s">
        <v>270</v>
      </c>
      <c r="F571" s="362" t="s">
        <v>548</v>
      </c>
      <c r="G571" s="362" t="s">
        <v>557</v>
      </c>
      <c r="H571" s="368">
        <v>-1.0505633333333335</v>
      </c>
      <c r="I571" s="368">
        <v>-0.96748512603333348</v>
      </c>
      <c r="J571" s="368">
        <v>-0.31685547479910803</v>
      </c>
      <c r="K571" s="368">
        <v>0</v>
      </c>
      <c r="L571" s="368">
        <v>0</v>
      </c>
      <c r="M571" s="368">
        <v>2.60276937802707E-2</v>
      </c>
      <c r="N571" s="368">
        <v>3.0436576342434098E-2</v>
      </c>
      <c r="O571" s="368">
        <v>4.8920792208139198E-2</v>
      </c>
      <c r="T571" s="49">
        <v>7</v>
      </c>
      <c r="U571" s="143" t="s">
        <v>264</v>
      </c>
      <c r="V571" s="33" t="s">
        <v>264</v>
      </c>
      <c r="W571" s="53" t="s">
        <v>548</v>
      </c>
      <c r="X571" s="53" t="s">
        <v>557</v>
      </c>
      <c r="Y571" s="172">
        <f>IFERROR(-tblZwaste1422[[#This Row],[Weight (kgCO2e/kg)]],0)</f>
        <v>-1.9287117500000002</v>
      </c>
      <c r="Z571" s="172" t="e">
        <f>IF(AQ571="x",(AR571*-tblZwaste1422[[#This Row],[Weight (kgCO2e/kg)]])+AS571+($AR$10*Lookups!$J$38/1000),"DELETE")</f>
        <v>#N/A</v>
      </c>
      <c r="AA571" s="172">
        <f>AA575</f>
        <v>0.15112249999999994</v>
      </c>
      <c r="AB571" s="172" t="s">
        <v>567</v>
      </c>
      <c r="AC571" s="172" t="s">
        <v>567</v>
      </c>
      <c r="AD571" s="172">
        <v>-0.34905933412625972</v>
      </c>
      <c r="AE571" s="172">
        <v>-0.51727833021507164</v>
      </c>
      <c r="AF571" s="172">
        <v>0.45991772694287147</v>
      </c>
      <c r="AG571" s="150"/>
      <c r="AI571" s="137">
        <v>7</v>
      </c>
      <c r="AJ571" s="136" t="s">
        <v>264</v>
      </c>
      <c r="AK571" s="142" t="s">
        <v>264</v>
      </c>
      <c r="AL571" s="136" t="s">
        <v>548</v>
      </c>
      <c r="AM571" s="136" t="s">
        <v>557</v>
      </c>
      <c r="AN571" s="1">
        <v>1.9287117500000002</v>
      </c>
      <c r="AO571" s="166">
        <v>0.467055</v>
      </c>
      <c r="AQ571" t="e">
        <f>_xlfn.XLOOKUP(tblGWP21[[#This Row],[Material Subcategory]],ls_Mat,Factors!$K$952:$K$1023)</f>
        <v>#N/A</v>
      </c>
      <c r="AR571" s="173">
        <v>0.65</v>
      </c>
      <c r="AS571">
        <v>0.14482945764999999</v>
      </c>
      <c r="AT571" t="s">
        <v>541</v>
      </c>
      <c r="BA571" cm="1">
        <f t="array" ref="BA571:BM571">tblGWP21[#This Row]</f>
        <v>7</v>
      </c>
      <c r="BB571" t="str">
        <v>Furniture/Textiles</v>
      </c>
      <c r="BC571" t="str">
        <v>Furniture/Textiles</v>
      </c>
      <c r="BD571" t="str">
        <v>Europe</v>
      </c>
      <c r="BE571" t="str">
        <v>Ireland</v>
      </c>
      <c r="BF571">
        <v>-1.9287117500000002</v>
      </c>
      <c r="BG571" t="e">
        <v>#N/A</v>
      </c>
      <c r="BH571">
        <v>0.15112249999999994</v>
      </c>
      <c r="BI571" t="str">
        <v>DELETE</v>
      </c>
      <c r="BJ571" t="str">
        <v>DELETE</v>
      </c>
      <c r="BK571">
        <v>-0.34905933412625972</v>
      </c>
      <c r="BL571">
        <v>-0.51727833021507164</v>
      </c>
      <c r="BM571">
        <v>0.45991772694287147</v>
      </c>
    </row>
    <row r="572" spans="3:65">
      <c r="C572" s="6">
        <v>7</v>
      </c>
      <c r="D572" s="373" t="s">
        <v>247</v>
      </c>
      <c r="E572" s="6" t="s">
        <v>540</v>
      </c>
      <c r="F572" s="136" t="s">
        <v>548</v>
      </c>
      <c r="G572" s="136" t="s">
        <v>557</v>
      </c>
      <c r="H572" s="191">
        <v>-1.0473650000000001</v>
      </c>
      <c r="I572" s="191">
        <v>-0.96428679270000006</v>
      </c>
      <c r="J572" s="191">
        <v>0</v>
      </c>
      <c r="K572" s="191">
        <v>0</v>
      </c>
      <c r="L572" s="191">
        <v>0</v>
      </c>
      <c r="M572" s="191">
        <v>2.6027677331451698E-2</v>
      </c>
      <c r="N572" s="191">
        <v>2.6531428776119002E-2</v>
      </c>
      <c r="O572" s="191">
        <v>4.8921622373720698E-2</v>
      </c>
      <c r="T572" s="49">
        <v>7</v>
      </c>
      <c r="U572" s="143" t="s">
        <v>264</v>
      </c>
      <c r="V572" s="33" t="s">
        <v>336</v>
      </c>
      <c r="W572" s="53" t="s">
        <v>548</v>
      </c>
      <c r="X572" s="53" t="s">
        <v>557</v>
      </c>
      <c r="Y572" s="172">
        <f>IFERROR(-tblZwaste1422[[#This Row],[Weight (kgCO2e/kg)]],0)</f>
        <v>-0.76351350000000007</v>
      </c>
      <c r="Z572" s="172">
        <f>IF(AQ572="x",(AR572*-tblZwaste1422[[#This Row],[Weight (kgCO2e/kg)]])+AS572+($AR$10*Lookups!$J$38/1000),"DELETE")</f>
        <v>-0.34968251735000005</v>
      </c>
      <c r="AA572" s="176" t="s">
        <v>567</v>
      </c>
      <c r="AB572" s="172">
        <v>-1.64845660766307</v>
      </c>
      <c r="AC572" s="172">
        <v>-2.6275101998635302</v>
      </c>
      <c r="AD572" s="172">
        <v>-1.0014959043580705</v>
      </c>
      <c r="AE572" s="172">
        <v>-0.75339312488848831</v>
      </c>
      <c r="AF572" s="172">
        <v>0.21053984402956388</v>
      </c>
      <c r="AG572" s="150"/>
      <c r="AI572" s="137">
        <v>7</v>
      </c>
      <c r="AJ572" s="136" t="s">
        <v>264</v>
      </c>
      <c r="AK572" s="142" t="s">
        <v>336</v>
      </c>
      <c r="AL572" s="136" t="s">
        <v>548</v>
      </c>
      <c r="AM572" s="136" t="s">
        <v>557</v>
      </c>
      <c r="AN572" s="1">
        <v>0.76351350000000007</v>
      </c>
      <c r="AO572" s="166">
        <v>0.43603999999999998</v>
      </c>
      <c r="AQ572" t="str">
        <f>_xlfn.XLOOKUP(tblGWP21[[#This Row],[Material Subcategory]],ls_Mat,Factors!$K$952:$K$1023)</f>
        <v>x</v>
      </c>
      <c r="AR572" s="173">
        <v>0.65</v>
      </c>
      <c r="AS572">
        <v>0.14482945764999999</v>
      </c>
      <c r="AT572" t="s">
        <v>541</v>
      </c>
      <c r="BA572" cm="1">
        <f t="array" ref="BA572:BM572">tblGWP21[#This Row]</f>
        <v>7</v>
      </c>
      <c r="BB572" t="str">
        <v>Furniture/Textiles</v>
      </c>
      <c r="BC572" t="str">
        <v>Furniture</v>
      </c>
      <c r="BD572" t="str">
        <v>Europe</v>
      </c>
      <c r="BE572" t="str">
        <v>Ireland</v>
      </c>
      <c r="BF572">
        <v>-0.76351350000000007</v>
      </c>
      <c r="BG572">
        <v>-0.34968251735000005</v>
      </c>
      <c r="BH572" t="str">
        <v>DELETE</v>
      </c>
      <c r="BI572">
        <v>-1.64845660766307</v>
      </c>
      <c r="BJ572">
        <v>-2.6275101998635302</v>
      </c>
      <c r="BK572">
        <v>-1.0014959043580705</v>
      </c>
      <c r="BL572">
        <v>-0.75339312488848831</v>
      </c>
      <c r="BM572">
        <v>0.21053984402956388</v>
      </c>
    </row>
    <row r="573" spans="3:65">
      <c r="C573" s="375">
        <v>7</v>
      </c>
      <c r="D573" s="374" t="s">
        <v>261</v>
      </c>
      <c r="E573" s="375" t="s">
        <v>260</v>
      </c>
      <c r="F573" s="362" t="s">
        <v>548</v>
      </c>
      <c r="G573" s="362" t="s">
        <v>557</v>
      </c>
      <c r="H573" s="368">
        <v>-4.0364225925925927</v>
      </c>
      <c r="I573" s="368">
        <v>0</v>
      </c>
      <c r="J573" s="368">
        <v>0</v>
      </c>
      <c r="K573" s="368">
        <v>-0.50414958549192801</v>
      </c>
      <c r="L573" s="368">
        <v>-0.86634961825781198</v>
      </c>
      <c r="M573" s="368">
        <v>-0.178721246038507</v>
      </c>
      <c r="N573" s="368">
        <v>-0.24847050259595699</v>
      </c>
      <c r="O573" s="368">
        <v>2.75303409499707E-2</v>
      </c>
      <c r="T573" s="49">
        <v>7</v>
      </c>
      <c r="U573" s="143" t="s">
        <v>242</v>
      </c>
      <c r="V573" s="33" t="s">
        <v>251</v>
      </c>
      <c r="W573" s="53" t="s">
        <v>548</v>
      </c>
      <c r="X573" s="53" t="s">
        <v>557</v>
      </c>
      <c r="Y573" s="172">
        <f>IFERROR(-tblZwaste1422[[#This Row],[Weight (kgCO2e/kg)]],0)</f>
        <v>-4.9218200000000003</v>
      </c>
      <c r="Z573" s="172">
        <f>IF(AQ573="x",(AR573*-tblZwaste1422[[#This Row],[Weight (kgCO2e/kg)]])+AS573+($AR$10*Lookups!$J$38/1000),"DELETE")</f>
        <v>-3.5665477000000001</v>
      </c>
      <c r="AA573" s="172">
        <v>-1.2190350000000001</v>
      </c>
      <c r="AB573" s="172" t="s">
        <v>567</v>
      </c>
      <c r="AC573" s="172" t="s">
        <v>567</v>
      </c>
      <c r="AD573" s="172">
        <v>2.5960616096945159E-2</v>
      </c>
      <c r="AE573" s="172">
        <v>0.19484109381622955</v>
      </c>
      <c r="AF573" s="172">
        <v>0.84734387889574292</v>
      </c>
      <c r="AG573" s="150"/>
      <c r="AI573" s="137">
        <v>7</v>
      </c>
      <c r="AJ573" s="136" t="s">
        <v>242</v>
      </c>
      <c r="AK573" s="142" t="s">
        <v>251</v>
      </c>
      <c r="AL573" s="136" t="s">
        <v>548</v>
      </c>
      <c r="AM573" s="136" t="s">
        <v>557</v>
      </c>
      <c r="AN573" s="1">
        <v>4.9218200000000003</v>
      </c>
      <c r="AO573" s="166">
        <v>0.15096000000000001</v>
      </c>
      <c r="AQ573" t="str">
        <f>_xlfn.XLOOKUP(tblGWP21[[#This Row],[Material Subcategory]],ls_Mat,Factors!$K$952:$K$1023)</f>
        <v>x</v>
      </c>
      <c r="AR573" s="173">
        <v>0.72499999999999998</v>
      </c>
      <c r="AS573">
        <v>0</v>
      </c>
      <c r="AT573" t="s">
        <v>527</v>
      </c>
      <c r="AU573" t="s">
        <v>526</v>
      </c>
      <c r="AV573" s="347">
        <v>0.7</v>
      </c>
      <c r="BA573" cm="1">
        <f t="array" ref="BA573:BM573">tblGWP21[#This Row]</f>
        <v>7</v>
      </c>
      <c r="BB573" t="str">
        <v>Electronics</v>
      </c>
      <c r="BC573" t="str">
        <v>Appliances</v>
      </c>
      <c r="BD573" t="str">
        <v>Europe</v>
      </c>
      <c r="BE573" t="str">
        <v>Ireland</v>
      </c>
      <c r="BF573">
        <v>-4.9218200000000003</v>
      </c>
      <c r="BG573">
        <v>-3.5665477000000001</v>
      </c>
      <c r="BH573">
        <v>-1.2190350000000001</v>
      </c>
      <c r="BI573" t="str">
        <v>DELETE</v>
      </c>
      <c r="BJ573" t="str">
        <v>DELETE</v>
      </c>
      <c r="BK573">
        <v>2.5960616096945159E-2</v>
      </c>
      <c r="BL573">
        <v>0.19484109381622955</v>
      </c>
      <c r="BM573">
        <v>0.84734387889574292</v>
      </c>
    </row>
    <row r="574" spans="3:65">
      <c r="C574" s="6">
        <v>7</v>
      </c>
      <c r="D574" s="373" t="s">
        <v>10157</v>
      </c>
      <c r="E574" s="6" t="s">
        <v>237</v>
      </c>
      <c r="F574" s="136" t="s">
        <v>548</v>
      </c>
      <c r="G574" s="136" t="s">
        <v>557</v>
      </c>
      <c r="H574" s="191">
        <v>-2.8533815875203707</v>
      </c>
      <c r="I574" s="191">
        <v>-1.4249189937601854</v>
      </c>
      <c r="J574" s="191">
        <v>0</v>
      </c>
      <c r="K574" s="191">
        <v>0</v>
      </c>
      <c r="L574" s="191">
        <v>0</v>
      </c>
      <c r="M574" s="191">
        <v>-0.47219559927819021</v>
      </c>
      <c r="N574" s="191">
        <v>-0.55722809232586346</v>
      </c>
      <c r="O574" s="191">
        <v>2.796932846020686E-2</v>
      </c>
      <c r="T574" s="49">
        <v>7</v>
      </c>
      <c r="U574" s="143" t="s">
        <v>242</v>
      </c>
      <c r="V574" s="33" t="s">
        <v>543</v>
      </c>
      <c r="W574" s="53" t="s">
        <v>548</v>
      </c>
      <c r="X574" s="53" t="s">
        <v>557</v>
      </c>
      <c r="Y574" s="172">
        <f>IFERROR(-tblZwaste1422[[#This Row],[Weight (kgCO2e/kg)]],0)</f>
        <v>-1.00081</v>
      </c>
      <c r="Z574" s="172">
        <f>IF(AQ574="x",(AR574*-tblZwaste1422[[#This Row],[Weight (kgCO2e/kg)]])+AS574+($AR$10*Lookups!$J$38/1000),"DELETE")</f>
        <v>-0.72381545000000003</v>
      </c>
      <c r="AA574" s="172">
        <v>-0.20626249999999999</v>
      </c>
      <c r="AB574" s="172" t="s">
        <v>567</v>
      </c>
      <c r="AC574" s="172" t="s">
        <v>567</v>
      </c>
      <c r="AD574" s="172">
        <v>2.5860000000000001E-2</v>
      </c>
      <c r="AE574" s="172">
        <v>4.1574329443250999E-2</v>
      </c>
      <c r="AF574" s="172">
        <v>4.8919275480954698E-2</v>
      </c>
      <c r="AG574" s="150"/>
      <c r="AI574" s="137">
        <v>7</v>
      </c>
      <c r="AJ574" s="136" t="s">
        <v>242</v>
      </c>
      <c r="AK574" s="142" t="s">
        <v>543</v>
      </c>
      <c r="AL574" s="136" t="s">
        <v>548</v>
      </c>
      <c r="AM574" s="136" t="s">
        <v>557</v>
      </c>
      <c r="AN574" s="1">
        <v>1.00081</v>
      </c>
      <c r="AO574" s="166">
        <v>0.33138000000000001</v>
      </c>
      <c r="AQ574" t="str">
        <f>_xlfn.XLOOKUP(tblGWP21[[#This Row],[Material Subcategory]],ls_Mat,Factors!$K$952:$K$1023)</f>
        <v>x</v>
      </c>
      <c r="AR574" s="173">
        <v>0.72499999999999998</v>
      </c>
      <c r="AS574">
        <v>0</v>
      </c>
      <c r="AT574" t="s">
        <v>527</v>
      </c>
      <c r="AU574" t="s">
        <v>526</v>
      </c>
      <c r="AV574" s="347">
        <v>0.65</v>
      </c>
      <c r="BA574" cm="1">
        <f t="array" ref="BA574:BM574">tblGWP21[#This Row]</f>
        <v>7</v>
      </c>
      <c r="BB574" t="str">
        <v>Electronics</v>
      </c>
      <c r="BC574" t="str">
        <v>Lightbulb/Lamps</v>
      </c>
      <c r="BD574" t="str">
        <v>Europe</v>
      </c>
      <c r="BE574" t="str">
        <v>Ireland</v>
      </c>
      <c r="BF574">
        <v>-1.00081</v>
      </c>
      <c r="BG574">
        <v>-0.72381545000000003</v>
      </c>
      <c r="BH574">
        <v>-0.20626249999999999</v>
      </c>
      <c r="BI574" t="str">
        <v>DELETE</v>
      </c>
      <c r="BJ574" t="str">
        <v>DELETE</v>
      </c>
      <c r="BK574">
        <v>2.5860000000000001E-2</v>
      </c>
      <c r="BL574">
        <v>4.1574329443250999E-2</v>
      </c>
      <c r="BM574">
        <v>4.8919275480954698E-2</v>
      </c>
    </row>
    <row r="575" spans="3:65">
      <c r="C575" s="375">
        <v>7</v>
      </c>
      <c r="D575" s="374" t="s">
        <v>10157</v>
      </c>
      <c r="E575" s="375" t="s">
        <v>246</v>
      </c>
      <c r="F575" s="362" t="s">
        <v>548</v>
      </c>
      <c r="G575" s="362" t="s">
        <v>557</v>
      </c>
      <c r="H575" s="368">
        <v>-7.3412433500000009</v>
      </c>
      <c r="I575" s="368">
        <v>0</v>
      </c>
      <c r="J575" s="368">
        <v>0</v>
      </c>
      <c r="K575" s="368">
        <v>0</v>
      </c>
      <c r="L575" s="368">
        <v>0</v>
      </c>
      <c r="M575" s="368">
        <v>2.60277280442907E-2</v>
      </c>
      <c r="N575" s="368">
        <v>4.1574329443250999E-2</v>
      </c>
      <c r="O575" s="368">
        <v>4.8919275480954601E-2</v>
      </c>
      <c r="T575" s="49">
        <v>7</v>
      </c>
      <c r="U575" s="143" t="s">
        <v>264</v>
      </c>
      <c r="V575" s="33" t="s">
        <v>544</v>
      </c>
      <c r="W575" s="53" t="s">
        <v>548</v>
      </c>
      <c r="X575" s="53" t="s">
        <v>557</v>
      </c>
      <c r="Y575" s="172">
        <f>IFERROR(-tblZwaste1422[[#This Row],[Weight (kgCO2e/kg)]],0)</f>
        <v>-3.0939100000000002</v>
      </c>
      <c r="Z575" s="172">
        <f>IF(AQ575="x",(AR575*-tblZwaste1422[[#This Row],[Weight (kgCO2e/kg)]])+AS575+($AR$10*Lookups!$J$38/1000),"DELETE")</f>
        <v>-1.8644402423500002</v>
      </c>
      <c r="AA575" s="172">
        <v>0.15112249999999994</v>
      </c>
      <c r="AB575" s="172" t="s">
        <v>567</v>
      </c>
      <c r="AC575" s="172" t="s">
        <v>567</v>
      </c>
      <c r="AD575" s="172">
        <v>0.30337723610555101</v>
      </c>
      <c r="AE575" s="172">
        <v>-0.28116353554165502</v>
      </c>
      <c r="AF575" s="172">
        <v>0.70929560985617901</v>
      </c>
      <c r="AG575" s="150"/>
      <c r="AI575" s="137">
        <v>7</v>
      </c>
      <c r="AJ575" s="136" t="s">
        <v>264</v>
      </c>
      <c r="AK575" s="142" t="s">
        <v>544</v>
      </c>
      <c r="AL575" s="136" t="s">
        <v>548</v>
      </c>
      <c r="AM575" s="136" t="s">
        <v>557</v>
      </c>
      <c r="AN575" s="1">
        <v>3.0939100000000002</v>
      </c>
      <c r="AO575" s="166">
        <v>0.49807000000000001</v>
      </c>
      <c r="AQ575" t="str">
        <f>_xlfn.XLOOKUP(tblGWP21[[#This Row],[Material Subcategory]],ls_Mat,Factors!$K$952:$K$1023)</f>
        <v>x</v>
      </c>
      <c r="AR575" s="173">
        <v>0.65</v>
      </c>
      <c r="AS575">
        <v>0.14482945764999999</v>
      </c>
      <c r="AT575" t="s">
        <v>541</v>
      </c>
      <c r="BA575" cm="1">
        <f t="array" ref="BA575:BM575">tblGWP21[#This Row]</f>
        <v>7</v>
      </c>
      <c r="BB575" t="str">
        <v>Furniture/Textiles</v>
      </c>
      <c r="BC575" t="str">
        <v>Textiles</v>
      </c>
      <c r="BD575" t="str">
        <v>Europe</v>
      </c>
      <c r="BE575" t="str">
        <v>Ireland</v>
      </c>
      <c r="BF575">
        <v>-3.0939100000000002</v>
      </c>
      <c r="BG575">
        <v>-1.8644402423500002</v>
      </c>
      <c r="BH575">
        <v>0.15112249999999994</v>
      </c>
      <c r="BI575" t="str">
        <v>DELETE</v>
      </c>
      <c r="BJ575" t="str">
        <v>DELETE</v>
      </c>
      <c r="BK575">
        <v>0.30337723610555101</v>
      </c>
      <c r="BL575">
        <v>-0.28116353554165502</v>
      </c>
      <c r="BM575">
        <v>0.70929560985617901</v>
      </c>
    </row>
    <row r="576" spans="3:65">
      <c r="C576" s="6">
        <v>7</v>
      </c>
      <c r="D576" s="373" t="s">
        <v>10157</v>
      </c>
      <c r="E576" s="6" t="s">
        <v>243</v>
      </c>
      <c r="F576" s="136" t="s">
        <v>548</v>
      </c>
      <c r="G576" s="136" t="s">
        <v>557</v>
      </c>
      <c r="H576" s="191">
        <v>-2.8533815875203707</v>
      </c>
      <c r="I576" s="191">
        <v>0</v>
      </c>
      <c r="J576" s="191">
        <v>0</v>
      </c>
      <c r="K576" s="191">
        <v>-1.0337890576882003</v>
      </c>
      <c r="L576" s="191">
        <v>-1.598910555915438</v>
      </c>
      <c r="M576" s="191">
        <v>-0.47219559927819021</v>
      </c>
      <c r="N576" s="191">
        <v>-0.55722809232586346</v>
      </c>
      <c r="O576" s="191">
        <v>2.796932846020686E-2</v>
      </c>
      <c r="T576" s="49">
        <v>7</v>
      </c>
      <c r="U576" s="143" t="s">
        <v>237</v>
      </c>
      <c r="V576" s="33" t="s">
        <v>545</v>
      </c>
      <c r="W576" s="53" t="s">
        <v>548</v>
      </c>
      <c r="X576" s="53" t="s">
        <v>557</v>
      </c>
      <c r="Y576" s="172">
        <f>IFERROR(-tblZwaste1422[[#This Row],[Weight (kgCO2e/kg)]],0)</f>
        <v>-2.8533815875203707</v>
      </c>
      <c r="Z576" s="172" t="str">
        <f>IF(AQ576="x",(AR576*-tblZwaste1422[[#This Row],[Weight (kgCO2e/kg)]])+AS576+($AR$10*Lookups!$J$38/1000),"DELETE")</f>
        <v>DELETE</v>
      </c>
      <c r="AA576" s="176" t="s">
        <v>567</v>
      </c>
      <c r="AB576" s="172" t="s">
        <v>567</v>
      </c>
      <c r="AC576" s="172" t="s">
        <v>567</v>
      </c>
      <c r="AD576" s="172">
        <v>-0.47219559927819021</v>
      </c>
      <c r="AE576" s="172">
        <v>-0.55722809232586346</v>
      </c>
      <c r="AF576" s="172">
        <v>2.796932846020686E-2</v>
      </c>
      <c r="AG576" s="150"/>
      <c r="AI576" s="137">
        <v>7</v>
      </c>
      <c r="AJ576" s="136" t="s">
        <v>237</v>
      </c>
      <c r="AK576" s="142" t="s">
        <v>545</v>
      </c>
      <c r="AL576" s="136" t="s">
        <v>548</v>
      </c>
      <c r="AM576" s="136" t="s">
        <v>557</v>
      </c>
      <c r="AN576" s="1">
        <v>2.8533815875203707</v>
      </c>
      <c r="AO576" s="166">
        <v>1.0711602172222223</v>
      </c>
      <c r="AQ576">
        <f>_xlfn.XLOOKUP(tblGWP21[[#This Row],[Material Subcategory]],ls_Mat,Factors!$K$952:$K$1023)</f>
        <v>0</v>
      </c>
      <c r="BA576" cm="1">
        <f t="array" ref="BA576:BM576">tblGWP21[#This Row]</f>
        <v>7</v>
      </c>
      <c r="BB576" t="str">
        <v>Mixed/Custom</v>
      </c>
      <c r="BC576" t="str">
        <v>General other</v>
      </c>
      <c r="BD576" t="str">
        <v>Europe</v>
      </c>
      <c r="BE576" t="str">
        <v>Ireland</v>
      </c>
      <c r="BF576">
        <v>-2.8533815875203707</v>
      </c>
      <c r="BG576" t="str">
        <v>DELETE</v>
      </c>
      <c r="BH576" t="str">
        <v>DELETE</v>
      </c>
      <c r="BI576" t="str">
        <v>DELETE</v>
      </c>
      <c r="BJ576" t="str">
        <v>DELETE</v>
      </c>
      <c r="BK576">
        <v>-0.47219559927819021</v>
      </c>
      <c r="BL576">
        <v>-0.55722809232586346</v>
      </c>
      <c r="BM576">
        <v>2.796932846020686E-2</v>
      </c>
    </row>
    <row r="577" spans="3:65">
      <c r="C577" s="375">
        <v>7</v>
      </c>
      <c r="D577" s="374" t="s">
        <v>252</v>
      </c>
      <c r="E577" s="375" t="s">
        <v>333</v>
      </c>
      <c r="F577" s="362" t="s">
        <v>548</v>
      </c>
      <c r="G577" s="362" t="s">
        <v>557</v>
      </c>
      <c r="H577" s="368">
        <v>-2.0953266666666663</v>
      </c>
      <c r="I577" s="368">
        <v>0</v>
      </c>
      <c r="J577" s="368">
        <v>-4.402960361201381</v>
      </c>
      <c r="K577" s="368">
        <v>0</v>
      </c>
      <c r="L577" s="368">
        <v>0</v>
      </c>
      <c r="M577" s="368">
        <v>2.6027700521105999E-2</v>
      </c>
      <c r="N577" s="368">
        <v>0.57657859350782803</v>
      </c>
      <c r="O577" s="368">
        <v>2.18702518516894</v>
      </c>
      <c r="T577" s="49">
        <v>9</v>
      </c>
      <c r="U577" s="143" t="s">
        <v>233</v>
      </c>
      <c r="V577" s="33" t="s">
        <v>233</v>
      </c>
      <c r="W577" s="53" t="s">
        <v>548</v>
      </c>
      <c r="X577" s="53" t="s">
        <v>560</v>
      </c>
      <c r="Y577" s="172">
        <f>IFERROR(-tblZwaste1422[[#This Row],[Weight (kgCO2e/kg)]],0)</f>
        <v>0</v>
      </c>
      <c r="Z577" s="172">
        <f>AVERAGE(Z581:Z583)</f>
        <v>-0.13905086666666666</v>
      </c>
      <c r="AA577" s="176" t="s">
        <v>567</v>
      </c>
      <c r="AB577" s="172">
        <v>-1.4465894834512829</v>
      </c>
      <c r="AC577" s="172">
        <v>-2.0518320374194028</v>
      </c>
      <c r="AD577" s="172">
        <v>-1.0147705387647499</v>
      </c>
      <c r="AE577" s="172">
        <v>-0.89855534672062864</v>
      </c>
      <c r="AF577" s="172">
        <v>3.3141729514906244E-2</v>
      </c>
      <c r="AG577" s="150"/>
      <c r="AI577" s="137">
        <v>9</v>
      </c>
      <c r="AJ577" s="136"/>
      <c r="AK577" s="142"/>
      <c r="AL577" s="136" t="s">
        <v>548</v>
      </c>
      <c r="AM577" s="136" t="s">
        <v>560</v>
      </c>
      <c r="AN577" s="1" t="s">
        <v>525</v>
      </c>
      <c r="AO577" s="166" t="s">
        <v>525</v>
      </c>
      <c r="AQ577" t="e">
        <f>_xlfn.XLOOKUP(tblGWP21[[#This Row],[Material Subcategory]],ls_Mat,Factors!$K$952:$K$1023)</f>
        <v>#N/A</v>
      </c>
      <c r="AR577" s="173">
        <v>0.77500000000000002</v>
      </c>
      <c r="AS577">
        <v>0</v>
      </c>
      <c r="AT577" t="s">
        <v>527</v>
      </c>
      <c r="BA577" cm="1">
        <f t="array" ref="BA577:BM577">tblGWP21[#This Row]</f>
        <v>9</v>
      </c>
      <c r="BB577" t="str">
        <v>Wood/Yard Trimmings</v>
      </c>
      <c r="BC577" t="str">
        <v>Wood/Yard Trimmings</v>
      </c>
      <c r="BD577" t="str">
        <v>Europe</v>
      </c>
      <c r="BE577" t="str">
        <v>Spain</v>
      </c>
      <c r="BF577">
        <v>0</v>
      </c>
      <c r="BG577">
        <v>-0.13905086666666666</v>
      </c>
      <c r="BH577" t="str">
        <v>DELETE</v>
      </c>
      <c r="BI577">
        <v>-1.4465894834512829</v>
      </c>
      <c r="BJ577">
        <v>-2.0518320374194028</v>
      </c>
      <c r="BK577">
        <v>-1.0147705387647499</v>
      </c>
      <c r="BL577">
        <v>-0.89855534672062864</v>
      </c>
      <c r="BM577">
        <v>3.3141729514906244E-2</v>
      </c>
    </row>
    <row r="578" spans="3:65">
      <c r="C578" s="6">
        <v>7</v>
      </c>
      <c r="D578" s="373" t="s">
        <v>239</v>
      </c>
      <c r="E578" s="6" t="s">
        <v>542</v>
      </c>
      <c r="F578" s="136" t="s">
        <v>548</v>
      </c>
      <c r="G578" s="136" t="s">
        <v>557</v>
      </c>
      <c r="H578" s="191">
        <v>-2.6644477777777777</v>
      </c>
      <c r="I578" s="191">
        <v>0</v>
      </c>
      <c r="J578" s="191">
        <v>-0.84997287375215214</v>
      </c>
      <c r="K578" s="191">
        <v>-1.6414908500332299</v>
      </c>
      <c r="L578" s="191">
        <v>-2.3915506341225301</v>
      </c>
      <c r="M578" s="191">
        <v>-0.65531464971066899</v>
      </c>
      <c r="N578" s="191">
        <v>-0.86844475997422799</v>
      </c>
      <c r="O578" s="191">
        <v>2.7471991029133901E-2</v>
      </c>
      <c r="T578" s="49">
        <v>9</v>
      </c>
      <c r="U578" s="143" t="s">
        <v>233</v>
      </c>
      <c r="V578" s="33" t="s">
        <v>250</v>
      </c>
      <c r="W578" s="53" t="s">
        <v>548</v>
      </c>
      <c r="X578" s="53" t="s">
        <v>560</v>
      </c>
      <c r="Y578" s="172">
        <f>IFERROR(-tblZwaste1422[[#This Row],[Weight (kgCO2e/kg)]],0)</f>
        <v>0</v>
      </c>
      <c r="Z578" s="172" t="str">
        <f>IF(AQ578="x",(AR578*-tblZwaste1422[[#This Row],[Weight (kgCO2e/kg)]])+AS578+($AR$10*Lookups!$J$38/1000),"DELETE")</f>
        <v>DELETE</v>
      </c>
      <c r="AA578" s="176" t="s">
        <v>567</v>
      </c>
      <c r="AB578" s="172">
        <v>-1.7444456193798099</v>
      </c>
      <c r="AC578" s="172">
        <v>-2.15133317426544</v>
      </c>
      <c r="AD578" s="172">
        <v>-1.04606619673112</v>
      </c>
      <c r="AE578" s="172">
        <v>-0.96248112856352697</v>
      </c>
      <c r="AF578" s="172">
        <v>2.8432661136951001E-2</v>
      </c>
      <c r="AG578" s="150"/>
      <c r="AI578" s="137">
        <v>9</v>
      </c>
      <c r="AJ578" s="136"/>
      <c r="AK578" s="142"/>
      <c r="AL578" s="136" t="s">
        <v>548</v>
      </c>
      <c r="AM578" s="136" t="s">
        <v>560</v>
      </c>
      <c r="AN578" s="1" t="s">
        <v>525</v>
      </c>
      <c r="AO578" s="166" t="s">
        <v>525</v>
      </c>
      <c r="AQ578">
        <f>_xlfn.XLOOKUP(tblGWP21[[#This Row],[Material Subcategory]],ls_Mat,Factors!$K$952:$K$1023)</f>
        <v>0</v>
      </c>
      <c r="BA578" cm="1">
        <f t="array" ref="BA578:BM578">tblGWP21[#This Row]</f>
        <v>9</v>
      </c>
      <c r="BB578" t="str">
        <v>Wood/Yard Trimmings</v>
      </c>
      <c r="BC578" t="str">
        <v>Yard Trimmings – Leaves</v>
      </c>
      <c r="BD578" t="str">
        <v>Europe</v>
      </c>
      <c r="BE578" t="str">
        <v>Spain</v>
      </c>
      <c r="BF578">
        <v>0</v>
      </c>
      <c r="BG578" t="str">
        <v>DELETE</v>
      </c>
      <c r="BH578" t="str">
        <v>DELETE</v>
      </c>
      <c r="BI578">
        <v>-1.7444456193798099</v>
      </c>
      <c r="BJ578">
        <v>-2.15133317426544</v>
      </c>
      <c r="BK578">
        <v>-1.04606619673112</v>
      </c>
      <c r="BL578">
        <v>-0.96248112856352697</v>
      </c>
      <c r="BM578">
        <v>2.8432661136951001E-2</v>
      </c>
    </row>
    <row r="579" spans="3:65">
      <c r="C579" s="375">
        <v>7</v>
      </c>
      <c r="D579" s="374" t="s">
        <v>10157</v>
      </c>
      <c r="E579" s="375" t="s">
        <v>238</v>
      </c>
      <c r="F579" s="362" t="s">
        <v>548</v>
      </c>
      <c r="G579" s="362" t="s">
        <v>557</v>
      </c>
      <c r="H579" s="368">
        <v>-2.7046544444444445</v>
      </c>
      <c r="I579" s="368">
        <v>0</v>
      </c>
      <c r="J579" s="368">
        <v>0</v>
      </c>
      <c r="K579" s="368">
        <v>0</v>
      </c>
      <c r="L579" s="368">
        <v>0</v>
      </c>
      <c r="M579" s="368">
        <v>-0.14432885392200884</v>
      </c>
      <c r="N579" s="368">
        <v>-9.2923153453211393E-2</v>
      </c>
      <c r="O579" s="368">
        <v>0.5425732106840383</v>
      </c>
      <c r="T579" s="49">
        <v>9</v>
      </c>
      <c r="U579" s="143" t="s">
        <v>233</v>
      </c>
      <c r="V579" s="33" t="s">
        <v>249</v>
      </c>
      <c r="W579" s="53" t="s">
        <v>548</v>
      </c>
      <c r="X579" s="53" t="s">
        <v>560</v>
      </c>
      <c r="Y579" s="172">
        <f>IFERROR(-tblZwaste1422[[#This Row],[Weight (kgCO2e/kg)]],0)</f>
        <v>0</v>
      </c>
      <c r="Z579" s="172" t="str">
        <f>IF(AQ579="x",(AR579*-tblZwaste1422[[#This Row],[Weight (kgCO2e/kg)]])+AS579+($AR$10*Lookups!$J$38/1000),"DELETE")</f>
        <v>DELETE</v>
      </c>
      <c r="AA579" s="176" t="s">
        <v>567</v>
      </c>
      <c r="AB579" s="172">
        <v>-0.54331576734213405</v>
      </c>
      <c r="AC579" s="172">
        <v>-0.74737584322559403</v>
      </c>
      <c r="AD579" s="172">
        <v>1.6397822488806901E-2</v>
      </c>
      <c r="AE579" s="172">
        <v>-0.20437765258346099</v>
      </c>
      <c r="AF579" s="172">
        <v>2.57537679946644E-2</v>
      </c>
      <c r="AG579" s="150"/>
      <c r="AI579" s="137">
        <v>9</v>
      </c>
      <c r="AJ579" s="136"/>
      <c r="AK579" s="142"/>
      <c r="AL579" s="136" t="s">
        <v>548</v>
      </c>
      <c r="AM579" s="136" t="s">
        <v>560</v>
      </c>
      <c r="AN579" s="1" t="s">
        <v>525</v>
      </c>
      <c r="AO579" s="166" t="s">
        <v>525</v>
      </c>
      <c r="AQ579">
        <f>_xlfn.XLOOKUP(tblGWP21[[#This Row],[Material Subcategory]],ls_Mat,Factors!$K$952:$K$1023)</f>
        <v>0</v>
      </c>
      <c r="AU579" t="s">
        <v>526</v>
      </c>
      <c r="AV579" s="347">
        <v>0.5</v>
      </c>
      <c r="BA579" cm="1">
        <f t="array" ref="BA579:BM579">tblGWP21[#This Row]</f>
        <v>9</v>
      </c>
      <c r="BB579" t="str">
        <v>Wood/Yard Trimmings</v>
      </c>
      <c r="BC579" t="str">
        <v>Yard Trimmings – Grass</v>
      </c>
      <c r="BD579" t="str">
        <v>Europe</v>
      </c>
      <c r="BE579" t="str">
        <v>Spain</v>
      </c>
      <c r="BF579">
        <v>0</v>
      </c>
      <c r="BG579" t="str">
        <v>DELETE</v>
      </c>
      <c r="BH579" t="str">
        <v>DELETE</v>
      </c>
      <c r="BI579">
        <v>-0.54331576734213405</v>
      </c>
      <c r="BJ579">
        <v>-0.74737584322559403</v>
      </c>
      <c r="BK579">
        <v>1.6397822488806901E-2</v>
      </c>
      <c r="BL579">
        <v>-0.20437765258346099</v>
      </c>
      <c r="BM579">
        <v>2.57537679946644E-2</v>
      </c>
    </row>
    <row r="580" spans="3:65">
      <c r="C580" s="6">
        <v>7</v>
      </c>
      <c r="D580" s="373" t="s">
        <v>264</v>
      </c>
      <c r="E580" s="6" t="s">
        <v>264</v>
      </c>
      <c r="F580" s="136" t="s">
        <v>548</v>
      </c>
      <c r="G580" s="136" t="s">
        <v>557</v>
      </c>
      <c r="H580" s="191">
        <v>-1.9287117500000002</v>
      </c>
      <c r="I580" s="191">
        <v>-1.1070613798500002</v>
      </c>
      <c r="J580" s="191">
        <v>0.15112249999999994</v>
      </c>
      <c r="K580" s="191">
        <v>0</v>
      </c>
      <c r="L580" s="191">
        <v>0</v>
      </c>
      <c r="M580" s="191">
        <v>-0.34905933412625972</v>
      </c>
      <c r="N580" s="191">
        <v>-0.51727833021507164</v>
      </c>
      <c r="O580" s="191">
        <v>0.45991772694287147</v>
      </c>
      <c r="T580" s="49">
        <v>9</v>
      </c>
      <c r="U580" s="143" t="s">
        <v>233</v>
      </c>
      <c r="V580" s="33" t="s">
        <v>273</v>
      </c>
      <c r="W580" s="53" t="s">
        <v>548</v>
      </c>
      <c r="X580" s="53" t="s">
        <v>560</v>
      </c>
      <c r="Y580" s="172">
        <f>IFERROR(-tblZwaste1422[[#This Row],[Weight (kgCO2e/kg)]],0)</f>
        <v>0</v>
      </c>
      <c r="Z580" s="172" t="str">
        <f>IF(AQ580="x",(AR580*-tblZwaste1422[[#This Row],[Weight (kgCO2e/kg)]])+AS580+($AR$10*Lookups!$J$38/1000),"DELETE")</f>
        <v>DELETE</v>
      </c>
      <c r="AA580" s="176" t="s">
        <v>567</v>
      </c>
      <c r="AB580" s="172">
        <v>-1.64839534351149</v>
      </c>
      <c r="AC580" s="172">
        <v>-2.10125708841294</v>
      </c>
      <c r="AD580" s="172">
        <v>-0.80535595368464596</v>
      </c>
      <c r="AE580" s="172">
        <v>-0.93480761976751403</v>
      </c>
      <c r="AF580" s="172">
        <v>2.7208628075733401E-2</v>
      </c>
      <c r="AG580" s="150"/>
      <c r="AI580" s="137">
        <v>9</v>
      </c>
      <c r="AJ580" s="136"/>
      <c r="AK580" s="142"/>
      <c r="AL580" s="136" t="s">
        <v>548</v>
      </c>
      <c r="AM580" s="136" t="s">
        <v>560</v>
      </c>
      <c r="AN580" s="1" t="s">
        <v>525</v>
      </c>
      <c r="AO580" s="166" t="s">
        <v>525</v>
      </c>
      <c r="AQ580">
        <f>_xlfn.XLOOKUP(tblGWP21[[#This Row],[Material Subcategory]],ls_Mat,Factors!$K$952:$K$1023)</f>
        <v>0</v>
      </c>
      <c r="AR580" s="173"/>
      <c r="BA580" cm="1">
        <f t="array" ref="BA580:BM580">tblGWP21[#This Row]</f>
        <v>9</v>
      </c>
      <c r="BB580" t="str">
        <v>Wood/Yard Trimmings</v>
      </c>
      <c r="BC580" t="str">
        <v>Yard Trimming – Branches</v>
      </c>
      <c r="BD580" t="str">
        <v>Europe</v>
      </c>
      <c r="BE580" t="str">
        <v>Spain</v>
      </c>
      <c r="BF580">
        <v>0</v>
      </c>
      <c r="BG580" t="str">
        <v>DELETE</v>
      </c>
      <c r="BH580" t="str">
        <v>DELETE</v>
      </c>
      <c r="BI580">
        <v>-1.64839534351149</v>
      </c>
      <c r="BJ580">
        <v>-2.10125708841294</v>
      </c>
      <c r="BK580">
        <v>-0.80535595368464596</v>
      </c>
      <c r="BL580">
        <v>-0.93480761976751403</v>
      </c>
      <c r="BM580">
        <v>2.7208628075733401E-2</v>
      </c>
    </row>
    <row r="581" spans="3:65">
      <c r="C581" s="375">
        <v>7</v>
      </c>
      <c r="D581" s="374" t="s">
        <v>264</v>
      </c>
      <c r="E581" s="375" t="s">
        <v>336</v>
      </c>
      <c r="F581" s="362" t="s">
        <v>548</v>
      </c>
      <c r="G581" s="362" t="s">
        <v>557</v>
      </c>
      <c r="H581" s="368">
        <v>-0.76351350000000007</v>
      </c>
      <c r="I581" s="368">
        <v>-0.34968251735000005</v>
      </c>
      <c r="J581" s="368">
        <v>0</v>
      </c>
      <c r="K581" s="368">
        <v>-1.64845660766307</v>
      </c>
      <c r="L581" s="368">
        <v>-2.6275101998635302</v>
      </c>
      <c r="M581" s="368">
        <v>-1.0014959043580705</v>
      </c>
      <c r="N581" s="368">
        <v>-0.75339312488848831</v>
      </c>
      <c r="O581" s="368">
        <v>0.21053984402956388</v>
      </c>
      <c r="T581" s="49">
        <v>9</v>
      </c>
      <c r="U581" s="143" t="s">
        <v>233</v>
      </c>
      <c r="V581" s="33" t="s">
        <v>330</v>
      </c>
      <c r="W581" s="53" t="s">
        <v>548</v>
      </c>
      <c r="X581" s="53" t="s">
        <v>560</v>
      </c>
      <c r="Y581" s="172">
        <f>IFERROR(-tblZwaste1422[[#This Row],[Weight (kgCO2e/kg)]],0)</f>
        <v>-0.14119999999999999</v>
      </c>
      <c r="Z581" s="172">
        <f>IF(AQ581="x",(AR581*-tblZwaste1422[[#This Row],[Weight (kgCO2e/kg)]])+AS581+($AR$10*Lookups!$J$38/1000),"DELETE")</f>
        <v>-0.1076582</v>
      </c>
      <c r="AA581" s="176" t="s">
        <v>567</v>
      </c>
      <c r="AB581" s="172" t="s">
        <v>567</v>
      </c>
      <c r="AC581" s="172" t="s">
        <v>567</v>
      </c>
      <c r="AD581" s="172">
        <v>-1.4821654588029001</v>
      </c>
      <c r="AE581" s="172">
        <v>-1.0885323543921701</v>
      </c>
      <c r="AF581" s="172">
        <v>5.3036830153930299E-2</v>
      </c>
      <c r="AG581" s="150"/>
      <c r="AI581" s="137">
        <v>9</v>
      </c>
      <c r="AJ581" s="136" t="s">
        <v>330</v>
      </c>
      <c r="AK581" s="142" t="s">
        <v>330</v>
      </c>
      <c r="AL581" s="136" t="s">
        <v>548</v>
      </c>
      <c r="AM581" s="136" t="s">
        <v>560</v>
      </c>
      <c r="AN581" s="1">
        <v>0.14119999999999999</v>
      </c>
      <c r="AO581" s="166">
        <v>0.43014000000000002</v>
      </c>
      <c r="AQ581" t="str">
        <f>_xlfn.XLOOKUP(tblGWP21[[#This Row],[Material Subcategory]],ls_Mat,Factors!$K$952:$K$1023)</f>
        <v>x</v>
      </c>
      <c r="AR581" s="173">
        <v>0.77500000000000002</v>
      </c>
      <c r="AS581">
        <v>0</v>
      </c>
      <c r="AT581" t="s">
        <v>527</v>
      </c>
      <c r="BA581" cm="1">
        <f t="array" ref="BA581:BM581">tblGWP21[#This Row]</f>
        <v>9</v>
      </c>
      <c r="BB581" t="str">
        <v>Wood/Yard Trimmings</v>
      </c>
      <c r="BC581" t="str">
        <v>Wood</v>
      </c>
      <c r="BD581" t="str">
        <v>Europe</v>
      </c>
      <c r="BE581" t="str">
        <v>Spain</v>
      </c>
      <c r="BF581">
        <v>-0.14119999999999999</v>
      </c>
      <c r="BG581">
        <v>-0.1076582</v>
      </c>
      <c r="BH581" t="str">
        <v>DELETE</v>
      </c>
      <c r="BI581" t="str">
        <v>DELETE</v>
      </c>
      <c r="BJ581" t="str">
        <v>DELETE</v>
      </c>
      <c r="BK581">
        <v>-1.4821654588029001</v>
      </c>
      <c r="BL581">
        <v>-1.0885323543921701</v>
      </c>
      <c r="BM581">
        <v>5.3036830153930299E-2</v>
      </c>
    </row>
    <row r="582" spans="3:65">
      <c r="C582" s="6">
        <v>7</v>
      </c>
      <c r="D582" s="373" t="s">
        <v>242</v>
      </c>
      <c r="E582" s="6" t="s">
        <v>251</v>
      </c>
      <c r="F582" s="136" t="s">
        <v>548</v>
      </c>
      <c r="G582" s="136" t="s">
        <v>557</v>
      </c>
      <c r="H582" s="191">
        <v>-4.9218200000000003</v>
      </c>
      <c r="I582" s="191">
        <v>-3.5665477000000001</v>
      </c>
      <c r="J582" s="191">
        <v>-1.2190350000000001</v>
      </c>
      <c r="K582" s="191">
        <v>0</v>
      </c>
      <c r="L582" s="191">
        <v>0</v>
      </c>
      <c r="M582" s="191">
        <v>2.5960616096945159E-2</v>
      </c>
      <c r="N582" s="191">
        <v>0.19484109381622955</v>
      </c>
      <c r="O582" s="191">
        <v>0.84734387889574292</v>
      </c>
      <c r="T582" s="49">
        <v>9</v>
      </c>
      <c r="U582" s="143" t="s">
        <v>233</v>
      </c>
      <c r="V582" s="33" t="s">
        <v>335</v>
      </c>
      <c r="W582" s="53" t="s">
        <v>548</v>
      </c>
      <c r="X582" s="53" t="s">
        <v>560</v>
      </c>
      <c r="Y582" s="172">
        <f>IFERROR(-tblZwaste1422[[#This Row],[Weight (kgCO2e/kg)]],0)</f>
        <v>-0.26272000000000001</v>
      </c>
      <c r="Z582" s="172">
        <f>IF(AQ582="x",(AR582*-tblZwaste1422[[#This Row],[Weight (kgCO2e/kg)]])+AS582+($AR$10*Lookups!$J$38/1000),"DELETE")</f>
        <v>-0.20183620000000002</v>
      </c>
      <c r="AA582" s="176" t="s">
        <v>567</v>
      </c>
      <c r="AB582" s="172">
        <v>-1.64839534351149</v>
      </c>
      <c r="AC582" s="172">
        <v>-2.6295970405965199</v>
      </c>
      <c r="AD582" s="172">
        <v>-1.3857167229293199</v>
      </c>
      <c r="AE582" s="172">
        <v>-1.10056666250855</v>
      </c>
      <c r="AF582" s="172">
        <v>3.2209244864079202E-2</v>
      </c>
      <c r="AG582" s="150"/>
      <c r="AI582" s="137">
        <v>9</v>
      </c>
      <c r="AJ582" s="136" t="s">
        <v>330</v>
      </c>
      <c r="AK582" s="142" t="s">
        <v>335</v>
      </c>
      <c r="AL582" s="136" t="s">
        <v>548</v>
      </c>
      <c r="AM582" s="136" t="s">
        <v>560</v>
      </c>
      <c r="AN582" s="1">
        <v>0.26272000000000001</v>
      </c>
      <c r="AO582" s="166">
        <v>0.43014000000000002</v>
      </c>
      <c r="AQ582" t="str">
        <f>_xlfn.XLOOKUP(tblGWP21[[#This Row],[Material Subcategory]],ls_Mat,Factors!$K$952:$K$1023)</f>
        <v>x</v>
      </c>
      <c r="AR582" s="173">
        <v>0.77500000000000002</v>
      </c>
      <c r="AS582">
        <v>0</v>
      </c>
      <c r="AT582" t="s">
        <v>527</v>
      </c>
      <c r="BA582" cm="1">
        <f t="array" ref="BA582:BM582">tblGWP21[#This Row]</f>
        <v>9</v>
      </c>
      <c r="BB582" t="str">
        <v>Wood/Yard Trimmings</v>
      </c>
      <c r="BC582" t="str">
        <v>Pallets</v>
      </c>
      <c r="BD582" t="str">
        <v>Europe</v>
      </c>
      <c r="BE582" t="str">
        <v>Spain</v>
      </c>
      <c r="BF582">
        <v>-0.26272000000000001</v>
      </c>
      <c r="BG582">
        <v>-0.20183620000000002</v>
      </c>
      <c r="BH582" t="str">
        <v>DELETE</v>
      </c>
      <c r="BI582">
        <v>-1.64839534351149</v>
      </c>
      <c r="BJ582">
        <v>-2.6295970405965199</v>
      </c>
      <c r="BK582">
        <v>-1.3857167229293199</v>
      </c>
      <c r="BL582">
        <v>-1.10056666250855</v>
      </c>
      <c r="BM582">
        <v>3.2209244864079202E-2</v>
      </c>
    </row>
    <row r="583" spans="3:65">
      <c r="C583" s="375">
        <v>7</v>
      </c>
      <c r="D583" s="374" t="s">
        <v>242</v>
      </c>
      <c r="E583" s="375" t="s">
        <v>543</v>
      </c>
      <c r="F583" s="362" t="s">
        <v>548</v>
      </c>
      <c r="G583" s="362" t="s">
        <v>557</v>
      </c>
      <c r="H583" s="368">
        <v>-1.00081</v>
      </c>
      <c r="I583" s="368">
        <v>-0.72381545000000003</v>
      </c>
      <c r="J583" s="368">
        <v>-0.20626249999999999</v>
      </c>
      <c r="K583" s="368">
        <v>0</v>
      </c>
      <c r="L583" s="368">
        <v>0</v>
      </c>
      <c r="M583" s="368">
        <v>2.5860000000000001E-2</v>
      </c>
      <c r="N583" s="368">
        <v>4.1574329443250999E-2</v>
      </c>
      <c r="O583" s="368">
        <v>4.8919275480954698E-2</v>
      </c>
      <c r="T583" s="49">
        <v>9</v>
      </c>
      <c r="U583" s="143" t="s">
        <v>233</v>
      </c>
      <c r="V583" s="33" t="s">
        <v>326</v>
      </c>
      <c r="W583" s="53" t="s">
        <v>548</v>
      </c>
      <c r="X583" s="53" t="s">
        <v>560</v>
      </c>
      <c r="Y583" s="172">
        <f>IFERROR(-tblZwaste1422[[#This Row],[Weight (kgCO2e/kg)]],0)</f>
        <v>-0.14119999999999999</v>
      </c>
      <c r="Z583" s="172">
        <f>IF(AQ583="x",(AR583*-tblZwaste1422[[#This Row],[Weight (kgCO2e/kg)]])+AS583+($AR$10*Lookups!$J$38/1000),"DELETE")</f>
        <v>-0.1076582</v>
      </c>
      <c r="AA583" s="176" t="s">
        <v>567</v>
      </c>
      <c r="AB583" s="172">
        <v>-1.64839534351149</v>
      </c>
      <c r="AC583" s="172">
        <v>-2.6295970405965199</v>
      </c>
      <c r="AD583" s="172">
        <v>-1.3857167229293199</v>
      </c>
      <c r="AE583" s="172">
        <v>-1.10056666250855</v>
      </c>
      <c r="AF583" s="172">
        <v>3.2209244864079202E-2</v>
      </c>
      <c r="AG583" s="150"/>
      <c r="AI583" s="137">
        <v>9</v>
      </c>
      <c r="AJ583" s="136" t="s">
        <v>330</v>
      </c>
      <c r="AK583" s="142" t="s">
        <v>326</v>
      </c>
      <c r="AL583" s="136" t="s">
        <v>548</v>
      </c>
      <c r="AM583" s="136" t="s">
        <v>560</v>
      </c>
      <c r="AN583" s="1">
        <v>0.14119999999999999</v>
      </c>
      <c r="AO583" s="166">
        <v>0.43014000000000002</v>
      </c>
      <c r="AQ583" t="str">
        <f>_xlfn.XLOOKUP(tblGWP21[[#This Row],[Material Subcategory]],ls_Mat,Factors!$K$952:$K$1023)</f>
        <v>x</v>
      </c>
      <c r="AR583" s="173">
        <v>0.77500000000000002</v>
      </c>
      <c r="AS583">
        <v>0</v>
      </c>
      <c r="AT583" t="s">
        <v>527</v>
      </c>
      <c r="BA583" cm="1">
        <f t="array" ref="BA583:BM583">tblGWP21[#This Row]</f>
        <v>9</v>
      </c>
      <c r="BB583" t="str">
        <v>Wood/Yard Trimmings</v>
      </c>
      <c r="BC583" t="str">
        <v>Other Wood</v>
      </c>
      <c r="BD583" t="str">
        <v>Europe</v>
      </c>
      <c r="BE583" t="str">
        <v>Spain</v>
      </c>
      <c r="BF583">
        <v>-0.14119999999999999</v>
      </c>
      <c r="BG583">
        <v>-0.1076582</v>
      </c>
      <c r="BH583" t="str">
        <v>DELETE</v>
      </c>
      <c r="BI583">
        <v>-1.64839534351149</v>
      </c>
      <c r="BJ583">
        <v>-2.6295970405965199</v>
      </c>
      <c r="BK583">
        <v>-1.3857167229293199</v>
      </c>
      <c r="BL583">
        <v>-1.10056666250855</v>
      </c>
      <c r="BM583">
        <v>3.2209244864079202E-2</v>
      </c>
    </row>
    <row r="584" spans="3:65">
      <c r="C584" s="6">
        <v>7</v>
      </c>
      <c r="D584" s="373" t="s">
        <v>264</v>
      </c>
      <c r="E584" s="6" t="s">
        <v>544</v>
      </c>
      <c r="F584" s="136" t="s">
        <v>548</v>
      </c>
      <c r="G584" s="136" t="s">
        <v>557</v>
      </c>
      <c r="H584" s="191">
        <v>-3.0939100000000002</v>
      </c>
      <c r="I584" s="191">
        <v>-1.8644402423500002</v>
      </c>
      <c r="J584" s="191">
        <v>0.15112249999999994</v>
      </c>
      <c r="K584" s="191">
        <v>0</v>
      </c>
      <c r="L584" s="191">
        <v>0</v>
      </c>
      <c r="M584" s="191">
        <v>0.30337723610555101</v>
      </c>
      <c r="N584" s="191">
        <v>-0.28116353554165502</v>
      </c>
      <c r="O584" s="191">
        <v>0.70929560985617901</v>
      </c>
      <c r="T584" s="49">
        <v>9</v>
      </c>
      <c r="U584" s="143" t="s">
        <v>261</v>
      </c>
      <c r="V584" s="33" t="s">
        <v>261</v>
      </c>
      <c r="W584" s="53" t="s">
        <v>548</v>
      </c>
      <c r="X584" s="53" t="s">
        <v>560</v>
      </c>
      <c r="Y584" s="172">
        <f>IFERROR(-tblZwaste1422[[#This Row],[Weight (kgCO2e/kg)]],0)</f>
        <v>-4.72241</v>
      </c>
      <c r="Z584" s="172" t="e">
        <f>IF(AQ584="x",(AR584*-tblZwaste1422[[#This Row],[Weight (kgCO2e/kg)]])+AS584+($AR$10*Lookups!$J$38/1000),"DELETE")</f>
        <v>#N/A</v>
      </c>
      <c r="AA584" s="176" t="s">
        <v>567</v>
      </c>
      <c r="AB584" s="172">
        <v>-0.36338662684963602</v>
      </c>
      <c r="AC584" s="172">
        <v>-0.6028485363299616</v>
      </c>
      <c r="AD584" s="172">
        <v>0.13199672782830352</v>
      </c>
      <c r="AE584" s="172">
        <v>-0.18858165962512602</v>
      </c>
      <c r="AF584" s="172">
        <v>2.5407116323640601E-2</v>
      </c>
      <c r="AG584" s="150"/>
      <c r="AI584" s="137">
        <v>9</v>
      </c>
      <c r="AJ584" s="136" t="s">
        <v>529</v>
      </c>
      <c r="AK584" s="142" t="s">
        <v>529</v>
      </c>
      <c r="AL584" s="136" t="s">
        <v>548</v>
      </c>
      <c r="AM584" s="136" t="s">
        <v>560</v>
      </c>
      <c r="AN584" s="1">
        <v>4.72241</v>
      </c>
      <c r="AO584" s="166">
        <v>1.758</v>
      </c>
      <c r="AQ584" t="e">
        <f>_xlfn.XLOOKUP(tblGWP21[[#This Row],[Material Subcategory]],ls_Mat,Factors!$K$952:$K$1023)</f>
        <v>#N/A</v>
      </c>
      <c r="AR584" s="347">
        <v>0.5</v>
      </c>
      <c r="AS584">
        <v>0</v>
      </c>
      <c r="AT584" t="s">
        <v>528</v>
      </c>
      <c r="BA584" cm="1">
        <f t="array" ref="BA584:BM584">tblGWP21[#This Row]</f>
        <v>9</v>
      </c>
      <c r="BB584" t="str">
        <v>Food Waste</v>
      </c>
      <c r="BC584" t="str">
        <v>Food Waste</v>
      </c>
      <c r="BD584" t="str">
        <v>Europe</v>
      </c>
      <c r="BE584" t="str">
        <v>Spain</v>
      </c>
      <c r="BF584">
        <v>-4.72241</v>
      </c>
      <c r="BG584" t="e">
        <v>#N/A</v>
      </c>
      <c r="BH584" t="str">
        <v>DELETE</v>
      </c>
      <c r="BI584">
        <v>-0.36338662684963602</v>
      </c>
      <c r="BJ584">
        <v>-0.6028485363299616</v>
      </c>
      <c r="BK584">
        <v>0.13199672782830352</v>
      </c>
      <c r="BL584">
        <v>-0.18858165962512602</v>
      </c>
      <c r="BM584">
        <v>2.5407116323640601E-2</v>
      </c>
    </row>
    <row r="585" spans="3:65">
      <c r="C585" s="375">
        <v>7</v>
      </c>
      <c r="D585" s="374" t="s">
        <v>10157</v>
      </c>
      <c r="E585" s="375" t="s">
        <v>545</v>
      </c>
      <c r="F585" s="362" t="s">
        <v>548</v>
      </c>
      <c r="G585" s="362" t="s">
        <v>557</v>
      </c>
      <c r="H585" s="368">
        <v>-2.8533815875203707</v>
      </c>
      <c r="I585" s="368">
        <v>0</v>
      </c>
      <c r="J585" s="368">
        <v>0</v>
      </c>
      <c r="K585" s="368">
        <v>0</v>
      </c>
      <c r="L585" s="368">
        <v>0</v>
      </c>
      <c r="M585" s="368">
        <v>-0.47219559927819021</v>
      </c>
      <c r="N585" s="368">
        <v>-0.55722809232586346</v>
      </c>
      <c r="O585" s="368">
        <v>2.796932846020686E-2</v>
      </c>
      <c r="T585" s="49">
        <v>9</v>
      </c>
      <c r="U585" s="143" t="s">
        <v>261</v>
      </c>
      <c r="V585" s="33" t="s">
        <v>269</v>
      </c>
      <c r="W585" s="53" t="s">
        <v>548</v>
      </c>
      <c r="X585" s="53" t="s">
        <v>560</v>
      </c>
      <c r="Y585" s="172">
        <f>IFERROR(-tblZwaste1422[[#This Row],[Weight (kgCO2e/kg)]],0)</f>
        <v>-0.25034000000000001</v>
      </c>
      <c r="Z585" s="172">
        <f>IF(AQ585="x",(AR585*-tblZwaste1422[[#This Row],[Weight (kgCO2e/kg)]])+AS585+($AR$10*Lookups!$J$38/1000),"DELETE")</f>
        <v>-0.1233982</v>
      </c>
      <c r="AA585" s="176" t="s">
        <v>567</v>
      </c>
      <c r="AB585" s="172">
        <v>-0.30333658585129503</v>
      </c>
      <c r="AC585" s="172">
        <v>-0.51195410091665805</v>
      </c>
      <c r="AD585" s="172">
        <v>0.16379494601613701</v>
      </c>
      <c r="AE585" s="172">
        <v>-0.13067934396277101</v>
      </c>
      <c r="AF585" s="172">
        <v>2.5084955533146901E-2</v>
      </c>
      <c r="AG585" s="150"/>
      <c r="AI585" s="137">
        <v>9</v>
      </c>
      <c r="AJ585" s="136" t="s">
        <v>529</v>
      </c>
      <c r="AK585" s="142" t="s">
        <v>327</v>
      </c>
      <c r="AL585" s="136" t="s">
        <v>548</v>
      </c>
      <c r="AM585" s="136" t="s">
        <v>560</v>
      </c>
      <c r="AN585" s="1">
        <v>0.25034000000000001</v>
      </c>
      <c r="AO585" s="166">
        <v>0.99672000000000005</v>
      </c>
      <c r="AQ585" t="str">
        <f>_xlfn.XLOOKUP(tblGWP21[[#This Row],[Material Subcategory]],ls_Mat,Factors!$K$952:$K$1023)</f>
        <v>x</v>
      </c>
      <c r="AR585" s="347">
        <v>0.5</v>
      </c>
      <c r="AS585">
        <v>0</v>
      </c>
      <c r="AT585" t="s">
        <v>528</v>
      </c>
      <c r="BA585" cm="1">
        <f t="array" ref="BA585:BM585">tblGWP21[#This Row]</f>
        <v>9</v>
      </c>
      <c r="BB585" t="str">
        <v>Food Waste</v>
      </c>
      <c r="BC585" t="str">
        <v>Food Waste – Vegetable</v>
      </c>
      <c r="BD585" t="str">
        <v>Europe</v>
      </c>
      <c r="BE585" t="str">
        <v>Spain</v>
      </c>
      <c r="BF585">
        <v>-0.25034000000000001</v>
      </c>
      <c r="BG585">
        <v>-0.1233982</v>
      </c>
      <c r="BH585" t="str">
        <v>DELETE</v>
      </c>
      <c r="BI585">
        <v>-0.30333658585129503</v>
      </c>
      <c r="BJ585">
        <v>-0.51195410091665805</v>
      </c>
      <c r="BK585">
        <v>0.16379494601613701</v>
      </c>
      <c r="BL585">
        <v>-0.13067934396277101</v>
      </c>
      <c r="BM585">
        <v>2.5084955533146901E-2</v>
      </c>
    </row>
    <row r="586" spans="3:65" ht="28.8">
      <c r="C586" s="136">
        <v>7</v>
      </c>
      <c r="D586" s="137" t="s">
        <v>10169</v>
      </c>
      <c r="E586" s="136" t="s">
        <v>10170</v>
      </c>
      <c r="F586" s="136" t="s">
        <v>548</v>
      </c>
      <c r="G586" s="136" t="s">
        <v>557</v>
      </c>
      <c r="H586" s="191">
        <v>-0.74582333333333339</v>
      </c>
      <c r="I586" s="191">
        <v>-0.58351400000000009</v>
      </c>
      <c r="J586" s="191">
        <v>0.3259926084346883</v>
      </c>
      <c r="K586" s="191">
        <v>0</v>
      </c>
      <c r="L586" s="191">
        <v>0</v>
      </c>
      <c r="M586" s="191">
        <v>0.45668176288049178</v>
      </c>
      <c r="N586" s="191">
        <v>1.0683983533052401</v>
      </c>
      <c r="O586" s="191">
        <v>1.142290877337675</v>
      </c>
      <c r="T586" s="48">
        <v>9</v>
      </c>
      <c r="U586" s="46" t="s">
        <v>261</v>
      </c>
      <c r="V586" s="53" t="s">
        <v>530</v>
      </c>
      <c r="W586" s="53" t="s">
        <v>548</v>
      </c>
      <c r="X586" s="53" t="s">
        <v>560</v>
      </c>
      <c r="Y586" s="172">
        <f>IFERROR(-tblZwaste1422[[#This Row],[Weight (kgCO2e/kg)]],0)</f>
        <v>-9.1944800000000004</v>
      </c>
      <c r="Z586" s="172">
        <f>IF(AQ586="x",(AR586*-tblZwaste1422[[#This Row],[Weight (kgCO2e/kg)]])+AS586+($AR$10*Lookups!$J$38/1000),"DELETE")</f>
        <v>-4.5954682</v>
      </c>
      <c r="AA586" s="176" t="s">
        <v>567</v>
      </c>
      <c r="AB586" s="172">
        <v>-0.42343666784797701</v>
      </c>
      <c r="AC586" s="172">
        <v>-0.69374297174326505</v>
      </c>
      <c r="AD586" s="172">
        <v>0.10019850964047</v>
      </c>
      <c r="AE586" s="172">
        <v>-0.24648397528748101</v>
      </c>
      <c r="AF586" s="172">
        <v>2.5729277114134301E-2</v>
      </c>
      <c r="AG586" s="150"/>
      <c r="AI586" s="137">
        <v>9</v>
      </c>
      <c r="AJ586" s="136" t="s">
        <v>529</v>
      </c>
      <c r="AK586" s="142" t="s">
        <v>331</v>
      </c>
      <c r="AL586" s="136" t="s">
        <v>548</v>
      </c>
      <c r="AM586" s="136" t="s">
        <v>560</v>
      </c>
      <c r="AN586" s="1">
        <v>9.1944800000000004</v>
      </c>
      <c r="AO586" s="166">
        <v>2.5192800000000002</v>
      </c>
      <c r="AQ586" t="str">
        <f>_xlfn.XLOOKUP(tblGWP21[[#This Row],[Material Subcategory]],ls_Mat,Factors!$K$952:$K$1023)</f>
        <v>x</v>
      </c>
      <c r="AR586" s="347">
        <v>0.5</v>
      </c>
      <c r="AS586">
        <v>0</v>
      </c>
      <c r="AT586" t="s">
        <v>528</v>
      </c>
      <c r="BA586" cm="1">
        <f t="array" ref="BA586:BM586">tblGWP21[#This Row]</f>
        <v>9</v>
      </c>
      <c r="BB586" t="str">
        <v>Food Waste</v>
      </c>
      <c r="BC586" t="str">
        <v>Food Waste – Non-Vegetable</v>
      </c>
      <c r="BD586" t="str">
        <v>Europe</v>
      </c>
      <c r="BE586" t="str">
        <v>Spain</v>
      </c>
      <c r="BF586">
        <v>-9.1944800000000004</v>
      </c>
      <c r="BG586">
        <v>-4.5954682</v>
      </c>
      <c r="BH586" t="str">
        <v>DELETE</v>
      </c>
      <c r="BI586">
        <v>-0.42343666784797701</v>
      </c>
      <c r="BJ586">
        <v>-0.69374297174326505</v>
      </c>
      <c r="BK586">
        <v>0.10019850964047</v>
      </c>
      <c r="BL586">
        <v>-0.24648397528748101</v>
      </c>
      <c r="BM586">
        <v>2.5729277114134301E-2</v>
      </c>
    </row>
    <row r="587" spans="3:65">
      <c r="C587" s="375">
        <v>9</v>
      </c>
      <c r="D587" s="374" t="s">
        <v>233</v>
      </c>
      <c r="E587" s="375" t="s">
        <v>233</v>
      </c>
      <c r="F587" s="362" t="s">
        <v>548</v>
      </c>
      <c r="G587" s="362" t="s">
        <v>560</v>
      </c>
      <c r="H587" s="368">
        <v>0</v>
      </c>
      <c r="I587" s="368">
        <v>-0.13905086666666666</v>
      </c>
      <c r="J587" s="368">
        <v>0</v>
      </c>
      <c r="K587" s="368">
        <v>-1.4465894834512829</v>
      </c>
      <c r="L587" s="368">
        <v>-2.0518320374194028</v>
      </c>
      <c r="M587" s="368">
        <v>-1.0147705387647499</v>
      </c>
      <c r="N587" s="368">
        <v>-0.89855534672062864</v>
      </c>
      <c r="O587" s="368">
        <v>3.3141729514906244E-2</v>
      </c>
      <c r="T587" s="49">
        <v>9</v>
      </c>
      <c r="U587" s="143" t="s">
        <v>261</v>
      </c>
      <c r="V587" s="33" t="s">
        <v>262</v>
      </c>
      <c r="W587" s="53" t="s">
        <v>548</v>
      </c>
      <c r="X587" s="53" t="s">
        <v>560</v>
      </c>
      <c r="Y587" s="172">
        <f>IFERROR(-tblZwaste1422[[#This Row],[Weight (kgCO2e/kg)]],0)</f>
        <v>-2.5034000000000001</v>
      </c>
      <c r="Z587" s="172" t="str">
        <f>IF(AQ587="x",(AR587*-tblZwaste1422[[#This Row],[Weight (kgCO2e/kg)]])+AS587+($AR$10*Lookups!$J$38/1000),"DELETE")</f>
        <v>DELETE</v>
      </c>
      <c r="AA587" s="176" t="s">
        <v>567</v>
      </c>
      <c r="AB587" s="172">
        <v>-0.42343666784797701</v>
      </c>
      <c r="AC587" s="172">
        <v>-0.69374297174326505</v>
      </c>
      <c r="AD587" s="172">
        <v>0.10019850964047</v>
      </c>
      <c r="AE587" s="172">
        <v>-0.24648397528748101</v>
      </c>
      <c r="AF587" s="172">
        <v>2.5729277114134301E-2</v>
      </c>
      <c r="AG587" s="150"/>
      <c r="AI587" s="137">
        <v>9</v>
      </c>
      <c r="AJ587" s="136" t="s">
        <v>529</v>
      </c>
      <c r="AK587" s="142" t="s">
        <v>332</v>
      </c>
      <c r="AL587" s="136" t="s">
        <v>548</v>
      </c>
      <c r="AM587" s="136" t="s">
        <v>560</v>
      </c>
      <c r="AN587" s="1">
        <v>2.5034000000000001</v>
      </c>
      <c r="AO587" s="166">
        <v>1.0183800000000001</v>
      </c>
      <c r="AQ587">
        <f>_xlfn.XLOOKUP(tblGWP21[[#This Row],[Material Subcategory]],ls_Mat,Factors!$K$952:$K$1023)</f>
        <v>0</v>
      </c>
      <c r="AR587" s="347">
        <v>0.5</v>
      </c>
      <c r="AS587">
        <v>0</v>
      </c>
      <c r="AT587" t="s">
        <v>528</v>
      </c>
      <c r="BA587" cm="1">
        <f t="array" ref="BA587:BM587">tblGWP21[#This Row]</f>
        <v>9</v>
      </c>
      <c r="BB587" t="str">
        <v>Food Waste</v>
      </c>
      <c r="BC587" t="str">
        <v>Oils/Grease</v>
      </c>
      <c r="BD587" t="str">
        <v>Europe</v>
      </c>
      <c r="BE587" t="str">
        <v>Spain</v>
      </c>
      <c r="BF587">
        <v>-2.5034000000000001</v>
      </c>
      <c r="BG587" t="str">
        <v>DELETE</v>
      </c>
      <c r="BH587" t="str">
        <v>DELETE</v>
      </c>
      <c r="BI587">
        <v>-0.42343666784797701</v>
      </c>
      <c r="BJ587">
        <v>-0.69374297174326505</v>
      </c>
      <c r="BK587">
        <v>0.10019850964047</v>
      </c>
      <c r="BL587">
        <v>-0.24648397528748101</v>
      </c>
      <c r="BM587">
        <v>2.5729277114134301E-2</v>
      </c>
    </row>
    <row r="588" spans="3:65">
      <c r="C588" s="6">
        <v>9</v>
      </c>
      <c r="D588" s="373" t="s">
        <v>233</v>
      </c>
      <c r="E588" s="6" t="s">
        <v>250</v>
      </c>
      <c r="F588" s="136" t="s">
        <v>548</v>
      </c>
      <c r="G588" s="136" t="s">
        <v>560</v>
      </c>
      <c r="H588" s="191">
        <v>0</v>
      </c>
      <c r="I588" s="191">
        <v>0</v>
      </c>
      <c r="J588" s="191">
        <v>0</v>
      </c>
      <c r="K588" s="191">
        <v>-1.7444456193798099</v>
      </c>
      <c r="L588" s="191">
        <v>-2.15133317426544</v>
      </c>
      <c r="M588" s="191">
        <v>-1.04606619673112</v>
      </c>
      <c r="N588" s="191">
        <v>-0.96248112856352697</v>
      </c>
      <c r="O588" s="191">
        <v>2.8432661136951001E-2</v>
      </c>
      <c r="T588" s="49">
        <v>9</v>
      </c>
      <c r="U588" s="143" t="s">
        <v>252</v>
      </c>
      <c r="V588" s="33" t="s">
        <v>252</v>
      </c>
      <c r="W588" s="53" t="s">
        <v>548</v>
      </c>
      <c r="X588" s="53" t="s">
        <v>560</v>
      </c>
      <c r="Y588" s="172">
        <f>IFERROR(-tblZwaste1422[[#This Row],[Weight (kgCO2e/kg)]],0)</f>
        <v>-2.0953266666666663</v>
      </c>
      <c r="Z588" s="172" t="e">
        <f>IF(AQ588="x",(AR588*-tblZwaste1422[[#This Row],[Weight (kgCO2e/kg)]])+AS588+($AR$10*Lookups!$J$38/1000),"DELETE")</f>
        <v>#N/A</v>
      </c>
      <c r="AA588" s="176">
        <v>-4.4028601931708895</v>
      </c>
      <c r="AB588" s="172" t="s">
        <v>567</v>
      </c>
      <c r="AC588" s="172" t="s">
        <v>567</v>
      </c>
      <c r="AD588" s="172">
        <v>2.60314971252869E-2</v>
      </c>
      <c r="AE588" s="172">
        <v>0.54079132808039498</v>
      </c>
      <c r="AF588" s="172">
        <v>2.1870256217784201</v>
      </c>
      <c r="AG588" s="150"/>
      <c r="AI588" s="137">
        <v>9</v>
      </c>
      <c r="AJ588" s="136" t="s">
        <v>252</v>
      </c>
      <c r="AK588" s="142" t="s">
        <v>252</v>
      </c>
      <c r="AL588" s="136" t="s">
        <v>548</v>
      </c>
      <c r="AM588" s="136" t="s">
        <v>560</v>
      </c>
      <c r="AN588" s="1">
        <v>2.0953266666666663</v>
      </c>
      <c r="AO588" s="166">
        <v>1.77911</v>
      </c>
      <c r="AQ588" t="e">
        <f>_xlfn.XLOOKUP(tblGWP21[[#This Row],[Material Subcategory]],ls_Mat,Factors!$K$952:$K$1023)</f>
        <v>#N/A</v>
      </c>
      <c r="AR588" s="173">
        <v>0.77500000000000002</v>
      </c>
      <c r="AS588">
        <v>8.1306407300000008E-2</v>
      </c>
      <c r="AT588" t="s">
        <v>531</v>
      </c>
      <c r="BA588" cm="1">
        <f t="array" ref="BA588:BM588">tblGWP21[#This Row]</f>
        <v>9</v>
      </c>
      <c r="BB588" t="str">
        <v>Plastics</v>
      </c>
      <c r="BC588" t="str">
        <v>Plastics</v>
      </c>
      <c r="BD588" t="str">
        <v>Europe</v>
      </c>
      <c r="BE588" t="str">
        <v>Spain</v>
      </c>
      <c r="BF588">
        <v>-2.0953266666666663</v>
      </c>
      <c r="BG588" t="e">
        <v>#N/A</v>
      </c>
      <c r="BH588">
        <v>-4.4028601931708895</v>
      </c>
      <c r="BI588" t="str">
        <v>DELETE</v>
      </c>
      <c r="BJ588" t="str">
        <v>DELETE</v>
      </c>
      <c r="BK588">
        <v>2.60314971252869E-2</v>
      </c>
      <c r="BL588">
        <v>0.54079132808039498</v>
      </c>
      <c r="BM588">
        <v>2.1870256217784201</v>
      </c>
    </row>
    <row r="589" spans="3:65" ht="28.8">
      <c r="C589" s="375">
        <v>9</v>
      </c>
      <c r="D589" s="374" t="s">
        <v>233</v>
      </c>
      <c r="E589" s="375" t="s">
        <v>249</v>
      </c>
      <c r="F589" s="362" t="s">
        <v>548</v>
      </c>
      <c r="G589" s="362" t="s">
        <v>560</v>
      </c>
      <c r="H589" s="368">
        <v>0</v>
      </c>
      <c r="I589" s="368">
        <v>0</v>
      </c>
      <c r="J589" s="368">
        <v>0</v>
      </c>
      <c r="K589" s="368">
        <v>-0.54331576734213405</v>
      </c>
      <c r="L589" s="368">
        <v>-0.74737584322559403</v>
      </c>
      <c r="M589" s="368">
        <v>1.6397822488806901E-2</v>
      </c>
      <c r="N589" s="368">
        <v>-0.20437765258346099</v>
      </c>
      <c r="O589" s="368">
        <v>2.57537679946644E-2</v>
      </c>
      <c r="T589" s="49">
        <v>9</v>
      </c>
      <c r="U589" s="143" t="s">
        <v>252</v>
      </c>
      <c r="V589" s="33" t="s">
        <v>253</v>
      </c>
      <c r="W589" s="53" t="s">
        <v>548</v>
      </c>
      <c r="X589" s="53" t="s">
        <v>560</v>
      </c>
      <c r="Y589" s="172">
        <f>IFERROR(-tblZwaste1422[[#This Row],[Weight (kgCO2e/kg)]],0)</f>
        <v>-2.04928</v>
      </c>
      <c r="Z589" s="172" t="e">
        <f>IF(AQ589="x",(AR589*-tblZwaste1422[[#This Row],[Weight (kgCO2e/kg)]])+AS589+($AR$10*Lookups!$J$38/1000),"DELETE")</f>
        <v>#N/A</v>
      </c>
      <c r="AA589" s="176">
        <v>-3.8514877014554911</v>
      </c>
      <c r="AB589" s="172" t="s">
        <v>567</v>
      </c>
      <c r="AC589" s="172" t="s">
        <v>567</v>
      </c>
      <c r="AD589" s="172">
        <v>2.6031494144332899E-2</v>
      </c>
      <c r="AE589" s="172">
        <v>0.34267872342502498</v>
      </c>
      <c r="AF589" s="172">
        <v>3.1831778366839298</v>
      </c>
      <c r="AG589" s="150"/>
      <c r="AI589" s="137">
        <v>9</v>
      </c>
      <c r="AJ589" s="136" t="s">
        <v>252</v>
      </c>
      <c r="AK589" s="142" t="s">
        <v>253</v>
      </c>
      <c r="AL589" s="136" t="s">
        <v>548</v>
      </c>
      <c r="AM589" s="136" t="s">
        <v>560</v>
      </c>
      <c r="AN589" s="1">
        <v>2.04928</v>
      </c>
      <c r="AO589" s="166">
        <v>1.77911</v>
      </c>
      <c r="AQ589" t="e">
        <f>_xlfn.XLOOKUP(tblGWP21[[#This Row],[Material Subcategory]],ls_Mat,Factors!$K$952:$K$1023)</f>
        <v>#N/A</v>
      </c>
      <c r="AR589" s="173">
        <v>0.77500000000000002</v>
      </c>
      <c r="AS589">
        <v>8.1306407300000008E-2</v>
      </c>
      <c r="AT589" t="s">
        <v>531</v>
      </c>
      <c r="BA589" cm="1">
        <f t="array" ref="BA589:BM589">tblGWP21[#This Row]</f>
        <v>9</v>
      </c>
      <c r="BB589" t="str">
        <v>Plastics</v>
      </c>
      <c r="BC589" t="str">
        <v>HDPE (translucent and pigmented)</v>
      </c>
      <c r="BD589" t="str">
        <v>Europe</v>
      </c>
      <c r="BE589" t="str">
        <v>Spain</v>
      </c>
      <c r="BF589">
        <v>-2.04928</v>
      </c>
      <c r="BG589" t="e">
        <v>#N/A</v>
      </c>
      <c r="BH589">
        <v>-3.8514877014554911</v>
      </c>
      <c r="BI589" t="str">
        <v>DELETE</v>
      </c>
      <c r="BJ589" t="str">
        <v>DELETE</v>
      </c>
      <c r="BK589">
        <v>2.6031494144332899E-2</v>
      </c>
      <c r="BL589">
        <v>0.34267872342502498</v>
      </c>
      <c r="BM589">
        <v>3.1831778366839298</v>
      </c>
    </row>
    <row r="590" spans="3:65">
      <c r="C590" s="6">
        <v>9</v>
      </c>
      <c r="D590" s="373" t="s">
        <v>233</v>
      </c>
      <c r="E590" s="6" t="s">
        <v>273</v>
      </c>
      <c r="F590" s="136" t="s">
        <v>548</v>
      </c>
      <c r="G590" s="136" t="s">
        <v>560</v>
      </c>
      <c r="H590" s="191">
        <v>0</v>
      </c>
      <c r="I590" s="191">
        <v>0</v>
      </c>
      <c r="J590" s="191">
        <v>0</v>
      </c>
      <c r="K590" s="191">
        <v>-1.64839534351149</v>
      </c>
      <c r="L590" s="191">
        <v>-2.10125708841294</v>
      </c>
      <c r="M590" s="191">
        <v>-0.80535595368464596</v>
      </c>
      <c r="N590" s="191">
        <v>-0.93480761976751403</v>
      </c>
      <c r="O590" s="191">
        <v>2.7208628075733401E-2</v>
      </c>
      <c r="T590" s="49">
        <v>9</v>
      </c>
      <c r="U590" s="143" t="s">
        <v>252</v>
      </c>
      <c r="V590" s="33" t="s">
        <v>328</v>
      </c>
      <c r="W590" s="53" t="s">
        <v>548</v>
      </c>
      <c r="X590" s="53" t="s">
        <v>560</v>
      </c>
      <c r="Y590" s="172">
        <f>IFERROR(-tblZwaste1422[[#This Row],[Weight (kgCO2e/kg)]],0)</f>
        <v>-2.3231199999999999</v>
      </c>
      <c r="Z590" s="172" t="e">
        <f>IF(AQ590="x",(AR590*-tblZwaste1422[[#This Row],[Weight (kgCO2e/kg)]])+AS590+($AR$10*Lookups!$J$38/1000),"DELETE")</f>
        <v>#N/A</v>
      </c>
      <c r="AA590" s="176">
        <v>-4.5611966747680484</v>
      </c>
      <c r="AB590" s="172" t="s">
        <v>567</v>
      </c>
      <c r="AC590" s="172" t="s">
        <v>567</v>
      </c>
      <c r="AD590" s="172">
        <v>2.6031494936346E-2</v>
      </c>
      <c r="AE590" s="172">
        <v>0.42632612137937798</v>
      </c>
      <c r="AF590" s="172">
        <v>2.4956086901446199</v>
      </c>
      <c r="AG590" s="150"/>
      <c r="AI590" s="137">
        <v>9</v>
      </c>
      <c r="AJ590" s="136" t="s">
        <v>252</v>
      </c>
      <c r="AK590" s="142" t="s">
        <v>328</v>
      </c>
      <c r="AL590" s="136" t="s">
        <v>548</v>
      </c>
      <c r="AM590" s="136" t="s">
        <v>560</v>
      </c>
      <c r="AN590" s="1">
        <v>2.3231199999999999</v>
      </c>
      <c r="AO590" s="166">
        <v>1.77911</v>
      </c>
      <c r="AQ590" t="e">
        <f>_xlfn.XLOOKUP(tblGWP21[[#This Row],[Material Subcategory]],ls_Mat,Factors!$K$952:$K$1023)</f>
        <v>#N/A</v>
      </c>
      <c r="AR590" s="173">
        <v>0.77500000000000002</v>
      </c>
      <c r="AU590" t="s">
        <v>526</v>
      </c>
      <c r="AV590" s="347">
        <v>0.85</v>
      </c>
      <c r="BA590" cm="1">
        <f t="array" ref="BA590:BM590">tblGWP21[#This Row]</f>
        <v>9</v>
      </c>
      <c r="BB590" t="str">
        <v>Plastics</v>
      </c>
      <c r="BC590" t="str">
        <v>LDPE</v>
      </c>
      <c r="BD590" t="str">
        <v>Europe</v>
      </c>
      <c r="BE590" t="str">
        <v>Spain</v>
      </c>
      <c r="BF590">
        <v>-2.3231199999999999</v>
      </c>
      <c r="BG590" t="e">
        <v>#N/A</v>
      </c>
      <c r="BH590">
        <v>-4.5611966747680484</v>
      </c>
      <c r="BI590" t="str">
        <v>DELETE</v>
      </c>
      <c r="BJ590" t="str">
        <v>DELETE</v>
      </c>
      <c r="BK590">
        <v>2.6031494936346E-2</v>
      </c>
      <c r="BL590">
        <v>0.42632612137937798</v>
      </c>
      <c r="BM590">
        <v>2.4956086901446199</v>
      </c>
    </row>
    <row r="591" spans="3:65">
      <c r="C591" s="375">
        <v>9</v>
      </c>
      <c r="D591" s="374" t="s">
        <v>233</v>
      </c>
      <c r="E591" s="375" t="s">
        <v>330</v>
      </c>
      <c r="F591" s="362" t="s">
        <v>548</v>
      </c>
      <c r="G591" s="362" t="s">
        <v>560</v>
      </c>
      <c r="H591" s="368">
        <v>-0.14119999999999999</v>
      </c>
      <c r="I591" s="368">
        <v>-0.1076582</v>
      </c>
      <c r="J591" s="368">
        <v>0</v>
      </c>
      <c r="K591" s="368">
        <v>0</v>
      </c>
      <c r="L591" s="368">
        <v>0</v>
      </c>
      <c r="M591" s="368">
        <v>-1.4821654588029001</v>
      </c>
      <c r="N591" s="368">
        <v>-1.0885323543921701</v>
      </c>
      <c r="O591" s="368">
        <v>5.3036830153930299E-2</v>
      </c>
      <c r="T591" s="49">
        <v>9</v>
      </c>
      <c r="U591" s="143" t="s">
        <v>252</v>
      </c>
      <c r="V591" s="33" t="s">
        <v>254</v>
      </c>
      <c r="W591" s="53" t="s">
        <v>548</v>
      </c>
      <c r="X591" s="53" t="s">
        <v>560</v>
      </c>
      <c r="Y591" s="172">
        <f>IFERROR(-tblZwaste1422[[#This Row],[Weight (kgCO2e/kg)]],0)</f>
        <v>-2.1485799999999999</v>
      </c>
      <c r="Z591" s="172" t="e">
        <f>IF(AQ591="x",(AR591*-tblZwaste1422[[#This Row],[Weight (kgCO2e/kg)]])+AS591+($AR$10*Lookups!$J$38/1000),"DELETE")</f>
        <v>#N/A</v>
      </c>
      <c r="AA591" s="176">
        <v>-4.6375597216919706</v>
      </c>
      <c r="AB591" s="172" t="s">
        <v>567</v>
      </c>
      <c r="AC591" s="172" t="s">
        <v>567</v>
      </c>
      <c r="AD591" s="172">
        <v>2.6031494144332999E-2</v>
      </c>
      <c r="AE591" s="172">
        <v>0.59493991385354505</v>
      </c>
      <c r="AF591" s="172">
        <v>2.5363328137779999</v>
      </c>
      <c r="AG591" s="150"/>
      <c r="AI591" s="137">
        <v>9</v>
      </c>
      <c r="AJ591" s="136" t="s">
        <v>252</v>
      </c>
      <c r="AK591" s="142" t="s">
        <v>254</v>
      </c>
      <c r="AL591" s="136" t="s">
        <v>548</v>
      </c>
      <c r="AM591" s="136" t="s">
        <v>560</v>
      </c>
      <c r="AN591" s="1">
        <v>2.1485799999999999</v>
      </c>
      <c r="AO591" s="166">
        <v>1.77911</v>
      </c>
      <c r="AQ591" t="e">
        <f>_xlfn.XLOOKUP(tblGWP21[[#This Row],[Material Subcategory]],ls_Mat,Factors!$K$952:$K$1023)</f>
        <v>#N/A</v>
      </c>
      <c r="AR591" s="173">
        <v>0.77500000000000002</v>
      </c>
      <c r="AS591">
        <v>8.1306407300000008E-2</v>
      </c>
      <c r="AT591" t="s">
        <v>531</v>
      </c>
      <c r="AU591" t="s">
        <v>526</v>
      </c>
      <c r="AV591" s="347">
        <v>0.7</v>
      </c>
      <c r="BA591" cm="1">
        <f t="array" ref="BA591:BM591">tblGWP21[#This Row]</f>
        <v>9</v>
      </c>
      <c r="BB591" t="str">
        <v>Plastics</v>
      </c>
      <c r="BC591" t="str">
        <v>PET</v>
      </c>
      <c r="BD591" t="str">
        <v>Europe</v>
      </c>
      <c r="BE591" t="str">
        <v>Spain</v>
      </c>
      <c r="BF591">
        <v>-2.1485799999999999</v>
      </c>
      <c r="BG591" t="e">
        <v>#N/A</v>
      </c>
      <c r="BH591">
        <v>-4.6375597216919706</v>
      </c>
      <c r="BI591" t="str">
        <v>DELETE</v>
      </c>
      <c r="BJ591" t="str">
        <v>DELETE</v>
      </c>
      <c r="BK591">
        <v>2.6031494144332999E-2</v>
      </c>
      <c r="BL591">
        <v>0.59493991385354505</v>
      </c>
      <c r="BM591">
        <v>2.5363328137779999</v>
      </c>
    </row>
    <row r="592" spans="3:65">
      <c r="C592" s="6">
        <v>9</v>
      </c>
      <c r="D592" s="373" t="s">
        <v>233</v>
      </c>
      <c r="E592" s="6" t="s">
        <v>335</v>
      </c>
      <c r="F592" s="136" t="s">
        <v>548</v>
      </c>
      <c r="G592" s="136" t="s">
        <v>560</v>
      </c>
      <c r="H592" s="191">
        <v>-0.26272000000000001</v>
      </c>
      <c r="I592" s="191">
        <v>-0.20183620000000002</v>
      </c>
      <c r="J592" s="191">
        <v>0</v>
      </c>
      <c r="K592" s="191">
        <v>-1.64839534351149</v>
      </c>
      <c r="L592" s="191">
        <v>-2.6295970405965199</v>
      </c>
      <c r="M592" s="191">
        <v>-1.3857167229293199</v>
      </c>
      <c r="N592" s="191">
        <v>-1.10056666250855</v>
      </c>
      <c r="O592" s="191">
        <v>3.2209244864079202E-2</v>
      </c>
      <c r="T592" s="49">
        <v>9</v>
      </c>
      <c r="U592" s="143" t="s">
        <v>252</v>
      </c>
      <c r="V592" s="33" t="s">
        <v>532</v>
      </c>
      <c r="W592" s="53" t="s">
        <v>548</v>
      </c>
      <c r="X592" s="53" t="s">
        <v>560</v>
      </c>
      <c r="Y592" s="172">
        <f>IFERROR(-tblZwaste1422[[#This Row],[Weight (kgCO2e/kg)]],0)</f>
        <v>-1.9492499999999999</v>
      </c>
      <c r="Z592" s="172" t="e">
        <f>IF(AQ592="x",(AR592*-tblZwaste1422[[#This Row],[Weight (kgCO2e/kg)]])+AS592+($AR$10*Lookups!$J$38/1000),"DELETE")</f>
        <v>#N/A</v>
      </c>
      <c r="AA592" s="176">
        <v>-4.5611966747680484</v>
      </c>
      <c r="AB592" s="172" t="s">
        <v>567</v>
      </c>
      <c r="AC592" s="172" t="s">
        <v>567</v>
      </c>
      <c r="AD592" s="172">
        <v>2.6031494936346E-2</v>
      </c>
      <c r="AE592" s="172">
        <v>0.42632612137937798</v>
      </c>
      <c r="AF592" s="172">
        <v>2.4956086901446199</v>
      </c>
      <c r="AG592" s="150"/>
      <c r="AI592" s="137">
        <v>9</v>
      </c>
      <c r="AJ592" s="136" t="s">
        <v>252</v>
      </c>
      <c r="AK592" s="142" t="s">
        <v>532</v>
      </c>
      <c r="AL592" s="136" t="s">
        <v>548</v>
      </c>
      <c r="AM592" s="136" t="s">
        <v>560</v>
      </c>
      <c r="AN592" s="1">
        <v>1.9492499999999999</v>
      </c>
      <c r="AO592" s="166">
        <v>1.77911</v>
      </c>
      <c r="AQ592" t="e">
        <f>_xlfn.XLOOKUP(tblGWP21[[#This Row],[Material Subcategory]],ls_Mat,Factors!$K$952:$K$1023)</f>
        <v>#N/A</v>
      </c>
      <c r="AU592" t="s">
        <v>526</v>
      </c>
      <c r="AV592" s="347">
        <v>0.8</v>
      </c>
      <c r="BA592" cm="1">
        <f t="array" ref="BA592:BM592">tblGWP21[#This Row]</f>
        <v>9</v>
      </c>
      <c r="BB592" t="str">
        <v>Plastics</v>
      </c>
      <c r="BC592" t="str">
        <v>LLDPE</v>
      </c>
      <c r="BD592" t="str">
        <v>Europe</v>
      </c>
      <c r="BE592" t="str">
        <v>Spain</v>
      </c>
      <c r="BF592">
        <v>-1.9492499999999999</v>
      </c>
      <c r="BG592" t="e">
        <v>#N/A</v>
      </c>
      <c r="BH592">
        <v>-4.5611966747680484</v>
      </c>
      <c r="BI592" t="str">
        <v>DELETE</v>
      </c>
      <c r="BJ592" t="str">
        <v>DELETE</v>
      </c>
      <c r="BK592">
        <v>2.6031494936346E-2</v>
      </c>
      <c r="BL592">
        <v>0.42632612137937798</v>
      </c>
      <c r="BM592">
        <v>2.4956086901446199</v>
      </c>
    </row>
    <row r="593" spans="3:65">
      <c r="C593" s="375">
        <v>9</v>
      </c>
      <c r="D593" s="374" t="s">
        <v>233</v>
      </c>
      <c r="E593" s="375" t="s">
        <v>326</v>
      </c>
      <c r="F593" s="362" t="s">
        <v>548</v>
      </c>
      <c r="G593" s="362" t="s">
        <v>560</v>
      </c>
      <c r="H593" s="368">
        <v>-0.14119999999999999</v>
      </c>
      <c r="I593" s="368">
        <v>-0.1076582</v>
      </c>
      <c r="J593" s="368">
        <v>0</v>
      </c>
      <c r="K593" s="368">
        <v>-1.64839534351149</v>
      </c>
      <c r="L593" s="368">
        <v>-2.6295970405965199</v>
      </c>
      <c r="M593" s="368">
        <v>-1.3857167229293199</v>
      </c>
      <c r="N593" s="368">
        <v>-1.10056666250855</v>
      </c>
      <c r="O593" s="368">
        <v>3.2209244864079202E-2</v>
      </c>
      <c r="T593" s="49">
        <v>9</v>
      </c>
      <c r="U593" s="143" t="s">
        <v>252</v>
      </c>
      <c r="V593" s="33" t="s">
        <v>245</v>
      </c>
      <c r="W593" s="53" t="s">
        <v>548</v>
      </c>
      <c r="X593" s="53" t="s">
        <v>560</v>
      </c>
      <c r="Y593" s="172">
        <f>IFERROR(-tblZwaste1422[[#This Row],[Weight (kgCO2e/kg)]],0)</f>
        <v>-2.0269300000000001</v>
      </c>
      <c r="Z593" s="172" t="e">
        <f>IF(AQ593="x",(AR593*-tblZwaste1422[[#This Row],[Weight (kgCO2e/kg)]])+AS593+($AR$10*Lookups!$J$38/1000),"DELETE")</f>
        <v>#N/A</v>
      </c>
      <c r="AA593" s="176" t="s">
        <v>567</v>
      </c>
      <c r="AB593" s="172" t="s">
        <v>567</v>
      </c>
      <c r="AC593" s="172" t="s">
        <v>567</v>
      </c>
      <c r="AD593" s="172">
        <v>2.6031495053680302E-2</v>
      </c>
      <c r="AE593" s="172">
        <v>0.29483501584865401</v>
      </c>
      <c r="AF593" s="172">
        <v>3.18336714658603</v>
      </c>
      <c r="AG593" s="150"/>
      <c r="AI593" s="137">
        <v>9</v>
      </c>
      <c r="AJ593" s="136" t="s">
        <v>252</v>
      </c>
      <c r="AK593" s="142" t="s">
        <v>245</v>
      </c>
      <c r="AL593" s="136" t="s">
        <v>548</v>
      </c>
      <c r="AM593" s="136" t="s">
        <v>560</v>
      </c>
      <c r="AN593" s="1">
        <v>2.0269300000000001</v>
      </c>
      <c r="AO593" s="166">
        <v>1.77911</v>
      </c>
      <c r="AQ593" t="e">
        <f>_xlfn.XLOOKUP(tblGWP21[[#This Row],[Material Subcategory]],ls_Mat,Factors!$K$952:$K$1023)</f>
        <v>#N/A</v>
      </c>
      <c r="AR593" s="173">
        <v>0.77500000000000002</v>
      </c>
      <c r="AS593">
        <v>8.1306407300000008E-2</v>
      </c>
      <c r="AT593" t="s">
        <v>531</v>
      </c>
      <c r="AU593" t="s">
        <v>526</v>
      </c>
      <c r="AV593" s="347">
        <v>0.7</v>
      </c>
      <c r="BA593" cm="1">
        <f t="array" ref="BA593:BM593">tblGWP21[#This Row]</f>
        <v>9</v>
      </c>
      <c r="BB593" t="str">
        <v>Plastics</v>
      </c>
      <c r="BC593" t="str">
        <v>PP</v>
      </c>
      <c r="BD593" t="str">
        <v>Europe</v>
      </c>
      <c r="BE593" t="str">
        <v>Spain</v>
      </c>
      <c r="BF593">
        <v>-2.0269300000000001</v>
      </c>
      <c r="BG593" t="e">
        <v>#N/A</v>
      </c>
      <c r="BH593" t="str">
        <v>DELETE</v>
      </c>
      <c r="BI593" t="str">
        <v>DELETE</v>
      </c>
      <c r="BJ593" t="str">
        <v>DELETE</v>
      </c>
      <c r="BK593">
        <v>2.6031495053680302E-2</v>
      </c>
      <c r="BL593">
        <v>0.29483501584865401</v>
      </c>
      <c r="BM593">
        <v>3.18336714658603</v>
      </c>
    </row>
    <row r="594" spans="3:65">
      <c r="C594" s="6">
        <v>9</v>
      </c>
      <c r="D594" s="373" t="s">
        <v>261</v>
      </c>
      <c r="E594" s="6" t="s">
        <v>261</v>
      </c>
      <c r="F594" s="136" t="s">
        <v>548</v>
      </c>
      <c r="G594" s="136" t="s">
        <v>560</v>
      </c>
      <c r="H594" s="191">
        <v>-4.72241</v>
      </c>
      <c r="I594" s="191">
        <v>-2.3594331999999998</v>
      </c>
      <c r="J594" s="191">
        <v>0</v>
      </c>
      <c r="K594" s="191">
        <v>-0.36338662684963602</v>
      </c>
      <c r="L594" s="191">
        <v>-0.6028485363299616</v>
      </c>
      <c r="M594" s="191">
        <v>0.13199672782830352</v>
      </c>
      <c r="N594" s="191">
        <v>-0.18858165962512602</v>
      </c>
      <c r="O594" s="191">
        <v>2.5407116323640601E-2</v>
      </c>
      <c r="T594" s="49">
        <v>9</v>
      </c>
      <c r="U594" s="143" t="s">
        <v>252</v>
      </c>
      <c r="V594" s="33" t="s">
        <v>533</v>
      </c>
      <c r="W594" s="53" t="s">
        <v>548</v>
      </c>
      <c r="X594" s="53" t="s">
        <v>560</v>
      </c>
      <c r="Y594" s="172">
        <f>IFERROR(-tblZwaste1422[[#This Row],[Weight (kgCO2e/kg)]],0)</f>
        <v>-2.0748000000000002</v>
      </c>
      <c r="Z594" s="172" t="e">
        <f>IF(AQ594="x",(AR594*-tblZwaste1422[[#This Row],[Weight (kgCO2e/kg)]])+AS594+($AR$10*Lookups!$J$38/1000),"DELETE")</f>
        <v>#N/A</v>
      </c>
      <c r="AA594" s="176" t="s">
        <v>567</v>
      </c>
      <c r="AB594" s="172" t="s">
        <v>567</v>
      </c>
      <c r="AC594" s="172" t="s">
        <v>567</v>
      </c>
      <c r="AD594" s="172">
        <v>2.6031489913278E-2</v>
      </c>
      <c r="AE594" s="172">
        <v>0.512084664433887</v>
      </c>
      <c r="AF594" s="172">
        <v>3.0368309603358301</v>
      </c>
      <c r="AG594" s="150"/>
      <c r="AI594" s="137">
        <v>9</v>
      </c>
      <c r="AJ594" s="136" t="s">
        <v>252</v>
      </c>
      <c r="AK594" s="142" t="s">
        <v>533</v>
      </c>
      <c r="AL594" s="136" t="s">
        <v>548</v>
      </c>
      <c r="AM594" s="136" t="s">
        <v>560</v>
      </c>
      <c r="AN594" s="1">
        <v>2.0748000000000002</v>
      </c>
      <c r="AO594" s="166">
        <v>1.77911</v>
      </c>
      <c r="AQ594" t="e">
        <f>_xlfn.XLOOKUP(tblGWP21[[#This Row],[Material Subcategory]],ls_Mat,Factors!$K$952:$K$1023)</f>
        <v>#N/A</v>
      </c>
      <c r="AR594" s="173">
        <v>0.77500000000000002</v>
      </c>
      <c r="AS594">
        <v>8.1306407300000008E-2</v>
      </c>
      <c r="AT594" t="s">
        <v>531</v>
      </c>
      <c r="AV594" s="347"/>
      <c r="BA594" cm="1">
        <f t="array" ref="BA594:BM594">tblGWP21[#This Row]</f>
        <v>9</v>
      </c>
      <c r="BB594" t="str">
        <v>Plastics</v>
      </c>
      <c r="BC594" t="str">
        <v>PVC</v>
      </c>
      <c r="BD594" t="str">
        <v>Europe</v>
      </c>
      <c r="BE594" t="str">
        <v>Spain</v>
      </c>
      <c r="BF594">
        <v>-2.0748000000000002</v>
      </c>
      <c r="BG594" t="e">
        <v>#N/A</v>
      </c>
      <c r="BH594" t="str">
        <v>DELETE</v>
      </c>
      <c r="BI594" t="str">
        <v>DELETE</v>
      </c>
      <c r="BJ594" t="str">
        <v>DELETE</v>
      </c>
      <c r="BK594">
        <v>2.6031489913278E-2</v>
      </c>
      <c r="BL594">
        <v>0.512084664433887</v>
      </c>
      <c r="BM594">
        <v>3.0368309603358301</v>
      </c>
    </row>
    <row r="595" spans="3:65">
      <c r="C595" s="375">
        <v>9</v>
      </c>
      <c r="D595" s="374" t="s">
        <v>261</v>
      </c>
      <c r="E595" s="375" t="s">
        <v>269</v>
      </c>
      <c r="F595" s="362" t="s">
        <v>548</v>
      </c>
      <c r="G595" s="362" t="s">
        <v>560</v>
      </c>
      <c r="H595" s="368">
        <v>-0.25034000000000001</v>
      </c>
      <c r="I595" s="368">
        <v>-0.1233982</v>
      </c>
      <c r="J595" s="368">
        <v>0</v>
      </c>
      <c r="K595" s="368">
        <v>-0.30333658585129503</v>
      </c>
      <c r="L595" s="368">
        <v>-0.51195410091665805</v>
      </c>
      <c r="M595" s="368">
        <v>0.16379494601613701</v>
      </c>
      <c r="N595" s="368">
        <v>-0.13067934396277101</v>
      </c>
      <c r="O595" s="368">
        <v>2.5084955533146901E-2</v>
      </c>
      <c r="T595" s="49">
        <v>9</v>
      </c>
      <c r="U595" s="143" t="s">
        <v>242</v>
      </c>
      <c r="V595" s="33" t="s">
        <v>242</v>
      </c>
      <c r="W595" s="53" t="s">
        <v>548</v>
      </c>
      <c r="X595" s="53" t="s">
        <v>560</v>
      </c>
      <c r="Y595" s="172">
        <f>IFERROR(-tblZwaste1422[[#This Row],[Weight (kgCO2e/kg)]],0)</f>
        <v>-38.486130000000003</v>
      </c>
      <c r="Z595" s="172" t="e">
        <f>IF(AQ595="x",(AR595*-tblZwaste1422[[#This Row],[Weight (kgCO2e/kg)]])+AS595+($AR$10*Lookups!$J$38/1000),"DELETE")</f>
        <v>#N/A</v>
      </c>
      <c r="AA595" s="172">
        <f>AVERAGE(AA596,AA597,AA629,AA630)</f>
        <v>-3.2868550000000001</v>
      </c>
      <c r="AB595" s="172" t="s">
        <v>567</v>
      </c>
      <c r="AC595" s="172" t="s">
        <v>567</v>
      </c>
      <c r="AD595" s="172">
        <v>2.5860000000000001E-2</v>
      </c>
      <c r="AE595" s="172">
        <v>4.1414954380226701E-2</v>
      </c>
      <c r="AF595" s="172">
        <v>4.8923121440990501E-2</v>
      </c>
      <c r="AG595" s="150"/>
      <c r="AI595" s="137">
        <v>9</v>
      </c>
      <c r="AJ595" s="136" t="s">
        <v>242</v>
      </c>
      <c r="AK595" s="142" t="s">
        <v>242</v>
      </c>
      <c r="AL595" s="136" t="s">
        <v>548</v>
      </c>
      <c r="AM595" s="136" t="s">
        <v>560</v>
      </c>
      <c r="AN595" s="1">
        <v>38.486130000000003</v>
      </c>
      <c r="AO595" s="166">
        <v>0.20843</v>
      </c>
      <c r="AQ595" t="e">
        <f>_xlfn.XLOOKUP(tblGWP21[[#This Row],[Material Subcategory]],ls_Mat,Factors!$K$952:$K$1023)</f>
        <v>#N/A</v>
      </c>
      <c r="AR595" s="173">
        <v>0.72499999999999998</v>
      </c>
      <c r="AS595">
        <v>0</v>
      </c>
      <c r="AT595" t="s">
        <v>527</v>
      </c>
      <c r="BA595" cm="1">
        <f t="array" ref="BA595:BM595">tblGWP21[#This Row]</f>
        <v>9</v>
      </c>
      <c r="BB595" t="str">
        <v>Electronics</v>
      </c>
      <c r="BC595" t="str">
        <v>Electronics</v>
      </c>
      <c r="BD595" t="str">
        <v>Europe</v>
      </c>
      <c r="BE595" t="str">
        <v>Spain</v>
      </c>
      <c r="BF595">
        <v>-38.486130000000003</v>
      </c>
      <c r="BG595" t="e">
        <v>#N/A</v>
      </c>
      <c r="BH595">
        <v>-3.2868550000000001</v>
      </c>
      <c r="BI595" t="str">
        <v>DELETE</v>
      </c>
      <c r="BJ595" t="str">
        <v>DELETE</v>
      </c>
      <c r="BK595">
        <v>2.5860000000000001E-2</v>
      </c>
      <c r="BL595">
        <v>4.1414954380226701E-2</v>
      </c>
      <c r="BM595">
        <v>4.8923121440990501E-2</v>
      </c>
    </row>
    <row r="596" spans="3:65" ht="28.8">
      <c r="C596" s="6">
        <v>9</v>
      </c>
      <c r="D596" s="373" t="s">
        <v>261</v>
      </c>
      <c r="E596" s="6" t="s">
        <v>530</v>
      </c>
      <c r="F596" s="136" t="s">
        <v>548</v>
      </c>
      <c r="G596" s="136" t="s">
        <v>560</v>
      </c>
      <c r="H596" s="191">
        <v>-9.1944800000000004</v>
      </c>
      <c r="I596" s="191">
        <v>-4.5954682</v>
      </c>
      <c r="J596" s="191">
        <v>0</v>
      </c>
      <c r="K596" s="191">
        <v>-0.42343666784797701</v>
      </c>
      <c r="L596" s="191">
        <v>-0.69374297174326505</v>
      </c>
      <c r="M596" s="191">
        <v>0.10019850964047</v>
      </c>
      <c r="N596" s="191">
        <v>-0.24648397528748101</v>
      </c>
      <c r="O596" s="191">
        <v>2.5729277114134301E-2</v>
      </c>
      <c r="T596" s="49">
        <v>9</v>
      </c>
      <c r="U596" s="143" t="s">
        <v>242</v>
      </c>
      <c r="V596" s="33" t="s">
        <v>274</v>
      </c>
      <c r="W596" s="53" t="s">
        <v>548</v>
      </c>
      <c r="X596" s="53" t="s">
        <v>560</v>
      </c>
      <c r="Y596" s="172">
        <f>IFERROR(-tblZwaste1422[[#This Row],[Weight (kgCO2e/kg)]],0)</f>
        <v>-38.486130000000003</v>
      </c>
      <c r="Z596" s="172">
        <f>IF(AQ596="x",(AR596*-tblZwaste1422[[#This Row],[Weight (kgCO2e/kg)]])+AS596+($AR$10*Lookups!$J$38/1000),"DELETE")</f>
        <v>-27.900672450000002</v>
      </c>
      <c r="AA596" s="172">
        <v>-8.5278425000000002</v>
      </c>
      <c r="AB596" s="172" t="s">
        <v>567</v>
      </c>
      <c r="AC596" s="172" t="s">
        <v>567</v>
      </c>
      <c r="AD596" s="172">
        <v>2.5860000000000001E-2</v>
      </c>
      <c r="AE596" s="172">
        <v>4.1414954380226701E-2</v>
      </c>
      <c r="AF596" s="172">
        <v>4.8923121440990501E-2</v>
      </c>
      <c r="AG596" s="150"/>
      <c r="AI596" s="137">
        <v>9</v>
      </c>
      <c r="AJ596" s="136" t="s">
        <v>242</v>
      </c>
      <c r="AK596" s="142" t="s">
        <v>242</v>
      </c>
      <c r="AL596" s="136" t="s">
        <v>548</v>
      </c>
      <c r="AM596" s="136" t="s">
        <v>560</v>
      </c>
      <c r="AN596" s="1">
        <v>38.486130000000003</v>
      </c>
      <c r="AO596" s="166">
        <v>0.20843</v>
      </c>
      <c r="AQ596" t="str">
        <f>_xlfn.XLOOKUP(tblGWP21[[#This Row],[Material Subcategory]],ls_Mat,Factors!$K$952:$K$1023)</f>
        <v>x</v>
      </c>
      <c r="AR596" s="173">
        <v>0.72499999999999998</v>
      </c>
      <c r="AS596">
        <v>0</v>
      </c>
      <c r="AT596" t="s">
        <v>527</v>
      </c>
      <c r="BA596" cm="1">
        <f t="array" ref="BA596:BM596">tblGWP21[#This Row]</f>
        <v>9</v>
      </c>
      <c r="BB596" t="str">
        <v>Electronics</v>
      </c>
      <c r="BC596" t="str">
        <v>E-waste</v>
      </c>
      <c r="BD596" t="str">
        <v>Europe</v>
      </c>
      <c r="BE596" t="str">
        <v>Spain</v>
      </c>
      <c r="BF596">
        <v>-38.486130000000003</v>
      </c>
      <c r="BG596">
        <v>-27.900672450000002</v>
      </c>
      <c r="BH596">
        <v>-8.5278425000000002</v>
      </c>
      <c r="BI596" t="str">
        <v>DELETE</v>
      </c>
      <c r="BJ596" t="str">
        <v>DELETE</v>
      </c>
      <c r="BK596">
        <v>2.5860000000000001E-2</v>
      </c>
      <c r="BL596">
        <v>4.1414954380226701E-2</v>
      </c>
      <c r="BM596">
        <v>4.8923121440990501E-2</v>
      </c>
    </row>
    <row r="597" spans="3:65">
      <c r="C597" s="375">
        <v>9</v>
      </c>
      <c r="D597" s="374" t="s">
        <v>261</v>
      </c>
      <c r="E597" s="375" t="s">
        <v>262</v>
      </c>
      <c r="F597" s="362" t="s">
        <v>548</v>
      </c>
      <c r="G597" s="362" t="s">
        <v>560</v>
      </c>
      <c r="H597" s="368">
        <v>-2.5034000000000001</v>
      </c>
      <c r="I597" s="368">
        <v>0</v>
      </c>
      <c r="J597" s="368">
        <v>0</v>
      </c>
      <c r="K597" s="368">
        <v>-0.42343666784797701</v>
      </c>
      <c r="L597" s="368">
        <v>-0.69374297174326505</v>
      </c>
      <c r="M597" s="368">
        <v>0.10019850964047</v>
      </c>
      <c r="N597" s="368">
        <v>-0.24648397528748101</v>
      </c>
      <c r="O597" s="368">
        <v>2.5729277114134301E-2</v>
      </c>
      <c r="T597" s="49">
        <v>9</v>
      </c>
      <c r="U597" s="143" t="s">
        <v>242</v>
      </c>
      <c r="V597" s="33" t="s">
        <v>534</v>
      </c>
      <c r="W597" s="53" t="s">
        <v>548</v>
      </c>
      <c r="X597" s="53" t="s">
        <v>560</v>
      </c>
      <c r="Y597" s="172">
        <f>IFERROR(-tblZwaste1422[[#This Row],[Weight (kgCO2e/kg)]],0)</f>
        <v>-15.0122</v>
      </c>
      <c r="Z597" s="172">
        <f>IF(AQ597="x",(AR597*-tblZwaste1422[[#This Row],[Weight (kgCO2e/kg)]])+AS597+($AR$10*Lookups!$J$38/1000),"DELETE")</f>
        <v>-10.882073199999999</v>
      </c>
      <c r="AA597" s="172">
        <v>-3.19428</v>
      </c>
      <c r="AB597" s="172" t="s">
        <v>567</v>
      </c>
      <c r="AC597" s="172" t="s">
        <v>567</v>
      </c>
      <c r="AD597" s="172">
        <v>2.5860000000000001E-2</v>
      </c>
      <c r="AE597" s="172">
        <v>4.1414954380226701E-2</v>
      </c>
      <c r="AF597" s="172">
        <v>4.8923121440990501E-2</v>
      </c>
      <c r="AG597" s="150"/>
      <c r="AI597" s="137">
        <v>9</v>
      </c>
      <c r="AJ597" s="136" t="s">
        <v>242</v>
      </c>
      <c r="AK597" s="142" t="s">
        <v>534</v>
      </c>
      <c r="AL597" s="136" t="s">
        <v>548</v>
      </c>
      <c r="AM597" s="136" t="s">
        <v>560</v>
      </c>
      <c r="AN597" s="1">
        <v>15.0122</v>
      </c>
      <c r="AO597" s="166">
        <v>0.37092000000000003</v>
      </c>
      <c r="AQ597" t="str">
        <f>_xlfn.XLOOKUP(tblGWP21[[#This Row],[Material Subcategory]],ls_Mat,Factors!$K$952:$K$1023)</f>
        <v>x</v>
      </c>
      <c r="AR597" s="173">
        <v>0.72499999999999998</v>
      </c>
      <c r="AS597">
        <v>0</v>
      </c>
      <c r="AT597" t="s">
        <v>527</v>
      </c>
      <c r="BA597" cm="1">
        <f t="array" ref="BA597:BM597">tblGWP21[#This Row]</f>
        <v>9</v>
      </c>
      <c r="BB597" t="str">
        <v>Electronics</v>
      </c>
      <c r="BC597" t="str">
        <v>Batteries</v>
      </c>
      <c r="BD597" t="str">
        <v>Europe</v>
      </c>
      <c r="BE597" t="str">
        <v>Spain</v>
      </c>
      <c r="BF597">
        <v>-15.0122</v>
      </c>
      <c r="BG597">
        <v>-10.882073199999999</v>
      </c>
      <c r="BH597">
        <v>-3.19428</v>
      </c>
      <c r="BI597" t="str">
        <v>DELETE</v>
      </c>
      <c r="BJ597" t="str">
        <v>DELETE</v>
      </c>
      <c r="BK597">
        <v>2.5860000000000001E-2</v>
      </c>
      <c r="BL597">
        <v>4.1414954380226701E-2</v>
      </c>
      <c r="BM597">
        <v>4.8923121440990501E-2</v>
      </c>
    </row>
    <row r="598" spans="3:65">
      <c r="C598" s="6">
        <v>9</v>
      </c>
      <c r="D598" s="373" t="s">
        <v>252</v>
      </c>
      <c r="E598" s="6" t="s">
        <v>252</v>
      </c>
      <c r="F598" s="136" t="s">
        <v>548</v>
      </c>
      <c r="G598" s="136" t="s">
        <v>560</v>
      </c>
      <c r="H598" s="191">
        <v>-2.0953266666666663</v>
      </c>
      <c r="I598" s="191">
        <v>-1.5407999593666664</v>
      </c>
      <c r="J598" s="191">
        <v>-4.4028601931708895</v>
      </c>
      <c r="K598" s="191">
        <v>0</v>
      </c>
      <c r="L598" s="191">
        <v>0</v>
      </c>
      <c r="M598" s="191">
        <v>2.60314971252869E-2</v>
      </c>
      <c r="N598" s="191">
        <v>0.54079132808039498</v>
      </c>
      <c r="O598" s="191">
        <v>2.1870256217784201</v>
      </c>
      <c r="T598" s="49">
        <v>9</v>
      </c>
      <c r="U598" s="143" t="s">
        <v>239</v>
      </c>
      <c r="V598" s="33" t="s">
        <v>239</v>
      </c>
      <c r="W598" s="53" t="s">
        <v>548</v>
      </c>
      <c r="X598" s="53" t="s">
        <v>560</v>
      </c>
      <c r="Y598" s="172">
        <f>IFERROR(-tblZwaste1422[[#This Row],[Weight (kgCO2e/kg)]],0)</f>
        <v>-2.6644477777777777</v>
      </c>
      <c r="Z598" s="172" t="e">
        <f>IF(AQ598="x",(AR598*-tblZwaste1422[[#This Row],[Weight (kgCO2e/kg)]])+AS598+($AR$10*Lookups!$J$38/1000),"DELETE")</f>
        <v>#N/A</v>
      </c>
      <c r="AA598" s="176">
        <v>-0.86668722195768011</v>
      </c>
      <c r="AB598" s="172">
        <v>-1.6414433894164899</v>
      </c>
      <c r="AC598" s="172">
        <v>-2.39351722049383</v>
      </c>
      <c r="AD598" s="172">
        <v>-0.66144178690558597</v>
      </c>
      <c r="AE598" s="172">
        <v>-0.88835374395553102</v>
      </c>
      <c r="AF598" s="172">
        <v>2.7472268181238799E-2</v>
      </c>
      <c r="AG598" s="150"/>
      <c r="AI598" s="137">
        <v>9</v>
      </c>
      <c r="AJ598" s="136" t="s">
        <v>239</v>
      </c>
      <c r="AK598" s="142" t="s">
        <v>239</v>
      </c>
      <c r="AL598" s="136" t="s">
        <v>548</v>
      </c>
      <c r="AM598" s="136" t="s">
        <v>560</v>
      </c>
      <c r="AN598" s="1">
        <v>2.6644477777777777</v>
      </c>
      <c r="AO598" s="166">
        <v>0.64099666666666666</v>
      </c>
      <c r="AQ598" t="e">
        <f>_xlfn.XLOOKUP(tblGWP21[[#This Row],[Material Subcategory]],ls_Mat,Factors!$K$952:$K$1023)</f>
        <v>#N/A</v>
      </c>
      <c r="AR598" s="173">
        <v>0.64600000000000002</v>
      </c>
      <c r="AS598">
        <v>0</v>
      </c>
      <c r="AT598" t="s">
        <v>527</v>
      </c>
      <c r="AU598" t="s">
        <v>526</v>
      </c>
      <c r="AV598" s="347">
        <v>0.8</v>
      </c>
      <c r="BA598" cm="1">
        <f t="array" ref="BA598:BM598">tblGWP21[#This Row]</f>
        <v>9</v>
      </c>
      <c r="BB598" t="str">
        <v>Paper</v>
      </c>
      <c r="BC598" t="str">
        <v>Paper</v>
      </c>
      <c r="BD598" t="str">
        <v>Europe</v>
      </c>
      <c r="BE598" t="str">
        <v>Spain</v>
      </c>
      <c r="BF598">
        <v>-2.6644477777777777</v>
      </c>
      <c r="BG598" t="e">
        <v>#N/A</v>
      </c>
      <c r="BH598">
        <v>-0.86668722195768011</v>
      </c>
      <c r="BI598">
        <v>-1.6414433894164899</v>
      </c>
      <c r="BJ598">
        <v>-2.39351722049383</v>
      </c>
      <c r="BK598">
        <v>-0.66144178690558597</v>
      </c>
      <c r="BL598">
        <v>-0.88835374395553102</v>
      </c>
      <c r="BM598">
        <v>2.7472268181238799E-2</v>
      </c>
    </row>
    <row r="599" spans="3:65" ht="28.8">
      <c r="C599" s="375">
        <v>9</v>
      </c>
      <c r="D599" s="374" t="s">
        <v>252</v>
      </c>
      <c r="E599" s="375" t="s">
        <v>253</v>
      </c>
      <c r="F599" s="362" t="s">
        <v>548</v>
      </c>
      <c r="G599" s="362" t="s">
        <v>560</v>
      </c>
      <c r="H599" s="368">
        <v>-2.04928</v>
      </c>
      <c r="I599" s="368">
        <v>0</v>
      </c>
      <c r="J599" s="368">
        <v>-3.8514877014554911</v>
      </c>
      <c r="K599" s="368">
        <v>0</v>
      </c>
      <c r="L599" s="368">
        <v>0</v>
      </c>
      <c r="M599" s="368">
        <v>2.6031494144332899E-2</v>
      </c>
      <c r="N599" s="368">
        <v>0.34267872342502498</v>
      </c>
      <c r="O599" s="368">
        <v>3.1831778366839298</v>
      </c>
      <c r="T599" s="49">
        <v>9</v>
      </c>
      <c r="U599" s="143" t="s">
        <v>239</v>
      </c>
      <c r="V599" s="33" t="s">
        <v>324</v>
      </c>
      <c r="W599" s="53" t="s">
        <v>548</v>
      </c>
      <c r="X599" s="53" t="s">
        <v>560</v>
      </c>
      <c r="Y599" s="172">
        <f>IFERROR(-tblZwaste1422[[#This Row],[Weight (kgCO2e/kg)]],0)</f>
        <v>-1.66</v>
      </c>
      <c r="Z599" s="172" t="str">
        <f>IF(AQ599="x",(AR599*-tblZwaste1422[[#This Row],[Weight (kgCO2e/kg)]])+AS599+($AR$10*Lookups!$J$38/1000),"DELETE")</f>
        <v>DELETE</v>
      </c>
      <c r="AA599" s="176">
        <v>0.18006034159041032</v>
      </c>
      <c r="AB599" s="172">
        <v>-1.6519994435588701</v>
      </c>
      <c r="AC599" s="172">
        <v>-2.2435328278880098</v>
      </c>
      <c r="AD599" s="172">
        <v>-1.13670575535437</v>
      </c>
      <c r="AE599" s="172">
        <v>-0.96577422212861597</v>
      </c>
      <c r="AF599" s="172">
        <v>2.6682774593358698E-2</v>
      </c>
      <c r="AG599" s="150"/>
      <c r="AI599" s="137">
        <v>9</v>
      </c>
      <c r="AJ599" s="136" t="s">
        <v>239</v>
      </c>
      <c r="AK599" s="142" t="s">
        <v>324</v>
      </c>
      <c r="AL599" s="136" t="s">
        <v>548</v>
      </c>
      <c r="AM599" s="136" t="s">
        <v>560</v>
      </c>
      <c r="AN599" s="1">
        <v>1.66</v>
      </c>
      <c r="AO599" s="166">
        <v>0.13142999999999999</v>
      </c>
      <c r="AQ599">
        <f>_xlfn.XLOOKUP(tblGWP21[[#This Row],[Material Subcategory]],ls_Mat,Factors!$K$952:$K$1023)</f>
        <v>0</v>
      </c>
      <c r="AR599" s="173">
        <v>0.64600000000000002</v>
      </c>
      <c r="AS599">
        <v>0</v>
      </c>
      <c r="AT599" t="s">
        <v>527</v>
      </c>
      <c r="AU599" t="s">
        <v>526</v>
      </c>
      <c r="AV599" s="347">
        <v>0.88</v>
      </c>
      <c r="BA599" cm="1">
        <f t="array" ref="BA599:BM599">tblGWP21[#This Row]</f>
        <v>9</v>
      </c>
      <c r="BB599" t="str">
        <v>Paper</v>
      </c>
      <c r="BC599" t="str">
        <v>Newsprint</v>
      </c>
      <c r="BD599" t="str">
        <v>Europe</v>
      </c>
      <c r="BE599" t="str">
        <v>Spain</v>
      </c>
      <c r="BF599">
        <v>-1.66</v>
      </c>
      <c r="BG599" t="str">
        <v>DELETE</v>
      </c>
      <c r="BH599">
        <v>0.18006034159041032</v>
      </c>
      <c r="BI599">
        <v>-1.6519994435588701</v>
      </c>
      <c r="BJ599">
        <v>-2.2435328278880098</v>
      </c>
      <c r="BK599">
        <v>-1.13670575535437</v>
      </c>
      <c r="BL599">
        <v>-0.96577422212861597</v>
      </c>
      <c r="BM599">
        <v>2.6682774593358698E-2</v>
      </c>
    </row>
    <row r="600" spans="3:65">
      <c r="C600" s="6">
        <v>9</v>
      </c>
      <c r="D600" s="373" t="s">
        <v>252</v>
      </c>
      <c r="E600" s="6" t="s">
        <v>328</v>
      </c>
      <c r="F600" s="136" t="s">
        <v>548</v>
      </c>
      <c r="G600" s="136" t="s">
        <v>560</v>
      </c>
      <c r="H600" s="191">
        <v>-2.3231199999999999</v>
      </c>
      <c r="I600" s="191">
        <v>0</v>
      </c>
      <c r="J600" s="191">
        <v>-4.5611966747680484</v>
      </c>
      <c r="K600" s="191">
        <v>0</v>
      </c>
      <c r="L600" s="191">
        <v>0</v>
      </c>
      <c r="M600" s="191">
        <v>2.6031494936346E-2</v>
      </c>
      <c r="N600" s="191">
        <v>0.42632612137937798</v>
      </c>
      <c r="O600" s="191">
        <v>2.4956086901446199</v>
      </c>
      <c r="T600" s="49">
        <v>9</v>
      </c>
      <c r="U600" s="143" t="s">
        <v>239</v>
      </c>
      <c r="V600" s="33" t="s">
        <v>272</v>
      </c>
      <c r="W600" s="53" t="s">
        <v>548</v>
      </c>
      <c r="X600" s="53" t="s">
        <v>560</v>
      </c>
      <c r="Y600" s="172">
        <f>IFERROR(-tblZwaste1422[[#This Row],[Weight (kgCO2e/kg)]],0)</f>
        <v>-2.1278299999999999</v>
      </c>
      <c r="Z600" s="172">
        <f>IF(AQ600="x",(AR600*-tblZwaste1422[[#This Row],[Weight (kgCO2e/kg)]])+AS600+($AR$10*Lookups!$J$38/1000),"DELETE")</f>
        <v>-1.3728063799999999</v>
      </c>
      <c r="AA600" s="176">
        <v>3.3959254017162663E-3</v>
      </c>
      <c r="AB600" s="172">
        <v>-1.47884710702032</v>
      </c>
      <c r="AC600" s="172">
        <v>-2.2559418354696001</v>
      </c>
      <c r="AD600" s="172">
        <v>2.8719999999999999E-2</v>
      </c>
      <c r="AE600" s="172">
        <v>-0.75966030441936305</v>
      </c>
      <c r="AF600" s="172">
        <v>3.4586025223388002E-2</v>
      </c>
      <c r="AG600" s="150"/>
      <c r="AI600" s="137">
        <v>9</v>
      </c>
      <c r="AJ600" s="136" t="s">
        <v>239</v>
      </c>
      <c r="AK600" s="142" t="s">
        <v>272</v>
      </c>
      <c r="AL600" s="136" t="s">
        <v>548</v>
      </c>
      <c r="AM600" s="136" t="s">
        <v>560</v>
      </c>
      <c r="AN600" s="1">
        <v>2.1278299999999999</v>
      </c>
      <c r="AO600" s="166">
        <v>1.2152400000000001</v>
      </c>
      <c r="AQ600" t="str">
        <f>_xlfn.XLOOKUP(tblGWP21[[#This Row],[Material Subcategory]],ls_Mat,Factors!$K$952:$K$1023)</f>
        <v>x</v>
      </c>
      <c r="AR600" s="173">
        <v>0.64600000000000002</v>
      </c>
      <c r="AS600">
        <v>0</v>
      </c>
      <c r="AT600" t="s">
        <v>527</v>
      </c>
      <c r="AU600" t="s">
        <v>526</v>
      </c>
      <c r="AV600" s="347">
        <v>0.8</v>
      </c>
      <c r="BA600" cm="1">
        <f t="array" ref="BA600:BM600">tblGWP21[#This Row]</f>
        <v>9</v>
      </c>
      <c r="BB600" t="str">
        <v>Paper</v>
      </c>
      <c r="BC600" t="str">
        <v>Corr. Cardboard</v>
      </c>
      <c r="BD600" t="str">
        <v>Europe</v>
      </c>
      <c r="BE600" t="str">
        <v>Spain</v>
      </c>
      <c r="BF600">
        <v>-2.1278299999999999</v>
      </c>
      <c r="BG600">
        <v>-1.3728063799999999</v>
      </c>
      <c r="BH600">
        <v>3.3959254017162663E-3</v>
      </c>
      <c r="BI600">
        <v>-1.47884710702032</v>
      </c>
      <c r="BJ600">
        <v>-2.2559418354696001</v>
      </c>
      <c r="BK600">
        <v>2.8719999999999999E-2</v>
      </c>
      <c r="BL600">
        <v>-0.75966030441936305</v>
      </c>
      <c r="BM600">
        <v>3.4586025223388002E-2</v>
      </c>
    </row>
    <row r="601" spans="3:65">
      <c r="C601" s="375">
        <v>9</v>
      </c>
      <c r="D601" s="374" t="s">
        <v>252</v>
      </c>
      <c r="E601" s="375" t="s">
        <v>254</v>
      </c>
      <c r="F601" s="362" t="s">
        <v>548</v>
      </c>
      <c r="G601" s="362" t="s">
        <v>560</v>
      </c>
      <c r="H601" s="368">
        <v>-2.1485799999999999</v>
      </c>
      <c r="I601" s="368">
        <v>0</v>
      </c>
      <c r="J601" s="368">
        <v>-4.6375597216919706</v>
      </c>
      <c r="K601" s="368">
        <v>0</v>
      </c>
      <c r="L601" s="368">
        <v>0</v>
      </c>
      <c r="M601" s="368">
        <v>2.6031494144332999E-2</v>
      </c>
      <c r="N601" s="368">
        <v>0.59493991385354505</v>
      </c>
      <c r="O601" s="368">
        <v>2.5363328137779999</v>
      </c>
      <c r="T601" s="49">
        <v>9</v>
      </c>
      <c r="U601" s="143" t="s">
        <v>239</v>
      </c>
      <c r="V601" s="33" t="s">
        <v>329</v>
      </c>
      <c r="W601" s="53" t="s">
        <v>548</v>
      </c>
      <c r="X601" s="53" t="s">
        <v>560</v>
      </c>
      <c r="Y601" s="172">
        <f>IFERROR(-tblZwaste1422[[#This Row],[Weight (kgCO2e/kg)]],0)</f>
        <v>-3.4792200000000002</v>
      </c>
      <c r="Z601" s="172" t="str">
        <f>IF(AQ601="x",(AR601*-tblZwaste1422[[#This Row],[Weight (kgCO2e/kg)]])+AS601+($AR$10*Lookups!$J$38/1000),"DELETE")</f>
        <v>DELETE</v>
      </c>
      <c r="AA601" s="176">
        <v>-3.0308890829013313</v>
      </c>
      <c r="AB601" s="172">
        <v>-1.6014676743124701</v>
      </c>
      <c r="AC601" s="172">
        <v>-2.5104833716713402</v>
      </c>
      <c r="AD601" s="172">
        <v>0.42743527447463697</v>
      </c>
      <c r="AE601" s="172">
        <v>-0.76251763102777603</v>
      </c>
      <c r="AF601" s="172">
        <v>3.7249575346798097E-2</v>
      </c>
      <c r="AG601" s="150"/>
      <c r="AI601" s="137">
        <v>9</v>
      </c>
      <c r="AJ601" s="136" t="s">
        <v>239</v>
      </c>
      <c r="AK601" s="142" t="s">
        <v>329</v>
      </c>
      <c r="AL601" s="136" t="s">
        <v>548</v>
      </c>
      <c r="AM601" s="136" t="s">
        <v>560</v>
      </c>
      <c r="AN601" s="1">
        <v>3.4792200000000002</v>
      </c>
      <c r="AO601" s="166">
        <v>1.0383</v>
      </c>
      <c r="AQ601">
        <f>_xlfn.XLOOKUP(tblGWP21[[#This Row],[Material Subcategory]],ls_Mat,Factors!$K$952:$K$1023)</f>
        <v>0</v>
      </c>
      <c r="AU601" t="s">
        <v>526</v>
      </c>
      <c r="AV601" s="347">
        <v>0.65</v>
      </c>
      <c r="BA601" cm="1">
        <f t="array" ref="BA601:BM601">tblGWP21[#This Row]</f>
        <v>9</v>
      </c>
      <c r="BB601" t="str">
        <v>Paper</v>
      </c>
      <c r="BC601" t="str">
        <v>Office Paper</v>
      </c>
      <c r="BD601" t="str">
        <v>Europe</v>
      </c>
      <c r="BE601" t="str">
        <v>Spain</v>
      </c>
      <c r="BF601">
        <v>-3.4792200000000002</v>
      </c>
      <c r="BG601" t="str">
        <v>DELETE</v>
      </c>
      <c r="BH601">
        <v>-3.0308890829013313</v>
      </c>
      <c r="BI601">
        <v>-1.6014676743124701</v>
      </c>
      <c r="BJ601">
        <v>-2.5104833716713402</v>
      </c>
      <c r="BK601">
        <v>0.42743527447463697</v>
      </c>
      <c r="BL601">
        <v>-0.76251763102777603</v>
      </c>
      <c r="BM601">
        <v>3.7249575346798097E-2</v>
      </c>
    </row>
    <row r="602" spans="3:65">
      <c r="C602" s="6">
        <v>9</v>
      </c>
      <c r="D602" s="373" t="s">
        <v>252</v>
      </c>
      <c r="E602" s="6" t="s">
        <v>532</v>
      </c>
      <c r="F602" s="136" t="s">
        <v>548</v>
      </c>
      <c r="G602" s="136" t="s">
        <v>560</v>
      </c>
      <c r="H602" s="191">
        <v>-1.9492499999999999</v>
      </c>
      <c r="I602" s="191">
        <v>0</v>
      </c>
      <c r="J602" s="191">
        <v>-4.5611966747680484</v>
      </c>
      <c r="K602" s="191">
        <v>0</v>
      </c>
      <c r="L602" s="191">
        <v>0</v>
      </c>
      <c r="M602" s="191">
        <v>2.6031494936346E-2</v>
      </c>
      <c r="N602" s="191">
        <v>0.42632612137937798</v>
      </c>
      <c r="O602" s="191">
        <v>2.4956086901446199</v>
      </c>
      <c r="T602" s="49">
        <v>9</v>
      </c>
      <c r="U602" s="143" t="s">
        <v>239</v>
      </c>
      <c r="V602" s="33" t="s">
        <v>271</v>
      </c>
      <c r="W602" s="53" t="s">
        <v>548</v>
      </c>
      <c r="X602" s="53" t="s">
        <v>560</v>
      </c>
      <c r="Y602" s="172">
        <f>IFERROR(-tblZwaste1422[[#This Row],[Weight (kgCO2e/kg)]],0)</f>
        <v>-3.1045600000000002</v>
      </c>
      <c r="Z602" s="172" t="str">
        <f>IF(AQ602="x",(AR602*-tblZwaste1422[[#This Row],[Weight (kgCO2e/kg)]])+AS602+($AR$10*Lookups!$J$38/1000),"DELETE")</f>
        <v>DELETE</v>
      </c>
      <c r="AA602" s="176">
        <v>-0.97502312470239016</v>
      </c>
      <c r="AB602" s="172">
        <v>-1.5167787280107199</v>
      </c>
      <c r="AC602" s="172">
        <v>-2.6037408171057099</v>
      </c>
      <c r="AD602" s="172">
        <v>-0.66901157869309202</v>
      </c>
      <c r="AE602" s="172">
        <v>-0.72653009227590704</v>
      </c>
      <c r="AF602" s="172">
        <v>4.0395480727731303E-2</v>
      </c>
      <c r="AG602" s="150"/>
      <c r="AI602" s="137">
        <v>9</v>
      </c>
      <c r="AJ602" s="136" t="s">
        <v>239</v>
      </c>
      <c r="AK602" s="142" t="s">
        <v>271</v>
      </c>
      <c r="AL602" s="136" t="s">
        <v>548</v>
      </c>
      <c r="AM602" s="136" t="s">
        <v>560</v>
      </c>
      <c r="AN602" s="1">
        <v>3.1045600000000002</v>
      </c>
      <c r="AO602" s="166">
        <v>0.12864</v>
      </c>
      <c r="AQ602">
        <f>_xlfn.XLOOKUP(tblGWP21[[#This Row],[Material Subcategory]],ls_Mat,Factors!$K$952:$K$1023)</f>
        <v>0</v>
      </c>
      <c r="AU602" t="s">
        <v>526</v>
      </c>
      <c r="AV602" s="347">
        <v>0.65</v>
      </c>
      <c r="BA602" cm="1">
        <f t="array" ref="BA602:BM602">tblGWP21[#This Row]</f>
        <v>9</v>
      </c>
      <c r="BB602" t="str">
        <v>Paper</v>
      </c>
      <c r="BC602" t="str">
        <v>Magazines</v>
      </c>
      <c r="BD602" t="str">
        <v>Europe</v>
      </c>
      <c r="BE602" t="str">
        <v>Spain</v>
      </c>
      <c r="BF602">
        <v>-3.1045600000000002</v>
      </c>
      <c r="BG602" t="str">
        <v>DELETE</v>
      </c>
      <c r="BH602">
        <v>-0.97502312470239016</v>
      </c>
      <c r="BI602">
        <v>-1.5167787280107199</v>
      </c>
      <c r="BJ602">
        <v>-2.6037408171057099</v>
      </c>
      <c r="BK602">
        <v>-0.66901157869309202</v>
      </c>
      <c r="BL602">
        <v>-0.72653009227590704</v>
      </c>
      <c r="BM602">
        <v>4.0395480727731303E-2</v>
      </c>
    </row>
    <row r="603" spans="3:65">
      <c r="C603" s="375">
        <v>9</v>
      </c>
      <c r="D603" s="374" t="s">
        <v>252</v>
      </c>
      <c r="E603" s="375" t="s">
        <v>245</v>
      </c>
      <c r="F603" s="362" t="s">
        <v>548</v>
      </c>
      <c r="G603" s="362" t="s">
        <v>560</v>
      </c>
      <c r="H603" s="368">
        <v>-2.0269300000000001</v>
      </c>
      <c r="I603" s="368">
        <v>0</v>
      </c>
      <c r="J603" s="368">
        <v>0</v>
      </c>
      <c r="K603" s="368">
        <v>0</v>
      </c>
      <c r="L603" s="368">
        <v>0</v>
      </c>
      <c r="M603" s="368">
        <v>2.6031495053680302E-2</v>
      </c>
      <c r="N603" s="368">
        <v>0.29483501584865401</v>
      </c>
      <c r="O603" s="368">
        <v>3.18336714658603</v>
      </c>
      <c r="T603" s="49">
        <v>9</v>
      </c>
      <c r="U603" s="143" t="s">
        <v>239</v>
      </c>
      <c r="V603" s="33" t="s">
        <v>535</v>
      </c>
      <c r="W603" s="53" t="s">
        <v>548</v>
      </c>
      <c r="X603" s="53" t="s">
        <v>560</v>
      </c>
      <c r="Y603" s="172">
        <f>IFERROR(-tblZwaste1422[[#This Row],[Weight (kgCO2e/kg)]],0)</f>
        <v>-3.1045600000000002</v>
      </c>
      <c r="Z603" s="172" t="str">
        <f>IF(AQ603="x",(AR603*-tblZwaste1422[[#This Row],[Weight (kgCO2e/kg)]])+AS603+($AR$10*Lookups!$J$38/1000),"DELETE")</f>
        <v>DELETE</v>
      </c>
      <c r="AA603" s="176">
        <v>-0.97502312470239016</v>
      </c>
      <c r="AB603" s="172">
        <v>-1.6254210621663301</v>
      </c>
      <c r="AC603" s="172">
        <v>-2.6104725865305101</v>
      </c>
      <c r="AD603" s="172">
        <v>-0.86621173986601596</v>
      </c>
      <c r="AE603" s="172">
        <v>-0.80864742018463398</v>
      </c>
      <c r="AF603" s="172">
        <v>2.9214165558548801E-2</v>
      </c>
      <c r="AG603" s="150"/>
      <c r="AI603" s="137">
        <v>9</v>
      </c>
      <c r="AJ603" s="136" t="s">
        <v>239</v>
      </c>
      <c r="AK603" s="142" t="s">
        <v>535</v>
      </c>
      <c r="AL603" s="136" t="s">
        <v>548</v>
      </c>
      <c r="AM603" s="136" t="s">
        <v>560</v>
      </c>
      <c r="AN603" s="1">
        <v>3.1045600000000002</v>
      </c>
      <c r="AO603" s="166">
        <v>0.12864</v>
      </c>
      <c r="AQ603">
        <f>_xlfn.XLOOKUP(tblGWP21[[#This Row],[Material Subcategory]],ls_Mat,Factors!$K$952:$K$1023)</f>
        <v>0</v>
      </c>
      <c r="AU603" t="s">
        <v>526</v>
      </c>
      <c r="AV603" s="347">
        <v>0.65</v>
      </c>
      <c r="BA603" cm="1">
        <f t="array" ref="BA603:BM603">tblGWP21[#This Row]</f>
        <v>9</v>
      </c>
      <c r="BB603" t="str">
        <v>Paper</v>
      </c>
      <c r="BC603" t="str">
        <v>3rd Class Mail</v>
      </c>
      <c r="BD603" t="str">
        <v>Europe</v>
      </c>
      <c r="BE603" t="str">
        <v>Spain</v>
      </c>
      <c r="BF603">
        <v>-3.1045600000000002</v>
      </c>
      <c r="BG603" t="str">
        <v>DELETE</v>
      </c>
      <c r="BH603">
        <v>-0.97502312470239016</v>
      </c>
      <c r="BI603">
        <v>-1.6254210621663301</v>
      </c>
      <c r="BJ603">
        <v>-2.6104725865305101</v>
      </c>
      <c r="BK603">
        <v>-0.86621173986601596</v>
      </c>
      <c r="BL603">
        <v>-0.80864742018463398</v>
      </c>
      <c r="BM603">
        <v>2.9214165558548801E-2</v>
      </c>
    </row>
    <row r="604" spans="3:65">
      <c r="C604" s="6">
        <v>9</v>
      </c>
      <c r="D604" s="373" t="s">
        <v>252</v>
      </c>
      <c r="E604" s="6" t="s">
        <v>533</v>
      </c>
      <c r="F604" s="136" t="s">
        <v>548</v>
      </c>
      <c r="G604" s="136" t="s">
        <v>560</v>
      </c>
      <c r="H604" s="191">
        <v>-2.0748000000000002</v>
      </c>
      <c r="I604" s="191">
        <v>0</v>
      </c>
      <c r="J604" s="191">
        <v>0</v>
      </c>
      <c r="K604" s="191">
        <v>0</v>
      </c>
      <c r="L604" s="191">
        <v>0</v>
      </c>
      <c r="M604" s="191">
        <v>2.6031489913278E-2</v>
      </c>
      <c r="N604" s="191">
        <v>0.512084664433887</v>
      </c>
      <c r="O604" s="191">
        <v>3.0368309603358301</v>
      </c>
      <c r="T604" s="49">
        <v>9</v>
      </c>
      <c r="U604" s="143" t="s">
        <v>239</v>
      </c>
      <c r="V604" s="33" t="s">
        <v>259</v>
      </c>
      <c r="W604" s="53" t="s">
        <v>548</v>
      </c>
      <c r="X604" s="53" t="s">
        <v>560</v>
      </c>
      <c r="Y604" s="172">
        <f>IFERROR(-tblZwaste1422[[#This Row],[Weight (kgCO2e/kg)]],0)</f>
        <v>-2.86965</v>
      </c>
      <c r="Z604" s="172" t="str">
        <f>IF(AQ604="x",(AR604*-tblZwaste1422[[#This Row],[Weight (kgCO2e/kg)]])+AS604+($AR$10*Lookups!$J$38/1000),"DELETE")</f>
        <v>DELETE</v>
      </c>
      <c r="AA604" s="176">
        <v>-0.97502312470239016</v>
      </c>
      <c r="AB604" s="172">
        <v>-1.3404051274876601</v>
      </c>
      <c r="AC604" s="172">
        <v>-2.0267251072714698</v>
      </c>
      <c r="AD604" s="172">
        <v>-0.37846309713520798</v>
      </c>
      <c r="AE604" s="172">
        <v>-0.65873424556094695</v>
      </c>
      <c r="AF604" s="172">
        <v>2.8421748849327799E-2</v>
      </c>
      <c r="AG604" s="150"/>
      <c r="AI604" s="137">
        <v>9</v>
      </c>
      <c r="AJ604" s="136" t="s">
        <v>239</v>
      </c>
      <c r="AK604" s="142" t="s">
        <v>259</v>
      </c>
      <c r="AL604" s="136" t="s">
        <v>548</v>
      </c>
      <c r="AM604" s="136" t="s">
        <v>560</v>
      </c>
      <c r="AN604" s="1">
        <v>2.86965</v>
      </c>
      <c r="AO604" s="166">
        <v>0.79600000000000004</v>
      </c>
      <c r="AQ604">
        <f>_xlfn.XLOOKUP(tblGWP21[[#This Row],[Material Subcategory]],ls_Mat,Factors!$K$952:$K$1023)</f>
        <v>0</v>
      </c>
      <c r="AR604" s="173"/>
      <c r="AU604" t="s">
        <v>526</v>
      </c>
      <c r="AV604" s="347">
        <v>0.8</v>
      </c>
      <c r="BA604" cm="1">
        <f t="array" ref="BA604:BM604">tblGWP21[#This Row]</f>
        <v>9</v>
      </c>
      <c r="BB604" t="str">
        <v>Paper</v>
      </c>
      <c r="BC604" t="str">
        <v>Folding Containers</v>
      </c>
      <c r="BD604" t="str">
        <v>Europe</v>
      </c>
      <c r="BE604" t="str">
        <v>Spain</v>
      </c>
      <c r="BF604">
        <v>-2.86965</v>
      </c>
      <c r="BG604" t="str">
        <v>DELETE</v>
      </c>
      <c r="BH604">
        <v>-0.97502312470239016</v>
      </c>
      <c r="BI604">
        <v>-1.3404051274876601</v>
      </c>
      <c r="BJ604">
        <v>-2.0267251072714698</v>
      </c>
      <c r="BK604">
        <v>-0.37846309713520798</v>
      </c>
      <c r="BL604">
        <v>-0.65873424556094695</v>
      </c>
      <c r="BM604">
        <v>2.8421748849327799E-2</v>
      </c>
    </row>
    <row r="605" spans="3:65">
      <c r="C605" s="375">
        <v>9</v>
      </c>
      <c r="D605" s="374" t="s">
        <v>242</v>
      </c>
      <c r="E605" s="375" t="s">
        <v>242</v>
      </c>
      <c r="F605" s="362" t="s">
        <v>548</v>
      </c>
      <c r="G605" s="362" t="s">
        <v>560</v>
      </c>
      <c r="H605" s="368">
        <v>-38.486130000000003</v>
      </c>
      <c r="I605" s="368">
        <v>-27.900672450000002</v>
      </c>
      <c r="J605" s="368">
        <v>-3.2868550000000001</v>
      </c>
      <c r="K605" s="368">
        <v>0</v>
      </c>
      <c r="L605" s="368">
        <v>0</v>
      </c>
      <c r="M605" s="368">
        <v>2.5860000000000001E-2</v>
      </c>
      <c r="N605" s="368">
        <v>4.1414954380226701E-2</v>
      </c>
      <c r="O605" s="368">
        <v>4.8923121440990501E-2</v>
      </c>
      <c r="T605" s="49">
        <v>9</v>
      </c>
      <c r="U605" s="143" t="s">
        <v>239</v>
      </c>
      <c r="V605" s="33" t="s">
        <v>334</v>
      </c>
      <c r="W605" s="53" t="s">
        <v>548</v>
      </c>
      <c r="X605" s="53" t="s">
        <v>560</v>
      </c>
      <c r="Y605" s="172">
        <f>IFERROR(-tblZwaste1422[[#This Row],[Weight (kgCO2e/kg)]],0)</f>
        <v>-2.86965</v>
      </c>
      <c r="Z605" s="172" t="str">
        <f>IF(AQ605="x",(AR605*-tblZwaste1422[[#This Row],[Weight (kgCO2e/kg)]])+AS605+($AR$10*Lookups!$J$38/1000),"DELETE")</f>
        <v>DELETE</v>
      </c>
      <c r="AA605" s="176">
        <v>-0.97502312470239016</v>
      </c>
      <c r="AB605" s="172">
        <v>-1.75091397882519</v>
      </c>
      <c r="AC605" s="172">
        <v>-2.49502254385414</v>
      </c>
      <c r="AD605" s="172">
        <v>-0.32206621845198502</v>
      </c>
      <c r="AE605" s="172">
        <v>-0.96154401583511395</v>
      </c>
      <c r="AF605" s="172">
        <v>2.63899546040555E-2</v>
      </c>
      <c r="AG605" s="150"/>
      <c r="AI605" s="137">
        <v>9</v>
      </c>
      <c r="AJ605" s="136" t="s">
        <v>239</v>
      </c>
      <c r="AK605" s="142" t="s">
        <v>334</v>
      </c>
      <c r="AL605" s="136" t="s">
        <v>548</v>
      </c>
      <c r="AM605" s="136" t="s">
        <v>560</v>
      </c>
      <c r="AN605" s="1">
        <v>2.86965</v>
      </c>
      <c r="AO605" s="166">
        <v>0.76736000000000004</v>
      </c>
      <c r="AQ605">
        <f>_xlfn.XLOOKUP(tblGWP21[[#This Row],[Material Subcategory]],ls_Mat,Factors!$K$952:$K$1023)</f>
        <v>0</v>
      </c>
      <c r="AR605" s="173"/>
      <c r="BA605" cm="1">
        <f t="array" ref="BA605:BM605">tblGWP21[#This Row]</f>
        <v>9</v>
      </c>
      <c r="BB605" t="str">
        <v>Paper</v>
      </c>
      <c r="BC605" t="str">
        <v>Paper Bags</v>
      </c>
      <c r="BD605" t="str">
        <v>Europe</v>
      </c>
      <c r="BE605" t="str">
        <v>Spain</v>
      </c>
      <c r="BF605">
        <v>-2.86965</v>
      </c>
      <c r="BG605" t="str">
        <v>DELETE</v>
      </c>
      <c r="BH605">
        <v>-0.97502312470239016</v>
      </c>
      <c r="BI605">
        <v>-1.75091397882519</v>
      </c>
      <c r="BJ605">
        <v>-2.49502254385414</v>
      </c>
      <c r="BK605">
        <v>-0.32206621845198502</v>
      </c>
      <c r="BL605">
        <v>-0.96154401583511395</v>
      </c>
      <c r="BM605">
        <v>2.63899546040555E-2</v>
      </c>
    </row>
    <row r="606" spans="3:65">
      <c r="C606" s="6">
        <v>9</v>
      </c>
      <c r="D606" s="373" t="s">
        <v>242</v>
      </c>
      <c r="E606" s="6" t="s">
        <v>274</v>
      </c>
      <c r="F606" s="136" t="s">
        <v>548</v>
      </c>
      <c r="G606" s="136" t="s">
        <v>560</v>
      </c>
      <c r="H606" s="191">
        <v>-38.486130000000003</v>
      </c>
      <c r="I606" s="191">
        <v>-27.900672450000002</v>
      </c>
      <c r="J606" s="191">
        <v>-8.5278425000000002</v>
      </c>
      <c r="K606" s="191">
        <v>0</v>
      </c>
      <c r="L606" s="191">
        <v>0</v>
      </c>
      <c r="M606" s="191">
        <v>2.5860000000000001E-2</v>
      </c>
      <c r="N606" s="191">
        <v>4.1414954380226701E-2</v>
      </c>
      <c r="O606" s="191">
        <v>4.8923121440990501E-2</v>
      </c>
      <c r="T606" s="49">
        <v>9</v>
      </c>
      <c r="U606" s="143" t="s">
        <v>239</v>
      </c>
      <c r="V606" s="33" t="s">
        <v>240</v>
      </c>
      <c r="W606" s="53" t="s">
        <v>548</v>
      </c>
      <c r="X606" s="53" t="s">
        <v>560</v>
      </c>
      <c r="Y606" s="172">
        <f>IFERROR(-tblZwaste1422[[#This Row],[Weight (kgCO2e/kg)]],0)</f>
        <v>-3.1045600000000002</v>
      </c>
      <c r="Z606" s="172" t="str">
        <f>IF(AQ606="x",(AR606*-tblZwaste1422[[#This Row],[Weight (kgCO2e/kg)]])+AS606+($AR$10*Lookups!$J$38/1000),"DELETE")</f>
        <v>DELETE</v>
      </c>
      <c r="AA606" s="176" t="s">
        <v>567</v>
      </c>
      <c r="AB606" s="172">
        <v>-1.77967029679388</v>
      </c>
      <c r="AC606" s="172">
        <v>-2.5768932189807301</v>
      </c>
      <c r="AD606" s="172">
        <v>-0.70071651099514798</v>
      </c>
      <c r="AE606" s="172">
        <v>0.39244906498448801</v>
      </c>
      <c r="AF606" s="172">
        <v>2.3670129480144699</v>
      </c>
      <c r="AG606" s="150"/>
      <c r="AI606" s="137">
        <v>9</v>
      </c>
      <c r="AJ606" s="136" t="s">
        <v>239</v>
      </c>
      <c r="AK606" s="142" t="s">
        <v>240</v>
      </c>
      <c r="AL606" s="136" t="s">
        <v>548</v>
      </c>
      <c r="AM606" s="136" t="s">
        <v>560</v>
      </c>
      <c r="AN606" s="1">
        <v>3.1045600000000002</v>
      </c>
      <c r="AO606" s="166">
        <v>0.76736000000000004</v>
      </c>
      <c r="AQ606">
        <f>_xlfn.XLOOKUP(tblGWP21[[#This Row],[Material Subcategory]],ls_Mat,Factors!$K$952:$K$1023)</f>
        <v>0</v>
      </c>
      <c r="AR606" s="173"/>
      <c r="BA606" cm="1">
        <f t="array" ref="BA606:BM606">tblGWP21[#This Row]</f>
        <v>9</v>
      </c>
      <c r="BB606" t="str">
        <v>Paper</v>
      </c>
      <c r="BC606" t="str">
        <v>Paper – Non-Recyclable</v>
      </c>
      <c r="BD606" t="str">
        <v>Europe</v>
      </c>
      <c r="BE606" t="str">
        <v>Spain</v>
      </c>
      <c r="BF606">
        <v>-3.1045600000000002</v>
      </c>
      <c r="BG606" t="str">
        <v>DELETE</v>
      </c>
      <c r="BH606" t="str">
        <v>DELETE</v>
      </c>
      <c r="BI606">
        <v>-1.77967029679388</v>
      </c>
      <c r="BJ606">
        <v>-2.5768932189807301</v>
      </c>
      <c r="BK606">
        <v>-0.70071651099514798</v>
      </c>
      <c r="BL606">
        <v>0.39244906498448801</v>
      </c>
      <c r="BM606">
        <v>2.3670129480144699</v>
      </c>
    </row>
    <row r="607" spans="3:65" ht="28.8">
      <c r="C607" s="375">
        <v>9</v>
      </c>
      <c r="D607" s="374" t="s">
        <v>242</v>
      </c>
      <c r="E607" s="375" t="s">
        <v>534</v>
      </c>
      <c r="F607" s="362" t="s">
        <v>548</v>
      </c>
      <c r="G607" s="362" t="s">
        <v>560</v>
      </c>
      <c r="H607" s="368">
        <v>-15.0122</v>
      </c>
      <c r="I607" s="368">
        <v>-10.882073199999999</v>
      </c>
      <c r="J607" s="368">
        <v>-3.19428</v>
      </c>
      <c r="K607" s="368">
        <v>0</v>
      </c>
      <c r="L607" s="368">
        <v>0</v>
      </c>
      <c r="M607" s="368">
        <v>2.5860000000000001E-2</v>
      </c>
      <c r="N607" s="368">
        <v>4.1414954380226701E-2</v>
      </c>
      <c r="O607" s="368">
        <v>4.8923121440990501E-2</v>
      </c>
      <c r="T607" s="49">
        <v>9</v>
      </c>
      <c r="U607" s="143" t="s">
        <v>239</v>
      </c>
      <c r="V607" s="33" t="s">
        <v>325</v>
      </c>
      <c r="W607" s="53" t="s">
        <v>548</v>
      </c>
      <c r="X607" s="53" t="s">
        <v>560</v>
      </c>
      <c r="Y607" s="172">
        <f>IFERROR(-tblZwaste1422[[#This Row],[Weight (kgCO2e/kg)]],0)</f>
        <v>-1.66</v>
      </c>
      <c r="Z607" s="172" t="str">
        <f>IF(AQ607="x",(AR607*-tblZwaste1422[[#This Row],[Weight (kgCO2e/kg)]])+AS607+($AR$10*Lookups!$J$38/1000),"DELETE")</f>
        <v>DELETE</v>
      </c>
      <c r="AA607" s="176" t="s">
        <v>567</v>
      </c>
      <c r="AB607" s="172">
        <v>-1.6414433894164899</v>
      </c>
      <c r="AC607" s="172">
        <v>-2.39351722049383</v>
      </c>
      <c r="AD607" s="172">
        <v>-0.66144178690558597</v>
      </c>
      <c r="AE607" s="172">
        <v>-0.88835374395553102</v>
      </c>
      <c r="AF607" s="172">
        <v>2.7472268181238799E-2</v>
      </c>
      <c r="AG607" s="150"/>
      <c r="AI607" s="137">
        <v>9</v>
      </c>
      <c r="AJ607" s="136" t="s">
        <v>239</v>
      </c>
      <c r="AK607" s="142" t="s">
        <v>325</v>
      </c>
      <c r="AL607" s="136" t="s">
        <v>548</v>
      </c>
      <c r="AM607" s="136" t="s">
        <v>560</v>
      </c>
      <c r="AN607" s="1">
        <v>1.66</v>
      </c>
      <c r="AO607" s="166">
        <v>0.79600000000000004</v>
      </c>
      <c r="AQ607">
        <f>_xlfn.XLOOKUP(tblGWP21[[#This Row],[Material Subcategory]],ls_Mat,Factors!$K$952:$K$1023)</f>
        <v>0</v>
      </c>
      <c r="AU607" t="s">
        <v>526</v>
      </c>
      <c r="AV607" s="347">
        <v>0.95</v>
      </c>
      <c r="BA607" cm="1">
        <f t="array" ref="BA607:BM607">tblGWP21[#This Row]</f>
        <v>9</v>
      </c>
      <c r="BB607" t="str">
        <v>Paper</v>
      </c>
      <c r="BC607" t="str">
        <v>Compostable Food Service Ware</v>
      </c>
      <c r="BD607" t="str">
        <v>Europe</v>
      </c>
      <c r="BE607" t="str">
        <v>Spain</v>
      </c>
      <c r="BF607">
        <v>-1.66</v>
      </c>
      <c r="BG607" t="str">
        <v>DELETE</v>
      </c>
      <c r="BH607" t="str">
        <v>DELETE</v>
      </c>
      <c r="BI607">
        <v>-1.6414433894164899</v>
      </c>
      <c r="BJ607">
        <v>-2.39351722049383</v>
      </c>
      <c r="BK607">
        <v>-0.66144178690558597</v>
      </c>
      <c r="BL607">
        <v>-0.88835374395553102</v>
      </c>
      <c r="BM607">
        <v>2.7472268181238799E-2</v>
      </c>
    </row>
    <row r="608" spans="3:65">
      <c r="C608" s="6">
        <v>9</v>
      </c>
      <c r="D608" s="373" t="s">
        <v>239</v>
      </c>
      <c r="E608" s="6" t="s">
        <v>239</v>
      </c>
      <c r="F608" s="136" t="s">
        <v>548</v>
      </c>
      <c r="G608" s="136" t="s">
        <v>560</v>
      </c>
      <c r="H608" s="191">
        <v>-2.6644477777777777</v>
      </c>
      <c r="I608" s="191">
        <v>-1.7194614644444446</v>
      </c>
      <c r="J608" s="191">
        <v>-0.86668722195768011</v>
      </c>
      <c r="K608" s="191">
        <v>-1.6414433894164899</v>
      </c>
      <c r="L608" s="191">
        <v>-2.39351722049383</v>
      </c>
      <c r="M608" s="191">
        <v>-0.66144178690558597</v>
      </c>
      <c r="N608" s="191">
        <v>-0.88835374395553102</v>
      </c>
      <c r="O608" s="191">
        <v>2.7472268181238799E-2</v>
      </c>
      <c r="T608" s="49">
        <v>9</v>
      </c>
      <c r="U608" s="143" t="s">
        <v>256</v>
      </c>
      <c r="V608" s="33" t="s">
        <v>256</v>
      </c>
      <c r="W608" s="53" t="s">
        <v>548</v>
      </c>
      <c r="X608" s="53" t="s">
        <v>560</v>
      </c>
      <c r="Y608" s="172">
        <f>IFERROR(-tblZwaste1422[[#This Row],[Weight (kgCO2e/kg)]],0)</f>
        <v>-3.3097799999999999</v>
      </c>
      <c r="Z608" s="172" t="e">
        <f>IF(AQ608="x",(AR608*-tblZwaste1422[[#This Row],[Weight (kgCO2e/kg)]])+AS608+($AR$10*Lookups!$J$38/1000),"DELETE")</f>
        <v>#N/A</v>
      </c>
      <c r="AA608" s="176">
        <v>-12.832508386079841</v>
      </c>
      <c r="AB608" s="172" t="s">
        <v>567</v>
      </c>
      <c r="AC608" s="172" t="s">
        <v>567</v>
      </c>
      <c r="AD608" s="172">
        <v>2.5945738023347653E-2</v>
      </c>
      <c r="AE608" s="172">
        <v>-0.112603850990406</v>
      </c>
      <c r="AF608" s="172">
        <v>-9.5085110793390756E-2</v>
      </c>
      <c r="AG608" s="150"/>
      <c r="AI608" s="137">
        <v>9</v>
      </c>
      <c r="AJ608" s="136" t="s">
        <v>256</v>
      </c>
      <c r="AK608" s="142" t="s">
        <v>256</v>
      </c>
      <c r="AL608" s="136" t="s">
        <v>548</v>
      </c>
      <c r="AM608" s="136" t="s">
        <v>560</v>
      </c>
      <c r="AN608" s="1">
        <v>3.3097799999999999</v>
      </c>
      <c r="AO608" s="166">
        <v>1.0068550000000001</v>
      </c>
      <c r="AQ608" t="e">
        <f>_xlfn.XLOOKUP(tblGWP21[[#This Row],[Material Subcategory]],ls_Mat,Factors!$K$952:$K$1023)</f>
        <v>#N/A</v>
      </c>
      <c r="AR608" s="173">
        <v>1</v>
      </c>
      <c r="AS608">
        <v>8.1306407300000008E-2</v>
      </c>
      <c r="AT608" t="s">
        <v>531</v>
      </c>
      <c r="AU608" t="s">
        <v>526</v>
      </c>
      <c r="AV608" s="347">
        <v>0.95</v>
      </c>
      <c r="BA608" cm="1">
        <f t="array" ref="BA608:BM608">tblGWP21[#This Row]</f>
        <v>9</v>
      </c>
      <c r="BB608" t="str">
        <v>Metals</v>
      </c>
      <c r="BC608" t="str">
        <v>Metals</v>
      </c>
      <c r="BD608" t="str">
        <v>Europe</v>
      </c>
      <c r="BE608" t="str">
        <v>Spain</v>
      </c>
      <c r="BF608">
        <v>-3.3097799999999999</v>
      </c>
      <c r="BG608" t="e">
        <v>#N/A</v>
      </c>
      <c r="BH608">
        <v>-12.832508386079841</v>
      </c>
      <c r="BI608" t="str">
        <v>DELETE</v>
      </c>
      <c r="BJ608" t="str">
        <v>DELETE</v>
      </c>
      <c r="BK608">
        <v>2.5945738023347653E-2</v>
      </c>
      <c r="BL608">
        <v>-0.112603850990406</v>
      </c>
      <c r="BM608">
        <v>-9.5085110793390756E-2</v>
      </c>
    </row>
    <row r="609" spans="3:65">
      <c r="C609" s="375">
        <v>9</v>
      </c>
      <c r="D609" s="374" t="s">
        <v>239</v>
      </c>
      <c r="E609" s="375" t="s">
        <v>324</v>
      </c>
      <c r="F609" s="362" t="s">
        <v>548</v>
      </c>
      <c r="G609" s="362" t="s">
        <v>560</v>
      </c>
      <c r="H609" s="368">
        <v>-1.66</v>
      </c>
      <c r="I609" s="368">
        <v>0</v>
      </c>
      <c r="J609" s="368">
        <v>0.18006034159041032</v>
      </c>
      <c r="K609" s="368">
        <v>-1.6519994435588701</v>
      </c>
      <c r="L609" s="368">
        <v>-2.2435328278880098</v>
      </c>
      <c r="M609" s="368">
        <v>-1.13670575535437</v>
      </c>
      <c r="N609" s="368">
        <v>-0.96577422212861597</v>
      </c>
      <c r="O609" s="368">
        <v>2.6682774593358698E-2</v>
      </c>
      <c r="T609" s="49">
        <v>9</v>
      </c>
      <c r="U609" s="143" t="s">
        <v>256</v>
      </c>
      <c r="V609" s="33" t="s">
        <v>536</v>
      </c>
      <c r="W609" s="53" t="s">
        <v>548</v>
      </c>
      <c r="X609" s="53" t="s">
        <v>560</v>
      </c>
      <c r="Y609" s="172">
        <f>IFERROR(-tblZwaste1422[[#This Row],[Weight (kgCO2e/kg)]],0)</f>
        <v>-1.9798800000000001</v>
      </c>
      <c r="Z609" s="172">
        <f>IF(AQ609="x",(AR609*-tblZwaste1422[[#This Row],[Weight (kgCO2e/kg)]])+AS609+($AR$10*Lookups!$J$38/1000),"DELETE")</f>
        <v>-1.8968017927</v>
      </c>
      <c r="AA609" s="176">
        <v>-2.3059509162113172</v>
      </c>
      <c r="AB609" s="172" t="s">
        <v>567</v>
      </c>
      <c r="AC609" s="172" t="s">
        <v>567</v>
      </c>
      <c r="AD609" s="172">
        <v>2.6031476046695302E-2</v>
      </c>
      <c r="AE609" s="172">
        <v>-0.16515941842172299</v>
      </c>
      <c r="AF609" s="172">
        <v>-0.13789825391205501</v>
      </c>
      <c r="AG609" s="150"/>
      <c r="AI609" s="137">
        <v>9</v>
      </c>
      <c r="AJ609" s="136" t="s">
        <v>256</v>
      </c>
      <c r="AK609" s="142" t="s">
        <v>536</v>
      </c>
      <c r="AL609" s="136" t="s">
        <v>548</v>
      </c>
      <c r="AM609" s="136" t="s">
        <v>560</v>
      </c>
      <c r="AN609" s="1">
        <v>1.9798800000000001</v>
      </c>
      <c r="AO609" s="166">
        <v>0.72957000000000005</v>
      </c>
      <c r="AQ609" t="str">
        <f>_xlfn.XLOOKUP(tblGWP21[[#This Row],[Material Subcategory]],ls_Mat,Factors!$K$952:$K$1023)</f>
        <v>x</v>
      </c>
      <c r="AR609" s="173">
        <v>1</v>
      </c>
      <c r="AS609">
        <v>8.1306407300000008E-2</v>
      </c>
      <c r="AT609" t="s">
        <v>531</v>
      </c>
      <c r="AU609" t="s">
        <v>526</v>
      </c>
      <c r="AV609" s="347">
        <v>0.95</v>
      </c>
      <c r="BA609" cm="1">
        <f t="array" ref="BA609:BM609">tblGWP21[#This Row]</f>
        <v>9</v>
      </c>
      <c r="BB609" t="str">
        <v>Metals</v>
      </c>
      <c r="BC609" t="str">
        <v>Ferrous Cans</v>
      </c>
      <c r="BD609" t="str">
        <v>Europe</v>
      </c>
      <c r="BE609" t="str">
        <v>Spain</v>
      </c>
      <c r="BF609">
        <v>-1.9798800000000001</v>
      </c>
      <c r="BG609">
        <v>-1.8968017927</v>
      </c>
      <c r="BH609">
        <v>-2.3059509162113172</v>
      </c>
      <c r="BI609" t="str">
        <v>DELETE</v>
      </c>
      <c r="BJ609" t="str">
        <v>DELETE</v>
      </c>
      <c r="BK609">
        <v>2.6031476046695302E-2</v>
      </c>
      <c r="BL609">
        <v>-0.16515941842172299</v>
      </c>
      <c r="BM609">
        <v>-0.13789825391205501</v>
      </c>
    </row>
    <row r="610" spans="3:65">
      <c r="C610" s="6">
        <v>9</v>
      </c>
      <c r="D610" s="373" t="s">
        <v>239</v>
      </c>
      <c r="E610" s="6" t="s">
        <v>272</v>
      </c>
      <c r="F610" s="136" t="s">
        <v>548</v>
      </c>
      <c r="G610" s="136" t="s">
        <v>560</v>
      </c>
      <c r="H610" s="191">
        <v>-2.1278299999999999</v>
      </c>
      <c r="I610" s="191">
        <v>-1.3728063799999999</v>
      </c>
      <c r="J610" s="191">
        <v>3.3959254017162663E-3</v>
      </c>
      <c r="K610" s="191">
        <v>-1.47884710702032</v>
      </c>
      <c r="L610" s="191">
        <v>-2.2559418354696001</v>
      </c>
      <c r="M610" s="191">
        <v>2.8719999999999999E-2</v>
      </c>
      <c r="N610" s="191">
        <v>-0.75966030441936305</v>
      </c>
      <c r="O610" s="191">
        <v>3.4586025223388002E-2</v>
      </c>
      <c r="T610" s="49">
        <v>9</v>
      </c>
      <c r="U610" s="143" t="s">
        <v>256</v>
      </c>
      <c r="V610" s="33" t="s">
        <v>257</v>
      </c>
      <c r="W610" s="53" t="s">
        <v>548</v>
      </c>
      <c r="X610" s="53" t="s">
        <v>560</v>
      </c>
      <c r="Y610" s="172">
        <f>IFERROR(-tblZwaste1422[[#This Row],[Weight (kgCO2e/kg)]],0)</f>
        <v>-1.9798800000000001</v>
      </c>
      <c r="Z610" s="172">
        <f>IF(AQ610="x",(AR610*-tblZwaste1422[[#This Row],[Weight (kgCO2e/kg)]])+AS610+($AR$10*Lookups!$J$38/1000),"DELETE")</f>
        <v>-1.8968017927</v>
      </c>
      <c r="AA610" s="176">
        <v>-2.3059509162113172</v>
      </c>
      <c r="AB610" s="172" t="s">
        <v>567</v>
      </c>
      <c r="AC610" s="172" t="s">
        <v>567</v>
      </c>
      <c r="AD610" s="172">
        <v>2.6031476046695302E-2</v>
      </c>
      <c r="AE610" s="172">
        <v>-0.16515941842172399</v>
      </c>
      <c r="AF610" s="172">
        <v>-0.13789825391205399</v>
      </c>
      <c r="AG610" s="150"/>
      <c r="AI610" s="137">
        <v>9</v>
      </c>
      <c r="AJ610" s="136" t="s">
        <v>256</v>
      </c>
      <c r="AK610" s="142" t="s">
        <v>257</v>
      </c>
      <c r="AL610" s="136" t="s">
        <v>548</v>
      </c>
      <c r="AM610" s="136" t="s">
        <v>560</v>
      </c>
      <c r="AN610" s="1">
        <v>1.9798800000000001</v>
      </c>
      <c r="AO610" s="166">
        <v>0.46493000000000001</v>
      </c>
      <c r="AQ610" t="str">
        <f>_xlfn.XLOOKUP(tblGWP21[[#This Row],[Material Subcategory]],ls_Mat,Factors!$K$952:$K$1023)</f>
        <v>x</v>
      </c>
      <c r="AR610" s="173">
        <v>1</v>
      </c>
      <c r="AS610">
        <v>8.1306407300000008E-2</v>
      </c>
      <c r="AT610" t="s">
        <v>531</v>
      </c>
      <c r="BA610" cm="1">
        <f t="array" ref="BA610:BM610">tblGWP21[#This Row]</f>
        <v>9</v>
      </c>
      <c r="BB610" t="str">
        <v>Metals</v>
      </c>
      <c r="BC610" t="str">
        <v>Ferrous Metal</v>
      </c>
      <c r="BD610" t="str">
        <v>Europe</v>
      </c>
      <c r="BE610" t="str">
        <v>Spain</v>
      </c>
      <c r="BF610">
        <v>-1.9798800000000001</v>
      </c>
      <c r="BG610">
        <v>-1.8968017927</v>
      </c>
      <c r="BH610">
        <v>-2.3059509162113172</v>
      </c>
      <c r="BI610" t="str">
        <v>DELETE</v>
      </c>
      <c r="BJ610" t="str">
        <v>DELETE</v>
      </c>
      <c r="BK610">
        <v>2.6031476046695302E-2</v>
      </c>
      <c r="BL610">
        <v>-0.16515941842172399</v>
      </c>
      <c r="BM610">
        <v>-0.13789825391205399</v>
      </c>
    </row>
    <row r="611" spans="3:65">
      <c r="C611" s="375">
        <v>9</v>
      </c>
      <c r="D611" s="374" t="s">
        <v>239</v>
      </c>
      <c r="E611" s="375" t="s">
        <v>329</v>
      </c>
      <c r="F611" s="362" t="s">
        <v>548</v>
      </c>
      <c r="G611" s="362" t="s">
        <v>560</v>
      </c>
      <c r="H611" s="368">
        <v>-3.4792200000000002</v>
      </c>
      <c r="I611" s="368">
        <v>0</v>
      </c>
      <c r="J611" s="368">
        <v>-3.0308890829013313</v>
      </c>
      <c r="K611" s="368">
        <v>-1.6014676743124701</v>
      </c>
      <c r="L611" s="368">
        <v>-2.5104833716713402</v>
      </c>
      <c r="M611" s="368">
        <v>0.42743527447463697</v>
      </c>
      <c r="N611" s="368">
        <v>-0.76251763102777603</v>
      </c>
      <c r="O611" s="368">
        <v>3.7249575346798097E-2</v>
      </c>
      <c r="T611" s="49">
        <v>9</v>
      </c>
      <c r="U611" s="143" t="s">
        <v>256</v>
      </c>
      <c r="V611" s="33" t="s">
        <v>537</v>
      </c>
      <c r="W611" s="53" t="s">
        <v>548</v>
      </c>
      <c r="X611" s="53" t="s">
        <v>560</v>
      </c>
      <c r="Y611" s="172">
        <f>IFERROR(-tblZwaste1422[[#This Row],[Weight (kgCO2e/kg)]],0)</f>
        <v>-5.0082800000000001</v>
      </c>
      <c r="Z611" s="172">
        <f>IF(AQ611="x",(AR611*-tblZwaste1422[[#This Row],[Weight (kgCO2e/kg)]])+AS611+($AR$10*Lookups!$J$38/1000),"DELETE")</f>
        <v>-4.9252017927000002</v>
      </c>
      <c r="AA611" s="176">
        <f>-23.3590658559484*0.21739130434</f>
        <v>-5.0780577945885819</v>
      </c>
      <c r="AB611" s="172" t="s">
        <v>567</v>
      </c>
      <c r="AC611" s="172" t="s">
        <v>567</v>
      </c>
      <c r="AD611" s="172">
        <v>2.5860000000000001E-2</v>
      </c>
      <c r="AE611" s="172">
        <v>-6.0048283559088998E-2</v>
      </c>
      <c r="AF611" s="172">
        <v>-5.2271967674726499E-2</v>
      </c>
      <c r="AG611" s="150"/>
      <c r="AI611" s="137">
        <v>9</v>
      </c>
      <c r="AJ611" s="136" t="s">
        <v>256</v>
      </c>
      <c r="AK611" s="142" t="s">
        <v>537</v>
      </c>
      <c r="AL611" s="136" t="s">
        <v>548</v>
      </c>
      <c r="AM611" s="136" t="s">
        <v>560</v>
      </c>
      <c r="AN611" s="1">
        <v>5.0082800000000001</v>
      </c>
      <c r="AO611" s="166">
        <v>1.54878</v>
      </c>
      <c r="AQ611" t="str">
        <f>_xlfn.XLOOKUP(tblGWP21[[#This Row],[Material Subcategory]],ls_Mat,Factors!$K$952:$K$1023)</f>
        <v>x</v>
      </c>
      <c r="AR611" s="173">
        <v>1</v>
      </c>
      <c r="AS611">
        <v>8.1306407300000008E-2</v>
      </c>
      <c r="AT611" t="s">
        <v>531</v>
      </c>
      <c r="AU611" t="s">
        <v>526</v>
      </c>
      <c r="AV611" s="347">
        <v>0.95</v>
      </c>
      <c r="BA611" cm="1">
        <f t="array" ref="BA611:BM611">tblGWP21[#This Row]</f>
        <v>9</v>
      </c>
      <c r="BB611" t="str">
        <v>Metals</v>
      </c>
      <c r="BC611" t="str">
        <v>Aluminum Cans</v>
      </c>
      <c r="BD611" t="str">
        <v>Europe</v>
      </c>
      <c r="BE611" t="str">
        <v>Spain</v>
      </c>
      <c r="BF611">
        <v>-5.0082800000000001</v>
      </c>
      <c r="BG611">
        <v>-4.9252017927000002</v>
      </c>
      <c r="BH611">
        <v>-5.0780577945885819</v>
      </c>
      <c r="BI611" t="str">
        <v>DELETE</v>
      </c>
      <c r="BJ611" t="str">
        <v>DELETE</v>
      </c>
      <c r="BK611">
        <v>2.5860000000000001E-2</v>
      </c>
      <c r="BL611">
        <v>-6.0048283559088998E-2</v>
      </c>
      <c r="BM611">
        <v>-5.2271967674726499E-2</v>
      </c>
    </row>
    <row r="612" spans="3:65">
      <c r="C612" s="6">
        <v>9</v>
      </c>
      <c r="D612" s="373" t="s">
        <v>239</v>
      </c>
      <c r="E612" s="6" t="s">
        <v>271</v>
      </c>
      <c r="F612" s="136" t="s">
        <v>548</v>
      </c>
      <c r="G612" s="136" t="s">
        <v>560</v>
      </c>
      <c r="H612" s="191">
        <v>-3.1045600000000002</v>
      </c>
      <c r="I612" s="191">
        <v>0</v>
      </c>
      <c r="J612" s="191">
        <v>-0.97502312470239016</v>
      </c>
      <c r="K612" s="191">
        <v>-1.5167787280107199</v>
      </c>
      <c r="L612" s="191">
        <v>-2.6037408171057099</v>
      </c>
      <c r="M612" s="191">
        <v>-0.66901157869309202</v>
      </c>
      <c r="N612" s="191">
        <v>-0.72653009227590704</v>
      </c>
      <c r="O612" s="191">
        <v>4.0395480727731303E-2</v>
      </c>
      <c r="T612" s="49">
        <v>9</v>
      </c>
      <c r="U612" s="143" t="s">
        <v>256</v>
      </c>
      <c r="V612" s="33" t="s">
        <v>538</v>
      </c>
      <c r="W612" s="53" t="s">
        <v>548</v>
      </c>
      <c r="X612" s="53" t="s">
        <v>560</v>
      </c>
      <c r="Y612" s="172">
        <f>IFERROR(-tblZwaste1422[[#This Row],[Weight (kgCO2e/kg)]],0)</f>
        <v>-4.6396800000000002</v>
      </c>
      <c r="Z612" s="172" t="str">
        <f>IF(AQ612="x",(AR612*-tblZwaste1422[[#This Row],[Weight (kgCO2e/kg)]])+AS612+($AR$10*Lookups!$J$38/1000),"DELETE")</f>
        <v>DELETE</v>
      </c>
      <c r="AA612" s="176" t="s">
        <v>567</v>
      </c>
      <c r="AB612" s="172" t="s">
        <v>567</v>
      </c>
      <c r="AC612" s="172" t="s">
        <v>567</v>
      </c>
      <c r="AD612" s="172">
        <v>2.5860000000000001E-2</v>
      </c>
      <c r="AE612" s="172">
        <v>-5.6383582969906698E-2</v>
      </c>
      <c r="AF612" s="172">
        <v>-5.2271967674726499E-2</v>
      </c>
      <c r="AG612" s="150"/>
      <c r="AI612" s="137">
        <v>9</v>
      </c>
      <c r="AJ612" s="136" t="s">
        <v>256</v>
      </c>
      <c r="AK612" s="142" t="s">
        <v>538</v>
      </c>
      <c r="AL612" s="136" t="s">
        <v>548</v>
      </c>
      <c r="AM612" s="136" t="s">
        <v>560</v>
      </c>
      <c r="AN612" s="1">
        <v>4.6396800000000002</v>
      </c>
      <c r="AO612" s="166">
        <v>1.54878</v>
      </c>
      <c r="AQ612">
        <f>_xlfn.XLOOKUP(tblGWP21[[#This Row],[Material Subcategory]],ls_Mat,Factors!$K$952:$K$1023)</f>
        <v>0</v>
      </c>
      <c r="AR612" s="173"/>
      <c r="AU612" t="s">
        <v>526</v>
      </c>
      <c r="AV612" s="347">
        <v>0.9</v>
      </c>
      <c r="BA612" cm="1">
        <f t="array" ref="BA612:BM612">tblGWP21[#This Row]</f>
        <v>9</v>
      </c>
      <c r="BB612" t="str">
        <v>Metals</v>
      </c>
      <c r="BC612" t="str">
        <v>Aluminum Foil</v>
      </c>
      <c r="BD612" t="str">
        <v>Europe</v>
      </c>
      <c r="BE612" t="str">
        <v>Spain</v>
      </c>
      <c r="BF612">
        <v>-4.6396800000000002</v>
      </c>
      <c r="BG612" t="str">
        <v>DELETE</v>
      </c>
      <c r="BH612" t="str">
        <v>DELETE</v>
      </c>
      <c r="BI612" t="str">
        <v>DELETE</v>
      </c>
      <c r="BJ612" t="str">
        <v>DELETE</v>
      </c>
      <c r="BK612">
        <v>2.5860000000000001E-2</v>
      </c>
      <c r="BL612">
        <v>-5.6383582969906698E-2</v>
      </c>
      <c r="BM612">
        <v>-5.2271967674726499E-2</v>
      </c>
    </row>
    <row r="613" spans="3:65">
      <c r="C613" s="375">
        <v>9</v>
      </c>
      <c r="D613" s="374" t="s">
        <v>239</v>
      </c>
      <c r="E613" s="375" t="s">
        <v>535</v>
      </c>
      <c r="F613" s="362" t="s">
        <v>548</v>
      </c>
      <c r="G613" s="362" t="s">
        <v>560</v>
      </c>
      <c r="H613" s="368">
        <v>-3.1045600000000002</v>
      </c>
      <c r="I613" s="368">
        <v>0</v>
      </c>
      <c r="J613" s="368">
        <v>-0.97502312470239016</v>
      </c>
      <c r="K613" s="368">
        <v>-1.6254210621663301</v>
      </c>
      <c r="L613" s="368">
        <v>-2.6104725865305101</v>
      </c>
      <c r="M613" s="368">
        <v>-0.86621173986601596</v>
      </c>
      <c r="N613" s="368">
        <v>-0.80864742018463398</v>
      </c>
      <c r="O613" s="368">
        <v>2.9214165558548801E-2</v>
      </c>
      <c r="T613" s="49">
        <v>9</v>
      </c>
      <c r="U613" s="143" t="s">
        <v>256</v>
      </c>
      <c r="V613" s="33" t="s">
        <v>258</v>
      </c>
      <c r="W613" s="53" t="s">
        <v>548</v>
      </c>
      <c r="X613" s="53" t="s">
        <v>560</v>
      </c>
      <c r="Y613" s="172">
        <f>IFERROR(-tblZwaste1422[[#This Row],[Weight (kgCO2e/kg)]],0)</f>
        <v>-4.6396800000000002</v>
      </c>
      <c r="Z613" s="172">
        <f>IF(AQ613="x",(AR613*-tblZwaste1422[[#This Row],[Weight (kgCO2e/kg)]])+AS613+($AR$10*Lookups!$J$38/1000),"DELETE")</f>
        <v>-4.5566017927000004</v>
      </c>
      <c r="AA613" s="176">
        <f>-22.6439924113785*0.21739130434</f>
        <v>-4.922607045774634</v>
      </c>
      <c r="AB613" s="172" t="s">
        <v>567</v>
      </c>
      <c r="AC613" s="172" t="s">
        <v>567</v>
      </c>
      <c r="AD613" s="172">
        <v>2.5860000000000001E-2</v>
      </c>
      <c r="AE613" s="172">
        <v>-6.0048283559088901E-2</v>
      </c>
      <c r="AF613" s="172">
        <v>-5.2271967674726499E-2</v>
      </c>
      <c r="AG613" s="150"/>
      <c r="AI613" s="137">
        <v>9</v>
      </c>
      <c r="AJ613" s="136" t="s">
        <v>256</v>
      </c>
      <c r="AK613" s="142" t="s">
        <v>258</v>
      </c>
      <c r="AL613" s="136" t="s">
        <v>548</v>
      </c>
      <c r="AM613" s="136" t="s">
        <v>560</v>
      </c>
      <c r="AN613" s="1">
        <v>4.6396800000000002</v>
      </c>
      <c r="AO613" s="166">
        <v>1.54878</v>
      </c>
      <c r="AQ613" t="str">
        <f>_xlfn.XLOOKUP(tblGWP21[[#This Row],[Material Subcategory]],ls_Mat,Factors!$K$952:$K$1023)</f>
        <v>x</v>
      </c>
      <c r="AR613" s="173">
        <v>1</v>
      </c>
      <c r="AS613">
        <v>8.1306407300000008E-2</v>
      </c>
      <c r="AT613" t="s">
        <v>531</v>
      </c>
      <c r="AU613" t="s">
        <v>526</v>
      </c>
      <c r="AV613" s="347">
        <v>0.9</v>
      </c>
      <c r="BA613" cm="1">
        <f t="array" ref="BA613:BM613">tblGWP21[#This Row]</f>
        <v>9</v>
      </c>
      <c r="BB613" t="str">
        <v>Metals</v>
      </c>
      <c r="BC613" t="str">
        <v>Other Aluminum</v>
      </c>
      <c r="BD613" t="str">
        <v>Europe</v>
      </c>
      <c r="BE613" t="str">
        <v>Spain</v>
      </c>
      <c r="BF613">
        <v>-4.6396800000000002</v>
      </c>
      <c r="BG613">
        <v>-4.5566017927000004</v>
      </c>
      <c r="BH613">
        <v>-4.922607045774634</v>
      </c>
      <c r="BI613" t="str">
        <v>DELETE</v>
      </c>
      <c r="BJ613" t="str">
        <v>DELETE</v>
      </c>
      <c r="BK613">
        <v>2.5860000000000001E-2</v>
      </c>
      <c r="BL613">
        <v>-6.0048283559088901E-2</v>
      </c>
      <c r="BM613">
        <v>-5.2271967674726499E-2</v>
      </c>
    </row>
    <row r="614" spans="3:65">
      <c r="C614" s="6">
        <v>9</v>
      </c>
      <c r="D614" s="373" t="s">
        <v>239</v>
      </c>
      <c r="E614" s="6" t="s">
        <v>259</v>
      </c>
      <c r="F614" s="136" t="s">
        <v>548</v>
      </c>
      <c r="G614" s="136" t="s">
        <v>560</v>
      </c>
      <c r="H614" s="191">
        <v>-2.86965</v>
      </c>
      <c r="I614" s="191">
        <v>0</v>
      </c>
      <c r="J614" s="191">
        <v>-0.97502312470239016</v>
      </c>
      <c r="K614" s="191">
        <v>-1.3404051274876601</v>
      </c>
      <c r="L614" s="191">
        <v>-2.0267251072714698</v>
      </c>
      <c r="M614" s="191">
        <v>-0.37846309713520798</v>
      </c>
      <c r="N614" s="191">
        <v>-0.65873424556094695</v>
      </c>
      <c r="O614" s="191">
        <v>2.8421748849327799E-2</v>
      </c>
      <c r="T614" s="49">
        <v>9</v>
      </c>
      <c r="U614" s="143" t="s">
        <v>247</v>
      </c>
      <c r="V614" s="33" t="s">
        <v>247</v>
      </c>
      <c r="W614" s="53" t="s">
        <v>548</v>
      </c>
      <c r="X614" s="53" t="s">
        <v>560</v>
      </c>
      <c r="Y614" s="172">
        <f>IFERROR(-tblZwaste1422[[#This Row],[Weight (kgCO2e/kg)]],0)</f>
        <v>-1.0505633333333335</v>
      </c>
      <c r="Z614" s="172">
        <f>IF(AQ614="x",(AR614*-tblZwaste1422[[#This Row],[Weight (kgCO2e/kg)]])+AS614+($AR$10*Lookups!$J$38/1000),"DELETE")</f>
        <v>-0.96748512603333348</v>
      </c>
      <c r="AA614" s="176">
        <v>-0.31774452117746149</v>
      </c>
      <c r="AB614" s="172" t="s">
        <v>567</v>
      </c>
      <c r="AC614" s="172" t="s">
        <v>567</v>
      </c>
      <c r="AD614" s="172">
        <v>2.60314903844522E-2</v>
      </c>
      <c r="AE614" s="172">
        <v>3.0029661949898898E-2</v>
      </c>
      <c r="AF614" s="172">
        <v>4.8924638168173801E-2</v>
      </c>
      <c r="AG614" s="150"/>
      <c r="AI614" s="137">
        <v>9</v>
      </c>
      <c r="AJ614" s="136" t="s">
        <v>247</v>
      </c>
      <c r="AK614" s="142" t="s">
        <v>247</v>
      </c>
      <c r="AL614" s="136" t="s">
        <v>548</v>
      </c>
      <c r="AM614" s="136" t="s">
        <v>560</v>
      </c>
      <c r="AN614" s="1">
        <v>1.0505633333333335</v>
      </c>
      <c r="AO614" s="166">
        <v>0.89563000000000004</v>
      </c>
      <c r="AQ614" t="str">
        <f>_xlfn.XLOOKUP(tblGWP21[[#This Row],[Material Subcategory]],ls_Mat,Factors!$K$952:$K$1023)</f>
        <v>x</v>
      </c>
      <c r="AR614" s="173">
        <v>1</v>
      </c>
      <c r="AS614">
        <v>8.1306407300000008E-2</v>
      </c>
      <c r="AT614" t="s">
        <v>531</v>
      </c>
      <c r="AU614" t="s">
        <v>526</v>
      </c>
      <c r="AV614" s="347">
        <v>0.95</v>
      </c>
      <c r="BA614" cm="1">
        <f t="array" ref="BA614:BM614">tblGWP21[#This Row]</f>
        <v>9</v>
      </c>
      <c r="BB614" t="str">
        <v>Glass</v>
      </c>
      <c r="BC614" t="str">
        <v>Glass</v>
      </c>
      <c r="BD614" t="str">
        <v>Europe</v>
      </c>
      <c r="BE614" t="str">
        <v>Spain</v>
      </c>
      <c r="BF614">
        <v>-1.0505633333333335</v>
      </c>
      <c r="BG614">
        <v>-0.96748512603333348</v>
      </c>
      <c r="BH614">
        <v>-0.31774452117746149</v>
      </c>
      <c r="BI614" t="str">
        <v>DELETE</v>
      </c>
      <c r="BJ614" t="str">
        <v>DELETE</v>
      </c>
      <c r="BK614">
        <v>2.60314903844522E-2</v>
      </c>
      <c r="BL614">
        <v>3.0029661949898898E-2</v>
      </c>
      <c r="BM614">
        <v>4.8924638168173801E-2</v>
      </c>
    </row>
    <row r="615" spans="3:65">
      <c r="C615" s="375">
        <v>9</v>
      </c>
      <c r="D615" s="374" t="s">
        <v>239</v>
      </c>
      <c r="E615" s="375" t="s">
        <v>334</v>
      </c>
      <c r="F615" s="362" t="s">
        <v>548</v>
      </c>
      <c r="G615" s="362" t="s">
        <v>560</v>
      </c>
      <c r="H615" s="368">
        <v>-2.86965</v>
      </c>
      <c r="I615" s="368">
        <v>0</v>
      </c>
      <c r="J615" s="368">
        <v>-0.97502312470239016</v>
      </c>
      <c r="K615" s="368">
        <v>-1.75091397882519</v>
      </c>
      <c r="L615" s="368">
        <v>-2.49502254385414</v>
      </c>
      <c r="M615" s="368">
        <v>-0.32206621845198502</v>
      </c>
      <c r="N615" s="368">
        <v>-0.96154401583511395</v>
      </c>
      <c r="O615" s="368">
        <v>2.63899546040555E-2</v>
      </c>
      <c r="T615" s="49">
        <v>9</v>
      </c>
      <c r="U615" s="143" t="s">
        <v>247</v>
      </c>
      <c r="V615" s="33" t="s">
        <v>248</v>
      </c>
      <c r="W615" s="53" t="s">
        <v>548</v>
      </c>
      <c r="X615" s="53" t="s">
        <v>560</v>
      </c>
      <c r="Y615" s="172">
        <f>IFERROR(-tblZwaste1422[[#This Row],[Weight (kgCO2e/kg)]],0)</f>
        <v>-1.0606100000000001</v>
      </c>
      <c r="Z615" s="172">
        <f>IF(AQ615="x",(AR615*-tblZwaste1422[[#This Row],[Weight (kgCO2e/kg)]])+AS615+($AR$10*Lookups!$J$38/1000),"DELETE")</f>
        <v>-0.97753179270000001</v>
      </c>
      <c r="AA615" s="176">
        <v>-0.16824899589419709</v>
      </c>
      <c r="AB615" s="172" t="s">
        <v>567</v>
      </c>
      <c r="AC615" s="172" t="s">
        <v>567</v>
      </c>
      <c r="AD615" s="172">
        <v>2.60314963639896E-2</v>
      </c>
      <c r="AE615" s="172">
        <v>3.3976891389819103E-2</v>
      </c>
      <c r="AF615" s="172">
        <v>4.89234545625684E-2</v>
      </c>
      <c r="AG615" s="150"/>
      <c r="AI615" s="137">
        <v>9</v>
      </c>
      <c r="AJ615" s="136" t="s">
        <v>247</v>
      </c>
      <c r="AK615" s="142" t="s">
        <v>248</v>
      </c>
      <c r="AL615" s="136" t="s">
        <v>548</v>
      </c>
      <c r="AM615" s="136" t="s">
        <v>560</v>
      </c>
      <c r="AN615" s="1">
        <v>1.0606100000000001</v>
      </c>
      <c r="AO615" s="166">
        <v>0.89563000000000004</v>
      </c>
      <c r="AQ615" t="str">
        <f>_xlfn.XLOOKUP(tblGWP21[[#This Row],[Material Subcategory]],ls_Mat,Factors!$K$952:$K$1023)</f>
        <v>x</v>
      </c>
      <c r="AR615" s="173">
        <v>1</v>
      </c>
      <c r="AS615">
        <v>8.1306407300000008E-2</v>
      </c>
      <c r="AT615" t="s">
        <v>531</v>
      </c>
      <c r="AU615" t="s">
        <v>526</v>
      </c>
      <c r="AV615" s="347">
        <v>0.7</v>
      </c>
      <c r="BA615" cm="1">
        <f t="array" ref="BA615:BM615">tblGWP21[#This Row]</f>
        <v>9</v>
      </c>
      <c r="BB615" t="str">
        <v>Glass</v>
      </c>
      <c r="BC615" t="str">
        <v>Glass – Brown</v>
      </c>
      <c r="BD615" t="str">
        <v>Europe</v>
      </c>
      <c r="BE615" t="str">
        <v>Spain</v>
      </c>
      <c r="BF615">
        <v>-1.0606100000000001</v>
      </c>
      <c r="BG615">
        <v>-0.97753179270000001</v>
      </c>
      <c r="BH615">
        <v>-0.16824899589419709</v>
      </c>
      <c r="BI615" t="str">
        <v>DELETE</v>
      </c>
      <c r="BJ615" t="str">
        <v>DELETE</v>
      </c>
      <c r="BK615">
        <v>2.60314963639896E-2</v>
      </c>
      <c r="BL615">
        <v>3.3976891389819103E-2</v>
      </c>
      <c r="BM615">
        <v>4.89234545625684E-2</v>
      </c>
    </row>
    <row r="616" spans="3:65">
      <c r="C616" s="6">
        <v>9</v>
      </c>
      <c r="D616" s="373" t="s">
        <v>239</v>
      </c>
      <c r="E616" s="6" t="s">
        <v>240</v>
      </c>
      <c r="F616" s="136" t="s">
        <v>548</v>
      </c>
      <c r="G616" s="136" t="s">
        <v>560</v>
      </c>
      <c r="H616" s="191">
        <v>-3.1045600000000002</v>
      </c>
      <c r="I616" s="191">
        <v>0</v>
      </c>
      <c r="J616" s="191">
        <v>0</v>
      </c>
      <c r="K616" s="191">
        <v>-1.77967029679388</v>
      </c>
      <c r="L616" s="191">
        <v>-2.5768932189807301</v>
      </c>
      <c r="M616" s="191">
        <v>-0.70071651099514798</v>
      </c>
      <c r="N616" s="191">
        <v>0.39244906498448801</v>
      </c>
      <c r="O616" s="191">
        <v>2.3670129480144699</v>
      </c>
      <c r="T616" s="49">
        <v>9</v>
      </c>
      <c r="U616" s="143" t="s">
        <v>247</v>
      </c>
      <c r="V616" s="33" t="s">
        <v>263</v>
      </c>
      <c r="W616" s="53" t="s">
        <v>548</v>
      </c>
      <c r="X616" s="53" t="s">
        <v>560</v>
      </c>
      <c r="Y616" s="172">
        <f>IFERROR(-tblZwaste1422[[#This Row],[Weight (kgCO2e/kg)]],0)</f>
        <v>-1.0341199999999999</v>
      </c>
      <c r="Z616" s="172">
        <f>IF(AQ616="x",(AR616*-tblZwaste1422[[#This Row],[Weight (kgCO2e/kg)]])+AS616+($AR$10*Lookups!$J$38/1000),"DELETE")</f>
        <v>-0.95104179269999989</v>
      </c>
      <c r="AA616" s="176">
        <v>-0.16824899589419898</v>
      </c>
      <c r="AB616" s="172" t="s">
        <v>567</v>
      </c>
      <c r="AC616" s="172" t="s">
        <v>567</v>
      </c>
      <c r="AD616" s="172">
        <v>2.60315000695466E-2</v>
      </c>
      <c r="AE616" s="172">
        <v>3.6343057172505501E-2</v>
      </c>
      <c r="AF616" s="172">
        <v>4.8923530130706702E-2</v>
      </c>
      <c r="AG616" s="150"/>
      <c r="AI616" s="137">
        <v>9</v>
      </c>
      <c r="AJ616" s="136" t="s">
        <v>247</v>
      </c>
      <c r="AK616" s="142" t="s">
        <v>263</v>
      </c>
      <c r="AL616" s="136" t="s">
        <v>548</v>
      </c>
      <c r="AM616" s="136" t="s">
        <v>560</v>
      </c>
      <c r="AN616" s="1">
        <v>1.0341199999999999</v>
      </c>
      <c r="AO616" s="166">
        <v>0.89563000000000004</v>
      </c>
      <c r="AQ616" t="str">
        <f>_xlfn.XLOOKUP(tblGWP21[[#This Row],[Material Subcategory]],ls_Mat,Factors!$K$952:$K$1023)</f>
        <v>x</v>
      </c>
      <c r="AR616" s="173">
        <v>1</v>
      </c>
      <c r="AS616">
        <v>8.1306407300000008E-2</v>
      </c>
      <c r="AT616" t="s">
        <v>531</v>
      </c>
      <c r="BA616" cm="1">
        <f t="array" ref="BA616:BM616">tblGWP21[#This Row]</f>
        <v>9</v>
      </c>
      <c r="BB616" t="str">
        <v>Glass</v>
      </c>
      <c r="BC616" t="str">
        <v>Glass – Green</v>
      </c>
      <c r="BD616" t="str">
        <v>Europe</v>
      </c>
      <c r="BE616" t="str">
        <v>Spain</v>
      </c>
      <c r="BF616">
        <v>-1.0341199999999999</v>
      </c>
      <c r="BG616">
        <v>-0.95104179269999989</v>
      </c>
      <c r="BH616">
        <v>-0.16824899589419898</v>
      </c>
      <c r="BI616" t="str">
        <v>DELETE</v>
      </c>
      <c r="BJ616" t="str">
        <v>DELETE</v>
      </c>
      <c r="BK616">
        <v>2.60315000695466E-2</v>
      </c>
      <c r="BL616">
        <v>3.6343057172505501E-2</v>
      </c>
      <c r="BM616">
        <v>4.8923530130706702E-2</v>
      </c>
    </row>
    <row r="617" spans="3:65" ht="28.8">
      <c r="C617" s="375">
        <v>9</v>
      </c>
      <c r="D617" s="374" t="s">
        <v>239</v>
      </c>
      <c r="E617" s="375" t="s">
        <v>325</v>
      </c>
      <c r="F617" s="362" t="s">
        <v>548</v>
      </c>
      <c r="G617" s="362" t="s">
        <v>560</v>
      </c>
      <c r="H617" s="368">
        <v>-1.66</v>
      </c>
      <c r="I617" s="368">
        <v>0</v>
      </c>
      <c r="J617" s="368">
        <v>0</v>
      </c>
      <c r="K617" s="368">
        <v>-1.6414433894164899</v>
      </c>
      <c r="L617" s="368">
        <v>-2.39351722049383</v>
      </c>
      <c r="M617" s="368">
        <v>-0.66144178690558597</v>
      </c>
      <c r="N617" s="368">
        <v>-0.88835374395553102</v>
      </c>
      <c r="O617" s="368">
        <v>2.7472268181238799E-2</v>
      </c>
      <c r="T617" s="49">
        <v>9</v>
      </c>
      <c r="U617" s="143" t="s">
        <v>247</v>
      </c>
      <c r="V617" s="33" t="s">
        <v>539</v>
      </c>
      <c r="W617" s="53" t="s">
        <v>548</v>
      </c>
      <c r="X617" s="53" t="s">
        <v>560</v>
      </c>
      <c r="Y617" s="172">
        <f>IFERROR(-tblZwaste1422[[#This Row],[Weight (kgCO2e/kg)]],0)</f>
        <v>-1.0569599999999999</v>
      </c>
      <c r="Z617" s="172">
        <f>IF(AQ617="x",(AR617*-tblZwaste1422[[#This Row],[Weight (kgCO2e/kg)]])+AS617+($AR$10*Lookups!$J$38/1000),"DELETE")</f>
        <v>-0.97388179269999986</v>
      </c>
      <c r="AA617" s="176">
        <v>-0.17356212208033159</v>
      </c>
      <c r="AB617" s="172" t="s">
        <v>567</v>
      </c>
      <c r="AC617" s="172" t="s">
        <v>567</v>
      </c>
      <c r="AD617" s="172">
        <v>2.6031480708477099E-2</v>
      </c>
      <c r="AE617" s="172">
        <v>2.3672069250971001E-2</v>
      </c>
      <c r="AF617" s="172">
        <v>4.8925912920845402E-2</v>
      </c>
      <c r="AG617" s="150"/>
      <c r="AI617" s="137">
        <v>9</v>
      </c>
      <c r="AJ617" s="136" t="s">
        <v>247</v>
      </c>
      <c r="AK617" s="142" t="s">
        <v>539</v>
      </c>
      <c r="AL617" s="136" t="s">
        <v>548</v>
      </c>
      <c r="AM617" s="136" t="s">
        <v>560</v>
      </c>
      <c r="AN617" s="1">
        <v>1.0569599999999999</v>
      </c>
      <c r="AO617" s="166">
        <v>0.89563000000000004</v>
      </c>
      <c r="AQ617" t="str">
        <f>_xlfn.XLOOKUP(tblGWP21[[#This Row],[Material Subcategory]],ls_Mat,Factors!$K$952:$K$1023)</f>
        <v>x</v>
      </c>
      <c r="AR617" s="173">
        <v>1</v>
      </c>
      <c r="AS617">
        <v>8.1306407300000008E-2</v>
      </c>
      <c r="AT617" t="s">
        <v>531</v>
      </c>
      <c r="BA617" cm="1">
        <f t="array" ref="BA617:BM617">tblGWP21[#This Row]</f>
        <v>9</v>
      </c>
      <c r="BB617" t="str">
        <v>Glass</v>
      </c>
      <c r="BC617" t="str">
        <v>Glass – Clear</v>
      </c>
      <c r="BD617" t="str">
        <v>Europe</v>
      </c>
      <c r="BE617" t="str">
        <v>Spain</v>
      </c>
      <c r="BF617">
        <v>-1.0569599999999999</v>
      </c>
      <c r="BG617">
        <v>-0.97388179269999986</v>
      </c>
      <c r="BH617">
        <v>-0.17356212208033159</v>
      </c>
      <c r="BI617" t="str">
        <v>DELETE</v>
      </c>
      <c r="BJ617" t="str">
        <v>DELETE</v>
      </c>
      <c r="BK617">
        <v>2.6031480708477099E-2</v>
      </c>
      <c r="BL617">
        <v>2.3672069250971001E-2</v>
      </c>
      <c r="BM617">
        <v>4.8925912920845402E-2</v>
      </c>
    </row>
    <row r="618" spans="3:65">
      <c r="C618" s="6">
        <v>9</v>
      </c>
      <c r="D618" s="373" t="s">
        <v>256</v>
      </c>
      <c r="E618" s="6" t="s">
        <v>256</v>
      </c>
      <c r="F618" s="136" t="s">
        <v>548</v>
      </c>
      <c r="G618" s="136" t="s">
        <v>560</v>
      </c>
      <c r="H618" s="191">
        <v>-3.3097799999999999</v>
      </c>
      <c r="I618" s="191">
        <v>-3.2267017926999997</v>
      </c>
      <c r="J618" s="191">
        <v>-12.832508386079841</v>
      </c>
      <c r="K618" s="191">
        <v>0</v>
      </c>
      <c r="L618" s="191">
        <v>0</v>
      </c>
      <c r="M618" s="191">
        <v>2.5945738023347653E-2</v>
      </c>
      <c r="N618" s="191">
        <v>-0.112603850990406</v>
      </c>
      <c r="O618" s="191">
        <v>-9.5085110793390756E-2</v>
      </c>
      <c r="T618" s="49">
        <v>9</v>
      </c>
      <c r="U618" s="143" t="s">
        <v>247</v>
      </c>
      <c r="V618" s="33" t="s">
        <v>270</v>
      </c>
      <c r="W618" s="53" t="s">
        <v>548</v>
      </c>
      <c r="X618" s="53" t="s">
        <v>560</v>
      </c>
      <c r="Y618" s="172">
        <f>IFERROR(-tblZwaste1422[[#This Row],[Weight (kgCO2e/kg)]],0)</f>
        <v>-1.0505633333333335</v>
      </c>
      <c r="Z618" s="172">
        <f>IF(AQ618="x",(AR618*-tblZwaste1422[[#This Row],[Weight (kgCO2e/kg)]])+AS618+($AR$10*Lookups!$J$38/1000),"DELETE")</f>
        <v>-0.96748512603333348</v>
      </c>
      <c r="AA618" s="176">
        <v>-0.31774452117746149</v>
      </c>
      <c r="AB618" s="172" t="s">
        <v>567</v>
      </c>
      <c r="AC618" s="172" t="s">
        <v>567</v>
      </c>
      <c r="AD618" s="172">
        <v>2.60314903844522E-2</v>
      </c>
      <c r="AE618" s="172">
        <v>3.0029661949898898E-2</v>
      </c>
      <c r="AF618" s="172">
        <v>4.8924638168173801E-2</v>
      </c>
      <c r="AG618" s="150"/>
      <c r="AI618" s="137">
        <v>9</v>
      </c>
      <c r="AJ618" s="136" t="s">
        <v>247</v>
      </c>
      <c r="AK618" s="142" t="s">
        <v>270</v>
      </c>
      <c r="AL618" s="136" t="s">
        <v>548</v>
      </c>
      <c r="AM618" s="136" t="s">
        <v>560</v>
      </c>
      <c r="AN618" s="1">
        <v>1.0505633333333335</v>
      </c>
      <c r="AO618" s="166">
        <v>0.89563000000000004</v>
      </c>
      <c r="AQ618" t="str">
        <f>_xlfn.XLOOKUP(tblGWP21[[#This Row],[Material Subcategory]],ls_Mat,Factors!$K$952:$K$1023)</f>
        <v>x</v>
      </c>
      <c r="AR618" s="173">
        <v>1</v>
      </c>
      <c r="AS618">
        <v>8.1306407300000008E-2</v>
      </c>
      <c r="AT618" t="s">
        <v>531</v>
      </c>
      <c r="BA618" cm="1">
        <f t="array" ref="BA618:BM618">tblGWP21[#This Row]</f>
        <v>9</v>
      </c>
      <c r="BB618" t="str">
        <v>Glass</v>
      </c>
      <c r="BC618" t="str">
        <v>Mixed Glass</v>
      </c>
      <c r="BD618" t="str">
        <v>Europe</v>
      </c>
      <c r="BE618" t="str">
        <v>Spain</v>
      </c>
      <c r="BF618">
        <v>-1.0505633333333335</v>
      </c>
      <c r="BG618">
        <v>-0.96748512603333348</v>
      </c>
      <c r="BH618">
        <v>-0.31774452117746149</v>
      </c>
      <c r="BI618" t="str">
        <v>DELETE</v>
      </c>
      <c r="BJ618" t="str">
        <v>DELETE</v>
      </c>
      <c r="BK618">
        <v>2.60314903844522E-2</v>
      </c>
      <c r="BL618">
        <v>3.0029661949898898E-2</v>
      </c>
      <c r="BM618">
        <v>4.8924638168173801E-2</v>
      </c>
    </row>
    <row r="619" spans="3:65">
      <c r="C619" s="375">
        <v>9</v>
      </c>
      <c r="D619" s="374" t="s">
        <v>256</v>
      </c>
      <c r="E619" s="375" t="s">
        <v>536</v>
      </c>
      <c r="F619" s="362" t="s">
        <v>548</v>
      </c>
      <c r="G619" s="362" t="s">
        <v>560</v>
      </c>
      <c r="H619" s="368">
        <v>-1.9798800000000001</v>
      </c>
      <c r="I619" s="368">
        <v>-1.8968017927</v>
      </c>
      <c r="J619" s="368">
        <v>-2.3059509162113172</v>
      </c>
      <c r="K619" s="368">
        <v>0</v>
      </c>
      <c r="L619" s="368">
        <v>0</v>
      </c>
      <c r="M619" s="368">
        <v>2.6031476046695302E-2</v>
      </c>
      <c r="N619" s="368">
        <v>-0.16515941842172299</v>
      </c>
      <c r="O619" s="368">
        <v>-0.13789825391205501</v>
      </c>
      <c r="T619" s="49">
        <v>9</v>
      </c>
      <c r="U619" s="143" t="s">
        <v>247</v>
      </c>
      <c r="V619" s="33" t="s">
        <v>540</v>
      </c>
      <c r="W619" s="53" t="s">
        <v>548</v>
      </c>
      <c r="X619" s="53" t="s">
        <v>560</v>
      </c>
      <c r="Y619" s="172">
        <f>IFERROR(-tblZwaste1422[[#This Row],[Weight (kgCO2e/kg)]],0)</f>
        <v>-1.0473650000000001</v>
      </c>
      <c r="Z619" s="172">
        <f>IF(AQ619="x",(AR619*-tblZwaste1422[[#This Row],[Weight (kgCO2e/kg)]])+AS619+($AR$10*Lookups!$J$38/1000),"DELETE")</f>
        <v>-0.96428679270000006</v>
      </c>
      <c r="AA619" s="176" t="s">
        <v>567</v>
      </c>
      <c r="AB619" s="172" t="s">
        <v>567</v>
      </c>
      <c r="AC619" s="172" t="s">
        <v>567</v>
      </c>
      <c r="AD619" s="172">
        <v>2.6031473935633199E-2</v>
      </c>
      <c r="AE619" s="172">
        <v>2.6037714878430301E-2</v>
      </c>
      <c r="AF619" s="172">
        <v>4.8925468333756703E-2</v>
      </c>
      <c r="AG619" s="150"/>
      <c r="AI619" s="137">
        <v>9</v>
      </c>
      <c r="AJ619" s="136" t="s">
        <v>247</v>
      </c>
      <c r="AK619" s="142" t="s">
        <v>540</v>
      </c>
      <c r="AL619" s="136" t="s">
        <v>548</v>
      </c>
      <c r="AM619" s="136" t="s">
        <v>560</v>
      </c>
      <c r="AN619" s="1">
        <v>1.0473650000000001</v>
      </c>
      <c r="AO619" s="166">
        <v>0.89563000000000004</v>
      </c>
      <c r="AQ619" t="str">
        <f>_xlfn.XLOOKUP(tblGWP21[[#This Row],[Material Subcategory]],ls_Mat,Factors!$K$952:$K$1023)</f>
        <v>x</v>
      </c>
      <c r="AR619" s="173">
        <v>1</v>
      </c>
      <c r="AS619">
        <v>8.1306407300000008E-2</v>
      </c>
      <c r="AT619" t="s">
        <v>531</v>
      </c>
      <c r="BA619" cm="1">
        <f t="array" ref="BA619:BM619">tblGWP21[#This Row]</f>
        <v>9</v>
      </c>
      <c r="BB619" t="str">
        <v>Glass</v>
      </c>
      <c r="BC619" t="str">
        <v>Glass – Non-Recyclable</v>
      </c>
      <c r="BD619" t="str">
        <v>Europe</v>
      </c>
      <c r="BE619" t="str">
        <v>Spain</v>
      </c>
      <c r="BF619">
        <v>-1.0473650000000001</v>
      </c>
      <c r="BG619">
        <v>-0.96428679270000006</v>
      </c>
      <c r="BH619" t="str">
        <v>DELETE</v>
      </c>
      <c r="BI619" t="str">
        <v>DELETE</v>
      </c>
      <c r="BJ619" t="str">
        <v>DELETE</v>
      </c>
      <c r="BK619">
        <v>2.6031473935633199E-2</v>
      </c>
      <c r="BL619">
        <v>2.6037714878430301E-2</v>
      </c>
      <c r="BM619">
        <v>4.8925468333756703E-2</v>
      </c>
    </row>
    <row r="620" spans="3:65">
      <c r="C620" s="6">
        <v>9</v>
      </c>
      <c r="D620" s="373" t="s">
        <v>256</v>
      </c>
      <c r="E620" s="6" t="s">
        <v>257</v>
      </c>
      <c r="F620" s="136" t="s">
        <v>548</v>
      </c>
      <c r="G620" s="136" t="s">
        <v>560</v>
      </c>
      <c r="H620" s="191">
        <v>-1.9798800000000001</v>
      </c>
      <c r="I620" s="191">
        <v>-1.8968017927</v>
      </c>
      <c r="J620" s="191">
        <v>-2.3059509162113172</v>
      </c>
      <c r="K620" s="191">
        <v>0</v>
      </c>
      <c r="L620" s="191">
        <v>0</v>
      </c>
      <c r="M620" s="191">
        <v>2.6031476046695302E-2</v>
      </c>
      <c r="N620" s="191">
        <v>-0.16515941842172399</v>
      </c>
      <c r="O620" s="191">
        <v>-0.13789825391205399</v>
      </c>
      <c r="T620" s="49">
        <v>9</v>
      </c>
      <c r="U620" s="143" t="s">
        <v>261</v>
      </c>
      <c r="V620" s="33" t="s">
        <v>260</v>
      </c>
      <c r="W620" s="53" t="s">
        <v>548</v>
      </c>
      <c r="X620" s="53" t="s">
        <v>560</v>
      </c>
      <c r="Y620" s="172">
        <f>IFERROR(-tblZwaste1422[[#This Row],[Weight (kgCO2e/kg)]],0)</f>
        <v>-4.0364225925925927</v>
      </c>
      <c r="Z620" s="172" t="str">
        <f>IF(AQ620="x",(AR620*-tblZwaste1422[[#This Row],[Weight (kgCO2e/kg)]])+AS620+($AR$10*Lookups!$J$38/1000),"DELETE")</f>
        <v>DELETE</v>
      </c>
      <c r="AA620" s="176" t="s">
        <v>567</v>
      </c>
      <c r="AB620" s="172">
        <v>-0.50410141805752495</v>
      </c>
      <c r="AC620" s="172">
        <v>-0.86701403957079604</v>
      </c>
      <c r="AD620" s="172">
        <v>-0.18154819694188001</v>
      </c>
      <c r="AE620" s="172">
        <v>-0.254603311760357</v>
      </c>
      <c r="AF620" s="172">
        <v>2.7530883864368701E-2</v>
      </c>
      <c r="AG620" s="150"/>
      <c r="AI620" s="137">
        <v>9</v>
      </c>
      <c r="AJ620" s="136" t="s">
        <v>529</v>
      </c>
      <c r="AK620" s="142" t="s">
        <v>260</v>
      </c>
      <c r="AL620" s="136" t="s">
        <v>548</v>
      </c>
      <c r="AM620" s="136" t="s">
        <v>560</v>
      </c>
      <c r="AN620" s="1">
        <v>4.0364225925925927</v>
      </c>
      <c r="AO620" s="166">
        <v>1.3856655555555555</v>
      </c>
      <c r="AQ620">
        <f>_xlfn.XLOOKUP(tblGWP21[[#This Row],[Material Subcategory]],ls_Mat,Factors!$K$952:$K$1023)</f>
        <v>0</v>
      </c>
      <c r="AR620" s="173"/>
      <c r="AU620" t="s">
        <v>526</v>
      </c>
      <c r="AV620" s="347">
        <v>0.7</v>
      </c>
      <c r="BA620" cm="1">
        <f t="array" ref="BA620:BM620">tblGWP21[#This Row]</f>
        <v>9</v>
      </c>
      <c r="BB620" t="str">
        <v>Food Waste</v>
      </c>
      <c r="BC620" t="str">
        <v>Mixed Organics</v>
      </c>
      <c r="BD620" t="str">
        <v>Europe</v>
      </c>
      <c r="BE620" t="str">
        <v>Spain</v>
      </c>
      <c r="BF620">
        <v>-4.0364225925925927</v>
      </c>
      <c r="BG620" t="str">
        <v>DELETE</v>
      </c>
      <c r="BH620" t="str">
        <v>DELETE</v>
      </c>
      <c r="BI620">
        <v>-0.50410141805752495</v>
      </c>
      <c r="BJ620">
        <v>-0.86701403957079604</v>
      </c>
      <c r="BK620">
        <v>-0.18154819694188001</v>
      </c>
      <c r="BL620">
        <v>-0.254603311760357</v>
      </c>
      <c r="BM620">
        <v>2.7530883864368701E-2</v>
      </c>
    </row>
    <row r="621" spans="3:65">
      <c r="C621" s="375">
        <v>9</v>
      </c>
      <c r="D621" s="374" t="s">
        <v>256</v>
      </c>
      <c r="E621" s="375" t="s">
        <v>537</v>
      </c>
      <c r="F621" s="362" t="s">
        <v>548</v>
      </c>
      <c r="G621" s="362" t="s">
        <v>560</v>
      </c>
      <c r="H621" s="368">
        <v>-5.0082800000000001</v>
      </c>
      <c r="I621" s="368">
        <v>-4.9252017927000002</v>
      </c>
      <c r="J621" s="368">
        <v>-5.0780577945885819</v>
      </c>
      <c r="K621" s="368">
        <v>0</v>
      </c>
      <c r="L621" s="368">
        <v>0</v>
      </c>
      <c r="M621" s="368">
        <v>2.5860000000000001E-2</v>
      </c>
      <c r="N621" s="368">
        <v>-6.0048283559088998E-2</v>
      </c>
      <c r="O621" s="368">
        <v>-5.2271967674726499E-2</v>
      </c>
      <c r="T621" s="49">
        <v>9</v>
      </c>
      <c r="U621" s="143" t="s">
        <v>237</v>
      </c>
      <c r="V621" s="33" t="s">
        <v>237</v>
      </c>
      <c r="W621" s="53" t="s">
        <v>548</v>
      </c>
      <c r="X621" s="53" t="s">
        <v>560</v>
      </c>
      <c r="Y621" s="172">
        <f>IFERROR(-tblZwaste1422[[#This Row],[Weight (kgCO2e/kg)]],0)</f>
        <v>-2.8533815875203707</v>
      </c>
      <c r="Z621" s="172" t="e">
        <f>IF(AQ621="x",(AR621*-tblZwaste1422[[#This Row],[Weight (kgCO2e/kg)]])+AS621+($AR$10*Lookups!$J$38/1000),"DELETE")</f>
        <v>#N/A</v>
      </c>
      <c r="AA621" s="172" t="s">
        <v>567</v>
      </c>
      <c r="AB621" s="172" t="s">
        <v>567</v>
      </c>
      <c r="AC621" s="172" t="s">
        <v>567</v>
      </c>
      <c r="AD621" s="172">
        <v>-0.47601465391463771</v>
      </c>
      <c r="AE621" s="172">
        <v>-0.57023200633729854</v>
      </c>
      <c r="AF621" s="172">
        <v>2.7969801577351308E-2</v>
      </c>
      <c r="AG621" s="150"/>
      <c r="AI621" s="137">
        <v>9</v>
      </c>
      <c r="AJ621" s="136" t="s">
        <v>237</v>
      </c>
      <c r="AK621" s="142" t="s">
        <v>237</v>
      </c>
      <c r="AL621" s="136" t="s">
        <v>548</v>
      </c>
      <c r="AM621" s="136" t="s">
        <v>560</v>
      </c>
      <c r="AN621" s="1">
        <v>2.8533815875203707</v>
      </c>
      <c r="AO621" s="166">
        <v>1.0711602172222223</v>
      </c>
      <c r="AQ621" t="e">
        <f>_xlfn.XLOOKUP(tblGWP21[[#This Row],[Material Subcategory]],ls_Mat,Factors!$K$952:$K$1023)</f>
        <v>#N/A</v>
      </c>
      <c r="AR621" s="173">
        <v>0.5</v>
      </c>
      <c r="AS621">
        <v>0</v>
      </c>
      <c r="AT621" t="s">
        <v>527</v>
      </c>
      <c r="AU621" t="s">
        <v>526</v>
      </c>
      <c r="AV621" s="347">
        <v>0.65</v>
      </c>
      <c r="BA621" cm="1">
        <f t="array" ref="BA621:BM621">tblGWP21[#This Row]</f>
        <v>9</v>
      </c>
      <c r="BB621" t="str">
        <v>Mixed/Custom</v>
      </c>
      <c r="BC621" t="str">
        <v>Mixed/Custom</v>
      </c>
      <c r="BD621" t="str">
        <v>Europe</v>
      </c>
      <c r="BE621" t="str">
        <v>Spain</v>
      </c>
      <c r="BF621">
        <v>-2.8533815875203707</v>
      </c>
      <c r="BG621" t="e">
        <v>#N/A</v>
      </c>
      <c r="BH621" t="str">
        <v>DELETE</v>
      </c>
      <c r="BI621" t="str">
        <v>DELETE</v>
      </c>
      <c r="BJ621" t="str">
        <v>DELETE</v>
      </c>
      <c r="BK621">
        <v>-0.47601465391463771</v>
      </c>
      <c r="BL621">
        <v>-0.57023200633729854</v>
      </c>
      <c r="BM621">
        <v>2.7969801577351308E-2</v>
      </c>
    </row>
    <row r="622" spans="3:65">
      <c r="C622" s="136">
        <v>9</v>
      </c>
      <c r="D622" s="137" t="s">
        <v>256</v>
      </c>
      <c r="E622" s="136" t="s">
        <v>538</v>
      </c>
      <c r="F622" s="136" t="s">
        <v>548</v>
      </c>
      <c r="G622" s="136" t="s">
        <v>560</v>
      </c>
      <c r="H622" s="191">
        <v>-4.6396800000000002</v>
      </c>
      <c r="I622" s="191">
        <v>0</v>
      </c>
      <c r="J622" s="191">
        <v>0</v>
      </c>
      <c r="K622" s="191">
        <v>0</v>
      </c>
      <c r="L622" s="191">
        <v>0</v>
      </c>
      <c r="M622" s="191">
        <v>2.5860000000000001E-2</v>
      </c>
      <c r="N622" s="191">
        <v>-5.6383582969906698E-2</v>
      </c>
      <c r="O622" s="191">
        <v>-5.2271967674726499E-2</v>
      </c>
      <c r="T622" s="48">
        <v>9</v>
      </c>
      <c r="U622" s="46" t="s">
        <v>237</v>
      </c>
      <c r="V622" s="53" t="s">
        <v>246</v>
      </c>
      <c r="W622" s="53" t="s">
        <v>548</v>
      </c>
      <c r="X622" s="53" t="s">
        <v>560</v>
      </c>
      <c r="Y622" s="172">
        <f>IFERROR(-tblZwaste1422[[#This Row],[Weight (kgCO2e/kg)]],0)</f>
        <v>-7.3412433500000009</v>
      </c>
      <c r="Z622" s="172" t="str">
        <f>IF(AQ622="x",(AR622*-tblZwaste1422[[#This Row],[Weight (kgCO2e/kg)]])+AS622+($AR$10*Lookups!$J$38/1000),"DELETE")</f>
        <v>DELETE</v>
      </c>
      <c r="AA622" s="176" t="s">
        <v>567</v>
      </c>
      <c r="AB622" s="172" t="s">
        <v>567</v>
      </c>
      <c r="AC622" s="172" t="s">
        <v>567</v>
      </c>
      <c r="AD622" s="172">
        <v>2.60315246484722E-2</v>
      </c>
      <c r="AE622" s="172">
        <v>4.1414954380226701E-2</v>
      </c>
      <c r="AF622" s="172">
        <v>4.8923121440990702E-2</v>
      </c>
      <c r="AG622" s="150"/>
      <c r="AI622" s="137">
        <v>9</v>
      </c>
      <c r="AJ622" s="136" t="s">
        <v>237</v>
      </c>
      <c r="AK622" s="142" t="s">
        <v>246</v>
      </c>
      <c r="AL622" s="136" t="s">
        <v>548</v>
      </c>
      <c r="AM622" s="136" t="s">
        <v>560</v>
      </c>
      <c r="AN622" s="1">
        <v>7.3412433500000009</v>
      </c>
      <c r="AO622" s="166">
        <v>0.66842500000000005</v>
      </c>
      <c r="AQ622">
        <f>_xlfn.XLOOKUP(tblGWP21[[#This Row],[Material Subcategory]],ls_Mat,Factors!$K$952:$K$1023)</f>
        <v>0</v>
      </c>
      <c r="AR622" s="173"/>
      <c r="BA622" cm="1">
        <f t="array" ref="BA622:BM622">tblGWP21[#This Row]</f>
        <v>9</v>
      </c>
      <c r="BB622" t="str">
        <v>Mixed/Custom</v>
      </c>
      <c r="BC622" t="str">
        <v>Mixed Inorganics</v>
      </c>
      <c r="BD622" t="str">
        <v>Europe</v>
      </c>
      <c r="BE622" t="str">
        <v>Spain</v>
      </c>
      <c r="BF622">
        <v>-7.3412433500000009</v>
      </c>
      <c r="BG622" t="str">
        <v>DELETE</v>
      </c>
      <c r="BH622" t="str">
        <v>DELETE</v>
      </c>
      <c r="BI622" t="str">
        <v>DELETE</v>
      </c>
      <c r="BJ622" t="str">
        <v>DELETE</v>
      </c>
      <c r="BK622">
        <v>2.60315246484722E-2</v>
      </c>
      <c r="BL622">
        <v>4.1414954380226701E-2</v>
      </c>
      <c r="BM622">
        <v>4.8923121440990702E-2</v>
      </c>
    </row>
    <row r="623" spans="3:65">
      <c r="C623" s="362">
        <v>9</v>
      </c>
      <c r="D623" s="363" t="s">
        <v>256</v>
      </c>
      <c r="E623" s="362" t="s">
        <v>258</v>
      </c>
      <c r="F623" s="362" t="s">
        <v>548</v>
      </c>
      <c r="G623" s="362" t="s">
        <v>560</v>
      </c>
      <c r="H623" s="368">
        <v>-4.6396800000000002</v>
      </c>
      <c r="I623" s="368">
        <v>-4.5566017927000004</v>
      </c>
      <c r="J623" s="368">
        <v>-4.922607045774634</v>
      </c>
      <c r="K623" s="368">
        <v>0</v>
      </c>
      <c r="L623" s="368">
        <v>0</v>
      </c>
      <c r="M623" s="368">
        <v>2.5860000000000001E-2</v>
      </c>
      <c r="N623" s="368">
        <v>-6.0048283559088901E-2</v>
      </c>
      <c r="O623" s="368">
        <v>-5.2271967674726499E-2</v>
      </c>
      <c r="T623" s="48">
        <v>9</v>
      </c>
      <c r="U623" s="46" t="s">
        <v>237</v>
      </c>
      <c r="V623" s="53" t="s">
        <v>243</v>
      </c>
      <c r="W623" s="53" t="s">
        <v>548</v>
      </c>
      <c r="X623" s="53" t="s">
        <v>560</v>
      </c>
      <c r="Y623" s="172">
        <f>IFERROR(-tblZwaste1422[[#This Row],[Weight (kgCO2e/kg)]],0)</f>
        <v>-2.8533815875203707</v>
      </c>
      <c r="Z623" s="172" t="e">
        <f>IF(AQ623="x",(AR623*-tblZwaste1422[[#This Row],[Weight (kgCO2e/kg)]])+AS623+($AR$10*Lookups!$J$38/1000),"DELETE")</f>
        <v>#N/A</v>
      </c>
      <c r="AA623" s="176" t="s">
        <v>567</v>
      </c>
      <c r="AB623" s="172">
        <v>-1.0337398605369958</v>
      </c>
      <c r="AC623" s="172">
        <v>-1.6001924218832018</v>
      </c>
      <c r="AD623" s="172">
        <v>-0.47601465391463771</v>
      </c>
      <c r="AE623" s="172">
        <v>-0.57023200633729854</v>
      </c>
      <c r="AF623" s="172">
        <v>2.7969801577351308E-2</v>
      </c>
      <c r="AG623" s="150"/>
      <c r="AI623" s="137">
        <v>9</v>
      </c>
      <c r="AJ623" s="136" t="s">
        <v>237</v>
      </c>
      <c r="AK623" s="142" t="s">
        <v>243</v>
      </c>
      <c r="AL623" s="136" t="s">
        <v>548</v>
      </c>
      <c r="AM623" s="136" t="s">
        <v>560</v>
      </c>
      <c r="AN623" s="1">
        <v>2.8533815875203707</v>
      </c>
      <c r="AO623" s="166">
        <v>1.0711602172222223</v>
      </c>
      <c r="AQ623" t="e">
        <f>_xlfn.XLOOKUP(tblGWP21[[#This Row],[Material Subcategory]],ls_Mat,Factors!$K$952:$K$1023)</f>
        <v>#N/A</v>
      </c>
      <c r="AR623" s="173"/>
      <c r="BA623" cm="1">
        <f t="array" ref="BA623:BM623">tblGWP21[#This Row]</f>
        <v>9</v>
      </c>
      <c r="BB623" t="str">
        <v>Mixed/Custom</v>
      </c>
      <c r="BC623" t="str">
        <v>Mixed MSW</v>
      </c>
      <c r="BD623" t="str">
        <v>Europe</v>
      </c>
      <c r="BE623" t="str">
        <v>Spain</v>
      </c>
      <c r="BF623">
        <v>-2.8533815875203707</v>
      </c>
      <c r="BG623" t="e">
        <v>#N/A</v>
      </c>
      <c r="BH623" t="str">
        <v>DELETE</v>
      </c>
      <c r="BI623">
        <v>-1.0337398605369958</v>
      </c>
      <c r="BJ623">
        <v>-1.6001924218832018</v>
      </c>
      <c r="BK623">
        <v>-0.47601465391463771</v>
      </c>
      <c r="BL623">
        <v>-0.57023200633729854</v>
      </c>
      <c r="BM623">
        <v>2.7969801577351308E-2</v>
      </c>
    </row>
    <row r="624" spans="3:65">
      <c r="C624" s="136">
        <v>9</v>
      </c>
      <c r="D624" s="137" t="s">
        <v>247</v>
      </c>
      <c r="E624" s="136" t="s">
        <v>247</v>
      </c>
      <c r="F624" s="136" t="s">
        <v>548</v>
      </c>
      <c r="G624" s="136" t="s">
        <v>560</v>
      </c>
      <c r="H624" s="191">
        <v>-1.0505633333333335</v>
      </c>
      <c r="I624" s="191">
        <v>-0.96748512603333348</v>
      </c>
      <c r="J624" s="191">
        <v>-0.31774452117746149</v>
      </c>
      <c r="K624" s="191">
        <v>0</v>
      </c>
      <c r="L624" s="191">
        <v>0</v>
      </c>
      <c r="M624" s="191">
        <v>2.60314903844522E-2</v>
      </c>
      <c r="N624" s="191">
        <v>3.0029661949898898E-2</v>
      </c>
      <c r="O624" s="191">
        <v>4.8924638168173801E-2</v>
      </c>
      <c r="T624" s="48">
        <v>9</v>
      </c>
      <c r="U624" s="46" t="s">
        <v>252</v>
      </c>
      <c r="V624" s="53" t="s">
        <v>333</v>
      </c>
      <c r="W624" s="53" t="s">
        <v>548</v>
      </c>
      <c r="X624" s="53" t="s">
        <v>560</v>
      </c>
      <c r="Y624" s="172">
        <f>IFERROR(-tblZwaste1422[[#This Row],[Weight (kgCO2e/kg)]],0)</f>
        <v>-2.0953266666666663</v>
      </c>
      <c r="Z624" s="172" t="str">
        <f>IF(AQ624="x",(AR624*-tblZwaste1422[[#This Row],[Weight (kgCO2e/kg)]])+AS624+($AR$10*Lookups!$J$38/1000),"DELETE")</f>
        <v>DELETE</v>
      </c>
      <c r="AA624" s="176">
        <v>-4.4028601931708895</v>
      </c>
      <c r="AB624" s="172" t="s">
        <v>567</v>
      </c>
      <c r="AC624" s="172" t="s">
        <v>567</v>
      </c>
      <c r="AD624" s="172">
        <v>2.60314971252869E-2</v>
      </c>
      <c r="AE624" s="172">
        <v>0.54079132808039498</v>
      </c>
      <c r="AF624" s="172">
        <v>2.1870256217784201</v>
      </c>
      <c r="AG624" s="150"/>
      <c r="AI624" s="137">
        <v>9</v>
      </c>
      <c r="AJ624" s="136" t="s">
        <v>252</v>
      </c>
      <c r="AK624" s="142" t="s">
        <v>333</v>
      </c>
      <c r="AL624" s="136" t="s">
        <v>548</v>
      </c>
      <c r="AM624" s="136" t="s">
        <v>560</v>
      </c>
      <c r="AN624" s="1">
        <v>2.0953266666666663</v>
      </c>
      <c r="AO624" s="166">
        <v>1.77911</v>
      </c>
      <c r="AQ624">
        <f>_xlfn.XLOOKUP(tblGWP21[[#This Row],[Material Subcategory]],ls_Mat,Factors!$K$952:$K$1023)</f>
        <v>0</v>
      </c>
      <c r="AR624" s="173"/>
      <c r="BA624" cm="1">
        <f t="array" ref="BA624:BM624">tblGWP21[#This Row]</f>
        <v>9</v>
      </c>
      <c r="BB624" t="str">
        <v>Plastics</v>
      </c>
      <c r="BC624" t="str">
        <v>Mixed Plastics</v>
      </c>
      <c r="BD624" t="str">
        <v>Europe</v>
      </c>
      <c r="BE624" t="str">
        <v>Spain</v>
      </c>
      <c r="BF624">
        <v>-2.0953266666666663</v>
      </c>
      <c r="BG624" t="str">
        <v>DELETE</v>
      </c>
      <c r="BH624">
        <v>-4.4028601931708895</v>
      </c>
      <c r="BI624" t="str">
        <v>DELETE</v>
      </c>
      <c r="BJ624" t="str">
        <v>DELETE</v>
      </c>
      <c r="BK624">
        <v>2.60314971252869E-2</v>
      </c>
      <c r="BL624">
        <v>0.54079132808039498</v>
      </c>
      <c r="BM624">
        <v>2.1870256217784201</v>
      </c>
    </row>
    <row r="625" spans="3:65">
      <c r="C625" s="362">
        <v>9</v>
      </c>
      <c r="D625" s="363" t="s">
        <v>247</v>
      </c>
      <c r="E625" s="362" t="s">
        <v>248</v>
      </c>
      <c r="F625" s="362" t="s">
        <v>548</v>
      </c>
      <c r="G625" s="362" t="s">
        <v>560</v>
      </c>
      <c r="H625" s="368">
        <v>-1.0606100000000001</v>
      </c>
      <c r="I625" s="368">
        <v>-0.97753179270000001</v>
      </c>
      <c r="J625" s="368">
        <v>-0.16824899589419709</v>
      </c>
      <c r="K625" s="368">
        <v>0</v>
      </c>
      <c r="L625" s="368">
        <v>0</v>
      </c>
      <c r="M625" s="368">
        <v>2.60314963639896E-2</v>
      </c>
      <c r="N625" s="368">
        <v>3.3976891389819103E-2</v>
      </c>
      <c r="O625" s="368">
        <v>4.89234545625684E-2</v>
      </c>
      <c r="T625" s="48">
        <v>9</v>
      </c>
      <c r="U625" s="46" t="s">
        <v>239</v>
      </c>
      <c r="V625" s="53" t="s">
        <v>542</v>
      </c>
      <c r="W625" s="53" t="s">
        <v>548</v>
      </c>
      <c r="X625" s="53" t="s">
        <v>560</v>
      </c>
      <c r="Y625" s="172">
        <f>IFERROR(-tblZwaste1422[[#This Row],[Weight (kgCO2e/kg)]],0)</f>
        <v>-2.6644477777777777</v>
      </c>
      <c r="Z625" s="172" t="str">
        <f>IF(AQ625="x",(AR625*-tblZwaste1422[[#This Row],[Weight (kgCO2e/kg)]])+AS625+($AR$10*Lookups!$J$38/1000),"DELETE")</f>
        <v>DELETE</v>
      </c>
      <c r="AA625" s="176">
        <v>-0.86668722195768011</v>
      </c>
      <c r="AB625" s="172">
        <v>-1.6414433894164899</v>
      </c>
      <c r="AC625" s="172">
        <v>-2.39351722049383</v>
      </c>
      <c r="AD625" s="172">
        <v>-0.66144178690558597</v>
      </c>
      <c r="AE625" s="172">
        <v>-0.88835374395553102</v>
      </c>
      <c r="AF625" s="172">
        <v>2.7472268181238799E-2</v>
      </c>
      <c r="AG625" s="150"/>
      <c r="AI625" s="137">
        <v>9</v>
      </c>
      <c r="AJ625" s="136" t="s">
        <v>239</v>
      </c>
      <c r="AK625" s="142" t="s">
        <v>542</v>
      </c>
      <c r="AL625" s="136" t="s">
        <v>548</v>
      </c>
      <c r="AM625" s="136" t="s">
        <v>560</v>
      </c>
      <c r="AN625" s="1">
        <v>2.6644477777777777</v>
      </c>
      <c r="AO625" s="166">
        <v>0.64099666666666666</v>
      </c>
      <c r="AQ625">
        <f>_xlfn.XLOOKUP(tblGWP21[[#This Row],[Material Subcategory]],ls_Mat,Factors!$K$952:$K$1023)</f>
        <v>0</v>
      </c>
      <c r="BA625" cm="1">
        <f t="array" ref="BA625:BM625">tblGWP21[#This Row]</f>
        <v>9</v>
      </c>
      <c r="BB625" t="str">
        <v>Paper</v>
      </c>
      <c r="BC625" t="str">
        <v>Mixed Paper</v>
      </c>
      <c r="BD625" t="str">
        <v>Europe</v>
      </c>
      <c r="BE625" t="str">
        <v>Spain</v>
      </c>
      <c r="BF625">
        <v>-2.6644477777777777</v>
      </c>
      <c r="BG625" t="str">
        <v>DELETE</v>
      </c>
      <c r="BH625">
        <v>-0.86668722195768011</v>
      </c>
      <c r="BI625">
        <v>-1.6414433894164899</v>
      </c>
      <c r="BJ625">
        <v>-2.39351722049383</v>
      </c>
      <c r="BK625">
        <v>-0.66144178690558597</v>
      </c>
      <c r="BL625">
        <v>-0.88835374395553102</v>
      </c>
      <c r="BM625">
        <v>2.7472268181238799E-2</v>
      </c>
    </row>
    <row r="626" spans="3:65">
      <c r="C626" s="136">
        <v>9</v>
      </c>
      <c r="D626" s="137" t="s">
        <v>247</v>
      </c>
      <c r="E626" s="136" t="s">
        <v>263</v>
      </c>
      <c r="F626" s="136" t="s">
        <v>548</v>
      </c>
      <c r="G626" s="136" t="s">
        <v>560</v>
      </c>
      <c r="H626" s="191">
        <v>-1.0341199999999999</v>
      </c>
      <c r="I626" s="191">
        <v>-0.95104179269999989</v>
      </c>
      <c r="J626" s="191">
        <v>-0.16824899589419898</v>
      </c>
      <c r="K626" s="191">
        <v>0</v>
      </c>
      <c r="L626" s="191">
        <v>0</v>
      </c>
      <c r="M626" s="191">
        <v>2.60315000695466E-2</v>
      </c>
      <c r="N626" s="191">
        <v>3.6343057172505501E-2</v>
      </c>
      <c r="O626" s="191">
        <v>4.8923530130706702E-2</v>
      </c>
      <c r="T626" s="48">
        <v>9</v>
      </c>
      <c r="U626" s="46" t="s">
        <v>237</v>
      </c>
      <c r="V626" s="53" t="s">
        <v>238</v>
      </c>
      <c r="W626" s="53" t="s">
        <v>548</v>
      </c>
      <c r="X626" s="53" t="s">
        <v>560</v>
      </c>
      <c r="Y626" s="172">
        <f>IFERROR(-tblZwaste1422[[#This Row],[Weight (kgCO2e/kg)]],0)</f>
        <v>-2.7046544444444445</v>
      </c>
      <c r="Z626" s="172" t="str">
        <f>IF(AQ626="x",(AR626*-tblZwaste1422[[#This Row],[Weight (kgCO2e/kg)]])+AS626+($AR$10*Lookups!$J$38/1000),"DELETE")</f>
        <v>DELETE</v>
      </c>
      <c r="AA626" s="176" t="s">
        <v>567</v>
      </c>
      <c r="AB626" s="172" t="s">
        <v>567</v>
      </c>
      <c r="AC626" s="172" t="s">
        <v>567</v>
      </c>
      <c r="AD626" s="172">
        <v>-0.14585826534312482</v>
      </c>
      <c r="AE626" s="172">
        <v>-0.10753415122891077</v>
      </c>
      <c r="AF626" s="172">
        <v>0.54208435433361057</v>
      </c>
      <c r="AG626" s="150"/>
      <c r="AI626" s="137">
        <v>9</v>
      </c>
      <c r="AJ626" s="136" t="s">
        <v>237</v>
      </c>
      <c r="AK626" s="142" t="s">
        <v>238</v>
      </c>
      <c r="AL626" s="136" t="s">
        <v>548</v>
      </c>
      <c r="AM626" s="136" t="s">
        <v>560</v>
      </c>
      <c r="AN626" s="1">
        <v>2.7046544444444445</v>
      </c>
      <c r="AO626" s="166">
        <v>1.2161291666666667</v>
      </c>
      <c r="AQ626">
        <f>_xlfn.XLOOKUP(tblGWP21[[#This Row],[Material Subcategory]],ls_Mat,Factors!$K$952:$K$1023)</f>
        <v>0</v>
      </c>
      <c r="AU626" t="s">
        <v>526</v>
      </c>
      <c r="AV626" s="347">
        <v>0.5</v>
      </c>
      <c r="BA626" cm="1">
        <f t="array" ref="BA626:BM626">tblGWP21[#This Row]</f>
        <v>9</v>
      </c>
      <c r="BB626" t="str">
        <v>Mixed/Custom</v>
      </c>
      <c r="BC626" t="str">
        <v>Mixed Recycling</v>
      </c>
      <c r="BD626" t="str">
        <v>Europe</v>
      </c>
      <c r="BE626" t="str">
        <v>Spain</v>
      </c>
      <c r="BF626">
        <v>-2.7046544444444445</v>
      </c>
      <c r="BG626" t="str">
        <v>DELETE</v>
      </c>
      <c r="BH626" t="str">
        <v>DELETE</v>
      </c>
      <c r="BI626" t="str">
        <v>DELETE</v>
      </c>
      <c r="BJ626" t="str">
        <v>DELETE</v>
      </c>
      <c r="BK626">
        <v>-0.14585826534312482</v>
      </c>
      <c r="BL626">
        <v>-0.10753415122891077</v>
      </c>
      <c r="BM626">
        <v>0.54208435433361057</v>
      </c>
    </row>
    <row r="627" spans="3:65">
      <c r="C627" s="362">
        <v>9</v>
      </c>
      <c r="D627" s="363" t="s">
        <v>247</v>
      </c>
      <c r="E627" s="362" t="s">
        <v>539</v>
      </c>
      <c r="F627" s="362" t="s">
        <v>548</v>
      </c>
      <c r="G627" s="362" t="s">
        <v>560</v>
      </c>
      <c r="H627" s="368">
        <v>-1.0569599999999999</v>
      </c>
      <c r="I627" s="368">
        <v>-0.97388179269999986</v>
      </c>
      <c r="J627" s="368">
        <v>-0.17356212208033159</v>
      </c>
      <c r="K627" s="368">
        <v>0</v>
      </c>
      <c r="L627" s="368">
        <v>0</v>
      </c>
      <c r="M627" s="368">
        <v>2.6031480708477099E-2</v>
      </c>
      <c r="N627" s="368">
        <v>2.3672069250971001E-2</v>
      </c>
      <c r="O627" s="368">
        <v>4.8925912920845402E-2</v>
      </c>
      <c r="T627" s="48">
        <v>9</v>
      </c>
      <c r="U627" s="46" t="s">
        <v>264</v>
      </c>
      <c r="V627" s="53" t="s">
        <v>264</v>
      </c>
      <c r="W627" s="53" t="s">
        <v>548</v>
      </c>
      <c r="X627" s="53" t="s">
        <v>560</v>
      </c>
      <c r="Y627" s="172">
        <f>IFERROR(-tblZwaste1422[[#This Row],[Weight (kgCO2e/kg)]],0)</f>
        <v>-1.9287117500000002</v>
      </c>
      <c r="Z627" s="172" t="e">
        <f>IF(AQ627="x",(AR627*-tblZwaste1422[[#This Row],[Weight (kgCO2e/kg)]])+AS627+($AR$10*Lookups!$J$38/1000),"DELETE")</f>
        <v>#N/A</v>
      </c>
      <c r="AA627" s="172">
        <f>AA631</f>
        <v>0.15112249999999994</v>
      </c>
      <c r="AB627" s="172" t="s">
        <v>567</v>
      </c>
      <c r="AC627" s="172" t="s">
        <v>567</v>
      </c>
      <c r="AD627" s="172">
        <v>-0.35413711034524287</v>
      </c>
      <c r="AE627" s="172">
        <v>-0.539091491781443</v>
      </c>
      <c r="AF627" s="172">
        <v>0.45982003331334098</v>
      </c>
      <c r="AG627" s="150"/>
      <c r="AI627" s="137">
        <v>9</v>
      </c>
      <c r="AJ627" s="136" t="s">
        <v>264</v>
      </c>
      <c r="AK627" s="142" t="s">
        <v>264</v>
      </c>
      <c r="AL627" s="136" t="s">
        <v>548</v>
      </c>
      <c r="AM627" s="136" t="s">
        <v>560</v>
      </c>
      <c r="AN627" s="1">
        <v>1.9287117500000002</v>
      </c>
      <c r="AO627" s="166">
        <v>0.467055</v>
      </c>
      <c r="AQ627" t="e">
        <f>_xlfn.XLOOKUP(tblGWP21[[#This Row],[Material Subcategory]],ls_Mat,Factors!$K$952:$K$1023)</f>
        <v>#N/A</v>
      </c>
      <c r="AR627" s="173">
        <v>0.65</v>
      </c>
      <c r="AS627">
        <v>0.14482945764999999</v>
      </c>
      <c r="AT627" t="s">
        <v>541</v>
      </c>
      <c r="BA627" cm="1">
        <f t="array" ref="BA627:BM627">tblGWP21[#This Row]</f>
        <v>9</v>
      </c>
      <c r="BB627" t="str">
        <v>Furniture/Textiles</v>
      </c>
      <c r="BC627" t="str">
        <v>Furniture/Textiles</v>
      </c>
      <c r="BD627" t="str">
        <v>Europe</v>
      </c>
      <c r="BE627" t="str">
        <v>Spain</v>
      </c>
      <c r="BF627">
        <v>-1.9287117500000002</v>
      </c>
      <c r="BG627" t="e">
        <v>#N/A</v>
      </c>
      <c r="BH627">
        <v>0.15112249999999994</v>
      </c>
      <c r="BI627" t="str">
        <v>DELETE</v>
      </c>
      <c r="BJ627" t="str">
        <v>DELETE</v>
      </c>
      <c r="BK627">
        <v>-0.35413711034524287</v>
      </c>
      <c r="BL627">
        <v>-0.539091491781443</v>
      </c>
      <c r="BM627">
        <v>0.45982003331334098</v>
      </c>
    </row>
    <row r="628" spans="3:65">
      <c r="C628" s="136">
        <v>9</v>
      </c>
      <c r="D628" s="137" t="s">
        <v>247</v>
      </c>
      <c r="E628" s="136" t="s">
        <v>270</v>
      </c>
      <c r="F628" s="136" t="s">
        <v>548</v>
      </c>
      <c r="G628" s="136" t="s">
        <v>560</v>
      </c>
      <c r="H628" s="191">
        <v>-1.0505633333333335</v>
      </c>
      <c r="I628" s="191">
        <v>-0.96748512603333348</v>
      </c>
      <c r="J628" s="191">
        <v>-0.31774452117746149</v>
      </c>
      <c r="K628" s="191">
        <v>0</v>
      </c>
      <c r="L628" s="191">
        <v>0</v>
      </c>
      <c r="M628" s="191">
        <v>2.60314903844522E-2</v>
      </c>
      <c r="N628" s="191">
        <v>3.0029661949898898E-2</v>
      </c>
      <c r="O628" s="191">
        <v>4.8924638168173801E-2</v>
      </c>
      <c r="T628" s="48">
        <v>9</v>
      </c>
      <c r="U628" s="46" t="s">
        <v>264</v>
      </c>
      <c r="V628" s="53" t="s">
        <v>336</v>
      </c>
      <c r="W628" s="53" t="s">
        <v>548</v>
      </c>
      <c r="X628" s="53" t="s">
        <v>560</v>
      </c>
      <c r="Y628" s="172">
        <f>IFERROR(-tblZwaste1422[[#This Row],[Weight (kgCO2e/kg)]],0)</f>
        <v>-0.76351350000000007</v>
      </c>
      <c r="Z628" s="172">
        <f>IF(AQ628="x",(AR628*-tblZwaste1422[[#This Row],[Weight (kgCO2e/kg)]])+AS628+($AR$10*Lookups!$J$38/1000),"DELETE")</f>
        <v>-0.34968251735000005</v>
      </c>
      <c r="AA628" s="176" t="s">
        <v>567</v>
      </c>
      <c r="AB628" s="172">
        <v>-1.64839534351149</v>
      </c>
      <c r="AC628" s="172">
        <v>-2.6295970405965199</v>
      </c>
      <c r="AD628" s="172">
        <v>-1.0028595636847788</v>
      </c>
      <c r="AE628" s="172">
        <v>-0.77500934729848503</v>
      </c>
      <c r="AF628" s="172">
        <v>0.21034435426219095</v>
      </c>
      <c r="AG628" s="150"/>
      <c r="AI628" s="137">
        <v>9</v>
      </c>
      <c r="AJ628" s="136" t="s">
        <v>264</v>
      </c>
      <c r="AK628" s="142" t="s">
        <v>336</v>
      </c>
      <c r="AL628" s="136" t="s">
        <v>548</v>
      </c>
      <c r="AM628" s="136" t="s">
        <v>560</v>
      </c>
      <c r="AN628" s="1">
        <v>0.76351350000000007</v>
      </c>
      <c r="AO628" s="166">
        <v>0.43603999999999998</v>
      </c>
      <c r="AQ628" t="str">
        <f>_xlfn.XLOOKUP(tblGWP21[[#This Row],[Material Subcategory]],ls_Mat,Factors!$K$952:$K$1023)</f>
        <v>x</v>
      </c>
      <c r="AR628" s="173">
        <v>0.65</v>
      </c>
      <c r="AS628">
        <v>0.14482945764999999</v>
      </c>
      <c r="AT628" t="s">
        <v>541</v>
      </c>
      <c r="BA628" cm="1">
        <f t="array" ref="BA628:BM628">tblGWP21[#This Row]</f>
        <v>9</v>
      </c>
      <c r="BB628" t="str">
        <v>Furniture/Textiles</v>
      </c>
      <c r="BC628" t="str">
        <v>Furniture</v>
      </c>
      <c r="BD628" t="str">
        <v>Europe</v>
      </c>
      <c r="BE628" t="str">
        <v>Spain</v>
      </c>
      <c r="BF628">
        <v>-0.76351350000000007</v>
      </c>
      <c r="BG628">
        <v>-0.34968251735000005</v>
      </c>
      <c r="BH628" t="str">
        <v>DELETE</v>
      </c>
      <c r="BI628">
        <v>-1.64839534351149</v>
      </c>
      <c r="BJ628">
        <v>-2.6295970405965199</v>
      </c>
      <c r="BK628">
        <v>-1.0028595636847788</v>
      </c>
      <c r="BL628">
        <v>-0.77500934729848503</v>
      </c>
      <c r="BM628">
        <v>0.21034435426219095</v>
      </c>
    </row>
    <row r="629" spans="3:65">
      <c r="C629" s="362">
        <v>9</v>
      </c>
      <c r="D629" s="363" t="s">
        <v>247</v>
      </c>
      <c r="E629" s="362" t="s">
        <v>540</v>
      </c>
      <c r="F629" s="362" t="s">
        <v>548</v>
      </c>
      <c r="G629" s="362" t="s">
        <v>560</v>
      </c>
      <c r="H629" s="368">
        <v>-1.0473650000000001</v>
      </c>
      <c r="I629" s="368">
        <v>-0.96428679270000006</v>
      </c>
      <c r="J629" s="368">
        <v>0</v>
      </c>
      <c r="K629" s="368">
        <v>0</v>
      </c>
      <c r="L629" s="368">
        <v>0</v>
      </c>
      <c r="M629" s="368">
        <v>2.6031473935633199E-2</v>
      </c>
      <c r="N629" s="368">
        <v>2.6037714878430301E-2</v>
      </c>
      <c r="O629" s="368">
        <v>4.8925468333756703E-2</v>
      </c>
      <c r="T629" s="48">
        <v>9</v>
      </c>
      <c r="U629" s="46" t="s">
        <v>242</v>
      </c>
      <c r="V629" s="53" t="s">
        <v>251</v>
      </c>
      <c r="W629" s="53" t="s">
        <v>548</v>
      </c>
      <c r="X629" s="53" t="s">
        <v>560</v>
      </c>
      <c r="Y629" s="172">
        <f>IFERROR(-tblZwaste1422[[#This Row],[Weight (kgCO2e/kg)]],0)</f>
        <v>-4.9218200000000003</v>
      </c>
      <c r="Z629" s="172">
        <f>IF(AQ629="x",(AR629*-tblZwaste1422[[#This Row],[Weight (kgCO2e/kg)]])+AS629+($AR$10*Lookups!$J$38/1000),"DELETE")</f>
        <v>-3.5665477000000001</v>
      </c>
      <c r="AA629" s="172">
        <v>-1.2190350000000001</v>
      </c>
      <c r="AB629" s="172" t="s">
        <v>567</v>
      </c>
      <c r="AC629" s="172" t="s">
        <v>567</v>
      </c>
      <c r="AD629" s="172">
        <v>2.5962894059453824E-2</v>
      </c>
      <c r="AE629" s="172">
        <v>0.17955798171204093</v>
      </c>
      <c r="AF629" s="172">
        <v>0.84656082868220983</v>
      </c>
      <c r="AG629" s="150"/>
      <c r="AI629" s="137">
        <v>9</v>
      </c>
      <c r="AJ629" s="136" t="s">
        <v>242</v>
      </c>
      <c r="AK629" s="142" t="s">
        <v>251</v>
      </c>
      <c r="AL629" s="136" t="s">
        <v>548</v>
      </c>
      <c r="AM629" s="136" t="s">
        <v>560</v>
      </c>
      <c r="AN629" s="1">
        <v>4.9218200000000003</v>
      </c>
      <c r="AO629" s="166">
        <v>0.15096000000000001</v>
      </c>
      <c r="AQ629" t="str">
        <f>_xlfn.XLOOKUP(tblGWP21[[#This Row],[Material Subcategory]],ls_Mat,Factors!$K$952:$K$1023)</f>
        <v>x</v>
      </c>
      <c r="AR629" s="173">
        <v>0.72499999999999998</v>
      </c>
      <c r="AS629">
        <v>0</v>
      </c>
      <c r="AT629" t="s">
        <v>527</v>
      </c>
      <c r="BA629" cm="1">
        <f t="array" ref="BA629:BM629">tblGWP21[#This Row]</f>
        <v>9</v>
      </c>
      <c r="BB629" t="str">
        <v>Electronics</v>
      </c>
      <c r="BC629" t="str">
        <v>Appliances</v>
      </c>
      <c r="BD629" t="str">
        <v>Europe</v>
      </c>
      <c r="BE629" t="str">
        <v>Spain</v>
      </c>
      <c r="BF629">
        <v>-4.9218200000000003</v>
      </c>
      <c r="BG629">
        <v>-3.5665477000000001</v>
      </c>
      <c r="BH629">
        <v>-1.2190350000000001</v>
      </c>
      <c r="BI629" t="str">
        <v>DELETE</v>
      </c>
      <c r="BJ629" t="str">
        <v>DELETE</v>
      </c>
      <c r="BK629">
        <v>2.5962894059453824E-2</v>
      </c>
      <c r="BL629">
        <v>0.17955798171204093</v>
      </c>
      <c r="BM629">
        <v>0.84656082868220983</v>
      </c>
    </row>
    <row r="630" spans="3:65">
      <c r="C630" s="136">
        <v>9</v>
      </c>
      <c r="D630" s="137" t="s">
        <v>261</v>
      </c>
      <c r="E630" s="136" t="s">
        <v>260</v>
      </c>
      <c r="F630" s="136" t="s">
        <v>548</v>
      </c>
      <c r="G630" s="136" t="s">
        <v>560</v>
      </c>
      <c r="H630" s="191">
        <v>-4.0364225925925927</v>
      </c>
      <c r="I630" s="191">
        <v>0</v>
      </c>
      <c r="J630" s="191">
        <v>0</v>
      </c>
      <c r="K630" s="191">
        <v>-0.50410141805752495</v>
      </c>
      <c r="L630" s="191">
        <v>-0.86701403957079604</v>
      </c>
      <c r="M630" s="191">
        <v>-0.18154819694188001</v>
      </c>
      <c r="N630" s="191">
        <v>-0.254603311760357</v>
      </c>
      <c r="O630" s="191">
        <v>2.7530883864368701E-2</v>
      </c>
      <c r="T630" s="48">
        <v>9</v>
      </c>
      <c r="U630" s="46" t="s">
        <v>242</v>
      </c>
      <c r="V630" s="53" t="s">
        <v>543</v>
      </c>
      <c r="W630" s="53" t="s">
        <v>548</v>
      </c>
      <c r="X630" s="53" t="s">
        <v>560</v>
      </c>
      <c r="Y630" s="172">
        <f>IFERROR(-tblZwaste1422[[#This Row],[Weight (kgCO2e/kg)]],0)</f>
        <v>-1.00081</v>
      </c>
      <c r="Z630" s="172">
        <f>IF(AQ630="x",(AR630*-tblZwaste1422[[#This Row],[Weight (kgCO2e/kg)]])+AS630+($AR$10*Lookups!$J$38/1000),"DELETE")</f>
        <v>-0.72381545000000003</v>
      </c>
      <c r="AA630" s="172">
        <v>-0.20626249999999999</v>
      </c>
      <c r="AB630" s="172" t="s">
        <v>567</v>
      </c>
      <c r="AC630" s="172" t="s">
        <v>567</v>
      </c>
      <c r="AD630" s="172">
        <v>2.5860000000000001E-2</v>
      </c>
      <c r="AE630" s="172">
        <v>4.1414954380226701E-2</v>
      </c>
      <c r="AF630" s="172">
        <v>4.8923121440990501E-2</v>
      </c>
      <c r="AG630" s="150"/>
      <c r="AI630" s="137">
        <v>9</v>
      </c>
      <c r="AJ630" s="136" t="s">
        <v>242</v>
      </c>
      <c r="AK630" s="142" t="s">
        <v>543</v>
      </c>
      <c r="AL630" s="136" t="s">
        <v>548</v>
      </c>
      <c r="AM630" s="136" t="s">
        <v>560</v>
      </c>
      <c r="AN630" s="1">
        <v>1.00081</v>
      </c>
      <c r="AO630" s="166">
        <v>0.33138000000000001</v>
      </c>
      <c r="AQ630" t="str">
        <f>_xlfn.XLOOKUP(tblGWP21[[#This Row],[Material Subcategory]],ls_Mat,Factors!$K$952:$K$1023)</f>
        <v>x</v>
      </c>
      <c r="AR630" s="173">
        <v>0.72499999999999998</v>
      </c>
      <c r="AS630">
        <v>0</v>
      </c>
      <c r="AT630" t="s">
        <v>527</v>
      </c>
      <c r="BA630" cm="1">
        <f t="array" ref="BA630:BM630">tblGWP21[#This Row]</f>
        <v>9</v>
      </c>
      <c r="BB630" t="str">
        <v>Electronics</v>
      </c>
      <c r="BC630" t="str">
        <v>Lightbulb/Lamps</v>
      </c>
      <c r="BD630" t="str">
        <v>Europe</v>
      </c>
      <c r="BE630" t="str">
        <v>Spain</v>
      </c>
      <c r="BF630">
        <v>-1.00081</v>
      </c>
      <c r="BG630">
        <v>-0.72381545000000003</v>
      </c>
      <c r="BH630">
        <v>-0.20626249999999999</v>
      </c>
      <c r="BI630" t="str">
        <v>DELETE</v>
      </c>
      <c r="BJ630" t="str">
        <v>DELETE</v>
      </c>
      <c r="BK630">
        <v>2.5860000000000001E-2</v>
      </c>
      <c r="BL630">
        <v>4.1414954380226701E-2</v>
      </c>
      <c r="BM630">
        <v>4.8923121440990501E-2</v>
      </c>
    </row>
    <row r="631" spans="3:65">
      <c r="C631" s="362">
        <v>9</v>
      </c>
      <c r="D631" s="363" t="s">
        <v>10157</v>
      </c>
      <c r="E631" s="362" t="s">
        <v>237</v>
      </c>
      <c r="F631" s="362" t="s">
        <v>548</v>
      </c>
      <c r="G631" s="362" t="s">
        <v>560</v>
      </c>
      <c r="H631" s="368">
        <v>-2.8533815875203707</v>
      </c>
      <c r="I631" s="368">
        <v>-1.4249189937601854</v>
      </c>
      <c r="J631" s="368">
        <v>0</v>
      </c>
      <c r="K631" s="368">
        <v>0</v>
      </c>
      <c r="L631" s="368">
        <v>0</v>
      </c>
      <c r="M631" s="368">
        <v>-0.47601465391463771</v>
      </c>
      <c r="N631" s="368">
        <v>-0.57023200633729854</v>
      </c>
      <c r="O631" s="368">
        <v>2.7969801577351308E-2</v>
      </c>
      <c r="T631" s="48">
        <v>9</v>
      </c>
      <c r="U631" s="46" t="s">
        <v>264</v>
      </c>
      <c r="V631" s="53" t="s">
        <v>544</v>
      </c>
      <c r="W631" s="53" t="s">
        <v>548</v>
      </c>
      <c r="X631" s="53" t="s">
        <v>560</v>
      </c>
      <c r="Y631" s="172">
        <f>IFERROR(-tblZwaste1422[[#This Row],[Weight (kgCO2e/kg)]],0)</f>
        <v>-3.0939100000000002</v>
      </c>
      <c r="Z631" s="172">
        <f>IF(AQ631="x",(AR631*-tblZwaste1422[[#This Row],[Weight (kgCO2e/kg)]])+AS631+($AR$10*Lookups!$J$38/1000),"DELETE")</f>
        <v>-1.8644402423500002</v>
      </c>
      <c r="AA631" s="172">
        <v>0.15112249999999994</v>
      </c>
      <c r="AB631" s="172" t="s">
        <v>567</v>
      </c>
      <c r="AC631" s="172" t="s">
        <v>567</v>
      </c>
      <c r="AD631" s="172">
        <v>0.29458534299429301</v>
      </c>
      <c r="AE631" s="172">
        <v>-0.30317363626440103</v>
      </c>
      <c r="AF631" s="172">
        <v>0.70929571236449096</v>
      </c>
      <c r="AG631" s="150"/>
      <c r="AI631" s="137">
        <v>9</v>
      </c>
      <c r="AJ631" s="136" t="s">
        <v>264</v>
      </c>
      <c r="AK631" s="142" t="s">
        <v>544</v>
      </c>
      <c r="AL631" s="136" t="s">
        <v>548</v>
      </c>
      <c r="AM631" s="136" t="s">
        <v>560</v>
      </c>
      <c r="AN631" s="1">
        <v>3.0939100000000002</v>
      </c>
      <c r="AO631" s="166">
        <v>0.49807000000000001</v>
      </c>
      <c r="AQ631" t="str">
        <f>_xlfn.XLOOKUP(tblGWP21[[#This Row],[Material Subcategory]],ls_Mat,Factors!$K$952:$K$1023)</f>
        <v>x</v>
      </c>
      <c r="AR631" s="173">
        <v>0.65</v>
      </c>
      <c r="AS631">
        <v>0.14482945764999999</v>
      </c>
      <c r="AT631" t="s">
        <v>541</v>
      </c>
      <c r="BA631" cm="1">
        <f t="array" ref="BA631:BM631">tblGWP21[#This Row]</f>
        <v>9</v>
      </c>
      <c r="BB631" t="str">
        <v>Furniture/Textiles</v>
      </c>
      <c r="BC631" t="str">
        <v>Textiles</v>
      </c>
      <c r="BD631" t="str">
        <v>Europe</v>
      </c>
      <c r="BE631" t="str">
        <v>Spain</v>
      </c>
      <c r="BF631">
        <v>-3.0939100000000002</v>
      </c>
      <c r="BG631">
        <v>-1.8644402423500002</v>
      </c>
      <c r="BH631">
        <v>0.15112249999999994</v>
      </c>
      <c r="BI631" t="str">
        <v>DELETE</v>
      </c>
      <c r="BJ631" t="str">
        <v>DELETE</v>
      </c>
      <c r="BK631">
        <v>0.29458534299429301</v>
      </c>
      <c r="BL631">
        <v>-0.30317363626440103</v>
      </c>
      <c r="BM631">
        <v>0.70929571236449096</v>
      </c>
    </row>
    <row r="632" spans="3:65">
      <c r="C632" s="136">
        <v>9</v>
      </c>
      <c r="D632" s="137" t="s">
        <v>10157</v>
      </c>
      <c r="E632" s="136" t="s">
        <v>246</v>
      </c>
      <c r="F632" s="136" t="s">
        <v>548</v>
      </c>
      <c r="G632" s="136" t="s">
        <v>560</v>
      </c>
      <c r="H632" s="191">
        <v>-7.3412433500000009</v>
      </c>
      <c r="I632" s="191">
        <v>0</v>
      </c>
      <c r="J632" s="191">
        <v>0</v>
      </c>
      <c r="K632" s="191">
        <v>0</v>
      </c>
      <c r="L632" s="191">
        <v>0</v>
      </c>
      <c r="M632" s="191">
        <v>2.60315246484722E-2</v>
      </c>
      <c r="N632" s="191">
        <v>4.1414954380226701E-2</v>
      </c>
      <c r="O632" s="191">
        <v>4.8923121440990702E-2</v>
      </c>
      <c r="T632" s="48">
        <v>9</v>
      </c>
      <c r="U632" s="46" t="s">
        <v>237</v>
      </c>
      <c r="V632" s="53" t="s">
        <v>545</v>
      </c>
      <c r="W632" s="53" t="s">
        <v>548</v>
      </c>
      <c r="X632" s="53" t="s">
        <v>560</v>
      </c>
      <c r="Y632" s="172">
        <f>IFERROR(-tblZwaste1422[[#This Row],[Weight (kgCO2e/kg)]],0)</f>
        <v>-2.8533815875203707</v>
      </c>
      <c r="Z632" s="172" t="str">
        <f>IF(AQ632="x",(AR632*-tblZwaste1422[[#This Row],[Weight (kgCO2e/kg)]])+AS632+($AR$10*Lookups!$J$38/1000),"DELETE")</f>
        <v>DELETE</v>
      </c>
      <c r="AA632" s="176" t="s">
        <v>567</v>
      </c>
      <c r="AB632" s="172" t="s">
        <v>567</v>
      </c>
      <c r="AC632" s="172" t="s">
        <v>567</v>
      </c>
      <c r="AD632" s="172">
        <v>-0.47601465391463771</v>
      </c>
      <c r="AE632" s="172">
        <v>-0.57023200633729854</v>
      </c>
      <c r="AF632" s="172">
        <v>2.7969801577351308E-2</v>
      </c>
      <c r="AG632" s="150"/>
      <c r="AI632" s="137">
        <v>9</v>
      </c>
      <c r="AJ632" s="136" t="s">
        <v>237</v>
      </c>
      <c r="AK632" s="142" t="s">
        <v>545</v>
      </c>
      <c r="AL632" s="136" t="s">
        <v>548</v>
      </c>
      <c r="AM632" s="136" t="s">
        <v>560</v>
      </c>
      <c r="AN632" s="1">
        <v>2.8533815875203707</v>
      </c>
      <c r="AO632" s="166">
        <v>1.0711602172222223</v>
      </c>
      <c r="AQ632">
        <f>_xlfn.XLOOKUP(tblGWP21[[#This Row],[Material Subcategory]],ls_Mat,Factors!$K$952:$K$1023)</f>
        <v>0</v>
      </c>
      <c r="BA632" cm="1">
        <f t="array" ref="BA632:BM632">tblGWP21[#This Row]</f>
        <v>9</v>
      </c>
      <c r="BB632" t="str">
        <v>Mixed/Custom</v>
      </c>
      <c r="BC632" t="str">
        <v>General other</v>
      </c>
      <c r="BD632" t="str">
        <v>Europe</v>
      </c>
      <c r="BE632" t="str">
        <v>Spain</v>
      </c>
      <c r="BF632">
        <v>-2.8533815875203707</v>
      </c>
      <c r="BG632" t="str">
        <v>DELETE</v>
      </c>
      <c r="BH632" t="str">
        <v>DELETE</v>
      </c>
      <c r="BI632" t="str">
        <v>DELETE</v>
      </c>
      <c r="BJ632" t="str">
        <v>DELETE</v>
      </c>
      <c r="BK632">
        <v>-0.47601465391463771</v>
      </c>
      <c r="BL632">
        <v>-0.57023200633729854</v>
      </c>
      <c r="BM632">
        <v>2.7969801577351308E-2</v>
      </c>
    </row>
    <row r="633" spans="3:65">
      <c r="C633" s="362">
        <v>9</v>
      </c>
      <c r="D633" s="363" t="s">
        <v>10157</v>
      </c>
      <c r="E633" s="362" t="s">
        <v>243</v>
      </c>
      <c r="F633" s="362" t="s">
        <v>548</v>
      </c>
      <c r="G633" s="362" t="s">
        <v>560</v>
      </c>
      <c r="H633" s="368">
        <v>-2.8533815875203707</v>
      </c>
      <c r="I633" s="368">
        <v>0</v>
      </c>
      <c r="J633" s="368">
        <v>0</v>
      </c>
      <c r="K633" s="368">
        <v>-1.0337398605369958</v>
      </c>
      <c r="L633" s="368">
        <v>-1.6001924218832018</v>
      </c>
      <c r="M633" s="368">
        <v>-0.47601465391463771</v>
      </c>
      <c r="N633" s="368">
        <v>-0.57023200633729854</v>
      </c>
      <c r="O633" s="368">
        <v>2.7969801577351308E-2</v>
      </c>
      <c r="T633" s="48">
        <v>4</v>
      </c>
      <c r="U633" s="46" t="s">
        <v>233</v>
      </c>
      <c r="V633" s="53" t="s">
        <v>233</v>
      </c>
      <c r="W633" s="53" t="s">
        <v>549</v>
      </c>
      <c r="X633" s="53" t="s">
        <v>558</v>
      </c>
      <c r="Y633" s="172">
        <f>IFERROR(-tblZwaste1422[[#This Row],[Weight (kgCO2e/kg)]],0)</f>
        <v>0</v>
      </c>
      <c r="Z633" s="172">
        <f>AVERAGE(Z637:Z639)</f>
        <v>-0.13905086666666666</v>
      </c>
      <c r="AA633" s="176" t="s">
        <v>567</v>
      </c>
      <c r="AB633" s="172">
        <v>-1.4467360717492961</v>
      </c>
      <c r="AC633" s="172">
        <v>-2.0465383141425337</v>
      </c>
      <c r="AD633" s="172">
        <v>-1.0111121528903839</v>
      </c>
      <c r="AE633" s="172">
        <v>-0.84032568934068852</v>
      </c>
      <c r="AF633" s="172">
        <v>3.3140319630124294E-2</v>
      </c>
      <c r="AG633" s="150"/>
      <c r="AI633" s="137">
        <v>4</v>
      </c>
      <c r="AJ633" s="136"/>
      <c r="AK633" s="142"/>
      <c r="AL633" s="136" t="s">
        <v>549</v>
      </c>
      <c r="AM633" s="136" t="s">
        <v>558</v>
      </c>
      <c r="AN633" s="1" t="s">
        <v>525</v>
      </c>
      <c r="AO633" s="166" t="s">
        <v>525</v>
      </c>
      <c r="AQ633" t="e">
        <f>_xlfn.XLOOKUP(tblGWP21[[#This Row],[Material Subcategory]],ls_Mat,Factors!$K$952:$K$1023)</f>
        <v>#N/A</v>
      </c>
      <c r="AR633" s="173">
        <v>0.77500000000000002</v>
      </c>
      <c r="AS633">
        <v>0</v>
      </c>
      <c r="AT633" t="s">
        <v>527</v>
      </c>
      <c r="BA633" cm="1">
        <f t="array" ref="BA633:BM633">tblGWP21[#This Row]</f>
        <v>4</v>
      </c>
      <c r="BB633" t="str">
        <v>Wood/Yard Trimmings</v>
      </c>
      <c r="BC633" t="str">
        <v>Wood/Yard Trimmings</v>
      </c>
      <c r="BD633" t="str">
        <v>North America</v>
      </c>
      <c r="BE633" t="str">
        <v>Canada</v>
      </c>
      <c r="BF633">
        <v>0</v>
      </c>
      <c r="BG633">
        <v>-0.13905086666666666</v>
      </c>
      <c r="BH633" t="str">
        <v>DELETE</v>
      </c>
      <c r="BI633">
        <v>-1.4467360717492961</v>
      </c>
      <c r="BJ633">
        <v>-2.0465383141425337</v>
      </c>
      <c r="BK633">
        <v>-1.0111121528903839</v>
      </c>
      <c r="BL633">
        <v>-0.84032568934068852</v>
      </c>
      <c r="BM633">
        <v>3.3140319630124294E-2</v>
      </c>
    </row>
    <row r="634" spans="3:65" ht="28.8">
      <c r="C634" s="136">
        <v>9</v>
      </c>
      <c r="D634" s="137" t="s">
        <v>252</v>
      </c>
      <c r="E634" s="136" t="s">
        <v>333</v>
      </c>
      <c r="F634" s="136" t="s">
        <v>548</v>
      </c>
      <c r="G634" s="136" t="s">
        <v>560</v>
      </c>
      <c r="H634" s="191">
        <v>-2.0953266666666663</v>
      </c>
      <c r="I634" s="191">
        <v>0</v>
      </c>
      <c r="J634" s="191">
        <v>-4.4028601931708895</v>
      </c>
      <c r="K634" s="191">
        <v>0</v>
      </c>
      <c r="L634" s="191">
        <v>0</v>
      </c>
      <c r="M634" s="191">
        <v>2.60314971252869E-2</v>
      </c>
      <c r="N634" s="191">
        <v>0.54079132808039498</v>
      </c>
      <c r="O634" s="191">
        <v>2.1870256217784201</v>
      </c>
      <c r="T634" s="48">
        <v>4</v>
      </c>
      <c r="U634" s="46" t="s">
        <v>233</v>
      </c>
      <c r="V634" s="53" t="s">
        <v>250</v>
      </c>
      <c r="W634" s="53" t="s">
        <v>549</v>
      </c>
      <c r="X634" s="53" t="s">
        <v>558</v>
      </c>
      <c r="Y634" s="172">
        <f>IFERROR(-tblZwaste1422[[#This Row],[Weight (kgCO2e/kg)]],0)</f>
        <v>0</v>
      </c>
      <c r="Z634" s="172" t="str">
        <f>IF(AQ634="x",(AR634*-tblZwaste1422[[#This Row],[Weight (kgCO2e/kg)]])+AS634+($AR$10*Lookups!$J$38/1000),"DELETE")</f>
        <v>DELETE</v>
      </c>
      <c r="AA634" s="176" t="s">
        <v>567</v>
      </c>
      <c r="AB634" s="172">
        <v>-1.7445685940376101</v>
      </c>
      <c r="AC634" s="172">
        <v>-2.14650454588344</v>
      </c>
      <c r="AD634" s="172">
        <v>-1.0412277443301501</v>
      </c>
      <c r="AE634" s="172">
        <v>-0.90055008858352303</v>
      </c>
      <c r="AF634" s="172">
        <v>2.8431589260675402E-2</v>
      </c>
      <c r="AG634" s="150"/>
      <c r="AI634" s="137">
        <v>4</v>
      </c>
      <c r="AJ634" s="136"/>
      <c r="AK634" s="142"/>
      <c r="AL634" s="136" t="s">
        <v>549</v>
      </c>
      <c r="AM634" s="136" t="s">
        <v>558</v>
      </c>
      <c r="AN634" s="1" t="s">
        <v>525</v>
      </c>
      <c r="AO634" s="166" t="s">
        <v>525</v>
      </c>
      <c r="AQ634">
        <f>_xlfn.XLOOKUP(tblGWP21[[#This Row],[Material Subcategory]],ls_Mat,Factors!$K$952:$K$1023)</f>
        <v>0</v>
      </c>
      <c r="BA634" cm="1">
        <f t="array" ref="BA634:BM634">tblGWP21[#This Row]</f>
        <v>4</v>
      </c>
      <c r="BB634" t="str">
        <v>Wood/Yard Trimmings</v>
      </c>
      <c r="BC634" t="str">
        <v>Yard Trimmings – Leaves</v>
      </c>
      <c r="BD634" t="str">
        <v>North America</v>
      </c>
      <c r="BE634" t="str">
        <v>Canada</v>
      </c>
      <c r="BF634">
        <v>0</v>
      </c>
      <c r="BG634" t="str">
        <v>DELETE</v>
      </c>
      <c r="BH634" t="str">
        <v>DELETE</v>
      </c>
      <c r="BI634">
        <v>-1.7445685940376101</v>
      </c>
      <c r="BJ634">
        <v>-2.14650454588344</v>
      </c>
      <c r="BK634">
        <v>-1.0412277443301501</v>
      </c>
      <c r="BL634">
        <v>-0.90055008858352303</v>
      </c>
      <c r="BM634">
        <v>2.8431589260675402E-2</v>
      </c>
    </row>
    <row r="635" spans="3:65" ht="28.8">
      <c r="C635" s="362">
        <v>9</v>
      </c>
      <c r="D635" s="363" t="s">
        <v>239</v>
      </c>
      <c r="E635" s="362" t="s">
        <v>542</v>
      </c>
      <c r="F635" s="362" t="s">
        <v>548</v>
      </c>
      <c r="G635" s="362" t="s">
        <v>560</v>
      </c>
      <c r="H635" s="368">
        <v>-2.6644477777777777</v>
      </c>
      <c r="I635" s="368">
        <v>0</v>
      </c>
      <c r="J635" s="368">
        <v>-0.86668722195768011</v>
      </c>
      <c r="K635" s="368">
        <v>-1.6414433894164899</v>
      </c>
      <c r="L635" s="368">
        <v>-2.39351722049383</v>
      </c>
      <c r="M635" s="368">
        <v>-0.66144178690558597</v>
      </c>
      <c r="N635" s="368">
        <v>-0.88835374395553102</v>
      </c>
      <c r="O635" s="368">
        <v>2.7472268181238799E-2</v>
      </c>
      <c r="T635" s="48">
        <v>4</v>
      </c>
      <c r="U635" s="46" t="s">
        <v>233</v>
      </c>
      <c r="V635" s="53" t="s">
        <v>249</v>
      </c>
      <c r="W635" s="53" t="s">
        <v>549</v>
      </c>
      <c r="X635" s="53" t="s">
        <v>558</v>
      </c>
      <c r="Y635" s="172">
        <f>IFERROR(-tblZwaste1422[[#This Row],[Weight (kgCO2e/kg)]],0)</f>
        <v>0</v>
      </c>
      <c r="Z635" s="172" t="str">
        <f>IF(AQ635="x",(AR635*-tblZwaste1422[[#This Row],[Weight (kgCO2e/kg)]])+AS635+($AR$10*Lookups!$J$38/1000),"DELETE")</f>
        <v>DELETE</v>
      </c>
      <c r="AA635" s="176" t="s">
        <v>567</v>
      </c>
      <c r="AB635" s="172">
        <v>-0.54339733086706099</v>
      </c>
      <c r="AC635" s="172">
        <v>-0.73885823663826</v>
      </c>
      <c r="AD635" s="172">
        <v>1.9018677848252299E-2</v>
      </c>
      <c r="AE635" s="172">
        <v>-0.189995306558672</v>
      </c>
      <c r="AF635" s="172">
        <v>2.5752900233321101E-2</v>
      </c>
      <c r="AG635" s="150"/>
      <c r="AI635" s="137">
        <v>4</v>
      </c>
      <c r="AJ635" s="136"/>
      <c r="AK635" s="142"/>
      <c r="AL635" s="136" t="s">
        <v>549</v>
      </c>
      <c r="AM635" s="136" t="s">
        <v>558</v>
      </c>
      <c r="AN635" s="1" t="s">
        <v>525</v>
      </c>
      <c r="AO635" s="166" t="s">
        <v>525</v>
      </c>
      <c r="AQ635">
        <f>_xlfn.XLOOKUP(tblGWP21[[#This Row],[Material Subcategory]],ls_Mat,Factors!$K$952:$K$1023)</f>
        <v>0</v>
      </c>
      <c r="BA635" cm="1">
        <f t="array" ref="BA635:BM635">tblGWP21[#This Row]</f>
        <v>4</v>
      </c>
      <c r="BB635" t="str">
        <v>Wood/Yard Trimmings</v>
      </c>
      <c r="BC635" t="str">
        <v>Yard Trimmings – Grass</v>
      </c>
      <c r="BD635" t="str">
        <v>North America</v>
      </c>
      <c r="BE635" t="str">
        <v>Canada</v>
      </c>
      <c r="BF635">
        <v>0</v>
      </c>
      <c r="BG635" t="str">
        <v>DELETE</v>
      </c>
      <c r="BH635" t="str">
        <v>DELETE</v>
      </c>
      <c r="BI635">
        <v>-0.54339733086706099</v>
      </c>
      <c r="BJ635">
        <v>-0.73885823663826</v>
      </c>
      <c r="BK635">
        <v>1.9018677848252299E-2</v>
      </c>
      <c r="BL635">
        <v>-0.189995306558672</v>
      </c>
      <c r="BM635">
        <v>2.5752900233321101E-2</v>
      </c>
    </row>
    <row r="636" spans="3:65" ht="28.8">
      <c r="C636" s="136">
        <v>9</v>
      </c>
      <c r="D636" s="137" t="s">
        <v>10157</v>
      </c>
      <c r="E636" s="136" t="s">
        <v>238</v>
      </c>
      <c r="F636" s="136" t="s">
        <v>548</v>
      </c>
      <c r="G636" s="136" t="s">
        <v>560</v>
      </c>
      <c r="H636" s="191">
        <v>-2.7046544444444445</v>
      </c>
      <c r="I636" s="191">
        <v>0</v>
      </c>
      <c r="J636" s="191">
        <v>0</v>
      </c>
      <c r="K636" s="191">
        <v>0</v>
      </c>
      <c r="L636" s="191">
        <v>0</v>
      </c>
      <c r="M636" s="191">
        <v>-0.14585826534312482</v>
      </c>
      <c r="N636" s="191">
        <v>-0.10753415122891077</v>
      </c>
      <c r="O636" s="191">
        <v>0.54208435433361057</v>
      </c>
      <c r="T636" s="48">
        <v>4</v>
      </c>
      <c r="U636" s="46" t="s">
        <v>233</v>
      </c>
      <c r="V636" s="53" t="s">
        <v>273</v>
      </c>
      <c r="W636" s="53" t="s">
        <v>549</v>
      </c>
      <c r="X636" s="53" t="s">
        <v>558</v>
      </c>
      <c r="Y636" s="172">
        <f>IFERROR(-tblZwaste1422[[#This Row],[Weight (kgCO2e/kg)]],0)</f>
        <v>0</v>
      </c>
      <c r="Z636" s="172" t="str">
        <f>IF(AQ636="x",(AR636*-tblZwaste1422[[#This Row],[Weight (kgCO2e/kg)]])+AS636+($AR$10*Lookups!$J$38/1000),"DELETE")</f>
        <v>DELETE</v>
      </c>
      <c r="AA636" s="176" t="s">
        <v>567</v>
      </c>
      <c r="AB636" s="172">
        <v>-1.64857147794727</v>
      </c>
      <c r="AC636" s="172">
        <v>-2.1001340412127298</v>
      </c>
      <c r="AD636" s="172">
        <v>-0.79637693287723699</v>
      </c>
      <c r="AE636" s="172">
        <v>-0.87468221880515595</v>
      </c>
      <c r="AF636" s="172">
        <v>2.7208013547889199E-2</v>
      </c>
      <c r="AG636" s="150"/>
      <c r="AI636" s="137">
        <v>4</v>
      </c>
      <c r="AJ636" s="136"/>
      <c r="AK636" s="142"/>
      <c r="AL636" s="136" t="s">
        <v>549</v>
      </c>
      <c r="AM636" s="136" t="s">
        <v>558</v>
      </c>
      <c r="AN636" s="1" t="s">
        <v>525</v>
      </c>
      <c r="AO636" s="166" t="s">
        <v>525</v>
      </c>
      <c r="AQ636">
        <f>_xlfn.XLOOKUP(tblGWP21[[#This Row],[Material Subcategory]],ls_Mat,Factors!$K$952:$K$1023)</f>
        <v>0</v>
      </c>
      <c r="AR636" s="173"/>
      <c r="BA636" cm="1">
        <f t="array" ref="BA636:BM636">tblGWP21[#This Row]</f>
        <v>4</v>
      </c>
      <c r="BB636" t="str">
        <v>Wood/Yard Trimmings</v>
      </c>
      <c r="BC636" t="str">
        <v>Yard Trimming – Branches</v>
      </c>
      <c r="BD636" t="str">
        <v>North America</v>
      </c>
      <c r="BE636" t="str">
        <v>Canada</v>
      </c>
      <c r="BF636">
        <v>0</v>
      </c>
      <c r="BG636" t="str">
        <v>DELETE</v>
      </c>
      <c r="BH636" t="str">
        <v>DELETE</v>
      </c>
      <c r="BI636">
        <v>-1.64857147794727</v>
      </c>
      <c r="BJ636">
        <v>-2.1001340412127298</v>
      </c>
      <c r="BK636">
        <v>-0.79637693287723699</v>
      </c>
      <c r="BL636">
        <v>-0.87468221880515595</v>
      </c>
      <c r="BM636">
        <v>2.7208013547889199E-2</v>
      </c>
    </row>
    <row r="637" spans="3:65">
      <c r="C637" s="362">
        <v>9</v>
      </c>
      <c r="D637" s="363" t="s">
        <v>264</v>
      </c>
      <c r="E637" s="362" t="s">
        <v>264</v>
      </c>
      <c r="F637" s="362" t="s">
        <v>548</v>
      </c>
      <c r="G637" s="362" t="s">
        <v>560</v>
      </c>
      <c r="H637" s="368">
        <v>-1.9287117500000002</v>
      </c>
      <c r="I637" s="368">
        <v>-1.1070613798500002</v>
      </c>
      <c r="J637" s="368">
        <v>0.15112249999999994</v>
      </c>
      <c r="K637" s="368">
        <v>0</v>
      </c>
      <c r="L637" s="368">
        <v>0</v>
      </c>
      <c r="M637" s="368">
        <v>-0.35413711034524287</v>
      </c>
      <c r="N637" s="368">
        <v>-0.539091491781443</v>
      </c>
      <c r="O637" s="368">
        <v>0.45982003331334098</v>
      </c>
      <c r="T637" s="48">
        <v>4</v>
      </c>
      <c r="U637" s="46" t="s">
        <v>233</v>
      </c>
      <c r="V637" s="53" t="s">
        <v>330</v>
      </c>
      <c r="W637" s="53" t="s">
        <v>549</v>
      </c>
      <c r="X637" s="53" t="s">
        <v>558</v>
      </c>
      <c r="Y637" s="172">
        <f>IFERROR(-tblZwaste1422[[#This Row],[Weight (kgCO2e/kg)]],0)</f>
        <v>-0.14119999999999999</v>
      </c>
      <c r="Z637" s="172">
        <f>IF(AQ637="x",(AR637*-tblZwaste1422[[#This Row],[Weight (kgCO2e/kg)]])+AS637+($AR$10*Lookups!$J$38/1000),"DELETE")</f>
        <v>-0.1076582</v>
      </c>
      <c r="AA637" s="176" t="s">
        <v>567</v>
      </c>
      <c r="AB637" s="172" t="s">
        <v>567</v>
      </c>
      <c r="AC637" s="172" t="s">
        <v>567</v>
      </c>
      <c r="AD637" s="172">
        <v>-1.4801733322595501</v>
      </c>
      <c r="AE637" s="172">
        <v>-1.0171854482884</v>
      </c>
      <c r="AF637" s="172">
        <v>5.3035662223568897E-2</v>
      </c>
      <c r="AG637" s="150"/>
      <c r="AI637" s="137">
        <v>4</v>
      </c>
      <c r="AJ637" s="136" t="s">
        <v>330</v>
      </c>
      <c r="AK637" s="142" t="s">
        <v>330</v>
      </c>
      <c r="AL637" s="136" t="s">
        <v>549</v>
      </c>
      <c r="AM637" s="136" t="s">
        <v>558</v>
      </c>
      <c r="AN637" s="1">
        <v>0.14119999999999999</v>
      </c>
      <c r="AO637" s="166">
        <v>0.43014000000000002</v>
      </c>
      <c r="AQ637" t="str">
        <f>_xlfn.XLOOKUP(tblGWP21[[#This Row],[Material Subcategory]],ls_Mat,Factors!$K$952:$K$1023)</f>
        <v>x</v>
      </c>
      <c r="AR637" s="173">
        <v>0.77500000000000002</v>
      </c>
      <c r="AS637">
        <v>0</v>
      </c>
      <c r="AT637" t="s">
        <v>527</v>
      </c>
      <c r="AU637" t="s">
        <v>526</v>
      </c>
      <c r="AV637" s="347">
        <v>0.85</v>
      </c>
      <c r="BA637" cm="1">
        <f t="array" ref="BA637:BM637">tblGWP21[#This Row]</f>
        <v>4</v>
      </c>
      <c r="BB637" t="str">
        <v>Wood/Yard Trimmings</v>
      </c>
      <c r="BC637" t="str">
        <v>Wood</v>
      </c>
      <c r="BD637" t="str">
        <v>North America</v>
      </c>
      <c r="BE637" t="str">
        <v>Canada</v>
      </c>
      <c r="BF637">
        <v>-0.14119999999999999</v>
      </c>
      <c r="BG637">
        <v>-0.1076582</v>
      </c>
      <c r="BH637" t="str">
        <v>DELETE</v>
      </c>
      <c r="BI637" t="str">
        <v>DELETE</v>
      </c>
      <c r="BJ637" t="str">
        <v>DELETE</v>
      </c>
      <c r="BK637">
        <v>-1.4801733322595501</v>
      </c>
      <c r="BL637">
        <v>-1.0171854482884</v>
      </c>
      <c r="BM637">
        <v>5.3035662223568897E-2</v>
      </c>
    </row>
    <row r="638" spans="3:65">
      <c r="C638" s="136">
        <v>9</v>
      </c>
      <c r="D638" s="137" t="s">
        <v>264</v>
      </c>
      <c r="E638" s="136" t="s">
        <v>336</v>
      </c>
      <c r="F638" s="136" t="s">
        <v>548</v>
      </c>
      <c r="G638" s="136" t="s">
        <v>560</v>
      </c>
      <c r="H638" s="191">
        <v>-0.76351350000000007</v>
      </c>
      <c r="I638" s="191">
        <v>-0.34968251735000005</v>
      </c>
      <c r="J638" s="191">
        <v>0</v>
      </c>
      <c r="K638" s="191">
        <v>-1.64839534351149</v>
      </c>
      <c r="L638" s="191">
        <v>-2.6295970405965199</v>
      </c>
      <c r="M638" s="191">
        <v>-1.0028595636847788</v>
      </c>
      <c r="N638" s="191">
        <v>-0.77500934729848503</v>
      </c>
      <c r="O638" s="191">
        <v>0.21034435426219095</v>
      </c>
      <c r="T638" s="48">
        <v>4</v>
      </c>
      <c r="U638" s="46" t="s">
        <v>233</v>
      </c>
      <c r="V638" s="53" t="s">
        <v>335</v>
      </c>
      <c r="W638" s="53" t="s">
        <v>549</v>
      </c>
      <c r="X638" s="53" t="s">
        <v>558</v>
      </c>
      <c r="Y638" s="172">
        <f>IFERROR(-tblZwaste1422[[#This Row],[Weight (kgCO2e/kg)]],0)</f>
        <v>-0.26272000000000001</v>
      </c>
      <c r="Z638" s="172">
        <f>IF(AQ638="x",(AR638*-tblZwaste1422[[#This Row],[Weight (kgCO2e/kg)]])+AS638+($AR$10*Lookups!$J$38/1000),"DELETE")</f>
        <v>-0.20183620000000002</v>
      </c>
      <c r="AA638" s="176" t="s">
        <v>567</v>
      </c>
      <c r="AB638" s="172">
        <v>-1.64857147794727</v>
      </c>
      <c r="AC638" s="172">
        <v>-2.6235973734891198</v>
      </c>
      <c r="AD638" s="172">
        <v>-1.3839567928618099</v>
      </c>
      <c r="AE638" s="172">
        <v>-1.0297705369041901</v>
      </c>
      <c r="AF638" s="172">
        <v>3.2206876257645602E-2</v>
      </c>
      <c r="AG638" s="150"/>
      <c r="AI638" s="137">
        <v>4</v>
      </c>
      <c r="AJ638" s="136" t="s">
        <v>330</v>
      </c>
      <c r="AK638" s="142" t="s">
        <v>335</v>
      </c>
      <c r="AL638" s="136" t="s">
        <v>549</v>
      </c>
      <c r="AM638" s="136" t="s">
        <v>558</v>
      </c>
      <c r="AN638" s="1">
        <v>0.26272000000000001</v>
      </c>
      <c r="AO638" s="166">
        <v>0.43014000000000002</v>
      </c>
      <c r="AQ638" t="str">
        <f>_xlfn.XLOOKUP(tblGWP21[[#This Row],[Material Subcategory]],ls_Mat,Factors!$K$952:$K$1023)</f>
        <v>x</v>
      </c>
      <c r="AR638" s="173">
        <v>0.77500000000000002</v>
      </c>
      <c r="AS638">
        <v>0</v>
      </c>
      <c r="AT638" t="s">
        <v>527</v>
      </c>
      <c r="AU638" t="s">
        <v>526</v>
      </c>
      <c r="AV638" s="347">
        <v>0.7</v>
      </c>
      <c r="BA638" cm="1">
        <f t="array" ref="BA638:BM638">tblGWP21[#This Row]</f>
        <v>4</v>
      </c>
      <c r="BB638" t="str">
        <v>Wood/Yard Trimmings</v>
      </c>
      <c r="BC638" t="str">
        <v>Pallets</v>
      </c>
      <c r="BD638" t="str">
        <v>North America</v>
      </c>
      <c r="BE638" t="str">
        <v>Canada</v>
      </c>
      <c r="BF638">
        <v>-0.26272000000000001</v>
      </c>
      <c r="BG638">
        <v>-0.20183620000000002</v>
      </c>
      <c r="BH638" t="str">
        <v>DELETE</v>
      </c>
      <c r="BI638">
        <v>-1.64857147794727</v>
      </c>
      <c r="BJ638">
        <v>-2.6235973734891198</v>
      </c>
      <c r="BK638">
        <v>-1.3839567928618099</v>
      </c>
      <c r="BL638">
        <v>-1.0297705369041901</v>
      </c>
      <c r="BM638">
        <v>3.2206876257645602E-2</v>
      </c>
    </row>
    <row r="639" spans="3:65">
      <c r="C639" s="362">
        <v>9</v>
      </c>
      <c r="D639" s="363" t="s">
        <v>242</v>
      </c>
      <c r="E639" s="362" t="s">
        <v>251</v>
      </c>
      <c r="F639" s="362" t="s">
        <v>548</v>
      </c>
      <c r="G639" s="362" t="s">
        <v>560</v>
      </c>
      <c r="H639" s="368">
        <v>-4.9218200000000003</v>
      </c>
      <c r="I639" s="368">
        <v>-3.5665477000000001</v>
      </c>
      <c r="J639" s="368">
        <v>-1.2190350000000001</v>
      </c>
      <c r="K639" s="368">
        <v>0</v>
      </c>
      <c r="L639" s="368">
        <v>0</v>
      </c>
      <c r="M639" s="368">
        <v>2.5962894059453824E-2</v>
      </c>
      <c r="N639" s="368">
        <v>0.17955798171204093</v>
      </c>
      <c r="O639" s="368">
        <v>0.84656082868220983</v>
      </c>
      <c r="T639" s="48">
        <v>4</v>
      </c>
      <c r="U639" s="46" t="s">
        <v>233</v>
      </c>
      <c r="V639" s="53" t="s">
        <v>326</v>
      </c>
      <c r="W639" s="53" t="s">
        <v>549</v>
      </c>
      <c r="X639" s="53" t="s">
        <v>558</v>
      </c>
      <c r="Y639" s="172">
        <f>IFERROR(-tblZwaste1422[[#This Row],[Weight (kgCO2e/kg)]],0)</f>
        <v>-0.14119999999999999</v>
      </c>
      <c r="Z639" s="172">
        <f>IF(AQ639="x",(AR639*-tblZwaste1422[[#This Row],[Weight (kgCO2e/kg)]])+AS639+($AR$10*Lookups!$J$38/1000),"DELETE")</f>
        <v>-0.1076582</v>
      </c>
      <c r="AA639" s="176" t="s">
        <v>567</v>
      </c>
      <c r="AB639" s="172">
        <v>-1.64857147794727</v>
      </c>
      <c r="AC639" s="172">
        <v>-2.6235973734891198</v>
      </c>
      <c r="AD639" s="172">
        <v>-1.3839567928618099</v>
      </c>
      <c r="AE639" s="172">
        <v>-1.0297705369041901</v>
      </c>
      <c r="AF639" s="172">
        <v>3.2206876257645602E-2</v>
      </c>
      <c r="AG639" s="150"/>
      <c r="AI639" s="137">
        <v>4</v>
      </c>
      <c r="AJ639" s="136" t="s">
        <v>330</v>
      </c>
      <c r="AK639" s="142" t="s">
        <v>326</v>
      </c>
      <c r="AL639" s="136" t="s">
        <v>549</v>
      </c>
      <c r="AM639" s="136" t="s">
        <v>558</v>
      </c>
      <c r="AN639" s="1">
        <v>0.14119999999999999</v>
      </c>
      <c r="AO639" s="166">
        <v>0.43014000000000002</v>
      </c>
      <c r="AQ639" t="str">
        <f>_xlfn.XLOOKUP(tblGWP21[[#This Row],[Material Subcategory]],ls_Mat,Factors!$K$952:$K$1023)</f>
        <v>x</v>
      </c>
      <c r="AR639" s="173">
        <v>0.77500000000000002</v>
      </c>
      <c r="AS639">
        <v>0</v>
      </c>
      <c r="AT639" t="s">
        <v>527</v>
      </c>
      <c r="AU639" t="s">
        <v>526</v>
      </c>
      <c r="AV639" s="347">
        <v>0.8</v>
      </c>
      <c r="BA639" cm="1">
        <f t="array" ref="BA639:BM639">tblGWP21[#This Row]</f>
        <v>4</v>
      </c>
      <c r="BB639" t="str">
        <v>Wood/Yard Trimmings</v>
      </c>
      <c r="BC639" t="str">
        <v>Other Wood</v>
      </c>
      <c r="BD639" t="str">
        <v>North America</v>
      </c>
      <c r="BE639" t="str">
        <v>Canada</v>
      </c>
      <c r="BF639">
        <v>-0.14119999999999999</v>
      </c>
      <c r="BG639">
        <v>-0.1076582</v>
      </c>
      <c r="BH639" t="str">
        <v>DELETE</v>
      </c>
      <c r="BI639">
        <v>-1.64857147794727</v>
      </c>
      <c r="BJ639">
        <v>-2.6235973734891198</v>
      </c>
      <c r="BK639">
        <v>-1.3839567928618099</v>
      </c>
      <c r="BL639">
        <v>-1.0297705369041901</v>
      </c>
      <c r="BM639">
        <v>3.2206876257645602E-2</v>
      </c>
    </row>
    <row r="640" spans="3:65">
      <c r="C640" s="136">
        <v>9</v>
      </c>
      <c r="D640" s="137" t="s">
        <v>242</v>
      </c>
      <c r="E640" s="136" t="s">
        <v>543</v>
      </c>
      <c r="F640" s="136" t="s">
        <v>548</v>
      </c>
      <c r="G640" s="136" t="s">
        <v>560</v>
      </c>
      <c r="H640" s="191">
        <v>-1.00081</v>
      </c>
      <c r="I640" s="191">
        <v>-0.72381545000000003</v>
      </c>
      <c r="J640" s="191">
        <v>-0.20626249999999999</v>
      </c>
      <c r="K640" s="191">
        <v>0</v>
      </c>
      <c r="L640" s="191">
        <v>0</v>
      </c>
      <c r="M640" s="191">
        <v>2.5860000000000001E-2</v>
      </c>
      <c r="N640" s="191">
        <v>4.1414954380226701E-2</v>
      </c>
      <c r="O640" s="191">
        <v>4.8923121440990501E-2</v>
      </c>
      <c r="T640" s="48">
        <v>4</v>
      </c>
      <c r="U640" s="46" t="s">
        <v>261</v>
      </c>
      <c r="V640" s="53" t="s">
        <v>261</v>
      </c>
      <c r="W640" s="53" t="s">
        <v>549</v>
      </c>
      <c r="X640" s="53" t="s">
        <v>558</v>
      </c>
      <c r="Y640" s="172">
        <f>IFERROR(-tblZwaste1422[[#This Row],[Weight (kgCO2e/kg)]],0)</f>
        <v>-4.72241</v>
      </c>
      <c r="Z640" s="172" t="e">
        <f>IF(AQ640="x",(AR640*-tblZwaste1422[[#This Row],[Weight (kgCO2e/kg)]])+AS640+($AR$10*Lookups!$J$38/1000),"DELETE")</f>
        <v>#N/A</v>
      </c>
      <c r="AA640" s="176" t="s">
        <v>567</v>
      </c>
      <c r="AB640" s="172">
        <v>-0.36346266857360349</v>
      </c>
      <c r="AC640" s="172">
        <v>-0.58702294782174802</v>
      </c>
      <c r="AD640" s="172">
        <v>0.14044464084574848</v>
      </c>
      <c r="AE640" s="172">
        <v>-0.17520809736106552</v>
      </c>
      <c r="AF640" s="172">
        <v>2.5406380090903451E-2</v>
      </c>
      <c r="AG640" s="150"/>
      <c r="AI640" s="137">
        <v>4</v>
      </c>
      <c r="AJ640" s="136" t="s">
        <v>529</v>
      </c>
      <c r="AK640" s="142" t="s">
        <v>529</v>
      </c>
      <c r="AL640" s="136" t="s">
        <v>549</v>
      </c>
      <c r="AM640" s="136" t="s">
        <v>558</v>
      </c>
      <c r="AN640" s="1">
        <v>4.72241</v>
      </c>
      <c r="AO640" s="166">
        <v>1.758</v>
      </c>
      <c r="AQ640" t="e">
        <f>_xlfn.XLOOKUP(tblGWP21[[#This Row],[Material Subcategory]],ls_Mat,Factors!$K$952:$K$1023)</f>
        <v>#N/A</v>
      </c>
      <c r="AR640" s="347">
        <v>0.5</v>
      </c>
      <c r="AS640">
        <v>0</v>
      </c>
      <c r="AT640" t="s">
        <v>528</v>
      </c>
      <c r="AU640" t="s">
        <v>526</v>
      </c>
      <c r="AV640" s="347">
        <v>0.7</v>
      </c>
      <c r="BA640" cm="1">
        <f t="array" ref="BA640:BM640">tblGWP21[#This Row]</f>
        <v>4</v>
      </c>
      <c r="BB640" t="str">
        <v>Food Waste</v>
      </c>
      <c r="BC640" t="str">
        <v>Food Waste</v>
      </c>
      <c r="BD640" t="str">
        <v>North America</v>
      </c>
      <c r="BE640" t="str">
        <v>Canada</v>
      </c>
      <c r="BF640">
        <v>-4.72241</v>
      </c>
      <c r="BG640" t="e">
        <v>#N/A</v>
      </c>
      <c r="BH640" t="str">
        <v>DELETE</v>
      </c>
      <c r="BI640">
        <v>-0.36346266857360349</v>
      </c>
      <c r="BJ640">
        <v>-0.58702294782174802</v>
      </c>
      <c r="BK640">
        <v>0.14044464084574848</v>
      </c>
      <c r="BL640">
        <v>-0.17520809736106552</v>
      </c>
      <c r="BM640">
        <v>2.5406380090903451E-2</v>
      </c>
    </row>
    <row r="641" spans="3:65" ht="28.8">
      <c r="C641" s="362">
        <v>9</v>
      </c>
      <c r="D641" s="363" t="s">
        <v>264</v>
      </c>
      <c r="E641" s="362" t="s">
        <v>544</v>
      </c>
      <c r="F641" s="362" t="s">
        <v>548</v>
      </c>
      <c r="G641" s="362" t="s">
        <v>560</v>
      </c>
      <c r="H641" s="368">
        <v>-3.0939100000000002</v>
      </c>
      <c r="I641" s="368">
        <v>-1.8644402423500002</v>
      </c>
      <c r="J641" s="368">
        <v>0.15112249999999994</v>
      </c>
      <c r="K641" s="368">
        <v>0</v>
      </c>
      <c r="L641" s="368">
        <v>0</v>
      </c>
      <c r="M641" s="368">
        <v>0.29458534299429301</v>
      </c>
      <c r="N641" s="368">
        <v>-0.30317363626440103</v>
      </c>
      <c r="O641" s="368">
        <v>0.70929571236449096</v>
      </c>
      <c r="T641" s="48">
        <v>4</v>
      </c>
      <c r="U641" s="46" t="s">
        <v>261</v>
      </c>
      <c r="V641" s="53" t="s">
        <v>269</v>
      </c>
      <c r="W641" s="53" t="s">
        <v>549</v>
      </c>
      <c r="X641" s="53" t="s">
        <v>558</v>
      </c>
      <c r="Y641" s="172">
        <f>IFERROR(-tblZwaste1422[[#This Row],[Weight (kgCO2e/kg)]],0)</f>
        <v>-0.25034000000000001</v>
      </c>
      <c r="Z641" s="172">
        <f>IF(AQ641="x",(AR641*-tblZwaste1422[[#This Row],[Weight (kgCO2e/kg)]])+AS641+($AR$10*Lookups!$J$38/1000),"DELETE")</f>
        <v>-0.1233982</v>
      </c>
      <c r="AA641" s="176" t="s">
        <v>567</v>
      </c>
      <c r="AB641" s="172">
        <v>-0.30341039235294598</v>
      </c>
      <c r="AC641" s="172">
        <v>-0.49717075945658501</v>
      </c>
      <c r="AD641" s="172">
        <v>0.17173516472899999</v>
      </c>
      <c r="AE641" s="172">
        <v>-0.12094475089744799</v>
      </c>
      <c r="AF641" s="172">
        <v>2.5084279879975201E-2</v>
      </c>
      <c r="AG641" s="150"/>
      <c r="AI641" s="137">
        <v>4</v>
      </c>
      <c r="AJ641" s="136" t="s">
        <v>529</v>
      </c>
      <c r="AK641" s="142" t="s">
        <v>327</v>
      </c>
      <c r="AL641" s="136" t="s">
        <v>549</v>
      </c>
      <c r="AM641" s="136" t="s">
        <v>558</v>
      </c>
      <c r="AN641" s="1">
        <v>0.25034000000000001</v>
      </c>
      <c r="AO641" s="166">
        <v>0.99672000000000005</v>
      </c>
      <c r="AQ641" t="str">
        <f>_xlfn.XLOOKUP(tblGWP21[[#This Row],[Material Subcategory]],ls_Mat,Factors!$K$952:$K$1023)</f>
        <v>x</v>
      </c>
      <c r="AR641" s="347">
        <v>0.5</v>
      </c>
      <c r="AS641">
        <v>0</v>
      </c>
      <c r="AT641" t="s">
        <v>528</v>
      </c>
      <c r="AV641" s="347"/>
      <c r="BA641" cm="1">
        <f t="array" ref="BA641:BM641">tblGWP21[#This Row]</f>
        <v>4</v>
      </c>
      <c r="BB641" t="str">
        <v>Food Waste</v>
      </c>
      <c r="BC641" t="str">
        <v>Food Waste – Vegetable</v>
      </c>
      <c r="BD641" t="str">
        <v>North America</v>
      </c>
      <c r="BE641" t="str">
        <v>Canada</v>
      </c>
      <c r="BF641">
        <v>-0.25034000000000001</v>
      </c>
      <c r="BG641">
        <v>-0.1233982</v>
      </c>
      <c r="BH641" t="str">
        <v>DELETE</v>
      </c>
      <c r="BI641">
        <v>-0.30341039235294598</v>
      </c>
      <c r="BJ641">
        <v>-0.49717075945658501</v>
      </c>
      <c r="BK641">
        <v>0.17173516472899999</v>
      </c>
      <c r="BL641">
        <v>-0.12094475089744799</v>
      </c>
      <c r="BM641">
        <v>2.5084279879975201E-2</v>
      </c>
    </row>
    <row r="642" spans="3:65" ht="28.8">
      <c r="C642" s="136">
        <v>9</v>
      </c>
      <c r="D642" s="137" t="s">
        <v>10157</v>
      </c>
      <c r="E642" s="136" t="s">
        <v>545</v>
      </c>
      <c r="F642" s="136" t="s">
        <v>548</v>
      </c>
      <c r="G642" s="136" t="s">
        <v>560</v>
      </c>
      <c r="H642" s="191">
        <v>-2.8533815875203707</v>
      </c>
      <c r="I642" s="191">
        <v>0</v>
      </c>
      <c r="J642" s="191">
        <v>0</v>
      </c>
      <c r="K642" s="191">
        <v>0</v>
      </c>
      <c r="L642" s="191">
        <v>0</v>
      </c>
      <c r="M642" s="191">
        <v>-0.47601465391463771</v>
      </c>
      <c r="N642" s="191">
        <v>-0.57023200633729854</v>
      </c>
      <c r="O642" s="191">
        <v>2.7969801577351308E-2</v>
      </c>
      <c r="T642" s="48">
        <v>4</v>
      </c>
      <c r="U642" s="46" t="s">
        <v>261</v>
      </c>
      <c r="V642" s="53" t="s">
        <v>530</v>
      </c>
      <c r="W642" s="53" t="s">
        <v>549</v>
      </c>
      <c r="X642" s="53" t="s">
        <v>558</v>
      </c>
      <c r="Y642" s="172">
        <f>IFERROR(-tblZwaste1422[[#This Row],[Weight (kgCO2e/kg)]],0)</f>
        <v>-9.1944800000000004</v>
      </c>
      <c r="Z642" s="172">
        <f>IF(AQ642="x",(AR642*-tblZwaste1422[[#This Row],[Weight (kgCO2e/kg)]])+AS642+($AR$10*Lookups!$J$38/1000),"DELETE")</f>
        <v>-4.5954682</v>
      </c>
      <c r="AA642" s="176" t="s">
        <v>567</v>
      </c>
      <c r="AB642" s="172">
        <v>-0.42351494479426099</v>
      </c>
      <c r="AC642" s="172">
        <v>-0.67687513618691098</v>
      </c>
      <c r="AD642" s="172">
        <v>0.10915411696249699</v>
      </c>
      <c r="AE642" s="172">
        <v>-0.22947144382468301</v>
      </c>
      <c r="AF642" s="172">
        <v>2.57284803018317E-2</v>
      </c>
      <c r="AG642" s="150"/>
      <c r="AI642" s="137">
        <v>4</v>
      </c>
      <c r="AJ642" s="136" t="s">
        <v>529</v>
      </c>
      <c r="AK642" s="142" t="s">
        <v>331</v>
      </c>
      <c r="AL642" s="136" t="s">
        <v>549</v>
      </c>
      <c r="AM642" s="136" t="s">
        <v>558</v>
      </c>
      <c r="AN642" s="1">
        <v>9.1944800000000004</v>
      </c>
      <c r="AO642" s="166">
        <v>2.5192800000000002</v>
      </c>
      <c r="AQ642" t="str">
        <f>_xlfn.XLOOKUP(tblGWP21[[#This Row],[Material Subcategory]],ls_Mat,Factors!$K$952:$K$1023)</f>
        <v>x</v>
      </c>
      <c r="AR642" s="347">
        <v>0.5</v>
      </c>
      <c r="AS642">
        <v>0</v>
      </c>
      <c r="AT642" t="s">
        <v>528</v>
      </c>
      <c r="BA642" cm="1">
        <f t="array" ref="BA642:BM642">tblGWP21[#This Row]</f>
        <v>4</v>
      </c>
      <c r="BB642" t="str">
        <v>Food Waste</v>
      </c>
      <c r="BC642" t="str">
        <v>Food Waste – Non-Vegetable</v>
      </c>
      <c r="BD642" t="str">
        <v>North America</v>
      </c>
      <c r="BE642" t="str">
        <v>Canada</v>
      </c>
      <c r="BF642">
        <v>-9.1944800000000004</v>
      </c>
      <c r="BG642">
        <v>-4.5954682</v>
      </c>
      <c r="BH642" t="str">
        <v>DELETE</v>
      </c>
      <c r="BI642">
        <v>-0.42351494479426099</v>
      </c>
      <c r="BJ642">
        <v>-0.67687513618691098</v>
      </c>
      <c r="BK642">
        <v>0.10915411696249699</v>
      </c>
      <c r="BL642">
        <v>-0.22947144382468301</v>
      </c>
      <c r="BM642">
        <v>2.57284803018317E-2</v>
      </c>
    </row>
    <row r="643" spans="3:65" ht="28.8">
      <c r="C643" s="362">
        <v>9</v>
      </c>
      <c r="D643" s="363" t="s">
        <v>10169</v>
      </c>
      <c r="E643" s="362" t="s">
        <v>10170</v>
      </c>
      <c r="F643" s="362" t="s">
        <v>548</v>
      </c>
      <c r="G643" s="362" t="s">
        <v>560</v>
      </c>
      <c r="H643" s="368">
        <v>-0.74582333333333339</v>
      </c>
      <c r="I643" s="368">
        <v>-0.58351400000000009</v>
      </c>
      <c r="J643" s="368">
        <v>0.3259926084346883</v>
      </c>
      <c r="K643" s="368">
        <v>0</v>
      </c>
      <c r="L643" s="368">
        <v>0</v>
      </c>
      <c r="M643" s="368">
        <v>0.45668176288049178</v>
      </c>
      <c r="N643" s="368">
        <v>1.0683983533052401</v>
      </c>
      <c r="O643" s="368">
        <v>1.142290877337675</v>
      </c>
      <c r="T643" s="48">
        <v>4</v>
      </c>
      <c r="U643" s="46" t="s">
        <v>261</v>
      </c>
      <c r="V643" s="53" t="s">
        <v>262</v>
      </c>
      <c r="W643" s="53" t="s">
        <v>549</v>
      </c>
      <c r="X643" s="53" t="s">
        <v>558</v>
      </c>
      <c r="Y643" s="172">
        <f>IFERROR(-tblZwaste1422[[#This Row],[Weight (kgCO2e/kg)]],0)</f>
        <v>-2.5034000000000001</v>
      </c>
      <c r="Z643" s="172" t="str">
        <f>IF(AQ643="x",(AR643*-tblZwaste1422[[#This Row],[Weight (kgCO2e/kg)]])+AS643+($AR$10*Lookups!$J$38/1000),"DELETE")</f>
        <v>DELETE</v>
      </c>
      <c r="AA643" s="176" t="s">
        <v>567</v>
      </c>
      <c r="AB643" s="172">
        <v>-0.42351494479426099</v>
      </c>
      <c r="AC643" s="172">
        <v>-0.67687513618691098</v>
      </c>
      <c r="AD643" s="172">
        <v>0.10915411696249699</v>
      </c>
      <c r="AE643" s="172">
        <v>-0.22947144382468301</v>
      </c>
      <c r="AF643" s="172">
        <v>2.57284803018317E-2</v>
      </c>
      <c r="AG643" s="150"/>
      <c r="AI643" s="137">
        <v>4</v>
      </c>
      <c r="AJ643" s="136" t="s">
        <v>529</v>
      </c>
      <c r="AK643" s="142" t="s">
        <v>332</v>
      </c>
      <c r="AL643" s="136" t="s">
        <v>549</v>
      </c>
      <c r="AM643" s="136" t="s">
        <v>558</v>
      </c>
      <c r="AN643" s="1">
        <v>2.5034000000000001</v>
      </c>
      <c r="AO643" s="166">
        <v>1.0183800000000001</v>
      </c>
      <c r="AQ643">
        <f>_xlfn.XLOOKUP(tblGWP21[[#This Row],[Material Subcategory]],ls_Mat,Factors!$K$952:$K$1023)</f>
        <v>0</v>
      </c>
      <c r="AR643" s="347">
        <v>0.5</v>
      </c>
      <c r="AS643">
        <v>0</v>
      </c>
      <c r="AT643" t="s">
        <v>528</v>
      </c>
      <c r="BA643" cm="1">
        <f t="array" ref="BA643:BM643">tblGWP21[#This Row]</f>
        <v>4</v>
      </c>
      <c r="BB643" t="str">
        <v>Food Waste</v>
      </c>
      <c r="BC643" t="str">
        <v>Oils/Grease</v>
      </c>
      <c r="BD643" t="str">
        <v>North America</v>
      </c>
      <c r="BE643" t="str">
        <v>Canada</v>
      </c>
      <c r="BF643">
        <v>-2.5034000000000001</v>
      </c>
      <c r="BG643" t="str">
        <v>DELETE</v>
      </c>
      <c r="BH643" t="str">
        <v>DELETE</v>
      </c>
      <c r="BI643">
        <v>-0.42351494479426099</v>
      </c>
      <c r="BJ643">
        <v>-0.67687513618691098</v>
      </c>
      <c r="BK643">
        <v>0.10915411696249699</v>
      </c>
      <c r="BL643">
        <v>-0.22947144382468301</v>
      </c>
      <c r="BM643">
        <v>2.57284803018317E-2</v>
      </c>
    </row>
    <row r="644" spans="3:65" ht="28.8">
      <c r="C644" s="136">
        <v>4</v>
      </c>
      <c r="D644" s="137" t="s">
        <v>233</v>
      </c>
      <c r="E644" s="136" t="s">
        <v>233</v>
      </c>
      <c r="F644" s="136" t="s">
        <v>549</v>
      </c>
      <c r="G644" s="136" t="s">
        <v>558</v>
      </c>
      <c r="H644" s="191">
        <v>0</v>
      </c>
      <c r="I644" s="191">
        <v>-0.13905086666666666</v>
      </c>
      <c r="J644" s="191">
        <v>0</v>
      </c>
      <c r="K644" s="191">
        <v>-1.4467360717492961</v>
      </c>
      <c r="L644" s="191">
        <v>-2.0465383141425337</v>
      </c>
      <c r="M644" s="191">
        <v>-1.0111121528903839</v>
      </c>
      <c r="N644" s="191">
        <v>-0.84032568934068852</v>
      </c>
      <c r="O644" s="191">
        <v>3.3140319630124294E-2</v>
      </c>
      <c r="T644" s="48">
        <v>4</v>
      </c>
      <c r="U644" s="46" t="s">
        <v>252</v>
      </c>
      <c r="V644" s="53" t="s">
        <v>252</v>
      </c>
      <c r="W644" s="53" t="s">
        <v>549</v>
      </c>
      <c r="X644" s="53" t="s">
        <v>558</v>
      </c>
      <c r="Y644" s="172">
        <f>IFERROR(-tblZwaste1422[[#This Row],[Weight (kgCO2e/kg)]],0)</f>
        <v>-2.0953266666666663</v>
      </c>
      <c r="Z644" s="172" t="e">
        <f>IF(AQ644="x",(AR644*-tblZwaste1422[[#This Row],[Weight (kgCO2e/kg)]])+AS644+($AR$10*Lookups!$J$38/1000),"DELETE")</f>
        <v>#N/A</v>
      </c>
      <c r="AA644" s="176">
        <v>-4.4031481762585392</v>
      </c>
      <c r="AB644" s="172" t="s">
        <v>567</v>
      </c>
      <c r="AC644" s="172" t="s">
        <v>567</v>
      </c>
      <c r="AD644" s="172">
        <v>2.6020581888276301E-2</v>
      </c>
      <c r="AE644" s="172">
        <v>0.64367971618426401</v>
      </c>
      <c r="AF644" s="172">
        <v>2.1870243665261602</v>
      </c>
      <c r="AG644" s="150"/>
      <c r="AI644" s="137">
        <v>4</v>
      </c>
      <c r="AJ644" s="136" t="s">
        <v>252</v>
      </c>
      <c r="AK644" s="142" t="s">
        <v>252</v>
      </c>
      <c r="AL644" s="136" t="s">
        <v>549</v>
      </c>
      <c r="AM644" s="136" t="s">
        <v>558</v>
      </c>
      <c r="AN644" s="1">
        <v>2.0953266666666663</v>
      </c>
      <c r="AO644" s="166">
        <v>1.77911</v>
      </c>
      <c r="AQ644" t="e">
        <f>_xlfn.XLOOKUP(tblGWP21[[#This Row],[Material Subcategory]],ls_Mat,Factors!$K$952:$K$1023)</f>
        <v>#N/A</v>
      </c>
      <c r="AR644" s="173">
        <v>0.77500000000000002</v>
      </c>
      <c r="AS644">
        <v>8.1306407300000008E-2</v>
      </c>
      <c r="AT644" t="s">
        <v>531</v>
      </c>
      <c r="BA644" cm="1">
        <f t="array" ref="BA644:BM644">tblGWP21[#This Row]</f>
        <v>4</v>
      </c>
      <c r="BB644" t="str">
        <v>Plastics</v>
      </c>
      <c r="BC644" t="str">
        <v>Plastics</v>
      </c>
      <c r="BD644" t="str">
        <v>North America</v>
      </c>
      <c r="BE644" t="str">
        <v>Canada</v>
      </c>
      <c r="BF644">
        <v>-2.0953266666666663</v>
      </c>
      <c r="BG644" t="e">
        <v>#N/A</v>
      </c>
      <c r="BH644">
        <v>-4.4031481762585392</v>
      </c>
      <c r="BI644" t="str">
        <v>DELETE</v>
      </c>
      <c r="BJ644" t="str">
        <v>DELETE</v>
      </c>
      <c r="BK644">
        <v>2.6020581888276301E-2</v>
      </c>
      <c r="BL644">
        <v>0.64367971618426401</v>
      </c>
      <c r="BM644">
        <v>2.1870243665261602</v>
      </c>
    </row>
    <row r="645" spans="3:65" ht="28.8">
      <c r="C645" s="362">
        <v>4</v>
      </c>
      <c r="D645" s="363" t="s">
        <v>233</v>
      </c>
      <c r="E645" s="362" t="s">
        <v>250</v>
      </c>
      <c r="F645" s="362" t="s">
        <v>549</v>
      </c>
      <c r="G645" s="362" t="s">
        <v>558</v>
      </c>
      <c r="H645" s="368">
        <v>0</v>
      </c>
      <c r="I645" s="368">
        <v>0</v>
      </c>
      <c r="J645" s="368">
        <v>0</v>
      </c>
      <c r="K645" s="368">
        <v>-1.7445685940376101</v>
      </c>
      <c r="L645" s="368">
        <v>-2.14650454588344</v>
      </c>
      <c r="M645" s="368">
        <v>-1.0412277443301501</v>
      </c>
      <c r="N645" s="368">
        <v>-0.90055008858352303</v>
      </c>
      <c r="O645" s="368">
        <v>2.8431589260675402E-2</v>
      </c>
      <c r="T645" s="48">
        <v>4</v>
      </c>
      <c r="U645" s="46" t="s">
        <v>252</v>
      </c>
      <c r="V645" s="53" t="s">
        <v>253</v>
      </c>
      <c r="W645" s="53" t="s">
        <v>549</v>
      </c>
      <c r="X645" s="53" t="s">
        <v>558</v>
      </c>
      <c r="Y645" s="172">
        <f>IFERROR(-tblZwaste1422[[#This Row],[Weight (kgCO2e/kg)]],0)</f>
        <v>-2.04928</v>
      </c>
      <c r="Z645" s="172" t="e">
        <f>IF(AQ645="x",(AR645*-tblZwaste1422[[#This Row],[Weight (kgCO2e/kg)]])+AS645+($AR$10*Lookups!$J$38/1000),"DELETE")</f>
        <v>#N/A</v>
      </c>
      <c r="AA645" s="176">
        <v>-3.8694262558103372</v>
      </c>
      <c r="AB645" s="172" t="s">
        <v>567</v>
      </c>
      <c r="AC645" s="172" t="s">
        <v>567</v>
      </c>
      <c r="AD645" s="172">
        <v>2.6020578907311302E-2</v>
      </c>
      <c r="AE645" s="172">
        <v>0.52020977610562502</v>
      </c>
      <c r="AF645" s="172">
        <v>3.1831776947858499</v>
      </c>
      <c r="AG645" s="150"/>
      <c r="AI645" s="137">
        <v>4</v>
      </c>
      <c r="AJ645" s="136" t="s">
        <v>252</v>
      </c>
      <c r="AK645" s="142" t="s">
        <v>253</v>
      </c>
      <c r="AL645" s="136" t="s">
        <v>549</v>
      </c>
      <c r="AM645" s="136" t="s">
        <v>558</v>
      </c>
      <c r="AN645" s="1">
        <v>2.04928</v>
      </c>
      <c r="AO645" s="166">
        <v>1.77911</v>
      </c>
      <c r="AQ645" t="e">
        <f>_xlfn.XLOOKUP(tblGWP21[[#This Row],[Material Subcategory]],ls_Mat,Factors!$K$952:$K$1023)</f>
        <v>#N/A</v>
      </c>
      <c r="AR645" s="173">
        <v>0.77500000000000002</v>
      </c>
      <c r="AS645">
        <v>8.1306407300000008E-2</v>
      </c>
      <c r="AT645" t="s">
        <v>531</v>
      </c>
      <c r="AU645" t="s">
        <v>526</v>
      </c>
      <c r="AV645" s="347">
        <v>0.8</v>
      </c>
      <c r="BA645" cm="1">
        <f t="array" ref="BA645:BM645">tblGWP21[#This Row]</f>
        <v>4</v>
      </c>
      <c r="BB645" t="str">
        <v>Plastics</v>
      </c>
      <c r="BC645" t="str">
        <v>HDPE (translucent and pigmented)</v>
      </c>
      <c r="BD645" t="str">
        <v>North America</v>
      </c>
      <c r="BE645" t="str">
        <v>Canada</v>
      </c>
      <c r="BF645">
        <v>-2.04928</v>
      </c>
      <c r="BG645" t="e">
        <v>#N/A</v>
      </c>
      <c r="BH645">
        <v>-3.8694262558103372</v>
      </c>
      <c r="BI645" t="str">
        <v>DELETE</v>
      </c>
      <c r="BJ645" t="str">
        <v>DELETE</v>
      </c>
      <c r="BK645">
        <v>2.6020578907311302E-2</v>
      </c>
      <c r="BL645">
        <v>0.52020977610562502</v>
      </c>
      <c r="BM645">
        <v>3.1831776947858499</v>
      </c>
    </row>
    <row r="646" spans="3:65" ht="28.8">
      <c r="C646" s="136">
        <v>4</v>
      </c>
      <c r="D646" s="137" t="s">
        <v>233</v>
      </c>
      <c r="E646" s="136" t="s">
        <v>249</v>
      </c>
      <c r="F646" s="136" t="s">
        <v>549</v>
      </c>
      <c r="G646" s="136" t="s">
        <v>558</v>
      </c>
      <c r="H646" s="191">
        <v>0</v>
      </c>
      <c r="I646" s="191">
        <v>0</v>
      </c>
      <c r="J646" s="191">
        <v>0</v>
      </c>
      <c r="K646" s="191">
        <v>-0.54339733086706099</v>
      </c>
      <c r="L646" s="191">
        <v>-0.73885823663826</v>
      </c>
      <c r="M646" s="191">
        <v>1.9018677848252299E-2</v>
      </c>
      <c r="N646" s="191">
        <v>-0.189995306558672</v>
      </c>
      <c r="O646" s="191">
        <v>2.5752900233321101E-2</v>
      </c>
      <c r="T646" s="48">
        <v>4</v>
      </c>
      <c r="U646" s="46" t="s">
        <v>252</v>
      </c>
      <c r="V646" s="53" t="s">
        <v>328</v>
      </c>
      <c r="W646" s="53" t="s">
        <v>549</v>
      </c>
      <c r="X646" s="53" t="s">
        <v>558</v>
      </c>
      <c r="Y646" s="172">
        <f>IFERROR(-tblZwaste1422[[#This Row],[Weight (kgCO2e/kg)]],0)</f>
        <v>-2.3231199999999999</v>
      </c>
      <c r="Z646" s="172" t="e">
        <f>IF(AQ646="x",(AR646*-tblZwaste1422[[#This Row],[Weight (kgCO2e/kg)]])+AS646+($AR$10*Lookups!$J$38/1000),"DELETE")</f>
        <v>#N/A</v>
      </c>
      <c r="AA646" s="176">
        <v>-4.5538212910292968</v>
      </c>
      <c r="AB646" s="172" t="s">
        <v>567</v>
      </c>
      <c r="AC646" s="172" t="s">
        <v>567</v>
      </c>
      <c r="AD646" s="172">
        <v>2.6020579699310299E-2</v>
      </c>
      <c r="AE646" s="172">
        <v>0.55565540652519696</v>
      </c>
      <c r="AF646" s="172">
        <v>2.49560781474261</v>
      </c>
      <c r="AG646" s="150"/>
      <c r="AI646" s="137">
        <v>4</v>
      </c>
      <c r="AJ646" s="136" t="s">
        <v>252</v>
      </c>
      <c r="AK646" s="142" t="s">
        <v>328</v>
      </c>
      <c r="AL646" s="136" t="s">
        <v>549</v>
      </c>
      <c r="AM646" s="136" t="s">
        <v>558</v>
      </c>
      <c r="AN646" s="1">
        <v>2.3231199999999999</v>
      </c>
      <c r="AO646" s="166">
        <v>1.77911</v>
      </c>
      <c r="AQ646" t="e">
        <f>_xlfn.XLOOKUP(tblGWP21[[#This Row],[Material Subcategory]],ls_Mat,Factors!$K$952:$K$1023)</f>
        <v>#N/A</v>
      </c>
      <c r="AR646" s="173">
        <v>0.77500000000000002</v>
      </c>
      <c r="AU646" t="s">
        <v>526</v>
      </c>
      <c r="AV646" s="347">
        <v>0.88</v>
      </c>
      <c r="BA646" cm="1">
        <f t="array" ref="BA646:BM646">tblGWP21[#This Row]</f>
        <v>4</v>
      </c>
      <c r="BB646" t="str">
        <v>Plastics</v>
      </c>
      <c r="BC646" t="str">
        <v>LDPE</v>
      </c>
      <c r="BD646" t="str">
        <v>North America</v>
      </c>
      <c r="BE646" t="str">
        <v>Canada</v>
      </c>
      <c r="BF646">
        <v>-2.3231199999999999</v>
      </c>
      <c r="BG646" t="e">
        <v>#N/A</v>
      </c>
      <c r="BH646">
        <v>-4.5538212910292968</v>
      </c>
      <c r="BI646" t="str">
        <v>DELETE</v>
      </c>
      <c r="BJ646" t="str">
        <v>DELETE</v>
      </c>
      <c r="BK646">
        <v>2.6020579699310299E-2</v>
      </c>
      <c r="BL646">
        <v>0.55565540652519696</v>
      </c>
      <c r="BM646">
        <v>2.49560781474261</v>
      </c>
    </row>
    <row r="647" spans="3:65" ht="28.8">
      <c r="C647" s="362">
        <v>4</v>
      </c>
      <c r="D647" s="363" t="s">
        <v>233</v>
      </c>
      <c r="E647" s="362" t="s">
        <v>273</v>
      </c>
      <c r="F647" s="362" t="s">
        <v>549</v>
      </c>
      <c r="G647" s="362" t="s">
        <v>558</v>
      </c>
      <c r="H647" s="368">
        <v>0</v>
      </c>
      <c r="I647" s="368">
        <v>0</v>
      </c>
      <c r="J647" s="368">
        <v>0</v>
      </c>
      <c r="K647" s="368">
        <v>-1.64857147794727</v>
      </c>
      <c r="L647" s="368">
        <v>-2.1001340412127298</v>
      </c>
      <c r="M647" s="368">
        <v>-0.79637693287723699</v>
      </c>
      <c r="N647" s="368">
        <v>-0.87468221880515595</v>
      </c>
      <c r="O647" s="368">
        <v>2.7208013547889199E-2</v>
      </c>
      <c r="T647" s="48">
        <v>4</v>
      </c>
      <c r="U647" s="46" t="s">
        <v>252</v>
      </c>
      <c r="V647" s="53" t="s">
        <v>254</v>
      </c>
      <c r="W647" s="53" t="s">
        <v>549</v>
      </c>
      <c r="X647" s="53" t="s">
        <v>558</v>
      </c>
      <c r="Y647" s="172">
        <f>IFERROR(-tblZwaste1422[[#This Row],[Weight (kgCO2e/kg)]],0)</f>
        <v>-2.1485799999999999</v>
      </c>
      <c r="Z647" s="172" t="e">
        <f>IF(AQ647="x",(AR647*-tblZwaste1422[[#This Row],[Weight (kgCO2e/kg)]])+AS647+($AR$10*Lookups!$J$38/1000),"DELETE")</f>
        <v>#N/A</v>
      </c>
      <c r="AA647" s="176">
        <v>-4.6355238671652268</v>
      </c>
      <c r="AB647" s="172" t="s">
        <v>567</v>
      </c>
      <c r="AC647" s="172" t="s">
        <v>567</v>
      </c>
      <c r="AD647" s="172">
        <v>2.60205789073111E-2</v>
      </c>
      <c r="AE647" s="172">
        <v>0.71627667975351805</v>
      </c>
      <c r="AF647" s="172">
        <v>2.5363325234326899</v>
      </c>
      <c r="AG647" s="150"/>
      <c r="AI647" s="137">
        <v>4</v>
      </c>
      <c r="AJ647" s="136" t="s">
        <v>252</v>
      </c>
      <c r="AK647" s="142" t="s">
        <v>254</v>
      </c>
      <c r="AL647" s="136" t="s">
        <v>549</v>
      </c>
      <c r="AM647" s="136" t="s">
        <v>558</v>
      </c>
      <c r="AN647" s="1">
        <v>2.1485799999999999</v>
      </c>
      <c r="AO647" s="166">
        <v>1.77911</v>
      </c>
      <c r="AQ647" t="e">
        <f>_xlfn.XLOOKUP(tblGWP21[[#This Row],[Material Subcategory]],ls_Mat,Factors!$K$952:$K$1023)</f>
        <v>#N/A</v>
      </c>
      <c r="AR647" s="173">
        <v>0.77500000000000002</v>
      </c>
      <c r="AS647">
        <v>8.1306407300000008E-2</v>
      </c>
      <c r="AT647" t="s">
        <v>531</v>
      </c>
      <c r="AU647" t="s">
        <v>526</v>
      </c>
      <c r="AV647" s="347">
        <v>0.8</v>
      </c>
      <c r="BA647" cm="1">
        <f t="array" ref="BA647:BM647">tblGWP21[#This Row]</f>
        <v>4</v>
      </c>
      <c r="BB647" t="str">
        <v>Plastics</v>
      </c>
      <c r="BC647" t="str">
        <v>PET</v>
      </c>
      <c r="BD647" t="str">
        <v>North America</v>
      </c>
      <c r="BE647" t="str">
        <v>Canada</v>
      </c>
      <c r="BF647">
        <v>-2.1485799999999999</v>
      </c>
      <c r="BG647" t="e">
        <v>#N/A</v>
      </c>
      <c r="BH647">
        <v>-4.6355238671652268</v>
      </c>
      <c r="BI647" t="str">
        <v>DELETE</v>
      </c>
      <c r="BJ647" t="str">
        <v>DELETE</v>
      </c>
      <c r="BK647">
        <v>2.60205789073111E-2</v>
      </c>
      <c r="BL647">
        <v>0.71627667975351805</v>
      </c>
      <c r="BM647">
        <v>2.5363325234326899</v>
      </c>
    </row>
    <row r="648" spans="3:65" ht="28.8">
      <c r="C648" s="136">
        <v>4</v>
      </c>
      <c r="D648" s="137" t="s">
        <v>233</v>
      </c>
      <c r="E648" s="136" t="s">
        <v>330</v>
      </c>
      <c r="F648" s="136" t="s">
        <v>549</v>
      </c>
      <c r="G648" s="136" t="s">
        <v>558</v>
      </c>
      <c r="H648" s="191">
        <v>-0.14119999999999999</v>
      </c>
      <c r="I648" s="191">
        <v>-0.1076582</v>
      </c>
      <c r="J648" s="191">
        <v>0</v>
      </c>
      <c r="K648" s="191">
        <v>0</v>
      </c>
      <c r="L648" s="191">
        <v>0</v>
      </c>
      <c r="M648" s="191">
        <v>-1.4801733322595501</v>
      </c>
      <c r="N648" s="191">
        <v>-1.0171854482884</v>
      </c>
      <c r="O648" s="191">
        <v>5.3035662223568897E-2</v>
      </c>
      <c r="T648" s="48">
        <v>4</v>
      </c>
      <c r="U648" s="46" t="s">
        <v>252</v>
      </c>
      <c r="V648" s="53" t="s">
        <v>532</v>
      </c>
      <c r="W648" s="53" t="s">
        <v>549</v>
      </c>
      <c r="X648" s="53" t="s">
        <v>558</v>
      </c>
      <c r="Y648" s="172">
        <f>IFERROR(-tblZwaste1422[[#This Row],[Weight (kgCO2e/kg)]],0)</f>
        <v>-1.9492499999999999</v>
      </c>
      <c r="Z648" s="172" t="e">
        <f>IF(AQ648="x",(AR648*-tblZwaste1422[[#This Row],[Weight (kgCO2e/kg)]])+AS648+($AR$10*Lookups!$J$38/1000),"DELETE")</f>
        <v>#N/A</v>
      </c>
      <c r="AA648" s="176">
        <v>-4.5538212910292968</v>
      </c>
      <c r="AB648" s="172" t="s">
        <v>567</v>
      </c>
      <c r="AC648" s="172" t="s">
        <v>567</v>
      </c>
      <c r="AD648" s="172">
        <v>2.6020579699310299E-2</v>
      </c>
      <c r="AE648" s="172">
        <v>0.55565540652519696</v>
      </c>
      <c r="AF648" s="172">
        <v>2.49560781474261</v>
      </c>
      <c r="AG648" s="150"/>
      <c r="AI648" s="137">
        <v>4</v>
      </c>
      <c r="AJ648" s="136" t="s">
        <v>252</v>
      </c>
      <c r="AK648" s="142" t="s">
        <v>532</v>
      </c>
      <c r="AL648" s="136" t="s">
        <v>549</v>
      </c>
      <c r="AM648" s="136" t="s">
        <v>558</v>
      </c>
      <c r="AN648" s="1">
        <v>1.9492499999999999</v>
      </c>
      <c r="AO648" s="166">
        <v>1.77911</v>
      </c>
      <c r="AQ648" t="e">
        <f>_xlfn.XLOOKUP(tblGWP21[[#This Row],[Material Subcategory]],ls_Mat,Factors!$K$952:$K$1023)</f>
        <v>#N/A</v>
      </c>
      <c r="AU648" t="s">
        <v>526</v>
      </c>
      <c r="AV648" s="347">
        <v>0.65</v>
      </c>
      <c r="BA648" cm="1">
        <f t="array" ref="BA648:BM648">tblGWP21[#This Row]</f>
        <v>4</v>
      </c>
      <c r="BB648" t="str">
        <v>Plastics</v>
      </c>
      <c r="BC648" t="str">
        <v>LLDPE</v>
      </c>
      <c r="BD648" t="str">
        <v>North America</v>
      </c>
      <c r="BE648" t="str">
        <v>Canada</v>
      </c>
      <c r="BF648">
        <v>-1.9492499999999999</v>
      </c>
      <c r="BG648" t="e">
        <v>#N/A</v>
      </c>
      <c r="BH648">
        <v>-4.5538212910292968</v>
      </c>
      <c r="BI648" t="str">
        <v>DELETE</v>
      </c>
      <c r="BJ648" t="str">
        <v>DELETE</v>
      </c>
      <c r="BK648">
        <v>2.6020579699310299E-2</v>
      </c>
      <c r="BL648">
        <v>0.55565540652519696</v>
      </c>
      <c r="BM648">
        <v>2.49560781474261</v>
      </c>
    </row>
    <row r="649" spans="3:65" ht="28.8">
      <c r="C649" s="362">
        <v>4</v>
      </c>
      <c r="D649" s="363" t="s">
        <v>233</v>
      </c>
      <c r="E649" s="362" t="s">
        <v>335</v>
      </c>
      <c r="F649" s="362" t="s">
        <v>549</v>
      </c>
      <c r="G649" s="362" t="s">
        <v>558</v>
      </c>
      <c r="H649" s="368">
        <v>-0.26272000000000001</v>
      </c>
      <c r="I649" s="368">
        <v>-0.20183620000000002</v>
      </c>
      <c r="J649" s="368">
        <v>0</v>
      </c>
      <c r="K649" s="368">
        <v>-1.64857147794727</v>
      </c>
      <c r="L649" s="368">
        <v>-2.6235973734891198</v>
      </c>
      <c r="M649" s="368">
        <v>-1.3839567928618099</v>
      </c>
      <c r="N649" s="368">
        <v>-1.0297705369041901</v>
      </c>
      <c r="O649" s="368">
        <v>3.2206876257645602E-2</v>
      </c>
      <c r="T649" s="48">
        <v>4</v>
      </c>
      <c r="U649" s="46" t="s">
        <v>252</v>
      </c>
      <c r="V649" s="53" t="s">
        <v>245</v>
      </c>
      <c r="W649" s="53" t="s">
        <v>549</v>
      </c>
      <c r="X649" s="53" t="s">
        <v>558</v>
      </c>
      <c r="Y649" s="172">
        <f>IFERROR(-tblZwaste1422[[#This Row],[Weight (kgCO2e/kg)]],0)</f>
        <v>-2.0269300000000001</v>
      </c>
      <c r="Z649" s="172" t="e">
        <f>IF(AQ649="x",(AR649*-tblZwaste1422[[#This Row],[Weight (kgCO2e/kg)]])+AS649+($AR$10*Lookups!$J$38/1000),"DELETE")</f>
        <v>#N/A</v>
      </c>
      <c r="AA649" s="176" t="s">
        <v>567</v>
      </c>
      <c r="AB649" s="172" t="s">
        <v>567</v>
      </c>
      <c r="AC649" s="172" t="s">
        <v>567</v>
      </c>
      <c r="AD649" s="172">
        <v>2.6020579816657698E-2</v>
      </c>
      <c r="AE649" s="172">
        <v>0.47536813212165802</v>
      </c>
      <c r="AF649" s="172">
        <v>3.1833670046879501</v>
      </c>
      <c r="AG649" s="150"/>
      <c r="AI649" s="137">
        <v>4</v>
      </c>
      <c r="AJ649" s="136" t="s">
        <v>252</v>
      </c>
      <c r="AK649" s="142" t="s">
        <v>245</v>
      </c>
      <c r="AL649" s="136" t="s">
        <v>549</v>
      </c>
      <c r="AM649" s="136" t="s">
        <v>558</v>
      </c>
      <c r="AN649" s="1">
        <v>2.0269300000000001</v>
      </c>
      <c r="AO649" s="166">
        <v>1.77911</v>
      </c>
      <c r="AQ649" t="e">
        <f>_xlfn.XLOOKUP(tblGWP21[[#This Row],[Material Subcategory]],ls_Mat,Factors!$K$952:$K$1023)</f>
        <v>#N/A</v>
      </c>
      <c r="AR649" s="173">
        <v>0.77500000000000002</v>
      </c>
      <c r="AS649">
        <v>8.1306407300000008E-2</v>
      </c>
      <c r="AT649" t="s">
        <v>531</v>
      </c>
      <c r="AU649" t="s">
        <v>526</v>
      </c>
      <c r="AV649" s="347">
        <v>0.65</v>
      </c>
      <c r="BA649" cm="1">
        <f t="array" ref="BA649:BM649">tblGWP21[#This Row]</f>
        <v>4</v>
      </c>
      <c r="BB649" t="str">
        <v>Plastics</v>
      </c>
      <c r="BC649" t="str">
        <v>PP</v>
      </c>
      <c r="BD649" t="str">
        <v>North America</v>
      </c>
      <c r="BE649" t="str">
        <v>Canada</v>
      </c>
      <c r="BF649">
        <v>-2.0269300000000001</v>
      </c>
      <c r="BG649" t="e">
        <v>#N/A</v>
      </c>
      <c r="BH649" t="str">
        <v>DELETE</v>
      </c>
      <c r="BI649" t="str">
        <v>DELETE</v>
      </c>
      <c r="BJ649" t="str">
        <v>DELETE</v>
      </c>
      <c r="BK649">
        <v>2.6020579816657698E-2</v>
      </c>
      <c r="BL649">
        <v>0.47536813212165802</v>
      </c>
      <c r="BM649">
        <v>3.1833670046879501</v>
      </c>
    </row>
    <row r="650" spans="3:65" ht="28.8">
      <c r="C650" s="136">
        <v>4</v>
      </c>
      <c r="D650" s="137" t="s">
        <v>233</v>
      </c>
      <c r="E650" s="136" t="s">
        <v>326</v>
      </c>
      <c r="F650" s="136" t="s">
        <v>549</v>
      </c>
      <c r="G650" s="136" t="s">
        <v>558</v>
      </c>
      <c r="H650" s="191">
        <v>-0.14119999999999999</v>
      </c>
      <c r="I650" s="191">
        <v>-0.1076582</v>
      </c>
      <c r="J650" s="191">
        <v>0</v>
      </c>
      <c r="K650" s="191">
        <v>-1.64857147794727</v>
      </c>
      <c r="L650" s="191">
        <v>-2.6235973734891198</v>
      </c>
      <c r="M650" s="191">
        <v>-1.3839567928618099</v>
      </c>
      <c r="N650" s="191">
        <v>-1.0297705369041901</v>
      </c>
      <c r="O650" s="191">
        <v>3.2206876257645602E-2</v>
      </c>
      <c r="T650" s="48">
        <v>4</v>
      </c>
      <c r="U650" s="46" t="s">
        <v>252</v>
      </c>
      <c r="V650" s="53" t="s">
        <v>533</v>
      </c>
      <c r="W650" s="53" t="s">
        <v>549</v>
      </c>
      <c r="X650" s="53" t="s">
        <v>558</v>
      </c>
      <c r="Y650" s="172">
        <f>IFERROR(-tblZwaste1422[[#This Row],[Weight (kgCO2e/kg)]],0)</f>
        <v>-2.0748000000000002</v>
      </c>
      <c r="Z650" s="172" t="e">
        <f>IF(AQ650="x",(AR650*-tblZwaste1422[[#This Row],[Weight (kgCO2e/kg)]])+AS650+($AR$10*Lookups!$J$38/1000),"DELETE")</f>
        <v>#N/A</v>
      </c>
      <c r="AA650" s="176" t="s">
        <v>567</v>
      </c>
      <c r="AB650" s="172" t="s">
        <v>567</v>
      </c>
      <c r="AC650" s="172" t="s">
        <v>567</v>
      </c>
      <c r="AD650" s="172">
        <v>2.60205746762723E-2</v>
      </c>
      <c r="AE650" s="172">
        <v>0.66988102413158801</v>
      </c>
      <c r="AF650" s="172">
        <v>3.0368306765396702</v>
      </c>
      <c r="AG650" s="150"/>
      <c r="AI650" s="137">
        <v>4</v>
      </c>
      <c r="AJ650" s="136" t="s">
        <v>252</v>
      </c>
      <c r="AK650" s="142" t="s">
        <v>533</v>
      </c>
      <c r="AL650" s="136" t="s">
        <v>549</v>
      </c>
      <c r="AM650" s="136" t="s">
        <v>558</v>
      </c>
      <c r="AN650" s="1">
        <v>2.0748000000000002</v>
      </c>
      <c r="AO650" s="166">
        <v>1.77911</v>
      </c>
      <c r="AQ650" t="e">
        <f>_xlfn.XLOOKUP(tblGWP21[[#This Row],[Material Subcategory]],ls_Mat,Factors!$K$952:$K$1023)</f>
        <v>#N/A</v>
      </c>
      <c r="AR650" s="173">
        <v>0.77500000000000002</v>
      </c>
      <c r="AS650">
        <v>8.1306407300000008E-2</v>
      </c>
      <c r="AT650" t="s">
        <v>531</v>
      </c>
      <c r="AU650" t="s">
        <v>526</v>
      </c>
      <c r="AV650" s="347">
        <v>0.65</v>
      </c>
      <c r="BA650" cm="1">
        <f t="array" ref="BA650:BM650">tblGWP21[#This Row]</f>
        <v>4</v>
      </c>
      <c r="BB650" t="str">
        <v>Plastics</v>
      </c>
      <c r="BC650" t="str">
        <v>PVC</v>
      </c>
      <c r="BD650" t="str">
        <v>North America</v>
      </c>
      <c r="BE650" t="str">
        <v>Canada</v>
      </c>
      <c r="BF650">
        <v>-2.0748000000000002</v>
      </c>
      <c r="BG650" t="e">
        <v>#N/A</v>
      </c>
      <c r="BH650" t="str">
        <v>DELETE</v>
      </c>
      <c r="BI650" t="str">
        <v>DELETE</v>
      </c>
      <c r="BJ650" t="str">
        <v>DELETE</v>
      </c>
      <c r="BK650">
        <v>2.60205746762723E-2</v>
      </c>
      <c r="BL650">
        <v>0.66988102413158801</v>
      </c>
      <c r="BM650">
        <v>3.0368306765396702</v>
      </c>
    </row>
    <row r="651" spans="3:65">
      <c r="C651" s="362">
        <v>4</v>
      </c>
      <c r="D651" s="363" t="s">
        <v>261</v>
      </c>
      <c r="E651" s="362" t="s">
        <v>261</v>
      </c>
      <c r="F651" s="362" t="s">
        <v>549</v>
      </c>
      <c r="G651" s="362" t="s">
        <v>558</v>
      </c>
      <c r="H651" s="368">
        <v>-4.72241</v>
      </c>
      <c r="I651" s="368">
        <v>-2.3594331999999998</v>
      </c>
      <c r="J651" s="368">
        <v>0</v>
      </c>
      <c r="K651" s="368">
        <v>-0.36346266857360349</v>
      </c>
      <c r="L651" s="368">
        <v>-0.58702294782174802</v>
      </c>
      <c r="M651" s="368">
        <v>0.14044464084574848</v>
      </c>
      <c r="N651" s="368">
        <v>-0.17520809736106552</v>
      </c>
      <c r="O651" s="368">
        <v>2.5406380090903451E-2</v>
      </c>
      <c r="T651" s="48">
        <v>4</v>
      </c>
      <c r="U651" s="46" t="s">
        <v>242</v>
      </c>
      <c r="V651" s="53" t="s">
        <v>242</v>
      </c>
      <c r="W651" s="53" t="s">
        <v>549</v>
      </c>
      <c r="X651" s="53" t="s">
        <v>558</v>
      </c>
      <c r="Y651" s="172">
        <f>IFERROR(-tblZwaste1422[[#This Row],[Weight (kgCO2e/kg)]],0)</f>
        <v>-38.486130000000003</v>
      </c>
      <c r="Z651" s="172" t="e">
        <f>IF(AQ651="x",(AR651*-tblZwaste1422[[#This Row],[Weight (kgCO2e/kg)]])+AS651+($AR$10*Lookups!$J$38/1000),"DELETE")</f>
        <v>#N/A</v>
      </c>
      <c r="AA651" s="172">
        <f>AVERAGE(AA652,AA653,AA685,AA686)</f>
        <v>-3.2868550000000001</v>
      </c>
      <c r="AB651" s="172" t="s">
        <v>567</v>
      </c>
      <c r="AC651" s="172" t="s">
        <v>567</v>
      </c>
      <c r="AD651" s="172">
        <v>2.5860000000000001E-2</v>
      </c>
      <c r="AE651" s="172">
        <v>4.1873157686419603E-2</v>
      </c>
      <c r="AF651" s="172">
        <v>4.8912064305887501E-2</v>
      </c>
      <c r="AG651" s="150"/>
      <c r="AI651" s="137">
        <v>4</v>
      </c>
      <c r="AJ651" s="136" t="s">
        <v>242</v>
      </c>
      <c r="AK651" s="142" t="s">
        <v>242</v>
      </c>
      <c r="AL651" s="136" t="s">
        <v>549</v>
      </c>
      <c r="AM651" s="136" t="s">
        <v>558</v>
      </c>
      <c r="AN651" s="1">
        <v>38.486130000000003</v>
      </c>
      <c r="AO651" s="166">
        <v>0.20843</v>
      </c>
      <c r="AQ651" t="e">
        <f>_xlfn.XLOOKUP(tblGWP21[[#This Row],[Material Subcategory]],ls_Mat,Factors!$K$952:$K$1023)</f>
        <v>#N/A</v>
      </c>
      <c r="AR651" s="173">
        <v>0.72499999999999998</v>
      </c>
      <c r="AS651">
        <v>0</v>
      </c>
      <c r="AT651" t="s">
        <v>527</v>
      </c>
      <c r="AU651" t="s">
        <v>526</v>
      </c>
      <c r="AV651" s="347">
        <v>0.8</v>
      </c>
      <c r="BA651" cm="1">
        <f t="array" ref="BA651:BM651">tblGWP21[#This Row]</f>
        <v>4</v>
      </c>
      <c r="BB651" t="str">
        <v>Electronics</v>
      </c>
      <c r="BC651" t="str">
        <v>Electronics</v>
      </c>
      <c r="BD651" t="str">
        <v>North America</v>
      </c>
      <c r="BE651" t="str">
        <v>Canada</v>
      </c>
      <c r="BF651">
        <v>-38.486130000000003</v>
      </c>
      <c r="BG651" t="e">
        <v>#N/A</v>
      </c>
      <c r="BH651">
        <v>-3.2868550000000001</v>
      </c>
      <c r="BI651" t="str">
        <v>DELETE</v>
      </c>
      <c r="BJ651" t="str">
        <v>DELETE</v>
      </c>
      <c r="BK651">
        <v>2.5860000000000001E-2</v>
      </c>
      <c r="BL651">
        <v>4.1873157686419603E-2</v>
      </c>
      <c r="BM651">
        <v>4.8912064305887501E-2</v>
      </c>
    </row>
    <row r="652" spans="3:65">
      <c r="C652" s="136">
        <v>4</v>
      </c>
      <c r="D652" s="137" t="s">
        <v>261</v>
      </c>
      <c r="E652" s="136" t="s">
        <v>269</v>
      </c>
      <c r="F652" s="136" t="s">
        <v>549</v>
      </c>
      <c r="G652" s="136" t="s">
        <v>558</v>
      </c>
      <c r="H652" s="191">
        <v>-0.25034000000000001</v>
      </c>
      <c r="I652" s="191">
        <v>-0.1233982</v>
      </c>
      <c r="J652" s="191">
        <v>0</v>
      </c>
      <c r="K652" s="191">
        <v>-0.30341039235294598</v>
      </c>
      <c r="L652" s="191">
        <v>-0.49717075945658501</v>
      </c>
      <c r="M652" s="191">
        <v>0.17173516472899999</v>
      </c>
      <c r="N652" s="191">
        <v>-0.12094475089744799</v>
      </c>
      <c r="O652" s="191">
        <v>2.5084279879975201E-2</v>
      </c>
      <c r="T652" s="48">
        <v>4</v>
      </c>
      <c r="U652" s="46" t="s">
        <v>242</v>
      </c>
      <c r="V652" s="53" t="s">
        <v>274</v>
      </c>
      <c r="W652" s="53" t="s">
        <v>549</v>
      </c>
      <c r="X652" s="53" t="s">
        <v>558</v>
      </c>
      <c r="Y652" s="172">
        <f>IFERROR(-tblZwaste1422[[#This Row],[Weight (kgCO2e/kg)]],0)</f>
        <v>-38.486130000000003</v>
      </c>
      <c r="Z652" s="172">
        <f>IF(AQ652="x",(AR652*-tblZwaste1422[[#This Row],[Weight (kgCO2e/kg)]])+AS652+($AR$10*Lookups!$J$38/1000),"DELETE")</f>
        <v>-27.900672450000002</v>
      </c>
      <c r="AA652" s="172">
        <v>-8.5278425000000002</v>
      </c>
      <c r="AB652" s="172" t="s">
        <v>567</v>
      </c>
      <c r="AC652" s="172" t="s">
        <v>567</v>
      </c>
      <c r="AD652" s="172">
        <v>2.5860000000000001E-2</v>
      </c>
      <c r="AE652" s="172">
        <v>4.1873157686419603E-2</v>
      </c>
      <c r="AF652" s="172">
        <v>4.8912064305887501E-2</v>
      </c>
      <c r="AG652" s="150"/>
      <c r="AI652" s="137">
        <v>4</v>
      </c>
      <c r="AJ652" s="136" t="s">
        <v>242</v>
      </c>
      <c r="AK652" s="142" t="s">
        <v>242</v>
      </c>
      <c r="AL652" s="136" t="s">
        <v>549</v>
      </c>
      <c r="AM652" s="136" t="s">
        <v>558</v>
      </c>
      <c r="AN652" s="1">
        <v>38.486130000000003</v>
      </c>
      <c r="AO652" s="166">
        <v>0.20843</v>
      </c>
      <c r="AQ652" t="str">
        <f>_xlfn.XLOOKUP(tblGWP21[[#This Row],[Material Subcategory]],ls_Mat,Factors!$K$952:$K$1023)</f>
        <v>x</v>
      </c>
      <c r="AR652" s="173">
        <v>0.72499999999999998</v>
      </c>
      <c r="AS652">
        <v>0</v>
      </c>
      <c r="AT652" t="s">
        <v>527</v>
      </c>
      <c r="BA652" cm="1">
        <f t="array" ref="BA652:BM652">tblGWP21[#This Row]</f>
        <v>4</v>
      </c>
      <c r="BB652" t="str">
        <v>Electronics</v>
      </c>
      <c r="BC652" t="str">
        <v>E-waste</v>
      </c>
      <c r="BD652" t="str">
        <v>North America</v>
      </c>
      <c r="BE652" t="str">
        <v>Canada</v>
      </c>
      <c r="BF652">
        <v>-38.486130000000003</v>
      </c>
      <c r="BG652">
        <v>-27.900672450000002</v>
      </c>
      <c r="BH652">
        <v>-8.5278425000000002</v>
      </c>
      <c r="BI652" t="str">
        <v>DELETE</v>
      </c>
      <c r="BJ652" t="str">
        <v>DELETE</v>
      </c>
      <c r="BK652">
        <v>2.5860000000000001E-2</v>
      </c>
      <c r="BL652">
        <v>4.1873157686419603E-2</v>
      </c>
      <c r="BM652">
        <v>4.8912064305887501E-2</v>
      </c>
    </row>
    <row r="653" spans="3:65" ht="28.8">
      <c r="C653" s="362">
        <v>4</v>
      </c>
      <c r="D653" s="363" t="s">
        <v>261</v>
      </c>
      <c r="E653" s="362" t="s">
        <v>530</v>
      </c>
      <c r="F653" s="362" t="s">
        <v>549</v>
      </c>
      <c r="G653" s="362" t="s">
        <v>558</v>
      </c>
      <c r="H653" s="368">
        <v>-9.1944800000000004</v>
      </c>
      <c r="I653" s="368">
        <v>-4.5954682</v>
      </c>
      <c r="J653" s="368">
        <v>0</v>
      </c>
      <c r="K653" s="368">
        <v>-0.42351494479426099</v>
      </c>
      <c r="L653" s="368">
        <v>-0.67687513618691098</v>
      </c>
      <c r="M653" s="368">
        <v>0.10915411696249699</v>
      </c>
      <c r="N653" s="368">
        <v>-0.22947144382468301</v>
      </c>
      <c r="O653" s="368">
        <v>2.57284803018317E-2</v>
      </c>
      <c r="T653" s="48">
        <v>4</v>
      </c>
      <c r="U653" s="46" t="s">
        <v>242</v>
      </c>
      <c r="V653" s="53" t="s">
        <v>534</v>
      </c>
      <c r="W653" s="53" t="s">
        <v>549</v>
      </c>
      <c r="X653" s="53" t="s">
        <v>558</v>
      </c>
      <c r="Y653" s="172">
        <f>IFERROR(-tblZwaste1422[[#This Row],[Weight (kgCO2e/kg)]],0)</f>
        <v>-15.0122</v>
      </c>
      <c r="Z653" s="172">
        <f>IF(AQ653="x",(AR653*-tblZwaste1422[[#This Row],[Weight (kgCO2e/kg)]])+AS653+($AR$10*Lookups!$J$38/1000),"DELETE")</f>
        <v>-10.882073199999999</v>
      </c>
      <c r="AA653" s="172">
        <v>-3.19428</v>
      </c>
      <c r="AB653" s="172" t="s">
        <v>567</v>
      </c>
      <c r="AC653" s="172" t="s">
        <v>567</v>
      </c>
      <c r="AD653" s="172">
        <v>2.5860000000000001E-2</v>
      </c>
      <c r="AE653" s="172">
        <v>4.1873157686419603E-2</v>
      </c>
      <c r="AF653" s="172">
        <v>4.8912064305887501E-2</v>
      </c>
      <c r="AG653" s="150"/>
      <c r="AI653" s="137">
        <v>4</v>
      </c>
      <c r="AJ653" s="136" t="s">
        <v>242</v>
      </c>
      <c r="AK653" s="142" t="s">
        <v>534</v>
      </c>
      <c r="AL653" s="136" t="s">
        <v>549</v>
      </c>
      <c r="AM653" s="136" t="s">
        <v>558</v>
      </c>
      <c r="AN653" s="1">
        <v>15.0122</v>
      </c>
      <c r="AO653" s="166">
        <v>0.37092000000000003</v>
      </c>
      <c r="AQ653" t="str">
        <f>_xlfn.XLOOKUP(tblGWP21[[#This Row],[Material Subcategory]],ls_Mat,Factors!$K$952:$K$1023)</f>
        <v>x</v>
      </c>
      <c r="AR653" s="173">
        <v>0.72499999999999998</v>
      </c>
      <c r="AS653">
        <v>0</v>
      </c>
      <c r="AT653" t="s">
        <v>527</v>
      </c>
      <c r="BA653" cm="1">
        <f t="array" ref="BA653:BM653">tblGWP21[#This Row]</f>
        <v>4</v>
      </c>
      <c r="BB653" t="str">
        <v>Electronics</v>
      </c>
      <c r="BC653" t="str">
        <v>Batteries</v>
      </c>
      <c r="BD653" t="str">
        <v>North America</v>
      </c>
      <c r="BE653" t="str">
        <v>Canada</v>
      </c>
      <c r="BF653">
        <v>-15.0122</v>
      </c>
      <c r="BG653">
        <v>-10.882073199999999</v>
      </c>
      <c r="BH653">
        <v>-3.19428</v>
      </c>
      <c r="BI653" t="str">
        <v>DELETE</v>
      </c>
      <c r="BJ653" t="str">
        <v>DELETE</v>
      </c>
      <c r="BK653">
        <v>2.5860000000000001E-2</v>
      </c>
      <c r="BL653">
        <v>4.1873157686419603E-2</v>
      </c>
      <c r="BM653">
        <v>4.8912064305887501E-2</v>
      </c>
    </row>
    <row r="654" spans="3:65">
      <c r="C654" s="136">
        <v>4</v>
      </c>
      <c r="D654" s="137" t="s">
        <v>261</v>
      </c>
      <c r="E654" s="136" t="s">
        <v>262</v>
      </c>
      <c r="F654" s="136" t="s">
        <v>549</v>
      </c>
      <c r="G654" s="136" t="s">
        <v>558</v>
      </c>
      <c r="H654" s="191">
        <v>-2.5034000000000001</v>
      </c>
      <c r="I654" s="191">
        <v>0</v>
      </c>
      <c r="J654" s="191">
        <v>0</v>
      </c>
      <c r="K654" s="191">
        <v>-0.42351494479426099</v>
      </c>
      <c r="L654" s="191">
        <v>-0.67687513618691098</v>
      </c>
      <c r="M654" s="191">
        <v>0.10915411696249699</v>
      </c>
      <c r="N654" s="191">
        <v>-0.22947144382468301</v>
      </c>
      <c r="O654" s="191">
        <v>2.57284803018317E-2</v>
      </c>
      <c r="T654" s="48">
        <v>4</v>
      </c>
      <c r="U654" s="46" t="s">
        <v>239</v>
      </c>
      <c r="V654" s="53" t="s">
        <v>239</v>
      </c>
      <c r="W654" s="53" t="s">
        <v>549</v>
      </c>
      <c r="X654" s="53" t="s">
        <v>558</v>
      </c>
      <c r="Y654" s="172">
        <f>IFERROR(-tblZwaste1422[[#This Row],[Weight (kgCO2e/kg)]],0)</f>
        <v>-2.6644477777777777</v>
      </c>
      <c r="Z654" s="172" t="e">
        <f>IF(AQ654="x",(AR654*-tblZwaste1422[[#This Row],[Weight (kgCO2e/kg)]])+AS654+($AR$10*Lookups!$J$38/1000),"DELETE")</f>
        <v>#N/A</v>
      </c>
      <c r="AA654" s="176">
        <v>-0.81863347086678395</v>
      </c>
      <c r="AB654" s="172">
        <v>-1.6415798386896601</v>
      </c>
      <c r="AC654" s="172">
        <v>-2.38786328467627</v>
      </c>
      <c r="AD654" s="172">
        <v>-0.643826267470201</v>
      </c>
      <c r="AE654" s="172">
        <v>-0.83111541500928499</v>
      </c>
      <c r="AF654" s="172">
        <v>2.74714713689365E-2</v>
      </c>
      <c r="AG654" s="150"/>
      <c r="AI654" s="137">
        <v>4</v>
      </c>
      <c r="AJ654" s="136" t="s">
        <v>239</v>
      </c>
      <c r="AK654" s="142" t="s">
        <v>239</v>
      </c>
      <c r="AL654" s="136" t="s">
        <v>549</v>
      </c>
      <c r="AM654" s="136" t="s">
        <v>558</v>
      </c>
      <c r="AN654" s="1">
        <v>2.6644477777777777</v>
      </c>
      <c r="AO654" s="166">
        <v>0.64099666666666666</v>
      </c>
      <c r="AQ654" t="e">
        <f>_xlfn.XLOOKUP(tblGWP21[[#This Row],[Material Subcategory]],ls_Mat,Factors!$K$952:$K$1023)</f>
        <v>#N/A</v>
      </c>
      <c r="AR654" s="173">
        <v>0.64600000000000002</v>
      </c>
      <c r="AS654">
        <v>0</v>
      </c>
      <c r="AT654" t="s">
        <v>527</v>
      </c>
      <c r="AU654" t="s">
        <v>526</v>
      </c>
      <c r="AV654" s="347">
        <v>0.95</v>
      </c>
      <c r="BA654" cm="1">
        <f t="array" ref="BA654:BM654">tblGWP21[#This Row]</f>
        <v>4</v>
      </c>
      <c r="BB654" t="str">
        <v>Paper</v>
      </c>
      <c r="BC654" t="str">
        <v>Paper</v>
      </c>
      <c r="BD654" t="str">
        <v>North America</v>
      </c>
      <c r="BE654" t="str">
        <v>Canada</v>
      </c>
      <c r="BF654">
        <v>-2.6644477777777777</v>
      </c>
      <c r="BG654" t="e">
        <v>#N/A</v>
      </c>
      <c r="BH654">
        <v>-0.81863347086678395</v>
      </c>
      <c r="BI654">
        <v>-1.6415798386896601</v>
      </c>
      <c r="BJ654">
        <v>-2.38786328467627</v>
      </c>
      <c r="BK654">
        <v>-0.643826267470201</v>
      </c>
      <c r="BL654">
        <v>-0.83111541500928499</v>
      </c>
      <c r="BM654">
        <v>2.74714713689365E-2</v>
      </c>
    </row>
    <row r="655" spans="3:65">
      <c r="C655" s="362">
        <v>4</v>
      </c>
      <c r="D655" s="363" t="s">
        <v>252</v>
      </c>
      <c r="E655" s="362" t="s">
        <v>252</v>
      </c>
      <c r="F655" s="362" t="s">
        <v>549</v>
      </c>
      <c r="G655" s="362" t="s">
        <v>558</v>
      </c>
      <c r="H655" s="368">
        <v>-2.0953266666666663</v>
      </c>
      <c r="I655" s="368">
        <v>-1.5407999593666664</v>
      </c>
      <c r="J655" s="368">
        <v>-4.4031481762585392</v>
      </c>
      <c r="K655" s="368">
        <v>0</v>
      </c>
      <c r="L655" s="368">
        <v>0</v>
      </c>
      <c r="M655" s="368">
        <v>2.6020581888276301E-2</v>
      </c>
      <c r="N655" s="368">
        <v>0.64367971618426401</v>
      </c>
      <c r="O655" s="368">
        <v>2.1870243665261602</v>
      </c>
      <c r="T655" s="48">
        <v>4</v>
      </c>
      <c r="U655" s="46" t="s">
        <v>239</v>
      </c>
      <c r="V655" s="53" t="s">
        <v>324</v>
      </c>
      <c r="W655" s="53" t="s">
        <v>549</v>
      </c>
      <c r="X655" s="53" t="s">
        <v>558</v>
      </c>
      <c r="Y655" s="172">
        <f>IFERROR(-tblZwaste1422[[#This Row],[Weight (kgCO2e/kg)]],0)</f>
        <v>-1.66</v>
      </c>
      <c r="Z655" s="172" t="str">
        <f>IF(AQ655="x",(AR655*-tblZwaste1422[[#This Row],[Weight (kgCO2e/kg)]])+AS655+($AR$10*Lookups!$J$38/1000),"DELETE")</f>
        <v>DELETE</v>
      </c>
      <c r="AA655" s="176">
        <v>0.234301631229135</v>
      </c>
      <c r="AB655" s="172">
        <v>-1.65213383482568</v>
      </c>
      <c r="AC655" s="172">
        <v>-2.2423652497529898</v>
      </c>
      <c r="AD655" s="172">
        <v>-1.12800829216573</v>
      </c>
      <c r="AE655" s="172">
        <v>-0.903746005846506</v>
      </c>
      <c r="AF655" s="172">
        <v>2.6682428580345498E-2</v>
      </c>
      <c r="AG655" s="150"/>
      <c r="AI655" s="137">
        <v>4</v>
      </c>
      <c r="AJ655" s="136" t="s">
        <v>239</v>
      </c>
      <c r="AK655" s="142" t="s">
        <v>324</v>
      </c>
      <c r="AL655" s="136" t="s">
        <v>549</v>
      </c>
      <c r="AM655" s="136" t="s">
        <v>558</v>
      </c>
      <c r="AN655" s="1">
        <v>1.66</v>
      </c>
      <c r="AO655" s="166">
        <v>0.13142999999999999</v>
      </c>
      <c r="AQ655">
        <f>_xlfn.XLOOKUP(tblGWP21[[#This Row],[Material Subcategory]],ls_Mat,Factors!$K$952:$K$1023)</f>
        <v>0</v>
      </c>
      <c r="AR655" s="173">
        <v>0.64600000000000002</v>
      </c>
      <c r="AS655">
        <v>0</v>
      </c>
      <c r="AT655" t="s">
        <v>527</v>
      </c>
      <c r="AU655" t="s">
        <v>526</v>
      </c>
      <c r="AV655" s="347">
        <v>0.95</v>
      </c>
      <c r="BA655" cm="1">
        <f t="array" ref="BA655:BM655">tblGWP21[#This Row]</f>
        <v>4</v>
      </c>
      <c r="BB655" t="str">
        <v>Paper</v>
      </c>
      <c r="BC655" t="str">
        <v>Newsprint</v>
      </c>
      <c r="BD655" t="str">
        <v>North America</v>
      </c>
      <c r="BE655" t="str">
        <v>Canada</v>
      </c>
      <c r="BF655">
        <v>-1.66</v>
      </c>
      <c r="BG655" t="str">
        <v>DELETE</v>
      </c>
      <c r="BH655">
        <v>0.234301631229135</v>
      </c>
      <c r="BI655">
        <v>-1.65213383482568</v>
      </c>
      <c r="BJ655">
        <v>-2.2423652497529898</v>
      </c>
      <c r="BK655">
        <v>-1.12800829216573</v>
      </c>
      <c r="BL655">
        <v>-0.903746005846506</v>
      </c>
      <c r="BM655">
        <v>2.6682428580345498E-2</v>
      </c>
    </row>
    <row r="656" spans="3:65" ht="28.8">
      <c r="C656" s="136">
        <v>4</v>
      </c>
      <c r="D656" s="137" t="s">
        <v>252</v>
      </c>
      <c r="E656" s="136" t="s">
        <v>253</v>
      </c>
      <c r="F656" s="136" t="s">
        <v>549</v>
      </c>
      <c r="G656" s="136" t="s">
        <v>558</v>
      </c>
      <c r="H656" s="191">
        <v>-2.04928</v>
      </c>
      <c r="I656" s="191">
        <v>0</v>
      </c>
      <c r="J656" s="191">
        <v>-3.8694262558103372</v>
      </c>
      <c r="K656" s="191">
        <v>0</v>
      </c>
      <c r="L656" s="191">
        <v>0</v>
      </c>
      <c r="M656" s="191">
        <v>2.6020578907311302E-2</v>
      </c>
      <c r="N656" s="191">
        <v>0.52020977610562502</v>
      </c>
      <c r="O656" s="191">
        <v>3.1831776947858499</v>
      </c>
      <c r="T656" s="48">
        <v>4</v>
      </c>
      <c r="U656" s="46" t="s">
        <v>239</v>
      </c>
      <c r="V656" s="53" t="s">
        <v>272</v>
      </c>
      <c r="W656" s="53" t="s">
        <v>549</v>
      </c>
      <c r="X656" s="53" t="s">
        <v>558</v>
      </c>
      <c r="Y656" s="172">
        <f>IFERROR(-tblZwaste1422[[#This Row],[Weight (kgCO2e/kg)]],0)</f>
        <v>-2.1278299999999999</v>
      </c>
      <c r="Z656" s="172">
        <f>IF(AQ656="x",(AR656*-tblZwaste1422[[#This Row],[Weight (kgCO2e/kg)]])+AS656+($AR$10*Lookups!$J$38/1000),"DELETE")</f>
        <v>-1.3728063799999999</v>
      </c>
      <c r="AA656" s="176">
        <v>-1.2269576243580629E-2</v>
      </c>
      <c r="AB656" s="172">
        <v>-1.4789827623174101</v>
      </c>
      <c r="AC656" s="172">
        <v>-2.2484314757805302</v>
      </c>
      <c r="AD656" s="172">
        <v>2.8719999999999999E-2</v>
      </c>
      <c r="AE656" s="172">
        <v>-0.71002125139084304</v>
      </c>
      <c r="AF656" s="172">
        <v>3.4584682649234297E-2</v>
      </c>
      <c r="AG656" s="150"/>
      <c r="AI656" s="137">
        <v>4</v>
      </c>
      <c r="AJ656" s="136" t="s">
        <v>239</v>
      </c>
      <c r="AK656" s="142" t="s">
        <v>272</v>
      </c>
      <c r="AL656" s="136" t="s">
        <v>549</v>
      </c>
      <c r="AM656" s="136" t="s">
        <v>558</v>
      </c>
      <c r="AN656" s="1">
        <v>2.1278299999999999</v>
      </c>
      <c r="AO656" s="166">
        <v>1.2152400000000001</v>
      </c>
      <c r="AQ656" t="str">
        <f>_xlfn.XLOOKUP(tblGWP21[[#This Row],[Material Subcategory]],ls_Mat,Factors!$K$952:$K$1023)</f>
        <v>x</v>
      </c>
      <c r="AR656" s="173">
        <v>0.64600000000000002</v>
      </c>
      <c r="AS656">
        <v>0</v>
      </c>
      <c r="AT656" t="s">
        <v>527</v>
      </c>
      <c r="AU656" t="s">
        <v>526</v>
      </c>
      <c r="AV656" s="347">
        <v>0.95</v>
      </c>
      <c r="BA656" cm="1">
        <f t="array" ref="BA656:BM656">tblGWP21[#This Row]</f>
        <v>4</v>
      </c>
      <c r="BB656" t="str">
        <v>Paper</v>
      </c>
      <c r="BC656" t="str">
        <v>Corr. Cardboard</v>
      </c>
      <c r="BD656" t="str">
        <v>North America</v>
      </c>
      <c r="BE656" t="str">
        <v>Canada</v>
      </c>
      <c r="BF656">
        <v>-2.1278299999999999</v>
      </c>
      <c r="BG656">
        <v>-1.3728063799999999</v>
      </c>
      <c r="BH656">
        <v>-1.2269576243580629E-2</v>
      </c>
      <c r="BI656">
        <v>-1.4789827623174101</v>
      </c>
      <c r="BJ656">
        <v>-2.2484314757805302</v>
      </c>
      <c r="BK656">
        <v>2.8719999999999999E-2</v>
      </c>
      <c r="BL656">
        <v>-0.71002125139084304</v>
      </c>
      <c r="BM656">
        <v>3.4584682649234297E-2</v>
      </c>
    </row>
    <row r="657" spans="3:65">
      <c r="C657" s="362">
        <v>4</v>
      </c>
      <c r="D657" s="363" t="s">
        <v>252</v>
      </c>
      <c r="E657" s="362" t="s">
        <v>328</v>
      </c>
      <c r="F657" s="362" t="s">
        <v>549</v>
      </c>
      <c r="G657" s="362" t="s">
        <v>558</v>
      </c>
      <c r="H657" s="368">
        <v>-2.3231199999999999</v>
      </c>
      <c r="I657" s="368">
        <v>0</v>
      </c>
      <c r="J657" s="368">
        <v>-4.5538212910292968</v>
      </c>
      <c r="K657" s="368">
        <v>0</v>
      </c>
      <c r="L657" s="368">
        <v>0</v>
      </c>
      <c r="M657" s="368">
        <v>2.6020579699310299E-2</v>
      </c>
      <c r="N657" s="368">
        <v>0.55565540652519696</v>
      </c>
      <c r="O657" s="368">
        <v>2.49560781474261</v>
      </c>
      <c r="T657" s="48">
        <v>4</v>
      </c>
      <c r="U657" s="46" t="s">
        <v>239</v>
      </c>
      <c r="V657" s="53" t="s">
        <v>329</v>
      </c>
      <c r="W657" s="53" t="s">
        <v>549</v>
      </c>
      <c r="X657" s="53" t="s">
        <v>558</v>
      </c>
      <c r="Y657" s="172">
        <f>IFERROR(-tblZwaste1422[[#This Row],[Weight (kgCO2e/kg)]],0)</f>
        <v>-3.4792200000000002</v>
      </c>
      <c r="Z657" s="172" t="str">
        <f>IF(AQ657="x",(AR657*-tblZwaste1422[[#This Row],[Weight (kgCO2e/kg)]])+AS657+($AR$10*Lookups!$J$38/1000),"DELETE")</f>
        <v>DELETE</v>
      </c>
      <c r="AA657" s="176">
        <v>-3.038961016348765</v>
      </c>
      <c r="AB657" s="172">
        <v>-1.60160728030095</v>
      </c>
      <c r="AC657" s="172">
        <v>-2.4887035951540901</v>
      </c>
      <c r="AD657" s="172">
        <v>0.46522140139433599</v>
      </c>
      <c r="AE657" s="172">
        <v>-0.71253458198150998</v>
      </c>
      <c r="AF657" s="172">
        <v>3.7247173994654E-2</v>
      </c>
      <c r="AG657" s="150"/>
      <c r="AI657" s="137">
        <v>4</v>
      </c>
      <c r="AJ657" s="136" t="s">
        <v>239</v>
      </c>
      <c r="AK657" s="142" t="s">
        <v>329</v>
      </c>
      <c r="AL657" s="136" t="s">
        <v>549</v>
      </c>
      <c r="AM657" s="136" t="s">
        <v>558</v>
      </c>
      <c r="AN657" s="1">
        <v>3.4792200000000002</v>
      </c>
      <c r="AO657" s="166">
        <v>1.0383</v>
      </c>
      <c r="AQ657">
        <f>_xlfn.XLOOKUP(tblGWP21[[#This Row],[Material Subcategory]],ls_Mat,Factors!$K$952:$K$1023)</f>
        <v>0</v>
      </c>
      <c r="BA657" cm="1">
        <f t="array" ref="BA657:BM657">tblGWP21[#This Row]</f>
        <v>4</v>
      </c>
      <c r="BB657" t="str">
        <v>Paper</v>
      </c>
      <c r="BC657" t="str">
        <v>Office Paper</v>
      </c>
      <c r="BD657" t="str">
        <v>North America</v>
      </c>
      <c r="BE657" t="str">
        <v>Canada</v>
      </c>
      <c r="BF657">
        <v>-3.4792200000000002</v>
      </c>
      <c r="BG657" t="str">
        <v>DELETE</v>
      </c>
      <c r="BH657">
        <v>-3.038961016348765</v>
      </c>
      <c r="BI657">
        <v>-1.60160728030095</v>
      </c>
      <c r="BJ657">
        <v>-2.4887035951540901</v>
      </c>
      <c r="BK657">
        <v>0.46522140139433599</v>
      </c>
      <c r="BL657">
        <v>-0.71253458198150998</v>
      </c>
      <c r="BM657">
        <v>3.7247173994654E-2</v>
      </c>
    </row>
    <row r="658" spans="3:65">
      <c r="C658" s="136">
        <v>4</v>
      </c>
      <c r="D658" s="137" t="s">
        <v>252</v>
      </c>
      <c r="E658" s="136" t="s">
        <v>254</v>
      </c>
      <c r="F658" s="136" t="s">
        <v>549</v>
      </c>
      <c r="G658" s="136" t="s">
        <v>558</v>
      </c>
      <c r="H658" s="191">
        <v>-2.1485799999999999</v>
      </c>
      <c r="I658" s="191">
        <v>0</v>
      </c>
      <c r="J658" s="191">
        <v>-4.6355238671652268</v>
      </c>
      <c r="K658" s="191">
        <v>0</v>
      </c>
      <c r="L658" s="191">
        <v>0</v>
      </c>
      <c r="M658" s="191">
        <v>2.60205789073111E-2</v>
      </c>
      <c r="N658" s="191">
        <v>0.71627667975351805</v>
      </c>
      <c r="O658" s="191">
        <v>2.5363325234326899</v>
      </c>
      <c r="T658" s="48">
        <v>4</v>
      </c>
      <c r="U658" s="46" t="s">
        <v>239</v>
      </c>
      <c r="V658" s="53" t="s">
        <v>271</v>
      </c>
      <c r="W658" s="53" t="s">
        <v>549</v>
      </c>
      <c r="X658" s="53" t="s">
        <v>558</v>
      </c>
      <c r="Y658" s="172">
        <f>IFERROR(-tblZwaste1422[[#This Row],[Weight (kgCO2e/kg)]],0)</f>
        <v>-3.1045600000000002</v>
      </c>
      <c r="Z658" s="172" t="str">
        <f>IF(AQ658="x",(AR658*-tblZwaste1422[[#This Row],[Weight (kgCO2e/kg)]])+AS658+($AR$10*Lookups!$J$38/1000),"DELETE")</f>
        <v>DELETE</v>
      </c>
      <c r="AA658" s="176">
        <v>-0.92096265472513195</v>
      </c>
      <c r="AB658" s="172">
        <v>-1.5169178191689101</v>
      </c>
      <c r="AC658" s="172">
        <v>-2.5947973767447099</v>
      </c>
      <c r="AD658" s="172">
        <v>-0.66058111749095905</v>
      </c>
      <c r="AE658" s="172">
        <v>-0.67860109704184801</v>
      </c>
      <c r="AF658" s="172">
        <v>4.03916276490624E-2</v>
      </c>
      <c r="AG658" s="150"/>
      <c r="AI658" s="137">
        <v>4</v>
      </c>
      <c r="AJ658" s="136" t="s">
        <v>239</v>
      </c>
      <c r="AK658" s="142" t="s">
        <v>271</v>
      </c>
      <c r="AL658" s="136" t="s">
        <v>549</v>
      </c>
      <c r="AM658" s="136" t="s">
        <v>558</v>
      </c>
      <c r="AN658" s="1">
        <v>3.1045600000000002</v>
      </c>
      <c r="AO658" s="166">
        <v>0.12864</v>
      </c>
      <c r="AQ658">
        <f>_xlfn.XLOOKUP(tblGWP21[[#This Row],[Material Subcategory]],ls_Mat,Factors!$K$952:$K$1023)</f>
        <v>0</v>
      </c>
      <c r="AU658" t="s">
        <v>526</v>
      </c>
      <c r="AV658" s="347">
        <v>0.95</v>
      </c>
      <c r="BA658" cm="1">
        <f t="array" ref="BA658:BM658">tblGWP21[#This Row]</f>
        <v>4</v>
      </c>
      <c r="BB658" t="str">
        <v>Paper</v>
      </c>
      <c r="BC658" t="str">
        <v>Magazines</v>
      </c>
      <c r="BD658" t="str">
        <v>North America</v>
      </c>
      <c r="BE658" t="str">
        <v>Canada</v>
      </c>
      <c r="BF658">
        <v>-3.1045600000000002</v>
      </c>
      <c r="BG658" t="str">
        <v>DELETE</v>
      </c>
      <c r="BH658">
        <v>-0.92096265472513195</v>
      </c>
      <c r="BI658">
        <v>-1.5169178191689101</v>
      </c>
      <c r="BJ658">
        <v>-2.5947973767447099</v>
      </c>
      <c r="BK658">
        <v>-0.66058111749095905</v>
      </c>
      <c r="BL658">
        <v>-0.67860109704184801</v>
      </c>
      <c r="BM658">
        <v>4.03916276490624E-2</v>
      </c>
    </row>
    <row r="659" spans="3:65">
      <c r="C659" s="362">
        <v>4</v>
      </c>
      <c r="D659" s="363" t="s">
        <v>252</v>
      </c>
      <c r="E659" s="362" t="s">
        <v>532</v>
      </c>
      <c r="F659" s="362" t="s">
        <v>549</v>
      </c>
      <c r="G659" s="362" t="s">
        <v>558</v>
      </c>
      <c r="H659" s="368">
        <v>-1.9492499999999999</v>
      </c>
      <c r="I659" s="368">
        <v>0</v>
      </c>
      <c r="J659" s="368">
        <v>-4.5538212910292968</v>
      </c>
      <c r="K659" s="368">
        <v>0</v>
      </c>
      <c r="L659" s="368">
        <v>0</v>
      </c>
      <c r="M659" s="368">
        <v>2.6020579699310299E-2</v>
      </c>
      <c r="N659" s="368">
        <v>0.55565540652519696</v>
      </c>
      <c r="O659" s="368">
        <v>2.49560781474261</v>
      </c>
      <c r="T659" s="48">
        <v>4</v>
      </c>
      <c r="U659" s="46" t="s">
        <v>239</v>
      </c>
      <c r="V659" s="53" t="s">
        <v>535</v>
      </c>
      <c r="W659" s="53" t="s">
        <v>549</v>
      </c>
      <c r="X659" s="53" t="s">
        <v>558</v>
      </c>
      <c r="Y659" s="172">
        <f>IFERROR(-tblZwaste1422[[#This Row],[Weight (kgCO2e/kg)]],0)</f>
        <v>-3.1045600000000002</v>
      </c>
      <c r="Z659" s="172" t="str">
        <f>IF(AQ659="x",(AR659*-tblZwaste1422[[#This Row],[Weight (kgCO2e/kg)]])+AS659+($AR$10*Lookups!$J$38/1000),"DELETE")</f>
        <v>DELETE</v>
      </c>
      <c r="AA659" s="176">
        <v>-0.92096265472513195</v>
      </c>
      <c r="AB659" s="172">
        <v>-1.6255597381762901</v>
      </c>
      <c r="AC659" s="172">
        <v>-2.60310077339253</v>
      </c>
      <c r="AD659" s="172">
        <v>-0.85849804034267496</v>
      </c>
      <c r="AE659" s="172">
        <v>-0.756282708361248</v>
      </c>
      <c r="AF659" s="172">
        <v>2.9212528272995499E-2</v>
      </c>
      <c r="AG659" s="150"/>
      <c r="AI659" s="137">
        <v>4</v>
      </c>
      <c r="AJ659" s="136" t="s">
        <v>239</v>
      </c>
      <c r="AK659" s="142" t="s">
        <v>535</v>
      </c>
      <c r="AL659" s="136" t="s">
        <v>549</v>
      </c>
      <c r="AM659" s="136" t="s">
        <v>558</v>
      </c>
      <c r="AN659" s="1">
        <v>3.1045600000000002</v>
      </c>
      <c r="AO659" s="166">
        <v>0.12864</v>
      </c>
      <c r="AQ659">
        <f>_xlfn.XLOOKUP(tblGWP21[[#This Row],[Material Subcategory]],ls_Mat,Factors!$K$952:$K$1023)</f>
        <v>0</v>
      </c>
      <c r="AU659" t="s">
        <v>526</v>
      </c>
      <c r="AV659" s="347">
        <v>0.9</v>
      </c>
      <c r="BA659" cm="1">
        <f t="array" ref="BA659:BM659">tblGWP21[#This Row]</f>
        <v>4</v>
      </c>
      <c r="BB659" t="str">
        <v>Paper</v>
      </c>
      <c r="BC659" t="str">
        <v>3rd Class Mail</v>
      </c>
      <c r="BD659" t="str">
        <v>North America</v>
      </c>
      <c r="BE659" t="str">
        <v>Canada</v>
      </c>
      <c r="BF659">
        <v>-3.1045600000000002</v>
      </c>
      <c r="BG659" t="str">
        <v>DELETE</v>
      </c>
      <c r="BH659">
        <v>-0.92096265472513195</v>
      </c>
      <c r="BI659">
        <v>-1.6255597381762901</v>
      </c>
      <c r="BJ659">
        <v>-2.60310077339253</v>
      </c>
      <c r="BK659">
        <v>-0.85849804034267496</v>
      </c>
      <c r="BL659">
        <v>-0.756282708361248</v>
      </c>
      <c r="BM659">
        <v>2.9212528272995499E-2</v>
      </c>
    </row>
    <row r="660" spans="3:65">
      <c r="C660" s="136">
        <v>4</v>
      </c>
      <c r="D660" s="137" t="s">
        <v>252</v>
      </c>
      <c r="E660" s="136" t="s">
        <v>245</v>
      </c>
      <c r="F660" s="136" t="s">
        <v>549</v>
      </c>
      <c r="G660" s="136" t="s">
        <v>558</v>
      </c>
      <c r="H660" s="191">
        <v>-2.0269300000000001</v>
      </c>
      <c r="I660" s="191">
        <v>0</v>
      </c>
      <c r="J660" s="191">
        <v>0</v>
      </c>
      <c r="K660" s="191">
        <v>0</v>
      </c>
      <c r="L660" s="191">
        <v>0</v>
      </c>
      <c r="M660" s="191">
        <v>2.6020579816657698E-2</v>
      </c>
      <c r="N660" s="191">
        <v>0.47536813212165802</v>
      </c>
      <c r="O660" s="191">
        <v>3.1833670046879501</v>
      </c>
      <c r="T660" s="48">
        <v>4</v>
      </c>
      <c r="U660" s="46" t="s">
        <v>239</v>
      </c>
      <c r="V660" s="53" t="s">
        <v>259</v>
      </c>
      <c r="W660" s="53" t="s">
        <v>549</v>
      </c>
      <c r="X660" s="53" t="s">
        <v>558</v>
      </c>
      <c r="Y660" s="172">
        <f>IFERROR(-tblZwaste1422[[#This Row],[Weight (kgCO2e/kg)]],0)</f>
        <v>-2.86965</v>
      </c>
      <c r="Z660" s="172" t="str">
        <f>IF(AQ660="x",(AR660*-tblZwaste1422[[#This Row],[Weight (kgCO2e/kg)]])+AS660+($AR$10*Lookups!$J$38/1000),"DELETE")</f>
        <v>DELETE</v>
      </c>
      <c r="AA660" s="176">
        <v>-0.92096265472513195</v>
      </c>
      <c r="AB660" s="172">
        <v>-1.34053895096424</v>
      </c>
      <c r="AC660" s="172">
        <v>-2.0226989122499601</v>
      </c>
      <c r="AD660" s="172">
        <v>-0.366079444831788</v>
      </c>
      <c r="AE660" s="172">
        <v>-0.61578846946730303</v>
      </c>
      <c r="AF660" s="172">
        <v>2.8420275292329902E-2</v>
      </c>
      <c r="AG660" s="150"/>
      <c r="AI660" s="137">
        <v>4</v>
      </c>
      <c r="AJ660" s="136" t="s">
        <v>239</v>
      </c>
      <c r="AK660" s="142" t="s">
        <v>259</v>
      </c>
      <c r="AL660" s="136" t="s">
        <v>549</v>
      </c>
      <c r="AM660" s="136" t="s">
        <v>558</v>
      </c>
      <c r="AN660" s="1">
        <v>2.86965</v>
      </c>
      <c r="AO660" s="166">
        <v>0.79600000000000004</v>
      </c>
      <c r="AQ660">
        <f>_xlfn.XLOOKUP(tblGWP21[[#This Row],[Material Subcategory]],ls_Mat,Factors!$K$952:$K$1023)</f>
        <v>0</v>
      </c>
      <c r="AR660" s="173"/>
      <c r="AU660" t="s">
        <v>526</v>
      </c>
      <c r="AV660" s="347">
        <v>0.9</v>
      </c>
      <c r="BA660" cm="1">
        <f t="array" ref="BA660:BM660">tblGWP21[#This Row]</f>
        <v>4</v>
      </c>
      <c r="BB660" t="str">
        <v>Paper</v>
      </c>
      <c r="BC660" t="str">
        <v>Folding Containers</v>
      </c>
      <c r="BD660" t="str">
        <v>North America</v>
      </c>
      <c r="BE660" t="str">
        <v>Canada</v>
      </c>
      <c r="BF660">
        <v>-2.86965</v>
      </c>
      <c r="BG660" t="str">
        <v>DELETE</v>
      </c>
      <c r="BH660">
        <v>-0.92096265472513195</v>
      </c>
      <c r="BI660">
        <v>-1.34053895096424</v>
      </c>
      <c r="BJ660">
        <v>-2.0226989122499601</v>
      </c>
      <c r="BK660">
        <v>-0.366079444831788</v>
      </c>
      <c r="BL660">
        <v>-0.61578846946730303</v>
      </c>
      <c r="BM660">
        <v>2.8420275292329902E-2</v>
      </c>
    </row>
    <row r="661" spans="3:65">
      <c r="C661" s="362">
        <v>4</v>
      </c>
      <c r="D661" s="363" t="s">
        <v>252</v>
      </c>
      <c r="E661" s="362" t="s">
        <v>533</v>
      </c>
      <c r="F661" s="362" t="s">
        <v>549</v>
      </c>
      <c r="G661" s="362" t="s">
        <v>558</v>
      </c>
      <c r="H661" s="368">
        <v>-2.0748000000000002</v>
      </c>
      <c r="I661" s="368">
        <v>0</v>
      </c>
      <c r="J661" s="368">
        <v>0</v>
      </c>
      <c r="K661" s="368">
        <v>0</v>
      </c>
      <c r="L661" s="368">
        <v>0</v>
      </c>
      <c r="M661" s="368">
        <v>2.60205746762723E-2</v>
      </c>
      <c r="N661" s="368">
        <v>0.66988102413158801</v>
      </c>
      <c r="O661" s="368">
        <v>3.0368306765396702</v>
      </c>
      <c r="T661" s="48">
        <v>4</v>
      </c>
      <c r="U661" s="46" t="s">
        <v>239</v>
      </c>
      <c r="V661" s="53" t="s">
        <v>334</v>
      </c>
      <c r="W661" s="53" t="s">
        <v>549</v>
      </c>
      <c r="X661" s="53" t="s">
        <v>558</v>
      </c>
      <c r="Y661" s="172">
        <f>IFERROR(-tblZwaste1422[[#This Row],[Weight (kgCO2e/kg)]],0)</f>
        <v>-2.86965</v>
      </c>
      <c r="Z661" s="172" t="str">
        <f>IF(AQ661="x",(AR661*-tblZwaste1422[[#This Row],[Weight (kgCO2e/kg)]])+AS661+($AR$10*Lookups!$J$38/1000),"DELETE")</f>
        <v>DELETE</v>
      </c>
      <c r="AA661" s="176">
        <v>-0.92096265472513195</v>
      </c>
      <c r="AB661" s="172">
        <v>-1.75105100217061</v>
      </c>
      <c r="AC661" s="172">
        <v>-2.48475903965713</v>
      </c>
      <c r="AD661" s="172">
        <v>-0.30162234737156601</v>
      </c>
      <c r="AE661" s="172">
        <v>-0.89979840137378397</v>
      </c>
      <c r="AF661" s="172">
        <v>2.6389695912937799E-2</v>
      </c>
      <c r="AG661" s="150"/>
      <c r="AI661" s="137">
        <v>4</v>
      </c>
      <c r="AJ661" s="136" t="s">
        <v>239</v>
      </c>
      <c r="AK661" s="142" t="s">
        <v>334</v>
      </c>
      <c r="AL661" s="136" t="s">
        <v>549</v>
      </c>
      <c r="AM661" s="136" t="s">
        <v>558</v>
      </c>
      <c r="AN661" s="1">
        <v>2.86965</v>
      </c>
      <c r="AO661" s="166">
        <v>0.76736000000000004</v>
      </c>
      <c r="AQ661">
        <f>_xlfn.XLOOKUP(tblGWP21[[#This Row],[Material Subcategory]],ls_Mat,Factors!$K$952:$K$1023)</f>
        <v>0</v>
      </c>
      <c r="AR661" s="173"/>
      <c r="AU661" t="s">
        <v>526</v>
      </c>
      <c r="AV661" s="347">
        <v>0.95</v>
      </c>
      <c r="BA661" cm="1">
        <f t="array" ref="BA661:BM661">tblGWP21[#This Row]</f>
        <v>4</v>
      </c>
      <c r="BB661" t="str">
        <v>Paper</v>
      </c>
      <c r="BC661" t="str">
        <v>Paper Bags</v>
      </c>
      <c r="BD661" t="str">
        <v>North America</v>
      </c>
      <c r="BE661" t="str">
        <v>Canada</v>
      </c>
      <c r="BF661">
        <v>-2.86965</v>
      </c>
      <c r="BG661" t="str">
        <v>DELETE</v>
      </c>
      <c r="BH661">
        <v>-0.92096265472513195</v>
      </c>
      <c r="BI661">
        <v>-1.75105100217061</v>
      </c>
      <c r="BJ661">
        <v>-2.48475903965713</v>
      </c>
      <c r="BK661">
        <v>-0.30162234737156601</v>
      </c>
      <c r="BL661">
        <v>-0.89979840137378397</v>
      </c>
      <c r="BM661">
        <v>2.6389695912937799E-2</v>
      </c>
    </row>
    <row r="662" spans="3:65">
      <c r="C662" s="136">
        <v>4</v>
      </c>
      <c r="D662" s="137" t="s">
        <v>242</v>
      </c>
      <c r="E662" s="136" t="s">
        <v>242</v>
      </c>
      <c r="F662" s="136" t="s">
        <v>549</v>
      </c>
      <c r="G662" s="136" t="s">
        <v>558</v>
      </c>
      <c r="H662" s="191">
        <v>-38.486130000000003</v>
      </c>
      <c r="I662" s="191">
        <v>-27.900672450000002</v>
      </c>
      <c r="J662" s="191">
        <v>-3.2868550000000001</v>
      </c>
      <c r="K662" s="191">
        <v>0</v>
      </c>
      <c r="L662" s="191">
        <v>0</v>
      </c>
      <c r="M662" s="191">
        <v>2.5860000000000001E-2</v>
      </c>
      <c r="N662" s="191">
        <v>4.1873157686419603E-2</v>
      </c>
      <c r="O662" s="191">
        <v>4.8912064305887501E-2</v>
      </c>
      <c r="T662" s="48">
        <v>4</v>
      </c>
      <c r="U662" s="46" t="s">
        <v>239</v>
      </c>
      <c r="V662" s="53" t="s">
        <v>240</v>
      </c>
      <c r="W662" s="53" t="s">
        <v>549</v>
      </c>
      <c r="X662" s="53" t="s">
        <v>558</v>
      </c>
      <c r="Y662" s="172">
        <f>IFERROR(-tblZwaste1422[[#This Row],[Weight (kgCO2e/kg)]],0)</f>
        <v>-3.1045600000000002</v>
      </c>
      <c r="Z662" s="172" t="str">
        <f>IF(AQ662="x",(AR662*-tblZwaste1422[[#This Row],[Weight (kgCO2e/kg)]])+AS662+($AR$10*Lookups!$J$38/1000),"DELETE")</f>
        <v>DELETE</v>
      </c>
      <c r="AA662" s="176" t="s">
        <v>567</v>
      </c>
      <c r="AB662" s="172">
        <v>-1.77980746178516</v>
      </c>
      <c r="AC662" s="172">
        <v>-2.55405977724527</v>
      </c>
      <c r="AD662" s="172">
        <v>-0.68549336215416401</v>
      </c>
      <c r="AE662" s="172">
        <v>0.515858565437744</v>
      </c>
      <c r="AF662" s="172">
        <v>2.36701220577836</v>
      </c>
      <c r="AG662" s="150"/>
      <c r="AI662" s="137">
        <v>4</v>
      </c>
      <c r="AJ662" s="136" t="s">
        <v>239</v>
      </c>
      <c r="AK662" s="142" t="s">
        <v>240</v>
      </c>
      <c r="AL662" s="136" t="s">
        <v>549</v>
      </c>
      <c r="AM662" s="136" t="s">
        <v>558</v>
      </c>
      <c r="AN662" s="1">
        <v>3.1045600000000002</v>
      </c>
      <c r="AO662" s="166">
        <v>0.76736000000000004</v>
      </c>
      <c r="AQ662">
        <f>_xlfn.XLOOKUP(tblGWP21[[#This Row],[Material Subcategory]],ls_Mat,Factors!$K$952:$K$1023)</f>
        <v>0</v>
      </c>
      <c r="AR662" s="173"/>
      <c r="AU662" t="s">
        <v>526</v>
      </c>
      <c r="AV662" s="347">
        <v>0.7</v>
      </c>
      <c r="BA662" cm="1">
        <f t="array" ref="BA662:BM662">tblGWP21[#This Row]</f>
        <v>4</v>
      </c>
      <c r="BB662" t="str">
        <v>Paper</v>
      </c>
      <c r="BC662" t="str">
        <v>Paper – Non-Recyclable</v>
      </c>
      <c r="BD662" t="str">
        <v>North America</v>
      </c>
      <c r="BE662" t="str">
        <v>Canada</v>
      </c>
      <c r="BF662">
        <v>-3.1045600000000002</v>
      </c>
      <c r="BG662" t="str">
        <v>DELETE</v>
      </c>
      <c r="BH662" t="str">
        <v>DELETE</v>
      </c>
      <c r="BI662">
        <v>-1.77980746178516</v>
      </c>
      <c r="BJ662">
        <v>-2.55405977724527</v>
      </c>
      <c r="BK662">
        <v>-0.68549336215416401</v>
      </c>
      <c r="BL662">
        <v>0.515858565437744</v>
      </c>
      <c r="BM662">
        <v>2.36701220577836</v>
      </c>
    </row>
    <row r="663" spans="3:65" ht="28.8">
      <c r="C663" s="362">
        <v>4</v>
      </c>
      <c r="D663" s="363" t="s">
        <v>242</v>
      </c>
      <c r="E663" s="362" t="s">
        <v>274</v>
      </c>
      <c r="F663" s="362" t="s">
        <v>549</v>
      </c>
      <c r="G663" s="362" t="s">
        <v>558</v>
      </c>
      <c r="H663" s="368">
        <v>-38.486130000000003</v>
      </c>
      <c r="I663" s="368">
        <v>-27.900672450000002</v>
      </c>
      <c r="J663" s="368">
        <v>-8.5278425000000002</v>
      </c>
      <c r="K663" s="368">
        <v>0</v>
      </c>
      <c r="L663" s="368">
        <v>0</v>
      </c>
      <c r="M663" s="368">
        <v>2.5860000000000001E-2</v>
      </c>
      <c r="N663" s="368">
        <v>4.1873157686419603E-2</v>
      </c>
      <c r="O663" s="368">
        <v>4.8912064305887501E-2</v>
      </c>
      <c r="T663" s="48">
        <v>4</v>
      </c>
      <c r="U663" s="46" t="s">
        <v>239</v>
      </c>
      <c r="V663" s="53" t="s">
        <v>325</v>
      </c>
      <c r="W663" s="53" t="s">
        <v>549</v>
      </c>
      <c r="X663" s="53" t="s">
        <v>558</v>
      </c>
      <c r="Y663" s="172">
        <f>IFERROR(-tblZwaste1422[[#This Row],[Weight (kgCO2e/kg)]],0)</f>
        <v>-1.66</v>
      </c>
      <c r="Z663" s="172" t="str">
        <f>IF(AQ663="x",(AR663*-tblZwaste1422[[#This Row],[Weight (kgCO2e/kg)]])+AS663+($AR$10*Lookups!$J$38/1000),"DELETE")</f>
        <v>DELETE</v>
      </c>
      <c r="AA663" s="176" t="s">
        <v>567</v>
      </c>
      <c r="AB663" s="172">
        <v>-1.6415798386896601</v>
      </c>
      <c r="AC663" s="172">
        <v>-2.38786328467627</v>
      </c>
      <c r="AD663" s="172">
        <v>-0.643826267470201</v>
      </c>
      <c r="AE663" s="172">
        <v>-0.83111541500928499</v>
      </c>
      <c r="AF663" s="172">
        <v>2.74714713689365E-2</v>
      </c>
      <c r="AG663" s="150"/>
      <c r="AI663" s="137">
        <v>4</v>
      </c>
      <c r="AJ663" s="136" t="s">
        <v>239</v>
      </c>
      <c r="AK663" s="142" t="s">
        <v>325</v>
      </c>
      <c r="AL663" s="136" t="s">
        <v>549</v>
      </c>
      <c r="AM663" s="136" t="s">
        <v>558</v>
      </c>
      <c r="AN663" s="1">
        <v>1.66</v>
      </c>
      <c r="AO663" s="166">
        <v>0.79600000000000004</v>
      </c>
      <c r="AQ663">
        <f>_xlfn.XLOOKUP(tblGWP21[[#This Row],[Material Subcategory]],ls_Mat,Factors!$K$952:$K$1023)</f>
        <v>0</v>
      </c>
      <c r="BA663" cm="1">
        <f t="array" ref="BA663:BM663">tblGWP21[#This Row]</f>
        <v>4</v>
      </c>
      <c r="BB663" t="str">
        <v>Paper</v>
      </c>
      <c r="BC663" t="str">
        <v>Compostable Food Service Ware</v>
      </c>
      <c r="BD663" t="str">
        <v>North America</v>
      </c>
      <c r="BE663" t="str">
        <v>Canada</v>
      </c>
      <c r="BF663">
        <v>-1.66</v>
      </c>
      <c r="BG663" t="str">
        <v>DELETE</v>
      </c>
      <c r="BH663" t="str">
        <v>DELETE</v>
      </c>
      <c r="BI663">
        <v>-1.6415798386896601</v>
      </c>
      <c r="BJ663">
        <v>-2.38786328467627</v>
      </c>
      <c r="BK663">
        <v>-0.643826267470201</v>
      </c>
      <c r="BL663">
        <v>-0.83111541500928499</v>
      </c>
      <c r="BM663">
        <v>2.74714713689365E-2</v>
      </c>
    </row>
    <row r="664" spans="3:65">
      <c r="C664" s="136">
        <v>4</v>
      </c>
      <c r="D664" s="137" t="s">
        <v>242</v>
      </c>
      <c r="E664" s="136" t="s">
        <v>534</v>
      </c>
      <c r="F664" s="136" t="s">
        <v>549</v>
      </c>
      <c r="G664" s="136" t="s">
        <v>558</v>
      </c>
      <c r="H664" s="191">
        <v>-15.0122</v>
      </c>
      <c r="I664" s="191">
        <v>-10.882073199999999</v>
      </c>
      <c r="J664" s="191">
        <v>-3.19428</v>
      </c>
      <c r="K664" s="191">
        <v>0</v>
      </c>
      <c r="L664" s="191">
        <v>0</v>
      </c>
      <c r="M664" s="191">
        <v>2.5860000000000001E-2</v>
      </c>
      <c r="N664" s="191">
        <v>4.1873157686419603E-2</v>
      </c>
      <c r="O664" s="191">
        <v>4.8912064305887501E-2</v>
      </c>
      <c r="T664" s="48">
        <v>4</v>
      </c>
      <c r="U664" s="46" t="s">
        <v>256</v>
      </c>
      <c r="V664" s="53" t="s">
        <v>256</v>
      </c>
      <c r="W664" s="53" t="s">
        <v>549</v>
      </c>
      <c r="X664" s="53" t="s">
        <v>558</v>
      </c>
      <c r="Y664" s="172">
        <f>IFERROR(-tblZwaste1422[[#This Row],[Weight (kgCO2e/kg)]],0)</f>
        <v>-3.3097799999999999</v>
      </c>
      <c r="Z664" s="172" t="e">
        <f>IF(AQ664="x",(AR664*-tblZwaste1422[[#This Row],[Weight (kgCO2e/kg)]])+AS664+($AR$10*Lookups!$J$38/1000),"DELETE")</f>
        <v>#N/A</v>
      </c>
      <c r="AA664" s="176">
        <v>-12.301543340914964</v>
      </c>
      <c r="AB664" s="172" t="s">
        <v>567</v>
      </c>
      <c r="AC664" s="172" t="s">
        <v>567</v>
      </c>
      <c r="AD664" s="172">
        <v>2.5940280404836851E-2</v>
      </c>
      <c r="AE664" s="172">
        <v>-0.10587397249851919</v>
      </c>
      <c r="AF664" s="172">
        <v>-8.9450153563815651E-2</v>
      </c>
      <c r="AG664" s="150"/>
      <c r="AI664" s="137">
        <v>4</v>
      </c>
      <c r="AJ664" s="136" t="s">
        <v>256</v>
      </c>
      <c r="AK664" s="142" t="s">
        <v>256</v>
      </c>
      <c r="AL664" s="136" t="s">
        <v>549</v>
      </c>
      <c r="AM664" s="136" t="s">
        <v>558</v>
      </c>
      <c r="AN664" s="1">
        <v>3.3097799999999999</v>
      </c>
      <c r="AO664" s="166">
        <v>1.0068550000000001</v>
      </c>
      <c r="AQ664" t="e">
        <f>_xlfn.XLOOKUP(tblGWP21[[#This Row],[Material Subcategory]],ls_Mat,Factors!$K$952:$K$1023)</f>
        <v>#N/A</v>
      </c>
      <c r="AR664" s="173">
        <v>1</v>
      </c>
      <c r="AS664">
        <v>8.1306407300000008E-2</v>
      </c>
      <c r="AT664" t="s">
        <v>531</v>
      </c>
      <c r="BA664" cm="1">
        <f t="array" ref="BA664:BM664">tblGWP21[#This Row]</f>
        <v>4</v>
      </c>
      <c r="BB664" t="str">
        <v>Metals</v>
      </c>
      <c r="BC664" t="str">
        <v>Metals</v>
      </c>
      <c r="BD664" t="str">
        <v>North America</v>
      </c>
      <c r="BE664" t="str">
        <v>Canada</v>
      </c>
      <c r="BF664">
        <v>-3.3097799999999999</v>
      </c>
      <c r="BG664" t="e">
        <v>#N/A</v>
      </c>
      <c r="BH664">
        <v>-12.301543340914964</v>
      </c>
      <c r="BI664" t="str">
        <v>DELETE</v>
      </c>
      <c r="BJ664" t="str">
        <v>DELETE</v>
      </c>
      <c r="BK664">
        <v>2.5940280404836851E-2</v>
      </c>
      <c r="BL664">
        <v>-0.10587397249851919</v>
      </c>
      <c r="BM664">
        <v>-8.9450153563815651E-2</v>
      </c>
    </row>
    <row r="665" spans="3:65">
      <c r="C665" s="362">
        <v>4</v>
      </c>
      <c r="D665" s="363" t="s">
        <v>239</v>
      </c>
      <c r="E665" s="362" t="s">
        <v>239</v>
      </c>
      <c r="F665" s="362" t="s">
        <v>549</v>
      </c>
      <c r="G665" s="362" t="s">
        <v>558</v>
      </c>
      <c r="H665" s="368">
        <v>-2.6644477777777777</v>
      </c>
      <c r="I665" s="368">
        <v>-1.7194614644444446</v>
      </c>
      <c r="J665" s="368">
        <v>-0.81863347086678395</v>
      </c>
      <c r="K665" s="368">
        <v>-1.6415798386896601</v>
      </c>
      <c r="L665" s="368">
        <v>-2.38786328467627</v>
      </c>
      <c r="M665" s="368">
        <v>-0.643826267470201</v>
      </c>
      <c r="N665" s="368">
        <v>-0.83111541500928499</v>
      </c>
      <c r="O665" s="368">
        <v>2.74714713689365E-2</v>
      </c>
      <c r="T665" s="48">
        <v>4</v>
      </c>
      <c r="U665" s="46" t="s">
        <v>256</v>
      </c>
      <c r="V665" s="53" t="s">
        <v>536</v>
      </c>
      <c r="W665" s="53" t="s">
        <v>549</v>
      </c>
      <c r="X665" s="53" t="s">
        <v>558</v>
      </c>
      <c r="Y665" s="172">
        <f>IFERROR(-tblZwaste1422[[#This Row],[Weight (kgCO2e/kg)]],0)</f>
        <v>-1.9798800000000001</v>
      </c>
      <c r="Z665" s="172">
        <f>IF(AQ665="x",(AR665*-tblZwaste1422[[#This Row],[Weight (kgCO2e/kg)]])+AS665+($AR$10*Lookups!$J$38/1000),"DELETE")</f>
        <v>-1.8968017927</v>
      </c>
      <c r="AA665" s="176">
        <v>-2.2522385021853868</v>
      </c>
      <c r="AB665" s="172" t="s">
        <v>567</v>
      </c>
      <c r="AC665" s="172" t="s">
        <v>567</v>
      </c>
      <c r="AD665" s="172">
        <v>2.6020560809673701E-2</v>
      </c>
      <c r="AE665" s="172">
        <v>-0.156142093599174</v>
      </c>
      <c r="AF665" s="172">
        <v>-0.13058475187135901</v>
      </c>
      <c r="AG665" s="150"/>
      <c r="AI665" s="137">
        <v>4</v>
      </c>
      <c r="AJ665" s="136" t="s">
        <v>256</v>
      </c>
      <c r="AK665" s="142" t="s">
        <v>536</v>
      </c>
      <c r="AL665" s="136" t="s">
        <v>549</v>
      </c>
      <c r="AM665" s="136" t="s">
        <v>558</v>
      </c>
      <c r="AN665" s="1">
        <v>1.9798800000000001</v>
      </c>
      <c r="AO665" s="166">
        <v>0.72957000000000005</v>
      </c>
      <c r="AQ665" t="str">
        <f>_xlfn.XLOOKUP(tblGWP21[[#This Row],[Material Subcategory]],ls_Mat,Factors!$K$952:$K$1023)</f>
        <v>x</v>
      </c>
      <c r="AR665" s="173">
        <v>1</v>
      </c>
      <c r="AS665">
        <v>8.1306407300000008E-2</v>
      </c>
      <c r="AT665" t="s">
        <v>531</v>
      </c>
      <c r="BA665" cm="1">
        <f t="array" ref="BA665:BM665">tblGWP21[#This Row]</f>
        <v>4</v>
      </c>
      <c r="BB665" t="str">
        <v>Metals</v>
      </c>
      <c r="BC665" t="str">
        <v>Ferrous Cans</v>
      </c>
      <c r="BD665" t="str">
        <v>North America</v>
      </c>
      <c r="BE665" t="str">
        <v>Canada</v>
      </c>
      <c r="BF665">
        <v>-1.9798800000000001</v>
      </c>
      <c r="BG665">
        <v>-1.8968017927</v>
      </c>
      <c r="BH665">
        <v>-2.2522385021853868</v>
      </c>
      <c r="BI665" t="str">
        <v>DELETE</v>
      </c>
      <c r="BJ665" t="str">
        <v>DELETE</v>
      </c>
      <c r="BK665">
        <v>2.6020560809673701E-2</v>
      </c>
      <c r="BL665">
        <v>-0.156142093599174</v>
      </c>
      <c r="BM665">
        <v>-0.13058475187135901</v>
      </c>
    </row>
    <row r="666" spans="3:65">
      <c r="C666" s="136">
        <v>4</v>
      </c>
      <c r="D666" s="137" t="s">
        <v>239</v>
      </c>
      <c r="E666" s="136" t="s">
        <v>324</v>
      </c>
      <c r="F666" s="136" t="s">
        <v>549</v>
      </c>
      <c r="G666" s="136" t="s">
        <v>558</v>
      </c>
      <c r="H666" s="191">
        <v>-1.66</v>
      </c>
      <c r="I666" s="191">
        <v>0</v>
      </c>
      <c r="J666" s="191">
        <v>0.234301631229135</v>
      </c>
      <c r="K666" s="191">
        <v>-1.65213383482568</v>
      </c>
      <c r="L666" s="191">
        <v>-2.2423652497529898</v>
      </c>
      <c r="M666" s="191">
        <v>-1.12800829216573</v>
      </c>
      <c r="N666" s="191">
        <v>-0.903746005846506</v>
      </c>
      <c r="O666" s="191">
        <v>2.6682428580345498E-2</v>
      </c>
      <c r="T666" s="48">
        <v>4</v>
      </c>
      <c r="U666" s="46" t="s">
        <v>256</v>
      </c>
      <c r="V666" s="53" t="s">
        <v>257</v>
      </c>
      <c r="W666" s="53" t="s">
        <v>549</v>
      </c>
      <c r="X666" s="53" t="s">
        <v>558</v>
      </c>
      <c r="Y666" s="172">
        <f>IFERROR(-tblZwaste1422[[#This Row],[Weight (kgCO2e/kg)]],0)</f>
        <v>-1.9798800000000001</v>
      </c>
      <c r="Z666" s="172">
        <f>IF(AQ666="x",(AR666*-tblZwaste1422[[#This Row],[Weight (kgCO2e/kg)]])+AS666+($AR$10*Lookups!$J$38/1000),"DELETE")</f>
        <v>-1.8968017927</v>
      </c>
      <c r="AA666" s="176">
        <v>-2.2522385021853868</v>
      </c>
      <c r="AB666" s="172" t="s">
        <v>567</v>
      </c>
      <c r="AC666" s="172" t="s">
        <v>567</v>
      </c>
      <c r="AD666" s="172">
        <v>2.6020560809673701E-2</v>
      </c>
      <c r="AE666" s="172">
        <v>-0.156142093599174</v>
      </c>
      <c r="AF666" s="172">
        <v>-0.13058475187135901</v>
      </c>
      <c r="AG666" s="150"/>
      <c r="AI666" s="137">
        <v>4</v>
      </c>
      <c r="AJ666" s="136" t="s">
        <v>256</v>
      </c>
      <c r="AK666" s="142" t="s">
        <v>257</v>
      </c>
      <c r="AL666" s="136" t="s">
        <v>549</v>
      </c>
      <c r="AM666" s="136" t="s">
        <v>558</v>
      </c>
      <c r="AN666" s="1">
        <v>1.9798800000000001</v>
      </c>
      <c r="AO666" s="166">
        <v>0.46493000000000001</v>
      </c>
      <c r="AQ666" t="str">
        <f>_xlfn.XLOOKUP(tblGWP21[[#This Row],[Material Subcategory]],ls_Mat,Factors!$K$952:$K$1023)</f>
        <v>x</v>
      </c>
      <c r="AR666" s="173">
        <v>1</v>
      </c>
      <c r="AS666">
        <v>8.1306407300000008E-2</v>
      </c>
      <c r="AT666" t="s">
        <v>531</v>
      </c>
      <c r="BA666" cm="1">
        <f t="array" ref="BA666:BM666">tblGWP21[#This Row]</f>
        <v>4</v>
      </c>
      <c r="BB666" t="str">
        <v>Metals</v>
      </c>
      <c r="BC666" t="str">
        <v>Ferrous Metal</v>
      </c>
      <c r="BD666" t="str">
        <v>North America</v>
      </c>
      <c r="BE666" t="str">
        <v>Canada</v>
      </c>
      <c r="BF666">
        <v>-1.9798800000000001</v>
      </c>
      <c r="BG666">
        <v>-1.8968017927</v>
      </c>
      <c r="BH666">
        <v>-2.2522385021853868</v>
      </c>
      <c r="BI666" t="str">
        <v>DELETE</v>
      </c>
      <c r="BJ666" t="str">
        <v>DELETE</v>
      </c>
      <c r="BK666">
        <v>2.6020560809673701E-2</v>
      </c>
      <c r="BL666">
        <v>-0.156142093599174</v>
      </c>
      <c r="BM666">
        <v>-0.13058475187135901</v>
      </c>
    </row>
    <row r="667" spans="3:65">
      <c r="C667" s="362">
        <v>4</v>
      </c>
      <c r="D667" s="363" t="s">
        <v>239</v>
      </c>
      <c r="E667" s="362" t="s">
        <v>272</v>
      </c>
      <c r="F667" s="362" t="s">
        <v>549</v>
      </c>
      <c r="G667" s="362" t="s">
        <v>558</v>
      </c>
      <c r="H667" s="368">
        <v>-2.1278299999999999</v>
      </c>
      <c r="I667" s="368">
        <v>-1.3728063799999999</v>
      </c>
      <c r="J667" s="368">
        <v>-1.2269576243580629E-2</v>
      </c>
      <c r="K667" s="368">
        <v>-1.4789827623174101</v>
      </c>
      <c r="L667" s="368">
        <v>-2.2484314757805302</v>
      </c>
      <c r="M667" s="368">
        <v>2.8719999999999999E-2</v>
      </c>
      <c r="N667" s="368">
        <v>-0.71002125139084304</v>
      </c>
      <c r="O667" s="368">
        <v>3.4584682649234297E-2</v>
      </c>
      <c r="T667" s="48">
        <v>4</v>
      </c>
      <c r="U667" s="46" t="s">
        <v>256</v>
      </c>
      <c r="V667" s="53" t="s">
        <v>537</v>
      </c>
      <c r="W667" s="53" t="s">
        <v>549</v>
      </c>
      <c r="X667" s="53" t="s">
        <v>558</v>
      </c>
      <c r="Y667" s="172">
        <f>IFERROR(-tblZwaste1422[[#This Row],[Weight (kgCO2e/kg)]],0)</f>
        <v>-5.0082800000000001</v>
      </c>
      <c r="Z667" s="172">
        <f>IF(AQ667="x",(AR667*-tblZwaste1422[[#This Row],[Weight (kgCO2e/kg)]])+AS667+($AR$10*Lookups!$J$38/1000),"DELETE")</f>
        <v>-4.9252017927000002</v>
      </c>
      <c r="AA667" s="176">
        <f>-22.3508481796445*0.21739130434</f>
        <v>-4.8588800388782332</v>
      </c>
      <c r="AB667" s="172" t="s">
        <v>567</v>
      </c>
      <c r="AC667" s="172" t="s">
        <v>567</v>
      </c>
      <c r="AD667" s="172">
        <v>2.5860000000000001E-2</v>
      </c>
      <c r="AE667" s="172">
        <v>-5.5605851397864399E-2</v>
      </c>
      <c r="AF667" s="172">
        <v>-4.8315555256272298E-2</v>
      </c>
      <c r="AG667" s="150"/>
      <c r="AI667" s="137">
        <v>4</v>
      </c>
      <c r="AJ667" s="136" t="s">
        <v>256</v>
      </c>
      <c r="AK667" s="142" t="s">
        <v>537</v>
      </c>
      <c r="AL667" s="136" t="s">
        <v>549</v>
      </c>
      <c r="AM667" s="136" t="s">
        <v>558</v>
      </c>
      <c r="AN667" s="1">
        <v>5.0082800000000001</v>
      </c>
      <c r="AO667" s="166">
        <v>1.54878</v>
      </c>
      <c r="AQ667" t="str">
        <f>_xlfn.XLOOKUP(tblGWP21[[#This Row],[Material Subcategory]],ls_Mat,Factors!$K$952:$K$1023)</f>
        <v>x</v>
      </c>
      <c r="AR667" s="173">
        <v>1</v>
      </c>
      <c r="AS667">
        <v>8.1306407300000008E-2</v>
      </c>
      <c r="AT667" t="s">
        <v>531</v>
      </c>
      <c r="AU667" t="s">
        <v>526</v>
      </c>
      <c r="AV667" s="347">
        <v>0.7</v>
      </c>
      <c r="BA667" cm="1">
        <f t="array" ref="BA667:BM667">tblGWP21[#This Row]</f>
        <v>4</v>
      </c>
      <c r="BB667" t="str">
        <v>Metals</v>
      </c>
      <c r="BC667" t="str">
        <v>Aluminum Cans</v>
      </c>
      <c r="BD667" t="str">
        <v>North America</v>
      </c>
      <c r="BE667" t="str">
        <v>Canada</v>
      </c>
      <c r="BF667">
        <v>-5.0082800000000001</v>
      </c>
      <c r="BG667">
        <v>-4.9252017927000002</v>
      </c>
      <c r="BH667">
        <v>-4.8588800388782332</v>
      </c>
      <c r="BI667" t="str">
        <v>DELETE</v>
      </c>
      <c r="BJ667" t="str">
        <v>DELETE</v>
      </c>
      <c r="BK667">
        <v>2.5860000000000001E-2</v>
      </c>
      <c r="BL667">
        <v>-5.5605851397864399E-2</v>
      </c>
      <c r="BM667">
        <v>-4.8315555256272298E-2</v>
      </c>
    </row>
    <row r="668" spans="3:65">
      <c r="C668" s="136">
        <v>4</v>
      </c>
      <c r="D668" s="137" t="s">
        <v>239</v>
      </c>
      <c r="E668" s="136" t="s">
        <v>329</v>
      </c>
      <c r="F668" s="136" t="s">
        <v>549</v>
      </c>
      <c r="G668" s="136" t="s">
        <v>558</v>
      </c>
      <c r="H668" s="191">
        <v>-3.4792200000000002</v>
      </c>
      <c r="I668" s="191">
        <v>0</v>
      </c>
      <c r="J668" s="191">
        <v>-3.038961016348765</v>
      </c>
      <c r="K668" s="191">
        <v>-1.60160728030095</v>
      </c>
      <c r="L668" s="191">
        <v>-2.4887035951540901</v>
      </c>
      <c r="M668" s="191">
        <v>0.46522140139433599</v>
      </c>
      <c r="N668" s="191">
        <v>-0.71253458198150998</v>
      </c>
      <c r="O668" s="191">
        <v>3.7247173994654E-2</v>
      </c>
      <c r="T668" s="48">
        <v>4</v>
      </c>
      <c r="U668" s="46" t="s">
        <v>256</v>
      </c>
      <c r="V668" s="53" t="s">
        <v>538</v>
      </c>
      <c r="W668" s="53" t="s">
        <v>549</v>
      </c>
      <c r="X668" s="53" t="s">
        <v>558</v>
      </c>
      <c r="Y668" s="172">
        <f>IFERROR(-tblZwaste1422[[#This Row],[Weight (kgCO2e/kg)]],0)</f>
        <v>-4.6396800000000002</v>
      </c>
      <c r="Z668" s="172" t="str">
        <f>IF(AQ668="x",(AR668*-tblZwaste1422[[#This Row],[Weight (kgCO2e/kg)]])+AS668+($AR$10*Lookups!$J$38/1000),"DELETE")</f>
        <v>DELETE</v>
      </c>
      <c r="AA668" s="176" t="s">
        <v>567</v>
      </c>
      <c r="AB668" s="172" t="s">
        <v>567</v>
      </c>
      <c r="AC668" s="172" t="s">
        <v>567</v>
      </c>
      <c r="AD668" s="172">
        <v>2.5860000000000001E-2</v>
      </c>
      <c r="AE668" s="172">
        <v>-5.2170194595506002E-2</v>
      </c>
      <c r="AF668" s="172">
        <v>-4.8315555256272298E-2</v>
      </c>
      <c r="AG668" s="150"/>
      <c r="AI668" s="137">
        <v>4</v>
      </c>
      <c r="AJ668" s="136" t="s">
        <v>256</v>
      </c>
      <c r="AK668" s="142" t="s">
        <v>538</v>
      </c>
      <c r="AL668" s="136" t="s">
        <v>549</v>
      </c>
      <c r="AM668" s="136" t="s">
        <v>558</v>
      </c>
      <c r="AN668" s="1">
        <v>4.6396800000000002</v>
      </c>
      <c r="AO668" s="166">
        <v>1.54878</v>
      </c>
      <c r="AQ668">
        <f>_xlfn.XLOOKUP(tblGWP21[[#This Row],[Material Subcategory]],ls_Mat,Factors!$K$952:$K$1023)</f>
        <v>0</v>
      </c>
      <c r="AR668" s="173"/>
      <c r="AU668" t="s">
        <v>526</v>
      </c>
      <c r="AV668" s="347">
        <v>0.65</v>
      </c>
      <c r="BA668" cm="1">
        <f t="array" ref="BA668:BM668">tblGWP21[#This Row]</f>
        <v>4</v>
      </c>
      <c r="BB668" t="str">
        <v>Metals</v>
      </c>
      <c r="BC668" t="str">
        <v>Aluminum Foil</v>
      </c>
      <c r="BD668" t="str">
        <v>North America</v>
      </c>
      <c r="BE668" t="str">
        <v>Canada</v>
      </c>
      <c r="BF668">
        <v>-4.6396800000000002</v>
      </c>
      <c r="BG668" t="str">
        <v>DELETE</v>
      </c>
      <c r="BH668" t="str">
        <v>DELETE</v>
      </c>
      <c r="BI668" t="str">
        <v>DELETE</v>
      </c>
      <c r="BJ668" t="str">
        <v>DELETE</v>
      </c>
      <c r="BK668">
        <v>2.5860000000000001E-2</v>
      </c>
      <c r="BL668">
        <v>-5.2170194595506002E-2</v>
      </c>
      <c r="BM668">
        <v>-4.8315555256272298E-2</v>
      </c>
    </row>
    <row r="669" spans="3:65">
      <c r="C669" s="362">
        <v>4</v>
      </c>
      <c r="D669" s="363" t="s">
        <v>239</v>
      </c>
      <c r="E669" s="362" t="s">
        <v>271</v>
      </c>
      <c r="F669" s="362" t="s">
        <v>549</v>
      </c>
      <c r="G669" s="362" t="s">
        <v>558</v>
      </c>
      <c r="H669" s="368">
        <v>-3.1045600000000002</v>
      </c>
      <c r="I669" s="368">
        <v>0</v>
      </c>
      <c r="J669" s="368">
        <v>-0.92096265472513195</v>
      </c>
      <c r="K669" s="368">
        <v>-1.5169178191689101</v>
      </c>
      <c r="L669" s="368">
        <v>-2.5947973767447099</v>
      </c>
      <c r="M669" s="368">
        <v>-0.66058111749095905</v>
      </c>
      <c r="N669" s="368">
        <v>-0.67860109704184801</v>
      </c>
      <c r="O669" s="368">
        <v>4.03916276490624E-2</v>
      </c>
      <c r="T669" s="48">
        <v>4</v>
      </c>
      <c r="U669" s="46" t="s">
        <v>256</v>
      </c>
      <c r="V669" s="53" t="s">
        <v>258</v>
      </c>
      <c r="W669" s="53" t="s">
        <v>549</v>
      </c>
      <c r="X669" s="53" t="s">
        <v>558</v>
      </c>
      <c r="Y669" s="172">
        <f>IFERROR(-tblZwaste1422[[#This Row],[Weight (kgCO2e/kg)]],0)</f>
        <v>-4.6396800000000002</v>
      </c>
      <c r="Z669" s="172">
        <f>IF(AQ669="x",(AR669*-tblZwaste1422[[#This Row],[Weight (kgCO2e/kg)]])+AS669+($AR$10*Lookups!$J$38/1000),"DELETE")</f>
        <v>-4.5566017927000004</v>
      </c>
      <c r="AA669" s="176">
        <f>-21.6666385414922*0.21739130434</f>
        <v>-4.7101388131983049</v>
      </c>
      <c r="AB669" s="172" t="s">
        <v>567</v>
      </c>
      <c r="AC669" s="172" t="s">
        <v>567</v>
      </c>
      <c r="AD669" s="172">
        <v>2.5860000000000001E-2</v>
      </c>
      <c r="AE669" s="172">
        <v>-5.5605851397862401E-2</v>
      </c>
      <c r="AF669" s="172">
        <v>-4.8315555256272298E-2</v>
      </c>
      <c r="AG669" s="150"/>
      <c r="AI669" s="137">
        <v>4</v>
      </c>
      <c r="AJ669" s="136" t="s">
        <v>256</v>
      </c>
      <c r="AK669" s="142" t="s">
        <v>258</v>
      </c>
      <c r="AL669" s="136" t="s">
        <v>549</v>
      </c>
      <c r="AM669" s="136" t="s">
        <v>558</v>
      </c>
      <c r="AN669" s="1">
        <v>4.6396800000000002</v>
      </c>
      <c r="AO669" s="166">
        <v>1.54878</v>
      </c>
      <c r="AQ669" t="str">
        <f>_xlfn.XLOOKUP(tblGWP21[[#This Row],[Material Subcategory]],ls_Mat,Factors!$K$952:$K$1023)</f>
        <v>x</v>
      </c>
      <c r="AR669" s="173">
        <v>1</v>
      </c>
      <c r="AS669">
        <v>8.1306407300000008E-2</v>
      </c>
      <c r="AT669" t="s">
        <v>531</v>
      </c>
      <c r="BA669" cm="1">
        <f t="array" ref="BA669:BM669">tblGWP21[#This Row]</f>
        <v>4</v>
      </c>
      <c r="BB669" t="str">
        <v>Metals</v>
      </c>
      <c r="BC669" t="str">
        <v>Other Aluminum</v>
      </c>
      <c r="BD669" t="str">
        <v>North America</v>
      </c>
      <c r="BE669" t="str">
        <v>Canada</v>
      </c>
      <c r="BF669">
        <v>-4.6396800000000002</v>
      </c>
      <c r="BG669">
        <v>-4.5566017927000004</v>
      </c>
      <c r="BH669">
        <v>-4.7101388131983049</v>
      </c>
      <c r="BI669" t="str">
        <v>DELETE</v>
      </c>
      <c r="BJ669" t="str">
        <v>DELETE</v>
      </c>
      <c r="BK669">
        <v>2.5860000000000001E-2</v>
      </c>
      <c r="BL669">
        <v>-5.5605851397862401E-2</v>
      </c>
      <c r="BM669">
        <v>-4.8315555256272298E-2</v>
      </c>
    </row>
    <row r="670" spans="3:65">
      <c r="C670" s="136">
        <v>4</v>
      </c>
      <c r="D670" s="137" t="s">
        <v>239</v>
      </c>
      <c r="E670" s="136" t="s">
        <v>535</v>
      </c>
      <c r="F670" s="136" t="s">
        <v>549</v>
      </c>
      <c r="G670" s="136" t="s">
        <v>558</v>
      </c>
      <c r="H670" s="191">
        <v>-3.1045600000000002</v>
      </c>
      <c r="I670" s="191">
        <v>0</v>
      </c>
      <c r="J670" s="191">
        <v>-0.92096265472513195</v>
      </c>
      <c r="K670" s="191">
        <v>-1.6255597381762901</v>
      </c>
      <c r="L670" s="191">
        <v>-2.60310077339253</v>
      </c>
      <c r="M670" s="191">
        <v>-0.85849804034267496</v>
      </c>
      <c r="N670" s="191">
        <v>-0.756282708361248</v>
      </c>
      <c r="O670" s="191">
        <v>2.9212528272995499E-2</v>
      </c>
      <c r="T670" s="48">
        <v>4</v>
      </c>
      <c r="U670" s="46" t="s">
        <v>247</v>
      </c>
      <c r="V670" s="53" t="s">
        <v>247</v>
      </c>
      <c r="W670" s="53" t="s">
        <v>549</v>
      </c>
      <c r="X670" s="53" t="s">
        <v>558</v>
      </c>
      <c r="Y670" s="172">
        <f>IFERROR(-tblZwaste1422[[#This Row],[Weight (kgCO2e/kg)]],0)</f>
        <v>-1.0505633333333335</v>
      </c>
      <c r="Z670" s="172">
        <f>IF(AQ670="x",(AR670*-tblZwaste1422[[#This Row],[Weight (kgCO2e/kg)]])+AS670+($AR$10*Lookups!$J$38/1000),"DELETE")</f>
        <v>-0.96748512603333348</v>
      </c>
      <c r="AA670" s="176">
        <v>-0.31518851283969629</v>
      </c>
      <c r="AB670" s="172" t="s">
        <v>567</v>
      </c>
      <c r="AC670" s="172" t="s">
        <v>567</v>
      </c>
      <c r="AD670" s="172">
        <v>2.6020575147430499E-2</v>
      </c>
      <c r="AE670" s="172">
        <v>3.1199540828438E-2</v>
      </c>
      <c r="AF670" s="172">
        <v>4.8913581033072001E-2</v>
      </c>
      <c r="AG670" s="150"/>
      <c r="AI670" s="137">
        <v>4</v>
      </c>
      <c r="AJ670" s="136" t="s">
        <v>247</v>
      </c>
      <c r="AK670" s="142" t="s">
        <v>247</v>
      </c>
      <c r="AL670" s="136" t="s">
        <v>549</v>
      </c>
      <c r="AM670" s="136" t="s">
        <v>558</v>
      </c>
      <c r="AN670" s="1">
        <v>1.0505633333333335</v>
      </c>
      <c r="AO670" s="166">
        <v>0.89563000000000004</v>
      </c>
      <c r="AQ670" t="str">
        <f>_xlfn.XLOOKUP(tblGWP21[[#This Row],[Material Subcategory]],ls_Mat,Factors!$K$952:$K$1023)</f>
        <v>x</v>
      </c>
      <c r="AR670" s="173">
        <v>1</v>
      </c>
      <c r="AS670">
        <v>8.1306407300000008E-2</v>
      </c>
      <c r="AT670" t="s">
        <v>531</v>
      </c>
      <c r="BA670" cm="1">
        <f t="array" ref="BA670:BM670">tblGWP21[#This Row]</f>
        <v>4</v>
      </c>
      <c r="BB670" t="str">
        <v>Glass</v>
      </c>
      <c r="BC670" t="str">
        <v>Glass</v>
      </c>
      <c r="BD670" t="str">
        <v>North America</v>
      </c>
      <c r="BE670" t="str">
        <v>Canada</v>
      </c>
      <c r="BF670">
        <v>-1.0505633333333335</v>
      </c>
      <c r="BG670">
        <v>-0.96748512603333348</v>
      </c>
      <c r="BH670">
        <v>-0.31518851283969629</v>
      </c>
      <c r="BI670" t="str">
        <v>DELETE</v>
      </c>
      <c r="BJ670" t="str">
        <v>DELETE</v>
      </c>
      <c r="BK670">
        <v>2.6020575147430499E-2</v>
      </c>
      <c r="BL670">
        <v>3.1199540828438E-2</v>
      </c>
      <c r="BM670">
        <v>4.8913581033072001E-2</v>
      </c>
    </row>
    <row r="671" spans="3:65">
      <c r="C671" s="362">
        <v>4</v>
      </c>
      <c r="D671" s="363" t="s">
        <v>239</v>
      </c>
      <c r="E671" s="362" t="s">
        <v>259</v>
      </c>
      <c r="F671" s="362" t="s">
        <v>549</v>
      </c>
      <c r="G671" s="362" t="s">
        <v>558</v>
      </c>
      <c r="H671" s="368">
        <v>-2.86965</v>
      </c>
      <c r="I671" s="368">
        <v>0</v>
      </c>
      <c r="J671" s="368">
        <v>-0.92096265472513195</v>
      </c>
      <c r="K671" s="368">
        <v>-1.34053895096424</v>
      </c>
      <c r="L671" s="368">
        <v>-2.0226989122499601</v>
      </c>
      <c r="M671" s="368">
        <v>-0.366079444831788</v>
      </c>
      <c r="N671" s="368">
        <v>-0.61578846946730303</v>
      </c>
      <c r="O671" s="368">
        <v>2.8420275292329902E-2</v>
      </c>
      <c r="T671" s="48">
        <v>4</v>
      </c>
      <c r="U671" s="46" t="s">
        <v>247</v>
      </c>
      <c r="V671" s="53" t="s">
        <v>248</v>
      </c>
      <c r="W671" s="53" t="s">
        <v>549</v>
      </c>
      <c r="X671" s="53" t="s">
        <v>558</v>
      </c>
      <c r="Y671" s="172">
        <f>IFERROR(-tblZwaste1422[[#This Row],[Weight (kgCO2e/kg)]],0)</f>
        <v>-1.0606100000000001</v>
      </c>
      <c r="Z671" s="172">
        <f>IF(AQ671="x",(AR671*-tblZwaste1422[[#This Row],[Weight (kgCO2e/kg)]])+AS671+($AR$10*Lookups!$J$38/1000),"DELETE")</f>
        <v>-0.97753179270000001</v>
      </c>
      <c r="AA671" s="176">
        <v>-0.16868730070099602</v>
      </c>
      <c r="AB671" s="172" t="s">
        <v>567</v>
      </c>
      <c r="AC671" s="172" t="s">
        <v>567</v>
      </c>
      <c r="AD671" s="172">
        <v>2.6020581126967899E-2</v>
      </c>
      <c r="AE671" s="172">
        <v>3.4899994453012999E-2</v>
      </c>
      <c r="AF671" s="172">
        <v>4.8912397427465303E-2</v>
      </c>
      <c r="AG671" s="150"/>
      <c r="AI671" s="137">
        <v>4</v>
      </c>
      <c r="AJ671" s="136" t="s">
        <v>247</v>
      </c>
      <c r="AK671" s="142" t="s">
        <v>248</v>
      </c>
      <c r="AL671" s="136" t="s">
        <v>549</v>
      </c>
      <c r="AM671" s="136" t="s">
        <v>558</v>
      </c>
      <c r="AN671" s="1">
        <v>1.0606100000000001</v>
      </c>
      <c r="AO671" s="166">
        <v>0.89563000000000004</v>
      </c>
      <c r="AQ671" t="str">
        <f>_xlfn.XLOOKUP(tblGWP21[[#This Row],[Material Subcategory]],ls_Mat,Factors!$K$952:$K$1023)</f>
        <v>x</v>
      </c>
      <c r="AR671" s="173">
        <v>1</v>
      </c>
      <c r="AS671">
        <v>8.1306407300000008E-2</v>
      </c>
      <c r="AT671" t="s">
        <v>531</v>
      </c>
      <c r="BA671" cm="1">
        <f t="array" ref="BA671:BM671">tblGWP21[#This Row]</f>
        <v>4</v>
      </c>
      <c r="BB671" t="str">
        <v>Glass</v>
      </c>
      <c r="BC671" t="str">
        <v>Glass – Brown</v>
      </c>
      <c r="BD671" t="str">
        <v>North America</v>
      </c>
      <c r="BE671" t="str">
        <v>Canada</v>
      </c>
      <c r="BF671">
        <v>-1.0606100000000001</v>
      </c>
      <c r="BG671">
        <v>-0.97753179270000001</v>
      </c>
      <c r="BH671">
        <v>-0.16868730070099602</v>
      </c>
      <c r="BI671" t="str">
        <v>DELETE</v>
      </c>
      <c r="BJ671" t="str">
        <v>DELETE</v>
      </c>
      <c r="BK671">
        <v>2.6020581126967899E-2</v>
      </c>
      <c r="BL671">
        <v>3.4899994453012999E-2</v>
      </c>
      <c r="BM671">
        <v>4.8912397427465303E-2</v>
      </c>
    </row>
    <row r="672" spans="3:65">
      <c r="C672" s="136">
        <v>4</v>
      </c>
      <c r="D672" s="137" t="s">
        <v>239</v>
      </c>
      <c r="E672" s="136" t="s">
        <v>334</v>
      </c>
      <c r="F672" s="136" t="s">
        <v>549</v>
      </c>
      <c r="G672" s="136" t="s">
        <v>558</v>
      </c>
      <c r="H672" s="191">
        <v>-2.86965</v>
      </c>
      <c r="I672" s="191">
        <v>0</v>
      </c>
      <c r="J672" s="191">
        <v>-0.92096265472513195</v>
      </c>
      <c r="K672" s="191">
        <v>-1.75105100217061</v>
      </c>
      <c r="L672" s="191">
        <v>-2.48475903965713</v>
      </c>
      <c r="M672" s="191">
        <v>-0.30162234737156601</v>
      </c>
      <c r="N672" s="191">
        <v>-0.89979840137378397</v>
      </c>
      <c r="O672" s="191">
        <v>2.6389695912937799E-2</v>
      </c>
      <c r="T672" s="48">
        <v>4</v>
      </c>
      <c r="U672" s="46" t="s">
        <v>247</v>
      </c>
      <c r="V672" s="53" t="s">
        <v>263</v>
      </c>
      <c r="W672" s="53" t="s">
        <v>549</v>
      </c>
      <c r="X672" s="53" t="s">
        <v>558</v>
      </c>
      <c r="Y672" s="172">
        <f>IFERROR(-tblZwaste1422[[#This Row],[Weight (kgCO2e/kg)]],0)</f>
        <v>-1.0341199999999999</v>
      </c>
      <c r="Z672" s="172">
        <f>IF(AQ672="x",(AR672*-tblZwaste1422[[#This Row],[Weight (kgCO2e/kg)]])+AS672+($AR$10*Lookups!$J$38/1000),"DELETE")</f>
        <v>-0.95104179269999989</v>
      </c>
      <c r="AA672" s="176">
        <v>-0.16868730070099602</v>
      </c>
      <c r="AB672" s="172" t="s">
        <v>567</v>
      </c>
      <c r="AC672" s="172" t="s">
        <v>567</v>
      </c>
      <c r="AD672" s="172">
        <v>2.6020584832524899E-2</v>
      </c>
      <c r="AE672" s="172">
        <v>3.7118279597290103E-2</v>
      </c>
      <c r="AF672" s="172">
        <v>4.8912472995603598E-2</v>
      </c>
      <c r="AG672" s="150"/>
      <c r="AI672" s="137">
        <v>4</v>
      </c>
      <c r="AJ672" s="136" t="s">
        <v>247</v>
      </c>
      <c r="AK672" s="142" t="s">
        <v>263</v>
      </c>
      <c r="AL672" s="136" t="s">
        <v>549</v>
      </c>
      <c r="AM672" s="136" t="s">
        <v>558</v>
      </c>
      <c r="AN672" s="1">
        <v>1.0341199999999999</v>
      </c>
      <c r="AO672" s="166">
        <v>0.89563000000000004</v>
      </c>
      <c r="AQ672" t="str">
        <f>_xlfn.XLOOKUP(tblGWP21[[#This Row],[Material Subcategory]],ls_Mat,Factors!$K$952:$K$1023)</f>
        <v>x</v>
      </c>
      <c r="AR672" s="173">
        <v>1</v>
      </c>
      <c r="AS672">
        <v>8.1306407300000008E-2</v>
      </c>
      <c r="AT672" t="s">
        <v>531</v>
      </c>
      <c r="BA672" cm="1">
        <f t="array" ref="BA672:BM672">tblGWP21[#This Row]</f>
        <v>4</v>
      </c>
      <c r="BB672" t="str">
        <v>Glass</v>
      </c>
      <c r="BC672" t="str">
        <v>Glass – Green</v>
      </c>
      <c r="BD672" t="str">
        <v>North America</v>
      </c>
      <c r="BE672" t="str">
        <v>Canada</v>
      </c>
      <c r="BF672">
        <v>-1.0341199999999999</v>
      </c>
      <c r="BG672">
        <v>-0.95104179269999989</v>
      </c>
      <c r="BH672">
        <v>-0.16868730070099602</v>
      </c>
      <c r="BI672" t="str">
        <v>DELETE</v>
      </c>
      <c r="BJ672" t="str">
        <v>DELETE</v>
      </c>
      <c r="BK672">
        <v>2.6020584832524899E-2</v>
      </c>
      <c r="BL672">
        <v>3.7118279597290103E-2</v>
      </c>
      <c r="BM672">
        <v>4.8912472995603598E-2</v>
      </c>
    </row>
    <row r="673" spans="3:65">
      <c r="C673" s="362">
        <v>4</v>
      </c>
      <c r="D673" s="363" t="s">
        <v>239</v>
      </c>
      <c r="E673" s="362" t="s">
        <v>240</v>
      </c>
      <c r="F673" s="362" t="s">
        <v>549</v>
      </c>
      <c r="G673" s="362" t="s">
        <v>558</v>
      </c>
      <c r="H673" s="368">
        <v>-3.1045600000000002</v>
      </c>
      <c r="I673" s="368">
        <v>0</v>
      </c>
      <c r="J673" s="368">
        <v>0</v>
      </c>
      <c r="K673" s="368">
        <v>-1.77980746178516</v>
      </c>
      <c r="L673" s="368">
        <v>-2.55405977724527</v>
      </c>
      <c r="M673" s="368">
        <v>-0.68549336215416401</v>
      </c>
      <c r="N673" s="368">
        <v>0.515858565437744</v>
      </c>
      <c r="O673" s="368">
        <v>2.36701220577836</v>
      </c>
      <c r="T673" s="48">
        <v>4</v>
      </c>
      <c r="U673" s="46" t="s">
        <v>247</v>
      </c>
      <c r="V673" s="53" t="s">
        <v>539</v>
      </c>
      <c r="W673" s="53" t="s">
        <v>549</v>
      </c>
      <c r="X673" s="53" t="s">
        <v>558</v>
      </c>
      <c r="Y673" s="172">
        <f>IFERROR(-tblZwaste1422[[#This Row],[Weight (kgCO2e/kg)]],0)</f>
        <v>-1.0569599999999999</v>
      </c>
      <c r="Z673" s="172">
        <f>IF(AQ673="x",(AR673*-tblZwaste1422[[#This Row],[Weight (kgCO2e/kg)]])+AS673+($AR$10*Lookups!$J$38/1000),"DELETE")</f>
        <v>-0.97388179269999986</v>
      </c>
      <c r="AA673" s="176">
        <v>-0.17401426809155382</v>
      </c>
      <c r="AB673" s="172" t="s">
        <v>567</v>
      </c>
      <c r="AC673" s="172" t="s">
        <v>567</v>
      </c>
      <c r="AD673" s="172">
        <v>2.6020565471455401E-2</v>
      </c>
      <c r="AE673" s="172">
        <v>2.5239377345235198E-2</v>
      </c>
      <c r="AF673" s="172">
        <v>4.8914855785742298E-2</v>
      </c>
      <c r="AG673" s="150"/>
      <c r="AI673" s="137">
        <v>4</v>
      </c>
      <c r="AJ673" s="136" t="s">
        <v>247</v>
      </c>
      <c r="AK673" s="142" t="s">
        <v>539</v>
      </c>
      <c r="AL673" s="136" t="s">
        <v>549</v>
      </c>
      <c r="AM673" s="136" t="s">
        <v>558</v>
      </c>
      <c r="AN673" s="1">
        <v>1.0569599999999999</v>
      </c>
      <c r="AO673" s="166">
        <v>0.89563000000000004</v>
      </c>
      <c r="AQ673" t="str">
        <f>_xlfn.XLOOKUP(tblGWP21[[#This Row],[Material Subcategory]],ls_Mat,Factors!$K$952:$K$1023)</f>
        <v>x</v>
      </c>
      <c r="AR673" s="173">
        <v>1</v>
      </c>
      <c r="AS673">
        <v>8.1306407300000008E-2</v>
      </c>
      <c r="AT673" t="s">
        <v>531</v>
      </c>
      <c r="AU673" t="s">
        <v>526</v>
      </c>
      <c r="AV673" s="347">
        <v>0.5</v>
      </c>
      <c r="BA673" cm="1">
        <f t="array" ref="BA673:BM673">tblGWP21[#This Row]</f>
        <v>4</v>
      </c>
      <c r="BB673" t="str">
        <v>Glass</v>
      </c>
      <c r="BC673" t="str">
        <v>Glass – Clear</v>
      </c>
      <c r="BD673" t="str">
        <v>North America</v>
      </c>
      <c r="BE673" t="str">
        <v>Canada</v>
      </c>
      <c r="BF673">
        <v>-1.0569599999999999</v>
      </c>
      <c r="BG673">
        <v>-0.97388179269999986</v>
      </c>
      <c r="BH673">
        <v>-0.17401426809155382</v>
      </c>
      <c r="BI673" t="str">
        <v>DELETE</v>
      </c>
      <c r="BJ673" t="str">
        <v>DELETE</v>
      </c>
      <c r="BK673">
        <v>2.6020565471455401E-2</v>
      </c>
      <c r="BL673">
        <v>2.5239377345235198E-2</v>
      </c>
      <c r="BM673">
        <v>4.8914855785742298E-2</v>
      </c>
    </row>
    <row r="674" spans="3:65" ht="28.8">
      <c r="C674" s="136">
        <v>4</v>
      </c>
      <c r="D674" s="137" t="s">
        <v>239</v>
      </c>
      <c r="E674" s="136" t="s">
        <v>325</v>
      </c>
      <c r="F674" s="136" t="s">
        <v>549</v>
      </c>
      <c r="G674" s="136" t="s">
        <v>558</v>
      </c>
      <c r="H674" s="191">
        <v>-1.66</v>
      </c>
      <c r="I674" s="191">
        <v>0</v>
      </c>
      <c r="J674" s="191">
        <v>0</v>
      </c>
      <c r="K674" s="191">
        <v>-1.6415798386896601</v>
      </c>
      <c r="L674" s="191">
        <v>-2.38786328467627</v>
      </c>
      <c r="M674" s="191">
        <v>-0.643826267470201</v>
      </c>
      <c r="N674" s="191">
        <v>-0.83111541500928499</v>
      </c>
      <c r="O674" s="191">
        <v>2.74714713689365E-2</v>
      </c>
      <c r="T674" s="48">
        <v>4</v>
      </c>
      <c r="U674" s="46" t="s">
        <v>247</v>
      </c>
      <c r="V674" s="53" t="s">
        <v>270</v>
      </c>
      <c r="W674" s="53" t="s">
        <v>549</v>
      </c>
      <c r="X674" s="53" t="s">
        <v>558</v>
      </c>
      <c r="Y674" s="172">
        <f>IFERROR(-tblZwaste1422[[#This Row],[Weight (kgCO2e/kg)]],0)</f>
        <v>-1.0505633333333335</v>
      </c>
      <c r="Z674" s="172">
        <f>IF(AQ674="x",(AR674*-tblZwaste1422[[#This Row],[Weight (kgCO2e/kg)]])+AS674+($AR$10*Lookups!$J$38/1000),"DELETE")</f>
        <v>-0.96748512603333348</v>
      </c>
      <c r="AA674" s="176">
        <v>-0.31518851283969629</v>
      </c>
      <c r="AB674" s="172" t="s">
        <v>567</v>
      </c>
      <c r="AC674" s="172" t="s">
        <v>567</v>
      </c>
      <c r="AD674" s="172">
        <v>2.6020575147430499E-2</v>
      </c>
      <c r="AE674" s="172">
        <v>3.1199540828438E-2</v>
      </c>
      <c r="AF674" s="172">
        <v>4.8913581033072001E-2</v>
      </c>
      <c r="AG674" s="150"/>
      <c r="AI674" s="137">
        <v>4</v>
      </c>
      <c r="AJ674" s="136" t="s">
        <v>247</v>
      </c>
      <c r="AK674" s="142" t="s">
        <v>270</v>
      </c>
      <c r="AL674" s="136" t="s">
        <v>549</v>
      </c>
      <c r="AM674" s="136" t="s">
        <v>558</v>
      </c>
      <c r="AN674" s="1">
        <v>1.0505633333333335</v>
      </c>
      <c r="AO674" s="166">
        <v>0.89563000000000004</v>
      </c>
      <c r="AQ674" t="str">
        <f>_xlfn.XLOOKUP(tblGWP21[[#This Row],[Material Subcategory]],ls_Mat,Factors!$K$952:$K$1023)</f>
        <v>x</v>
      </c>
      <c r="AR674" s="173">
        <v>1</v>
      </c>
      <c r="AS674">
        <v>8.1306407300000008E-2</v>
      </c>
      <c r="AT674" t="s">
        <v>531</v>
      </c>
      <c r="BA674" cm="1">
        <f t="array" ref="BA674:BM674">tblGWP21[#This Row]</f>
        <v>4</v>
      </c>
      <c r="BB674" t="str">
        <v>Glass</v>
      </c>
      <c r="BC674" t="str">
        <v>Mixed Glass</v>
      </c>
      <c r="BD674" t="str">
        <v>North America</v>
      </c>
      <c r="BE674" t="str">
        <v>Canada</v>
      </c>
      <c r="BF674">
        <v>-1.0505633333333335</v>
      </c>
      <c r="BG674">
        <v>-0.96748512603333348</v>
      </c>
      <c r="BH674">
        <v>-0.31518851283969629</v>
      </c>
      <c r="BI674" t="str">
        <v>DELETE</v>
      </c>
      <c r="BJ674" t="str">
        <v>DELETE</v>
      </c>
      <c r="BK674">
        <v>2.6020575147430499E-2</v>
      </c>
      <c r="BL674">
        <v>3.1199540828438E-2</v>
      </c>
      <c r="BM674">
        <v>4.8913581033072001E-2</v>
      </c>
    </row>
    <row r="675" spans="3:65">
      <c r="C675" s="362">
        <v>4</v>
      </c>
      <c r="D675" s="363" t="s">
        <v>256</v>
      </c>
      <c r="E675" s="362" t="s">
        <v>256</v>
      </c>
      <c r="F675" s="362" t="s">
        <v>549</v>
      </c>
      <c r="G675" s="362" t="s">
        <v>558</v>
      </c>
      <c r="H675" s="368">
        <v>-3.3097799999999999</v>
      </c>
      <c r="I675" s="368">
        <v>-3.2267017926999997</v>
      </c>
      <c r="J675" s="368">
        <v>-12.301543340914964</v>
      </c>
      <c r="K675" s="368">
        <v>0</v>
      </c>
      <c r="L675" s="368">
        <v>0</v>
      </c>
      <c r="M675" s="368">
        <v>2.5940280404836851E-2</v>
      </c>
      <c r="N675" s="368">
        <v>-0.10587397249851919</v>
      </c>
      <c r="O675" s="368">
        <v>-8.9450153563815651E-2</v>
      </c>
      <c r="T675" s="48">
        <v>4</v>
      </c>
      <c r="U675" s="46" t="s">
        <v>247</v>
      </c>
      <c r="V675" s="53" t="s">
        <v>540</v>
      </c>
      <c r="W675" s="53" t="s">
        <v>549</v>
      </c>
      <c r="X675" s="53" t="s">
        <v>558</v>
      </c>
      <c r="Y675" s="172">
        <f>IFERROR(-tblZwaste1422[[#This Row],[Weight (kgCO2e/kg)]],0)</f>
        <v>-1.0473650000000001</v>
      </c>
      <c r="Z675" s="172">
        <f>IF(AQ675="x",(AR675*-tblZwaste1422[[#This Row],[Weight (kgCO2e/kg)]])+AS675+($AR$10*Lookups!$J$38/1000),"DELETE")</f>
        <v>-0.96428679270000006</v>
      </c>
      <c r="AA675" s="176" t="s">
        <v>567</v>
      </c>
      <c r="AB675" s="172" t="s">
        <v>567</v>
      </c>
      <c r="AC675" s="172" t="s">
        <v>567</v>
      </c>
      <c r="AD675" s="172">
        <v>2.6020558698611501E-2</v>
      </c>
      <c r="AE675" s="172">
        <v>2.7457142334285201E-2</v>
      </c>
      <c r="AF675" s="172">
        <v>4.8914411198653501E-2</v>
      </c>
      <c r="AG675" s="150"/>
      <c r="AI675" s="137">
        <v>4</v>
      </c>
      <c r="AJ675" s="136" t="s">
        <v>247</v>
      </c>
      <c r="AK675" s="142" t="s">
        <v>540</v>
      </c>
      <c r="AL675" s="136" t="s">
        <v>549</v>
      </c>
      <c r="AM675" s="136" t="s">
        <v>558</v>
      </c>
      <c r="AN675" s="1">
        <v>1.0473650000000001</v>
      </c>
      <c r="AO675" s="166">
        <v>0.89563000000000004</v>
      </c>
      <c r="AQ675" t="str">
        <f>_xlfn.XLOOKUP(tblGWP21[[#This Row],[Material Subcategory]],ls_Mat,Factors!$K$952:$K$1023)</f>
        <v>x</v>
      </c>
      <c r="AR675" s="173">
        <v>1</v>
      </c>
      <c r="AS675">
        <v>8.1306407300000008E-2</v>
      </c>
      <c r="AT675" t="s">
        <v>531</v>
      </c>
      <c r="BA675" cm="1">
        <f t="array" ref="BA675:BM675">tblGWP21[#This Row]</f>
        <v>4</v>
      </c>
      <c r="BB675" t="str">
        <v>Glass</v>
      </c>
      <c r="BC675" t="str">
        <v>Glass – Non-Recyclable</v>
      </c>
      <c r="BD675" t="str">
        <v>North America</v>
      </c>
      <c r="BE675" t="str">
        <v>Canada</v>
      </c>
      <c r="BF675">
        <v>-1.0473650000000001</v>
      </c>
      <c r="BG675">
        <v>-0.96428679270000006</v>
      </c>
      <c r="BH675" t="str">
        <v>DELETE</v>
      </c>
      <c r="BI675" t="str">
        <v>DELETE</v>
      </c>
      <c r="BJ675" t="str">
        <v>DELETE</v>
      </c>
      <c r="BK675">
        <v>2.6020558698611501E-2</v>
      </c>
      <c r="BL675">
        <v>2.7457142334285201E-2</v>
      </c>
      <c r="BM675">
        <v>4.8914411198653501E-2</v>
      </c>
    </row>
    <row r="676" spans="3:65">
      <c r="C676" s="136">
        <v>4</v>
      </c>
      <c r="D676" s="137" t="s">
        <v>256</v>
      </c>
      <c r="E676" s="136" t="s">
        <v>536</v>
      </c>
      <c r="F676" s="136" t="s">
        <v>549</v>
      </c>
      <c r="G676" s="136" t="s">
        <v>558</v>
      </c>
      <c r="H676" s="191">
        <v>-1.9798800000000001</v>
      </c>
      <c r="I676" s="191">
        <v>-1.8968017927</v>
      </c>
      <c r="J676" s="191">
        <v>-2.2522385021853868</v>
      </c>
      <c r="K676" s="191">
        <v>0</v>
      </c>
      <c r="L676" s="191">
        <v>0</v>
      </c>
      <c r="M676" s="191">
        <v>2.6020560809673701E-2</v>
      </c>
      <c r="N676" s="191">
        <v>-0.156142093599174</v>
      </c>
      <c r="O676" s="191">
        <v>-0.13058475187135901</v>
      </c>
      <c r="T676" s="48">
        <v>4</v>
      </c>
      <c r="U676" s="46" t="s">
        <v>261</v>
      </c>
      <c r="V676" s="53" t="s">
        <v>260</v>
      </c>
      <c r="W676" s="53" t="s">
        <v>549</v>
      </c>
      <c r="X676" s="53" t="s">
        <v>558</v>
      </c>
      <c r="Y676" s="172">
        <f>IFERROR(-tblZwaste1422[[#This Row],[Weight (kgCO2e/kg)]],0)</f>
        <v>-4.0364225925925927</v>
      </c>
      <c r="Z676" s="172" t="str">
        <f>IF(AQ676="x",(AR676*-tblZwaste1422[[#This Row],[Weight (kgCO2e/kg)]])+AS676+($AR$10*Lookups!$J$38/1000),"DELETE")</f>
        <v>DELETE</v>
      </c>
      <c r="AA676" s="176" t="s">
        <v>567</v>
      </c>
      <c r="AB676" s="172">
        <v>-0.50423989943139302</v>
      </c>
      <c r="AC676" s="172">
        <v>-0.86510382829593002</v>
      </c>
      <c r="AD676" s="172">
        <v>-0.17342071309468199</v>
      </c>
      <c r="AE676" s="172">
        <v>-0.23697148541270599</v>
      </c>
      <c r="AF676" s="172">
        <v>2.7529322985474499E-2</v>
      </c>
      <c r="AG676" s="150"/>
      <c r="AI676" s="137">
        <v>4</v>
      </c>
      <c r="AJ676" s="136" t="s">
        <v>529</v>
      </c>
      <c r="AK676" s="142" t="s">
        <v>260</v>
      </c>
      <c r="AL676" s="136" t="s">
        <v>549</v>
      </c>
      <c r="AM676" s="136" t="s">
        <v>558</v>
      </c>
      <c r="AN676" s="1">
        <v>4.0364225925925927</v>
      </c>
      <c r="AO676" s="166">
        <v>1.3856655555555555</v>
      </c>
      <c r="AQ676">
        <f>_xlfn.XLOOKUP(tblGWP21[[#This Row],[Material Subcategory]],ls_Mat,Factors!$K$952:$K$1023)</f>
        <v>0</v>
      </c>
      <c r="AR676" s="173"/>
      <c r="BA676" cm="1">
        <f t="array" ref="BA676:BM676">tblGWP21[#This Row]</f>
        <v>4</v>
      </c>
      <c r="BB676" t="str">
        <v>Food Waste</v>
      </c>
      <c r="BC676" t="str">
        <v>Mixed Organics</v>
      </c>
      <c r="BD676" t="str">
        <v>North America</v>
      </c>
      <c r="BE676" t="str">
        <v>Canada</v>
      </c>
      <c r="BF676">
        <v>-4.0364225925925927</v>
      </c>
      <c r="BG676" t="str">
        <v>DELETE</v>
      </c>
      <c r="BH676" t="str">
        <v>DELETE</v>
      </c>
      <c r="BI676">
        <v>-0.50423989943139302</v>
      </c>
      <c r="BJ676">
        <v>-0.86510382829593002</v>
      </c>
      <c r="BK676">
        <v>-0.17342071309468199</v>
      </c>
      <c r="BL676">
        <v>-0.23697148541270599</v>
      </c>
      <c r="BM676">
        <v>2.7529322985474499E-2</v>
      </c>
    </row>
    <row r="677" spans="3:65">
      <c r="C677" s="362">
        <v>4</v>
      </c>
      <c r="D677" s="363" t="s">
        <v>256</v>
      </c>
      <c r="E677" s="362" t="s">
        <v>257</v>
      </c>
      <c r="F677" s="362" t="s">
        <v>549</v>
      </c>
      <c r="G677" s="362" t="s">
        <v>558</v>
      </c>
      <c r="H677" s="368">
        <v>-1.9798800000000001</v>
      </c>
      <c r="I677" s="368">
        <v>-1.8968017927</v>
      </c>
      <c r="J677" s="368">
        <v>-2.2522385021853868</v>
      </c>
      <c r="K677" s="368">
        <v>0</v>
      </c>
      <c r="L677" s="368">
        <v>0</v>
      </c>
      <c r="M677" s="368">
        <v>2.6020560809673701E-2</v>
      </c>
      <c r="N677" s="368">
        <v>-0.156142093599174</v>
      </c>
      <c r="O677" s="368">
        <v>-0.13058475187135901</v>
      </c>
      <c r="T677" s="48">
        <v>4</v>
      </c>
      <c r="U677" s="46" t="s">
        <v>237</v>
      </c>
      <c r="V677" s="53" t="s">
        <v>237</v>
      </c>
      <c r="W677" s="53" t="s">
        <v>549</v>
      </c>
      <c r="X677" s="53" t="s">
        <v>558</v>
      </c>
      <c r="Y677" s="172">
        <f>IFERROR(-tblZwaste1422[[#This Row],[Weight (kgCO2e/kg)]],0)</f>
        <v>-2.8533815875203707</v>
      </c>
      <c r="Z677" s="172" t="e">
        <f>IF(AQ677="x",(AR677*-tblZwaste1422[[#This Row],[Weight (kgCO2e/kg)]])+AS677+($AR$10*Lookups!$J$38/1000),"DELETE")</f>
        <v>#N/A</v>
      </c>
      <c r="AA677" s="172" t="s">
        <v>567</v>
      </c>
      <c r="AB677" s="172" t="s">
        <v>567</v>
      </c>
      <c r="AC677" s="172" t="s">
        <v>567</v>
      </c>
      <c r="AD677" s="172">
        <v>-0.46503487183485148</v>
      </c>
      <c r="AE677" s="172">
        <v>-0.53284575355442299</v>
      </c>
      <c r="AF677" s="172">
        <v>2.7968441365560735E-2</v>
      </c>
      <c r="AG677" s="150"/>
      <c r="AI677" s="137">
        <v>4</v>
      </c>
      <c r="AJ677" s="136" t="s">
        <v>237</v>
      </c>
      <c r="AK677" s="142" t="s">
        <v>237</v>
      </c>
      <c r="AL677" s="136" t="s">
        <v>549</v>
      </c>
      <c r="AM677" s="136" t="s">
        <v>558</v>
      </c>
      <c r="AN677" s="1">
        <v>2.8533815875203707</v>
      </c>
      <c r="AO677" s="166">
        <v>1.0711602172222223</v>
      </c>
      <c r="AQ677" t="e">
        <f>_xlfn.XLOOKUP(tblGWP21[[#This Row],[Material Subcategory]],ls_Mat,Factors!$K$952:$K$1023)</f>
        <v>#N/A</v>
      </c>
      <c r="AR677" s="173">
        <v>0.5</v>
      </c>
      <c r="AS677">
        <v>0</v>
      </c>
      <c r="AT677" t="s">
        <v>527</v>
      </c>
      <c r="BA677" cm="1">
        <f t="array" ref="BA677:BM677">tblGWP21[#This Row]</f>
        <v>4</v>
      </c>
      <c r="BB677" t="str">
        <v>Mixed/Custom</v>
      </c>
      <c r="BC677" t="str">
        <v>Mixed/Custom</v>
      </c>
      <c r="BD677" t="str">
        <v>North America</v>
      </c>
      <c r="BE677" t="str">
        <v>Canada</v>
      </c>
      <c r="BF677">
        <v>-2.8533815875203707</v>
      </c>
      <c r="BG677" t="e">
        <v>#N/A</v>
      </c>
      <c r="BH677" t="str">
        <v>DELETE</v>
      </c>
      <c r="BI677" t="str">
        <v>DELETE</v>
      </c>
      <c r="BJ677" t="str">
        <v>DELETE</v>
      </c>
      <c r="BK677">
        <v>-0.46503487183485148</v>
      </c>
      <c r="BL677">
        <v>-0.53284575355442299</v>
      </c>
      <c r="BM677">
        <v>2.7968441365560735E-2</v>
      </c>
    </row>
    <row r="678" spans="3:65">
      <c r="C678" s="136">
        <v>4</v>
      </c>
      <c r="D678" s="137" t="s">
        <v>256</v>
      </c>
      <c r="E678" s="136" t="s">
        <v>537</v>
      </c>
      <c r="F678" s="136" t="s">
        <v>549</v>
      </c>
      <c r="G678" s="136" t="s">
        <v>558</v>
      </c>
      <c r="H678" s="191">
        <v>-5.0082800000000001</v>
      </c>
      <c r="I678" s="191">
        <v>-4.9252017927000002</v>
      </c>
      <c r="J678" s="191">
        <v>-4.8588800388782332</v>
      </c>
      <c r="K678" s="191">
        <v>0</v>
      </c>
      <c r="L678" s="191">
        <v>0</v>
      </c>
      <c r="M678" s="191">
        <v>2.5860000000000001E-2</v>
      </c>
      <c r="N678" s="191">
        <v>-5.5605851397864399E-2</v>
      </c>
      <c r="O678" s="191">
        <v>-4.8315555256272298E-2</v>
      </c>
      <c r="T678" s="48">
        <v>4</v>
      </c>
      <c r="U678" s="46" t="s">
        <v>237</v>
      </c>
      <c r="V678" s="53" t="s">
        <v>246</v>
      </c>
      <c r="W678" s="53" t="s">
        <v>549</v>
      </c>
      <c r="X678" s="53" t="s">
        <v>558</v>
      </c>
      <c r="Y678" s="172">
        <f>IFERROR(-tblZwaste1422[[#This Row],[Weight (kgCO2e/kg)]],0)</f>
        <v>-7.3412433500000009</v>
      </c>
      <c r="Z678" s="172" t="str">
        <f>IF(AQ678="x",(AR678*-tblZwaste1422[[#This Row],[Weight (kgCO2e/kg)]])+AS678+($AR$10*Lookups!$J$38/1000),"DELETE")</f>
        <v>DELETE</v>
      </c>
      <c r="AA678" s="176" t="s">
        <v>567</v>
      </c>
      <c r="AB678" s="172" t="s">
        <v>567</v>
      </c>
      <c r="AC678" s="172" t="s">
        <v>567</v>
      </c>
      <c r="AD678" s="172">
        <v>2.6020609411450499E-2</v>
      </c>
      <c r="AE678" s="172">
        <v>4.1873157686421497E-2</v>
      </c>
      <c r="AF678" s="172">
        <v>4.8912064305887397E-2</v>
      </c>
      <c r="AG678" s="150"/>
      <c r="AI678" s="137">
        <v>4</v>
      </c>
      <c r="AJ678" s="136" t="s">
        <v>237</v>
      </c>
      <c r="AK678" s="142" t="s">
        <v>246</v>
      </c>
      <c r="AL678" s="136" t="s">
        <v>549</v>
      </c>
      <c r="AM678" s="136" t="s">
        <v>558</v>
      </c>
      <c r="AN678" s="1">
        <v>7.3412433500000009</v>
      </c>
      <c r="AO678" s="166">
        <v>0.66842500000000005</v>
      </c>
      <c r="AQ678">
        <f>_xlfn.XLOOKUP(tblGWP21[[#This Row],[Material Subcategory]],ls_Mat,Factors!$K$952:$K$1023)</f>
        <v>0</v>
      </c>
      <c r="AR678" s="173"/>
      <c r="BA678" cm="1">
        <f t="array" ref="BA678:BM678">tblGWP21[#This Row]</f>
        <v>4</v>
      </c>
      <c r="BB678" t="str">
        <v>Mixed/Custom</v>
      </c>
      <c r="BC678" t="str">
        <v>Mixed Inorganics</v>
      </c>
      <c r="BD678" t="str">
        <v>North America</v>
      </c>
      <c r="BE678" t="str">
        <v>Canada</v>
      </c>
      <c r="BF678">
        <v>-7.3412433500000009</v>
      </c>
      <c r="BG678" t="str">
        <v>DELETE</v>
      </c>
      <c r="BH678" t="str">
        <v>DELETE</v>
      </c>
      <c r="BI678" t="str">
        <v>DELETE</v>
      </c>
      <c r="BJ678" t="str">
        <v>DELETE</v>
      </c>
      <c r="BK678">
        <v>2.6020609411450499E-2</v>
      </c>
      <c r="BL678">
        <v>4.1873157686421497E-2</v>
      </c>
      <c r="BM678">
        <v>4.8912064305887397E-2</v>
      </c>
    </row>
    <row r="679" spans="3:65">
      <c r="C679" s="362">
        <v>4</v>
      </c>
      <c r="D679" s="363" t="s">
        <v>256</v>
      </c>
      <c r="E679" s="362" t="s">
        <v>538</v>
      </c>
      <c r="F679" s="362" t="s">
        <v>549</v>
      </c>
      <c r="G679" s="362" t="s">
        <v>558</v>
      </c>
      <c r="H679" s="368">
        <v>-4.6396800000000002</v>
      </c>
      <c r="I679" s="368">
        <v>0</v>
      </c>
      <c r="J679" s="368">
        <v>0</v>
      </c>
      <c r="K679" s="368">
        <v>0</v>
      </c>
      <c r="L679" s="368">
        <v>0</v>
      </c>
      <c r="M679" s="368">
        <v>2.5860000000000001E-2</v>
      </c>
      <c r="N679" s="368">
        <v>-5.2170194595506002E-2</v>
      </c>
      <c r="O679" s="368">
        <v>-4.8315555256272298E-2</v>
      </c>
      <c r="T679" s="48">
        <v>4</v>
      </c>
      <c r="U679" s="46" t="s">
        <v>237</v>
      </c>
      <c r="V679" s="53" t="s">
        <v>243</v>
      </c>
      <c r="W679" s="53" t="s">
        <v>549</v>
      </c>
      <c r="X679" s="53" t="s">
        <v>558</v>
      </c>
      <c r="Y679" s="172">
        <f>IFERROR(-tblZwaste1422[[#This Row],[Weight (kgCO2e/kg)]],0)</f>
        <v>-2.8533815875203707</v>
      </c>
      <c r="Z679" s="172" t="e">
        <f>IF(AQ679="x",(AR679*-tblZwaste1422[[#This Row],[Weight (kgCO2e/kg)]])+AS679+($AR$10*Lookups!$J$38/1000),"DELETE")</f>
        <v>#N/A</v>
      </c>
      <c r="AA679" s="176" t="s">
        <v>567</v>
      </c>
      <c r="AB679" s="172">
        <v>-1.0338813023467011</v>
      </c>
      <c r="AC679" s="172">
        <v>-1.5965070572258286</v>
      </c>
      <c r="AD679" s="172">
        <v>-0.46503487183485148</v>
      </c>
      <c r="AE679" s="172">
        <v>-0.53284575355442299</v>
      </c>
      <c r="AF679" s="172">
        <v>2.7968441365560735E-2</v>
      </c>
      <c r="AG679" s="150"/>
      <c r="AI679" s="137">
        <v>4</v>
      </c>
      <c r="AJ679" s="136" t="s">
        <v>237</v>
      </c>
      <c r="AK679" s="142" t="s">
        <v>243</v>
      </c>
      <c r="AL679" s="136" t="s">
        <v>549</v>
      </c>
      <c r="AM679" s="136" t="s">
        <v>558</v>
      </c>
      <c r="AN679" s="1">
        <v>2.8533815875203707</v>
      </c>
      <c r="AO679" s="166">
        <v>1.0711602172222223</v>
      </c>
      <c r="AQ679" t="e">
        <f>_xlfn.XLOOKUP(tblGWP21[[#This Row],[Material Subcategory]],ls_Mat,Factors!$K$952:$K$1023)</f>
        <v>#N/A</v>
      </c>
      <c r="AR679" s="173"/>
      <c r="BA679" cm="1">
        <f t="array" ref="BA679:BM679">tblGWP21[#This Row]</f>
        <v>4</v>
      </c>
      <c r="BB679" t="str">
        <v>Mixed/Custom</v>
      </c>
      <c r="BC679" t="str">
        <v>Mixed MSW</v>
      </c>
      <c r="BD679" t="str">
        <v>North America</v>
      </c>
      <c r="BE679" t="str">
        <v>Canada</v>
      </c>
      <c r="BF679">
        <v>-2.8533815875203707</v>
      </c>
      <c r="BG679" t="e">
        <v>#N/A</v>
      </c>
      <c r="BH679" t="str">
        <v>DELETE</v>
      </c>
      <c r="BI679">
        <v>-1.0338813023467011</v>
      </c>
      <c r="BJ679">
        <v>-1.5965070572258286</v>
      </c>
      <c r="BK679">
        <v>-0.46503487183485148</v>
      </c>
      <c r="BL679">
        <v>-0.53284575355442299</v>
      </c>
      <c r="BM679">
        <v>2.7968441365560735E-2</v>
      </c>
    </row>
    <row r="680" spans="3:65">
      <c r="C680" s="136">
        <v>4</v>
      </c>
      <c r="D680" s="137" t="s">
        <v>256</v>
      </c>
      <c r="E680" s="136" t="s">
        <v>258</v>
      </c>
      <c r="F680" s="136" t="s">
        <v>549</v>
      </c>
      <c r="G680" s="136" t="s">
        <v>558</v>
      </c>
      <c r="H680" s="191">
        <v>-4.6396800000000002</v>
      </c>
      <c r="I680" s="191">
        <v>-4.5566017927000004</v>
      </c>
      <c r="J680" s="191">
        <v>-4.7101388131983049</v>
      </c>
      <c r="K680" s="191">
        <v>0</v>
      </c>
      <c r="L680" s="191">
        <v>0</v>
      </c>
      <c r="M680" s="191">
        <v>2.5860000000000001E-2</v>
      </c>
      <c r="N680" s="191">
        <v>-5.5605851397862401E-2</v>
      </c>
      <c r="O680" s="191">
        <v>-4.8315555256272298E-2</v>
      </c>
      <c r="T680" s="48">
        <v>4</v>
      </c>
      <c r="U680" s="46" t="s">
        <v>252</v>
      </c>
      <c r="V680" s="53" t="s">
        <v>333</v>
      </c>
      <c r="W680" s="53" t="s">
        <v>549</v>
      </c>
      <c r="X680" s="53" t="s">
        <v>558</v>
      </c>
      <c r="Y680" s="172">
        <f>IFERROR(-tblZwaste1422[[#This Row],[Weight (kgCO2e/kg)]],0)</f>
        <v>-2.0953266666666663</v>
      </c>
      <c r="Z680" s="172" t="str">
        <f>IF(AQ680="x",(AR680*-tblZwaste1422[[#This Row],[Weight (kgCO2e/kg)]])+AS680+($AR$10*Lookups!$J$38/1000),"DELETE")</f>
        <v>DELETE</v>
      </c>
      <c r="AA680" s="176">
        <v>-4.4031481762585392</v>
      </c>
      <c r="AB680" s="172" t="s">
        <v>567</v>
      </c>
      <c r="AC680" s="172" t="s">
        <v>567</v>
      </c>
      <c r="AD680" s="172">
        <v>2.6020581888276301E-2</v>
      </c>
      <c r="AE680" s="172">
        <v>0.64367971618426401</v>
      </c>
      <c r="AF680" s="172">
        <v>2.1870243665261602</v>
      </c>
      <c r="AG680" s="150"/>
      <c r="AI680" s="137">
        <v>4</v>
      </c>
      <c r="AJ680" s="136" t="s">
        <v>252</v>
      </c>
      <c r="AK680" s="142" t="s">
        <v>333</v>
      </c>
      <c r="AL680" s="136" t="s">
        <v>549</v>
      </c>
      <c r="AM680" s="136" t="s">
        <v>558</v>
      </c>
      <c r="AN680" s="1">
        <v>2.0953266666666663</v>
      </c>
      <c r="AO680" s="166">
        <v>1.77911</v>
      </c>
      <c r="AQ680">
        <f>_xlfn.XLOOKUP(tblGWP21[[#This Row],[Material Subcategory]],ls_Mat,Factors!$K$952:$K$1023)</f>
        <v>0</v>
      </c>
      <c r="AR680" s="173"/>
      <c r="BA680" cm="1">
        <f t="array" ref="BA680:BM680">tblGWP21[#This Row]</f>
        <v>4</v>
      </c>
      <c r="BB680" t="str">
        <v>Plastics</v>
      </c>
      <c r="BC680" t="str">
        <v>Mixed Plastics</v>
      </c>
      <c r="BD680" t="str">
        <v>North America</v>
      </c>
      <c r="BE680" t="str">
        <v>Canada</v>
      </c>
      <c r="BF680">
        <v>-2.0953266666666663</v>
      </c>
      <c r="BG680" t="str">
        <v>DELETE</v>
      </c>
      <c r="BH680">
        <v>-4.4031481762585392</v>
      </c>
      <c r="BI680" t="str">
        <v>DELETE</v>
      </c>
      <c r="BJ680" t="str">
        <v>DELETE</v>
      </c>
      <c r="BK680">
        <v>2.6020581888276301E-2</v>
      </c>
      <c r="BL680">
        <v>0.64367971618426401</v>
      </c>
      <c r="BM680">
        <v>2.1870243665261602</v>
      </c>
    </row>
    <row r="681" spans="3:65">
      <c r="C681" s="362">
        <v>4</v>
      </c>
      <c r="D681" s="363" t="s">
        <v>247</v>
      </c>
      <c r="E681" s="362" t="s">
        <v>247</v>
      </c>
      <c r="F681" s="362" t="s">
        <v>549</v>
      </c>
      <c r="G681" s="362" t="s">
        <v>558</v>
      </c>
      <c r="H681" s="368">
        <v>-1.0505633333333335</v>
      </c>
      <c r="I681" s="368">
        <v>-0.96748512603333348</v>
      </c>
      <c r="J681" s="368">
        <v>-0.31518851283969629</v>
      </c>
      <c r="K681" s="368">
        <v>0</v>
      </c>
      <c r="L681" s="368">
        <v>0</v>
      </c>
      <c r="M681" s="368">
        <v>2.6020575147430499E-2</v>
      </c>
      <c r="N681" s="368">
        <v>3.1199540828438E-2</v>
      </c>
      <c r="O681" s="368">
        <v>4.8913581033072001E-2</v>
      </c>
      <c r="T681" s="48">
        <v>4</v>
      </c>
      <c r="U681" s="46" t="s">
        <v>239</v>
      </c>
      <c r="V681" s="53" t="s">
        <v>542</v>
      </c>
      <c r="W681" s="53" t="s">
        <v>549</v>
      </c>
      <c r="X681" s="53" t="s">
        <v>558</v>
      </c>
      <c r="Y681" s="172">
        <f>IFERROR(-tblZwaste1422[[#This Row],[Weight (kgCO2e/kg)]],0)</f>
        <v>-2.6644477777777777</v>
      </c>
      <c r="Z681" s="172" t="str">
        <f>IF(AQ681="x",(AR681*-tblZwaste1422[[#This Row],[Weight (kgCO2e/kg)]])+AS681+($AR$10*Lookups!$J$38/1000),"DELETE")</f>
        <v>DELETE</v>
      </c>
      <c r="AA681" s="176">
        <v>-0.81863347086678395</v>
      </c>
      <c r="AB681" s="172">
        <v>-1.6415798386896601</v>
      </c>
      <c r="AC681" s="172">
        <v>-2.38786328467627</v>
      </c>
      <c r="AD681" s="172">
        <v>-0.643826267470201</v>
      </c>
      <c r="AE681" s="172">
        <v>-0.83111541500928499</v>
      </c>
      <c r="AF681" s="172">
        <v>2.74714713689365E-2</v>
      </c>
      <c r="AG681" s="150"/>
      <c r="AI681" s="137">
        <v>4</v>
      </c>
      <c r="AJ681" s="136" t="s">
        <v>239</v>
      </c>
      <c r="AK681" s="142" t="s">
        <v>542</v>
      </c>
      <c r="AL681" s="136" t="s">
        <v>549</v>
      </c>
      <c r="AM681" s="136" t="s">
        <v>558</v>
      </c>
      <c r="AN681" s="1">
        <v>2.6644477777777777</v>
      </c>
      <c r="AO681" s="166">
        <v>0.64099666666666666</v>
      </c>
      <c r="AQ681">
        <f>_xlfn.XLOOKUP(tblGWP21[[#This Row],[Material Subcategory]],ls_Mat,Factors!$K$952:$K$1023)</f>
        <v>0</v>
      </c>
      <c r="BA681" cm="1">
        <f t="array" ref="BA681:BM681">tblGWP21[#This Row]</f>
        <v>4</v>
      </c>
      <c r="BB681" t="str">
        <v>Paper</v>
      </c>
      <c r="BC681" t="str">
        <v>Mixed Paper</v>
      </c>
      <c r="BD681" t="str">
        <v>North America</v>
      </c>
      <c r="BE681" t="str">
        <v>Canada</v>
      </c>
      <c r="BF681">
        <v>-2.6644477777777777</v>
      </c>
      <c r="BG681" t="str">
        <v>DELETE</v>
      </c>
      <c r="BH681">
        <v>-0.81863347086678395</v>
      </c>
      <c r="BI681">
        <v>-1.6415798386896601</v>
      </c>
      <c r="BJ681">
        <v>-2.38786328467627</v>
      </c>
      <c r="BK681">
        <v>-0.643826267470201</v>
      </c>
      <c r="BL681">
        <v>-0.83111541500928499</v>
      </c>
      <c r="BM681">
        <v>2.74714713689365E-2</v>
      </c>
    </row>
    <row r="682" spans="3:65">
      <c r="C682" s="136">
        <v>4</v>
      </c>
      <c r="D682" s="137" t="s">
        <v>247</v>
      </c>
      <c r="E682" s="136" t="s">
        <v>248</v>
      </c>
      <c r="F682" s="136" t="s">
        <v>549</v>
      </c>
      <c r="G682" s="136" t="s">
        <v>558</v>
      </c>
      <c r="H682" s="191">
        <v>-1.0606100000000001</v>
      </c>
      <c r="I682" s="191">
        <v>-0.97753179270000001</v>
      </c>
      <c r="J682" s="191">
        <v>-0.16868730070099602</v>
      </c>
      <c r="K682" s="191">
        <v>0</v>
      </c>
      <c r="L682" s="191">
        <v>0</v>
      </c>
      <c r="M682" s="191">
        <v>2.6020581126967899E-2</v>
      </c>
      <c r="N682" s="191">
        <v>3.4899994453012999E-2</v>
      </c>
      <c r="O682" s="191">
        <v>4.8912397427465303E-2</v>
      </c>
      <c r="T682" s="48">
        <v>4</v>
      </c>
      <c r="U682" s="46" t="s">
        <v>237</v>
      </c>
      <c r="V682" s="53" t="s">
        <v>238</v>
      </c>
      <c r="W682" s="53" t="s">
        <v>549</v>
      </c>
      <c r="X682" s="53" t="s">
        <v>558</v>
      </c>
      <c r="Y682" s="172">
        <f>IFERROR(-tblZwaste1422[[#This Row],[Weight (kgCO2e/kg)]],0)</f>
        <v>-2.7046544444444445</v>
      </c>
      <c r="Z682" s="172" t="str">
        <f>IF(AQ682="x",(AR682*-tblZwaste1422[[#This Row],[Weight (kgCO2e/kg)]])+AS682+($AR$10*Lookups!$J$38/1000),"DELETE")</f>
        <v>DELETE</v>
      </c>
      <c r="AA682" s="176" t="s">
        <v>567</v>
      </c>
      <c r="AB682" s="172" t="s">
        <v>567</v>
      </c>
      <c r="AC682" s="172" t="s">
        <v>567</v>
      </c>
      <c r="AD682" s="172">
        <v>-0.14146120750741434</v>
      </c>
      <c r="AE682" s="172">
        <v>-6.5527532623775545E-2</v>
      </c>
      <c r="AF682" s="172">
        <v>0.54348981634108828</v>
      </c>
      <c r="AG682" s="150"/>
      <c r="AI682" s="137">
        <v>4</v>
      </c>
      <c r="AJ682" s="136" t="s">
        <v>237</v>
      </c>
      <c r="AK682" s="142" t="s">
        <v>238</v>
      </c>
      <c r="AL682" s="136" t="s">
        <v>549</v>
      </c>
      <c r="AM682" s="136" t="s">
        <v>558</v>
      </c>
      <c r="AN682" s="1">
        <v>2.7046544444444445</v>
      </c>
      <c r="AO682" s="166">
        <v>1.2161291666666667</v>
      </c>
      <c r="AQ682">
        <f>_xlfn.XLOOKUP(tblGWP21[[#This Row],[Material Subcategory]],ls_Mat,Factors!$K$952:$K$1023)</f>
        <v>0</v>
      </c>
      <c r="BA682" cm="1">
        <f t="array" ref="BA682:BM682">tblGWP21[#This Row]</f>
        <v>4</v>
      </c>
      <c r="BB682" t="str">
        <v>Mixed/Custom</v>
      </c>
      <c r="BC682" t="str">
        <v>Mixed Recycling</v>
      </c>
      <c r="BD682" t="str">
        <v>North America</v>
      </c>
      <c r="BE682" t="str">
        <v>Canada</v>
      </c>
      <c r="BF682">
        <v>-2.7046544444444445</v>
      </c>
      <c r="BG682" t="str">
        <v>DELETE</v>
      </c>
      <c r="BH682" t="str">
        <v>DELETE</v>
      </c>
      <c r="BI682" t="str">
        <v>DELETE</v>
      </c>
      <c r="BJ682" t="str">
        <v>DELETE</v>
      </c>
      <c r="BK682">
        <v>-0.14146120750741434</v>
      </c>
      <c r="BL682">
        <v>-6.5527532623775545E-2</v>
      </c>
      <c r="BM682">
        <v>0.54348981634108828</v>
      </c>
    </row>
    <row r="683" spans="3:65">
      <c r="C683" s="362">
        <v>4</v>
      </c>
      <c r="D683" s="363" t="s">
        <v>247</v>
      </c>
      <c r="E683" s="362" t="s">
        <v>263</v>
      </c>
      <c r="F683" s="362" t="s">
        <v>549</v>
      </c>
      <c r="G683" s="362" t="s">
        <v>558</v>
      </c>
      <c r="H683" s="368">
        <v>-1.0341199999999999</v>
      </c>
      <c r="I683" s="368">
        <v>-0.95104179269999989</v>
      </c>
      <c r="J683" s="368">
        <v>-0.16868730070099602</v>
      </c>
      <c r="K683" s="368">
        <v>0</v>
      </c>
      <c r="L683" s="368">
        <v>0</v>
      </c>
      <c r="M683" s="368">
        <v>2.6020584832524899E-2</v>
      </c>
      <c r="N683" s="368">
        <v>3.7118279597290103E-2</v>
      </c>
      <c r="O683" s="368">
        <v>4.8912472995603598E-2</v>
      </c>
      <c r="T683" s="48">
        <v>4</v>
      </c>
      <c r="U683" s="46" t="s">
        <v>264</v>
      </c>
      <c r="V683" s="53" t="s">
        <v>264</v>
      </c>
      <c r="W683" s="53" t="s">
        <v>549</v>
      </c>
      <c r="X683" s="53" t="s">
        <v>558</v>
      </c>
      <c r="Y683" s="172">
        <f>IFERROR(-tblZwaste1422[[#This Row],[Weight (kgCO2e/kg)]],0)</f>
        <v>-1.9287117500000002</v>
      </c>
      <c r="Z683" s="172" t="e">
        <f>IF(AQ683="x",(AR683*-tblZwaste1422[[#This Row],[Weight (kgCO2e/kg)]])+AS683+($AR$10*Lookups!$J$38/1000),"DELETE")</f>
        <v>#N/A</v>
      </c>
      <c r="AA683" s="172">
        <f>AA687</f>
        <v>0.15112249999999994</v>
      </c>
      <c r="AB683" s="172" t="s">
        <v>567</v>
      </c>
      <c r="AC683" s="172" t="s">
        <v>567</v>
      </c>
      <c r="AD683" s="172">
        <v>-0.33953850371566618</v>
      </c>
      <c r="AE683" s="172">
        <v>-0.47637865227812282</v>
      </c>
      <c r="AF683" s="172">
        <v>0.46010090249823976</v>
      </c>
      <c r="AG683" s="150"/>
      <c r="AI683" s="137">
        <v>4</v>
      </c>
      <c r="AJ683" s="136" t="s">
        <v>264</v>
      </c>
      <c r="AK683" s="142" t="s">
        <v>264</v>
      </c>
      <c r="AL683" s="136" t="s">
        <v>549</v>
      </c>
      <c r="AM683" s="136" t="s">
        <v>558</v>
      </c>
      <c r="AN683" s="1">
        <v>1.9287117500000002</v>
      </c>
      <c r="AO683" s="166">
        <v>0.467055</v>
      </c>
      <c r="AQ683" t="e">
        <f>_xlfn.XLOOKUP(tblGWP21[[#This Row],[Material Subcategory]],ls_Mat,Factors!$K$952:$K$1023)</f>
        <v>#N/A</v>
      </c>
      <c r="AR683" s="173">
        <v>0.65</v>
      </c>
      <c r="AS683">
        <v>0.14482945764999999</v>
      </c>
      <c r="AT683" t="s">
        <v>541</v>
      </c>
      <c r="BA683" cm="1">
        <f t="array" ref="BA683:BM683">tblGWP21[#This Row]</f>
        <v>4</v>
      </c>
      <c r="BB683" t="str">
        <v>Furniture/Textiles</v>
      </c>
      <c r="BC683" t="str">
        <v>Furniture/Textiles</v>
      </c>
      <c r="BD683" t="str">
        <v>North America</v>
      </c>
      <c r="BE683" t="str">
        <v>Canada</v>
      </c>
      <c r="BF683">
        <v>-1.9287117500000002</v>
      </c>
      <c r="BG683" t="e">
        <v>#N/A</v>
      </c>
      <c r="BH683">
        <v>0.15112249999999994</v>
      </c>
      <c r="BI683" t="str">
        <v>DELETE</v>
      </c>
      <c r="BJ683" t="str">
        <v>DELETE</v>
      </c>
      <c r="BK683">
        <v>-0.33953850371566618</v>
      </c>
      <c r="BL683">
        <v>-0.47637865227812282</v>
      </c>
      <c r="BM683">
        <v>0.46010090249823976</v>
      </c>
    </row>
    <row r="684" spans="3:65">
      <c r="C684" s="136">
        <v>4</v>
      </c>
      <c r="D684" s="137" t="s">
        <v>247</v>
      </c>
      <c r="E684" s="136" t="s">
        <v>539</v>
      </c>
      <c r="F684" s="136" t="s">
        <v>549</v>
      </c>
      <c r="G684" s="136" t="s">
        <v>558</v>
      </c>
      <c r="H684" s="191">
        <v>-1.0569599999999999</v>
      </c>
      <c r="I684" s="191">
        <v>-0.97388179269999986</v>
      </c>
      <c r="J684" s="191">
        <v>-0.17401426809155382</v>
      </c>
      <c r="K684" s="191">
        <v>0</v>
      </c>
      <c r="L684" s="191">
        <v>0</v>
      </c>
      <c r="M684" s="191">
        <v>2.6020565471455401E-2</v>
      </c>
      <c r="N684" s="191">
        <v>2.5239377345235198E-2</v>
      </c>
      <c r="O684" s="191">
        <v>4.8914855785742298E-2</v>
      </c>
      <c r="T684" s="48">
        <v>4</v>
      </c>
      <c r="U684" s="46" t="s">
        <v>264</v>
      </c>
      <c r="V684" s="53" t="s">
        <v>336</v>
      </c>
      <c r="W684" s="53" t="s">
        <v>549</v>
      </c>
      <c r="X684" s="53" t="s">
        <v>558</v>
      </c>
      <c r="Y684" s="172">
        <f>IFERROR(-tblZwaste1422[[#This Row],[Weight (kgCO2e/kg)]],0)</f>
        <v>-0.76351350000000007</v>
      </c>
      <c r="Z684" s="172">
        <f>IF(AQ684="x",(AR684*-tblZwaste1422[[#This Row],[Weight (kgCO2e/kg)]])+AS684+($AR$10*Lookups!$J$38/1000),"DELETE")</f>
        <v>-0.34968251735000005</v>
      </c>
      <c r="AA684" s="176" t="s">
        <v>567</v>
      </c>
      <c r="AB684" s="172">
        <v>-1.64857147794727</v>
      </c>
      <c r="AC684" s="172">
        <v>-2.6235973734891198</v>
      </c>
      <c r="AD684" s="172">
        <v>-0.9989390431204993</v>
      </c>
      <c r="AE684" s="172">
        <v>-0.71286270786974659</v>
      </c>
      <c r="AF684" s="172">
        <v>0.21090638734338749</v>
      </c>
      <c r="AG684" s="150"/>
      <c r="AI684" s="137">
        <v>4</v>
      </c>
      <c r="AJ684" s="136" t="s">
        <v>264</v>
      </c>
      <c r="AK684" s="142" t="s">
        <v>336</v>
      </c>
      <c r="AL684" s="136" t="s">
        <v>549</v>
      </c>
      <c r="AM684" s="136" t="s">
        <v>558</v>
      </c>
      <c r="AN684" s="1">
        <v>0.76351350000000007</v>
      </c>
      <c r="AO684" s="166">
        <v>0.43603999999999998</v>
      </c>
      <c r="AQ684" t="str">
        <f>_xlfn.XLOOKUP(tblGWP21[[#This Row],[Material Subcategory]],ls_Mat,Factors!$K$952:$K$1023)</f>
        <v>x</v>
      </c>
      <c r="AR684" s="173">
        <v>0.65</v>
      </c>
      <c r="AS684">
        <v>0.14482945764999999</v>
      </c>
      <c r="AT684" t="s">
        <v>541</v>
      </c>
      <c r="AU684" t="s">
        <v>526</v>
      </c>
      <c r="AV684" s="347">
        <v>0.85</v>
      </c>
      <c r="BA684" cm="1">
        <f t="array" ref="BA684:BM684">tblGWP21[#This Row]</f>
        <v>4</v>
      </c>
      <c r="BB684" t="str">
        <v>Furniture/Textiles</v>
      </c>
      <c r="BC684" t="str">
        <v>Furniture</v>
      </c>
      <c r="BD684" t="str">
        <v>North America</v>
      </c>
      <c r="BE684" t="str">
        <v>Canada</v>
      </c>
      <c r="BF684">
        <v>-0.76351350000000007</v>
      </c>
      <c r="BG684">
        <v>-0.34968251735000005</v>
      </c>
      <c r="BH684" t="str">
        <v>DELETE</v>
      </c>
      <c r="BI684">
        <v>-1.64857147794727</v>
      </c>
      <c r="BJ684">
        <v>-2.6235973734891198</v>
      </c>
      <c r="BK684">
        <v>-0.9989390431204993</v>
      </c>
      <c r="BL684">
        <v>-0.71286270786974659</v>
      </c>
      <c r="BM684">
        <v>0.21090638734338749</v>
      </c>
    </row>
    <row r="685" spans="3:65">
      <c r="C685" s="362">
        <v>4</v>
      </c>
      <c r="D685" s="363" t="s">
        <v>247</v>
      </c>
      <c r="E685" s="362" t="s">
        <v>270</v>
      </c>
      <c r="F685" s="362" t="s">
        <v>549</v>
      </c>
      <c r="G685" s="362" t="s">
        <v>558</v>
      </c>
      <c r="H685" s="368">
        <v>-1.0505633333333335</v>
      </c>
      <c r="I685" s="368">
        <v>-0.96748512603333348</v>
      </c>
      <c r="J685" s="368">
        <v>-0.31518851283969629</v>
      </c>
      <c r="K685" s="368">
        <v>0</v>
      </c>
      <c r="L685" s="368">
        <v>0</v>
      </c>
      <c r="M685" s="368">
        <v>2.6020575147430499E-2</v>
      </c>
      <c r="N685" s="368">
        <v>3.1199540828438E-2</v>
      </c>
      <c r="O685" s="368">
        <v>4.8913581033072001E-2</v>
      </c>
      <c r="T685" s="48">
        <v>4</v>
      </c>
      <c r="U685" s="46" t="s">
        <v>242</v>
      </c>
      <c r="V685" s="53" t="s">
        <v>251</v>
      </c>
      <c r="W685" s="53" t="s">
        <v>549</v>
      </c>
      <c r="X685" s="53" t="s">
        <v>558</v>
      </c>
      <c r="Y685" s="172">
        <f>IFERROR(-tblZwaste1422[[#This Row],[Weight (kgCO2e/kg)]],0)</f>
        <v>-4.9218200000000003</v>
      </c>
      <c r="Z685" s="172">
        <f>IF(AQ685="x",(AR685*-tblZwaste1422[[#This Row],[Weight (kgCO2e/kg)]])+AS685+($AR$10*Lookups!$J$38/1000),"DELETE")</f>
        <v>-3.5665477000000001</v>
      </c>
      <c r="AA685" s="172">
        <v>-1.2190350000000001</v>
      </c>
      <c r="AB685" s="172" t="s">
        <v>567</v>
      </c>
      <c r="AC685" s="172" t="s">
        <v>567</v>
      </c>
      <c r="AD685" s="172">
        <v>2.5956344917245265E-2</v>
      </c>
      <c r="AE685" s="172">
        <v>0.22349692901158186</v>
      </c>
      <c r="AF685" s="172">
        <v>0.84881209804611535</v>
      </c>
      <c r="AG685" s="150"/>
      <c r="AI685" s="137">
        <v>4</v>
      </c>
      <c r="AJ685" s="136" t="s">
        <v>242</v>
      </c>
      <c r="AK685" s="142" t="s">
        <v>251</v>
      </c>
      <c r="AL685" s="136" t="s">
        <v>549</v>
      </c>
      <c r="AM685" s="136" t="s">
        <v>558</v>
      </c>
      <c r="AN685" s="1">
        <v>4.9218200000000003</v>
      </c>
      <c r="AO685" s="166">
        <v>0.15096000000000001</v>
      </c>
      <c r="AQ685" t="str">
        <f>_xlfn.XLOOKUP(tblGWP21[[#This Row],[Material Subcategory]],ls_Mat,Factors!$K$952:$K$1023)</f>
        <v>x</v>
      </c>
      <c r="AR685" s="173">
        <v>0.72499999999999998</v>
      </c>
      <c r="AS685">
        <v>0</v>
      </c>
      <c r="AT685" t="s">
        <v>527</v>
      </c>
      <c r="AU685" t="s">
        <v>526</v>
      </c>
      <c r="AV685" s="347">
        <v>0.7</v>
      </c>
      <c r="BA685" cm="1">
        <f t="array" ref="BA685:BM685">tblGWP21[#This Row]</f>
        <v>4</v>
      </c>
      <c r="BB685" t="str">
        <v>Electronics</v>
      </c>
      <c r="BC685" t="str">
        <v>Appliances</v>
      </c>
      <c r="BD685" t="str">
        <v>North America</v>
      </c>
      <c r="BE685" t="str">
        <v>Canada</v>
      </c>
      <c r="BF685">
        <v>-4.9218200000000003</v>
      </c>
      <c r="BG685">
        <v>-3.5665477000000001</v>
      </c>
      <c r="BH685">
        <v>-1.2190350000000001</v>
      </c>
      <c r="BI685" t="str">
        <v>DELETE</v>
      </c>
      <c r="BJ685" t="str">
        <v>DELETE</v>
      </c>
      <c r="BK685">
        <v>2.5956344917245265E-2</v>
      </c>
      <c r="BL685">
        <v>0.22349692901158186</v>
      </c>
      <c r="BM685">
        <v>0.84881209804611535</v>
      </c>
    </row>
    <row r="686" spans="3:65">
      <c r="C686" s="136">
        <v>4</v>
      </c>
      <c r="D686" s="137" t="s">
        <v>247</v>
      </c>
      <c r="E686" s="136" t="s">
        <v>540</v>
      </c>
      <c r="F686" s="136" t="s">
        <v>549</v>
      </c>
      <c r="G686" s="136" t="s">
        <v>558</v>
      </c>
      <c r="H686" s="191">
        <v>-1.0473650000000001</v>
      </c>
      <c r="I686" s="191">
        <v>-0.96428679270000006</v>
      </c>
      <c r="J686" s="191">
        <v>0</v>
      </c>
      <c r="K686" s="191">
        <v>0</v>
      </c>
      <c r="L686" s="191">
        <v>0</v>
      </c>
      <c r="M686" s="191">
        <v>2.6020558698611501E-2</v>
      </c>
      <c r="N686" s="191">
        <v>2.7457142334285201E-2</v>
      </c>
      <c r="O686" s="191">
        <v>4.8914411198653501E-2</v>
      </c>
      <c r="T686" s="48">
        <v>4</v>
      </c>
      <c r="U686" s="46" t="s">
        <v>242</v>
      </c>
      <c r="V686" s="53" t="s">
        <v>543</v>
      </c>
      <c r="W686" s="53" t="s">
        <v>549</v>
      </c>
      <c r="X686" s="53" t="s">
        <v>558</v>
      </c>
      <c r="Y686" s="172">
        <f>IFERROR(-tblZwaste1422[[#This Row],[Weight (kgCO2e/kg)]],0)</f>
        <v>-1.00081</v>
      </c>
      <c r="Z686" s="172">
        <f>IF(AQ686="x",(AR686*-tblZwaste1422[[#This Row],[Weight (kgCO2e/kg)]])+AS686+($AR$10*Lookups!$J$38/1000),"DELETE")</f>
        <v>-0.72381545000000003</v>
      </c>
      <c r="AA686" s="172">
        <v>-0.20626249999999999</v>
      </c>
      <c r="AB686" s="172" t="s">
        <v>567</v>
      </c>
      <c r="AC686" s="172" t="s">
        <v>567</v>
      </c>
      <c r="AD686" s="172">
        <v>2.5860000000000001E-2</v>
      </c>
      <c r="AE686" s="172">
        <v>4.1873157686419603E-2</v>
      </c>
      <c r="AF686" s="172">
        <v>4.8912064305887501E-2</v>
      </c>
      <c r="AG686" s="150"/>
      <c r="AI686" s="137">
        <v>4</v>
      </c>
      <c r="AJ686" s="136" t="s">
        <v>242</v>
      </c>
      <c r="AK686" s="142" t="s">
        <v>543</v>
      </c>
      <c r="AL686" s="136" t="s">
        <v>549</v>
      </c>
      <c r="AM686" s="136" t="s">
        <v>558</v>
      </c>
      <c r="AN686" s="1">
        <v>1.00081</v>
      </c>
      <c r="AO686" s="166">
        <v>0.33138000000000001</v>
      </c>
      <c r="AQ686" t="str">
        <f>_xlfn.XLOOKUP(tblGWP21[[#This Row],[Material Subcategory]],ls_Mat,Factors!$K$952:$K$1023)</f>
        <v>x</v>
      </c>
      <c r="AR686" s="173">
        <v>0.72499999999999998</v>
      </c>
      <c r="AS686">
        <v>0</v>
      </c>
      <c r="AT686" t="s">
        <v>527</v>
      </c>
      <c r="AU686" t="s">
        <v>526</v>
      </c>
      <c r="AV686" s="347">
        <v>0.8</v>
      </c>
      <c r="BA686" cm="1">
        <f t="array" ref="BA686:BM686">tblGWP21[#This Row]</f>
        <v>4</v>
      </c>
      <c r="BB686" t="str">
        <v>Electronics</v>
      </c>
      <c r="BC686" t="str">
        <v>Lightbulb/Lamps</v>
      </c>
      <c r="BD686" t="str">
        <v>North America</v>
      </c>
      <c r="BE686" t="str">
        <v>Canada</v>
      </c>
      <c r="BF686">
        <v>-1.00081</v>
      </c>
      <c r="BG686">
        <v>-0.72381545000000003</v>
      </c>
      <c r="BH686">
        <v>-0.20626249999999999</v>
      </c>
      <c r="BI686" t="str">
        <v>DELETE</v>
      </c>
      <c r="BJ686" t="str">
        <v>DELETE</v>
      </c>
      <c r="BK686">
        <v>2.5860000000000001E-2</v>
      </c>
      <c r="BL686">
        <v>4.1873157686419603E-2</v>
      </c>
      <c r="BM686">
        <v>4.8912064305887501E-2</v>
      </c>
    </row>
    <row r="687" spans="3:65">
      <c r="C687" s="362">
        <v>4</v>
      </c>
      <c r="D687" s="363" t="s">
        <v>261</v>
      </c>
      <c r="E687" s="362" t="s">
        <v>260</v>
      </c>
      <c r="F687" s="362" t="s">
        <v>549</v>
      </c>
      <c r="G687" s="362" t="s">
        <v>558</v>
      </c>
      <c r="H687" s="368">
        <v>-4.0364225925925927</v>
      </c>
      <c r="I687" s="368">
        <v>0</v>
      </c>
      <c r="J687" s="368">
        <v>0</v>
      </c>
      <c r="K687" s="368">
        <v>-0.50423989943139302</v>
      </c>
      <c r="L687" s="368">
        <v>-0.86510382829593002</v>
      </c>
      <c r="M687" s="368">
        <v>-0.17342071309468199</v>
      </c>
      <c r="N687" s="368">
        <v>-0.23697148541270599</v>
      </c>
      <c r="O687" s="368">
        <v>2.7529322985474499E-2</v>
      </c>
      <c r="T687" s="48">
        <v>4</v>
      </c>
      <c r="U687" s="46" t="s">
        <v>264</v>
      </c>
      <c r="V687" s="53" t="s">
        <v>544</v>
      </c>
      <c r="W687" s="53" t="s">
        <v>549</v>
      </c>
      <c r="X687" s="53" t="s">
        <v>558</v>
      </c>
      <c r="Y687" s="172">
        <f>IFERROR(-tblZwaste1422[[#This Row],[Weight (kgCO2e/kg)]],0)</f>
        <v>-3.0939100000000002</v>
      </c>
      <c r="Z687" s="172">
        <f>IF(AQ687="x",(AR687*-tblZwaste1422[[#This Row],[Weight (kgCO2e/kg)]])+AS687+($AR$10*Lookups!$J$38/1000),"DELETE")</f>
        <v>-1.8644402423500002</v>
      </c>
      <c r="AA687" s="172">
        <v>0.15112249999999994</v>
      </c>
      <c r="AB687" s="172" t="s">
        <v>567</v>
      </c>
      <c r="AC687" s="172" t="s">
        <v>567</v>
      </c>
      <c r="AD687" s="172">
        <v>0.31986203568916699</v>
      </c>
      <c r="AE687" s="172">
        <v>-0.23989459668649901</v>
      </c>
      <c r="AF687" s="172">
        <v>0.70929541765309201</v>
      </c>
      <c r="AG687" s="150"/>
      <c r="AI687" s="137">
        <v>4</v>
      </c>
      <c r="AJ687" s="136" t="s">
        <v>264</v>
      </c>
      <c r="AK687" s="142" t="s">
        <v>544</v>
      </c>
      <c r="AL687" s="136" t="s">
        <v>549</v>
      </c>
      <c r="AM687" s="136" t="s">
        <v>558</v>
      </c>
      <c r="AN687" s="1">
        <v>3.0939100000000002</v>
      </c>
      <c r="AO687" s="166">
        <v>0.49807000000000001</v>
      </c>
      <c r="AQ687" t="str">
        <f>_xlfn.XLOOKUP(tblGWP21[[#This Row],[Material Subcategory]],ls_Mat,Factors!$K$952:$K$1023)</f>
        <v>x</v>
      </c>
      <c r="AR687" s="173">
        <v>0.65</v>
      </c>
      <c r="AS687">
        <v>0.14482945764999999</v>
      </c>
      <c r="AT687" t="s">
        <v>541</v>
      </c>
      <c r="AU687" t="s">
        <v>526</v>
      </c>
      <c r="AV687" s="347">
        <v>0.7</v>
      </c>
      <c r="BA687" cm="1">
        <f t="array" ref="BA687:BM687">tblGWP21[#This Row]</f>
        <v>4</v>
      </c>
      <c r="BB687" t="str">
        <v>Furniture/Textiles</v>
      </c>
      <c r="BC687" t="str">
        <v>Textiles</v>
      </c>
      <c r="BD687" t="str">
        <v>North America</v>
      </c>
      <c r="BE687" t="str">
        <v>Canada</v>
      </c>
      <c r="BF687">
        <v>-3.0939100000000002</v>
      </c>
      <c r="BG687">
        <v>-1.8644402423500002</v>
      </c>
      <c r="BH687">
        <v>0.15112249999999994</v>
      </c>
      <c r="BI687" t="str">
        <v>DELETE</v>
      </c>
      <c r="BJ687" t="str">
        <v>DELETE</v>
      </c>
      <c r="BK687">
        <v>0.31986203568916699</v>
      </c>
      <c r="BL687">
        <v>-0.23989459668649901</v>
      </c>
      <c r="BM687">
        <v>0.70929541765309201</v>
      </c>
    </row>
    <row r="688" spans="3:65">
      <c r="C688" s="136">
        <v>4</v>
      </c>
      <c r="D688" s="137" t="s">
        <v>10157</v>
      </c>
      <c r="E688" s="136" t="s">
        <v>237</v>
      </c>
      <c r="F688" s="136" t="s">
        <v>549</v>
      </c>
      <c r="G688" s="136" t="s">
        <v>558</v>
      </c>
      <c r="H688" s="191">
        <v>-2.8533815875203707</v>
      </c>
      <c r="I688" s="191">
        <v>-1.4249189937601854</v>
      </c>
      <c r="J688" s="191">
        <v>0</v>
      </c>
      <c r="K688" s="191">
        <v>0</v>
      </c>
      <c r="L688" s="191">
        <v>0</v>
      </c>
      <c r="M688" s="191">
        <v>-0.46503487183485148</v>
      </c>
      <c r="N688" s="191">
        <v>-0.53284575355442299</v>
      </c>
      <c r="O688" s="191">
        <v>2.7968441365560735E-2</v>
      </c>
      <c r="T688" s="48">
        <v>4</v>
      </c>
      <c r="U688" s="46" t="s">
        <v>237</v>
      </c>
      <c r="V688" s="53" t="s">
        <v>545</v>
      </c>
      <c r="W688" s="53" t="s">
        <v>549</v>
      </c>
      <c r="X688" s="53" t="s">
        <v>558</v>
      </c>
      <c r="Y688" s="172">
        <f>IFERROR(-tblZwaste1422[[#This Row],[Weight (kgCO2e/kg)]],0)</f>
        <v>-2.8533815875203707</v>
      </c>
      <c r="Z688" s="172" t="str">
        <f>IF(AQ688="x",(AR688*-tblZwaste1422[[#This Row],[Weight (kgCO2e/kg)]])+AS688+($AR$10*Lookups!$J$38/1000),"DELETE")</f>
        <v>DELETE</v>
      </c>
      <c r="AA688" s="176" t="s">
        <v>567</v>
      </c>
      <c r="AB688" s="172" t="s">
        <v>567</v>
      </c>
      <c r="AC688" s="172" t="s">
        <v>567</v>
      </c>
      <c r="AD688" s="172">
        <v>-0.46503487183485148</v>
      </c>
      <c r="AE688" s="172">
        <v>-0.53284575355442299</v>
      </c>
      <c r="AF688" s="172">
        <v>2.7968441365560735E-2</v>
      </c>
      <c r="AG688" s="150"/>
      <c r="AI688" s="137">
        <v>4</v>
      </c>
      <c r="AJ688" s="136" t="s">
        <v>237</v>
      </c>
      <c r="AK688" s="142" t="s">
        <v>545</v>
      </c>
      <c r="AL688" s="136" t="s">
        <v>549</v>
      </c>
      <c r="AM688" s="136" t="s">
        <v>558</v>
      </c>
      <c r="AN688" s="1">
        <v>2.8533815875203707</v>
      </c>
      <c r="AO688" s="166">
        <v>1.0711602172222223</v>
      </c>
      <c r="AQ688">
        <f>_xlfn.XLOOKUP(tblGWP21[[#This Row],[Material Subcategory]],ls_Mat,Factors!$K$952:$K$1023)</f>
        <v>0</v>
      </c>
      <c r="AV688" s="347"/>
      <c r="BA688" cm="1">
        <f t="array" ref="BA688:BM688">tblGWP21[#This Row]</f>
        <v>4</v>
      </c>
      <c r="BB688" t="str">
        <v>Mixed/Custom</v>
      </c>
      <c r="BC688" t="str">
        <v>General other</v>
      </c>
      <c r="BD688" t="str">
        <v>North America</v>
      </c>
      <c r="BE688" t="str">
        <v>Canada</v>
      </c>
      <c r="BF688">
        <v>-2.8533815875203707</v>
      </c>
      <c r="BG688" t="str">
        <v>DELETE</v>
      </c>
      <c r="BH688" t="str">
        <v>DELETE</v>
      </c>
      <c r="BI688" t="str">
        <v>DELETE</v>
      </c>
      <c r="BJ688" t="str">
        <v>DELETE</v>
      </c>
      <c r="BK688">
        <v>-0.46503487183485148</v>
      </c>
      <c r="BL688">
        <v>-0.53284575355442299</v>
      </c>
      <c r="BM688">
        <v>2.7968441365560735E-2</v>
      </c>
    </row>
    <row r="689" spans="3:65">
      <c r="C689" s="362">
        <v>4</v>
      </c>
      <c r="D689" s="363" t="s">
        <v>10157</v>
      </c>
      <c r="E689" s="362" t="s">
        <v>246</v>
      </c>
      <c r="F689" s="362" t="s">
        <v>549</v>
      </c>
      <c r="G689" s="362" t="s">
        <v>558</v>
      </c>
      <c r="H689" s="368">
        <v>-7.3412433500000009</v>
      </c>
      <c r="I689" s="368">
        <v>0</v>
      </c>
      <c r="J689" s="368">
        <v>0</v>
      </c>
      <c r="K689" s="368">
        <v>0</v>
      </c>
      <c r="L689" s="368">
        <v>0</v>
      </c>
      <c r="M689" s="368">
        <v>2.6020609411450499E-2</v>
      </c>
      <c r="N689" s="368">
        <v>4.1873157686421497E-2</v>
      </c>
      <c r="O689" s="368">
        <v>4.8912064305887397E-2</v>
      </c>
      <c r="T689" s="48">
        <v>8</v>
      </c>
      <c r="U689" s="46" t="s">
        <v>233</v>
      </c>
      <c r="V689" s="53" t="s">
        <v>233</v>
      </c>
      <c r="W689" s="53" t="s">
        <v>549</v>
      </c>
      <c r="X689" s="53" t="s">
        <v>559</v>
      </c>
      <c r="Y689" s="172">
        <f>IFERROR(-tblZwaste1422[[#This Row],[Weight (kgCO2e/kg)]],0)</f>
        <v>0</v>
      </c>
      <c r="Z689" s="172">
        <f>AVERAGE(Z693:Z695)</f>
        <v>-0.13905086666666666</v>
      </c>
      <c r="AA689" s="176" t="s">
        <v>567</v>
      </c>
      <c r="AB689" s="172">
        <v>-1.4454718196531486</v>
      </c>
      <c r="AC689" s="172">
        <v>-2.0514979286012904</v>
      </c>
      <c r="AD689" s="172">
        <v>-1.0031640569945794</v>
      </c>
      <c r="AE689" s="172">
        <v>-0.90902346109173759</v>
      </c>
      <c r="AF689" s="172">
        <v>3.3142121618353566E-2</v>
      </c>
      <c r="AG689" s="150"/>
      <c r="AI689" s="137">
        <v>8</v>
      </c>
      <c r="AJ689" s="136"/>
      <c r="AK689" s="142"/>
      <c r="AL689" s="136" t="s">
        <v>549</v>
      </c>
      <c r="AM689" s="136" t="s">
        <v>559</v>
      </c>
      <c r="AN689" s="1" t="s">
        <v>525</v>
      </c>
      <c r="AO689" s="166" t="s">
        <v>525</v>
      </c>
      <c r="AQ689" t="e">
        <f>_xlfn.XLOOKUP(tblGWP21[[#This Row],[Material Subcategory]],ls_Mat,Factors!$K$952:$K$1023)</f>
        <v>#N/A</v>
      </c>
      <c r="AR689" s="173">
        <v>0.77500000000000002</v>
      </c>
      <c r="AS689">
        <v>0</v>
      </c>
      <c r="AT689" t="s">
        <v>527</v>
      </c>
      <c r="BA689" cm="1">
        <f t="array" ref="BA689:BM689">tblGWP21[#This Row]</f>
        <v>8</v>
      </c>
      <c r="BB689" t="str">
        <v>Wood/Yard Trimmings</v>
      </c>
      <c r="BC689" t="str">
        <v>Wood/Yard Trimmings</v>
      </c>
      <c r="BD689" t="str">
        <v>North America</v>
      </c>
      <c r="BE689" t="str">
        <v>Mexico</v>
      </c>
      <c r="BF689">
        <v>0</v>
      </c>
      <c r="BG689">
        <v>-0.13905086666666666</v>
      </c>
      <c r="BH689" t="str">
        <v>DELETE</v>
      </c>
      <c r="BI689">
        <v>-1.4454718196531486</v>
      </c>
      <c r="BJ689">
        <v>-2.0514979286012904</v>
      </c>
      <c r="BK689">
        <v>-1.0031640569945794</v>
      </c>
      <c r="BL689">
        <v>-0.90902346109173759</v>
      </c>
      <c r="BM689">
        <v>3.3142121618353566E-2</v>
      </c>
    </row>
    <row r="690" spans="3:65" ht="28.8">
      <c r="C690" s="136">
        <v>4</v>
      </c>
      <c r="D690" s="137" t="s">
        <v>10157</v>
      </c>
      <c r="E690" s="136" t="s">
        <v>243</v>
      </c>
      <c r="F690" s="136" t="s">
        <v>549</v>
      </c>
      <c r="G690" s="136" t="s">
        <v>558</v>
      </c>
      <c r="H690" s="191">
        <v>-2.8533815875203707</v>
      </c>
      <c r="I690" s="191">
        <v>0</v>
      </c>
      <c r="J690" s="191">
        <v>0</v>
      </c>
      <c r="K690" s="191">
        <v>-1.0338813023467011</v>
      </c>
      <c r="L690" s="191">
        <v>-1.5965070572258286</v>
      </c>
      <c r="M690" s="191">
        <v>-0.46503487183485148</v>
      </c>
      <c r="N690" s="191">
        <v>-0.53284575355442299</v>
      </c>
      <c r="O690" s="191">
        <v>2.7968441365560735E-2</v>
      </c>
      <c r="T690" s="48">
        <v>8</v>
      </c>
      <c r="U690" s="46" t="s">
        <v>233</v>
      </c>
      <c r="V690" s="53" t="s">
        <v>250</v>
      </c>
      <c r="W690" s="53" t="s">
        <v>549</v>
      </c>
      <c r="X690" s="53" t="s">
        <v>559</v>
      </c>
      <c r="Y690" s="172">
        <f>IFERROR(-tblZwaste1422[[#This Row],[Weight (kgCO2e/kg)]],0)</f>
        <v>0</v>
      </c>
      <c r="Z690" s="172" t="str">
        <f>IF(AQ690="x",(AR690*-tblZwaste1422[[#This Row],[Weight (kgCO2e/kg)]])+AS690+($AR$10*Lookups!$J$38/1000),"DELETE")</f>
        <v>DELETE</v>
      </c>
      <c r="AA690" s="176" t="s">
        <v>567</v>
      </c>
      <c r="AB690" s="172">
        <v>-1.74409566517263</v>
      </c>
      <c r="AC690" s="172">
        <v>-2.1513976239097201</v>
      </c>
      <c r="AD690" s="172">
        <v>-1.02198117416248</v>
      </c>
      <c r="AE690" s="172">
        <v>-0.97361469326857497</v>
      </c>
      <c r="AF690" s="172">
        <v>2.8432959237527099E-2</v>
      </c>
      <c r="AG690" s="150"/>
      <c r="AI690" s="137">
        <v>8</v>
      </c>
      <c r="AJ690" s="136"/>
      <c r="AK690" s="142"/>
      <c r="AL690" s="136" t="s">
        <v>549</v>
      </c>
      <c r="AM690" s="136" t="s">
        <v>559</v>
      </c>
      <c r="AN690" s="1" t="s">
        <v>525</v>
      </c>
      <c r="AO690" s="166" t="s">
        <v>525</v>
      </c>
      <c r="AQ690">
        <f>_xlfn.XLOOKUP(tblGWP21[[#This Row],[Material Subcategory]],ls_Mat,Factors!$K$952:$K$1023)</f>
        <v>0</v>
      </c>
      <c r="BA690" cm="1">
        <f t="array" ref="BA690:BM690">tblGWP21[#This Row]</f>
        <v>8</v>
      </c>
      <c r="BB690" t="str">
        <v>Wood/Yard Trimmings</v>
      </c>
      <c r="BC690" t="str">
        <v>Yard Trimmings – Leaves</v>
      </c>
      <c r="BD690" t="str">
        <v>North America</v>
      </c>
      <c r="BE690" t="str">
        <v>Mexico</v>
      </c>
      <c r="BF690">
        <v>0</v>
      </c>
      <c r="BG690" t="str">
        <v>DELETE</v>
      </c>
      <c r="BH690" t="str">
        <v>DELETE</v>
      </c>
      <c r="BI690">
        <v>-1.74409566517263</v>
      </c>
      <c r="BJ690">
        <v>-2.1513976239097201</v>
      </c>
      <c r="BK690">
        <v>-1.02198117416248</v>
      </c>
      <c r="BL690">
        <v>-0.97361469326857497</v>
      </c>
      <c r="BM690">
        <v>2.8432959237527099E-2</v>
      </c>
    </row>
    <row r="691" spans="3:65" ht="28.8">
      <c r="C691" s="362">
        <v>4</v>
      </c>
      <c r="D691" s="363" t="s">
        <v>252</v>
      </c>
      <c r="E691" s="362" t="s">
        <v>333</v>
      </c>
      <c r="F691" s="362" t="s">
        <v>549</v>
      </c>
      <c r="G691" s="362" t="s">
        <v>558</v>
      </c>
      <c r="H691" s="368">
        <v>-2.0953266666666663</v>
      </c>
      <c r="I691" s="368">
        <v>0</v>
      </c>
      <c r="J691" s="368">
        <v>-4.4031481762585392</v>
      </c>
      <c r="K691" s="368">
        <v>0</v>
      </c>
      <c r="L691" s="368">
        <v>0</v>
      </c>
      <c r="M691" s="368">
        <v>2.6020581888276301E-2</v>
      </c>
      <c r="N691" s="368">
        <v>0.64367971618426401</v>
      </c>
      <c r="O691" s="368">
        <v>2.1870243665261602</v>
      </c>
      <c r="T691" s="48">
        <v>8</v>
      </c>
      <c r="U691" s="46" t="s">
        <v>233</v>
      </c>
      <c r="V691" s="53" t="s">
        <v>249</v>
      </c>
      <c r="W691" s="53" t="s">
        <v>549</v>
      </c>
      <c r="X691" s="53" t="s">
        <v>559</v>
      </c>
      <c r="Y691" s="172">
        <f>IFERROR(-tblZwaste1422[[#This Row],[Weight (kgCO2e/kg)]],0)</f>
        <v>0</v>
      </c>
      <c r="Z691" s="172" t="str">
        <f>IF(AQ691="x",(AR691*-tblZwaste1422[[#This Row],[Weight (kgCO2e/kg)]])+AS691+($AR$10*Lookups!$J$38/1000),"DELETE")</f>
        <v>DELETE</v>
      </c>
      <c r="AA691" s="176" t="s">
        <v>567</v>
      </c>
      <c r="AB691" s="172">
        <v>-0.543191579288413</v>
      </c>
      <c r="AC691" s="172">
        <v>-0.74810347996289295</v>
      </c>
      <c r="AD691" s="172">
        <v>5.4131726572866301E-2</v>
      </c>
      <c r="AE691" s="172">
        <v>-0.20696315754751199</v>
      </c>
      <c r="AF691" s="172">
        <v>2.5754009329244001E-2</v>
      </c>
      <c r="AG691" s="150"/>
      <c r="AI691" s="137">
        <v>8</v>
      </c>
      <c r="AJ691" s="136"/>
      <c r="AK691" s="142"/>
      <c r="AL691" s="136" t="s">
        <v>549</v>
      </c>
      <c r="AM691" s="136" t="s">
        <v>559</v>
      </c>
      <c r="AN691" s="1" t="s">
        <v>525</v>
      </c>
      <c r="AO691" s="166" t="s">
        <v>525</v>
      </c>
      <c r="AQ691">
        <f>_xlfn.XLOOKUP(tblGWP21[[#This Row],[Material Subcategory]],ls_Mat,Factors!$K$952:$K$1023)</f>
        <v>0</v>
      </c>
      <c r="BA691" cm="1">
        <f t="array" ref="BA691:BM691">tblGWP21[#This Row]</f>
        <v>8</v>
      </c>
      <c r="BB691" t="str">
        <v>Wood/Yard Trimmings</v>
      </c>
      <c r="BC691" t="str">
        <v>Yard Trimmings – Grass</v>
      </c>
      <c r="BD691" t="str">
        <v>North America</v>
      </c>
      <c r="BE691" t="str">
        <v>Mexico</v>
      </c>
      <c r="BF691">
        <v>0</v>
      </c>
      <c r="BG691" t="str">
        <v>DELETE</v>
      </c>
      <c r="BH691" t="str">
        <v>DELETE</v>
      </c>
      <c r="BI691">
        <v>-0.543191579288413</v>
      </c>
      <c r="BJ691">
        <v>-0.74810347996289295</v>
      </c>
      <c r="BK691">
        <v>5.4131726572866301E-2</v>
      </c>
      <c r="BL691">
        <v>-0.20696315754751199</v>
      </c>
      <c r="BM691">
        <v>2.5754009329244001E-2</v>
      </c>
    </row>
    <row r="692" spans="3:65" ht="28.8">
      <c r="C692" s="136">
        <v>4</v>
      </c>
      <c r="D692" s="137" t="s">
        <v>239</v>
      </c>
      <c r="E692" s="136" t="s">
        <v>542</v>
      </c>
      <c r="F692" s="136" t="s">
        <v>549</v>
      </c>
      <c r="G692" s="136" t="s">
        <v>558</v>
      </c>
      <c r="H692" s="191">
        <v>-2.6644477777777777</v>
      </c>
      <c r="I692" s="191">
        <v>0</v>
      </c>
      <c r="J692" s="191">
        <v>-0.81863347086678395</v>
      </c>
      <c r="K692" s="191">
        <v>-1.6415798386896601</v>
      </c>
      <c r="L692" s="191">
        <v>-2.38786328467627</v>
      </c>
      <c r="M692" s="191">
        <v>-0.643826267470201</v>
      </c>
      <c r="N692" s="191">
        <v>-0.83111541500928499</v>
      </c>
      <c r="O692" s="191">
        <v>2.74714713689365E-2</v>
      </c>
      <c r="T692" s="48">
        <v>8</v>
      </c>
      <c r="U692" s="46" t="s">
        <v>233</v>
      </c>
      <c r="V692" s="53" t="s">
        <v>273</v>
      </c>
      <c r="W692" s="53" t="s">
        <v>549</v>
      </c>
      <c r="X692" s="53" t="s">
        <v>559</v>
      </c>
      <c r="Y692" s="172">
        <f>IFERROR(-tblZwaste1422[[#This Row],[Weight (kgCO2e/kg)]],0)</f>
        <v>0</v>
      </c>
      <c r="Z692" s="172" t="str">
        <f>IF(AQ692="x",(AR692*-tblZwaste1422[[#This Row],[Weight (kgCO2e/kg)]])+AS692+($AR$10*Lookups!$J$38/1000),"DELETE")</f>
        <v>DELETE</v>
      </c>
      <c r="AA692" s="176" t="s">
        <v>567</v>
      </c>
      <c r="AB692" s="172">
        <v>-1.6466906179348999</v>
      </c>
      <c r="AC692" s="172">
        <v>-2.0998517477798599</v>
      </c>
      <c r="AD692" s="172">
        <v>-0.803374248545213</v>
      </c>
      <c r="AE692" s="172">
        <v>-0.94561662018327897</v>
      </c>
      <c r="AF692" s="172">
        <v>2.7208798984050101E-2</v>
      </c>
      <c r="AG692" s="150"/>
      <c r="AI692" s="137">
        <v>8</v>
      </c>
      <c r="AJ692" s="136"/>
      <c r="AK692" s="142"/>
      <c r="AL692" s="136" t="s">
        <v>549</v>
      </c>
      <c r="AM692" s="136" t="s">
        <v>559</v>
      </c>
      <c r="AN692" s="1" t="s">
        <v>525</v>
      </c>
      <c r="AO692" s="166" t="s">
        <v>525</v>
      </c>
      <c r="AQ692">
        <f>_xlfn.XLOOKUP(tblGWP21[[#This Row],[Material Subcategory]],ls_Mat,Factors!$K$952:$K$1023)</f>
        <v>0</v>
      </c>
      <c r="AR692" s="173"/>
      <c r="AU692" t="s">
        <v>526</v>
      </c>
      <c r="AV692" s="347">
        <v>0.8</v>
      </c>
      <c r="BA692" cm="1">
        <f t="array" ref="BA692:BM692">tblGWP21[#This Row]</f>
        <v>8</v>
      </c>
      <c r="BB692" t="str">
        <v>Wood/Yard Trimmings</v>
      </c>
      <c r="BC692" t="str">
        <v>Yard Trimming – Branches</v>
      </c>
      <c r="BD692" t="str">
        <v>North America</v>
      </c>
      <c r="BE692" t="str">
        <v>Mexico</v>
      </c>
      <c r="BF692">
        <v>0</v>
      </c>
      <c r="BG692" t="str">
        <v>DELETE</v>
      </c>
      <c r="BH692" t="str">
        <v>DELETE</v>
      </c>
      <c r="BI692">
        <v>-1.6466906179348999</v>
      </c>
      <c r="BJ692">
        <v>-2.0998517477798599</v>
      </c>
      <c r="BK692">
        <v>-0.803374248545213</v>
      </c>
      <c r="BL692">
        <v>-0.94561662018327897</v>
      </c>
      <c r="BM692">
        <v>2.7208798984050101E-2</v>
      </c>
    </row>
    <row r="693" spans="3:65">
      <c r="C693" s="362">
        <v>4</v>
      </c>
      <c r="D693" s="363" t="s">
        <v>10157</v>
      </c>
      <c r="E693" s="362" t="s">
        <v>238</v>
      </c>
      <c r="F693" s="362" t="s">
        <v>549</v>
      </c>
      <c r="G693" s="362" t="s">
        <v>558</v>
      </c>
      <c r="H693" s="368">
        <v>-2.7046544444444445</v>
      </c>
      <c r="I693" s="368">
        <v>0</v>
      </c>
      <c r="J693" s="368">
        <v>0</v>
      </c>
      <c r="K693" s="368">
        <v>0</v>
      </c>
      <c r="L693" s="368">
        <v>0</v>
      </c>
      <c r="M693" s="368">
        <v>-0.14146120750741434</v>
      </c>
      <c r="N693" s="368">
        <v>-6.5527532623775545E-2</v>
      </c>
      <c r="O693" s="368">
        <v>0.54348981634108828</v>
      </c>
      <c r="T693" s="48">
        <v>8</v>
      </c>
      <c r="U693" s="46" t="s">
        <v>233</v>
      </c>
      <c r="V693" s="53" t="s">
        <v>330</v>
      </c>
      <c r="W693" s="53" t="s">
        <v>549</v>
      </c>
      <c r="X693" s="53" t="s">
        <v>559</v>
      </c>
      <c r="Y693" s="172">
        <f>IFERROR(-tblZwaste1422[[#This Row],[Weight (kgCO2e/kg)]],0)</f>
        <v>-0.14119999999999999</v>
      </c>
      <c r="Z693" s="172">
        <f>IF(AQ693="x",(AR693*-tblZwaste1422[[#This Row],[Weight (kgCO2e/kg)]])+AS693+($AR$10*Lookups!$J$38/1000),"DELETE")</f>
        <v>-0.1076582</v>
      </c>
      <c r="AA693" s="176" t="s">
        <v>567</v>
      </c>
      <c r="AB693" s="172" t="s">
        <v>567</v>
      </c>
      <c r="AC693" s="172" t="s">
        <v>567</v>
      </c>
      <c r="AD693" s="172">
        <v>-1.48005663421289</v>
      </c>
      <c r="AE693" s="172">
        <v>-1.10135864962926</v>
      </c>
      <c r="AF693" s="172">
        <v>5.3037154967916597E-2</v>
      </c>
      <c r="AG693" s="150"/>
      <c r="AI693" s="137">
        <v>8</v>
      </c>
      <c r="AJ693" s="136" t="s">
        <v>330</v>
      </c>
      <c r="AK693" s="142" t="s">
        <v>330</v>
      </c>
      <c r="AL693" s="136" t="s">
        <v>549</v>
      </c>
      <c r="AM693" s="136" t="s">
        <v>559</v>
      </c>
      <c r="AN693" s="1">
        <v>0.14119999999999999</v>
      </c>
      <c r="AO693" s="166">
        <v>0.43014000000000002</v>
      </c>
      <c r="AQ693" t="str">
        <f>_xlfn.XLOOKUP(tblGWP21[[#This Row],[Material Subcategory]],ls_Mat,Factors!$K$952:$K$1023)</f>
        <v>x</v>
      </c>
      <c r="AR693" s="173">
        <v>0.77500000000000002</v>
      </c>
      <c r="AS693">
        <v>0</v>
      </c>
      <c r="AT693" t="s">
        <v>527</v>
      </c>
      <c r="AU693" t="s">
        <v>526</v>
      </c>
      <c r="AV693" s="347">
        <v>0.88</v>
      </c>
      <c r="BA693" cm="1">
        <f t="array" ref="BA693:BM693">tblGWP21[#This Row]</f>
        <v>8</v>
      </c>
      <c r="BB693" t="str">
        <v>Wood/Yard Trimmings</v>
      </c>
      <c r="BC693" t="str">
        <v>Wood</v>
      </c>
      <c r="BD693" t="str">
        <v>North America</v>
      </c>
      <c r="BE693" t="str">
        <v>Mexico</v>
      </c>
      <c r="BF693">
        <v>-0.14119999999999999</v>
      </c>
      <c r="BG693">
        <v>-0.1076582</v>
      </c>
      <c r="BH693" t="str">
        <v>DELETE</v>
      </c>
      <c r="BI693" t="str">
        <v>DELETE</v>
      </c>
      <c r="BJ693" t="str">
        <v>DELETE</v>
      </c>
      <c r="BK693">
        <v>-1.48005663421289</v>
      </c>
      <c r="BL693">
        <v>-1.10135864962926</v>
      </c>
      <c r="BM693">
        <v>5.3037154967916597E-2</v>
      </c>
    </row>
    <row r="694" spans="3:65">
      <c r="C694" s="136">
        <v>4</v>
      </c>
      <c r="D694" s="137" t="s">
        <v>264</v>
      </c>
      <c r="E694" s="136" t="s">
        <v>264</v>
      </c>
      <c r="F694" s="136" t="s">
        <v>549</v>
      </c>
      <c r="G694" s="136" t="s">
        <v>558</v>
      </c>
      <c r="H694" s="191">
        <v>-1.9287117500000002</v>
      </c>
      <c r="I694" s="191">
        <v>-1.1070613798500002</v>
      </c>
      <c r="J694" s="191">
        <v>0.15112249999999994</v>
      </c>
      <c r="K694" s="191">
        <v>0</v>
      </c>
      <c r="L694" s="191">
        <v>0</v>
      </c>
      <c r="M694" s="191">
        <v>-0.33953850371566618</v>
      </c>
      <c r="N694" s="191">
        <v>-0.47637865227812282</v>
      </c>
      <c r="O694" s="191">
        <v>0.46010090249823976</v>
      </c>
      <c r="T694" s="48">
        <v>8</v>
      </c>
      <c r="U694" s="46" t="s">
        <v>233</v>
      </c>
      <c r="V694" s="53" t="s">
        <v>335</v>
      </c>
      <c r="W694" s="53" t="s">
        <v>549</v>
      </c>
      <c r="X694" s="53" t="s">
        <v>559</v>
      </c>
      <c r="Y694" s="172">
        <f>IFERROR(-tblZwaste1422[[#This Row],[Weight (kgCO2e/kg)]],0)</f>
        <v>-0.26272000000000001</v>
      </c>
      <c r="Z694" s="172">
        <f>IF(AQ694="x",(AR694*-tblZwaste1422[[#This Row],[Weight (kgCO2e/kg)]])+AS694+($AR$10*Lookups!$J$38/1000),"DELETE")</f>
        <v>-0.20183620000000002</v>
      </c>
      <c r="AA694" s="176" t="s">
        <v>567</v>
      </c>
      <c r="AB694" s="172">
        <v>-1.6466906179348999</v>
      </c>
      <c r="AC694" s="172">
        <v>-2.62906839567699</v>
      </c>
      <c r="AD694" s="172">
        <v>-1.38385200580988</v>
      </c>
      <c r="AE694" s="172">
        <v>-1.1132938229609</v>
      </c>
      <c r="AF694" s="172">
        <v>3.22099035956918E-2</v>
      </c>
      <c r="AG694" s="150"/>
      <c r="AI694" s="137">
        <v>8</v>
      </c>
      <c r="AJ694" s="136" t="s">
        <v>330</v>
      </c>
      <c r="AK694" s="142" t="s">
        <v>335</v>
      </c>
      <c r="AL694" s="136" t="s">
        <v>549</v>
      </c>
      <c r="AM694" s="136" t="s">
        <v>559</v>
      </c>
      <c r="AN694" s="1">
        <v>0.26272000000000001</v>
      </c>
      <c r="AO694" s="166">
        <v>0.43014000000000002</v>
      </c>
      <c r="AQ694" t="str">
        <f>_xlfn.XLOOKUP(tblGWP21[[#This Row],[Material Subcategory]],ls_Mat,Factors!$K$952:$K$1023)</f>
        <v>x</v>
      </c>
      <c r="AR694" s="173">
        <v>0.77500000000000002</v>
      </c>
      <c r="AS694">
        <v>0</v>
      </c>
      <c r="AT694" t="s">
        <v>527</v>
      </c>
      <c r="AU694" t="s">
        <v>526</v>
      </c>
      <c r="AV694" s="347">
        <v>0.8</v>
      </c>
      <c r="BA694" cm="1">
        <f t="array" ref="BA694:BM694">tblGWP21[#This Row]</f>
        <v>8</v>
      </c>
      <c r="BB694" t="str">
        <v>Wood/Yard Trimmings</v>
      </c>
      <c r="BC694" t="str">
        <v>Pallets</v>
      </c>
      <c r="BD694" t="str">
        <v>North America</v>
      </c>
      <c r="BE694" t="str">
        <v>Mexico</v>
      </c>
      <c r="BF694">
        <v>-0.26272000000000001</v>
      </c>
      <c r="BG694">
        <v>-0.20183620000000002</v>
      </c>
      <c r="BH694" t="str">
        <v>DELETE</v>
      </c>
      <c r="BI694">
        <v>-1.6466906179348999</v>
      </c>
      <c r="BJ694">
        <v>-2.62906839567699</v>
      </c>
      <c r="BK694">
        <v>-1.38385200580988</v>
      </c>
      <c r="BL694">
        <v>-1.1132938229609</v>
      </c>
      <c r="BM694">
        <v>3.22099035956918E-2</v>
      </c>
    </row>
    <row r="695" spans="3:65">
      <c r="C695" s="362">
        <v>4</v>
      </c>
      <c r="D695" s="363" t="s">
        <v>264</v>
      </c>
      <c r="E695" s="362" t="s">
        <v>336</v>
      </c>
      <c r="F695" s="362" t="s">
        <v>549</v>
      </c>
      <c r="G695" s="362" t="s">
        <v>558</v>
      </c>
      <c r="H695" s="368">
        <v>-0.76351350000000007</v>
      </c>
      <c r="I695" s="368">
        <v>-0.34968251735000005</v>
      </c>
      <c r="J695" s="368">
        <v>0</v>
      </c>
      <c r="K695" s="368">
        <v>-1.64857147794727</v>
      </c>
      <c r="L695" s="368">
        <v>-2.6235973734891198</v>
      </c>
      <c r="M695" s="368">
        <v>-0.9989390431204993</v>
      </c>
      <c r="N695" s="368">
        <v>-0.71286270786974659</v>
      </c>
      <c r="O695" s="368">
        <v>0.21090638734338749</v>
      </c>
      <c r="T695" s="48">
        <v>8</v>
      </c>
      <c r="U695" s="46" t="s">
        <v>233</v>
      </c>
      <c r="V695" s="53" t="s">
        <v>326</v>
      </c>
      <c r="W695" s="53" t="s">
        <v>549</v>
      </c>
      <c r="X695" s="53" t="s">
        <v>559</v>
      </c>
      <c r="Y695" s="172">
        <f>IFERROR(-tblZwaste1422[[#This Row],[Weight (kgCO2e/kg)]],0)</f>
        <v>-0.14119999999999999</v>
      </c>
      <c r="Z695" s="172">
        <f>IF(AQ695="x",(AR695*-tblZwaste1422[[#This Row],[Weight (kgCO2e/kg)]])+AS695+($AR$10*Lookups!$J$38/1000),"DELETE")</f>
        <v>-0.1076582</v>
      </c>
      <c r="AA695" s="176" t="s">
        <v>567</v>
      </c>
      <c r="AB695" s="172">
        <v>-1.6466906179348999</v>
      </c>
      <c r="AC695" s="172">
        <v>-2.62906839567699</v>
      </c>
      <c r="AD695" s="172">
        <v>-1.38385200580988</v>
      </c>
      <c r="AE695" s="172">
        <v>-1.1132938229609</v>
      </c>
      <c r="AF695" s="172">
        <v>3.22099035956918E-2</v>
      </c>
      <c r="AG695" s="150"/>
      <c r="AI695" s="137">
        <v>8</v>
      </c>
      <c r="AJ695" s="136" t="s">
        <v>330</v>
      </c>
      <c r="AK695" s="142" t="s">
        <v>326</v>
      </c>
      <c r="AL695" s="136" t="s">
        <v>549</v>
      </c>
      <c r="AM695" s="136" t="s">
        <v>559</v>
      </c>
      <c r="AN695" s="1">
        <v>0.14119999999999999</v>
      </c>
      <c r="AO695" s="166">
        <v>0.43014000000000002</v>
      </c>
      <c r="AQ695" t="str">
        <f>_xlfn.XLOOKUP(tblGWP21[[#This Row],[Material Subcategory]],ls_Mat,Factors!$K$952:$K$1023)</f>
        <v>x</v>
      </c>
      <c r="AR695" s="173">
        <v>0.77500000000000002</v>
      </c>
      <c r="AS695">
        <v>0</v>
      </c>
      <c r="AT695" t="s">
        <v>527</v>
      </c>
      <c r="AU695" t="s">
        <v>526</v>
      </c>
      <c r="AV695" s="347">
        <v>0.65</v>
      </c>
      <c r="BA695" cm="1">
        <f t="array" ref="BA695:BM695">tblGWP21[#This Row]</f>
        <v>8</v>
      </c>
      <c r="BB695" t="str">
        <v>Wood/Yard Trimmings</v>
      </c>
      <c r="BC695" t="str">
        <v>Other Wood</v>
      </c>
      <c r="BD695" t="str">
        <v>North America</v>
      </c>
      <c r="BE695" t="str">
        <v>Mexico</v>
      </c>
      <c r="BF695">
        <v>-0.14119999999999999</v>
      </c>
      <c r="BG695">
        <v>-0.1076582</v>
      </c>
      <c r="BH695" t="str">
        <v>DELETE</v>
      </c>
      <c r="BI695">
        <v>-1.6466906179348999</v>
      </c>
      <c r="BJ695">
        <v>-2.62906839567699</v>
      </c>
      <c r="BK695">
        <v>-1.38385200580988</v>
      </c>
      <c r="BL695">
        <v>-1.1132938229609</v>
      </c>
      <c r="BM695">
        <v>3.22099035956918E-2</v>
      </c>
    </row>
    <row r="696" spans="3:65">
      <c r="C696" s="136">
        <v>4</v>
      </c>
      <c r="D696" s="137" t="s">
        <v>242</v>
      </c>
      <c r="E696" s="136" t="s">
        <v>251</v>
      </c>
      <c r="F696" s="136" t="s">
        <v>549</v>
      </c>
      <c r="G696" s="136" t="s">
        <v>558</v>
      </c>
      <c r="H696" s="191">
        <v>-4.9218200000000003</v>
      </c>
      <c r="I696" s="191">
        <v>-3.5665477000000001</v>
      </c>
      <c r="J696" s="191">
        <v>-1.2190350000000001</v>
      </c>
      <c r="K696" s="191">
        <v>0</v>
      </c>
      <c r="L696" s="191">
        <v>0</v>
      </c>
      <c r="M696" s="191">
        <v>2.5956344917245265E-2</v>
      </c>
      <c r="N696" s="191">
        <v>0.22349692901158186</v>
      </c>
      <c r="O696" s="191">
        <v>0.84881209804611535</v>
      </c>
      <c r="T696" s="48">
        <v>8</v>
      </c>
      <c r="U696" s="46" t="s">
        <v>261</v>
      </c>
      <c r="V696" s="53" t="s">
        <v>261</v>
      </c>
      <c r="W696" s="53" t="s">
        <v>549</v>
      </c>
      <c r="X696" s="53" t="s">
        <v>559</v>
      </c>
      <c r="Y696" s="172">
        <f>IFERROR(-tblZwaste1422[[#This Row],[Weight (kgCO2e/kg)]],0)</f>
        <v>-4.72241</v>
      </c>
      <c r="Z696" s="172" t="e">
        <f>IF(AQ696="x",(AR696*-tblZwaste1422[[#This Row],[Weight (kgCO2e/kg)]])+AS696+($AR$10*Lookups!$J$38/1000),"DELETE")</f>
        <v>#N/A</v>
      </c>
      <c r="AA696" s="176" t="s">
        <v>567</v>
      </c>
      <c r="AB696" s="172">
        <v>-0.363292542675622</v>
      </c>
      <c r="AC696" s="172">
        <v>-0.604889967569884</v>
      </c>
      <c r="AD696" s="172">
        <v>0.16342528903207898</v>
      </c>
      <c r="AE696" s="172">
        <v>-0.1909858231387925</v>
      </c>
      <c r="AF696" s="172">
        <v>2.5407321079062101E-2</v>
      </c>
      <c r="AG696" s="150"/>
      <c r="AI696" s="137">
        <v>8</v>
      </c>
      <c r="AJ696" s="136" t="s">
        <v>529</v>
      </c>
      <c r="AK696" s="142" t="s">
        <v>529</v>
      </c>
      <c r="AL696" s="136" t="s">
        <v>549</v>
      </c>
      <c r="AM696" s="136" t="s">
        <v>559</v>
      </c>
      <c r="AN696" s="1">
        <v>4.72241</v>
      </c>
      <c r="AO696" s="166">
        <v>1.758</v>
      </c>
      <c r="AQ696" t="e">
        <f>_xlfn.XLOOKUP(tblGWP21[[#This Row],[Material Subcategory]],ls_Mat,Factors!$K$952:$K$1023)</f>
        <v>#N/A</v>
      </c>
      <c r="AR696" s="347">
        <v>0.5</v>
      </c>
      <c r="AS696">
        <v>0</v>
      </c>
      <c r="AT696" t="s">
        <v>528</v>
      </c>
      <c r="AU696" t="s">
        <v>526</v>
      </c>
      <c r="AV696" s="347">
        <v>0.65</v>
      </c>
      <c r="BA696" cm="1">
        <f t="array" ref="BA696:BM696">tblGWP21[#This Row]</f>
        <v>8</v>
      </c>
      <c r="BB696" t="str">
        <v>Food Waste</v>
      </c>
      <c r="BC696" t="str">
        <v>Food Waste</v>
      </c>
      <c r="BD696" t="str">
        <v>North America</v>
      </c>
      <c r="BE696" t="str">
        <v>Mexico</v>
      </c>
      <c r="BF696">
        <v>-4.72241</v>
      </c>
      <c r="BG696" t="e">
        <v>#N/A</v>
      </c>
      <c r="BH696" t="str">
        <v>DELETE</v>
      </c>
      <c r="BI696">
        <v>-0.363292542675622</v>
      </c>
      <c r="BJ696">
        <v>-0.604889967569884</v>
      </c>
      <c r="BK696">
        <v>0.16342528903207898</v>
      </c>
      <c r="BL696">
        <v>-0.1909858231387925</v>
      </c>
      <c r="BM696">
        <v>2.5407321079062101E-2</v>
      </c>
    </row>
    <row r="697" spans="3:65" ht="28.8">
      <c r="C697" s="362">
        <v>4</v>
      </c>
      <c r="D697" s="363" t="s">
        <v>242</v>
      </c>
      <c r="E697" s="362" t="s">
        <v>543</v>
      </c>
      <c r="F697" s="362" t="s">
        <v>549</v>
      </c>
      <c r="G697" s="362" t="s">
        <v>558</v>
      </c>
      <c r="H697" s="368">
        <v>-1.00081</v>
      </c>
      <c r="I697" s="368">
        <v>-0.72381545000000003</v>
      </c>
      <c r="J697" s="368">
        <v>-0.20626249999999999</v>
      </c>
      <c r="K697" s="368">
        <v>0</v>
      </c>
      <c r="L697" s="368">
        <v>0</v>
      </c>
      <c r="M697" s="368">
        <v>2.5860000000000001E-2</v>
      </c>
      <c r="N697" s="368">
        <v>4.1873157686419603E-2</v>
      </c>
      <c r="O697" s="368">
        <v>4.8912064305887501E-2</v>
      </c>
      <c r="T697" s="48">
        <v>8</v>
      </c>
      <c r="U697" s="46" t="s">
        <v>261</v>
      </c>
      <c r="V697" s="53" t="s">
        <v>269</v>
      </c>
      <c r="W697" s="53" t="s">
        <v>549</v>
      </c>
      <c r="X697" s="53" t="s">
        <v>559</v>
      </c>
      <c r="Y697" s="172">
        <f>IFERROR(-tblZwaste1422[[#This Row],[Weight (kgCO2e/kg)]],0)</f>
        <v>-0.25034000000000001</v>
      </c>
      <c r="Z697" s="172">
        <f>IF(AQ697="x",(AR697*-tblZwaste1422[[#This Row],[Weight (kgCO2e/kg)]])+AS697+($AR$10*Lookups!$J$38/1000),"DELETE")</f>
        <v>-0.1233982</v>
      </c>
      <c r="AA697" s="176" t="s">
        <v>567</v>
      </c>
      <c r="AB697" s="172">
        <v>-0.30325468771297998</v>
      </c>
      <c r="AC697" s="172">
        <v>-0.51380816190073997</v>
      </c>
      <c r="AD697" s="172">
        <v>0.19333736377524499</v>
      </c>
      <c r="AE697" s="172">
        <v>-0.132429316723506</v>
      </c>
      <c r="AF697" s="172">
        <v>2.5085143440906298E-2</v>
      </c>
      <c r="AG697" s="150"/>
      <c r="AI697" s="137">
        <v>8</v>
      </c>
      <c r="AJ697" s="136" t="s">
        <v>529</v>
      </c>
      <c r="AK697" s="142" t="s">
        <v>327</v>
      </c>
      <c r="AL697" s="136" t="s">
        <v>549</v>
      </c>
      <c r="AM697" s="136" t="s">
        <v>559</v>
      </c>
      <c r="AN697" s="1">
        <v>0.25034000000000001</v>
      </c>
      <c r="AO697" s="166">
        <v>0.99672000000000005</v>
      </c>
      <c r="AQ697" t="str">
        <f>_xlfn.XLOOKUP(tblGWP21[[#This Row],[Material Subcategory]],ls_Mat,Factors!$K$952:$K$1023)</f>
        <v>x</v>
      </c>
      <c r="AR697" s="347">
        <v>0.5</v>
      </c>
      <c r="AS697">
        <v>0</v>
      </c>
      <c r="AT697" t="s">
        <v>528</v>
      </c>
      <c r="AU697" t="s">
        <v>526</v>
      </c>
      <c r="AV697" s="347">
        <v>0.65</v>
      </c>
      <c r="BA697" cm="1">
        <f t="array" ref="BA697:BM697">tblGWP21[#This Row]</f>
        <v>8</v>
      </c>
      <c r="BB697" t="str">
        <v>Food Waste</v>
      </c>
      <c r="BC697" t="str">
        <v>Food Waste – Vegetable</v>
      </c>
      <c r="BD697" t="str">
        <v>North America</v>
      </c>
      <c r="BE697" t="str">
        <v>Mexico</v>
      </c>
      <c r="BF697">
        <v>-0.25034000000000001</v>
      </c>
      <c r="BG697">
        <v>-0.1233982</v>
      </c>
      <c r="BH697" t="str">
        <v>DELETE</v>
      </c>
      <c r="BI697">
        <v>-0.30325468771297998</v>
      </c>
      <c r="BJ697">
        <v>-0.51380816190073997</v>
      </c>
      <c r="BK697">
        <v>0.19333736377524499</v>
      </c>
      <c r="BL697">
        <v>-0.132429316723506</v>
      </c>
      <c r="BM697">
        <v>2.5085143440906298E-2</v>
      </c>
    </row>
    <row r="698" spans="3:65" ht="28.8">
      <c r="C698" s="136">
        <v>4</v>
      </c>
      <c r="D698" s="137" t="s">
        <v>264</v>
      </c>
      <c r="E698" s="136" t="s">
        <v>544</v>
      </c>
      <c r="F698" s="136" t="s">
        <v>549</v>
      </c>
      <c r="G698" s="136" t="s">
        <v>558</v>
      </c>
      <c r="H698" s="191">
        <v>-3.0939100000000002</v>
      </c>
      <c r="I698" s="191">
        <v>-1.8644402423500002</v>
      </c>
      <c r="J698" s="191">
        <v>0.15112249999999994</v>
      </c>
      <c r="K698" s="191">
        <v>0</v>
      </c>
      <c r="L698" s="191">
        <v>0</v>
      </c>
      <c r="M698" s="191">
        <v>0.31986203568916699</v>
      </c>
      <c r="N698" s="191">
        <v>-0.23989459668649901</v>
      </c>
      <c r="O698" s="191">
        <v>0.70929541765309201</v>
      </c>
      <c r="T698" s="48">
        <v>8</v>
      </c>
      <c r="U698" s="46" t="s">
        <v>261</v>
      </c>
      <c r="V698" s="53" t="s">
        <v>530</v>
      </c>
      <c r="W698" s="53" t="s">
        <v>549</v>
      </c>
      <c r="X698" s="53" t="s">
        <v>559</v>
      </c>
      <c r="Y698" s="172">
        <f>IFERROR(-tblZwaste1422[[#This Row],[Weight (kgCO2e/kg)]],0)</f>
        <v>-9.1944800000000004</v>
      </c>
      <c r="Z698" s="172">
        <f>IF(AQ698="x",(AR698*-tblZwaste1422[[#This Row],[Weight (kgCO2e/kg)]])+AS698+($AR$10*Lookups!$J$38/1000),"DELETE")</f>
        <v>-4.5954682</v>
      </c>
      <c r="AA698" s="176" t="s">
        <v>567</v>
      </c>
      <c r="AB698" s="172">
        <v>-0.42333039763826402</v>
      </c>
      <c r="AC698" s="172">
        <v>-0.69597177323902804</v>
      </c>
      <c r="AD698" s="172">
        <v>0.133513214288913</v>
      </c>
      <c r="AE698" s="172">
        <v>-0.24954232955407901</v>
      </c>
      <c r="AF698" s="172">
        <v>2.57294987172179E-2</v>
      </c>
      <c r="AG698" s="150"/>
      <c r="AI698" s="137">
        <v>8</v>
      </c>
      <c r="AJ698" s="136" t="s">
        <v>529</v>
      </c>
      <c r="AK698" s="142" t="s">
        <v>331</v>
      </c>
      <c r="AL698" s="136" t="s">
        <v>549</v>
      </c>
      <c r="AM698" s="136" t="s">
        <v>559</v>
      </c>
      <c r="AN698" s="1">
        <v>9.1944800000000004</v>
      </c>
      <c r="AO698" s="166">
        <v>2.5192800000000002</v>
      </c>
      <c r="AQ698" t="str">
        <f>_xlfn.XLOOKUP(tblGWP21[[#This Row],[Material Subcategory]],ls_Mat,Factors!$K$952:$K$1023)</f>
        <v>x</v>
      </c>
      <c r="AR698" s="347">
        <v>0.5</v>
      </c>
      <c r="AS698">
        <v>0</v>
      </c>
      <c r="AT698" t="s">
        <v>528</v>
      </c>
      <c r="AU698" t="s">
        <v>526</v>
      </c>
      <c r="AV698" s="347">
        <v>0.8</v>
      </c>
      <c r="BA698" cm="1">
        <f t="array" ref="BA698:BM698">tblGWP21[#This Row]</f>
        <v>8</v>
      </c>
      <c r="BB698" t="str">
        <v>Food Waste</v>
      </c>
      <c r="BC698" t="str">
        <v>Food Waste – Non-Vegetable</v>
      </c>
      <c r="BD698" t="str">
        <v>North America</v>
      </c>
      <c r="BE698" t="str">
        <v>Mexico</v>
      </c>
      <c r="BF698">
        <v>-9.1944800000000004</v>
      </c>
      <c r="BG698">
        <v>-4.5954682</v>
      </c>
      <c r="BH698" t="str">
        <v>DELETE</v>
      </c>
      <c r="BI698">
        <v>-0.42333039763826402</v>
      </c>
      <c r="BJ698">
        <v>-0.69597177323902804</v>
      </c>
      <c r="BK698">
        <v>0.133513214288913</v>
      </c>
      <c r="BL698">
        <v>-0.24954232955407901</v>
      </c>
      <c r="BM698">
        <v>2.57294987172179E-2</v>
      </c>
    </row>
    <row r="699" spans="3:65">
      <c r="C699" s="362">
        <v>4</v>
      </c>
      <c r="D699" s="363" t="s">
        <v>10157</v>
      </c>
      <c r="E699" s="362" t="s">
        <v>545</v>
      </c>
      <c r="F699" s="362" t="s">
        <v>549</v>
      </c>
      <c r="G699" s="362" t="s">
        <v>558</v>
      </c>
      <c r="H699" s="368">
        <v>-2.8533815875203707</v>
      </c>
      <c r="I699" s="368">
        <v>0</v>
      </c>
      <c r="J699" s="368">
        <v>0</v>
      </c>
      <c r="K699" s="368">
        <v>0</v>
      </c>
      <c r="L699" s="368">
        <v>0</v>
      </c>
      <c r="M699" s="368">
        <v>-0.46503487183485148</v>
      </c>
      <c r="N699" s="368">
        <v>-0.53284575355442299</v>
      </c>
      <c r="O699" s="368">
        <v>2.7968441365560735E-2</v>
      </c>
      <c r="T699" s="48">
        <v>8</v>
      </c>
      <c r="U699" s="46" t="s">
        <v>261</v>
      </c>
      <c r="V699" s="53" t="s">
        <v>262</v>
      </c>
      <c r="W699" s="53" t="s">
        <v>549</v>
      </c>
      <c r="X699" s="53" t="s">
        <v>559</v>
      </c>
      <c r="Y699" s="172">
        <f>IFERROR(-tblZwaste1422[[#This Row],[Weight (kgCO2e/kg)]],0)</f>
        <v>-2.5034000000000001</v>
      </c>
      <c r="Z699" s="172" t="str">
        <f>IF(AQ699="x",(AR699*-tblZwaste1422[[#This Row],[Weight (kgCO2e/kg)]])+AS699+($AR$10*Lookups!$J$38/1000),"DELETE")</f>
        <v>DELETE</v>
      </c>
      <c r="AA699" s="176" t="s">
        <v>567</v>
      </c>
      <c r="AB699" s="172">
        <v>-0.42333039763826402</v>
      </c>
      <c r="AC699" s="172">
        <v>-0.69597177323902804</v>
      </c>
      <c r="AD699" s="172">
        <v>0.133513214288913</v>
      </c>
      <c r="AE699" s="172">
        <v>-0.24954232955407901</v>
      </c>
      <c r="AF699" s="172">
        <v>2.57294987172179E-2</v>
      </c>
      <c r="AG699" s="150"/>
      <c r="AI699" s="137">
        <v>8</v>
      </c>
      <c r="AJ699" s="136" t="s">
        <v>529</v>
      </c>
      <c r="AK699" s="142" t="s">
        <v>332</v>
      </c>
      <c r="AL699" s="136" t="s">
        <v>549</v>
      </c>
      <c r="AM699" s="136" t="s">
        <v>559</v>
      </c>
      <c r="AN699" s="1">
        <v>2.5034000000000001</v>
      </c>
      <c r="AO699" s="166">
        <v>1.0183800000000001</v>
      </c>
      <c r="AQ699">
        <f>_xlfn.XLOOKUP(tblGWP21[[#This Row],[Material Subcategory]],ls_Mat,Factors!$K$952:$K$1023)</f>
        <v>0</v>
      </c>
      <c r="AR699" s="347">
        <v>0.5</v>
      </c>
      <c r="AS699">
        <v>0</v>
      </c>
      <c r="AT699" t="s">
        <v>528</v>
      </c>
      <c r="BA699" cm="1">
        <f t="array" ref="BA699:BM699">tblGWP21[#This Row]</f>
        <v>8</v>
      </c>
      <c r="BB699" t="str">
        <v>Food Waste</v>
      </c>
      <c r="BC699" t="str">
        <v>Oils/Grease</v>
      </c>
      <c r="BD699" t="str">
        <v>North America</v>
      </c>
      <c r="BE699" t="str">
        <v>Mexico</v>
      </c>
      <c r="BF699">
        <v>-2.5034000000000001</v>
      </c>
      <c r="BG699" t="str">
        <v>DELETE</v>
      </c>
      <c r="BH699" t="str">
        <v>DELETE</v>
      </c>
      <c r="BI699">
        <v>-0.42333039763826402</v>
      </c>
      <c r="BJ699">
        <v>-0.69597177323902804</v>
      </c>
      <c r="BK699">
        <v>0.133513214288913</v>
      </c>
      <c r="BL699">
        <v>-0.24954232955407901</v>
      </c>
      <c r="BM699">
        <v>2.57294987172179E-2</v>
      </c>
    </row>
    <row r="700" spans="3:65" ht="28.8">
      <c r="C700" s="136">
        <v>4</v>
      </c>
      <c r="D700" s="137" t="s">
        <v>10169</v>
      </c>
      <c r="E700" s="136" t="s">
        <v>10170</v>
      </c>
      <c r="F700" s="136" t="s">
        <v>549</v>
      </c>
      <c r="G700" s="136" t="s">
        <v>558</v>
      </c>
      <c r="H700" s="191">
        <v>-0.74582333333333339</v>
      </c>
      <c r="I700" s="191">
        <v>-0.58351400000000009</v>
      </c>
      <c r="J700" s="191">
        <v>0.3259926084346883</v>
      </c>
      <c r="K700" s="191">
        <v>0</v>
      </c>
      <c r="L700" s="191">
        <v>0</v>
      </c>
      <c r="M700" s="191">
        <v>0.45668176288049178</v>
      </c>
      <c r="N700" s="191">
        <v>1.0683983533052401</v>
      </c>
      <c r="O700" s="191">
        <v>1.142290877337675</v>
      </c>
      <c r="T700" s="48">
        <v>8</v>
      </c>
      <c r="U700" s="46" t="s">
        <v>252</v>
      </c>
      <c r="V700" s="53" t="s">
        <v>252</v>
      </c>
      <c r="W700" s="53" t="s">
        <v>549</v>
      </c>
      <c r="X700" s="53" t="s">
        <v>559</v>
      </c>
      <c r="Y700" s="172">
        <f>IFERROR(-tblZwaste1422[[#This Row],[Weight (kgCO2e/kg)]],0)</f>
        <v>-2.0953266666666663</v>
      </c>
      <c r="Z700" s="172" t="e">
        <f>IF(AQ700="x",(AR700*-tblZwaste1422[[#This Row],[Weight (kgCO2e/kg)]])+AS700+($AR$10*Lookups!$J$38/1000),"DELETE")</f>
        <v>#N/A</v>
      </c>
      <c r="AA700" s="176">
        <v>-4.4028084209304001</v>
      </c>
      <c r="AB700" s="172" t="s">
        <v>567</v>
      </c>
      <c r="AC700" s="172" t="s">
        <v>567</v>
      </c>
      <c r="AD700" s="172">
        <v>2.60345330558212E-2</v>
      </c>
      <c r="AE700" s="172">
        <v>0.52229466264336699</v>
      </c>
      <c r="AF700" s="172">
        <v>2.1870259708773201</v>
      </c>
      <c r="AG700" s="150"/>
      <c r="AI700" s="137">
        <v>8</v>
      </c>
      <c r="AJ700" s="136" t="s">
        <v>252</v>
      </c>
      <c r="AK700" s="142" t="s">
        <v>252</v>
      </c>
      <c r="AL700" s="136" t="s">
        <v>549</v>
      </c>
      <c r="AM700" s="136" t="s">
        <v>559</v>
      </c>
      <c r="AN700" s="1">
        <v>2.0953266666666663</v>
      </c>
      <c r="AO700" s="166">
        <v>1.77911</v>
      </c>
      <c r="AQ700" t="e">
        <f>_xlfn.XLOOKUP(tblGWP21[[#This Row],[Material Subcategory]],ls_Mat,Factors!$K$952:$K$1023)</f>
        <v>#N/A</v>
      </c>
      <c r="AR700" s="173">
        <v>0.77500000000000002</v>
      </c>
      <c r="AS700">
        <v>8.1306407300000008E-2</v>
      </c>
      <c r="AT700" t="s">
        <v>531</v>
      </c>
      <c r="BA700" cm="1">
        <f t="array" ref="BA700:BM700">tblGWP21[#This Row]</f>
        <v>8</v>
      </c>
      <c r="BB700" t="str">
        <v>Plastics</v>
      </c>
      <c r="BC700" t="str">
        <v>Plastics</v>
      </c>
      <c r="BD700" t="str">
        <v>North America</v>
      </c>
      <c r="BE700" t="str">
        <v>Mexico</v>
      </c>
      <c r="BF700">
        <v>-2.0953266666666663</v>
      </c>
      <c r="BG700" t="e">
        <v>#N/A</v>
      </c>
      <c r="BH700">
        <v>-4.4028084209304001</v>
      </c>
      <c r="BI700" t="str">
        <v>DELETE</v>
      </c>
      <c r="BJ700" t="str">
        <v>DELETE</v>
      </c>
      <c r="BK700">
        <v>2.60345330558212E-2</v>
      </c>
      <c r="BL700">
        <v>0.52229466264336699</v>
      </c>
      <c r="BM700">
        <v>2.1870259708773201</v>
      </c>
    </row>
    <row r="701" spans="3:65" ht="28.8">
      <c r="C701" s="362">
        <v>8</v>
      </c>
      <c r="D701" s="363" t="s">
        <v>233</v>
      </c>
      <c r="E701" s="362" t="s">
        <v>233</v>
      </c>
      <c r="F701" s="362" t="s">
        <v>549</v>
      </c>
      <c r="G701" s="362" t="s">
        <v>559</v>
      </c>
      <c r="H701" s="368">
        <v>0</v>
      </c>
      <c r="I701" s="368">
        <v>-0.13905086666666666</v>
      </c>
      <c r="J701" s="368">
        <v>0</v>
      </c>
      <c r="K701" s="368">
        <v>-1.4454718196531486</v>
      </c>
      <c r="L701" s="368">
        <v>-2.0514979286012904</v>
      </c>
      <c r="M701" s="368">
        <v>-1.0031640569945794</v>
      </c>
      <c r="N701" s="368">
        <v>-0.90902346109173759</v>
      </c>
      <c r="O701" s="368">
        <v>3.3142121618353566E-2</v>
      </c>
      <c r="T701" s="48">
        <v>8</v>
      </c>
      <c r="U701" s="46" t="s">
        <v>252</v>
      </c>
      <c r="V701" s="53" t="s">
        <v>253</v>
      </c>
      <c r="W701" s="53" t="s">
        <v>549</v>
      </c>
      <c r="X701" s="53" t="s">
        <v>559</v>
      </c>
      <c r="Y701" s="172">
        <f>IFERROR(-tblZwaste1422[[#This Row],[Weight (kgCO2e/kg)]],0)</f>
        <v>-2.04928</v>
      </c>
      <c r="Z701" s="172" t="e">
        <f>IF(AQ701="x",(AR701*-tblZwaste1422[[#This Row],[Weight (kgCO2e/kg)]])+AS701+($AR$10*Lookups!$J$38/1000),"DELETE")</f>
        <v>#N/A</v>
      </c>
      <c r="AA701" s="176">
        <v>-3.848262792807438</v>
      </c>
      <c r="AB701" s="172" t="s">
        <v>567</v>
      </c>
      <c r="AC701" s="172" t="s">
        <v>567</v>
      </c>
      <c r="AD701" s="172">
        <v>2.6034530007375899E-2</v>
      </c>
      <c r="AE701" s="172">
        <v>0.31076304251752501</v>
      </c>
      <c r="AF701" s="172">
        <v>3.1831778761501202</v>
      </c>
      <c r="AG701" s="150"/>
      <c r="AI701" s="137">
        <v>8</v>
      </c>
      <c r="AJ701" s="136" t="s">
        <v>252</v>
      </c>
      <c r="AK701" s="142" t="s">
        <v>253</v>
      </c>
      <c r="AL701" s="136" t="s">
        <v>549</v>
      </c>
      <c r="AM701" s="136" t="s">
        <v>559</v>
      </c>
      <c r="AN701" s="1">
        <v>2.04928</v>
      </c>
      <c r="AO701" s="166">
        <v>1.77911</v>
      </c>
      <c r="AQ701" t="e">
        <f>_xlfn.XLOOKUP(tblGWP21[[#This Row],[Material Subcategory]],ls_Mat,Factors!$K$952:$K$1023)</f>
        <v>#N/A</v>
      </c>
      <c r="AR701" s="173">
        <v>0.77500000000000002</v>
      </c>
      <c r="AS701">
        <v>8.1306407300000008E-2</v>
      </c>
      <c r="AT701" t="s">
        <v>531</v>
      </c>
      <c r="AU701" t="s">
        <v>526</v>
      </c>
      <c r="AV701" s="347">
        <v>0.95</v>
      </c>
      <c r="BA701" cm="1">
        <f t="array" ref="BA701:BM701">tblGWP21[#This Row]</f>
        <v>8</v>
      </c>
      <c r="BB701" t="str">
        <v>Plastics</v>
      </c>
      <c r="BC701" t="str">
        <v>HDPE (translucent and pigmented)</v>
      </c>
      <c r="BD701" t="str">
        <v>North America</v>
      </c>
      <c r="BE701" t="str">
        <v>Mexico</v>
      </c>
      <c r="BF701">
        <v>-2.04928</v>
      </c>
      <c r="BG701" t="e">
        <v>#N/A</v>
      </c>
      <c r="BH701">
        <v>-3.848262792807438</v>
      </c>
      <c r="BI701" t="str">
        <v>DELETE</v>
      </c>
      <c r="BJ701" t="str">
        <v>DELETE</v>
      </c>
      <c r="BK701">
        <v>2.6034530007375899E-2</v>
      </c>
      <c r="BL701">
        <v>0.31076304251752501</v>
      </c>
      <c r="BM701">
        <v>3.1831778761501202</v>
      </c>
    </row>
    <row r="702" spans="3:65" ht="28.8">
      <c r="C702" s="136">
        <v>8</v>
      </c>
      <c r="D702" s="137" t="s">
        <v>233</v>
      </c>
      <c r="E702" s="136" t="s">
        <v>250</v>
      </c>
      <c r="F702" s="136" t="s">
        <v>549</v>
      </c>
      <c r="G702" s="136" t="s">
        <v>559</v>
      </c>
      <c r="H702" s="191">
        <v>0</v>
      </c>
      <c r="I702" s="191">
        <v>0</v>
      </c>
      <c r="J702" s="191">
        <v>0</v>
      </c>
      <c r="K702" s="191">
        <v>-1.74409566517263</v>
      </c>
      <c r="L702" s="191">
        <v>-2.1513976239097201</v>
      </c>
      <c r="M702" s="191">
        <v>-1.02198117416248</v>
      </c>
      <c r="N702" s="191">
        <v>-0.97361469326857497</v>
      </c>
      <c r="O702" s="191">
        <v>2.8432959237527099E-2</v>
      </c>
      <c r="T702" s="48">
        <v>8</v>
      </c>
      <c r="U702" s="46" t="s">
        <v>252</v>
      </c>
      <c r="V702" s="53" t="s">
        <v>328</v>
      </c>
      <c r="W702" s="53" t="s">
        <v>549</v>
      </c>
      <c r="X702" s="53" t="s">
        <v>559</v>
      </c>
      <c r="Y702" s="172">
        <f>IFERROR(-tblZwaste1422[[#This Row],[Weight (kgCO2e/kg)]],0)</f>
        <v>-2.3231199999999999</v>
      </c>
      <c r="Z702" s="172" t="e">
        <f>IF(AQ702="x",(AR702*-tblZwaste1422[[#This Row],[Weight (kgCO2e/kg)]])+AS702+($AR$10*Lookups!$J$38/1000),"DELETE")</f>
        <v>#N/A</v>
      </c>
      <c r="AA702" s="176">
        <v>-4.5625225864514318</v>
      </c>
      <c r="AB702" s="172" t="s">
        <v>567</v>
      </c>
      <c r="AC702" s="172" t="s">
        <v>567</v>
      </c>
      <c r="AD702" s="172">
        <v>2.60345308107898E-2</v>
      </c>
      <c r="AE702" s="172">
        <v>0.40307599889770501</v>
      </c>
      <c r="AF702" s="172">
        <v>2.4956089336041298</v>
      </c>
      <c r="AG702" s="150"/>
      <c r="AI702" s="137">
        <v>8</v>
      </c>
      <c r="AJ702" s="136" t="s">
        <v>252</v>
      </c>
      <c r="AK702" s="142" t="s">
        <v>328</v>
      </c>
      <c r="AL702" s="136" t="s">
        <v>549</v>
      </c>
      <c r="AM702" s="136" t="s">
        <v>559</v>
      </c>
      <c r="AN702" s="1">
        <v>2.3231199999999999</v>
      </c>
      <c r="AO702" s="166">
        <v>1.77911</v>
      </c>
      <c r="AQ702" t="e">
        <f>_xlfn.XLOOKUP(tblGWP21[[#This Row],[Material Subcategory]],ls_Mat,Factors!$K$952:$K$1023)</f>
        <v>#N/A</v>
      </c>
      <c r="AR702" s="173">
        <v>0.77500000000000002</v>
      </c>
      <c r="AU702" t="s">
        <v>526</v>
      </c>
      <c r="AV702" s="347">
        <v>0.95</v>
      </c>
      <c r="BA702" cm="1">
        <f t="array" ref="BA702:BM702">tblGWP21[#This Row]</f>
        <v>8</v>
      </c>
      <c r="BB702" t="str">
        <v>Plastics</v>
      </c>
      <c r="BC702" t="str">
        <v>LDPE</v>
      </c>
      <c r="BD702" t="str">
        <v>North America</v>
      </c>
      <c r="BE702" t="str">
        <v>Mexico</v>
      </c>
      <c r="BF702">
        <v>-2.3231199999999999</v>
      </c>
      <c r="BG702" t="e">
        <v>#N/A</v>
      </c>
      <c r="BH702">
        <v>-4.5625225864514318</v>
      </c>
      <c r="BI702" t="str">
        <v>DELETE</v>
      </c>
      <c r="BJ702" t="str">
        <v>DELETE</v>
      </c>
      <c r="BK702">
        <v>2.60345308107898E-2</v>
      </c>
      <c r="BL702">
        <v>0.40307599889770501</v>
      </c>
      <c r="BM702">
        <v>2.4956089336041298</v>
      </c>
    </row>
    <row r="703" spans="3:65" ht="28.8">
      <c r="C703" s="362">
        <v>8</v>
      </c>
      <c r="D703" s="363" t="s">
        <v>233</v>
      </c>
      <c r="E703" s="362" t="s">
        <v>249</v>
      </c>
      <c r="F703" s="362" t="s">
        <v>549</v>
      </c>
      <c r="G703" s="362" t="s">
        <v>559</v>
      </c>
      <c r="H703" s="368">
        <v>0</v>
      </c>
      <c r="I703" s="368">
        <v>0</v>
      </c>
      <c r="J703" s="368">
        <v>0</v>
      </c>
      <c r="K703" s="368">
        <v>-0.543191579288413</v>
      </c>
      <c r="L703" s="368">
        <v>-0.74810347996289295</v>
      </c>
      <c r="M703" s="368">
        <v>5.4131726572866301E-2</v>
      </c>
      <c r="N703" s="368">
        <v>-0.20696315754751199</v>
      </c>
      <c r="O703" s="368">
        <v>2.5754009329244001E-2</v>
      </c>
      <c r="T703" s="48">
        <v>8</v>
      </c>
      <c r="U703" s="46" t="s">
        <v>252</v>
      </c>
      <c r="V703" s="53" t="s">
        <v>254</v>
      </c>
      <c r="W703" s="53" t="s">
        <v>549</v>
      </c>
      <c r="X703" s="53" t="s">
        <v>559</v>
      </c>
      <c r="Y703" s="172">
        <f>IFERROR(-tblZwaste1422[[#This Row],[Weight (kgCO2e/kg)]],0)</f>
        <v>-2.1485799999999999</v>
      </c>
      <c r="Z703" s="172" t="e">
        <f>IF(AQ703="x",(AR703*-tblZwaste1422[[#This Row],[Weight (kgCO2e/kg)]])+AS703+($AR$10*Lookups!$J$38/1000),"DELETE")</f>
        <v>#N/A</v>
      </c>
      <c r="AA703" s="176">
        <v>-4.6379257180112967</v>
      </c>
      <c r="AB703" s="172" t="s">
        <v>567</v>
      </c>
      <c r="AC703" s="172" t="s">
        <v>567</v>
      </c>
      <c r="AD703" s="172">
        <v>2.6034530007375899E-2</v>
      </c>
      <c r="AE703" s="172">
        <v>0.57312659123416498</v>
      </c>
      <c r="AF703" s="172">
        <v>2.5363328945285502</v>
      </c>
      <c r="AG703" s="150"/>
      <c r="AI703" s="137">
        <v>8</v>
      </c>
      <c r="AJ703" s="136" t="s">
        <v>252</v>
      </c>
      <c r="AK703" s="142" t="s">
        <v>254</v>
      </c>
      <c r="AL703" s="136" t="s">
        <v>549</v>
      </c>
      <c r="AM703" s="136" t="s">
        <v>559</v>
      </c>
      <c r="AN703" s="1">
        <v>2.1485799999999999</v>
      </c>
      <c r="AO703" s="166">
        <v>1.77911</v>
      </c>
      <c r="AQ703" t="e">
        <f>_xlfn.XLOOKUP(tblGWP21[[#This Row],[Material Subcategory]],ls_Mat,Factors!$K$952:$K$1023)</f>
        <v>#N/A</v>
      </c>
      <c r="AR703" s="173">
        <v>0.77500000000000002</v>
      </c>
      <c r="AS703">
        <v>8.1306407300000008E-2</v>
      </c>
      <c r="AT703" t="s">
        <v>531</v>
      </c>
      <c r="AU703" t="s">
        <v>526</v>
      </c>
      <c r="AV703" s="347">
        <v>0.95</v>
      </c>
      <c r="BA703" cm="1">
        <f t="array" ref="BA703:BM703">tblGWP21[#This Row]</f>
        <v>8</v>
      </c>
      <c r="BB703" t="str">
        <v>Plastics</v>
      </c>
      <c r="BC703" t="str">
        <v>PET</v>
      </c>
      <c r="BD703" t="str">
        <v>North America</v>
      </c>
      <c r="BE703" t="str">
        <v>Mexico</v>
      </c>
      <c r="BF703">
        <v>-2.1485799999999999</v>
      </c>
      <c r="BG703" t="e">
        <v>#N/A</v>
      </c>
      <c r="BH703">
        <v>-4.6379257180112967</v>
      </c>
      <c r="BI703" t="str">
        <v>DELETE</v>
      </c>
      <c r="BJ703" t="str">
        <v>DELETE</v>
      </c>
      <c r="BK703">
        <v>2.6034530007375899E-2</v>
      </c>
      <c r="BL703">
        <v>0.57312659123416498</v>
      </c>
      <c r="BM703">
        <v>2.5363328945285502</v>
      </c>
    </row>
    <row r="704" spans="3:65" ht="28.8">
      <c r="C704" s="136">
        <v>8</v>
      </c>
      <c r="D704" s="137" t="s">
        <v>233</v>
      </c>
      <c r="E704" s="136" t="s">
        <v>273</v>
      </c>
      <c r="F704" s="136" t="s">
        <v>549</v>
      </c>
      <c r="G704" s="136" t="s">
        <v>559</v>
      </c>
      <c r="H704" s="191">
        <v>0</v>
      </c>
      <c r="I704" s="191">
        <v>0</v>
      </c>
      <c r="J704" s="191">
        <v>0</v>
      </c>
      <c r="K704" s="191">
        <v>-1.6466906179348999</v>
      </c>
      <c r="L704" s="191">
        <v>-2.0998517477798599</v>
      </c>
      <c r="M704" s="191">
        <v>-0.803374248545213</v>
      </c>
      <c r="N704" s="191">
        <v>-0.94561662018327897</v>
      </c>
      <c r="O704" s="191">
        <v>2.7208798984050101E-2</v>
      </c>
      <c r="T704" s="48">
        <v>8</v>
      </c>
      <c r="U704" s="46" t="s">
        <v>252</v>
      </c>
      <c r="V704" s="53" t="s">
        <v>532</v>
      </c>
      <c r="W704" s="53" t="s">
        <v>549</v>
      </c>
      <c r="X704" s="53" t="s">
        <v>559</v>
      </c>
      <c r="Y704" s="172">
        <f>IFERROR(-tblZwaste1422[[#This Row],[Weight (kgCO2e/kg)]],0)</f>
        <v>-1.9492499999999999</v>
      </c>
      <c r="Z704" s="172" t="e">
        <f>IF(AQ704="x",(AR704*-tblZwaste1422[[#This Row],[Weight (kgCO2e/kg)]])+AS704+($AR$10*Lookups!$J$38/1000),"DELETE")</f>
        <v>#N/A</v>
      </c>
      <c r="AA704" s="176">
        <v>-4.5625225864514318</v>
      </c>
      <c r="AB704" s="172" t="s">
        <v>567</v>
      </c>
      <c r="AC704" s="172" t="s">
        <v>567</v>
      </c>
      <c r="AD704" s="172">
        <v>2.60345308107898E-2</v>
      </c>
      <c r="AE704" s="172">
        <v>0.40307599889770501</v>
      </c>
      <c r="AF704" s="172">
        <v>2.4956089336041298</v>
      </c>
      <c r="AG704" s="150"/>
      <c r="AI704" s="137">
        <v>8</v>
      </c>
      <c r="AJ704" s="136" t="s">
        <v>252</v>
      </c>
      <c r="AK704" s="142" t="s">
        <v>532</v>
      </c>
      <c r="AL704" s="136" t="s">
        <v>549</v>
      </c>
      <c r="AM704" s="136" t="s">
        <v>559</v>
      </c>
      <c r="AN704" s="1">
        <v>1.9492499999999999</v>
      </c>
      <c r="AO704" s="166">
        <v>1.77911</v>
      </c>
      <c r="AQ704" t="e">
        <f>_xlfn.XLOOKUP(tblGWP21[[#This Row],[Material Subcategory]],ls_Mat,Factors!$K$952:$K$1023)</f>
        <v>#N/A</v>
      </c>
      <c r="BA704" cm="1">
        <f t="array" ref="BA704:BM704">tblGWP21[#This Row]</f>
        <v>8</v>
      </c>
      <c r="BB704" t="str">
        <v>Plastics</v>
      </c>
      <c r="BC704" t="str">
        <v>LLDPE</v>
      </c>
      <c r="BD704" t="str">
        <v>North America</v>
      </c>
      <c r="BE704" t="str">
        <v>Mexico</v>
      </c>
      <c r="BF704">
        <v>-1.9492499999999999</v>
      </c>
      <c r="BG704" t="e">
        <v>#N/A</v>
      </c>
      <c r="BH704">
        <v>-4.5625225864514318</v>
      </c>
      <c r="BI704" t="str">
        <v>DELETE</v>
      </c>
      <c r="BJ704" t="str">
        <v>DELETE</v>
      </c>
      <c r="BK704">
        <v>2.60345308107898E-2</v>
      </c>
      <c r="BL704">
        <v>0.40307599889770501</v>
      </c>
      <c r="BM704">
        <v>2.4956089336041298</v>
      </c>
    </row>
    <row r="705" spans="3:65" ht="28.8">
      <c r="C705" s="362">
        <v>8</v>
      </c>
      <c r="D705" s="363" t="s">
        <v>233</v>
      </c>
      <c r="E705" s="362" t="s">
        <v>330</v>
      </c>
      <c r="F705" s="362" t="s">
        <v>549</v>
      </c>
      <c r="G705" s="362" t="s">
        <v>559</v>
      </c>
      <c r="H705" s="368">
        <v>-0.14119999999999999</v>
      </c>
      <c r="I705" s="368">
        <v>-0.1076582</v>
      </c>
      <c r="J705" s="368">
        <v>0</v>
      </c>
      <c r="K705" s="368">
        <v>0</v>
      </c>
      <c r="L705" s="368">
        <v>0</v>
      </c>
      <c r="M705" s="368">
        <v>-1.48005663421289</v>
      </c>
      <c r="N705" s="368">
        <v>-1.10135864962926</v>
      </c>
      <c r="O705" s="368">
        <v>5.3037154967916597E-2</v>
      </c>
      <c r="T705" s="48">
        <v>8</v>
      </c>
      <c r="U705" s="46" t="s">
        <v>252</v>
      </c>
      <c r="V705" s="53" t="s">
        <v>245</v>
      </c>
      <c r="W705" s="53" t="s">
        <v>549</v>
      </c>
      <c r="X705" s="53" t="s">
        <v>559</v>
      </c>
      <c r="Y705" s="172">
        <f>IFERROR(-tblZwaste1422[[#This Row],[Weight (kgCO2e/kg)]],0)</f>
        <v>-2.0269300000000001</v>
      </c>
      <c r="Z705" s="172" t="e">
        <f>IF(AQ705="x",(AR705*-tblZwaste1422[[#This Row],[Weight (kgCO2e/kg)]])+AS705+($AR$10*Lookups!$J$38/1000),"DELETE")</f>
        <v>#N/A</v>
      </c>
      <c r="AA705" s="176" t="s">
        <v>567</v>
      </c>
      <c r="AB705" s="172" t="s">
        <v>567</v>
      </c>
      <c r="AC705" s="172" t="s">
        <v>567</v>
      </c>
      <c r="AD705" s="172">
        <v>2.6034530932035799E-2</v>
      </c>
      <c r="AE705" s="172">
        <v>0.26237963811555198</v>
      </c>
      <c r="AF705" s="172">
        <v>3.1833671860522301</v>
      </c>
      <c r="AG705" s="150"/>
      <c r="AI705" s="137">
        <v>8</v>
      </c>
      <c r="AJ705" s="136" t="s">
        <v>252</v>
      </c>
      <c r="AK705" s="142" t="s">
        <v>245</v>
      </c>
      <c r="AL705" s="136" t="s">
        <v>549</v>
      </c>
      <c r="AM705" s="136" t="s">
        <v>559</v>
      </c>
      <c r="AN705" s="1">
        <v>2.0269300000000001</v>
      </c>
      <c r="AO705" s="166">
        <v>1.77911</v>
      </c>
      <c r="AQ705" t="e">
        <f>_xlfn.XLOOKUP(tblGWP21[[#This Row],[Material Subcategory]],ls_Mat,Factors!$K$952:$K$1023)</f>
        <v>#N/A</v>
      </c>
      <c r="AR705" s="173">
        <v>0.77500000000000002</v>
      </c>
      <c r="AS705">
        <v>8.1306407300000008E-2</v>
      </c>
      <c r="AT705" t="s">
        <v>531</v>
      </c>
      <c r="AU705" t="s">
        <v>526</v>
      </c>
      <c r="AV705" s="347">
        <v>0.95</v>
      </c>
      <c r="BA705" cm="1">
        <f t="array" ref="BA705:BM705">tblGWP21[#This Row]</f>
        <v>8</v>
      </c>
      <c r="BB705" t="str">
        <v>Plastics</v>
      </c>
      <c r="BC705" t="str">
        <v>PP</v>
      </c>
      <c r="BD705" t="str">
        <v>North America</v>
      </c>
      <c r="BE705" t="str">
        <v>Mexico</v>
      </c>
      <c r="BF705">
        <v>-2.0269300000000001</v>
      </c>
      <c r="BG705" t="e">
        <v>#N/A</v>
      </c>
      <c r="BH705" t="str">
        <v>DELETE</v>
      </c>
      <c r="BI705" t="str">
        <v>DELETE</v>
      </c>
      <c r="BJ705" t="str">
        <v>DELETE</v>
      </c>
      <c r="BK705">
        <v>2.6034530932035799E-2</v>
      </c>
      <c r="BL705">
        <v>0.26237963811555198</v>
      </c>
      <c r="BM705">
        <v>3.1833671860522301</v>
      </c>
    </row>
    <row r="706" spans="3:65" ht="28.8">
      <c r="C706" s="136">
        <v>8</v>
      </c>
      <c r="D706" s="137" t="s">
        <v>233</v>
      </c>
      <c r="E706" s="136" t="s">
        <v>335</v>
      </c>
      <c r="F706" s="136" t="s">
        <v>549</v>
      </c>
      <c r="G706" s="136" t="s">
        <v>559</v>
      </c>
      <c r="H706" s="191">
        <v>-0.26272000000000001</v>
      </c>
      <c r="I706" s="191">
        <v>-0.20183620000000002</v>
      </c>
      <c r="J706" s="191">
        <v>0</v>
      </c>
      <c r="K706" s="191">
        <v>-1.6466906179348999</v>
      </c>
      <c r="L706" s="191">
        <v>-2.62906839567699</v>
      </c>
      <c r="M706" s="191">
        <v>-1.38385200580988</v>
      </c>
      <c r="N706" s="191">
        <v>-1.1132938229609</v>
      </c>
      <c r="O706" s="191">
        <v>3.22099035956918E-2</v>
      </c>
      <c r="T706" s="48">
        <v>8</v>
      </c>
      <c r="U706" s="46" t="s">
        <v>252</v>
      </c>
      <c r="V706" s="53" t="s">
        <v>533</v>
      </c>
      <c r="W706" s="53" t="s">
        <v>549</v>
      </c>
      <c r="X706" s="53" t="s">
        <v>559</v>
      </c>
      <c r="Y706" s="172">
        <f>IFERROR(-tblZwaste1422[[#This Row],[Weight (kgCO2e/kg)]],0)</f>
        <v>-2.0748000000000002</v>
      </c>
      <c r="Z706" s="172" t="e">
        <f>IF(AQ706="x",(AR706*-tblZwaste1422[[#This Row],[Weight (kgCO2e/kg)]])+AS706+($AR$10*Lookups!$J$38/1000),"DELETE")</f>
        <v>#N/A</v>
      </c>
      <c r="AA706" s="176" t="s">
        <v>567</v>
      </c>
      <c r="AB706" s="172" t="s">
        <v>567</v>
      </c>
      <c r="AC706" s="172" t="s">
        <v>567</v>
      </c>
      <c r="AD706" s="172">
        <v>2.60345257242908E-2</v>
      </c>
      <c r="AE706" s="172">
        <v>0.48371680745405499</v>
      </c>
      <c r="AF706" s="172">
        <v>3.03683103926502</v>
      </c>
      <c r="AG706" s="150"/>
      <c r="AI706" s="137">
        <v>8</v>
      </c>
      <c r="AJ706" s="136" t="s">
        <v>252</v>
      </c>
      <c r="AK706" s="142" t="s">
        <v>533</v>
      </c>
      <c r="AL706" s="136" t="s">
        <v>549</v>
      </c>
      <c r="AM706" s="136" t="s">
        <v>559</v>
      </c>
      <c r="AN706" s="1">
        <v>2.0748000000000002</v>
      </c>
      <c r="AO706" s="166">
        <v>1.77911</v>
      </c>
      <c r="AQ706" t="e">
        <f>_xlfn.XLOOKUP(tblGWP21[[#This Row],[Material Subcategory]],ls_Mat,Factors!$K$952:$K$1023)</f>
        <v>#N/A</v>
      </c>
      <c r="AR706" s="173">
        <v>0.77500000000000002</v>
      </c>
      <c r="AS706">
        <v>8.1306407300000008E-2</v>
      </c>
      <c r="AT706" t="s">
        <v>531</v>
      </c>
      <c r="AU706" t="s">
        <v>526</v>
      </c>
      <c r="AV706" s="347">
        <v>0.9</v>
      </c>
      <c r="BA706" cm="1">
        <f t="array" ref="BA706:BM706">tblGWP21[#This Row]</f>
        <v>8</v>
      </c>
      <c r="BB706" t="str">
        <v>Plastics</v>
      </c>
      <c r="BC706" t="str">
        <v>PVC</v>
      </c>
      <c r="BD706" t="str">
        <v>North America</v>
      </c>
      <c r="BE706" t="str">
        <v>Mexico</v>
      </c>
      <c r="BF706">
        <v>-2.0748000000000002</v>
      </c>
      <c r="BG706" t="e">
        <v>#N/A</v>
      </c>
      <c r="BH706" t="str">
        <v>DELETE</v>
      </c>
      <c r="BI706" t="str">
        <v>DELETE</v>
      </c>
      <c r="BJ706" t="str">
        <v>DELETE</v>
      </c>
      <c r="BK706">
        <v>2.60345257242908E-2</v>
      </c>
      <c r="BL706">
        <v>0.48371680745405499</v>
      </c>
      <c r="BM706">
        <v>3.03683103926502</v>
      </c>
    </row>
    <row r="707" spans="3:65" ht="28.8">
      <c r="C707" s="362">
        <v>8</v>
      </c>
      <c r="D707" s="363" t="s">
        <v>233</v>
      </c>
      <c r="E707" s="362" t="s">
        <v>326</v>
      </c>
      <c r="F707" s="362" t="s">
        <v>549</v>
      </c>
      <c r="G707" s="362" t="s">
        <v>559</v>
      </c>
      <c r="H707" s="368">
        <v>-0.14119999999999999</v>
      </c>
      <c r="I707" s="368">
        <v>-0.1076582</v>
      </c>
      <c r="J707" s="368">
        <v>0</v>
      </c>
      <c r="K707" s="368">
        <v>-1.6466906179348999</v>
      </c>
      <c r="L707" s="368">
        <v>-2.62906839567699</v>
      </c>
      <c r="M707" s="368">
        <v>-1.38385200580988</v>
      </c>
      <c r="N707" s="368">
        <v>-1.1132938229609</v>
      </c>
      <c r="O707" s="368">
        <v>3.22099035956918E-2</v>
      </c>
      <c r="T707" s="48">
        <v>8</v>
      </c>
      <c r="U707" s="46" t="s">
        <v>242</v>
      </c>
      <c r="V707" s="53" t="s">
        <v>242</v>
      </c>
      <c r="W707" s="53" t="s">
        <v>549</v>
      </c>
      <c r="X707" s="53" t="s">
        <v>559</v>
      </c>
      <c r="Y707" s="172">
        <f>IFERROR(-tblZwaste1422[[#This Row],[Weight (kgCO2e/kg)]],0)</f>
        <v>-38.486130000000003</v>
      </c>
      <c r="Z707" s="172" t="e">
        <f>IF(AQ707="x",(AR707*-tblZwaste1422[[#This Row],[Weight (kgCO2e/kg)]])+AS707+($AR$10*Lookups!$J$38/1000),"DELETE")</f>
        <v>#N/A</v>
      </c>
      <c r="AA707" s="172">
        <f>AVERAGE(AA708,AA709,AA741,AA742)</f>
        <v>-3.2868550000000001</v>
      </c>
      <c r="AB707" s="172" t="s">
        <v>567</v>
      </c>
      <c r="AC707" s="172" t="s">
        <v>567</v>
      </c>
      <c r="AD707" s="172">
        <v>2.5860000000000001E-2</v>
      </c>
      <c r="AE707" s="172">
        <v>4.1333668033559097E-2</v>
      </c>
      <c r="AF707" s="172">
        <v>4.8926196521969202E-2</v>
      </c>
      <c r="AG707" s="150"/>
      <c r="AI707" s="137">
        <v>8</v>
      </c>
      <c r="AJ707" s="136" t="s">
        <v>242</v>
      </c>
      <c r="AK707" s="142" t="s">
        <v>242</v>
      </c>
      <c r="AL707" s="136" t="s">
        <v>549</v>
      </c>
      <c r="AM707" s="136" t="s">
        <v>559</v>
      </c>
      <c r="AN707" s="1">
        <v>38.486130000000003</v>
      </c>
      <c r="AO707" s="166">
        <v>0.20843</v>
      </c>
      <c r="AQ707" t="e">
        <f>_xlfn.XLOOKUP(tblGWP21[[#This Row],[Material Subcategory]],ls_Mat,Factors!$K$952:$K$1023)</f>
        <v>#N/A</v>
      </c>
      <c r="AR707" s="173">
        <v>0.72499999999999998</v>
      </c>
      <c r="AS707">
        <v>0</v>
      </c>
      <c r="AT707" t="s">
        <v>527</v>
      </c>
      <c r="AU707" t="s">
        <v>526</v>
      </c>
      <c r="AV707" s="347">
        <v>0.9</v>
      </c>
      <c r="BA707" cm="1">
        <f t="array" ref="BA707:BM707">tblGWP21[#This Row]</f>
        <v>8</v>
      </c>
      <c r="BB707" t="str">
        <v>Electronics</v>
      </c>
      <c r="BC707" t="str">
        <v>Electronics</v>
      </c>
      <c r="BD707" t="str">
        <v>North America</v>
      </c>
      <c r="BE707" t="str">
        <v>Mexico</v>
      </c>
      <c r="BF707">
        <v>-38.486130000000003</v>
      </c>
      <c r="BG707" t="e">
        <v>#N/A</v>
      </c>
      <c r="BH707">
        <v>-3.2868550000000001</v>
      </c>
      <c r="BI707" t="str">
        <v>DELETE</v>
      </c>
      <c r="BJ707" t="str">
        <v>DELETE</v>
      </c>
      <c r="BK707">
        <v>2.5860000000000001E-2</v>
      </c>
      <c r="BL707">
        <v>4.1333668033559097E-2</v>
      </c>
      <c r="BM707">
        <v>4.8926196521969202E-2</v>
      </c>
    </row>
    <row r="708" spans="3:65">
      <c r="C708" s="136">
        <v>8</v>
      </c>
      <c r="D708" s="137" t="s">
        <v>261</v>
      </c>
      <c r="E708" s="136" t="s">
        <v>261</v>
      </c>
      <c r="F708" s="136" t="s">
        <v>549</v>
      </c>
      <c r="G708" s="136" t="s">
        <v>559</v>
      </c>
      <c r="H708" s="191">
        <v>-4.72241</v>
      </c>
      <c r="I708" s="191">
        <v>-2.3594331999999998</v>
      </c>
      <c r="J708" s="191">
        <v>0</v>
      </c>
      <c r="K708" s="191">
        <v>-0.363292542675622</v>
      </c>
      <c r="L708" s="191">
        <v>-0.604889967569884</v>
      </c>
      <c r="M708" s="191">
        <v>0.16342528903207898</v>
      </c>
      <c r="N708" s="191">
        <v>-0.1909858231387925</v>
      </c>
      <c r="O708" s="191">
        <v>2.5407321079062101E-2</v>
      </c>
      <c r="T708" s="48">
        <v>8</v>
      </c>
      <c r="U708" s="46" t="s">
        <v>242</v>
      </c>
      <c r="V708" s="53" t="s">
        <v>274</v>
      </c>
      <c r="W708" s="53" t="s">
        <v>549</v>
      </c>
      <c r="X708" s="53" t="s">
        <v>559</v>
      </c>
      <c r="Y708" s="172">
        <f>IFERROR(-tblZwaste1422[[#This Row],[Weight (kgCO2e/kg)]],0)</f>
        <v>-38.486130000000003</v>
      </c>
      <c r="Z708" s="172">
        <f>IF(AQ708="x",(AR708*-tblZwaste1422[[#This Row],[Weight (kgCO2e/kg)]])+AS708+($AR$10*Lookups!$J$38/1000),"DELETE")</f>
        <v>-27.900672450000002</v>
      </c>
      <c r="AA708" s="172">
        <v>-8.5278425000000002</v>
      </c>
      <c r="AB708" s="172" t="s">
        <v>567</v>
      </c>
      <c r="AC708" s="172" t="s">
        <v>567</v>
      </c>
      <c r="AD708" s="172">
        <v>2.5860000000000001E-2</v>
      </c>
      <c r="AE708" s="172">
        <v>4.1333668033559097E-2</v>
      </c>
      <c r="AF708" s="172">
        <v>4.8926196521969202E-2</v>
      </c>
      <c r="AG708" s="150"/>
      <c r="AI708" s="137">
        <v>8</v>
      </c>
      <c r="AJ708" s="136" t="s">
        <v>242</v>
      </c>
      <c r="AK708" s="142" t="s">
        <v>242</v>
      </c>
      <c r="AL708" s="136" t="s">
        <v>549</v>
      </c>
      <c r="AM708" s="136" t="s">
        <v>559</v>
      </c>
      <c r="AN708" s="1">
        <v>38.486130000000003</v>
      </c>
      <c r="AO708" s="166">
        <v>0.20843</v>
      </c>
      <c r="AQ708" t="str">
        <f>_xlfn.XLOOKUP(tblGWP21[[#This Row],[Material Subcategory]],ls_Mat,Factors!$K$952:$K$1023)</f>
        <v>x</v>
      </c>
      <c r="AR708" s="173">
        <v>0.72499999999999998</v>
      </c>
      <c r="AS708">
        <v>0</v>
      </c>
      <c r="AT708" t="s">
        <v>527</v>
      </c>
      <c r="AU708" t="s">
        <v>526</v>
      </c>
      <c r="AV708" s="347">
        <v>0.95</v>
      </c>
      <c r="BA708" cm="1">
        <f t="array" ref="BA708:BM708">tblGWP21[#This Row]</f>
        <v>8</v>
      </c>
      <c r="BB708" t="str">
        <v>Electronics</v>
      </c>
      <c r="BC708" t="str">
        <v>E-waste</v>
      </c>
      <c r="BD708" t="str">
        <v>North America</v>
      </c>
      <c r="BE708" t="str">
        <v>Mexico</v>
      </c>
      <c r="BF708">
        <v>-38.486130000000003</v>
      </c>
      <c r="BG708">
        <v>-27.900672450000002</v>
      </c>
      <c r="BH708">
        <v>-8.5278425000000002</v>
      </c>
      <c r="BI708" t="str">
        <v>DELETE</v>
      </c>
      <c r="BJ708" t="str">
        <v>DELETE</v>
      </c>
      <c r="BK708">
        <v>2.5860000000000001E-2</v>
      </c>
      <c r="BL708">
        <v>4.1333668033559097E-2</v>
      </c>
      <c r="BM708">
        <v>4.8926196521969202E-2</v>
      </c>
    </row>
    <row r="709" spans="3:65">
      <c r="C709" s="362">
        <v>8</v>
      </c>
      <c r="D709" s="363" t="s">
        <v>261</v>
      </c>
      <c r="E709" s="362" t="s">
        <v>269</v>
      </c>
      <c r="F709" s="362" t="s">
        <v>549</v>
      </c>
      <c r="G709" s="362" t="s">
        <v>559</v>
      </c>
      <c r="H709" s="368">
        <v>-0.25034000000000001</v>
      </c>
      <c r="I709" s="368">
        <v>-0.1233982</v>
      </c>
      <c r="J709" s="368">
        <v>0</v>
      </c>
      <c r="K709" s="368">
        <v>-0.30325468771297998</v>
      </c>
      <c r="L709" s="368">
        <v>-0.51380816190073997</v>
      </c>
      <c r="M709" s="368">
        <v>0.19333736377524499</v>
      </c>
      <c r="N709" s="368">
        <v>-0.132429316723506</v>
      </c>
      <c r="O709" s="368">
        <v>2.5085143440906298E-2</v>
      </c>
      <c r="T709" s="48">
        <v>8</v>
      </c>
      <c r="U709" s="46" t="s">
        <v>242</v>
      </c>
      <c r="V709" s="53" t="s">
        <v>534</v>
      </c>
      <c r="W709" s="53" t="s">
        <v>549</v>
      </c>
      <c r="X709" s="53" t="s">
        <v>559</v>
      </c>
      <c r="Y709" s="172">
        <f>IFERROR(-tblZwaste1422[[#This Row],[Weight (kgCO2e/kg)]],0)</f>
        <v>-15.0122</v>
      </c>
      <c r="Z709" s="172">
        <f>IF(AQ709="x",(AR709*-tblZwaste1422[[#This Row],[Weight (kgCO2e/kg)]])+AS709+($AR$10*Lookups!$J$38/1000),"DELETE")</f>
        <v>-10.882073199999999</v>
      </c>
      <c r="AA709" s="172">
        <v>-3.19428</v>
      </c>
      <c r="AB709" s="172" t="s">
        <v>567</v>
      </c>
      <c r="AC709" s="172" t="s">
        <v>567</v>
      </c>
      <c r="AD709" s="172">
        <v>2.5860000000000001E-2</v>
      </c>
      <c r="AE709" s="172">
        <v>4.1333668033559097E-2</v>
      </c>
      <c r="AF709" s="172">
        <v>4.8926196521969202E-2</v>
      </c>
      <c r="AG709" s="150"/>
      <c r="AI709" s="137">
        <v>8</v>
      </c>
      <c r="AJ709" s="136" t="s">
        <v>242</v>
      </c>
      <c r="AK709" s="142" t="s">
        <v>534</v>
      </c>
      <c r="AL709" s="136" t="s">
        <v>549</v>
      </c>
      <c r="AM709" s="136" t="s">
        <v>559</v>
      </c>
      <c r="AN709" s="1">
        <v>15.0122</v>
      </c>
      <c r="AO709" s="166">
        <v>0.37092000000000003</v>
      </c>
      <c r="AQ709" t="str">
        <f>_xlfn.XLOOKUP(tblGWP21[[#This Row],[Material Subcategory]],ls_Mat,Factors!$K$952:$K$1023)</f>
        <v>x</v>
      </c>
      <c r="AR709" s="173">
        <v>0.72499999999999998</v>
      </c>
      <c r="AS709">
        <v>0</v>
      </c>
      <c r="AT709" t="s">
        <v>527</v>
      </c>
      <c r="AU709" t="s">
        <v>526</v>
      </c>
      <c r="AV709" s="347">
        <v>0.7</v>
      </c>
      <c r="BA709" cm="1">
        <f t="array" ref="BA709:BM709">tblGWP21[#This Row]</f>
        <v>8</v>
      </c>
      <c r="BB709" t="str">
        <v>Electronics</v>
      </c>
      <c r="BC709" t="str">
        <v>Batteries</v>
      </c>
      <c r="BD709" t="str">
        <v>North America</v>
      </c>
      <c r="BE709" t="str">
        <v>Mexico</v>
      </c>
      <c r="BF709">
        <v>-15.0122</v>
      </c>
      <c r="BG709">
        <v>-10.882073199999999</v>
      </c>
      <c r="BH709">
        <v>-3.19428</v>
      </c>
      <c r="BI709" t="str">
        <v>DELETE</v>
      </c>
      <c r="BJ709" t="str">
        <v>DELETE</v>
      </c>
      <c r="BK709">
        <v>2.5860000000000001E-2</v>
      </c>
      <c r="BL709">
        <v>4.1333668033559097E-2</v>
      </c>
      <c r="BM709">
        <v>4.8926196521969202E-2</v>
      </c>
    </row>
    <row r="710" spans="3:65" ht="28.8">
      <c r="C710" s="136">
        <v>8</v>
      </c>
      <c r="D710" s="137" t="s">
        <v>261</v>
      </c>
      <c r="E710" s="136" t="s">
        <v>530</v>
      </c>
      <c r="F710" s="136" t="s">
        <v>549</v>
      </c>
      <c r="G710" s="136" t="s">
        <v>559</v>
      </c>
      <c r="H710" s="191">
        <v>-9.1944800000000004</v>
      </c>
      <c r="I710" s="191">
        <v>-4.5954682</v>
      </c>
      <c r="J710" s="191">
        <v>0</v>
      </c>
      <c r="K710" s="191">
        <v>-0.42333039763826402</v>
      </c>
      <c r="L710" s="191">
        <v>-0.69597177323902804</v>
      </c>
      <c r="M710" s="191">
        <v>0.133513214288913</v>
      </c>
      <c r="N710" s="191">
        <v>-0.24954232955407901</v>
      </c>
      <c r="O710" s="191">
        <v>2.57294987172179E-2</v>
      </c>
      <c r="T710" s="48">
        <v>8</v>
      </c>
      <c r="U710" s="46" t="s">
        <v>239</v>
      </c>
      <c r="V710" s="53" t="s">
        <v>239</v>
      </c>
      <c r="W710" s="53" t="s">
        <v>549</v>
      </c>
      <c r="X710" s="53" t="s">
        <v>559</v>
      </c>
      <c r="Y710" s="172">
        <f>IFERROR(-tblZwaste1422[[#This Row],[Weight (kgCO2e/kg)]],0)</f>
        <v>-2.6644477777777777</v>
      </c>
      <c r="Z710" s="172" t="e">
        <f>IF(AQ710="x",(AR710*-tblZwaste1422[[#This Row],[Weight (kgCO2e/kg)]])+AS710+($AR$10*Lookups!$J$38/1000),"DELETE")</f>
        <v>#N/A</v>
      </c>
      <c r="AA710" s="176">
        <v>-0.87532609855828802</v>
      </c>
      <c r="AB710" s="172">
        <v>-1.6287383832761999</v>
      </c>
      <c r="AC710" s="172">
        <v>-2.39292642163465</v>
      </c>
      <c r="AD710" s="172">
        <v>-0.653545379257638</v>
      </c>
      <c r="AE710" s="172">
        <v>-0.89864370226409696</v>
      </c>
      <c r="AF710" s="172">
        <v>2.74724897843227E-2</v>
      </c>
      <c r="AG710" s="150"/>
      <c r="AI710" s="137">
        <v>8</v>
      </c>
      <c r="AJ710" s="136" t="s">
        <v>239</v>
      </c>
      <c r="AK710" s="142" t="s">
        <v>239</v>
      </c>
      <c r="AL710" s="136" t="s">
        <v>549</v>
      </c>
      <c r="AM710" s="136" t="s">
        <v>559</v>
      </c>
      <c r="AN710" s="1">
        <v>2.6644477777777777</v>
      </c>
      <c r="AO710" s="166">
        <v>0.64099666666666666</v>
      </c>
      <c r="AQ710" t="e">
        <f>_xlfn.XLOOKUP(tblGWP21[[#This Row],[Material Subcategory]],ls_Mat,Factors!$K$952:$K$1023)</f>
        <v>#N/A</v>
      </c>
      <c r="AR710" s="173">
        <v>0.64600000000000002</v>
      </c>
      <c r="AS710">
        <v>0</v>
      </c>
      <c r="AT710" t="s">
        <v>527</v>
      </c>
      <c r="BA710" cm="1">
        <f t="array" ref="BA710:BM710">tblGWP21[#This Row]</f>
        <v>8</v>
      </c>
      <c r="BB710" t="str">
        <v>Paper</v>
      </c>
      <c r="BC710" t="str">
        <v>Paper</v>
      </c>
      <c r="BD710" t="str">
        <v>North America</v>
      </c>
      <c r="BE710" t="str">
        <v>Mexico</v>
      </c>
      <c r="BF710">
        <v>-2.6644477777777777</v>
      </c>
      <c r="BG710" t="e">
        <v>#N/A</v>
      </c>
      <c r="BH710">
        <v>-0.87532609855828802</v>
      </c>
      <c r="BI710">
        <v>-1.6287383832761999</v>
      </c>
      <c r="BJ710">
        <v>-2.39292642163465</v>
      </c>
      <c r="BK710">
        <v>-0.653545379257638</v>
      </c>
      <c r="BL710">
        <v>-0.89864370226409696</v>
      </c>
      <c r="BM710">
        <v>2.74724897843227E-2</v>
      </c>
    </row>
    <row r="711" spans="3:65">
      <c r="C711" s="362">
        <v>8</v>
      </c>
      <c r="D711" s="363" t="s">
        <v>261</v>
      </c>
      <c r="E711" s="362" t="s">
        <v>262</v>
      </c>
      <c r="F711" s="362" t="s">
        <v>549</v>
      </c>
      <c r="G711" s="362" t="s">
        <v>559</v>
      </c>
      <c r="H711" s="368">
        <v>-2.5034000000000001</v>
      </c>
      <c r="I711" s="368">
        <v>0</v>
      </c>
      <c r="J711" s="368">
        <v>0</v>
      </c>
      <c r="K711" s="368">
        <v>-0.42333039763826402</v>
      </c>
      <c r="L711" s="368">
        <v>-0.69597177323902804</v>
      </c>
      <c r="M711" s="368">
        <v>0.133513214288913</v>
      </c>
      <c r="N711" s="368">
        <v>-0.24954232955407901</v>
      </c>
      <c r="O711" s="368">
        <v>2.57294987172179E-2</v>
      </c>
      <c r="T711" s="48">
        <v>8</v>
      </c>
      <c r="U711" s="46" t="s">
        <v>239</v>
      </c>
      <c r="V711" s="53" t="s">
        <v>324</v>
      </c>
      <c r="W711" s="53" t="s">
        <v>549</v>
      </c>
      <c r="X711" s="53" t="s">
        <v>559</v>
      </c>
      <c r="Y711" s="172">
        <f>IFERROR(-tblZwaste1422[[#This Row],[Weight (kgCO2e/kg)]],0)</f>
        <v>-1.66</v>
      </c>
      <c r="Z711" s="172" t="str">
        <f>IF(AQ711="x",(AR711*-tblZwaste1422[[#This Row],[Weight (kgCO2e/kg)]])+AS711+($AR$10*Lookups!$J$38/1000),"DELETE")</f>
        <v>DELETE</v>
      </c>
      <c r="AA711" s="176">
        <v>0.17030909850930182</v>
      </c>
      <c r="AB711" s="172">
        <v>-1.6393479664895301</v>
      </c>
      <c r="AC711" s="172">
        <v>-2.2421354928161898</v>
      </c>
      <c r="AD711" s="172">
        <v>-1.1325615866527099</v>
      </c>
      <c r="AE711" s="172">
        <v>-0.97692532810678301</v>
      </c>
      <c r="AF711" s="172">
        <v>2.66828708255522E-2</v>
      </c>
      <c r="AG711" s="150"/>
      <c r="AI711" s="137">
        <v>8</v>
      </c>
      <c r="AJ711" s="136" t="s">
        <v>239</v>
      </c>
      <c r="AK711" s="142" t="s">
        <v>324</v>
      </c>
      <c r="AL711" s="136" t="s">
        <v>549</v>
      </c>
      <c r="AM711" s="136" t="s">
        <v>559</v>
      </c>
      <c r="AN711" s="1">
        <v>1.66</v>
      </c>
      <c r="AO711" s="166">
        <v>0.13142999999999999</v>
      </c>
      <c r="AQ711">
        <f>_xlfn.XLOOKUP(tblGWP21[[#This Row],[Material Subcategory]],ls_Mat,Factors!$K$952:$K$1023)</f>
        <v>0</v>
      </c>
      <c r="AR711" s="173">
        <v>0.64600000000000002</v>
      </c>
      <c r="AS711">
        <v>0</v>
      </c>
      <c r="AT711" t="s">
        <v>527</v>
      </c>
      <c r="BA711" cm="1">
        <f t="array" ref="BA711:BM711">tblGWP21[#This Row]</f>
        <v>8</v>
      </c>
      <c r="BB711" t="str">
        <v>Paper</v>
      </c>
      <c r="BC711" t="str">
        <v>Newsprint</v>
      </c>
      <c r="BD711" t="str">
        <v>North America</v>
      </c>
      <c r="BE711" t="str">
        <v>Mexico</v>
      </c>
      <c r="BF711">
        <v>-1.66</v>
      </c>
      <c r="BG711" t="str">
        <v>DELETE</v>
      </c>
      <c r="BH711">
        <v>0.17030909850930182</v>
      </c>
      <c r="BI711">
        <v>-1.6393479664895301</v>
      </c>
      <c r="BJ711">
        <v>-2.2421354928161898</v>
      </c>
      <c r="BK711">
        <v>-1.1325615866527099</v>
      </c>
      <c r="BL711">
        <v>-0.97692532810678301</v>
      </c>
      <c r="BM711">
        <v>2.66828708255522E-2</v>
      </c>
    </row>
    <row r="712" spans="3:65">
      <c r="C712" s="136">
        <v>8</v>
      </c>
      <c r="D712" s="137" t="s">
        <v>252</v>
      </c>
      <c r="E712" s="136" t="s">
        <v>252</v>
      </c>
      <c r="F712" s="136" t="s">
        <v>549</v>
      </c>
      <c r="G712" s="136" t="s">
        <v>559</v>
      </c>
      <c r="H712" s="191">
        <v>-2.0953266666666663</v>
      </c>
      <c r="I712" s="191">
        <v>-1.5407999593666664</v>
      </c>
      <c r="J712" s="191">
        <v>-4.4028084209304001</v>
      </c>
      <c r="K712" s="191">
        <v>0</v>
      </c>
      <c r="L712" s="191">
        <v>0</v>
      </c>
      <c r="M712" s="191">
        <v>2.60345330558212E-2</v>
      </c>
      <c r="N712" s="191">
        <v>0.52229466264336699</v>
      </c>
      <c r="O712" s="191">
        <v>2.1870259708773201</v>
      </c>
      <c r="T712" s="48">
        <v>8</v>
      </c>
      <c r="U712" s="46" t="s">
        <v>239</v>
      </c>
      <c r="V712" s="53" t="s">
        <v>272</v>
      </c>
      <c r="W712" s="53" t="s">
        <v>549</v>
      </c>
      <c r="X712" s="53" t="s">
        <v>559</v>
      </c>
      <c r="Y712" s="172">
        <f>IFERROR(-tblZwaste1422[[#This Row],[Weight (kgCO2e/kg)]],0)</f>
        <v>-2.1278299999999999</v>
      </c>
      <c r="Z712" s="172">
        <f>IF(AQ712="x",(AR712*-tblZwaste1422[[#This Row],[Weight (kgCO2e/kg)]])+AS712+($AR$10*Lookups!$J$38/1000),"DELETE")</f>
        <v>-1.3728063799999999</v>
      </c>
      <c r="AA712" s="176">
        <v>6.2121953604204836E-3</v>
      </c>
      <c r="AB712" s="172">
        <v>-1.4661627523237399</v>
      </c>
      <c r="AC712" s="172">
        <v>-2.2556847757332998</v>
      </c>
      <c r="AD712" s="172">
        <v>3.6729999999999999E-2</v>
      </c>
      <c r="AE712" s="172">
        <v>-0.76858404709894201</v>
      </c>
      <c r="AF712" s="172">
        <v>3.4586398607210002E-2</v>
      </c>
      <c r="AG712" s="150"/>
      <c r="AI712" s="137">
        <v>8</v>
      </c>
      <c r="AJ712" s="136" t="s">
        <v>239</v>
      </c>
      <c r="AK712" s="142" t="s">
        <v>272</v>
      </c>
      <c r="AL712" s="136" t="s">
        <v>549</v>
      </c>
      <c r="AM712" s="136" t="s">
        <v>559</v>
      </c>
      <c r="AN712" s="1">
        <v>2.1278299999999999</v>
      </c>
      <c r="AO712" s="166">
        <v>1.2152400000000001</v>
      </c>
      <c r="AQ712" t="str">
        <f>_xlfn.XLOOKUP(tblGWP21[[#This Row],[Material Subcategory]],ls_Mat,Factors!$K$952:$K$1023)</f>
        <v>x</v>
      </c>
      <c r="AR712" s="173">
        <v>0.64600000000000002</v>
      </c>
      <c r="AS712">
        <v>0</v>
      </c>
      <c r="AT712" t="s">
        <v>527</v>
      </c>
      <c r="BA712" cm="1">
        <f t="array" ref="BA712:BM712">tblGWP21[#This Row]</f>
        <v>8</v>
      </c>
      <c r="BB712" t="str">
        <v>Paper</v>
      </c>
      <c r="BC712" t="str">
        <v>Corr. Cardboard</v>
      </c>
      <c r="BD712" t="str">
        <v>North America</v>
      </c>
      <c r="BE712" t="str">
        <v>Mexico</v>
      </c>
      <c r="BF712">
        <v>-2.1278299999999999</v>
      </c>
      <c r="BG712">
        <v>-1.3728063799999999</v>
      </c>
      <c r="BH712">
        <v>6.2121953604204836E-3</v>
      </c>
      <c r="BI712">
        <v>-1.4661627523237399</v>
      </c>
      <c r="BJ712">
        <v>-2.2556847757332998</v>
      </c>
      <c r="BK712">
        <v>3.6729999999999999E-2</v>
      </c>
      <c r="BL712">
        <v>-0.76858404709894201</v>
      </c>
      <c r="BM712">
        <v>3.4586398607210002E-2</v>
      </c>
    </row>
    <row r="713" spans="3:65" ht="28.8">
      <c r="C713" s="362">
        <v>8</v>
      </c>
      <c r="D713" s="363" t="s">
        <v>252</v>
      </c>
      <c r="E713" s="362" t="s">
        <v>253</v>
      </c>
      <c r="F713" s="362" t="s">
        <v>549</v>
      </c>
      <c r="G713" s="362" t="s">
        <v>559</v>
      </c>
      <c r="H713" s="368">
        <v>-2.04928</v>
      </c>
      <c r="I713" s="368">
        <v>0</v>
      </c>
      <c r="J713" s="368">
        <v>-3.848262792807438</v>
      </c>
      <c r="K713" s="368">
        <v>0</v>
      </c>
      <c r="L713" s="368">
        <v>0</v>
      </c>
      <c r="M713" s="368">
        <v>2.6034530007375899E-2</v>
      </c>
      <c r="N713" s="368">
        <v>0.31076304251752501</v>
      </c>
      <c r="O713" s="368">
        <v>3.1831778761501202</v>
      </c>
      <c r="T713" s="48">
        <v>8</v>
      </c>
      <c r="U713" s="46" t="s">
        <v>239</v>
      </c>
      <c r="V713" s="53" t="s">
        <v>329</v>
      </c>
      <c r="W713" s="53" t="s">
        <v>549</v>
      </c>
      <c r="X713" s="53" t="s">
        <v>559</v>
      </c>
      <c r="Y713" s="172">
        <f>IFERROR(-tblZwaste1422[[#This Row],[Weight (kgCO2e/kg)]],0)</f>
        <v>-3.4792200000000002</v>
      </c>
      <c r="Z713" s="172" t="str">
        <f>IF(AQ713="x",(AR713*-tblZwaste1422[[#This Row],[Weight (kgCO2e/kg)]])+AS713+($AR$10*Lookups!$J$38/1000),"DELETE")</f>
        <v>DELETE</v>
      </c>
      <c r="AA713" s="176">
        <v>-3.0294379487984222</v>
      </c>
      <c r="AB713" s="172">
        <v>-1.5886805615074799</v>
      </c>
      <c r="AC713" s="172">
        <v>-2.5127916003536002</v>
      </c>
      <c r="AD713" s="172">
        <v>0.44328744861925301</v>
      </c>
      <c r="AE713" s="172">
        <v>-0.77150311157554996</v>
      </c>
      <c r="AF713" s="172">
        <v>3.7250243185255799E-2</v>
      </c>
      <c r="AG713" s="150"/>
      <c r="AI713" s="137">
        <v>8</v>
      </c>
      <c r="AJ713" s="136" t="s">
        <v>239</v>
      </c>
      <c r="AK713" s="142" t="s">
        <v>329</v>
      </c>
      <c r="AL713" s="136" t="s">
        <v>549</v>
      </c>
      <c r="AM713" s="136" t="s">
        <v>559</v>
      </c>
      <c r="AN713" s="1">
        <v>3.4792200000000002</v>
      </c>
      <c r="AO713" s="166">
        <v>1.0383</v>
      </c>
      <c r="AQ713">
        <f>_xlfn.XLOOKUP(tblGWP21[[#This Row],[Material Subcategory]],ls_Mat,Factors!$K$952:$K$1023)</f>
        <v>0</v>
      </c>
      <c r="BA713" cm="1">
        <f t="array" ref="BA713:BM713">tblGWP21[#This Row]</f>
        <v>8</v>
      </c>
      <c r="BB713" t="str">
        <v>Paper</v>
      </c>
      <c r="BC713" t="str">
        <v>Office Paper</v>
      </c>
      <c r="BD713" t="str">
        <v>North America</v>
      </c>
      <c r="BE713" t="str">
        <v>Mexico</v>
      </c>
      <c r="BF713">
        <v>-3.4792200000000002</v>
      </c>
      <c r="BG713" t="str">
        <v>DELETE</v>
      </c>
      <c r="BH713">
        <v>-3.0294379487984222</v>
      </c>
      <c r="BI713">
        <v>-1.5886805615074799</v>
      </c>
      <c r="BJ713">
        <v>-2.5127916003536002</v>
      </c>
      <c r="BK713">
        <v>0.44328744861925301</v>
      </c>
      <c r="BL713">
        <v>-0.77150311157554996</v>
      </c>
      <c r="BM713">
        <v>3.7250243185255799E-2</v>
      </c>
    </row>
    <row r="714" spans="3:65">
      <c r="C714" s="136">
        <v>8</v>
      </c>
      <c r="D714" s="137" t="s">
        <v>252</v>
      </c>
      <c r="E714" s="136" t="s">
        <v>328</v>
      </c>
      <c r="F714" s="136" t="s">
        <v>549</v>
      </c>
      <c r="G714" s="136" t="s">
        <v>559</v>
      </c>
      <c r="H714" s="191">
        <v>-2.3231199999999999</v>
      </c>
      <c r="I714" s="191">
        <v>0</v>
      </c>
      <c r="J714" s="191">
        <v>-4.5625225864514318</v>
      </c>
      <c r="K714" s="191">
        <v>0</v>
      </c>
      <c r="L714" s="191">
        <v>0</v>
      </c>
      <c r="M714" s="191">
        <v>2.60345308107898E-2</v>
      </c>
      <c r="N714" s="191">
        <v>0.40307599889770501</v>
      </c>
      <c r="O714" s="191">
        <v>2.4956089336041298</v>
      </c>
      <c r="T714" s="48">
        <v>8</v>
      </c>
      <c r="U714" s="46" t="s">
        <v>239</v>
      </c>
      <c r="V714" s="53" t="s">
        <v>271</v>
      </c>
      <c r="W714" s="53" t="s">
        <v>549</v>
      </c>
      <c r="X714" s="53" t="s">
        <v>559</v>
      </c>
      <c r="Y714" s="172">
        <f>IFERROR(-tblZwaste1422[[#This Row],[Weight (kgCO2e/kg)]],0)</f>
        <v>-3.1045600000000002</v>
      </c>
      <c r="Z714" s="172" t="str">
        <f>IF(AQ714="x",(AR714*-tblZwaste1422[[#This Row],[Weight (kgCO2e/kg)]])+AS714+($AR$10*Lookups!$J$38/1000),"DELETE")</f>
        <v>DELETE</v>
      </c>
      <c r="AA714" s="176">
        <v>-0.98474186087807403</v>
      </c>
      <c r="AB714" s="172">
        <v>-1.50400500602292</v>
      </c>
      <c r="AC714" s="172">
        <v>-2.60374138984985</v>
      </c>
      <c r="AD714" s="172">
        <v>-0.64508489652896694</v>
      </c>
      <c r="AE714" s="172">
        <v>-0.73514616197038696</v>
      </c>
      <c r="AF714" s="172">
        <v>4.03965523029544E-2</v>
      </c>
      <c r="AG714" s="150"/>
      <c r="AI714" s="137">
        <v>8</v>
      </c>
      <c r="AJ714" s="136" t="s">
        <v>239</v>
      </c>
      <c r="AK714" s="142" t="s">
        <v>271</v>
      </c>
      <c r="AL714" s="136" t="s">
        <v>549</v>
      </c>
      <c r="AM714" s="136" t="s">
        <v>559</v>
      </c>
      <c r="AN714" s="1">
        <v>3.1045600000000002</v>
      </c>
      <c r="AO714" s="166">
        <v>0.12864</v>
      </c>
      <c r="AQ714">
        <f>_xlfn.XLOOKUP(tblGWP21[[#This Row],[Material Subcategory]],ls_Mat,Factors!$K$952:$K$1023)</f>
        <v>0</v>
      </c>
      <c r="AU714" t="s">
        <v>526</v>
      </c>
      <c r="AV714" s="347">
        <v>0.7</v>
      </c>
      <c r="BA714" cm="1">
        <f t="array" ref="BA714:BM714">tblGWP21[#This Row]</f>
        <v>8</v>
      </c>
      <c r="BB714" t="str">
        <v>Paper</v>
      </c>
      <c r="BC714" t="str">
        <v>Magazines</v>
      </c>
      <c r="BD714" t="str">
        <v>North America</v>
      </c>
      <c r="BE714" t="str">
        <v>Mexico</v>
      </c>
      <c r="BF714">
        <v>-3.1045600000000002</v>
      </c>
      <c r="BG714" t="str">
        <v>DELETE</v>
      </c>
      <c r="BH714">
        <v>-0.98474186087807403</v>
      </c>
      <c r="BI714">
        <v>-1.50400500602292</v>
      </c>
      <c r="BJ714">
        <v>-2.60374138984985</v>
      </c>
      <c r="BK714">
        <v>-0.64508489652896694</v>
      </c>
      <c r="BL714">
        <v>-0.73514616197038696</v>
      </c>
      <c r="BM714">
        <v>4.03965523029544E-2</v>
      </c>
    </row>
    <row r="715" spans="3:65">
      <c r="C715" s="362">
        <v>8</v>
      </c>
      <c r="D715" s="363" t="s">
        <v>252</v>
      </c>
      <c r="E715" s="362" t="s">
        <v>254</v>
      </c>
      <c r="F715" s="362" t="s">
        <v>549</v>
      </c>
      <c r="G715" s="362" t="s">
        <v>559</v>
      </c>
      <c r="H715" s="368">
        <v>-2.1485799999999999</v>
      </c>
      <c r="I715" s="368">
        <v>0</v>
      </c>
      <c r="J715" s="368">
        <v>-4.6379257180112967</v>
      </c>
      <c r="K715" s="368">
        <v>0</v>
      </c>
      <c r="L715" s="368">
        <v>0</v>
      </c>
      <c r="M715" s="368">
        <v>2.6034530007375899E-2</v>
      </c>
      <c r="N715" s="368">
        <v>0.57312659123416498</v>
      </c>
      <c r="O715" s="368">
        <v>2.5363328945285502</v>
      </c>
      <c r="T715" s="48">
        <v>8</v>
      </c>
      <c r="U715" s="46" t="s">
        <v>239</v>
      </c>
      <c r="V715" s="53" t="s">
        <v>535</v>
      </c>
      <c r="W715" s="53" t="s">
        <v>549</v>
      </c>
      <c r="X715" s="53" t="s">
        <v>559</v>
      </c>
      <c r="Y715" s="172">
        <f>IFERROR(-tblZwaste1422[[#This Row],[Weight (kgCO2e/kg)]],0)</f>
        <v>-3.1045600000000002</v>
      </c>
      <c r="Z715" s="172" t="str">
        <f>IF(AQ715="x",(AR715*-tblZwaste1422[[#This Row],[Weight (kgCO2e/kg)]])+AS715+($AR$10*Lookups!$J$38/1000),"DELETE")</f>
        <v>DELETE</v>
      </c>
      <c r="AA715" s="176">
        <v>-0.98474186087807403</v>
      </c>
      <c r="AB715" s="172">
        <v>-1.6126581382493801</v>
      </c>
      <c r="AC715" s="172">
        <v>-2.6101906195490798</v>
      </c>
      <c r="AD715" s="172">
        <v>-0.84431642696925902</v>
      </c>
      <c r="AE715" s="172">
        <v>-0.81806113995993301</v>
      </c>
      <c r="AF715" s="172">
        <v>2.9214620903970801E-2</v>
      </c>
      <c r="AG715" s="150"/>
      <c r="AI715" s="137">
        <v>8</v>
      </c>
      <c r="AJ715" s="136" t="s">
        <v>239</v>
      </c>
      <c r="AK715" s="142" t="s">
        <v>535</v>
      </c>
      <c r="AL715" s="136" t="s">
        <v>549</v>
      </c>
      <c r="AM715" s="136" t="s">
        <v>559</v>
      </c>
      <c r="AN715" s="1">
        <v>3.1045600000000002</v>
      </c>
      <c r="AO715" s="166">
        <v>0.12864</v>
      </c>
      <c r="AQ715">
        <f>_xlfn.XLOOKUP(tblGWP21[[#This Row],[Material Subcategory]],ls_Mat,Factors!$K$952:$K$1023)</f>
        <v>0</v>
      </c>
      <c r="AU715" t="s">
        <v>526</v>
      </c>
      <c r="AV715" s="347">
        <v>0.65</v>
      </c>
      <c r="BA715" cm="1">
        <f t="array" ref="BA715:BM715">tblGWP21[#This Row]</f>
        <v>8</v>
      </c>
      <c r="BB715" t="str">
        <v>Paper</v>
      </c>
      <c r="BC715" t="str">
        <v>3rd Class Mail</v>
      </c>
      <c r="BD715" t="str">
        <v>North America</v>
      </c>
      <c r="BE715" t="str">
        <v>Mexico</v>
      </c>
      <c r="BF715">
        <v>-3.1045600000000002</v>
      </c>
      <c r="BG715" t="str">
        <v>DELETE</v>
      </c>
      <c r="BH715">
        <v>-0.98474186087807403</v>
      </c>
      <c r="BI715">
        <v>-1.6126581382493801</v>
      </c>
      <c r="BJ715">
        <v>-2.6101906195490798</v>
      </c>
      <c r="BK715">
        <v>-0.84431642696925902</v>
      </c>
      <c r="BL715">
        <v>-0.81806113995993301</v>
      </c>
      <c r="BM715">
        <v>2.9214620903970801E-2</v>
      </c>
    </row>
    <row r="716" spans="3:65">
      <c r="C716" s="136">
        <v>8</v>
      </c>
      <c r="D716" s="137" t="s">
        <v>252</v>
      </c>
      <c r="E716" s="136" t="s">
        <v>532</v>
      </c>
      <c r="F716" s="136" t="s">
        <v>549</v>
      </c>
      <c r="G716" s="136" t="s">
        <v>559</v>
      </c>
      <c r="H716" s="191">
        <v>-1.9492499999999999</v>
      </c>
      <c r="I716" s="191">
        <v>0</v>
      </c>
      <c r="J716" s="191">
        <v>-4.5625225864514318</v>
      </c>
      <c r="K716" s="191">
        <v>0</v>
      </c>
      <c r="L716" s="191">
        <v>0</v>
      </c>
      <c r="M716" s="191">
        <v>2.60345308107898E-2</v>
      </c>
      <c r="N716" s="191">
        <v>0.40307599889770501</v>
      </c>
      <c r="O716" s="191">
        <v>2.4956089336041298</v>
      </c>
      <c r="T716" s="48">
        <v>8</v>
      </c>
      <c r="U716" s="46" t="s">
        <v>239</v>
      </c>
      <c r="V716" s="53" t="s">
        <v>259</v>
      </c>
      <c r="W716" s="53" t="s">
        <v>549</v>
      </c>
      <c r="X716" s="53" t="s">
        <v>559</v>
      </c>
      <c r="Y716" s="172">
        <f>IFERROR(-tblZwaste1422[[#This Row],[Weight (kgCO2e/kg)]],0)</f>
        <v>-2.86965</v>
      </c>
      <c r="Z716" s="172" t="str">
        <f>IF(AQ716="x",(AR716*-tblZwaste1422[[#This Row],[Weight (kgCO2e/kg)]])+AS716+($AR$10*Lookups!$J$38/1000),"DELETE")</f>
        <v>DELETE</v>
      </c>
      <c r="AA716" s="176">
        <v>-0.98474186087807403</v>
      </c>
      <c r="AB716" s="172">
        <v>-1.3277684187324199</v>
      </c>
      <c r="AC716" s="172">
        <v>-2.0258416808533699</v>
      </c>
      <c r="AD716" s="172">
        <v>-0.37500585669263597</v>
      </c>
      <c r="AE716" s="172">
        <v>-0.66645468961952703</v>
      </c>
      <c r="AF716" s="172">
        <v>2.8422158660527701E-2</v>
      </c>
      <c r="AG716" s="150"/>
      <c r="AI716" s="137">
        <v>8</v>
      </c>
      <c r="AJ716" s="136" t="s">
        <v>239</v>
      </c>
      <c r="AK716" s="142" t="s">
        <v>259</v>
      </c>
      <c r="AL716" s="136" t="s">
        <v>549</v>
      </c>
      <c r="AM716" s="136" t="s">
        <v>559</v>
      </c>
      <c r="AN716" s="1">
        <v>2.86965</v>
      </c>
      <c r="AO716" s="166">
        <v>0.79600000000000004</v>
      </c>
      <c r="AQ716">
        <f>_xlfn.XLOOKUP(tblGWP21[[#This Row],[Material Subcategory]],ls_Mat,Factors!$K$952:$K$1023)</f>
        <v>0</v>
      </c>
      <c r="AR716" s="173"/>
      <c r="BA716" cm="1">
        <f t="array" ref="BA716:BM716">tblGWP21[#This Row]</f>
        <v>8</v>
      </c>
      <c r="BB716" t="str">
        <v>Paper</v>
      </c>
      <c r="BC716" t="str">
        <v>Folding Containers</v>
      </c>
      <c r="BD716" t="str">
        <v>North America</v>
      </c>
      <c r="BE716" t="str">
        <v>Mexico</v>
      </c>
      <c r="BF716">
        <v>-2.86965</v>
      </c>
      <c r="BG716" t="str">
        <v>DELETE</v>
      </c>
      <c r="BH716">
        <v>-0.98474186087807403</v>
      </c>
      <c r="BI716">
        <v>-1.3277684187324199</v>
      </c>
      <c r="BJ716">
        <v>-2.0258416808533699</v>
      </c>
      <c r="BK716">
        <v>-0.37500585669263597</v>
      </c>
      <c r="BL716">
        <v>-0.66645468961952703</v>
      </c>
      <c r="BM716">
        <v>2.8422158660527701E-2</v>
      </c>
    </row>
    <row r="717" spans="3:65">
      <c r="C717" s="362">
        <v>8</v>
      </c>
      <c r="D717" s="363" t="s">
        <v>252</v>
      </c>
      <c r="E717" s="362" t="s">
        <v>245</v>
      </c>
      <c r="F717" s="362" t="s">
        <v>549</v>
      </c>
      <c r="G717" s="362" t="s">
        <v>559</v>
      </c>
      <c r="H717" s="368">
        <v>-2.0269300000000001</v>
      </c>
      <c r="I717" s="368">
        <v>0</v>
      </c>
      <c r="J717" s="368">
        <v>0</v>
      </c>
      <c r="K717" s="368">
        <v>0</v>
      </c>
      <c r="L717" s="368">
        <v>0</v>
      </c>
      <c r="M717" s="368">
        <v>2.6034530932035799E-2</v>
      </c>
      <c r="N717" s="368">
        <v>0.26237963811555198</v>
      </c>
      <c r="O717" s="368">
        <v>3.1833671860522301</v>
      </c>
      <c r="T717" s="48">
        <v>8</v>
      </c>
      <c r="U717" s="46" t="s">
        <v>239</v>
      </c>
      <c r="V717" s="53" t="s">
        <v>334</v>
      </c>
      <c r="W717" s="53" t="s">
        <v>549</v>
      </c>
      <c r="X717" s="53" t="s">
        <v>559</v>
      </c>
      <c r="Y717" s="172">
        <f>IFERROR(-tblZwaste1422[[#This Row],[Weight (kgCO2e/kg)]],0)</f>
        <v>-2.86965</v>
      </c>
      <c r="Z717" s="172" t="str">
        <f>IF(AQ717="x",(AR717*-tblZwaste1422[[#This Row],[Weight (kgCO2e/kg)]])+AS717+($AR$10*Lookups!$J$38/1000),"DELETE")</f>
        <v>DELETE</v>
      </c>
      <c r="AA717" s="176">
        <v>-0.98474186087807403</v>
      </c>
      <c r="AB717" s="172">
        <v>-1.7381940409748999</v>
      </c>
      <c r="AC717" s="172">
        <v>-2.4952604314451898</v>
      </c>
      <c r="AD717" s="172">
        <v>-0.31636269932420302</v>
      </c>
      <c r="AE717" s="172">
        <v>-0.97264432557816705</v>
      </c>
      <c r="AF717" s="172">
        <v>2.63900265513301E-2</v>
      </c>
      <c r="AG717" s="150"/>
      <c r="AI717" s="137">
        <v>8</v>
      </c>
      <c r="AJ717" s="136" t="s">
        <v>239</v>
      </c>
      <c r="AK717" s="142" t="s">
        <v>334</v>
      </c>
      <c r="AL717" s="136" t="s">
        <v>549</v>
      </c>
      <c r="AM717" s="136" t="s">
        <v>559</v>
      </c>
      <c r="AN717" s="1">
        <v>2.86965</v>
      </c>
      <c r="AO717" s="166">
        <v>0.76736000000000004</v>
      </c>
      <c r="AQ717">
        <f>_xlfn.XLOOKUP(tblGWP21[[#This Row],[Material Subcategory]],ls_Mat,Factors!$K$952:$K$1023)</f>
        <v>0</v>
      </c>
      <c r="AR717" s="173"/>
      <c r="BA717" cm="1">
        <f t="array" ref="BA717:BM717">tblGWP21[#This Row]</f>
        <v>8</v>
      </c>
      <c r="BB717" t="str">
        <v>Paper</v>
      </c>
      <c r="BC717" t="str">
        <v>Paper Bags</v>
      </c>
      <c r="BD717" t="str">
        <v>North America</v>
      </c>
      <c r="BE717" t="str">
        <v>Mexico</v>
      </c>
      <c r="BF717">
        <v>-2.86965</v>
      </c>
      <c r="BG717" t="str">
        <v>DELETE</v>
      </c>
      <c r="BH717">
        <v>-0.98474186087807403</v>
      </c>
      <c r="BI717">
        <v>-1.7381940409748999</v>
      </c>
      <c r="BJ717">
        <v>-2.4952604314451898</v>
      </c>
      <c r="BK717">
        <v>-0.31636269932420302</v>
      </c>
      <c r="BL717">
        <v>-0.97264432557816705</v>
      </c>
      <c r="BM717">
        <v>2.63900265513301E-2</v>
      </c>
    </row>
    <row r="718" spans="3:65">
      <c r="C718" s="136">
        <v>8</v>
      </c>
      <c r="D718" s="137" t="s">
        <v>252</v>
      </c>
      <c r="E718" s="136" t="s">
        <v>533</v>
      </c>
      <c r="F718" s="136" t="s">
        <v>549</v>
      </c>
      <c r="G718" s="136" t="s">
        <v>559</v>
      </c>
      <c r="H718" s="191">
        <v>-2.0748000000000002</v>
      </c>
      <c r="I718" s="191">
        <v>0</v>
      </c>
      <c r="J718" s="191">
        <v>0</v>
      </c>
      <c r="K718" s="191">
        <v>0</v>
      </c>
      <c r="L718" s="191">
        <v>0</v>
      </c>
      <c r="M718" s="191">
        <v>2.60345257242908E-2</v>
      </c>
      <c r="N718" s="191">
        <v>0.48371680745405499</v>
      </c>
      <c r="O718" s="191">
        <v>3.03683103926502</v>
      </c>
      <c r="T718" s="48">
        <v>8</v>
      </c>
      <c r="U718" s="46" t="s">
        <v>239</v>
      </c>
      <c r="V718" s="53" t="s">
        <v>240</v>
      </c>
      <c r="W718" s="53" t="s">
        <v>549</v>
      </c>
      <c r="X718" s="53" t="s">
        <v>559</v>
      </c>
      <c r="Y718" s="172">
        <f>IFERROR(-tblZwaste1422[[#This Row],[Weight (kgCO2e/kg)]],0)</f>
        <v>-3.1045600000000002</v>
      </c>
      <c r="Z718" s="172" t="str">
        <f>IF(AQ718="x",(AR718*-tblZwaste1422[[#This Row],[Weight (kgCO2e/kg)]])+AS718+($AR$10*Lookups!$J$38/1000),"DELETE")</f>
        <v>DELETE</v>
      </c>
      <c r="AA718" s="176" t="s">
        <v>567</v>
      </c>
      <c r="AB718" s="172">
        <v>-1.7669466747123801</v>
      </c>
      <c r="AC718" s="172">
        <v>-2.57939087062358</v>
      </c>
      <c r="AD718" s="172">
        <v>-0.65753871977953204</v>
      </c>
      <c r="AE718" s="172">
        <v>0.37026316036421603</v>
      </c>
      <c r="AF718" s="172">
        <v>2.3670131544394799</v>
      </c>
      <c r="AG718" s="150"/>
      <c r="AI718" s="137">
        <v>8</v>
      </c>
      <c r="AJ718" s="136" t="s">
        <v>239</v>
      </c>
      <c r="AK718" s="142" t="s">
        <v>240</v>
      </c>
      <c r="AL718" s="136" t="s">
        <v>549</v>
      </c>
      <c r="AM718" s="136" t="s">
        <v>559</v>
      </c>
      <c r="AN718" s="1">
        <v>3.1045600000000002</v>
      </c>
      <c r="AO718" s="166">
        <v>0.76736000000000004</v>
      </c>
      <c r="AQ718">
        <f>_xlfn.XLOOKUP(tblGWP21[[#This Row],[Material Subcategory]],ls_Mat,Factors!$K$952:$K$1023)</f>
        <v>0</v>
      </c>
      <c r="AR718" s="173"/>
      <c r="BA718" cm="1">
        <f t="array" ref="BA718:BM718">tblGWP21[#This Row]</f>
        <v>8</v>
      </c>
      <c r="BB718" t="str">
        <v>Paper</v>
      </c>
      <c r="BC718" t="str">
        <v>Paper – Non-Recyclable</v>
      </c>
      <c r="BD718" t="str">
        <v>North America</v>
      </c>
      <c r="BE718" t="str">
        <v>Mexico</v>
      </c>
      <c r="BF718">
        <v>-3.1045600000000002</v>
      </c>
      <c r="BG718" t="str">
        <v>DELETE</v>
      </c>
      <c r="BH718" t="str">
        <v>DELETE</v>
      </c>
      <c r="BI718">
        <v>-1.7669466747123801</v>
      </c>
      <c r="BJ718">
        <v>-2.57939087062358</v>
      </c>
      <c r="BK718">
        <v>-0.65753871977953204</v>
      </c>
      <c r="BL718">
        <v>0.37026316036421603</v>
      </c>
      <c r="BM718">
        <v>2.3670131544394799</v>
      </c>
    </row>
    <row r="719" spans="3:65" ht="28.8">
      <c r="C719" s="362">
        <v>8</v>
      </c>
      <c r="D719" s="363" t="s">
        <v>242</v>
      </c>
      <c r="E719" s="362" t="s">
        <v>242</v>
      </c>
      <c r="F719" s="362" t="s">
        <v>549</v>
      </c>
      <c r="G719" s="362" t="s">
        <v>559</v>
      </c>
      <c r="H719" s="368">
        <v>-38.486130000000003</v>
      </c>
      <c r="I719" s="368">
        <v>-27.900672450000002</v>
      </c>
      <c r="J719" s="368">
        <v>-3.2868550000000001</v>
      </c>
      <c r="K719" s="368">
        <v>0</v>
      </c>
      <c r="L719" s="368">
        <v>0</v>
      </c>
      <c r="M719" s="368">
        <v>2.5860000000000001E-2</v>
      </c>
      <c r="N719" s="368">
        <v>4.1333668033559097E-2</v>
      </c>
      <c r="O719" s="368">
        <v>4.8926196521969202E-2</v>
      </c>
      <c r="T719" s="48">
        <v>8</v>
      </c>
      <c r="U719" s="46" t="s">
        <v>239</v>
      </c>
      <c r="V719" s="53" t="s">
        <v>325</v>
      </c>
      <c r="W719" s="53" t="s">
        <v>549</v>
      </c>
      <c r="X719" s="53" t="s">
        <v>559</v>
      </c>
      <c r="Y719" s="172">
        <f>IFERROR(-tblZwaste1422[[#This Row],[Weight (kgCO2e/kg)]],0)</f>
        <v>-1.66</v>
      </c>
      <c r="Z719" s="172" t="str">
        <f>IF(AQ719="x",(AR719*-tblZwaste1422[[#This Row],[Weight (kgCO2e/kg)]])+AS719+($AR$10*Lookups!$J$38/1000),"DELETE")</f>
        <v>DELETE</v>
      </c>
      <c r="AA719" s="176" t="s">
        <v>567</v>
      </c>
      <c r="AB719" s="172">
        <v>-1.6287383832761999</v>
      </c>
      <c r="AC719" s="172">
        <v>-2.39292642163465</v>
      </c>
      <c r="AD719" s="172">
        <v>-0.653545379257638</v>
      </c>
      <c r="AE719" s="172">
        <v>-0.89864370226409696</v>
      </c>
      <c r="AF719" s="172">
        <v>2.74724897843227E-2</v>
      </c>
      <c r="AG719" s="150"/>
      <c r="AI719" s="137">
        <v>8</v>
      </c>
      <c r="AJ719" s="136" t="s">
        <v>239</v>
      </c>
      <c r="AK719" s="142" t="s">
        <v>325</v>
      </c>
      <c r="AL719" s="136" t="s">
        <v>549</v>
      </c>
      <c r="AM719" s="136" t="s">
        <v>559</v>
      </c>
      <c r="AN719" s="1">
        <v>1.66</v>
      </c>
      <c r="AO719" s="166">
        <v>0.79600000000000004</v>
      </c>
      <c r="AQ719">
        <f>_xlfn.XLOOKUP(tblGWP21[[#This Row],[Material Subcategory]],ls_Mat,Factors!$K$952:$K$1023)</f>
        <v>0</v>
      </c>
      <c r="BA719" cm="1">
        <f t="array" ref="BA719:BM719">tblGWP21[#This Row]</f>
        <v>8</v>
      </c>
      <c r="BB719" t="str">
        <v>Paper</v>
      </c>
      <c r="BC719" t="str">
        <v>Compostable Food Service Ware</v>
      </c>
      <c r="BD719" t="str">
        <v>North America</v>
      </c>
      <c r="BE719" t="str">
        <v>Mexico</v>
      </c>
      <c r="BF719">
        <v>-1.66</v>
      </c>
      <c r="BG719" t="str">
        <v>DELETE</v>
      </c>
      <c r="BH719" t="str">
        <v>DELETE</v>
      </c>
      <c r="BI719">
        <v>-1.6287383832761999</v>
      </c>
      <c r="BJ719">
        <v>-2.39292642163465</v>
      </c>
      <c r="BK719">
        <v>-0.653545379257638</v>
      </c>
      <c r="BL719">
        <v>-0.89864370226409696</v>
      </c>
      <c r="BM719">
        <v>2.74724897843227E-2</v>
      </c>
    </row>
    <row r="720" spans="3:65">
      <c r="C720" s="136">
        <v>8</v>
      </c>
      <c r="D720" s="137" t="s">
        <v>242</v>
      </c>
      <c r="E720" s="136" t="s">
        <v>274</v>
      </c>
      <c r="F720" s="136" t="s">
        <v>549</v>
      </c>
      <c r="G720" s="136" t="s">
        <v>559</v>
      </c>
      <c r="H720" s="191">
        <v>-38.486130000000003</v>
      </c>
      <c r="I720" s="191">
        <v>-27.900672450000002</v>
      </c>
      <c r="J720" s="191">
        <v>-8.5278425000000002</v>
      </c>
      <c r="K720" s="191">
        <v>0</v>
      </c>
      <c r="L720" s="191">
        <v>0</v>
      </c>
      <c r="M720" s="191">
        <v>2.5860000000000001E-2</v>
      </c>
      <c r="N720" s="191">
        <v>4.1333668033559097E-2</v>
      </c>
      <c r="O720" s="191">
        <v>4.8926196521969202E-2</v>
      </c>
      <c r="T720" s="48">
        <v>8</v>
      </c>
      <c r="U720" s="46" t="s">
        <v>256</v>
      </c>
      <c r="V720" s="53" t="s">
        <v>256</v>
      </c>
      <c r="W720" s="53" t="s">
        <v>549</v>
      </c>
      <c r="X720" s="53" t="s">
        <v>559</v>
      </c>
      <c r="Y720" s="172">
        <f>IFERROR(-tblZwaste1422[[#This Row],[Weight (kgCO2e/kg)]],0)</f>
        <v>-3.3097799999999999</v>
      </c>
      <c r="Z720" s="172" t="e">
        <f>IF(AQ720="x",(AR720*-tblZwaste1422[[#This Row],[Weight (kgCO2e/kg)]])+AS720+($AR$10*Lookups!$J$38/1000),"DELETE")</f>
        <v>#N/A</v>
      </c>
      <c r="AA720" s="176">
        <v>-12.927962776222799</v>
      </c>
      <c r="AB720" s="172" t="s">
        <v>567</v>
      </c>
      <c r="AC720" s="172" t="s">
        <v>567</v>
      </c>
      <c r="AD720" s="172">
        <v>2.5947255864949198E-2</v>
      </c>
      <c r="AE720" s="172">
        <v>-0.10295975900783261</v>
      </c>
      <c r="AF720" s="172">
        <v>-8.5244179033323805E-2</v>
      </c>
      <c r="AG720" s="150"/>
      <c r="AI720" s="137">
        <v>8</v>
      </c>
      <c r="AJ720" s="136" t="s">
        <v>256</v>
      </c>
      <c r="AK720" s="142" t="s">
        <v>256</v>
      </c>
      <c r="AL720" s="136" t="s">
        <v>549</v>
      </c>
      <c r="AM720" s="136" t="s">
        <v>559</v>
      </c>
      <c r="AN720" s="1">
        <v>3.3097799999999999</v>
      </c>
      <c r="AO720" s="166">
        <v>1.0068550000000001</v>
      </c>
      <c r="AQ720" t="e">
        <f>_xlfn.XLOOKUP(tblGWP21[[#This Row],[Material Subcategory]],ls_Mat,Factors!$K$952:$K$1023)</f>
        <v>#N/A</v>
      </c>
      <c r="AR720" s="173">
        <v>1</v>
      </c>
      <c r="AS720">
        <v>8.1306407300000008E-2</v>
      </c>
      <c r="AT720" t="s">
        <v>531</v>
      </c>
      <c r="AU720" t="s">
        <v>526</v>
      </c>
      <c r="AV720" s="347">
        <v>0.5</v>
      </c>
      <c r="BA720" cm="1">
        <f t="array" ref="BA720:BM720">tblGWP21[#This Row]</f>
        <v>8</v>
      </c>
      <c r="BB720" t="str">
        <v>Metals</v>
      </c>
      <c r="BC720" t="str">
        <v>Metals</v>
      </c>
      <c r="BD720" t="str">
        <v>North America</v>
      </c>
      <c r="BE720" t="str">
        <v>Mexico</v>
      </c>
      <c r="BF720">
        <v>-3.3097799999999999</v>
      </c>
      <c r="BG720" t="e">
        <v>#N/A</v>
      </c>
      <c r="BH720">
        <v>-12.927962776222799</v>
      </c>
      <c r="BI720" t="str">
        <v>DELETE</v>
      </c>
      <c r="BJ720" t="str">
        <v>DELETE</v>
      </c>
      <c r="BK720">
        <v>2.5947255864949198E-2</v>
      </c>
      <c r="BL720">
        <v>-0.10295975900783261</v>
      </c>
      <c r="BM720">
        <v>-8.5244179033323805E-2</v>
      </c>
    </row>
    <row r="721" spans="3:65">
      <c r="C721" s="362">
        <v>8</v>
      </c>
      <c r="D721" s="363" t="s">
        <v>242</v>
      </c>
      <c r="E721" s="362" t="s">
        <v>534</v>
      </c>
      <c r="F721" s="362" t="s">
        <v>549</v>
      </c>
      <c r="G721" s="362" t="s">
        <v>559</v>
      </c>
      <c r="H721" s="368">
        <v>-15.0122</v>
      </c>
      <c r="I721" s="368">
        <v>-10.882073199999999</v>
      </c>
      <c r="J721" s="368">
        <v>-3.19428</v>
      </c>
      <c r="K721" s="368">
        <v>0</v>
      </c>
      <c r="L721" s="368">
        <v>0</v>
      </c>
      <c r="M721" s="368">
        <v>2.5860000000000001E-2</v>
      </c>
      <c r="N721" s="368">
        <v>4.1333668033559097E-2</v>
      </c>
      <c r="O721" s="368">
        <v>4.8926196521969202E-2</v>
      </c>
      <c r="T721" s="48">
        <v>8</v>
      </c>
      <c r="U721" s="46" t="s">
        <v>256</v>
      </c>
      <c r="V721" s="53" t="s">
        <v>536</v>
      </c>
      <c r="W721" s="53" t="s">
        <v>549</v>
      </c>
      <c r="X721" s="53" t="s">
        <v>559</v>
      </c>
      <c r="Y721" s="172">
        <f>IFERROR(-tblZwaste1422[[#This Row],[Weight (kgCO2e/kg)]],0)</f>
        <v>-1.9798800000000001</v>
      </c>
      <c r="Z721" s="172">
        <f>IF(AQ721="x",(AR721*-tblZwaste1422[[#This Row],[Weight (kgCO2e/kg)]])+AS721+($AR$10*Lookups!$J$38/1000),"DELETE")</f>
        <v>-1.8968017927</v>
      </c>
      <c r="AA721" s="176">
        <v>-2.3156070805305413</v>
      </c>
      <c r="AB721" s="172" t="s">
        <v>567</v>
      </c>
      <c r="AC721" s="172" t="s">
        <v>567</v>
      </c>
      <c r="AD721" s="172">
        <v>2.6034511729898398E-2</v>
      </c>
      <c r="AE721" s="172">
        <v>-0.15270002367897401</v>
      </c>
      <c r="AF721" s="172">
        <v>-0.12513255395009701</v>
      </c>
      <c r="AG721" s="150"/>
      <c r="AI721" s="137">
        <v>8</v>
      </c>
      <c r="AJ721" s="136" t="s">
        <v>256</v>
      </c>
      <c r="AK721" s="142" t="s">
        <v>536</v>
      </c>
      <c r="AL721" s="136" t="s">
        <v>549</v>
      </c>
      <c r="AM721" s="136" t="s">
        <v>559</v>
      </c>
      <c r="AN721" s="1">
        <v>1.9798800000000001</v>
      </c>
      <c r="AO721" s="166">
        <v>0.72957000000000005</v>
      </c>
      <c r="AQ721" t="str">
        <f>_xlfn.XLOOKUP(tblGWP21[[#This Row],[Material Subcategory]],ls_Mat,Factors!$K$952:$K$1023)</f>
        <v>x</v>
      </c>
      <c r="AR721" s="173">
        <v>1</v>
      </c>
      <c r="AS721">
        <v>8.1306407300000008E-2</v>
      </c>
      <c r="AT721" t="s">
        <v>531</v>
      </c>
      <c r="BA721" cm="1">
        <f t="array" ref="BA721:BM721">tblGWP21[#This Row]</f>
        <v>8</v>
      </c>
      <c r="BB721" t="str">
        <v>Metals</v>
      </c>
      <c r="BC721" t="str">
        <v>Ferrous Cans</v>
      </c>
      <c r="BD721" t="str">
        <v>North America</v>
      </c>
      <c r="BE721" t="str">
        <v>Mexico</v>
      </c>
      <c r="BF721">
        <v>-1.9798800000000001</v>
      </c>
      <c r="BG721">
        <v>-1.8968017927</v>
      </c>
      <c r="BH721">
        <v>-2.3156070805305413</v>
      </c>
      <c r="BI721" t="str">
        <v>DELETE</v>
      </c>
      <c r="BJ721" t="str">
        <v>DELETE</v>
      </c>
      <c r="BK721">
        <v>2.6034511729898398E-2</v>
      </c>
      <c r="BL721">
        <v>-0.15270002367897401</v>
      </c>
      <c r="BM721">
        <v>-0.12513255395009701</v>
      </c>
    </row>
    <row r="722" spans="3:65">
      <c r="C722" s="136">
        <v>8</v>
      </c>
      <c r="D722" s="137" t="s">
        <v>239</v>
      </c>
      <c r="E722" s="136" t="s">
        <v>239</v>
      </c>
      <c r="F722" s="136" t="s">
        <v>549</v>
      </c>
      <c r="G722" s="136" t="s">
        <v>559</v>
      </c>
      <c r="H722" s="191">
        <v>-2.6644477777777777</v>
      </c>
      <c r="I722" s="191">
        <v>-1.7194614644444446</v>
      </c>
      <c r="J722" s="191">
        <v>-0.87532609855828802</v>
      </c>
      <c r="K722" s="191">
        <v>-1.6287383832761999</v>
      </c>
      <c r="L722" s="191">
        <v>-2.39292642163465</v>
      </c>
      <c r="M722" s="191">
        <v>-0.653545379257638</v>
      </c>
      <c r="N722" s="191">
        <v>-0.89864370226409696</v>
      </c>
      <c r="O722" s="191">
        <v>2.74724897843227E-2</v>
      </c>
      <c r="T722" s="48">
        <v>8</v>
      </c>
      <c r="U722" s="46" t="s">
        <v>256</v>
      </c>
      <c r="V722" s="53" t="s">
        <v>257</v>
      </c>
      <c r="W722" s="53" t="s">
        <v>549</v>
      </c>
      <c r="X722" s="53" t="s">
        <v>559</v>
      </c>
      <c r="Y722" s="172">
        <f>IFERROR(-tblZwaste1422[[#This Row],[Weight (kgCO2e/kg)]],0)</f>
        <v>-1.9798800000000001</v>
      </c>
      <c r="Z722" s="172">
        <f>IF(AQ722="x",(AR722*-tblZwaste1422[[#This Row],[Weight (kgCO2e/kg)]])+AS722+($AR$10*Lookups!$J$38/1000),"DELETE")</f>
        <v>-1.8968017927</v>
      </c>
      <c r="AA722" s="176">
        <v>-2.3156070805305413</v>
      </c>
      <c r="AB722" s="172" t="s">
        <v>567</v>
      </c>
      <c r="AC722" s="172" t="s">
        <v>567</v>
      </c>
      <c r="AD722" s="172">
        <v>2.6034511729898398E-2</v>
      </c>
      <c r="AE722" s="172">
        <v>-0.15270002367897401</v>
      </c>
      <c r="AF722" s="172">
        <v>-0.12513255395009701</v>
      </c>
      <c r="AG722" s="150"/>
      <c r="AI722" s="137">
        <v>8</v>
      </c>
      <c r="AJ722" s="136" t="s">
        <v>256</v>
      </c>
      <c r="AK722" s="142" t="s">
        <v>257</v>
      </c>
      <c r="AL722" s="136" t="s">
        <v>549</v>
      </c>
      <c r="AM722" s="136" t="s">
        <v>559</v>
      </c>
      <c r="AN722" s="1">
        <v>1.9798800000000001</v>
      </c>
      <c r="AO722" s="166">
        <v>0.46493000000000001</v>
      </c>
      <c r="AQ722" t="str">
        <f>_xlfn.XLOOKUP(tblGWP21[[#This Row],[Material Subcategory]],ls_Mat,Factors!$K$952:$K$1023)</f>
        <v>x</v>
      </c>
      <c r="AR722" s="173">
        <v>1</v>
      </c>
      <c r="AS722">
        <v>8.1306407300000008E-2</v>
      </c>
      <c r="AT722" t="s">
        <v>531</v>
      </c>
      <c r="BA722" cm="1">
        <f t="array" ref="BA722:BM722">tblGWP21[#This Row]</f>
        <v>8</v>
      </c>
      <c r="BB722" t="str">
        <v>Metals</v>
      </c>
      <c r="BC722" t="str">
        <v>Ferrous Metal</v>
      </c>
      <c r="BD722" t="str">
        <v>North America</v>
      </c>
      <c r="BE722" t="str">
        <v>Mexico</v>
      </c>
      <c r="BF722">
        <v>-1.9798800000000001</v>
      </c>
      <c r="BG722">
        <v>-1.8968017927</v>
      </c>
      <c r="BH722">
        <v>-2.3156070805305413</v>
      </c>
      <c r="BI722" t="str">
        <v>DELETE</v>
      </c>
      <c r="BJ722" t="str">
        <v>DELETE</v>
      </c>
      <c r="BK722">
        <v>2.6034511729898398E-2</v>
      </c>
      <c r="BL722">
        <v>-0.15270002367897401</v>
      </c>
      <c r="BM722">
        <v>-0.12513255395009701</v>
      </c>
    </row>
    <row r="723" spans="3:65">
      <c r="C723" s="362">
        <v>8</v>
      </c>
      <c r="D723" s="363" t="s">
        <v>239</v>
      </c>
      <c r="E723" s="362" t="s">
        <v>324</v>
      </c>
      <c r="F723" s="362" t="s">
        <v>549</v>
      </c>
      <c r="G723" s="362" t="s">
        <v>559</v>
      </c>
      <c r="H723" s="368">
        <v>-1.66</v>
      </c>
      <c r="I723" s="368">
        <v>0</v>
      </c>
      <c r="J723" s="368">
        <v>0.17030909850930182</v>
      </c>
      <c r="K723" s="368">
        <v>-1.6393479664895301</v>
      </c>
      <c r="L723" s="368">
        <v>-2.2421354928161898</v>
      </c>
      <c r="M723" s="368">
        <v>-1.1325615866527099</v>
      </c>
      <c r="N723" s="368">
        <v>-0.97692532810678301</v>
      </c>
      <c r="O723" s="368">
        <v>2.66828708255522E-2</v>
      </c>
      <c r="T723" s="48">
        <v>8</v>
      </c>
      <c r="U723" s="46" t="s">
        <v>256</v>
      </c>
      <c r="V723" s="53" t="s">
        <v>537</v>
      </c>
      <c r="W723" s="53" t="s">
        <v>549</v>
      </c>
      <c r="X723" s="53" t="s">
        <v>559</v>
      </c>
      <c r="Y723" s="172">
        <f>IFERROR(-tblZwaste1422[[#This Row],[Weight (kgCO2e/kg)]],0)</f>
        <v>-5.0082800000000001</v>
      </c>
      <c r="Z723" s="172">
        <f>IF(AQ723="x",(AR723*-tblZwaste1422[[#This Row],[Weight (kgCO2e/kg)]])+AS723+($AR$10*Lookups!$J$38/1000),"DELETE")</f>
        <v>-4.9252017927000002</v>
      </c>
      <c r="AA723" s="176">
        <f>-23.5403184719151*0.21739130434</f>
        <v>-5.1174605371886193</v>
      </c>
      <c r="AB723" s="172" t="s">
        <v>567</v>
      </c>
      <c r="AC723" s="172" t="s">
        <v>567</v>
      </c>
      <c r="AD723" s="172">
        <v>2.5860000000000001E-2</v>
      </c>
      <c r="AE723" s="172">
        <v>-5.3219494336691202E-2</v>
      </c>
      <c r="AF723" s="172">
        <v>-4.5355804116550602E-2</v>
      </c>
      <c r="AG723" s="150"/>
      <c r="AI723" s="137">
        <v>8</v>
      </c>
      <c r="AJ723" s="136" t="s">
        <v>256</v>
      </c>
      <c r="AK723" s="142" t="s">
        <v>537</v>
      </c>
      <c r="AL723" s="136" t="s">
        <v>549</v>
      </c>
      <c r="AM723" s="136" t="s">
        <v>559</v>
      </c>
      <c r="AN723" s="1">
        <v>5.0082800000000001</v>
      </c>
      <c r="AO723" s="166">
        <v>1.54878</v>
      </c>
      <c r="AQ723" t="str">
        <f>_xlfn.XLOOKUP(tblGWP21[[#This Row],[Material Subcategory]],ls_Mat,Factors!$K$952:$K$1023)</f>
        <v>x</v>
      </c>
      <c r="AR723" s="173">
        <v>1</v>
      </c>
      <c r="AS723">
        <v>8.1306407300000008E-2</v>
      </c>
      <c r="AT723" t="s">
        <v>531</v>
      </c>
      <c r="BA723" cm="1">
        <f t="array" ref="BA723:BM723">tblGWP21[#This Row]</f>
        <v>8</v>
      </c>
      <c r="BB723" t="str">
        <v>Metals</v>
      </c>
      <c r="BC723" t="str">
        <v>Aluminum Cans</v>
      </c>
      <c r="BD723" t="str">
        <v>North America</v>
      </c>
      <c r="BE723" t="str">
        <v>Mexico</v>
      </c>
      <c r="BF723">
        <v>-5.0082800000000001</v>
      </c>
      <c r="BG723">
        <v>-4.9252017927000002</v>
      </c>
      <c r="BH723">
        <v>-5.1174605371886193</v>
      </c>
      <c r="BI723" t="str">
        <v>DELETE</v>
      </c>
      <c r="BJ723" t="str">
        <v>DELETE</v>
      </c>
      <c r="BK723">
        <v>2.5860000000000001E-2</v>
      </c>
      <c r="BL723">
        <v>-5.3219494336691202E-2</v>
      </c>
      <c r="BM723">
        <v>-4.5355804116550602E-2</v>
      </c>
    </row>
    <row r="724" spans="3:65">
      <c r="C724" s="136">
        <v>8</v>
      </c>
      <c r="D724" s="137" t="s">
        <v>239</v>
      </c>
      <c r="E724" s="136" t="s">
        <v>272</v>
      </c>
      <c r="F724" s="136" t="s">
        <v>549</v>
      </c>
      <c r="G724" s="136" t="s">
        <v>559</v>
      </c>
      <c r="H724" s="191">
        <v>-2.1278299999999999</v>
      </c>
      <c r="I724" s="191">
        <v>-1.3728063799999999</v>
      </c>
      <c r="J724" s="191">
        <v>6.2121953604204836E-3</v>
      </c>
      <c r="K724" s="191">
        <v>-1.4661627523237399</v>
      </c>
      <c r="L724" s="191">
        <v>-2.2556847757332998</v>
      </c>
      <c r="M724" s="191">
        <v>3.6729999999999999E-2</v>
      </c>
      <c r="N724" s="191">
        <v>-0.76858404709894201</v>
      </c>
      <c r="O724" s="191">
        <v>3.4586398607210002E-2</v>
      </c>
      <c r="T724" s="48">
        <v>8</v>
      </c>
      <c r="U724" s="46" t="s">
        <v>256</v>
      </c>
      <c r="V724" s="53" t="s">
        <v>538</v>
      </c>
      <c r="W724" s="53" t="s">
        <v>549</v>
      </c>
      <c r="X724" s="53" t="s">
        <v>559</v>
      </c>
      <c r="Y724" s="172">
        <f>IFERROR(-tblZwaste1422[[#This Row],[Weight (kgCO2e/kg)]],0)</f>
        <v>-4.6396800000000002</v>
      </c>
      <c r="Z724" s="172" t="str">
        <f>IF(AQ724="x",(AR724*-tblZwaste1422[[#This Row],[Weight (kgCO2e/kg)]])+AS724+($AR$10*Lookups!$J$38/1000),"DELETE")</f>
        <v>DELETE</v>
      </c>
      <c r="AA724" s="176" t="s">
        <v>567</v>
      </c>
      <c r="AB724" s="172" t="s">
        <v>567</v>
      </c>
      <c r="AC724" s="172" t="s">
        <v>567</v>
      </c>
      <c r="AD724" s="172">
        <v>2.5860000000000001E-2</v>
      </c>
      <c r="AE724" s="172">
        <v>-4.9513617336394401E-2</v>
      </c>
      <c r="AF724" s="172">
        <v>-4.5355804116550602E-2</v>
      </c>
      <c r="AG724" s="150"/>
      <c r="AI724" s="137">
        <v>8</v>
      </c>
      <c r="AJ724" s="136" t="s">
        <v>256</v>
      </c>
      <c r="AK724" s="142" t="s">
        <v>538</v>
      </c>
      <c r="AL724" s="136" t="s">
        <v>549</v>
      </c>
      <c r="AM724" s="136" t="s">
        <v>559</v>
      </c>
      <c r="AN724" s="1">
        <v>4.6396800000000002</v>
      </c>
      <c r="AO724" s="166">
        <v>1.54878</v>
      </c>
      <c r="AQ724">
        <f>_xlfn.XLOOKUP(tblGWP21[[#This Row],[Material Subcategory]],ls_Mat,Factors!$K$952:$K$1023)</f>
        <v>0</v>
      </c>
      <c r="AR724" s="173"/>
      <c r="BA724" cm="1">
        <f t="array" ref="BA724:BM724">tblGWP21[#This Row]</f>
        <v>8</v>
      </c>
      <c r="BB724" t="str">
        <v>Metals</v>
      </c>
      <c r="BC724" t="str">
        <v>Aluminum Foil</v>
      </c>
      <c r="BD724" t="str">
        <v>North America</v>
      </c>
      <c r="BE724" t="str">
        <v>Mexico</v>
      </c>
      <c r="BF724">
        <v>-4.6396800000000002</v>
      </c>
      <c r="BG724" t="str">
        <v>DELETE</v>
      </c>
      <c r="BH724" t="str">
        <v>DELETE</v>
      </c>
      <c r="BI724" t="str">
        <v>DELETE</v>
      </c>
      <c r="BJ724" t="str">
        <v>DELETE</v>
      </c>
      <c r="BK724">
        <v>2.5860000000000001E-2</v>
      </c>
      <c r="BL724">
        <v>-4.9513617336394401E-2</v>
      </c>
      <c r="BM724">
        <v>-4.5355804116550602E-2</v>
      </c>
    </row>
    <row r="725" spans="3:65">
      <c r="C725" s="362">
        <v>8</v>
      </c>
      <c r="D725" s="363" t="s">
        <v>239</v>
      </c>
      <c r="E725" s="362" t="s">
        <v>329</v>
      </c>
      <c r="F725" s="362" t="s">
        <v>549</v>
      </c>
      <c r="G725" s="362" t="s">
        <v>559</v>
      </c>
      <c r="H725" s="368">
        <v>-3.4792200000000002</v>
      </c>
      <c r="I725" s="368">
        <v>0</v>
      </c>
      <c r="J725" s="368">
        <v>-3.0294379487984222</v>
      </c>
      <c r="K725" s="368">
        <v>-1.5886805615074799</v>
      </c>
      <c r="L725" s="368">
        <v>-2.5127916003536002</v>
      </c>
      <c r="M725" s="368">
        <v>0.44328744861925301</v>
      </c>
      <c r="N725" s="368">
        <v>-0.77150311157554996</v>
      </c>
      <c r="O725" s="368">
        <v>3.7250243185255799E-2</v>
      </c>
      <c r="T725" s="48">
        <v>8</v>
      </c>
      <c r="U725" s="46" t="s">
        <v>256</v>
      </c>
      <c r="V725" s="53" t="s">
        <v>258</v>
      </c>
      <c r="W725" s="53" t="s">
        <v>549</v>
      </c>
      <c r="X725" s="53" t="s">
        <v>559</v>
      </c>
      <c r="Y725" s="172">
        <f>IFERROR(-tblZwaste1422[[#This Row],[Weight (kgCO2e/kg)]],0)</f>
        <v>-4.6396800000000002</v>
      </c>
      <c r="Z725" s="172">
        <f>IF(AQ725="x",(AR725*-tblZwaste1422[[#This Row],[Weight (kgCO2e/kg)]])+AS725+($AR$10*Lookups!$J$38/1000),"DELETE")</f>
        <v>-4.5566017927000004</v>
      </c>
      <c r="AA725" s="176">
        <f>-22.8196964778768*0.21739130434</f>
        <v>-4.9608035819685421</v>
      </c>
      <c r="AB725" s="172" t="s">
        <v>567</v>
      </c>
      <c r="AC725" s="172" t="s">
        <v>567</v>
      </c>
      <c r="AD725" s="172">
        <v>2.5860000000000001E-2</v>
      </c>
      <c r="AE725" s="172">
        <v>-5.3219494336691299E-2</v>
      </c>
      <c r="AF725" s="172">
        <v>-4.5355804116550699E-2</v>
      </c>
      <c r="AG725" s="150"/>
      <c r="AI725" s="137">
        <v>8</v>
      </c>
      <c r="AJ725" s="136" t="s">
        <v>256</v>
      </c>
      <c r="AK725" s="142" t="s">
        <v>258</v>
      </c>
      <c r="AL725" s="136" t="s">
        <v>549</v>
      </c>
      <c r="AM725" s="136" t="s">
        <v>559</v>
      </c>
      <c r="AN725" s="1">
        <v>4.6396800000000002</v>
      </c>
      <c r="AO725" s="166">
        <v>1.54878</v>
      </c>
      <c r="AQ725" t="str">
        <f>_xlfn.XLOOKUP(tblGWP21[[#This Row],[Material Subcategory]],ls_Mat,Factors!$K$952:$K$1023)</f>
        <v>x</v>
      </c>
      <c r="AR725" s="173">
        <v>1</v>
      </c>
      <c r="AS725">
        <v>8.1306407300000008E-2</v>
      </c>
      <c r="AT725" t="s">
        <v>531</v>
      </c>
      <c r="BA725" cm="1">
        <f t="array" ref="BA725:BM725">tblGWP21[#This Row]</f>
        <v>8</v>
      </c>
      <c r="BB725" t="str">
        <v>Metals</v>
      </c>
      <c r="BC725" t="str">
        <v>Other Aluminum</v>
      </c>
      <c r="BD725" t="str">
        <v>North America</v>
      </c>
      <c r="BE725" t="str">
        <v>Mexico</v>
      </c>
      <c r="BF725">
        <v>-4.6396800000000002</v>
      </c>
      <c r="BG725">
        <v>-4.5566017927000004</v>
      </c>
      <c r="BH725">
        <v>-4.9608035819685421</v>
      </c>
      <c r="BI725" t="str">
        <v>DELETE</v>
      </c>
      <c r="BJ725" t="str">
        <v>DELETE</v>
      </c>
      <c r="BK725">
        <v>2.5860000000000001E-2</v>
      </c>
      <c r="BL725">
        <v>-5.3219494336691299E-2</v>
      </c>
      <c r="BM725">
        <v>-4.5355804116550699E-2</v>
      </c>
    </row>
    <row r="726" spans="3:65">
      <c r="C726" s="136">
        <v>8</v>
      </c>
      <c r="D726" s="137" t="s">
        <v>239</v>
      </c>
      <c r="E726" s="136" t="s">
        <v>271</v>
      </c>
      <c r="F726" s="136" t="s">
        <v>549</v>
      </c>
      <c r="G726" s="136" t="s">
        <v>559</v>
      </c>
      <c r="H726" s="191">
        <v>-3.1045600000000002</v>
      </c>
      <c r="I726" s="191">
        <v>0</v>
      </c>
      <c r="J726" s="191">
        <v>-0.98474186087807403</v>
      </c>
      <c r="K726" s="191">
        <v>-1.50400500602292</v>
      </c>
      <c r="L726" s="191">
        <v>-2.60374138984985</v>
      </c>
      <c r="M726" s="191">
        <v>-0.64508489652896694</v>
      </c>
      <c r="N726" s="191">
        <v>-0.73514616197038696</v>
      </c>
      <c r="O726" s="191">
        <v>4.03965523029544E-2</v>
      </c>
      <c r="T726" s="48">
        <v>8</v>
      </c>
      <c r="U726" s="46" t="s">
        <v>247</v>
      </c>
      <c r="V726" s="53" t="s">
        <v>247</v>
      </c>
      <c r="W726" s="53" t="s">
        <v>549</v>
      </c>
      <c r="X726" s="53" t="s">
        <v>559</v>
      </c>
      <c r="Y726" s="172">
        <f>IFERROR(-tblZwaste1422[[#This Row],[Weight (kgCO2e/kg)]],0)</f>
        <v>-1.0505633333333335</v>
      </c>
      <c r="Z726" s="172">
        <f>IF(AQ726="x",(AR726*-tblZwaste1422[[#This Row],[Weight (kgCO2e/kg)]])+AS726+($AR$10*Lookups!$J$38/1000),"DELETE")</f>
        <v>-0.96748512603333348</v>
      </c>
      <c r="AA726" s="176">
        <v>-0.31820402829436267</v>
      </c>
      <c r="AB726" s="172" t="s">
        <v>567</v>
      </c>
      <c r="AC726" s="172" t="s">
        <v>567</v>
      </c>
      <c r="AD726" s="172">
        <v>2.60345262562433E-2</v>
      </c>
      <c r="AE726" s="172">
        <v>2.9820433927303599E-2</v>
      </c>
      <c r="AF726" s="172">
        <v>4.8927713249156103E-2</v>
      </c>
      <c r="AG726" s="150"/>
      <c r="AI726" s="137">
        <v>8</v>
      </c>
      <c r="AJ726" s="136" t="s">
        <v>247</v>
      </c>
      <c r="AK726" s="142" t="s">
        <v>247</v>
      </c>
      <c r="AL726" s="136" t="s">
        <v>549</v>
      </c>
      <c r="AM726" s="136" t="s">
        <v>559</v>
      </c>
      <c r="AN726" s="1">
        <v>1.0505633333333335</v>
      </c>
      <c r="AO726" s="166">
        <v>0.89563000000000004</v>
      </c>
      <c r="AQ726" t="str">
        <f>_xlfn.XLOOKUP(tblGWP21[[#This Row],[Material Subcategory]],ls_Mat,Factors!$K$952:$K$1023)</f>
        <v>x</v>
      </c>
      <c r="AR726" s="173">
        <v>1</v>
      </c>
      <c r="AS726">
        <v>8.1306407300000008E-2</v>
      </c>
      <c r="AT726" t="s">
        <v>531</v>
      </c>
      <c r="BA726" cm="1">
        <f t="array" ref="BA726:BM726">tblGWP21[#This Row]</f>
        <v>8</v>
      </c>
      <c r="BB726" t="str">
        <v>Glass</v>
      </c>
      <c r="BC726" t="str">
        <v>Glass</v>
      </c>
      <c r="BD726" t="str">
        <v>North America</v>
      </c>
      <c r="BE726" t="str">
        <v>Mexico</v>
      </c>
      <c r="BF726">
        <v>-1.0505633333333335</v>
      </c>
      <c r="BG726">
        <v>-0.96748512603333348</v>
      </c>
      <c r="BH726">
        <v>-0.31820402829436267</v>
      </c>
      <c r="BI726" t="str">
        <v>DELETE</v>
      </c>
      <c r="BJ726" t="str">
        <v>DELETE</v>
      </c>
      <c r="BK726">
        <v>2.60345262562433E-2</v>
      </c>
      <c r="BL726">
        <v>2.9820433927303599E-2</v>
      </c>
      <c r="BM726">
        <v>4.8927713249156103E-2</v>
      </c>
    </row>
    <row r="727" spans="3:65">
      <c r="C727" s="362">
        <v>8</v>
      </c>
      <c r="D727" s="363" t="s">
        <v>239</v>
      </c>
      <c r="E727" s="362" t="s">
        <v>535</v>
      </c>
      <c r="F727" s="362" t="s">
        <v>549</v>
      </c>
      <c r="G727" s="362" t="s">
        <v>559</v>
      </c>
      <c r="H727" s="368">
        <v>-3.1045600000000002</v>
      </c>
      <c r="I727" s="368">
        <v>0</v>
      </c>
      <c r="J727" s="368">
        <v>-0.98474186087807403</v>
      </c>
      <c r="K727" s="368">
        <v>-1.6126581382493801</v>
      </c>
      <c r="L727" s="368">
        <v>-2.6101906195490798</v>
      </c>
      <c r="M727" s="368">
        <v>-0.84431642696925902</v>
      </c>
      <c r="N727" s="368">
        <v>-0.81806113995993301</v>
      </c>
      <c r="O727" s="368">
        <v>2.9214620903970801E-2</v>
      </c>
      <c r="T727" s="48">
        <v>8</v>
      </c>
      <c r="U727" s="46" t="s">
        <v>247</v>
      </c>
      <c r="V727" s="53" t="s">
        <v>248</v>
      </c>
      <c r="W727" s="53" t="s">
        <v>549</v>
      </c>
      <c r="X727" s="53" t="s">
        <v>559</v>
      </c>
      <c r="Y727" s="172">
        <f>IFERROR(-tblZwaste1422[[#This Row],[Weight (kgCO2e/kg)]],0)</f>
        <v>-1.0606100000000001</v>
      </c>
      <c r="Z727" s="172">
        <f>IF(AQ727="x",(AR727*-tblZwaste1422[[#This Row],[Weight (kgCO2e/kg)]])+AS727+($AR$10*Lookups!$J$38/1000),"DELETE")</f>
        <v>-0.97753179270000001</v>
      </c>
      <c r="AA727" s="176">
        <v>-0.1681701995244369</v>
      </c>
      <c r="AB727" s="172" t="s">
        <v>567</v>
      </c>
      <c r="AC727" s="172" t="s">
        <v>567</v>
      </c>
      <c r="AD727" s="172">
        <v>2.60345323108164E-2</v>
      </c>
      <c r="AE727" s="172">
        <v>3.3812027558744399E-2</v>
      </c>
      <c r="AF727" s="172">
        <v>4.8926529643549398E-2</v>
      </c>
      <c r="AG727" s="150"/>
      <c r="AI727" s="137">
        <v>8</v>
      </c>
      <c r="AJ727" s="136" t="s">
        <v>247</v>
      </c>
      <c r="AK727" s="142" t="s">
        <v>248</v>
      </c>
      <c r="AL727" s="136" t="s">
        <v>549</v>
      </c>
      <c r="AM727" s="136" t="s">
        <v>559</v>
      </c>
      <c r="AN727" s="1">
        <v>1.0606100000000001</v>
      </c>
      <c r="AO727" s="166">
        <v>0.89563000000000004</v>
      </c>
      <c r="AQ727" t="str">
        <f>_xlfn.XLOOKUP(tblGWP21[[#This Row],[Material Subcategory]],ls_Mat,Factors!$K$952:$K$1023)</f>
        <v>x</v>
      </c>
      <c r="AR727" s="173">
        <v>1</v>
      </c>
      <c r="AS727">
        <v>8.1306407300000008E-2</v>
      </c>
      <c r="AT727" t="s">
        <v>531</v>
      </c>
      <c r="BA727" cm="1">
        <f t="array" ref="BA727:BM727">tblGWP21[#This Row]</f>
        <v>8</v>
      </c>
      <c r="BB727" t="str">
        <v>Glass</v>
      </c>
      <c r="BC727" t="str">
        <v>Glass – Brown</v>
      </c>
      <c r="BD727" t="str">
        <v>North America</v>
      </c>
      <c r="BE727" t="str">
        <v>Mexico</v>
      </c>
      <c r="BF727">
        <v>-1.0606100000000001</v>
      </c>
      <c r="BG727">
        <v>-0.97753179270000001</v>
      </c>
      <c r="BH727">
        <v>-0.1681701995244369</v>
      </c>
      <c r="BI727" t="str">
        <v>DELETE</v>
      </c>
      <c r="BJ727" t="str">
        <v>DELETE</v>
      </c>
      <c r="BK727">
        <v>2.60345323108164E-2</v>
      </c>
      <c r="BL727">
        <v>3.3812027558744399E-2</v>
      </c>
      <c r="BM727">
        <v>4.8926529643549398E-2</v>
      </c>
    </row>
    <row r="728" spans="3:65">
      <c r="C728" s="136">
        <v>8</v>
      </c>
      <c r="D728" s="137" t="s">
        <v>239</v>
      </c>
      <c r="E728" s="136" t="s">
        <v>259</v>
      </c>
      <c r="F728" s="136" t="s">
        <v>549</v>
      </c>
      <c r="G728" s="136" t="s">
        <v>559</v>
      </c>
      <c r="H728" s="191">
        <v>-2.86965</v>
      </c>
      <c r="I728" s="191">
        <v>0</v>
      </c>
      <c r="J728" s="191">
        <v>-0.98474186087807403</v>
      </c>
      <c r="K728" s="191">
        <v>-1.3277684187324199</v>
      </c>
      <c r="L728" s="191">
        <v>-2.0258416808533699</v>
      </c>
      <c r="M728" s="191">
        <v>-0.37500585669263597</v>
      </c>
      <c r="N728" s="191">
        <v>-0.66645468961952703</v>
      </c>
      <c r="O728" s="191">
        <v>2.8422158660527701E-2</v>
      </c>
      <c r="T728" s="48">
        <v>8</v>
      </c>
      <c r="U728" s="46" t="s">
        <v>247</v>
      </c>
      <c r="V728" s="53" t="s">
        <v>263</v>
      </c>
      <c r="W728" s="53" t="s">
        <v>549</v>
      </c>
      <c r="X728" s="53" t="s">
        <v>559</v>
      </c>
      <c r="Y728" s="172">
        <f>IFERROR(-tblZwaste1422[[#This Row],[Weight (kgCO2e/kg)]],0)</f>
        <v>-1.0341199999999999</v>
      </c>
      <c r="Z728" s="172">
        <f>IF(AQ728="x",(AR728*-tblZwaste1422[[#This Row],[Weight (kgCO2e/kg)]])+AS728+($AR$10*Lookups!$J$38/1000),"DELETE")</f>
        <v>-0.95104179269999989</v>
      </c>
      <c r="AA728" s="176">
        <v>-0.1681701995244369</v>
      </c>
      <c r="AB728" s="172" t="s">
        <v>567</v>
      </c>
      <c r="AC728" s="172" t="s">
        <v>567</v>
      </c>
      <c r="AD728" s="172">
        <v>2.60345360633981E-2</v>
      </c>
      <c r="AE728" s="172">
        <v>3.62047786247413E-2</v>
      </c>
      <c r="AF728" s="172">
        <v>4.8926605211687797E-2</v>
      </c>
      <c r="AG728" s="150"/>
      <c r="AI728" s="137">
        <v>8</v>
      </c>
      <c r="AJ728" s="136" t="s">
        <v>247</v>
      </c>
      <c r="AK728" s="142" t="s">
        <v>263</v>
      </c>
      <c r="AL728" s="136" t="s">
        <v>549</v>
      </c>
      <c r="AM728" s="136" t="s">
        <v>559</v>
      </c>
      <c r="AN728" s="1">
        <v>1.0341199999999999</v>
      </c>
      <c r="AO728" s="166">
        <v>0.89563000000000004</v>
      </c>
      <c r="AQ728" t="str">
        <f>_xlfn.XLOOKUP(tblGWP21[[#This Row],[Material Subcategory]],ls_Mat,Factors!$K$952:$K$1023)</f>
        <v>x</v>
      </c>
      <c r="AR728" s="173">
        <v>1</v>
      </c>
      <c r="AS728">
        <v>8.1306407300000008E-2</v>
      </c>
      <c r="AT728" t="s">
        <v>531</v>
      </c>
      <c r="BA728" cm="1">
        <f t="array" ref="BA728:BM728">tblGWP21[#This Row]</f>
        <v>8</v>
      </c>
      <c r="BB728" t="str">
        <v>Glass</v>
      </c>
      <c r="BC728" t="str">
        <v>Glass – Green</v>
      </c>
      <c r="BD728" t="str">
        <v>North America</v>
      </c>
      <c r="BE728" t="str">
        <v>Mexico</v>
      </c>
      <c r="BF728">
        <v>-1.0341199999999999</v>
      </c>
      <c r="BG728">
        <v>-0.95104179269999989</v>
      </c>
      <c r="BH728">
        <v>-0.1681701995244369</v>
      </c>
      <c r="BI728" t="str">
        <v>DELETE</v>
      </c>
      <c r="BJ728" t="str">
        <v>DELETE</v>
      </c>
      <c r="BK728">
        <v>2.60345360633981E-2</v>
      </c>
      <c r="BL728">
        <v>3.62047786247413E-2</v>
      </c>
      <c r="BM728">
        <v>4.8926605211687797E-2</v>
      </c>
    </row>
    <row r="729" spans="3:65">
      <c r="C729" s="362">
        <v>8</v>
      </c>
      <c r="D729" s="363" t="s">
        <v>239</v>
      </c>
      <c r="E729" s="362" t="s">
        <v>334</v>
      </c>
      <c r="F729" s="362" t="s">
        <v>549</v>
      </c>
      <c r="G729" s="362" t="s">
        <v>559</v>
      </c>
      <c r="H729" s="368">
        <v>-2.86965</v>
      </c>
      <c r="I729" s="368">
        <v>0</v>
      </c>
      <c r="J729" s="368">
        <v>-0.98474186087807403</v>
      </c>
      <c r="K729" s="368">
        <v>-1.7381940409748999</v>
      </c>
      <c r="L729" s="368">
        <v>-2.4952604314451898</v>
      </c>
      <c r="M729" s="368">
        <v>-0.31636269932420302</v>
      </c>
      <c r="N729" s="368">
        <v>-0.97264432557816705</v>
      </c>
      <c r="O729" s="368">
        <v>2.63900265513301E-2</v>
      </c>
      <c r="T729" s="48">
        <v>8</v>
      </c>
      <c r="U729" s="46" t="s">
        <v>247</v>
      </c>
      <c r="V729" s="53" t="s">
        <v>539</v>
      </c>
      <c r="W729" s="53" t="s">
        <v>549</v>
      </c>
      <c r="X729" s="53" t="s">
        <v>559</v>
      </c>
      <c r="Y729" s="172">
        <f>IFERROR(-tblZwaste1422[[#This Row],[Weight (kgCO2e/kg)]],0)</f>
        <v>-1.0569599999999999</v>
      </c>
      <c r="Z729" s="172">
        <f>IF(AQ729="x",(AR729*-tblZwaste1422[[#This Row],[Weight (kgCO2e/kg)]])+AS729+($AR$10*Lookups!$J$38/1000),"DELETE")</f>
        <v>-0.97388179269999986</v>
      </c>
      <c r="AA729" s="176">
        <v>-0.17348083740415596</v>
      </c>
      <c r="AB729" s="172" t="s">
        <v>567</v>
      </c>
      <c r="AC729" s="172" t="s">
        <v>567</v>
      </c>
      <c r="AD729" s="172">
        <v>2.60345164586499E-2</v>
      </c>
      <c r="AE729" s="172">
        <v>2.33913932794792E-2</v>
      </c>
      <c r="AF729" s="172">
        <v>4.89289880018264E-2</v>
      </c>
      <c r="AG729" s="150"/>
      <c r="AI729" s="137">
        <v>8</v>
      </c>
      <c r="AJ729" s="136" t="s">
        <v>247</v>
      </c>
      <c r="AK729" s="142" t="s">
        <v>539</v>
      </c>
      <c r="AL729" s="136" t="s">
        <v>549</v>
      </c>
      <c r="AM729" s="136" t="s">
        <v>559</v>
      </c>
      <c r="AN729" s="1">
        <v>1.0569599999999999</v>
      </c>
      <c r="AO729" s="166">
        <v>0.89563000000000004</v>
      </c>
      <c r="AQ729" t="str">
        <f>_xlfn.XLOOKUP(tblGWP21[[#This Row],[Material Subcategory]],ls_Mat,Factors!$K$952:$K$1023)</f>
        <v>x</v>
      </c>
      <c r="AR729" s="173">
        <v>1</v>
      </c>
      <c r="AS729">
        <v>8.1306407300000008E-2</v>
      </c>
      <c r="AT729" t="s">
        <v>531</v>
      </c>
      <c r="BA729" cm="1">
        <f t="array" ref="BA729:BM729">tblGWP21[#This Row]</f>
        <v>8</v>
      </c>
      <c r="BB729" t="str">
        <v>Glass</v>
      </c>
      <c r="BC729" t="str">
        <v>Glass – Clear</v>
      </c>
      <c r="BD729" t="str">
        <v>North America</v>
      </c>
      <c r="BE729" t="str">
        <v>Mexico</v>
      </c>
      <c r="BF729">
        <v>-1.0569599999999999</v>
      </c>
      <c r="BG729">
        <v>-0.97388179269999986</v>
      </c>
      <c r="BH729">
        <v>-0.17348083740415596</v>
      </c>
      <c r="BI729" t="str">
        <v>DELETE</v>
      </c>
      <c r="BJ729" t="str">
        <v>DELETE</v>
      </c>
      <c r="BK729">
        <v>2.60345164586499E-2</v>
      </c>
      <c r="BL729">
        <v>2.33913932794792E-2</v>
      </c>
      <c r="BM729">
        <v>4.89289880018264E-2</v>
      </c>
    </row>
    <row r="730" spans="3:65">
      <c r="C730" s="136">
        <v>8</v>
      </c>
      <c r="D730" s="137" t="s">
        <v>239</v>
      </c>
      <c r="E730" s="136" t="s">
        <v>240</v>
      </c>
      <c r="F730" s="136" t="s">
        <v>549</v>
      </c>
      <c r="G730" s="136" t="s">
        <v>559</v>
      </c>
      <c r="H730" s="191">
        <v>-3.1045600000000002</v>
      </c>
      <c r="I730" s="191">
        <v>0</v>
      </c>
      <c r="J730" s="191">
        <v>0</v>
      </c>
      <c r="K730" s="191">
        <v>-1.7669466747123801</v>
      </c>
      <c r="L730" s="191">
        <v>-2.57939087062358</v>
      </c>
      <c r="M730" s="191">
        <v>-0.65753871977953204</v>
      </c>
      <c r="N730" s="191">
        <v>0.37026316036421603</v>
      </c>
      <c r="O730" s="191">
        <v>2.3670131544394799</v>
      </c>
      <c r="T730" s="48">
        <v>8</v>
      </c>
      <c r="U730" s="46" t="s">
        <v>247</v>
      </c>
      <c r="V730" s="53" t="s">
        <v>270</v>
      </c>
      <c r="W730" s="53" t="s">
        <v>549</v>
      </c>
      <c r="X730" s="53" t="s">
        <v>559</v>
      </c>
      <c r="Y730" s="172">
        <f>IFERROR(-tblZwaste1422[[#This Row],[Weight (kgCO2e/kg)]],0)</f>
        <v>-1.0505633333333335</v>
      </c>
      <c r="Z730" s="172">
        <f>IF(AQ730="x",(AR730*-tblZwaste1422[[#This Row],[Weight (kgCO2e/kg)]])+AS730+($AR$10*Lookups!$J$38/1000),"DELETE")</f>
        <v>-0.96748512603333348</v>
      </c>
      <c r="AA730" s="176">
        <v>-0.31820402829436267</v>
      </c>
      <c r="AB730" s="172" t="s">
        <v>567</v>
      </c>
      <c r="AC730" s="172" t="s">
        <v>567</v>
      </c>
      <c r="AD730" s="172">
        <v>2.60345262562433E-2</v>
      </c>
      <c r="AE730" s="172">
        <v>2.9820433927303599E-2</v>
      </c>
      <c r="AF730" s="172">
        <v>4.8927713249156103E-2</v>
      </c>
      <c r="AG730" s="150"/>
      <c r="AI730" s="137">
        <v>8</v>
      </c>
      <c r="AJ730" s="136" t="s">
        <v>247</v>
      </c>
      <c r="AK730" s="142" t="s">
        <v>270</v>
      </c>
      <c r="AL730" s="136" t="s">
        <v>549</v>
      </c>
      <c r="AM730" s="136" t="s">
        <v>559</v>
      </c>
      <c r="AN730" s="1">
        <v>1.0505633333333335</v>
      </c>
      <c r="AO730" s="166">
        <v>0.89563000000000004</v>
      </c>
      <c r="AQ730" t="str">
        <f>_xlfn.XLOOKUP(tblGWP21[[#This Row],[Material Subcategory]],ls_Mat,Factors!$K$952:$K$1023)</f>
        <v>x</v>
      </c>
      <c r="AR730" s="173">
        <v>1</v>
      </c>
      <c r="AS730">
        <v>8.1306407300000008E-2</v>
      </c>
      <c r="AT730" t="s">
        <v>531</v>
      </c>
      <c r="BA730" cm="1">
        <f t="array" ref="BA730:BM730">tblGWP21[#This Row]</f>
        <v>8</v>
      </c>
      <c r="BB730" t="str">
        <v>Glass</v>
      </c>
      <c r="BC730" t="str">
        <v>Mixed Glass</v>
      </c>
      <c r="BD730" t="str">
        <v>North America</v>
      </c>
      <c r="BE730" t="str">
        <v>Mexico</v>
      </c>
      <c r="BF730">
        <v>-1.0505633333333335</v>
      </c>
      <c r="BG730">
        <v>-0.96748512603333348</v>
      </c>
      <c r="BH730">
        <v>-0.31820402829436267</v>
      </c>
      <c r="BI730" t="str">
        <v>DELETE</v>
      </c>
      <c r="BJ730" t="str">
        <v>DELETE</v>
      </c>
      <c r="BK730">
        <v>2.60345262562433E-2</v>
      </c>
      <c r="BL730">
        <v>2.9820433927303599E-2</v>
      </c>
      <c r="BM730">
        <v>4.8927713249156103E-2</v>
      </c>
    </row>
    <row r="731" spans="3:65" ht="28.8">
      <c r="C731" s="362">
        <v>8</v>
      </c>
      <c r="D731" s="363" t="s">
        <v>239</v>
      </c>
      <c r="E731" s="362" t="s">
        <v>325</v>
      </c>
      <c r="F731" s="362" t="s">
        <v>549</v>
      </c>
      <c r="G731" s="362" t="s">
        <v>559</v>
      </c>
      <c r="H731" s="368">
        <v>-1.66</v>
      </c>
      <c r="I731" s="368">
        <v>0</v>
      </c>
      <c r="J731" s="368">
        <v>0</v>
      </c>
      <c r="K731" s="368">
        <v>-1.6287383832761999</v>
      </c>
      <c r="L731" s="368">
        <v>-2.39292642163465</v>
      </c>
      <c r="M731" s="368">
        <v>-0.653545379257638</v>
      </c>
      <c r="N731" s="368">
        <v>-0.89864370226409696</v>
      </c>
      <c r="O731" s="368">
        <v>2.74724897843227E-2</v>
      </c>
      <c r="T731" s="48">
        <v>8</v>
      </c>
      <c r="U731" s="46" t="s">
        <v>247</v>
      </c>
      <c r="V731" s="53" t="s">
        <v>540</v>
      </c>
      <c r="W731" s="53" t="s">
        <v>549</v>
      </c>
      <c r="X731" s="53" t="s">
        <v>559</v>
      </c>
      <c r="Y731" s="172">
        <f>IFERROR(-tblZwaste1422[[#This Row],[Weight (kgCO2e/kg)]],0)</f>
        <v>-1.0473650000000001</v>
      </c>
      <c r="Z731" s="172">
        <f>IF(AQ731="x",(AR731*-tblZwaste1422[[#This Row],[Weight (kgCO2e/kg)]])+AS731+($AR$10*Lookups!$J$38/1000),"DELETE")</f>
        <v>-0.96428679270000006</v>
      </c>
      <c r="AA731" s="176" t="s">
        <v>567</v>
      </c>
      <c r="AB731" s="172" t="s">
        <v>567</v>
      </c>
      <c r="AC731" s="172" t="s">
        <v>567</v>
      </c>
      <c r="AD731" s="172">
        <v>2.6034509556384401E-2</v>
      </c>
      <c r="AE731" s="172">
        <v>2.5783624190248901E-2</v>
      </c>
      <c r="AF731" s="172">
        <v>4.89285434147377E-2</v>
      </c>
      <c r="AG731" s="150"/>
      <c r="AI731" s="137">
        <v>8</v>
      </c>
      <c r="AJ731" s="136" t="s">
        <v>247</v>
      </c>
      <c r="AK731" s="142" t="s">
        <v>540</v>
      </c>
      <c r="AL731" s="136" t="s">
        <v>549</v>
      </c>
      <c r="AM731" s="136" t="s">
        <v>559</v>
      </c>
      <c r="AN731" s="1">
        <v>1.0473650000000001</v>
      </c>
      <c r="AO731" s="166">
        <v>0.89563000000000004</v>
      </c>
      <c r="AQ731" t="str">
        <f>_xlfn.XLOOKUP(tblGWP21[[#This Row],[Material Subcategory]],ls_Mat,Factors!$K$952:$K$1023)</f>
        <v>x</v>
      </c>
      <c r="AR731" s="173">
        <v>1</v>
      </c>
      <c r="AS731">
        <v>8.1306407300000008E-2</v>
      </c>
      <c r="AT731" t="s">
        <v>531</v>
      </c>
      <c r="AU731" t="s">
        <v>526</v>
      </c>
      <c r="AV731" s="347">
        <v>0.85</v>
      </c>
      <c r="BA731" cm="1">
        <f t="array" ref="BA731:BM731">tblGWP21[#This Row]</f>
        <v>8</v>
      </c>
      <c r="BB731" t="str">
        <v>Glass</v>
      </c>
      <c r="BC731" t="str">
        <v>Glass – Non-Recyclable</v>
      </c>
      <c r="BD731" t="str">
        <v>North America</v>
      </c>
      <c r="BE731" t="str">
        <v>Mexico</v>
      </c>
      <c r="BF731">
        <v>-1.0473650000000001</v>
      </c>
      <c r="BG731">
        <v>-0.96428679270000006</v>
      </c>
      <c r="BH731" t="str">
        <v>DELETE</v>
      </c>
      <c r="BI731" t="str">
        <v>DELETE</v>
      </c>
      <c r="BJ731" t="str">
        <v>DELETE</v>
      </c>
      <c r="BK731">
        <v>2.6034509556384401E-2</v>
      </c>
      <c r="BL731">
        <v>2.5783624190248901E-2</v>
      </c>
      <c r="BM731">
        <v>4.89285434147377E-2</v>
      </c>
    </row>
    <row r="732" spans="3:65">
      <c r="C732" s="136">
        <v>8</v>
      </c>
      <c r="D732" s="137" t="s">
        <v>256</v>
      </c>
      <c r="E732" s="136" t="s">
        <v>256</v>
      </c>
      <c r="F732" s="136" t="s">
        <v>549</v>
      </c>
      <c r="G732" s="136" t="s">
        <v>559</v>
      </c>
      <c r="H732" s="191">
        <v>-3.3097799999999999</v>
      </c>
      <c r="I732" s="191">
        <v>-3.2267017926999997</v>
      </c>
      <c r="J732" s="191">
        <v>-12.927962776222799</v>
      </c>
      <c r="K732" s="191">
        <v>0</v>
      </c>
      <c r="L732" s="191">
        <v>0</v>
      </c>
      <c r="M732" s="191">
        <v>2.5947255864949198E-2</v>
      </c>
      <c r="N732" s="191">
        <v>-0.10295975900783261</v>
      </c>
      <c r="O732" s="191">
        <v>-8.5244179033323805E-2</v>
      </c>
      <c r="T732" s="48">
        <v>8</v>
      </c>
      <c r="U732" s="46" t="s">
        <v>261</v>
      </c>
      <c r="V732" s="53" t="s">
        <v>260</v>
      </c>
      <c r="W732" s="53" t="s">
        <v>549</v>
      </c>
      <c r="X732" s="53" t="s">
        <v>559</v>
      </c>
      <c r="Y732" s="172">
        <f>IFERROR(-tblZwaste1422[[#This Row],[Weight (kgCO2e/kg)]],0)</f>
        <v>-4.0364225925925927</v>
      </c>
      <c r="Z732" s="172" t="str">
        <f>IF(AQ732="x",(AR732*-tblZwaste1422[[#This Row],[Weight (kgCO2e/kg)]])+AS732+($AR$10*Lookups!$J$38/1000),"DELETE")</f>
        <v>DELETE</v>
      </c>
      <c r="AA732" s="176" t="s">
        <v>567</v>
      </c>
      <c r="AB732" s="172">
        <v>-0.50279511856418002</v>
      </c>
      <c r="AC732" s="172">
        <v>-0.86655382995978603</v>
      </c>
      <c r="AD732" s="172">
        <v>-0.167364467027872</v>
      </c>
      <c r="AE732" s="172">
        <v>-0.25777292480608899</v>
      </c>
      <c r="AF732" s="172">
        <v>2.7531317960487099E-2</v>
      </c>
      <c r="AG732" s="150"/>
      <c r="AI732" s="137">
        <v>8</v>
      </c>
      <c r="AJ732" s="136" t="s">
        <v>529</v>
      </c>
      <c r="AK732" s="142" t="s">
        <v>260</v>
      </c>
      <c r="AL732" s="136" t="s">
        <v>549</v>
      </c>
      <c r="AM732" s="136" t="s">
        <v>559</v>
      </c>
      <c r="AN732" s="1">
        <v>4.0364225925925927</v>
      </c>
      <c r="AO732" s="166">
        <v>1.3856655555555555</v>
      </c>
      <c r="AQ732">
        <f>_xlfn.XLOOKUP(tblGWP21[[#This Row],[Material Subcategory]],ls_Mat,Factors!$K$952:$K$1023)</f>
        <v>0</v>
      </c>
      <c r="AR732" s="173"/>
      <c r="AU732" t="s">
        <v>526</v>
      </c>
      <c r="AV732" s="347">
        <v>0.7</v>
      </c>
      <c r="BA732" cm="1">
        <f t="array" ref="BA732:BM732">tblGWP21[#This Row]</f>
        <v>8</v>
      </c>
      <c r="BB732" t="str">
        <v>Food Waste</v>
      </c>
      <c r="BC732" t="str">
        <v>Mixed Organics</v>
      </c>
      <c r="BD732" t="str">
        <v>North America</v>
      </c>
      <c r="BE732" t="str">
        <v>Mexico</v>
      </c>
      <c r="BF732">
        <v>-4.0364225925925927</v>
      </c>
      <c r="BG732" t="str">
        <v>DELETE</v>
      </c>
      <c r="BH732" t="str">
        <v>DELETE</v>
      </c>
      <c r="BI732">
        <v>-0.50279511856418002</v>
      </c>
      <c r="BJ732">
        <v>-0.86655382995978603</v>
      </c>
      <c r="BK732">
        <v>-0.167364467027872</v>
      </c>
      <c r="BL732">
        <v>-0.25777292480608899</v>
      </c>
      <c r="BM732">
        <v>2.7531317960487099E-2</v>
      </c>
    </row>
    <row r="733" spans="3:65">
      <c r="C733" s="362">
        <v>8</v>
      </c>
      <c r="D733" s="363" t="s">
        <v>256</v>
      </c>
      <c r="E733" s="362" t="s">
        <v>536</v>
      </c>
      <c r="F733" s="362" t="s">
        <v>549</v>
      </c>
      <c r="G733" s="362" t="s">
        <v>559</v>
      </c>
      <c r="H733" s="368">
        <v>-1.9798800000000001</v>
      </c>
      <c r="I733" s="368">
        <v>-1.8968017927</v>
      </c>
      <c r="J733" s="368">
        <v>-2.3156070805305413</v>
      </c>
      <c r="K733" s="368">
        <v>0</v>
      </c>
      <c r="L733" s="368">
        <v>0</v>
      </c>
      <c r="M733" s="368">
        <v>2.6034511729898398E-2</v>
      </c>
      <c r="N733" s="368">
        <v>-0.15270002367897401</v>
      </c>
      <c r="O733" s="368">
        <v>-0.12513255395009701</v>
      </c>
      <c r="T733" s="48">
        <v>8</v>
      </c>
      <c r="U733" s="46" t="s">
        <v>237</v>
      </c>
      <c r="V733" s="53" t="s">
        <v>237</v>
      </c>
      <c r="W733" s="53" t="s">
        <v>549</v>
      </c>
      <c r="X733" s="53" t="s">
        <v>559</v>
      </c>
      <c r="Y733" s="172">
        <f>IFERROR(-tblZwaste1422[[#This Row],[Weight (kgCO2e/kg)]],0)</f>
        <v>-2.8533815875203707</v>
      </c>
      <c r="Z733" s="172" t="e">
        <f>IF(AQ733="x",(AR733*-tblZwaste1422[[#This Row],[Weight (kgCO2e/kg)]])+AS733+($AR$10*Lookups!$J$38/1000),"DELETE")</f>
        <v>#N/A</v>
      </c>
      <c r="AA733" s="172" t="s">
        <v>567</v>
      </c>
      <c r="AB733" s="172" t="s">
        <v>567</v>
      </c>
      <c r="AC733" s="172" t="s">
        <v>567</v>
      </c>
      <c r="AD733" s="172">
        <v>-0.46534862278907901</v>
      </c>
      <c r="AE733" s="172">
        <v>-0.57695299667656219</v>
      </c>
      <c r="AF733" s="172">
        <v>2.7970179866342197E-2</v>
      </c>
      <c r="AG733" s="150"/>
      <c r="AI733" s="137">
        <v>8</v>
      </c>
      <c r="AJ733" s="136" t="s">
        <v>237</v>
      </c>
      <c r="AK733" s="142" t="s">
        <v>237</v>
      </c>
      <c r="AL733" s="136" t="s">
        <v>549</v>
      </c>
      <c r="AM733" s="136" t="s">
        <v>559</v>
      </c>
      <c r="AN733" s="1">
        <v>2.8533815875203707</v>
      </c>
      <c r="AO733" s="166">
        <v>1.0711602172222223</v>
      </c>
      <c r="AQ733" t="e">
        <f>_xlfn.XLOOKUP(tblGWP21[[#This Row],[Material Subcategory]],ls_Mat,Factors!$K$952:$K$1023)</f>
        <v>#N/A</v>
      </c>
      <c r="AR733" s="173">
        <v>0.5</v>
      </c>
      <c r="AS733">
        <v>0</v>
      </c>
      <c r="AT733" t="s">
        <v>527</v>
      </c>
      <c r="AU733" t="s">
        <v>526</v>
      </c>
      <c r="AV733" s="347">
        <v>0.8</v>
      </c>
      <c r="BA733" cm="1">
        <f t="array" ref="BA733:BM733">tblGWP21[#This Row]</f>
        <v>8</v>
      </c>
      <c r="BB733" t="str">
        <v>Mixed/Custom</v>
      </c>
      <c r="BC733" t="str">
        <v>Mixed/Custom</v>
      </c>
      <c r="BD733" t="str">
        <v>North America</v>
      </c>
      <c r="BE733" t="str">
        <v>Mexico</v>
      </c>
      <c r="BF733">
        <v>-2.8533815875203707</v>
      </c>
      <c r="BG733" t="e">
        <v>#N/A</v>
      </c>
      <c r="BH733" t="str">
        <v>DELETE</v>
      </c>
      <c r="BI733" t="str">
        <v>DELETE</v>
      </c>
      <c r="BJ733" t="str">
        <v>DELETE</v>
      </c>
      <c r="BK733">
        <v>-0.46534862278907901</v>
      </c>
      <c r="BL733">
        <v>-0.57695299667656219</v>
      </c>
      <c r="BM733">
        <v>2.7970179866342197E-2</v>
      </c>
    </row>
    <row r="734" spans="3:65">
      <c r="C734" s="136">
        <v>8</v>
      </c>
      <c r="D734" s="137" t="s">
        <v>256</v>
      </c>
      <c r="E734" s="136" t="s">
        <v>257</v>
      </c>
      <c r="F734" s="136" t="s">
        <v>549</v>
      </c>
      <c r="G734" s="136" t="s">
        <v>559</v>
      </c>
      <c r="H734" s="191">
        <v>-1.9798800000000001</v>
      </c>
      <c r="I734" s="191">
        <v>-1.8968017927</v>
      </c>
      <c r="J734" s="191">
        <v>-2.3156070805305413</v>
      </c>
      <c r="K734" s="191">
        <v>0</v>
      </c>
      <c r="L734" s="191">
        <v>0</v>
      </c>
      <c r="M734" s="191">
        <v>2.6034511729898398E-2</v>
      </c>
      <c r="N734" s="191">
        <v>-0.15270002367897401</v>
      </c>
      <c r="O734" s="191">
        <v>-0.12513255395009701</v>
      </c>
      <c r="T734" s="48">
        <v>8</v>
      </c>
      <c r="U734" s="46" t="s">
        <v>237</v>
      </c>
      <c r="V734" s="53" t="s">
        <v>246</v>
      </c>
      <c r="W734" s="53" t="s">
        <v>549</v>
      </c>
      <c r="X734" s="53" t="s">
        <v>559</v>
      </c>
      <c r="Y734" s="172">
        <f>IFERROR(-tblZwaste1422[[#This Row],[Weight (kgCO2e/kg)]],0)</f>
        <v>-7.3412433500000009</v>
      </c>
      <c r="Z734" s="172" t="str">
        <f>IF(AQ734="x",(AR734*-tblZwaste1422[[#This Row],[Weight (kgCO2e/kg)]])+AS734+($AR$10*Lookups!$J$38/1000),"DELETE")</f>
        <v>DELETE</v>
      </c>
      <c r="AA734" s="176" t="s">
        <v>567</v>
      </c>
      <c r="AB734" s="172" t="s">
        <v>567</v>
      </c>
      <c r="AC734" s="172" t="s">
        <v>567</v>
      </c>
      <c r="AD734" s="172">
        <v>2.6034561023251499E-2</v>
      </c>
      <c r="AE734" s="172">
        <v>4.1333668033558701E-2</v>
      </c>
      <c r="AF734" s="172">
        <v>4.8926196521971499E-2</v>
      </c>
      <c r="AG734" s="150"/>
      <c r="AI734" s="137">
        <v>8</v>
      </c>
      <c r="AJ734" s="136" t="s">
        <v>237</v>
      </c>
      <c r="AK734" s="142" t="s">
        <v>246</v>
      </c>
      <c r="AL734" s="136" t="s">
        <v>549</v>
      </c>
      <c r="AM734" s="136" t="s">
        <v>559</v>
      </c>
      <c r="AN734" s="1">
        <v>7.3412433500000009</v>
      </c>
      <c r="AO734" s="166">
        <v>0.66842500000000005</v>
      </c>
      <c r="AQ734">
        <f>_xlfn.XLOOKUP(tblGWP21[[#This Row],[Material Subcategory]],ls_Mat,Factors!$K$952:$K$1023)</f>
        <v>0</v>
      </c>
      <c r="AR734" s="173"/>
      <c r="AU734" t="s">
        <v>526</v>
      </c>
      <c r="AV734" s="347">
        <v>0.7</v>
      </c>
      <c r="BA734" cm="1">
        <f t="array" ref="BA734:BM734">tblGWP21[#This Row]</f>
        <v>8</v>
      </c>
      <c r="BB734" t="str">
        <v>Mixed/Custom</v>
      </c>
      <c r="BC734" t="str">
        <v>Mixed Inorganics</v>
      </c>
      <c r="BD734" t="str">
        <v>North America</v>
      </c>
      <c r="BE734" t="str">
        <v>Mexico</v>
      </c>
      <c r="BF734">
        <v>-7.3412433500000009</v>
      </c>
      <c r="BG734" t="str">
        <v>DELETE</v>
      </c>
      <c r="BH734" t="str">
        <v>DELETE</v>
      </c>
      <c r="BI734" t="str">
        <v>DELETE</v>
      </c>
      <c r="BJ734" t="str">
        <v>DELETE</v>
      </c>
      <c r="BK734">
        <v>2.6034561023251499E-2</v>
      </c>
      <c r="BL734">
        <v>4.1333668033558701E-2</v>
      </c>
      <c r="BM734">
        <v>4.8926196521971499E-2</v>
      </c>
    </row>
    <row r="735" spans="3:65">
      <c r="C735" s="362">
        <v>8</v>
      </c>
      <c r="D735" s="363" t="s">
        <v>256</v>
      </c>
      <c r="E735" s="362" t="s">
        <v>537</v>
      </c>
      <c r="F735" s="362" t="s">
        <v>549</v>
      </c>
      <c r="G735" s="362" t="s">
        <v>559</v>
      </c>
      <c r="H735" s="368">
        <v>-5.0082800000000001</v>
      </c>
      <c r="I735" s="368">
        <v>-4.9252017927000002</v>
      </c>
      <c r="J735" s="368">
        <v>-5.1174605371886193</v>
      </c>
      <c r="K735" s="368">
        <v>0</v>
      </c>
      <c r="L735" s="368">
        <v>0</v>
      </c>
      <c r="M735" s="368">
        <v>2.5860000000000001E-2</v>
      </c>
      <c r="N735" s="368">
        <v>-5.3219494336691202E-2</v>
      </c>
      <c r="O735" s="368">
        <v>-4.5355804116550602E-2</v>
      </c>
      <c r="T735" s="48">
        <v>8</v>
      </c>
      <c r="U735" s="46" t="s">
        <v>237</v>
      </c>
      <c r="V735" s="53" t="s">
        <v>243</v>
      </c>
      <c r="W735" s="53" t="s">
        <v>549</v>
      </c>
      <c r="X735" s="53" t="s">
        <v>559</v>
      </c>
      <c r="Y735" s="172">
        <f>IFERROR(-tblZwaste1422[[#This Row],[Weight (kgCO2e/kg)]],0)</f>
        <v>-2.8533815875203707</v>
      </c>
      <c r="Z735" s="172" t="e">
        <f>IF(AQ735="x",(AR735*-tblZwaste1422[[#This Row],[Weight (kgCO2e/kg)]])+AS735+($AR$10*Lookups!$J$38/1000),"DELETE")</f>
        <v>#N/A</v>
      </c>
      <c r="AA735" s="176" t="s">
        <v>567</v>
      </c>
      <c r="AB735" s="172">
        <v>-1.0282148250871344</v>
      </c>
      <c r="AC735" s="172">
        <v>-1.5996775946444846</v>
      </c>
      <c r="AD735" s="172">
        <v>-0.46534862278907901</v>
      </c>
      <c r="AE735" s="172">
        <v>-0.57695299667656219</v>
      </c>
      <c r="AF735" s="172">
        <v>2.7970179866342197E-2</v>
      </c>
      <c r="AG735" s="150"/>
      <c r="AI735" s="137">
        <v>8</v>
      </c>
      <c r="AJ735" s="136" t="s">
        <v>237</v>
      </c>
      <c r="AK735" s="142" t="s">
        <v>243</v>
      </c>
      <c r="AL735" s="136" t="s">
        <v>549</v>
      </c>
      <c r="AM735" s="136" t="s">
        <v>559</v>
      </c>
      <c r="AN735" s="1">
        <v>2.8533815875203707</v>
      </c>
      <c r="AO735" s="166">
        <v>1.0711602172222223</v>
      </c>
      <c r="AQ735" t="e">
        <f>_xlfn.XLOOKUP(tblGWP21[[#This Row],[Material Subcategory]],ls_Mat,Factors!$K$952:$K$1023)</f>
        <v>#N/A</v>
      </c>
      <c r="AR735" s="173"/>
      <c r="AV735" s="347"/>
      <c r="BA735" cm="1">
        <f t="array" ref="BA735:BM735">tblGWP21[#This Row]</f>
        <v>8</v>
      </c>
      <c r="BB735" t="str">
        <v>Mixed/Custom</v>
      </c>
      <c r="BC735" t="str">
        <v>Mixed MSW</v>
      </c>
      <c r="BD735" t="str">
        <v>North America</v>
      </c>
      <c r="BE735" t="str">
        <v>Mexico</v>
      </c>
      <c r="BF735">
        <v>-2.8533815875203707</v>
      </c>
      <c r="BG735" t="e">
        <v>#N/A</v>
      </c>
      <c r="BH735" t="str">
        <v>DELETE</v>
      </c>
      <c r="BI735">
        <v>-1.0282148250871344</v>
      </c>
      <c r="BJ735">
        <v>-1.5996775946444846</v>
      </c>
      <c r="BK735">
        <v>-0.46534862278907901</v>
      </c>
      <c r="BL735">
        <v>-0.57695299667656219</v>
      </c>
      <c r="BM735">
        <v>2.7970179866342197E-2</v>
      </c>
    </row>
    <row r="736" spans="3:65">
      <c r="C736" s="136">
        <v>8</v>
      </c>
      <c r="D736" s="137" t="s">
        <v>256</v>
      </c>
      <c r="E736" s="136" t="s">
        <v>538</v>
      </c>
      <c r="F736" s="136" t="s">
        <v>549</v>
      </c>
      <c r="G736" s="136" t="s">
        <v>559</v>
      </c>
      <c r="H736" s="191">
        <v>-4.6396800000000002</v>
      </c>
      <c r="I736" s="191">
        <v>0</v>
      </c>
      <c r="J736" s="191">
        <v>0</v>
      </c>
      <c r="K736" s="191">
        <v>0</v>
      </c>
      <c r="L736" s="191">
        <v>0</v>
      </c>
      <c r="M736" s="191">
        <v>2.5860000000000001E-2</v>
      </c>
      <c r="N736" s="191">
        <v>-4.9513617336394401E-2</v>
      </c>
      <c r="O736" s="191">
        <v>-4.5355804116550602E-2</v>
      </c>
      <c r="T736" s="48">
        <v>8</v>
      </c>
      <c r="U736" s="46" t="s">
        <v>252</v>
      </c>
      <c r="V736" s="53" t="s">
        <v>333</v>
      </c>
      <c r="W736" s="53" t="s">
        <v>549</v>
      </c>
      <c r="X736" s="53" t="s">
        <v>559</v>
      </c>
      <c r="Y736" s="172">
        <f>IFERROR(-tblZwaste1422[[#This Row],[Weight (kgCO2e/kg)]],0)</f>
        <v>-2.0953266666666663</v>
      </c>
      <c r="Z736" s="172" t="str">
        <f>IF(AQ736="x",(AR736*-tblZwaste1422[[#This Row],[Weight (kgCO2e/kg)]])+AS736+($AR$10*Lookups!$J$38/1000),"DELETE")</f>
        <v>DELETE</v>
      </c>
      <c r="AA736" s="176">
        <v>-4.4028084209304001</v>
      </c>
      <c r="AB736" s="172" t="s">
        <v>567</v>
      </c>
      <c r="AC736" s="172" t="s">
        <v>567</v>
      </c>
      <c r="AD736" s="172">
        <v>2.60345330558212E-2</v>
      </c>
      <c r="AE736" s="172">
        <v>0.52229466264336699</v>
      </c>
      <c r="AF736" s="172">
        <v>2.1870259708773201</v>
      </c>
      <c r="AG736" s="150"/>
      <c r="AI736" s="137">
        <v>8</v>
      </c>
      <c r="AJ736" s="136" t="s">
        <v>252</v>
      </c>
      <c r="AK736" s="142" t="s">
        <v>333</v>
      </c>
      <c r="AL736" s="136" t="s">
        <v>549</v>
      </c>
      <c r="AM736" s="136" t="s">
        <v>559</v>
      </c>
      <c r="AN736" s="1">
        <v>2.0953266666666663</v>
      </c>
      <c r="AO736" s="166">
        <v>1.77911</v>
      </c>
      <c r="AQ736">
        <f>_xlfn.XLOOKUP(tblGWP21[[#This Row],[Material Subcategory]],ls_Mat,Factors!$K$952:$K$1023)</f>
        <v>0</v>
      </c>
      <c r="AR736" s="173"/>
      <c r="BA736" cm="1">
        <f t="array" ref="BA736:BM736">tblGWP21[#This Row]</f>
        <v>8</v>
      </c>
      <c r="BB736" t="str">
        <v>Plastics</v>
      </c>
      <c r="BC736" t="str">
        <v>Mixed Plastics</v>
      </c>
      <c r="BD736" t="str">
        <v>North America</v>
      </c>
      <c r="BE736" t="str">
        <v>Mexico</v>
      </c>
      <c r="BF736">
        <v>-2.0953266666666663</v>
      </c>
      <c r="BG736" t="str">
        <v>DELETE</v>
      </c>
      <c r="BH736">
        <v>-4.4028084209304001</v>
      </c>
      <c r="BI736" t="str">
        <v>DELETE</v>
      </c>
      <c r="BJ736" t="str">
        <v>DELETE</v>
      </c>
      <c r="BK736">
        <v>2.60345330558212E-2</v>
      </c>
      <c r="BL736">
        <v>0.52229466264336699</v>
      </c>
      <c r="BM736">
        <v>2.1870259708773201</v>
      </c>
    </row>
    <row r="737" spans="3:65">
      <c r="C737" s="362">
        <v>8</v>
      </c>
      <c r="D737" s="363" t="s">
        <v>256</v>
      </c>
      <c r="E737" s="362" t="s">
        <v>258</v>
      </c>
      <c r="F737" s="362" t="s">
        <v>549</v>
      </c>
      <c r="G737" s="362" t="s">
        <v>559</v>
      </c>
      <c r="H737" s="368">
        <v>-4.6396800000000002</v>
      </c>
      <c r="I737" s="368">
        <v>-4.5566017927000004</v>
      </c>
      <c r="J737" s="368">
        <v>-4.9608035819685421</v>
      </c>
      <c r="K737" s="368">
        <v>0</v>
      </c>
      <c r="L737" s="368">
        <v>0</v>
      </c>
      <c r="M737" s="368">
        <v>2.5860000000000001E-2</v>
      </c>
      <c r="N737" s="368">
        <v>-5.3219494336691299E-2</v>
      </c>
      <c r="O737" s="368">
        <v>-4.5355804116550699E-2</v>
      </c>
      <c r="T737" s="48">
        <v>8</v>
      </c>
      <c r="U737" s="46" t="s">
        <v>239</v>
      </c>
      <c r="V737" s="53" t="s">
        <v>542</v>
      </c>
      <c r="W737" s="53" t="s">
        <v>549</v>
      </c>
      <c r="X737" s="53" t="s">
        <v>559</v>
      </c>
      <c r="Y737" s="172">
        <f>IFERROR(-tblZwaste1422[[#This Row],[Weight (kgCO2e/kg)]],0)</f>
        <v>-2.6644477777777777</v>
      </c>
      <c r="Z737" s="172" t="str">
        <f>IF(AQ737="x",(AR737*-tblZwaste1422[[#This Row],[Weight (kgCO2e/kg)]])+AS737+($AR$10*Lookups!$J$38/1000),"DELETE")</f>
        <v>DELETE</v>
      </c>
      <c r="AA737" s="176">
        <v>-0.87532609855828802</v>
      </c>
      <c r="AB737" s="172">
        <v>-1.6287383832761999</v>
      </c>
      <c r="AC737" s="172">
        <v>-2.39292642163465</v>
      </c>
      <c r="AD737" s="172">
        <v>-0.653545379257638</v>
      </c>
      <c r="AE737" s="172">
        <v>-0.89864370226409696</v>
      </c>
      <c r="AF737" s="172">
        <v>2.74724897843227E-2</v>
      </c>
      <c r="AG737" s="150"/>
      <c r="AI737" s="137">
        <v>8</v>
      </c>
      <c r="AJ737" s="136" t="s">
        <v>239</v>
      </c>
      <c r="AK737" s="142" t="s">
        <v>542</v>
      </c>
      <c r="AL737" s="136" t="s">
        <v>549</v>
      </c>
      <c r="AM737" s="136" t="s">
        <v>559</v>
      </c>
      <c r="AN737" s="1">
        <v>2.6644477777777777</v>
      </c>
      <c r="AO737" s="166">
        <v>0.64099666666666666</v>
      </c>
      <c r="AQ737">
        <f>_xlfn.XLOOKUP(tblGWP21[[#This Row],[Material Subcategory]],ls_Mat,Factors!$K$952:$K$1023)</f>
        <v>0</v>
      </c>
      <c r="BA737" cm="1">
        <f t="array" ref="BA737:BM737">tblGWP21[#This Row]</f>
        <v>8</v>
      </c>
      <c r="BB737" t="str">
        <v>Paper</v>
      </c>
      <c r="BC737" t="str">
        <v>Mixed Paper</v>
      </c>
      <c r="BD737" t="str">
        <v>North America</v>
      </c>
      <c r="BE737" t="str">
        <v>Mexico</v>
      </c>
      <c r="BF737">
        <v>-2.6644477777777777</v>
      </c>
      <c r="BG737" t="str">
        <v>DELETE</v>
      </c>
      <c r="BH737">
        <v>-0.87532609855828802</v>
      </c>
      <c r="BI737">
        <v>-1.6287383832761999</v>
      </c>
      <c r="BJ737">
        <v>-2.39292642163465</v>
      </c>
      <c r="BK737">
        <v>-0.653545379257638</v>
      </c>
      <c r="BL737">
        <v>-0.89864370226409696</v>
      </c>
      <c r="BM737">
        <v>2.74724897843227E-2</v>
      </c>
    </row>
    <row r="738" spans="3:65">
      <c r="C738" s="136">
        <v>8</v>
      </c>
      <c r="D738" s="137" t="s">
        <v>247</v>
      </c>
      <c r="E738" s="136" t="s">
        <v>247</v>
      </c>
      <c r="F738" s="136" t="s">
        <v>549</v>
      </c>
      <c r="G738" s="136" t="s">
        <v>559</v>
      </c>
      <c r="H738" s="191">
        <v>-1.0505633333333335</v>
      </c>
      <c r="I738" s="191">
        <v>-0.96748512603333348</v>
      </c>
      <c r="J738" s="191">
        <v>-0.31820402829436267</v>
      </c>
      <c r="K738" s="191">
        <v>0</v>
      </c>
      <c r="L738" s="191">
        <v>0</v>
      </c>
      <c r="M738" s="191">
        <v>2.60345262562433E-2</v>
      </c>
      <c r="N738" s="191">
        <v>2.9820433927303599E-2</v>
      </c>
      <c r="O738" s="191">
        <v>4.8927713249156103E-2</v>
      </c>
      <c r="T738" s="48">
        <v>8</v>
      </c>
      <c r="U738" s="46" t="s">
        <v>237</v>
      </c>
      <c r="V738" s="53" t="s">
        <v>238</v>
      </c>
      <c r="W738" s="53" t="s">
        <v>549</v>
      </c>
      <c r="X738" s="53" t="s">
        <v>559</v>
      </c>
      <c r="Y738" s="172">
        <f>IFERROR(-tblZwaste1422[[#This Row],[Weight (kgCO2e/kg)]],0)</f>
        <v>-2.7046544444444445</v>
      </c>
      <c r="Z738" s="172" t="str">
        <f>IF(AQ738="x",(AR738*-tblZwaste1422[[#This Row],[Weight (kgCO2e/kg)]])+AS738+($AR$10*Lookups!$J$38/1000),"DELETE")</f>
        <v>DELETE</v>
      </c>
      <c r="AA738" s="176" t="s">
        <v>567</v>
      </c>
      <c r="AB738" s="172" t="s">
        <v>567</v>
      </c>
      <c r="AC738" s="172" t="s">
        <v>567</v>
      </c>
      <c r="AD738" s="172">
        <v>-0.14388226602015611</v>
      </c>
      <c r="AE738" s="172">
        <v>-0.11237209117531474</v>
      </c>
      <c r="AF738" s="172">
        <v>0.54454549871936886</v>
      </c>
      <c r="AG738" s="150"/>
      <c r="AI738" s="137">
        <v>8</v>
      </c>
      <c r="AJ738" s="136" t="s">
        <v>237</v>
      </c>
      <c r="AK738" s="142" t="s">
        <v>238</v>
      </c>
      <c r="AL738" s="136" t="s">
        <v>549</v>
      </c>
      <c r="AM738" s="136" t="s">
        <v>559</v>
      </c>
      <c r="AN738" s="1">
        <v>2.7046544444444445</v>
      </c>
      <c r="AO738" s="166">
        <v>1.2161291666666667</v>
      </c>
      <c r="AQ738">
        <f>_xlfn.XLOOKUP(tblGWP21[[#This Row],[Material Subcategory]],ls_Mat,Factors!$K$952:$K$1023)</f>
        <v>0</v>
      </c>
      <c r="BA738" cm="1">
        <f t="array" ref="BA738:BM738">tblGWP21[#This Row]</f>
        <v>8</v>
      </c>
      <c r="BB738" t="str">
        <v>Mixed/Custom</v>
      </c>
      <c r="BC738" t="str">
        <v>Mixed Recycling</v>
      </c>
      <c r="BD738" t="str">
        <v>North America</v>
      </c>
      <c r="BE738" t="str">
        <v>Mexico</v>
      </c>
      <c r="BF738">
        <v>-2.7046544444444445</v>
      </c>
      <c r="BG738" t="str">
        <v>DELETE</v>
      </c>
      <c r="BH738" t="str">
        <v>DELETE</v>
      </c>
      <c r="BI738" t="str">
        <v>DELETE</v>
      </c>
      <c r="BJ738" t="str">
        <v>DELETE</v>
      </c>
      <c r="BK738">
        <v>-0.14388226602015611</v>
      </c>
      <c r="BL738">
        <v>-0.11237209117531474</v>
      </c>
      <c r="BM738">
        <v>0.54454549871936886</v>
      </c>
    </row>
    <row r="739" spans="3:65">
      <c r="C739" s="362">
        <v>8</v>
      </c>
      <c r="D739" s="363" t="s">
        <v>247</v>
      </c>
      <c r="E739" s="362" t="s">
        <v>248</v>
      </c>
      <c r="F739" s="362" t="s">
        <v>549</v>
      </c>
      <c r="G739" s="362" t="s">
        <v>559</v>
      </c>
      <c r="H739" s="368">
        <v>-1.0606100000000001</v>
      </c>
      <c r="I739" s="368">
        <v>-0.97753179270000001</v>
      </c>
      <c r="J739" s="368">
        <v>-0.1681701995244369</v>
      </c>
      <c r="K739" s="368">
        <v>0</v>
      </c>
      <c r="L739" s="368">
        <v>0</v>
      </c>
      <c r="M739" s="368">
        <v>2.60345323108164E-2</v>
      </c>
      <c r="N739" s="368">
        <v>3.3812027558744399E-2</v>
      </c>
      <c r="O739" s="368">
        <v>4.8926529643549398E-2</v>
      </c>
      <c r="T739" s="48">
        <v>8</v>
      </c>
      <c r="U739" s="46" t="s">
        <v>264</v>
      </c>
      <c r="V739" s="53" t="s">
        <v>264</v>
      </c>
      <c r="W739" s="53" t="s">
        <v>549</v>
      </c>
      <c r="X739" s="53" t="s">
        <v>559</v>
      </c>
      <c r="Y739" s="172">
        <f>IFERROR(-tblZwaste1422[[#This Row],[Weight (kgCO2e/kg)]],0)</f>
        <v>-1.9287117500000002</v>
      </c>
      <c r="Z739" s="172" t="e">
        <f>IF(AQ739="x",(AR739*-tblZwaste1422[[#This Row],[Weight (kgCO2e/kg)]])+AS739+($AR$10*Lookups!$J$38/1000),"DELETE")</f>
        <v>#N/A</v>
      </c>
      <c r="AA739" s="172">
        <f>AA743</f>
        <v>0.15112249999999994</v>
      </c>
      <c r="AB739" s="172" t="s">
        <v>567</v>
      </c>
      <c r="AC739" s="172" t="s">
        <v>567</v>
      </c>
      <c r="AD739" s="172">
        <v>-0.34756511412700464</v>
      </c>
      <c r="AE739" s="172">
        <v>-0.54982292582447112</v>
      </c>
      <c r="AF739" s="172">
        <v>0.4603123242713788</v>
      </c>
      <c r="AG739" s="150"/>
      <c r="AI739" s="137">
        <v>8</v>
      </c>
      <c r="AJ739" s="136" t="s">
        <v>264</v>
      </c>
      <c r="AK739" s="142" t="s">
        <v>264</v>
      </c>
      <c r="AL739" s="136" t="s">
        <v>549</v>
      </c>
      <c r="AM739" s="136" t="s">
        <v>559</v>
      </c>
      <c r="AN739" s="1">
        <v>1.9287117500000002</v>
      </c>
      <c r="AO739" s="166">
        <v>0.467055</v>
      </c>
      <c r="AQ739" t="e">
        <f>_xlfn.XLOOKUP(tblGWP21[[#This Row],[Material Subcategory]],ls_Mat,Factors!$K$952:$K$1023)</f>
        <v>#N/A</v>
      </c>
      <c r="AR739" s="173">
        <v>0.65</v>
      </c>
      <c r="AS739">
        <v>0.14482945764999999</v>
      </c>
      <c r="AT739" t="s">
        <v>541</v>
      </c>
      <c r="AU739" t="s">
        <v>526</v>
      </c>
      <c r="AV739" s="347">
        <v>0.8</v>
      </c>
      <c r="BA739" cm="1">
        <f t="array" ref="BA739:BM739">tblGWP21[#This Row]</f>
        <v>8</v>
      </c>
      <c r="BB739" t="str">
        <v>Furniture/Textiles</v>
      </c>
      <c r="BC739" t="str">
        <v>Furniture/Textiles</v>
      </c>
      <c r="BD739" t="str">
        <v>North America</v>
      </c>
      <c r="BE739" t="str">
        <v>Mexico</v>
      </c>
      <c r="BF739">
        <v>-1.9287117500000002</v>
      </c>
      <c r="BG739" t="e">
        <v>#N/A</v>
      </c>
      <c r="BH739">
        <v>0.15112249999999994</v>
      </c>
      <c r="BI739" t="str">
        <v>DELETE</v>
      </c>
      <c r="BJ739" t="str">
        <v>DELETE</v>
      </c>
      <c r="BK739">
        <v>-0.34756511412700464</v>
      </c>
      <c r="BL739">
        <v>-0.54982292582447112</v>
      </c>
      <c r="BM739">
        <v>0.4603123242713788</v>
      </c>
    </row>
    <row r="740" spans="3:65">
      <c r="C740" s="136">
        <v>8</v>
      </c>
      <c r="D740" s="137" t="s">
        <v>247</v>
      </c>
      <c r="E740" s="136" t="s">
        <v>263</v>
      </c>
      <c r="F740" s="136" t="s">
        <v>549</v>
      </c>
      <c r="G740" s="136" t="s">
        <v>559</v>
      </c>
      <c r="H740" s="191">
        <v>-1.0341199999999999</v>
      </c>
      <c r="I740" s="191">
        <v>-0.95104179269999989</v>
      </c>
      <c r="J740" s="191">
        <v>-0.1681701995244369</v>
      </c>
      <c r="K740" s="191">
        <v>0</v>
      </c>
      <c r="L740" s="191">
        <v>0</v>
      </c>
      <c r="M740" s="191">
        <v>2.60345360633981E-2</v>
      </c>
      <c r="N740" s="191">
        <v>3.62047786247413E-2</v>
      </c>
      <c r="O740" s="191">
        <v>4.8926605211687797E-2</v>
      </c>
      <c r="T740" s="48">
        <v>8</v>
      </c>
      <c r="U740" s="46" t="s">
        <v>264</v>
      </c>
      <c r="V740" s="53" t="s">
        <v>336</v>
      </c>
      <c r="W740" s="53" t="s">
        <v>549</v>
      </c>
      <c r="X740" s="53" t="s">
        <v>559</v>
      </c>
      <c r="Y740" s="172">
        <f>IFERROR(-tblZwaste1422[[#This Row],[Weight (kgCO2e/kg)]],0)</f>
        <v>-0.76351350000000007</v>
      </c>
      <c r="Z740" s="172">
        <f>IF(AQ740="x",(AR740*-tblZwaste1422[[#This Row],[Weight (kgCO2e/kg)]])+AS740+($AR$10*Lookups!$J$38/1000),"DELETE")</f>
        <v>-0.34968251735000005</v>
      </c>
      <c r="AA740" s="176" t="s">
        <v>567</v>
      </c>
      <c r="AB740" s="172">
        <v>-1.6466906179348999</v>
      </c>
      <c r="AC740" s="172">
        <v>-2.62906839567699</v>
      </c>
      <c r="AD740" s="172">
        <v>-1.0003222620202963</v>
      </c>
      <c r="AE740" s="172">
        <v>-0.7850962372523872</v>
      </c>
      <c r="AF740" s="172">
        <v>0.21132885421346254</v>
      </c>
      <c r="AG740" s="150"/>
      <c r="AI740" s="137">
        <v>8</v>
      </c>
      <c r="AJ740" s="136" t="s">
        <v>264</v>
      </c>
      <c r="AK740" s="142" t="s">
        <v>336</v>
      </c>
      <c r="AL740" s="136" t="s">
        <v>549</v>
      </c>
      <c r="AM740" s="136" t="s">
        <v>559</v>
      </c>
      <c r="AN740" s="1">
        <v>0.76351350000000007</v>
      </c>
      <c r="AO740" s="166">
        <v>0.43603999999999998</v>
      </c>
      <c r="AQ740" t="str">
        <f>_xlfn.XLOOKUP(tblGWP21[[#This Row],[Material Subcategory]],ls_Mat,Factors!$K$952:$K$1023)</f>
        <v>x</v>
      </c>
      <c r="AR740" s="173">
        <v>0.65</v>
      </c>
      <c r="AS740">
        <v>0.14482945764999999</v>
      </c>
      <c r="AT740" t="s">
        <v>541</v>
      </c>
      <c r="AU740" t="s">
        <v>526</v>
      </c>
      <c r="AV740" s="347">
        <v>0.88</v>
      </c>
      <c r="BA740" cm="1">
        <f t="array" ref="BA740:BM740">tblGWP21[#This Row]</f>
        <v>8</v>
      </c>
      <c r="BB740" t="str">
        <v>Furniture/Textiles</v>
      </c>
      <c r="BC740" t="str">
        <v>Furniture</v>
      </c>
      <c r="BD740" t="str">
        <v>North America</v>
      </c>
      <c r="BE740" t="str">
        <v>Mexico</v>
      </c>
      <c r="BF740">
        <v>-0.76351350000000007</v>
      </c>
      <c r="BG740">
        <v>-0.34968251735000005</v>
      </c>
      <c r="BH740" t="str">
        <v>DELETE</v>
      </c>
      <c r="BI740">
        <v>-1.6466906179348999</v>
      </c>
      <c r="BJ740">
        <v>-2.62906839567699</v>
      </c>
      <c r="BK740">
        <v>-1.0003222620202963</v>
      </c>
      <c r="BL740">
        <v>-0.7850962372523872</v>
      </c>
      <c r="BM740">
        <v>0.21132885421346254</v>
      </c>
    </row>
    <row r="741" spans="3:65">
      <c r="C741" s="362">
        <v>8</v>
      </c>
      <c r="D741" s="363" t="s">
        <v>247</v>
      </c>
      <c r="E741" s="362" t="s">
        <v>539</v>
      </c>
      <c r="F741" s="362" t="s">
        <v>549</v>
      </c>
      <c r="G741" s="362" t="s">
        <v>559</v>
      </c>
      <c r="H741" s="368">
        <v>-1.0569599999999999</v>
      </c>
      <c r="I741" s="368">
        <v>-0.97388179269999986</v>
      </c>
      <c r="J741" s="368">
        <v>-0.17348083740415596</v>
      </c>
      <c r="K741" s="368">
        <v>0</v>
      </c>
      <c r="L741" s="368">
        <v>0</v>
      </c>
      <c r="M741" s="368">
        <v>2.60345164586499E-2</v>
      </c>
      <c r="N741" s="368">
        <v>2.33913932794792E-2</v>
      </c>
      <c r="O741" s="368">
        <v>4.89289880018264E-2</v>
      </c>
      <c r="T741" s="48">
        <v>8</v>
      </c>
      <c r="U741" s="46" t="s">
        <v>242</v>
      </c>
      <c r="V741" s="53" t="s">
        <v>251</v>
      </c>
      <c r="W741" s="53" t="s">
        <v>549</v>
      </c>
      <c r="X741" s="53" t="s">
        <v>559</v>
      </c>
      <c r="Y741" s="172">
        <f>IFERROR(-tblZwaste1422[[#This Row],[Weight (kgCO2e/kg)]],0)</f>
        <v>-4.9218200000000003</v>
      </c>
      <c r="Z741" s="172">
        <f>IF(AQ741="x",(AR741*-tblZwaste1422[[#This Row],[Weight (kgCO2e/kg)]])+AS741+($AR$10*Lookups!$J$38/1000),"DELETE")</f>
        <v>-3.5665477000000001</v>
      </c>
      <c r="AA741" s="172">
        <v>-1.2190350000000001</v>
      </c>
      <c r="AB741" s="172" t="s">
        <v>567</v>
      </c>
      <c r="AC741" s="172" t="s">
        <v>567</v>
      </c>
      <c r="AD741" s="172">
        <v>2.5964715568308164E-2</v>
      </c>
      <c r="AE741" s="172">
        <v>0.17600069506092558</v>
      </c>
      <c r="AF741" s="172">
        <v>0.85049795604199241</v>
      </c>
      <c r="AG741" s="150"/>
      <c r="AI741" s="137">
        <v>8</v>
      </c>
      <c r="AJ741" s="136" t="s">
        <v>242</v>
      </c>
      <c r="AK741" s="142" t="s">
        <v>251</v>
      </c>
      <c r="AL741" s="136" t="s">
        <v>549</v>
      </c>
      <c r="AM741" s="136" t="s">
        <v>559</v>
      </c>
      <c r="AN741" s="1">
        <v>4.9218200000000003</v>
      </c>
      <c r="AO741" s="166">
        <v>0.15096000000000001</v>
      </c>
      <c r="AQ741" t="str">
        <f>_xlfn.XLOOKUP(tblGWP21[[#This Row],[Material Subcategory]],ls_Mat,Factors!$K$952:$K$1023)</f>
        <v>x</v>
      </c>
      <c r="AR741" s="173">
        <v>0.72499999999999998</v>
      </c>
      <c r="AS741">
        <v>0</v>
      </c>
      <c r="AT741" t="s">
        <v>527</v>
      </c>
      <c r="AU741" t="s">
        <v>526</v>
      </c>
      <c r="AV741" s="347">
        <v>0.8</v>
      </c>
      <c r="BA741" cm="1">
        <f t="array" ref="BA741:BM741">tblGWP21[#This Row]</f>
        <v>8</v>
      </c>
      <c r="BB741" t="str">
        <v>Electronics</v>
      </c>
      <c r="BC741" t="str">
        <v>Appliances</v>
      </c>
      <c r="BD741" t="str">
        <v>North America</v>
      </c>
      <c r="BE741" t="str">
        <v>Mexico</v>
      </c>
      <c r="BF741">
        <v>-4.9218200000000003</v>
      </c>
      <c r="BG741">
        <v>-3.5665477000000001</v>
      </c>
      <c r="BH741">
        <v>-1.2190350000000001</v>
      </c>
      <c r="BI741" t="str">
        <v>DELETE</v>
      </c>
      <c r="BJ741" t="str">
        <v>DELETE</v>
      </c>
      <c r="BK741">
        <v>2.5964715568308164E-2</v>
      </c>
      <c r="BL741">
        <v>0.17600069506092558</v>
      </c>
      <c r="BM741">
        <v>0.85049795604199241</v>
      </c>
    </row>
    <row r="742" spans="3:65">
      <c r="C742" s="136">
        <v>8</v>
      </c>
      <c r="D742" s="137" t="s">
        <v>247</v>
      </c>
      <c r="E742" s="136" t="s">
        <v>270</v>
      </c>
      <c r="F742" s="136" t="s">
        <v>549</v>
      </c>
      <c r="G742" s="136" t="s">
        <v>559</v>
      </c>
      <c r="H742" s="191">
        <v>-1.0505633333333335</v>
      </c>
      <c r="I742" s="191">
        <v>-0.96748512603333348</v>
      </c>
      <c r="J742" s="191">
        <v>-0.31820402829436267</v>
      </c>
      <c r="K742" s="191">
        <v>0</v>
      </c>
      <c r="L742" s="191">
        <v>0</v>
      </c>
      <c r="M742" s="191">
        <v>2.60345262562433E-2</v>
      </c>
      <c r="N742" s="191">
        <v>2.9820433927303599E-2</v>
      </c>
      <c r="O742" s="191">
        <v>4.8927713249156103E-2</v>
      </c>
      <c r="T742" s="48">
        <v>8</v>
      </c>
      <c r="U742" s="46" t="s">
        <v>242</v>
      </c>
      <c r="V742" s="53" t="s">
        <v>543</v>
      </c>
      <c r="W742" s="53" t="s">
        <v>549</v>
      </c>
      <c r="X742" s="53" t="s">
        <v>559</v>
      </c>
      <c r="Y742" s="172">
        <f>IFERROR(-tblZwaste1422[[#This Row],[Weight (kgCO2e/kg)]],0)</f>
        <v>-1.00081</v>
      </c>
      <c r="Z742" s="172">
        <f>IF(AQ742="x",(AR742*-tblZwaste1422[[#This Row],[Weight (kgCO2e/kg)]])+AS742+($AR$10*Lookups!$J$38/1000),"DELETE")</f>
        <v>-0.72381545000000003</v>
      </c>
      <c r="AA742" s="172">
        <v>-0.20626249999999999</v>
      </c>
      <c r="AB742" s="172" t="s">
        <v>567</v>
      </c>
      <c r="AC742" s="172" t="s">
        <v>567</v>
      </c>
      <c r="AD742" s="172">
        <v>2.5860000000000001E-2</v>
      </c>
      <c r="AE742" s="172">
        <v>4.1333668033559097E-2</v>
      </c>
      <c r="AF742" s="172">
        <v>4.8926196521969202E-2</v>
      </c>
      <c r="AG742" s="150"/>
      <c r="AI742" s="137">
        <v>8</v>
      </c>
      <c r="AJ742" s="136" t="s">
        <v>242</v>
      </c>
      <c r="AK742" s="142" t="s">
        <v>543</v>
      </c>
      <c r="AL742" s="136" t="s">
        <v>549</v>
      </c>
      <c r="AM742" s="136" t="s">
        <v>559</v>
      </c>
      <c r="AN742" s="1">
        <v>1.00081</v>
      </c>
      <c r="AO742" s="166">
        <v>0.33138000000000001</v>
      </c>
      <c r="AQ742" t="str">
        <f>_xlfn.XLOOKUP(tblGWP21[[#This Row],[Material Subcategory]],ls_Mat,Factors!$K$952:$K$1023)</f>
        <v>x</v>
      </c>
      <c r="AR742" s="173">
        <v>0.72499999999999998</v>
      </c>
      <c r="AS742">
        <v>0</v>
      </c>
      <c r="AT742" t="s">
        <v>527</v>
      </c>
      <c r="AU742" t="s">
        <v>526</v>
      </c>
      <c r="AV742" s="347">
        <v>0.65</v>
      </c>
      <c r="BA742" cm="1">
        <f t="array" ref="BA742:BM742">tblGWP21[#This Row]</f>
        <v>8</v>
      </c>
      <c r="BB742" t="str">
        <v>Electronics</v>
      </c>
      <c r="BC742" t="str">
        <v>Lightbulb/Lamps</v>
      </c>
      <c r="BD742" t="str">
        <v>North America</v>
      </c>
      <c r="BE742" t="str">
        <v>Mexico</v>
      </c>
      <c r="BF742">
        <v>-1.00081</v>
      </c>
      <c r="BG742">
        <v>-0.72381545000000003</v>
      </c>
      <c r="BH742">
        <v>-0.20626249999999999</v>
      </c>
      <c r="BI742" t="str">
        <v>DELETE</v>
      </c>
      <c r="BJ742" t="str">
        <v>DELETE</v>
      </c>
      <c r="BK742">
        <v>2.5860000000000001E-2</v>
      </c>
      <c r="BL742">
        <v>4.1333668033559097E-2</v>
      </c>
      <c r="BM742">
        <v>4.8926196521969202E-2</v>
      </c>
    </row>
    <row r="743" spans="3:65">
      <c r="C743" s="362">
        <v>8</v>
      </c>
      <c r="D743" s="363" t="s">
        <v>247</v>
      </c>
      <c r="E743" s="362" t="s">
        <v>540</v>
      </c>
      <c r="F743" s="362" t="s">
        <v>549</v>
      </c>
      <c r="G743" s="362" t="s">
        <v>559</v>
      </c>
      <c r="H743" s="368">
        <v>-1.0473650000000001</v>
      </c>
      <c r="I743" s="368">
        <v>-0.96428679270000006</v>
      </c>
      <c r="J743" s="368">
        <v>0</v>
      </c>
      <c r="K743" s="368">
        <v>0</v>
      </c>
      <c r="L743" s="368">
        <v>0</v>
      </c>
      <c r="M743" s="368">
        <v>2.6034509556384401E-2</v>
      </c>
      <c r="N743" s="368">
        <v>2.5783624190248901E-2</v>
      </c>
      <c r="O743" s="368">
        <v>4.89285434147377E-2</v>
      </c>
      <c r="T743" s="48">
        <v>8</v>
      </c>
      <c r="U743" s="46" t="s">
        <v>264</v>
      </c>
      <c r="V743" s="53" t="s">
        <v>544</v>
      </c>
      <c r="W743" s="53" t="s">
        <v>549</v>
      </c>
      <c r="X743" s="53" t="s">
        <v>559</v>
      </c>
      <c r="Y743" s="172">
        <f>IFERROR(-tblZwaste1422[[#This Row],[Weight (kgCO2e/kg)]],0)</f>
        <v>-3.0939100000000002</v>
      </c>
      <c r="Z743" s="172">
        <f>IF(AQ743="x",(AR743*-tblZwaste1422[[#This Row],[Weight (kgCO2e/kg)]])+AS743+($AR$10*Lookups!$J$38/1000),"DELETE")</f>
        <v>-1.8644402423500002</v>
      </c>
      <c r="AA743" s="172">
        <v>0.15112249999999994</v>
      </c>
      <c r="AB743" s="172" t="s">
        <v>567</v>
      </c>
      <c r="AC743" s="172" t="s">
        <v>567</v>
      </c>
      <c r="AD743" s="172">
        <v>0.30519203376628701</v>
      </c>
      <c r="AE743" s="172">
        <v>-0.31454961439655499</v>
      </c>
      <c r="AF743" s="172">
        <v>0.70929579432929502</v>
      </c>
      <c r="AG743" s="150"/>
      <c r="AI743" s="137">
        <v>8</v>
      </c>
      <c r="AJ743" s="136" t="s">
        <v>264</v>
      </c>
      <c r="AK743" s="142" t="s">
        <v>544</v>
      </c>
      <c r="AL743" s="136" t="s">
        <v>549</v>
      </c>
      <c r="AM743" s="136" t="s">
        <v>559</v>
      </c>
      <c r="AN743" s="1">
        <v>3.0939100000000002</v>
      </c>
      <c r="AO743" s="166">
        <v>0.49807000000000001</v>
      </c>
      <c r="AQ743" t="str">
        <f>_xlfn.XLOOKUP(tblGWP21[[#This Row],[Material Subcategory]],ls_Mat,Factors!$K$952:$K$1023)</f>
        <v>x</v>
      </c>
      <c r="AR743" s="173">
        <v>0.65</v>
      </c>
      <c r="AS743">
        <v>0.14482945764999999</v>
      </c>
      <c r="AT743" t="s">
        <v>541</v>
      </c>
      <c r="AU743" t="s">
        <v>526</v>
      </c>
      <c r="AV743" s="347">
        <v>0.65</v>
      </c>
      <c r="BA743" cm="1">
        <f t="array" ref="BA743:BM743">tblGWP21[#This Row]</f>
        <v>8</v>
      </c>
      <c r="BB743" t="str">
        <v>Furniture/Textiles</v>
      </c>
      <c r="BC743" t="str">
        <v>Textiles</v>
      </c>
      <c r="BD743" t="str">
        <v>North America</v>
      </c>
      <c r="BE743" t="str">
        <v>Mexico</v>
      </c>
      <c r="BF743">
        <v>-3.0939100000000002</v>
      </c>
      <c r="BG743">
        <v>-1.8644402423500002</v>
      </c>
      <c r="BH743">
        <v>0.15112249999999994</v>
      </c>
      <c r="BI743" t="str">
        <v>DELETE</v>
      </c>
      <c r="BJ743" t="str">
        <v>DELETE</v>
      </c>
      <c r="BK743">
        <v>0.30519203376628701</v>
      </c>
      <c r="BL743">
        <v>-0.31454961439655499</v>
      </c>
      <c r="BM743">
        <v>0.70929579432929502</v>
      </c>
    </row>
    <row r="744" spans="3:65">
      <c r="C744" s="136">
        <v>8</v>
      </c>
      <c r="D744" s="137" t="s">
        <v>261</v>
      </c>
      <c r="E744" s="136" t="s">
        <v>260</v>
      </c>
      <c r="F744" s="136" t="s">
        <v>549</v>
      </c>
      <c r="G744" s="136" t="s">
        <v>559</v>
      </c>
      <c r="H744" s="191">
        <v>-4.0364225925925927</v>
      </c>
      <c r="I744" s="191">
        <v>0</v>
      </c>
      <c r="J744" s="191">
        <v>0</v>
      </c>
      <c r="K744" s="191">
        <v>-0.50279511856418002</v>
      </c>
      <c r="L744" s="191">
        <v>-0.86655382995978603</v>
      </c>
      <c r="M744" s="191">
        <v>-0.167364467027872</v>
      </c>
      <c r="N744" s="191">
        <v>-0.25777292480608899</v>
      </c>
      <c r="O744" s="191">
        <v>2.7531317960487099E-2</v>
      </c>
      <c r="T744" s="48">
        <v>8</v>
      </c>
      <c r="U744" s="46" t="s">
        <v>237</v>
      </c>
      <c r="V744" s="53" t="s">
        <v>545</v>
      </c>
      <c r="W744" s="53" t="s">
        <v>549</v>
      </c>
      <c r="X744" s="53" t="s">
        <v>559</v>
      </c>
      <c r="Y744" s="172">
        <f>IFERROR(-tblZwaste1422[[#This Row],[Weight (kgCO2e/kg)]],0)</f>
        <v>-2.8533815875203707</v>
      </c>
      <c r="Z744" s="172" t="str">
        <f>IF(AQ744="x",(AR744*-tblZwaste1422[[#This Row],[Weight (kgCO2e/kg)]])+AS744+($AR$10*Lookups!$J$38/1000),"DELETE")</f>
        <v>DELETE</v>
      </c>
      <c r="AA744" s="176" t="s">
        <v>567</v>
      </c>
      <c r="AB744" s="172" t="s">
        <v>567</v>
      </c>
      <c r="AC744" s="172" t="s">
        <v>567</v>
      </c>
      <c r="AD744" s="172">
        <v>-0.46534862278907901</v>
      </c>
      <c r="AE744" s="172">
        <v>-0.57695299667656219</v>
      </c>
      <c r="AF744" s="172">
        <v>2.7970179866342197E-2</v>
      </c>
      <c r="AG744" s="150"/>
      <c r="AI744" s="137">
        <v>8</v>
      </c>
      <c r="AJ744" s="136" t="s">
        <v>237</v>
      </c>
      <c r="AK744" s="142" t="s">
        <v>545</v>
      </c>
      <c r="AL744" s="136" t="s">
        <v>549</v>
      </c>
      <c r="AM744" s="136" t="s">
        <v>559</v>
      </c>
      <c r="AN744" s="1">
        <v>2.8533815875203707</v>
      </c>
      <c r="AO744" s="166">
        <v>1.0711602172222223</v>
      </c>
      <c r="AQ744">
        <f>_xlfn.XLOOKUP(tblGWP21[[#This Row],[Material Subcategory]],ls_Mat,Factors!$K$952:$K$1023)</f>
        <v>0</v>
      </c>
      <c r="AU744" t="s">
        <v>526</v>
      </c>
      <c r="AV744" s="347">
        <v>0.65</v>
      </c>
      <c r="BA744" cm="1">
        <f t="array" ref="BA744:BM744">tblGWP21[#This Row]</f>
        <v>8</v>
      </c>
      <c r="BB744" t="str">
        <v>Mixed/Custom</v>
      </c>
      <c r="BC744" t="str">
        <v>General other</v>
      </c>
      <c r="BD744" t="str">
        <v>North America</v>
      </c>
      <c r="BE744" t="str">
        <v>Mexico</v>
      </c>
      <c r="BF744">
        <v>-2.8533815875203707</v>
      </c>
      <c r="BG744" t="str">
        <v>DELETE</v>
      </c>
      <c r="BH744" t="str">
        <v>DELETE</v>
      </c>
      <c r="BI744" t="str">
        <v>DELETE</v>
      </c>
      <c r="BJ744" t="str">
        <v>DELETE</v>
      </c>
      <c r="BK744">
        <v>-0.46534862278907901</v>
      </c>
      <c r="BL744">
        <v>-0.57695299667656219</v>
      </c>
      <c r="BM744">
        <v>2.7970179866342197E-2</v>
      </c>
    </row>
    <row r="745" spans="3:65">
      <c r="C745" s="362">
        <v>8</v>
      </c>
      <c r="D745" s="363" t="s">
        <v>10157</v>
      </c>
      <c r="E745" s="362" t="s">
        <v>237</v>
      </c>
      <c r="F745" s="362" t="s">
        <v>549</v>
      </c>
      <c r="G745" s="362" t="s">
        <v>559</v>
      </c>
      <c r="H745" s="368">
        <v>-2.8533815875203707</v>
      </c>
      <c r="I745" s="368">
        <v>-1.4249189937601854</v>
      </c>
      <c r="J745" s="368">
        <v>0</v>
      </c>
      <c r="K745" s="368">
        <v>0</v>
      </c>
      <c r="L745" s="368">
        <v>0</v>
      </c>
      <c r="M745" s="368">
        <v>-0.46534862278907901</v>
      </c>
      <c r="N745" s="368">
        <v>-0.57695299667656219</v>
      </c>
      <c r="O745" s="368">
        <v>2.7970179866342197E-2</v>
      </c>
      <c r="T745" s="48">
        <v>10</v>
      </c>
      <c r="U745" s="46" t="s">
        <v>233</v>
      </c>
      <c r="V745" s="53" t="s">
        <v>233</v>
      </c>
      <c r="W745" s="53" t="s">
        <v>549</v>
      </c>
      <c r="X745" s="53" t="s">
        <v>554</v>
      </c>
      <c r="Y745" s="172">
        <f>IFERROR(-tblZwaste1422[[#This Row],[Weight (kgCO2e/kg)]],0)</f>
        <v>0</v>
      </c>
      <c r="Z745" s="172">
        <f>AVERAGE(Z749:Z751)</f>
        <v>-0.13905086666666666</v>
      </c>
      <c r="AA745" s="176" t="s">
        <v>567</v>
      </c>
      <c r="AB745" s="172">
        <v>-1.4467442348342985</v>
      </c>
      <c r="AC745" s="172">
        <v>-2.0462435217639254</v>
      </c>
      <c r="AD745" s="172">
        <v>-1.0109084277960503</v>
      </c>
      <c r="AE745" s="172">
        <v>-0.83708304549453894</v>
      </c>
      <c r="AF745" s="172">
        <v>3.3140241117654547E-2</v>
      </c>
      <c r="AG745" s="150"/>
      <c r="AI745" s="137">
        <v>10</v>
      </c>
      <c r="AJ745" s="136"/>
      <c r="AK745" s="142"/>
      <c r="AL745" s="136" t="s">
        <v>549</v>
      </c>
      <c r="AM745" s="136" t="s">
        <v>554</v>
      </c>
      <c r="AN745" s="1" t="s">
        <v>525</v>
      </c>
      <c r="AO745" s="166" t="s">
        <v>525</v>
      </c>
      <c r="AQ745" t="e">
        <f>_xlfn.XLOOKUP(tblGWP21[[#This Row],[Material Subcategory]],ls_Mat,Factors!$K$952:$K$1023)</f>
        <v>#N/A</v>
      </c>
      <c r="AR745" s="173">
        <v>0.77500000000000002</v>
      </c>
      <c r="AS745">
        <v>0</v>
      </c>
      <c r="AT745" t="s">
        <v>527</v>
      </c>
      <c r="AU745" t="s">
        <v>526</v>
      </c>
      <c r="AV745" s="347">
        <v>0.8</v>
      </c>
      <c r="BA745" cm="1">
        <f t="array" ref="BA745:BM745">tblGWP21[#This Row]</f>
        <v>10</v>
      </c>
      <c r="BB745" t="str">
        <v>Wood/Yard Trimmings</v>
      </c>
      <c r="BC745" t="str">
        <v>Wood/Yard Trimmings</v>
      </c>
      <c r="BD745" t="str">
        <v>North America</v>
      </c>
      <c r="BE745" t="str">
        <v>United States</v>
      </c>
      <c r="BF745">
        <v>0</v>
      </c>
      <c r="BG745">
        <v>-0.13905086666666666</v>
      </c>
      <c r="BH745" t="str">
        <v>DELETE</v>
      </c>
      <c r="BI745">
        <v>-1.4467442348342985</v>
      </c>
      <c r="BJ745">
        <v>-2.0462435217639254</v>
      </c>
      <c r="BK745">
        <v>-1.0109084277960503</v>
      </c>
      <c r="BL745">
        <v>-0.83708304549453894</v>
      </c>
      <c r="BM745">
        <v>3.3140241117654547E-2</v>
      </c>
    </row>
    <row r="746" spans="3:65" ht="28.8">
      <c r="C746" s="136">
        <v>8</v>
      </c>
      <c r="D746" s="137" t="s">
        <v>10157</v>
      </c>
      <c r="E746" s="136" t="s">
        <v>246</v>
      </c>
      <c r="F746" s="136" t="s">
        <v>549</v>
      </c>
      <c r="G746" s="136" t="s">
        <v>559</v>
      </c>
      <c r="H746" s="191">
        <v>-7.3412433500000009</v>
      </c>
      <c r="I746" s="191">
        <v>0</v>
      </c>
      <c r="J746" s="191">
        <v>0</v>
      </c>
      <c r="K746" s="191">
        <v>0</v>
      </c>
      <c r="L746" s="191">
        <v>0</v>
      </c>
      <c r="M746" s="191">
        <v>2.6034561023251499E-2</v>
      </c>
      <c r="N746" s="191">
        <v>4.1333668033558701E-2</v>
      </c>
      <c r="O746" s="191">
        <v>4.8926196521971499E-2</v>
      </c>
      <c r="T746" s="48">
        <v>10</v>
      </c>
      <c r="U746" s="46" t="s">
        <v>233</v>
      </c>
      <c r="V746" s="53" t="s">
        <v>250</v>
      </c>
      <c r="W746" s="53" t="s">
        <v>549</v>
      </c>
      <c r="X746" s="53" t="s">
        <v>554</v>
      </c>
      <c r="Y746" s="172">
        <f>IFERROR(-tblZwaste1422[[#This Row],[Weight (kgCO2e/kg)]],0)</f>
        <v>0</v>
      </c>
      <c r="Z746" s="172" t="str">
        <f>IF(AQ746="x",(AR746*-tblZwaste1422[[#This Row],[Weight (kgCO2e/kg)]])+AS746+($AR$10*Lookups!$J$38/1000),"DELETE")</f>
        <v>DELETE</v>
      </c>
      <c r="AA746" s="176" t="s">
        <v>567</v>
      </c>
      <c r="AB746" s="172">
        <v>-1.7445754421462201</v>
      </c>
      <c r="AC746" s="172">
        <v>-2.1462356533154701</v>
      </c>
      <c r="AD746" s="172">
        <v>-1.04095830469048</v>
      </c>
      <c r="AE746" s="172">
        <v>-0.89710132527779796</v>
      </c>
      <c r="AF746" s="172">
        <v>2.8431529570936899E-2</v>
      </c>
      <c r="AG746" s="150"/>
      <c r="AI746" s="137">
        <v>10</v>
      </c>
      <c r="AJ746" s="136"/>
      <c r="AK746" s="142"/>
      <c r="AL746" s="136" t="s">
        <v>549</v>
      </c>
      <c r="AM746" s="136" t="s">
        <v>554</v>
      </c>
      <c r="AN746" s="1" t="s">
        <v>525</v>
      </c>
      <c r="AO746" s="166" t="s">
        <v>525</v>
      </c>
      <c r="AQ746">
        <f>_xlfn.XLOOKUP(tblGWP21[[#This Row],[Material Subcategory]],ls_Mat,Factors!$K$952:$K$1023)</f>
        <v>0</v>
      </c>
      <c r="BA746" cm="1">
        <f t="array" ref="BA746:BM746">tblGWP21[#This Row]</f>
        <v>10</v>
      </c>
      <c r="BB746" t="str">
        <v>Wood/Yard Trimmings</v>
      </c>
      <c r="BC746" t="str">
        <v>Yard Trimmings – Leaves</v>
      </c>
      <c r="BD746" t="str">
        <v>North America</v>
      </c>
      <c r="BE746" t="str">
        <v>United States</v>
      </c>
      <c r="BF746">
        <v>0</v>
      </c>
      <c r="BG746" t="str">
        <v>DELETE</v>
      </c>
      <c r="BH746" t="str">
        <v>DELETE</v>
      </c>
      <c r="BI746">
        <v>-1.7445754421462201</v>
      </c>
      <c r="BJ746">
        <v>-2.1462356533154701</v>
      </c>
      <c r="BK746">
        <v>-1.04095830469048</v>
      </c>
      <c r="BL746">
        <v>-0.89710132527779796</v>
      </c>
      <c r="BM746">
        <v>2.8431529570936899E-2</v>
      </c>
    </row>
    <row r="747" spans="3:65" ht="28.8">
      <c r="C747" s="362">
        <v>8</v>
      </c>
      <c r="D747" s="363" t="s">
        <v>10157</v>
      </c>
      <c r="E747" s="362" t="s">
        <v>243</v>
      </c>
      <c r="F747" s="362" t="s">
        <v>549</v>
      </c>
      <c r="G747" s="362" t="s">
        <v>559</v>
      </c>
      <c r="H747" s="368">
        <v>-2.8533815875203707</v>
      </c>
      <c r="I747" s="368">
        <v>0</v>
      </c>
      <c r="J747" s="368">
        <v>0</v>
      </c>
      <c r="K747" s="368">
        <v>-1.0282148250871344</v>
      </c>
      <c r="L747" s="368">
        <v>-1.5996775946444846</v>
      </c>
      <c r="M747" s="368">
        <v>-0.46534862278907901</v>
      </c>
      <c r="N747" s="368">
        <v>-0.57695299667656219</v>
      </c>
      <c r="O747" s="368">
        <v>2.7970179866342197E-2</v>
      </c>
      <c r="T747" s="48">
        <v>10</v>
      </c>
      <c r="U747" s="46" t="s">
        <v>233</v>
      </c>
      <c r="V747" s="53" t="s">
        <v>249</v>
      </c>
      <c r="W747" s="53" t="s">
        <v>549</v>
      </c>
      <c r="X747" s="53" t="s">
        <v>554</v>
      </c>
      <c r="Y747" s="172">
        <f>IFERROR(-tblZwaste1422[[#This Row],[Weight (kgCO2e/kg)]],0)</f>
        <v>0</v>
      </c>
      <c r="Z747" s="172" t="str">
        <f>IF(AQ747="x",(AR747*-tblZwaste1422[[#This Row],[Weight (kgCO2e/kg)]])+AS747+($AR$10*Lookups!$J$38/1000),"DELETE")</f>
        <v>DELETE</v>
      </c>
      <c r="AA747" s="176" t="s">
        <v>567</v>
      </c>
      <c r="AB747" s="172">
        <v>-0.54340187290759301</v>
      </c>
      <c r="AC747" s="172">
        <v>-0.73838391537608605</v>
      </c>
      <c r="AD747" s="172">
        <v>1.9164625821971201E-2</v>
      </c>
      <c r="AE747" s="172">
        <v>-0.189194394653485</v>
      </c>
      <c r="AF747" s="172">
        <v>2.57528519101623E-2</v>
      </c>
      <c r="AG747" s="150"/>
      <c r="AI747" s="137">
        <v>10</v>
      </c>
      <c r="AJ747" s="136"/>
      <c r="AK747" s="142"/>
      <c r="AL747" s="136" t="s">
        <v>549</v>
      </c>
      <c r="AM747" s="136" t="s">
        <v>554</v>
      </c>
      <c r="AN747" s="1" t="s">
        <v>525</v>
      </c>
      <c r="AO747" s="166" t="s">
        <v>525</v>
      </c>
      <c r="AQ747">
        <f>_xlfn.XLOOKUP(tblGWP21[[#This Row],[Material Subcategory]],ls_Mat,Factors!$K$952:$K$1023)</f>
        <v>0</v>
      </c>
      <c r="BA747" cm="1">
        <f t="array" ref="BA747:BM747">tblGWP21[#This Row]</f>
        <v>10</v>
      </c>
      <c r="BB747" t="str">
        <v>Wood/Yard Trimmings</v>
      </c>
      <c r="BC747" t="str">
        <v>Yard Trimmings – Grass</v>
      </c>
      <c r="BD747" t="str">
        <v>North America</v>
      </c>
      <c r="BE747" t="str">
        <v>United States</v>
      </c>
      <c r="BF747">
        <v>0</v>
      </c>
      <c r="BG747" t="str">
        <v>DELETE</v>
      </c>
      <c r="BH747" t="str">
        <v>DELETE</v>
      </c>
      <c r="BI747">
        <v>-0.54340187290759301</v>
      </c>
      <c r="BJ747">
        <v>-0.73838391537608605</v>
      </c>
      <c r="BK747">
        <v>1.9164625821971201E-2</v>
      </c>
      <c r="BL747">
        <v>-0.189194394653485</v>
      </c>
      <c r="BM747">
        <v>2.57528519101623E-2</v>
      </c>
    </row>
    <row r="748" spans="3:65" ht="28.8">
      <c r="C748" s="136">
        <v>8</v>
      </c>
      <c r="D748" s="137" t="s">
        <v>252</v>
      </c>
      <c r="E748" s="136" t="s">
        <v>333</v>
      </c>
      <c r="F748" s="136" t="s">
        <v>549</v>
      </c>
      <c r="G748" s="136" t="s">
        <v>559</v>
      </c>
      <c r="H748" s="191">
        <v>-2.0953266666666663</v>
      </c>
      <c r="I748" s="191">
        <v>0</v>
      </c>
      <c r="J748" s="191">
        <v>-4.4028084209304001</v>
      </c>
      <c r="K748" s="191">
        <v>0</v>
      </c>
      <c r="L748" s="191">
        <v>0</v>
      </c>
      <c r="M748" s="191">
        <v>2.60345330558212E-2</v>
      </c>
      <c r="N748" s="191">
        <v>0.52229466264336699</v>
      </c>
      <c r="O748" s="191">
        <v>2.1870259708773201</v>
      </c>
      <c r="T748" s="48">
        <v>10</v>
      </c>
      <c r="U748" s="46" t="s">
        <v>233</v>
      </c>
      <c r="V748" s="53" t="s">
        <v>273</v>
      </c>
      <c r="W748" s="53" t="s">
        <v>549</v>
      </c>
      <c r="X748" s="53" t="s">
        <v>554</v>
      </c>
      <c r="Y748" s="172">
        <f>IFERROR(-tblZwaste1422[[#This Row],[Weight (kgCO2e/kg)]],0)</f>
        <v>0</v>
      </c>
      <c r="Z748" s="172" t="str">
        <f>IF(AQ748="x",(AR748*-tblZwaste1422[[#This Row],[Weight (kgCO2e/kg)]])+AS748+($AR$10*Lookups!$J$38/1000),"DELETE")</f>
        <v>DELETE</v>
      </c>
      <c r="AA748" s="176" t="s">
        <v>567</v>
      </c>
      <c r="AB748" s="172">
        <v>-1.64858128637256</v>
      </c>
      <c r="AC748" s="172">
        <v>-2.1000715019113301</v>
      </c>
      <c r="AD748" s="172">
        <v>-0.79587691677074301</v>
      </c>
      <c r="AE748" s="172">
        <v>-0.87133400639587</v>
      </c>
      <c r="AF748" s="172">
        <v>2.72079793265829E-2</v>
      </c>
      <c r="AG748" s="150"/>
      <c r="AI748" s="137">
        <v>10</v>
      </c>
      <c r="AJ748" s="136"/>
      <c r="AK748" s="142"/>
      <c r="AL748" s="136" t="s">
        <v>549</v>
      </c>
      <c r="AM748" s="136" t="s">
        <v>554</v>
      </c>
      <c r="AN748" s="1" t="s">
        <v>525</v>
      </c>
      <c r="AO748" s="166" t="s">
        <v>525</v>
      </c>
      <c r="AQ748">
        <f>_xlfn.XLOOKUP(tblGWP21[[#This Row],[Material Subcategory]],ls_Mat,Factors!$K$952:$K$1023)</f>
        <v>0</v>
      </c>
      <c r="AR748" s="173"/>
      <c r="AU748" t="s">
        <v>526</v>
      </c>
      <c r="AV748" s="347">
        <v>0.95</v>
      </c>
      <c r="BA748" cm="1">
        <f t="array" ref="BA748:BM748">tblGWP21[#This Row]</f>
        <v>10</v>
      </c>
      <c r="BB748" t="str">
        <v>Wood/Yard Trimmings</v>
      </c>
      <c r="BC748" t="str">
        <v>Yard Trimming – Branches</v>
      </c>
      <c r="BD748" t="str">
        <v>North America</v>
      </c>
      <c r="BE748" t="str">
        <v>United States</v>
      </c>
      <c r="BF748">
        <v>0</v>
      </c>
      <c r="BG748" t="str">
        <v>DELETE</v>
      </c>
      <c r="BH748" t="str">
        <v>DELETE</v>
      </c>
      <c r="BI748">
        <v>-1.64858128637256</v>
      </c>
      <c r="BJ748">
        <v>-2.1000715019113301</v>
      </c>
      <c r="BK748">
        <v>-0.79587691677074301</v>
      </c>
      <c r="BL748">
        <v>-0.87133400639587</v>
      </c>
      <c r="BM748">
        <v>2.72079793265829E-2</v>
      </c>
    </row>
    <row r="749" spans="3:65">
      <c r="C749" s="362">
        <v>8</v>
      </c>
      <c r="D749" s="363" t="s">
        <v>239</v>
      </c>
      <c r="E749" s="362" t="s">
        <v>542</v>
      </c>
      <c r="F749" s="362" t="s">
        <v>549</v>
      </c>
      <c r="G749" s="362" t="s">
        <v>559</v>
      </c>
      <c r="H749" s="368">
        <v>-2.6644477777777777</v>
      </c>
      <c r="I749" s="368">
        <v>0</v>
      </c>
      <c r="J749" s="368">
        <v>-0.87532609855828802</v>
      </c>
      <c r="K749" s="368">
        <v>-1.6287383832761999</v>
      </c>
      <c r="L749" s="368">
        <v>-2.39292642163465</v>
      </c>
      <c r="M749" s="368">
        <v>-0.653545379257638</v>
      </c>
      <c r="N749" s="368">
        <v>-0.89864370226409696</v>
      </c>
      <c r="O749" s="368">
        <v>2.74724897843227E-2</v>
      </c>
      <c r="T749" s="48">
        <v>10</v>
      </c>
      <c r="U749" s="46" t="s">
        <v>233</v>
      </c>
      <c r="V749" s="53" t="s">
        <v>330</v>
      </c>
      <c r="W749" s="53" t="s">
        <v>549</v>
      </c>
      <c r="X749" s="53" t="s">
        <v>554</v>
      </c>
      <c r="Y749" s="172">
        <f>IFERROR(-tblZwaste1422[[#This Row],[Weight (kgCO2e/kg)]],0)</f>
        <v>-0.14119999999999999</v>
      </c>
      <c r="Z749" s="172">
        <f>IF(AQ749="x",(AR749*-tblZwaste1422[[#This Row],[Weight (kgCO2e/kg)]])+AS749+($AR$10*Lookups!$J$38/1000),"DELETE")</f>
        <v>-0.1076582</v>
      </c>
      <c r="AA749" s="176" t="s">
        <v>567</v>
      </c>
      <c r="AB749" s="172" t="s">
        <v>567</v>
      </c>
      <c r="AC749" s="172" t="s">
        <v>567</v>
      </c>
      <c r="AD749" s="172">
        <v>-1.4800623964037101</v>
      </c>
      <c r="AE749" s="172">
        <v>-1.0132123422041599</v>
      </c>
      <c r="AF749" s="172">
        <v>5.30355971848522E-2</v>
      </c>
      <c r="AG749" s="150"/>
      <c r="AI749" s="137">
        <v>10</v>
      </c>
      <c r="AJ749" s="136" t="s">
        <v>330</v>
      </c>
      <c r="AK749" s="142" t="s">
        <v>330</v>
      </c>
      <c r="AL749" s="136" t="s">
        <v>549</v>
      </c>
      <c r="AM749" s="136" t="s">
        <v>554</v>
      </c>
      <c r="AN749" s="1">
        <v>0.14119999999999999</v>
      </c>
      <c r="AO749" s="166">
        <v>0.43014000000000002</v>
      </c>
      <c r="AQ749" t="str">
        <f>_xlfn.XLOOKUP(tblGWP21[[#This Row],[Material Subcategory]],ls_Mat,Factors!$K$952:$K$1023)</f>
        <v>x</v>
      </c>
      <c r="AR749" s="173">
        <v>0.77500000000000002</v>
      </c>
      <c r="AS749">
        <v>0</v>
      </c>
      <c r="AT749" t="s">
        <v>527</v>
      </c>
      <c r="AU749" t="s">
        <v>526</v>
      </c>
      <c r="AV749" s="347">
        <v>0.95</v>
      </c>
      <c r="BA749" cm="1">
        <f t="array" ref="BA749:BM749">tblGWP21[#This Row]</f>
        <v>10</v>
      </c>
      <c r="BB749" t="str">
        <v>Wood/Yard Trimmings</v>
      </c>
      <c r="BC749" t="str">
        <v>Wood</v>
      </c>
      <c r="BD749" t="str">
        <v>North America</v>
      </c>
      <c r="BE749" t="str">
        <v>United States</v>
      </c>
      <c r="BF749">
        <v>-0.14119999999999999</v>
      </c>
      <c r="BG749">
        <v>-0.1076582</v>
      </c>
      <c r="BH749" t="str">
        <v>DELETE</v>
      </c>
      <c r="BI749" t="str">
        <v>DELETE</v>
      </c>
      <c r="BJ749" t="str">
        <v>DELETE</v>
      </c>
      <c r="BK749">
        <v>-1.4800623964037101</v>
      </c>
      <c r="BL749">
        <v>-1.0132123422041599</v>
      </c>
      <c r="BM749">
        <v>5.30355971848522E-2</v>
      </c>
    </row>
    <row r="750" spans="3:65">
      <c r="C750" s="136">
        <v>8</v>
      </c>
      <c r="D750" s="137" t="s">
        <v>10157</v>
      </c>
      <c r="E750" s="136" t="s">
        <v>238</v>
      </c>
      <c r="F750" s="136" t="s">
        <v>549</v>
      </c>
      <c r="G750" s="136" t="s">
        <v>559</v>
      </c>
      <c r="H750" s="191">
        <v>-2.7046544444444445</v>
      </c>
      <c r="I750" s="191">
        <v>0</v>
      </c>
      <c r="J750" s="191">
        <v>0</v>
      </c>
      <c r="K750" s="191">
        <v>0</v>
      </c>
      <c r="L750" s="191">
        <v>0</v>
      </c>
      <c r="M750" s="191">
        <v>-0.14388226602015611</v>
      </c>
      <c r="N750" s="191">
        <v>-0.11237209117531474</v>
      </c>
      <c r="O750" s="191">
        <v>0.54454549871936886</v>
      </c>
      <c r="T750" s="48">
        <v>10</v>
      </c>
      <c r="U750" s="46" t="s">
        <v>233</v>
      </c>
      <c r="V750" s="53" t="s">
        <v>335</v>
      </c>
      <c r="W750" s="53" t="s">
        <v>549</v>
      </c>
      <c r="X750" s="53" t="s">
        <v>554</v>
      </c>
      <c r="Y750" s="172">
        <f>IFERROR(-tblZwaste1422[[#This Row],[Weight (kgCO2e/kg)]],0)</f>
        <v>-0.26272000000000001</v>
      </c>
      <c r="Z750" s="172">
        <f>IF(AQ750="x",(AR750*-tblZwaste1422[[#This Row],[Weight (kgCO2e/kg)]])+AS750+($AR$10*Lookups!$J$38/1000),"DELETE")</f>
        <v>-0.20183620000000002</v>
      </c>
      <c r="AA750" s="176" t="s">
        <v>567</v>
      </c>
      <c r="AB750" s="172">
        <v>-1.64858128637256</v>
      </c>
      <c r="AC750" s="172">
        <v>-2.6232632691083699</v>
      </c>
      <c r="AD750" s="172">
        <v>-1.3838587873666699</v>
      </c>
      <c r="AE750" s="172">
        <v>-1.0258281022179601</v>
      </c>
      <c r="AF750" s="172">
        <v>3.2206744356696501E-2</v>
      </c>
      <c r="AG750" s="150"/>
      <c r="AI750" s="137">
        <v>10</v>
      </c>
      <c r="AJ750" s="136" t="s">
        <v>330</v>
      </c>
      <c r="AK750" s="142" t="s">
        <v>335</v>
      </c>
      <c r="AL750" s="136" t="s">
        <v>549</v>
      </c>
      <c r="AM750" s="136" t="s">
        <v>554</v>
      </c>
      <c r="AN750" s="1">
        <v>0.26272000000000001</v>
      </c>
      <c r="AO750" s="166">
        <v>0.43014000000000002</v>
      </c>
      <c r="AQ750" t="str">
        <f>_xlfn.XLOOKUP(tblGWP21[[#This Row],[Material Subcategory]],ls_Mat,Factors!$K$952:$K$1023)</f>
        <v>x</v>
      </c>
      <c r="AR750" s="173">
        <v>0.77500000000000002</v>
      </c>
      <c r="AS750">
        <v>0</v>
      </c>
      <c r="AT750" t="s">
        <v>527</v>
      </c>
      <c r="AU750" t="s">
        <v>526</v>
      </c>
      <c r="AV750" s="347">
        <v>0.95</v>
      </c>
      <c r="BA750" cm="1">
        <f t="array" ref="BA750:BM750">tblGWP21[#This Row]</f>
        <v>10</v>
      </c>
      <c r="BB750" t="str">
        <v>Wood/Yard Trimmings</v>
      </c>
      <c r="BC750" t="str">
        <v>Pallets</v>
      </c>
      <c r="BD750" t="str">
        <v>North America</v>
      </c>
      <c r="BE750" t="str">
        <v>United States</v>
      </c>
      <c r="BF750">
        <v>-0.26272000000000001</v>
      </c>
      <c r="BG750">
        <v>-0.20183620000000002</v>
      </c>
      <c r="BH750" t="str">
        <v>DELETE</v>
      </c>
      <c r="BI750">
        <v>-1.64858128637256</v>
      </c>
      <c r="BJ750">
        <v>-2.6232632691083699</v>
      </c>
      <c r="BK750">
        <v>-1.3838587873666699</v>
      </c>
      <c r="BL750">
        <v>-1.0258281022179601</v>
      </c>
      <c r="BM750">
        <v>3.2206744356696501E-2</v>
      </c>
    </row>
    <row r="751" spans="3:65">
      <c r="C751" s="362">
        <v>8</v>
      </c>
      <c r="D751" s="363" t="s">
        <v>264</v>
      </c>
      <c r="E751" s="362" t="s">
        <v>264</v>
      </c>
      <c r="F751" s="362" t="s">
        <v>549</v>
      </c>
      <c r="G751" s="362" t="s">
        <v>559</v>
      </c>
      <c r="H751" s="368">
        <v>-1.9287117500000002</v>
      </c>
      <c r="I751" s="368">
        <v>-1.1070613798500002</v>
      </c>
      <c r="J751" s="368">
        <v>0.15112249999999994</v>
      </c>
      <c r="K751" s="368">
        <v>0</v>
      </c>
      <c r="L751" s="368">
        <v>0</v>
      </c>
      <c r="M751" s="368">
        <v>-0.34756511412700464</v>
      </c>
      <c r="N751" s="368">
        <v>-0.54982292582447112</v>
      </c>
      <c r="O751" s="368">
        <v>0.4603123242713788</v>
      </c>
      <c r="T751" s="48">
        <v>10</v>
      </c>
      <c r="U751" s="46" t="s">
        <v>233</v>
      </c>
      <c r="V751" s="53" t="s">
        <v>326</v>
      </c>
      <c r="W751" s="53" t="s">
        <v>549</v>
      </c>
      <c r="X751" s="53" t="s">
        <v>554</v>
      </c>
      <c r="Y751" s="172">
        <f>IFERROR(-tblZwaste1422[[#This Row],[Weight (kgCO2e/kg)]],0)</f>
        <v>-0.14119999999999999</v>
      </c>
      <c r="Z751" s="172">
        <f>IF(AQ751="x",(AR751*-tblZwaste1422[[#This Row],[Weight (kgCO2e/kg)]])+AS751+($AR$10*Lookups!$J$38/1000),"DELETE")</f>
        <v>-0.1076582</v>
      </c>
      <c r="AA751" s="176" t="s">
        <v>567</v>
      </c>
      <c r="AB751" s="172">
        <v>-1.64858128637256</v>
      </c>
      <c r="AC751" s="172">
        <v>-2.6232632691083699</v>
      </c>
      <c r="AD751" s="172">
        <v>-1.3838587873666699</v>
      </c>
      <c r="AE751" s="172">
        <v>-1.0258281022179601</v>
      </c>
      <c r="AF751" s="172">
        <v>3.2206744356696501E-2</v>
      </c>
      <c r="AG751" s="150"/>
      <c r="AI751" s="137">
        <v>10</v>
      </c>
      <c r="AJ751" s="136" t="s">
        <v>330</v>
      </c>
      <c r="AK751" s="142" t="s">
        <v>326</v>
      </c>
      <c r="AL751" s="136" t="s">
        <v>549</v>
      </c>
      <c r="AM751" s="136" t="s">
        <v>554</v>
      </c>
      <c r="AN751" s="1">
        <v>0.14119999999999999</v>
      </c>
      <c r="AO751" s="166">
        <v>0.43014000000000002</v>
      </c>
      <c r="AQ751" t="str">
        <f>_xlfn.XLOOKUP(tblGWP21[[#This Row],[Material Subcategory]],ls_Mat,Factors!$K$952:$K$1023)</f>
        <v>x</v>
      </c>
      <c r="AR751" s="173">
        <v>0.77500000000000002</v>
      </c>
      <c r="AS751">
        <v>0</v>
      </c>
      <c r="AT751" t="s">
        <v>527</v>
      </c>
      <c r="BA751" cm="1">
        <f t="array" ref="BA751:BM751">tblGWP21[#This Row]</f>
        <v>10</v>
      </c>
      <c r="BB751" t="str">
        <v>Wood/Yard Trimmings</v>
      </c>
      <c r="BC751" t="str">
        <v>Other Wood</v>
      </c>
      <c r="BD751" t="str">
        <v>North America</v>
      </c>
      <c r="BE751" t="str">
        <v>United States</v>
      </c>
      <c r="BF751">
        <v>-0.14119999999999999</v>
      </c>
      <c r="BG751">
        <v>-0.1076582</v>
      </c>
      <c r="BH751" t="str">
        <v>DELETE</v>
      </c>
      <c r="BI751">
        <v>-1.64858128637256</v>
      </c>
      <c r="BJ751">
        <v>-2.6232632691083699</v>
      </c>
      <c r="BK751">
        <v>-1.3838587873666699</v>
      </c>
      <c r="BL751">
        <v>-1.0258281022179601</v>
      </c>
      <c r="BM751">
        <v>3.2206744356696501E-2</v>
      </c>
    </row>
    <row r="752" spans="3:65">
      <c r="C752" s="136">
        <v>8</v>
      </c>
      <c r="D752" s="137" t="s">
        <v>264</v>
      </c>
      <c r="E752" s="136" t="s">
        <v>336</v>
      </c>
      <c r="F752" s="136" t="s">
        <v>549</v>
      </c>
      <c r="G752" s="136" t="s">
        <v>559</v>
      </c>
      <c r="H752" s="191">
        <v>-0.76351350000000007</v>
      </c>
      <c r="I752" s="191">
        <v>-0.34968251735000005</v>
      </c>
      <c r="J752" s="191">
        <v>0</v>
      </c>
      <c r="K752" s="191">
        <v>-1.6466906179348999</v>
      </c>
      <c r="L752" s="191">
        <v>-2.62906839567699</v>
      </c>
      <c r="M752" s="191">
        <v>-1.0003222620202963</v>
      </c>
      <c r="N752" s="191">
        <v>-0.7850962372523872</v>
      </c>
      <c r="O752" s="191">
        <v>0.21132885421346254</v>
      </c>
      <c r="T752" s="48">
        <v>10</v>
      </c>
      <c r="U752" s="46" t="s">
        <v>261</v>
      </c>
      <c r="V752" s="53" t="s">
        <v>261</v>
      </c>
      <c r="W752" s="53" t="s">
        <v>549</v>
      </c>
      <c r="X752" s="53" t="s">
        <v>554</v>
      </c>
      <c r="Y752" s="172">
        <f>IFERROR(-tblZwaste1422[[#This Row],[Weight (kgCO2e/kg)]],0)</f>
        <v>-4.72241</v>
      </c>
      <c r="Z752" s="172" t="e">
        <f>IF(AQ752="x",(AR752*-tblZwaste1422[[#This Row],[Weight (kgCO2e/kg)]])+AS752+($AR$10*Lookups!$J$38/1000),"DELETE")</f>
        <v>#N/A</v>
      </c>
      <c r="AA752" s="176" t="s">
        <v>567</v>
      </c>
      <c r="AB752" s="172">
        <v>-0.36346690312073898</v>
      </c>
      <c r="AC752" s="172">
        <v>-0.58614166585141247</v>
      </c>
      <c r="AD752" s="172">
        <v>0.140915081071424</v>
      </c>
      <c r="AE752" s="172">
        <v>-0.1744633617516195</v>
      </c>
      <c r="AF752" s="172">
        <v>2.5406339092198402E-2</v>
      </c>
      <c r="AG752" s="150"/>
      <c r="AI752" s="137">
        <v>10</v>
      </c>
      <c r="AJ752" s="136" t="s">
        <v>529</v>
      </c>
      <c r="AK752" s="142" t="s">
        <v>529</v>
      </c>
      <c r="AL752" s="136" t="s">
        <v>549</v>
      </c>
      <c r="AM752" s="136" t="s">
        <v>554</v>
      </c>
      <c r="AN752" s="1">
        <v>4.72241</v>
      </c>
      <c r="AO752" s="166">
        <v>1.758</v>
      </c>
      <c r="AQ752" t="e">
        <f>_xlfn.XLOOKUP(tblGWP21[[#This Row],[Material Subcategory]],ls_Mat,Factors!$K$952:$K$1023)</f>
        <v>#N/A</v>
      </c>
      <c r="AR752" s="347">
        <v>0.5</v>
      </c>
      <c r="AS752">
        <v>0</v>
      </c>
      <c r="AT752" t="s">
        <v>528</v>
      </c>
      <c r="AU752" t="s">
        <v>526</v>
      </c>
      <c r="AV752" s="347">
        <v>0.95</v>
      </c>
      <c r="BA752" cm="1">
        <f t="array" ref="BA752:BM752">tblGWP21[#This Row]</f>
        <v>10</v>
      </c>
      <c r="BB752" t="str">
        <v>Food Waste</v>
      </c>
      <c r="BC752" t="str">
        <v>Food Waste</v>
      </c>
      <c r="BD752" t="str">
        <v>North America</v>
      </c>
      <c r="BE752" t="str">
        <v>United States</v>
      </c>
      <c r="BF752">
        <v>-4.72241</v>
      </c>
      <c r="BG752" t="e">
        <v>#N/A</v>
      </c>
      <c r="BH752" t="str">
        <v>DELETE</v>
      </c>
      <c r="BI752">
        <v>-0.36346690312073898</v>
      </c>
      <c r="BJ752">
        <v>-0.58614166585141247</v>
      </c>
      <c r="BK752">
        <v>0.140915081071424</v>
      </c>
      <c r="BL752">
        <v>-0.1744633617516195</v>
      </c>
      <c r="BM752">
        <v>2.5406339092198402E-2</v>
      </c>
    </row>
    <row r="753" spans="3:65" ht="28.8">
      <c r="C753" s="362">
        <v>8</v>
      </c>
      <c r="D753" s="363" t="s">
        <v>242</v>
      </c>
      <c r="E753" s="362" t="s">
        <v>251</v>
      </c>
      <c r="F753" s="362" t="s">
        <v>549</v>
      </c>
      <c r="G753" s="362" t="s">
        <v>559</v>
      </c>
      <c r="H753" s="368">
        <v>-4.9218200000000003</v>
      </c>
      <c r="I753" s="368">
        <v>-3.5665477000000001</v>
      </c>
      <c r="J753" s="368">
        <v>-1.2190350000000001</v>
      </c>
      <c r="K753" s="368">
        <v>0</v>
      </c>
      <c r="L753" s="368">
        <v>0</v>
      </c>
      <c r="M753" s="368">
        <v>2.5964715568308164E-2</v>
      </c>
      <c r="N753" s="368">
        <v>0.17600069506092558</v>
      </c>
      <c r="O753" s="368">
        <v>0.85049795604199241</v>
      </c>
      <c r="T753" s="48">
        <v>10</v>
      </c>
      <c r="U753" s="46" t="s">
        <v>261</v>
      </c>
      <c r="V753" s="53" t="s">
        <v>269</v>
      </c>
      <c r="W753" s="53" t="s">
        <v>549</v>
      </c>
      <c r="X753" s="53" t="s">
        <v>554</v>
      </c>
      <c r="Y753" s="172">
        <f>IFERROR(-tblZwaste1422[[#This Row],[Weight (kgCO2e/kg)]],0)</f>
        <v>-0.25034000000000001</v>
      </c>
      <c r="Z753" s="172">
        <f>IF(AQ753="x",(AR753*-tblZwaste1422[[#This Row],[Weight (kgCO2e/kg)]])+AS753+($AR$10*Lookups!$J$38/1000),"DELETE")</f>
        <v>-0.1233982</v>
      </c>
      <c r="AA753" s="176" t="s">
        <v>567</v>
      </c>
      <c r="AB753" s="172">
        <v>-0.30341450242691098</v>
      </c>
      <c r="AC753" s="172">
        <v>-0.49634751725721299</v>
      </c>
      <c r="AD753" s="172">
        <v>0.17217733290420301</v>
      </c>
      <c r="AE753" s="172">
        <v>-0.120402659122941</v>
      </c>
      <c r="AF753" s="172">
        <v>2.5084242254773698E-2</v>
      </c>
      <c r="AG753" s="150"/>
      <c r="AI753" s="137">
        <v>10</v>
      </c>
      <c r="AJ753" s="136" t="s">
        <v>529</v>
      </c>
      <c r="AK753" s="142" t="s">
        <v>327</v>
      </c>
      <c r="AL753" s="136" t="s">
        <v>549</v>
      </c>
      <c r="AM753" s="136" t="s">
        <v>554</v>
      </c>
      <c r="AN753" s="1">
        <v>0.25034000000000001</v>
      </c>
      <c r="AO753" s="166">
        <v>0.99672000000000005</v>
      </c>
      <c r="AQ753" t="str">
        <f>_xlfn.XLOOKUP(tblGWP21[[#This Row],[Material Subcategory]],ls_Mat,Factors!$K$952:$K$1023)</f>
        <v>x</v>
      </c>
      <c r="AR753" s="347">
        <v>0.5</v>
      </c>
      <c r="AS753">
        <v>0</v>
      </c>
      <c r="AT753" t="s">
        <v>528</v>
      </c>
      <c r="AU753" t="s">
        <v>526</v>
      </c>
      <c r="AV753" s="347">
        <v>0.9</v>
      </c>
      <c r="BA753" cm="1">
        <f t="array" ref="BA753:BM753">tblGWP21[#This Row]</f>
        <v>10</v>
      </c>
      <c r="BB753" t="str">
        <v>Food Waste</v>
      </c>
      <c r="BC753" t="str">
        <v>Food Waste – Vegetable</v>
      </c>
      <c r="BD753" t="str">
        <v>North America</v>
      </c>
      <c r="BE753" t="str">
        <v>United States</v>
      </c>
      <c r="BF753">
        <v>-0.25034000000000001</v>
      </c>
      <c r="BG753">
        <v>-0.1233982</v>
      </c>
      <c r="BH753" t="str">
        <v>DELETE</v>
      </c>
      <c r="BI753">
        <v>-0.30341450242691098</v>
      </c>
      <c r="BJ753">
        <v>-0.49634751725721299</v>
      </c>
      <c r="BK753">
        <v>0.17217733290420301</v>
      </c>
      <c r="BL753">
        <v>-0.120402659122941</v>
      </c>
      <c r="BM753">
        <v>2.5084242254773698E-2</v>
      </c>
    </row>
    <row r="754" spans="3:65" ht="28.8">
      <c r="C754" s="136">
        <v>8</v>
      </c>
      <c r="D754" s="137" t="s">
        <v>242</v>
      </c>
      <c r="E754" s="136" t="s">
        <v>543</v>
      </c>
      <c r="F754" s="136" t="s">
        <v>549</v>
      </c>
      <c r="G754" s="136" t="s">
        <v>559</v>
      </c>
      <c r="H754" s="191">
        <v>-1.00081</v>
      </c>
      <c r="I754" s="191">
        <v>-0.72381545000000003</v>
      </c>
      <c r="J754" s="191">
        <v>-0.20626249999999999</v>
      </c>
      <c r="K754" s="191">
        <v>0</v>
      </c>
      <c r="L754" s="191">
        <v>0</v>
      </c>
      <c r="M754" s="191">
        <v>2.5860000000000001E-2</v>
      </c>
      <c r="N754" s="191">
        <v>4.1333668033559097E-2</v>
      </c>
      <c r="O754" s="191">
        <v>4.8926196521969202E-2</v>
      </c>
      <c r="T754" s="48">
        <v>10</v>
      </c>
      <c r="U754" s="46" t="s">
        <v>261</v>
      </c>
      <c r="V754" s="53" t="s">
        <v>530</v>
      </c>
      <c r="W754" s="53" t="s">
        <v>549</v>
      </c>
      <c r="X754" s="53" t="s">
        <v>554</v>
      </c>
      <c r="Y754" s="172">
        <f>IFERROR(-tblZwaste1422[[#This Row],[Weight (kgCO2e/kg)]],0)</f>
        <v>-9.1944800000000004</v>
      </c>
      <c r="Z754" s="172">
        <f>IF(AQ754="x",(AR754*-tblZwaste1422[[#This Row],[Weight (kgCO2e/kg)]])+AS754+($AR$10*Lookups!$J$38/1000),"DELETE")</f>
        <v>-4.5954682</v>
      </c>
      <c r="AA754" s="176" t="s">
        <v>567</v>
      </c>
      <c r="AB754" s="172">
        <v>-0.42351930381456698</v>
      </c>
      <c r="AC754" s="172">
        <v>-0.67593581444561202</v>
      </c>
      <c r="AD754" s="172">
        <v>0.109652829238645</v>
      </c>
      <c r="AE754" s="172">
        <v>-0.22852406438029799</v>
      </c>
      <c r="AF754" s="172">
        <v>2.5728435929623102E-2</v>
      </c>
      <c r="AG754" s="150"/>
      <c r="AI754" s="137">
        <v>10</v>
      </c>
      <c r="AJ754" s="136" t="s">
        <v>529</v>
      </c>
      <c r="AK754" s="142" t="s">
        <v>331</v>
      </c>
      <c r="AL754" s="136" t="s">
        <v>549</v>
      </c>
      <c r="AM754" s="136" t="s">
        <v>554</v>
      </c>
      <c r="AN754" s="1">
        <v>9.1944800000000004</v>
      </c>
      <c r="AO754" s="166">
        <v>2.5192800000000002</v>
      </c>
      <c r="AQ754" t="str">
        <f>_xlfn.XLOOKUP(tblGWP21[[#This Row],[Material Subcategory]],ls_Mat,Factors!$K$952:$K$1023)</f>
        <v>x</v>
      </c>
      <c r="AR754" s="347">
        <v>0.5</v>
      </c>
      <c r="AS754">
        <v>0</v>
      </c>
      <c r="AT754" t="s">
        <v>528</v>
      </c>
      <c r="AU754" t="s">
        <v>526</v>
      </c>
      <c r="AV754" s="347">
        <v>0.9</v>
      </c>
      <c r="BA754" cm="1">
        <f t="array" ref="BA754:BM754">tblGWP21[#This Row]</f>
        <v>10</v>
      </c>
      <c r="BB754" t="str">
        <v>Food Waste</v>
      </c>
      <c r="BC754" t="str">
        <v>Food Waste – Non-Vegetable</v>
      </c>
      <c r="BD754" t="str">
        <v>North America</v>
      </c>
      <c r="BE754" t="str">
        <v>United States</v>
      </c>
      <c r="BF754">
        <v>-9.1944800000000004</v>
      </c>
      <c r="BG754">
        <v>-4.5954682</v>
      </c>
      <c r="BH754" t="str">
        <v>DELETE</v>
      </c>
      <c r="BI754">
        <v>-0.42351930381456698</v>
      </c>
      <c r="BJ754">
        <v>-0.67593581444561202</v>
      </c>
      <c r="BK754">
        <v>0.109652829238645</v>
      </c>
      <c r="BL754">
        <v>-0.22852406438029799</v>
      </c>
      <c r="BM754">
        <v>2.5728435929623102E-2</v>
      </c>
    </row>
    <row r="755" spans="3:65">
      <c r="C755" s="362">
        <v>8</v>
      </c>
      <c r="D755" s="363" t="s">
        <v>264</v>
      </c>
      <c r="E755" s="362" t="s">
        <v>544</v>
      </c>
      <c r="F755" s="362" t="s">
        <v>549</v>
      </c>
      <c r="G755" s="362" t="s">
        <v>559</v>
      </c>
      <c r="H755" s="368">
        <v>-3.0939100000000002</v>
      </c>
      <c r="I755" s="368">
        <v>-1.8644402423500002</v>
      </c>
      <c r="J755" s="368">
        <v>0.15112249999999994</v>
      </c>
      <c r="K755" s="368">
        <v>0</v>
      </c>
      <c r="L755" s="368">
        <v>0</v>
      </c>
      <c r="M755" s="368">
        <v>0.30519203376628701</v>
      </c>
      <c r="N755" s="368">
        <v>-0.31454961439655499</v>
      </c>
      <c r="O755" s="368">
        <v>0.70929579432929502</v>
      </c>
      <c r="T755" s="48">
        <v>10</v>
      </c>
      <c r="U755" s="46" t="s">
        <v>261</v>
      </c>
      <c r="V755" s="53" t="s">
        <v>262</v>
      </c>
      <c r="W755" s="53" t="s">
        <v>549</v>
      </c>
      <c r="X755" s="53" t="s">
        <v>554</v>
      </c>
      <c r="Y755" s="172">
        <f>IFERROR(-tblZwaste1422[[#This Row],[Weight (kgCO2e/kg)]],0)</f>
        <v>-2.5034000000000001</v>
      </c>
      <c r="Z755" s="172" t="str">
        <f>IF(AQ755="x",(AR755*-tblZwaste1422[[#This Row],[Weight (kgCO2e/kg)]])+AS755+($AR$10*Lookups!$J$38/1000),"DELETE")</f>
        <v>DELETE</v>
      </c>
      <c r="AA755" s="176" t="s">
        <v>567</v>
      </c>
      <c r="AB755" s="172">
        <v>-0.42351930381456698</v>
      </c>
      <c r="AC755" s="172">
        <v>-0.67593581444561202</v>
      </c>
      <c r="AD755" s="172">
        <v>0.109652829238645</v>
      </c>
      <c r="AE755" s="172">
        <v>-0.22852406438029799</v>
      </c>
      <c r="AF755" s="172">
        <v>2.5728435929623102E-2</v>
      </c>
      <c r="AG755" s="150"/>
      <c r="AI755" s="137">
        <v>10</v>
      </c>
      <c r="AJ755" s="136" t="s">
        <v>529</v>
      </c>
      <c r="AK755" s="142" t="s">
        <v>332</v>
      </c>
      <c r="AL755" s="136" t="s">
        <v>549</v>
      </c>
      <c r="AM755" s="136" t="s">
        <v>554</v>
      </c>
      <c r="AN755" s="1">
        <v>2.5034000000000001</v>
      </c>
      <c r="AO755" s="166">
        <v>1.0183800000000001</v>
      </c>
      <c r="AQ755">
        <f>_xlfn.XLOOKUP(tblGWP21[[#This Row],[Material Subcategory]],ls_Mat,Factors!$K$952:$K$1023)</f>
        <v>0</v>
      </c>
      <c r="AR755" s="347">
        <v>0.5</v>
      </c>
      <c r="AS755">
        <v>0</v>
      </c>
      <c r="AT755" t="s">
        <v>528</v>
      </c>
      <c r="AU755" t="s">
        <v>526</v>
      </c>
      <c r="AV755" s="347">
        <v>0.95</v>
      </c>
      <c r="BA755" cm="1">
        <f t="array" ref="BA755:BM755">tblGWP21[#This Row]</f>
        <v>10</v>
      </c>
      <c r="BB755" t="str">
        <v>Food Waste</v>
      </c>
      <c r="BC755" t="str">
        <v>Oils/Grease</v>
      </c>
      <c r="BD755" t="str">
        <v>North America</v>
      </c>
      <c r="BE755" t="str">
        <v>United States</v>
      </c>
      <c r="BF755">
        <v>-2.5034000000000001</v>
      </c>
      <c r="BG755" t="str">
        <v>DELETE</v>
      </c>
      <c r="BH755" t="str">
        <v>DELETE</v>
      </c>
      <c r="BI755">
        <v>-0.42351930381456698</v>
      </c>
      <c r="BJ755">
        <v>-0.67593581444561202</v>
      </c>
      <c r="BK755">
        <v>0.109652829238645</v>
      </c>
      <c r="BL755">
        <v>-0.22852406438029799</v>
      </c>
      <c r="BM755">
        <v>2.5728435929623102E-2</v>
      </c>
    </row>
    <row r="756" spans="3:65">
      <c r="C756" s="136">
        <v>8</v>
      </c>
      <c r="D756" s="137" t="s">
        <v>10157</v>
      </c>
      <c r="E756" s="136" t="s">
        <v>545</v>
      </c>
      <c r="F756" s="136" t="s">
        <v>549</v>
      </c>
      <c r="G756" s="136" t="s">
        <v>559</v>
      </c>
      <c r="H756" s="191">
        <v>-2.8533815875203707</v>
      </c>
      <c r="I756" s="191">
        <v>0</v>
      </c>
      <c r="J756" s="191">
        <v>0</v>
      </c>
      <c r="K756" s="191">
        <v>0</v>
      </c>
      <c r="L756" s="191">
        <v>0</v>
      </c>
      <c r="M756" s="191">
        <v>-0.46534862278907901</v>
      </c>
      <c r="N756" s="191">
        <v>-0.57695299667656219</v>
      </c>
      <c r="O756" s="191">
        <v>2.7970179866342197E-2</v>
      </c>
      <c r="T756" s="48">
        <v>10</v>
      </c>
      <c r="U756" s="46" t="s">
        <v>252</v>
      </c>
      <c r="V756" s="53" t="s">
        <v>252</v>
      </c>
      <c r="W756" s="53" t="s">
        <v>549</v>
      </c>
      <c r="X756" s="53" t="s">
        <v>554</v>
      </c>
      <c r="Y756" s="172">
        <f>IFERROR(-tblZwaste1422[[#This Row],[Weight (kgCO2e/kg)]],0)</f>
        <v>-2.0953266666666663</v>
      </c>
      <c r="Z756" s="172" t="e">
        <f>IF(AQ756="x",(AR756*-tblZwaste1422[[#This Row],[Weight (kgCO2e/kg)]])+AS756+($AR$10*Lookups!$J$38/1000),"DELETE")</f>
        <v>#N/A</v>
      </c>
      <c r="AA756" s="176">
        <v>-4.4031642132168303</v>
      </c>
      <c r="AB756" s="172" t="s">
        <v>567</v>
      </c>
      <c r="AC756" s="172" t="s">
        <v>567</v>
      </c>
      <c r="AD756" s="172">
        <v>2.60199740497906E-2</v>
      </c>
      <c r="AE756" s="172">
        <v>0.64940927760600697</v>
      </c>
      <c r="AF756" s="172">
        <v>2.1870242966247302</v>
      </c>
      <c r="AG756" s="150"/>
      <c r="AI756" s="137">
        <v>10</v>
      </c>
      <c r="AJ756" s="136" t="s">
        <v>252</v>
      </c>
      <c r="AK756" s="142" t="s">
        <v>252</v>
      </c>
      <c r="AL756" s="136" t="s">
        <v>549</v>
      </c>
      <c r="AM756" s="136" t="s">
        <v>554</v>
      </c>
      <c r="AN756" s="1">
        <v>2.0953266666666663</v>
      </c>
      <c r="AO756" s="166">
        <v>1.77911</v>
      </c>
      <c r="AQ756" t="e">
        <f>_xlfn.XLOOKUP(tblGWP21[[#This Row],[Material Subcategory]],ls_Mat,Factors!$K$952:$K$1023)</f>
        <v>#N/A</v>
      </c>
      <c r="AR756" s="173">
        <v>0.77500000000000002</v>
      </c>
      <c r="AS756">
        <v>8.1306407300000008E-2</v>
      </c>
      <c r="AT756" t="s">
        <v>531</v>
      </c>
      <c r="AU756" t="s">
        <v>526</v>
      </c>
      <c r="AV756" s="347">
        <v>0.7</v>
      </c>
      <c r="BA756" cm="1">
        <f t="array" ref="BA756:BM756">tblGWP21[#This Row]</f>
        <v>10</v>
      </c>
      <c r="BB756" t="str">
        <v>Plastics</v>
      </c>
      <c r="BC756" t="str">
        <v>Plastics</v>
      </c>
      <c r="BD756" t="str">
        <v>North America</v>
      </c>
      <c r="BE756" t="str">
        <v>United States</v>
      </c>
      <c r="BF756">
        <v>-2.0953266666666663</v>
      </c>
      <c r="BG756" t="e">
        <v>#N/A</v>
      </c>
      <c r="BH756">
        <v>-4.4031642132168303</v>
      </c>
      <c r="BI756" t="str">
        <v>DELETE</v>
      </c>
      <c r="BJ756" t="str">
        <v>DELETE</v>
      </c>
      <c r="BK756">
        <v>2.60199740497906E-2</v>
      </c>
      <c r="BL756">
        <v>0.64940927760600697</v>
      </c>
      <c r="BM756">
        <v>2.1870242966247302</v>
      </c>
    </row>
    <row r="757" spans="3:65" ht="28.8">
      <c r="C757" s="362">
        <v>8</v>
      </c>
      <c r="D757" s="363" t="s">
        <v>10169</v>
      </c>
      <c r="E757" s="362" t="s">
        <v>10170</v>
      </c>
      <c r="F757" s="362" t="s">
        <v>549</v>
      </c>
      <c r="G757" s="362" t="s">
        <v>559</v>
      </c>
      <c r="H757" s="368">
        <v>-0.74582333333333339</v>
      </c>
      <c r="I757" s="368">
        <v>-0.58351400000000009</v>
      </c>
      <c r="J757" s="368">
        <v>0.3259926084346883</v>
      </c>
      <c r="K757" s="368">
        <v>0</v>
      </c>
      <c r="L757" s="368">
        <v>0</v>
      </c>
      <c r="M757" s="368">
        <v>0.45668176288049178</v>
      </c>
      <c r="N757" s="368">
        <v>1.0683983533052401</v>
      </c>
      <c r="O757" s="368">
        <v>1.142290877337675</v>
      </c>
      <c r="T757" s="48">
        <v>10</v>
      </c>
      <c r="U757" s="46" t="s">
        <v>252</v>
      </c>
      <c r="V757" s="53" t="s">
        <v>253</v>
      </c>
      <c r="W757" s="53" t="s">
        <v>549</v>
      </c>
      <c r="X757" s="53" t="s">
        <v>554</v>
      </c>
      <c r="Y757" s="172">
        <f>IFERROR(-tblZwaste1422[[#This Row],[Weight (kgCO2e/kg)]],0)</f>
        <v>-2.04928</v>
      </c>
      <c r="Z757" s="172" t="e">
        <f>IF(AQ757="x",(AR757*-tblZwaste1422[[#This Row],[Weight (kgCO2e/kg)]])+AS757+($AR$10*Lookups!$J$38/1000),"DELETE")</f>
        <v>#N/A</v>
      </c>
      <c r="AA757" s="176">
        <v>-3.8704252028332951</v>
      </c>
      <c r="AB757" s="172" t="s">
        <v>567</v>
      </c>
      <c r="AC757" s="172" t="s">
        <v>567</v>
      </c>
      <c r="AD757" s="172">
        <v>2.6019971068835999E-2</v>
      </c>
      <c r="AE757" s="172">
        <v>0.53009597501830696</v>
      </c>
      <c r="AF757" s="172">
        <v>3.1831776868839499</v>
      </c>
      <c r="AG757" s="150"/>
      <c r="AI757" s="137">
        <v>10</v>
      </c>
      <c r="AJ757" s="136" t="s">
        <v>252</v>
      </c>
      <c r="AK757" s="142" t="s">
        <v>253</v>
      </c>
      <c r="AL757" s="136" t="s">
        <v>549</v>
      </c>
      <c r="AM757" s="136" t="s">
        <v>554</v>
      </c>
      <c r="AN757" s="1">
        <v>2.04928</v>
      </c>
      <c r="AO757" s="166">
        <v>1.77911</v>
      </c>
      <c r="AQ757" t="e">
        <f>_xlfn.XLOOKUP(tblGWP21[[#This Row],[Material Subcategory]],ls_Mat,Factors!$K$952:$K$1023)</f>
        <v>#N/A</v>
      </c>
      <c r="AR757" s="173">
        <v>0.77500000000000002</v>
      </c>
      <c r="AS757">
        <v>8.1306407300000008E-2</v>
      </c>
      <c r="AT757" t="s">
        <v>531</v>
      </c>
      <c r="BA757" cm="1">
        <f t="array" ref="BA757:BM757">tblGWP21[#This Row]</f>
        <v>10</v>
      </c>
      <c r="BB757" t="str">
        <v>Plastics</v>
      </c>
      <c r="BC757" t="str">
        <v>HDPE (translucent and pigmented)</v>
      </c>
      <c r="BD757" t="str">
        <v>North America</v>
      </c>
      <c r="BE757" t="str">
        <v>United States</v>
      </c>
      <c r="BF757">
        <v>-2.04928</v>
      </c>
      <c r="BG757" t="e">
        <v>#N/A</v>
      </c>
      <c r="BH757">
        <v>-3.8704252028332951</v>
      </c>
      <c r="BI757" t="str">
        <v>DELETE</v>
      </c>
      <c r="BJ757" t="str">
        <v>DELETE</v>
      </c>
      <c r="BK757">
        <v>2.6019971068835999E-2</v>
      </c>
      <c r="BL757">
        <v>0.53009597501830696</v>
      </c>
      <c r="BM757">
        <v>3.1831776868839499</v>
      </c>
    </row>
    <row r="758" spans="3:65" ht="28.8">
      <c r="C758" s="136">
        <v>10</v>
      </c>
      <c r="D758" s="137" t="s">
        <v>233</v>
      </c>
      <c r="E758" s="136" t="s">
        <v>233</v>
      </c>
      <c r="F758" s="136" t="s">
        <v>549</v>
      </c>
      <c r="G758" s="136" t="s">
        <v>554</v>
      </c>
      <c r="H758" s="191">
        <v>0</v>
      </c>
      <c r="I758" s="191">
        <v>-0.13905086666666666</v>
      </c>
      <c r="J758" s="191">
        <v>0</v>
      </c>
      <c r="K758" s="191">
        <v>-1.4467442348342985</v>
      </c>
      <c r="L758" s="191">
        <v>-2.0462435217639254</v>
      </c>
      <c r="M758" s="191">
        <v>-1.0109084277960503</v>
      </c>
      <c r="N758" s="191">
        <v>-0.83708304549453894</v>
      </c>
      <c r="O758" s="191">
        <v>3.3140241117654547E-2</v>
      </c>
      <c r="T758" s="48">
        <v>10</v>
      </c>
      <c r="U758" s="46" t="s">
        <v>252</v>
      </c>
      <c r="V758" s="53" t="s">
        <v>328</v>
      </c>
      <c r="W758" s="53" t="s">
        <v>549</v>
      </c>
      <c r="X758" s="53" t="s">
        <v>554</v>
      </c>
      <c r="Y758" s="172">
        <f>IFERROR(-tblZwaste1422[[#This Row],[Weight (kgCO2e/kg)]],0)</f>
        <v>-2.3231199999999999</v>
      </c>
      <c r="Z758" s="172" t="e">
        <f>IF(AQ758="x",(AR758*-tblZwaste1422[[#This Row],[Weight (kgCO2e/kg)]])+AS758+($AR$10*Lookups!$J$38/1000),"DELETE")</f>
        <v>#N/A</v>
      </c>
      <c r="AA758" s="176">
        <v>-4.553410576905776</v>
      </c>
      <c r="AB758" s="172" t="s">
        <v>567</v>
      </c>
      <c r="AC758" s="172" t="s">
        <v>567</v>
      </c>
      <c r="AD758" s="172">
        <v>2.60199718608351E-2</v>
      </c>
      <c r="AE758" s="172">
        <v>0.56285738622892201</v>
      </c>
      <c r="AF758" s="172">
        <v>2.4956077659939599</v>
      </c>
      <c r="AG758" s="150"/>
      <c r="AI758" s="137">
        <v>10</v>
      </c>
      <c r="AJ758" s="136" t="s">
        <v>252</v>
      </c>
      <c r="AK758" s="142" t="s">
        <v>328</v>
      </c>
      <c r="AL758" s="136" t="s">
        <v>549</v>
      </c>
      <c r="AM758" s="136" t="s">
        <v>554</v>
      </c>
      <c r="AN758" s="1">
        <v>2.3231199999999999</v>
      </c>
      <c r="AO758" s="166">
        <v>1.77911</v>
      </c>
      <c r="AQ758" t="e">
        <f>_xlfn.XLOOKUP(tblGWP21[[#This Row],[Material Subcategory]],ls_Mat,Factors!$K$952:$K$1023)</f>
        <v>#N/A</v>
      </c>
      <c r="AR758" s="173">
        <v>0.77500000000000002</v>
      </c>
      <c r="BA758" cm="1">
        <f t="array" ref="BA758:BM758">tblGWP21[#This Row]</f>
        <v>10</v>
      </c>
      <c r="BB758" t="str">
        <v>Plastics</v>
      </c>
      <c r="BC758" t="str">
        <v>LDPE</v>
      </c>
      <c r="BD758" t="str">
        <v>North America</v>
      </c>
      <c r="BE758" t="str">
        <v>United States</v>
      </c>
      <c r="BF758">
        <v>-2.3231199999999999</v>
      </c>
      <c r="BG758" t="e">
        <v>#N/A</v>
      </c>
      <c r="BH758">
        <v>-4.553410576905776</v>
      </c>
      <c r="BI758" t="str">
        <v>DELETE</v>
      </c>
      <c r="BJ758" t="str">
        <v>DELETE</v>
      </c>
      <c r="BK758">
        <v>2.60199718608351E-2</v>
      </c>
      <c r="BL758">
        <v>0.56285738622892201</v>
      </c>
      <c r="BM758">
        <v>2.4956077659939599</v>
      </c>
    </row>
    <row r="759" spans="3:65" ht="28.8">
      <c r="C759" s="362">
        <v>10</v>
      </c>
      <c r="D759" s="363" t="s">
        <v>233</v>
      </c>
      <c r="E759" s="362" t="s">
        <v>250</v>
      </c>
      <c r="F759" s="362" t="s">
        <v>549</v>
      </c>
      <c r="G759" s="362" t="s">
        <v>554</v>
      </c>
      <c r="H759" s="368">
        <v>0</v>
      </c>
      <c r="I759" s="368">
        <v>0</v>
      </c>
      <c r="J759" s="368">
        <v>0</v>
      </c>
      <c r="K759" s="368">
        <v>-1.7445754421462201</v>
      </c>
      <c r="L759" s="368">
        <v>-2.1462356533154701</v>
      </c>
      <c r="M759" s="368">
        <v>-1.04095830469048</v>
      </c>
      <c r="N759" s="368">
        <v>-0.89710132527779796</v>
      </c>
      <c r="O759" s="368">
        <v>2.8431529570936899E-2</v>
      </c>
      <c r="T759" s="48">
        <v>10</v>
      </c>
      <c r="U759" s="46" t="s">
        <v>252</v>
      </c>
      <c r="V759" s="53" t="s">
        <v>254</v>
      </c>
      <c r="W759" s="53" t="s">
        <v>549</v>
      </c>
      <c r="X759" s="53" t="s">
        <v>554</v>
      </c>
      <c r="Y759" s="172">
        <f>IFERROR(-tblZwaste1422[[#This Row],[Weight (kgCO2e/kg)]],0)</f>
        <v>-2.1485799999999999</v>
      </c>
      <c r="Z759" s="172" t="e">
        <f>IF(AQ759="x",(AR759*-tblZwaste1422[[#This Row],[Weight (kgCO2e/kg)]])+AS759+($AR$10*Lookups!$J$38/1000),"DELETE")</f>
        <v>#N/A</v>
      </c>
      <c r="AA759" s="176">
        <v>-4.635410496222474</v>
      </c>
      <c r="AB759" s="172" t="s">
        <v>567</v>
      </c>
      <c r="AC759" s="172" t="s">
        <v>567</v>
      </c>
      <c r="AD759" s="172">
        <v>2.6019971068835999E-2</v>
      </c>
      <c r="AE759" s="172">
        <v>0.72303357881425401</v>
      </c>
      <c r="AF759" s="172">
        <v>2.53633250726419</v>
      </c>
      <c r="AG759" s="150"/>
      <c r="AI759" s="137">
        <v>10</v>
      </c>
      <c r="AJ759" s="136" t="s">
        <v>252</v>
      </c>
      <c r="AK759" s="142" t="s">
        <v>254</v>
      </c>
      <c r="AL759" s="136" t="s">
        <v>549</v>
      </c>
      <c r="AM759" s="136" t="s">
        <v>554</v>
      </c>
      <c r="AN759" s="1">
        <v>2.1485799999999999</v>
      </c>
      <c r="AO759" s="166">
        <v>1.77911</v>
      </c>
      <c r="AQ759" t="e">
        <f>_xlfn.XLOOKUP(tblGWP21[[#This Row],[Material Subcategory]],ls_Mat,Factors!$K$952:$K$1023)</f>
        <v>#N/A</v>
      </c>
      <c r="AR759" s="173">
        <v>0.77500000000000002</v>
      </c>
      <c r="AS759">
        <v>8.1306407300000008E-2</v>
      </c>
      <c r="AT759" t="s">
        <v>531</v>
      </c>
      <c r="BA759" cm="1">
        <f t="array" ref="BA759:BM759">tblGWP21[#This Row]</f>
        <v>10</v>
      </c>
      <c r="BB759" t="str">
        <v>Plastics</v>
      </c>
      <c r="BC759" t="str">
        <v>PET</v>
      </c>
      <c r="BD759" t="str">
        <v>North America</v>
      </c>
      <c r="BE759" t="str">
        <v>United States</v>
      </c>
      <c r="BF759">
        <v>-2.1485799999999999</v>
      </c>
      <c r="BG759" t="e">
        <v>#N/A</v>
      </c>
      <c r="BH759">
        <v>-4.635410496222474</v>
      </c>
      <c r="BI759" t="str">
        <v>DELETE</v>
      </c>
      <c r="BJ759" t="str">
        <v>DELETE</v>
      </c>
      <c r="BK759">
        <v>2.6019971068835999E-2</v>
      </c>
      <c r="BL759">
        <v>0.72303357881425401</v>
      </c>
      <c r="BM759">
        <v>2.53633250726419</v>
      </c>
    </row>
    <row r="760" spans="3:65" ht="28.8">
      <c r="C760" s="136">
        <v>10</v>
      </c>
      <c r="D760" s="137" t="s">
        <v>233</v>
      </c>
      <c r="E760" s="136" t="s">
        <v>249</v>
      </c>
      <c r="F760" s="136" t="s">
        <v>549</v>
      </c>
      <c r="G760" s="136" t="s">
        <v>554</v>
      </c>
      <c r="H760" s="191">
        <v>0</v>
      </c>
      <c r="I760" s="191">
        <v>0</v>
      </c>
      <c r="J760" s="191">
        <v>0</v>
      </c>
      <c r="K760" s="191">
        <v>-0.54340187290759301</v>
      </c>
      <c r="L760" s="191">
        <v>-0.73838391537608605</v>
      </c>
      <c r="M760" s="191">
        <v>1.9164625821971201E-2</v>
      </c>
      <c r="N760" s="191">
        <v>-0.189194394653485</v>
      </c>
      <c r="O760" s="191">
        <v>2.57528519101623E-2</v>
      </c>
      <c r="T760" s="48">
        <v>10</v>
      </c>
      <c r="U760" s="46" t="s">
        <v>252</v>
      </c>
      <c r="V760" s="53" t="s">
        <v>532</v>
      </c>
      <c r="W760" s="53" t="s">
        <v>549</v>
      </c>
      <c r="X760" s="53" t="s">
        <v>554</v>
      </c>
      <c r="Y760" s="172">
        <f>IFERROR(-tblZwaste1422[[#This Row],[Weight (kgCO2e/kg)]],0)</f>
        <v>-1.9492499999999999</v>
      </c>
      <c r="Z760" s="172" t="e">
        <f>IF(AQ760="x",(AR760*-tblZwaste1422[[#This Row],[Weight (kgCO2e/kg)]])+AS760+($AR$10*Lookups!$J$38/1000),"DELETE")</f>
        <v>#N/A</v>
      </c>
      <c r="AA760" s="176">
        <v>-4.553410576905776</v>
      </c>
      <c r="AB760" s="172" t="s">
        <v>567</v>
      </c>
      <c r="AC760" s="172" t="s">
        <v>567</v>
      </c>
      <c r="AD760" s="172">
        <v>2.60199718608351E-2</v>
      </c>
      <c r="AE760" s="172">
        <v>0.56285738622892201</v>
      </c>
      <c r="AF760" s="172">
        <v>2.4956077659939599</v>
      </c>
      <c r="AG760" s="150"/>
      <c r="AI760" s="137">
        <v>10</v>
      </c>
      <c r="AJ760" s="136" t="s">
        <v>252</v>
      </c>
      <c r="AK760" s="142" t="s">
        <v>532</v>
      </c>
      <c r="AL760" s="136" t="s">
        <v>549</v>
      </c>
      <c r="AM760" s="136" t="s">
        <v>554</v>
      </c>
      <c r="AN760" s="1">
        <v>1.9492499999999999</v>
      </c>
      <c r="AO760" s="166">
        <v>1.77911</v>
      </c>
      <c r="AQ760" t="e">
        <f>_xlfn.XLOOKUP(tblGWP21[[#This Row],[Material Subcategory]],ls_Mat,Factors!$K$952:$K$1023)</f>
        <v>#N/A</v>
      </c>
      <c r="BA760" cm="1">
        <f t="array" ref="BA760:BM760">tblGWP21[#This Row]</f>
        <v>10</v>
      </c>
      <c r="BB760" t="str">
        <v>Plastics</v>
      </c>
      <c r="BC760" t="str">
        <v>LLDPE</v>
      </c>
      <c r="BD760" t="str">
        <v>North America</v>
      </c>
      <c r="BE760" t="str">
        <v>United States</v>
      </c>
      <c r="BF760">
        <v>-1.9492499999999999</v>
      </c>
      <c r="BG760" t="e">
        <v>#N/A</v>
      </c>
      <c r="BH760">
        <v>-4.553410576905776</v>
      </c>
      <c r="BI760" t="str">
        <v>DELETE</v>
      </c>
      <c r="BJ760" t="str">
        <v>DELETE</v>
      </c>
      <c r="BK760">
        <v>2.60199718608351E-2</v>
      </c>
      <c r="BL760">
        <v>0.56285738622892201</v>
      </c>
      <c r="BM760">
        <v>2.4956077659939599</v>
      </c>
    </row>
    <row r="761" spans="3:65" ht="28.8">
      <c r="C761" s="362">
        <v>10</v>
      </c>
      <c r="D761" s="363" t="s">
        <v>233</v>
      </c>
      <c r="E761" s="362" t="s">
        <v>273</v>
      </c>
      <c r="F761" s="362" t="s">
        <v>549</v>
      </c>
      <c r="G761" s="362" t="s">
        <v>554</v>
      </c>
      <c r="H761" s="368">
        <v>0</v>
      </c>
      <c r="I761" s="368">
        <v>0</v>
      </c>
      <c r="J761" s="368">
        <v>0</v>
      </c>
      <c r="K761" s="368">
        <v>-1.64858128637256</v>
      </c>
      <c r="L761" s="368">
        <v>-2.1000715019113301</v>
      </c>
      <c r="M761" s="368">
        <v>-0.79587691677074301</v>
      </c>
      <c r="N761" s="368">
        <v>-0.87133400639587</v>
      </c>
      <c r="O761" s="368">
        <v>2.72079793265829E-2</v>
      </c>
      <c r="T761" s="48">
        <v>10</v>
      </c>
      <c r="U761" s="46" t="s">
        <v>252</v>
      </c>
      <c r="V761" s="53" t="s">
        <v>245</v>
      </c>
      <c r="W761" s="53" t="s">
        <v>549</v>
      </c>
      <c r="X761" s="53" t="s">
        <v>554</v>
      </c>
      <c r="Y761" s="172">
        <f>IFERROR(-tblZwaste1422[[#This Row],[Weight (kgCO2e/kg)]],0)</f>
        <v>-2.0269300000000001</v>
      </c>
      <c r="Z761" s="172" t="e">
        <f>IF(AQ761="x",(AR761*-tblZwaste1422[[#This Row],[Weight (kgCO2e/kg)]])+AS761+($AR$10*Lookups!$J$38/1000),"DELETE")</f>
        <v>#N/A</v>
      </c>
      <c r="AA761" s="176" t="s">
        <v>567</v>
      </c>
      <c r="AB761" s="172" t="s">
        <v>567</v>
      </c>
      <c r="AC761" s="172" t="s">
        <v>567</v>
      </c>
      <c r="AD761" s="172">
        <v>2.6019971978183402E-2</v>
      </c>
      <c r="AE761" s="172">
        <v>0.48542150740926199</v>
      </c>
      <c r="AF761" s="172">
        <v>3.1833669967860501</v>
      </c>
      <c r="AG761" s="150"/>
      <c r="AI761" s="137">
        <v>10</v>
      </c>
      <c r="AJ761" s="136" t="s">
        <v>252</v>
      </c>
      <c r="AK761" s="142" t="s">
        <v>245</v>
      </c>
      <c r="AL761" s="136" t="s">
        <v>549</v>
      </c>
      <c r="AM761" s="136" t="s">
        <v>554</v>
      </c>
      <c r="AN761" s="1">
        <v>2.0269300000000001</v>
      </c>
      <c r="AO761" s="166">
        <v>1.77911</v>
      </c>
      <c r="AQ761" t="e">
        <f>_xlfn.XLOOKUP(tblGWP21[[#This Row],[Material Subcategory]],ls_Mat,Factors!$K$952:$K$1023)</f>
        <v>#N/A</v>
      </c>
      <c r="AR761" s="173">
        <v>0.77500000000000002</v>
      </c>
      <c r="AS761">
        <v>8.1306407300000008E-2</v>
      </c>
      <c r="AT761" t="s">
        <v>531</v>
      </c>
      <c r="AU761" t="s">
        <v>526</v>
      </c>
      <c r="AV761" s="347">
        <v>0.7</v>
      </c>
      <c r="BA761" cm="1">
        <f t="array" ref="BA761:BM761">tblGWP21[#This Row]</f>
        <v>10</v>
      </c>
      <c r="BB761" t="str">
        <v>Plastics</v>
      </c>
      <c r="BC761" t="str">
        <v>PP</v>
      </c>
      <c r="BD761" t="str">
        <v>North America</v>
      </c>
      <c r="BE761" t="str">
        <v>United States</v>
      </c>
      <c r="BF761">
        <v>-2.0269300000000001</v>
      </c>
      <c r="BG761" t="e">
        <v>#N/A</v>
      </c>
      <c r="BH761" t="str">
        <v>DELETE</v>
      </c>
      <c r="BI761" t="str">
        <v>DELETE</v>
      </c>
      <c r="BJ761" t="str">
        <v>DELETE</v>
      </c>
      <c r="BK761">
        <v>2.6019971978183402E-2</v>
      </c>
      <c r="BL761">
        <v>0.48542150740926199</v>
      </c>
      <c r="BM761">
        <v>3.1833669967860501</v>
      </c>
    </row>
    <row r="762" spans="3:65" ht="28.8">
      <c r="C762" s="136">
        <v>10</v>
      </c>
      <c r="D762" s="137" t="s">
        <v>233</v>
      </c>
      <c r="E762" s="136" t="s">
        <v>330</v>
      </c>
      <c r="F762" s="136" t="s">
        <v>549</v>
      </c>
      <c r="G762" s="136" t="s">
        <v>554</v>
      </c>
      <c r="H762" s="191">
        <v>-0.14119999999999999</v>
      </c>
      <c r="I762" s="191">
        <v>-0.1076582</v>
      </c>
      <c r="J762" s="191">
        <v>0</v>
      </c>
      <c r="K762" s="191">
        <v>0</v>
      </c>
      <c r="L762" s="191">
        <v>0</v>
      </c>
      <c r="M762" s="191">
        <v>-1.4800623964037101</v>
      </c>
      <c r="N762" s="191">
        <v>-1.0132123422041599</v>
      </c>
      <c r="O762" s="191">
        <v>5.30355971848522E-2</v>
      </c>
      <c r="T762" s="48">
        <v>10</v>
      </c>
      <c r="U762" s="46" t="s">
        <v>252</v>
      </c>
      <c r="V762" s="53" t="s">
        <v>533</v>
      </c>
      <c r="W762" s="53" t="s">
        <v>549</v>
      </c>
      <c r="X762" s="53" t="s">
        <v>554</v>
      </c>
      <c r="Y762" s="172">
        <f>IFERROR(-tblZwaste1422[[#This Row],[Weight (kgCO2e/kg)]],0)</f>
        <v>-2.0748000000000002</v>
      </c>
      <c r="Z762" s="172" t="e">
        <f>IF(AQ762="x",(AR762*-tblZwaste1422[[#This Row],[Weight (kgCO2e/kg)]])+AS762+($AR$10*Lookups!$J$38/1000),"DELETE")</f>
        <v>#N/A</v>
      </c>
      <c r="AA762" s="176" t="s">
        <v>567</v>
      </c>
      <c r="AB762" s="172" t="s">
        <v>567</v>
      </c>
      <c r="AC762" s="172" t="s">
        <v>567</v>
      </c>
      <c r="AD762" s="172">
        <v>2.6019966837781301E-2</v>
      </c>
      <c r="AE762" s="172">
        <v>0.67866825417452303</v>
      </c>
      <c r="AF762" s="172">
        <v>3.0368306607358702</v>
      </c>
      <c r="AG762" s="150"/>
      <c r="AI762" s="137">
        <v>10</v>
      </c>
      <c r="AJ762" s="136" t="s">
        <v>252</v>
      </c>
      <c r="AK762" s="142" t="s">
        <v>533</v>
      </c>
      <c r="AL762" s="136" t="s">
        <v>549</v>
      </c>
      <c r="AM762" s="136" t="s">
        <v>554</v>
      </c>
      <c r="AN762" s="1">
        <v>2.0748000000000002</v>
      </c>
      <c r="AO762" s="166">
        <v>1.77911</v>
      </c>
      <c r="AQ762" t="e">
        <f>_xlfn.XLOOKUP(tblGWP21[[#This Row],[Material Subcategory]],ls_Mat,Factors!$K$952:$K$1023)</f>
        <v>#N/A</v>
      </c>
      <c r="AR762" s="173">
        <v>0.77500000000000002</v>
      </c>
      <c r="AS762">
        <v>8.1306407300000008E-2</v>
      </c>
      <c r="AT762" t="s">
        <v>531</v>
      </c>
      <c r="AU762" t="s">
        <v>526</v>
      </c>
      <c r="AV762" s="347">
        <v>0.65</v>
      </c>
      <c r="BA762" cm="1">
        <f t="array" ref="BA762:BM762">tblGWP21[#This Row]</f>
        <v>10</v>
      </c>
      <c r="BB762" t="str">
        <v>Plastics</v>
      </c>
      <c r="BC762" t="str">
        <v>PVC</v>
      </c>
      <c r="BD762" t="str">
        <v>North America</v>
      </c>
      <c r="BE762" t="str">
        <v>United States</v>
      </c>
      <c r="BF762">
        <v>-2.0748000000000002</v>
      </c>
      <c r="BG762" t="e">
        <v>#N/A</v>
      </c>
      <c r="BH762" t="str">
        <v>DELETE</v>
      </c>
      <c r="BI762" t="str">
        <v>DELETE</v>
      </c>
      <c r="BJ762" t="str">
        <v>DELETE</v>
      </c>
      <c r="BK762">
        <v>2.6019966837781301E-2</v>
      </c>
      <c r="BL762">
        <v>0.67866825417452303</v>
      </c>
      <c r="BM762">
        <v>3.0368306607358702</v>
      </c>
    </row>
    <row r="763" spans="3:65" ht="28.8">
      <c r="C763" s="362">
        <v>10</v>
      </c>
      <c r="D763" s="363" t="s">
        <v>233</v>
      </c>
      <c r="E763" s="362" t="s">
        <v>335</v>
      </c>
      <c r="F763" s="362" t="s">
        <v>549</v>
      </c>
      <c r="G763" s="362" t="s">
        <v>554</v>
      </c>
      <c r="H763" s="368">
        <v>-0.26272000000000001</v>
      </c>
      <c r="I763" s="368">
        <v>-0.20183620000000002</v>
      </c>
      <c r="J763" s="368">
        <v>0</v>
      </c>
      <c r="K763" s="368">
        <v>-1.64858128637256</v>
      </c>
      <c r="L763" s="368">
        <v>-2.6232632691083699</v>
      </c>
      <c r="M763" s="368">
        <v>-1.3838587873666699</v>
      </c>
      <c r="N763" s="368">
        <v>-1.0258281022179601</v>
      </c>
      <c r="O763" s="368">
        <v>3.2206744356696501E-2</v>
      </c>
      <c r="T763" s="48">
        <v>10</v>
      </c>
      <c r="U763" s="46" t="s">
        <v>242</v>
      </c>
      <c r="V763" s="53" t="s">
        <v>242</v>
      </c>
      <c r="W763" s="53" t="s">
        <v>549</v>
      </c>
      <c r="X763" s="53" t="s">
        <v>554</v>
      </c>
      <c r="Y763" s="172">
        <f>IFERROR(-tblZwaste1422[[#This Row],[Weight (kgCO2e/kg)]],0)</f>
        <v>-38.486130000000003</v>
      </c>
      <c r="Z763" s="172" t="e">
        <f>IF(AQ763="x",(AR763*-tblZwaste1422[[#This Row],[Weight (kgCO2e/kg)]])+AS763+($AR$10*Lookups!$J$38/1000),"DELETE")</f>
        <v>#N/A</v>
      </c>
      <c r="AA763" s="172">
        <f>AVERAGE(AA764,AA765,AA797,AA798)</f>
        <v>-3.2868550000000001</v>
      </c>
      <c r="AB763" s="172" t="s">
        <v>567</v>
      </c>
      <c r="AC763" s="172" t="s">
        <v>567</v>
      </c>
      <c r="AD763" s="172">
        <v>2.5860000000000001E-2</v>
      </c>
      <c r="AE763" s="172">
        <v>4.1898673724089799E-2</v>
      </c>
      <c r="AF763" s="172">
        <v>4.8911448565512002E-2</v>
      </c>
      <c r="AG763" s="150"/>
      <c r="AI763" s="137">
        <v>10</v>
      </c>
      <c r="AJ763" s="136" t="s">
        <v>242</v>
      </c>
      <c r="AK763" s="142" t="s">
        <v>242</v>
      </c>
      <c r="AL763" s="136" t="s">
        <v>549</v>
      </c>
      <c r="AM763" s="136" t="s">
        <v>554</v>
      </c>
      <c r="AN763" s="1">
        <v>38.486130000000003</v>
      </c>
      <c r="AO763" s="166">
        <v>0.20843</v>
      </c>
      <c r="AQ763" t="e">
        <f>_xlfn.XLOOKUP(tblGWP21[[#This Row],[Material Subcategory]],ls_Mat,Factors!$K$952:$K$1023)</f>
        <v>#N/A</v>
      </c>
      <c r="AR763" s="173">
        <v>0.72499999999999998</v>
      </c>
      <c r="AS763">
        <v>0</v>
      </c>
      <c r="AT763" t="s">
        <v>527</v>
      </c>
      <c r="BA763" cm="1">
        <f t="array" ref="BA763:BM763">tblGWP21[#This Row]</f>
        <v>10</v>
      </c>
      <c r="BB763" t="str">
        <v>Electronics</v>
      </c>
      <c r="BC763" t="str">
        <v>Electronics</v>
      </c>
      <c r="BD763" t="str">
        <v>North America</v>
      </c>
      <c r="BE763" t="str">
        <v>United States</v>
      </c>
      <c r="BF763">
        <v>-38.486130000000003</v>
      </c>
      <c r="BG763" t="e">
        <v>#N/A</v>
      </c>
      <c r="BH763">
        <v>-3.2868550000000001</v>
      </c>
      <c r="BI763" t="str">
        <v>DELETE</v>
      </c>
      <c r="BJ763" t="str">
        <v>DELETE</v>
      </c>
      <c r="BK763">
        <v>2.5860000000000001E-2</v>
      </c>
      <c r="BL763">
        <v>4.1898673724089799E-2</v>
      </c>
      <c r="BM763">
        <v>4.8911448565512002E-2</v>
      </c>
    </row>
    <row r="764" spans="3:65" ht="28.8">
      <c r="C764" s="136">
        <v>10</v>
      </c>
      <c r="D764" s="137" t="s">
        <v>233</v>
      </c>
      <c r="E764" s="136" t="s">
        <v>326</v>
      </c>
      <c r="F764" s="136" t="s">
        <v>549</v>
      </c>
      <c r="G764" s="136" t="s">
        <v>554</v>
      </c>
      <c r="H764" s="191">
        <v>-0.14119999999999999</v>
      </c>
      <c r="I764" s="191">
        <v>-0.1076582</v>
      </c>
      <c r="J764" s="191">
        <v>0</v>
      </c>
      <c r="K764" s="191">
        <v>-1.64858128637256</v>
      </c>
      <c r="L764" s="191">
        <v>-2.6232632691083699</v>
      </c>
      <c r="M764" s="191">
        <v>-1.3838587873666699</v>
      </c>
      <c r="N764" s="191">
        <v>-1.0258281022179601</v>
      </c>
      <c r="O764" s="191">
        <v>3.2206744356696501E-2</v>
      </c>
      <c r="T764" s="48">
        <v>10</v>
      </c>
      <c r="U764" s="46" t="s">
        <v>242</v>
      </c>
      <c r="V764" s="53" t="s">
        <v>274</v>
      </c>
      <c r="W764" s="53" t="s">
        <v>549</v>
      </c>
      <c r="X764" s="53" t="s">
        <v>554</v>
      </c>
      <c r="Y764" s="172">
        <f>IFERROR(-tblZwaste1422[[#This Row],[Weight (kgCO2e/kg)]],0)</f>
        <v>-38.486130000000003</v>
      </c>
      <c r="Z764" s="172">
        <f>IF(AQ764="x",(AR764*-tblZwaste1422[[#This Row],[Weight (kgCO2e/kg)]])+AS764+($AR$10*Lookups!$J$38/1000),"DELETE")</f>
        <v>-27.900672450000002</v>
      </c>
      <c r="AA764" s="172">
        <v>-8.5278425000000002</v>
      </c>
      <c r="AB764" s="172" t="s">
        <v>567</v>
      </c>
      <c r="AC764" s="172" t="s">
        <v>567</v>
      </c>
      <c r="AD764" s="172">
        <v>2.5860000000000001E-2</v>
      </c>
      <c r="AE764" s="172">
        <v>4.1898673724089799E-2</v>
      </c>
      <c r="AF764" s="172">
        <v>4.8911448565512002E-2</v>
      </c>
      <c r="AG764" s="150"/>
      <c r="AI764" s="137">
        <v>10</v>
      </c>
      <c r="AJ764" s="136" t="s">
        <v>242</v>
      </c>
      <c r="AK764" s="142" t="s">
        <v>242</v>
      </c>
      <c r="AL764" s="136" t="s">
        <v>549</v>
      </c>
      <c r="AM764" s="136" t="s">
        <v>554</v>
      </c>
      <c r="AN764" s="1">
        <v>38.486130000000003</v>
      </c>
      <c r="AO764" s="166">
        <v>0.20843</v>
      </c>
      <c r="AQ764" t="str">
        <f>_xlfn.XLOOKUP(tblGWP21[[#This Row],[Material Subcategory]],ls_Mat,Factors!$K$952:$K$1023)</f>
        <v>x</v>
      </c>
      <c r="AR764" s="173">
        <v>0.72499999999999998</v>
      </c>
      <c r="AS764">
        <v>0</v>
      </c>
      <c r="AT764" t="s">
        <v>527</v>
      </c>
      <c r="BA764" cm="1">
        <f t="array" ref="BA764:BM764">tblGWP21[#This Row]</f>
        <v>10</v>
      </c>
      <c r="BB764" t="str">
        <v>Electronics</v>
      </c>
      <c r="BC764" t="str">
        <v>E-waste</v>
      </c>
      <c r="BD764" t="str">
        <v>North America</v>
      </c>
      <c r="BE764" t="str">
        <v>United States</v>
      </c>
      <c r="BF764">
        <v>-38.486130000000003</v>
      </c>
      <c r="BG764">
        <v>-27.900672450000002</v>
      </c>
      <c r="BH764">
        <v>-8.5278425000000002</v>
      </c>
      <c r="BI764" t="str">
        <v>DELETE</v>
      </c>
      <c r="BJ764" t="str">
        <v>DELETE</v>
      </c>
      <c r="BK764">
        <v>2.5860000000000001E-2</v>
      </c>
      <c r="BL764">
        <v>4.1898673724089799E-2</v>
      </c>
      <c r="BM764">
        <v>4.8911448565512002E-2</v>
      </c>
    </row>
    <row r="765" spans="3:65">
      <c r="C765" s="362">
        <v>10</v>
      </c>
      <c r="D765" s="363" t="s">
        <v>261</v>
      </c>
      <c r="E765" s="362" t="s">
        <v>261</v>
      </c>
      <c r="F765" s="362" t="s">
        <v>549</v>
      </c>
      <c r="G765" s="362" t="s">
        <v>554</v>
      </c>
      <c r="H765" s="368">
        <v>-4.72241</v>
      </c>
      <c r="I765" s="368">
        <v>-2.3594331999999998</v>
      </c>
      <c r="J765" s="368">
        <v>0</v>
      </c>
      <c r="K765" s="368">
        <v>-0.36346690312073898</v>
      </c>
      <c r="L765" s="368">
        <v>-0.58614166585141247</v>
      </c>
      <c r="M765" s="368">
        <v>0.140915081071424</v>
      </c>
      <c r="N765" s="368">
        <v>-0.1744633617516195</v>
      </c>
      <c r="O765" s="368">
        <v>2.5406339092198402E-2</v>
      </c>
      <c r="T765" s="48">
        <v>10</v>
      </c>
      <c r="U765" s="46" t="s">
        <v>242</v>
      </c>
      <c r="V765" s="53" t="s">
        <v>534</v>
      </c>
      <c r="W765" s="53" t="s">
        <v>549</v>
      </c>
      <c r="X765" s="53" t="s">
        <v>554</v>
      </c>
      <c r="Y765" s="172">
        <f>IFERROR(-tblZwaste1422[[#This Row],[Weight (kgCO2e/kg)]],0)</f>
        <v>-15.0122</v>
      </c>
      <c r="Z765" s="172">
        <f>IF(AQ765="x",(AR765*-tblZwaste1422[[#This Row],[Weight (kgCO2e/kg)]])+AS765+($AR$10*Lookups!$J$38/1000),"DELETE")</f>
        <v>-10.882073199999999</v>
      </c>
      <c r="AA765" s="172">
        <v>-3.19428</v>
      </c>
      <c r="AB765" s="172" t="s">
        <v>567</v>
      </c>
      <c r="AC765" s="172" t="s">
        <v>567</v>
      </c>
      <c r="AD765" s="172">
        <v>2.5860000000000001E-2</v>
      </c>
      <c r="AE765" s="172">
        <v>4.1898673724089799E-2</v>
      </c>
      <c r="AF765" s="172">
        <v>4.8911448565512002E-2</v>
      </c>
      <c r="AG765" s="150"/>
      <c r="AI765" s="137">
        <v>10</v>
      </c>
      <c r="AJ765" s="136" t="s">
        <v>242</v>
      </c>
      <c r="AK765" s="142" t="s">
        <v>534</v>
      </c>
      <c r="AL765" s="136" t="s">
        <v>549</v>
      </c>
      <c r="AM765" s="136" t="s">
        <v>554</v>
      </c>
      <c r="AN765" s="1">
        <v>15.0122</v>
      </c>
      <c r="AO765" s="166">
        <v>0.37092000000000003</v>
      </c>
      <c r="AQ765" t="str">
        <f>_xlfn.XLOOKUP(tblGWP21[[#This Row],[Material Subcategory]],ls_Mat,Factors!$K$952:$K$1023)</f>
        <v>x</v>
      </c>
      <c r="AR765" s="173">
        <v>0.72499999999999998</v>
      </c>
      <c r="AS765">
        <v>0</v>
      </c>
      <c r="AT765" t="s">
        <v>527</v>
      </c>
      <c r="BA765" cm="1">
        <f t="array" ref="BA765:BM765">tblGWP21[#This Row]</f>
        <v>10</v>
      </c>
      <c r="BB765" t="str">
        <v>Electronics</v>
      </c>
      <c r="BC765" t="str">
        <v>Batteries</v>
      </c>
      <c r="BD765" t="str">
        <v>North America</v>
      </c>
      <c r="BE765" t="str">
        <v>United States</v>
      </c>
      <c r="BF765">
        <v>-15.0122</v>
      </c>
      <c r="BG765">
        <v>-10.882073199999999</v>
      </c>
      <c r="BH765">
        <v>-3.19428</v>
      </c>
      <c r="BI765" t="str">
        <v>DELETE</v>
      </c>
      <c r="BJ765" t="str">
        <v>DELETE</v>
      </c>
      <c r="BK765">
        <v>2.5860000000000001E-2</v>
      </c>
      <c r="BL765">
        <v>4.1898673724089799E-2</v>
      </c>
      <c r="BM765">
        <v>4.8911448565512002E-2</v>
      </c>
    </row>
    <row r="766" spans="3:65">
      <c r="C766" s="136">
        <v>10</v>
      </c>
      <c r="D766" s="137" t="s">
        <v>261</v>
      </c>
      <c r="E766" s="136" t="s">
        <v>269</v>
      </c>
      <c r="F766" s="136" t="s">
        <v>549</v>
      </c>
      <c r="G766" s="136" t="s">
        <v>554</v>
      </c>
      <c r="H766" s="191">
        <v>-0.25034000000000001</v>
      </c>
      <c r="I766" s="191">
        <v>-0.1233982</v>
      </c>
      <c r="J766" s="191">
        <v>0</v>
      </c>
      <c r="K766" s="191">
        <v>-0.30341450242691098</v>
      </c>
      <c r="L766" s="191">
        <v>-0.49634751725721299</v>
      </c>
      <c r="M766" s="191">
        <v>0.17217733290420301</v>
      </c>
      <c r="N766" s="191">
        <v>-0.120402659122941</v>
      </c>
      <c r="O766" s="191">
        <v>2.5084242254773698E-2</v>
      </c>
      <c r="T766" s="48">
        <v>10</v>
      </c>
      <c r="U766" s="46" t="s">
        <v>239</v>
      </c>
      <c r="V766" s="53" t="s">
        <v>239</v>
      </c>
      <c r="W766" s="53" t="s">
        <v>549</v>
      </c>
      <c r="X766" s="53" t="s">
        <v>554</v>
      </c>
      <c r="Y766" s="172">
        <f>IFERROR(-tblZwaste1422[[#This Row],[Weight (kgCO2e/kg)]],0)</f>
        <v>-2.6644477777777777</v>
      </c>
      <c r="Z766" s="172" t="e">
        <f>IF(AQ766="x",(AR766*-tblZwaste1422[[#This Row],[Weight (kgCO2e/kg)]])+AS766+($AR$10*Lookups!$J$38/1000),"DELETE")</f>
        <v>#N/A</v>
      </c>
      <c r="AA766" s="176">
        <v>-0.81595749427219999</v>
      </c>
      <c r="AB766" s="172">
        <v>-1.64158743716123</v>
      </c>
      <c r="AC766" s="172">
        <v>-2.38754843308678</v>
      </c>
      <c r="AD766" s="172">
        <v>-0.64284530934226303</v>
      </c>
      <c r="AE766" s="172">
        <v>-0.82792797542140595</v>
      </c>
      <c r="AF766" s="172">
        <v>2.7471426996727999E-2</v>
      </c>
      <c r="AG766" s="150"/>
      <c r="AI766" s="137">
        <v>10</v>
      </c>
      <c r="AJ766" s="136" t="s">
        <v>239</v>
      </c>
      <c r="AK766" s="142" t="s">
        <v>239</v>
      </c>
      <c r="AL766" s="136" t="s">
        <v>549</v>
      </c>
      <c r="AM766" s="136" t="s">
        <v>554</v>
      </c>
      <c r="AN766" s="1">
        <v>2.6644477777777777</v>
      </c>
      <c r="AO766" s="166">
        <v>0.64099666666666666</v>
      </c>
      <c r="AQ766" t="e">
        <f>_xlfn.XLOOKUP(tblGWP21[[#This Row],[Material Subcategory]],ls_Mat,Factors!$K$952:$K$1023)</f>
        <v>#N/A</v>
      </c>
      <c r="AR766" s="173">
        <v>0.64600000000000002</v>
      </c>
      <c r="AS766">
        <v>0</v>
      </c>
      <c r="AT766" t="s">
        <v>527</v>
      </c>
      <c r="BA766" cm="1">
        <f t="array" ref="BA766:BM766">tblGWP21[#This Row]</f>
        <v>10</v>
      </c>
      <c r="BB766" t="str">
        <v>Paper</v>
      </c>
      <c r="BC766" t="str">
        <v>Paper</v>
      </c>
      <c r="BD766" t="str">
        <v>North America</v>
      </c>
      <c r="BE766" t="str">
        <v>United States</v>
      </c>
      <c r="BF766">
        <v>-2.6644477777777777</v>
      </c>
      <c r="BG766" t="e">
        <v>#N/A</v>
      </c>
      <c r="BH766">
        <v>-0.81595749427219999</v>
      </c>
      <c r="BI766">
        <v>-1.64158743716123</v>
      </c>
      <c r="BJ766">
        <v>-2.38754843308678</v>
      </c>
      <c r="BK766">
        <v>-0.64284530934226303</v>
      </c>
      <c r="BL766">
        <v>-0.82792797542140595</v>
      </c>
      <c r="BM766">
        <v>2.7471426996727999E-2</v>
      </c>
    </row>
    <row r="767" spans="3:65" ht="28.8">
      <c r="C767" s="362">
        <v>10</v>
      </c>
      <c r="D767" s="363" t="s">
        <v>261</v>
      </c>
      <c r="E767" s="362" t="s">
        <v>530</v>
      </c>
      <c r="F767" s="362" t="s">
        <v>549</v>
      </c>
      <c r="G767" s="362" t="s">
        <v>554</v>
      </c>
      <c r="H767" s="368">
        <v>-9.1944800000000004</v>
      </c>
      <c r="I767" s="368">
        <v>-4.5954682</v>
      </c>
      <c r="J767" s="368">
        <v>0</v>
      </c>
      <c r="K767" s="368">
        <v>-0.42351930381456698</v>
      </c>
      <c r="L767" s="368">
        <v>-0.67593581444561202</v>
      </c>
      <c r="M767" s="368">
        <v>0.109652829238645</v>
      </c>
      <c r="N767" s="368">
        <v>-0.22852406438029799</v>
      </c>
      <c r="O767" s="368">
        <v>2.5728435929623102E-2</v>
      </c>
      <c r="T767" s="48">
        <v>10</v>
      </c>
      <c r="U767" s="46" t="s">
        <v>239</v>
      </c>
      <c r="V767" s="53" t="s">
        <v>324</v>
      </c>
      <c r="W767" s="53" t="s">
        <v>549</v>
      </c>
      <c r="X767" s="53" t="s">
        <v>554</v>
      </c>
      <c r="Y767" s="172">
        <f>IFERROR(-tblZwaste1422[[#This Row],[Weight (kgCO2e/kg)]],0)</f>
        <v>-1.66</v>
      </c>
      <c r="Z767" s="172" t="str">
        <f>IF(AQ767="x",(AR767*-tblZwaste1422[[#This Row],[Weight (kgCO2e/kg)]])+AS767+($AR$10*Lookups!$J$38/1000),"DELETE")</f>
        <v>DELETE</v>
      </c>
      <c r="AA767" s="176">
        <v>0.23732217423020791</v>
      </c>
      <c r="AB767" s="172">
        <v>-1.6521413186927301</v>
      </c>
      <c r="AC767" s="172">
        <v>-2.2423002306506099</v>
      </c>
      <c r="AD767" s="172">
        <v>-1.12752395520147</v>
      </c>
      <c r="AE767" s="172">
        <v>-0.90029183106916599</v>
      </c>
      <c r="AF767" s="172">
        <v>2.6682409311865999E-2</v>
      </c>
      <c r="AG767" s="150"/>
      <c r="AI767" s="137">
        <v>10</v>
      </c>
      <c r="AJ767" s="136" t="s">
        <v>239</v>
      </c>
      <c r="AK767" s="142" t="s">
        <v>324</v>
      </c>
      <c r="AL767" s="136" t="s">
        <v>549</v>
      </c>
      <c r="AM767" s="136" t="s">
        <v>554</v>
      </c>
      <c r="AN767" s="1">
        <v>1.66</v>
      </c>
      <c r="AO767" s="166">
        <v>0.13142999999999999</v>
      </c>
      <c r="AQ767">
        <f>_xlfn.XLOOKUP(tblGWP21[[#This Row],[Material Subcategory]],ls_Mat,Factors!$K$952:$K$1023)</f>
        <v>0</v>
      </c>
      <c r="AR767" s="173">
        <v>0.64600000000000002</v>
      </c>
      <c r="AS767">
        <v>0</v>
      </c>
      <c r="AT767" t="s">
        <v>527</v>
      </c>
      <c r="AU767" t="s">
        <v>526</v>
      </c>
      <c r="AV767" s="347">
        <v>0.5</v>
      </c>
      <c r="BA767" cm="1">
        <f t="array" ref="BA767:BM767">tblGWP21[#This Row]</f>
        <v>10</v>
      </c>
      <c r="BB767" t="str">
        <v>Paper</v>
      </c>
      <c r="BC767" t="str">
        <v>Newsprint</v>
      </c>
      <c r="BD767" t="str">
        <v>North America</v>
      </c>
      <c r="BE767" t="str">
        <v>United States</v>
      </c>
      <c r="BF767">
        <v>-1.66</v>
      </c>
      <c r="BG767" t="str">
        <v>DELETE</v>
      </c>
      <c r="BH767">
        <v>0.23732217423020791</v>
      </c>
      <c r="BI767">
        <v>-1.6521413186927301</v>
      </c>
      <c r="BJ767">
        <v>-2.2423002306506099</v>
      </c>
      <c r="BK767">
        <v>-1.12752395520147</v>
      </c>
      <c r="BL767">
        <v>-0.90029183106916599</v>
      </c>
      <c r="BM767">
        <v>2.6682409311865999E-2</v>
      </c>
    </row>
    <row r="768" spans="3:65">
      <c r="C768" s="136">
        <v>10</v>
      </c>
      <c r="D768" s="137" t="s">
        <v>261</v>
      </c>
      <c r="E768" s="136" t="s">
        <v>262</v>
      </c>
      <c r="F768" s="136" t="s">
        <v>549</v>
      </c>
      <c r="G768" s="136" t="s">
        <v>554</v>
      </c>
      <c r="H768" s="191">
        <v>-2.5034000000000001</v>
      </c>
      <c r="I768" s="191">
        <v>0</v>
      </c>
      <c r="J768" s="191">
        <v>0</v>
      </c>
      <c r="K768" s="191">
        <v>-0.42351930381456698</v>
      </c>
      <c r="L768" s="191">
        <v>-0.67593581444561202</v>
      </c>
      <c r="M768" s="191">
        <v>0.109652829238645</v>
      </c>
      <c r="N768" s="191">
        <v>-0.22852406438029799</v>
      </c>
      <c r="O768" s="191">
        <v>2.5728435929623102E-2</v>
      </c>
      <c r="T768" s="48">
        <v>10</v>
      </c>
      <c r="U768" s="46" t="s">
        <v>239</v>
      </c>
      <c r="V768" s="53" t="s">
        <v>272</v>
      </c>
      <c r="W768" s="53" t="s">
        <v>549</v>
      </c>
      <c r="X768" s="53" t="s">
        <v>554</v>
      </c>
      <c r="Y768" s="172">
        <f>IFERROR(-tblZwaste1422[[#This Row],[Weight (kgCO2e/kg)]],0)</f>
        <v>-2.1278299999999999</v>
      </c>
      <c r="Z768" s="172">
        <f>IF(AQ768="x",(AR768*-tblZwaste1422[[#This Row],[Weight (kgCO2e/kg)]])+AS768+($AR$10*Lookups!$J$38/1000),"DELETE")</f>
        <v>-1.3728063799999999</v>
      </c>
      <c r="AA768" s="176">
        <v>-1.3141943432271834E-2</v>
      </c>
      <c r="AB768" s="172">
        <v>-1.47899031657472</v>
      </c>
      <c r="AC768" s="172">
        <v>-2.2480132452305401</v>
      </c>
      <c r="AD768" s="172">
        <v>2.8719999999999999E-2</v>
      </c>
      <c r="AE768" s="172">
        <v>-0.707256993844533</v>
      </c>
      <c r="AF768" s="172">
        <v>3.4584607885101801E-2</v>
      </c>
      <c r="AG768" s="150"/>
      <c r="AI768" s="137">
        <v>10</v>
      </c>
      <c r="AJ768" s="136" t="s">
        <v>239</v>
      </c>
      <c r="AK768" s="142" t="s">
        <v>272</v>
      </c>
      <c r="AL768" s="5" t="s">
        <v>549</v>
      </c>
      <c r="AM768" s="5" t="s">
        <v>554</v>
      </c>
      <c r="AN768" s="1">
        <v>2.1278299999999999</v>
      </c>
      <c r="AO768" s="166">
        <v>1.2152400000000001</v>
      </c>
      <c r="AQ768" t="str">
        <f>_xlfn.XLOOKUP(tblGWP21[[#This Row],[Material Subcategory]],ls_Mat,Factors!$K$952:$K$1023)</f>
        <v>x</v>
      </c>
      <c r="AR768" s="173">
        <v>0.64600000000000002</v>
      </c>
      <c r="AS768">
        <v>0</v>
      </c>
      <c r="AT768" t="s">
        <v>527</v>
      </c>
      <c r="BA768" cm="1">
        <f t="array" ref="BA768:BM768">tblGWP21[#This Row]</f>
        <v>10</v>
      </c>
      <c r="BB768" t="str">
        <v>Paper</v>
      </c>
      <c r="BC768" t="str">
        <v>Corr. Cardboard</v>
      </c>
      <c r="BD768" t="str">
        <v>North America</v>
      </c>
      <c r="BE768" t="str">
        <v>United States</v>
      </c>
      <c r="BF768">
        <v>-2.1278299999999999</v>
      </c>
      <c r="BG768">
        <v>-1.3728063799999999</v>
      </c>
      <c r="BH768">
        <v>-1.3141943432271834E-2</v>
      </c>
      <c r="BI768">
        <v>-1.47899031657472</v>
      </c>
      <c r="BJ768">
        <v>-2.2480132452305401</v>
      </c>
      <c r="BK768">
        <v>2.8719999999999999E-2</v>
      </c>
      <c r="BL768">
        <v>-0.707256993844533</v>
      </c>
      <c r="BM768">
        <v>3.4584607885101801E-2</v>
      </c>
    </row>
    <row r="769" spans="3:65">
      <c r="C769" s="362">
        <v>10</v>
      </c>
      <c r="D769" s="363" t="s">
        <v>252</v>
      </c>
      <c r="E769" s="362" t="s">
        <v>252</v>
      </c>
      <c r="F769" s="362" t="s">
        <v>549</v>
      </c>
      <c r="G769" s="362" t="s">
        <v>554</v>
      </c>
      <c r="H769" s="368">
        <v>-2.0953266666666663</v>
      </c>
      <c r="I769" s="368">
        <v>-1.5407999593666664</v>
      </c>
      <c r="J769" s="368">
        <v>-4.4031642132168303</v>
      </c>
      <c r="K769" s="368">
        <v>0</v>
      </c>
      <c r="L769" s="368">
        <v>0</v>
      </c>
      <c r="M769" s="368">
        <v>2.60199740497906E-2</v>
      </c>
      <c r="N769" s="368">
        <v>0.64940927760600697</v>
      </c>
      <c r="O769" s="368">
        <v>2.1870242966247302</v>
      </c>
      <c r="T769" s="48">
        <v>10</v>
      </c>
      <c r="U769" s="46" t="s">
        <v>239</v>
      </c>
      <c r="V769" s="136" t="s">
        <v>329</v>
      </c>
      <c r="W769" s="136" t="s">
        <v>549</v>
      </c>
      <c r="X769" s="136" t="s">
        <v>554</v>
      </c>
      <c r="Y769" s="172">
        <f>IFERROR(-tblZwaste1422[[#This Row],[Weight (kgCO2e/kg)]],0)</f>
        <v>-3.4792200000000002</v>
      </c>
      <c r="Z769" s="172" t="str">
        <f>IF(AQ769="x",(AR769*-tblZwaste1422[[#This Row],[Weight (kgCO2e/kg)]])+AS769+($AR$10*Lookups!$J$38/1000),"DELETE")</f>
        <v>DELETE</v>
      </c>
      <c r="AA769" s="176">
        <v>-3.0394105193425598</v>
      </c>
      <c r="AB769" s="172">
        <v>-1.6016150545610099</v>
      </c>
      <c r="AC769" s="172">
        <v>-2.4874907414044301</v>
      </c>
      <c r="AD769" s="172">
        <v>0.46732560322960598</v>
      </c>
      <c r="AE769" s="172">
        <v>-0.70975116827628704</v>
      </c>
      <c r="AF769" s="172">
        <v>3.7247040270189699E-2</v>
      </c>
      <c r="AG769" s="150"/>
      <c r="AI769" s="137">
        <v>10</v>
      </c>
      <c r="AJ769" s="136" t="s">
        <v>239</v>
      </c>
      <c r="AK769" s="142" t="s">
        <v>329</v>
      </c>
      <c r="AL769" s="5" t="s">
        <v>549</v>
      </c>
      <c r="AM769" s="5" t="s">
        <v>554</v>
      </c>
      <c r="AN769" s="1">
        <v>3.4792200000000002</v>
      </c>
      <c r="AO769" s="166">
        <v>1.0383</v>
      </c>
      <c r="AQ769">
        <f>_xlfn.XLOOKUP(tblGWP21[[#This Row],[Material Subcategory]],ls_Mat,Factors!$K$952:$K$1023)</f>
        <v>0</v>
      </c>
      <c r="BA769" cm="1">
        <f t="array" ref="BA769:BM769">tblGWP21[#This Row]</f>
        <v>10</v>
      </c>
      <c r="BB769" t="str">
        <v>Paper</v>
      </c>
      <c r="BC769" t="str">
        <v>Office Paper</v>
      </c>
      <c r="BD769" t="str">
        <v>North America</v>
      </c>
      <c r="BE769" t="str">
        <v>United States</v>
      </c>
      <c r="BF769">
        <v>-3.4792200000000002</v>
      </c>
      <c r="BG769" t="str">
        <v>DELETE</v>
      </c>
      <c r="BH769">
        <v>-3.0394105193425598</v>
      </c>
      <c r="BI769">
        <v>-1.6016150545610099</v>
      </c>
      <c r="BJ769">
        <v>-2.4874907414044301</v>
      </c>
      <c r="BK769">
        <v>0.46732560322960598</v>
      </c>
      <c r="BL769">
        <v>-0.70975116827628704</v>
      </c>
      <c r="BM769">
        <v>3.7247040270189699E-2</v>
      </c>
    </row>
    <row r="770" spans="3:65" ht="28.8">
      <c r="C770" s="136">
        <v>10</v>
      </c>
      <c r="D770" s="137" t="s">
        <v>252</v>
      </c>
      <c r="E770" s="136" t="s">
        <v>253</v>
      </c>
      <c r="F770" s="136" t="s">
        <v>549</v>
      </c>
      <c r="G770" s="136" t="s">
        <v>554</v>
      </c>
      <c r="H770" s="191">
        <v>-2.04928</v>
      </c>
      <c r="I770" s="191">
        <v>0</v>
      </c>
      <c r="J770" s="191">
        <v>-3.8704252028332951</v>
      </c>
      <c r="K770" s="191">
        <v>0</v>
      </c>
      <c r="L770" s="191">
        <v>0</v>
      </c>
      <c r="M770" s="191">
        <v>2.6019971068835999E-2</v>
      </c>
      <c r="N770" s="191">
        <v>0.53009597501830696</v>
      </c>
      <c r="O770" s="191">
        <v>3.1831776868839499</v>
      </c>
      <c r="T770" s="48">
        <v>10</v>
      </c>
      <c r="U770" s="46" t="s">
        <v>239</v>
      </c>
      <c r="V770" s="136" t="s">
        <v>271</v>
      </c>
      <c r="W770" s="136" t="s">
        <v>549</v>
      </c>
      <c r="X770" s="136" t="s">
        <v>554</v>
      </c>
      <c r="Y770" s="172">
        <f>IFERROR(-tblZwaste1422[[#This Row],[Weight (kgCO2e/kg)]],0)</f>
        <v>-3.1045600000000002</v>
      </c>
      <c r="Z770" s="172" t="str">
        <f>IF(AQ770="x",(AR770*-tblZwaste1422[[#This Row],[Weight (kgCO2e/kg)]])+AS770+($AR$10*Lookups!$J$38/1000),"DELETE")</f>
        <v>DELETE</v>
      </c>
      <c r="AA770" s="176">
        <v>-0.91795218105622489</v>
      </c>
      <c r="AB770" s="172">
        <v>-1.5169255647595301</v>
      </c>
      <c r="AC770" s="172">
        <v>-2.5942993420119702</v>
      </c>
      <c r="AD770" s="172">
        <v>-0.660111649107195</v>
      </c>
      <c r="AE770" s="172">
        <v>-0.67593206774576597</v>
      </c>
      <c r="AF770" s="172">
        <v>4.0391413082080801E-2</v>
      </c>
      <c r="AG770" s="150"/>
      <c r="AI770" s="137">
        <v>10</v>
      </c>
      <c r="AJ770" s="136" t="s">
        <v>239</v>
      </c>
      <c r="AK770" s="142" t="s">
        <v>271</v>
      </c>
      <c r="AL770" s="5" t="s">
        <v>549</v>
      </c>
      <c r="AM770" s="5" t="s">
        <v>554</v>
      </c>
      <c r="AN770" s="1">
        <v>3.1045600000000002</v>
      </c>
      <c r="AO770" s="166">
        <v>0.12864</v>
      </c>
      <c r="AQ770">
        <f>_xlfn.XLOOKUP(tblGWP21[[#This Row],[Material Subcategory]],ls_Mat,Factors!$K$952:$K$1023)</f>
        <v>0</v>
      </c>
      <c r="BA770" cm="1">
        <f t="array" ref="BA770:BM770">tblGWP21[#This Row]</f>
        <v>10</v>
      </c>
      <c r="BB770" t="str">
        <v>Paper</v>
      </c>
      <c r="BC770" t="str">
        <v>Magazines</v>
      </c>
      <c r="BD770" t="str">
        <v>North America</v>
      </c>
      <c r="BE770" t="str">
        <v>United States</v>
      </c>
      <c r="BF770">
        <v>-3.1045600000000002</v>
      </c>
      <c r="BG770" t="str">
        <v>DELETE</v>
      </c>
      <c r="BH770">
        <v>-0.91795218105622489</v>
      </c>
      <c r="BI770">
        <v>-1.5169255647595301</v>
      </c>
      <c r="BJ770">
        <v>-2.5942993420119702</v>
      </c>
      <c r="BK770">
        <v>-0.660111649107195</v>
      </c>
      <c r="BL770">
        <v>-0.67593206774576597</v>
      </c>
      <c r="BM770">
        <v>4.0391413082080801E-2</v>
      </c>
    </row>
    <row r="771" spans="3:65">
      <c r="C771" s="362">
        <v>10</v>
      </c>
      <c r="D771" s="363" t="s">
        <v>252</v>
      </c>
      <c r="E771" s="362" t="s">
        <v>328</v>
      </c>
      <c r="F771" s="362" t="s">
        <v>549</v>
      </c>
      <c r="G771" s="362" t="s">
        <v>554</v>
      </c>
      <c r="H771" s="368">
        <v>-2.3231199999999999</v>
      </c>
      <c r="I771" s="368">
        <v>0</v>
      </c>
      <c r="J771" s="368">
        <v>-4.553410576905776</v>
      </c>
      <c r="K771" s="368">
        <v>0</v>
      </c>
      <c r="L771" s="368">
        <v>0</v>
      </c>
      <c r="M771" s="368">
        <v>2.60199718608351E-2</v>
      </c>
      <c r="N771" s="368">
        <v>0.56285738622892201</v>
      </c>
      <c r="O771" s="368">
        <v>2.4956077659939599</v>
      </c>
      <c r="T771" s="48">
        <v>10</v>
      </c>
      <c r="U771" s="46" t="s">
        <v>239</v>
      </c>
      <c r="V771" s="136" t="s">
        <v>535</v>
      </c>
      <c r="W771" s="136" t="s">
        <v>549</v>
      </c>
      <c r="X771" s="136" t="s">
        <v>554</v>
      </c>
      <c r="Y771" s="172">
        <f>IFERROR(-tblZwaste1422[[#This Row],[Weight (kgCO2e/kg)]],0)</f>
        <v>-3.1045600000000002</v>
      </c>
      <c r="Z771" s="172" t="str">
        <f>IF(AQ771="x",(AR771*-tblZwaste1422[[#This Row],[Weight (kgCO2e/kg)]])+AS771+($AR$10*Lookups!$J$38/1000),"DELETE")</f>
        <v>DELETE</v>
      </c>
      <c r="AA771" s="176">
        <v>-0.91795218105622489</v>
      </c>
      <c r="AB771" s="172">
        <v>-1.62556746064851</v>
      </c>
      <c r="AC771" s="172">
        <v>-2.6026902581055902</v>
      </c>
      <c r="AD771" s="172">
        <v>-0.85806848637626298</v>
      </c>
      <c r="AE771" s="172">
        <v>-0.75336666663629603</v>
      </c>
      <c r="AF771" s="172">
        <v>2.9212437097224399E-2</v>
      </c>
      <c r="AG771" s="150"/>
      <c r="AI771" s="137">
        <v>10</v>
      </c>
      <c r="AJ771" s="136" t="s">
        <v>239</v>
      </c>
      <c r="AK771" s="142" t="s">
        <v>535</v>
      </c>
      <c r="AL771" s="5" t="s">
        <v>549</v>
      </c>
      <c r="AM771" s="5" t="s">
        <v>554</v>
      </c>
      <c r="AN771" s="1">
        <v>3.1045600000000002</v>
      </c>
      <c r="AO771" s="166">
        <v>0.12864</v>
      </c>
      <c r="AQ771">
        <f>_xlfn.XLOOKUP(tblGWP21[[#This Row],[Material Subcategory]],ls_Mat,Factors!$K$952:$K$1023)</f>
        <v>0</v>
      </c>
      <c r="BA771" cm="1">
        <f t="array" ref="BA771:BM771">tblGWP21[#This Row]</f>
        <v>10</v>
      </c>
      <c r="BB771" t="str">
        <v>Paper</v>
      </c>
      <c r="BC771" t="str">
        <v>3rd Class Mail</v>
      </c>
      <c r="BD771" t="str">
        <v>North America</v>
      </c>
      <c r="BE771" t="str">
        <v>United States</v>
      </c>
      <c r="BF771">
        <v>-3.1045600000000002</v>
      </c>
      <c r="BG771" t="str">
        <v>DELETE</v>
      </c>
      <c r="BH771">
        <v>-0.91795218105622489</v>
      </c>
      <c r="BI771">
        <v>-1.62556746064851</v>
      </c>
      <c r="BJ771">
        <v>-2.6026902581055902</v>
      </c>
      <c r="BK771">
        <v>-0.85806848637626298</v>
      </c>
      <c r="BL771">
        <v>-0.75336666663629603</v>
      </c>
      <c r="BM771">
        <v>2.9212437097224399E-2</v>
      </c>
    </row>
    <row r="772" spans="3:65">
      <c r="C772" s="136">
        <v>10</v>
      </c>
      <c r="D772" s="137" t="s">
        <v>252</v>
      </c>
      <c r="E772" s="136" t="s">
        <v>254</v>
      </c>
      <c r="F772" s="136" t="s">
        <v>549</v>
      </c>
      <c r="G772" s="136" t="s">
        <v>554</v>
      </c>
      <c r="H772" s="191">
        <v>-2.1485799999999999</v>
      </c>
      <c r="I772" s="191">
        <v>0</v>
      </c>
      <c r="J772" s="191">
        <v>-4.635410496222474</v>
      </c>
      <c r="K772" s="191">
        <v>0</v>
      </c>
      <c r="L772" s="191">
        <v>0</v>
      </c>
      <c r="M772" s="191">
        <v>2.6019971068835999E-2</v>
      </c>
      <c r="N772" s="191">
        <v>0.72303357881425401</v>
      </c>
      <c r="O772" s="191">
        <v>2.53633250726419</v>
      </c>
      <c r="T772" s="48">
        <v>10</v>
      </c>
      <c r="U772" s="46" t="s">
        <v>239</v>
      </c>
      <c r="V772" s="136" t="s">
        <v>259</v>
      </c>
      <c r="W772" s="136" t="s">
        <v>549</v>
      </c>
      <c r="X772" s="136" t="s">
        <v>554</v>
      </c>
      <c r="Y772" s="172">
        <f>IFERROR(-tblZwaste1422[[#This Row],[Weight (kgCO2e/kg)]],0)</f>
        <v>-2.86965</v>
      </c>
      <c r="Z772" s="172" t="str">
        <f>IF(AQ772="x",(AR772*-tblZwaste1422[[#This Row],[Weight (kgCO2e/kg)]])+AS772+($AR$10*Lookups!$J$38/1000),"DELETE")</f>
        <v>DELETE</v>
      </c>
      <c r="AA772" s="176">
        <v>-0.91795218105622489</v>
      </c>
      <c r="AB772" s="172">
        <v>-1.3405464032126699</v>
      </c>
      <c r="AC772" s="172">
        <v>-2.0224747049113301</v>
      </c>
      <c r="AD772" s="172">
        <v>-0.36538983448988699</v>
      </c>
      <c r="AE772" s="172">
        <v>-0.613396941458481</v>
      </c>
      <c r="AF772" s="172">
        <v>2.84201932341357E-2</v>
      </c>
      <c r="AG772" s="150"/>
      <c r="AI772" s="137">
        <v>10</v>
      </c>
      <c r="AJ772" s="136" t="s">
        <v>239</v>
      </c>
      <c r="AK772" s="142" t="s">
        <v>259</v>
      </c>
      <c r="AL772" s="5" t="s">
        <v>549</v>
      </c>
      <c r="AM772" s="5" t="s">
        <v>554</v>
      </c>
      <c r="AN772" s="1">
        <v>2.86965</v>
      </c>
      <c r="AO772" s="166">
        <v>0.79600000000000004</v>
      </c>
      <c r="AQ772">
        <f>_xlfn.XLOOKUP(tblGWP21[[#This Row],[Material Subcategory]],ls_Mat,Factors!$K$952:$K$1023)</f>
        <v>0</v>
      </c>
      <c r="AR772" s="173"/>
      <c r="BA772" cm="1">
        <f t="array" ref="BA772:BM772">tblGWP21[#This Row]</f>
        <v>10</v>
      </c>
      <c r="BB772" t="str">
        <v>Paper</v>
      </c>
      <c r="BC772" t="str">
        <v>Folding Containers</v>
      </c>
      <c r="BD772" t="str">
        <v>North America</v>
      </c>
      <c r="BE772" t="str">
        <v>United States</v>
      </c>
      <c r="BF772">
        <v>-2.86965</v>
      </c>
      <c r="BG772" t="str">
        <v>DELETE</v>
      </c>
      <c r="BH772">
        <v>-0.91795218105622489</v>
      </c>
      <c r="BI772">
        <v>-1.3405464032126699</v>
      </c>
      <c r="BJ772">
        <v>-2.0224747049113301</v>
      </c>
      <c r="BK772">
        <v>-0.36538983448988699</v>
      </c>
      <c r="BL772">
        <v>-0.613396941458481</v>
      </c>
      <c r="BM772">
        <v>2.84201932341357E-2</v>
      </c>
    </row>
    <row r="773" spans="3:65">
      <c r="C773" s="362">
        <v>10</v>
      </c>
      <c r="D773" s="363" t="s">
        <v>252</v>
      </c>
      <c r="E773" s="362" t="s">
        <v>532</v>
      </c>
      <c r="F773" s="362" t="s">
        <v>549</v>
      </c>
      <c r="G773" s="362" t="s">
        <v>554</v>
      </c>
      <c r="H773" s="368">
        <v>-1.9492499999999999</v>
      </c>
      <c r="I773" s="368">
        <v>0</v>
      </c>
      <c r="J773" s="368">
        <v>-4.553410576905776</v>
      </c>
      <c r="K773" s="368">
        <v>0</v>
      </c>
      <c r="L773" s="368">
        <v>0</v>
      </c>
      <c r="M773" s="368">
        <v>2.60199718608351E-2</v>
      </c>
      <c r="N773" s="368">
        <v>0.56285738622892201</v>
      </c>
      <c r="O773" s="368">
        <v>2.4956077659939599</v>
      </c>
      <c r="T773" s="48">
        <v>10</v>
      </c>
      <c r="U773" s="46" t="s">
        <v>239</v>
      </c>
      <c r="V773" s="136" t="s">
        <v>334</v>
      </c>
      <c r="W773" s="136" t="s">
        <v>549</v>
      </c>
      <c r="X773" s="136" t="s">
        <v>554</v>
      </c>
      <c r="Y773" s="172">
        <f>IFERROR(-tblZwaste1422[[#This Row],[Weight (kgCO2e/kg)]],0)</f>
        <v>-2.86965</v>
      </c>
      <c r="Z773" s="172" t="str">
        <f>IF(AQ773="x",(AR773*-tblZwaste1422[[#This Row],[Weight (kgCO2e/kg)]])+AS773+($AR$10*Lookups!$J$38/1000),"DELETE")</f>
        <v>DELETE</v>
      </c>
      <c r="AA773" s="176">
        <v>-0.91795218105622489</v>
      </c>
      <c r="AB773" s="172">
        <v>-1.7510586326106401</v>
      </c>
      <c r="AC773" s="172">
        <v>-2.48418749432751</v>
      </c>
      <c r="AD773" s="172">
        <v>-0.300483886392518</v>
      </c>
      <c r="AE773" s="172">
        <v>-0.89635996388730699</v>
      </c>
      <c r="AF773" s="172">
        <v>2.63896815071662E-2</v>
      </c>
      <c r="AG773" s="150"/>
      <c r="AI773" s="137">
        <v>10</v>
      </c>
      <c r="AJ773" s="136" t="s">
        <v>239</v>
      </c>
      <c r="AK773" s="142" t="s">
        <v>334</v>
      </c>
      <c r="AL773" s="5" t="s">
        <v>549</v>
      </c>
      <c r="AM773" s="5" t="s">
        <v>554</v>
      </c>
      <c r="AN773" s="1">
        <v>2.86965</v>
      </c>
      <c r="AO773" s="166">
        <v>0.76736000000000004</v>
      </c>
      <c r="AQ773">
        <f>_xlfn.XLOOKUP(tblGWP21[[#This Row],[Material Subcategory]],ls_Mat,Factors!$K$952:$K$1023)</f>
        <v>0</v>
      </c>
      <c r="AR773" s="173"/>
      <c r="BA773" cm="1">
        <f t="array" ref="BA773:BM773">tblGWP21[#This Row]</f>
        <v>10</v>
      </c>
      <c r="BB773" t="str">
        <v>Paper</v>
      </c>
      <c r="BC773" t="str">
        <v>Paper Bags</v>
      </c>
      <c r="BD773" t="str">
        <v>North America</v>
      </c>
      <c r="BE773" t="str">
        <v>United States</v>
      </c>
      <c r="BF773">
        <v>-2.86965</v>
      </c>
      <c r="BG773" t="str">
        <v>DELETE</v>
      </c>
      <c r="BH773">
        <v>-0.91795218105622489</v>
      </c>
      <c r="BI773">
        <v>-1.7510586326106401</v>
      </c>
      <c r="BJ773">
        <v>-2.48418749432751</v>
      </c>
      <c r="BK773">
        <v>-0.300483886392518</v>
      </c>
      <c r="BL773">
        <v>-0.89635996388730699</v>
      </c>
      <c r="BM773">
        <v>2.63896815071662E-2</v>
      </c>
    </row>
    <row r="774" spans="3:65">
      <c r="C774" s="136">
        <v>10</v>
      </c>
      <c r="D774" s="137" t="s">
        <v>252</v>
      </c>
      <c r="E774" s="136" t="s">
        <v>245</v>
      </c>
      <c r="F774" s="136" t="s">
        <v>549</v>
      </c>
      <c r="G774" s="136" t="s">
        <v>554</v>
      </c>
      <c r="H774" s="191">
        <v>-2.0269300000000001</v>
      </c>
      <c r="I774" s="191">
        <v>0</v>
      </c>
      <c r="J774" s="191">
        <v>0</v>
      </c>
      <c r="K774" s="191">
        <v>0</v>
      </c>
      <c r="L774" s="191">
        <v>0</v>
      </c>
      <c r="M774" s="191">
        <v>2.6019971978183402E-2</v>
      </c>
      <c r="N774" s="191">
        <v>0.48542150740926199</v>
      </c>
      <c r="O774" s="191">
        <v>3.1833669967860501</v>
      </c>
      <c r="T774" s="48">
        <v>10</v>
      </c>
      <c r="U774" s="46" t="s">
        <v>239</v>
      </c>
      <c r="V774" s="136" t="s">
        <v>240</v>
      </c>
      <c r="W774" s="136" t="s">
        <v>549</v>
      </c>
      <c r="X774" s="136" t="s">
        <v>554</v>
      </c>
      <c r="Y774" s="172">
        <f>IFERROR(-tblZwaste1422[[#This Row],[Weight (kgCO2e/kg)]],0)</f>
        <v>-3.1045600000000002</v>
      </c>
      <c r="Z774" s="172" t="str">
        <f>IF(AQ774="x",(AR774*-tblZwaste1422[[#This Row],[Weight (kgCO2e/kg)]])+AS774+($AR$10*Lookups!$J$38/1000),"DELETE")</f>
        <v>DELETE</v>
      </c>
      <c r="AA774" s="176" t="s">
        <v>567</v>
      </c>
      <c r="AB774" s="172">
        <v>-1.77981510011304</v>
      </c>
      <c r="AC774" s="172">
        <v>-2.5527882478792798</v>
      </c>
      <c r="AD774" s="172">
        <v>-0.68464562833381604</v>
      </c>
      <c r="AE774" s="172">
        <v>0.52273088918490795</v>
      </c>
      <c r="AF774" s="172">
        <v>2.3670121644453399</v>
      </c>
      <c r="AG774" s="150"/>
      <c r="AI774" s="137">
        <v>10</v>
      </c>
      <c r="AJ774" s="136" t="s">
        <v>239</v>
      </c>
      <c r="AK774" s="142" t="s">
        <v>240</v>
      </c>
      <c r="AL774" s="5" t="s">
        <v>549</v>
      </c>
      <c r="AM774" s="5" t="s">
        <v>554</v>
      </c>
      <c r="AN774" s="1">
        <v>3.1045600000000002</v>
      </c>
      <c r="AO774" s="166">
        <v>0.76736000000000004</v>
      </c>
      <c r="AQ774">
        <f>_xlfn.XLOOKUP(tblGWP21[[#This Row],[Material Subcategory]],ls_Mat,Factors!$K$952:$K$1023)</f>
        <v>0</v>
      </c>
      <c r="AR774" s="173"/>
      <c r="BA774" cm="1">
        <f t="array" ref="BA774:BM774">tblGWP21[#This Row]</f>
        <v>10</v>
      </c>
      <c r="BB774" t="str">
        <v>Paper</v>
      </c>
      <c r="BC774" t="str">
        <v>Paper – Non-Recyclable</v>
      </c>
      <c r="BD774" t="str">
        <v>North America</v>
      </c>
      <c r="BE774" t="str">
        <v>United States</v>
      </c>
      <c r="BF774">
        <v>-3.1045600000000002</v>
      </c>
      <c r="BG774" t="str">
        <v>DELETE</v>
      </c>
      <c r="BH774" t="str">
        <v>DELETE</v>
      </c>
      <c r="BI774">
        <v>-1.77981510011304</v>
      </c>
      <c r="BJ774">
        <v>-2.5527882478792798</v>
      </c>
      <c r="BK774">
        <v>-0.68464562833381604</v>
      </c>
      <c r="BL774">
        <v>0.52273088918490795</v>
      </c>
      <c r="BM774">
        <v>2.3670121644453399</v>
      </c>
    </row>
    <row r="775" spans="3:65" ht="28.8">
      <c r="C775" s="362">
        <v>10</v>
      </c>
      <c r="D775" s="363" t="s">
        <v>252</v>
      </c>
      <c r="E775" s="362" t="s">
        <v>533</v>
      </c>
      <c r="F775" s="362" t="s">
        <v>549</v>
      </c>
      <c r="G775" s="362" t="s">
        <v>554</v>
      </c>
      <c r="H775" s="368">
        <v>-2.0748000000000002</v>
      </c>
      <c r="I775" s="368">
        <v>0</v>
      </c>
      <c r="J775" s="368">
        <v>0</v>
      </c>
      <c r="K775" s="368">
        <v>0</v>
      </c>
      <c r="L775" s="368">
        <v>0</v>
      </c>
      <c r="M775" s="368">
        <v>2.6019966837781301E-2</v>
      </c>
      <c r="N775" s="368">
        <v>0.67866825417452303</v>
      </c>
      <c r="O775" s="368">
        <v>3.0368306607358702</v>
      </c>
      <c r="T775" s="48">
        <v>10</v>
      </c>
      <c r="U775" s="46" t="s">
        <v>239</v>
      </c>
      <c r="V775" s="136" t="s">
        <v>325</v>
      </c>
      <c r="W775" s="136" t="s">
        <v>549</v>
      </c>
      <c r="X775" s="136" t="s">
        <v>554</v>
      </c>
      <c r="Y775" s="172">
        <f>IFERROR(-tblZwaste1422[[#This Row],[Weight (kgCO2e/kg)]],0)</f>
        <v>-1.66</v>
      </c>
      <c r="Z775" s="172" t="str">
        <f>IF(AQ775="x",(AR775*-tblZwaste1422[[#This Row],[Weight (kgCO2e/kg)]])+AS775+($AR$10*Lookups!$J$38/1000),"DELETE")</f>
        <v>DELETE</v>
      </c>
      <c r="AA775" s="176" t="s">
        <v>567</v>
      </c>
      <c r="AB775" s="172">
        <v>-1.64158743716123</v>
      </c>
      <c r="AC775" s="172">
        <v>-2.38754843308678</v>
      </c>
      <c r="AD775" s="172">
        <v>-0.64284530934226303</v>
      </c>
      <c r="AE775" s="172">
        <v>-0.82792797542140595</v>
      </c>
      <c r="AF775" s="172">
        <v>2.7471426996727999E-2</v>
      </c>
      <c r="AG775" s="150"/>
      <c r="AI775" s="137">
        <v>10</v>
      </c>
      <c r="AJ775" s="136" t="s">
        <v>239</v>
      </c>
      <c r="AK775" s="142" t="s">
        <v>325</v>
      </c>
      <c r="AL775" s="5" t="s">
        <v>549</v>
      </c>
      <c r="AM775" s="5" t="s">
        <v>554</v>
      </c>
      <c r="AN775" s="1">
        <v>1.66</v>
      </c>
      <c r="AO775" s="166">
        <v>0.79600000000000004</v>
      </c>
      <c r="AQ775">
        <f>_xlfn.XLOOKUP(tblGWP21[[#This Row],[Material Subcategory]],ls_Mat,Factors!$K$952:$K$1023)</f>
        <v>0</v>
      </c>
      <c r="BA775" cm="1">
        <f t="array" ref="BA775:BM775">tblGWP21[#This Row]</f>
        <v>10</v>
      </c>
      <c r="BB775" t="str">
        <v>Paper</v>
      </c>
      <c r="BC775" t="str">
        <v>Compostable Food Service Ware</v>
      </c>
      <c r="BD775" t="str">
        <v>North America</v>
      </c>
      <c r="BE775" t="str">
        <v>United States</v>
      </c>
      <c r="BF775">
        <v>-1.66</v>
      </c>
      <c r="BG775" t="str">
        <v>DELETE</v>
      </c>
      <c r="BH775" t="str">
        <v>DELETE</v>
      </c>
      <c r="BI775">
        <v>-1.64158743716123</v>
      </c>
      <c r="BJ775">
        <v>-2.38754843308678</v>
      </c>
      <c r="BK775">
        <v>-0.64284530934226303</v>
      </c>
      <c r="BL775">
        <v>-0.82792797542140595</v>
      </c>
      <c r="BM775">
        <v>2.7471426996727999E-2</v>
      </c>
    </row>
    <row r="776" spans="3:65">
      <c r="C776" s="136">
        <v>10</v>
      </c>
      <c r="D776" s="137" t="s">
        <v>242</v>
      </c>
      <c r="E776" s="136" t="s">
        <v>242</v>
      </c>
      <c r="F776" s="136" t="s">
        <v>549</v>
      </c>
      <c r="G776" s="136" t="s">
        <v>554</v>
      </c>
      <c r="H776" s="191">
        <v>-38.486130000000003</v>
      </c>
      <c r="I776" s="191">
        <v>-27.900672450000002</v>
      </c>
      <c r="J776" s="191">
        <v>-3.2868550000000001</v>
      </c>
      <c r="K776" s="191">
        <v>0</v>
      </c>
      <c r="L776" s="191">
        <v>0</v>
      </c>
      <c r="M776" s="191">
        <v>2.5860000000000001E-2</v>
      </c>
      <c r="N776" s="191">
        <v>4.1898673724089799E-2</v>
      </c>
      <c r="O776" s="191">
        <v>4.8911448565512002E-2</v>
      </c>
      <c r="T776" s="48">
        <v>10</v>
      </c>
      <c r="U776" s="46" t="s">
        <v>256</v>
      </c>
      <c r="V776" s="136" t="s">
        <v>256</v>
      </c>
      <c r="W776" s="136" t="s">
        <v>549</v>
      </c>
      <c r="X776" s="136" t="s">
        <v>554</v>
      </c>
      <c r="Y776" s="172">
        <f>IFERROR(-tblZwaste1422[[#This Row],[Weight (kgCO2e/kg)]],0)</f>
        <v>-3.3097799999999999</v>
      </c>
      <c r="Z776" s="172" t="e">
        <f>IF(AQ776="x",(AR776*-tblZwaste1422[[#This Row],[Weight (kgCO2e/kg)]])+AS776+($AR$10*Lookups!$J$38/1000),"DELETE")</f>
        <v>#N/A</v>
      </c>
      <c r="AA776" s="176">
        <v>-12.271975409147945</v>
      </c>
      <c r="AB776" s="172" t="s">
        <v>567</v>
      </c>
      <c r="AC776" s="172" t="s">
        <v>567</v>
      </c>
      <c r="AD776" s="172">
        <v>2.59399764855992E-2</v>
      </c>
      <c r="AE776" s="172">
        <v>-0.105499204724518</v>
      </c>
      <c r="AF776" s="172">
        <v>-8.9136358837795138E-2</v>
      </c>
      <c r="AG776" s="150"/>
      <c r="AI776" s="137">
        <v>10</v>
      </c>
      <c r="AJ776" s="136" t="s">
        <v>256</v>
      </c>
      <c r="AK776" s="142" t="s">
        <v>256</v>
      </c>
      <c r="AL776" s="5" t="s">
        <v>549</v>
      </c>
      <c r="AM776" s="5" t="s">
        <v>554</v>
      </c>
      <c r="AN776" s="1">
        <v>3.3097799999999999</v>
      </c>
      <c r="AO776" s="166">
        <v>1.0068550000000001</v>
      </c>
      <c r="AQ776" t="e">
        <f>_xlfn.XLOOKUP(tblGWP21[[#This Row],[Material Subcategory]],ls_Mat,Factors!$K$952:$K$1023)</f>
        <v>#N/A</v>
      </c>
      <c r="AR776" s="173">
        <v>1</v>
      </c>
      <c r="AS776">
        <v>8.1306407300000008E-2</v>
      </c>
      <c r="AT776" t="s">
        <v>531</v>
      </c>
      <c r="BA776" cm="1">
        <f t="array" ref="BA776:BM776">tblGWP21[#This Row]</f>
        <v>10</v>
      </c>
      <c r="BB776" t="str">
        <v>Metals</v>
      </c>
      <c r="BC776" t="str">
        <v>Metals</v>
      </c>
      <c r="BD776" t="str">
        <v>North America</v>
      </c>
      <c r="BE776" t="str">
        <v>United States</v>
      </c>
      <c r="BF776">
        <v>-3.3097799999999999</v>
      </c>
      <c r="BG776" t="e">
        <v>#N/A</v>
      </c>
      <c r="BH776">
        <v>-12.271975409147945</v>
      </c>
      <c r="BI776" t="str">
        <v>DELETE</v>
      </c>
      <c r="BJ776" t="str">
        <v>DELETE</v>
      </c>
      <c r="BK776">
        <v>2.59399764855992E-2</v>
      </c>
      <c r="BL776">
        <v>-0.105499204724518</v>
      </c>
      <c r="BM776">
        <v>-8.9136358837795138E-2</v>
      </c>
    </row>
    <row r="777" spans="3:65">
      <c r="C777" s="362">
        <v>10</v>
      </c>
      <c r="D777" s="363" t="s">
        <v>242</v>
      </c>
      <c r="E777" s="362" t="s">
        <v>274</v>
      </c>
      <c r="F777" s="362" t="s">
        <v>549</v>
      </c>
      <c r="G777" s="362" t="s">
        <v>554</v>
      </c>
      <c r="H777" s="368">
        <v>-38.486130000000003</v>
      </c>
      <c r="I777" s="368">
        <v>-27.900672450000002</v>
      </c>
      <c r="J777" s="368">
        <v>-8.5278425000000002</v>
      </c>
      <c r="K777" s="368">
        <v>0</v>
      </c>
      <c r="L777" s="368">
        <v>0</v>
      </c>
      <c r="M777" s="368">
        <v>2.5860000000000001E-2</v>
      </c>
      <c r="N777" s="368">
        <v>4.1898673724089799E-2</v>
      </c>
      <c r="O777" s="368">
        <v>4.8911448565512002E-2</v>
      </c>
      <c r="T777" s="48">
        <v>10</v>
      </c>
      <c r="U777" s="46" t="s">
        <v>256</v>
      </c>
      <c r="V777" s="136" t="s">
        <v>536</v>
      </c>
      <c r="W777" s="136" t="s">
        <v>549</v>
      </c>
      <c r="X777" s="136" t="s">
        <v>554</v>
      </c>
      <c r="Y777" s="172">
        <f>IFERROR(-tblZwaste1422[[#This Row],[Weight (kgCO2e/kg)]],0)</f>
        <v>-1.9798800000000001</v>
      </c>
      <c r="Z777" s="172">
        <f>IF(AQ777="x",(AR777*-tblZwaste1422[[#This Row],[Weight (kgCO2e/kg)]])+AS777+($AR$10*Lookups!$J$38/1000),"DELETE")</f>
        <v>-1.8968017927</v>
      </c>
      <c r="AA777" s="176">
        <v>-2.2492474107615306</v>
      </c>
      <c r="AB777" s="172" t="s">
        <v>567</v>
      </c>
      <c r="AC777" s="172" t="s">
        <v>567</v>
      </c>
      <c r="AD777" s="172">
        <v>2.6019952971198398E-2</v>
      </c>
      <c r="AE777" s="172">
        <v>-0.155639944451124</v>
      </c>
      <c r="AF777" s="172">
        <v>-0.13017748376343699</v>
      </c>
      <c r="AG777" s="150"/>
      <c r="AI777" s="137">
        <v>10</v>
      </c>
      <c r="AJ777" s="136" t="s">
        <v>256</v>
      </c>
      <c r="AK777" s="142" t="s">
        <v>536</v>
      </c>
      <c r="AL777" s="5" t="s">
        <v>549</v>
      </c>
      <c r="AM777" s="5" t="s">
        <v>554</v>
      </c>
      <c r="AN777" s="1">
        <v>1.9798800000000001</v>
      </c>
      <c r="AO777" s="166">
        <v>0.72957000000000005</v>
      </c>
      <c r="AQ777" t="str">
        <f>_xlfn.XLOOKUP(tblGWP21[[#This Row],[Material Subcategory]],ls_Mat,Factors!$K$952:$K$1023)</f>
        <v>x</v>
      </c>
      <c r="AR777" s="173">
        <v>1</v>
      </c>
      <c r="AS777">
        <v>8.1306407300000008E-2</v>
      </c>
      <c r="AT777" t="s">
        <v>531</v>
      </c>
      <c r="BA777" cm="1">
        <f t="array" ref="BA777:BM777">tblGWP21[#This Row]</f>
        <v>10</v>
      </c>
      <c r="BB777" t="str">
        <v>Metals</v>
      </c>
      <c r="BC777" t="str">
        <v>Ferrous Cans</v>
      </c>
      <c r="BD777" t="str">
        <v>North America</v>
      </c>
      <c r="BE777" t="str">
        <v>United States</v>
      </c>
      <c r="BF777">
        <v>-1.9798800000000001</v>
      </c>
      <c r="BG777">
        <v>-1.8968017927</v>
      </c>
      <c r="BH777">
        <v>-2.2492474107615306</v>
      </c>
      <c r="BI777" t="str">
        <v>DELETE</v>
      </c>
      <c r="BJ777" t="str">
        <v>DELETE</v>
      </c>
      <c r="BK777">
        <v>2.6019952971198398E-2</v>
      </c>
      <c r="BL777">
        <v>-0.155639944451124</v>
      </c>
      <c r="BM777">
        <v>-0.13017748376343699</v>
      </c>
    </row>
    <row r="778" spans="3:65">
      <c r="C778" s="136">
        <v>10</v>
      </c>
      <c r="D778" s="137" t="s">
        <v>242</v>
      </c>
      <c r="E778" s="136" t="s">
        <v>534</v>
      </c>
      <c r="F778" s="136" t="s">
        <v>549</v>
      </c>
      <c r="G778" s="136" t="s">
        <v>554</v>
      </c>
      <c r="H778" s="191">
        <v>-15.0122</v>
      </c>
      <c r="I778" s="191">
        <v>-10.882073199999999</v>
      </c>
      <c r="J778" s="191">
        <v>-3.19428</v>
      </c>
      <c r="K778" s="191">
        <v>0</v>
      </c>
      <c r="L778" s="191">
        <v>0</v>
      </c>
      <c r="M778" s="191">
        <v>2.5860000000000001E-2</v>
      </c>
      <c r="N778" s="191">
        <v>4.1898673724089799E-2</v>
      </c>
      <c r="O778" s="191">
        <v>4.8911448565512002E-2</v>
      </c>
      <c r="T778" s="48">
        <v>10</v>
      </c>
      <c r="U778" s="46" t="s">
        <v>256</v>
      </c>
      <c r="V778" s="136" t="s">
        <v>257</v>
      </c>
      <c r="W778" s="136" t="s">
        <v>549</v>
      </c>
      <c r="X778" s="136" t="s">
        <v>554</v>
      </c>
      <c r="Y778" s="172">
        <f>IFERROR(-tblZwaste1422[[#This Row],[Weight (kgCO2e/kg)]],0)</f>
        <v>-1.9798800000000001</v>
      </c>
      <c r="Z778" s="172">
        <f>IF(AQ778="x",(AR778*-tblZwaste1422[[#This Row],[Weight (kgCO2e/kg)]])+AS778+($AR$10*Lookups!$J$38/1000),"DELETE")</f>
        <v>-1.8968017927</v>
      </c>
      <c r="AA778" s="176">
        <v>-2.2492474107615306</v>
      </c>
      <c r="AB778" s="172" t="s">
        <v>567</v>
      </c>
      <c r="AC778" s="172" t="s">
        <v>567</v>
      </c>
      <c r="AD778" s="172">
        <v>2.6019952971198398E-2</v>
      </c>
      <c r="AE778" s="172">
        <v>-0.155639944451124</v>
      </c>
      <c r="AF778" s="172">
        <v>-0.13017748376343699</v>
      </c>
      <c r="AG778" s="150"/>
      <c r="AI778" s="137">
        <v>10</v>
      </c>
      <c r="AJ778" s="136" t="s">
        <v>256</v>
      </c>
      <c r="AK778" s="142" t="s">
        <v>257</v>
      </c>
      <c r="AL778" s="5" t="s">
        <v>549</v>
      </c>
      <c r="AM778" s="5" t="s">
        <v>554</v>
      </c>
      <c r="AN778" s="1">
        <v>1.9798800000000001</v>
      </c>
      <c r="AO778" s="166">
        <v>0.46493000000000001</v>
      </c>
      <c r="AQ778" t="str">
        <f>_xlfn.XLOOKUP(tblGWP21[[#This Row],[Material Subcategory]],ls_Mat,Factors!$K$952:$K$1023)</f>
        <v>x</v>
      </c>
      <c r="AR778" s="173">
        <v>1</v>
      </c>
      <c r="AS778">
        <v>8.1306407300000008E-2</v>
      </c>
      <c r="AT778" t="s">
        <v>531</v>
      </c>
      <c r="BA778" cm="1">
        <f t="array" ref="BA778:BM778">tblGWP21[#This Row]</f>
        <v>10</v>
      </c>
      <c r="BB778" t="str">
        <v>Metals</v>
      </c>
      <c r="BC778" t="str">
        <v>Ferrous Metal</v>
      </c>
      <c r="BD778" t="str">
        <v>North America</v>
      </c>
      <c r="BE778" t="str">
        <v>United States</v>
      </c>
      <c r="BF778">
        <v>-1.9798800000000001</v>
      </c>
      <c r="BG778">
        <v>-1.8968017927</v>
      </c>
      <c r="BH778">
        <v>-2.2492474107615306</v>
      </c>
      <c r="BI778" t="str">
        <v>DELETE</v>
      </c>
      <c r="BJ778" t="str">
        <v>DELETE</v>
      </c>
      <c r="BK778">
        <v>2.6019952971198398E-2</v>
      </c>
      <c r="BL778">
        <v>-0.155639944451124</v>
      </c>
      <c r="BM778">
        <v>-0.13017748376343699</v>
      </c>
    </row>
    <row r="779" spans="3:65">
      <c r="C779" s="362">
        <v>10</v>
      </c>
      <c r="D779" s="363" t="s">
        <v>239</v>
      </c>
      <c r="E779" s="362" t="s">
        <v>239</v>
      </c>
      <c r="F779" s="362" t="s">
        <v>549</v>
      </c>
      <c r="G779" s="362" t="s">
        <v>554</v>
      </c>
      <c r="H779" s="368">
        <v>-2.6644477777777777</v>
      </c>
      <c r="I779" s="368">
        <v>-1.7194614644444446</v>
      </c>
      <c r="J779" s="368">
        <v>-0.81595749427219999</v>
      </c>
      <c r="K779" s="368">
        <v>-1.64158743716123</v>
      </c>
      <c r="L779" s="368">
        <v>-2.38754843308678</v>
      </c>
      <c r="M779" s="368">
        <v>-0.64284530934226303</v>
      </c>
      <c r="N779" s="368">
        <v>-0.82792797542140595</v>
      </c>
      <c r="O779" s="368">
        <v>2.7471426996727999E-2</v>
      </c>
      <c r="T779" s="48">
        <v>10</v>
      </c>
      <c r="U779" s="46" t="s">
        <v>256</v>
      </c>
      <c r="V779" s="136" t="s">
        <v>537</v>
      </c>
      <c r="W779" s="136" t="s">
        <v>549</v>
      </c>
      <c r="X779" s="136" t="s">
        <v>554</v>
      </c>
      <c r="Y779" s="172">
        <f>IFERROR(-tblZwaste1422[[#This Row],[Weight (kgCO2e/kg)]],0)</f>
        <v>-5.0082800000000001</v>
      </c>
      <c r="Z779" s="172">
        <f>IF(AQ779="x",(AR779*-tblZwaste1422[[#This Row],[Weight (kgCO2e/kg)]])+AS779+($AR$10*Lookups!$J$38/1000),"DELETE")</f>
        <v>-4.9252017927000002</v>
      </c>
      <c r="AA779" s="176">
        <f>-22.2947034075344*0.21739130434</f>
        <v>-4.8466746536373462</v>
      </c>
      <c r="AB779" s="172" t="s">
        <v>567</v>
      </c>
      <c r="AC779" s="172" t="s">
        <v>567</v>
      </c>
      <c r="AD779" s="172">
        <v>2.5860000000000001E-2</v>
      </c>
      <c r="AE779" s="172">
        <v>-5.5358464997911999E-2</v>
      </c>
      <c r="AF779" s="172">
        <v>-4.8095233912153298E-2</v>
      </c>
      <c r="AG779" s="150"/>
      <c r="AI779" s="137">
        <v>10</v>
      </c>
      <c r="AJ779" s="136" t="s">
        <v>256</v>
      </c>
      <c r="AK779" s="142" t="s">
        <v>537</v>
      </c>
      <c r="AL779" s="5" t="s">
        <v>549</v>
      </c>
      <c r="AM779" s="5" t="s">
        <v>554</v>
      </c>
      <c r="AN779" s="1">
        <v>5.0082800000000001</v>
      </c>
      <c r="AO779" s="166">
        <v>1.54878</v>
      </c>
      <c r="AQ779" t="str">
        <f>_xlfn.XLOOKUP(tblGWP21[[#This Row],[Material Subcategory]],ls_Mat,Factors!$K$952:$K$1023)</f>
        <v>x</v>
      </c>
      <c r="AR779" s="173">
        <v>1</v>
      </c>
      <c r="AS779">
        <v>8.1306407300000008E-2</v>
      </c>
      <c r="AT779" t="s">
        <v>531</v>
      </c>
      <c r="BA779" cm="1">
        <f t="array" ref="BA779:BM779">tblGWP21[#This Row]</f>
        <v>10</v>
      </c>
      <c r="BB779" t="str">
        <v>Metals</v>
      </c>
      <c r="BC779" t="str">
        <v>Aluminum Cans</v>
      </c>
      <c r="BD779" t="str">
        <v>North America</v>
      </c>
      <c r="BE779" t="str">
        <v>United States</v>
      </c>
      <c r="BF779">
        <v>-5.0082800000000001</v>
      </c>
      <c r="BG779">
        <v>-4.9252017927000002</v>
      </c>
      <c r="BH779">
        <v>-4.8466746536373462</v>
      </c>
      <c r="BI779" t="str">
        <v>DELETE</v>
      </c>
      <c r="BJ779" t="str">
        <v>DELETE</v>
      </c>
      <c r="BK779">
        <v>2.5860000000000001E-2</v>
      </c>
      <c r="BL779">
        <v>-5.5358464997911999E-2</v>
      </c>
      <c r="BM779">
        <v>-4.8095233912153298E-2</v>
      </c>
    </row>
    <row r="780" spans="3:65">
      <c r="C780" s="136">
        <v>10</v>
      </c>
      <c r="D780" s="137" t="s">
        <v>239</v>
      </c>
      <c r="E780" s="136" t="s">
        <v>324</v>
      </c>
      <c r="F780" s="136" t="s">
        <v>549</v>
      </c>
      <c r="G780" s="136" t="s">
        <v>554</v>
      </c>
      <c r="H780" s="191">
        <v>-1.66</v>
      </c>
      <c r="I780" s="191">
        <v>0</v>
      </c>
      <c r="J780" s="191">
        <v>0.23732217423020791</v>
      </c>
      <c r="K780" s="191">
        <v>-1.6521413186927301</v>
      </c>
      <c r="L780" s="191">
        <v>-2.2423002306506099</v>
      </c>
      <c r="M780" s="191">
        <v>-1.12752395520147</v>
      </c>
      <c r="N780" s="191">
        <v>-0.90029183106916599</v>
      </c>
      <c r="O780" s="191">
        <v>2.6682409311865999E-2</v>
      </c>
      <c r="T780" s="48">
        <v>10</v>
      </c>
      <c r="U780" s="46" t="s">
        <v>256</v>
      </c>
      <c r="V780" s="136" t="s">
        <v>538</v>
      </c>
      <c r="W780" s="136" t="s">
        <v>549</v>
      </c>
      <c r="X780" s="136" t="s">
        <v>554</v>
      </c>
      <c r="Y780" s="172">
        <f>IFERROR(-tblZwaste1422[[#This Row],[Weight (kgCO2e/kg)]],0)</f>
        <v>-4.6396800000000002</v>
      </c>
      <c r="Z780" s="172" t="str">
        <f>IF(AQ780="x",(AR780*-tblZwaste1422[[#This Row],[Weight (kgCO2e/kg)]])+AS780+($AR$10*Lookups!$J$38/1000),"DELETE")</f>
        <v>DELETE</v>
      </c>
      <c r="AA780" s="176" t="s">
        <v>567</v>
      </c>
      <c r="AB780" s="172" t="s">
        <v>567</v>
      </c>
      <c r="AC780" s="172" t="s">
        <v>567</v>
      </c>
      <c r="AD780" s="172">
        <v>2.5860000000000001E-2</v>
      </c>
      <c r="AE780" s="172">
        <v>-5.19355629919796E-2</v>
      </c>
      <c r="AF780" s="172">
        <v>-4.8095233912153298E-2</v>
      </c>
      <c r="AG780" s="150"/>
      <c r="AI780" s="137">
        <v>10</v>
      </c>
      <c r="AJ780" s="136" t="s">
        <v>256</v>
      </c>
      <c r="AK780" s="142" t="s">
        <v>538</v>
      </c>
      <c r="AL780" s="5" t="s">
        <v>549</v>
      </c>
      <c r="AM780" s="5" t="s">
        <v>554</v>
      </c>
      <c r="AN780" s="1">
        <v>4.6396800000000002</v>
      </c>
      <c r="AO780" s="166">
        <v>1.54878</v>
      </c>
      <c r="AQ780">
        <f>_xlfn.XLOOKUP(tblGWP21[[#This Row],[Material Subcategory]],ls_Mat,Factors!$K$952:$K$1023)</f>
        <v>0</v>
      </c>
      <c r="AR780" s="173"/>
      <c r="BA780" cm="1">
        <f t="array" ref="BA780:BM780">tblGWP21[#This Row]</f>
        <v>10</v>
      </c>
      <c r="BB780" t="str">
        <v>Metals</v>
      </c>
      <c r="BC780" t="str">
        <v>Aluminum Foil</v>
      </c>
      <c r="BD780" t="str">
        <v>North America</v>
      </c>
      <c r="BE780" t="str">
        <v>United States</v>
      </c>
      <c r="BF780">
        <v>-4.6396800000000002</v>
      </c>
      <c r="BG780" t="str">
        <v>DELETE</v>
      </c>
      <c r="BH780" t="str">
        <v>DELETE</v>
      </c>
      <c r="BI780" t="str">
        <v>DELETE</v>
      </c>
      <c r="BJ780" t="str">
        <v>DELETE</v>
      </c>
      <c r="BK780">
        <v>2.5860000000000001E-2</v>
      </c>
      <c r="BL780">
        <v>-5.19355629919796E-2</v>
      </c>
      <c r="BM780">
        <v>-4.8095233912153298E-2</v>
      </c>
    </row>
    <row r="781" spans="3:65">
      <c r="C781" s="362">
        <v>10</v>
      </c>
      <c r="D781" s="363" t="s">
        <v>239</v>
      </c>
      <c r="E781" s="362" t="s">
        <v>272</v>
      </c>
      <c r="F781" s="362" t="s">
        <v>549</v>
      </c>
      <c r="G781" s="362" t="s">
        <v>554</v>
      </c>
      <c r="H781" s="368">
        <v>-2.1278299999999999</v>
      </c>
      <c r="I781" s="368">
        <v>-1.3728063799999999</v>
      </c>
      <c r="J781" s="368">
        <v>-1.3141943432271834E-2</v>
      </c>
      <c r="K781" s="368">
        <v>-1.47899031657472</v>
      </c>
      <c r="L781" s="368">
        <v>-2.2480132452305401</v>
      </c>
      <c r="M781" s="368">
        <v>2.8719999999999999E-2</v>
      </c>
      <c r="N781" s="368">
        <v>-0.707256993844533</v>
      </c>
      <c r="O781" s="368">
        <v>3.4584607885101801E-2</v>
      </c>
      <c r="T781" s="48">
        <v>10</v>
      </c>
      <c r="U781" s="46" t="s">
        <v>256</v>
      </c>
      <c r="V781" s="136" t="s">
        <v>258</v>
      </c>
      <c r="W781" s="136" t="s">
        <v>549</v>
      </c>
      <c r="X781" s="136" t="s">
        <v>554</v>
      </c>
      <c r="Y781" s="172">
        <f>IFERROR(-tblZwaste1422[[#This Row],[Weight (kgCO2e/kg)]],0)</f>
        <v>-4.6396800000000002</v>
      </c>
      <c r="Z781" s="172">
        <f>IF(AQ781="x",(AR781*-tblZwaste1422[[#This Row],[Weight (kgCO2e/kg)]])+AS781+($AR$10*Lookups!$J$38/1000),"DELETE")</f>
        <v>-4.5566017927000004</v>
      </c>
      <c r="AA781" s="176">
        <f>-21.6122124868956*0.21739130434</f>
        <v>-4.6983070621994703</v>
      </c>
      <c r="AB781" s="172" t="s">
        <v>567</v>
      </c>
      <c r="AC781" s="172" t="s">
        <v>567</v>
      </c>
      <c r="AD781" s="172">
        <v>2.5860000000000001E-2</v>
      </c>
      <c r="AE781" s="172">
        <v>-5.5358464997911902E-2</v>
      </c>
      <c r="AF781" s="172">
        <v>-4.8095233912153298E-2</v>
      </c>
      <c r="AG781" s="150"/>
      <c r="AI781" s="137">
        <v>10</v>
      </c>
      <c r="AJ781" s="136" t="s">
        <v>256</v>
      </c>
      <c r="AK781" s="142" t="s">
        <v>258</v>
      </c>
      <c r="AL781" s="5" t="s">
        <v>549</v>
      </c>
      <c r="AM781" s="5" t="s">
        <v>554</v>
      </c>
      <c r="AN781" s="1">
        <v>4.6396800000000002</v>
      </c>
      <c r="AO781" s="166">
        <v>1.54878</v>
      </c>
      <c r="AQ781" t="str">
        <f>_xlfn.XLOOKUP(tblGWP21[[#This Row],[Material Subcategory]],ls_Mat,Factors!$K$952:$K$1023)</f>
        <v>x</v>
      </c>
      <c r="AR781" s="173">
        <v>1</v>
      </c>
      <c r="AS781">
        <v>8.1306407300000008E-2</v>
      </c>
      <c r="AT781" t="s">
        <v>531</v>
      </c>
      <c r="BA781" cm="1">
        <f t="array" ref="BA781:BM781">tblGWP21[#This Row]</f>
        <v>10</v>
      </c>
      <c r="BB781" t="str">
        <v>Metals</v>
      </c>
      <c r="BC781" t="str">
        <v>Other Aluminum</v>
      </c>
      <c r="BD781" t="str">
        <v>North America</v>
      </c>
      <c r="BE781" t="str">
        <v>United States</v>
      </c>
      <c r="BF781">
        <v>-4.6396800000000002</v>
      </c>
      <c r="BG781">
        <v>-4.5566017927000004</v>
      </c>
      <c r="BH781">
        <v>-4.6983070621994703</v>
      </c>
      <c r="BI781" t="str">
        <v>DELETE</v>
      </c>
      <c r="BJ781" t="str">
        <v>DELETE</v>
      </c>
      <c r="BK781">
        <v>2.5860000000000001E-2</v>
      </c>
      <c r="BL781">
        <v>-5.5358464997911902E-2</v>
      </c>
      <c r="BM781">
        <v>-4.8095233912153298E-2</v>
      </c>
    </row>
    <row r="782" spans="3:65">
      <c r="C782" s="136">
        <v>10</v>
      </c>
      <c r="D782" s="137" t="s">
        <v>239</v>
      </c>
      <c r="E782" s="136" t="s">
        <v>329</v>
      </c>
      <c r="F782" s="136" t="s">
        <v>549</v>
      </c>
      <c r="G782" s="136" t="s">
        <v>554</v>
      </c>
      <c r="H782" s="191">
        <v>-3.4792200000000002</v>
      </c>
      <c r="I782" s="191">
        <v>0</v>
      </c>
      <c r="J782" s="191">
        <v>-3.0394105193425598</v>
      </c>
      <c r="K782" s="191">
        <v>-1.6016150545610099</v>
      </c>
      <c r="L782" s="191">
        <v>-2.4874907414044301</v>
      </c>
      <c r="M782" s="191">
        <v>0.46732560322960598</v>
      </c>
      <c r="N782" s="191">
        <v>-0.70975116827628704</v>
      </c>
      <c r="O782" s="191">
        <v>3.7247040270189699E-2</v>
      </c>
      <c r="T782" s="48">
        <v>10</v>
      </c>
      <c r="U782" s="46" t="s">
        <v>247</v>
      </c>
      <c r="V782" s="136" t="s">
        <v>247</v>
      </c>
      <c r="W782" s="136" t="s">
        <v>549</v>
      </c>
      <c r="X782" s="136" t="s">
        <v>554</v>
      </c>
      <c r="Y782" s="172">
        <f>IFERROR(-tblZwaste1422[[#This Row],[Weight (kgCO2e/kg)]],0)</f>
        <v>-1.0505633333333335</v>
      </c>
      <c r="Z782" s="172">
        <f>IF(AQ782="x",(AR782*-tblZwaste1422[[#This Row],[Weight (kgCO2e/kg)]])+AS782+($AR$10*Lookups!$J$38/1000),"DELETE")</f>
        <v>-0.96748512603333348</v>
      </c>
      <c r="AA782" s="176">
        <v>-0.31504617601203688</v>
      </c>
      <c r="AB782" s="172" t="s">
        <v>567</v>
      </c>
      <c r="AC782" s="172" t="s">
        <v>567</v>
      </c>
      <c r="AD782" s="172">
        <v>2.6019967308955099E-2</v>
      </c>
      <c r="AE782" s="172">
        <v>3.1264688052669298E-2</v>
      </c>
      <c r="AF782" s="172">
        <v>4.89129652926968E-2</v>
      </c>
      <c r="AG782" s="150"/>
      <c r="AI782" s="137">
        <v>10</v>
      </c>
      <c r="AJ782" s="136" t="s">
        <v>247</v>
      </c>
      <c r="AK782" s="142" t="s">
        <v>247</v>
      </c>
      <c r="AL782" s="5" t="s">
        <v>549</v>
      </c>
      <c r="AM782" s="5" t="s">
        <v>554</v>
      </c>
      <c r="AN782" s="1">
        <v>1.0505633333333335</v>
      </c>
      <c r="AO782" s="166">
        <v>0.89563000000000004</v>
      </c>
      <c r="AQ782" t="str">
        <f>_xlfn.XLOOKUP(tblGWP21[[#This Row],[Material Subcategory]],ls_Mat,Factors!$K$952:$K$1023)</f>
        <v>x</v>
      </c>
      <c r="AR782" s="173">
        <v>1</v>
      </c>
      <c r="AS782">
        <v>8.1306407300000008E-2</v>
      </c>
      <c r="AT782" t="s">
        <v>531</v>
      </c>
      <c r="BA782" cm="1">
        <f t="array" ref="BA782:BM782">tblGWP21[#This Row]</f>
        <v>10</v>
      </c>
      <c r="BB782" t="str">
        <v>Glass</v>
      </c>
      <c r="BC782" t="str">
        <v>Glass</v>
      </c>
      <c r="BD782" t="str">
        <v>North America</v>
      </c>
      <c r="BE782" t="str">
        <v>United States</v>
      </c>
      <c r="BF782">
        <v>-1.0505633333333335</v>
      </c>
      <c r="BG782">
        <v>-0.96748512603333348</v>
      </c>
      <c r="BH782">
        <v>-0.31504617601203688</v>
      </c>
      <c r="BI782" t="str">
        <v>DELETE</v>
      </c>
      <c r="BJ782" t="str">
        <v>DELETE</v>
      </c>
      <c r="BK782">
        <v>2.6019967308955099E-2</v>
      </c>
      <c r="BL782">
        <v>3.1264688052669298E-2</v>
      </c>
      <c r="BM782">
        <v>4.89129652926968E-2</v>
      </c>
    </row>
    <row r="783" spans="3:65">
      <c r="C783" s="362">
        <v>10</v>
      </c>
      <c r="D783" s="363" t="s">
        <v>239</v>
      </c>
      <c r="E783" s="362" t="s">
        <v>271</v>
      </c>
      <c r="F783" s="362" t="s">
        <v>549</v>
      </c>
      <c r="G783" s="362" t="s">
        <v>554</v>
      </c>
      <c r="H783" s="368">
        <v>-3.1045600000000002</v>
      </c>
      <c r="I783" s="368">
        <v>0</v>
      </c>
      <c r="J783" s="368">
        <v>-0.91795218105622489</v>
      </c>
      <c r="K783" s="368">
        <v>-1.5169255647595301</v>
      </c>
      <c r="L783" s="368">
        <v>-2.5942993420119702</v>
      </c>
      <c r="M783" s="368">
        <v>-0.660111649107195</v>
      </c>
      <c r="N783" s="368">
        <v>-0.67593206774576597</v>
      </c>
      <c r="O783" s="368">
        <v>4.0391413082080801E-2</v>
      </c>
      <c r="T783" s="48">
        <v>10</v>
      </c>
      <c r="U783" s="46" t="s">
        <v>247</v>
      </c>
      <c r="V783" s="136" t="s">
        <v>248</v>
      </c>
      <c r="W783" s="136" t="s">
        <v>549</v>
      </c>
      <c r="X783" s="136" t="s">
        <v>554</v>
      </c>
      <c r="Y783" s="172">
        <f>IFERROR(-tblZwaste1422[[#This Row],[Weight (kgCO2e/kg)]],0)</f>
        <v>-1.0606100000000001</v>
      </c>
      <c r="Z783" s="172">
        <f>IF(AQ783="x",(AR783*-tblZwaste1422[[#This Row],[Weight (kgCO2e/kg)]])+AS783+($AR$10*Lookups!$J$38/1000),"DELETE")</f>
        <v>-0.97753179270000001</v>
      </c>
      <c r="AA783" s="176">
        <v>-0.1687117086478816</v>
      </c>
      <c r="AB783" s="172" t="s">
        <v>567</v>
      </c>
      <c r="AC783" s="172" t="s">
        <v>567</v>
      </c>
      <c r="AD783" s="172">
        <v>2.6019973288491701E-2</v>
      </c>
      <c r="AE783" s="172">
        <v>3.4951399434630701E-2</v>
      </c>
      <c r="AF783" s="172">
        <v>4.8911781687089997E-2</v>
      </c>
      <c r="AG783" s="150"/>
      <c r="AI783" s="147">
        <v>10</v>
      </c>
      <c r="AJ783" s="136" t="s">
        <v>247</v>
      </c>
      <c r="AK783" s="142" t="s">
        <v>248</v>
      </c>
      <c r="AL783" s="144" t="s">
        <v>549</v>
      </c>
      <c r="AM783" s="5" t="s">
        <v>554</v>
      </c>
      <c r="AN783" s="1">
        <v>1.0606100000000001</v>
      </c>
      <c r="AO783" s="166">
        <v>0.89563000000000004</v>
      </c>
      <c r="AQ783" t="str">
        <f>_xlfn.XLOOKUP(tblGWP21[[#This Row],[Material Subcategory]],ls_Mat,Factors!$K$952:$K$1023)</f>
        <v>x</v>
      </c>
      <c r="AR783" s="173">
        <v>1</v>
      </c>
      <c r="AS783">
        <v>8.1306407300000008E-2</v>
      </c>
      <c r="AT783" t="s">
        <v>531</v>
      </c>
      <c r="BA783" cm="1">
        <f t="array" ref="BA783:BM783">tblGWP21[#This Row]</f>
        <v>10</v>
      </c>
      <c r="BB783" t="str">
        <v>Glass</v>
      </c>
      <c r="BC783" t="str">
        <v>Glass – Brown</v>
      </c>
      <c r="BD783" t="str">
        <v>North America</v>
      </c>
      <c r="BE783" t="str">
        <v>United States</v>
      </c>
      <c r="BF783">
        <v>-1.0606100000000001</v>
      </c>
      <c r="BG783">
        <v>-0.97753179270000001</v>
      </c>
      <c r="BH783">
        <v>-0.1687117086478816</v>
      </c>
      <c r="BI783" t="str">
        <v>DELETE</v>
      </c>
      <c r="BJ783" t="str">
        <v>DELETE</v>
      </c>
      <c r="BK783">
        <v>2.6019973288491701E-2</v>
      </c>
      <c r="BL783">
        <v>3.4951399434630701E-2</v>
      </c>
      <c r="BM783">
        <v>4.8911781687089997E-2</v>
      </c>
    </row>
    <row r="784" spans="3:65">
      <c r="C784" s="136">
        <v>10</v>
      </c>
      <c r="D784" s="137" t="s">
        <v>239</v>
      </c>
      <c r="E784" s="136" t="s">
        <v>535</v>
      </c>
      <c r="F784" s="136" t="s">
        <v>549</v>
      </c>
      <c r="G784" s="136" t="s">
        <v>554</v>
      </c>
      <c r="H784" s="191">
        <v>-3.1045600000000002</v>
      </c>
      <c r="I784" s="191">
        <v>0</v>
      </c>
      <c r="J784" s="191">
        <v>-0.91795218105622489</v>
      </c>
      <c r="K784" s="191">
        <v>-1.62556746064851</v>
      </c>
      <c r="L784" s="191">
        <v>-2.6026902581055902</v>
      </c>
      <c r="M784" s="191">
        <v>-0.85806848637626298</v>
      </c>
      <c r="N784" s="191">
        <v>-0.75336666663629603</v>
      </c>
      <c r="O784" s="191">
        <v>2.9212437097224399E-2</v>
      </c>
      <c r="T784" s="137">
        <v>10</v>
      </c>
      <c r="U784" s="137" t="s">
        <v>247</v>
      </c>
      <c r="V784" s="136" t="s">
        <v>263</v>
      </c>
      <c r="W784" s="136" t="s">
        <v>549</v>
      </c>
      <c r="X784" s="136" t="s">
        <v>554</v>
      </c>
      <c r="Y784" s="172">
        <f>IFERROR(-tblZwaste1422[[#This Row],[Weight (kgCO2e/kg)]],0)</f>
        <v>-1.0341199999999999</v>
      </c>
      <c r="Z784" s="172">
        <f>IF(AQ784="x",(AR784*-tblZwaste1422[[#This Row],[Weight (kgCO2e/kg)]])+AS784+($AR$10*Lookups!$J$38/1000),"DELETE")</f>
        <v>-0.95104179269999989</v>
      </c>
      <c r="AA784" s="176">
        <v>-0.1687117086478816</v>
      </c>
      <c r="AB784" s="172" t="s">
        <v>567</v>
      </c>
      <c r="AC784" s="172" t="s">
        <v>567</v>
      </c>
      <c r="AD784" s="172">
        <v>2.6019976994057802E-2</v>
      </c>
      <c r="AE784" s="172">
        <v>3.7161449527154597E-2</v>
      </c>
      <c r="AF784" s="172">
        <v>4.8911857255228397E-2</v>
      </c>
      <c r="AG784" s="150"/>
      <c r="AI784" s="137">
        <v>10</v>
      </c>
      <c r="AJ784" s="136" t="s">
        <v>247</v>
      </c>
      <c r="AK784" s="142" t="s">
        <v>263</v>
      </c>
      <c r="AL784" s="5" t="s">
        <v>549</v>
      </c>
      <c r="AM784" s="5" t="s">
        <v>554</v>
      </c>
      <c r="AN784" s="1">
        <v>1.0341199999999999</v>
      </c>
      <c r="AO784" s="166">
        <v>0.89563000000000004</v>
      </c>
      <c r="AQ784" t="str">
        <f>_xlfn.XLOOKUP(tblGWP21[[#This Row],[Material Subcategory]],ls_Mat,Factors!$K$952:$K$1023)</f>
        <v>x</v>
      </c>
      <c r="AR784" s="173">
        <v>1</v>
      </c>
      <c r="AS784">
        <v>8.1306407300000008E-2</v>
      </c>
      <c r="AT784" t="s">
        <v>531</v>
      </c>
      <c r="BA784" cm="1">
        <f t="array" ref="BA784:BM784">tblGWP21[#This Row]</f>
        <v>10</v>
      </c>
      <c r="BB784" t="str">
        <v>Glass</v>
      </c>
      <c r="BC784" t="str">
        <v>Glass – Green</v>
      </c>
      <c r="BD784" t="str">
        <v>North America</v>
      </c>
      <c r="BE784" t="str">
        <v>United States</v>
      </c>
      <c r="BF784">
        <v>-1.0341199999999999</v>
      </c>
      <c r="BG784">
        <v>-0.95104179269999989</v>
      </c>
      <c r="BH784">
        <v>-0.1687117086478816</v>
      </c>
      <c r="BI784" t="str">
        <v>DELETE</v>
      </c>
      <c r="BJ784" t="str">
        <v>DELETE</v>
      </c>
      <c r="BK784">
        <v>2.6019976994057802E-2</v>
      </c>
      <c r="BL784">
        <v>3.7161449527154597E-2</v>
      </c>
      <c r="BM784">
        <v>4.8911857255228397E-2</v>
      </c>
    </row>
    <row r="785" spans="3:65">
      <c r="C785" s="362">
        <v>10</v>
      </c>
      <c r="D785" s="363" t="s">
        <v>239</v>
      </c>
      <c r="E785" s="362" t="s">
        <v>259</v>
      </c>
      <c r="F785" s="362" t="s">
        <v>549</v>
      </c>
      <c r="G785" s="362" t="s">
        <v>554</v>
      </c>
      <c r="H785" s="368">
        <v>-2.86965</v>
      </c>
      <c r="I785" s="368">
        <v>0</v>
      </c>
      <c r="J785" s="368">
        <v>-0.91795218105622489</v>
      </c>
      <c r="K785" s="368">
        <v>-1.3405464032126699</v>
      </c>
      <c r="L785" s="368">
        <v>-2.0224747049113301</v>
      </c>
      <c r="M785" s="368">
        <v>-0.36538983448988699</v>
      </c>
      <c r="N785" s="368">
        <v>-0.613396941458481</v>
      </c>
      <c r="O785" s="368">
        <v>2.84201932341357E-2</v>
      </c>
      <c r="T785" s="137">
        <v>10</v>
      </c>
      <c r="U785" s="137" t="s">
        <v>247</v>
      </c>
      <c r="V785" s="136" t="s">
        <v>539</v>
      </c>
      <c r="W785" s="136" t="s">
        <v>549</v>
      </c>
      <c r="X785" s="136" t="s">
        <v>554</v>
      </c>
      <c r="Y785" s="172">
        <f>IFERROR(-tblZwaste1422[[#This Row],[Weight (kgCO2e/kg)]],0)</f>
        <v>-1.0569599999999999</v>
      </c>
      <c r="Z785" s="172">
        <f>IF(AQ785="x",(AR785*-tblZwaste1422[[#This Row],[Weight (kgCO2e/kg)]])+AS785+($AR$10*Lookups!$J$38/1000),"DELETE")</f>
        <v>-0.97388179269999986</v>
      </c>
      <c r="AA785" s="176">
        <v>-0.17403944681570943</v>
      </c>
      <c r="AB785" s="172" t="s">
        <v>567</v>
      </c>
      <c r="AC785" s="172" t="s">
        <v>567</v>
      </c>
      <c r="AD785" s="172">
        <v>2.6019957632980099E-2</v>
      </c>
      <c r="AE785" s="172">
        <v>2.5326656271053499E-2</v>
      </c>
      <c r="AF785" s="172">
        <v>4.8914240045367E-2</v>
      </c>
      <c r="AG785" s="150"/>
      <c r="AI785" s="137">
        <v>10</v>
      </c>
      <c r="AJ785" s="136" t="s">
        <v>247</v>
      </c>
      <c r="AK785" s="142" t="s">
        <v>539</v>
      </c>
      <c r="AL785" s="5" t="s">
        <v>549</v>
      </c>
      <c r="AM785" s="5" t="s">
        <v>554</v>
      </c>
      <c r="AN785" s="1">
        <v>1.0569599999999999</v>
      </c>
      <c r="AO785" s="166">
        <v>0.89563000000000004</v>
      </c>
      <c r="AQ785" t="str">
        <f>_xlfn.XLOOKUP(tblGWP21[[#This Row],[Material Subcategory]],ls_Mat,Factors!$K$952:$K$1023)</f>
        <v>x</v>
      </c>
      <c r="AR785" s="173">
        <v>1</v>
      </c>
      <c r="AS785">
        <v>8.1306407300000008E-2</v>
      </c>
      <c r="AT785" t="s">
        <v>531</v>
      </c>
      <c r="BA785" cm="1">
        <f t="array" ref="BA785:BM785">tblGWP21[#This Row]</f>
        <v>10</v>
      </c>
      <c r="BB785" t="str">
        <v>Glass</v>
      </c>
      <c r="BC785" t="str">
        <v>Glass – Clear</v>
      </c>
      <c r="BD785" t="str">
        <v>North America</v>
      </c>
      <c r="BE785" t="str">
        <v>United States</v>
      </c>
      <c r="BF785">
        <v>-1.0569599999999999</v>
      </c>
      <c r="BG785">
        <v>-0.97388179269999986</v>
      </c>
      <c r="BH785">
        <v>-0.17403944681570943</v>
      </c>
      <c r="BI785" t="str">
        <v>DELETE</v>
      </c>
      <c r="BJ785" t="str">
        <v>DELETE</v>
      </c>
      <c r="BK785">
        <v>2.6019957632980099E-2</v>
      </c>
      <c r="BL785">
        <v>2.5326656271053499E-2</v>
      </c>
      <c r="BM785">
        <v>4.8914240045367E-2</v>
      </c>
    </row>
    <row r="786" spans="3:65">
      <c r="C786" s="136">
        <v>10</v>
      </c>
      <c r="D786" s="137" t="s">
        <v>239</v>
      </c>
      <c r="E786" s="136" t="s">
        <v>334</v>
      </c>
      <c r="F786" s="136" t="s">
        <v>549</v>
      </c>
      <c r="G786" s="136" t="s">
        <v>554</v>
      </c>
      <c r="H786" s="191">
        <v>-2.86965</v>
      </c>
      <c r="I786" s="191">
        <v>0</v>
      </c>
      <c r="J786" s="191">
        <v>-0.91795218105622489</v>
      </c>
      <c r="K786" s="191">
        <v>-1.7510586326106401</v>
      </c>
      <c r="L786" s="191">
        <v>-2.48418749432751</v>
      </c>
      <c r="M786" s="191">
        <v>-0.300483886392518</v>
      </c>
      <c r="N786" s="191">
        <v>-0.89635996388730699</v>
      </c>
      <c r="O786" s="191">
        <v>2.63896815071662E-2</v>
      </c>
      <c r="T786" s="137">
        <v>10</v>
      </c>
      <c r="U786" s="137" t="s">
        <v>247</v>
      </c>
      <c r="V786" s="136" t="s">
        <v>270</v>
      </c>
      <c r="W786" s="136" t="s">
        <v>549</v>
      </c>
      <c r="X786" s="136" t="s">
        <v>554</v>
      </c>
      <c r="Y786" s="172">
        <f>IFERROR(-tblZwaste1422[[#This Row],[Weight (kgCO2e/kg)]],0)</f>
        <v>-1.0505633333333335</v>
      </c>
      <c r="Z786" s="172">
        <f>IF(AQ786="x",(AR786*-tblZwaste1422[[#This Row],[Weight (kgCO2e/kg)]])+AS786+($AR$10*Lookups!$J$38/1000),"DELETE")</f>
        <v>-0.96748512603333348</v>
      </c>
      <c r="AA786" s="176">
        <v>-0.31504617601203688</v>
      </c>
      <c r="AB786" s="172" t="s">
        <v>567</v>
      </c>
      <c r="AC786" s="172" t="s">
        <v>567</v>
      </c>
      <c r="AD786" s="172">
        <v>2.6019967308955099E-2</v>
      </c>
      <c r="AE786" s="172">
        <v>3.1264688052669298E-2</v>
      </c>
      <c r="AF786" s="172">
        <v>4.89129652926968E-2</v>
      </c>
      <c r="AG786" s="150"/>
      <c r="AI786" s="137">
        <v>10</v>
      </c>
      <c r="AJ786" s="136" t="s">
        <v>247</v>
      </c>
      <c r="AK786" s="142" t="s">
        <v>270</v>
      </c>
      <c r="AL786" s="5" t="s">
        <v>549</v>
      </c>
      <c r="AM786" s="5" t="s">
        <v>554</v>
      </c>
      <c r="AN786" s="1">
        <v>1.0505633333333335</v>
      </c>
      <c r="AO786" s="166">
        <v>0.89563000000000004</v>
      </c>
      <c r="AQ786" t="str">
        <f>_xlfn.XLOOKUP(tblGWP21[[#This Row],[Material Subcategory]],ls_Mat,Factors!$K$952:$K$1023)</f>
        <v>x</v>
      </c>
      <c r="AR786" s="173">
        <v>1</v>
      </c>
      <c r="AS786">
        <v>8.1306407300000008E-2</v>
      </c>
      <c r="AT786" t="s">
        <v>531</v>
      </c>
      <c r="BA786" cm="1">
        <f t="array" ref="BA786:BM786">tblGWP21[#This Row]</f>
        <v>10</v>
      </c>
      <c r="BB786" t="str">
        <v>Glass</v>
      </c>
      <c r="BC786" t="str">
        <v>Mixed Glass</v>
      </c>
      <c r="BD786" t="str">
        <v>North America</v>
      </c>
      <c r="BE786" t="str">
        <v>United States</v>
      </c>
      <c r="BF786">
        <v>-1.0505633333333335</v>
      </c>
      <c r="BG786">
        <v>-0.96748512603333348</v>
      </c>
      <c r="BH786">
        <v>-0.31504617601203688</v>
      </c>
      <c r="BI786" t="str">
        <v>DELETE</v>
      </c>
      <c r="BJ786" t="str">
        <v>DELETE</v>
      </c>
      <c r="BK786">
        <v>2.6019967308955099E-2</v>
      </c>
      <c r="BL786">
        <v>3.1264688052669298E-2</v>
      </c>
      <c r="BM786">
        <v>4.89129652926968E-2</v>
      </c>
    </row>
    <row r="787" spans="3:65">
      <c r="C787" s="362">
        <v>10</v>
      </c>
      <c r="D787" s="363" t="s">
        <v>239</v>
      </c>
      <c r="E787" s="362" t="s">
        <v>240</v>
      </c>
      <c r="F787" s="362" t="s">
        <v>549</v>
      </c>
      <c r="G787" s="362" t="s">
        <v>554</v>
      </c>
      <c r="H787" s="368">
        <v>-3.1045600000000002</v>
      </c>
      <c r="I787" s="368">
        <v>0</v>
      </c>
      <c r="J787" s="368">
        <v>0</v>
      </c>
      <c r="K787" s="368">
        <v>-1.77981510011304</v>
      </c>
      <c r="L787" s="368">
        <v>-2.5527882478792798</v>
      </c>
      <c r="M787" s="368">
        <v>-0.68464562833381604</v>
      </c>
      <c r="N787" s="368">
        <v>0.52273088918490795</v>
      </c>
      <c r="O787" s="368">
        <v>2.3670121644453399</v>
      </c>
      <c r="T787" s="137">
        <v>10</v>
      </c>
      <c r="U787" s="137" t="s">
        <v>247</v>
      </c>
      <c r="V787" s="136" t="s">
        <v>540</v>
      </c>
      <c r="W787" s="136" t="s">
        <v>549</v>
      </c>
      <c r="X787" s="136" t="s">
        <v>554</v>
      </c>
      <c r="Y787" s="172">
        <f>IFERROR(-tblZwaste1422[[#This Row],[Weight (kgCO2e/kg)]],0)</f>
        <v>-1.0473650000000001</v>
      </c>
      <c r="Z787" s="172">
        <f>IF(AQ787="x",(AR787*-tblZwaste1422[[#This Row],[Weight (kgCO2e/kg)]])+AS787+($AR$10*Lookups!$J$38/1000),"DELETE")</f>
        <v>-0.96428679270000006</v>
      </c>
      <c r="AA787" s="176" t="s">
        <v>567</v>
      </c>
      <c r="AB787" s="172" t="s">
        <v>567</v>
      </c>
      <c r="AC787" s="172" t="s">
        <v>567</v>
      </c>
      <c r="AD787" s="172">
        <v>2.6019950860136101E-2</v>
      </c>
      <c r="AE787" s="172">
        <v>2.75361862083503E-2</v>
      </c>
      <c r="AF787" s="172">
        <v>4.89137954582783E-2</v>
      </c>
      <c r="AG787" s="150"/>
      <c r="AI787" s="137">
        <v>10</v>
      </c>
      <c r="AJ787" s="136" t="s">
        <v>247</v>
      </c>
      <c r="AK787" s="142" t="s">
        <v>540</v>
      </c>
      <c r="AL787" s="5" t="s">
        <v>549</v>
      </c>
      <c r="AM787" s="5" t="s">
        <v>554</v>
      </c>
      <c r="AN787" s="1">
        <v>1.0473650000000001</v>
      </c>
      <c r="AO787" s="166">
        <v>0.89563000000000004</v>
      </c>
      <c r="AQ787" t="str">
        <f>_xlfn.XLOOKUP(tblGWP21[[#This Row],[Material Subcategory]],ls_Mat,Factors!$K$952:$K$1023)</f>
        <v>x</v>
      </c>
      <c r="AR787" s="173">
        <v>1</v>
      </c>
      <c r="AS787">
        <v>8.1306407300000008E-2</v>
      </c>
      <c r="AT787" t="s">
        <v>531</v>
      </c>
      <c r="BA787" cm="1">
        <f t="array" ref="BA787:BM787">tblGWP21[#This Row]</f>
        <v>10</v>
      </c>
      <c r="BB787" t="str">
        <v>Glass</v>
      </c>
      <c r="BC787" t="str">
        <v>Glass – Non-Recyclable</v>
      </c>
      <c r="BD787" t="str">
        <v>North America</v>
      </c>
      <c r="BE787" t="str">
        <v>United States</v>
      </c>
      <c r="BF787">
        <v>-1.0473650000000001</v>
      </c>
      <c r="BG787">
        <v>-0.96428679270000006</v>
      </c>
      <c r="BH787" t="str">
        <v>DELETE</v>
      </c>
      <c r="BI787" t="str">
        <v>DELETE</v>
      </c>
      <c r="BJ787" t="str">
        <v>DELETE</v>
      </c>
      <c r="BK787">
        <v>2.6019950860136101E-2</v>
      </c>
      <c r="BL787">
        <v>2.75361862083503E-2</v>
      </c>
      <c r="BM787">
        <v>4.89137954582783E-2</v>
      </c>
    </row>
    <row r="788" spans="3:65" ht="28.8">
      <c r="C788" s="136">
        <v>10</v>
      </c>
      <c r="D788" s="137" t="s">
        <v>239</v>
      </c>
      <c r="E788" s="136" t="s">
        <v>325</v>
      </c>
      <c r="F788" s="136" t="s">
        <v>549</v>
      </c>
      <c r="G788" s="136" t="s">
        <v>554</v>
      </c>
      <c r="H788" s="191">
        <v>-1.66</v>
      </c>
      <c r="I788" s="191">
        <v>0</v>
      </c>
      <c r="J788" s="191">
        <v>0</v>
      </c>
      <c r="K788" s="191">
        <v>-1.64158743716123</v>
      </c>
      <c r="L788" s="191">
        <v>-2.38754843308678</v>
      </c>
      <c r="M788" s="191">
        <v>-0.64284530934226303</v>
      </c>
      <c r="N788" s="191">
        <v>-0.82792797542140595</v>
      </c>
      <c r="O788" s="191">
        <v>2.7471426996727999E-2</v>
      </c>
      <c r="T788" s="137">
        <v>10</v>
      </c>
      <c r="U788" s="137" t="s">
        <v>261</v>
      </c>
      <c r="V788" s="136" t="s">
        <v>260</v>
      </c>
      <c r="W788" s="136" t="s">
        <v>549</v>
      </c>
      <c r="X788" s="136" t="s">
        <v>554</v>
      </c>
      <c r="Y788" s="172">
        <f>IFERROR(-tblZwaste1422[[#This Row],[Weight (kgCO2e/kg)]],0)</f>
        <v>-4.0364225925925927</v>
      </c>
      <c r="Z788" s="172" t="str">
        <f>IF(AQ788="x",(AR788*-tblZwaste1422[[#This Row],[Weight (kgCO2e/kg)]])+AS788+($AR$10*Lookups!$J$38/1000),"DELETE")</f>
        <v>DELETE</v>
      </c>
      <c r="AA788" s="176" t="s">
        <v>567</v>
      </c>
      <c r="AB788" s="172">
        <v>-0.50424761106489302</v>
      </c>
      <c r="AC788" s="172">
        <v>-0.86499745406816497</v>
      </c>
      <c r="AD788" s="172">
        <v>-0.17296811665727099</v>
      </c>
      <c r="AE788" s="172">
        <v>-0.23598961919924699</v>
      </c>
      <c r="AF788" s="172">
        <v>2.75292360645727E-2</v>
      </c>
      <c r="AG788" s="150"/>
      <c r="AI788" s="137">
        <v>10</v>
      </c>
      <c r="AJ788" s="136" t="s">
        <v>529</v>
      </c>
      <c r="AK788" s="142" t="s">
        <v>260</v>
      </c>
      <c r="AL788" s="5" t="s">
        <v>549</v>
      </c>
      <c r="AM788" s="5" t="s">
        <v>554</v>
      </c>
      <c r="AN788" s="1">
        <v>4.0364225925925927</v>
      </c>
      <c r="AO788" s="166">
        <v>1.3856655555555555</v>
      </c>
      <c r="AQ788">
        <f>_xlfn.XLOOKUP(tblGWP21[[#This Row],[Material Subcategory]],ls_Mat,Factors!$K$952:$K$1023)</f>
        <v>0</v>
      </c>
      <c r="AR788" s="173"/>
      <c r="BA788" cm="1">
        <f t="array" ref="BA788:BM788">tblGWP21[#This Row]</f>
        <v>10</v>
      </c>
      <c r="BB788" t="str">
        <v>Food Waste</v>
      </c>
      <c r="BC788" t="str">
        <v>Mixed Organics</v>
      </c>
      <c r="BD788" t="str">
        <v>North America</v>
      </c>
      <c r="BE788" t="str">
        <v>United States</v>
      </c>
      <c r="BF788">
        <v>-4.0364225925925927</v>
      </c>
      <c r="BG788" t="str">
        <v>DELETE</v>
      </c>
      <c r="BH788" t="str">
        <v>DELETE</v>
      </c>
      <c r="BI788">
        <v>-0.50424761106489302</v>
      </c>
      <c r="BJ788">
        <v>-0.86499745406816497</v>
      </c>
      <c r="BK788">
        <v>-0.17296811665727099</v>
      </c>
      <c r="BL788">
        <v>-0.23598961919924699</v>
      </c>
      <c r="BM788">
        <v>2.75292360645727E-2</v>
      </c>
    </row>
    <row r="789" spans="3:65">
      <c r="C789" s="362">
        <v>10</v>
      </c>
      <c r="D789" s="363" t="s">
        <v>256</v>
      </c>
      <c r="E789" s="362" t="s">
        <v>256</v>
      </c>
      <c r="F789" s="362" t="s">
        <v>549</v>
      </c>
      <c r="G789" s="362" t="s">
        <v>554</v>
      </c>
      <c r="H789" s="368">
        <v>-3.3097799999999999</v>
      </c>
      <c r="I789" s="368">
        <v>-3.2267017926999997</v>
      </c>
      <c r="J789" s="368">
        <v>-12.271975409147945</v>
      </c>
      <c r="K789" s="368">
        <v>0</v>
      </c>
      <c r="L789" s="368">
        <v>0</v>
      </c>
      <c r="M789" s="368">
        <v>2.59399764855992E-2</v>
      </c>
      <c r="N789" s="368">
        <v>-0.105499204724518</v>
      </c>
      <c r="O789" s="368">
        <v>-8.9136358837795138E-2</v>
      </c>
      <c r="T789" s="137">
        <v>10</v>
      </c>
      <c r="U789" s="137" t="s">
        <v>237</v>
      </c>
      <c r="V789" s="136" t="s">
        <v>237</v>
      </c>
      <c r="W789" s="136" t="s">
        <v>549</v>
      </c>
      <c r="X789" s="136" t="s">
        <v>554</v>
      </c>
      <c r="Y789" s="172">
        <f>IFERROR(-tblZwaste1422[[#This Row],[Weight (kgCO2e/kg)]],0)</f>
        <v>-2.8533815875203707</v>
      </c>
      <c r="Z789" s="172" t="e">
        <f>IF(AQ789="x",(AR789*-tblZwaste1422[[#This Row],[Weight (kgCO2e/kg)]])+AS789+($AR$10*Lookups!$J$38/1000),"DELETE")</f>
        <v>#N/A</v>
      </c>
      <c r="AA789" s="172" t="s">
        <v>567</v>
      </c>
      <c r="AB789" s="172" t="s">
        <v>567</v>
      </c>
      <c r="AC789" s="172" t="s">
        <v>567</v>
      </c>
      <c r="AD789" s="172">
        <v>-0.46442343902904221</v>
      </c>
      <c r="AE789" s="172">
        <v>-0.5307638195714357</v>
      </c>
      <c r="AF789" s="172">
        <v>2.7968365619238648E-2</v>
      </c>
      <c r="AG789" s="150"/>
      <c r="AI789" s="137">
        <v>10</v>
      </c>
      <c r="AJ789" s="136" t="s">
        <v>237</v>
      </c>
      <c r="AK789" s="142" t="s">
        <v>237</v>
      </c>
      <c r="AL789" s="5" t="s">
        <v>549</v>
      </c>
      <c r="AM789" s="5" t="s">
        <v>554</v>
      </c>
      <c r="AN789" s="1">
        <v>2.8533815875203707</v>
      </c>
      <c r="AO789" s="166">
        <v>1.0711602172222223</v>
      </c>
      <c r="AQ789" t="e">
        <f>_xlfn.XLOOKUP(tblGWP21[[#This Row],[Material Subcategory]],ls_Mat,Factors!$K$952:$K$1023)</f>
        <v>#N/A</v>
      </c>
      <c r="AR789" s="173">
        <v>0.5</v>
      </c>
      <c r="AS789">
        <v>0</v>
      </c>
      <c r="AT789" t="s">
        <v>527</v>
      </c>
      <c r="BA789" cm="1">
        <f t="array" ref="BA789:BM789">tblGWP21[#This Row]</f>
        <v>10</v>
      </c>
      <c r="BB789" t="str">
        <v>Mixed/Custom</v>
      </c>
      <c r="BC789" t="str">
        <v>Mixed/Custom</v>
      </c>
      <c r="BD789" t="str">
        <v>North America</v>
      </c>
      <c r="BE789" t="str">
        <v>United States</v>
      </c>
      <c r="BF789">
        <v>-2.8533815875203707</v>
      </c>
      <c r="BG789" t="e">
        <v>#N/A</v>
      </c>
      <c r="BH789" t="str">
        <v>DELETE</v>
      </c>
      <c r="BI789" t="str">
        <v>DELETE</v>
      </c>
      <c r="BJ789" t="str">
        <v>DELETE</v>
      </c>
      <c r="BK789">
        <v>-0.46442343902904221</v>
      </c>
      <c r="BL789">
        <v>-0.5307638195714357</v>
      </c>
      <c r="BM789">
        <v>2.7968365619238648E-2</v>
      </c>
    </row>
    <row r="790" spans="3:65">
      <c r="C790" s="136">
        <v>10</v>
      </c>
      <c r="D790" s="137" t="s">
        <v>256</v>
      </c>
      <c r="E790" s="136" t="s">
        <v>536</v>
      </c>
      <c r="F790" s="136" t="s">
        <v>549</v>
      </c>
      <c r="G790" s="136" t="s">
        <v>554</v>
      </c>
      <c r="H790" s="191">
        <v>-1.9798800000000001</v>
      </c>
      <c r="I790" s="191">
        <v>-1.8968017927</v>
      </c>
      <c r="J790" s="191">
        <v>-2.2492474107615306</v>
      </c>
      <c r="K790" s="191">
        <v>0</v>
      </c>
      <c r="L790" s="191">
        <v>0</v>
      </c>
      <c r="M790" s="191">
        <v>2.6019952971198398E-2</v>
      </c>
      <c r="N790" s="191">
        <v>-0.155639944451124</v>
      </c>
      <c r="O790" s="191">
        <v>-0.13017748376343699</v>
      </c>
      <c r="T790" s="137">
        <v>10</v>
      </c>
      <c r="U790" s="137" t="s">
        <v>237</v>
      </c>
      <c r="V790" s="136" t="s">
        <v>246</v>
      </c>
      <c r="W790" s="136" t="s">
        <v>549</v>
      </c>
      <c r="X790" s="136" t="s">
        <v>554</v>
      </c>
      <c r="Y790" s="172">
        <f>IFERROR(-tblZwaste1422[[#This Row],[Weight (kgCO2e/kg)]],0)</f>
        <v>-7.3412433500000009</v>
      </c>
      <c r="Z790" s="172" t="str">
        <f>IF(AQ790="x",(AR790*-tblZwaste1422[[#This Row],[Weight (kgCO2e/kg)]])+AS790+($AR$10*Lookups!$J$38/1000),"DELETE")</f>
        <v>DELETE</v>
      </c>
      <c r="AA790" s="176" t="s">
        <v>567</v>
      </c>
      <c r="AB790" s="172" t="s">
        <v>567</v>
      </c>
      <c r="AC790" s="172" t="s">
        <v>567</v>
      </c>
      <c r="AD790" s="172">
        <v>2.60200015729753E-2</v>
      </c>
      <c r="AE790" s="172">
        <v>4.1898673724089897E-2</v>
      </c>
      <c r="AF790" s="172">
        <v>4.8911448565512099E-2</v>
      </c>
      <c r="AG790" s="150"/>
      <c r="AI790" s="137">
        <v>10</v>
      </c>
      <c r="AJ790" s="136" t="s">
        <v>237</v>
      </c>
      <c r="AK790" s="142" t="s">
        <v>246</v>
      </c>
      <c r="AL790" s="5" t="s">
        <v>549</v>
      </c>
      <c r="AM790" s="5" t="s">
        <v>554</v>
      </c>
      <c r="AN790" s="1">
        <v>7.3412433500000009</v>
      </c>
      <c r="AO790" s="166">
        <v>0.66842500000000005</v>
      </c>
      <c r="AQ790">
        <f>_xlfn.XLOOKUP(tblGWP21[[#This Row],[Material Subcategory]],ls_Mat,Factors!$K$952:$K$1023)</f>
        <v>0</v>
      </c>
      <c r="AR790" s="173"/>
      <c r="BA790" cm="1">
        <f t="array" ref="BA790:BM790">tblGWP21[#This Row]</f>
        <v>10</v>
      </c>
      <c r="BB790" t="str">
        <v>Mixed/Custom</v>
      </c>
      <c r="BC790" t="str">
        <v>Mixed Inorganics</v>
      </c>
      <c r="BD790" t="str">
        <v>North America</v>
      </c>
      <c r="BE790" t="str">
        <v>United States</v>
      </c>
      <c r="BF790">
        <v>-7.3412433500000009</v>
      </c>
      <c r="BG790" t="str">
        <v>DELETE</v>
      </c>
      <c r="BH790" t="str">
        <v>DELETE</v>
      </c>
      <c r="BI790" t="str">
        <v>DELETE</v>
      </c>
      <c r="BJ790" t="str">
        <v>DELETE</v>
      </c>
      <c r="BK790">
        <v>2.60200015729753E-2</v>
      </c>
      <c r="BL790">
        <v>4.1898673724089897E-2</v>
      </c>
      <c r="BM790">
        <v>4.8911448565512099E-2</v>
      </c>
    </row>
    <row r="791" spans="3:65">
      <c r="C791" s="362">
        <v>10</v>
      </c>
      <c r="D791" s="363" t="s">
        <v>256</v>
      </c>
      <c r="E791" s="362" t="s">
        <v>257</v>
      </c>
      <c r="F791" s="362" t="s">
        <v>549</v>
      </c>
      <c r="G791" s="362" t="s">
        <v>554</v>
      </c>
      <c r="H791" s="368">
        <v>-1.9798800000000001</v>
      </c>
      <c r="I791" s="368">
        <v>-1.8968017927</v>
      </c>
      <c r="J791" s="368">
        <v>-2.2492474107615306</v>
      </c>
      <c r="K791" s="368">
        <v>0</v>
      </c>
      <c r="L791" s="368">
        <v>0</v>
      </c>
      <c r="M791" s="368">
        <v>2.6019952971198398E-2</v>
      </c>
      <c r="N791" s="368">
        <v>-0.155639944451124</v>
      </c>
      <c r="O791" s="368">
        <v>-0.13017748376343699</v>
      </c>
      <c r="T791" s="137">
        <v>10</v>
      </c>
      <c r="U791" s="137" t="s">
        <v>237</v>
      </c>
      <c r="V791" s="136" t="s">
        <v>243</v>
      </c>
      <c r="W791" s="136" t="s">
        <v>549</v>
      </c>
      <c r="X791" s="136" t="s">
        <v>554</v>
      </c>
      <c r="Y791" s="172">
        <f>IFERROR(-tblZwaste1422[[#This Row],[Weight (kgCO2e/kg)]],0)</f>
        <v>-2.8533815875203707</v>
      </c>
      <c r="Z791" s="172" t="e">
        <f>IF(AQ791="x",(AR791*-tblZwaste1422[[#This Row],[Weight (kgCO2e/kg)]])+AS791+($AR$10*Lookups!$J$38/1000),"DELETE")</f>
        <v>#N/A</v>
      </c>
      <c r="AA791" s="176" t="s">
        <v>567</v>
      </c>
      <c r="AB791" s="172">
        <v>-1.0338891788384312</v>
      </c>
      <c r="AC791" s="172">
        <v>-1.5963018297598994</v>
      </c>
      <c r="AD791" s="172">
        <v>-0.46442343902904221</v>
      </c>
      <c r="AE791" s="172">
        <v>-0.5307638195714357</v>
      </c>
      <c r="AF791" s="172">
        <v>2.7968365619238648E-2</v>
      </c>
      <c r="AG791" s="150"/>
      <c r="AI791" s="137">
        <v>10</v>
      </c>
      <c r="AJ791" s="136" t="s">
        <v>237</v>
      </c>
      <c r="AK791" s="142" t="s">
        <v>243</v>
      </c>
      <c r="AL791" s="5" t="s">
        <v>549</v>
      </c>
      <c r="AM791" s="5" t="s">
        <v>554</v>
      </c>
      <c r="AN791" s="1">
        <v>2.8533815875203707</v>
      </c>
      <c r="AO791" s="166">
        <v>1.0711602172222223</v>
      </c>
      <c r="AQ791" t="e">
        <f>_xlfn.XLOOKUP(tblGWP21[[#This Row],[Material Subcategory]],ls_Mat,Factors!$K$952:$K$1023)</f>
        <v>#N/A</v>
      </c>
      <c r="AR791" s="173"/>
      <c r="BA791" cm="1">
        <f t="array" ref="BA791:BM791">tblGWP21[#This Row]</f>
        <v>10</v>
      </c>
      <c r="BB791" t="str">
        <v>Mixed/Custom</v>
      </c>
      <c r="BC791" t="str">
        <v>Mixed MSW</v>
      </c>
      <c r="BD791" t="str">
        <v>North America</v>
      </c>
      <c r="BE791" t="str">
        <v>United States</v>
      </c>
      <c r="BF791">
        <v>-2.8533815875203707</v>
      </c>
      <c r="BG791" t="e">
        <v>#N/A</v>
      </c>
      <c r="BH791" t="str">
        <v>DELETE</v>
      </c>
      <c r="BI791">
        <v>-1.0338891788384312</v>
      </c>
      <c r="BJ791">
        <v>-1.5963018297598994</v>
      </c>
      <c r="BK791">
        <v>-0.46442343902904221</v>
      </c>
      <c r="BL791">
        <v>-0.5307638195714357</v>
      </c>
      <c r="BM791">
        <v>2.7968365619238648E-2</v>
      </c>
    </row>
    <row r="792" spans="3:65">
      <c r="C792" s="364">
        <v>10</v>
      </c>
      <c r="D792" s="365" t="s">
        <v>256</v>
      </c>
      <c r="E792" s="364" t="s">
        <v>537</v>
      </c>
      <c r="F792" s="364" t="s">
        <v>549</v>
      </c>
      <c r="G792" s="364" t="s">
        <v>554</v>
      </c>
      <c r="H792" s="191">
        <v>-5.0082800000000001</v>
      </c>
      <c r="I792" s="191">
        <v>-4.9252017927000002</v>
      </c>
      <c r="J792" s="191">
        <v>-4.8466746536373462</v>
      </c>
      <c r="K792" s="191">
        <v>0</v>
      </c>
      <c r="L792" s="191">
        <v>0</v>
      </c>
      <c r="M792" s="191">
        <v>2.5860000000000001E-2</v>
      </c>
      <c r="N792" s="191">
        <v>-5.5358464997911999E-2</v>
      </c>
      <c r="O792" s="191">
        <v>-4.8095233912153298E-2</v>
      </c>
      <c r="T792" s="139">
        <v>10</v>
      </c>
      <c r="U792" s="139" t="s">
        <v>252</v>
      </c>
      <c r="V792" s="140" t="s">
        <v>333</v>
      </c>
      <c r="W792" s="140" t="s">
        <v>549</v>
      </c>
      <c r="X792" s="140" t="s">
        <v>554</v>
      </c>
      <c r="Y792" s="172">
        <f>IFERROR(-tblZwaste1422[[#This Row],[Weight (kgCO2e/kg)]],0)</f>
        <v>-2.0953266666666663</v>
      </c>
      <c r="Z792" s="172" t="str">
        <f>IF(AQ792="x",(AR792*-tblZwaste1422[[#This Row],[Weight (kgCO2e/kg)]])+AS792+($AR$10*Lookups!$J$38/1000),"DELETE")</f>
        <v>DELETE</v>
      </c>
      <c r="AA792" s="176">
        <v>-4.4031642132168303</v>
      </c>
      <c r="AB792" s="172" t="s">
        <v>567</v>
      </c>
      <c r="AC792" s="172" t="s">
        <v>567</v>
      </c>
      <c r="AD792" s="172">
        <v>2.60199740497906E-2</v>
      </c>
      <c r="AE792" s="172">
        <v>0.64940927760600697</v>
      </c>
      <c r="AF792" s="172">
        <v>2.1870242966247302</v>
      </c>
      <c r="AG792" s="150"/>
      <c r="AI792" s="137">
        <v>10</v>
      </c>
      <c r="AJ792" s="136" t="s">
        <v>252</v>
      </c>
      <c r="AK792" s="142" t="s">
        <v>333</v>
      </c>
      <c r="AL792" s="5" t="s">
        <v>549</v>
      </c>
      <c r="AM792" s="5" t="s">
        <v>554</v>
      </c>
      <c r="AN792" s="1">
        <v>2.0953266666666663</v>
      </c>
      <c r="AO792" s="166">
        <v>1.77911</v>
      </c>
      <c r="AQ792">
        <f>_xlfn.XLOOKUP(tblGWP21[[#This Row],[Material Subcategory]],ls_Mat,Factors!$K$952:$K$1023)</f>
        <v>0</v>
      </c>
      <c r="AR792" s="173"/>
      <c r="BA792" cm="1">
        <f t="array" ref="BA792:BM792">tblGWP21[#This Row]</f>
        <v>10</v>
      </c>
      <c r="BB792" t="str">
        <v>Plastics</v>
      </c>
      <c r="BC792" t="str">
        <v>Mixed Plastics</v>
      </c>
      <c r="BD792" t="str">
        <v>North America</v>
      </c>
      <c r="BE792" t="str">
        <v>United States</v>
      </c>
      <c r="BF792">
        <v>-2.0953266666666663</v>
      </c>
      <c r="BG792" t="str">
        <v>DELETE</v>
      </c>
      <c r="BH792">
        <v>-4.4031642132168303</v>
      </c>
      <c r="BI792" t="str">
        <v>DELETE</v>
      </c>
      <c r="BJ792" t="str">
        <v>DELETE</v>
      </c>
      <c r="BK792">
        <v>2.60199740497906E-2</v>
      </c>
      <c r="BL792">
        <v>0.64940927760600697</v>
      </c>
      <c r="BM792">
        <v>2.1870242966247302</v>
      </c>
    </row>
    <row r="793" spans="3:65">
      <c r="C793" s="362">
        <v>10</v>
      </c>
      <c r="D793" s="363" t="s">
        <v>256</v>
      </c>
      <c r="E793" s="362" t="s">
        <v>538</v>
      </c>
      <c r="F793" s="362" t="s">
        <v>549</v>
      </c>
      <c r="G793" s="362" t="s">
        <v>554</v>
      </c>
      <c r="H793" s="368">
        <v>-4.6396800000000002</v>
      </c>
      <c r="I793" s="368">
        <v>0</v>
      </c>
      <c r="J793" s="368">
        <v>0</v>
      </c>
      <c r="K793" s="368">
        <v>0</v>
      </c>
      <c r="L793" s="368">
        <v>0</v>
      </c>
      <c r="M793" s="368">
        <v>2.5860000000000001E-2</v>
      </c>
      <c r="N793" s="368">
        <v>-5.19355629919796E-2</v>
      </c>
      <c r="O793" s="368">
        <v>-4.8095233912153298E-2</v>
      </c>
      <c r="T793" s="137">
        <v>10</v>
      </c>
      <c r="U793" s="137" t="s">
        <v>239</v>
      </c>
      <c r="V793" s="136" t="s">
        <v>542</v>
      </c>
      <c r="W793" s="136" t="s">
        <v>549</v>
      </c>
      <c r="X793" s="136" t="s">
        <v>554</v>
      </c>
      <c r="Y793" s="172">
        <f>IFERROR(-tblZwaste1422[[#This Row],[Weight (kgCO2e/kg)]],0)</f>
        <v>-2.6644477777777777</v>
      </c>
      <c r="Z793" s="172" t="str">
        <f>IF(AQ793="x",(AR793*-tblZwaste1422[[#This Row],[Weight (kgCO2e/kg)]])+AS793+($AR$10*Lookups!$J$38/1000),"DELETE")</f>
        <v>DELETE</v>
      </c>
      <c r="AA793" s="176">
        <v>-0.81595749427219999</v>
      </c>
      <c r="AB793" s="172">
        <v>-1.64158743716123</v>
      </c>
      <c r="AC793" s="172">
        <v>-2.38754843308678</v>
      </c>
      <c r="AD793" s="172">
        <v>-0.64284530934226303</v>
      </c>
      <c r="AE793" s="172">
        <v>-0.82792797542140595</v>
      </c>
      <c r="AF793" s="172">
        <v>2.7471426996727999E-2</v>
      </c>
      <c r="AG793" s="150"/>
      <c r="AI793" s="137">
        <v>10</v>
      </c>
      <c r="AJ793" s="136" t="s">
        <v>239</v>
      </c>
      <c r="AK793" s="142" t="s">
        <v>542</v>
      </c>
      <c r="AL793" s="5" t="s">
        <v>549</v>
      </c>
      <c r="AM793" s="5" t="s">
        <v>554</v>
      </c>
      <c r="AN793" s="1">
        <v>2.6644477777777777</v>
      </c>
      <c r="AO793" s="166">
        <v>0.64099666666666666</v>
      </c>
      <c r="AQ793">
        <f>_xlfn.XLOOKUP(tblGWP21[[#This Row],[Material Subcategory]],ls_Mat,Factors!$K$952:$K$1023)</f>
        <v>0</v>
      </c>
      <c r="BA793" cm="1">
        <f t="array" ref="BA793:BM793">tblGWP21[#This Row]</f>
        <v>10</v>
      </c>
      <c r="BB793" t="str">
        <v>Paper</v>
      </c>
      <c r="BC793" t="str">
        <v>Mixed Paper</v>
      </c>
      <c r="BD793" t="str">
        <v>North America</v>
      </c>
      <c r="BE793" t="str">
        <v>United States</v>
      </c>
      <c r="BF793">
        <v>-2.6644477777777777</v>
      </c>
      <c r="BG793" t="str">
        <v>DELETE</v>
      </c>
      <c r="BH793">
        <v>-0.81595749427219999</v>
      </c>
      <c r="BI793">
        <v>-1.64158743716123</v>
      </c>
      <c r="BJ793">
        <v>-2.38754843308678</v>
      </c>
      <c r="BK793">
        <v>-0.64284530934226303</v>
      </c>
      <c r="BL793">
        <v>-0.82792797542140595</v>
      </c>
      <c r="BM793">
        <v>2.7471426996727999E-2</v>
      </c>
    </row>
    <row r="794" spans="3:65">
      <c r="C794" s="136">
        <v>10</v>
      </c>
      <c r="D794" s="137" t="s">
        <v>256</v>
      </c>
      <c r="E794" s="136" t="s">
        <v>258</v>
      </c>
      <c r="F794" s="136" t="s">
        <v>549</v>
      </c>
      <c r="G794" s="136" t="s">
        <v>554</v>
      </c>
      <c r="H794" s="191">
        <v>-4.6396800000000002</v>
      </c>
      <c r="I794" s="191">
        <v>-4.5566017927000004</v>
      </c>
      <c r="J794" s="191">
        <v>-4.6983070621994703</v>
      </c>
      <c r="K794" s="191">
        <v>0</v>
      </c>
      <c r="L794" s="191">
        <v>0</v>
      </c>
      <c r="M794" s="191">
        <v>2.5860000000000001E-2</v>
      </c>
      <c r="N794" s="191">
        <v>-5.5358464997911902E-2</v>
      </c>
      <c r="O794" s="191">
        <v>-4.8095233912153298E-2</v>
      </c>
      <c r="T794" s="137">
        <v>10</v>
      </c>
      <c r="U794" s="137" t="s">
        <v>237</v>
      </c>
      <c r="V794" s="136" t="s">
        <v>238</v>
      </c>
      <c r="W794" s="136" t="s">
        <v>549</v>
      </c>
      <c r="X794" s="136" t="s">
        <v>554</v>
      </c>
      <c r="Y794" s="172">
        <f>IFERROR(-tblZwaste1422[[#This Row],[Weight (kgCO2e/kg)]],0)</f>
        <v>-2.7046544444444445</v>
      </c>
      <c r="Z794" s="172" t="str">
        <f>IF(AQ794="x",(AR794*-tblZwaste1422[[#This Row],[Weight (kgCO2e/kg)]])+AS794+($AR$10*Lookups!$J$38/1000),"DELETE")</f>
        <v>DELETE</v>
      </c>
      <c r="AA794" s="176" t="s">
        <v>567</v>
      </c>
      <c r="AB794" s="172" t="s">
        <v>567</v>
      </c>
      <c r="AC794" s="172" t="s">
        <v>567</v>
      </c>
      <c r="AD794" s="172">
        <v>-0.14121634787447954</v>
      </c>
      <c r="AE794" s="172">
        <v>-6.3188303621811923E-2</v>
      </c>
      <c r="AF794" s="172">
        <v>0.54356808251909006</v>
      </c>
      <c r="AG794" s="150"/>
      <c r="AI794" s="137">
        <v>10</v>
      </c>
      <c r="AJ794" s="136" t="s">
        <v>237</v>
      </c>
      <c r="AK794" s="142" t="s">
        <v>238</v>
      </c>
      <c r="AL794" s="5" t="s">
        <v>549</v>
      </c>
      <c r="AM794" s="5" t="s">
        <v>554</v>
      </c>
      <c r="AN794" s="1">
        <v>2.7046544444444445</v>
      </c>
      <c r="AO794" s="166">
        <v>1.2161291666666667</v>
      </c>
      <c r="AQ794">
        <f>_xlfn.XLOOKUP(tblGWP21[[#This Row],[Material Subcategory]],ls_Mat,Factors!$K$952:$K$1023)</f>
        <v>0</v>
      </c>
      <c r="BA794" cm="1">
        <f t="array" ref="BA794:BM794">tblGWP21[#This Row]</f>
        <v>10</v>
      </c>
      <c r="BB794" t="str">
        <v>Mixed/Custom</v>
      </c>
      <c r="BC794" t="str">
        <v>Mixed Recycling</v>
      </c>
      <c r="BD794" t="str">
        <v>North America</v>
      </c>
      <c r="BE794" t="str">
        <v>United States</v>
      </c>
      <c r="BF794">
        <v>-2.7046544444444445</v>
      </c>
      <c r="BG794" t="str">
        <v>DELETE</v>
      </c>
      <c r="BH794" t="str">
        <v>DELETE</v>
      </c>
      <c r="BI794" t="str">
        <v>DELETE</v>
      </c>
      <c r="BJ794" t="str">
        <v>DELETE</v>
      </c>
      <c r="BK794">
        <v>-0.14121634787447954</v>
      </c>
      <c r="BL794">
        <v>-6.3188303621811923E-2</v>
      </c>
      <c r="BM794">
        <v>0.54356808251909006</v>
      </c>
    </row>
    <row r="795" spans="3:65">
      <c r="C795" s="362">
        <v>10</v>
      </c>
      <c r="D795" s="363" t="s">
        <v>247</v>
      </c>
      <c r="E795" s="362" t="s">
        <v>247</v>
      </c>
      <c r="F795" s="362" t="s">
        <v>549</v>
      </c>
      <c r="G795" s="362" t="s">
        <v>554</v>
      </c>
      <c r="H795" s="368">
        <v>-1.0505633333333335</v>
      </c>
      <c r="I795" s="368">
        <v>-0.96748512603333348</v>
      </c>
      <c r="J795" s="368">
        <v>-0.31504617601203688</v>
      </c>
      <c r="K795" s="368">
        <v>0</v>
      </c>
      <c r="L795" s="368">
        <v>0</v>
      </c>
      <c r="M795" s="368">
        <v>2.6019967308955099E-2</v>
      </c>
      <c r="N795" s="368">
        <v>3.1264688052669298E-2</v>
      </c>
      <c r="O795" s="368">
        <v>4.89129652926968E-2</v>
      </c>
      <c r="T795" s="137">
        <v>10</v>
      </c>
      <c r="U795" s="137" t="s">
        <v>264</v>
      </c>
      <c r="V795" s="136" t="s">
        <v>264</v>
      </c>
      <c r="W795" s="136" t="s">
        <v>549</v>
      </c>
      <c r="X795" s="136" t="s">
        <v>554</v>
      </c>
      <c r="Y795" s="172">
        <f>IFERROR(-tblZwaste1422[[#This Row],[Weight (kgCO2e/kg)]],0)</f>
        <v>-1.9287117500000002</v>
      </c>
      <c r="Z795" s="172" t="e">
        <f>IF(AQ795="x",(AR795*-tblZwaste1422[[#This Row],[Weight (kgCO2e/kg)]])+AS795+($AR$10*Lookups!$J$38/1000),"DELETE")</f>
        <v>#N/A</v>
      </c>
      <c r="AA795" s="172">
        <f>AA799</f>
        <v>0.15112249999999994</v>
      </c>
      <c r="AB795" s="172" t="s">
        <v>567</v>
      </c>
      <c r="AC795" s="172" t="s">
        <v>567</v>
      </c>
      <c r="AD795" s="172">
        <v>-0.33872554887307282</v>
      </c>
      <c r="AE795" s="172">
        <v>-0.47288635278263841</v>
      </c>
      <c r="AF795" s="172">
        <v>0.46011654330354335</v>
      </c>
      <c r="AG795" s="150"/>
      <c r="AI795" s="137">
        <v>10</v>
      </c>
      <c r="AJ795" s="136" t="s">
        <v>264</v>
      </c>
      <c r="AK795" s="142" t="s">
        <v>264</v>
      </c>
      <c r="AL795" s="5" t="s">
        <v>549</v>
      </c>
      <c r="AM795" s="5" t="s">
        <v>554</v>
      </c>
      <c r="AN795" s="1">
        <v>1.9287117500000002</v>
      </c>
      <c r="AO795" s="166">
        <v>0.467055</v>
      </c>
      <c r="AQ795" t="e">
        <f>_xlfn.XLOOKUP(tblGWP21[[#This Row],[Material Subcategory]],ls_Mat,Factors!$K$952:$K$1023)</f>
        <v>#N/A</v>
      </c>
      <c r="AR795" s="173">
        <v>0.65</v>
      </c>
      <c r="AS795">
        <v>0.14482945764999999</v>
      </c>
      <c r="AT795" t="s">
        <v>541</v>
      </c>
      <c r="BA795" cm="1">
        <f t="array" ref="BA795:BM795">tblGWP21[#This Row]</f>
        <v>10</v>
      </c>
      <c r="BB795" t="str">
        <v>Furniture/Textiles</v>
      </c>
      <c r="BC795" t="str">
        <v>Furniture/Textiles</v>
      </c>
      <c r="BD795" t="str">
        <v>North America</v>
      </c>
      <c r="BE795" t="str">
        <v>United States</v>
      </c>
      <c r="BF795">
        <v>-1.9287117500000002</v>
      </c>
      <c r="BG795" t="e">
        <v>#N/A</v>
      </c>
      <c r="BH795">
        <v>0.15112249999999994</v>
      </c>
      <c r="BI795" t="str">
        <v>DELETE</v>
      </c>
      <c r="BJ795" t="str">
        <v>DELETE</v>
      </c>
      <c r="BK795">
        <v>-0.33872554887307282</v>
      </c>
      <c r="BL795">
        <v>-0.47288635278263841</v>
      </c>
      <c r="BM795">
        <v>0.46011654330354335</v>
      </c>
    </row>
    <row r="796" spans="3:65">
      <c r="C796" s="136">
        <v>10</v>
      </c>
      <c r="D796" s="137" t="s">
        <v>247</v>
      </c>
      <c r="E796" s="136" t="s">
        <v>248</v>
      </c>
      <c r="F796" s="136" t="s">
        <v>549</v>
      </c>
      <c r="G796" s="136" t="s">
        <v>554</v>
      </c>
      <c r="H796" s="191">
        <v>-1.0606100000000001</v>
      </c>
      <c r="I796" s="191">
        <v>-0.97753179270000001</v>
      </c>
      <c r="J796" s="191">
        <v>-0.1687117086478816</v>
      </c>
      <c r="K796" s="191">
        <v>0</v>
      </c>
      <c r="L796" s="191">
        <v>0</v>
      </c>
      <c r="M796" s="191">
        <v>2.6019973288491701E-2</v>
      </c>
      <c r="N796" s="191">
        <v>3.4951399434630701E-2</v>
      </c>
      <c r="O796" s="191">
        <v>4.8911781687089997E-2</v>
      </c>
      <c r="T796" s="137">
        <v>10</v>
      </c>
      <c r="U796" s="137" t="s">
        <v>264</v>
      </c>
      <c r="V796" s="136" t="s">
        <v>336</v>
      </c>
      <c r="W796" s="136" t="s">
        <v>549</v>
      </c>
      <c r="X796" s="136" t="s">
        <v>554</v>
      </c>
      <c r="Y796" s="172">
        <f>IFERROR(-tblZwaste1422[[#This Row],[Weight (kgCO2e/kg)]],0)</f>
        <v>-0.76351350000000007</v>
      </c>
      <c r="Z796" s="172">
        <f>IF(AQ796="x",(AR796*-tblZwaste1422[[#This Row],[Weight (kgCO2e/kg)]])+AS796+($AR$10*Lookups!$J$38/1000),"DELETE")</f>
        <v>-0.34968251735000005</v>
      </c>
      <c r="AA796" s="176" t="s">
        <v>567</v>
      </c>
      <c r="AB796" s="172">
        <v>-1.64858128637256</v>
      </c>
      <c r="AC796" s="172">
        <v>-2.6232632691083699</v>
      </c>
      <c r="AD796" s="172">
        <v>-0.99872072049155869</v>
      </c>
      <c r="AE796" s="172">
        <v>-0.70940193844450683</v>
      </c>
      <c r="AF796" s="172">
        <v>0.21093768536563368</v>
      </c>
      <c r="AG796" s="150"/>
      <c r="AI796" s="137">
        <v>10</v>
      </c>
      <c r="AJ796" s="136" t="s">
        <v>264</v>
      </c>
      <c r="AK796" s="142" t="s">
        <v>336</v>
      </c>
      <c r="AL796" s="5" t="s">
        <v>549</v>
      </c>
      <c r="AM796" s="5" t="s">
        <v>554</v>
      </c>
      <c r="AN796" s="1">
        <v>0.76351350000000007</v>
      </c>
      <c r="AO796" s="166">
        <v>0.43603999999999998</v>
      </c>
      <c r="AQ796" t="str">
        <f>_xlfn.XLOOKUP(tblGWP21[[#This Row],[Material Subcategory]],ls_Mat,Factors!$K$952:$K$1023)</f>
        <v>x</v>
      </c>
      <c r="AR796" s="173">
        <v>0.65</v>
      </c>
      <c r="AS796">
        <v>0.14482945764999999</v>
      </c>
      <c r="AT796" t="s">
        <v>541</v>
      </c>
      <c r="BA796" cm="1">
        <f t="array" ref="BA796:BM796">tblGWP21[#This Row]</f>
        <v>10</v>
      </c>
      <c r="BB796" t="str">
        <v>Furniture/Textiles</v>
      </c>
      <c r="BC796" t="str">
        <v>Furniture</v>
      </c>
      <c r="BD796" t="str">
        <v>North America</v>
      </c>
      <c r="BE796" t="str">
        <v>United States</v>
      </c>
      <c r="BF796">
        <v>-0.76351350000000007</v>
      </c>
      <c r="BG796">
        <v>-0.34968251735000005</v>
      </c>
      <c r="BH796" t="str">
        <v>DELETE</v>
      </c>
      <c r="BI796">
        <v>-1.64858128637256</v>
      </c>
      <c r="BJ796">
        <v>-2.6232632691083699</v>
      </c>
      <c r="BK796">
        <v>-0.99872072049155869</v>
      </c>
      <c r="BL796">
        <v>-0.70940193844450683</v>
      </c>
      <c r="BM796">
        <v>0.21093768536563368</v>
      </c>
    </row>
    <row r="797" spans="3:65">
      <c r="C797" s="362">
        <v>10</v>
      </c>
      <c r="D797" s="363" t="s">
        <v>247</v>
      </c>
      <c r="E797" s="362" t="s">
        <v>263</v>
      </c>
      <c r="F797" s="362" t="s">
        <v>549</v>
      </c>
      <c r="G797" s="362" t="s">
        <v>554</v>
      </c>
      <c r="H797" s="368">
        <v>-1.0341199999999999</v>
      </c>
      <c r="I797" s="368">
        <v>-0.95104179269999989</v>
      </c>
      <c r="J797" s="368">
        <v>-0.1687117086478816</v>
      </c>
      <c r="K797" s="368">
        <v>0</v>
      </c>
      <c r="L797" s="368">
        <v>0</v>
      </c>
      <c r="M797" s="368">
        <v>2.6019976994057802E-2</v>
      </c>
      <c r="N797" s="368">
        <v>3.7161449527154597E-2</v>
      </c>
      <c r="O797" s="368">
        <v>4.8911857255228397E-2</v>
      </c>
      <c r="T797" s="137">
        <v>10</v>
      </c>
      <c r="U797" s="137" t="s">
        <v>242</v>
      </c>
      <c r="V797" s="136" t="s">
        <v>251</v>
      </c>
      <c r="W797" s="136" t="s">
        <v>549</v>
      </c>
      <c r="X797" s="136" t="s">
        <v>554</v>
      </c>
      <c r="Y797" s="172">
        <f>IFERROR(-tblZwaste1422[[#This Row],[Weight (kgCO2e/kg)]],0)</f>
        <v>-4.9218200000000003</v>
      </c>
      <c r="Z797" s="172">
        <f>IF(AQ797="x",(AR797*-tblZwaste1422[[#This Row],[Weight (kgCO2e/kg)]])+AS797+($AR$10*Lookups!$J$38/1000),"DELETE")</f>
        <v>-3.5665477000000001</v>
      </c>
      <c r="AA797" s="172">
        <v>-1.2190350000000001</v>
      </c>
      <c r="AB797" s="172" t="s">
        <v>567</v>
      </c>
      <c r="AC797" s="172" t="s">
        <v>567</v>
      </c>
      <c r="AD797" s="172">
        <v>2.5955980214155919E-2</v>
      </c>
      <c r="AE797" s="172">
        <v>0.22594376389741355</v>
      </c>
      <c r="AF797" s="172">
        <v>0.84893746482787646</v>
      </c>
      <c r="AG797" s="150"/>
      <c r="AI797" s="137">
        <v>10</v>
      </c>
      <c r="AJ797" s="136" t="s">
        <v>242</v>
      </c>
      <c r="AK797" s="142" t="s">
        <v>251</v>
      </c>
      <c r="AL797" s="5" t="s">
        <v>549</v>
      </c>
      <c r="AM797" s="5" t="s">
        <v>554</v>
      </c>
      <c r="AN797" s="1">
        <v>4.9218200000000003</v>
      </c>
      <c r="AO797" s="166">
        <v>0.15096000000000001</v>
      </c>
      <c r="AQ797" t="str">
        <f>_xlfn.XLOOKUP(tblGWP21[[#This Row],[Material Subcategory]],ls_Mat,Factors!$K$952:$K$1023)</f>
        <v>x</v>
      </c>
      <c r="AR797" s="173">
        <v>0.72499999999999998</v>
      </c>
      <c r="AS797">
        <v>0</v>
      </c>
      <c r="AT797" t="s">
        <v>527</v>
      </c>
      <c r="BA797" cm="1">
        <f t="array" ref="BA797:BM797">tblGWP21[#This Row]</f>
        <v>10</v>
      </c>
      <c r="BB797" t="str">
        <v>Electronics</v>
      </c>
      <c r="BC797" t="str">
        <v>Appliances</v>
      </c>
      <c r="BD797" t="str">
        <v>North America</v>
      </c>
      <c r="BE797" t="str">
        <v>United States</v>
      </c>
      <c r="BF797">
        <v>-4.9218200000000003</v>
      </c>
      <c r="BG797">
        <v>-3.5665477000000001</v>
      </c>
      <c r="BH797">
        <v>-1.2190350000000001</v>
      </c>
      <c r="BI797" t="str">
        <v>DELETE</v>
      </c>
      <c r="BJ797" t="str">
        <v>DELETE</v>
      </c>
      <c r="BK797">
        <v>2.5955980214155919E-2</v>
      </c>
      <c r="BL797">
        <v>0.22594376389741355</v>
      </c>
      <c r="BM797">
        <v>0.84893746482787646</v>
      </c>
    </row>
    <row r="798" spans="3:65">
      <c r="C798" s="136">
        <v>10</v>
      </c>
      <c r="D798" s="137" t="s">
        <v>247</v>
      </c>
      <c r="E798" s="136" t="s">
        <v>539</v>
      </c>
      <c r="F798" s="136" t="s">
        <v>549</v>
      </c>
      <c r="G798" s="136" t="s">
        <v>554</v>
      </c>
      <c r="H798" s="191">
        <v>-1.0569599999999999</v>
      </c>
      <c r="I798" s="191">
        <v>-0.97388179269999986</v>
      </c>
      <c r="J798" s="191">
        <v>-0.17403944681570943</v>
      </c>
      <c r="K798" s="191">
        <v>0</v>
      </c>
      <c r="L798" s="191">
        <v>0</v>
      </c>
      <c r="M798" s="191">
        <v>2.6019957632980099E-2</v>
      </c>
      <c r="N798" s="191">
        <v>2.5326656271053499E-2</v>
      </c>
      <c r="O798" s="191">
        <v>4.8914240045367E-2</v>
      </c>
      <c r="T798" s="137">
        <v>10</v>
      </c>
      <c r="U798" s="137" t="s">
        <v>242</v>
      </c>
      <c r="V798" s="136" t="s">
        <v>543</v>
      </c>
      <c r="W798" s="136" t="s">
        <v>549</v>
      </c>
      <c r="X798" s="136" t="s">
        <v>554</v>
      </c>
      <c r="Y798" s="172">
        <f>IFERROR(-tblZwaste1422[[#This Row],[Weight (kgCO2e/kg)]],0)</f>
        <v>-1.00081</v>
      </c>
      <c r="Z798" s="172">
        <f>IF(AQ798="x",(AR798*-tblZwaste1422[[#This Row],[Weight (kgCO2e/kg)]])+AS798+($AR$10*Lookups!$J$38/1000),"DELETE")</f>
        <v>-0.72381545000000003</v>
      </c>
      <c r="AA798" s="172">
        <v>-0.20626249999999999</v>
      </c>
      <c r="AB798" s="172" t="s">
        <v>567</v>
      </c>
      <c r="AC798" s="172" t="s">
        <v>567</v>
      </c>
      <c r="AD798" s="172">
        <v>2.5860000000000001E-2</v>
      </c>
      <c r="AE798" s="172">
        <v>4.1898673724089799E-2</v>
      </c>
      <c r="AF798" s="172">
        <v>4.8911448565512002E-2</v>
      </c>
      <c r="AG798" s="150"/>
      <c r="AI798" s="137">
        <v>10</v>
      </c>
      <c r="AJ798" s="136" t="s">
        <v>242</v>
      </c>
      <c r="AK798" s="142" t="s">
        <v>543</v>
      </c>
      <c r="AL798" s="5" t="s">
        <v>549</v>
      </c>
      <c r="AM798" s="5" t="s">
        <v>554</v>
      </c>
      <c r="AN798" s="1">
        <v>1.00081</v>
      </c>
      <c r="AO798" s="166">
        <v>0.33138000000000001</v>
      </c>
      <c r="AQ798" t="str">
        <f>_xlfn.XLOOKUP(tblGWP21[[#This Row],[Material Subcategory]],ls_Mat,Factors!$K$952:$K$1023)</f>
        <v>x</v>
      </c>
      <c r="AR798" s="173">
        <v>0.72499999999999998</v>
      </c>
      <c r="AS798">
        <v>0</v>
      </c>
      <c r="AT798" t="s">
        <v>527</v>
      </c>
      <c r="BA798" cm="1">
        <f t="array" ref="BA798:BM798">tblGWP21[#This Row]</f>
        <v>10</v>
      </c>
      <c r="BB798" t="str">
        <v>Electronics</v>
      </c>
      <c r="BC798" t="str">
        <v>Lightbulb/Lamps</v>
      </c>
      <c r="BD798" t="str">
        <v>North America</v>
      </c>
      <c r="BE798" t="str">
        <v>United States</v>
      </c>
      <c r="BF798">
        <v>-1.00081</v>
      </c>
      <c r="BG798">
        <v>-0.72381545000000003</v>
      </c>
      <c r="BH798">
        <v>-0.20626249999999999</v>
      </c>
      <c r="BI798" t="str">
        <v>DELETE</v>
      </c>
      <c r="BJ798" t="str">
        <v>DELETE</v>
      </c>
      <c r="BK798">
        <v>2.5860000000000001E-2</v>
      </c>
      <c r="BL798">
        <v>4.1898673724089799E-2</v>
      </c>
      <c r="BM798">
        <v>4.8911448565512002E-2</v>
      </c>
    </row>
    <row r="799" spans="3:65">
      <c r="C799" s="362">
        <v>10</v>
      </c>
      <c r="D799" s="363" t="s">
        <v>247</v>
      </c>
      <c r="E799" s="362" t="s">
        <v>270</v>
      </c>
      <c r="F799" s="362" t="s">
        <v>549</v>
      </c>
      <c r="G799" s="362" t="s">
        <v>554</v>
      </c>
      <c r="H799" s="368">
        <v>-1.0505633333333335</v>
      </c>
      <c r="I799" s="368">
        <v>-0.96748512603333348</v>
      </c>
      <c r="J799" s="368">
        <v>-0.31504617601203688</v>
      </c>
      <c r="K799" s="368">
        <v>0</v>
      </c>
      <c r="L799" s="368">
        <v>0</v>
      </c>
      <c r="M799" s="368">
        <v>2.6019967308955099E-2</v>
      </c>
      <c r="N799" s="368">
        <v>3.1264688052669298E-2</v>
      </c>
      <c r="O799" s="368">
        <v>4.89129652926968E-2</v>
      </c>
      <c r="T799" s="137">
        <v>10</v>
      </c>
      <c r="U799" s="137" t="s">
        <v>264</v>
      </c>
      <c r="V799" s="136" t="s">
        <v>544</v>
      </c>
      <c r="W799" s="136" t="s">
        <v>549</v>
      </c>
      <c r="X799" s="136" t="s">
        <v>554</v>
      </c>
      <c r="Y799" s="172">
        <f>IFERROR(-tblZwaste1422[[#This Row],[Weight (kgCO2e/kg)]],0)</f>
        <v>-3.0939100000000002</v>
      </c>
      <c r="Z799" s="172">
        <f>IF(AQ799="x",(AR799*-tblZwaste1422[[#This Row],[Weight (kgCO2e/kg)]])+AS799+($AR$10*Lookups!$J$38/1000),"DELETE")</f>
        <v>-1.8644402423500002</v>
      </c>
      <c r="AA799" s="172">
        <v>0.15112249999999994</v>
      </c>
      <c r="AB799" s="172" t="s">
        <v>567</v>
      </c>
      <c r="AC799" s="172" t="s">
        <v>567</v>
      </c>
      <c r="AD799" s="172">
        <v>0.32126962274541299</v>
      </c>
      <c r="AE799" s="172">
        <v>-0.23637076712076999</v>
      </c>
      <c r="AF799" s="172">
        <v>0.70929540124145296</v>
      </c>
      <c r="AG799" s="150"/>
      <c r="AI799" s="137">
        <v>10</v>
      </c>
      <c r="AJ799" s="136" t="s">
        <v>264</v>
      </c>
      <c r="AK799" s="142" t="s">
        <v>544</v>
      </c>
      <c r="AL799" s="5" t="s">
        <v>549</v>
      </c>
      <c r="AM799" s="5" t="s">
        <v>554</v>
      </c>
      <c r="AN799" s="1">
        <v>3.0939100000000002</v>
      </c>
      <c r="AO799" s="166">
        <v>0.49807000000000001</v>
      </c>
      <c r="AQ799" t="str">
        <f>_xlfn.XLOOKUP(tblGWP21[[#This Row],[Material Subcategory]],ls_Mat,Factors!$K$952:$K$1023)</f>
        <v>x</v>
      </c>
      <c r="AR799" s="173">
        <v>0.65</v>
      </c>
      <c r="AS799">
        <v>0.14482945764999999</v>
      </c>
      <c r="AT799" t="s">
        <v>541</v>
      </c>
      <c r="BA799" cm="1">
        <f t="array" ref="BA799:BM799">tblGWP21[#This Row]</f>
        <v>10</v>
      </c>
      <c r="BB799" t="str">
        <v>Furniture/Textiles</v>
      </c>
      <c r="BC799" t="str">
        <v>Textiles</v>
      </c>
      <c r="BD799" t="str">
        <v>North America</v>
      </c>
      <c r="BE799" t="str">
        <v>United States</v>
      </c>
      <c r="BF799">
        <v>-3.0939100000000002</v>
      </c>
      <c r="BG799">
        <v>-1.8644402423500002</v>
      </c>
      <c r="BH799">
        <v>0.15112249999999994</v>
      </c>
      <c r="BI799" t="str">
        <v>DELETE</v>
      </c>
      <c r="BJ799" t="str">
        <v>DELETE</v>
      </c>
      <c r="BK799">
        <v>0.32126962274541299</v>
      </c>
      <c r="BL799">
        <v>-0.23637076712076999</v>
      </c>
      <c r="BM799">
        <v>0.70929540124145296</v>
      </c>
    </row>
    <row r="800" spans="3:65">
      <c r="C800" s="136">
        <v>10</v>
      </c>
      <c r="D800" s="137" t="s">
        <v>247</v>
      </c>
      <c r="E800" s="136" t="s">
        <v>540</v>
      </c>
      <c r="F800" s="136" t="s">
        <v>549</v>
      </c>
      <c r="G800" s="136" t="s">
        <v>554</v>
      </c>
      <c r="H800" s="191">
        <v>-1.0473650000000001</v>
      </c>
      <c r="I800" s="191">
        <v>-0.96428679270000006</v>
      </c>
      <c r="J800" s="191">
        <v>0</v>
      </c>
      <c r="K800" s="191">
        <v>0</v>
      </c>
      <c r="L800" s="191">
        <v>0</v>
      </c>
      <c r="M800" s="191">
        <v>2.6019950860136101E-2</v>
      </c>
      <c r="N800" s="191">
        <v>2.75361862083503E-2</v>
      </c>
      <c r="O800" s="191">
        <v>4.89137954582783E-2</v>
      </c>
      <c r="T800" s="137">
        <v>10</v>
      </c>
      <c r="U800" s="137" t="s">
        <v>237</v>
      </c>
      <c r="V800" s="136" t="s">
        <v>545</v>
      </c>
      <c r="W800" s="136" t="s">
        <v>549</v>
      </c>
      <c r="X800" s="136" t="s">
        <v>554</v>
      </c>
      <c r="Y800" s="172">
        <f>IFERROR(-tblZwaste1422[[#This Row],[Weight (kgCO2e/kg)]],0)</f>
        <v>-2.8533815875203707</v>
      </c>
      <c r="Z800" s="172" t="str">
        <f>IF(AQ800="x",(AR800*-tblZwaste1422[[#This Row],[Weight (kgCO2e/kg)]])+AS800+($AR$10*Lookups!$J$38/1000),"DELETE")</f>
        <v>DELETE</v>
      </c>
      <c r="AA800" s="176" t="s">
        <v>567</v>
      </c>
      <c r="AB800" s="172" t="s">
        <v>567</v>
      </c>
      <c r="AC800" s="172" t="s">
        <v>567</v>
      </c>
      <c r="AD800" s="172">
        <v>-0.46442343902904221</v>
      </c>
      <c r="AE800" s="172">
        <v>-0.5307638195714357</v>
      </c>
      <c r="AF800" s="172">
        <v>2.7968365619238648E-2</v>
      </c>
      <c r="AG800" s="150"/>
      <c r="AI800" s="137">
        <v>10</v>
      </c>
      <c r="AJ800" s="136" t="s">
        <v>237</v>
      </c>
      <c r="AK800" s="142" t="s">
        <v>545</v>
      </c>
      <c r="AL800" s="5" t="s">
        <v>549</v>
      </c>
      <c r="AM800" s="5" t="s">
        <v>554</v>
      </c>
      <c r="AN800" s="1">
        <v>2.8533815875203707</v>
      </c>
      <c r="AO800" s="166">
        <v>1.0711602172222223</v>
      </c>
      <c r="AQ800">
        <f>_xlfn.XLOOKUP(tblGWP21[[#This Row],[Material Subcategory]],ls_Mat,Factors!$K$952:$K$1023)</f>
        <v>0</v>
      </c>
      <c r="BA800" cm="1">
        <f t="array" ref="BA800:BM800">tblGWP21[#This Row]</f>
        <v>10</v>
      </c>
      <c r="BB800" t="str">
        <v>Mixed/Custom</v>
      </c>
      <c r="BC800" t="str">
        <v>General other</v>
      </c>
      <c r="BD800" t="str">
        <v>North America</v>
      </c>
      <c r="BE800" t="str">
        <v>United States</v>
      </c>
      <c r="BF800">
        <v>-2.8533815875203707</v>
      </c>
      <c r="BG800" t="str">
        <v>DELETE</v>
      </c>
      <c r="BH800" t="str">
        <v>DELETE</v>
      </c>
      <c r="BI800" t="str">
        <v>DELETE</v>
      </c>
      <c r="BJ800" t="str">
        <v>DELETE</v>
      </c>
      <c r="BK800">
        <v>-0.46442343902904221</v>
      </c>
      <c r="BL800">
        <v>-0.5307638195714357</v>
      </c>
      <c r="BM800">
        <v>2.7968365619238648E-2</v>
      </c>
    </row>
    <row r="801" spans="3:65">
      <c r="C801" s="362">
        <v>10</v>
      </c>
      <c r="D801" s="363" t="s">
        <v>261</v>
      </c>
      <c r="E801" s="362" t="s">
        <v>260</v>
      </c>
      <c r="F801" s="362" t="s">
        <v>549</v>
      </c>
      <c r="G801" s="362" t="s">
        <v>554</v>
      </c>
      <c r="H801" s="368">
        <v>-4.0364225925925927</v>
      </c>
      <c r="I801" s="368">
        <v>0</v>
      </c>
      <c r="J801" s="368">
        <v>0</v>
      </c>
      <c r="K801" s="368">
        <v>-0.50424761106489302</v>
      </c>
      <c r="L801" s="368">
        <v>-0.86499745406816497</v>
      </c>
      <c r="M801" s="368">
        <v>-0.17296811665727099</v>
      </c>
      <c r="N801" s="368">
        <v>-0.23598961919924699</v>
      </c>
      <c r="O801" s="368">
        <v>2.75292360645727E-2</v>
      </c>
      <c r="T801" s="137">
        <v>2</v>
      </c>
      <c r="U801" s="137" t="s">
        <v>233</v>
      </c>
      <c r="V801" s="136" t="s">
        <v>233</v>
      </c>
      <c r="W801" s="136" t="s">
        <v>550</v>
      </c>
      <c r="X801" s="136" t="s">
        <v>561</v>
      </c>
      <c r="Y801" s="172">
        <f>IFERROR(-tblZwaste1422[[#This Row],[Weight (kgCO2e/kg)]],0)</f>
        <v>0</v>
      </c>
      <c r="Z801" s="172">
        <f>AVERAGE(Z805:Z807)</f>
        <v>-0.13905086666666666</v>
      </c>
      <c r="AA801" s="176" t="s">
        <v>567</v>
      </c>
      <c r="AB801" s="172">
        <v>-1.4467129262285372</v>
      </c>
      <c r="AC801" s="172">
        <v>-2.0473741651862505</v>
      </c>
      <c r="AD801" s="172">
        <v>-1.0116897927652853</v>
      </c>
      <c r="AE801" s="172">
        <v>-0.849519845769099</v>
      </c>
      <c r="AF801" s="172">
        <v>3.3140542243510901E-2</v>
      </c>
      <c r="AG801" s="150"/>
      <c r="AI801" s="137">
        <v>2</v>
      </c>
      <c r="AJ801" s="136"/>
      <c r="AK801" s="142"/>
      <c r="AL801" s="5" t="s">
        <v>550</v>
      </c>
      <c r="AM801" s="5" t="s">
        <v>561</v>
      </c>
      <c r="AN801" s="1" t="s">
        <v>525</v>
      </c>
      <c r="AO801" s="166" t="s">
        <v>525</v>
      </c>
      <c r="AQ801" t="e">
        <f>_xlfn.XLOOKUP(tblGWP21[[#This Row],[Material Subcategory]],ls_Mat,Factors!$K$952:$K$1023)</f>
        <v>#N/A</v>
      </c>
      <c r="AR801" s="173">
        <v>0.77500000000000002</v>
      </c>
      <c r="AS801">
        <v>0</v>
      </c>
      <c r="AT801" t="s">
        <v>527</v>
      </c>
      <c r="BA801" cm="1">
        <f t="array" ref="BA801:BM801">tblGWP21[#This Row]</f>
        <v>2</v>
      </c>
      <c r="BB801" t="str">
        <v>Wood/Yard Trimmings</v>
      </c>
      <c r="BC801" t="str">
        <v>Wood/Yard Trimmings</v>
      </c>
      <c r="BD801" t="str">
        <v>Oceania</v>
      </c>
      <c r="BE801" t="str">
        <v>Australia</v>
      </c>
      <c r="BF801">
        <v>0</v>
      </c>
      <c r="BG801">
        <v>-0.13905086666666666</v>
      </c>
      <c r="BH801" t="str">
        <v>DELETE</v>
      </c>
      <c r="BI801">
        <v>-1.4467129262285372</v>
      </c>
      <c r="BJ801">
        <v>-2.0473741651862505</v>
      </c>
      <c r="BK801">
        <v>-1.0116897927652853</v>
      </c>
      <c r="BL801">
        <v>-0.849519845769099</v>
      </c>
      <c r="BM801">
        <v>3.3140542243510901E-2</v>
      </c>
    </row>
    <row r="802" spans="3:65" ht="28.8">
      <c r="C802" s="136">
        <v>10</v>
      </c>
      <c r="D802" s="137" t="s">
        <v>10157</v>
      </c>
      <c r="E802" s="136" t="s">
        <v>237</v>
      </c>
      <c r="F802" s="136" t="s">
        <v>549</v>
      </c>
      <c r="G802" s="136" t="s">
        <v>554</v>
      </c>
      <c r="H802" s="191">
        <v>-2.8533815875203707</v>
      </c>
      <c r="I802" s="191">
        <v>-1.4249189937601854</v>
      </c>
      <c r="J802" s="191">
        <v>0</v>
      </c>
      <c r="K802" s="191">
        <v>0</v>
      </c>
      <c r="L802" s="191">
        <v>0</v>
      </c>
      <c r="M802" s="191">
        <v>-0.46442343902904221</v>
      </c>
      <c r="N802" s="191">
        <v>-0.5307638195714357</v>
      </c>
      <c r="O802" s="191">
        <v>2.7968365619238648E-2</v>
      </c>
      <c r="T802" s="137">
        <v>2</v>
      </c>
      <c r="U802" s="137" t="s">
        <v>233</v>
      </c>
      <c r="V802" s="136" t="s">
        <v>250</v>
      </c>
      <c r="W802" s="136" t="s">
        <v>550</v>
      </c>
      <c r="X802" s="136" t="s">
        <v>561</v>
      </c>
      <c r="Y802" s="172">
        <f>IFERROR(-tblZwaste1422[[#This Row],[Weight (kgCO2e/kg)]],0)</f>
        <v>0</v>
      </c>
      <c r="Z802" s="172" t="str">
        <f>IF(AQ802="x",(AR802*-tblZwaste1422[[#This Row],[Weight (kgCO2e/kg)]])+AS802+($AR$10*Lookups!$J$38/1000),"DELETE")</f>
        <v>DELETE</v>
      </c>
      <c r="AA802" s="176" t="s">
        <v>567</v>
      </c>
      <c r="AB802" s="172">
        <v>-1.7445491769864401</v>
      </c>
      <c r="AC802" s="172">
        <v>-2.1472669608911699</v>
      </c>
      <c r="AD802" s="172">
        <v>-1.04199171049873</v>
      </c>
      <c r="AE802" s="172">
        <v>-0.91032867384352301</v>
      </c>
      <c r="AF802" s="172">
        <v>2.84317585042979E-2</v>
      </c>
      <c r="AG802" s="150"/>
      <c r="AI802" s="137">
        <v>2</v>
      </c>
      <c r="AJ802" s="136"/>
      <c r="AK802" s="142"/>
      <c r="AL802" s="5" t="s">
        <v>550</v>
      </c>
      <c r="AM802" s="5" t="s">
        <v>561</v>
      </c>
      <c r="AN802" s="1" t="s">
        <v>525</v>
      </c>
      <c r="AO802" s="166" t="s">
        <v>525</v>
      </c>
      <c r="AQ802">
        <f>_xlfn.XLOOKUP(tblGWP21[[#This Row],[Material Subcategory]],ls_Mat,Factors!$K$952:$K$1023)</f>
        <v>0</v>
      </c>
      <c r="BA802" cm="1">
        <f t="array" ref="BA802:BM802">tblGWP21[#This Row]</f>
        <v>2</v>
      </c>
      <c r="BB802" t="str">
        <v>Wood/Yard Trimmings</v>
      </c>
      <c r="BC802" t="str">
        <v>Yard Trimmings – Leaves</v>
      </c>
      <c r="BD802" t="str">
        <v>Oceania</v>
      </c>
      <c r="BE802" t="str">
        <v>Australia</v>
      </c>
      <c r="BF802">
        <v>0</v>
      </c>
      <c r="BG802" t="str">
        <v>DELETE</v>
      </c>
      <c r="BH802" t="str">
        <v>DELETE</v>
      </c>
      <c r="BI802">
        <v>-1.7445491769864401</v>
      </c>
      <c r="BJ802">
        <v>-2.1472669608911699</v>
      </c>
      <c r="BK802">
        <v>-1.04199171049873</v>
      </c>
      <c r="BL802">
        <v>-0.91032867384352301</v>
      </c>
      <c r="BM802">
        <v>2.84317585042979E-2</v>
      </c>
    </row>
    <row r="803" spans="3:65" ht="28.8">
      <c r="C803" s="362">
        <v>10</v>
      </c>
      <c r="D803" s="363" t="s">
        <v>10157</v>
      </c>
      <c r="E803" s="362" t="s">
        <v>246</v>
      </c>
      <c r="F803" s="362" t="s">
        <v>549</v>
      </c>
      <c r="G803" s="362" t="s">
        <v>554</v>
      </c>
      <c r="H803" s="368">
        <v>-7.3412433500000009</v>
      </c>
      <c r="I803" s="368">
        <v>0</v>
      </c>
      <c r="J803" s="368">
        <v>0</v>
      </c>
      <c r="K803" s="368">
        <v>0</v>
      </c>
      <c r="L803" s="368">
        <v>0</v>
      </c>
      <c r="M803" s="368">
        <v>2.60200015729753E-2</v>
      </c>
      <c r="N803" s="368">
        <v>4.1898673724089897E-2</v>
      </c>
      <c r="O803" s="368">
        <v>4.8911448565512099E-2</v>
      </c>
      <c r="T803" s="137">
        <v>2</v>
      </c>
      <c r="U803" s="137" t="s">
        <v>233</v>
      </c>
      <c r="V803" s="136" t="s">
        <v>249</v>
      </c>
      <c r="W803" s="136" t="s">
        <v>550</v>
      </c>
      <c r="X803" s="136" t="s">
        <v>561</v>
      </c>
      <c r="Y803" s="172">
        <f>IFERROR(-tblZwaste1422[[#This Row],[Weight (kgCO2e/kg)]],0)</f>
        <v>0</v>
      </c>
      <c r="Z803" s="172" t="str">
        <f>IF(AQ803="x",(AR803*-tblZwaste1422[[#This Row],[Weight (kgCO2e/kg)]])+AS803+($AR$10*Lookups!$J$38/1000),"DELETE")</f>
        <v>DELETE</v>
      </c>
      <c r="AA803" s="176" t="s">
        <v>567</v>
      </c>
      <c r="AB803" s="172">
        <v>-0.54338445241578603</v>
      </c>
      <c r="AC803" s="172">
        <v>-0.74020312188889104</v>
      </c>
      <c r="AD803" s="172">
        <v>1.8604858580971498E-2</v>
      </c>
      <c r="AE803" s="172">
        <v>-0.19226620329942801</v>
      </c>
      <c r="AF803" s="172">
        <v>2.5753037248270098E-2</v>
      </c>
      <c r="AG803" s="150"/>
      <c r="AI803" s="137">
        <v>2</v>
      </c>
      <c r="AJ803" s="136"/>
      <c r="AK803" s="142"/>
      <c r="AL803" s="5" t="s">
        <v>550</v>
      </c>
      <c r="AM803" s="5" t="s">
        <v>561</v>
      </c>
      <c r="AN803" s="1" t="s">
        <v>525</v>
      </c>
      <c r="AO803" s="166" t="s">
        <v>525</v>
      </c>
      <c r="AQ803">
        <f>_xlfn.XLOOKUP(tblGWP21[[#This Row],[Material Subcategory]],ls_Mat,Factors!$K$952:$K$1023)</f>
        <v>0</v>
      </c>
      <c r="BA803" cm="1">
        <f t="array" ref="BA803:BM803">tblGWP21[#This Row]</f>
        <v>2</v>
      </c>
      <c r="BB803" t="str">
        <v>Wood/Yard Trimmings</v>
      </c>
      <c r="BC803" t="str">
        <v>Yard Trimmings – Grass</v>
      </c>
      <c r="BD803" t="str">
        <v>Oceania</v>
      </c>
      <c r="BE803" t="str">
        <v>Australia</v>
      </c>
      <c r="BF803">
        <v>0</v>
      </c>
      <c r="BG803" t="str">
        <v>DELETE</v>
      </c>
      <c r="BH803" t="str">
        <v>DELETE</v>
      </c>
      <c r="BI803">
        <v>-0.54338445241578603</v>
      </c>
      <c r="BJ803">
        <v>-0.74020312188889104</v>
      </c>
      <c r="BK803">
        <v>1.8604858580971498E-2</v>
      </c>
      <c r="BL803">
        <v>-0.19226620329942801</v>
      </c>
      <c r="BM803">
        <v>2.5753037248270098E-2</v>
      </c>
    </row>
    <row r="804" spans="3:65" ht="28.8">
      <c r="C804" s="136">
        <v>10</v>
      </c>
      <c r="D804" s="137" t="s">
        <v>10157</v>
      </c>
      <c r="E804" s="136" t="s">
        <v>243</v>
      </c>
      <c r="F804" s="136" t="s">
        <v>549</v>
      </c>
      <c r="G804" s="136" t="s">
        <v>554</v>
      </c>
      <c r="H804" s="191">
        <v>-2.8533815875203707</v>
      </c>
      <c r="I804" s="191">
        <v>0</v>
      </c>
      <c r="J804" s="191">
        <v>0</v>
      </c>
      <c r="K804" s="191">
        <v>-1.0338891788384312</v>
      </c>
      <c r="L804" s="191">
        <v>-1.5963018297598994</v>
      </c>
      <c r="M804" s="191">
        <v>-0.46442343902904221</v>
      </c>
      <c r="N804" s="191">
        <v>-0.5307638195714357</v>
      </c>
      <c r="O804" s="191">
        <v>2.7968365619238648E-2</v>
      </c>
      <c r="T804" s="137">
        <v>2</v>
      </c>
      <c r="U804" s="137" t="s">
        <v>233</v>
      </c>
      <c r="V804" s="136" t="s">
        <v>273</v>
      </c>
      <c r="W804" s="136" t="s">
        <v>550</v>
      </c>
      <c r="X804" s="136" t="s">
        <v>561</v>
      </c>
      <c r="Y804" s="172">
        <f>IFERROR(-tblZwaste1422[[#This Row],[Weight (kgCO2e/kg)]],0)</f>
        <v>0</v>
      </c>
      <c r="Z804" s="172" t="str">
        <f>IF(AQ804="x",(AR804*-tblZwaste1422[[#This Row],[Weight (kgCO2e/kg)]])+AS804+($AR$10*Lookups!$J$38/1000),"DELETE")</f>
        <v>DELETE</v>
      </c>
      <c r="AA804" s="176" t="s">
        <v>567</v>
      </c>
      <c r="AB804" s="172">
        <v>-1.6485436672468201</v>
      </c>
      <c r="AC804" s="172">
        <v>-2.1003113644548699</v>
      </c>
      <c r="AD804" s="172">
        <v>-0.79779467300472295</v>
      </c>
      <c r="AE804" s="172">
        <v>-0.88417570316763305</v>
      </c>
      <c r="AF804" s="172">
        <v>2.72081105786014E-2</v>
      </c>
      <c r="AG804" s="150"/>
      <c r="AI804" s="137">
        <v>2</v>
      </c>
      <c r="AJ804" s="136"/>
      <c r="AK804" s="142"/>
      <c r="AL804" s="5" t="s">
        <v>550</v>
      </c>
      <c r="AM804" s="5" t="s">
        <v>561</v>
      </c>
      <c r="AN804" s="1" t="s">
        <v>525</v>
      </c>
      <c r="AO804" s="166" t="s">
        <v>525</v>
      </c>
      <c r="AQ804">
        <f>_xlfn.XLOOKUP(tblGWP21[[#This Row],[Material Subcategory]],ls_Mat,Factors!$K$952:$K$1023)</f>
        <v>0</v>
      </c>
      <c r="AR804" s="173"/>
      <c r="BA804" cm="1">
        <f t="array" ref="BA804:BM804">tblGWP21[#This Row]</f>
        <v>2</v>
      </c>
      <c r="BB804" t="str">
        <v>Wood/Yard Trimmings</v>
      </c>
      <c r="BC804" t="str">
        <v>Yard Trimming – Branches</v>
      </c>
      <c r="BD804" t="str">
        <v>Oceania</v>
      </c>
      <c r="BE804" t="str">
        <v>Australia</v>
      </c>
      <c r="BF804">
        <v>0</v>
      </c>
      <c r="BG804" t="str">
        <v>DELETE</v>
      </c>
      <c r="BH804" t="str">
        <v>DELETE</v>
      </c>
      <c r="BI804">
        <v>-1.6485436672468201</v>
      </c>
      <c r="BJ804">
        <v>-2.1003113644548699</v>
      </c>
      <c r="BK804">
        <v>-0.79779467300472295</v>
      </c>
      <c r="BL804">
        <v>-0.88417570316763305</v>
      </c>
      <c r="BM804">
        <v>2.72081105786014E-2</v>
      </c>
    </row>
    <row r="805" spans="3:65">
      <c r="C805" s="362">
        <v>10</v>
      </c>
      <c r="D805" s="363" t="s">
        <v>252</v>
      </c>
      <c r="E805" s="362" t="s">
        <v>333</v>
      </c>
      <c r="F805" s="362" t="s">
        <v>549</v>
      </c>
      <c r="G805" s="362" t="s">
        <v>554</v>
      </c>
      <c r="H805" s="368">
        <v>-2.0953266666666663</v>
      </c>
      <c r="I805" s="368">
        <v>0</v>
      </c>
      <c r="J805" s="368">
        <v>-4.4031642132168303</v>
      </c>
      <c r="K805" s="368">
        <v>0</v>
      </c>
      <c r="L805" s="368">
        <v>0</v>
      </c>
      <c r="M805" s="368">
        <v>2.60199740497906E-2</v>
      </c>
      <c r="N805" s="368">
        <v>0.64940927760600697</v>
      </c>
      <c r="O805" s="368">
        <v>2.1870242966247302</v>
      </c>
      <c r="T805" s="137">
        <v>2</v>
      </c>
      <c r="U805" s="137" t="s">
        <v>233</v>
      </c>
      <c r="V805" s="136" t="s">
        <v>330</v>
      </c>
      <c r="W805" s="136" t="s">
        <v>550</v>
      </c>
      <c r="X805" s="136" t="s">
        <v>561</v>
      </c>
      <c r="Y805" s="172">
        <f>IFERROR(-tblZwaste1422[[#This Row],[Weight (kgCO2e/kg)]],0)</f>
        <v>-0.14119999999999999</v>
      </c>
      <c r="Z805" s="172">
        <f>IF(AQ805="x",(AR805*-tblZwaste1422[[#This Row],[Weight (kgCO2e/kg)]])+AS805+($AR$10*Lookups!$J$38/1000),"DELETE")</f>
        <v>-0.1076582</v>
      </c>
      <c r="AA805" s="176" t="s">
        <v>567</v>
      </c>
      <c r="AB805" s="172" t="s">
        <v>567</v>
      </c>
      <c r="AC805" s="172" t="s">
        <v>567</v>
      </c>
      <c r="AD805" s="172">
        <v>-1.4804878785558699</v>
      </c>
      <c r="AE805" s="172">
        <v>-1.02845074925215</v>
      </c>
      <c r="AF805" s="172">
        <v>5.3035846633626003E-2</v>
      </c>
      <c r="AG805" s="150"/>
      <c r="AI805" s="137">
        <v>2</v>
      </c>
      <c r="AJ805" s="136" t="s">
        <v>330</v>
      </c>
      <c r="AK805" s="142" t="s">
        <v>330</v>
      </c>
      <c r="AL805" s="5" t="s">
        <v>550</v>
      </c>
      <c r="AM805" s="5" t="s">
        <v>561</v>
      </c>
      <c r="AN805" s="1">
        <v>0.14119999999999999</v>
      </c>
      <c r="AO805" s="166">
        <v>0.43014000000000002</v>
      </c>
      <c r="AQ805" t="str">
        <f>_xlfn.XLOOKUP(tblGWP21[[#This Row],[Material Subcategory]],ls_Mat,Factors!$K$952:$K$1023)</f>
        <v>x</v>
      </c>
      <c r="AR805" s="173">
        <v>0.77500000000000002</v>
      </c>
      <c r="AS805">
        <v>0</v>
      </c>
      <c r="AT805" t="s">
        <v>527</v>
      </c>
      <c r="BA805" cm="1">
        <f t="array" ref="BA805:BM805">tblGWP21[#This Row]</f>
        <v>2</v>
      </c>
      <c r="BB805" t="str">
        <v>Wood/Yard Trimmings</v>
      </c>
      <c r="BC805" t="str">
        <v>Wood</v>
      </c>
      <c r="BD805" t="str">
        <v>Oceania</v>
      </c>
      <c r="BE805" t="str">
        <v>Australia</v>
      </c>
      <c r="BF805">
        <v>-0.14119999999999999</v>
      </c>
      <c r="BG805">
        <v>-0.1076582</v>
      </c>
      <c r="BH805" t="str">
        <v>DELETE</v>
      </c>
      <c r="BI805" t="str">
        <v>DELETE</v>
      </c>
      <c r="BJ805" t="str">
        <v>DELETE</v>
      </c>
      <c r="BK805">
        <v>-1.4804878785558699</v>
      </c>
      <c r="BL805">
        <v>-1.02845074925215</v>
      </c>
      <c r="BM805">
        <v>5.3035846633626003E-2</v>
      </c>
    </row>
    <row r="806" spans="3:65">
      <c r="C806" s="136">
        <v>10</v>
      </c>
      <c r="D806" s="137" t="s">
        <v>239</v>
      </c>
      <c r="E806" s="136" t="s">
        <v>542</v>
      </c>
      <c r="F806" s="136" t="s">
        <v>549</v>
      </c>
      <c r="G806" s="136" t="s">
        <v>554</v>
      </c>
      <c r="H806" s="191">
        <v>-2.6644477777777777</v>
      </c>
      <c r="I806" s="191">
        <v>0</v>
      </c>
      <c r="J806" s="191">
        <v>-0.81595749427219999</v>
      </c>
      <c r="K806" s="191">
        <v>-1.64158743716123</v>
      </c>
      <c r="L806" s="191">
        <v>-2.38754843308678</v>
      </c>
      <c r="M806" s="191">
        <v>-0.64284530934226303</v>
      </c>
      <c r="N806" s="191">
        <v>-0.82792797542140595</v>
      </c>
      <c r="O806" s="191">
        <v>2.7471426996727999E-2</v>
      </c>
      <c r="T806" s="137">
        <v>2</v>
      </c>
      <c r="U806" s="137" t="s">
        <v>233</v>
      </c>
      <c r="V806" s="136" t="s">
        <v>335</v>
      </c>
      <c r="W806" s="136" t="s">
        <v>550</v>
      </c>
      <c r="X806" s="136" t="s">
        <v>561</v>
      </c>
      <c r="Y806" s="172">
        <f>IFERROR(-tblZwaste1422[[#This Row],[Weight (kgCO2e/kg)]],0)</f>
        <v>-0.26272000000000001</v>
      </c>
      <c r="Z806" s="172">
        <f>IF(AQ806="x",(AR806*-tblZwaste1422[[#This Row],[Weight (kgCO2e/kg)]])+AS806+($AR$10*Lookups!$J$38/1000),"DELETE")</f>
        <v>-0.20183620000000002</v>
      </c>
      <c r="AA806" s="176" t="s">
        <v>567</v>
      </c>
      <c r="AB806" s="172">
        <v>-1.6485436672468201</v>
      </c>
      <c r="AC806" s="172">
        <v>-2.6245446893481601</v>
      </c>
      <c r="AD806" s="172">
        <v>-1.38423467655668</v>
      </c>
      <c r="AE806" s="172">
        <v>-1.0409488725259299</v>
      </c>
      <c r="AF806" s="172">
        <v>3.2207250248134998E-2</v>
      </c>
      <c r="AG806" s="150"/>
      <c r="AI806" s="137">
        <v>2</v>
      </c>
      <c r="AJ806" s="136" t="s">
        <v>330</v>
      </c>
      <c r="AK806" s="142" t="s">
        <v>335</v>
      </c>
      <c r="AL806" s="5" t="s">
        <v>550</v>
      </c>
      <c r="AM806" s="5" t="s">
        <v>561</v>
      </c>
      <c r="AN806" s="1">
        <v>0.26272000000000001</v>
      </c>
      <c r="AO806" s="166">
        <v>0.43014000000000002</v>
      </c>
      <c r="AQ806" t="str">
        <f>_xlfn.XLOOKUP(tblGWP21[[#This Row],[Material Subcategory]],ls_Mat,Factors!$K$952:$K$1023)</f>
        <v>x</v>
      </c>
      <c r="AR806" s="173">
        <v>0.77500000000000002</v>
      </c>
      <c r="AS806">
        <v>0</v>
      </c>
      <c r="AT806" t="s">
        <v>527</v>
      </c>
      <c r="BA806" cm="1">
        <f t="array" ref="BA806:BM806">tblGWP21[#This Row]</f>
        <v>2</v>
      </c>
      <c r="BB806" t="str">
        <v>Wood/Yard Trimmings</v>
      </c>
      <c r="BC806" t="str">
        <v>Pallets</v>
      </c>
      <c r="BD806" t="str">
        <v>Oceania</v>
      </c>
      <c r="BE806" t="str">
        <v>Australia</v>
      </c>
      <c r="BF806">
        <v>-0.26272000000000001</v>
      </c>
      <c r="BG806">
        <v>-0.20183620000000002</v>
      </c>
      <c r="BH806" t="str">
        <v>DELETE</v>
      </c>
      <c r="BI806">
        <v>-1.6485436672468201</v>
      </c>
      <c r="BJ806">
        <v>-2.6245446893481601</v>
      </c>
      <c r="BK806">
        <v>-1.38423467655668</v>
      </c>
      <c r="BL806">
        <v>-1.0409488725259299</v>
      </c>
      <c r="BM806">
        <v>3.2207250248134998E-2</v>
      </c>
    </row>
    <row r="807" spans="3:65">
      <c r="C807" s="362">
        <v>10</v>
      </c>
      <c r="D807" s="363" t="s">
        <v>10157</v>
      </c>
      <c r="E807" s="362" t="s">
        <v>238</v>
      </c>
      <c r="F807" s="362" t="s">
        <v>549</v>
      </c>
      <c r="G807" s="362" t="s">
        <v>554</v>
      </c>
      <c r="H807" s="368">
        <v>-2.7046544444444445</v>
      </c>
      <c r="I807" s="368">
        <v>0</v>
      </c>
      <c r="J807" s="368">
        <v>0</v>
      </c>
      <c r="K807" s="368">
        <v>0</v>
      </c>
      <c r="L807" s="368">
        <v>0</v>
      </c>
      <c r="M807" s="368">
        <v>-0.14121634787447954</v>
      </c>
      <c r="N807" s="368">
        <v>-6.3188303621811923E-2</v>
      </c>
      <c r="O807" s="368">
        <v>0.54356808251909006</v>
      </c>
      <c r="T807" s="137">
        <v>2</v>
      </c>
      <c r="U807" s="137" t="s">
        <v>233</v>
      </c>
      <c r="V807" s="136" t="s">
        <v>326</v>
      </c>
      <c r="W807" s="136" t="s">
        <v>550</v>
      </c>
      <c r="X807" s="136" t="s">
        <v>561</v>
      </c>
      <c r="Y807" s="172">
        <f>IFERROR(-tblZwaste1422[[#This Row],[Weight (kgCO2e/kg)]],0)</f>
        <v>-0.14119999999999999</v>
      </c>
      <c r="Z807" s="172">
        <f>IF(AQ807="x",(AR807*-tblZwaste1422[[#This Row],[Weight (kgCO2e/kg)]])+AS807+($AR$10*Lookups!$J$38/1000),"DELETE")</f>
        <v>-0.1076582</v>
      </c>
      <c r="AA807" s="176" t="s">
        <v>567</v>
      </c>
      <c r="AB807" s="172">
        <v>-1.6485436672468201</v>
      </c>
      <c r="AC807" s="172">
        <v>-2.6245446893481601</v>
      </c>
      <c r="AD807" s="172">
        <v>-1.38423467655668</v>
      </c>
      <c r="AE807" s="172">
        <v>-1.0409488725259299</v>
      </c>
      <c r="AF807" s="172">
        <v>3.2207250248134998E-2</v>
      </c>
      <c r="AG807" s="150"/>
      <c r="AI807" s="137">
        <v>2</v>
      </c>
      <c r="AJ807" s="136" t="s">
        <v>330</v>
      </c>
      <c r="AK807" s="142" t="s">
        <v>326</v>
      </c>
      <c r="AL807" s="5" t="s">
        <v>550</v>
      </c>
      <c r="AM807" s="5" t="s">
        <v>561</v>
      </c>
      <c r="AN807" s="1">
        <v>0.14119999999999999</v>
      </c>
      <c r="AO807" s="166">
        <v>0.43014000000000002</v>
      </c>
      <c r="AQ807" t="str">
        <f>_xlfn.XLOOKUP(tblGWP21[[#This Row],[Material Subcategory]],ls_Mat,Factors!$K$952:$K$1023)</f>
        <v>x</v>
      </c>
      <c r="AR807" s="173">
        <v>0.77500000000000002</v>
      </c>
      <c r="AS807">
        <v>0</v>
      </c>
      <c r="AT807" t="s">
        <v>527</v>
      </c>
      <c r="BA807" cm="1">
        <f t="array" ref="BA807:BM807">tblGWP21[#This Row]</f>
        <v>2</v>
      </c>
      <c r="BB807" t="str">
        <v>Wood/Yard Trimmings</v>
      </c>
      <c r="BC807" t="str">
        <v>Other Wood</v>
      </c>
      <c r="BD807" t="str">
        <v>Oceania</v>
      </c>
      <c r="BE807" t="str">
        <v>Australia</v>
      </c>
      <c r="BF807">
        <v>-0.14119999999999999</v>
      </c>
      <c r="BG807">
        <v>-0.1076582</v>
      </c>
      <c r="BH807" t="str">
        <v>DELETE</v>
      </c>
      <c r="BI807">
        <v>-1.6485436672468201</v>
      </c>
      <c r="BJ807">
        <v>-2.6245446893481601</v>
      </c>
      <c r="BK807">
        <v>-1.38423467655668</v>
      </c>
      <c r="BL807">
        <v>-1.0409488725259299</v>
      </c>
      <c r="BM807">
        <v>3.2207250248134998E-2</v>
      </c>
    </row>
    <row r="808" spans="3:65">
      <c r="C808" s="136">
        <v>10</v>
      </c>
      <c r="D808" s="137" t="s">
        <v>264</v>
      </c>
      <c r="E808" s="136" t="s">
        <v>264</v>
      </c>
      <c r="F808" s="136" t="s">
        <v>549</v>
      </c>
      <c r="G808" s="136" t="s">
        <v>554</v>
      </c>
      <c r="H808" s="191">
        <v>-1.9287117500000002</v>
      </c>
      <c r="I808" s="191">
        <v>-1.1070613798500002</v>
      </c>
      <c r="J808" s="191">
        <v>0.15112249999999994</v>
      </c>
      <c r="K808" s="191">
        <v>0</v>
      </c>
      <c r="L808" s="191">
        <v>0</v>
      </c>
      <c r="M808" s="191">
        <v>-0.33872554887307282</v>
      </c>
      <c r="N808" s="191">
        <v>-0.47288635278263841</v>
      </c>
      <c r="O808" s="191">
        <v>0.46011654330354335</v>
      </c>
      <c r="T808" s="137">
        <v>2</v>
      </c>
      <c r="U808" s="137" t="s">
        <v>261</v>
      </c>
      <c r="V808" s="136" t="s">
        <v>261</v>
      </c>
      <c r="W808" s="136" t="s">
        <v>550</v>
      </c>
      <c r="X808" s="136" t="s">
        <v>561</v>
      </c>
      <c r="Y808" s="172">
        <f>IFERROR(-tblZwaste1422[[#This Row],[Weight (kgCO2e/kg)]],0)</f>
        <v>-4.72241</v>
      </c>
      <c r="Z808" s="172" t="e">
        <f>IF(AQ808="x",(AR808*-tblZwaste1422[[#This Row],[Weight (kgCO2e/kg)]])+AS808+($AR$10*Lookups!$J$38/1000),"DELETE")</f>
        <v>#N/A</v>
      </c>
      <c r="AA808" s="176" t="s">
        <v>567</v>
      </c>
      <c r="AB808" s="172">
        <v>-0.36345066198561049</v>
      </c>
      <c r="AC808" s="172">
        <v>-0.58952172495462496</v>
      </c>
      <c r="AD808" s="172">
        <v>0.13911075984299401</v>
      </c>
      <c r="AE808" s="172">
        <v>-0.17731971245539049</v>
      </c>
      <c r="AF808" s="172">
        <v>2.5406496338178101E-2</v>
      </c>
      <c r="AG808" s="150"/>
      <c r="AI808" s="137">
        <v>2</v>
      </c>
      <c r="AJ808" s="136" t="s">
        <v>529</v>
      </c>
      <c r="AK808" s="142" t="s">
        <v>529</v>
      </c>
      <c r="AL808" s="5" t="s">
        <v>550</v>
      </c>
      <c r="AM808" s="5" t="s">
        <v>561</v>
      </c>
      <c r="AN808" s="1">
        <v>4.72241</v>
      </c>
      <c r="AO808" s="166">
        <v>1.758</v>
      </c>
      <c r="AQ808" t="e">
        <f>_xlfn.XLOOKUP(tblGWP21[[#This Row],[Material Subcategory]],ls_Mat,Factors!$K$952:$K$1023)</f>
        <v>#N/A</v>
      </c>
      <c r="AR808" s="347">
        <v>0.5</v>
      </c>
      <c r="AS808">
        <v>0</v>
      </c>
      <c r="AT808" t="s">
        <v>528</v>
      </c>
      <c r="BA808" cm="1">
        <f t="array" ref="BA808:BM808">tblGWP21[#This Row]</f>
        <v>2</v>
      </c>
      <c r="BB808" t="str">
        <v>Food Waste</v>
      </c>
      <c r="BC808" t="str">
        <v>Food Waste</v>
      </c>
      <c r="BD808" t="str">
        <v>Oceania</v>
      </c>
      <c r="BE808" t="str">
        <v>Australia</v>
      </c>
      <c r="BF808">
        <v>-4.72241</v>
      </c>
      <c r="BG808" t="e">
        <v>#N/A</v>
      </c>
      <c r="BH808" t="str">
        <v>DELETE</v>
      </c>
      <c r="BI808">
        <v>-0.36345066198561049</v>
      </c>
      <c r="BJ808">
        <v>-0.58952172495462496</v>
      </c>
      <c r="BK808">
        <v>0.13911075984299401</v>
      </c>
      <c r="BL808">
        <v>-0.17731971245539049</v>
      </c>
      <c r="BM808">
        <v>2.5406496338178101E-2</v>
      </c>
    </row>
    <row r="809" spans="3:65" ht="28.8">
      <c r="C809" s="362">
        <v>10</v>
      </c>
      <c r="D809" s="363" t="s">
        <v>264</v>
      </c>
      <c r="E809" s="362" t="s">
        <v>336</v>
      </c>
      <c r="F809" s="362" t="s">
        <v>549</v>
      </c>
      <c r="G809" s="362" t="s">
        <v>554</v>
      </c>
      <c r="H809" s="368">
        <v>-0.76351350000000007</v>
      </c>
      <c r="I809" s="368">
        <v>-0.34968251735000005</v>
      </c>
      <c r="J809" s="368">
        <v>0</v>
      </c>
      <c r="K809" s="368">
        <v>-1.64858128637256</v>
      </c>
      <c r="L809" s="368">
        <v>-2.6232632691083699</v>
      </c>
      <c r="M809" s="368">
        <v>-0.99872072049155869</v>
      </c>
      <c r="N809" s="368">
        <v>-0.70940193844450683</v>
      </c>
      <c r="O809" s="368">
        <v>0.21093768536563368</v>
      </c>
      <c r="T809" s="137">
        <v>2</v>
      </c>
      <c r="U809" s="137" t="s">
        <v>261</v>
      </c>
      <c r="V809" s="136" t="s">
        <v>269</v>
      </c>
      <c r="W809" s="136" t="s">
        <v>550</v>
      </c>
      <c r="X809" s="136" t="s">
        <v>561</v>
      </c>
      <c r="Y809" s="172">
        <f>IFERROR(-tblZwaste1422[[#This Row],[Weight (kgCO2e/kg)]],0)</f>
        <v>-0.25034000000000001</v>
      </c>
      <c r="Z809" s="172">
        <f>IF(AQ809="x",(AR809*-tblZwaste1422[[#This Row],[Weight (kgCO2e/kg)]])+AS809+($AR$10*Lookups!$J$38/1000),"DELETE")</f>
        <v>-0.1233982</v>
      </c>
      <c r="AA809" s="176" t="s">
        <v>567</v>
      </c>
      <c r="AB809" s="172">
        <v>-0.303398738694796</v>
      </c>
      <c r="AC809" s="172">
        <v>-0.49950497126607302</v>
      </c>
      <c r="AD809" s="172">
        <v>0.17048144598486401</v>
      </c>
      <c r="AE809" s="172">
        <v>-0.122481791907762</v>
      </c>
      <c r="AF809" s="172">
        <v>2.5084386562055101E-2</v>
      </c>
      <c r="AG809" s="150"/>
      <c r="AI809" s="137">
        <v>2</v>
      </c>
      <c r="AJ809" s="136" t="s">
        <v>529</v>
      </c>
      <c r="AK809" s="142" t="s">
        <v>327</v>
      </c>
      <c r="AL809" s="5" t="s">
        <v>550</v>
      </c>
      <c r="AM809" s="5" t="s">
        <v>561</v>
      </c>
      <c r="AN809" s="1">
        <v>0.25034000000000001</v>
      </c>
      <c r="AO809" s="166">
        <v>0.99672000000000005</v>
      </c>
      <c r="AQ809" t="str">
        <f>_xlfn.XLOOKUP(tblGWP21[[#This Row],[Material Subcategory]],ls_Mat,Factors!$K$952:$K$1023)</f>
        <v>x</v>
      </c>
      <c r="AR809" s="347">
        <v>0.5</v>
      </c>
      <c r="AS809">
        <v>0</v>
      </c>
      <c r="AT809" t="s">
        <v>528</v>
      </c>
      <c r="BA809" cm="1">
        <f t="array" ref="BA809:BM809">tblGWP21[#This Row]</f>
        <v>2</v>
      </c>
      <c r="BB809" t="str">
        <v>Food Waste</v>
      </c>
      <c r="BC809" t="str">
        <v>Food Waste – Vegetable</v>
      </c>
      <c r="BD809" t="str">
        <v>Oceania</v>
      </c>
      <c r="BE809" t="str">
        <v>Australia</v>
      </c>
      <c r="BF809">
        <v>-0.25034000000000001</v>
      </c>
      <c r="BG809">
        <v>-0.1233982</v>
      </c>
      <c r="BH809" t="str">
        <v>DELETE</v>
      </c>
      <c r="BI809">
        <v>-0.303398738694796</v>
      </c>
      <c r="BJ809">
        <v>-0.49950497126607302</v>
      </c>
      <c r="BK809">
        <v>0.17048144598486401</v>
      </c>
      <c r="BL809">
        <v>-0.122481791907762</v>
      </c>
      <c r="BM809">
        <v>2.5084386562055101E-2</v>
      </c>
    </row>
    <row r="810" spans="3:65" ht="28.8">
      <c r="C810" s="136">
        <v>10</v>
      </c>
      <c r="D810" s="137" t="s">
        <v>242</v>
      </c>
      <c r="E810" s="136" t="s">
        <v>251</v>
      </c>
      <c r="F810" s="136" t="s">
        <v>549</v>
      </c>
      <c r="G810" s="136" t="s">
        <v>554</v>
      </c>
      <c r="H810" s="191">
        <v>-4.9218200000000003</v>
      </c>
      <c r="I810" s="191">
        <v>-3.5665477000000001</v>
      </c>
      <c r="J810" s="191">
        <v>-1.2190350000000001</v>
      </c>
      <c r="K810" s="191">
        <v>0</v>
      </c>
      <c r="L810" s="191">
        <v>0</v>
      </c>
      <c r="M810" s="191">
        <v>2.5955980214155919E-2</v>
      </c>
      <c r="N810" s="191">
        <v>0.22594376389741355</v>
      </c>
      <c r="O810" s="191">
        <v>0.84893746482787646</v>
      </c>
      <c r="T810" s="137">
        <v>2</v>
      </c>
      <c r="U810" s="137" t="s">
        <v>261</v>
      </c>
      <c r="V810" s="136" t="s">
        <v>530</v>
      </c>
      <c r="W810" s="136" t="s">
        <v>550</v>
      </c>
      <c r="X810" s="136" t="s">
        <v>561</v>
      </c>
      <c r="Y810" s="172">
        <f>IFERROR(-tblZwaste1422[[#This Row],[Weight (kgCO2e/kg)]],0)</f>
        <v>-9.1944800000000004</v>
      </c>
      <c r="Z810" s="172">
        <f>IF(AQ810="x",(AR810*-tblZwaste1422[[#This Row],[Weight (kgCO2e/kg)]])+AS810+($AR$10*Lookups!$J$38/1000),"DELETE")</f>
        <v>-4.5954682</v>
      </c>
      <c r="AA810" s="176" t="s">
        <v>567</v>
      </c>
      <c r="AB810" s="172">
        <v>-0.42350258527642498</v>
      </c>
      <c r="AC810" s="172">
        <v>-0.67953847864317696</v>
      </c>
      <c r="AD810" s="172">
        <v>0.107740073701124</v>
      </c>
      <c r="AE810" s="172">
        <v>-0.232157633003019</v>
      </c>
      <c r="AF810" s="172">
        <v>2.5728606114301101E-2</v>
      </c>
      <c r="AG810" s="150"/>
      <c r="AI810" s="137">
        <v>2</v>
      </c>
      <c r="AJ810" s="136" t="s">
        <v>529</v>
      </c>
      <c r="AK810" s="142" t="s">
        <v>331</v>
      </c>
      <c r="AL810" s="5" t="s">
        <v>550</v>
      </c>
      <c r="AM810" s="5" t="s">
        <v>561</v>
      </c>
      <c r="AN810" s="1">
        <v>9.1944800000000004</v>
      </c>
      <c r="AO810" s="166">
        <v>2.5192800000000002</v>
      </c>
      <c r="AQ810" t="str">
        <f>_xlfn.XLOOKUP(tblGWP21[[#This Row],[Material Subcategory]],ls_Mat,Factors!$K$952:$K$1023)</f>
        <v>x</v>
      </c>
      <c r="AR810" s="347">
        <v>0.5</v>
      </c>
      <c r="AS810">
        <v>0</v>
      </c>
      <c r="AT810" t="s">
        <v>528</v>
      </c>
      <c r="BA810" cm="1">
        <f t="array" ref="BA810:BM810">tblGWP21[#This Row]</f>
        <v>2</v>
      </c>
      <c r="BB810" t="str">
        <v>Food Waste</v>
      </c>
      <c r="BC810" t="str">
        <v>Food Waste – Non-Vegetable</v>
      </c>
      <c r="BD810" t="str">
        <v>Oceania</v>
      </c>
      <c r="BE810" t="str">
        <v>Australia</v>
      </c>
      <c r="BF810">
        <v>-9.1944800000000004</v>
      </c>
      <c r="BG810">
        <v>-4.5954682</v>
      </c>
      <c r="BH810" t="str">
        <v>DELETE</v>
      </c>
      <c r="BI810">
        <v>-0.42350258527642498</v>
      </c>
      <c r="BJ810">
        <v>-0.67953847864317696</v>
      </c>
      <c r="BK810">
        <v>0.107740073701124</v>
      </c>
      <c r="BL810">
        <v>-0.232157633003019</v>
      </c>
      <c r="BM810">
        <v>2.5728606114301101E-2</v>
      </c>
    </row>
    <row r="811" spans="3:65">
      <c r="C811" s="362">
        <v>10</v>
      </c>
      <c r="D811" s="363" t="s">
        <v>242</v>
      </c>
      <c r="E811" s="362" t="s">
        <v>543</v>
      </c>
      <c r="F811" s="362" t="s">
        <v>549</v>
      </c>
      <c r="G811" s="362" t="s">
        <v>554</v>
      </c>
      <c r="H811" s="368">
        <v>-1.00081</v>
      </c>
      <c r="I811" s="368">
        <v>-0.72381545000000003</v>
      </c>
      <c r="J811" s="368">
        <v>-0.20626249999999999</v>
      </c>
      <c r="K811" s="368">
        <v>0</v>
      </c>
      <c r="L811" s="368">
        <v>0</v>
      </c>
      <c r="M811" s="368">
        <v>2.5860000000000001E-2</v>
      </c>
      <c r="N811" s="368">
        <v>4.1898673724089799E-2</v>
      </c>
      <c r="O811" s="368">
        <v>4.8911448565512002E-2</v>
      </c>
      <c r="T811" s="137">
        <v>2</v>
      </c>
      <c r="U811" s="137" t="s">
        <v>261</v>
      </c>
      <c r="V811" s="136" t="s">
        <v>262</v>
      </c>
      <c r="W811" s="136" t="s">
        <v>550</v>
      </c>
      <c r="X811" s="136" t="s">
        <v>561</v>
      </c>
      <c r="Y811" s="172">
        <f>IFERROR(-tblZwaste1422[[#This Row],[Weight (kgCO2e/kg)]],0)</f>
        <v>-2.5034000000000001</v>
      </c>
      <c r="Z811" s="172" t="str">
        <f>IF(AQ811="x",(AR811*-tblZwaste1422[[#This Row],[Weight (kgCO2e/kg)]])+AS811+($AR$10*Lookups!$J$38/1000),"DELETE")</f>
        <v>DELETE</v>
      </c>
      <c r="AA811" s="176" t="s">
        <v>567</v>
      </c>
      <c r="AB811" s="172">
        <v>-0.42350258527642498</v>
      </c>
      <c r="AC811" s="172">
        <v>-0.67953847864317696</v>
      </c>
      <c r="AD811" s="172">
        <v>0.107740073701124</v>
      </c>
      <c r="AE811" s="172">
        <v>-0.232157633003019</v>
      </c>
      <c r="AF811" s="172">
        <v>2.5728606114301101E-2</v>
      </c>
      <c r="AG811" s="150"/>
      <c r="AI811" s="137">
        <v>2</v>
      </c>
      <c r="AJ811" s="136" t="s">
        <v>529</v>
      </c>
      <c r="AK811" s="142" t="s">
        <v>332</v>
      </c>
      <c r="AL811" s="5" t="s">
        <v>550</v>
      </c>
      <c r="AM811" s="5" t="s">
        <v>561</v>
      </c>
      <c r="AN811" s="1">
        <v>2.5034000000000001</v>
      </c>
      <c r="AO811" s="166">
        <v>1.0183800000000001</v>
      </c>
      <c r="AQ811">
        <f>_xlfn.XLOOKUP(tblGWP21[[#This Row],[Material Subcategory]],ls_Mat,Factors!$K$952:$K$1023)</f>
        <v>0</v>
      </c>
      <c r="AR811" s="347">
        <v>0.5</v>
      </c>
      <c r="AS811">
        <v>0</v>
      </c>
      <c r="AT811" t="s">
        <v>528</v>
      </c>
      <c r="BA811" cm="1">
        <f t="array" ref="BA811:BM811">tblGWP21[#This Row]</f>
        <v>2</v>
      </c>
      <c r="BB811" t="str">
        <v>Food Waste</v>
      </c>
      <c r="BC811" t="str">
        <v>Oils/Grease</v>
      </c>
      <c r="BD811" t="str">
        <v>Oceania</v>
      </c>
      <c r="BE811" t="str">
        <v>Australia</v>
      </c>
      <c r="BF811">
        <v>-2.5034000000000001</v>
      </c>
      <c r="BG811" t="str">
        <v>DELETE</v>
      </c>
      <c r="BH811" t="str">
        <v>DELETE</v>
      </c>
      <c r="BI811">
        <v>-0.42350258527642498</v>
      </c>
      <c r="BJ811">
        <v>-0.67953847864317696</v>
      </c>
      <c r="BK811">
        <v>0.107740073701124</v>
      </c>
      <c r="BL811">
        <v>-0.232157633003019</v>
      </c>
      <c r="BM811">
        <v>2.5728606114301101E-2</v>
      </c>
    </row>
    <row r="812" spans="3:65">
      <c r="C812" s="136">
        <v>10</v>
      </c>
      <c r="D812" s="137" t="s">
        <v>264</v>
      </c>
      <c r="E812" s="136" t="s">
        <v>544</v>
      </c>
      <c r="F812" s="136" t="s">
        <v>549</v>
      </c>
      <c r="G812" s="136" t="s">
        <v>554</v>
      </c>
      <c r="H812" s="191">
        <v>-3.0939100000000002</v>
      </c>
      <c r="I812" s="191">
        <v>-1.8644402423500002</v>
      </c>
      <c r="J812" s="191">
        <v>0.15112249999999994</v>
      </c>
      <c r="K812" s="191">
        <v>0</v>
      </c>
      <c r="L812" s="191">
        <v>0</v>
      </c>
      <c r="M812" s="191">
        <v>0.32126962274541299</v>
      </c>
      <c r="N812" s="191">
        <v>-0.23637076712076999</v>
      </c>
      <c r="O812" s="191">
        <v>0.70929540124145296</v>
      </c>
      <c r="T812" s="137">
        <v>2</v>
      </c>
      <c r="U812" s="137" t="s">
        <v>252</v>
      </c>
      <c r="V812" s="136" t="s">
        <v>252</v>
      </c>
      <c r="W812" s="136" t="s">
        <v>550</v>
      </c>
      <c r="X812" s="136" t="s">
        <v>561</v>
      </c>
      <c r="Y812" s="172">
        <f>IFERROR(-tblZwaste1422[[#This Row],[Weight (kgCO2e/kg)]],0)</f>
        <v>-2.0953266666666663</v>
      </c>
      <c r="Z812" s="172" t="e">
        <f>IF(AQ812="x",(AR812*-tblZwaste1422[[#This Row],[Weight (kgCO2e/kg)]])+AS812+($AR$10*Lookups!$J$38/1000),"DELETE")</f>
        <v>#N/A</v>
      </c>
      <c r="AA812" s="176">
        <v>-4.4031027052446881</v>
      </c>
      <c r="AB812" s="172" t="s">
        <v>567</v>
      </c>
      <c r="AC812" s="172" t="s">
        <v>567</v>
      </c>
      <c r="AD812" s="172">
        <v>2.6022305346742901E-2</v>
      </c>
      <c r="AE812" s="172">
        <v>0.62743418122049499</v>
      </c>
      <c r="AF812" s="172">
        <v>2.1870245647238802</v>
      </c>
      <c r="AG812" s="150"/>
      <c r="AI812" s="137">
        <v>2</v>
      </c>
      <c r="AJ812" s="136" t="s">
        <v>252</v>
      </c>
      <c r="AK812" s="142" t="s">
        <v>252</v>
      </c>
      <c r="AL812" s="5" t="s">
        <v>550</v>
      </c>
      <c r="AM812" s="5" t="s">
        <v>561</v>
      </c>
      <c r="AN812" s="1">
        <v>2.0953266666666663</v>
      </c>
      <c r="AO812" s="166">
        <v>1.77911</v>
      </c>
      <c r="AQ812" t="e">
        <f>_xlfn.XLOOKUP(tblGWP21[[#This Row],[Material Subcategory]],ls_Mat,Factors!$K$952:$K$1023)</f>
        <v>#N/A</v>
      </c>
      <c r="AR812" s="173">
        <v>0.77500000000000002</v>
      </c>
      <c r="AS812">
        <v>8.1306407300000008E-2</v>
      </c>
      <c r="AT812" t="s">
        <v>531</v>
      </c>
      <c r="BA812" cm="1">
        <f t="array" ref="BA812:BM812">tblGWP21[#This Row]</f>
        <v>2</v>
      </c>
      <c r="BB812" t="str">
        <v>Plastics</v>
      </c>
      <c r="BC812" t="str">
        <v>Plastics</v>
      </c>
      <c r="BD812" t="str">
        <v>Oceania</v>
      </c>
      <c r="BE812" t="str">
        <v>Australia</v>
      </c>
      <c r="BF812">
        <v>-2.0953266666666663</v>
      </c>
      <c r="BG812" t="e">
        <v>#N/A</v>
      </c>
      <c r="BH812">
        <v>-4.4031027052446881</v>
      </c>
      <c r="BI812" t="str">
        <v>DELETE</v>
      </c>
      <c r="BJ812" t="str">
        <v>DELETE</v>
      </c>
      <c r="BK812">
        <v>2.6022305346742901E-2</v>
      </c>
      <c r="BL812">
        <v>0.62743418122049499</v>
      </c>
      <c r="BM812">
        <v>2.1870245647238802</v>
      </c>
    </row>
    <row r="813" spans="3:65" ht="28.8">
      <c r="C813" s="362">
        <v>10</v>
      </c>
      <c r="D813" s="363" t="s">
        <v>10157</v>
      </c>
      <c r="E813" s="362" t="s">
        <v>545</v>
      </c>
      <c r="F813" s="362" t="s">
        <v>549</v>
      </c>
      <c r="G813" s="362" t="s">
        <v>554</v>
      </c>
      <c r="H813" s="368">
        <v>-2.8533815875203707</v>
      </c>
      <c r="I813" s="368">
        <v>0</v>
      </c>
      <c r="J813" s="368">
        <v>0</v>
      </c>
      <c r="K813" s="368">
        <v>0</v>
      </c>
      <c r="L813" s="368">
        <v>0</v>
      </c>
      <c r="M813" s="368">
        <v>-0.46442343902904221</v>
      </c>
      <c r="N813" s="368">
        <v>-0.5307638195714357</v>
      </c>
      <c r="O813" s="368">
        <v>2.7968365619238648E-2</v>
      </c>
      <c r="T813" s="137">
        <v>2</v>
      </c>
      <c r="U813" s="137" t="s">
        <v>252</v>
      </c>
      <c r="V813" s="136" t="s">
        <v>253</v>
      </c>
      <c r="W813" s="136" t="s">
        <v>550</v>
      </c>
      <c r="X813" s="136" t="s">
        <v>561</v>
      </c>
      <c r="Y813" s="172">
        <f>IFERROR(-tblZwaste1422[[#This Row],[Weight (kgCO2e/kg)]],0)</f>
        <v>-2.04928</v>
      </c>
      <c r="Z813" s="172" t="e">
        <f>IF(AQ813="x",(AR813*-tblZwaste1422[[#This Row],[Weight (kgCO2e/kg)]])+AS813+($AR$10*Lookups!$J$38/1000),"DELETE")</f>
        <v>#N/A</v>
      </c>
      <c r="AA813" s="176">
        <v>-3.8665938524911381</v>
      </c>
      <c r="AB813" s="172" t="s">
        <v>567</v>
      </c>
      <c r="AC813" s="172" t="s">
        <v>567</v>
      </c>
      <c r="AD813" s="172">
        <v>2.60223023657884E-2</v>
      </c>
      <c r="AE813" s="172">
        <v>0.49217855726131798</v>
      </c>
      <c r="AF813" s="172">
        <v>3.18317771719081</v>
      </c>
      <c r="AG813" s="150"/>
      <c r="AI813" s="137">
        <v>2</v>
      </c>
      <c r="AJ813" s="136" t="s">
        <v>252</v>
      </c>
      <c r="AK813" s="142" t="s">
        <v>253</v>
      </c>
      <c r="AL813" s="5" t="s">
        <v>550</v>
      </c>
      <c r="AM813" s="5" t="s">
        <v>561</v>
      </c>
      <c r="AN813" s="1">
        <v>2.04928</v>
      </c>
      <c r="AO813" s="166">
        <v>1.77911</v>
      </c>
      <c r="AQ813" t="e">
        <f>_xlfn.XLOOKUP(tblGWP21[[#This Row],[Material Subcategory]],ls_Mat,Factors!$K$952:$K$1023)</f>
        <v>#N/A</v>
      </c>
      <c r="AR813" s="173">
        <v>0.77500000000000002</v>
      </c>
      <c r="AS813">
        <v>8.1306407300000008E-2</v>
      </c>
      <c r="AT813" t="s">
        <v>531</v>
      </c>
      <c r="BA813" cm="1">
        <f t="array" ref="BA813:BM813">tblGWP21[#This Row]</f>
        <v>2</v>
      </c>
      <c r="BB813" t="str">
        <v>Plastics</v>
      </c>
      <c r="BC813" t="str">
        <v>HDPE (translucent and pigmented)</v>
      </c>
      <c r="BD813" t="str">
        <v>Oceania</v>
      </c>
      <c r="BE813" t="str">
        <v>Australia</v>
      </c>
      <c r="BF813">
        <v>-2.04928</v>
      </c>
      <c r="BG813" t="e">
        <v>#N/A</v>
      </c>
      <c r="BH813">
        <v>-3.8665938524911381</v>
      </c>
      <c r="BI813" t="str">
        <v>DELETE</v>
      </c>
      <c r="BJ813" t="str">
        <v>DELETE</v>
      </c>
      <c r="BK813">
        <v>2.60223023657884E-2</v>
      </c>
      <c r="BL813">
        <v>0.49217855726131798</v>
      </c>
      <c r="BM813">
        <v>3.18317771719081</v>
      </c>
    </row>
    <row r="814" spans="3:65" ht="28.8">
      <c r="C814" s="136">
        <v>10</v>
      </c>
      <c r="D814" s="137" t="s">
        <v>10169</v>
      </c>
      <c r="E814" s="136" t="s">
        <v>10170</v>
      </c>
      <c r="F814" s="136" t="s">
        <v>549</v>
      </c>
      <c r="G814" s="136" t="s">
        <v>554</v>
      </c>
      <c r="H814" s="191">
        <v>-0.74582333333333339</v>
      </c>
      <c r="I814" s="191">
        <v>-0.58351400000000009</v>
      </c>
      <c r="J814" s="191">
        <v>0.3259926084346883</v>
      </c>
      <c r="K814" s="191">
        <v>0</v>
      </c>
      <c r="L814" s="191">
        <v>0</v>
      </c>
      <c r="M814" s="191">
        <v>0.45668176288049178</v>
      </c>
      <c r="N814" s="191">
        <v>1.0683983533052401</v>
      </c>
      <c r="O814" s="191">
        <v>1.142290877337675</v>
      </c>
      <c r="T814" s="137">
        <v>2</v>
      </c>
      <c r="U814" s="137" t="s">
        <v>252</v>
      </c>
      <c r="V814" s="136" t="s">
        <v>328</v>
      </c>
      <c r="W814" s="136" t="s">
        <v>550</v>
      </c>
      <c r="X814" s="136" t="s">
        <v>561</v>
      </c>
      <c r="Y814" s="172">
        <f>IFERROR(-tblZwaste1422[[#This Row],[Weight (kgCO2e/kg)]],0)</f>
        <v>-2.3231199999999999</v>
      </c>
      <c r="Z814" s="172" t="e">
        <f>IF(AQ814="x",(AR814*-tblZwaste1422[[#This Row],[Weight (kgCO2e/kg)]])+AS814+($AR$10*Lookups!$J$38/1000),"DELETE")</f>
        <v>#N/A</v>
      </c>
      <c r="AA814" s="176">
        <v>-4.5549858253038238</v>
      </c>
      <c r="AB814" s="172" t="s">
        <v>567</v>
      </c>
      <c r="AC814" s="172" t="s">
        <v>567</v>
      </c>
      <c r="AD814" s="172">
        <v>2.6022303157787401E-2</v>
      </c>
      <c r="AE814" s="172">
        <v>0.53523499308112499</v>
      </c>
      <c r="AF814" s="172">
        <v>2.4956079529639799</v>
      </c>
      <c r="AG814" s="150"/>
      <c r="AI814" s="137">
        <v>2</v>
      </c>
      <c r="AJ814" s="136" t="s">
        <v>252</v>
      </c>
      <c r="AK814" s="142" t="s">
        <v>328</v>
      </c>
      <c r="AL814" s="5" t="s">
        <v>550</v>
      </c>
      <c r="AM814" s="5" t="s">
        <v>561</v>
      </c>
      <c r="AN814" s="1">
        <v>2.3231199999999999</v>
      </c>
      <c r="AO814" s="166">
        <v>1.77911</v>
      </c>
      <c r="AQ814" t="e">
        <f>_xlfn.XLOOKUP(tblGWP21[[#This Row],[Material Subcategory]],ls_Mat,Factors!$K$952:$K$1023)</f>
        <v>#N/A</v>
      </c>
      <c r="AR814" s="173">
        <v>0.77500000000000002</v>
      </c>
      <c r="BA814" cm="1">
        <f t="array" ref="BA814:BM814">tblGWP21[#This Row]</f>
        <v>2</v>
      </c>
      <c r="BB814" t="str">
        <v>Plastics</v>
      </c>
      <c r="BC814" t="str">
        <v>LDPE</v>
      </c>
      <c r="BD814" t="str">
        <v>Oceania</v>
      </c>
      <c r="BE814" t="str">
        <v>Australia</v>
      </c>
      <c r="BF814">
        <v>-2.3231199999999999</v>
      </c>
      <c r="BG814" t="e">
        <v>#N/A</v>
      </c>
      <c r="BH814">
        <v>-4.5549858253038238</v>
      </c>
      <c r="BI814" t="str">
        <v>DELETE</v>
      </c>
      <c r="BJ814" t="str">
        <v>DELETE</v>
      </c>
      <c r="BK814">
        <v>2.6022303157787401E-2</v>
      </c>
      <c r="BL814">
        <v>0.53523499308112499</v>
      </c>
      <c r="BM814">
        <v>2.4956079529639799</v>
      </c>
    </row>
    <row r="815" spans="3:65" ht="28.8">
      <c r="C815" s="362">
        <v>2</v>
      </c>
      <c r="D815" s="363" t="s">
        <v>233</v>
      </c>
      <c r="E815" s="362" t="s">
        <v>233</v>
      </c>
      <c r="F815" s="362" t="s">
        <v>550</v>
      </c>
      <c r="G815" s="362" t="s">
        <v>561</v>
      </c>
      <c r="H815" s="368">
        <v>0</v>
      </c>
      <c r="I815" s="368">
        <v>-0.13905086666666666</v>
      </c>
      <c r="J815" s="368">
        <v>0</v>
      </c>
      <c r="K815" s="368">
        <v>-1.4467129262285372</v>
      </c>
      <c r="L815" s="368">
        <v>-2.0473741651862505</v>
      </c>
      <c r="M815" s="368">
        <v>-1.0116897927652853</v>
      </c>
      <c r="N815" s="368">
        <v>-0.849519845769099</v>
      </c>
      <c r="O815" s="368">
        <v>3.3140542243510901E-2</v>
      </c>
      <c r="T815" s="137">
        <v>2</v>
      </c>
      <c r="U815" s="137" t="s">
        <v>252</v>
      </c>
      <c r="V815" s="136" t="s">
        <v>254</v>
      </c>
      <c r="W815" s="136" t="s">
        <v>550</v>
      </c>
      <c r="X815" s="136" t="s">
        <v>561</v>
      </c>
      <c r="Y815" s="172">
        <f>IFERROR(-tblZwaste1422[[#This Row],[Weight (kgCO2e/kg)]],0)</f>
        <v>-2.1485799999999999</v>
      </c>
      <c r="Z815" s="172" t="e">
        <f>IF(AQ815="x",(AR815*-tblZwaste1422[[#This Row],[Weight (kgCO2e/kg)]])+AS815+($AR$10*Lookups!$J$38/1000),"DELETE")</f>
        <v>#N/A</v>
      </c>
      <c r="AA815" s="176">
        <v>-4.6358453178799648</v>
      </c>
      <c r="AB815" s="172" t="s">
        <v>567</v>
      </c>
      <c r="AC815" s="172" t="s">
        <v>567</v>
      </c>
      <c r="AD815" s="172">
        <v>2.60223023657884E-2</v>
      </c>
      <c r="AE815" s="172">
        <v>0.69711824303247505</v>
      </c>
      <c r="AF815" s="172">
        <v>2.53633256927669</v>
      </c>
      <c r="AG815" s="150"/>
      <c r="AI815" s="137">
        <v>2</v>
      </c>
      <c r="AJ815" s="136" t="s">
        <v>252</v>
      </c>
      <c r="AK815" s="142" t="s">
        <v>254</v>
      </c>
      <c r="AL815" s="5" t="s">
        <v>550</v>
      </c>
      <c r="AM815" s="5" t="s">
        <v>561</v>
      </c>
      <c r="AN815" s="1">
        <v>2.1485799999999999</v>
      </c>
      <c r="AO815" s="166">
        <v>1.77911</v>
      </c>
      <c r="AQ815" t="e">
        <f>_xlfn.XLOOKUP(tblGWP21[[#This Row],[Material Subcategory]],ls_Mat,Factors!$K$952:$K$1023)</f>
        <v>#N/A</v>
      </c>
      <c r="AR815" s="173">
        <v>0.77500000000000002</v>
      </c>
      <c r="AS815">
        <v>8.1306407300000008E-2</v>
      </c>
      <c r="AT815" t="s">
        <v>531</v>
      </c>
      <c r="BA815" cm="1">
        <f t="array" ref="BA815:BM815">tblGWP21[#This Row]</f>
        <v>2</v>
      </c>
      <c r="BB815" t="str">
        <v>Plastics</v>
      </c>
      <c r="BC815" t="str">
        <v>PET</v>
      </c>
      <c r="BD815" t="str">
        <v>Oceania</v>
      </c>
      <c r="BE815" t="str">
        <v>Australia</v>
      </c>
      <c r="BF815">
        <v>-2.1485799999999999</v>
      </c>
      <c r="BG815" t="e">
        <v>#N/A</v>
      </c>
      <c r="BH815">
        <v>-4.6358453178799648</v>
      </c>
      <c r="BI815" t="str">
        <v>DELETE</v>
      </c>
      <c r="BJ815" t="str">
        <v>DELETE</v>
      </c>
      <c r="BK815">
        <v>2.60223023657884E-2</v>
      </c>
      <c r="BL815">
        <v>0.69711824303247505</v>
      </c>
      <c r="BM815">
        <v>2.53633256927669</v>
      </c>
    </row>
    <row r="816" spans="3:65" ht="28.8">
      <c r="C816" s="136">
        <v>2</v>
      </c>
      <c r="D816" s="137" t="s">
        <v>233</v>
      </c>
      <c r="E816" s="136" t="s">
        <v>250</v>
      </c>
      <c r="F816" s="136" t="s">
        <v>550</v>
      </c>
      <c r="G816" s="136" t="s">
        <v>561</v>
      </c>
      <c r="H816" s="191">
        <v>0</v>
      </c>
      <c r="I816" s="191">
        <v>0</v>
      </c>
      <c r="J816" s="191">
        <v>0</v>
      </c>
      <c r="K816" s="191">
        <v>-1.7445491769864401</v>
      </c>
      <c r="L816" s="191">
        <v>-2.1472669608911699</v>
      </c>
      <c r="M816" s="191">
        <v>-1.04199171049873</v>
      </c>
      <c r="N816" s="191">
        <v>-0.91032867384352301</v>
      </c>
      <c r="O816" s="191">
        <v>2.84317585042979E-2</v>
      </c>
      <c r="T816" s="137">
        <v>2</v>
      </c>
      <c r="U816" s="137" t="s">
        <v>252</v>
      </c>
      <c r="V816" s="136" t="s">
        <v>532</v>
      </c>
      <c r="W816" s="136" t="s">
        <v>550</v>
      </c>
      <c r="X816" s="136" t="s">
        <v>561</v>
      </c>
      <c r="Y816" s="172">
        <f>IFERROR(-tblZwaste1422[[#This Row],[Weight (kgCO2e/kg)]],0)</f>
        <v>-1.9492499999999999</v>
      </c>
      <c r="Z816" s="172" t="e">
        <f>IF(AQ816="x",(AR816*-tblZwaste1422[[#This Row],[Weight (kgCO2e/kg)]])+AS816+($AR$10*Lookups!$J$38/1000),"DELETE")</f>
        <v>#N/A</v>
      </c>
      <c r="AA816" s="176">
        <v>-4.5549858253038238</v>
      </c>
      <c r="AB816" s="172" t="s">
        <v>567</v>
      </c>
      <c r="AC816" s="172" t="s">
        <v>567</v>
      </c>
      <c r="AD816" s="172">
        <v>2.6022303157787401E-2</v>
      </c>
      <c r="AE816" s="172">
        <v>0.53523499308112499</v>
      </c>
      <c r="AF816" s="172">
        <v>2.4956079529639799</v>
      </c>
      <c r="AG816" s="150"/>
      <c r="AI816" s="137">
        <v>2</v>
      </c>
      <c r="AJ816" s="136" t="s">
        <v>252</v>
      </c>
      <c r="AK816" s="142" t="s">
        <v>532</v>
      </c>
      <c r="AL816" s="5" t="s">
        <v>550</v>
      </c>
      <c r="AM816" s="5" t="s">
        <v>561</v>
      </c>
      <c r="AN816" s="1">
        <v>1.9492499999999999</v>
      </c>
      <c r="AO816" s="166">
        <v>1.77911</v>
      </c>
      <c r="AQ816" t="e">
        <f>_xlfn.XLOOKUP(tblGWP21[[#This Row],[Material Subcategory]],ls_Mat,Factors!$K$952:$K$1023)</f>
        <v>#N/A</v>
      </c>
      <c r="BA816" cm="1">
        <f t="array" ref="BA816:BM816">tblGWP21[#This Row]</f>
        <v>2</v>
      </c>
      <c r="BB816" t="str">
        <v>Plastics</v>
      </c>
      <c r="BC816" t="str">
        <v>LLDPE</v>
      </c>
      <c r="BD816" t="str">
        <v>Oceania</v>
      </c>
      <c r="BE816" t="str">
        <v>Australia</v>
      </c>
      <c r="BF816">
        <v>-1.9492499999999999</v>
      </c>
      <c r="BG816" t="e">
        <v>#N/A</v>
      </c>
      <c r="BH816">
        <v>-4.5549858253038238</v>
      </c>
      <c r="BI816" t="str">
        <v>DELETE</v>
      </c>
      <c r="BJ816" t="str">
        <v>DELETE</v>
      </c>
      <c r="BK816">
        <v>2.6022303157787401E-2</v>
      </c>
      <c r="BL816">
        <v>0.53523499308112499</v>
      </c>
      <c r="BM816">
        <v>2.4956079529639799</v>
      </c>
    </row>
    <row r="817" spans="3:65" ht="28.8">
      <c r="C817" s="362">
        <v>2</v>
      </c>
      <c r="D817" s="363" t="s">
        <v>233</v>
      </c>
      <c r="E817" s="362" t="s">
        <v>249</v>
      </c>
      <c r="F817" s="362" t="s">
        <v>550</v>
      </c>
      <c r="G817" s="362" t="s">
        <v>561</v>
      </c>
      <c r="H817" s="368">
        <v>0</v>
      </c>
      <c r="I817" s="368">
        <v>0</v>
      </c>
      <c r="J817" s="368">
        <v>0</v>
      </c>
      <c r="K817" s="368">
        <v>-0.54338445241578603</v>
      </c>
      <c r="L817" s="368">
        <v>-0.74020312188889104</v>
      </c>
      <c r="M817" s="368">
        <v>1.8604858580971498E-2</v>
      </c>
      <c r="N817" s="368">
        <v>-0.19226620329942801</v>
      </c>
      <c r="O817" s="368">
        <v>2.5753037248270098E-2</v>
      </c>
      <c r="T817" s="137">
        <v>2</v>
      </c>
      <c r="U817" s="137" t="s">
        <v>252</v>
      </c>
      <c r="V817" s="136" t="s">
        <v>245</v>
      </c>
      <c r="W817" s="136" t="s">
        <v>550</v>
      </c>
      <c r="X817" s="136" t="s">
        <v>561</v>
      </c>
      <c r="Y817" s="172">
        <f>IFERROR(-tblZwaste1422[[#This Row],[Weight (kgCO2e/kg)]],0)</f>
        <v>-2.0269300000000001</v>
      </c>
      <c r="Z817" s="172" t="e">
        <f>IF(AQ817="x",(AR817*-tblZwaste1422[[#This Row],[Weight (kgCO2e/kg)]])+AS817+($AR$10*Lookups!$J$38/1000),"DELETE")</f>
        <v>#N/A</v>
      </c>
      <c r="AA817" s="176" t="s">
        <v>567</v>
      </c>
      <c r="AB817" s="172" t="s">
        <v>567</v>
      </c>
      <c r="AC817" s="172" t="s">
        <v>567</v>
      </c>
      <c r="AD817" s="172">
        <v>2.60223032751358E-2</v>
      </c>
      <c r="AE817" s="172">
        <v>0.44686290323644601</v>
      </c>
      <c r="AF817" s="172">
        <v>3.1833670270929102</v>
      </c>
      <c r="AG817" s="150"/>
      <c r="AI817" s="137">
        <v>2</v>
      </c>
      <c r="AJ817" s="136" t="s">
        <v>252</v>
      </c>
      <c r="AK817" s="142" t="s">
        <v>245</v>
      </c>
      <c r="AL817" s="5" t="s">
        <v>550</v>
      </c>
      <c r="AM817" s="5" t="s">
        <v>561</v>
      </c>
      <c r="AN817" s="1">
        <v>2.0269300000000001</v>
      </c>
      <c r="AO817" s="166">
        <v>1.77911</v>
      </c>
      <c r="AQ817" t="e">
        <f>_xlfn.XLOOKUP(tblGWP21[[#This Row],[Material Subcategory]],ls_Mat,Factors!$K$952:$K$1023)</f>
        <v>#N/A</v>
      </c>
      <c r="AR817" s="173">
        <v>0.77500000000000002</v>
      </c>
      <c r="AS817">
        <v>8.1306407300000008E-2</v>
      </c>
      <c r="AT817" t="s">
        <v>531</v>
      </c>
      <c r="BA817" cm="1">
        <f t="array" ref="BA817:BM817">tblGWP21[#This Row]</f>
        <v>2</v>
      </c>
      <c r="BB817" t="str">
        <v>Plastics</v>
      </c>
      <c r="BC817" t="str">
        <v>PP</v>
      </c>
      <c r="BD817" t="str">
        <v>Oceania</v>
      </c>
      <c r="BE817" t="str">
        <v>Australia</v>
      </c>
      <c r="BF817">
        <v>-2.0269300000000001</v>
      </c>
      <c r="BG817" t="e">
        <v>#N/A</v>
      </c>
      <c r="BH817" t="str">
        <v>DELETE</v>
      </c>
      <c r="BI817" t="str">
        <v>DELETE</v>
      </c>
      <c r="BJ817" t="str">
        <v>DELETE</v>
      </c>
      <c r="BK817">
        <v>2.60223032751358E-2</v>
      </c>
      <c r="BL817">
        <v>0.44686290323644601</v>
      </c>
      <c r="BM817">
        <v>3.1833670270929102</v>
      </c>
    </row>
    <row r="818" spans="3:65" ht="28.8">
      <c r="C818" s="136">
        <v>2</v>
      </c>
      <c r="D818" s="137" t="s">
        <v>233</v>
      </c>
      <c r="E818" s="136" t="s">
        <v>273</v>
      </c>
      <c r="F818" s="136" t="s">
        <v>550</v>
      </c>
      <c r="G818" s="136" t="s">
        <v>561</v>
      </c>
      <c r="H818" s="191">
        <v>0</v>
      </c>
      <c r="I818" s="191">
        <v>0</v>
      </c>
      <c r="J818" s="191">
        <v>0</v>
      </c>
      <c r="K818" s="191">
        <v>-1.6485436672468201</v>
      </c>
      <c r="L818" s="191">
        <v>-2.1003113644548699</v>
      </c>
      <c r="M818" s="191">
        <v>-0.79779467300472295</v>
      </c>
      <c r="N818" s="191">
        <v>-0.88417570316763305</v>
      </c>
      <c r="O818" s="191">
        <v>2.72081105786014E-2</v>
      </c>
      <c r="T818" s="137">
        <v>2</v>
      </c>
      <c r="U818" s="137" t="s">
        <v>252</v>
      </c>
      <c r="V818" s="136" t="s">
        <v>533</v>
      </c>
      <c r="W818" s="136" t="s">
        <v>550</v>
      </c>
      <c r="X818" s="136" t="s">
        <v>561</v>
      </c>
      <c r="Y818" s="172">
        <f>IFERROR(-tblZwaste1422[[#This Row],[Weight (kgCO2e/kg)]],0)</f>
        <v>-2.0748000000000002</v>
      </c>
      <c r="Z818" s="172" t="e">
        <f>IF(AQ818="x",(AR818*-tblZwaste1422[[#This Row],[Weight (kgCO2e/kg)]])+AS818+($AR$10*Lookups!$J$38/1000),"DELETE")</f>
        <v>#N/A</v>
      </c>
      <c r="AA818" s="176" t="s">
        <v>567</v>
      </c>
      <c r="AB818" s="172" t="s">
        <v>567</v>
      </c>
      <c r="AC818" s="172" t="s">
        <v>567</v>
      </c>
      <c r="AD818" s="172">
        <v>2.6022298134733599E-2</v>
      </c>
      <c r="AE818" s="172">
        <v>0.64496580944247495</v>
      </c>
      <c r="AF818" s="172">
        <v>3.03683072134959</v>
      </c>
      <c r="AG818" s="150"/>
      <c r="AI818" s="137">
        <v>2</v>
      </c>
      <c r="AJ818" s="136" t="s">
        <v>252</v>
      </c>
      <c r="AK818" s="142" t="s">
        <v>533</v>
      </c>
      <c r="AL818" s="5" t="s">
        <v>550</v>
      </c>
      <c r="AM818" s="5" t="s">
        <v>561</v>
      </c>
      <c r="AN818" s="1">
        <v>2.0748000000000002</v>
      </c>
      <c r="AO818" s="166">
        <v>1.77911</v>
      </c>
      <c r="AQ818" t="e">
        <f>_xlfn.XLOOKUP(tblGWP21[[#This Row],[Material Subcategory]],ls_Mat,Factors!$K$952:$K$1023)</f>
        <v>#N/A</v>
      </c>
      <c r="AR818" s="173">
        <v>0.77500000000000002</v>
      </c>
      <c r="AS818">
        <v>8.1306407300000008E-2</v>
      </c>
      <c r="AT818" t="s">
        <v>531</v>
      </c>
      <c r="BA818" cm="1">
        <f t="array" ref="BA818:BM818">tblGWP21[#This Row]</f>
        <v>2</v>
      </c>
      <c r="BB818" t="str">
        <v>Plastics</v>
      </c>
      <c r="BC818" t="str">
        <v>PVC</v>
      </c>
      <c r="BD818" t="str">
        <v>Oceania</v>
      </c>
      <c r="BE818" t="str">
        <v>Australia</v>
      </c>
      <c r="BF818">
        <v>-2.0748000000000002</v>
      </c>
      <c r="BG818" t="e">
        <v>#N/A</v>
      </c>
      <c r="BH818" t="str">
        <v>DELETE</v>
      </c>
      <c r="BI818" t="str">
        <v>DELETE</v>
      </c>
      <c r="BJ818" t="str">
        <v>DELETE</v>
      </c>
      <c r="BK818">
        <v>2.6022298134733599E-2</v>
      </c>
      <c r="BL818">
        <v>0.64496580944247495</v>
      </c>
      <c r="BM818">
        <v>3.03683072134959</v>
      </c>
    </row>
    <row r="819" spans="3:65" ht="28.8">
      <c r="C819" s="362">
        <v>2</v>
      </c>
      <c r="D819" s="363" t="s">
        <v>233</v>
      </c>
      <c r="E819" s="362" t="s">
        <v>330</v>
      </c>
      <c r="F819" s="362" t="s">
        <v>550</v>
      </c>
      <c r="G819" s="362" t="s">
        <v>561</v>
      </c>
      <c r="H819" s="368">
        <v>-0.14119999999999999</v>
      </c>
      <c r="I819" s="368">
        <v>-0.1076582</v>
      </c>
      <c r="J819" s="368">
        <v>0</v>
      </c>
      <c r="K819" s="368">
        <v>0</v>
      </c>
      <c r="L819" s="368">
        <v>0</v>
      </c>
      <c r="M819" s="368">
        <v>-1.4804878785558699</v>
      </c>
      <c r="N819" s="368">
        <v>-1.02845074925215</v>
      </c>
      <c r="O819" s="368">
        <v>5.3035846633626003E-2</v>
      </c>
      <c r="T819" s="137">
        <v>2</v>
      </c>
      <c r="U819" s="137" t="s">
        <v>242</v>
      </c>
      <c r="V819" s="136" t="s">
        <v>242</v>
      </c>
      <c r="W819" s="136" t="s">
        <v>550</v>
      </c>
      <c r="X819" s="136" t="s">
        <v>561</v>
      </c>
      <c r="Y819" s="172">
        <f>IFERROR(-tblZwaste1422[[#This Row],[Weight (kgCO2e/kg)]],0)</f>
        <v>-38.486130000000003</v>
      </c>
      <c r="Z819" s="172" t="e">
        <f>IF(AQ819="x",(AR819*-tblZwaste1422[[#This Row],[Weight (kgCO2e/kg)]])+AS819+($AR$10*Lookups!$J$38/1000),"DELETE")</f>
        <v>#N/A</v>
      </c>
      <c r="AA819" s="172">
        <f>AVERAGE(AA820,AA821,AA853,AA854)</f>
        <v>-3.2868550000000001</v>
      </c>
      <c r="AB819" s="172" t="s">
        <v>567</v>
      </c>
      <c r="AC819" s="172" t="s">
        <v>567</v>
      </c>
      <c r="AD819" s="172">
        <v>2.5860000000000001E-2</v>
      </c>
      <c r="AE819" s="172">
        <v>4.1800809795969597E-2</v>
      </c>
      <c r="AF819" s="172">
        <v>4.8913810169323599E-2</v>
      </c>
      <c r="AG819" s="150"/>
      <c r="AI819" s="137">
        <v>2</v>
      </c>
      <c r="AJ819" s="136" t="s">
        <v>242</v>
      </c>
      <c r="AK819" s="142" t="s">
        <v>242</v>
      </c>
      <c r="AL819" s="5" t="s">
        <v>550</v>
      </c>
      <c r="AM819" s="5" t="s">
        <v>561</v>
      </c>
      <c r="AN819" s="1">
        <v>38.486130000000003</v>
      </c>
      <c r="AO819" s="166">
        <v>0.20843</v>
      </c>
      <c r="AQ819" t="e">
        <f>_xlfn.XLOOKUP(tblGWP21[[#This Row],[Material Subcategory]],ls_Mat,Factors!$K$952:$K$1023)</f>
        <v>#N/A</v>
      </c>
      <c r="AR819" s="173">
        <v>0.72499999999999998</v>
      </c>
      <c r="AS819">
        <v>0</v>
      </c>
      <c r="AT819" t="s">
        <v>527</v>
      </c>
      <c r="BA819" cm="1">
        <f t="array" ref="BA819:BM819">tblGWP21[#This Row]</f>
        <v>2</v>
      </c>
      <c r="BB819" t="str">
        <v>Electronics</v>
      </c>
      <c r="BC819" t="str">
        <v>Electronics</v>
      </c>
      <c r="BD819" t="str">
        <v>Oceania</v>
      </c>
      <c r="BE819" t="str">
        <v>Australia</v>
      </c>
      <c r="BF819">
        <v>-38.486130000000003</v>
      </c>
      <c r="BG819" t="e">
        <v>#N/A</v>
      </c>
      <c r="BH819">
        <v>-3.2868550000000001</v>
      </c>
      <c r="BI819" t="str">
        <v>DELETE</v>
      </c>
      <c r="BJ819" t="str">
        <v>DELETE</v>
      </c>
      <c r="BK819">
        <v>2.5860000000000001E-2</v>
      </c>
      <c r="BL819">
        <v>4.1800809795969597E-2</v>
      </c>
      <c r="BM819">
        <v>4.8913810169323599E-2</v>
      </c>
    </row>
    <row r="820" spans="3:65" ht="28.8">
      <c r="C820" s="136">
        <v>2</v>
      </c>
      <c r="D820" s="137" t="s">
        <v>233</v>
      </c>
      <c r="E820" s="136" t="s">
        <v>335</v>
      </c>
      <c r="F820" s="136" t="s">
        <v>550</v>
      </c>
      <c r="G820" s="136" t="s">
        <v>561</v>
      </c>
      <c r="H820" s="191">
        <v>-0.26272000000000001</v>
      </c>
      <c r="I820" s="191">
        <v>-0.20183620000000002</v>
      </c>
      <c r="J820" s="191">
        <v>0</v>
      </c>
      <c r="K820" s="191">
        <v>-1.6485436672468201</v>
      </c>
      <c r="L820" s="191">
        <v>-2.6245446893481601</v>
      </c>
      <c r="M820" s="191">
        <v>-1.38423467655668</v>
      </c>
      <c r="N820" s="191">
        <v>-1.0409488725259299</v>
      </c>
      <c r="O820" s="191">
        <v>3.2207250248134998E-2</v>
      </c>
      <c r="T820" s="137">
        <v>2</v>
      </c>
      <c r="U820" s="137" t="s">
        <v>242</v>
      </c>
      <c r="V820" s="136" t="s">
        <v>274</v>
      </c>
      <c r="W820" s="136" t="s">
        <v>550</v>
      </c>
      <c r="X820" s="136" t="s">
        <v>561</v>
      </c>
      <c r="Y820" s="172">
        <f>IFERROR(-tblZwaste1422[[#This Row],[Weight (kgCO2e/kg)]],0)</f>
        <v>-38.486130000000003</v>
      </c>
      <c r="Z820" s="172">
        <f>IF(AQ820="x",(AR820*-tblZwaste1422[[#This Row],[Weight (kgCO2e/kg)]])+AS820+($AR$10*Lookups!$J$38/1000),"DELETE")</f>
        <v>-27.900672450000002</v>
      </c>
      <c r="AA820" s="172">
        <v>-8.5278425000000002</v>
      </c>
      <c r="AB820" s="172" t="s">
        <v>567</v>
      </c>
      <c r="AC820" s="172" t="s">
        <v>567</v>
      </c>
      <c r="AD820" s="172">
        <v>2.5860000000000001E-2</v>
      </c>
      <c r="AE820" s="172">
        <v>4.1800809795969597E-2</v>
      </c>
      <c r="AF820" s="172">
        <v>4.8913810169323599E-2</v>
      </c>
      <c r="AG820" s="150"/>
      <c r="AI820" s="137">
        <v>2</v>
      </c>
      <c r="AJ820" s="136" t="s">
        <v>242</v>
      </c>
      <c r="AK820" s="142" t="s">
        <v>242</v>
      </c>
      <c r="AL820" s="5" t="s">
        <v>550</v>
      </c>
      <c r="AM820" s="5" t="s">
        <v>561</v>
      </c>
      <c r="AN820" s="1">
        <v>38.486130000000003</v>
      </c>
      <c r="AO820" s="166">
        <v>0.20843</v>
      </c>
      <c r="AQ820" t="str">
        <f>_xlfn.XLOOKUP(tblGWP21[[#This Row],[Material Subcategory]],ls_Mat,Factors!$K$952:$K$1023)</f>
        <v>x</v>
      </c>
      <c r="AR820" s="173">
        <v>0.72499999999999998</v>
      </c>
      <c r="AS820">
        <v>0</v>
      </c>
      <c r="AT820" t="s">
        <v>527</v>
      </c>
      <c r="BA820" cm="1">
        <f t="array" ref="BA820:BM820">tblGWP21[#This Row]</f>
        <v>2</v>
      </c>
      <c r="BB820" t="str">
        <v>Electronics</v>
      </c>
      <c r="BC820" t="str">
        <v>E-waste</v>
      </c>
      <c r="BD820" t="str">
        <v>Oceania</v>
      </c>
      <c r="BE820" t="str">
        <v>Australia</v>
      </c>
      <c r="BF820">
        <v>-38.486130000000003</v>
      </c>
      <c r="BG820">
        <v>-27.900672450000002</v>
      </c>
      <c r="BH820">
        <v>-8.5278425000000002</v>
      </c>
      <c r="BI820" t="str">
        <v>DELETE</v>
      </c>
      <c r="BJ820" t="str">
        <v>DELETE</v>
      </c>
      <c r="BK820">
        <v>2.5860000000000001E-2</v>
      </c>
      <c r="BL820">
        <v>4.1800809795969597E-2</v>
      </c>
      <c r="BM820">
        <v>4.8913810169323599E-2</v>
      </c>
    </row>
    <row r="821" spans="3:65" ht="28.8">
      <c r="C821" s="366">
        <v>2</v>
      </c>
      <c r="D821" s="367" t="s">
        <v>233</v>
      </c>
      <c r="E821" s="366" t="s">
        <v>326</v>
      </c>
      <c r="F821" s="366" t="s">
        <v>550</v>
      </c>
      <c r="G821" s="366" t="s">
        <v>561</v>
      </c>
      <c r="H821" s="368">
        <v>-0.14119999999999999</v>
      </c>
      <c r="I821" s="368">
        <v>-0.1076582</v>
      </c>
      <c r="J821" s="368">
        <v>0</v>
      </c>
      <c r="K821" s="368">
        <v>-1.6485436672468201</v>
      </c>
      <c r="L821" s="368">
        <v>-2.6245446893481601</v>
      </c>
      <c r="M821" s="368">
        <v>-1.38423467655668</v>
      </c>
      <c r="N821" s="368">
        <v>-1.0409488725259299</v>
      </c>
      <c r="O821" s="368">
        <v>3.2207250248134998E-2</v>
      </c>
      <c r="T821" s="139">
        <v>2</v>
      </c>
      <c r="U821" s="139" t="s">
        <v>242</v>
      </c>
      <c r="V821" s="140" t="s">
        <v>534</v>
      </c>
      <c r="W821" s="140" t="s">
        <v>550</v>
      </c>
      <c r="X821" s="140" t="s">
        <v>561</v>
      </c>
      <c r="Y821" s="172">
        <f>IFERROR(-tblZwaste1422[[#This Row],[Weight (kgCO2e/kg)]],0)</f>
        <v>-15.0122</v>
      </c>
      <c r="Z821" s="172">
        <f>IF(AQ821="x",(AR821*-tblZwaste1422[[#This Row],[Weight (kgCO2e/kg)]])+AS821+($AR$10*Lookups!$J$38/1000),"DELETE")</f>
        <v>-10.882073199999999</v>
      </c>
      <c r="AA821" s="172">
        <v>-3.19428</v>
      </c>
      <c r="AB821" s="172" t="s">
        <v>567</v>
      </c>
      <c r="AC821" s="172" t="s">
        <v>567</v>
      </c>
      <c r="AD821" s="172">
        <v>2.5860000000000001E-2</v>
      </c>
      <c r="AE821" s="172">
        <v>4.1800809795969597E-2</v>
      </c>
      <c r="AF821" s="172">
        <v>4.8913810169323599E-2</v>
      </c>
      <c r="AG821" s="150"/>
      <c r="AI821" s="137">
        <v>2</v>
      </c>
      <c r="AJ821" s="136" t="s">
        <v>242</v>
      </c>
      <c r="AK821" s="142" t="s">
        <v>534</v>
      </c>
      <c r="AL821" s="5" t="s">
        <v>550</v>
      </c>
      <c r="AM821" s="5" t="s">
        <v>561</v>
      </c>
      <c r="AN821" s="1">
        <v>15.0122</v>
      </c>
      <c r="AO821" s="166">
        <v>0.37092000000000003</v>
      </c>
      <c r="AQ821" t="str">
        <f>_xlfn.XLOOKUP(tblGWP21[[#This Row],[Material Subcategory]],ls_Mat,Factors!$K$952:$K$1023)</f>
        <v>x</v>
      </c>
      <c r="AR821" s="173">
        <v>0.72499999999999998</v>
      </c>
      <c r="AS821">
        <v>0</v>
      </c>
      <c r="AT821" t="s">
        <v>527</v>
      </c>
      <c r="BA821" cm="1">
        <f t="array" ref="BA821:BM821">tblGWP21[#This Row]</f>
        <v>2</v>
      </c>
      <c r="BB821" t="str">
        <v>Electronics</v>
      </c>
      <c r="BC821" t="str">
        <v>Batteries</v>
      </c>
      <c r="BD821" t="str">
        <v>Oceania</v>
      </c>
      <c r="BE821" t="str">
        <v>Australia</v>
      </c>
      <c r="BF821">
        <v>-15.0122</v>
      </c>
      <c r="BG821">
        <v>-10.882073199999999</v>
      </c>
      <c r="BH821">
        <v>-3.19428</v>
      </c>
      <c r="BI821" t="str">
        <v>DELETE</v>
      </c>
      <c r="BJ821" t="str">
        <v>DELETE</v>
      </c>
      <c r="BK821">
        <v>2.5860000000000001E-2</v>
      </c>
      <c r="BL821">
        <v>4.1800809795969597E-2</v>
      </c>
      <c r="BM821">
        <v>4.8913810169323599E-2</v>
      </c>
    </row>
    <row r="822" spans="3:65">
      <c r="C822" s="136">
        <v>2</v>
      </c>
      <c r="D822" s="137" t="s">
        <v>261</v>
      </c>
      <c r="E822" s="136" t="s">
        <v>261</v>
      </c>
      <c r="F822" s="136" t="s">
        <v>550</v>
      </c>
      <c r="G822" s="136" t="s">
        <v>561</v>
      </c>
      <c r="H822" s="191">
        <v>-4.72241</v>
      </c>
      <c r="I822" s="191">
        <v>-2.3594331999999998</v>
      </c>
      <c r="J822" s="191">
        <v>0</v>
      </c>
      <c r="K822" s="191">
        <v>-0.36345066198561049</v>
      </c>
      <c r="L822" s="191">
        <v>-0.58952172495462496</v>
      </c>
      <c r="M822" s="191">
        <v>0.13911075984299401</v>
      </c>
      <c r="N822" s="191">
        <v>-0.17731971245539049</v>
      </c>
      <c r="O822" s="191">
        <v>2.5406496338178101E-2</v>
      </c>
      <c r="T822" s="137">
        <v>2</v>
      </c>
      <c r="U822" s="137" t="s">
        <v>239</v>
      </c>
      <c r="V822" s="136" t="s">
        <v>239</v>
      </c>
      <c r="W822" s="136" t="s">
        <v>550</v>
      </c>
      <c r="X822" s="136" t="s">
        <v>561</v>
      </c>
      <c r="Y822" s="172">
        <f>IFERROR(-tblZwaste1422[[#This Row],[Weight (kgCO2e/kg)]],0)</f>
        <v>-2.6644477777777777</v>
      </c>
      <c r="Z822" s="172" t="e">
        <f>IF(AQ822="x",(AR822*-tblZwaste1422[[#This Row],[Weight (kgCO2e/kg)]])+AS822+($AR$10*Lookups!$J$38/1000),"DELETE")</f>
        <v>#N/A</v>
      </c>
      <c r="AA822" s="176">
        <v>-0.82622090524955993</v>
      </c>
      <c r="AB822" s="172">
        <v>-1.6415582940675599</v>
      </c>
      <c r="AC822" s="172">
        <v>-2.38875601138436</v>
      </c>
      <c r="AD822" s="172">
        <v>-0.64660766527578795</v>
      </c>
      <c r="AE822" s="172">
        <v>-0.84015304589553597</v>
      </c>
      <c r="AF822" s="172">
        <v>2.7471597181405401E-2</v>
      </c>
      <c r="AG822" s="150"/>
      <c r="AI822" s="137">
        <v>2</v>
      </c>
      <c r="AJ822" s="136" t="s">
        <v>239</v>
      </c>
      <c r="AK822" s="142" t="s">
        <v>239</v>
      </c>
      <c r="AL822" s="5" t="s">
        <v>550</v>
      </c>
      <c r="AM822" s="5" t="s">
        <v>561</v>
      </c>
      <c r="AN822" s="1">
        <v>2.6644477777777777</v>
      </c>
      <c r="AO822" s="166">
        <v>0.64099666666666666</v>
      </c>
      <c r="AQ822" t="e">
        <f>_xlfn.XLOOKUP(tblGWP21[[#This Row],[Material Subcategory]],ls_Mat,Factors!$K$952:$K$1023)</f>
        <v>#N/A</v>
      </c>
      <c r="AR822" s="173">
        <v>0.64600000000000002</v>
      </c>
      <c r="AS822">
        <v>0</v>
      </c>
      <c r="AT822" t="s">
        <v>527</v>
      </c>
      <c r="BA822" cm="1">
        <f t="array" ref="BA822:BM822">tblGWP21[#This Row]</f>
        <v>2</v>
      </c>
      <c r="BB822" t="str">
        <v>Paper</v>
      </c>
      <c r="BC822" t="str">
        <v>Paper</v>
      </c>
      <c r="BD822" t="str">
        <v>Oceania</v>
      </c>
      <c r="BE822" t="str">
        <v>Australia</v>
      </c>
      <c r="BF822">
        <v>-2.6644477777777777</v>
      </c>
      <c r="BG822" t="e">
        <v>#N/A</v>
      </c>
      <c r="BH822">
        <v>-0.82622090524955993</v>
      </c>
      <c r="BI822">
        <v>-1.6415582940675599</v>
      </c>
      <c r="BJ822">
        <v>-2.38875601138436</v>
      </c>
      <c r="BK822">
        <v>-0.64660766527578795</v>
      </c>
      <c r="BL822">
        <v>-0.84015304589553597</v>
      </c>
      <c r="BM822">
        <v>2.7471597181405401E-2</v>
      </c>
    </row>
    <row r="823" spans="3:65">
      <c r="C823" s="362">
        <v>2</v>
      </c>
      <c r="D823" s="363" t="s">
        <v>261</v>
      </c>
      <c r="E823" s="362" t="s">
        <v>269</v>
      </c>
      <c r="F823" s="362" t="s">
        <v>550</v>
      </c>
      <c r="G823" s="362" t="s">
        <v>561</v>
      </c>
      <c r="H823" s="368">
        <v>-0.25034000000000001</v>
      </c>
      <c r="I823" s="368">
        <v>-0.1233982</v>
      </c>
      <c r="J823" s="368">
        <v>0</v>
      </c>
      <c r="K823" s="368">
        <v>-0.303398738694796</v>
      </c>
      <c r="L823" s="368">
        <v>-0.49950497126607302</v>
      </c>
      <c r="M823" s="368">
        <v>0.17048144598486401</v>
      </c>
      <c r="N823" s="368">
        <v>-0.122481791907762</v>
      </c>
      <c r="O823" s="368">
        <v>2.5084386562055101E-2</v>
      </c>
      <c r="T823" s="137">
        <v>2</v>
      </c>
      <c r="U823" s="137" t="s">
        <v>239</v>
      </c>
      <c r="V823" s="136" t="s">
        <v>324</v>
      </c>
      <c r="W823" s="136" t="s">
        <v>550</v>
      </c>
      <c r="X823" s="136" t="s">
        <v>561</v>
      </c>
      <c r="Y823" s="172">
        <f>IFERROR(-tblZwaste1422[[#This Row],[Weight (kgCO2e/kg)]],0)</f>
        <v>-1.66</v>
      </c>
      <c r="Z823" s="172" t="str">
        <f>IF(AQ823="x",(AR823*-tblZwaste1422[[#This Row],[Weight (kgCO2e/kg)]])+AS823+($AR$10*Lookups!$J$38/1000),"DELETE")</f>
        <v>DELETE</v>
      </c>
      <c r="AA823" s="176">
        <v>0.2257372170756459</v>
      </c>
      <c r="AB823" s="172">
        <v>-1.6521126151519701</v>
      </c>
      <c r="AC823" s="172">
        <v>-2.2425496041953599</v>
      </c>
      <c r="AD823" s="172">
        <v>-1.1293815758271</v>
      </c>
      <c r="AE823" s="172">
        <v>-0.91353993473315398</v>
      </c>
      <c r="AF823" s="172">
        <v>2.66824832139794E-2</v>
      </c>
      <c r="AG823" s="150"/>
      <c r="AI823" s="137">
        <v>2</v>
      </c>
      <c r="AJ823" s="136" t="s">
        <v>239</v>
      </c>
      <c r="AK823" s="142" t="s">
        <v>324</v>
      </c>
      <c r="AL823" s="5" t="s">
        <v>550</v>
      </c>
      <c r="AM823" s="5" t="s">
        <v>561</v>
      </c>
      <c r="AN823" s="1">
        <v>1.66</v>
      </c>
      <c r="AO823" s="166">
        <v>0.13142999999999999</v>
      </c>
      <c r="AQ823">
        <f>_xlfn.XLOOKUP(tblGWP21[[#This Row],[Material Subcategory]],ls_Mat,Factors!$K$952:$K$1023)</f>
        <v>0</v>
      </c>
      <c r="AR823" s="173">
        <v>0.64600000000000002</v>
      </c>
      <c r="AS823">
        <v>0</v>
      </c>
      <c r="AT823" t="s">
        <v>527</v>
      </c>
      <c r="BA823" cm="1">
        <f t="array" ref="BA823:BM823">tblGWP21[#This Row]</f>
        <v>2</v>
      </c>
      <c r="BB823" t="str">
        <v>Paper</v>
      </c>
      <c r="BC823" t="str">
        <v>Newsprint</v>
      </c>
      <c r="BD823" t="str">
        <v>Oceania</v>
      </c>
      <c r="BE823" t="str">
        <v>Australia</v>
      </c>
      <c r="BF823">
        <v>-1.66</v>
      </c>
      <c r="BG823" t="str">
        <v>DELETE</v>
      </c>
      <c r="BH823">
        <v>0.2257372170756459</v>
      </c>
      <c r="BI823">
        <v>-1.6521126151519701</v>
      </c>
      <c r="BJ823">
        <v>-2.2425496041953599</v>
      </c>
      <c r="BK823">
        <v>-1.1293815758271</v>
      </c>
      <c r="BL823">
        <v>-0.91353993473315398</v>
      </c>
      <c r="BM823">
        <v>2.66824832139794E-2</v>
      </c>
    </row>
    <row r="824" spans="3:65" ht="28.8">
      <c r="C824" s="136">
        <v>2</v>
      </c>
      <c r="D824" s="137" t="s">
        <v>261</v>
      </c>
      <c r="E824" s="136" t="s">
        <v>530</v>
      </c>
      <c r="F824" s="136" t="s">
        <v>550</v>
      </c>
      <c r="G824" s="136" t="s">
        <v>561</v>
      </c>
      <c r="H824" s="191">
        <v>-9.1944800000000004</v>
      </c>
      <c r="I824" s="191">
        <v>-4.5954682</v>
      </c>
      <c r="J824" s="191">
        <v>0</v>
      </c>
      <c r="K824" s="191">
        <v>-0.42350258527642498</v>
      </c>
      <c r="L824" s="191">
        <v>-0.67953847864317696</v>
      </c>
      <c r="M824" s="191">
        <v>0.107740073701124</v>
      </c>
      <c r="N824" s="191">
        <v>-0.232157633003019</v>
      </c>
      <c r="O824" s="191">
        <v>2.5728606114301101E-2</v>
      </c>
      <c r="T824" s="137">
        <v>2</v>
      </c>
      <c r="U824" s="137" t="s">
        <v>239</v>
      </c>
      <c r="V824" s="136" t="s">
        <v>272</v>
      </c>
      <c r="W824" s="136" t="s">
        <v>550</v>
      </c>
      <c r="X824" s="136" t="s">
        <v>561</v>
      </c>
      <c r="Y824" s="172">
        <f>IFERROR(-tblZwaste1422[[#This Row],[Weight (kgCO2e/kg)]],0)</f>
        <v>-2.1278299999999999</v>
      </c>
      <c r="Z824" s="172">
        <f>IF(AQ824="x",(AR824*-tblZwaste1422[[#This Row],[Weight (kgCO2e/kg)]])+AS824+($AR$10*Lookups!$J$38/1000),"DELETE")</f>
        <v>-1.3728063799999999</v>
      </c>
      <c r="AA824" s="176">
        <v>-9.7960759837963044E-3</v>
      </c>
      <c r="AB824" s="172">
        <v>-1.47896134305996</v>
      </c>
      <c r="AC824" s="172">
        <v>-2.2496173220472202</v>
      </c>
      <c r="AD824" s="172">
        <v>2.8719999999999999E-2</v>
      </c>
      <c r="AE824" s="172">
        <v>-0.71785899660587404</v>
      </c>
      <c r="AF824" s="172">
        <v>3.4584894634626703E-2</v>
      </c>
      <c r="AG824" s="150"/>
      <c r="AI824" s="137">
        <v>2</v>
      </c>
      <c r="AJ824" s="136" t="s">
        <v>239</v>
      </c>
      <c r="AK824" s="142" t="s">
        <v>272</v>
      </c>
      <c r="AL824" s="5" t="s">
        <v>550</v>
      </c>
      <c r="AM824" s="5" t="s">
        <v>561</v>
      </c>
      <c r="AN824" s="1">
        <v>2.1278299999999999</v>
      </c>
      <c r="AO824" s="166">
        <v>1.2152400000000001</v>
      </c>
      <c r="AQ824" t="str">
        <f>_xlfn.XLOOKUP(tblGWP21[[#This Row],[Material Subcategory]],ls_Mat,Factors!$K$952:$K$1023)</f>
        <v>x</v>
      </c>
      <c r="AR824" s="173">
        <v>0.64600000000000002</v>
      </c>
      <c r="AS824">
        <v>0</v>
      </c>
      <c r="AT824" t="s">
        <v>527</v>
      </c>
      <c r="BA824" cm="1">
        <f t="array" ref="BA824:BM824">tblGWP21[#This Row]</f>
        <v>2</v>
      </c>
      <c r="BB824" t="str">
        <v>Paper</v>
      </c>
      <c r="BC824" t="str">
        <v>Corr. Cardboard</v>
      </c>
      <c r="BD824" t="str">
        <v>Oceania</v>
      </c>
      <c r="BE824" t="str">
        <v>Australia</v>
      </c>
      <c r="BF824">
        <v>-2.1278299999999999</v>
      </c>
      <c r="BG824">
        <v>-1.3728063799999999</v>
      </c>
      <c r="BH824">
        <v>-9.7960759837963044E-3</v>
      </c>
      <c r="BI824">
        <v>-1.47896134305996</v>
      </c>
      <c r="BJ824">
        <v>-2.2496173220472202</v>
      </c>
      <c r="BK824">
        <v>2.8719999999999999E-2</v>
      </c>
      <c r="BL824">
        <v>-0.71785899660587404</v>
      </c>
      <c r="BM824">
        <v>3.4584894634626703E-2</v>
      </c>
    </row>
    <row r="825" spans="3:65">
      <c r="C825" s="362">
        <v>2</v>
      </c>
      <c r="D825" s="363" t="s">
        <v>261</v>
      </c>
      <c r="E825" s="362" t="s">
        <v>262</v>
      </c>
      <c r="F825" s="362" t="s">
        <v>550</v>
      </c>
      <c r="G825" s="362" t="s">
        <v>561</v>
      </c>
      <c r="H825" s="368">
        <v>-2.5034000000000001</v>
      </c>
      <c r="I825" s="368">
        <v>0</v>
      </c>
      <c r="J825" s="368">
        <v>0</v>
      </c>
      <c r="K825" s="368">
        <v>-0.42350258527642498</v>
      </c>
      <c r="L825" s="368">
        <v>-0.67953847864317696</v>
      </c>
      <c r="M825" s="368">
        <v>0.107740073701124</v>
      </c>
      <c r="N825" s="368">
        <v>-0.232157633003019</v>
      </c>
      <c r="O825" s="368">
        <v>2.5728606114301101E-2</v>
      </c>
      <c r="T825" s="137">
        <v>2</v>
      </c>
      <c r="U825" s="137" t="s">
        <v>239</v>
      </c>
      <c r="V825" s="136" t="s">
        <v>329</v>
      </c>
      <c r="W825" s="136" t="s">
        <v>550</v>
      </c>
      <c r="X825" s="136" t="s">
        <v>561</v>
      </c>
      <c r="Y825" s="172">
        <f>IFERROR(-tblZwaste1422[[#This Row],[Weight (kgCO2e/kg)]],0)</f>
        <v>-3.4792200000000002</v>
      </c>
      <c r="Z825" s="172" t="str">
        <f>IF(AQ825="x",(AR825*-tblZwaste1422[[#This Row],[Weight (kgCO2e/kg)]])+AS825+($AR$10*Lookups!$J$38/1000),"DELETE")</f>
        <v>DELETE</v>
      </c>
      <c r="AA825" s="176">
        <v>-3.0376865005412763</v>
      </c>
      <c r="AB825" s="172">
        <v>-1.60158523725014</v>
      </c>
      <c r="AC825" s="172">
        <v>-2.4921425072357501</v>
      </c>
      <c r="AD825" s="172">
        <v>0.45925517082806799</v>
      </c>
      <c r="AE825" s="172">
        <v>-0.72042664235723797</v>
      </c>
      <c r="AF825" s="172">
        <v>3.7247553155519197E-2</v>
      </c>
      <c r="AG825" s="150"/>
      <c r="AI825" s="137">
        <v>2</v>
      </c>
      <c r="AJ825" s="136" t="s">
        <v>239</v>
      </c>
      <c r="AK825" s="142" t="s">
        <v>329</v>
      </c>
      <c r="AL825" s="5" t="s">
        <v>550</v>
      </c>
      <c r="AM825" s="5" t="s">
        <v>561</v>
      </c>
      <c r="AN825" s="1">
        <v>3.4792200000000002</v>
      </c>
      <c r="AO825" s="166">
        <v>1.0383</v>
      </c>
      <c r="AQ825">
        <f>_xlfn.XLOOKUP(tblGWP21[[#This Row],[Material Subcategory]],ls_Mat,Factors!$K$952:$K$1023)</f>
        <v>0</v>
      </c>
      <c r="BA825" cm="1">
        <f t="array" ref="BA825:BM825">tblGWP21[#This Row]</f>
        <v>2</v>
      </c>
      <c r="BB825" t="str">
        <v>Paper</v>
      </c>
      <c r="BC825" t="str">
        <v>Office Paper</v>
      </c>
      <c r="BD825" t="str">
        <v>Oceania</v>
      </c>
      <c r="BE825" t="str">
        <v>Australia</v>
      </c>
      <c r="BF825">
        <v>-3.4792200000000002</v>
      </c>
      <c r="BG825" t="str">
        <v>DELETE</v>
      </c>
      <c r="BH825">
        <v>-3.0376865005412763</v>
      </c>
      <c r="BI825">
        <v>-1.60158523725014</v>
      </c>
      <c r="BJ825">
        <v>-2.4921425072357501</v>
      </c>
      <c r="BK825">
        <v>0.45925517082806799</v>
      </c>
      <c r="BL825">
        <v>-0.72042664235723797</v>
      </c>
      <c r="BM825">
        <v>3.7247553155519197E-2</v>
      </c>
    </row>
    <row r="826" spans="3:65">
      <c r="C826" s="136">
        <v>2</v>
      </c>
      <c r="D826" s="137" t="s">
        <v>252</v>
      </c>
      <c r="E826" s="136" t="s">
        <v>252</v>
      </c>
      <c r="F826" s="136" t="s">
        <v>550</v>
      </c>
      <c r="G826" s="136" t="s">
        <v>561</v>
      </c>
      <c r="H826" s="191">
        <v>-2.0953266666666663</v>
      </c>
      <c r="I826" s="191">
        <v>-1.5407999593666664</v>
      </c>
      <c r="J826" s="191">
        <v>-4.4031027052446881</v>
      </c>
      <c r="K826" s="191">
        <v>0</v>
      </c>
      <c r="L826" s="191">
        <v>0</v>
      </c>
      <c r="M826" s="191">
        <v>2.6022305346742901E-2</v>
      </c>
      <c r="N826" s="191">
        <v>0.62743418122049499</v>
      </c>
      <c r="O826" s="191">
        <v>2.1870245647238802</v>
      </c>
      <c r="T826" s="137">
        <v>2</v>
      </c>
      <c r="U826" s="137" t="s">
        <v>239</v>
      </c>
      <c r="V826" s="136" t="s">
        <v>271</v>
      </c>
      <c r="W826" s="136" t="s">
        <v>550</v>
      </c>
      <c r="X826" s="136" t="s">
        <v>561</v>
      </c>
      <c r="Y826" s="172">
        <f>IFERROR(-tblZwaste1422[[#This Row],[Weight (kgCO2e/kg)]],0)</f>
        <v>-3.1045600000000002</v>
      </c>
      <c r="Z826" s="172" t="str">
        <f>IF(AQ826="x",(AR826*-tblZwaste1422[[#This Row],[Weight (kgCO2e/kg)]])+AS826+($AR$10*Lookups!$J$38/1000),"DELETE")</f>
        <v>DELETE</v>
      </c>
      <c r="AA826" s="176">
        <v>-0.92949851840575493</v>
      </c>
      <c r="AB826" s="172">
        <v>-1.5168958574070699</v>
      </c>
      <c r="AC826" s="172">
        <v>-2.5962094989069802</v>
      </c>
      <c r="AD826" s="172">
        <v>-0.66191224294392803</v>
      </c>
      <c r="AE826" s="172">
        <v>-0.68616883313143695</v>
      </c>
      <c r="AF826" s="172">
        <v>4.0392236029905E-2</v>
      </c>
      <c r="AG826" s="150"/>
      <c r="AI826" s="137">
        <v>2</v>
      </c>
      <c r="AJ826" s="136" t="s">
        <v>239</v>
      </c>
      <c r="AK826" s="142" t="s">
        <v>271</v>
      </c>
      <c r="AL826" s="5" t="s">
        <v>550</v>
      </c>
      <c r="AM826" s="5" t="s">
        <v>561</v>
      </c>
      <c r="AN826" s="1">
        <v>3.1045600000000002</v>
      </c>
      <c r="AO826" s="166">
        <v>0.12864</v>
      </c>
      <c r="AQ826">
        <f>_xlfn.XLOOKUP(tblGWP21[[#This Row],[Material Subcategory]],ls_Mat,Factors!$K$952:$K$1023)</f>
        <v>0</v>
      </c>
      <c r="BA826" cm="1">
        <f t="array" ref="BA826:BM826">tblGWP21[#This Row]</f>
        <v>2</v>
      </c>
      <c r="BB826" t="str">
        <v>Paper</v>
      </c>
      <c r="BC826" t="str">
        <v>Magazines</v>
      </c>
      <c r="BD826" t="str">
        <v>Oceania</v>
      </c>
      <c r="BE826" t="str">
        <v>Australia</v>
      </c>
      <c r="BF826">
        <v>-3.1045600000000002</v>
      </c>
      <c r="BG826" t="str">
        <v>DELETE</v>
      </c>
      <c r="BH826">
        <v>-0.92949851840575493</v>
      </c>
      <c r="BI826">
        <v>-1.5168958574070699</v>
      </c>
      <c r="BJ826">
        <v>-2.5962094989069802</v>
      </c>
      <c r="BK826">
        <v>-0.66191224294392803</v>
      </c>
      <c r="BL826">
        <v>-0.68616883313143695</v>
      </c>
      <c r="BM826">
        <v>4.0392236029905E-2</v>
      </c>
    </row>
    <row r="827" spans="3:65" ht="28.8">
      <c r="C827" s="362">
        <v>2</v>
      </c>
      <c r="D827" s="363" t="s">
        <v>252</v>
      </c>
      <c r="E827" s="362" t="s">
        <v>253</v>
      </c>
      <c r="F827" s="362" t="s">
        <v>550</v>
      </c>
      <c r="G827" s="362" t="s">
        <v>561</v>
      </c>
      <c r="H827" s="368">
        <v>-2.04928</v>
      </c>
      <c r="I827" s="368">
        <v>0</v>
      </c>
      <c r="J827" s="368">
        <v>-3.8665938524911381</v>
      </c>
      <c r="K827" s="368">
        <v>0</v>
      </c>
      <c r="L827" s="368">
        <v>0</v>
      </c>
      <c r="M827" s="368">
        <v>2.60223023657884E-2</v>
      </c>
      <c r="N827" s="368">
        <v>0.49217855726131798</v>
      </c>
      <c r="O827" s="368">
        <v>3.18317771719081</v>
      </c>
      <c r="T827" s="137">
        <v>2</v>
      </c>
      <c r="U827" s="137" t="s">
        <v>239</v>
      </c>
      <c r="V827" s="136" t="s">
        <v>535</v>
      </c>
      <c r="W827" s="136" t="s">
        <v>550</v>
      </c>
      <c r="X827" s="136" t="s">
        <v>561</v>
      </c>
      <c r="Y827" s="172">
        <f>IFERROR(-tblZwaste1422[[#This Row],[Weight (kgCO2e/kg)]],0)</f>
        <v>-3.1045600000000002</v>
      </c>
      <c r="Z827" s="172" t="str">
        <f>IF(AQ827="x",(AR827*-tblZwaste1422[[#This Row],[Weight (kgCO2e/kg)]])+AS827+($AR$10*Lookups!$J$38/1000),"DELETE")</f>
        <v>DELETE</v>
      </c>
      <c r="AA827" s="176">
        <v>-0.92949851840575493</v>
      </c>
      <c r="AB827" s="172">
        <v>-1.6255378419641999</v>
      </c>
      <c r="AC827" s="172">
        <v>-2.60426474388799</v>
      </c>
      <c r="AD827" s="172">
        <v>-0.85971599289899203</v>
      </c>
      <c r="AE827" s="172">
        <v>-0.76455082075441605</v>
      </c>
      <c r="AF827" s="172">
        <v>2.9212786791767201E-2</v>
      </c>
      <c r="AG827" s="150"/>
      <c r="AI827" s="137">
        <v>2</v>
      </c>
      <c r="AJ827" s="136" t="s">
        <v>239</v>
      </c>
      <c r="AK827" s="142" t="s">
        <v>535</v>
      </c>
      <c r="AL827" s="5" t="s">
        <v>550</v>
      </c>
      <c r="AM827" s="5" t="s">
        <v>561</v>
      </c>
      <c r="AN827" s="1">
        <v>3.1045600000000002</v>
      </c>
      <c r="AO827" s="166">
        <v>0.12864</v>
      </c>
      <c r="AQ827">
        <f>_xlfn.XLOOKUP(tblGWP21[[#This Row],[Material Subcategory]],ls_Mat,Factors!$K$952:$K$1023)</f>
        <v>0</v>
      </c>
      <c r="BA827" cm="1">
        <f t="array" ref="BA827:BM827">tblGWP21[#This Row]</f>
        <v>2</v>
      </c>
      <c r="BB827" t="str">
        <v>Paper</v>
      </c>
      <c r="BC827" t="str">
        <v>3rd Class Mail</v>
      </c>
      <c r="BD827" t="str">
        <v>Oceania</v>
      </c>
      <c r="BE827" t="str">
        <v>Australia</v>
      </c>
      <c r="BF827">
        <v>-3.1045600000000002</v>
      </c>
      <c r="BG827" t="str">
        <v>DELETE</v>
      </c>
      <c r="BH827">
        <v>-0.92949851840575493</v>
      </c>
      <c r="BI827">
        <v>-1.6255378419641999</v>
      </c>
      <c r="BJ827">
        <v>-2.60426474388799</v>
      </c>
      <c r="BK827">
        <v>-0.85971599289899203</v>
      </c>
      <c r="BL827">
        <v>-0.76455082075441605</v>
      </c>
      <c r="BM827">
        <v>2.9212786791767201E-2</v>
      </c>
    </row>
    <row r="828" spans="3:65">
      <c r="C828" s="136">
        <v>2</v>
      </c>
      <c r="D828" s="137" t="s">
        <v>252</v>
      </c>
      <c r="E828" s="136" t="s">
        <v>328</v>
      </c>
      <c r="F828" s="136" t="s">
        <v>550</v>
      </c>
      <c r="G828" s="136" t="s">
        <v>561</v>
      </c>
      <c r="H828" s="191">
        <v>-2.3231199999999999</v>
      </c>
      <c r="I828" s="191">
        <v>0</v>
      </c>
      <c r="J828" s="191">
        <v>-4.5549858253038238</v>
      </c>
      <c r="K828" s="191">
        <v>0</v>
      </c>
      <c r="L828" s="191">
        <v>0</v>
      </c>
      <c r="M828" s="191">
        <v>2.6022303157787401E-2</v>
      </c>
      <c r="N828" s="191">
        <v>0.53523499308112499</v>
      </c>
      <c r="O828" s="191">
        <v>2.4956079529639799</v>
      </c>
      <c r="T828" s="137">
        <v>2</v>
      </c>
      <c r="U828" s="137" t="s">
        <v>239</v>
      </c>
      <c r="V828" s="136" t="s">
        <v>259</v>
      </c>
      <c r="W828" s="136" t="s">
        <v>550</v>
      </c>
      <c r="X828" s="136" t="s">
        <v>561</v>
      </c>
      <c r="Y828" s="172">
        <f>IFERROR(-tblZwaste1422[[#This Row],[Weight (kgCO2e/kg)]],0)</f>
        <v>-2.86965</v>
      </c>
      <c r="Z828" s="172" t="str">
        <f>IF(AQ828="x",(AR828*-tblZwaste1422[[#This Row],[Weight (kgCO2e/kg)]])+AS828+($AR$10*Lookups!$J$38/1000),"DELETE")</f>
        <v>DELETE</v>
      </c>
      <c r="AA828" s="176">
        <v>-0.92949851840575493</v>
      </c>
      <c r="AB828" s="172">
        <v>-1.34051782094162</v>
      </c>
      <c r="AC828" s="172">
        <v>-2.0233346272533499</v>
      </c>
      <c r="AD828" s="172">
        <v>-0.36803475835338001</v>
      </c>
      <c r="AE828" s="172">
        <v>-0.62256938148208896</v>
      </c>
      <c r="AF828" s="172">
        <v>2.8420507959224201E-2</v>
      </c>
      <c r="AG828" s="150"/>
      <c r="AI828" s="137">
        <v>2</v>
      </c>
      <c r="AJ828" s="136" t="s">
        <v>239</v>
      </c>
      <c r="AK828" s="142" t="s">
        <v>259</v>
      </c>
      <c r="AL828" s="5" t="s">
        <v>550</v>
      </c>
      <c r="AM828" s="5" t="s">
        <v>561</v>
      </c>
      <c r="AN828" s="1">
        <v>2.86965</v>
      </c>
      <c r="AO828" s="166">
        <v>0.79600000000000004</v>
      </c>
      <c r="AQ828">
        <f>_xlfn.XLOOKUP(tblGWP21[[#This Row],[Material Subcategory]],ls_Mat,Factors!$K$952:$K$1023)</f>
        <v>0</v>
      </c>
      <c r="AR828" s="173"/>
      <c r="BA828" cm="1">
        <f t="array" ref="BA828:BM828">tblGWP21[#This Row]</f>
        <v>2</v>
      </c>
      <c r="BB828" t="str">
        <v>Paper</v>
      </c>
      <c r="BC828" t="str">
        <v>Folding Containers</v>
      </c>
      <c r="BD828" t="str">
        <v>Oceania</v>
      </c>
      <c r="BE828" t="str">
        <v>Australia</v>
      </c>
      <c r="BF828">
        <v>-2.86965</v>
      </c>
      <c r="BG828" t="str">
        <v>DELETE</v>
      </c>
      <c r="BH828">
        <v>-0.92949851840575493</v>
      </c>
      <c r="BI828">
        <v>-1.34051782094162</v>
      </c>
      <c r="BJ828">
        <v>-2.0233346272533499</v>
      </c>
      <c r="BK828">
        <v>-0.36803475835338001</v>
      </c>
      <c r="BL828">
        <v>-0.62256938148208896</v>
      </c>
      <c r="BM828">
        <v>2.8420507959224201E-2</v>
      </c>
    </row>
    <row r="829" spans="3:65">
      <c r="C829" s="362">
        <v>2</v>
      </c>
      <c r="D829" s="363" t="s">
        <v>252</v>
      </c>
      <c r="E829" s="362" t="s">
        <v>254</v>
      </c>
      <c r="F829" s="362" t="s">
        <v>550</v>
      </c>
      <c r="G829" s="362" t="s">
        <v>561</v>
      </c>
      <c r="H829" s="368">
        <v>-2.1485799999999999</v>
      </c>
      <c r="I829" s="368">
        <v>0</v>
      </c>
      <c r="J829" s="368">
        <v>-4.6358453178799648</v>
      </c>
      <c r="K829" s="368">
        <v>0</v>
      </c>
      <c r="L829" s="368">
        <v>0</v>
      </c>
      <c r="M829" s="368">
        <v>2.60223023657884E-2</v>
      </c>
      <c r="N829" s="368">
        <v>0.69711824303247505</v>
      </c>
      <c r="O829" s="368">
        <v>2.53633256927669</v>
      </c>
      <c r="T829" s="137">
        <v>2</v>
      </c>
      <c r="U829" s="137" t="s">
        <v>239</v>
      </c>
      <c r="V829" s="136" t="s">
        <v>334</v>
      </c>
      <c r="W829" s="136" t="s">
        <v>550</v>
      </c>
      <c r="X829" s="136" t="s">
        <v>561</v>
      </c>
      <c r="Y829" s="172">
        <f>IFERROR(-tblZwaste1422[[#This Row],[Weight (kgCO2e/kg)]],0)</f>
        <v>-2.86965</v>
      </c>
      <c r="Z829" s="172" t="str">
        <f>IF(AQ829="x",(AR829*-tblZwaste1422[[#This Row],[Weight (kgCO2e/kg)]])+AS829+($AR$10*Lookups!$J$38/1000),"DELETE")</f>
        <v>DELETE</v>
      </c>
      <c r="AA829" s="176">
        <v>-0.92949851840575493</v>
      </c>
      <c r="AB829" s="172">
        <v>-1.7510293669055299</v>
      </c>
      <c r="AC829" s="172">
        <v>-2.4863795929514398</v>
      </c>
      <c r="AD829" s="172">
        <v>-0.30485032701584303</v>
      </c>
      <c r="AE829" s="172">
        <v>-0.909547708920311</v>
      </c>
      <c r="AF829" s="172">
        <v>2.6389736758903899E-2</v>
      </c>
      <c r="AG829" s="150"/>
      <c r="AI829" s="137">
        <v>2</v>
      </c>
      <c r="AJ829" s="136" t="s">
        <v>239</v>
      </c>
      <c r="AK829" s="142" t="s">
        <v>334</v>
      </c>
      <c r="AL829" s="5" t="s">
        <v>550</v>
      </c>
      <c r="AM829" s="5" t="s">
        <v>561</v>
      </c>
      <c r="AN829" s="1">
        <v>2.86965</v>
      </c>
      <c r="AO829" s="166">
        <v>0.76736000000000004</v>
      </c>
      <c r="AQ829">
        <f>_xlfn.XLOOKUP(tblGWP21[[#This Row],[Material Subcategory]],ls_Mat,Factors!$K$952:$K$1023)</f>
        <v>0</v>
      </c>
      <c r="AR829" s="173"/>
      <c r="BA829" cm="1">
        <f t="array" ref="BA829:BM829">tblGWP21[#This Row]</f>
        <v>2</v>
      </c>
      <c r="BB829" t="str">
        <v>Paper</v>
      </c>
      <c r="BC829" t="str">
        <v>Paper Bags</v>
      </c>
      <c r="BD829" t="str">
        <v>Oceania</v>
      </c>
      <c r="BE829" t="str">
        <v>Australia</v>
      </c>
      <c r="BF829">
        <v>-2.86965</v>
      </c>
      <c r="BG829" t="str">
        <v>DELETE</v>
      </c>
      <c r="BH829">
        <v>-0.92949851840575493</v>
      </c>
      <c r="BI829">
        <v>-1.7510293669055299</v>
      </c>
      <c r="BJ829">
        <v>-2.4863795929514398</v>
      </c>
      <c r="BK829">
        <v>-0.30485032701584303</v>
      </c>
      <c r="BL829">
        <v>-0.909547708920311</v>
      </c>
      <c r="BM829">
        <v>2.6389736758903899E-2</v>
      </c>
    </row>
    <row r="830" spans="3:65">
      <c r="C830" s="136">
        <v>2</v>
      </c>
      <c r="D830" s="137" t="s">
        <v>252</v>
      </c>
      <c r="E830" s="136" t="s">
        <v>532</v>
      </c>
      <c r="F830" s="136" t="s">
        <v>550</v>
      </c>
      <c r="G830" s="136" t="s">
        <v>561</v>
      </c>
      <c r="H830" s="191">
        <v>-1.9492499999999999</v>
      </c>
      <c r="I830" s="191">
        <v>0</v>
      </c>
      <c r="J830" s="191">
        <v>-4.5549858253038238</v>
      </c>
      <c r="K830" s="191">
        <v>0</v>
      </c>
      <c r="L830" s="191">
        <v>0</v>
      </c>
      <c r="M830" s="191">
        <v>2.6022303157787401E-2</v>
      </c>
      <c r="N830" s="191">
        <v>0.53523499308112499</v>
      </c>
      <c r="O830" s="191">
        <v>2.4956079529639799</v>
      </c>
      <c r="T830" s="137">
        <v>2</v>
      </c>
      <c r="U830" s="137" t="s">
        <v>239</v>
      </c>
      <c r="V830" s="136" t="s">
        <v>240</v>
      </c>
      <c r="W830" s="136" t="s">
        <v>550</v>
      </c>
      <c r="X830" s="136" t="s">
        <v>561</v>
      </c>
      <c r="Y830" s="172">
        <f>IFERROR(-tblZwaste1422[[#This Row],[Weight (kgCO2e/kg)]],0)</f>
        <v>-3.1045600000000002</v>
      </c>
      <c r="Z830" s="172" t="str">
        <f>IF(AQ830="x",(AR830*-tblZwaste1422[[#This Row],[Weight (kgCO2e/kg)]])+AS830+($AR$10*Lookups!$J$38/1000),"DELETE")</f>
        <v>DELETE</v>
      </c>
      <c r="AA830" s="176" t="s">
        <v>567</v>
      </c>
      <c r="AB830" s="172">
        <v>-1.7797858041549699</v>
      </c>
      <c r="AC830" s="172">
        <v>-2.5576650575192899</v>
      </c>
      <c r="AD830" s="172">
        <v>-0.68789701723431895</v>
      </c>
      <c r="AE830" s="172">
        <v>0.49637285483986199</v>
      </c>
      <c r="AF830" s="172">
        <v>2.36701232297353</v>
      </c>
      <c r="AG830" s="150"/>
      <c r="AI830" s="137">
        <v>2</v>
      </c>
      <c r="AJ830" s="136" t="s">
        <v>239</v>
      </c>
      <c r="AK830" s="142" t="s">
        <v>240</v>
      </c>
      <c r="AL830" s="5" t="s">
        <v>550</v>
      </c>
      <c r="AM830" s="5" t="s">
        <v>561</v>
      </c>
      <c r="AN830" s="1">
        <v>3.1045600000000002</v>
      </c>
      <c r="AO830" s="166">
        <v>0.76736000000000004</v>
      </c>
      <c r="AQ830">
        <f>_xlfn.XLOOKUP(tblGWP21[[#This Row],[Material Subcategory]],ls_Mat,Factors!$K$952:$K$1023)</f>
        <v>0</v>
      </c>
      <c r="AR830" s="173"/>
      <c r="BA830" cm="1">
        <f t="array" ref="BA830:BM830">tblGWP21[#This Row]</f>
        <v>2</v>
      </c>
      <c r="BB830" t="str">
        <v>Paper</v>
      </c>
      <c r="BC830" t="str">
        <v>Paper – Non-Recyclable</v>
      </c>
      <c r="BD830" t="str">
        <v>Oceania</v>
      </c>
      <c r="BE830" t="str">
        <v>Australia</v>
      </c>
      <c r="BF830">
        <v>-3.1045600000000002</v>
      </c>
      <c r="BG830" t="str">
        <v>DELETE</v>
      </c>
      <c r="BH830" t="str">
        <v>DELETE</v>
      </c>
      <c r="BI830">
        <v>-1.7797858041549699</v>
      </c>
      <c r="BJ830">
        <v>-2.5576650575192899</v>
      </c>
      <c r="BK830">
        <v>-0.68789701723431895</v>
      </c>
      <c r="BL830">
        <v>0.49637285483986199</v>
      </c>
      <c r="BM830">
        <v>2.36701232297353</v>
      </c>
    </row>
    <row r="831" spans="3:65" ht="28.8">
      <c r="C831" s="362">
        <v>2</v>
      </c>
      <c r="D831" s="363" t="s">
        <v>252</v>
      </c>
      <c r="E831" s="362" t="s">
        <v>245</v>
      </c>
      <c r="F831" s="362" t="s">
        <v>550</v>
      </c>
      <c r="G831" s="362" t="s">
        <v>561</v>
      </c>
      <c r="H831" s="368">
        <v>-2.0269300000000001</v>
      </c>
      <c r="I831" s="368">
        <v>0</v>
      </c>
      <c r="J831" s="368">
        <v>0</v>
      </c>
      <c r="K831" s="368">
        <v>0</v>
      </c>
      <c r="L831" s="368">
        <v>0</v>
      </c>
      <c r="M831" s="368">
        <v>2.60223032751358E-2</v>
      </c>
      <c r="N831" s="368">
        <v>0.44686290323644601</v>
      </c>
      <c r="O831" s="368">
        <v>3.1833670270929102</v>
      </c>
      <c r="T831" s="137">
        <v>2</v>
      </c>
      <c r="U831" s="137" t="s">
        <v>239</v>
      </c>
      <c r="V831" s="136" t="s">
        <v>325</v>
      </c>
      <c r="W831" s="136" t="s">
        <v>550</v>
      </c>
      <c r="X831" s="136" t="s">
        <v>561</v>
      </c>
      <c r="Y831" s="172">
        <f>IFERROR(-tblZwaste1422[[#This Row],[Weight (kgCO2e/kg)]],0)</f>
        <v>-1.66</v>
      </c>
      <c r="Z831" s="172" t="str">
        <f>IF(AQ831="x",(AR831*-tblZwaste1422[[#This Row],[Weight (kgCO2e/kg)]])+AS831+($AR$10*Lookups!$J$38/1000),"DELETE")</f>
        <v>DELETE</v>
      </c>
      <c r="AA831" s="176" t="s">
        <v>567</v>
      </c>
      <c r="AB831" s="172">
        <v>-1.6415582940675599</v>
      </c>
      <c r="AC831" s="172">
        <v>-2.38875601138436</v>
      </c>
      <c r="AD831" s="172">
        <v>-0.64660766527578795</v>
      </c>
      <c r="AE831" s="172">
        <v>-0.84015304589553597</v>
      </c>
      <c r="AF831" s="172">
        <v>2.7471597181405401E-2</v>
      </c>
      <c r="AG831" s="150"/>
      <c r="AI831" s="137">
        <v>2</v>
      </c>
      <c r="AJ831" s="136" t="s">
        <v>239</v>
      </c>
      <c r="AK831" s="142" t="s">
        <v>325</v>
      </c>
      <c r="AL831" s="5" t="s">
        <v>550</v>
      </c>
      <c r="AM831" s="5" t="s">
        <v>561</v>
      </c>
      <c r="AN831" s="1">
        <v>1.66</v>
      </c>
      <c r="AO831" s="166">
        <v>0.79600000000000004</v>
      </c>
      <c r="AQ831">
        <f>_xlfn.XLOOKUP(tblGWP21[[#This Row],[Material Subcategory]],ls_Mat,Factors!$K$952:$K$1023)</f>
        <v>0</v>
      </c>
      <c r="BA831" cm="1">
        <f t="array" ref="BA831:BM831">tblGWP21[#This Row]</f>
        <v>2</v>
      </c>
      <c r="BB831" t="str">
        <v>Paper</v>
      </c>
      <c r="BC831" t="str">
        <v>Compostable Food Service Ware</v>
      </c>
      <c r="BD831" t="str">
        <v>Oceania</v>
      </c>
      <c r="BE831" t="str">
        <v>Australia</v>
      </c>
      <c r="BF831">
        <v>-1.66</v>
      </c>
      <c r="BG831" t="str">
        <v>DELETE</v>
      </c>
      <c r="BH831" t="str">
        <v>DELETE</v>
      </c>
      <c r="BI831">
        <v>-1.6415582940675599</v>
      </c>
      <c r="BJ831">
        <v>-2.38875601138436</v>
      </c>
      <c r="BK831">
        <v>-0.64660766527578795</v>
      </c>
      <c r="BL831">
        <v>-0.84015304589553597</v>
      </c>
      <c r="BM831">
        <v>2.7471597181405401E-2</v>
      </c>
    </row>
    <row r="832" spans="3:65">
      <c r="C832" s="136">
        <v>2</v>
      </c>
      <c r="D832" s="137" t="s">
        <v>252</v>
      </c>
      <c r="E832" s="136" t="s">
        <v>533</v>
      </c>
      <c r="F832" s="136" t="s">
        <v>550</v>
      </c>
      <c r="G832" s="136" t="s">
        <v>561</v>
      </c>
      <c r="H832" s="191">
        <v>-2.0748000000000002</v>
      </c>
      <c r="I832" s="191">
        <v>0</v>
      </c>
      <c r="J832" s="191">
        <v>0</v>
      </c>
      <c r="K832" s="191">
        <v>0</v>
      </c>
      <c r="L832" s="191">
        <v>0</v>
      </c>
      <c r="M832" s="191">
        <v>2.6022298134733599E-2</v>
      </c>
      <c r="N832" s="191">
        <v>0.64496580944247495</v>
      </c>
      <c r="O832" s="191">
        <v>3.03683072134959</v>
      </c>
      <c r="T832" s="137">
        <v>2</v>
      </c>
      <c r="U832" s="137" t="s">
        <v>256</v>
      </c>
      <c r="V832" s="136" t="s">
        <v>256</v>
      </c>
      <c r="W832" s="136" t="s">
        <v>550</v>
      </c>
      <c r="X832" s="136" t="s">
        <v>561</v>
      </c>
      <c r="Y832" s="172">
        <f>IFERROR(-tblZwaste1422[[#This Row],[Weight (kgCO2e/kg)]],0)</f>
        <v>-3.3097799999999999</v>
      </c>
      <c r="Z832" s="172" t="e">
        <f>IF(AQ832="x",(AR832*-tblZwaste1422[[#This Row],[Weight (kgCO2e/kg)]])+AS832+($AR$10*Lookups!$J$38/1000),"DELETE")</f>
        <v>#N/A</v>
      </c>
      <c r="AA832" s="176">
        <v>-12.385379926993377</v>
      </c>
      <c r="AB832" s="172" t="s">
        <v>567</v>
      </c>
      <c r="AC832" s="172" t="s">
        <v>567</v>
      </c>
      <c r="AD832" s="172">
        <v>2.5860000000000001E-2</v>
      </c>
      <c r="AE832" s="172">
        <v>-0.10693658489197445</v>
      </c>
      <c r="AF832" s="172">
        <v>-9.0339883652696892E-2</v>
      </c>
      <c r="AG832" s="150"/>
      <c r="AI832" s="137">
        <v>2</v>
      </c>
      <c r="AJ832" s="136" t="s">
        <v>256</v>
      </c>
      <c r="AK832" s="142" t="s">
        <v>256</v>
      </c>
      <c r="AL832" s="5" t="s">
        <v>550</v>
      </c>
      <c r="AM832" s="5" t="s">
        <v>561</v>
      </c>
      <c r="AN832" s="1">
        <v>3.3097799999999999</v>
      </c>
      <c r="AO832" s="166">
        <v>1.0068550000000001</v>
      </c>
      <c r="AQ832" t="e">
        <f>_xlfn.XLOOKUP(tblGWP21[[#This Row],[Material Subcategory]],ls_Mat,Factors!$K$952:$K$1023)</f>
        <v>#N/A</v>
      </c>
      <c r="AR832" s="173">
        <v>1</v>
      </c>
      <c r="AS832">
        <v>8.1306407300000008E-2</v>
      </c>
      <c r="AT832" t="s">
        <v>531</v>
      </c>
      <c r="BA832" cm="1">
        <f t="array" ref="BA832:BM832">tblGWP21[#This Row]</f>
        <v>2</v>
      </c>
      <c r="BB832" t="str">
        <v>Metals</v>
      </c>
      <c r="BC832" t="str">
        <v>Metals</v>
      </c>
      <c r="BD832" t="str">
        <v>Oceania</v>
      </c>
      <c r="BE832" t="str">
        <v>Australia</v>
      </c>
      <c r="BF832">
        <v>-3.3097799999999999</v>
      </c>
      <c r="BG832" t="e">
        <v>#N/A</v>
      </c>
      <c r="BH832">
        <v>-12.385379926993377</v>
      </c>
      <c r="BI832" t="str">
        <v>DELETE</v>
      </c>
      <c r="BJ832" t="str">
        <v>DELETE</v>
      </c>
      <c r="BK832">
        <v>2.5860000000000001E-2</v>
      </c>
      <c r="BL832">
        <v>-0.10693658489197445</v>
      </c>
      <c r="BM832">
        <v>-9.0339883652696892E-2</v>
      </c>
    </row>
    <row r="833" spans="3:65">
      <c r="C833" s="362">
        <v>2</v>
      </c>
      <c r="D833" s="363" t="s">
        <v>242</v>
      </c>
      <c r="E833" s="362" t="s">
        <v>242</v>
      </c>
      <c r="F833" s="362" t="s">
        <v>550</v>
      </c>
      <c r="G833" s="362" t="s">
        <v>561</v>
      </c>
      <c r="H833" s="368">
        <v>-38.486130000000003</v>
      </c>
      <c r="I833" s="368">
        <v>-27.900672450000002</v>
      </c>
      <c r="J833" s="368">
        <v>-3.2868550000000001</v>
      </c>
      <c r="K833" s="368">
        <v>0</v>
      </c>
      <c r="L833" s="368">
        <v>0</v>
      </c>
      <c r="M833" s="368">
        <v>2.5860000000000001E-2</v>
      </c>
      <c r="N833" s="368">
        <v>4.1800809795969597E-2</v>
      </c>
      <c r="O833" s="368">
        <v>4.8913810169323599E-2</v>
      </c>
      <c r="T833" s="137">
        <v>2</v>
      </c>
      <c r="U833" s="137" t="s">
        <v>256</v>
      </c>
      <c r="V833" s="136" t="s">
        <v>536</v>
      </c>
      <c r="W833" s="136" t="s">
        <v>550</v>
      </c>
      <c r="X833" s="136" t="s">
        <v>561</v>
      </c>
      <c r="Y833" s="172">
        <f>IFERROR(-tblZwaste1422[[#This Row],[Weight (kgCO2e/kg)]],0)</f>
        <v>-1.9798800000000001</v>
      </c>
      <c r="Z833" s="172">
        <f>IF(AQ833="x",(AR833*-tblZwaste1422[[#This Row],[Weight (kgCO2e/kg)]])+AS833+($AR$10*Lookups!$J$38/1000),"DELETE")</f>
        <v>-1.8968017927</v>
      </c>
      <c r="AA833" s="176">
        <v>-2.2607194096631558</v>
      </c>
      <c r="AB833" s="172" t="s">
        <v>567</v>
      </c>
      <c r="AC833" s="172" t="s">
        <v>567</v>
      </c>
      <c r="AD833" s="172" t="s">
        <v>551</v>
      </c>
      <c r="AE833" s="172">
        <v>-0.157565881729051</v>
      </c>
      <c r="AF833" s="172">
        <v>-0.13173951535147099</v>
      </c>
      <c r="AG833" s="150"/>
      <c r="AI833" s="137">
        <v>2</v>
      </c>
      <c r="AJ833" s="136" t="s">
        <v>256</v>
      </c>
      <c r="AK833" s="142" t="s">
        <v>536</v>
      </c>
      <c r="AL833" s="5" t="s">
        <v>550</v>
      </c>
      <c r="AM833" s="5" t="s">
        <v>561</v>
      </c>
      <c r="AN833" s="1">
        <v>1.9798800000000001</v>
      </c>
      <c r="AO833" s="166">
        <v>0.72957000000000005</v>
      </c>
      <c r="AQ833" t="str">
        <f>_xlfn.XLOOKUP(tblGWP21[[#This Row],[Material Subcategory]],ls_Mat,Factors!$K$952:$K$1023)</f>
        <v>x</v>
      </c>
      <c r="AR833" s="173">
        <v>1</v>
      </c>
      <c r="AS833">
        <v>8.1306407300000008E-2</v>
      </c>
      <c r="AT833" t="s">
        <v>531</v>
      </c>
      <c r="BA833" cm="1">
        <f t="array" ref="BA833:BM833">tblGWP21[#This Row]</f>
        <v>2</v>
      </c>
      <c r="BB833" t="str">
        <v>Metals</v>
      </c>
      <c r="BC833" t="str">
        <v>Ferrous Cans</v>
      </c>
      <c r="BD833" t="str">
        <v>Oceania</v>
      </c>
      <c r="BE833" t="str">
        <v>Australia</v>
      </c>
      <c r="BF833">
        <v>-1.9798800000000001</v>
      </c>
      <c r="BG833">
        <v>-1.8968017927</v>
      </c>
      <c r="BH833">
        <v>-2.2607194096631558</v>
      </c>
      <c r="BI833" t="str">
        <v>DELETE</v>
      </c>
      <c r="BJ833" t="str">
        <v>DELETE</v>
      </c>
      <c r="BK833" t="str">
        <v>Ferrous_Cans</v>
      </c>
      <c r="BL833">
        <v>-0.157565881729051</v>
      </c>
      <c r="BM833">
        <v>-0.13173951535147099</v>
      </c>
    </row>
    <row r="834" spans="3:65">
      <c r="C834" s="136">
        <v>2</v>
      </c>
      <c r="D834" s="137" t="s">
        <v>242</v>
      </c>
      <c r="E834" s="136" t="s">
        <v>274</v>
      </c>
      <c r="F834" s="136" t="s">
        <v>550</v>
      </c>
      <c r="G834" s="136" t="s">
        <v>561</v>
      </c>
      <c r="H834" s="191">
        <v>-38.486130000000003</v>
      </c>
      <c r="I834" s="191">
        <v>-27.900672450000002</v>
      </c>
      <c r="J834" s="191">
        <v>-8.5278425000000002</v>
      </c>
      <c r="K834" s="191">
        <v>0</v>
      </c>
      <c r="L834" s="191">
        <v>0</v>
      </c>
      <c r="M834" s="191">
        <v>2.5860000000000001E-2</v>
      </c>
      <c r="N834" s="191">
        <v>4.1800809795969597E-2</v>
      </c>
      <c r="O834" s="191">
        <v>4.8913810169323599E-2</v>
      </c>
      <c r="T834" s="137">
        <v>2</v>
      </c>
      <c r="U834" s="137" t="s">
        <v>256</v>
      </c>
      <c r="V834" s="136" t="s">
        <v>257</v>
      </c>
      <c r="W834" s="136" t="s">
        <v>550</v>
      </c>
      <c r="X834" s="136" t="s">
        <v>561</v>
      </c>
      <c r="Y834" s="172">
        <f>IFERROR(-tblZwaste1422[[#This Row],[Weight (kgCO2e/kg)]],0)</f>
        <v>-1.9798800000000001</v>
      </c>
      <c r="Z834" s="172">
        <f>IF(AQ834="x",(AR834*-tblZwaste1422[[#This Row],[Weight (kgCO2e/kg)]])+AS834+($AR$10*Lookups!$J$38/1000),"DELETE")</f>
        <v>-1.8968017927</v>
      </c>
      <c r="AA834" s="176">
        <v>-2.2607194096631558</v>
      </c>
      <c r="AB834" s="172" t="s">
        <v>567</v>
      </c>
      <c r="AC834" s="172" t="s">
        <v>567</v>
      </c>
      <c r="AD834" s="172">
        <v>2.6022284268183E-2</v>
      </c>
      <c r="AE834" s="172">
        <v>-0.157565881729051</v>
      </c>
      <c r="AF834" s="172">
        <v>-0.13173951535147099</v>
      </c>
      <c r="AG834" s="150"/>
      <c r="AI834" s="137">
        <v>2</v>
      </c>
      <c r="AJ834" s="136" t="s">
        <v>256</v>
      </c>
      <c r="AK834" s="142" t="s">
        <v>257</v>
      </c>
      <c r="AL834" s="5" t="s">
        <v>550</v>
      </c>
      <c r="AM834" s="5" t="s">
        <v>561</v>
      </c>
      <c r="AN834" s="1">
        <v>1.9798800000000001</v>
      </c>
      <c r="AO834" s="166">
        <v>0.46493000000000001</v>
      </c>
      <c r="AQ834" t="str">
        <f>_xlfn.XLOOKUP(tblGWP21[[#This Row],[Material Subcategory]],ls_Mat,Factors!$K$952:$K$1023)</f>
        <v>x</v>
      </c>
      <c r="AR834" s="173">
        <v>1</v>
      </c>
      <c r="AS834">
        <v>8.1306407300000008E-2</v>
      </c>
      <c r="AT834" t="s">
        <v>531</v>
      </c>
      <c r="BA834" cm="1">
        <f t="array" ref="BA834:BM834">tblGWP21[#This Row]</f>
        <v>2</v>
      </c>
      <c r="BB834" t="str">
        <v>Metals</v>
      </c>
      <c r="BC834" t="str">
        <v>Ferrous Metal</v>
      </c>
      <c r="BD834" t="str">
        <v>Oceania</v>
      </c>
      <c r="BE834" t="str">
        <v>Australia</v>
      </c>
      <c r="BF834">
        <v>-1.9798800000000001</v>
      </c>
      <c r="BG834">
        <v>-1.8968017927</v>
      </c>
      <c r="BH834">
        <v>-2.2607194096631558</v>
      </c>
      <c r="BI834" t="str">
        <v>DELETE</v>
      </c>
      <c r="BJ834" t="str">
        <v>DELETE</v>
      </c>
      <c r="BK834">
        <v>2.6022284268183E-2</v>
      </c>
      <c r="BL834">
        <v>-0.157565881729051</v>
      </c>
      <c r="BM834">
        <v>-0.13173951535147099</v>
      </c>
    </row>
    <row r="835" spans="3:65">
      <c r="C835" s="362">
        <v>2</v>
      </c>
      <c r="D835" s="363" t="s">
        <v>242</v>
      </c>
      <c r="E835" s="362" t="s">
        <v>534</v>
      </c>
      <c r="F835" s="362" t="s">
        <v>550</v>
      </c>
      <c r="G835" s="362" t="s">
        <v>561</v>
      </c>
      <c r="H835" s="368">
        <v>-15.0122</v>
      </c>
      <c r="I835" s="368">
        <v>-10.882073199999999</v>
      </c>
      <c r="J835" s="368">
        <v>-3.19428</v>
      </c>
      <c r="K835" s="368">
        <v>0</v>
      </c>
      <c r="L835" s="368">
        <v>0</v>
      </c>
      <c r="M835" s="368">
        <v>2.5860000000000001E-2</v>
      </c>
      <c r="N835" s="368">
        <v>4.1800809795969597E-2</v>
      </c>
      <c r="O835" s="368">
        <v>4.8913810169323599E-2</v>
      </c>
      <c r="T835" s="137">
        <v>2</v>
      </c>
      <c r="U835" s="137" t="s">
        <v>256</v>
      </c>
      <c r="V835" s="136" t="s">
        <v>537</v>
      </c>
      <c r="W835" s="136" t="s">
        <v>550</v>
      </c>
      <c r="X835" s="136" t="s">
        <v>561</v>
      </c>
      <c r="Y835" s="172">
        <f>IFERROR(-tblZwaste1422[[#This Row],[Weight (kgCO2e/kg)]],0)</f>
        <v>-5.0082800000000001</v>
      </c>
      <c r="Z835" s="172">
        <f>IF(AQ835="x",(AR835*-tblZwaste1422[[#This Row],[Weight (kgCO2e/kg)]])+AS835+($AR$10*Lookups!$J$38/1000),"DELETE")</f>
        <v>-4.9252017927000002</v>
      </c>
      <c r="AA835" s="176">
        <f>-22.5100404443236*0.21739130434</f>
        <v>-4.8934870529376608</v>
      </c>
      <c r="AB835" s="172" t="s">
        <v>567</v>
      </c>
      <c r="AC835" s="172" t="s">
        <v>567</v>
      </c>
      <c r="AD835" s="172">
        <v>2.5860000000000001E-2</v>
      </c>
      <c r="AE835" s="172">
        <v>-5.6307288054897903E-2</v>
      </c>
      <c r="AF835" s="172">
        <v>-4.8940251953922799E-2</v>
      </c>
      <c r="AG835" s="150"/>
      <c r="AI835" s="137">
        <v>2</v>
      </c>
      <c r="AJ835" s="136" t="s">
        <v>256</v>
      </c>
      <c r="AK835" s="142" t="s">
        <v>537</v>
      </c>
      <c r="AL835" s="5" t="s">
        <v>550</v>
      </c>
      <c r="AM835" s="5" t="s">
        <v>561</v>
      </c>
      <c r="AN835" s="1">
        <v>5.0082800000000001</v>
      </c>
      <c r="AO835" s="166">
        <v>1.54878</v>
      </c>
      <c r="AQ835" t="str">
        <f>_xlfn.XLOOKUP(tblGWP21[[#This Row],[Material Subcategory]],ls_Mat,Factors!$K$952:$K$1023)</f>
        <v>x</v>
      </c>
      <c r="AR835" s="173">
        <v>1</v>
      </c>
      <c r="AS835">
        <v>8.1306407300000008E-2</v>
      </c>
      <c r="AT835" t="s">
        <v>531</v>
      </c>
      <c r="BA835" cm="1">
        <f t="array" ref="BA835:BM835">tblGWP21[#This Row]</f>
        <v>2</v>
      </c>
      <c r="BB835" t="str">
        <v>Metals</v>
      </c>
      <c r="BC835" t="str">
        <v>Aluminum Cans</v>
      </c>
      <c r="BD835" t="str">
        <v>Oceania</v>
      </c>
      <c r="BE835" t="str">
        <v>Australia</v>
      </c>
      <c r="BF835">
        <v>-5.0082800000000001</v>
      </c>
      <c r="BG835">
        <v>-4.9252017927000002</v>
      </c>
      <c r="BH835">
        <v>-4.8934870529376608</v>
      </c>
      <c r="BI835" t="str">
        <v>DELETE</v>
      </c>
      <c r="BJ835" t="str">
        <v>DELETE</v>
      </c>
      <c r="BK835">
        <v>2.5860000000000001E-2</v>
      </c>
      <c r="BL835">
        <v>-5.6307288054897903E-2</v>
      </c>
      <c r="BM835">
        <v>-4.8940251953922799E-2</v>
      </c>
    </row>
    <row r="836" spans="3:65">
      <c r="C836" s="136">
        <v>2</v>
      </c>
      <c r="D836" s="137" t="s">
        <v>239</v>
      </c>
      <c r="E836" s="136" t="s">
        <v>239</v>
      </c>
      <c r="F836" s="136" t="s">
        <v>550</v>
      </c>
      <c r="G836" s="136" t="s">
        <v>561</v>
      </c>
      <c r="H836" s="191">
        <v>-2.6644477777777777</v>
      </c>
      <c r="I836" s="191">
        <v>-1.7194614644444446</v>
      </c>
      <c r="J836" s="191">
        <v>-0.82622090524955993</v>
      </c>
      <c r="K836" s="191">
        <v>-1.6415582940675599</v>
      </c>
      <c r="L836" s="191">
        <v>-2.38875601138436</v>
      </c>
      <c r="M836" s="191">
        <v>-0.64660766527578795</v>
      </c>
      <c r="N836" s="191">
        <v>-0.84015304589553597</v>
      </c>
      <c r="O836" s="191">
        <v>2.7471597181405401E-2</v>
      </c>
      <c r="T836" s="137">
        <v>2</v>
      </c>
      <c r="U836" s="137" t="s">
        <v>256</v>
      </c>
      <c r="V836" s="136" t="s">
        <v>538</v>
      </c>
      <c r="W836" s="136" t="s">
        <v>550</v>
      </c>
      <c r="X836" s="136" t="s">
        <v>561</v>
      </c>
      <c r="Y836" s="172">
        <f>IFERROR(-tblZwaste1422[[#This Row],[Weight (kgCO2e/kg)]],0)</f>
        <v>-4.6396800000000002</v>
      </c>
      <c r="Z836" s="172" t="str">
        <f>IF(AQ836="x",(AR836*-tblZwaste1422[[#This Row],[Weight (kgCO2e/kg)]])+AS836+($AR$10*Lookups!$J$38/1000),"DELETE")</f>
        <v>DELETE</v>
      </c>
      <c r="AA836" s="176" t="s">
        <v>567</v>
      </c>
      <c r="AB836" s="172" t="s">
        <v>567</v>
      </c>
      <c r="AC836" s="172" t="s">
        <v>567</v>
      </c>
      <c r="AD836" s="172">
        <v>2.5860000000000001E-2</v>
      </c>
      <c r="AE836" s="172">
        <v>-5.2835466444093697E-2</v>
      </c>
      <c r="AF836" s="172">
        <v>-4.8940251953922799E-2</v>
      </c>
      <c r="AG836" s="150"/>
      <c r="AI836" s="137">
        <v>2</v>
      </c>
      <c r="AJ836" s="136" t="s">
        <v>256</v>
      </c>
      <c r="AK836" s="142" t="s">
        <v>538</v>
      </c>
      <c r="AL836" s="5" t="s">
        <v>550</v>
      </c>
      <c r="AM836" s="5" t="s">
        <v>561</v>
      </c>
      <c r="AN836" s="1">
        <v>4.6396800000000002</v>
      </c>
      <c r="AO836" s="166">
        <v>1.54878</v>
      </c>
      <c r="AQ836">
        <f>_xlfn.XLOOKUP(tblGWP21[[#This Row],[Material Subcategory]],ls_Mat,Factors!$K$952:$K$1023)</f>
        <v>0</v>
      </c>
      <c r="AR836" s="173"/>
      <c r="BA836" cm="1">
        <f t="array" ref="BA836:BM836">tblGWP21[#This Row]</f>
        <v>2</v>
      </c>
      <c r="BB836" t="str">
        <v>Metals</v>
      </c>
      <c r="BC836" t="str">
        <v>Aluminum Foil</v>
      </c>
      <c r="BD836" t="str">
        <v>Oceania</v>
      </c>
      <c r="BE836" t="str">
        <v>Australia</v>
      </c>
      <c r="BF836">
        <v>-4.6396800000000002</v>
      </c>
      <c r="BG836" t="str">
        <v>DELETE</v>
      </c>
      <c r="BH836" t="str">
        <v>DELETE</v>
      </c>
      <c r="BI836" t="str">
        <v>DELETE</v>
      </c>
      <c r="BJ836" t="str">
        <v>DELETE</v>
      </c>
      <c r="BK836">
        <v>2.5860000000000001E-2</v>
      </c>
      <c r="BL836">
        <v>-5.2835466444093697E-2</v>
      </c>
      <c r="BM836">
        <v>-4.8940251953922799E-2</v>
      </c>
    </row>
    <row r="837" spans="3:65">
      <c r="C837" s="362">
        <v>2</v>
      </c>
      <c r="D837" s="363" t="s">
        <v>239</v>
      </c>
      <c r="E837" s="362" t="s">
        <v>324</v>
      </c>
      <c r="F837" s="362" t="s">
        <v>550</v>
      </c>
      <c r="G837" s="362" t="s">
        <v>561</v>
      </c>
      <c r="H837" s="368">
        <v>-1.66</v>
      </c>
      <c r="I837" s="368">
        <v>0</v>
      </c>
      <c r="J837" s="368">
        <v>0.2257372170756459</v>
      </c>
      <c r="K837" s="368">
        <v>-1.6521126151519701</v>
      </c>
      <c r="L837" s="368">
        <v>-2.2425496041953599</v>
      </c>
      <c r="M837" s="368">
        <v>-1.1293815758271</v>
      </c>
      <c r="N837" s="368">
        <v>-0.91353993473315398</v>
      </c>
      <c r="O837" s="368">
        <v>2.66824832139794E-2</v>
      </c>
      <c r="T837" s="137">
        <v>2</v>
      </c>
      <c r="U837" s="137" t="s">
        <v>256</v>
      </c>
      <c r="V837" s="136" t="s">
        <v>258</v>
      </c>
      <c r="W837" s="136" t="s">
        <v>550</v>
      </c>
      <c r="X837" s="136" t="s">
        <v>561</v>
      </c>
      <c r="Y837" s="172">
        <f>IFERROR(-tblZwaste1422[[#This Row],[Weight (kgCO2e/kg)]],0)</f>
        <v>-4.6396800000000002</v>
      </c>
      <c r="Z837" s="172">
        <f>IF(AQ837="x",(AR837*-tblZwaste1422[[#This Row],[Weight (kgCO2e/kg)]])+AS837+($AR$10*Lookups!$J$38/1000),"DELETE")</f>
        <v>-4.5566017927000004</v>
      </c>
      <c r="AA837" s="176">
        <f>-21.820957573579*0.21739130434</f>
        <v>-4.7436864288681404</v>
      </c>
      <c r="AB837" s="172" t="s">
        <v>567</v>
      </c>
      <c r="AC837" s="172" t="s">
        <v>567</v>
      </c>
      <c r="AD837" s="172">
        <v>2.5860000000000001E-2</v>
      </c>
      <c r="AE837" s="172">
        <v>-5.6307288054897903E-2</v>
      </c>
      <c r="AF837" s="172">
        <v>-4.8940251953922799E-2</v>
      </c>
      <c r="AG837" s="150"/>
      <c r="AI837" s="137">
        <v>2</v>
      </c>
      <c r="AJ837" s="136" t="s">
        <v>256</v>
      </c>
      <c r="AK837" s="142" t="s">
        <v>258</v>
      </c>
      <c r="AL837" s="5" t="s">
        <v>550</v>
      </c>
      <c r="AM837" s="5" t="s">
        <v>561</v>
      </c>
      <c r="AN837" s="1">
        <v>4.6396800000000002</v>
      </c>
      <c r="AO837" s="166">
        <v>1.54878</v>
      </c>
      <c r="AQ837" t="str">
        <f>_xlfn.XLOOKUP(tblGWP21[[#This Row],[Material Subcategory]],ls_Mat,Factors!$K$952:$K$1023)</f>
        <v>x</v>
      </c>
      <c r="AR837" s="173">
        <v>1</v>
      </c>
      <c r="AS837">
        <v>8.1306407300000008E-2</v>
      </c>
      <c r="AT837" t="s">
        <v>531</v>
      </c>
      <c r="BA837" cm="1">
        <f t="array" ref="BA837:BM837">tblGWP21[#This Row]</f>
        <v>2</v>
      </c>
      <c r="BB837" t="str">
        <v>Metals</v>
      </c>
      <c r="BC837" t="str">
        <v>Other Aluminum</v>
      </c>
      <c r="BD837" t="str">
        <v>Oceania</v>
      </c>
      <c r="BE837" t="str">
        <v>Australia</v>
      </c>
      <c r="BF837">
        <v>-4.6396800000000002</v>
      </c>
      <c r="BG837">
        <v>-4.5566017927000004</v>
      </c>
      <c r="BH837">
        <v>-4.7436864288681404</v>
      </c>
      <c r="BI837" t="str">
        <v>DELETE</v>
      </c>
      <c r="BJ837" t="str">
        <v>DELETE</v>
      </c>
      <c r="BK837">
        <v>2.5860000000000001E-2</v>
      </c>
      <c r="BL837">
        <v>-5.6307288054897903E-2</v>
      </c>
      <c r="BM837">
        <v>-4.8940251953922799E-2</v>
      </c>
    </row>
    <row r="838" spans="3:65">
      <c r="C838" s="136">
        <v>2</v>
      </c>
      <c r="D838" s="137" t="s">
        <v>239</v>
      </c>
      <c r="E838" s="136" t="s">
        <v>272</v>
      </c>
      <c r="F838" s="136" t="s">
        <v>550</v>
      </c>
      <c r="G838" s="136" t="s">
        <v>561</v>
      </c>
      <c r="H838" s="191">
        <v>-2.1278299999999999</v>
      </c>
      <c r="I838" s="191">
        <v>-1.3728063799999999</v>
      </c>
      <c r="J838" s="191">
        <v>-9.7960759837963044E-3</v>
      </c>
      <c r="K838" s="191">
        <v>-1.47896134305996</v>
      </c>
      <c r="L838" s="191">
        <v>-2.2496173220472202</v>
      </c>
      <c r="M838" s="191">
        <v>2.8719999999999999E-2</v>
      </c>
      <c r="N838" s="191">
        <v>-0.71785899660587404</v>
      </c>
      <c r="O838" s="191">
        <v>3.4584894634626703E-2</v>
      </c>
      <c r="T838" s="137">
        <v>2</v>
      </c>
      <c r="U838" s="137" t="s">
        <v>247</v>
      </c>
      <c r="V838" s="136" t="s">
        <v>247</v>
      </c>
      <c r="W838" s="136" t="s">
        <v>550</v>
      </c>
      <c r="X838" s="136" t="s">
        <v>561</v>
      </c>
      <c r="Y838" s="172">
        <f>IFERROR(-tblZwaste1422[[#This Row],[Weight (kgCO2e/kg)]],0)</f>
        <v>-1.0505633333333335</v>
      </c>
      <c r="Z838" s="172">
        <f>IF(AQ838="x",(AR838*-tblZwaste1422[[#This Row],[Weight (kgCO2e/kg)]])+AS838+($AR$10*Lookups!$J$38/1000),"DELETE")</f>
        <v>-0.96748512603333348</v>
      </c>
      <c r="AA838" s="176">
        <v>-0.31559209310355407</v>
      </c>
      <c r="AB838" s="172" t="s">
        <v>567</v>
      </c>
      <c r="AC838" s="172" t="s">
        <v>567</v>
      </c>
      <c r="AD838" s="172">
        <v>2.6022298605907601E-2</v>
      </c>
      <c r="AE838" s="172">
        <v>3.10148231107726E-2</v>
      </c>
      <c r="AF838" s="172">
        <v>4.8915326896509501E-2</v>
      </c>
      <c r="AG838" s="150"/>
      <c r="AI838" s="137">
        <v>2</v>
      </c>
      <c r="AJ838" s="136" t="s">
        <v>247</v>
      </c>
      <c r="AK838" s="142" t="s">
        <v>247</v>
      </c>
      <c r="AL838" s="5" t="s">
        <v>550</v>
      </c>
      <c r="AM838" s="5" t="s">
        <v>561</v>
      </c>
      <c r="AN838" s="1">
        <v>1.0505633333333335</v>
      </c>
      <c r="AO838" s="166">
        <v>0.89563000000000004</v>
      </c>
      <c r="AQ838" t="str">
        <f>_xlfn.XLOOKUP(tblGWP21[[#This Row],[Material Subcategory]],ls_Mat,Factors!$K$952:$K$1023)</f>
        <v>x</v>
      </c>
      <c r="AR838" s="173">
        <v>1</v>
      </c>
      <c r="AS838">
        <v>8.1306407300000008E-2</v>
      </c>
      <c r="AT838" t="s">
        <v>531</v>
      </c>
      <c r="BA838" cm="1">
        <f t="array" ref="BA838:BM838">tblGWP21[#This Row]</f>
        <v>2</v>
      </c>
      <c r="BB838" t="str">
        <v>Glass</v>
      </c>
      <c r="BC838" t="str">
        <v>Glass</v>
      </c>
      <c r="BD838" t="str">
        <v>Oceania</v>
      </c>
      <c r="BE838" t="str">
        <v>Australia</v>
      </c>
      <c r="BF838">
        <v>-1.0505633333333335</v>
      </c>
      <c r="BG838">
        <v>-0.96748512603333348</v>
      </c>
      <c r="BH838">
        <v>-0.31559209310355407</v>
      </c>
      <c r="BI838" t="str">
        <v>DELETE</v>
      </c>
      <c r="BJ838" t="str">
        <v>DELETE</v>
      </c>
      <c r="BK838">
        <v>2.6022298605907601E-2</v>
      </c>
      <c r="BL838">
        <v>3.10148231107726E-2</v>
      </c>
      <c r="BM838">
        <v>4.8915326896509501E-2</v>
      </c>
    </row>
    <row r="839" spans="3:65">
      <c r="C839" s="362">
        <v>2</v>
      </c>
      <c r="D839" s="363" t="s">
        <v>239</v>
      </c>
      <c r="E839" s="362" t="s">
        <v>329</v>
      </c>
      <c r="F839" s="362" t="s">
        <v>550</v>
      </c>
      <c r="G839" s="362" t="s">
        <v>561</v>
      </c>
      <c r="H839" s="368">
        <v>-3.4792200000000002</v>
      </c>
      <c r="I839" s="368">
        <v>0</v>
      </c>
      <c r="J839" s="368">
        <v>-3.0376865005412763</v>
      </c>
      <c r="K839" s="368">
        <v>-1.60158523725014</v>
      </c>
      <c r="L839" s="368">
        <v>-2.4921425072357501</v>
      </c>
      <c r="M839" s="368">
        <v>0.45925517082806799</v>
      </c>
      <c r="N839" s="368">
        <v>-0.72042664235723797</v>
      </c>
      <c r="O839" s="368">
        <v>3.7247553155519197E-2</v>
      </c>
      <c r="T839" s="137">
        <v>2</v>
      </c>
      <c r="U839" s="137" t="s">
        <v>247</v>
      </c>
      <c r="V839" s="136" t="s">
        <v>248</v>
      </c>
      <c r="W839" s="136" t="s">
        <v>550</v>
      </c>
      <c r="X839" s="136" t="s">
        <v>561</v>
      </c>
      <c r="Y839" s="172">
        <f>IFERROR(-tblZwaste1422[[#This Row],[Weight (kgCO2e/kg)]],0)</f>
        <v>-1.0606100000000001</v>
      </c>
      <c r="Z839" s="172">
        <f>IF(AQ839="x",(AR839*-tblZwaste1422[[#This Row],[Weight (kgCO2e/kg)]])+AS839+($AR$10*Lookups!$J$38/1000),"DELETE")</f>
        <v>-0.97753179270000001</v>
      </c>
      <c r="AA839" s="176">
        <v>-0.16861809467887115</v>
      </c>
      <c r="AB839" s="172" t="s">
        <v>567</v>
      </c>
      <c r="AC839" s="172" t="s">
        <v>567</v>
      </c>
      <c r="AD839" s="172">
        <v>2.6022304585445001E-2</v>
      </c>
      <c r="AE839" s="172">
        <v>3.4754241337771698E-2</v>
      </c>
      <c r="AF839" s="172">
        <v>4.8914143290902802E-2</v>
      </c>
      <c r="AG839" s="150"/>
      <c r="AI839" s="137">
        <v>2</v>
      </c>
      <c r="AJ839" s="136" t="s">
        <v>247</v>
      </c>
      <c r="AK839" s="142" t="s">
        <v>248</v>
      </c>
      <c r="AL839" s="5" t="s">
        <v>550</v>
      </c>
      <c r="AM839" s="5" t="s">
        <v>561</v>
      </c>
      <c r="AN839" s="1">
        <v>1.0606100000000001</v>
      </c>
      <c r="AO839" s="166">
        <v>0.89563000000000004</v>
      </c>
      <c r="AQ839" t="str">
        <f>_xlfn.XLOOKUP(tblGWP21[[#This Row],[Material Subcategory]],ls_Mat,Factors!$K$952:$K$1023)</f>
        <v>x</v>
      </c>
      <c r="AR839" s="173">
        <v>1</v>
      </c>
      <c r="AS839">
        <v>8.1306407300000008E-2</v>
      </c>
      <c r="AT839" t="s">
        <v>531</v>
      </c>
      <c r="BA839" cm="1">
        <f t="array" ref="BA839:BM839">tblGWP21[#This Row]</f>
        <v>2</v>
      </c>
      <c r="BB839" t="str">
        <v>Glass</v>
      </c>
      <c r="BC839" t="str">
        <v>Glass – Brown</v>
      </c>
      <c r="BD839" t="str">
        <v>Oceania</v>
      </c>
      <c r="BE839" t="str">
        <v>Australia</v>
      </c>
      <c r="BF839">
        <v>-1.0606100000000001</v>
      </c>
      <c r="BG839">
        <v>-0.97753179270000001</v>
      </c>
      <c r="BH839">
        <v>-0.16861809467887115</v>
      </c>
      <c r="BI839" t="str">
        <v>DELETE</v>
      </c>
      <c r="BJ839" t="str">
        <v>DELETE</v>
      </c>
      <c r="BK839">
        <v>2.6022304585445001E-2</v>
      </c>
      <c r="BL839">
        <v>3.4754241337771698E-2</v>
      </c>
      <c r="BM839">
        <v>4.8914143290902802E-2</v>
      </c>
    </row>
    <row r="840" spans="3:65">
      <c r="C840" s="136">
        <v>2</v>
      </c>
      <c r="D840" s="137" t="s">
        <v>239</v>
      </c>
      <c r="E840" s="136" t="s">
        <v>271</v>
      </c>
      <c r="F840" s="136" t="s">
        <v>550</v>
      </c>
      <c r="G840" s="136" t="s">
        <v>561</v>
      </c>
      <c r="H840" s="191">
        <v>-3.1045600000000002</v>
      </c>
      <c r="I840" s="191">
        <v>0</v>
      </c>
      <c r="J840" s="191">
        <v>-0.92949851840575493</v>
      </c>
      <c r="K840" s="191">
        <v>-1.5168958574070699</v>
      </c>
      <c r="L840" s="191">
        <v>-2.5962094989069802</v>
      </c>
      <c r="M840" s="191">
        <v>-0.66191224294392803</v>
      </c>
      <c r="N840" s="191">
        <v>-0.68616883313143695</v>
      </c>
      <c r="O840" s="191">
        <v>4.0392236029905E-2</v>
      </c>
      <c r="T840" s="137">
        <v>2</v>
      </c>
      <c r="U840" s="137" t="s">
        <v>247</v>
      </c>
      <c r="V840" s="136" t="s">
        <v>263</v>
      </c>
      <c r="W840" s="136" t="s">
        <v>550</v>
      </c>
      <c r="X840" s="136" t="s">
        <v>561</v>
      </c>
      <c r="Y840" s="172">
        <f>IFERROR(-tblZwaste1422[[#This Row],[Weight (kgCO2e/kg)]],0)</f>
        <v>-1.0341199999999999</v>
      </c>
      <c r="Z840" s="172">
        <f>IF(AQ840="x",(AR840*-tblZwaste1422[[#This Row],[Weight (kgCO2e/kg)]])+AS840+($AR$10*Lookups!$J$38/1000),"DELETE")</f>
        <v>-0.95104179269999989</v>
      </c>
      <c r="AA840" s="176">
        <v>-0.16861809467887018</v>
      </c>
      <c r="AB840" s="172" t="s">
        <v>567</v>
      </c>
      <c r="AC840" s="172" t="s">
        <v>567</v>
      </c>
      <c r="AD840" s="172">
        <v>2.6022308291002001E-2</v>
      </c>
      <c r="AE840" s="172">
        <v>3.69958760565346E-2</v>
      </c>
      <c r="AF840" s="172">
        <v>4.8914218859041098E-2</v>
      </c>
      <c r="AG840" s="150"/>
      <c r="AI840" s="137">
        <v>2</v>
      </c>
      <c r="AJ840" s="136" t="s">
        <v>247</v>
      </c>
      <c r="AK840" s="142" t="s">
        <v>263</v>
      </c>
      <c r="AL840" s="5" t="s">
        <v>550</v>
      </c>
      <c r="AM840" s="5" t="s">
        <v>561</v>
      </c>
      <c r="AN840" s="1">
        <v>1.0341199999999999</v>
      </c>
      <c r="AO840" s="166">
        <v>0.89563000000000004</v>
      </c>
      <c r="AQ840" t="str">
        <f>_xlfn.XLOOKUP(tblGWP21[[#This Row],[Material Subcategory]],ls_Mat,Factors!$K$952:$K$1023)</f>
        <v>x</v>
      </c>
      <c r="AR840" s="173">
        <v>1</v>
      </c>
      <c r="AS840">
        <v>8.1306407300000008E-2</v>
      </c>
      <c r="AT840" t="s">
        <v>531</v>
      </c>
      <c r="BA840" cm="1">
        <f t="array" ref="BA840:BM840">tblGWP21[#This Row]</f>
        <v>2</v>
      </c>
      <c r="BB840" t="str">
        <v>Glass</v>
      </c>
      <c r="BC840" t="str">
        <v>Glass – Green</v>
      </c>
      <c r="BD840" t="str">
        <v>Oceania</v>
      </c>
      <c r="BE840" t="str">
        <v>Australia</v>
      </c>
      <c r="BF840">
        <v>-1.0341199999999999</v>
      </c>
      <c r="BG840">
        <v>-0.95104179269999989</v>
      </c>
      <c r="BH840">
        <v>-0.16861809467887018</v>
      </c>
      <c r="BI840" t="str">
        <v>DELETE</v>
      </c>
      <c r="BJ840" t="str">
        <v>DELETE</v>
      </c>
      <c r="BK840">
        <v>2.6022308291002001E-2</v>
      </c>
      <c r="BL840">
        <v>3.69958760565346E-2</v>
      </c>
      <c r="BM840">
        <v>4.8914218859041098E-2</v>
      </c>
    </row>
    <row r="841" spans="3:65">
      <c r="C841" s="362">
        <v>2</v>
      </c>
      <c r="D841" s="363" t="s">
        <v>239</v>
      </c>
      <c r="E841" s="362" t="s">
        <v>535</v>
      </c>
      <c r="F841" s="362" t="s">
        <v>550</v>
      </c>
      <c r="G841" s="362" t="s">
        <v>561</v>
      </c>
      <c r="H841" s="368">
        <v>-3.1045600000000002</v>
      </c>
      <c r="I841" s="368">
        <v>0</v>
      </c>
      <c r="J841" s="368">
        <v>-0.92949851840575493</v>
      </c>
      <c r="K841" s="368">
        <v>-1.6255378419641999</v>
      </c>
      <c r="L841" s="368">
        <v>-2.60426474388799</v>
      </c>
      <c r="M841" s="368">
        <v>-0.85971599289899203</v>
      </c>
      <c r="N841" s="368">
        <v>-0.76455082075441605</v>
      </c>
      <c r="O841" s="368">
        <v>2.9212786791767201E-2</v>
      </c>
      <c r="T841" s="137">
        <v>2</v>
      </c>
      <c r="U841" s="137" t="s">
        <v>247</v>
      </c>
      <c r="V841" s="136" t="s">
        <v>539</v>
      </c>
      <c r="W841" s="136" t="s">
        <v>550</v>
      </c>
      <c r="X841" s="136" t="s">
        <v>561</v>
      </c>
      <c r="Y841" s="172">
        <f>IFERROR(-tblZwaste1422[[#This Row],[Weight (kgCO2e/kg)]],0)</f>
        <v>-1.0569599999999999</v>
      </c>
      <c r="Z841" s="172">
        <f>IF(AQ841="x",(AR841*-tblZwaste1422[[#This Row],[Weight (kgCO2e/kg)]])+AS841+($AR$10*Lookups!$J$38/1000),"DELETE")</f>
        <v>-0.97388179269999986</v>
      </c>
      <c r="AA841" s="176">
        <v>-0.17394287661610452</v>
      </c>
      <c r="AB841" s="172" t="s">
        <v>567</v>
      </c>
      <c r="AC841" s="172" t="s">
        <v>567</v>
      </c>
      <c r="AD841" s="172">
        <v>2.60222889299325E-2</v>
      </c>
      <c r="AE841" s="172">
        <v>2.4991907646140801E-2</v>
      </c>
      <c r="AF841" s="172">
        <v>4.8916601649179797E-2</v>
      </c>
      <c r="AG841" s="150"/>
      <c r="AI841" s="137">
        <v>2</v>
      </c>
      <c r="AJ841" s="136" t="s">
        <v>247</v>
      </c>
      <c r="AK841" s="142" t="s">
        <v>539</v>
      </c>
      <c r="AL841" s="5" t="s">
        <v>550</v>
      </c>
      <c r="AM841" s="5" t="s">
        <v>561</v>
      </c>
      <c r="AN841" s="1">
        <v>1.0569599999999999</v>
      </c>
      <c r="AO841" s="166">
        <v>0.89563000000000004</v>
      </c>
      <c r="AQ841" t="str">
        <f>_xlfn.XLOOKUP(tblGWP21[[#This Row],[Material Subcategory]],ls_Mat,Factors!$K$952:$K$1023)</f>
        <v>x</v>
      </c>
      <c r="AR841" s="173">
        <v>1</v>
      </c>
      <c r="AS841">
        <v>8.1306407300000008E-2</v>
      </c>
      <c r="AT841" t="s">
        <v>531</v>
      </c>
      <c r="BA841" cm="1">
        <f t="array" ref="BA841:BM841">tblGWP21[#This Row]</f>
        <v>2</v>
      </c>
      <c r="BB841" t="str">
        <v>Glass</v>
      </c>
      <c r="BC841" t="str">
        <v>Glass – Clear</v>
      </c>
      <c r="BD841" t="str">
        <v>Oceania</v>
      </c>
      <c r="BE841" t="str">
        <v>Australia</v>
      </c>
      <c r="BF841">
        <v>-1.0569599999999999</v>
      </c>
      <c r="BG841">
        <v>-0.97388179269999986</v>
      </c>
      <c r="BH841">
        <v>-0.17394287661610452</v>
      </c>
      <c r="BI841" t="str">
        <v>DELETE</v>
      </c>
      <c r="BJ841" t="str">
        <v>DELETE</v>
      </c>
      <c r="BK841">
        <v>2.60222889299325E-2</v>
      </c>
      <c r="BL841">
        <v>2.4991907646140801E-2</v>
      </c>
      <c r="BM841">
        <v>4.8916601649179797E-2</v>
      </c>
    </row>
    <row r="842" spans="3:65">
      <c r="C842" s="136">
        <v>2</v>
      </c>
      <c r="D842" s="137" t="s">
        <v>239</v>
      </c>
      <c r="E842" s="136" t="s">
        <v>259</v>
      </c>
      <c r="F842" s="136" t="s">
        <v>550</v>
      </c>
      <c r="G842" s="136" t="s">
        <v>561</v>
      </c>
      <c r="H842" s="191">
        <v>-2.86965</v>
      </c>
      <c r="I842" s="191">
        <v>0</v>
      </c>
      <c r="J842" s="191">
        <v>-0.92949851840575493</v>
      </c>
      <c r="K842" s="191">
        <v>-1.34051782094162</v>
      </c>
      <c r="L842" s="191">
        <v>-2.0233346272533499</v>
      </c>
      <c r="M842" s="191">
        <v>-0.36803475835338001</v>
      </c>
      <c r="N842" s="191">
        <v>-0.62256938148208896</v>
      </c>
      <c r="O842" s="191">
        <v>2.8420507959224201E-2</v>
      </c>
      <c r="T842" s="137">
        <v>2</v>
      </c>
      <c r="U842" s="137" t="s">
        <v>247</v>
      </c>
      <c r="V842" s="136" t="s">
        <v>270</v>
      </c>
      <c r="W842" s="136" t="s">
        <v>550</v>
      </c>
      <c r="X842" s="136" t="s">
        <v>561</v>
      </c>
      <c r="Y842" s="172">
        <f>IFERROR(-tblZwaste1422[[#This Row],[Weight (kgCO2e/kg)]],0)</f>
        <v>-1.0505633333333335</v>
      </c>
      <c r="Z842" s="172">
        <f>IF(AQ842="x",(AR842*-tblZwaste1422[[#This Row],[Weight (kgCO2e/kg)]])+AS842+($AR$10*Lookups!$J$38/1000),"DELETE")</f>
        <v>-0.96748512603333348</v>
      </c>
      <c r="AA842" s="176">
        <v>-0.31559209310355407</v>
      </c>
      <c r="AB842" s="172" t="s">
        <v>567</v>
      </c>
      <c r="AC842" s="172" t="s">
        <v>567</v>
      </c>
      <c r="AD842" s="172">
        <v>2.6022298605907601E-2</v>
      </c>
      <c r="AE842" s="172">
        <v>3.10148231107726E-2</v>
      </c>
      <c r="AF842" s="172">
        <v>4.8915326896509501E-2</v>
      </c>
      <c r="AG842" s="150"/>
      <c r="AI842" s="137">
        <v>2</v>
      </c>
      <c r="AJ842" s="136" t="s">
        <v>247</v>
      </c>
      <c r="AK842" s="142" t="s">
        <v>270</v>
      </c>
      <c r="AL842" s="5" t="s">
        <v>550</v>
      </c>
      <c r="AM842" s="5" t="s">
        <v>561</v>
      </c>
      <c r="AN842" s="1">
        <v>1.0505633333333335</v>
      </c>
      <c r="AO842" s="166">
        <v>0.89563000000000004</v>
      </c>
      <c r="AQ842" t="str">
        <f>_xlfn.XLOOKUP(tblGWP21[[#This Row],[Material Subcategory]],ls_Mat,Factors!$K$952:$K$1023)</f>
        <v>x</v>
      </c>
      <c r="AR842" s="173">
        <v>1</v>
      </c>
      <c r="AS842">
        <v>8.1306407300000008E-2</v>
      </c>
      <c r="AT842" t="s">
        <v>531</v>
      </c>
      <c r="BA842" cm="1">
        <f t="array" ref="BA842:BM842">tblGWP21[#This Row]</f>
        <v>2</v>
      </c>
      <c r="BB842" t="str">
        <v>Glass</v>
      </c>
      <c r="BC842" t="str">
        <v>Mixed Glass</v>
      </c>
      <c r="BD842" t="str">
        <v>Oceania</v>
      </c>
      <c r="BE842" t="str">
        <v>Australia</v>
      </c>
      <c r="BF842">
        <v>-1.0505633333333335</v>
      </c>
      <c r="BG842">
        <v>-0.96748512603333348</v>
      </c>
      <c r="BH842">
        <v>-0.31559209310355407</v>
      </c>
      <c r="BI842" t="str">
        <v>DELETE</v>
      </c>
      <c r="BJ842" t="str">
        <v>DELETE</v>
      </c>
      <c r="BK842">
        <v>2.6022298605907601E-2</v>
      </c>
      <c r="BL842">
        <v>3.10148231107726E-2</v>
      </c>
      <c r="BM842">
        <v>4.8915326896509501E-2</v>
      </c>
    </row>
    <row r="843" spans="3:65">
      <c r="C843" s="362">
        <v>2</v>
      </c>
      <c r="D843" s="363" t="s">
        <v>239</v>
      </c>
      <c r="E843" s="362" t="s">
        <v>334</v>
      </c>
      <c r="F843" s="362" t="s">
        <v>550</v>
      </c>
      <c r="G843" s="362" t="s">
        <v>561</v>
      </c>
      <c r="H843" s="368">
        <v>-2.86965</v>
      </c>
      <c r="I843" s="368">
        <v>0</v>
      </c>
      <c r="J843" s="368">
        <v>-0.92949851840575493</v>
      </c>
      <c r="K843" s="368">
        <v>-1.7510293669055299</v>
      </c>
      <c r="L843" s="368">
        <v>-2.4863795929514398</v>
      </c>
      <c r="M843" s="368">
        <v>-0.30485032701584303</v>
      </c>
      <c r="N843" s="368">
        <v>-0.909547708920311</v>
      </c>
      <c r="O843" s="368">
        <v>2.6389736758903899E-2</v>
      </c>
      <c r="T843" s="137">
        <v>2</v>
      </c>
      <c r="U843" s="137" t="s">
        <v>247</v>
      </c>
      <c r="V843" s="136" t="s">
        <v>540</v>
      </c>
      <c r="W843" s="136" t="s">
        <v>550</v>
      </c>
      <c r="X843" s="136" t="s">
        <v>561</v>
      </c>
      <c r="Y843" s="172">
        <f>IFERROR(-tblZwaste1422[[#This Row],[Weight (kgCO2e/kg)]],0)</f>
        <v>-1.0473650000000001</v>
      </c>
      <c r="Z843" s="172">
        <f>IF(AQ843="x",(AR843*-tblZwaste1422[[#This Row],[Weight (kgCO2e/kg)]])+AS843+($AR$10*Lookups!$J$38/1000),"DELETE")</f>
        <v>-0.96428679270000006</v>
      </c>
      <c r="AA843" s="176" t="s">
        <v>567</v>
      </c>
      <c r="AB843" s="172" t="s">
        <v>567</v>
      </c>
      <c r="AC843" s="172" t="s">
        <v>567</v>
      </c>
      <c r="AD843" s="172">
        <v>2.60222821570886E-2</v>
      </c>
      <c r="AE843" s="172">
        <v>2.7233022209676799E-2</v>
      </c>
      <c r="AF843" s="172">
        <v>4.8916157062091001E-2</v>
      </c>
      <c r="AG843" s="150"/>
      <c r="AI843" s="137">
        <v>2</v>
      </c>
      <c r="AJ843" s="136" t="s">
        <v>247</v>
      </c>
      <c r="AK843" s="142" t="s">
        <v>540</v>
      </c>
      <c r="AL843" s="5" t="s">
        <v>550</v>
      </c>
      <c r="AM843" s="5" t="s">
        <v>561</v>
      </c>
      <c r="AN843" s="1">
        <v>1.0473650000000001</v>
      </c>
      <c r="AO843" s="166">
        <v>0.89563000000000004</v>
      </c>
      <c r="AQ843" t="str">
        <f>_xlfn.XLOOKUP(tblGWP21[[#This Row],[Material Subcategory]],ls_Mat,Factors!$K$952:$K$1023)</f>
        <v>x</v>
      </c>
      <c r="AR843" s="173">
        <v>1</v>
      </c>
      <c r="AS843">
        <v>8.1306407300000008E-2</v>
      </c>
      <c r="AT843" t="s">
        <v>531</v>
      </c>
      <c r="BA843" cm="1">
        <f t="array" ref="BA843:BM843">tblGWP21[#This Row]</f>
        <v>2</v>
      </c>
      <c r="BB843" t="str">
        <v>Glass</v>
      </c>
      <c r="BC843" t="str">
        <v>Glass – Non-Recyclable</v>
      </c>
      <c r="BD843" t="str">
        <v>Oceania</v>
      </c>
      <c r="BE843" t="str">
        <v>Australia</v>
      </c>
      <c r="BF843">
        <v>-1.0473650000000001</v>
      </c>
      <c r="BG843">
        <v>-0.96428679270000006</v>
      </c>
      <c r="BH843" t="str">
        <v>DELETE</v>
      </c>
      <c r="BI843" t="str">
        <v>DELETE</v>
      </c>
      <c r="BJ843" t="str">
        <v>DELETE</v>
      </c>
      <c r="BK843">
        <v>2.60222821570886E-2</v>
      </c>
      <c r="BL843">
        <v>2.7233022209676799E-2</v>
      </c>
      <c r="BM843">
        <v>4.8916157062091001E-2</v>
      </c>
    </row>
    <row r="844" spans="3:65">
      <c r="C844" s="136">
        <v>2</v>
      </c>
      <c r="D844" s="137" t="s">
        <v>239</v>
      </c>
      <c r="E844" s="136" t="s">
        <v>240</v>
      </c>
      <c r="F844" s="136" t="s">
        <v>550</v>
      </c>
      <c r="G844" s="136" t="s">
        <v>561</v>
      </c>
      <c r="H844" s="191">
        <v>-3.1045600000000002</v>
      </c>
      <c r="I844" s="191">
        <v>0</v>
      </c>
      <c r="J844" s="191">
        <v>0</v>
      </c>
      <c r="K844" s="191">
        <v>-1.7797858041549699</v>
      </c>
      <c r="L844" s="191">
        <v>-2.5576650575192899</v>
      </c>
      <c r="M844" s="191">
        <v>-0.68789701723431895</v>
      </c>
      <c r="N844" s="191">
        <v>0.49637285483986199</v>
      </c>
      <c r="O844" s="191">
        <v>2.36701232297353</v>
      </c>
      <c r="T844" s="137">
        <v>2</v>
      </c>
      <c r="U844" s="137" t="s">
        <v>261</v>
      </c>
      <c r="V844" s="136" t="s">
        <v>260</v>
      </c>
      <c r="W844" s="136" t="s">
        <v>550</v>
      </c>
      <c r="X844" s="136" t="s">
        <v>561</v>
      </c>
      <c r="Y844" s="172">
        <f>IFERROR(-tblZwaste1422[[#This Row],[Weight (kgCO2e/kg)]],0)</f>
        <v>-4.0364225925925927</v>
      </c>
      <c r="Z844" s="172" t="str">
        <f>IF(AQ844="x",(AR844*-tblZwaste1422[[#This Row],[Weight (kgCO2e/kg)]])+AS844+($AR$10*Lookups!$J$38/1000),"DELETE")</f>
        <v>DELETE</v>
      </c>
      <c r="AA844" s="176" t="s">
        <v>567</v>
      </c>
      <c r="AB844" s="172">
        <v>-0.50421803395133402</v>
      </c>
      <c r="AC844" s="172">
        <v>-0.86540544060248603</v>
      </c>
      <c r="AD844" s="172">
        <v>-0.17470400001792399</v>
      </c>
      <c r="AE844" s="172">
        <v>-0.23975545799391401</v>
      </c>
      <c r="AF844" s="172">
        <v>2.7529569440036799E-2</v>
      </c>
      <c r="AG844" s="150"/>
      <c r="AI844" s="137">
        <v>2</v>
      </c>
      <c r="AJ844" s="136" t="s">
        <v>529</v>
      </c>
      <c r="AK844" s="142" t="s">
        <v>260</v>
      </c>
      <c r="AL844" s="5" t="s">
        <v>550</v>
      </c>
      <c r="AM844" s="5" t="s">
        <v>561</v>
      </c>
      <c r="AN844" s="1">
        <v>4.0364225925925927</v>
      </c>
      <c r="AO844" s="166">
        <v>1.3856655555555555</v>
      </c>
      <c r="AQ844">
        <f>_xlfn.XLOOKUP(tblGWP21[[#This Row],[Material Subcategory]],ls_Mat,Factors!$K$952:$K$1023)</f>
        <v>0</v>
      </c>
      <c r="AR844" s="173"/>
      <c r="BA844" cm="1">
        <f t="array" ref="BA844:BM844">tblGWP21[#This Row]</f>
        <v>2</v>
      </c>
      <c r="BB844" t="str">
        <v>Food Waste</v>
      </c>
      <c r="BC844" t="str">
        <v>Mixed Organics</v>
      </c>
      <c r="BD844" t="str">
        <v>Oceania</v>
      </c>
      <c r="BE844" t="str">
        <v>Australia</v>
      </c>
      <c r="BF844">
        <v>-4.0364225925925927</v>
      </c>
      <c r="BG844" t="str">
        <v>DELETE</v>
      </c>
      <c r="BH844" t="str">
        <v>DELETE</v>
      </c>
      <c r="BI844">
        <v>-0.50421803395133402</v>
      </c>
      <c r="BJ844">
        <v>-0.86540544060248603</v>
      </c>
      <c r="BK844">
        <v>-0.17470400001792399</v>
      </c>
      <c r="BL844">
        <v>-0.23975545799391401</v>
      </c>
      <c r="BM844">
        <v>2.7529569440036799E-2</v>
      </c>
    </row>
    <row r="845" spans="3:65" ht="28.8">
      <c r="C845" s="362">
        <v>2</v>
      </c>
      <c r="D845" s="363" t="s">
        <v>239</v>
      </c>
      <c r="E845" s="362" t="s">
        <v>325</v>
      </c>
      <c r="F845" s="362" t="s">
        <v>550</v>
      </c>
      <c r="G845" s="362" t="s">
        <v>561</v>
      </c>
      <c r="H845" s="368">
        <v>-1.66</v>
      </c>
      <c r="I845" s="368">
        <v>0</v>
      </c>
      <c r="J845" s="368">
        <v>0</v>
      </c>
      <c r="K845" s="368">
        <v>-1.6415582940675599</v>
      </c>
      <c r="L845" s="368">
        <v>-2.38875601138436</v>
      </c>
      <c r="M845" s="368">
        <v>-0.64660766527578795</v>
      </c>
      <c r="N845" s="368">
        <v>-0.84015304589553597</v>
      </c>
      <c r="O845" s="368">
        <v>2.7471597181405401E-2</v>
      </c>
      <c r="T845" s="137">
        <v>2</v>
      </c>
      <c r="U845" s="137" t="s">
        <v>237</v>
      </c>
      <c r="V845" s="136" t="s">
        <v>237</v>
      </c>
      <c r="W845" s="136" t="s">
        <v>550</v>
      </c>
      <c r="X845" s="136" t="s">
        <v>561</v>
      </c>
      <c r="Y845" s="172">
        <f>IFERROR(-tblZwaste1422[[#This Row],[Weight (kgCO2e/kg)]],0)</f>
        <v>-2.8533815875203707</v>
      </c>
      <c r="Z845" s="172" t="e">
        <f>IF(AQ845="x",(AR845*-tblZwaste1422[[#This Row],[Weight (kgCO2e/kg)]])+AS845+($AR$10*Lookups!$J$38/1000),"DELETE")</f>
        <v>#N/A</v>
      </c>
      <c r="AA845" s="172" t="s">
        <v>567</v>
      </c>
      <c r="AB845" s="172" t="s">
        <v>567</v>
      </c>
      <c r="AC845" s="172" t="s">
        <v>567</v>
      </c>
      <c r="AD845" s="172">
        <v>-0.46676852163692306</v>
      </c>
      <c r="AE845" s="172">
        <v>-0.53874884609908802</v>
      </c>
      <c r="AF845" s="172">
        <v>2.7968656135843518E-2</v>
      </c>
      <c r="AG845" s="150"/>
      <c r="AI845" s="137">
        <v>2</v>
      </c>
      <c r="AJ845" s="136" t="s">
        <v>237</v>
      </c>
      <c r="AK845" s="142" t="s">
        <v>237</v>
      </c>
      <c r="AL845" s="5" t="s">
        <v>550</v>
      </c>
      <c r="AM845" s="5" t="s">
        <v>561</v>
      </c>
      <c r="AN845" s="1">
        <v>2.8533815875203707</v>
      </c>
      <c r="AO845" s="166">
        <v>1.0711602172222223</v>
      </c>
      <c r="AQ845" t="e">
        <f>_xlfn.XLOOKUP(tblGWP21[[#This Row],[Material Subcategory]],ls_Mat,Factors!$K$952:$K$1023)</f>
        <v>#N/A</v>
      </c>
      <c r="AR845" s="173">
        <v>0.5</v>
      </c>
      <c r="AS845">
        <v>0</v>
      </c>
      <c r="AT845" t="s">
        <v>527</v>
      </c>
      <c r="BA845" cm="1">
        <f t="array" ref="BA845:BM845">tblGWP21[#This Row]</f>
        <v>2</v>
      </c>
      <c r="BB845" t="str">
        <v>Mixed/Custom</v>
      </c>
      <c r="BC845" t="str">
        <v>Mixed/Custom</v>
      </c>
      <c r="BD845" t="str">
        <v>Oceania</v>
      </c>
      <c r="BE845" t="str">
        <v>Australia</v>
      </c>
      <c r="BF845">
        <v>-2.8533815875203707</v>
      </c>
      <c r="BG845" t="e">
        <v>#N/A</v>
      </c>
      <c r="BH845" t="str">
        <v>DELETE</v>
      </c>
      <c r="BI845" t="str">
        <v>DELETE</v>
      </c>
      <c r="BJ845" t="str">
        <v>DELETE</v>
      </c>
      <c r="BK845">
        <v>-0.46676852163692306</v>
      </c>
      <c r="BL845">
        <v>-0.53874884609908802</v>
      </c>
      <c r="BM845">
        <v>2.7968656135843518E-2</v>
      </c>
    </row>
    <row r="846" spans="3:65">
      <c r="C846" s="136">
        <v>2</v>
      </c>
      <c r="D846" s="137" t="s">
        <v>256</v>
      </c>
      <c r="E846" s="136" t="s">
        <v>256</v>
      </c>
      <c r="F846" s="136" t="s">
        <v>550</v>
      </c>
      <c r="G846" s="136" t="s">
        <v>561</v>
      </c>
      <c r="H846" s="191">
        <v>-3.3097799999999999</v>
      </c>
      <c r="I846" s="191">
        <v>-3.2267017926999997</v>
      </c>
      <c r="J846" s="191">
        <v>-12.385379926993377</v>
      </c>
      <c r="K846" s="191">
        <v>0</v>
      </c>
      <c r="L846" s="191">
        <v>0</v>
      </c>
      <c r="M846" s="191">
        <v>2.5860000000000001E-2</v>
      </c>
      <c r="N846" s="191">
        <v>-0.10693658489197445</v>
      </c>
      <c r="O846" s="191">
        <v>-9.0339883652696892E-2</v>
      </c>
      <c r="T846" s="137">
        <v>2</v>
      </c>
      <c r="U846" s="137" t="s">
        <v>237</v>
      </c>
      <c r="V846" s="136" t="s">
        <v>246</v>
      </c>
      <c r="W846" s="136" t="s">
        <v>550</v>
      </c>
      <c r="X846" s="136" t="s">
        <v>561</v>
      </c>
      <c r="Y846" s="172">
        <f>IFERROR(-tblZwaste1422[[#This Row],[Weight (kgCO2e/kg)]],0)</f>
        <v>-7.3412433500000009</v>
      </c>
      <c r="Z846" s="172" t="str">
        <f>IF(AQ846="x",(AR846*-tblZwaste1422[[#This Row],[Weight (kgCO2e/kg)]])+AS846+($AR$10*Lookups!$J$38/1000),"DELETE")</f>
        <v>DELETE</v>
      </c>
      <c r="AA846" s="176" t="s">
        <v>567</v>
      </c>
      <c r="AB846" s="172" t="s">
        <v>567</v>
      </c>
      <c r="AC846" s="172" t="s">
        <v>567</v>
      </c>
      <c r="AD846" s="172">
        <v>2.6022332869927601E-2</v>
      </c>
      <c r="AE846" s="172">
        <v>4.180080979597E-2</v>
      </c>
      <c r="AF846" s="172">
        <v>4.8913810169324903E-2</v>
      </c>
      <c r="AG846" s="150"/>
      <c r="AI846" s="137">
        <v>2</v>
      </c>
      <c r="AJ846" s="136" t="s">
        <v>237</v>
      </c>
      <c r="AK846" s="142" t="s">
        <v>246</v>
      </c>
      <c r="AL846" s="5" t="s">
        <v>550</v>
      </c>
      <c r="AM846" s="5" t="s">
        <v>561</v>
      </c>
      <c r="AN846" s="1">
        <v>7.3412433500000009</v>
      </c>
      <c r="AO846" s="166">
        <v>0.66842500000000005</v>
      </c>
      <c r="AQ846">
        <f>_xlfn.XLOOKUP(tblGWP21[[#This Row],[Material Subcategory]],ls_Mat,Factors!$K$952:$K$1023)</f>
        <v>0</v>
      </c>
      <c r="AR846" s="173"/>
      <c r="BA846" cm="1">
        <f t="array" ref="BA846:BM846">tblGWP21[#This Row]</f>
        <v>2</v>
      </c>
      <c r="BB846" t="str">
        <v>Mixed/Custom</v>
      </c>
      <c r="BC846" t="str">
        <v>Mixed Inorganics</v>
      </c>
      <c r="BD846" t="str">
        <v>Oceania</v>
      </c>
      <c r="BE846" t="str">
        <v>Australia</v>
      </c>
      <c r="BF846">
        <v>-7.3412433500000009</v>
      </c>
      <c r="BG846" t="str">
        <v>DELETE</v>
      </c>
      <c r="BH846" t="str">
        <v>DELETE</v>
      </c>
      <c r="BI846" t="str">
        <v>DELETE</v>
      </c>
      <c r="BJ846" t="str">
        <v>DELETE</v>
      </c>
      <c r="BK846">
        <v>2.6022332869927601E-2</v>
      </c>
      <c r="BL846">
        <v>4.180080979597E-2</v>
      </c>
      <c r="BM846">
        <v>4.8913810169324903E-2</v>
      </c>
    </row>
    <row r="847" spans="3:65">
      <c r="C847" s="362">
        <v>2</v>
      </c>
      <c r="D847" s="363" t="s">
        <v>256</v>
      </c>
      <c r="E847" s="362" t="s">
        <v>536</v>
      </c>
      <c r="F847" s="362" t="s">
        <v>550</v>
      </c>
      <c r="G847" s="362" t="s">
        <v>561</v>
      </c>
      <c r="H847" s="368">
        <v>-1.9798800000000001</v>
      </c>
      <c r="I847" s="368">
        <v>-1.8968017927</v>
      </c>
      <c r="J847" s="368">
        <v>-2.2607194096631558</v>
      </c>
      <c r="K847" s="368">
        <v>0</v>
      </c>
      <c r="L847" s="368">
        <v>0</v>
      </c>
      <c r="M847" s="368" t="s">
        <v>551</v>
      </c>
      <c r="N847" s="368">
        <v>-0.157565881729051</v>
      </c>
      <c r="O847" s="368">
        <v>-0.13173951535147099</v>
      </c>
      <c r="T847" s="137">
        <v>2</v>
      </c>
      <c r="U847" s="137" t="s">
        <v>237</v>
      </c>
      <c r="V847" s="136" t="s">
        <v>243</v>
      </c>
      <c r="W847" s="136" t="s">
        <v>550</v>
      </c>
      <c r="X847" s="136" t="s">
        <v>561</v>
      </c>
      <c r="Y847" s="172">
        <f>IFERROR(-tblZwaste1422[[#This Row],[Weight (kgCO2e/kg)]],0)</f>
        <v>-2.8533815875203707</v>
      </c>
      <c r="Z847" s="172" t="e">
        <f>IF(AQ847="x",(AR847*-tblZwaste1422[[#This Row],[Weight (kgCO2e/kg)]])+AS847+($AR$10*Lookups!$J$38/1000),"DELETE")</f>
        <v>#N/A</v>
      </c>
      <c r="AA847" s="176" t="s">
        <v>567</v>
      </c>
      <c r="AB847" s="172">
        <v>-1.0338589694293789</v>
      </c>
      <c r="AC847" s="172">
        <v>-1.5970889569085887</v>
      </c>
      <c r="AD847" s="172">
        <v>-0.46676852163692306</v>
      </c>
      <c r="AE847" s="172">
        <v>-0.53874884609908802</v>
      </c>
      <c r="AF847" s="172">
        <v>2.7968656135843518E-2</v>
      </c>
      <c r="AG847" s="150"/>
      <c r="AI847" s="137">
        <v>2</v>
      </c>
      <c r="AJ847" s="136" t="s">
        <v>237</v>
      </c>
      <c r="AK847" s="142" t="s">
        <v>243</v>
      </c>
      <c r="AL847" s="5" t="s">
        <v>550</v>
      </c>
      <c r="AM847" s="5" t="s">
        <v>561</v>
      </c>
      <c r="AN847" s="1">
        <v>2.8533815875203707</v>
      </c>
      <c r="AO847" s="166">
        <v>1.0711602172222223</v>
      </c>
      <c r="AQ847" t="e">
        <f>_xlfn.XLOOKUP(tblGWP21[[#This Row],[Material Subcategory]],ls_Mat,Factors!$K$952:$K$1023)</f>
        <v>#N/A</v>
      </c>
      <c r="AR847" s="173"/>
      <c r="BA847" cm="1">
        <f t="array" ref="BA847:BM847">tblGWP21[#This Row]</f>
        <v>2</v>
      </c>
      <c r="BB847" t="str">
        <v>Mixed/Custom</v>
      </c>
      <c r="BC847" t="str">
        <v>Mixed MSW</v>
      </c>
      <c r="BD847" t="str">
        <v>Oceania</v>
      </c>
      <c r="BE847" t="str">
        <v>Australia</v>
      </c>
      <c r="BF847">
        <v>-2.8533815875203707</v>
      </c>
      <c r="BG847" t="e">
        <v>#N/A</v>
      </c>
      <c r="BH847" t="str">
        <v>DELETE</v>
      </c>
      <c r="BI847">
        <v>-1.0338589694293789</v>
      </c>
      <c r="BJ847">
        <v>-1.5970889569085887</v>
      </c>
      <c r="BK847">
        <v>-0.46676852163692306</v>
      </c>
      <c r="BL847">
        <v>-0.53874884609908802</v>
      </c>
      <c r="BM847">
        <v>2.7968656135843518E-2</v>
      </c>
    </row>
    <row r="848" spans="3:65">
      <c r="C848" s="136">
        <v>2</v>
      </c>
      <c r="D848" s="137" t="s">
        <v>256</v>
      </c>
      <c r="E848" s="136" t="s">
        <v>257</v>
      </c>
      <c r="F848" s="136" t="s">
        <v>550</v>
      </c>
      <c r="G848" s="136" t="s">
        <v>561</v>
      </c>
      <c r="H848" s="191">
        <v>-1.9798800000000001</v>
      </c>
      <c r="I848" s="191">
        <v>-1.8968017927</v>
      </c>
      <c r="J848" s="191">
        <v>-2.2607194096631558</v>
      </c>
      <c r="K848" s="191">
        <v>0</v>
      </c>
      <c r="L848" s="191">
        <v>0</v>
      </c>
      <c r="M848" s="191">
        <v>2.6022284268183E-2</v>
      </c>
      <c r="N848" s="191">
        <v>-0.157565881729051</v>
      </c>
      <c r="O848" s="191">
        <v>-0.13173951535147099</v>
      </c>
      <c r="T848" s="137">
        <v>2</v>
      </c>
      <c r="U848" s="137" t="s">
        <v>252</v>
      </c>
      <c r="V848" s="136" t="s">
        <v>333</v>
      </c>
      <c r="W848" s="136" t="s">
        <v>550</v>
      </c>
      <c r="X848" s="136" t="s">
        <v>561</v>
      </c>
      <c r="Y848" s="172">
        <f>IFERROR(-tblZwaste1422[[#This Row],[Weight (kgCO2e/kg)]],0)</f>
        <v>-2.0953266666666663</v>
      </c>
      <c r="Z848" s="172" t="str">
        <f>IF(AQ848="x",(AR848*-tblZwaste1422[[#This Row],[Weight (kgCO2e/kg)]])+AS848+($AR$10*Lookups!$J$38/1000),"DELETE")</f>
        <v>DELETE</v>
      </c>
      <c r="AA848" s="176">
        <v>-4.4031027052446881</v>
      </c>
      <c r="AB848" s="172" t="s">
        <v>567</v>
      </c>
      <c r="AC848" s="172" t="s">
        <v>567</v>
      </c>
      <c r="AD848" s="172">
        <v>2.6022305346742901E-2</v>
      </c>
      <c r="AE848" s="172">
        <v>0.62743418122049499</v>
      </c>
      <c r="AF848" s="172">
        <v>2.1870245647238802</v>
      </c>
      <c r="AG848" s="150"/>
      <c r="AI848" s="137">
        <v>2</v>
      </c>
      <c r="AJ848" s="136" t="s">
        <v>252</v>
      </c>
      <c r="AK848" s="142" t="s">
        <v>333</v>
      </c>
      <c r="AL848" s="5" t="s">
        <v>550</v>
      </c>
      <c r="AM848" s="5" t="s">
        <v>561</v>
      </c>
      <c r="AN848" s="1">
        <v>2.0953266666666663</v>
      </c>
      <c r="AO848" s="166">
        <v>1.77911</v>
      </c>
      <c r="AQ848">
        <f>_xlfn.XLOOKUP(tblGWP21[[#This Row],[Material Subcategory]],ls_Mat,Factors!$K$952:$K$1023)</f>
        <v>0</v>
      </c>
      <c r="AR848" s="173"/>
      <c r="BA848" cm="1">
        <f t="array" ref="BA848:BM848">tblGWP21[#This Row]</f>
        <v>2</v>
      </c>
      <c r="BB848" t="str">
        <v>Plastics</v>
      </c>
      <c r="BC848" t="str">
        <v>Mixed Plastics</v>
      </c>
      <c r="BD848" t="str">
        <v>Oceania</v>
      </c>
      <c r="BE848" t="str">
        <v>Australia</v>
      </c>
      <c r="BF848">
        <v>-2.0953266666666663</v>
      </c>
      <c r="BG848" t="str">
        <v>DELETE</v>
      </c>
      <c r="BH848">
        <v>-4.4031027052446881</v>
      </c>
      <c r="BI848" t="str">
        <v>DELETE</v>
      </c>
      <c r="BJ848" t="str">
        <v>DELETE</v>
      </c>
      <c r="BK848">
        <v>2.6022305346742901E-2</v>
      </c>
      <c r="BL848">
        <v>0.62743418122049499</v>
      </c>
      <c r="BM848">
        <v>2.1870245647238802</v>
      </c>
    </row>
    <row r="849" spans="3:65">
      <c r="C849" s="362">
        <v>2</v>
      </c>
      <c r="D849" s="363" t="s">
        <v>256</v>
      </c>
      <c r="E849" s="362" t="s">
        <v>537</v>
      </c>
      <c r="F849" s="362" t="s">
        <v>550</v>
      </c>
      <c r="G849" s="362" t="s">
        <v>561</v>
      </c>
      <c r="H849" s="368">
        <v>-5.0082800000000001</v>
      </c>
      <c r="I849" s="368">
        <v>-4.9252017927000002</v>
      </c>
      <c r="J849" s="368">
        <v>-4.8934870529376608</v>
      </c>
      <c r="K849" s="368">
        <v>0</v>
      </c>
      <c r="L849" s="368">
        <v>0</v>
      </c>
      <c r="M849" s="368">
        <v>2.5860000000000001E-2</v>
      </c>
      <c r="N849" s="368">
        <v>-5.6307288054897903E-2</v>
      </c>
      <c r="O849" s="368">
        <v>-4.8940251953922799E-2</v>
      </c>
      <c r="T849" s="137">
        <v>2</v>
      </c>
      <c r="U849" s="137" t="s">
        <v>239</v>
      </c>
      <c r="V849" s="136" t="s">
        <v>542</v>
      </c>
      <c r="W849" s="136" t="s">
        <v>550</v>
      </c>
      <c r="X849" s="136" t="s">
        <v>561</v>
      </c>
      <c r="Y849" s="172">
        <f>IFERROR(-tblZwaste1422[[#This Row],[Weight (kgCO2e/kg)]],0)</f>
        <v>-2.6644477777777777</v>
      </c>
      <c r="Z849" s="172" t="str">
        <f>IF(AQ849="x",(AR849*-tblZwaste1422[[#This Row],[Weight (kgCO2e/kg)]])+AS849+($AR$10*Lookups!$J$38/1000),"DELETE")</f>
        <v>DELETE</v>
      </c>
      <c r="AA849" s="176">
        <v>-0.82622090524955993</v>
      </c>
      <c r="AB849" s="172">
        <v>-1.6415582940675599</v>
      </c>
      <c r="AC849" s="172">
        <v>-2.38875601138436</v>
      </c>
      <c r="AD849" s="172">
        <v>-0.64660766527578795</v>
      </c>
      <c r="AE849" s="172">
        <v>-0.84015304589553597</v>
      </c>
      <c r="AF849" s="172">
        <v>2.7471597181405401E-2</v>
      </c>
      <c r="AG849" s="150"/>
      <c r="AI849" s="137">
        <v>2</v>
      </c>
      <c r="AJ849" s="136" t="s">
        <v>239</v>
      </c>
      <c r="AK849" s="142" t="s">
        <v>542</v>
      </c>
      <c r="AL849" s="5" t="s">
        <v>550</v>
      </c>
      <c r="AM849" s="5" t="s">
        <v>561</v>
      </c>
      <c r="AN849" s="1">
        <v>2.6644477777777777</v>
      </c>
      <c r="AO849" s="166">
        <v>0.64099666666666666</v>
      </c>
      <c r="AQ849">
        <f>_xlfn.XLOOKUP(tblGWP21[[#This Row],[Material Subcategory]],ls_Mat,Factors!$K$952:$K$1023)</f>
        <v>0</v>
      </c>
      <c r="BA849" cm="1">
        <f t="array" ref="BA849:BM849">tblGWP21[#This Row]</f>
        <v>2</v>
      </c>
      <c r="BB849" t="str">
        <v>Paper</v>
      </c>
      <c r="BC849" t="str">
        <v>Mixed Paper</v>
      </c>
      <c r="BD849" t="str">
        <v>Oceania</v>
      </c>
      <c r="BE849" t="str">
        <v>Australia</v>
      </c>
      <c r="BF849">
        <v>-2.6644477777777777</v>
      </c>
      <c r="BG849" t="str">
        <v>DELETE</v>
      </c>
      <c r="BH849">
        <v>-0.82622090524955993</v>
      </c>
      <c r="BI849">
        <v>-1.6415582940675599</v>
      </c>
      <c r="BJ849">
        <v>-2.38875601138436</v>
      </c>
      <c r="BK849">
        <v>-0.64660766527578795</v>
      </c>
      <c r="BL849">
        <v>-0.84015304589553597</v>
      </c>
      <c r="BM849">
        <v>2.7471597181405401E-2</v>
      </c>
    </row>
    <row r="850" spans="3:65">
      <c r="C850" s="136">
        <v>2</v>
      </c>
      <c r="D850" s="137" t="s">
        <v>256</v>
      </c>
      <c r="E850" s="136" t="s">
        <v>538</v>
      </c>
      <c r="F850" s="136" t="s">
        <v>550</v>
      </c>
      <c r="G850" s="136" t="s">
        <v>561</v>
      </c>
      <c r="H850" s="191">
        <v>-4.6396800000000002</v>
      </c>
      <c r="I850" s="191">
        <v>0</v>
      </c>
      <c r="J850" s="191">
        <v>0</v>
      </c>
      <c r="K850" s="191">
        <v>0</v>
      </c>
      <c r="L850" s="191">
        <v>0</v>
      </c>
      <c r="M850" s="191">
        <v>2.5860000000000001E-2</v>
      </c>
      <c r="N850" s="191">
        <v>-5.2835466444093697E-2</v>
      </c>
      <c r="O850" s="191">
        <v>-4.8940251953922799E-2</v>
      </c>
      <c r="T850" s="137">
        <v>2</v>
      </c>
      <c r="U850" s="137" t="s">
        <v>237</v>
      </c>
      <c r="V850" s="136" t="s">
        <v>238</v>
      </c>
      <c r="W850" s="136" t="s">
        <v>550</v>
      </c>
      <c r="X850" s="136" t="s">
        <v>561</v>
      </c>
      <c r="Y850" s="172">
        <f>IFERROR(-tblZwaste1422[[#This Row],[Weight (kgCO2e/kg)]],0)</f>
        <v>-2.7046544444444445</v>
      </c>
      <c r="Z850" s="172" t="str">
        <f>IF(AQ850="x",(AR850*-tblZwaste1422[[#This Row],[Weight (kgCO2e/kg)]])+AS850+($AR$10*Lookups!$J$38/1000),"DELETE")</f>
        <v>DELETE</v>
      </c>
      <c r="AA850" s="176" t="s">
        <v>567</v>
      </c>
      <c r="AB850" s="172" t="s">
        <v>567</v>
      </c>
      <c r="AC850" s="172" t="s">
        <v>567</v>
      </c>
      <c r="AD850" s="172">
        <v>-0.14217576533078435</v>
      </c>
      <c r="AE850" s="172">
        <v>-7.2160156614060708E-2</v>
      </c>
      <c r="AF850" s="172">
        <v>0.54326790128727453</v>
      </c>
      <c r="AG850" s="150"/>
      <c r="AI850" s="137">
        <v>2</v>
      </c>
      <c r="AJ850" s="136" t="s">
        <v>237</v>
      </c>
      <c r="AK850" s="142" t="s">
        <v>238</v>
      </c>
      <c r="AL850" s="5" t="s">
        <v>550</v>
      </c>
      <c r="AM850" s="5" t="s">
        <v>561</v>
      </c>
      <c r="AN850" s="1">
        <v>2.7046544444444445</v>
      </c>
      <c r="AO850" s="166">
        <v>1.2161291666666667</v>
      </c>
      <c r="AQ850">
        <f>_xlfn.XLOOKUP(tblGWP21[[#This Row],[Material Subcategory]],ls_Mat,Factors!$K$952:$K$1023)</f>
        <v>0</v>
      </c>
      <c r="BA850" cm="1">
        <f t="array" ref="BA850:BM850">tblGWP21[#This Row]</f>
        <v>2</v>
      </c>
      <c r="BB850" t="str">
        <v>Mixed/Custom</v>
      </c>
      <c r="BC850" t="str">
        <v>Mixed Recycling</v>
      </c>
      <c r="BD850" t="str">
        <v>Oceania</v>
      </c>
      <c r="BE850" t="str">
        <v>Australia</v>
      </c>
      <c r="BF850">
        <v>-2.7046544444444445</v>
      </c>
      <c r="BG850" t="str">
        <v>DELETE</v>
      </c>
      <c r="BH850" t="str">
        <v>DELETE</v>
      </c>
      <c r="BI850" t="str">
        <v>DELETE</v>
      </c>
      <c r="BJ850" t="str">
        <v>DELETE</v>
      </c>
      <c r="BK850">
        <v>-0.14217576533078435</v>
      </c>
      <c r="BL850">
        <v>-7.2160156614060708E-2</v>
      </c>
      <c r="BM850">
        <v>0.54326790128727453</v>
      </c>
    </row>
    <row r="851" spans="3:65">
      <c r="C851" s="362">
        <v>2</v>
      </c>
      <c r="D851" s="363" t="s">
        <v>256</v>
      </c>
      <c r="E851" s="362" t="s">
        <v>258</v>
      </c>
      <c r="F851" s="362" t="s">
        <v>550</v>
      </c>
      <c r="G851" s="362" t="s">
        <v>561</v>
      </c>
      <c r="H851" s="368">
        <v>-4.6396800000000002</v>
      </c>
      <c r="I851" s="368">
        <v>-4.5566017927000004</v>
      </c>
      <c r="J851" s="368">
        <v>-4.7436864288681404</v>
      </c>
      <c r="K851" s="368">
        <v>0</v>
      </c>
      <c r="L851" s="368">
        <v>0</v>
      </c>
      <c r="M851" s="368">
        <v>2.5860000000000001E-2</v>
      </c>
      <c r="N851" s="368">
        <v>-5.6307288054897903E-2</v>
      </c>
      <c r="O851" s="368">
        <v>-4.8940251953922799E-2</v>
      </c>
      <c r="T851" s="137">
        <v>2</v>
      </c>
      <c r="U851" s="137" t="s">
        <v>264</v>
      </c>
      <c r="V851" s="136" t="s">
        <v>264</v>
      </c>
      <c r="W851" s="136" t="s">
        <v>550</v>
      </c>
      <c r="X851" s="136" t="s">
        <v>561</v>
      </c>
      <c r="Y851" s="172">
        <f>IFERROR(-tblZwaste1422[[#This Row],[Weight (kgCO2e/kg)]],0)</f>
        <v>-1.9287117500000002</v>
      </c>
      <c r="Z851" s="172" t="e">
        <f>IF(AQ851="x",(AR851*-tblZwaste1422[[#This Row],[Weight (kgCO2e/kg)]])+AS851+($AR$10*Lookups!$J$38/1000),"DELETE")</f>
        <v>#N/A</v>
      </c>
      <c r="AA851" s="172">
        <f>AA855</f>
        <v>0.15112249999999994</v>
      </c>
      <c r="AB851" s="172" t="s">
        <v>567</v>
      </c>
      <c r="AC851" s="172" t="s">
        <v>567</v>
      </c>
      <c r="AD851" s="172">
        <v>-0.34184760397441188</v>
      </c>
      <c r="AE851" s="172">
        <v>-0.48628067956811966</v>
      </c>
      <c r="AF851" s="172">
        <v>0.46005655473220308</v>
      </c>
      <c r="AG851" s="150"/>
      <c r="AI851" s="137">
        <v>2</v>
      </c>
      <c r="AJ851" s="136" t="s">
        <v>264</v>
      </c>
      <c r="AK851" s="142" t="s">
        <v>264</v>
      </c>
      <c r="AL851" s="5" t="s">
        <v>550</v>
      </c>
      <c r="AM851" s="5" t="s">
        <v>561</v>
      </c>
      <c r="AN851" s="1">
        <v>1.9287117500000002</v>
      </c>
      <c r="AO851" s="166">
        <v>0.467055</v>
      </c>
      <c r="AQ851" t="e">
        <f>_xlfn.XLOOKUP(tblGWP21[[#This Row],[Material Subcategory]],ls_Mat,Factors!$K$952:$K$1023)</f>
        <v>#N/A</v>
      </c>
      <c r="AR851" s="173">
        <v>0.65</v>
      </c>
      <c r="AS851">
        <v>0.14482945764999999</v>
      </c>
      <c r="AT851" t="s">
        <v>541</v>
      </c>
      <c r="BA851" cm="1">
        <f t="array" ref="BA851:BM851">tblGWP21[#This Row]</f>
        <v>2</v>
      </c>
      <c r="BB851" t="str">
        <v>Furniture/Textiles</v>
      </c>
      <c r="BC851" t="str">
        <v>Furniture/Textiles</v>
      </c>
      <c r="BD851" t="str">
        <v>Oceania</v>
      </c>
      <c r="BE851" t="str">
        <v>Australia</v>
      </c>
      <c r="BF851">
        <v>-1.9287117500000002</v>
      </c>
      <c r="BG851" t="e">
        <v>#N/A</v>
      </c>
      <c r="BH851">
        <v>0.15112249999999994</v>
      </c>
      <c r="BI851" t="str">
        <v>DELETE</v>
      </c>
      <c r="BJ851" t="str">
        <v>DELETE</v>
      </c>
      <c r="BK851">
        <v>-0.34184760397441188</v>
      </c>
      <c r="BL851">
        <v>-0.48628067956811966</v>
      </c>
      <c r="BM851">
        <v>0.46005655473220308</v>
      </c>
    </row>
    <row r="852" spans="3:65">
      <c r="C852" s="136">
        <v>2</v>
      </c>
      <c r="D852" s="137" t="s">
        <v>247</v>
      </c>
      <c r="E852" s="136" t="s">
        <v>247</v>
      </c>
      <c r="F852" s="136" t="s">
        <v>550</v>
      </c>
      <c r="G852" s="136" t="s">
        <v>561</v>
      </c>
      <c r="H852" s="191">
        <v>-1.0505633333333335</v>
      </c>
      <c r="I852" s="191">
        <v>-0.96748512603333348</v>
      </c>
      <c r="J852" s="191">
        <v>-0.31559209310355407</v>
      </c>
      <c r="K852" s="191">
        <v>0</v>
      </c>
      <c r="L852" s="191">
        <v>0</v>
      </c>
      <c r="M852" s="191">
        <v>2.6022298605907601E-2</v>
      </c>
      <c r="N852" s="191">
        <v>3.10148231107726E-2</v>
      </c>
      <c r="O852" s="191">
        <v>4.8915326896509501E-2</v>
      </c>
      <c r="T852" s="137">
        <v>2</v>
      </c>
      <c r="U852" s="137" t="s">
        <v>264</v>
      </c>
      <c r="V852" s="136" t="s">
        <v>336</v>
      </c>
      <c r="W852" s="136" t="s">
        <v>550</v>
      </c>
      <c r="X852" s="136" t="s">
        <v>561</v>
      </c>
      <c r="Y852" s="172">
        <f>IFERROR(-tblZwaste1422[[#This Row],[Weight (kgCO2e/kg)]],0)</f>
        <v>-0.76351350000000007</v>
      </c>
      <c r="Z852" s="172">
        <f>IF(AQ852="x",(AR852*-tblZwaste1422[[#This Row],[Weight (kgCO2e/kg)]])+AS852+($AR$10*Lookups!$J$38/1000),"DELETE")</f>
        <v>-0.34968251735000005</v>
      </c>
      <c r="AA852" s="176" t="s">
        <v>567</v>
      </c>
      <c r="AB852" s="172">
        <v>-1.6485436672468201</v>
      </c>
      <c r="AC852" s="172">
        <v>-2.6245446893481601</v>
      </c>
      <c r="AD852" s="172">
        <v>-0.99956618689668975</v>
      </c>
      <c r="AE852" s="172">
        <v>-0.72267533514796634</v>
      </c>
      <c r="AF852" s="172">
        <v>0.21081764527793512</v>
      </c>
      <c r="AG852" s="150"/>
      <c r="AI852" s="137">
        <v>2</v>
      </c>
      <c r="AJ852" s="136" t="s">
        <v>264</v>
      </c>
      <c r="AK852" s="142" t="s">
        <v>336</v>
      </c>
      <c r="AL852" s="5" t="s">
        <v>550</v>
      </c>
      <c r="AM852" s="5" t="s">
        <v>561</v>
      </c>
      <c r="AN852" s="1">
        <v>0.76351350000000007</v>
      </c>
      <c r="AO852" s="166">
        <v>0.43603999999999998</v>
      </c>
      <c r="AQ852" t="str">
        <f>_xlfn.XLOOKUP(tblGWP21[[#This Row],[Material Subcategory]],ls_Mat,Factors!$K$952:$K$1023)</f>
        <v>x</v>
      </c>
      <c r="AR852" s="173">
        <v>0.65</v>
      </c>
      <c r="AS852">
        <v>0.14482945764999999</v>
      </c>
      <c r="AT852" t="s">
        <v>541</v>
      </c>
      <c r="BA852" cm="1">
        <f t="array" ref="BA852:BM852">tblGWP21[#This Row]</f>
        <v>2</v>
      </c>
      <c r="BB852" t="str">
        <v>Furniture/Textiles</v>
      </c>
      <c r="BC852" t="str">
        <v>Furniture</v>
      </c>
      <c r="BD852" t="str">
        <v>Oceania</v>
      </c>
      <c r="BE852" t="str">
        <v>Australia</v>
      </c>
      <c r="BF852">
        <v>-0.76351350000000007</v>
      </c>
      <c r="BG852">
        <v>-0.34968251735000005</v>
      </c>
      <c r="BH852" t="str">
        <v>DELETE</v>
      </c>
      <c r="BI852">
        <v>-1.6485436672468201</v>
      </c>
      <c r="BJ852">
        <v>-2.6245446893481601</v>
      </c>
      <c r="BK852">
        <v>-0.99956618689668975</v>
      </c>
      <c r="BL852">
        <v>-0.72267533514796634</v>
      </c>
      <c r="BM852">
        <v>0.21081764527793512</v>
      </c>
    </row>
    <row r="853" spans="3:65">
      <c r="C853" s="362">
        <v>2</v>
      </c>
      <c r="D853" s="363" t="s">
        <v>247</v>
      </c>
      <c r="E853" s="362" t="s">
        <v>248</v>
      </c>
      <c r="F853" s="362" t="s">
        <v>550</v>
      </c>
      <c r="G853" s="362" t="s">
        <v>561</v>
      </c>
      <c r="H853" s="368">
        <v>-1.0606100000000001</v>
      </c>
      <c r="I853" s="368">
        <v>-0.97753179270000001</v>
      </c>
      <c r="J853" s="368">
        <v>-0.16861809467887115</v>
      </c>
      <c r="K853" s="368">
        <v>0</v>
      </c>
      <c r="L853" s="368">
        <v>0</v>
      </c>
      <c r="M853" s="368">
        <v>2.6022304585445001E-2</v>
      </c>
      <c r="N853" s="368">
        <v>3.4754241337771698E-2</v>
      </c>
      <c r="O853" s="368">
        <v>4.8914143290902802E-2</v>
      </c>
      <c r="T853" s="137">
        <v>2</v>
      </c>
      <c r="U853" s="137" t="s">
        <v>242</v>
      </c>
      <c r="V853" s="136" t="s">
        <v>251</v>
      </c>
      <c r="W853" s="136" t="s">
        <v>550</v>
      </c>
      <c r="X853" s="136" t="s">
        <v>561</v>
      </c>
      <c r="Y853" s="172">
        <f>IFERROR(-tblZwaste1422[[#This Row],[Weight (kgCO2e/kg)]],0)</f>
        <v>-4.9218200000000003</v>
      </c>
      <c r="Z853" s="172">
        <f>IF(AQ853="x",(AR853*-tblZwaste1422[[#This Row],[Weight (kgCO2e/kg)]])+AS853+($AR$10*Lookups!$J$38/1000),"DELETE")</f>
        <v>-3.5665477000000001</v>
      </c>
      <c r="AA853" s="172">
        <v>-1.2190350000000001</v>
      </c>
      <c r="AB853" s="172" t="s">
        <v>567</v>
      </c>
      <c r="AC853" s="172" t="s">
        <v>567</v>
      </c>
      <c r="AD853" s="172">
        <v>2.5924922138697161E-2</v>
      </c>
      <c r="AE853" s="172">
        <v>0.21655920049060215</v>
      </c>
      <c r="AF853" s="172">
        <v>0.8484566344623381</v>
      </c>
      <c r="AG853" s="150"/>
      <c r="AI853" s="137">
        <v>2</v>
      </c>
      <c r="AJ853" s="136" t="s">
        <v>242</v>
      </c>
      <c r="AK853" s="142" t="s">
        <v>251</v>
      </c>
      <c r="AL853" s="5" t="s">
        <v>550</v>
      </c>
      <c r="AM853" s="5" t="s">
        <v>561</v>
      </c>
      <c r="AN853" s="1">
        <v>4.9218200000000003</v>
      </c>
      <c r="AO853" s="166">
        <v>0.15096000000000001</v>
      </c>
      <c r="AQ853" t="str">
        <f>_xlfn.XLOOKUP(tblGWP21[[#This Row],[Material Subcategory]],ls_Mat,Factors!$K$952:$K$1023)</f>
        <v>x</v>
      </c>
      <c r="AR853" s="173">
        <v>0.72499999999999998</v>
      </c>
      <c r="AS853">
        <v>0</v>
      </c>
      <c r="AT853" t="s">
        <v>527</v>
      </c>
      <c r="BA853" cm="1">
        <f t="array" ref="BA853:BM853">tblGWP21[#This Row]</f>
        <v>2</v>
      </c>
      <c r="BB853" t="str">
        <v>Electronics</v>
      </c>
      <c r="BC853" t="str">
        <v>Appliances</v>
      </c>
      <c r="BD853" t="str">
        <v>Oceania</v>
      </c>
      <c r="BE853" t="str">
        <v>Australia</v>
      </c>
      <c r="BF853">
        <v>-4.9218200000000003</v>
      </c>
      <c r="BG853">
        <v>-3.5665477000000001</v>
      </c>
      <c r="BH853">
        <v>-1.2190350000000001</v>
      </c>
      <c r="BI853" t="str">
        <v>DELETE</v>
      </c>
      <c r="BJ853" t="str">
        <v>DELETE</v>
      </c>
      <c r="BK853">
        <v>2.5924922138697161E-2</v>
      </c>
      <c r="BL853">
        <v>0.21655920049060215</v>
      </c>
      <c r="BM853">
        <v>0.8484566344623381</v>
      </c>
    </row>
    <row r="854" spans="3:65">
      <c r="C854" s="364">
        <v>2</v>
      </c>
      <c r="D854" s="365" t="s">
        <v>247</v>
      </c>
      <c r="E854" s="364" t="s">
        <v>263</v>
      </c>
      <c r="F854" s="364" t="s">
        <v>550</v>
      </c>
      <c r="G854" s="364" t="s">
        <v>561</v>
      </c>
      <c r="H854" s="191">
        <v>-1.0341199999999999</v>
      </c>
      <c r="I854" s="191">
        <v>-0.95104179269999989</v>
      </c>
      <c r="J854" s="191">
        <v>-0.16861809467887018</v>
      </c>
      <c r="K854" s="191">
        <v>0</v>
      </c>
      <c r="L854" s="191">
        <v>0</v>
      </c>
      <c r="M854" s="191">
        <v>2.6022308291002001E-2</v>
      </c>
      <c r="N854" s="191">
        <v>3.69958760565346E-2</v>
      </c>
      <c r="O854" s="191">
        <v>4.8914218859041098E-2</v>
      </c>
      <c r="T854" s="139">
        <v>2</v>
      </c>
      <c r="U854" s="139" t="s">
        <v>242</v>
      </c>
      <c r="V854" s="140" t="s">
        <v>543</v>
      </c>
      <c r="W854" s="140" t="s">
        <v>550</v>
      </c>
      <c r="X854" s="140" t="s">
        <v>561</v>
      </c>
      <c r="Y854" s="172">
        <f>IFERROR(-tblZwaste1422[[#This Row],[Weight (kgCO2e/kg)]],0)</f>
        <v>-1.00081</v>
      </c>
      <c r="Z854" s="172">
        <f>IF(AQ854="x",(AR854*-tblZwaste1422[[#This Row],[Weight (kgCO2e/kg)]])+AS854+($AR$10*Lookups!$J$38/1000),"DELETE")</f>
        <v>-0.72381545000000003</v>
      </c>
      <c r="AA854" s="172">
        <v>-0.20626249999999999</v>
      </c>
      <c r="AB854" s="172" t="s">
        <v>567</v>
      </c>
      <c r="AC854" s="172" t="s">
        <v>567</v>
      </c>
      <c r="AD854" s="172">
        <v>2.5860000000000001E-2</v>
      </c>
      <c r="AE854" s="172">
        <v>4.1800809795969597E-2</v>
      </c>
      <c r="AF854" s="172">
        <v>4.8913810169323599E-2</v>
      </c>
      <c r="AG854" s="150"/>
      <c r="AI854" s="137">
        <v>2</v>
      </c>
      <c r="AJ854" s="136" t="s">
        <v>242</v>
      </c>
      <c r="AK854" s="142" t="s">
        <v>543</v>
      </c>
      <c r="AL854" s="5" t="s">
        <v>550</v>
      </c>
      <c r="AM854" s="5" t="s">
        <v>561</v>
      </c>
      <c r="AN854" s="1">
        <v>1.00081</v>
      </c>
      <c r="AO854" s="166">
        <v>0.33138000000000001</v>
      </c>
      <c r="AQ854" t="str">
        <f>_xlfn.XLOOKUP(tblGWP21[[#This Row],[Material Subcategory]],ls_Mat,Factors!$K$952:$K$1023)</f>
        <v>x</v>
      </c>
      <c r="AR854" s="173">
        <v>0.72499999999999998</v>
      </c>
      <c r="AS854">
        <v>0</v>
      </c>
      <c r="AT854" t="s">
        <v>527</v>
      </c>
      <c r="BA854" cm="1">
        <f t="array" ref="BA854:BM854">tblGWP21[#This Row]</f>
        <v>2</v>
      </c>
      <c r="BB854" t="str">
        <v>Electronics</v>
      </c>
      <c r="BC854" t="str">
        <v>Lightbulb/Lamps</v>
      </c>
      <c r="BD854" t="str">
        <v>Oceania</v>
      </c>
      <c r="BE854" t="str">
        <v>Australia</v>
      </c>
      <c r="BF854">
        <v>-1.00081</v>
      </c>
      <c r="BG854">
        <v>-0.72381545000000003</v>
      </c>
      <c r="BH854">
        <v>-0.20626249999999999</v>
      </c>
      <c r="BI854" t="str">
        <v>DELETE</v>
      </c>
      <c r="BJ854" t="str">
        <v>DELETE</v>
      </c>
      <c r="BK854">
        <v>2.5860000000000001E-2</v>
      </c>
      <c r="BL854">
        <v>4.1800809795969597E-2</v>
      </c>
      <c r="BM854">
        <v>4.8913810169323599E-2</v>
      </c>
    </row>
    <row r="855" spans="3:65">
      <c r="C855" s="362">
        <v>2</v>
      </c>
      <c r="D855" s="363" t="s">
        <v>247</v>
      </c>
      <c r="E855" s="362" t="s">
        <v>539</v>
      </c>
      <c r="F855" s="362" t="s">
        <v>550</v>
      </c>
      <c r="G855" s="362" t="s">
        <v>561</v>
      </c>
      <c r="H855" s="368">
        <v>-1.0569599999999999</v>
      </c>
      <c r="I855" s="368">
        <v>-0.97388179269999986</v>
      </c>
      <c r="J855" s="368">
        <v>-0.17394287661610452</v>
      </c>
      <c r="K855" s="368">
        <v>0</v>
      </c>
      <c r="L855" s="368">
        <v>0</v>
      </c>
      <c r="M855" s="368">
        <v>2.60222889299325E-2</v>
      </c>
      <c r="N855" s="368">
        <v>2.4991907646140801E-2</v>
      </c>
      <c r="O855" s="368">
        <v>4.8916601649179797E-2</v>
      </c>
      <c r="T855" s="137">
        <v>2</v>
      </c>
      <c r="U855" s="137" t="s">
        <v>264</v>
      </c>
      <c r="V855" s="136" t="s">
        <v>544</v>
      </c>
      <c r="W855" s="136" t="s">
        <v>550</v>
      </c>
      <c r="X855" s="136" t="s">
        <v>561</v>
      </c>
      <c r="Y855" s="172">
        <f>IFERROR(-tblZwaste1422[[#This Row],[Weight (kgCO2e/kg)]],0)</f>
        <v>-3.0939100000000002</v>
      </c>
      <c r="Z855" s="172">
        <f>IF(AQ855="x",(AR855*-tblZwaste1422[[#This Row],[Weight (kgCO2e/kg)]])+AS855+($AR$10*Lookups!$J$38/1000),"DELETE")</f>
        <v>-1.8644402423500002</v>
      </c>
      <c r="AA855" s="172">
        <v>0.15112249999999994</v>
      </c>
      <c r="AB855" s="172" t="s">
        <v>567</v>
      </c>
      <c r="AC855" s="172" t="s">
        <v>567</v>
      </c>
      <c r="AD855" s="172">
        <v>0.31587097894786598</v>
      </c>
      <c r="AE855" s="172">
        <v>-0.249886023988273</v>
      </c>
      <c r="AF855" s="172">
        <v>0.70929546418647105</v>
      </c>
      <c r="AG855" s="150"/>
      <c r="AI855" s="137">
        <v>2</v>
      </c>
      <c r="AJ855" s="136" t="s">
        <v>264</v>
      </c>
      <c r="AK855" s="142" t="s">
        <v>544</v>
      </c>
      <c r="AL855" s="5" t="s">
        <v>550</v>
      </c>
      <c r="AM855" s="5" t="s">
        <v>561</v>
      </c>
      <c r="AN855" s="1">
        <v>3.0939100000000002</v>
      </c>
      <c r="AO855" s="166">
        <v>0.49807000000000001</v>
      </c>
      <c r="AQ855" t="str">
        <f>_xlfn.XLOOKUP(tblGWP21[[#This Row],[Material Subcategory]],ls_Mat,Factors!$K$952:$K$1023)</f>
        <v>x</v>
      </c>
      <c r="AR855" s="173">
        <v>0.65</v>
      </c>
      <c r="AS855">
        <v>0.14482945764999999</v>
      </c>
      <c r="AT855" t="s">
        <v>541</v>
      </c>
      <c r="BA855" cm="1">
        <f t="array" ref="BA855:BM855">tblGWP21[#This Row]</f>
        <v>2</v>
      </c>
      <c r="BB855" t="str">
        <v>Furniture/Textiles</v>
      </c>
      <c r="BC855" t="str">
        <v>Textiles</v>
      </c>
      <c r="BD855" t="str">
        <v>Oceania</v>
      </c>
      <c r="BE855" t="str">
        <v>Australia</v>
      </c>
      <c r="BF855">
        <v>-3.0939100000000002</v>
      </c>
      <c r="BG855">
        <v>-1.8644402423500002</v>
      </c>
      <c r="BH855">
        <v>0.15112249999999994</v>
      </c>
      <c r="BI855" t="str">
        <v>DELETE</v>
      </c>
      <c r="BJ855" t="str">
        <v>DELETE</v>
      </c>
      <c r="BK855">
        <v>0.31587097894786598</v>
      </c>
      <c r="BL855">
        <v>-0.249886023988273</v>
      </c>
      <c r="BM855">
        <v>0.70929546418647105</v>
      </c>
    </row>
    <row r="856" spans="3:65">
      <c r="C856" s="136">
        <v>2</v>
      </c>
      <c r="D856" s="137" t="s">
        <v>247</v>
      </c>
      <c r="E856" s="136" t="s">
        <v>270</v>
      </c>
      <c r="F856" s="136" t="s">
        <v>550</v>
      </c>
      <c r="G856" s="136" t="s">
        <v>561</v>
      </c>
      <c r="H856" s="191">
        <v>-1.0505633333333335</v>
      </c>
      <c r="I856" s="191">
        <v>-0.96748512603333348</v>
      </c>
      <c r="J856" s="191">
        <v>-0.31559209310355407</v>
      </c>
      <c r="K856" s="191">
        <v>0</v>
      </c>
      <c r="L856" s="191">
        <v>0</v>
      </c>
      <c r="M856" s="191">
        <v>2.6022298605907601E-2</v>
      </c>
      <c r="N856" s="191">
        <v>3.10148231107726E-2</v>
      </c>
      <c r="O856" s="191">
        <v>4.8915326896509501E-2</v>
      </c>
      <c r="T856" s="137">
        <v>2</v>
      </c>
      <c r="U856" s="137" t="s">
        <v>237</v>
      </c>
      <c r="V856" s="136" t="s">
        <v>545</v>
      </c>
      <c r="W856" s="136" t="s">
        <v>550</v>
      </c>
      <c r="X856" s="136" t="s">
        <v>561</v>
      </c>
      <c r="Y856" s="172">
        <f>IFERROR(-tblZwaste1422[[#This Row],[Weight (kgCO2e/kg)]],0)</f>
        <v>-2.8533815875203707</v>
      </c>
      <c r="Z856" s="172" t="str">
        <f>IF(AQ856="x",(AR856*-tblZwaste1422[[#This Row],[Weight (kgCO2e/kg)]])+AS856+($AR$10*Lookups!$J$38/1000),"DELETE")</f>
        <v>DELETE</v>
      </c>
      <c r="AA856" s="176" t="s">
        <v>567</v>
      </c>
      <c r="AB856" s="172" t="s">
        <v>567</v>
      </c>
      <c r="AC856" s="172" t="s">
        <v>567</v>
      </c>
      <c r="AD856" s="172">
        <v>-0.46676852163692306</v>
      </c>
      <c r="AE856" s="172">
        <v>-0.53874884609908802</v>
      </c>
      <c r="AF856" s="172">
        <v>2.7968656135843518E-2</v>
      </c>
      <c r="AG856" s="150"/>
      <c r="AI856" s="137">
        <v>2</v>
      </c>
      <c r="AJ856" s="136" t="s">
        <v>237</v>
      </c>
      <c r="AK856" s="142" t="s">
        <v>545</v>
      </c>
      <c r="AL856" s="5" t="s">
        <v>550</v>
      </c>
      <c r="AM856" s="5" t="s">
        <v>561</v>
      </c>
      <c r="AN856" s="1">
        <v>2.8533815875203707</v>
      </c>
      <c r="AO856" s="166">
        <v>1.0711602172222223</v>
      </c>
      <c r="AQ856">
        <f>_xlfn.XLOOKUP(tblGWP21[[#This Row],[Material Subcategory]],ls_Mat,Factors!$K$952:$K$1023)</f>
        <v>0</v>
      </c>
      <c r="BA856" cm="1">
        <f t="array" ref="BA856:BM856">tblGWP21[#This Row]</f>
        <v>2</v>
      </c>
      <c r="BB856" t="str">
        <v>Mixed/Custom</v>
      </c>
      <c r="BC856" t="str">
        <v>General other</v>
      </c>
      <c r="BD856" t="str">
        <v>Oceania</v>
      </c>
      <c r="BE856" t="str">
        <v>Australia</v>
      </c>
      <c r="BF856">
        <v>-2.8533815875203707</v>
      </c>
      <c r="BG856" t="str">
        <v>DELETE</v>
      </c>
      <c r="BH856" t="str">
        <v>DELETE</v>
      </c>
      <c r="BI856" t="str">
        <v>DELETE</v>
      </c>
      <c r="BJ856" t="str">
        <v>DELETE</v>
      </c>
      <c r="BK856">
        <v>-0.46676852163692306</v>
      </c>
      <c r="BL856">
        <v>-0.53874884609908802</v>
      </c>
      <c r="BM856">
        <v>2.7968656135843518E-2</v>
      </c>
    </row>
    <row r="857" spans="3:65">
      <c r="C857" s="362">
        <v>2</v>
      </c>
      <c r="D857" s="363" t="s">
        <v>247</v>
      </c>
      <c r="E857" s="362" t="s">
        <v>540</v>
      </c>
      <c r="F857" s="362" t="s">
        <v>550</v>
      </c>
      <c r="G857" s="362" t="s">
        <v>561</v>
      </c>
      <c r="H857" s="368">
        <v>-1.0473650000000001</v>
      </c>
      <c r="I857" s="368">
        <v>-0.96428679270000006</v>
      </c>
      <c r="J857" s="368">
        <v>0</v>
      </c>
      <c r="K857" s="368">
        <v>0</v>
      </c>
      <c r="L857" s="368">
        <v>0</v>
      </c>
      <c r="M857" s="368">
        <v>2.60222821570886E-2</v>
      </c>
      <c r="N857" s="368">
        <v>2.7233022209676799E-2</v>
      </c>
      <c r="O857" s="368">
        <v>4.8916157062091001E-2</v>
      </c>
      <c r="T857" s="137">
        <v>3</v>
      </c>
      <c r="U857" s="137" t="s">
        <v>233</v>
      </c>
      <c r="V857" s="136" t="s">
        <v>233</v>
      </c>
      <c r="W857" s="136" t="s">
        <v>552</v>
      </c>
      <c r="X857" s="136" t="s">
        <v>555</v>
      </c>
      <c r="Y857" s="172">
        <f>IFERROR(-tblZwaste1422[[#This Row],[Weight (kgCO2e/kg)]],0)</f>
        <v>0</v>
      </c>
      <c r="Z857" s="172">
        <f>AVERAGE(Z861:Z863)</f>
        <v>-0.13905086666666666</v>
      </c>
      <c r="AA857" s="176" t="s">
        <v>567</v>
      </c>
      <c r="AB857" s="172">
        <v>-1.4453602071486411</v>
      </c>
      <c r="AC857" s="172">
        <v>-2.0555285758021533</v>
      </c>
      <c r="AD857" s="172">
        <v>-1.0059572388755897</v>
      </c>
      <c r="AE857" s="172">
        <v>-0.9533595849861678</v>
      </c>
      <c r="AF857" s="172">
        <v>3.3143201616163631E-2</v>
      </c>
      <c r="AG857" s="150"/>
      <c r="AI857" s="137">
        <v>3</v>
      </c>
      <c r="AJ857" s="136"/>
      <c r="AK857" s="142"/>
      <c r="AL857" s="5" t="s">
        <v>552</v>
      </c>
      <c r="AM857" s="5" t="s">
        <v>555</v>
      </c>
      <c r="AN857" s="1" t="s">
        <v>525</v>
      </c>
      <c r="AO857" s="166" t="s">
        <v>525</v>
      </c>
      <c r="AQ857" t="e">
        <f>_xlfn.XLOOKUP(tblGWP21[[#This Row],[Material Subcategory]],ls_Mat,Factors!$K$952:$K$1023)</f>
        <v>#N/A</v>
      </c>
      <c r="AR857" s="173">
        <v>0.77500000000000002</v>
      </c>
      <c r="AS857">
        <v>0</v>
      </c>
      <c r="AT857" t="s">
        <v>527</v>
      </c>
      <c r="BA857" cm="1">
        <f t="array" ref="BA857:BM857">tblGWP21[#This Row]</f>
        <v>3</v>
      </c>
      <c r="BB857" t="str">
        <v>Wood/Yard Trimmings</v>
      </c>
      <c r="BC857" t="str">
        <v>Wood/Yard Trimmings</v>
      </c>
      <c r="BD857" t="str">
        <v>South America</v>
      </c>
      <c r="BE857" t="str">
        <v>Brazil</v>
      </c>
      <c r="BF857">
        <v>0</v>
      </c>
      <c r="BG857">
        <v>-0.13905086666666666</v>
      </c>
      <c r="BH857" t="str">
        <v>DELETE</v>
      </c>
      <c r="BI857">
        <v>-1.4453602071486411</v>
      </c>
      <c r="BJ857">
        <v>-2.0555285758021533</v>
      </c>
      <c r="BK857">
        <v>-1.0059572388755897</v>
      </c>
      <c r="BL857">
        <v>-0.9533595849861678</v>
      </c>
      <c r="BM857">
        <v>3.3143201616163631E-2</v>
      </c>
    </row>
    <row r="858" spans="3:65" ht="28.8">
      <c r="C858" s="136">
        <v>2</v>
      </c>
      <c r="D858" s="137" t="s">
        <v>261</v>
      </c>
      <c r="E858" s="136" t="s">
        <v>260</v>
      </c>
      <c r="F858" s="136" t="s">
        <v>550</v>
      </c>
      <c r="G858" s="136" t="s">
        <v>561</v>
      </c>
      <c r="H858" s="191">
        <v>-4.0364225925925927</v>
      </c>
      <c r="I858" s="191">
        <v>0</v>
      </c>
      <c r="J858" s="191">
        <v>0</v>
      </c>
      <c r="K858" s="191">
        <v>-0.50421803395133402</v>
      </c>
      <c r="L858" s="191">
        <v>-0.86540544060248603</v>
      </c>
      <c r="M858" s="191">
        <v>-0.17470400001792399</v>
      </c>
      <c r="N858" s="191">
        <v>-0.23975545799391401</v>
      </c>
      <c r="O858" s="191">
        <v>2.7529569440036799E-2</v>
      </c>
      <c r="T858" s="137">
        <v>3</v>
      </c>
      <c r="U858" s="137" t="s">
        <v>233</v>
      </c>
      <c r="V858" s="136" t="s">
        <v>250</v>
      </c>
      <c r="W858" s="136" t="s">
        <v>552</v>
      </c>
      <c r="X858" s="136" t="s">
        <v>555</v>
      </c>
      <c r="Y858" s="172">
        <f>IFERROR(-tblZwaste1422[[#This Row],[Weight (kgCO2e/kg)]],0)</f>
        <v>0</v>
      </c>
      <c r="Z858" s="172" t="str">
        <f>IF(AQ858="x",(AR858*-tblZwaste1422[[#This Row],[Weight (kgCO2e/kg)]])+AS858+($AR$10*Lookups!$J$38/1000),"DELETE")</f>
        <v>DELETE</v>
      </c>
      <c r="AA858" s="176" t="s">
        <v>567</v>
      </c>
      <c r="AB858" s="172">
        <v>-1.7440020321218299</v>
      </c>
      <c r="AC858" s="172">
        <v>-2.1550741473042199</v>
      </c>
      <c r="AD858" s="172">
        <v>-1.02568241234737</v>
      </c>
      <c r="AE858" s="172">
        <v>-1.02076905583887</v>
      </c>
      <c r="AF858" s="172">
        <v>2.8433780314571899E-2</v>
      </c>
      <c r="AG858" s="150"/>
      <c r="AI858" s="137">
        <v>3</v>
      </c>
      <c r="AJ858" s="136"/>
      <c r="AK858" s="142"/>
      <c r="AL858" s="5" t="s">
        <v>552</v>
      </c>
      <c r="AM858" s="5" t="s">
        <v>555</v>
      </c>
      <c r="AN858" s="1" t="s">
        <v>525</v>
      </c>
      <c r="AO858" s="166" t="s">
        <v>525</v>
      </c>
      <c r="AQ858">
        <f>_xlfn.XLOOKUP(tblGWP21[[#This Row],[Material Subcategory]],ls_Mat,Factors!$K$952:$K$1023)</f>
        <v>0</v>
      </c>
      <c r="BA858" cm="1">
        <f t="array" ref="BA858:BM858">tblGWP21[#This Row]</f>
        <v>3</v>
      </c>
      <c r="BB858" t="str">
        <v>Wood/Yard Trimmings</v>
      </c>
      <c r="BC858" t="str">
        <v>Yard Trimmings – Leaves</v>
      </c>
      <c r="BD858" t="str">
        <v>South America</v>
      </c>
      <c r="BE858" t="str">
        <v>Brazil</v>
      </c>
      <c r="BF858">
        <v>0</v>
      </c>
      <c r="BG858" t="str">
        <v>DELETE</v>
      </c>
      <c r="BH858" t="str">
        <v>DELETE</v>
      </c>
      <c r="BI858">
        <v>-1.7440020321218299</v>
      </c>
      <c r="BJ858">
        <v>-2.1550741473042199</v>
      </c>
      <c r="BK858">
        <v>-1.02568241234737</v>
      </c>
      <c r="BL858">
        <v>-1.02076905583887</v>
      </c>
      <c r="BM858">
        <v>2.8433780314571899E-2</v>
      </c>
    </row>
    <row r="859" spans="3:65" ht="28.8">
      <c r="C859" s="362">
        <v>2</v>
      </c>
      <c r="D859" s="363" t="s">
        <v>10157</v>
      </c>
      <c r="E859" s="362" t="s">
        <v>237</v>
      </c>
      <c r="F859" s="362" t="s">
        <v>550</v>
      </c>
      <c r="G859" s="362" t="s">
        <v>561</v>
      </c>
      <c r="H859" s="368">
        <v>-2.8533815875203707</v>
      </c>
      <c r="I859" s="368">
        <v>-1.4249189937601854</v>
      </c>
      <c r="J859" s="368">
        <v>0</v>
      </c>
      <c r="K859" s="368">
        <v>0</v>
      </c>
      <c r="L859" s="368">
        <v>0</v>
      </c>
      <c r="M859" s="368">
        <v>-0.46676852163692306</v>
      </c>
      <c r="N859" s="368">
        <v>-0.53874884609908802</v>
      </c>
      <c r="O859" s="368">
        <v>2.7968656135843518E-2</v>
      </c>
      <c r="T859" s="137">
        <v>3</v>
      </c>
      <c r="U859" s="137" t="s">
        <v>233</v>
      </c>
      <c r="V859" s="136" t="s">
        <v>249</v>
      </c>
      <c r="W859" s="136" t="s">
        <v>552</v>
      </c>
      <c r="X859" s="136" t="s">
        <v>555</v>
      </c>
      <c r="Y859" s="172">
        <f>IFERROR(-tblZwaste1422[[#This Row],[Weight (kgCO2e/kg)]],0)</f>
        <v>0</v>
      </c>
      <c r="Z859" s="172" t="str">
        <f>IF(AQ859="x",(AR859*-tblZwaste1422[[#This Row],[Weight (kgCO2e/kg)]])+AS859+($AR$10*Lookups!$J$38/1000),"DELETE")</f>
        <v>DELETE</v>
      </c>
      <c r="AA859" s="176" t="s">
        <v>567</v>
      </c>
      <c r="AB859" s="172">
        <v>-0.54312947672349599</v>
      </c>
      <c r="AC859" s="172">
        <v>-0.75458879575177795</v>
      </c>
      <c r="AD859" s="172">
        <v>5.21256992475796E-2</v>
      </c>
      <c r="AE859" s="172">
        <v>-0.21791388891459801</v>
      </c>
      <c r="AF859" s="172">
        <v>2.5754674050476802E-2</v>
      </c>
      <c r="AG859" s="150"/>
      <c r="AI859" s="137">
        <v>3</v>
      </c>
      <c r="AJ859" s="136"/>
      <c r="AK859" s="142"/>
      <c r="AL859" s="5" t="s">
        <v>552</v>
      </c>
      <c r="AM859" s="5" t="s">
        <v>555</v>
      </c>
      <c r="AN859" s="1" t="s">
        <v>525</v>
      </c>
      <c r="AO859" s="166" t="s">
        <v>525</v>
      </c>
      <c r="AQ859">
        <f>_xlfn.XLOOKUP(tblGWP21[[#This Row],[Material Subcategory]],ls_Mat,Factors!$K$952:$K$1023)</f>
        <v>0</v>
      </c>
      <c r="BA859" cm="1">
        <f t="array" ref="BA859:BM859">tblGWP21[#This Row]</f>
        <v>3</v>
      </c>
      <c r="BB859" t="str">
        <v>Wood/Yard Trimmings</v>
      </c>
      <c r="BC859" t="str">
        <v>Yard Trimmings – Grass</v>
      </c>
      <c r="BD859" t="str">
        <v>South America</v>
      </c>
      <c r="BE859" t="str">
        <v>Brazil</v>
      </c>
      <c r="BF859">
        <v>0</v>
      </c>
      <c r="BG859" t="str">
        <v>DELETE</v>
      </c>
      <c r="BH859" t="str">
        <v>DELETE</v>
      </c>
      <c r="BI859">
        <v>-0.54312947672349599</v>
      </c>
      <c r="BJ859">
        <v>-0.75458879575177795</v>
      </c>
      <c r="BK859">
        <v>5.21256992475796E-2</v>
      </c>
      <c r="BL859">
        <v>-0.21791388891459801</v>
      </c>
      <c r="BM859">
        <v>2.5754674050476802E-2</v>
      </c>
    </row>
    <row r="860" spans="3:65" ht="28.8">
      <c r="C860" s="136">
        <v>2</v>
      </c>
      <c r="D860" s="137" t="s">
        <v>10157</v>
      </c>
      <c r="E860" s="136" t="s">
        <v>246</v>
      </c>
      <c r="F860" s="136" t="s">
        <v>550</v>
      </c>
      <c r="G860" s="136" t="s">
        <v>561</v>
      </c>
      <c r="H860" s="191">
        <v>-7.3412433500000009</v>
      </c>
      <c r="I860" s="191">
        <v>0</v>
      </c>
      <c r="J860" s="191">
        <v>0</v>
      </c>
      <c r="K860" s="191">
        <v>0</v>
      </c>
      <c r="L860" s="191">
        <v>0</v>
      </c>
      <c r="M860" s="191">
        <v>2.6022332869927601E-2</v>
      </c>
      <c r="N860" s="191">
        <v>4.180080979597E-2</v>
      </c>
      <c r="O860" s="191">
        <v>4.8913810169324903E-2</v>
      </c>
      <c r="T860" s="137">
        <v>3</v>
      </c>
      <c r="U860" s="137" t="s">
        <v>233</v>
      </c>
      <c r="V860" s="136" t="s">
        <v>273</v>
      </c>
      <c r="W860" s="136" t="s">
        <v>552</v>
      </c>
      <c r="X860" s="136" t="s">
        <v>555</v>
      </c>
      <c r="Y860" s="172">
        <f>IFERROR(-tblZwaste1422[[#This Row],[Weight (kgCO2e/kg)]],0)</f>
        <v>0</v>
      </c>
      <c r="Z860" s="172" t="str">
        <f>IF(AQ860="x",(AR860*-tblZwaste1422[[#This Row],[Weight (kgCO2e/kg)]])+AS860+($AR$10*Lookups!$J$38/1000),"DELETE")</f>
        <v>DELETE</v>
      </c>
      <c r="AA860" s="176" t="s">
        <v>567</v>
      </c>
      <c r="AB860" s="172">
        <v>-1.64655650896596</v>
      </c>
      <c r="AC860" s="172">
        <v>-2.1007068372542301</v>
      </c>
      <c r="AD860" s="172">
        <v>-0.81021857242915696</v>
      </c>
      <c r="AE860" s="172">
        <v>-0.99139616916911</v>
      </c>
      <c r="AF860" s="172">
        <v>2.7209269723740701E-2</v>
      </c>
      <c r="AG860" s="150"/>
      <c r="AI860" s="137">
        <v>3</v>
      </c>
      <c r="AJ860" s="136"/>
      <c r="AK860" s="142"/>
      <c r="AL860" s="5" t="s">
        <v>552</v>
      </c>
      <c r="AM860" s="5" t="s">
        <v>555</v>
      </c>
      <c r="AN860" s="1" t="s">
        <v>525</v>
      </c>
      <c r="AO860" s="166" t="s">
        <v>525</v>
      </c>
      <c r="AQ860">
        <f>_xlfn.XLOOKUP(tblGWP21[[#This Row],[Material Subcategory]],ls_Mat,Factors!$K$952:$K$1023)</f>
        <v>0</v>
      </c>
      <c r="AR860" s="173"/>
      <c r="BA860" cm="1">
        <f t="array" ref="BA860:BM860">tblGWP21[#This Row]</f>
        <v>3</v>
      </c>
      <c r="BB860" t="str">
        <v>Wood/Yard Trimmings</v>
      </c>
      <c r="BC860" t="str">
        <v>Yard Trimming – Branches</v>
      </c>
      <c r="BD860" t="str">
        <v>South America</v>
      </c>
      <c r="BE860" t="str">
        <v>Brazil</v>
      </c>
      <c r="BF860">
        <v>0</v>
      </c>
      <c r="BG860" t="str">
        <v>DELETE</v>
      </c>
      <c r="BH860" t="str">
        <v>DELETE</v>
      </c>
      <c r="BI860">
        <v>-1.64655650896596</v>
      </c>
      <c r="BJ860">
        <v>-2.1007068372542301</v>
      </c>
      <c r="BK860">
        <v>-0.81021857242915696</v>
      </c>
      <c r="BL860">
        <v>-0.99139616916911</v>
      </c>
      <c r="BM860">
        <v>2.7209269723740701E-2</v>
      </c>
    </row>
    <row r="861" spans="3:65">
      <c r="C861" s="362">
        <v>2</v>
      </c>
      <c r="D861" s="363" t="s">
        <v>10157</v>
      </c>
      <c r="E861" s="362" t="s">
        <v>243</v>
      </c>
      <c r="F861" s="362" t="s">
        <v>550</v>
      </c>
      <c r="G861" s="362" t="s">
        <v>561</v>
      </c>
      <c r="H861" s="368">
        <v>-2.8533815875203707</v>
      </c>
      <c r="I861" s="368">
        <v>0</v>
      </c>
      <c r="J861" s="368">
        <v>0</v>
      </c>
      <c r="K861" s="368">
        <v>-1.0338589694293789</v>
      </c>
      <c r="L861" s="368">
        <v>-1.5970889569085887</v>
      </c>
      <c r="M861" s="368">
        <v>-0.46676852163692306</v>
      </c>
      <c r="N861" s="368">
        <v>-0.53874884609908802</v>
      </c>
      <c r="O861" s="368">
        <v>2.7968656135843518E-2</v>
      </c>
      <c r="T861" s="137">
        <v>3</v>
      </c>
      <c r="U861" s="137" t="s">
        <v>233</v>
      </c>
      <c r="V861" s="136" t="s">
        <v>330</v>
      </c>
      <c r="W861" s="136" t="s">
        <v>552</v>
      </c>
      <c r="X861" s="136" t="s">
        <v>555</v>
      </c>
      <c r="Y861" s="172">
        <f>IFERROR(-tblZwaste1422[[#This Row],[Weight (kgCO2e/kg)]],0)</f>
        <v>-0.14119999999999999</v>
      </c>
      <c r="Z861" s="172">
        <f>IF(AQ861="x",(AR861*-tblZwaste1422[[#This Row],[Weight (kgCO2e/kg)]])+AS861+($AR$10*Lookups!$J$38/1000),"DELETE")</f>
        <v>-0.1076582</v>
      </c>
      <c r="AA861" s="176" t="s">
        <v>567</v>
      </c>
      <c r="AB861" s="172" t="s">
        <v>567</v>
      </c>
      <c r="AC861" s="172" t="s">
        <v>567</v>
      </c>
      <c r="AD861" s="172">
        <v>-1.4815773000277099</v>
      </c>
      <c r="AE861" s="172">
        <v>-1.15568226342465</v>
      </c>
      <c r="AF861" s="172">
        <v>5.3038049624167E-2</v>
      </c>
      <c r="AG861" s="150"/>
      <c r="AI861" s="137">
        <v>3</v>
      </c>
      <c r="AJ861" s="136" t="s">
        <v>330</v>
      </c>
      <c r="AK861" s="142" t="s">
        <v>330</v>
      </c>
      <c r="AL861" s="5" t="s">
        <v>552</v>
      </c>
      <c r="AM861" s="5" t="s">
        <v>555</v>
      </c>
      <c r="AN861" s="1">
        <v>0.14119999999999999</v>
      </c>
      <c r="AO861" s="166">
        <v>0.43014000000000002</v>
      </c>
      <c r="AQ861" t="str">
        <f>_xlfn.XLOOKUP(tblGWP21[[#This Row],[Material Subcategory]],ls_Mat,Factors!$K$952:$K$1023)</f>
        <v>x</v>
      </c>
      <c r="AR861" s="173">
        <v>0.77500000000000002</v>
      </c>
      <c r="AS861">
        <v>0</v>
      </c>
      <c r="AT861" t="s">
        <v>527</v>
      </c>
      <c r="BA861" cm="1">
        <f t="array" ref="BA861:BM861">tblGWP21[#This Row]</f>
        <v>3</v>
      </c>
      <c r="BB861" t="str">
        <v>Wood/Yard Trimmings</v>
      </c>
      <c r="BC861" t="str">
        <v>Wood</v>
      </c>
      <c r="BD861" t="str">
        <v>South America</v>
      </c>
      <c r="BE861" t="str">
        <v>Brazil</v>
      </c>
      <c r="BF861">
        <v>-0.14119999999999999</v>
      </c>
      <c r="BG861">
        <v>-0.1076582</v>
      </c>
      <c r="BH861" t="str">
        <v>DELETE</v>
      </c>
      <c r="BI861" t="str">
        <v>DELETE</v>
      </c>
      <c r="BJ861" t="str">
        <v>DELETE</v>
      </c>
      <c r="BK861">
        <v>-1.4815773000277099</v>
      </c>
      <c r="BL861">
        <v>-1.15568226342465</v>
      </c>
      <c r="BM861">
        <v>5.3038049624167E-2</v>
      </c>
    </row>
    <row r="862" spans="3:65">
      <c r="C862" s="136">
        <v>2</v>
      </c>
      <c r="D862" s="137" t="s">
        <v>252</v>
      </c>
      <c r="E862" s="136" t="s">
        <v>333</v>
      </c>
      <c r="F862" s="136" t="s">
        <v>550</v>
      </c>
      <c r="G862" s="136" t="s">
        <v>561</v>
      </c>
      <c r="H862" s="191">
        <v>-2.0953266666666663</v>
      </c>
      <c r="I862" s="191">
        <v>0</v>
      </c>
      <c r="J862" s="191">
        <v>-4.4031027052446881</v>
      </c>
      <c r="K862" s="191">
        <v>0</v>
      </c>
      <c r="L862" s="191">
        <v>0</v>
      </c>
      <c r="M862" s="191">
        <v>2.6022305346742901E-2</v>
      </c>
      <c r="N862" s="191">
        <v>0.62743418122049499</v>
      </c>
      <c r="O862" s="191">
        <v>2.1870245647238802</v>
      </c>
      <c r="T862" s="137">
        <v>3</v>
      </c>
      <c r="U862" s="137" t="s">
        <v>233</v>
      </c>
      <c r="V862" s="136" t="s">
        <v>335</v>
      </c>
      <c r="W862" s="136" t="s">
        <v>552</v>
      </c>
      <c r="X862" s="136" t="s">
        <v>555</v>
      </c>
      <c r="Y862" s="172">
        <f>IFERROR(-tblZwaste1422[[#This Row],[Weight (kgCO2e/kg)]],0)</f>
        <v>-0.26272000000000001</v>
      </c>
      <c r="Z862" s="172">
        <f>IF(AQ862="x",(AR862*-tblZwaste1422[[#This Row],[Weight (kgCO2e/kg)]])+AS862+($AR$10*Lookups!$J$38/1000),"DELETE")</f>
        <v>-0.20183620000000002</v>
      </c>
      <c r="AA862" s="176" t="s">
        <v>567</v>
      </c>
      <c r="AB862" s="172">
        <v>-1.64655650896596</v>
      </c>
      <c r="AC862" s="172">
        <v>-2.6336365493502698</v>
      </c>
      <c r="AD862" s="172">
        <v>-1.3851954238484401</v>
      </c>
      <c r="AE862" s="172">
        <v>-1.16719806628489</v>
      </c>
      <c r="AF862" s="172">
        <v>3.2211717992012702E-2</v>
      </c>
      <c r="AG862" s="150"/>
      <c r="AI862" s="137">
        <v>3</v>
      </c>
      <c r="AJ862" s="136" t="s">
        <v>330</v>
      </c>
      <c r="AK862" s="142" t="s">
        <v>335</v>
      </c>
      <c r="AL862" s="5" t="s">
        <v>552</v>
      </c>
      <c r="AM862" s="5" t="s">
        <v>555</v>
      </c>
      <c r="AN862" s="1">
        <v>0.26272000000000001</v>
      </c>
      <c r="AO862" s="166">
        <v>0.43014000000000002</v>
      </c>
      <c r="AQ862" t="str">
        <f>_xlfn.XLOOKUP(tblGWP21[[#This Row],[Material Subcategory]],ls_Mat,Factors!$K$952:$K$1023)</f>
        <v>x</v>
      </c>
      <c r="AR862" s="173">
        <v>0.77500000000000002</v>
      </c>
      <c r="AS862">
        <v>0</v>
      </c>
      <c r="AT862" t="s">
        <v>527</v>
      </c>
      <c r="BA862" cm="1">
        <f t="array" ref="BA862:BM862">tblGWP21[#This Row]</f>
        <v>3</v>
      </c>
      <c r="BB862" t="str">
        <v>Wood/Yard Trimmings</v>
      </c>
      <c r="BC862" t="str">
        <v>Pallets</v>
      </c>
      <c r="BD862" t="str">
        <v>South America</v>
      </c>
      <c r="BE862" t="str">
        <v>Brazil</v>
      </c>
      <c r="BF862">
        <v>-0.26272000000000001</v>
      </c>
      <c r="BG862">
        <v>-0.20183620000000002</v>
      </c>
      <c r="BH862" t="str">
        <v>DELETE</v>
      </c>
      <c r="BI862">
        <v>-1.64655650896596</v>
      </c>
      <c r="BJ862">
        <v>-2.6336365493502698</v>
      </c>
      <c r="BK862">
        <v>-1.3851954238484401</v>
      </c>
      <c r="BL862">
        <v>-1.16719806628489</v>
      </c>
      <c r="BM862">
        <v>3.2211717992012702E-2</v>
      </c>
    </row>
    <row r="863" spans="3:65">
      <c r="C863" s="362">
        <v>2</v>
      </c>
      <c r="D863" s="363" t="s">
        <v>239</v>
      </c>
      <c r="E863" s="362" t="s">
        <v>542</v>
      </c>
      <c r="F863" s="362" t="s">
        <v>550</v>
      </c>
      <c r="G863" s="362" t="s">
        <v>561</v>
      </c>
      <c r="H863" s="368">
        <v>-2.6644477777777777</v>
      </c>
      <c r="I863" s="368">
        <v>0</v>
      </c>
      <c r="J863" s="368">
        <v>-0.82622090524955993</v>
      </c>
      <c r="K863" s="368">
        <v>-1.6415582940675599</v>
      </c>
      <c r="L863" s="368">
        <v>-2.38875601138436</v>
      </c>
      <c r="M863" s="368">
        <v>-0.64660766527578795</v>
      </c>
      <c r="N863" s="368">
        <v>-0.84015304589553597</v>
      </c>
      <c r="O863" s="368">
        <v>2.7471597181405401E-2</v>
      </c>
      <c r="T863" s="137">
        <v>3</v>
      </c>
      <c r="U863" s="137" t="s">
        <v>233</v>
      </c>
      <c r="V863" s="136" t="s">
        <v>326</v>
      </c>
      <c r="W863" s="136" t="s">
        <v>552</v>
      </c>
      <c r="X863" s="136" t="s">
        <v>555</v>
      </c>
      <c r="Y863" s="172">
        <f>IFERROR(-tblZwaste1422[[#This Row],[Weight (kgCO2e/kg)]],0)</f>
        <v>-0.14119999999999999</v>
      </c>
      <c r="Z863" s="172">
        <f>IF(AQ863="x",(AR863*-tblZwaste1422[[#This Row],[Weight (kgCO2e/kg)]])+AS863+($AR$10*Lookups!$J$38/1000),"DELETE")</f>
        <v>-0.1076582</v>
      </c>
      <c r="AA863" s="176" t="s">
        <v>567</v>
      </c>
      <c r="AB863" s="172">
        <v>-1.64655650896596</v>
      </c>
      <c r="AC863" s="172">
        <v>-2.6336365493502698</v>
      </c>
      <c r="AD863" s="172">
        <v>-1.3851954238484401</v>
      </c>
      <c r="AE863" s="172">
        <v>-1.16719806628489</v>
      </c>
      <c r="AF863" s="172">
        <v>3.2211717992012702E-2</v>
      </c>
      <c r="AG863" s="150"/>
      <c r="AI863" s="137">
        <v>3</v>
      </c>
      <c r="AJ863" s="136" t="s">
        <v>330</v>
      </c>
      <c r="AK863" s="142" t="s">
        <v>326</v>
      </c>
      <c r="AL863" s="5" t="s">
        <v>552</v>
      </c>
      <c r="AM863" s="5" t="s">
        <v>555</v>
      </c>
      <c r="AN863" s="1">
        <v>0.14119999999999999</v>
      </c>
      <c r="AO863" s="166">
        <v>0.43014000000000002</v>
      </c>
      <c r="AQ863" t="str">
        <f>_xlfn.XLOOKUP(tblGWP21[[#This Row],[Material Subcategory]],ls_Mat,Factors!$K$952:$K$1023)</f>
        <v>x</v>
      </c>
      <c r="AR863" s="173">
        <v>0.77500000000000002</v>
      </c>
      <c r="AS863">
        <v>0</v>
      </c>
      <c r="AT863" t="s">
        <v>527</v>
      </c>
      <c r="BA863" cm="1">
        <f t="array" ref="BA863:BM863">tblGWP21[#This Row]</f>
        <v>3</v>
      </c>
      <c r="BB863" t="str">
        <v>Wood/Yard Trimmings</v>
      </c>
      <c r="BC863" t="str">
        <v>Other Wood</v>
      </c>
      <c r="BD863" t="str">
        <v>South America</v>
      </c>
      <c r="BE863" t="str">
        <v>Brazil</v>
      </c>
      <c r="BF863">
        <v>-0.14119999999999999</v>
      </c>
      <c r="BG863">
        <v>-0.1076582</v>
      </c>
      <c r="BH863" t="str">
        <v>DELETE</v>
      </c>
      <c r="BI863">
        <v>-1.64655650896596</v>
      </c>
      <c r="BJ863">
        <v>-2.6336365493502698</v>
      </c>
      <c r="BK863">
        <v>-1.3851954238484401</v>
      </c>
      <c r="BL863">
        <v>-1.16719806628489</v>
      </c>
      <c r="BM863">
        <v>3.2211717992012702E-2</v>
      </c>
    </row>
    <row r="864" spans="3:65">
      <c r="C864" s="136">
        <v>2</v>
      </c>
      <c r="D864" s="137" t="s">
        <v>10157</v>
      </c>
      <c r="E864" s="136" t="s">
        <v>238</v>
      </c>
      <c r="F864" s="136" t="s">
        <v>550</v>
      </c>
      <c r="G864" s="136" t="s">
        <v>561</v>
      </c>
      <c r="H864" s="191">
        <v>-2.7046544444444445</v>
      </c>
      <c r="I864" s="191">
        <v>0</v>
      </c>
      <c r="J864" s="191">
        <v>0</v>
      </c>
      <c r="K864" s="191">
        <v>0</v>
      </c>
      <c r="L864" s="191">
        <v>0</v>
      </c>
      <c r="M864" s="191">
        <v>-0.14217576533078435</v>
      </c>
      <c r="N864" s="191">
        <v>-7.2160156614060708E-2</v>
      </c>
      <c r="O864" s="191">
        <v>0.54326790128727453</v>
      </c>
      <c r="T864" s="137">
        <v>3</v>
      </c>
      <c r="U864" s="137" t="s">
        <v>261</v>
      </c>
      <c r="V864" s="136" t="s">
        <v>261</v>
      </c>
      <c r="W864" s="136" t="s">
        <v>552</v>
      </c>
      <c r="X864" s="136" t="s">
        <v>555</v>
      </c>
      <c r="Y864" s="172">
        <f>IFERROR(-tblZwaste1422[[#This Row],[Weight (kgCO2e/kg)]],0)</f>
        <v>-4.72241</v>
      </c>
      <c r="Z864" s="172" t="e">
        <f>IF(AQ864="x",(AR864*-tblZwaste1422[[#This Row],[Weight (kgCO2e/kg)]])+AS864+($AR$10*Lookups!$J$38/1000),"DELETE")</f>
        <v>#N/A</v>
      </c>
      <c r="AA864" s="176" t="s">
        <v>567</v>
      </c>
      <c r="AB864" s="172">
        <v>-0.36323464441652753</v>
      </c>
      <c r="AC864" s="172">
        <v>-0.61693958948757244</v>
      </c>
      <c r="AD864" s="172">
        <v>0.15696519926646002</v>
      </c>
      <c r="AE864" s="172">
        <v>-0.2011684659576255</v>
      </c>
      <c r="AF864" s="172">
        <v>2.5407885046950601E-2</v>
      </c>
      <c r="AG864" s="150"/>
      <c r="AI864" s="137">
        <v>3</v>
      </c>
      <c r="AJ864" s="136" t="s">
        <v>529</v>
      </c>
      <c r="AK864" s="142" t="s">
        <v>529</v>
      </c>
      <c r="AL864" s="5" t="s">
        <v>552</v>
      </c>
      <c r="AM864" s="5" t="s">
        <v>555</v>
      </c>
      <c r="AN864" s="1">
        <v>4.72241</v>
      </c>
      <c r="AO864" s="166">
        <v>1.758</v>
      </c>
      <c r="AQ864" t="e">
        <f>_xlfn.XLOOKUP(tblGWP21[[#This Row],[Material Subcategory]],ls_Mat,Factors!$K$952:$K$1023)</f>
        <v>#N/A</v>
      </c>
      <c r="AR864" s="347">
        <v>0.5</v>
      </c>
      <c r="AS864">
        <v>0</v>
      </c>
      <c r="AT864" t="s">
        <v>528</v>
      </c>
      <c r="BA864" cm="1">
        <f t="array" ref="BA864:BM864">tblGWP21[#This Row]</f>
        <v>3</v>
      </c>
      <c r="BB864" t="str">
        <v>Food Waste</v>
      </c>
      <c r="BC864" t="str">
        <v>Food Waste</v>
      </c>
      <c r="BD864" t="str">
        <v>South America</v>
      </c>
      <c r="BE864" t="str">
        <v>Brazil</v>
      </c>
      <c r="BF864">
        <v>-4.72241</v>
      </c>
      <c r="BG864" t="e">
        <v>#N/A</v>
      </c>
      <c r="BH864" t="str">
        <v>DELETE</v>
      </c>
      <c r="BI864">
        <v>-0.36323464441652753</v>
      </c>
      <c r="BJ864">
        <v>-0.61693958948757244</v>
      </c>
      <c r="BK864">
        <v>0.15696519926646002</v>
      </c>
      <c r="BL864">
        <v>-0.2011684659576255</v>
      </c>
      <c r="BM864">
        <v>2.5407885046950601E-2</v>
      </c>
    </row>
    <row r="865" spans="3:65" ht="28.8">
      <c r="C865" s="362">
        <v>2</v>
      </c>
      <c r="D865" s="363" t="s">
        <v>264</v>
      </c>
      <c r="E865" s="362" t="s">
        <v>264</v>
      </c>
      <c r="F865" s="362" t="s">
        <v>550</v>
      </c>
      <c r="G865" s="362" t="s">
        <v>561</v>
      </c>
      <c r="H865" s="368">
        <v>-1.9287117500000002</v>
      </c>
      <c r="I865" s="368">
        <v>-1.1070613798500002</v>
      </c>
      <c r="J865" s="368">
        <v>0.15112249999999994</v>
      </c>
      <c r="K865" s="368">
        <v>0</v>
      </c>
      <c r="L865" s="368">
        <v>0</v>
      </c>
      <c r="M865" s="368">
        <v>-0.34184760397441188</v>
      </c>
      <c r="N865" s="368">
        <v>-0.48628067956811966</v>
      </c>
      <c r="O865" s="368">
        <v>0.46005655473220308</v>
      </c>
      <c r="T865" s="137">
        <v>3</v>
      </c>
      <c r="U865" s="137" t="s">
        <v>261</v>
      </c>
      <c r="V865" s="136" t="s">
        <v>269</v>
      </c>
      <c r="W865" s="136" t="s">
        <v>552</v>
      </c>
      <c r="X865" s="136" t="s">
        <v>555</v>
      </c>
      <c r="Y865" s="172">
        <f>IFERROR(-tblZwaste1422[[#This Row],[Weight (kgCO2e/kg)]],0)</f>
        <v>-0.25034000000000001</v>
      </c>
      <c r="Z865" s="172">
        <f>IF(AQ865="x",(AR865*-tblZwaste1422[[#This Row],[Weight (kgCO2e/kg)]])+AS865+($AR$10*Lookups!$J$38/1000),"DELETE")</f>
        <v>-0.1233982</v>
      </c>
      <c r="AA865" s="176" t="s">
        <v>567</v>
      </c>
      <c r="AB865" s="172">
        <v>-0.30319849135481602</v>
      </c>
      <c r="AC865" s="172">
        <v>-0.52506421567601302</v>
      </c>
      <c r="AD865" s="172">
        <v>0.18726550694841601</v>
      </c>
      <c r="AE865" s="172">
        <v>-0.13984124434489101</v>
      </c>
      <c r="AF865" s="172">
        <v>2.50856610037276E-2</v>
      </c>
      <c r="AG865" s="150"/>
      <c r="AI865" s="137">
        <v>3</v>
      </c>
      <c r="AJ865" s="136" t="s">
        <v>529</v>
      </c>
      <c r="AK865" s="142" t="s">
        <v>327</v>
      </c>
      <c r="AL865" s="5" t="s">
        <v>552</v>
      </c>
      <c r="AM865" s="5" t="s">
        <v>555</v>
      </c>
      <c r="AN865" s="1">
        <v>0.25034000000000001</v>
      </c>
      <c r="AO865" s="166">
        <v>0.99672000000000005</v>
      </c>
      <c r="AQ865" t="str">
        <f>_xlfn.XLOOKUP(tblGWP21[[#This Row],[Material Subcategory]],ls_Mat,Factors!$K$952:$K$1023)</f>
        <v>x</v>
      </c>
      <c r="AR865" s="347">
        <v>0.5</v>
      </c>
      <c r="AS865">
        <v>0</v>
      </c>
      <c r="AT865" t="s">
        <v>528</v>
      </c>
      <c r="BA865" cm="1">
        <f t="array" ref="BA865:BM865">tblGWP21[#This Row]</f>
        <v>3</v>
      </c>
      <c r="BB865" t="str">
        <v>Food Waste</v>
      </c>
      <c r="BC865" t="str">
        <v>Food Waste – Vegetable</v>
      </c>
      <c r="BD865" t="str">
        <v>South America</v>
      </c>
      <c r="BE865" t="str">
        <v>Brazil</v>
      </c>
      <c r="BF865">
        <v>-0.25034000000000001</v>
      </c>
      <c r="BG865">
        <v>-0.1233982</v>
      </c>
      <c r="BH865" t="str">
        <v>DELETE</v>
      </c>
      <c r="BI865">
        <v>-0.30319849135481602</v>
      </c>
      <c r="BJ865">
        <v>-0.52506421567601302</v>
      </c>
      <c r="BK865">
        <v>0.18726550694841601</v>
      </c>
      <c r="BL865">
        <v>-0.13984124434489101</v>
      </c>
      <c r="BM865">
        <v>2.50856610037276E-2</v>
      </c>
    </row>
    <row r="866" spans="3:65" ht="28.8">
      <c r="C866" s="136">
        <v>2</v>
      </c>
      <c r="D866" s="137" t="s">
        <v>264</v>
      </c>
      <c r="E866" s="136" t="s">
        <v>336</v>
      </c>
      <c r="F866" s="136" t="s">
        <v>550</v>
      </c>
      <c r="G866" s="136" t="s">
        <v>561</v>
      </c>
      <c r="H866" s="191">
        <v>-0.76351350000000007</v>
      </c>
      <c r="I866" s="191">
        <v>-0.34968251735000005</v>
      </c>
      <c r="J866" s="191">
        <v>0</v>
      </c>
      <c r="K866" s="191">
        <v>-1.6485436672468201</v>
      </c>
      <c r="L866" s="191">
        <v>-2.6245446893481601</v>
      </c>
      <c r="M866" s="191">
        <v>-0.99956618689668975</v>
      </c>
      <c r="N866" s="191">
        <v>-0.72267533514796634</v>
      </c>
      <c r="O866" s="191">
        <v>0.21081764527793512</v>
      </c>
      <c r="T866" s="137">
        <v>3</v>
      </c>
      <c r="U866" s="137" t="s">
        <v>261</v>
      </c>
      <c r="V866" s="136" t="s">
        <v>530</v>
      </c>
      <c r="W866" s="136" t="s">
        <v>552</v>
      </c>
      <c r="X866" s="136" t="s">
        <v>555</v>
      </c>
      <c r="Y866" s="172">
        <f>IFERROR(-tblZwaste1422[[#This Row],[Weight (kgCO2e/kg)]],0)</f>
        <v>-9.1944800000000004</v>
      </c>
      <c r="Z866" s="172">
        <f>IF(AQ866="x",(AR866*-tblZwaste1422[[#This Row],[Weight (kgCO2e/kg)]])+AS866+($AR$10*Lookups!$J$38/1000),"DELETE")</f>
        <v>-4.5954682</v>
      </c>
      <c r="AA866" s="176" t="s">
        <v>567</v>
      </c>
      <c r="AB866" s="172">
        <v>-0.42327079747823898</v>
      </c>
      <c r="AC866" s="172">
        <v>-0.70881496329913196</v>
      </c>
      <c r="AD866" s="172">
        <v>0.126664891584504</v>
      </c>
      <c r="AE866" s="172">
        <v>-0.26249568757036001</v>
      </c>
      <c r="AF866" s="172">
        <v>2.5730109090173599E-2</v>
      </c>
      <c r="AG866" s="150"/>
      <c r="AI866" s="137">
        <v>3</v>
      </c>
      <c r="AJ866" s="136" t="s">
        <v>529</v>
      </c>
      <c r="AK866" s="142" t="s">
        <v>331</v>
      </c>
      <c r="AL866" s="5" t="s">
        <v>552</v>
      </c>
      <c r="AM866" s="5" t="s">
        <v>555</v>
      </c>
      <c r="AN866" s="1">
        <v>9.1944800000000004</v>
      </c>
      <c r="AO866" s="166">
        <v>2.5192800000000002</v>
      </c>
      <c r="AQ866" t="str">
        <f>_xlfn.XLOOKUP(tblGWP21[[#This Row],[Material Subcategory]],ls_Mat,Factors!$K$952:$K$1023)</f>
        <v>x</v>
      </c>
      <c r="AR866" s="347">
        <v>0.5</v>
      </c>
      <c r="AS866">
        <v>0</v>
      </c>
      <c r="AT866" t="s">
        <v>528</v>
      </c>
      <c r="BA866" cm="1">
        <f t="array" ref="BA866:BM866">tblGWP21[#This Row]</f>
        <v>3</v>
      </c>
      <c r="BB866" t="str">
        <v>Food Waste</v>
      </c>
      <c r="BC866" t="str">
        <v>Food Waste – Non-Vegetable</v>
      </c>
      <c r="BD866" t="str">
        <v>South America</v>
      </c>
      <c r="BE866" t="str">
        <v>Brazil</v>
      </c>
      <c r="BF866">
        <v>-9.1944800000000004</v>
      </c>
      <c r="BG866">
        <v>-4.5954682</v>
      </c>
      <c r="BH866" t="str">
        <v>DELETE</v>
      </c>
      <c r="BI866">
        <v>-0.42327079747823898</v>
      </c>
      <c r="BJ866">
        <v>-0.70881496329913196</v>
      </c>
      <c r="BK866">
        <v>0.126664891584504</v>
      </c>
      <c r="BL866">
        <v>-0.26249568757036001</v>
      </c>
      <c r="BM866">
        <v>2.5730109090173599E-2</v>
      </c>
    </row>
    <row r="867" spans="3:65">
      <c r="C867" s="362">
        <v>2</v>
      </c>
      <c r="D867" s="363" t="s">
        <v>242</v>
      </c>
      <c r="E867" s="362" t="s">
        <v>251</v>
      </c>
      <c r="F867" s="362" t="s">
        <v>550</v>
      </c>
      <c r="G867" s="362" t="s">
        <v>561</v>
      </c>
      <c r="H867" s="368">
        <v>-4.9218200000000003</v>
      </c>
      <c r="I867" s="368">
        <v>-3.5665477000000001</v>
      </c>
      <c r="J867" s="368">
        <v>-1.2190350000000001</v>
      </c>
      <c r="K867" s="368">
        <v>0</v>
      </c>
      <c r="L867" s="368">
        <v>0</v>
      </c>
      <c r="M867" s="368">
        <v>2.5924922138697161E-2</v>
      </c>
      <c r="N867" s="368">
        <v>0.21655920049060215</v>
      </c>
      <c r="O867" s="368">
        <v>0.8484566344623381</v>
      </c>
      <c r="T867" s="137">
        <v>3</v>
      </c>
      <c r="U867" s="137" t="s">
        <v>261</v>
      </c>
      <c r="V867" s="136" t="s">
        <v>262</v>
      </c>
      <c r="W867" s="136" t="s">
        <v>552</v>
      </c>
      <c r="X867" s="136" t="s">
        <v>555</v>
      </c>
      <c r="Y867" s="172">
        <f>IFERROR(-tblZwaste1422[[#This Row],[Weight (kgCO2e/kg)]],0)</f>
        <v>-2.5034000000000001</v>
      </c>
      <c r="Z867" s="172" t="str">
        <f>IF(AQ867="x",(AR867*-tblZwaste1422[[#This Row],[Weight (kgCO2e/kg)]])+AS867+($AR$10*Lookups!$J$38/1000),"DELETE")</f>
        <v>DELETE</v>
      </c>
      <c r="AA867" s="176" t="s">
        <v>567</v>
      </c>
      <c r="AB867" s="172">
        <v>-0.42327079747823898</v>
      </c>
      <c r="AC867" s="172">
        <v>-0.70881496329913196</v>
      </c>
      <c r="AD867" s="172">
        <v>0.126664891584504</v>
      </c>
      <c r="AE867" s="172">
        <v>-0.26249568757036001</v>
      </c>
      <c r="AF867" s="172">
        <v>2.5730109090173599E-2</v>
      </c>
      <c r="AG867" s="150"/>
      <c r="AI867" s="137">
        <v>3</v>
      </c>
      <c r="AJ867" s="136" t="s">
        <v>529</v>
      </c>
      <c r="AK867" s="142" t="s">
        <v>332</v>
      </c>
      <c r="AL867" s="5" t="s">
        <v>552</v>
      </c>
      <c r="AM867" s="5" t="s">
        <v>555</v>
      </c>
      <c r="AN867" s="1">
        <v>2.5034000000000001</v>
      </c>
      <c r="AO867" s="166">
        <v>1.0183800000000001</v>
      </c>
      <c r="AQ867">
        <f>_xlfn.XLOOKUP(tblGWP21[[#This Row],[Material Subcategory]],ls_Mat,Factors!$K$952:$K$1023)</f>
        <v>0</v>
      </c>
      <c r="AR867" s="347">
        <v>0.5</v>
      </c>
      <c r="AS867">
        <v>0</v>
      </c>
      <c r="AT867" t="s">
        <v>528</v>
      </c>
      <c r="BA867" cm="1">
        <f t="array" ref="BA867:BM867">tblGWP21[#This Row]</f>
        <v>3</v>
      </c>
      <c r="BB867" t="str">
        <v>Food Waste</v>
      </c>
      <c r="BC867" t="str">
        <v>Oils/Grease</v>
      </c>
      <c r="BD867" t="str">
        <v>South America</v>
      </c>
      <c r="BE867" t="str">
        <v>Brazil</v>
      </c>
      <c r="BF867">
        <v>-2.5034000000000001</v>
      </c>
      <c r="BG867" t="str">
        <v>DELETE</v>
      </c>
      <c r="BH867" t="str">
        <v>DELETE</v>
      </c>
      <c r="BI867">
        <v>-0.42327079747823898</v>
      </c>
      <c r="BJ867">
        <v>-0.70881496329913196</v>
      </c>
      <c r="BK867">
        <v>0.126664891584504</v>
      </c>
      <c r="BL867">
        <v>-0.26249568757036001</v>
      </c>
      <c r="BM867">
        <v>2.5730109090173599E-2</v>
      </c>
    </row>
    <row r="868" spans="3:65">
      <c r="C868" s="136">
        <v>2</v>
      </c>
      <c r="D868" s="137" t="s">
        <v>242</v>
      </c>
      <c r="E868" s="136" t="s">
        <v>543</v>
      </c>
      <c r="F868" s="136" t="s">
        <v>550</v>
      </c>
      <c r="G868" s="136" t="s">
        <v>561</v>
      </c>
      <c r="H868" s="191">
        <v>-1.00081</v>
      </c>
      <c r="I868" s="191">
        <v>-0.72381545000000003</v>
      </c>
      <c r="J868" s="191">
        <v>-0.20626249999999999</v>
      </c>
      <c r="K868" s="191">
        <v>0</v>
      </c>
      <c r="L868" s="191">
        <v>0</v>
      </c>
      <c r="M868" s="191">
        <v>2.5860000000000001E-2</v>
      </c>
      <c r="N868" s="191">
        <v>4.1800809795969597E-2</v>
      </c>
      <c r="O868" s="191">
        <v>4.8913810169323599E-2</v>
      </c>
      <c r="T868" s="137">
        <v>3</v>
      </c>
      <c r="U868" s="137" t="s">
        <v>252</v>
      </c>
      <c r="V868" s="136" t="s">
        <v>252</v>
      </c>
      <c r="W868" s="136" t="s">
        <v>552</v>
      </c>
      <c r="X868" s="136" t="s">
        <v>555</v>
      </c>
      <c r="Y868" s="172">
        <f>IFERROR(-tblZwaste1422[[#This Row],[Weight (kgCO2e/kg)]],0)</f>
        <v>-2.0953266666666663</v>
      </c>
      <c r="Z868" s="172" t="e">
        <f>IF(AQ868="x",(AR868*-tblZwaste1422[[#This Row],[Weight (kgCO2e/kg)]])+AS868+($AR$10*Lookups!$J$38/1000),"DELETE")</f>
        <v>#N/A</v>
      </c>
      <c r="AA868" s="176">
        <v>-4.4025891502648795</v>
      </c>
      <c r="AB868" s="172" t="s">
        <v>567</v>
      </c>
      <c r="AC868" s="172" t="s">
        <v>567</v>
      </c>
      <c r="AD868" s="172">
        <v>2.6042894329189499E-2</v>
      </c>
      <c r="AE868" s="172">
        <v>0.44395532733173598</v>
      </c>
      <c r="AF868" s="172">
        <v>2.1870269324237599</v>
      </c>
      <c r="AG868" s="150"/>
      <c r="AI868" s="137">
        <v>3</v>
      </c>
      <c r="AJ868" s="136" t="s">
        <v>252</v>
      </c>
      <c r="AK868" s="142" t="s">
        <v>252</v>
      </c>
      <c r="AL868" s="5" t="s">
        <v>552</v>
      </c>
      <c r="AM868" s="5" t="s">
        <v>555</v>
      </c>
      <c r="AN868" s="1">
        <v>2.0953266666666663</v>
      </c>
      <c r="AO868" s="166">
        <v>1.77911</v>
      </c>
      <c r="AQ868" t="e">
        <f>_xlfn.XLOOKUP(tblGWP21[[#This Row],[Material Subcategory]],ls_Mat,Factors!$K$952:$K$1023)</f>
        <v>#N/A</v>
      </c>
      <c r="AR868" s="173">
        <v>0.77500000000000002</v>
      </c>
      <c r="AS868">
        <v>8.1306407300000008E-2</v>
      </c>
      <c r="AT868" t="s">
        <v>531</v>
      </c>
      <c r="BA868" cm="1">
        <f t="array" ref="BA868:BM868">tblGWP21[#This Row]</f>
        <v>3</v>
      </c>
      <c r="BB868" t="str">
        <v>Plastics</v>
      </c>
      <c r="BC868" t="str">
        <v>Plastics</v>
      </c>
      <c r="BD868" t="str">
        <v>South America</v>
      </c>
      <c r="BE868" t="str">
        <v>Brazil</v>
      </c>
      <c r="BF868">
        <v>-2.0953266666666663</v>
      </c>
      <c r="BG868" t="e">
        <v>#N/A</v>
      </c>
      <c r="BH868">
        <v>-4.4025891502648795</v>
      </c>
      <c r="BI868" t="str">
        <v>DELETE</v>
      </c>
      <c r="BJ868" t="str">
        <v>DELETE</v>
      </c>
      <c r="BK868">
        <v>2.6042894329189499E-2</v>
      </c>
      <c r="BL868">
        <v>0.44395532733173598</v>
      </c>
      <c r="BM868">
        <v>2.1870269324237599</v>
      </c>
    </row>
    <row r="869" spans="3:65" ht="28.8">
      <c r="C869" s="362">
        <v>2</v>
      </c>
      <c r="D869" s="363" t="s">
        <v>264</v>
      </c>
      <c r="E869" s="362" t="s">
        <v>544</v>
      </c>
      <c r="F869" s="362" t="s">
        <v>550</v>
      </c>
      <c r="G869" s="362" t="s">
        <v>561</v>
      </c>
      <c r="H869" s="368">
        <v>-3.0939100000000002</v>
      </c>
      <c r="I869" s="368">
        <v>-1.8644402423500002</v>
      </c>
      <c r="J869" s="368">
        <v>0.15112249999999994</v>
      </c>
      <c r="K869" s="368">
        <v>0</v>
      </c>
      <c r="L869" s="368">
        <v>0</v>
      </c>
      <c r="M869" s="368">
        <v>0.31587097894786598</v>
      </c>
      <c r="N869" s="368">
        <v>-0.249886023988273</v>
      </c>
      <c r="O869" s="368">
        <v>0.70929546418647105</v>
      </c>
      <c r="T869" s="137">
        <v>3</v>
      </c>
      <c r="U869" s="137" t="s">
        <v>252</v>
      </c>
      <c r="V869" s="136" t="s">
        <v>253</v>
      </c>
      <c r="W869" s="136" t="s">
        <v>552</v>
      </c>
      <c r="X869" s="136" t="s">
        <v>555</v>
      </c>
      <c r="Y869" s="172">
        <f>IFERROR(-tblZwaste1422[[#This Row],[Weight (kgCO2e/kg)]],0)</f>
        <v>-2.04928</v>
      </c>
      <c r="Z869" s="172" t="e">
        <f>IF(AQ869="x",(AR869*-tblZwaste1422[[#This Row],[Weight (kgCO2e/kg)]])+AS869+($AR$10*Lookups!$J$38/1000),"DELETE")</f>
        <v>#N/A</v>
      </c>
      <c r="AA869" s="176">
        <v>-3.8346043561803635</v>
      </c>
      <c r="AB869" s="172" t="s">
        <v>567</v>
      </c>
      <c r="AC869" s="172" t="s">
        <v>567</v>
      </c>
      <c r="AD869" s="172">
        <v>2.6042891280744201E-2</v>
      </c>
      <c r="AE869" s="172">
        <v>0.175590688454898</v>
      </c>
      <c r="AF869" s="172">
        <v>3.1831779848466799</v>
      </c>
      <c r="AG869" s="150"/>
      <c r="AI869" s="137">
        <v>3</v>
      </c>
      <c r="AJ869" s="136" t="s">
        <v>252</v>
      </c>
      <c r="AK869" s="142" t="s">
        <v>253</v>
      </c>
      <c r="AL869" s="5" t="s">
        <v>552</v>
      </c>
      <c r="AM869" s="5" t="s">
        <v>555</v>
      </c>
      <c r="AN869" s="1">
        <v>2.04928</v>
      </c>
      <c r="AO869" s="166">
        <v>1.77911</v>
      </c>
      <c r="AQ869" t="e">
        <f>_xlfn.XLOOKUP(tblGWP21[[#This Row],[Material Subcategory]],ls_Mat,Factors!$K$952:$K$1023)</f>
        <v>#N/A</v>
      </c>
      <c r="AR869" s="173">
        <v>0.77500000000000002</v>
      </c>
      <c r="AS869">
        <v>8.1306407300000008E-2</v>
      </c>
      <c r="AT869" t="s">
        <v>531</v>
      </c>
      <c r="BA869" cm="1">
        <f t="array" ref="BA869:BM869">tblGWP21[#This Row]</f>
        <v>3</v>
      </c>
      <c r="BB869" t="str">
        <v>Plastics</v>
      </c>
      <c r="BC869" t="str">
        <v>HDPE (translucent and pigmented)</v>
      </c>
      <c r="BD869" t="str">
        <v>South America</v>
      </c>
      <c r="BE869" t="str">
        <v>Brazil</v>
      </c>
      <c r="BF869">
        <v>-2.04928</v>
      </c>
      <c r="BG869" t="e">
        <v>#N/A</v>
      </c>
      <c r="BH869">
        <v>-3.8346043561803635</v>
      </c>
      <c r="BI869" t="str">
        <v>DELETE</v>
      </c>
      <c r="BJ869" t="str">
        <v>DELETE</v>
      </c>
      <c r="BK869">
        <v>2.6042891280744201E-2</v>
      </c>
      <c r="BL869">
        <v>0.175590688454898</v>
      </c>
      <c r="BM869">
        <v>3.1831779848466799</v>
      </c>
    </row>
    <row r="870" spans="3:65">
      <c r="C870" s="136">
        <v>2</v>
      </c>
      <c r="D870" s="137" t="s">
        <v>10157</v>
      </c>
      <c r="E870" s="136" t="s">
        <v>545</v>
      </c>
      <c r="F870" s="136" t="s">
        <v>550</v>
      </c>
      <c r="G870" s="136" t="s">
        <v>561</v>
      </c>
      <c r="H870" s="191">
        <v>-2.8533815875203707</v>
      </c>
      <c r="I870" s="191">
        <v>0</v>
      </c>
      <c r="J870" s="191">
        <v>0</v>
      </c>
      <c r="K870" s="191">
        <v>0</v>
      </c>
      <c r="L870" s="191">
        <v>0</v>
      </c>
      <c r="M870" s="191">
        <v>-0.46676852163692306</v>
      </c>
      <c r="N870" s="191">
        <v>-0.53874884609908802</v>
      </c>
      <c r="O870" s="191">
        <v>2.7968656135843518E-2</v>
      </c>
      <c r="T870" s="137">
        <v>3</v>
      </c>
      <c r="U870" s="137" t="s">
        <v>252</v>
      </c>
      <c r="V870" s="136" t="s">
        <v>328</v>
      </c>
      <c r="W870" s="136" t="s">
        <v>552</v>
      </c>
      <c r="X870" s="136" t="s">
        <v>555</v>
      </c>
      <c r="Y870" s="172">
        <f>IFERROR(-tblZwaste1422[[#This Row],[Weight (kgCO2e/kg)]],0)</f>
        <v>-2.3231199999999999</v>
      </c>
      <c r="Z870" s="172" t="e">
        <f>IF(AQ870="x",(AR870*-tblZwaste1422[[#This Row],[Weight (kgCO2e/kg)]])+AS870+($AR$10*Lookups!$J$38/1000),"DELETE")</f>
        <v>#N/A</v>
      </c>
      <c r="AA870" s="176">
        <v>-4.5681382124045369</v>
      </c>
      <c r="AB870" s="172" t="s">
        <v>567</v>
      </c>
      <c r="AC870" s="172" t="s">
        <v>567</v>
      </c>
      <c r="AD870" s="172">
        <v>2.6042892084158099E-2</v>
      </c>
      <c r="AE870" s="172">
        <v>0.30460453136799898</v>
      </c>
      <c r="AF870" s="172">
        <v>2.4956096041782501</v>
      </c>
      <c r="AG870" s="150"/>
      <c r="AI870" s="137">
        <v>3</v>
      </c>
      <c r="AJ870" s="136" t="s">
        <v>252</v>
      </c>
      <c r="AK870" s="142" t="s">
        <v>328</v>
      </c>
      <c r="AL870" s="5" t="s">
        <v>552</v>
      </c>
      <c r="AM870" s="5" t="s">
        <v>555</v>
      </c>
      <c r="AN870" s="1">
        <v>2.3231199999999999</v>
      </c>
      <c r="AO870" s="166">
        <v>1.77911</v>
      </c>
      <c r="AQ870" t="e">
        <f>_xlfn.XLOOKUP(tblGWP21[[#This Row],[Material Subcategory]],ls_Mat,Factors!$K$952:$K$1023)</f>
        <v>#N/A</v>
      </c>
      <c r="AR870" s="173">
        <v>0.77500000000000002</v>
      </c>
      <c r="BA870" cm="1">
        <f t="array" ref="BA870:BM870">tblGWP21[#This Row]</f>
        <v>3</v>
      </c>
      <c r="BB870" t="str">
        <v>Plastics</v>
      </c>
      <c r="BC870" t="str">
        <v>LDPE</v>
      </c>
      <c r="BD870" t="str">
        <v>South America</v>
      </c>
      <c r="BE870" t="str">
        <v>Brazil</v>
      </c>
      <c r="BF870">
        <v>-2.3231199999999999</v>
      </c>
      <c r="BG870" t="e">
        <v>#N/A</v>
      </c>
      <c r="BH870">
        <v>-4.5681382124045369</v>
      </c>
      <c r="BI870" t="str">
        <v>DELETE</v>
      </c>
      <c r="BJ870" t="str">
        <v>DELETE</v>
      </c>
      <c r="BK870">
        <v>2.6042892084158099E-2</v>
      </c>
      <c r="BL870">
        <v>0.30460453136799898</v>
      </c>
      <c r="BM870">
        <v>2.4956096041782501</v>
      </c>
    </row>
    <row r="871" spans="3:65" ht="28.8">
      <c r="C871" s="362">
        <v>2</v>
      </c>
      <c r="D871" s="363" t="s">
        <v>10169</v>
      </c>
      <c r="E871" s="362" t="s">
        <v>10170</v>
      </c>
      <c r="F871" s="362" t="s">
        <v>550</v>
      </c>
      <c r="G871" s="362" t="s">
        <v>561</v>
      </c>
      <c r="H871" s="368">
        <v>-0.74582333333333339</v>
      </c>
      <c r="I871" s="368">
        <v>-0.58351400000000009</v>
      </c>
      <c r="J871" s="368">
        <v>0.3259926084346883</v>
      </c>
      <c r="K871" s="368">
        <v>0</v>
      </c>
      <c r="L871" s="368">
        <v>0</v>
      </c>
      <c r="M871" s="368">
        <v>0.45668176288049178</v>
      </c>
      <c r="N871" s="368">
        <v>1.0683983533052401</v>
      </c>
      <c r="O871" s="368">
        <v>1.142290877337675</v>
      </c>
      <c r="T871" s="137">
        <v>3</v>
      </c>
      <c r="U871" s="137" t="s">
        <v>252</v>
      </c>
      <c r="V871" s="136" t="s">
        <v>254</v>
      </c>
      <c r="W871" s="136" t="s">
        <v>552</v>
      </c>
      <c r="X871" s="136" t="s">
        <v>555</v>
      </c>
      <c r="Y871" s="172">
        <f>IFERROR(-tblZwaste1422[[#This Row],[Weight (kgCO2e/kg)]],0)</f>
        <v>-2.1485799999999999</v>
      </c>
      <c r="Z871" s="172" t="e">
        <f>IF(AQ871="x",(AR871*-tblZwaste1422[[#This Row],[Weight (kgCO2e/kg)]])+AS871+($AR$10*Lookups!$J$38/1000),"DELETE")</f>
        <v>#N/A</v>
      </c>
      <c r="AA871" s="176">
        <v>-4.6394758200700803</v>
      </c>
      <c r="AB871" s="172" t="s">
        <v>567</v>
      </c>
      <c r="AC871" s="172" t="s">
        <v>567</v>
      </c>
      <c r="AD871" s="172">
        <v>2.6042891280744201E-2</v>
      </c>
      <c r="AE871" s="172">
        <v>0.48074063466547701</v>
      </c>
      <c r="AF871" s="172">
        <v>2.5363331169384198</v>
      </c>
      <c r="AG871" s="150"/>
      <c r="AI871" s="137">
        <v>3</v>
      </c>
      <c r="AJ871" s="136" t="s">
        <v>252</v>
      </c>
      <c r="AK871" s="142" t="s">
        <v>254</v>
      </c>
      <c r="AL871" s="5" t="s">
        <v>552</v>
      </c>
      <c r="AM871" s="5" t="s">
        <v>555</v>
      </c>
      <c r="AN871" s="1">
        <v>2.1485799999999999</v>
      </c>
      <c r="AO871" s="166">
        <v>1.77911</v>
      </c>
      <c r="AQ871" t="e">
        <f>_xlfn.XLOOKUP(tblGWP21[[#This Row],[Material Subcategory]],ls_Mat,Factors!$K$952:$K$1023)</f>
        <v>#N/A</v>
      </c>
      <c r="AR871" s="173">
        <v>0.77500000000000002</v>
      </c>
      <c r="AS871">
        <v>8.1306407300000008E-2</v>
      </c>
      <c r="AT871" t="s">
        <v>531</v>
      </c>
      <c r="BA871" cm="1">
        <f t="array" ref="BA871:BM871">tblGWP21[#This Row]</f>
        <v>3</v>
      </c>
      <c r="BB871" t="str">
        <v>Plastics</v>
      </c>
      <c r="BC871" t="str">
        <v>PET</v>
      </c>
      <c r="BD871" t="str">
        <v>South America</v>
      </c>
      <c r="BE871" t="str">
        <v>Brazil</v>
      </c>
      <c r="BF871">
        <v>-2.1485799999999999</v>
      </c>
      <c r="BG871" t="e">
        <v>#N/A</v>
      </c>
      <c r="BH871">
        <v>-4.6394758200700803</v>
      </c>
      <c r="BI871" t="str">
        <v>DELETE</v>
      </c>
      <c r="BJ871" t="str">
        <v>DELETE</v>
      </c>
      <c r="BK871">
        <v>2.6042891280744201E-2</v>
      </c>
      <c r="BL871">
        <v>0.48074063466547701</v>
      </c>
      <c r="BM871">
        <v>2.5363331169384198</v>
      </c>
    </row>
    <row r="872" spans="3:65" ht="28.8">
      <c r="C872" s="364">
        <v>3</v>
      </c>
      <c r="D872" s="365" t="s">
        <v>233</v>
      </c>
      <c r="E872" s="364" t="s">
        <v>233</v>
      </c>
      <c r="F872" s="364" t="s">
        <v>552</v>
      </c>
      <c r="G872" s="364" t="s">
        <v>555</v>
      </c>
      <c r="H872" s="191">
        <v>0</v>
      </c>
      <c r="I872" s="191">
        <v>-0.13905086666666666</v>
      </c>
      <c r="J872" s="191">
        <v>0</v>
      </c>
      <c r="K872" s="191">
        <v>-1.4453602071486411</v>
      </c>
      <c r="L872" s="191">
        <v>-2.0555285758021533</v>
      </c>
      <c r="M872" s="191">
        <v>-1.0059572388755897</v>
      </c>
      <c r="N872" s="191">
        <v>-0.9533595849861678</v>
      </c>
      <c r="O872" s="191">
        <v>3.3143201616163631E-2</v>
      </c>
      <c r="T872" s="139">
        <v>3</v>
      </c>
      <c r="U872" s="139" t="s">
        <v>252</v>
      </c>
      <c r="V872" s="140" t="s">
        <v>532</v>
      </c>
      <c r="W872" s="140" t="s">
        <v>552</v>
      </c>
      <c r="X872" s="140" t="s">
        <v>555</v>
      </c>
      <c r="Y872" s="172">
        <f>IFERROR(-tblZwaste1422[[#This Row],[Weight (kgCO2e/kg)]],0)</f>
        <v>-1.9492499999999999</v>
      </c>
      <c r="Z872" s="172" t="e">
        <f>IF(AQ872="x",(AR872*-tblZwaste1422[[#This Row],[Weight (kgCO2e/kg)]])+AS872+($AR$10*Lookups!$J$38/1000),"DELETE")</f>
        <v>#N/A</v>
      </c>
      <c r="AA872" s="176">
        <v>-4.5681382124045369</v>
      </c>
      <c r="AB872" s="172" t="s">
        <v>567</v>
      </c>
      <c r="AC872" s="172" t="s">
        <v>567</v>
      </c>
      <c r="AD872" s="172">
        <v>2.6042892084158099E-2</v>
      </c>
      <c r="AE872" s="172">
        <v>0.30460453136799898</v>
      </c>
      <c r="AF872" s="172">
        <v>2.4956096041782501</v>
      </c>
      <c r="AG872" s="150"/>
      <c r="AI872" s="137">
        <v>3</v>
      </c>
      <c r="AJ872" s="136" t="s">
        <v>252</v>
      </c>
      <c r="AK872" s="142" t="s">
        <v>532</v>
      </c>
      <c r="AL872" s="5" t="s">
        <v>552</v>
      </c>
      <c r="AM872" s="5" t="s">
        <v>555</v>
      </c>
      <c r="AN872" s="1">
        <v>1.9492499999999999</v>
      </c>
      <c r="AO872" s="166">
        <v>1.77911</v>
      </c>
      <c r="AQ872" t="e">
        <f>_xlfn.XLOOKUP(tblGWP21[[#This Row],[Material Subcategory]],ls_Mat,Factors!$K$952:$K$1023)</f>
        <v>#N/A</v>
      </c>
      <c r="BA872" cm="1">
        <f t="array" ref="BA872:BM872">tblGWP21[#This Row]</f>
        <v>3</v>
      </c>
      <c r="BB872" t="str">
        <v>Plastics</v>
      </c>
      <c r="BC872" t="str">
        <v>LLDPE</v>
      </c>
      <c r="BD872" t="str">
        <v>South America</v>
      </c>
      <c r="BE872" t="str">
        <v>Brazil</v>
      </c>
      <c r="BF872">
        <v>-1.9492499999999999</v>
      </c>
      <c r="BG872" t="e">
        <v>#N/A</v>
      </c>
      <c r="BH872">
        <v>-4.5681382124045369</v>
      </c>
      <c r="BI872" t="str">
        <v>DELETE</v>
      </c>
      <c r="BJ872" t="str">
        <v>DELETE</v>
      </c>
      <c r="BK872">
        <v>2.6042892084158099E-2</v>
      </c>
      <c r="BL872">
        <v>0.30460453136799898</v>
      </c>
      <c r="BM872">
        <v>2.4956096041782501</v>
      </c>
    </row>
    <row r="873" spans="3:65" ht="28.8">
      <c r="C873" s="362">
        <v>3</v>
      </c>
      <c r="D873" s="363" t="s">
        <v>233</v>
      </c>
      <c r="E873" s="362" t="s">
        <v>250</v>
      </c>
      <c r="F873" s="362" t="s">
        <v>552</v>
      </c>
      <c r="G873" s="362" t="s">
        <v>555</v>
      </c>
      <c r="H873" s="368">
        <v>0</v>
      </c>
      <c r="I873" s="368">
        <v>0</v>
      </c>
      <c r="J873" s="368">
        <v>0</v>
      </c>
      <c r="K873" s="368">
        <v>-1.7440020321218299</v>
      </c>
      <c r="L873" s="368">
        <v>-2.1550741473042199</v>
      </c>
      <c r="M873" s="368">
        <v>-1.02568241234737</v>
      </c>
      <c r="N873" s="368">
        <v>-1.02076905583887</v>
      </c>
      <c r="O873" s="368">
        <v>2.8433780314571899E-2</v>
      </c>
      <c r="T873" s="137">
        <v>3</v>
      </c>
      <c r="U873" s="137" t="s">
        <v>252</v>
      </c>
      <c r="V873" s="136" t="s">
        <v>245</v>
      </c>
      <c r="W873" s="136" t="s">
        <v>552</v>
      </c>
      <c r="X873" s="136" t="s">
        <v>555</v>
      </c>
      <c r="Y873" s="172">
        <f>IFERROR(-tblZwaste1422[[#This Row],[Weight (kgCO2e/kg)]],0)</f>
        <v>-2.0269300000000001</v>
      </c>
      <c r="Z873" s="172" t="e">
        <f>IF(AQ873="x",(AR873*-tblZwaste1422[[#This Row],[Weight (kgCO2e/kg)]])+AS873+($AR$10*Lookups!$J$38/1000),"DELETE")</f>
        <v>#N/A</v>
      </c>
      <c r="AA873" s="176" t="s">
        <v>567</v>
      </c>
      <c r="AB873" s="172" t="s">
        <v>567</v>
      </c>
      <c r="AC873" s="172" t="s">
        <v>567</v>
      </c>
      <c r="AD873" s="172">
        <v>2.6042892205404101E-2</v>
      </c>
      <c r="AE873" s="172">
        <v>0.124921509262145</v>
      </c>
      <c r="AF873" s="172">
        <v>3.1833672947487801</v>
      </c>
      <c r="AG873" s="150"/>
      <c r="AI873" s="137">
        <v>3</v>
      </c>
      <c r="AJ873" s="136" t="s">
        <v>252</v>
      </c>
      <c r="AK873" s="142" t="s">
        <v>245</v>
      </c>
      <c r="AL873" s="5" t="s">
        <v>552</v>
      </c>
      <c r="AM873" s="5" t="s">
        <v>555</v>
      </c>
      <c r="AN873" s="1">
        <v>2.0269300000000001</v>
      </c>
      <c r="AO873" s="166">
        <v>1.77911</v>
      </c>
      <c r="AQ873" t="e">
        <f>_xlfn.XLOOKUP(tblGWP21[[#This Row],[Material Subcategory]],ls_Mat,Factors!$K$952:$K$1023)</f>
        <v>#N/A</v>
      </c>
      <c r="AR873" s="173">
        <v>0.77500000000000002</v>
      </c>
      <c r="AS873">
        <v>8.1306407300000008E-2</v>
      </c>
      <c r="AT873" t="s">
        <v>531</v>
      </c>
      <c r="BA873" cm="1">
        <f t="array" ref="BA873:BM873">tblGWP21[#This Row]</f>
        <v>3</v>
      </c>
      <c r="BB873" t="str">
        <v>Plastics</v>
      </c>
      <c r="BC873" t="str">
        <v>PP</v>
      </c>
      <c r="BD873" t="str">
        <v>South America</v>
      </c>
      <c r="BE873" t="str">
        <v>Brazil</v>
      </c>
      <c r="BF873">
        <v>-2.0269300000000001</v>
      </c>
      <c r="BG873" t="e">
        <v>#N/A</v>
      </c>
      <c r="BH873" t="str">
        <v>DELETE</v>
      </c>
      <c r="BI873" t="str">
        <v>DELETE</v>
      </c>
      <c r="BJ873" t="str">
        <v>DELETE</v>
      </c>
      <c r="BK873">
        <v>2.6042892205404101E-2</v>
      </c>
      <c r="BL873">
        <v>0.124921509262145</v>
      </c>
      <c r="BM873">
        <v>3.1833672947487801</v>
      </c>
    </row>
    <row r="874" spans="3:65" ht="28.8">
      <c r="C874" s="136">
        <v>3</v>
      </c>
      <c r="D874" s="137" t="s">
        <v>233</v>
      </c>
      <c r="E874" s="136" t="s">
        <v>249</v>
      </c>
      <c r="F874" s="136" t="s">
        <v>552</v>
      </c>
      <c r="G874" s="136" t="s">
        <v>555</v>
      </c>
      <c r="H874" s="191">
        <v>0</v>
      </c>
      <c r="I874" s="191">
        <v>0</v>
      </c>
      <c r="J874" s="191">
        <v>0</v>
      </c>
      <c r="K874" s="191">
        <v>-0.54312947672349599</v>
      </c>
      <c r="L874" s="191">
        <v>-0.75458879575177795</v>
      </c>
      <c r="M874" s="191">
        <v>5.21256992475796E-2</v>
      </c>
      <c r="N874" s="191">
        <v>-0.21791388891459801</v>
      </c>
      <c r="O874" s="191">
        <v>2.5754674050476802E-2</v>
      </c>
      <c r="T874" s="137">
        <v>3</v>
      </c>
      <c r="U874" s="137" t="s">
        <v>252</v>
      </c>
      <c r="V874" s="136" t="s">
        <v>533</v>
      </c>
      <c r="W874" s="136" t="s">
        <v>552</v>
      </c>
      <c r="X874" s="136" t="s">
        <v>555</v>
      </c>
      <c r="Y874" s="172">
        <f>IFERROR(-tblZwaste1422[[#This Row],[Weight (kgCO2e/kg)]],0)</f>
        <v>-2.0748000000000002</v>
      </c>
      <c r="Z874" s="172" t="e">
        <f>IF(AQ874="x",(AR874*-tblZwaste1422[[#This Row],[Weight (kgCO2e/kg)]])+AS874+($AR$10*Lookups!$J$38/1000),"DELETE")</f>
        <v>#N/A</v>
      </c>
      <c r="AA874" s="176" t="s">
        <v>567</v>
      </c>
      <c r="AB874" s="172" t="s">
        <v>567</v>
      </c>
      <c r="AC874" s="172" t="s">
        <v>567</v>
      </c>
      <c r="AD874" s="172">
        <v>2.6042886997659099E-2</v>
      </c>
      <c r="AE874" s="172">
        <v>0.36357047276194199</v>
      </c>
      <c r="AF874" s="172">
        <v>3.0368312566581301</v>
      </c>
      <c r="AG874" s="150"/>
      <c r="AI874" s="137">
        <v>3</v>
      </c>
      <c r="AJ874" s="136" t="s">
        <v>252</v>
      </c>
      <c r="AK874" s="142" t="s">
        <v>533</v>
      </c>
      <c r="AL874" s="5" t="s">
        <v>552</v>
      </c>
      <c r="AM874" s="5" t="s">
        <v>555</v>
      </c>
      <c r="AN874" s="1">
        <v>2.0748000000000002</v>
      </c>
      <c r="AO874" s="166">
        <v>1.77911</v>
      </c>
      <c r="AQ874" t="e">
        <f>_xlfn.XLOOKUP(tblGWP21[[#This Row],[Material Subcategory]],ls_Mat,Factors!$K$952:$K$1023)</f>
        <v>#N/A</v>
      </c>
      <c r="AR874" s="173">
        <v>0.77500000000000002</v>
      </c>
      <c r="AS874">
        <v>8.1306407300000008E-2</v>
      </c>
      <c r="AT874" t="s">
        <v>531</v>
      </c>
      <c r="BA874" cm="1">
        <f t="array" ref="BA874:BM874">tblGWP21[#This Row]</f>
        <v>3</v>
      </c>
      <c r="BB874" t="str">
        <v>Plastics</v>
      </c>
      <c r="BC874" t="str">
        <v>PVC</v>
      </c>
      <c r="BD874" t="str">
        <v>South America</v>
      </c>
      <c r="BE874" t="str">
        <v>Brazil</v>
      </c>
      <c r="BF874">
        <v>-2.0748000000000002</v>
      </c>
      <c r="BG874" t="e">
        <v>#N/A</v>
      </c>
      <c r="BH874" t="str">
        <v>DELETE</v>
      </c>
      <c r="BI874" t="str">
        <v>DELETE</v>
      </c>
      <c r="BJ874" t="str">
        <v>DELETE</v>
      </c>
      <c r="BK874">
        <v>2.6042886997659099E-2</v>
      </c>
      <c r="BL874">
        <v>0.36357047276194199</v>
      </c>
      <c r="BM874">
        <v>3.0368312566581301</v>
      </c>
    </row>
    <row r="875" spans="3:65" ht="28.8">
      <c r="C875" s="362">
        <v>3</v>
      </c>
      <c r="D875" s="363" t="s">
        <v>233</v>
      </c>
      <c r="E875" s="362" t="s">
        <v>273</v>
      </c>
      <c r="F875" s="362" t="s">
        <v>552</v>
      </c>
      <c r="G875" s="362" t="s">
        <v>555</v>
      </c>
      <c r="H875" s="368">
        <v>0</v>
      </c>
      <c r="I875" s="368">
        <v>0</v>
      </c>
      <c r="J875" s="368">
        <v>0</v>
      </c>
      <c r="K875" s="368">
        <v>-1.64655650896596</v>
      </c>
      <c r="L875" s="368">
        <v>-2.1007068372542301</v>
      </c>
      <c r="M875" s="368">
        <v>-0.81021857242915696</v>
      </c>
      <c r="N875" s="368">
        <v>-0.99139616916911</v>
      </c>
      <c r="O875" s="368">
        <v>2.7209269723740701E-2</v>
      </c>
      <c r="T875" s="137">
        <v>3</v>
      </c>
      <c r="U875" s="137" t="s">
        <v>242</v>
      </c>
      <c r="V875" s="136" t="s">
        <v>242</v>
      </c>
      <c r="W875" s="136" t="s">
        <v>552</v>
      </c>
      <c r="X875" s="136" t="s">
        <v>555</v>
      </c>
      <c r="Y875" s="172">
        <f>IFERROR(-tblZwaste1422[[#This Row],[Weight (kgCO2e/kg)]],0)</f>
        <v>-38.486130000000003</v>
      </c>
      <c r="Z875" s="172" t="e">
        <f>IF(AQ875="x",(AR875*-tblZwaste1422[[#This Row],[Weight (kgCO2e/kg)]])+AS875+($AR$10*Lookups!$J$38/1000),"DELETE")</f>
        <v>#N/A</v>
      </c>
      <c r="AA875" s="172">
        <f>AVERAGE(AA876,AA877,AA909,AA910)</f>
        <v>-3.2868550000000001</v>
      </c>
      <c r="AB875" s="172" t="s">
        <v>567</v>
      </c>
      <c r="AC875" s="172" t="s">
        <v>567</v>
      </c>
      <c r="AD875" s="172">
        <v>2.5860000000000001E-2</v>
      </c>
      <c r="AE875" s="172">
        <v>4.0984842545202599E-2</v>
      </c>
      <c r="AF875" s="172">
        <v>4.8934666491893597E-2</v>
      </c>
      <c r="AG875" s="150"/>
      <c r="AI875" s="137">
        <v>3</v>
      </c>
      <c r="AJ875" s="136" t="s">
        <v>242</v>
      </c>
      <c r="AK875" s="142" t="s">
        <v>242</v>
      </c>
      <c r="AL875" s="5" t="s">
        <v>552</v>
      </c>
      <c r="AM875" s="5" t="s">
        <v>555</v>
      </c>
      <c r="AN875" s="1">
        <v>38.486130000000003</v>
      </c>
      <c r="AO875" s="166">
        <v>0.20843</v>
      </c>
      <c r="AQ875" t="e">
        <f>_xlfn.XLOOKUP(tblGWP21[[#This Row],[Material Subcategory]],ls_Mat,Factors!$K$952:$K$1023)</f>
        <v>#N/A</v>
      </c>
      <c r="AR875" s="173">
        <v>0.72499999999999998</v>
      </c>
      <c r="AS875">
        <v>0</v>
      </c>
      <c r="AT875" t="s">
        <v>527</v>
      </c>
      <c r="BA875" cm="1">
        <f t="array" ref="BA875:BM875">tblGWP21[#This Row]</f>
        <v>3</v>
      </c>
      <c r="BB875" t="str">
        <v>Electronics</v>
      </c>
      <c r="BC875" t="str">
        <v>Electronics</v>
      </c>
      <c r="BD875" t="str">
        <v>South America</v>
      </c>
      <c r="BE875" t="str">
        <v>Brazil</v>
      </c>
      <c r="BF875">
        <v>-38.486130000000003</v>
      </c>
      <c r="BG875" t="e">
        <v>#N/A</v>
      </c>
      <c r="BH875">
        <v>-3.2868550000000001</v>
      </c>
      <c r="BI875" t="str">
        <v>DELETE</v>
      </c>
      <c r="BJ875" t="str">
        <v>DELETE</v>
      </c>
      <c r="BK875">
        <v>2.5860000000000001E-2</v>
      </c>
      <c r="BL875">
        <v>4.0984842545202599E-2</v>
      </c>
      <c r="BM875">
        <v>4.8934666491893597E-2</v>
      </c>
    </row>
    <row r="876" spans="3:65" ht="28.8">
      <c r="C876" s="136">
        <v>3</v>
      </c>
      <c r="D876" s="137" t="s">
        <v>233</v>
      </c>
      <c r="E876" s="136" t="s">
        <v>330</v>
      </c>
      <c r="F876" s="136" t="s">
        <v>552</v>
      </c>
      <c r="G876" s="136" t="s">
        <v>555</v>
      </c>
      <c r="H876" s="191">
        <v>-0.14119999999999999</v>
      </c>
      <c r="I876" s="191">
        <v>-0.1076582</v>
      </c>
      <c r="J876" s="191">
        <v>0</v>
      </c>
      <c r="K876" s="191">
        <v>0</v>
      </c>
      <c r="L876" s="191">
        <v>0</v>
      </c>
      <c r="M876" s="191">
        <v>-1.4815773000277099</v>
      </c>
      <c r="N876" s="191">
        <v>-1.15568226342465</v>
      </c>
      <c r="O876" s="191">
        <v>5.3038049624167E-2</v>
      </c>
      <c r="T876" s="137">
        <v>3</v>
      </c>
      <c r="U876" s="137" t="s">
        <v>242</v>
      </c>
      <c r="V876" s="136" t="s">
        <v>274</v>
      </c>
      <c r="W876" s="136" t="s">
        <v>552</v>
      </c>
      <c r="X876" s="136" t="s">
        <v>555</v>
      </c>
      <c r="Y876" s="172">
        <f>IFERROR(-tblZwaste1422[[#This Row],[Weight (kgCO2e/kg)]],0)</f>
        <v>-38.486130000000003</v>
      </c>
      <c r="Z876" s="172">
        <f>IF(AQ876="x",(AR876*-tblZwaste1422[[#This Row],[Weight (kgCO2e/kg)]])+AS876+($AR$10*Lookups!$J$38/1000),"DELETE")</f>
        <v>-27.900672450000002</v>
      </c>
      <c r="AA876" s="172">
        <v>-8.5278425000000002</v>
      </c>
      <c r="AB876" s="172" t="s">
        <v>567</v>
      </c>
      <c r="AC876" s="172" t="s">
        <v>567</v>
      </c>
      <c r="AD876" s="172">
        <v>2.5860000000000001E-2</v>
      </c>
      <c r="AE876" s="172">
        <v>4.0984842545202599E-2</v>
      </c>
      <c r="AF876" s="172">
        <v>4.8934666491893597E-2</v>
      </c>
      <c r="AG876" s="150"/>
      <c r="AI876" s="137">
        <v>3</v>
      </c>
      <c r="AJ876" s="136" t="s">
        <v>242</v>
      </c>
      <c r="AK876" s="142" t="s">
        <v>242</v>
      </c>
      <c r="AL876" s="5" t="s">
        <v>552</v>
      </c>
      <c r="AM876" s="5" t="s">
        <v>555</v>
      </c>
      <c r="AN876" s="1">
        <v>38.486130000000003</v>
      </c>
      <c r="AO876" s="166">
        <v>0.20843</v>
      </c>
      <c r="AQ876" t="str">
        <f>_xlfn.XLOOKUP(tblGWP21[[#This Row],[Material Subcategory]],ls_Mat,Factors!$K$952:$K$1023)</f>
        <v>x</v>
      </c>
      <c r="AR876" s="173">
        <v>0.72499999999999998</v>
      </c>
      <c r="AS876">
        <v>0</v>
      </c>
      <c r="AT876" t="s">
        <v>527</v>
      </c>
      <c r="BA876" cm="1">
        <f t="array" ref="BA876:BM876">tblGWP21[#This Row]</f>
        <v>3</v>
      </c>
      <c r="BB876" t="str">
        <v>Electronics</v>
      </c>
      <c r="BC876" t="str">
        <v>E-waste</v>
      </c>
      <c r="BD876" t="str">
        <v>South America</v>
      </c>
      <c r="BE876" t="str">
        <v>Brazil</v>
      </c>
      <c r="BF876">
        <v>-38.486130000000003</v>
      </c>
      <c r="BG876">
        <v>-27.900672450000002</v>
      </c>
      <c r="BH876">
        <v>-8.5278425000000002</v>
      </c>
      <c r="BI876" t="str">
        <v>DELETE</v>
      </c>
      <c r="BJ876" t="str">
        <v>DELETE</v>
      </c>
      <c r="BK876">
        <v>2.5860000000000001E-2</v>
      </c>
      <c r="BL876">
        <v>4.0984842545202599E-2</v>
      </c>
      <c r="BM876">
        <v>4.8934666491893597E-2</v>
      </c>
    </row>
    <row r="877" spans="3:65" ht="28.8">
      <c r="C877" s="362">
        <v>3</v>
      </c>
      <c r="D877" s="363" t="s">
        <v>233</v>
      </c>
      <c r="E877" s="362" t="s">
        <v>335</v>
      </c>
      <c r="F877" s="362" t="s">
        <v>552</v>
      </c>
      <c r="G877" s="362" t="s">
        <v>555</v>
      </c>
      <c r="H877" s="368">
        <v>-0.26272000000000001</v>
      </c>
      <c r="I877" s="368">
        <v>-0.20183620000000002</v>
      </c>
      <c r="J877" s="368">
        <v>0</v>
      </c>
      <c r="K877" s="368">
        <v>-1.64655650896596</v>
      </c>
      <c r="L877" s="368">
        <v>-2.6336365493502698</v>
      </c>
      <c r="M877" s="368">
        <v>-1.3851954238484401</v>
      </c>
      <c r="N877" s="368">
        <v>-1.16719806628489</v>
      </c>
      <c r="O877" s="368">
        <v>3.2211717992012702E-2</v>
      </c>
      <c r="T877" s="137">
        <v>3</v>
      </c>
      <c r="U877" s="137" t="s">
        <v>242</v>
      </c>
      <c r="V877" s="136" t="s">
        <v>534</v>
      </c>
      <c r="W877" s="136" t="s">
        <v>552</v>
      </c>
      <c r="X877" s="136" t="s">
        <v>555</v>
      </c>
      <c r="Y877" s="172">
        <f>IFERROR(-tblZwaste1422[[#This Row],[Weight (kgCO2e/kg)]],0)</f>
        <v>-15.0122</v>
      </c>
      <c r="Z877" s="172">
        <f>IF(AQ877="x",(AR877*-tblZwaste1422[[#This Row],[Weight (kgCO2e/kg)]])+AS877+($AR$10*Lookups!$J$38/1000),"DELETE")</f>
        <v>-10.882073199999999</v>
      </c>
      <c r="AA877" s="172">
        <v>-3.19428</v>
      </c>
      <c r="AB877" s="172" t="s">
        <v>567</v>
      </c>
      <c r="AC877" s="172" t="s">
        <v>567</v>
      </c>
      <c r="AD877" s="172">
        <v>2.5860000000000001E-2</v>
      </c>
      <c r="AE877" s="172">
        <v>4.0984842545202599E-2</v>
      </c>
      <c r="AF877" s="172">
        <v>4.8934666491893597E-2</v>
      </c>
      <c r="AG877" s="150"/>
      <c r="AI877" s="137">
        <v>3</v>
      </c>
      <c r="AJ877" s="136" t="s">
        <v>242</v>
      </c>
      <c r="AK877" s="142" t="s">
        <v>534</v>
      </c>
      <c r="AL877" s="5" t="s">
        <v>552</v>
      </c>
      <c r="AM877" s="5" t="s">
        <v>555</v>
      </c>
      <c r="AN877" s="1">
        <v>15.0122</v>
      </c>
      <c r="AO877" s="166">
        <v>0.37092000000000003</v>
      </c>
      <c r="AQ877" t="str">
        <f>_xlfn.XLOOKUP(tblGWP21[[#This Row],[Material Subcategory]],ls_Mat,Factors!$K$952:$K$1023)</f>
        <v>x</v>
      </c>
      <c r="AR877" s="173">
        <v>0.72499999999999998</v>
      </c>
      <c r="AS877">
        <v>0</v>
      </c>
      <c r="AT877" t="s">
        <v>527</v>
      </c>
      <c r="BA877" cm="1">
        <f t="array" ref="BA877:BM877">tblGWP21[#This Row]</f>
        <v>3</v>
      </c>
      <c r="BB877" t="str">
        <v>Electronics</v>
      </c>
      <c r="BC877" t="str">
        <v>Batteries</v>
      </c>
      <c r="BD877" t="str">
        <v>South America</v>
      </c>
      <c r="BE877" t="str">
        <v>Brazil</v>
      </c>
      <c r="BF877">
        <v>-15.0122</v>
      </c>
      <c r="BG877">
        <v>-10.882073199999999</v>
      </c>
      <c r="BH877">
        <v>-3.19428</v>
      </c>
      <c r="BI877" t="str">
        <v>DELETE</v>
      </c>
      <c r="BJ877" t="str">
        <v>DELETE</v>
      </c>
      <c r="BK877">
        <v>2.5860000000000001E-2</v>
      </c>
      <c r="BL877">
        <v>4.0984842545202599E-2</v>
      </c>
      <c r="BM877">
        <v>4.8934666491893597E-2</v>
      </c>
    </row>
    <row r="878" spans="3:65" ht="28.8">
      <c r="C878" s="136">
        <v>3</v>
      </c>
      <c r="D878" s="137" t="s">
        <v>233</v>
      </c>
      <c r="E878" s="136" t="s">
        <v>326</v>
      </c>
      <c r="F878" s="136" t="s">
        <v>552</v>
      </c>
      <c r="G878" s="136" t="s">
        <v>555</v>
      </c>
      <c r="H878" s="191">
        <v>-0.14119999999999999</v>
      </c>
      <c r="I878" s="191">
        <v>-0.1076582</v>
      </c>
      <c r="J878" s="191">
        <v>0</v>
      </c>
      <c r="K878" s="191">
        <v>-1.64655650896596</v>
      </c>
      <c r="L878" s="191">
        <v>-2.6336365493502698</v>
      </c>
      <c r="M878" s="191">
        <v>-1.3851954238484401</v>
      </c>
      <c r="N878" s="191">
        <v>-1.16719806628489</v>
      </c>
      <c r="O878" s="191">
        <v>3.2211717992012702E-2</v>
      </c>
      <c r="T878" s="137">
        <v>3</v>
      </c>
      <c r="U878" s="137" t="s">
        <v>239</v>
      </c>
      <c r="V878" s="136" t="s">
        <v>239</v>
      </c>
      <c r="W878" s="136" t="s">
        <v>552</v>
      </c>
      <c r="X878" s="136" t="s">
        <v>555</v>
      </c>
      <c r="Y878" s="172">
        <f>IFERROR(-tblZwaste1422[[#This Row],[Weight (kgCO2e/kg)]],0)</f>
        <v>-2.6644477777777777</v>
      </c>
      <c r="Z878" s="172" t="e">
        <f>IF(AQ878="x",(AR878*-tblZwaste1422[[#This Row],[Weight (kgCO2e/kg)]])+AS878+($AR$10*Lookups!$J$38/1000),"DELETE")</f>
        <v>#N/A</v>
      </c>
      <c r="AA878" s="176">
        <v>-0.91191428180792811</v>
      </c>
      <c r="AB878" s="172">
        <v>-1.6286344906372801</v>
      </c>
      <c r="AC878" s="172">
        <v>-2.3972313350924299</v>
      </c>
      <c r="AD878" s="172">
        <v>-0.66697991340315199</v>
      </c>
      <c r="AE878" s="172">
        <v>-0.942225030340478</v>
      </c>
      <c r="AF878" s="172">
        <v>2.74731001572785E-2</v>
      </c>
      <c r="AG878" s="150"/>
      <c r="AI878" s="137">
        <v>3</v>
      </c>
      <c r="AJ878" s="136" t="s">
        <v>239</v>
      </c>
      <c r="AK878" s="142" t="s">
        <v>239</v>
      </c>
      <c r="AL878" s="5" t="s">
        <v>552</v>
      </c>
      <c r="AM878" s="5" t="s">
        <v>555</v>
      </c>
      <c r="AN878" s="1">
        <v>2.6644477777777777</v>
      </c>
      <c r="AO878" s="166">
        <v>0.64099666666666666</v>
      </c>
      <c r="AQ878" t="e">
        <f>_xlfn.XLOOKUP(tblGWP21[[#This Row],[Material Subcategory]],ls_Mat,Factors!$K$952:$K$1023)</f>
        <v>#N/A</v>
      </c>
      <c r="AR878" s="173">
        <v>0.64600000000000002</v>
      </c>
      <c r="AS878">
        <v>0</v>
      </c>
      <c r="AT878" t="s">
        <v>527</v>
      </c>
      <c r="BA878" cm="1">
        <f t="array" ref="BA878:BM878">tblGWP21[#This Row]</f>
        <v>3</v>
      </c>
      <c r="BB878" t="str">
        <v>Paper</v>
      </c>
      <c r="BC878" t="str">
        <v>Paper</v>
      </c>
      <c r="BD878" t="str">
        <v>South America</v>
      </c>
      <c r="BE878" t="str">
        <v>Brazil</v>
      </c>
      <c r="BF878">
        <v>-2.6644477777777777</v>
      </c>
      <c r="BG878" t="e">
        <v>#N/A</v>
      </c>
      <c r="BH878">
        <v>-0.91191428180792811</v>
      </c>
      <c r="BI878">
        <v>-1.6286344906372801</v>
      </c>
      <c r="BJ878">
        <v>-2.3972313350924299</v>
      </c>
      <c r="BK878">
        <v>-0.66697991340315199</v>
      </c>
      <c r="BL878">
        <v>-0.942225030340478</v>
      </c>
      <c r="BM878">
        <v>2.74731001572785E-2</v>
      </c>
    </row>
    <row r="879" spans="3:65">
      <c r="C879" s="362">
        <v>3</v>
      </c>
      <c r="D879" s="363" t="s">
        <v>261</v>
      </c>
      <c r="E879" s="362" t="s">
        <v>261</v>
      </c>
      <c r="F879" s="362" t="s">
        <v>552</v>
      </c>
      <c r="G879" s="362" t="s">
        <v>555</v>
      </c>
      <c r="H879" s="368">
        <v>-4.72241</v>
      </c>
      <c r="I879" s="368">
        <v>-2.3594331999999998</v>
      </c>
      <c r="J879" s="368">
        <v>0</v>
      </c>
      <c r="K879" s="368">
        <v>-0.36323464441652753</v>
      </c>
      <c r="L879" s="368">
        <v>-0.61693958948757244</v>
      </c>
      <c r="M879" s="368">
        <v>0.15696519926646002</v>
      </c>
      <c r="N879" s="368">
        <v>-0.2011684659576255</v>
      </c>
      <c r="O879" s="368">
        <v>2.5407885046950601E-2</v>
      </c>
      <c r="T879" s="137">
        <v>3</v>
      </c>
      <c r="U879" s="137" t="s">
        <v>239</v>
      </c>
      <c r="V879" s="136" t="s">
        <v>324</v>
      </c>
      <c r="W879" s="136" t="s">
        <v>552</v>
      </c>
      <c r="X879" s="136" t="s">
        <v>555</v>
      </c>
      <c r="Y879" s="172">
        <f>IFERROR(-tblZwaste1422[[#This Row],[Weight (kgCO2e/kg)]],0)</f>
        <v>-1.66</v>
      </c>
      <c r="Z879" s="172" t="str">
        <f>IF(AQ879="x",(AR879*-tblZwaste1422[[#This Row],[Weight (kgCO2e/kg)]])+AS879+($AR$10*Lookups!$J$38/1000),"DELETE")</f>
        <v>DELETE</v>
      </c>
      <c r="AA879" s="176">
        <v>0.129009716048088</v>
      </c>
      <c r="AB879" s="172">
        <v>-1.6392456408190901</v>
      </c>
      <c r="AC879" s="172">
        <v>-2.2430244881972801</v>
      </c>
      <c r="AD879" s="172">
        <v>-1.1391950666710899</v>
      </c>
      <c r="AE879" s="172">
        <v>-1.02415368418064</v>
      </c>
      <c r="AF879" s="172">
        <v>2.66831358779176E-2</v>
      </c>
      <c r="AG879" s="150"/>
      <c r="AI879" s="137">
        <v>3</v>
      </c>
      <c r="AJ879" s="136" t="s">
        <v>239</v>
      </c>
      <c r="AK879" s="142" t="s">
        <v>324</v>
      </c>
      <c r="AL879" s="5" t="s">
        <v>552</v>
      </c>
      <c r="AM879" s="5" t="s">
        <v>555</v>
      </c>
      <c r="AN879" s="1">
        <v>1.66</v>
      </c>
      <c r="AO879" s="166">
        <v>0.13142999999999999</v>
      </c>
      <c r="AQ879">
        <f>_xlfn.XLOOKUP(tblGWP21[[#This Row],[Material Subcategory]],ls_Mat,Factors!$K$952:$K$1023)</f>
        <v>0</v>
      </c>
      <c r="AR879" s="173">
        <v>0.64600000000000002</v>
      </c>
      <c r="AS879">
        <v>0</v>
      </c>
      <c r="AT879" t="s">
        <v>527</v>
      </c>
      <c r="BA879" cm="1">
        <f t="array" ref="BA879:BM879">tblGWP21[#This Row]</f>
        <v>3</v>
      </c>
      <c r="BB879" t="str">
        <v>Paper</v>
      </c>
      <c r="BC879" t="str">
        <v>Newsprint</v>
      </c>
      <c r="BD879" t="str">
        <v>South America</v>
      </c>
      <c r="BE879" t="str">
        <v>Brazil</v>
      </c>
      <c r="BF879">
        <v>-1.66</v>
      </c>
      <c r="BG879" t="str">
        <v>DELETE</v>
      </c>
      <c r="BH879">
        <v>0.129009716048088</v>
      </c>
      <c r="BI879">
        <v>-1.6392456408190901</v>
      </c>
      <c r="BJ879">
        <v>-2.2430244881972801</v>
      </c>
      <c r="BK879">
        <v>-1.1391950666710899</v>
      </c>
      <c r="BL879">
        <v>-1.02415368418064</v>
      </c>
      <c r="BM879">
        <v>2.66831358779176E-2</v>
      </c>
    </row>
    <row r="880" spans="3:65">
      <c r="C880" s="136">
        <v>3</v>
      </c>
      <c r="D880" s="137" t="s">
        <v>261</v>
      </c>
      <c r="E880" s="136" t="s">
        <v>269</v>
      </c>
      <c r="F880" s="136" t="s">
        <v>552</v>
      </c>
      <c r="G880" s="136" t="s">
        <v>555</v>
      </c>
      <c r="H880" s="191">
        <v>-0.25034000000000001</v>
      </c>
      <c r="I880" s="191">
        <v>-0.1233982</v>
      </c>
      <c r="J880" s="191">
        <v>0</v>
      </c>
      <c r="K880" s="191">
        <v>-0.30319849135481602</v>
      </c>
      <c r="L880" s="191">
        <v>-0.52506421567601302</v>
      </c>
      <c r="M880" s="191">
        <v>0.18726550694841601</v>
      </c>
      <c r="N880" s="191">
        <v>-0.13984124434489101</v>
      </c>
      <c r="O880" s="191">
        <v>2.50856610037276E-2</v>
      </c>
      <c r="T880" s="137">
        <v>3</v>
      </c>
      <c r="U880" s="137" t="s">
        <v>239</v>
      </c>
      <c r="V880" s="136" t="s">
        <v>272</v>
      </c>
      <c r="W880" s="136" t="s">
        <v>552</v>
      </c>
      <c r="X880" s="136" t="s">
        <v>555</v>
      </c>
      <c r="Y880" s="172">
        <f>IFERROR(-tblZwaste1422[[#This Row],[Weight (kgCO2e/kg)]],0)</f>
        <v>-2.1278299999999999</v>
      </c>
      <c r="Z880" s="172">
        <f>IF(AQ880="x",(AR880*-tblZwaste1422[[#This Row],[Weight (kgCO2e/kg)]])+AS880+($AR$10*Lookups!$J$38/1000),"DELETE")</f>
        <v>-1.3728063799999999</v>
      </c>
      <c r="AA880" s="176">
        <v>1.81399269502295E-2</v>
      </c>
      <c r="AB880" s="172">
        <v>-1.46605946421915</v>
      </c>
      <c r="AC880" s="172">
        <v>-2.2614031725356099</v>
      </c>
      <c r="AD880" s="172">
        <v>3.6729999999999999E-2</v>
      </c>
      <c r="AE880" s="172">
        <v>-0.80637927493084305</v>
      </c>
      <c r="AF880" s="172">
        <v>3.4587427043835002E-2</v>
      </c>
      <c r="AG880" s="150"/>
      <c r="AI880" s="137">
        <v>3</v>
      </c>
      <c r="AJ880" s="136" t="s">
        <v>239</v>
      </c>
      <c r="AK880" s="142" t="s">
        <v>272</v>
      </c>
      <c r="AL880" s="5" t="s">
        <v>552</v>
      </c>
      <c r="AM880" s="5" t="s">
        <v>555</v>
      </c>
      <c r="AN880" s="1">
        <v>2.1278299999999999</v>
      </c>
      <c r="AO880" s="166">
        <v>1.2152400000000001</v>
      </c>
      <c r="AQ880" t="str">
        <f>_xlfn.XLOOKUP(tblGWP21[[#This Row],[Material Subcategory]],ls_Mat,Factors!$K$952:$K$1023)</f>
        <v>x</v>
      </c>
      <c r="AR880" s="173">
        <v>0.64600000000000002</v>
      </c>
      <c r="AS880">
        <v>0</v>
      </c>
      <c r="AT880" t="s">
        <v>527</v>
      </c>
      <c r="BA880" cm="1">
        <f t="array" ref="BA880:BM880">tblGWP21[#This Row]</f>
        <v>3</v>
      </c>
      <c r="BB880" t="str">
        <v>Paper</v>
      </c>
      <c r="BC880" t="str">
        <v>Corr. Cardboard</v>
      </c>
      <c r="BD880" t="str">
        <v>South America</v>
      </c>
      <c r="BE880" t="str">
        <v>Brazil</v>
      </c>
      <c r="BF880">
        <v>-2.1278299999999999</v>
      </c>
      <c r="BG880">
        <v>-1.3728063799999999</v>
      </c>
      <c r="BH880">
        <v>1.81399269502295E-2</v>
      </c>
      <c r="BI880">
        <v>-1.46605946421915</v>
      </c>
      <c r="BJ880">
        <v>-2.2614031725356099</v>
      </c>
      <c r="BK880">
        <v>3.6729999999999999E-2</v>
      </c>
      <c r="BL880">
        <v>-0.80637927493084305</v>
      </c>
      <c r="BM880">
        <v>3.4587427043835002E-2</v>
      </c>
    </row>
    <row r="881" spans="3:65" ht="28.8">
      <c r="C881" s="362">
        <v>3</v>
      </c>
      <c r="D881" s="363" t="s">
        <v>261</v>
      </c>
      <c r="E881" s="362" t="s">
        <v>530</v>
      </c>
      <c r="F881" s="362" t="s">
        <v>552</v>
      </c>
      <c r="G881" s="362" t="s">
        <v>555</v>
      </c>
      <c r="H881" s="368">
        <v>-9.1944800000000004</v>
      </c>
      <c r="I881" s="368">
        <v>-4.5954682</v>
      </c>
      <c r="J881" s="368">
        <v>0</v>
      </c>
      <c r="K881" s="368">
        <v>-0.42327079747823898</v>
      </c>
      <c r="L881" s="368">
        <v>-0.70881496329913196</v>
      </c>
      <c r="M881" s="368">
        <v>0.126664891584504</v>
      </c>
      <c r="N881" s="368">
        <v>-0.26249568757036001</v>
      </c>
      <c r="O881" s="368">
        <v>2.5730109090173599E-2</v>
      </c>
      <c r="T881" s="137">
        <v>3</v>
      </c>
      <c r="U881" s="137" t="s">
        <v>239</v>
      </c>
      <c r="V881" s="136" t="s">
        <v>329</v>
      </c>
      <c r="W881" s="136" t="s">
        <v>552</v>
      </c>
      <c r="X881" s="136" t="s">
        <v>555</v>
      </c>
      <c r="Y881" s="172">
        <f>IFERROR(-tblZwaste1422[[#This Row],[Weight (kgCO2e/kg)]],0)</f>
        <v>-3.4792200000000002</v>
      </c>
      <c r="Z881" s="172" t="str">
        <f>IF(AQ881="x",(AR881*-tblZwaste1422[[#This Row],[Weight (kgCO2e/kg)]])+AS881+($AR$10*Lookups!$J$38/1000),"DELETE")</f>
        <v>DELETE</v>
      </c>
      <c r="AA881" s="176">
        <v>-3.0232919690684583</v>
      </c>
      <c r="AB881" s="172">
        <v>-1.5885742653418</v>
      </c>
      <c r="AC881" s="172">
        <v>-2.529374748105</v>
      </c>
      <c r="AD881" s="172">
        <v>0.41447129794550402</v>
      </c>
      <c r="AE881" s="172">
        <v>-0.80956025349591698</v>
      </c>
      <c r="AF881" s="172">
        <v>3.7252082665396299E-2</v>
      </c>
      <c r="AG881" s="150"/>
      <c r="AI881" s="137">
        <v>3</v>
      </c>
      <c r="AJ881" s="136" t="s">
        <v>239</v>
      </c>
      <c r="AK881" s="142" t="s">
        <v>329</v>
      </c>
      <c r="AL881" s="5" t="s">
        <v>552</v>
      </c>
      <c r="AM881" s="5" t="s">
        <v>555</v>
      </c>
      <c r="AN881" s="1">
        <v>3.4792200000000002</v>
      </c>
      <c r="AO881" s="166">
        <v>1.0383</v>
      </c>
      <c r="AQ881">
        <f>_xlfn.XLOOKUP(tblGWP21[[#This Row],[Material Subcategory]],ls_Mat,Factors!$K$952:$K$1023)</f>
        <v>0</v>
      </c>
      <c r="BA881" cm="1">
        <f t="array" ref="BA881:BM881">tblGWP21[#This Row]</f>
        <v>3</v>
      </c>
      <c r="BB881" t="str">
        <v>Paper</v>
      </c>
      <c r="BC881" t="str">
        <v>Office Paper</v>
      </c>
      <c r="BD881" t="str">
        <v>South America</v>
      </c>
      <c r="BE881" t="str">
        <v>Brazil</v>
      </c>
      <c r="BF881">
        <v>-3.4792200000000002</v>
      </c>
      <c r="BG881" t="str">
        <v>DELETE</v>
      </c>
      <c r="BH881">
        <v>-3.0232919690684583</v>
      </c>
      <c r="BI881">
        <v>-1.5885742653418</v>
      </c>
      <c r="BJ881">
        <v>-2.529374748105</v>
      </c>
      <c r="BK881">
        <v>0.41447129794550402</v>
      </c>
      <c r="BL881">
        <v>-0.80956025349591698</v>
      </c>
      <c r="BM881">
        <v>3.7252082665396299E-2</v>
      </c>
    </row>
    <row r="882" spans="3:65">
      <c r="C882" s="136">
        <v>3</v>
      </c>
      <c r="D882" s="137" t="s">
        <v>261</v>
      </c>
      <c r="E882" s="136" t="s">
        <v>262</v>
      </c>
      <c r="F882" s="136" t="s">
        <v>552</v>
      </c>
      <c r="G882" s="136" t="s">
        <v>555</v>
      </c>
      <c r="H882" s="191">
        <v>-2.5034000000000001</v>
      </c>
      <c r="I882" s="191">
        <v>0</v>
      </c>
      <c r="J882" s="191">
        <v>0</v>
      </c>
      <c r="K882" s="191">
        <v>-0.42327079747823898</v>
      </c>
      <c r="L882" s="191">
        <v>-0.70881496329913196</v>
      </c>
      <c r="M882" s="191">
        <v>0.126664891584504</v>
      </c>
      <c r="N882" s="191">
        <v>-0.26249568757036001</v>
      </c>
      <c r="O882" s="191">
        <v>2.5730109090173599E-2</v>
      </c>
      <c r="T882" s="137">
        <v>3</v>
      </c>
      <c r="U882" s="137" t="s">
        <v>239</v>
      </c>
      <c r="V882" s="136" t="s">
        <v>271</v>
      </c>
      <c r="W882" s="136" t="s">
        <v>552</v>
      </c>
      <c r="X882" s="136" t="s">
        <v>555</v>
      </c>
      <c r="Y882" s="172">
        <f>IFERROR(-tblZwaste1422[[#This Row],[Weight (kgCO2e/kg)]],0)</f>
        <v>-3.1045600000000002</v>
      </c>
      <c r="Z882" s="172" t="str">
        <f>IF(AQ882="x",(AR882*-tblZwaste1422[[#This Row],[Weight (kgCO2e/kg)]])+AS882+($AR$10*Lookups!$J$38/1000),"DELETE")</f>
        <v>DELETE</v>
      </c>
      <c r="AA882" s="176">
        <v>-1.0259035670339192</v>
      </c>
      <c r="AB882" s="172">
        <v>-1.5038991018496</v>
      </c>
      <c r="AC882" s="172">
        <v>-2.6105509359807</v>
      </c>
      <c r="AD882" s="172">
        <v>-0.65152926151439705</v>
      </c>
      <c r="AE882" s="172">
        <v>-0.77163933817139796</v>
      </c>
      <c r="AF882" s="172">
        <v>4.0399503832453401E-2</v>
      </c>
      <c r="AG882" s="150"/>
      <c r="AI882" s="137">
        <v>3</v>
      </c>
      <c r="AJ882" s="136" t="s">
        <v>239</v>
      </c>
      <c r="AK882" s="142" t="s">
        <v>271</v>
      </c>
      <c r="AL882" s="5" t="s">
        <v>552</v>
      </c>
      <c r="AM882" s="5" t="s">
        <v>555</v>
      </c>
      <c r="AN882" s="1">
        <v>3.1045600000000002</v>
      </c>
      <c r="AO882" s="166">
        <v>0.12864</v>
      </c>
      <c r="AQ882">
        <f>_xlfn.XLOOKUP(tblGWP21[[#This Row],[Material Subcategory]],ls_Mat,Factors!$K$952:$K$1023)</f>
        <v>0</v>
      </c>
      <c r="BA882" cm="1">
        <f t="array" ref="BA882:BM882">tblGWP21[#This Row]</f>
        <v>3</v>
      </c>
      <c r="BB882" t="str">
        <v>Paper</v>
      </c>
      <c r="BC882" t="str">
        <v>Magazines</v>
      </c>
      <c r="BD882" t="str">
        <v>South America</v>
      </c>
      <c r="BE882" t="str">
        <v>Brazil</v>
      </c>
      <c r="BF882">
        <v>-3.1045600000000002</v>
      </c>
      <c r="BG882" t="str">
        <v>DELETE</v>
      </c>
      <c r="BH882">
        <v>-1.0259035670339192</v>
      </c>
      <c r="BI882">
        <v>-1.5038991018496</v>
      </c>
      <c r="BJ882">
        <v>-2.6105509359807</v>
      </c>
      <c r="BK882">
        <v>-0.65152926151439705</v>
      </c>
      <c r="BL882">
        <v>-0.77163933817139796</v>
      </c>
      <c r="BM882">
        <v>4.0399503832453401E-2</v>
      </c>
    </row>
    <row r="883" spans="3:65">
      <c r="C883" s="362">
        <v>3</v>
      </c>
      <c r="D883" s="363" t="s">
        <v>252</v>
      </c>
      <c r="E883" s="362" t="s">
        <v>252</v>
      </c>
      <c r="F883" s="362" t="s">
        <v>552</v>
      </c>
      <c r="G883" s="362" t="s">
        <v>555</v>
      </c>
      <c r="H883" s="368">
        <v>-2.0953266666666663</v>
      </c>
      <c r="I883" s="368">
        <v>-1.5407999593666664</v>
      </c>
      <c r="J883" s="368">
        <v>-4.4025891502648795</v>
      </c>
      <c r="K883" s="368">
        <v>0</v>
      </c>
      <c r="L883" s="368">
        <v>0</v>
      </c>
      <c r="M883" s="368">
        <v>2.6042894329189499E-2</v>
      </c>
      <c r="N883" s="368">
        <v>0.44395532733173598</v>
      </c>
      <c r="O883" s="368">
        <v>2.1870269324237599</v>
      </c>
      <c r="T883" s="137">
        <v>3</v>
      </c>
      <c r="U883" s="137" t="s">
        <v>239</v>
      </c>
      <c r="V883" s="136" t="s">
        <v>535</v>
      </c>
      <c r="W883" s="136" t="s">
        <v>552</v>
      </c>
      <c r="X883" s="136" t="s">
        <v>555</v>
      </c>
      <c r="Y883" s="172">
        <f>IFERROR(-tblZwaste1422[[#This Row],[Weight (kgCO2e/kg)]],0)</f>
        <v>-3.1045600000000002</v>
      </c>
      <c r="Z883" s="172" t="str">
        <f>IF(AQ883="x",(AR883*-tblZwaste1422[[#This Row],[Weight (kgCO2e/kg)]])+AS883+($AR$10*Lookups!$J$38/1000),"DELETE")</f>
        <v>DELETE</v>
      </c>
      <c r="AA883" s="176">
        <v>-1.0259035670339192</v>
      </c>
      <c r="AB883" s="172">
        <v>-1.6125525501704201</v>
      </c>
      <c r="AC883" s="172">
        <v>-2.6158035268424502</v>
      </c>
      <c r="AD883" s="172">
        <v>-0.85021288760053804</v>
      </c>
      <c r="AE883" s="172">
        <v>-0.85793168628016903</v>
      </c>
      <c r="AF883" s="172">
        <v>2.9215875094976099E-2</v>
      </c>
      <c r="AG883" s="150"/>
      <c r="AI883" s="137">
        <v>3</v>
      </c>
      <c r="AJ883" s="136" t="s">
        <v>239</v>
      </c>
      <c r="AK883" s="142" t="s">
        <v>535</v>
      </c>
      <c r="AL883" s="5" t="s">
        <v>552</v>
      </c>
      <c r="AM883" s="5" t="s">
        <v>555</v>
      </c>
      <c r="AN883" s="1">
        <v>3.1045600000000002</v>
      </c>
      <c r="AO883" s="166">
        <v>0.12864</v>
      </c>
      <c r="AQ883">
        <f>_xlfn.XLOOKUP(tblGWP21[[#This Row],[Material Subcategory]],ls_Mat,Factors!$K$952:$K$1023)</f>
        <v>0</v>
      </c>
      <c r="BA883" cm="1">
        <f t="array" ref="BA883:BM883">tblGWP21[#This Row]</f>
        <v>3</v>
      </c>
      <c r="BB883" t="str">
        <v>Paper</v>
      </c>
      <c r="BC883" t="str">
        <v>3rd Class Mail</v>
      </c>
      <c r="BD883" t="str">
        <v>South America</v>
      </c>
      <c r="BE883" t="str">
        <v>Brazil</v>
      </c>
      <c r="BF883">
        <v>-3.1045600000000002</v>
      </c>
      <c r="BG883" t="str">
        <v>DELETE</v>
      </c>
      <c r="BH883">
        <v>-1.0259035670339192</v>
      </c>
      <c r="BI883">
        <v>-1.6125525501704201</v>
      </c>
      <c r="BJ883">
        <v>-2.6158035268424502</v>
      </c>
      <c r="BK883">
        <v>-0.85021288760053804</v>
      </c>
      <c r="BL883">
        <v>-0.85793168628016903</v>
      </c>
      <c r="BM883">
        <v>2.9215875094976099E-2</v>
      </c>
    </row>
    <row r="884" spans="3:65" ht="28.8">
      <c r="C884" s="136">
        <v>3</v>
      </c>
      <c r="D884" s="137" t="s">
        <v>252</v>
      </c>
      <c r="E884" s="136" t="s">
        <v>253</v>
      </c>
      <c r="F884" s="136" t="s">
        <v>552</v>
      </c>
      <c r="G884" s="136" t="s">
        <v>555</v>
      </c>
      <c r="H884" s="191">
        <v>-2.04928</v>
      </c>
      <c r="I884" s="191">
        <v>0</v>
      </c>
      <c r="J884" s="191">
        <v>-3.8346043561803635</v>
      </c>
      <c r="K884" s="191">
        <v>0</v>
      </c>
      <c r="L884" s="191">
        <v>0</v>
      </c>
      <c r="M884" s="191">
        <v>2.6042891280744201E-2</v>
      </c>
      <c r="N884" s="191">
        <v>0.175590688454898</v>
      </c>
      <c r="O884" s="191">
        <v>3.1831779848466799</v>
      </c>
      <c r="T884" s="137">
        <v>3</v>
      </c>
      <c r="U884" s="137" t="s">
        <v>239</v>
      </c>
      <c r="V884" s="136" t="s">
        <v>259</v>
      </c>
      <c r="W884" s="136" t="s">
        <v>552</v>
      </c>
      <c r="X884" s="136" t="s">
        <v>555</v>
      </c>
      <c r="Y884" s="172">
        <f>IFERROR(-tblZwaste1422[[#This Row],[Weight (kgCO2e/kg)]],0)</f>
        <v>-2.86965</v>
      </c>
      <c r="Z884" s="172" t="str">
        <f>IF(AQ884="x",(AR884*-tblZwaste1422[[#This Row],[Weight (kgCO2e/kg)]])+AS884+($AR$10*Lookups!$J$38/1000),"DELETE")</f>
        <v>DELETE</v>
      </c>
      <c r="AA884" s="176">
        <v>-1.0259035670339192</v>
      </c>
      <c r="AB884" s="172">
        <v>-1.3276665253781801</v>
      </c>
      <c r="AC884" s="172">
        <v>-2.0289072305326199</v>
      </c>
      <c r="AD884" s="172">
        <v>-0.38444685255991901</v>
      </c>
      <c r="AE884" s="172">
        <v>-0.69915364782550704</v>
      </c>
      <c r="AF884" s="172">
        <v>2.8423287432432599E-2</v>
      </c>
      <c r="AG884" s="150"/>
      <c r="AI884" s="137">
        <v>3</v>
      </c>
      <c r="AJ884" s="136" t="s">
        <v>239</v>
      </c>
      <c r="AK884" s="142" t="s">
        <v>259</v>
      </c>
      <c r="AL884" s="5" t="s">
        <v>552</v>
      </c>
      <c r="AM884" s="5" t="s">
        <v>555</v>
      </c>
      <c r="AN884" s="1">
        <v>2.86965</v>
      </c>
      <c r="AO884" s="166">
        <v>0.79600000000000004</v>
      </c>
      <c r="AQ884">
        <f>_xlfn.XLOOKUP(tblGWP21[[#This Row],[Material Subcategory]],ls_Mat,Factors!$K$952:$K$1023)</f>
        <v>0</v>
      </c>
      <c r="AR884" s="173"/>
      <c r="BA884" cm="1">
        <f t="array" ref="BA884:BM884">tblGWP21[#This Row]</f>
        <v>3</v>
      </c>
      <c r="BB884" t="str">
        <v>Paper</v>
      </c>
      <c r="BC884" t="str">
        <v>Folding Containers</v>
      </c>
      <c r="BD884" t="str">
        <v>South America</v>
      </c>
      <c r="BE884" t="str">
        <v>Brazil</v>
      </c>
      <c r="BF884">
        <v>-2.86965</v>
      </c>
      <c r="BG884" t="str">
        <v>DELETE</v>
      </c>
      <c r="BH884">
        <v>-1.0259035670339192</v>
      </c>
      <c r="BI884">
        <v>-1.3276665253781801</v>
      </c>
      <c r="BJ884">
        <v>-2.0289072305326199</v>
      </c>
      <c r="BK884">
        <v>-0.38444685255991901</v>
      </c>
      <c r="BL884">
        <v>-0.69915364782550704</v>
      </c>
      <c r="BM884">
        <v>2.8423287432432599E-2</v>
      </c>
    </row>
    <row r="885" spans="3:65">
      <c r="C885" s="362">
        <v>3</v>
      </c>
      <c r="D885" s="363" t="s">
        <v>252</v>
      </c>
      <c r="E885" s="362" t="s">
        <v>328</v>
      </c>
      <c r="F885" s="362" t="s">
        <v>552</v>
      </c>
      <c r="G885" s="362" t="s">
        <v>555</v>
      </c>
      <c r="H885" s="368">
        <v>-2.3231199999999999</v>
      </c>
      <c r="I885" s="368">
        <v>0</v>
      </c>
      <c r="J885" s="368">
        <v>-4.5681382124045369</v>
      </c>
      <c r="K885" s="368">
        <v>0</v>
      </c>
      <c r="L885" s="368">
        <v>0</v>
      </c>
      <c r="M885" s="368">
        <v>2.6042892084158099E-2</v>
      </c>
      <c r="N885" s="368">
        <v>0.30460453136799898</v>
      </c>
      <c r="O885" s="368">
        <v>2.4956096041782501</v>
      </c>
      <c r="T885" s="137">
        <v>3</v>
      </c>
      <c r="U885" s="137" t="s">
        <v>239</v>
      </c>
      <c r="V885" s="136" t="s">
        <v>334</v>
      </c>
      <c r="W885" s="136" t="s">
        <v>552</v>
      </c>
      <c r="X885" s="136" t="s">
        <v>555</v>
      </c>
      <c r="Y885" s="172">
        <f>IFERROR(-tblZwaste1422[[#This Row],[Weight (kgCO2e/kg)]],0)</f>
        <v>-2.86965</v>
      </c>
      <c r="Z885" s="172" t="str">
        <f>IF(AQ885="x",(AR885*-tblZwaste1422[[#This Row],[Weight (kgCO2e/kg)]])+AS885+($AR$10*Lookups!$J$38/1000),"DELETE")</f>
        <v>DELETE</v>
      </c>
      <c r="AA885" s="176">
        <v>-1.0259035670339192</v>
      </c>
      <c r="AB885" s="172">
        <v>-1.73808971123668</v>
      </c>
      <c r="AC885" s="172">
        <v>-2.5030750757510498</v>
      </c>
      <c r="AD885" s="172">
        <v>-0.33194863615908099</v>
      </c>
      <c r="AE885" s="172">
        <v>-1.01965750869267</v>
      </c>
      <c r="AF885" s="172">
        <v>2.6390224713508399E-2</v>
      </c>
      <c r="AG885" s="150"/>
      <c r="AI885" s="137">
        <v>3</v>
      </c>
      <c r="AJ885" s="136" t="s">
        <v>239</v>
      </c>
      <c r="AK885" s="142" t="s">
        <v>334</v>
      </c>
      <c r="AL885" s="5" t="s">
        <v>552</v>
      </c>
      <c r="AM885" s="5" t="s">
        <v>555</v>
      </c>
      <c r="AN885" s="1">
        <v>2.86965</v>
      </c>
      <c r="AO885" s="166">
        <v>0.76736000000000004</v>
      </c>
      <c r="AQ885">
        <f>_xlfn.XLOOKUP(tblGWP21[[#This Row],[Material Subcategory]],ls_Mat,Factors!$K$952:$K$1023)</f>
        <v>0</v>
      </c>
      <c r="AR885" s="173"/>
      <c r="BA885" cm="1">
        <f t="array" ref="BA885:BM885">tblGWP21[#This Row]</f>
        <v>3</v>
      </c>
      <c r="BB885" t="str">
        <v>Paper</v>
      </c>
      <c r="BC885" t="str">
        <v>Paper Bags</v>
      </c>
      <c r="BD885" t="str">
        <v>South America</v>
      </c>
      <c r="BE885" t="str">
        <v>Brazil</v>
      </c>
      <c r="BF885">
        <v>-2.86965</v>
      </c>
      <c r="BG885" t="str">
        <v>DELETE</v>
      </c>
      <c r="BH885">
        <v>-1.0259035670339192</v>
      </c>
      <c r="BI885">
        <v>-1.73808971123668</v>
      </c>
      <c r="BJ885">
        <v>-2.5030750757510498</v>
      </c>
      <c r="BK885">
        <v>-0.33194863615908099</v>
      </c>
      <c r="BL885">
        <v>-1.01965750869267</v>
      </c>
      <c r="BM885">
        <v>2.6390224713508399E-2</v>
      </c>
    </row>
    <row r="886" spans="3:65">
      <c r="C886" s="136">
        <v>3</v>
      </c>
      <c r="D886" s="137" t="s">
        <v>252</v>
      </c>
      <c r="E886" s="136" t="s">
        <v>254</v>
      </c>
      <c r="F886" s="136" t="s">
        <v>552</v>
      </c>
      <c r="G886" s="136" t="s">
        <v>555</v>
      </c>
      <c r="H886" s="191">
        <v>-2.1485799999999999</v>
      </c>
      <c r="I886" s="191">
        <v>0</v>
      </c>
      <c r="J886" s="191">
        <v>-4.6394758200700803</v>
      </c>
      <c r="K886" s="191">
        <v>0</v>
      </c>
      <c r="L886" s="191">
        <v>0</v>
      </c>
      <c r="M886" s="191">
        <v>2.6042891280744201E-2</v>
      </c>
      <c r="N886" s="191">
        <v>0.48074063466547701</v>
      </c>
      <c r="O886" s="191">
        <v>2.5363331169384198</v>
      </c>
      <c r="T886" s="137">
        <v>3</v>
      </c>
      <c r="U886" s="137" t="s">
        <v>239</v>
      </c>
      <c r="V886" s="136" t="s">
        <v>240</v>
      </c>
      <c r="W886" s="136" t="s">
        <v>552</v>
      </c>
      <c r="X886" s="136" t="s">
        <v>555</v>
      </c>
      <c r="Y886" s="172">
        <f>IFERROR(-tblZwaste1422[[#This Row],[Weight (kgCO2e/kg)]],0)</f>
        <v>-3.1045600000000002</v>
      </c>
      <c r="Z886" s="172" t="str">
        <f>IF(AQ886="x",(AR886*-tblZwaste1422[[#This Row],[Weight (kgCO2e/kg)]])+AS886+($AR$10*Lookups!$J$38/1000),"DELETE")</f>
        <v>DELETE</v>
      </c>
      <c r="AA886" s="176" t="s">
        <v>567</v>
      </c>
      <c r="AB886" s="172">
        <v>-1.76684223712483</v>
      </c>
      <c r="AC886" s="172">
        <v>-2.59677628032569</v>
      </c>
      <c r="AD886" s="172">
        <v>-0.66917552633073896</v>
      </c>
      <c r="AE886" s="172">
        <v>0.27629902332726303</v>
      </c>
      <c r="AF886" s="172">
        <v>2.3670137230060702</v>
      </c>
      <c r="AG886" s="150"/>
      <c r="AI886" s="137">
        <v>3</v>
      </c>
      <c r="AJ886" s="136" t="s">
        <v>239</v>
      </c>
      <c r="AK886" s="142" t="s">
        <v>240</v>
      </c>
      <c r="AL886" s="5" t="s">
        <v>552</v>
      </c>
      <c r="AM886" s="5" t="s">
        <v>555</v>
      </c>
      <c r="AN886" s="1">
        <v>3.1045600000000002</v>
      </c>
      <c r="AO886" s="166">
        <v>0.76736000000000004</v>
      </c>
      <c r="AQ886">
        <f>_xlfn.XLOOKUP(tblGWP21[[#This Row],[Material Subcategory]],ls_Mat,Factors!$K$952:$K$1023)</f>
        <v>0</v>
      </c>
      <c r="AR886" s="173"/>
      <c r="BA886" cm="1">
        <f t="array" ref="BA886:BM886">tblGWP21[#This Row]</f>
        <v>3</v>
      </c>
      <c r="BB886" t="str">
        <v>Paper</v>
      </c>
      <c r="BC886" t="str">
        <v>Paper – Non-Recyclable</v>
      </c>
      <c r="BD886" t="str">
        <v>South America</v>
      </c>
      <c r="BE886" t="str">
        <v>Brazil</v>
      </c>
      <c r="BF886">
        <v>-3.1045600000000002</v>
      </c>
      <c r="BG886" t="str">
        <v>DELETE</v>
      </c>
      <c r="BH886" t="str">
        <v>DELETE</v>
      </c>
      <c r="BI886">
        <v>-1.76684223712483</v>
      </c>
      <c r="BJ886">
        <v>-2.59677628032569</v>
      </c>
      <c r="BK886">
        <v>-0.66917552633073896</v>
      </c>
      <c r="BL886">
        <v>0.27629902332726303</v>
      </c>
      <c r="BM886">
        <v>2.3670137230060702</v>
      </c>
    </row>
    <row r="887" spans="3:65" ht="28.8">
      <c r="C887" s="362">
        <v>3</v>
      </c>
      <c r="D887" s="363" t="s">
        <v>252</v>
      </c>
      <c r="E887" s="362" t="s">
        <v>532</v>
      </c>
      <c r="F887" s="362" t="s">
        <v>552</v>
      </c>
      <c r="G887" s="362" t="s">
        <v>555</v>
      </c>
      <c r="H887" s="368">
        <v>-1.9492499999999999</v>
      </c>
      <c r="I887" s="368">
        <v>0</v>
      </c>
      <c r="J887" s="368">
        <v>-4.5681382124045369</v>
      </c>
      <c r="K887" s="368">
        <v>0</v>
      </c>
      <c r="L887" s="368">
        <v>0</v>
      </c>
      <c r="M887" s="368">
        <v>2.6042892084158099E-2</v>
      </c>
      <c r="N887" s="368">
        <v>0.30460453136799898</v>
      </c>
      <c r="O887" s="368">
        <v>2.4956096041782501</v>
      </c>
      <c r="T887" s="137">
        <v>3</v>
      </c>
      <c r="U887" s="137" t="s">
        <v>239</v>
      </c>
      <c r="V887" s="136" t="s">
        <v>325</v>
      </c>
      <c r="W887" s="136" t="s">
        <v>552</v>
      </c>
      <c r="X887" s="136" t="s">
        <v>555</v>
      </c>
      <c r="Y887" s="172">
        <f>IFERROR(-tblZwaste1422[[#This Row],[Weight (kgCO2e/kg)]],0)</f>
        <v>-1.66</v>
      </c>
      <c r="Z887" s="172" t="str">
        <f>IF(AQ887="x",(AR887*-tblZwaste1422[[#This Row],[Weight (kgCO2e/kg)]])+AS887+($AR$10*Lookups!$J$38/1000),"DELETE")</f>
        <v>DELETE</v>
      </c>
      <c r="AA887" s="176" t="s">
        <v>567</v>
      </c>
      <c r="AB887" s="172">
        <v>-1.6286344906372801</v>
      </c>
      <c r="AC887" s="172">
        <v>-2.3972313350924299</v>
      </c>
      <c r="AD887" s="172">
        <v>-0.66697991340315199</v>
      </c>
      <c r="AE887" s="172">
        <v>-0.942225030340478</v>
      </c>
      <c r="AF887" s="172">
        <v>2.74731001572785E-2</v>
      </c>
      <c r="AG887" s="150"/>
      <c r="AI887" s="137">
        <v>3</v>
      </c>
      <c r="AJ887" s="136" t="s">
        <v>239</v>
      </c>
      <c r="AK887" s="142" t="s">
        <v>325</v>
      </c>
      <c r="AL887" s="5" t="s">
        <v>552</v>
      </c>
      <c r="AM887" s="5" t="s">
        <v>555</v>
      </c>
      <c r="AN887" s="1">
        <v>1.66</v>
      </c>
      <c r="AO887" s="166">
        <v>0.79600000000000004</v>
      </c>
      <c r="AQ887">
        <f>_xlfn.XLOOKUP(tblGWP21[[#This Row],[Material Subcategory]],ls_Mat,Factors!$K$952:$K$1023)</f>
        <v>0</v>
      </c>
      <c r="BA887" cm="1">
        <f t="array" ref="BA887:BM887">tblGWP21[#This Row]</f>
        <v>3</v>
      </c>
      <c r="BB887" t="str">
        <v>Paper</v>
      </c>
      <c r="BC887" t="str">
        <v>Compostable Food Service Ware</v>
      </c>
      <c r="BD887" t="str">
        <v>South America</v>
      </c>
      <c r="BE887" t="str">
        <v>Brazil</v>
      </c>
      <c r="BF887">
        <v>-1.66</v>
      </c>
      <c r="BG887" t="str">
        <v>DELETE</v>
      </c>
      <c r="BH887" t="str">
        <v>DELETE</v>
      </c>
      <c r="BI887">
        <v>-1.6286344906372801</v>
      </c>
      <c r="BJ887">
        <v>-2.3972313350924299</v>
      </c>
      <c r="BK887">
        <v>-0.66697991340315199</v>
      </c>
      <c r="BL887">
        <v>-0.942225030340478</v>
      </c>
      <c r="BM887">
        <v>2.74731001572785E-2</v>
      </c>
    </row>
    <row r="888" spans="3:65">
      <c r="C888" s="136">
        <v>3</v>
      </c>
      <c r="D888" s="137" t="s">
        <v>252</v>
      </c>
      <c r="E888" s="136" t="s">
        <v>245</v>
      </c>
      <c r="F888" s="136" t="s">
        <v>552</v>
      </c>
      <c r="G888" s="136" t="s">
        <v>555</v>
      </c>
      <c r="H888" s="191">
        <v>-2.0269300000000001</v>
      </c>
      <c r="I888" s="191">
        <v>0</v>
      </c>
      <c r="J888" s="191">
        <v>0</v>
      </c>
      <c r="K888" s="191">
        <v>0</v>
      </c>
      <c r="L888" s="191">
        <v>0</v>
      </c>
      <c r="M888" s="191">
        <v>2.6042892205404101E-2</v>
      </c>
      <c r="N888" s="191">
        <v>0.124921509262145</v>
      </c>
      <c r="O888" s="191">
        <v>3.1833672947487801</v>
      </c>
      <c r="T888" s="137">
        <v>3</v>
      </c>
      <c r="U888" s="137" t="s">
        <v>256</v>
      </c>
      <c r="V888" s="136" t="s">
        <v>256</v>
      </c>
      <c r="W888" s="136" t="s">
        <v>552</v>
      </c>
      <c r="X888" s="136" t="s">
        <v>555</v>
      </c>
      <c r="Y888" s="172">
        <f>IFERROR(-tblZwaste1422[[#This Row],[Weight (kgCO2e/kg)]],0)</f>
        <v>-3.3097799999999999</v>
      </c>
      <c r="Z888" s="172" t="e">
        <f>IF(AQ888="x",(AR888*-tblZwaste1422[[#This Row],[Weight (kgCO2e/kg)]])+AS888+($AR$10*Lookups!$J$38/1000),"DELETE")</f>
        <v>#N/A</v>
      </c>
      <c r="AA888" s="176">
        <v>-13.332240193295439</v>
      </c>
      <c r="AB888" s="172" t="s">
        <v>567</v>
      </c>
      <c r="AC888" s="172" t="s">
        <v>567</v>
      </c>
      <c r="AD888" s="172">
        <v>2.5951436501633351E-2</v>
      </c>
      <c r="AE888" s="172">
        <v>-0.1080978425299278</v>
      </c>
      <c r="AF888" s="172">
        <v>-8.9548588203676061E-2</v>
      </c>
      <c r="AG888" s="150"/>
      <c r="AI888" s="137">
        <v>3</v>
      </c>
      <c r="AJ888" s="136" t="s">
        <v>256</v>
      </c>
      <c r="AK888" s="142" t="s">
        <v>256</v>
      </c>
      <c r="AL888" s="5" t="s">
        <v>552</v>
      </c>
      <c r="AM888" s="5" t="s">
        <v>555</v>
      </c>
      <c r="AN888" s="1">
        <v>3.3097799999999999</v>
      </c>
      <c r="AO888" s="166">
        <v>1.0068550000000001</v>
      </c>
      <c r="AQ888" t="e">
        <f>_xlfn.XLOOKUP(tblGWP21[[#This Row],[Material Subcategory]],ls_Mat,Factors!$K$952:$K$1023)</f>
        <v>#N/A</v>
      </c>
      <c r="AR888" s="173">
        <v>1</v>
      </c>
      <c r="AS888">
        <v>8.1306407300000008E-2</v>
      </c>
      <c r="AT888" t="s">
        <v>531</v>
      </c>
      <c r="BA888" cm="1">
        <f t="array" ref="BA888:BM888">tblGWP21[#This Row]</f>
        <v>3</v>
      </c>
      <c r="BB888" t="str">
        <v>Metals</v>
      </c>
      <c r="BC888" t="str">
        <v>Metals</v>
      </c>
      <c r="BD888" t="str">
        <v>South America</v>
      </c>
      <c r="BE888" t="str">
        <v>Brazil</v>
      </c>
      <c r="BF888">
        <v>-3.3097799999999999</v>
      </c>
      <c r="BG888" t="e">
        <v>#N/A</v>
      </c>
      <c r="BH888">
        <v>-13.332240193295439</v>
      </c>
      <c r="BI888" t="str">
        <v>DELETE</v>
      </c>
      <c r="BJ888" t="str">
        <v>DELETE</v>
      </c>
      <c r="BK888">
        <v>2.5951436501633351E-2</v>
      </c>
      <c r="BL888">
        <v>-0.1080978425299278</v>
      </c>
      <c r="BM888">
        <v>-8.9548588203676061E-2</v>
      </c>
    </row>
    <row r="889" spans="3:65">
      <c r="C889" s="362">
        <v>3</v>
      </c>
      <c r="D889" s="363" t="s">
        <v>252</v>
      </c>
      <c r="E889" s="362" t="s">
        <v>533</v>
      </c>
      <c r="F889" s="362" t="s">
        <v>552</v>
      </c>
      <c r="G889" s="362" t="s">
        <v>555</v>
      </c>
      <c r="H889" s="368">
        <v>-2.0748000000000002</v>
      </c>
      <c r="I889" s="368">
        <v>0</v>
      </c>
      <c r="J889" s="368">
        <v>0</v>
      </c>
      <c r="K889" s="368">
        <v>0</v>
      </c>
      <c r="L889" s="368">
        <v>0</v>
      </c>
      <c r="M889" s="368">
        <v>2.6042886997659099E-2</v>
      </c>
      <c r="N889" s="368">
        <v>0.36357047276194199</v>
      </c>
      <c r="O889" s="368">
        <v>3.0368312566581301</v>
      </c>
      <c r="T889" s="137">
        <v>3</v>
      </c>
      <c r="U889" s="137" t="s">
        <v>256</v>
      </c>
      <c r="V889" s="136" t="s">
        <v>536</v>
      </c>
      <c r="W889" s="136" t="s">
        <v>552</v>
      </c>
      <c r="X889" s="136" t="s">
        <v>555</v>
      </c>
      <c r="Y889" s="172">
        <f>IFERROR(-tblZwaste1422[[#This Row],[Weight (kgCO2e/kg)]],0)</f>
        <v>-1.9798800000000001</v>
      </c>
      <c r="Z889" s="172">
        <f>IF(AQ889="x",(AR889*-tblZwaste1422[[#This Row],[Weight (kgCO2e/kg)]])+AS889+($AR$10*Lookups!$J$38/1000),"DELETE")</f>
        <v>-1.8968017927</v>
      </c>
      <c r="AA889" s="176">
        <v>-2.3565037764709471</v>
      </c>
      <c r="AB889" s="172" t="s">
        <v>567</v>
      </c>
      <c r="AC889" s="172" t="s">
        <v>567</v>
      </c>
      <c r="AD889" s="172">
        <v>2.6042873003266701E-2</v>
      </c>
      <c r="AE889" s="172">
        <v>-0.15958393285442499</v>
      </c>
      <c r="AF889" s="172">
        <v>-0.13071917043242301</v>
      </c>
      <c r="AG889" s="150"/>
      <c r="AI889" s="137">
        <v>3</v>
      </c>
      <c r="AJ889" s="136" t="s">
        <v>256</v>
      </c>
      <c r="AK889" s="142" t="s">
        <v>536</v>
      </c>
      <c r="AL889" s="5" t="s">
        <v>552</v>
      </c>
      <c r="AM889" s="5" t="s">
        <v>555</v>
      </c>
      <c r="AN889" s="1">
        <v>1.9798800000000001</v>
      </c>
      <c r="AO889" s="166">
        <v>0.72957000000000005</v>
      </c>
      <c r="AQ889" t="str">
        <f>_xlfn.XLOOKUP(tblGWP21[[#This Row],[Material Subcategory]],ls_Mat,Factors!$K$952:$K$1023)</f>
        <v>x</v>
      </c>
      <c r="AR889" s="173">
        <v>1</v>
      </c>
      <c r="AS889">
        <v>8.1306407300000008E-2</v>
      </c>
      <c r="AT889" t="s">
        <v>531</v>
      </c>
      <c r="BA889" cm="1">
        <f t="array" ref="BA889:BM889">tblGWP21[#This Row]</f>
        <v>3</v>
      </c>
      <c r="BB889" t="str">
        <v>Metals</v>
      </c>
      <c r="BC889" t="str">
        <v>Ferrous Cans</v>
      </c>
      <c r="BD889" t="str">
        <v>South America</v>
      </c>
      <c r="BE889" t="str">
        <v>Brazil</v>
      </c>
      <c r="BF889">
        <v>-1.9798800000000001</v>
      </c>
      <c r="BG889">
        <v>-1.8968017927</v>
      </c>
      <c r="BH889">
        <v>-2.3565037764709471</v>
      </c>
      <c r="BI889" t="str">
        <v>DELETE</v>
      </c>
      <c r="BJ889" t="str">
        <v>DELETE</v>
      </c>
      <c r="BK889">
        <v>2.6042873003266701E-2</v>
      </c>
      <c r="BL889">
        <v>-0.15958393285442499</v>
      </c>
      <c r="BM889">
        <v>-0.13071917043242301</v>
      </c>
    </row>
    <row r="890" spans="3:65">
      <c r="C890" s="136">
        <v>3</v>
      </c>
      <c r="D890" s="137" t="s">
        <v>242</v>
      </c>
      <c r="E890" s="136" t="s">
        <v>242</v>
      </c>
      <c r="F890" s="136" t="s">
        <v>552</v>
      </c>
      <c r="G890" s="136" t="s">
        <v>555</v>
      </c>
      <c r="H890" s="191">
        <v>-38.486130000000003</v>
      </c>
      <c r="I890" s="191">
        <v>-27.900672450000002</v>
      </c>
      <c r="J890" s="191">
        <v>-3.2868550000000001</v>
      </c>
      <c r="K890" s="191">
        <v>0</v>
      </c>
      <c r="L890" s="191">
        <v>0</v>
      </c>
      <c r="M890" s="191">
        <v>2.5860000000000001E-2</v>
      </c>
      <c r="N890" s="191">
        <v>4.0984842545202599E-2</v>
      </c>
      <c r="O890" s="191">
        <v>4.8934666491893597E-2</v>
      </c>
      <c r="T890" s="137">
        <v>3</v>
      </c>
      <c r="U890" s="137" t="s">
        <v>256</v>
      </c>
      <c r="V890" s="136" t="s">
        <v>257</v>
      </c>
      <c r="W890" s="136" t="s">
        <v>552</v>
      </c>
      <c r="X890" s="136" t="s">
        <v>555</v>
      </c>
      <c r="Y890" s="172">
        <f>IFERROR(-tblZwaste1422[[#This Row],[Weight (kgCO2e/kg)]],0)</f>
        <v>-1.9798800000000001</v>
      </c>
      <c r="Z890" s="172">
        <f>IF(AQ890="x",(AR890*-tblZwaste1422[[#This Row],[Weight (kgCO2e/kg)]])+AS890+($AR$10*Lookups!$J$38/1000),"DELETE")</f>
        <v>-1.8968017927</v>
      </c>
      <c r="AA890" s="176">
        <v>-2.3565037764709471</v>
      </c>
      <c r="AB890" s="172" t="s">
        <v>567</v>
      </c>
      <c r="AC890" s="172" t="s">
        <v>567</v>
      </c>
      <c r="AD890" s="172">
        <v>2.6042873003266701E-2</v>
      </c>
      <c r="AE890" s="172">
        <v>-0.15958393285442499</v>
      </c>
      <c r="AF890" s="172">
        <v>-0.13071917043242301</v>
      </c>
      <c r="AG890" s="150"/>
      <c r="AI890" s="137">
        <v>3</v>
      </c>
      <c r="AJ890" s="136" t="s">
        <v>256</v>
      </c>
      <c r="AK890" s="142" t="s">
        <v>257</v>
      </c>
      <c r="AL890" s="5" t="s">
        <v>552</v>
      </c>
      <c r="AM890" s="5" t="s">
        <v>555</v>
      </c>
      <c r="AN890" s="1">
        <v>1.9798800000000001</v>
      </c>
      <c r="AO890" s="166">
        <v>0.46493000000000001</v>
      </c>
      <c r="AQ890" t="str">
        <f>_xlfn.XLOOKUP(tblGWP21[[#This Row],[Material Subcategory]],ls_Mat,Factors!$K$952:$K$1023)</f>
        <v>x</v>
      </c>
      <c r="AR890" s="173">
        <v>1</v>
      </c>
      <c r="AS890">
        <v>8.1306407300000008E-2</v>
      </c>
      <c r="AT890" t="s">
        <v>531</v>
      </c>
      <c r="BA890" cm="1">
        <f t="array" ref="BA890:BM890">tblGWP21[#This Row]</f>
        <v>3</v>
      </c>
      <c r="BB890" t="str">
        <v>Metals</v>
      </c>
      <c r="BC890" t="str">
        <v>Ferrous Metal</v>
      </c>
      <c r="BD890" t="str">
        <v>South America</v>
      </c>
      <c r="BE890" t="str">
        <v>Brazil</v>
      </c>
      <c r="BF890">
        <v>-1.9798800000000001</v>
      </c>
      <c r="BG890">
        <v>-1.8968017927</v>
      </c>
      <c r="BH890">
        <v>-2.3565037764709471</v>
      </c>
      <c r="BI890" t="str">
        <v>DELETE</v>
      </c>
      <c r="BJ890" t="str">
        <v>DELETE</v>
      </c>
      <c r="BK890">
        <v>2.6042873003266701E-2</v>
      </c>
      <c r="BL890">
        <v>-0.15958393285442499</v>
      </c>
      <c r="BM890">
        <v>-0.13071917043242301</v>
      </c>
    </row>
    <row r="891" spans="3:65">
      <c r="C891" s="362">
        <v>3</v>
      </c>
      <c r="D891" s="363" t="s">
        <v>242</v>
      </c>
      <c r="E891" s="362" t="s">
        <v>274</v>
      </c>
      <c r="F891" s="362" t="s">
        <v>552</v>
      </c>
      <c r="G891" s="362" t="s">
        <v>555</v>
      </c>
      <c r="H891" s="368">
        <v>-38.486130000000003</v>
      </c>
      <c r="I891" s="368">
        <v>-27.900672450000002</v>
      </c>
      <c r="J891" s="368">
        <v>-8.5278425000000002</v>
      </c>
      <c r="K891" s="368">
        <v>0</v>
      </c>
      <c r="L891" s="368">
        <v>0</v>
      </c>
      <c r="M891" s="368">
        <v>2.5860000000000001E-2</v>
      </c>
      <c r="N891" s="368">
        <v>4.0984842545202599E-2</v>
      </c>
      <c r="O891" s="368">
        <v>4.8934666491893597E-2</v>
      </c>
      <c r="T891" s="137">
        <v>3</v>
      </c>
      <c r="U891" s="137" t="s">
        <v>256</v>
      </c>
      <c r="V891" s="136" t="s">
        <v>537</v>
      </c>
      <c r="W891" s="136" t="s">
        <v>552</v>
      </c>
      <c r="X891" s="136" t="s">
        <v>555</v>
      </c>
      <c r="Y891" s="172">
        <f>IFERROR(-tblZwaste1422[[#This Row],[Weight (kgCO2e/kg)]],0)</f>
        <v>-5.0082800000000001</v>
      </c>
      <c r="Z891" s="172">
        <f>IF(AQ891="x",(AR891*-tblZwaste1422[[#This Row],[Weight (kgCO2e/kg)]])+AS891+($AR$10*Lookups!$J$38/1000),"DELETE")</f>
        <v>-4.9252017927000002</v>
      </c>
      <c r="AA891" s="176">
        <f>-24.3079766101199*0.21739130434</f>
        <v>-5.2843427411401773</v>
      </c>
      <c r="AB891" s="172" t="s">
        <v>567</v>
      </c>
      <c r="AC891" s="172" t="s">
        <v>567</v>
      </c>
      <c r="AD891" s="172">
        <v>2.5860000000000001E-2</v>
      </c>
      <c r="AE891" s="172">
        <v>-5.6611752205430597E-2</v>
      </c>
      <c r="AF891" s="172">
        <v>-4.8378005974929097E-2</v>
      </c>
      <c r="AG891" s="150"/>
      <c r="AI891" s="137">
        <v>3</v>
      </c>
      <c r="AJ891" s="136" t="s">
        <v>256</v>
      </c>
      <c r="AK891" s="142" t="s">
        <v>537</v>
      </c>
      <c r="AL891" s="5" t="s">
        <v>552</v>
      </c>
      <c r="AM891" s="5" t="s">
        <v>555</v>
      </c>
      <c r="AN891" s="1">
        <v>5.0082800000000001</v>
      </c>
      <c r="AO891" s="166">
        <v>1.54878</v>
      </c>
      <c r="AQ891" t="str">
        <f>_xlfn.XLOOKUP(tblGWP21[[#This Row],[Material Subcategory]],ls_Mat,Factors!$K$952:$K$1023)</f>
        <v>x</v>
      </c>
      <c r="AR891" s="173">
        <v>1</v>
      </c>
      <c r="AS891">
        <v>8.1306407300000008E-2</v>
      </c>
      <c r="AT891" t="s">
        <v>531</v>
      </c>
      <c r="BA891" cm="1">
        <f t="array" ref="BA891:BM891">tblGWP21[#This Row]</f>
        <v>3</v>
      </c>
      <c r="BB891" t="str">
        <v>Metals</v>
      </c>
      <c r="BC891" t="str">
        <v>Aluminum Cans</v>
      </c>
      <c r="BD891" t="str">
        <v>South America</v>
      </c>
      <c r="BE891" t="str">
        <v>Brazil</v>
      </c>
      <c r="BF891">
        <v>-5.0082800000000001</v>
      </c>
      <c r="BG891">
        <v>-4.9252017927000002</v>
      </c>
      <c r="BH891">
        <v>-5.2843427411401773</v>
      </c>
      <c r="BI891" t="str">
        <v>DELETE</v>
      </c>
      <c r="BJ891" t="str">
        <v>DELETE</v>
      </c>
      <c r="BK891">
        <v>2.5860000000000001E-2</v>
      </c>
      <c r="BL891">
        <v>-5.6611752205430597E-2</v>
      </c>
      <c r="BM891">
        <v>-4.8378005974929097E-2</v>
      </c>
    </row>
    <row r="892" spans="3:65">
      <c r="C892" s="136">
        <v>3</v>
      </c>
      <c r="D892" s="137" t="s">
        <v>242</v>
      </c>
      <c r="E892" s="136" t="s">
        <v>534</v>
      </c>
      <c r="F892" s="136" t="s">
        <v>552</v>
      </c>
      <c r="G892" s="136" t="s">
        <v>555</v>
      </c>
      <c r="H892" s="191">
        <v>-15.0122</v>
      </c>
      <c r="I892" s="191">
        <v>-10.882073199999999</v>
      </c>
      <c r="J892" s="191">
        <v>-3.19428</v>
      </c>
      <c r="K892" s="191">
        <v>0</v>
      </c>
      <c r="L892" s="191">
        <v>0</v>
      </c>
      <c r="M892" s="191">
        <v>2.5860000000000001E-2</v>
      </c>
      <c r="N892" s="191">
        <v>4.0984842545202599E-2</v>
      </c>
      <c r="O892" s="191">
        <v>4.8934666491893597E-2</v>
      </c>
      <c r="T892" s="137">
        <v>3</v>
      </c>
      <c r="U892" s="137" t="s">
        <v>256</v>
      </c>
      <c r="V892" s="136" t="s">
        <v>538</v>
      </c>
      <c r="W892" s="136" t="s">
        <v>552</v>
      </c>
      <c r="X892" s="136" t="s">
        <v>555</v>
      </c>
      <c r="Y892" s="172">
        <f>IFERROR(-tblZwaste1422[[#This Row],[Weight (kgCO2e/kg)]],0)</f>
        <v>-4.6396800000000002</v>
      </c>
      <c r="Z892" s="172" t="str">
        <f>IF(AQ892="x",(AR892*-tblZwaste1422[[#This Row],[Weight (kgCO2e/kg)]])+AS892+($AR$10*Lookups!$J$38/1000),"DELETE")</f>
        <v>DELETE</v>
      </c>
      <c r="AA892" s="176" t="s">
        <v>567</v>
      </c>
      <c r="AB892" s="172" t="s">
        <v>567</v>
      </c>
      <c r="AC892" s="172" t="s">
        <v>567</v>
      </c>
      <c r="AD892" s="172">
        <v>2.5860000000000001E-2</v>
      </c>
      <c r="AE892" s="172">
        <v>-5.2731480993355298E-2</v>
      </c>
      <c r="AF892" s="172">
        <v>-4.8378005974929202E-2</v>
      </c>
      <c r="AG892" s="150"/>
      <c r="AI892" s="137">
        <v>3</v>
      </c>
      <c r="AJ892" s="136" t="s">
        <v>256</v>
      </c>
      <c r="AK892" s="142" t="s">
        <v>538</v>
      </c>
      <c r="AL892" s="5" t="s">
        <v>552</v>
      </c>
      <c r="AM892" s="5" t="s">
        <v>555</v>
      </c>
      <c r="AN892" s="1">
        <v>4.6396800000000002</v>
      </c>
      <c r="AO892" s="166">
        <v>1.54878</v>
      </c>
      <c r="AQ892">
        <f>_xlfn.XLOOKUP(tblGWP21[[#This Row],[Material Subcategory]],ls_Mat,Factors!$K$952:$K$1023)</f>
        <v>0</v>
      </c>
      <c r="AR892" s="173"/>
      <c r="BA892" cm="1">
        <f t="array" ref="BA892:BM892">tblGWP21[#This Row]</f>
        <v>3</v>
      </c>
      <c r="BB892" t="str">
        <v>Metals</v>
      </c>
      <c r="BC892" t="str">
        <v>Aluminum Foil</v>
      </c>
      <c r="BD892" t="str">
        <v>South America</v>
      </c>
      <c r="BE892" t="str">
        <v>Brazil</v>
      </c>
      <c r="BF892">
        <v>-4.6396800000000002</v>
      </c>
      <c r="BG892" t="str">
        <v>DELETE</v>
      </c>
      <c r="BH892" t="str">
        <v>DELETE</v>
      </c>
      <c r="BI892" t="str">
        <v>DELETE</v>
      </c>
      <c r="BJ892" t="str">
        <v>DELETE</v>
      </c>
      <c r="BK892">
        <v>2.5860000000000001E-2</v>
      </c>
      <c r="BL892">
        <v>-5.2731480993355298E-2</v>
      </c>
      <c r="BM892">
        <v>-4.8378005974929202E-2</v>
      </c>
    </row>
    <row r="893" spans="3:65">
      <c r="C893" s="362">
        <v>3</v>
      </c>
      <c r="D893" s="363" t="s">
        <v>239</v>
      </c>
      <c r="E893" s="362" t="s">
        <v>239</v>
      </c>
      <c r="F893" s="362" t="s">
        <v>552</v>
      </c>
      <c r="G893" s="362" t="s">
        <v>555</v>
      </c>
      <c r="H893" s="368">
        <v>-2.6644477777777777</v>
      </c>
      <c r="I893" s="368">
        <v>-1.7194614644444446</v>
      </c>
      <c r="J893" s="368">
        <v>-0.91191428180792811</v>
      </c>
      <c r="K893" s="368">
        <v>-1.6286344906372801</v>
      </c>
      <c r="L893" s="368">
        <v>-2.3972313350924299</v>
      </c>
      <c r="M893" s="368">
        <v>-0.66697991340315199</v>
      </c>
      <c r="N893" s="368">
        <v>-0.942225030340478</v>
      </c>
      <c r="O893" s="368">
        <v>2.74731001572785E-2</v>
      </c>
      <c r="T893" s="137">
        <v>3</v>
      </c>
      <c r="U893" s="137" t="s">
        <v>256</v>
      </c>
      <c r="V893" s="136" t="s">
        <v>258</v>
      </c>
      <c r="W893" s="136" t="s">
        <v>552</v>
      </c>
      <c r="X893" s="136" t="s">
        <v>555</v>
      </c>
      <c r="Y893" s="172">
        <f>IFERROR(-tblZwaste1422[[#This Row],[Weight (kgCO2e/kg)]],0)</f>
        <v>-4.6396800000000002</v>
      </c>
      <c r="Z893" s="172">
        <f>IF(AQ893="x",(AR893*-tblZwaste1422[[#This Row],[Weight (kgCO2e/kg)]])+AS893+($AR$10*Lookups!$J$38/1000),"DELETE")</f>
        <v>-4.5566017927000004</v>
      </c>
      <c r="AA893" s="176">
        <f>-23.5638548771571*0.21739130434</f>
        <v>-5.1225771470236534</v>
      </c>
      <c r="AB893" s="172" t="s">
        <v>567</v>
      </c>
      <c r="AC893" s="172" t="s">
        <v>567</v>
      </c>
      <c r="AD893" s="172">
        <v>2.5860000000000001E-2</v>
      </c>
      <c r="AE893" s="172">
        <v>-5.6611752205430597E-2</v>
      </c>
      <c r="AF893" s="172">
        <v>-4.8378005974929202E-2</v>
      </c>
      <c r="AG893" s="150"/>
      <c r="AI893" s="137">
        <v>3</v>
      </c>
      <c r="AJ893" s="136" t="s">
        <v>256</v>
      </c>
      <c r="AK893" s="142" t="s">
        <v>258</v>
      </c>
      <c r="AL893" s="5" t="s">
        <v>552</v>
      </c>
      <c r="AM893" s="5" t="s">
        <v>555</v>
      </c>
      <c r="AN893" s="1">
        <v>4.6396800000000002</v>
      </c>
      <c r="AO893" s="166">
        <v>1.54878</v>
      </c>
      <c r="AQ893" t="str">
        <f>_xlfn.XLOOKUP(tblGWP21[[#This Row],[Material Subcategory]],ls_Mat,Factors!$K$952:$K$1023)</f>
        <v>x</v>
      </c>
      <c r="AR893" s="173">
        <v>1</v>
      </c>
      <c r="AS893">
        <v>8.1306407300000008E-2</v>
      </c>
      <c r="AT893" t="s">
        <v>531</v>
      </c>
      <c r="BA893" cm="1">
        <f t="array" ref="BA893:BM893">tblGWP21[#This Row]</f>
        <v>3</v>
      </c>
      <c r="BB893" t="str">
        <v>Metals</v>
      </c>
      <c r="BC893" t="str">
        <v>Other Aluminum</v>
      </c>
      <c r="BD893" t="str">
        <v>South America</v>
      </c>
      <c r="BE893" t="str">
        <v>Brazil</v>
      </c>
      <c r="BF893">
        <v>-4.6396800000000002</v>
      </c>
      <c r="BG893">
        <v>-4.5566017927000004</v>
      </c>
      <c r="BH893">
        <v>-5.1225771470236534</v>
      </c>
      <c r="BI893" t="str">
        <v>DELETE</v>
      </c>
      <c r="BJ893" t="str">
        <v>DELETE</v>
      </c>
      <c r="BK893">
        <v>2.5860000000000001E-2</v>
      </c>
      <c r="BL893">
        <v>-5.6611752205430597E-2</v>
      </c>
      <c r="BM893">
        <v>-4.8378005974929202E-2</v>
      </c>
    </row>
    <row r="894" spans="3:65">
      <c r="C894" s="136">
        <v>3</v>
      </c>
      <c r="D894" s="137" t="s">
        <v>239</v>
      </c>
      <c r="E894" s="136" t="s">
        <v>324</v>
      </c>
      <c r="F894" s="136" t="s">
        <v>552</v>
      </c>
      <c r="G894" s="136" t="s">
        <v>555</v>
      </c>
      <c r="H894" s="191">
        <v>-1.66</v>
      </c>
      <c r="I894" s="191">
        <v>0</v>
      </c>
      <c r="J894" s="191">
        <v>0.129009716048088</v>
      </c>
      <c r="K894" s="191">
        <v>-1.6392456408190901</v>
      </c>
      <c r="L894" s="191">
        <v>-2.2430244881972801</v>
      </c>
      <c r="M894" s="191">
        <v>-1.1391950666710899</v>
      </c>
      <c r="N894" s="191">
        <v>-1.02415368418064</v>
      </c>
      <c r="O894" s="191">
        <v>2.66831358779176E-2</v>
      </c>
      <c r="T894" s="137">
        <v>3</v>
      </c>
      <c r="U894" s="137" t="s">
        <v>247</v>
      </c>
      <c r="V894" s="136" t="s">
        <v>247</v>
      </c>
      <c r="W894" s="136" t="s">
        <v>552</v>
      </c>
      <c r="X894" s="136" t="s">
        <v>555</v>
      </c>
      <c r="Y894" s="172">
        <f>IFERROR(-tblZwaste1422[[#This Row],[Weight (kgCO2e/kg)]],0)</f>
        <v>-1.0505633333333335</v>
      </c>
      <c r="Z894" s="172">
        <f>IF(AQ894="x",(AR894*-tblZwaste1422[[#This Row],[Weight (kgCO2e/kg)]])+AS894+($AR$10*Lookups!$J$38/1000),"DELETE")</f>
        <v>-0.96748512603333348</v>
      </c>
      <c r="AA894" s="176">
        <v>-0.32015017608359242</v>
      </c>
      <c r="AB894" s="172" t="s">
        <v>567</v>
      </c>
      <c r="AC894" s="172" t="s">
        <v>567</v>
      </c>
      <c r="AD894" s="172">
        <v>2.60428875296266E-2</v>
      </c>
      <c r="AE894" s="172">
        <v>2.89297378114915E-2</v>
      </c>
      <c r="AF894" s="172">
        <v>4.8936183219078298E-2</v>
      </c>
      <c r="AG894" s="150"/>
      <c r="AI894" s="137">
        <v>3</v>
      </c>
      <c r="AJ894" s="136" t="s">
        <v>247</v>
      </c>
      <c r="AK894" s="142" t="s">
        <v>247</v>
      </c>
      <c r="AL894" s="5" t="s">
        <v>552</v>
      </c>
      <c r="AM894" s="5" t="s">
        <v>555</v>
      </c>
      <c r="AN894" s="1">
        <v>1.0505633333333335</v>
      </c>
      <c r="AO894" s="166">
        <v>0.89563000000000004</v>
      </c>
      <c r="AQ894" t="str">
        <f>_xlfn.XLOOKUP(tblGWP21[[#This Row],[Material Subcategory]],ls_Mat,Factors!$K$952:$K$1023)</f>
        <v>x</v>
      </c>
      <c r="AR894" s="173">
        <v>1</v>
      </c>
      <c r="AS894">
        <v>8.1306407300000008E-2</v>
      </c>
      <c r="AT894" t="s">
        <v>531</v>
      </c>
      <c r="BA894" cm="1">
        <f t="array" ref="BA894:BM894">tblGWP21[#This Row]</f>
        <v>3</v>
      </c>
      <c r="BB894" t="str">
        <v>Glass</v>
      </c>
      <c r="BC894" t="str">
        <v>Glass</v>
      </c>
      <c r="BD894" t="str">
        <v>South America</v>
      </c>
      <c r="BE894" t="str">
        <v>Brazil</v>
      </c>
      <c r="BF894">
        <v>-1.0505633333333335</v>
      </c>
      <c r="BG894">
        <v>-0.96748512603333348</v>
      </c>
      <c r="BH894">
        <v>-0.32015017608359242</v>
      </c>
      <c r="BI894" t="str">
        <v>DELETE</v>
      </c>
      <c r="BJ894" t="str">
        <v>DELETE</v>
      </c>
      <c r="BK894">
        <v>2.60428875296266E-2</v>
      </c>
      <c r="BL894">
        <v>2.89297378114915E-2</v>
      </c>
      <c r="BM894">
        <v>4.8936183219078298E-2</v>
      </c>
    </row>
    <row r="895" spans="3:65">
      <c r="C895" s="362">
        <v>3</v>
      </c>
      <c r="D895" s="363" t="s">
        <v>239</v>
      </c>
      <c r="E895" s="362" t="s">
        <v>272</v>
      </c>
      <c r="F895" s="362" t="s">
        <v>552</v>
      </c>
      <c r="G895" s="362" t="s">
        <v>555</v>
      </c>
      <c r="H895" s="368">
        <v>-2.1278299999999999</v>
      </c>
      <c r="I895" s="368">
        <v>-1.3728063799999999</v>
      </c>
      <c r="J895" s="368">
        <v>1.81399269502295E-2</v>
      </c>
      <c r="K895" s="368">
        <v>-1.46605946421915</v>
      </c>
      <c r="L895" s="368">
        <v>-2.2614031725356099</v>
      </c>
      <c r="M895" s="368">
        <v>3.6729999999999999E-2</v>
      </c>
      <c r="N895" s="368">
        <v>-0.80637927493084305</v>
      </c>
      <c r="O895" s="368">
        <v>3.4587427043835002E-2</v>
      </c>
      <c r="T895" s="137">
        <v>3</v>
      </c>
      <c r="U895" s="137" t="s">
        <v>247</v>
      </c>
      <c r="V895" s="136" t="s">
        <v>248</v>
      </c>
      <c r="W895" s="136" t="s">
        <v>552</v>
      </c>
      <c r="X895" s="136" t="s">
        <v>555</v>
      </c>
      <c r="Y895" s="172">
        <f>IFERROR(-tblZwaste1422[[#This Row],[Weight (kgCO2e/kg)]],0)</f>
        <v>-1.0606100000000001</v>
      </c>
      <c r="Z895" s="172">
        <f>IF(AQ895="x",(AR895*-tblZwaste1422[[#This Row],[Weight (kgCO2e/kg)]])+AS895+($AR$10*Lookups!$J$38/1000),"DELETE")</f>
        <v>-0.97753179270000001</v>
      </c>
      <c r="AA895" s="176">
        <v>-0.16783647372309501</v>
      </c>
      <c r="AB895" s="172" t="s">
        <v>567</v>
      </c>
      <c r="AC895" s="172" t="s">
        <v>567</v>
      </c>
      <c r="AD895" s="172">
        <v>2.6042893584184702E-2</v>
      </c>
      <c r="AE895" s="172">
        <v>3.3109226842325201E-2</v>
      </c>
      <c r="AF895" s="172">
        <v>4.8934999613471301E-2</v>
      </c>
      <c r="AG895" s="150"/>
      <c r="AI895" s="137">
        <v>3</v>
      </c>
      <c r="AJ895" s="136" t="s">
        <v>247</v>
      </c>
      <c r="AK895" s="142" t="s">
        <v>248</v>
      </c>
      <c r="AL895" s="5" t="s">
        <v>552</v>
      </c>
      <c r="AM895" s="5" t="s">
        <v>555</v>
      </c>
      <c r="AN895" s="1">
        <v>1.0606100000000001</v>
      </c>
      <c r="AO895" s="166">
        <v>0.89563000000000004</v>
      </c>
      <c r="AQ895" t="str">
        <f>_xlfn.XLOOKUP(tblGWP21[[#This Row],[Material Subcategory]],ls_Mat,Factors!$K$952:$K$1023)</f>
        <v>x</v>
      </c>
      <c r="AR895" s="173">
        <v>1</v>
      </c>
      <c r="AS895">
        <v>8.1306407300000008E-2</v>
      </c>
      <c r="AT895" t="s">
        <v>531</v>
      </c>
      <c r="BA895" cm="1">
        <f t="array" ref="BA895:BM895">tblGWP21[#This Row]</f>
        <v>3</v>
      </c>
      <c r="BB895" t="str">
        <v>Glass</v>
      </c>
      <c r="BC895" t="str">
        <v>Glass – Brown</v>
      </c>
      <c r="BD895" t="str">
        <v>South America</v>
      </c>
      <c r="BE895" t="str">
        <v>Brazil</v>
      </c>
      <c r="BF895">
        <v>-1.0606100000000001</v>
      </c>
      <c r="BG895">
        <v>-0.97753179270000001</v>
      </c>
      <c r="BH895">
        <v>-0.16783647372309501</v>
      </c>
      <c r="BI895" t="str">
        <v>DELETE</v>
      </c>
      <c r="BJ895" t="str">
        <v>DELETE</v>
      </c>
      <c r="BK895">
        <v>2.6042893584184702E-2</v>
      </c>
      <c r="BL895">
        <v>3.3109226842325201E-2</v>
      </c>
      <c r="BM895">
        <v>4.8934999613471301E-2</v>
      </c>
    </row>
    <row r="896" spans="3:65">
      <c r="C896" s="136">
        <v>3</v>
      </c>
      <c r="D896" s="137" t="s">
        <v>239</v>
      </c>
      <c r="E896" s="136" t="s">
        <v>329</v>
      </c>
      <c r="F896" s="136" t="s">
        <v>552</v>
      </c>
      <c r="G896" s="136" t="s">
        <v>555</v>
      </c>
      <c r="H896" s="191">
        <v>-3.4792200000000002</v>
      </c>
      <c r="I896" s="191">
        <v>0</v>
      </c>
      <c r="J896" s="191">
        <v>-3.0232919690684583</v>
      </c>
      <c r="K896" s="191">
        <v>-1.5885742653418</v>
      </c>
      <c r="L896" s="191">
        <v>-2.529374748105</v>
      </c>
      <c r="M896" s="191">
        <v>0.41447129794550402</v>
      </c>
      <c r="N896" s="191">
        <v>-0.80956025349591698</v>
      </c>
      <c r="O896" s="191">
        <v>3.7252082665396299E-2</v>
      </c>
      <c r="T896" s="137">
        <v>3</v>
      </c>
      <c r="U896" s="137" t="s">
        <v>247</v>
      </c>
      <c r="V896" s="136" t="s">
        <v>263</v>
      </c>
      <c r="W896" s="136" t="s">
        <v>552</v>
      </c>
      <c r="X896" s="136" t="s">
        <v>555</v>
      </c>
      <c r="Y896" s="172">
        <f>IFERROR(-tblZwaste1422[[#This Row],[Weight (kgCO2e/kg)]],0)</f>
        <v>-1.0341199999999999</v>
      </c>
      <c r="Z896" s="172">
        <f>IF(AQ896="x",(AR896*-tblZwaste1422[[#This Row],[Weight (kgCO2e/kg)]])+AS896+($AR$10*Lookups!$J$38/1000),"DELETE")</f>
        <v>-0.95104179269999989</v>
      </c>
      <c r="AA896" s="176">
        <v>-0.16783647372309501</v>
      </c>
      <c r="AB896" s="172" t="s">
        <v>567</v>
      </c>
      <c r="AC896" s="172" t="s">
        <v>567</v>
      </c>
      <c r="AD896" s="172">
        <v>2.6042897336766301E-2</v>
      </c>
      <c r="AE896" s="172">
        <v>3.5614574402337999E-2</v>
      </c>
      <c r="AF896" s="172">
        <v>4.8935075181609701E-2</v>
      </c>
      <c r="AG896" s="150"/>
      <c r="AI896" s="137">
        <v>3</v>
      </c>
      <c r="AJ896" s="136" t="s">
        <v>247</v>
      </c>
      <c r="AK896" s="142" t="s">
        <v>263</v>
      </c>
      <c r="AL896" s="5" t="s">
        <v>552</v>
      </c>
      <c r="AM896" s="5" t="s">
        <v>555</v>
      </c>
      <c r="AN896" s="1">
        <v>1.0341199999999999</v>
      </c>
      <c r="AO896" s="166">
        <v>0.89563000000000004</v>
      </c>
      <c r="AQ896" t="str">
        <f>_xlfn.XLOOKUP(tblGWP21[[#This Row],[Material Subcategory]],ls_Mat,Factors!$K$952:$K$1023)</f>
        <v>x</v>
      </c>
      <c r="AR896" s="173">
        <v>1</v>
      </c>
      <c r="AS896">
        <v>8.1306407300000008E-2</v>
      </c>
      <c r="AT896" t="s">
        <v>531</v>
      </c>
      <c r="BA896" cm="1">
        <f t="array" ref="BA896:BM896">tblGWP21[#This Row]</f>
        <v>3</v>
      </c>
      <c r="BB896" t="str">
        <v>Glass</v>
      </c>
      <c r="BC896" t="str">
        <v>Glass – Green</v>
      </c>
      <c r="BD896" t="str">
        <v>South America</v>
      </c>
      <c r="BE896" t="str">
        <v>Brazil</v>
      </c>
      <c r="BF896">
        <v>-1.0341199999999999</v>
      </c>
      <c r="BG896">
        <v>-0.95104179269999989</v>
      </c>
      <c r="BH896">
        <v>-0.16783647372309501</v>
      </c>
      <c r="BI896" t="str">
        <v>DELETE</v>
      </c>
      <c r="BJ896" t="str">
        <v>DELETE</v>
      </c>
      <c r="BK896">
        <v>2.6042897336766301E-2</v>
      </c>
      <c r="BL896">
        <v>3.5614574402337999E-2</v>
      </c>
      <c r="BM896">
        <v>4.8935075181609701E-2</v>
      </c>
    </row>
    <row r="897" spans="3:65">
      <c r="C897" s="362">
        <v>3</v>
      </c>
      <c r="D897" s="363" t="s">
        <v>239</v>
      </c>
      <c r="E897" s="362" t="s">
        <v>271</v>
      </c>
      <c r="F897" s="362" t="s">
        <v>552</v>
      </c>
      <c r="G897" s="362" t="s">
        <v>555</v>
      </c>
      <c r="H897" s="368">
        <v>-3.1045600000000002</v>
      </c>
      <c r="I897" s="368">
        <v>0</v>
      </c>
      <c r="J897" s="368">
        <v>-1.0259035670339192</v>
      </c>
      <c r="K897" s="368">
        <v>-1.5038991018496</v>
      </c>
      <c r="L897" s="368">
        <v>-2.6105509359807</v>
      </c>
      <c r="M897" s="368">
        <v>-0.65152926151439705</v>
      </c>
      <c r="N897" s="368">
        <v>-0.77163933817139796</v>
      </c>
      <c r="O897" s="368">
        <v>4.0399503832453401E-2</v>
      </c>
      <c r="T897" s="137">
        <v>3</v>
      </c>
      <c r="U897" s="137" t="s">
        <v>247</v>
      </c>
      <c r="V897" s="136" t="s">
        <v>539</v>
      </c>
      <c r="W897" s="136" t="s">
        <v>552</v>
      </c>
      <c r="X897" s="136" t="s">
        <v>555</v>
      </c>
      <c r="Y897" s="172">
        <f>IFERROR(-tblZwaste1422[[#This Row],[Weight (kgCO2e/kg)]],0)</f>
        <v>-1.0569599999999999</v>
      </c>
      <c r="Z897" s="172">
        <f>IF(AQ897="x",(AR897*-tblZwaste1422[[#This Row],[Weight (kgCO2e/kg)]])+AS897+($AR$10*Lookups!$J$38/1000),"DELETE")</f>
        <v>-0.97388179269999986</v>
      </c>
      <c r="AA897" s="176">
        <v>-0.17313657289329801</v>
      </c>
      <c r="AB897" s="172" t="s">
        <v>567</v>
      </c>
      <c r="AC897" s="172" t="s">
        <v>567</v>
      </c>
      <c r="AD897" s="172">
        <v>2.60428777320173E-2</v>
      </c>
      <c r="AE897" s="172">
        <v>2.2198094085999199E-2</v>
      </c>
      <c r="AF897" s="172">
        <v>4.8937457971748297E-2</v>
      </c>
      <c r="AG897" s="150"/>
      <c r="AI897" s="137">
        <v>3</v>
      </c>
      <c r="AJ897" s="136" t="s">
        <v>247</v>
      </c>
      <c r="AK897" s="142" t="s">
        <v>539</v>
      </c>
      <c r="AL897" s="5" t="s">
        <v>552</v>
      </c>
      <c r="AM897" s="5" t="s">
        <v>555</v>
      </c>
      <c r="AN897" s="1">
        <v>1.0569599999999999</v>
      </c>
      <c r="AO897" s="166">
        <v>0.89563000000000004</v>
      </c>
      <c r="AQ897" t="str">
        <f>_xlfn.XLOOKUP(tblGWP21[[#This Row],[Material Subcategory]],ls_Mat,Factors!$K$952:$K$1023)</f>
        <v>x</v>
      </c>
      <c r="AR897" s="173">
        <v>1</v>
      </c>
      <c r="AS897">
        <v>8.1306407300000008E-2</v>
      </c>
      <c r="AT897" t="s">
        <v>531</v>
      </c>
      <c r="BA897" cm="1">
        <f t="array" ref="BA897:BM897">tblGWP21[#This Row]</f>
        <v>3</v>
      </c>
      <c r="BB897" t="str">
        <v>Glass</v>
      </c>
      <c r="BC897" t="str">
        <v>Glass – Clear</v>
      </c>
      <c r="BD897" t="str">
        <v>South America</v>
      </c>
      <c r="BE897" t="str">
        <v>Brazil</v>
      </c>
      <c r="BF897">
        <v>-1.0569599999999999</v>
      </c>
      <c r="BG897">
        <v>-0.97388179269999986</v>
      </c>
      <c r="BH897">
        <v>-0.17313657289329801</v>
      </c>
      <c r="BI897" t="str">
        <v>DELETE</v>
      </c>
      <c r="BJ897" t="str">
        <v>DELETE</v>
      </c>
      <c r="BK897">
        <v>2.60428777320173E-2</v>
      </c>
      <c r="BL897">
        <v>2.2198094085999199E-2</v>
      </c>
      <c r="BM897">
        <v>4.8937457971748297E-2</v>
      </c>
    </row>
    <row r="898" spans="3:65">
      <c r="C898" s="136">
        <v>3</v>
      </c>
      <c r="D898" s="137" t="s">
        <v>239</v>
      </c>
      <c r="E898" s="136" t="s">
        <v>535</v>
      </c>
      <c r="F898" s="136" t="s">
        <v>552</v>
      </c>
      <c r="G898" s="136" t="s">
        <v>555</v>
      </c>
      <c r="H898" s="191">
        <v>-3.1045600000000002</v>
      </c>
      <c r="I898" s="191">
        <v>0</v>
      </c>
      <c r="J898" s="191">
        <v>-1.0259035670339192</v>
      </c>
      <c r="K898" s="191">
        <v>-1.6125525501704201</v>
      </c>
      <c r="L898" s="191">
        <v>-2.6158035268424502</v>
      </c>
      <c r="M898" s="191">
        <v>-0.85021288760053804</v>
      </c>
      <c r="N898" s="191">
        <v>-0.85793168628016903</v>
      </c>
      <c r="O898" s="191">
        <v>2.9215875094976099E-2</v>
      </c>
      <c r="T898" s="137">
        <v>3</v>
      </c>
      <c r="U898" s="137" t="s">
        <v>247</v>
      </c>
      <c r="V898" s="136" t="s">
        <v>270</v>
      </c>
      <c r="W898" s="136" t="s">
        <v>552</v>
      </c>
      <c r="X898" s="136" t="s">
        <v>555</v>
      </c>
      <c r="Y898" s="172">
        <f>IFERROR(-tblZwaste1422[[#This Row],[Weight (kgCO2e/kg)]],0)</f>
        <v>-1.0505633333333335</v>
      </c>
      <c r="Z898" s="172">
        <f>IF(AQ898="x",(AR898*-tblZwaste1422[[#This Row],[Weight (kgCO2e/kg)]])+AS898+($AR$10*Lookups!$J$38/1000),"DELETE")</f>
        <v>-0.96748512603333348</v>
      </c>
      <c r="AA898" s="176">
        <v>-0.32015017608359242</v>
      </c>
      <c r="AB898" s="172" t="s">
        <v>567</v>
      </c>
      <c r="AC898" s="172" t="s">
        <v>567</v>
      </c>
      <c r="AD898" s="172">
        <v>2.60428875296266E-2</v>
      </c>
      <c r="AE898" s="172">
        <v>2.89297378114915E-2</v>
      </c>
      <c r="AF898" s="172">
        <v>4.8936183219078298E-2</v>
      </c>
      <c r="AG898" s="150"/>
      <c r="AI898" s="137">
        <v>3</v>
      </c>
      <c r="AJ898" s="136" t="s">
        <v>247</v>
      </c>
      <c r="AK898" s="142" t="s">
        <v>270</v>
      </c>
      <c r="AL898" s="5" t="s">
        <v>552</v>
      </c>
      <c r="AM898" s="5" t="s">
        <v>555</v>
      </c>
      <c r="AN898" s="1">
        <v>1.0505633333333335</v>
      </c>
      <c r="AO898" s="166">
        <v>0.89563000000000004</v>
      </c>
      <c r="AQ898" t="str">
        <f>_xlfn.XLOOKUP(tblGWP21[[#This Row],[Material Subcategory]],ls_Mat,Factors!$K$952:$K$1023)</f>
        <v>x</v>
      </c>
      <c r="AR898" s="173">
        <v>1</v>
      </c>
      <c r="AS898">
        <v>8.1306407300000008E-2</v>
      </c>
      <c r="AT898" t="s">
        <v>531</v>
      </c>
      <c r="BA898" cm="1">
        <f t="array" ref="BA898:BM898">tblGWP21[#This Row]</f>
        <v>3</v>
      </c>
      <c r="BB898" t="str">
        <v>Glass</v>
      </c>
      <c r="BC898" t="str">
        <v>Mixed Glass</v>
      </c>
      <c r="BD898" t="str">
        <v>South America</v>
      </c>
      <c r="BE898" t="str">
        <v>Brazil</v>
      </c>
      <c r="BF898">
        <v>-1.0505633333333335</v>
      </c>
      <c r="BG898">
        <v>-0.96748512603333348</v>
      </c>
      <c r="BH898">
        <v>-0.32015017608359242</v>
      </c>
      <c r="BI898" t="str">
        <v>DELETE</v>
      </c>
      <c r="BJ898" t="str">
        <v>DELETE</v>
      </c>
      <c r="BK898">
        <v>2.60428875296266E-2</v>
      </c>
      <c r="BL898">
        <v>2.89297378114915E-2</v>
      </c>
      <c r="BM898">
        <v>4.8936183219078298E-2</v>
      </c>
    </row>
    <row r="899" spans="3:65">
      <c r="C899" s="362">
        <v>3</v>
      </c>
      <c r="D899" s="363" t="s">
        <v>239</v>
      </c>
      <c r="E899" s="362" t="s">
        <v>259</v>
      </c>
      <c r="F899" s="362" t="s">
        <v>552</v>
      </c>
      <c r="G899" s="362" t="s">
        <v>555</v>
      </c>
      <c r="H899" s="368">
        <v>-2.86965</v>
      </c>
      <c r="I899" s="368">
        <v>0</v>
      </c>
      <c r="J899" s="368">
        <v>-1.0259035670339192</v>
      </c>
      <c r="K899" s="368">
        <v>-1.3276665253781801</v>
      </c>
      <c r="L899" s="368">
        <v>-2.0289072305326199</v>
      </c>
      <c r="M899" s="368">
        <v>-0.38444685255991901</v>
      </c>
      <c r="N899" s="368">
        <v>-0.69915364782550704</v>
      </c>
      <c r="O899" s="368">
        <v>2.8423287432432599E-2</v>
      </c>
      <c r="T899" s="137">
        <v>3</v>
      </c>
      <c r="U899" s="137" t="s">
        <v>247</v>
      </c>
      <c r="V899" s="136" t="s">
        <v>540</v>
      </c>
      <c r="W899" s="136" t="s">
        <v>552</v>
      </c>
      <c r="X899" s="136" t="s">
        <v>555</v>
      </c>
      <c r="Y899" s="172">
        <f>IFERROR(-tblZwaste1422[[#This Row],[Weight (kgCO2e/kg)]],0)</f>
        <v>-1.0473650000000001</v>
      </c>
      <c r="Z899" s="172">
        <f>IF(AQ899="x",(AR899*-tblZwaste1422[[#This Row],[Weight (kgCO2e/kg)]])+AS899+($AR$10*Lookups!$J$38/1000),"DELETE")</f>
        <v>-0.96428679270000006</v>
      </c>
      <c r="AA899" s="176" t="s">
        <v>567</v>
      </c>
      <c r="AB899" s="172" t="s">
        <v>567</v>
      </c>
      <c r="AC899" s="172" t="s">
        <v>567</v>
      </c>
      <c r="AD899" s="172">
        <v>2.6042870829753598E-2</v>
      </c>
      <c r="AE899" s="172">
        <v>2.4702921490784801E-2</v>
      </c>
      <c r="AF899" s="172">
        <v>4.8937013384659597E-2</v>
      </c>
      <c r="AG899" s="150"/>
      <c r="AI899" s="137">
        <v>3</v>
      </c>
      <c r="AJ899" s="136" t="s">
        <v>247</v>
      </c>
      <c r="AK899" s="142" t="s">
        <v>540</v>
      </c>
      <c r="AL899" s="5" t="s">
        <v>552</v>
      </c>
      <c r="AM899" s="5" t="s">
        <v>555</v>
      </c>
      <c r="AN899" s="1">
        <v>1.0473650000000001</v>
      </c>
      <c r="AO899" s="166">
        <v>0.89563000000000004</v>
      </c>
      <c r="AQ899" t="str">
        <f>_xlfn.XLOOKUP(tblGWP21[[#This Row],[Material Subcategory]],ls_Mat,Factors!$K$952:$K$1023)</f>
        <v>x</v>
      </c>
      <c r="AR899" s="173">
        <v>1</v>
      </c>
      <c r="AS899">
        <v>8.1306407300000008E-2</v>
      </c>
      <c r="AT899" t="s">
        <v>531</v>
      </c>
      <c r="BA899" cm="1">
        <f t="array" ref="BA899:BM899">tblGWP21[#This Row]</f>
        <v>3</v>
      </c>
      <c r="BB899" t="str">
        <v>Glass</v>
      </c>
      <c r="BC899" t="str">
        <v>Glass – Non-Recyclable</v>
      </c>
      <c r="BD899" t="str">
        <v>South America</v>
      </c>
      <c r="BE899" t="str">
        <v>Brazil</v>
      </c>
      <c r="BF899">
        <v>-1.0473650000000001</v>
      </c>
      <c r="BG899">
        <v>-0.96428679270000006</v>
      </c>
      <c r="BH899" t="str">
        <v>DELETE</v>
      </c>
      <c r="BI899" t="str">
        <v>DELETE</v>
      </c>
      <c r="BJ899" t="str">
        <v>DELETE</v>
      </c>
      <c r="BK899">
        <v>2.6042870829753598E-2</v>
      </c>
      <c r="BL899">
        <v>2.4702921490784801E-2</v>
      </c>
      <c r="BM899">
        <v>4.8937013384659597E-2</v>
      </c>
    </row>
    <row r="900" spans="3:65">
      <c r="C900" s="136">
        <v>3</v>
      </c>
      <c r="D900" s="137" t="s">
        <v>239</v>
      </c>
      <c r="E900" s="136" t="s">
        <v>334</v>
      </c>
      <c r="F900" s="136" t="s">
        <v>552</v>
      </c>
      <c r="G900" s="136" t="s">
        <v>555</v>
      </c>
      <c r="H900" s="191">
        <v>-2.86965</v>
      </c>
      <c r="I900" s="191">
        <v>0</v>
      </c>
      <c r="J900" s="191">
        <v>-1.0259035670339192</v>
      </c>
      <c r="K900" s="191">
        <v>-1.73808971123668</v>
      </c>
      <c r="L900" s="191">
        <v>-2.5030750757510498</v>
      </c>
      <c r="M900" s="191">
        <v>-0.33194863615908099</v>
      </c>
      <c r="N900" s="191">
        <v>-1.01965750869267</v>
      </c>
      <c r="O900" s="191">
        <v>2.6390224713508399E-2</v>
      </c>
      <c r="T900" s="137">
        <v>3</v>
      </c>
      <c r="U900" s="137" t="s">
        <v>261</v>
      </c>
      <c r="V900" s="136" t="s">
        <v>260</v>
      </c>
      <c r="W900" s="136" t="s">
        <v>552</v>
      </c>
      <c r="X900" s="136" t="s">
        <v>555</v>
      </c>
      <c r="Y900" s="172">
        <f>IFERROR(-tblZwaste1422[[#This Row],[Weight (kgCO2e/kg)]],0)</f>
        <v>-4.0364225925925927</v>
      </c>
      <c r="Z900" s="172" t="str">
        <f>IF(AQ900="x",(AR900*-tblZwaste1422[[#This Row],[Weight (kgCO2e/kg)]])+AS900+($AR$10*Lookups!$J$38/1000),"DELETE")</f>
        <v>DELETE</v>
      </c>
      <c r="AA900" s="176" t="s">
        <v>567</v>
      </c>
      <c r="AB900" s="172">
        <v>-0.50268967868134895</v>
      </c>
      <c r="AC900" s="172">
        <v>-0.86800826709700496</v>
      </c>
      <c r="AD900" s="172">
        <v>-0.17357286847922601</v>
      </c>
      <c r="AE900" s="172">
        <v>-0.27119781115654301</v>
      </c>
      <c r="AF900" s="172">
        <v>2.7532513622578698E-2</v>
      </c>
      <c r="AG900" s="150"/>
      <c r="AI900" s="137">
        <v>3</v>
      </c>
      <c r="AJ900" s="136" t="s">
        <v>529</v>
      </c>
      <c r="AK900" s="142" t="s">
        <v>260</v>
      </c>
      <c r="AL900" s="5" t="s">
        <v>552</v>
      </c>
      <c r="AM900" s="5" t="s">
        <v>555</v>
      </c>
      <c r="AN900" s="1">
        <v>4.0364225925925927</v>
      </c>
      <c r="AO900" s="166">
        <v>1.3856655555555555</v>
      </c>
      <c r="AQ900">
        <f>_xlfn.XLOOKUP(tblGWP21[[#This Row],[Material Subcategory]],ls_Mat,Factors!$K$952:$K$1023)</f>
        <v>0</v>
      </c>
      <c r="AR900" s="173"/>
      <c r="BA900" cm="1">
        <f t="array" ref="BA900:BM900">tblGWP21[#This Row]</f>
        <v>3</v>
      </c>
      <c r="BB900" t="str">
        <v>Food Waste</v>
      </c>
      <c r="BC900" t="str">
        <v>Mixed Organics</v>
      </c>
      <c r="BD900" t="str">
        <v>South America</v>
      </c>
      <c r="BE900" t="str">
        <v>Brazil</v>
      </c>
      <c r="BF900">
        <v>-4.0364225925925927</v>
      </c>
      <c r="BG900" t="str">
        <v>DELETE</v>
      </c>
      <c r="BH900" t="str">
        <v>DELETE</v>
      </c>
      <c r="BI900">
        <v>-0.50268967868134895</v>
      </c>
      <c r="BJ900">
        <v>-0.86800826709700496</v>
      </c>
      <c r="BK900">
        <v>-0.17357286847922601</v>
      </c>
      <c r="BL900">
        <v>-0.27119781115654301</v>
      </c>
      <c r="BM900">
        <v>2.7532513622578698E-2</v>
      </c>
    </row>
    <row r="901" spans="3:65">
      <c r="C901" s="362">
        <v>3</v>
      </c>
      <c r="D901" s="363" t="s">
        <v>239</v>
      </c>
      <c r="E901" s="362" t="s">
        <v>240</v>
      </c>
      <c r="F901" s="362" t="s">
        <v>552</v>
      </c>
      <c r="G901" s="362" t="s">
        <v>555</v>
      </c>
      <c r="H901" s="368">
        <v>-3.1045600000000002</v>
      </c>
      <c r="I901" s="368">
        <v>0</v>
      </c>
      <c r="J901" s="368">
        <v>0</v>
      </c>
      <c r="K901" s="368">
        <v>-1.76684223712483</v>
      </c>
      <c r="L901" s="368">
        <v>-2.59677628032569</v>
      </c>
      <c r="M901" s="368">
        <v>-0.66917552633073896</v>
      </c>
      <c r="N901" s="368">
        <v>0.27629902332726303</v>
      </c>
      <c r="O901" s="368">
        <v>2.3670137230060702</v>
      </c>
      <c r="T901" s="137">
        <v>3</v>
      </c>
      <c r="U901" s="137" t="s">
        <v>237</v>
      </c>
      <c r="V901" s="136" t="s">
        <v>237</v>
      </c>
      <c r="W901" s="136" t="s">
        <v>552</v>
      </c>
      <c r="X901" s="136" t="s">
        <v>555</v>
      </c>
      <c r="Y901" s="172">
        <f>IFERROR(-tblZwaste1422[[#This Row],[Weight (kgCO2e/kg)]],0)</f>
        <v>-2.8533815875203707</v>
      </c>
      <c r="Z901" s="172" t="e">
        <f>IF(AQ901="x",(AR901*-tblZwaste1422[[#This Row],[Weight (kgCO2e/kg)]])+AS901+($AR$10*Lookups!$J$38/1000),"DELETE")</f>
        <v>#N/A</v>
      </c>
      <c r="AA901" s="172" t="s">
        <v>567</v>
      </c>
      <c r="AB901" s="172" t="s">
        <v>567</v>
      </c>
      <c r="AC901" s="172" t="s">
        <v>567</v>
      </c>
      <c r="AD901" s="172">
        <v>-0.47372783008290564</v>
      </c>
      <c r="AE901" s="172">
        <v>-0.60541892774296602</v>
      </c>
      <c r="AF901" s="172">
        <v>2.7971221813722445E-2</v>
      </c>
      <c r="AG901" s="150"/>
      <c r="AI901" s="137">
        <v>3</v>
      </c>
      <c r="AJ901" s="136" t="s">
        <v>237</v>
      </c>
      <c r="AK901" s="142" t="s">
        <v>237</v>
      </c>
      <c r="AL901" s="5" t="s">
        <v>552</v>
      </c>
      <c r="AM901" s="5" t="s">
        <v>555</v>
      </c>
      <c r="AN901" s="1">
        <v>2.8533815875203707</v>
      </c>
      <c r="AO901" s="166">
        <v>1.0711602172222223</v>
      </c>
      <c r="AQ901" t="e">
        <f>_xlfn.XLOOKUP(tblGWP21[[#This Row],[Material Subcategory]],ls_Mat,Factors!$K$952:$K$1023)</f>
        <v>#N/A</v>
      </c>
      <c r="AR901" s="173">
        <v>0.5</v>
      </c>
      <c r="AS901">
        <v>0</v>
      </c>
      <c r="AT901" t="s">
        <v>527</v>
      </c>
      <c r="BA901" cm="1">
        <f t="array" ref="BA901:BM901">tblGWP21[#This Row]</f>
        <v>3</v>
      </c>
      <c r="BB901" t="str">
        <v>Mixed/Custom</v>
      </c>
      <c r="BC901" t="str">
        <v>Mixed/Custom</v>
      </c>
      <c r="BD901" t="str">
        <v>South America</v>
      </c>
      <c r="BE901" t="str">
        <v>Brazil</v>
      </c>
      <c r="BF901">
        <v>-2.8533815875203707</v>
      </c>
      <c r="BG901" t="e">
        <v>#N/A</v>
      </c>
      <c r="BH901" t="str">
        <v>DELETE</v>
      </c>
      <c r="BI901" t="str">
        <v>DELETE</v>
      </c>
      <c r="BJ901" t="str">
        <v>DELETE</v>
      </c>
      <c r="BK901">
        <v>-0.47372783008290564</v>
      </c>
      <c r="BL901">
        <v>-0.60541892774296602</v>
      </c>
      <c r="BM901">
        <v>2.7971221813722445E-2</v>
      </c>
    </row>
    <row r="902" spans="3:65" ht="28.8">
      <c r="C902" s="136">
        <v>3</v>
      </c>
      <c r="D902" s="137" t="s">
        <v>239</v>
      </c>
      <c r="E902" s="136" t="s">
        <v>325</v>
      </c>
      <c r="F902" s="136" t="s">
        <v>552</v>
      </c>
      <c r="G902" s="136" t="s">
        <v>555</v>
      </c>
      <c r="H902" s="191">
        <v>-1.66</v>
      </c>
      <c r="I902" s="191">
        <v>0</v>
      </c>
      <c r="J902" s="191">
        <v>0</v>
      </c>
      <c r="K902" s="191">
        <v>-1.6286344906372801</v>
      </c>
      <c r="L902" s="191">
        <v>-2.3972313350924299</v>
      </c>
      <c r="M902" s="191">
        <v>-0.66697991340315199</v>
      </c>
      <c r="N902" s="191">
        <v>-0.942225030340478</v>
      </c>
      <c r="O902" s="191">
        <v>2.74731001572785E-2</v>
      </c>
      <c r="T902" s="137">
        <v>3</v>
      </c>
      <c r="U902" s="137" t="s">
        <v>237</v>
      </c>
      <c r="V902" s="136" t="s">
        <v>246</v>
      </c>
      <c r="W902" s="136" t="s">
        <v>552</v>
      </c>
      <c r="X902" s="136" t="s">
        <v>555</v>
      </c>
      <c r="Y902" s="172">
        <f>IFERROR(-tblZwaste1422[[#This Row],[Weight (kgCO2e/kg)]],0)</f>
        <v>-7.3412433500000009</v>
      </c>
      <c r="Z902" s="172" t="str">
        <f>IF(AQ902="x",(AR902*-tblZwaste1422[[#This Row],[Weight (kgCO2e/kg)]])+AS902+($AR$10*Lookups!$J$38/1000),"DELETE")</f>
        <v>DELETE</v>
      </c>
      <c r="AA902" s="176" t="s">
        <v>567</v>
      </c>
      <c r="AB902" s="172" t="s">
        <v>567</v>
      </c>
      <c r="AC902" s="172" t="s">
        <v>567</v>
      </c>
      <c r="AD902" s="172">
        <v>2.6042922296619801E-2</v>
      </c>
      <c r="AE902" s="172">
        <v>4.0984842545202502E-2</v>
      </c>
      <c r="AF902" s="172">
        <v>4.8934666491893701E-2</v>
      </c>
      <c r="AG902" s="150"/>
      <c r="AI902" s="137">
        <v>3</v>
      </c>
      <c r="AJ902" s="136" t="s">
        <v>237</v>
      </c>
      <c r="AK902" s="142" t="s">
        <v>246</v>
      </c>
      <c r="AL902" s="5" t="s">
        <v>552</v>
      </c>
      <c r="AM902" s="5" t="s">
        <v>555</v>
      </c>
      <c r="AN902" s="1">
        <v>7.3412433500000009</v>
      </c>
      <c r="AO902" s="166">
        <v>0.66842500000000005</v>
      </c>
      <c r="AQ902">
        <f>_xlfn.XLOOKUP(tblGWP21[[#This Row],[Material Subcategory]],ls_Mat,Factors!$K$952:$K$1023)</f>
        <v>0</v>
      </c>
      <c r="AR902" s="173"/>
      <c r="BA902" cm="1">
        <f t="array" ref="BA902:BM902">tblGWP21[#This Row]</f>
        <v>3</v>
      </c>
      <c r="BB902" t="str">
        <v>Mixed/Custom</v>
      </c>
      <c r="BC902" t="str">
        <v>Mixed Inorganics</v>
      </c>
      <c r="BD902" t="str">
        <v>South America</v>
      </c>
      <c r="BE902" t="str">
        <v>Brazil</v>
      </c>
      <c r="BF902">
        <v>-7.3412433500000009</v>
      </c>
      <c r="BG902" t="str">
        <v>DELETE</v>
      </c>
      <c r="BH902" t="str">
        <v>DELETE</v>
      </c>
      <c r="BI902" t="str">
        <v>DELETE</v>
      </c>
      <c r="BJ902" t="str">
        <v>DELETE</v>
      </c>
      <c r="BK902">
        <v>2.6042922296619801E-2</v>
      </c>
      <c r="BL902">
        <v>4.0984842545202502E-2</v>
      </c>
      <c r="BM902">
        <v>4.8934666491893701E-2</v>
      </c>
    </row>
    <row r="903" spans="3:65">
      <c r="C903" s="362">
        <v>3</v>
      </c>
      <c r="D903" s="363" t="s">
        <v>256</v>
      </c>
      <c r="E903" s="362" t="s">
        <v>256</v>
      </c>
      <c r="F903" s="362" t="s">
        <v>552</v>
      </c>
      <c r="G903" s="362" t="s">
        <v>555</v>
      </c>
      <c r="H903" s="368">
        <v>-3.3097799999999999</v>
      </c>
      <c r="I903" s="368">
        <v>-3.2267017926999997</v>
      </c>
      <c r="J903" s="368">
        <v>-13.332240193295439</v>
      </c>
      <c r="K903" s="368">
        <v>0</v>
      </c>
      <c r="L903" s="368">
        <v>0</v>
      </c>
      <c r="M903" s="368">
        <v>2.5951436501633351E-2</v>
      </c>
      <c r="N903" s="368">
        <v>-0.1080978425299278</v>
      </c>
      <c r="O903" s="368">
        <v>-8.9548588203676061E-2</v>
      </c>
      <c r="T903" s="137">
        <v>3</v>
      </c>
      <c r="U903" s="137" t="s">
        <v>237</v>
      </c>
      <c r="V903" s="136" t="s">
        <v>243</v>
      </c>
      <c r="W903" s="136" t="s">
        <v>552</v>
      </c>
      <c r="X903" s="136" t="s">
        <v>555</v>
      </c>
      <c r="Y903" s="172">
        <f>IFERROR(-tblZwaste1422[[#This Row],[Weight (kgCO2e/kg)]],0)</f>
        <v>-2.8533815875203707</v>
      </c>
      <c r="Z903" s="172" t="e">
        <f>IF(AQ903="x",(AR903*-tblZwaste1422[[#This Row],[Weight (kgCO2e/kg)]])+AS903+($AR$10*Lookups!$J$38/1000),"DELETE")</f>
        <v>#N/A</v>
      </c>
      <c r="AA903" s="176" t="s">
        <v>567</v>
      </c>
      <c r="AB903" s="172">
        <v>-1.0281071311249455</v>
      </c>
      <c r="AC903" s="172">
        <v>-1.602483635678982</v>
      </c>
      <c r="AD903" s="172">
        <v>-0.47372783008290564</v>
      </c>
      <c r="AE903" s="172">
        <v>-0.60541892774296602</v>
      </c>
      <c r="AF903" s="172">
        <v>2.7971221813722445E-2</v>
      </c>
      <c r="AG903" s="150"/>
      <c r="AI903" s="137">
        <v>3</v>
      </c>
      <c r="AJ903" s="136" t="s">
        <v>237</v>
      </c>
      <c r="AK903" s="142" t="s">
        <v>243</v>
      </c>
      <c r="AL903" s="5" t="s">
        <v>552</v>
      </c>
      <c r="AM903" s="5" t="s">
        <v>555</v>
      </c>
      <c r="AN903" s="1">
        <v>2.8533815875203707</v>
      </c>
      <c r="AO903" s="166">
        <v>1.0711602172222223</v>
      </c>
      <c r="AQ903" t="e">
        <f>_xlfn.XLOOKUP(tblGWP21[[#This Row],[Material Subcategory]],ls_Mat,Factors!$K$952:$K$1023)</f>
        <v>#N/A</v>
      </c>
      <c r="AR903" s="173"/>
      <c r="BA903" cm="1">
        <f t="array" ref="BA903:BM903">tblGWP21[#This Row]</f>
        <v>3</v>
      </c>
      <c r="BB903" t="str">
        <v>Mixed/Custom</v>
      </c>
      <c r="BC903" t="str">
        <v>Mixed MSW</v>
      </c>
      <c r="BD903" t="str">
        <v>South America</v>
      </c>
      <c r="BE903" t="str">
        <v>Brazil</v>
      </c>
      <c r="BF903">
        <v>-2.8533815875203707</v>
      </c>
      <c r="BG903" t="e">
        <v>#N/A</v>
      </c>
      <c r="BH903" t="str">
        <v>DELETE</v>
      </c>
      <c r="BI903">
        <v>-1.0281071311249455</v>
      </c>
      <c r="BJ903">
        <v>-1.602483635678982</v>
      </c>
      <c r="BK903">
        <v>-0.47372783008290564</v>
      </c>
      <c r="BL903">
        <v>-0.60541892774296602</v>
      </c>
      <c r="BM903">
        <v>2.7971221813722445E-2</v>
      </c>
    </row>
    <row r="904" spans="3:65">
      <c r="C904" s="136">
        <v>3</v>
      </c>
      <c r="D904" s="137" t="s">
        <v>256</v>
      </c>
      <c r="E904" s="136" t="s">
        <v>536</v>
      </c>
      <c r="F904" s="136" t="s">
        <v>552</v>
      </c>
      <c r="G904" s="136" t="s">
        <v>555</v>
      </c>
      <c r="H904" s="191">
        <v>-1.9798800000000001</v>
      </c>
      <c r="I904" s="191">
        <v>-1.8968017927</v>
      </c>
      <c r="J904" s="191">
        <v>-2.3565037764709471</v>
      </c>
      <c r="K904" s="191">
        <v>0</v>
      </c>
      <c r="L904" s="191">
        <v>0</v>
      </c>
      <c r="M904" s="191">
        <v>2.6042873003266701E-2</v>
      </c>
      <c r="N904" s="191">
        <v>-0.15958393285442499</v>
      </c>
      <c r="O904" s="191">
        <v>-0.13071917043242301</v>
      </c>
      <c r="T904" s="137">
        <v>3</v>
      </c>
      <c r="U904" s="137" t="s">
        <v>252</v>
      </c>
      <c r="V904" s="136" t="s">
        <v>333</v>
      </c>
      <c r="W904" s="136" t="s">
        <v>552</v>
      </c>
      <c r="X904" s="136" t="s">
        <v>555</v>
      </c>
      <c r="Y904" s="172">
        <f>IFERROR(-tblZwaste1422[[#This Row],[Weight (kgCO2e/kg)]],0)</f>
        <v>-2.0953266666666663</v>
      </c>
      <c r="Z904" s="172" t="str">
        <f>IF(AQ904="x",(AR904*-tblZwaste1422[[#This Row],[Weight (kgCO2e/kg)]])+AS904+($AR$10*Lookups!$J$38/1000),"DELETE")</f>
        <v>DELETE</v>
      </c>
      <c r="AA904" s="176">
        <v>-4.4025891502648795</v>
      </c>
      <c r="AB904" s="172" t="s">
        <v>567</v>
      </c>
      <c r="AC904" s="172" t="s">
        <v>567</v>
      </c>
      <c r="AD904" s="172">
        <v>2.6042894329189499E-2</v>
      </c>
      <c r="AE904" s="172">
        <v>0.44395532733173598</v>
      </c>
      <c r="AF904" s="172">
        <v>2.1870269324237599</v>
      </c>
      <c r="AG904" s="150"/>
      <c r="AI904" s="137">
        <v>3</v>
      </c>
      <c r="AJ904" s="136" t="s">
        <v>252</v>
      </c>
      <c r="AK904" s="142" t="s">
        <v>333</v>
      </c>
      <c r="AL904" s="5" t="s">
        <v>552</v>
      </c>
      <c r="AM904" s="5" t="s">
        <v>555</v>
      </c>
      <c r="AN904" s="1">
        <v>2.0953266666666663</v>
      </c>
      <c r="AO904" s="166">
        <v>1.77911</v>
      </c>
      <c r="AQ904">
        <f>_xlfn.XLOOKUP(tblGWP21[[#This Row],[Material Subcategory]],ls_Mat,Factors!$K$952:$K$1023)</f>
        <v>0</v>
      </c>
      <c r="AR904" s="173"/>
      <c r="BA904" cm="1">
        <f t="array" ref="BA904:BM904">tblGWP21[#This Row]</f>
        <v>3</v>
      </c>
      <c r="BB904" t="str">
        <v>Plastics</v>
      </c>
      <c r="BC904" t="str">
        <v>Mixed Plastics</v>
      </c>
      <c r="BD904" t="str">
        <v>South America</v>
      </c>
      <c r="BE904" t="str">
        <v>Brazil</v>
      </c>
      <c r="BF904">
        <v>-2.0953266666666663</v>
      </c>
      <c r="BG904" t="str">
        <v>DELETE</v>
      </c>
      <c r="BH904">
        <v>-4.4025891502648795</v>
      </c>
      <c r="BI904" t="str">
        <v>DELETE</v>
      </c>
      <c r="BJ904" t="str">
        <v>DELETE</v>
      </c>
      <c r="BK904">
        <v>2.6042894329189499E-2</v>
      </c>
      <c r="BL904">
        <v>0.44395532733173598</v>
      </c>
      <c r="BM904">
        <v>2.1870269324237599</v>
      </c>
    </row>
    <row r="905" spans="3:65">
      <c r="C905" s="362">
        <v>3</v>
      </c>
      <c r="D905" s="363" t="s">
        <v>256</v>
      </c>
      <c r="E905" s="362" t="s">
        <v>257</v>
      </c>
      <c r="F905" s="362" t="s">
        <v>552</v>
      </c>
      <c r="G905" s="362" t="s">
        <v>555</v>
      </c>
      <c r="H905" s="368">
        <v>-1.9798800000000001</v>
      </c>
      <c r="I905" s="368">
        <v>-1.8968017927</v>
      </c>
      <c r="J905" s="368">
        <v>-2.3565037764709471</v>
      </c>
      <c r="K905" s="368">
        <v>0</v>
      </c>
      <c r="L905" s="368">
        <v>0</v>
      </c>
      <c r="M905" s="368">
        <v>2.6042873003266701E-2</v>
      </c>
      <c r="N905" s="368">
        <v>-0.15958393285442499</v>
      </c>
      <c r="O905" s="368">
        <v>-0.13071917043242301</v>
      </c>
      <c r="T905" s="137">
        <v>3</v>
      </c>
      <c r="U905" s="137" t="s">
        <v>239</v>
      </c>
      <c r="V905" s="136" t="s">
        <v>542</v>
      </c>
      <c r="W905" s="136" t="s">
        <v>552</v>
      </c>
      <c r="X905" s="136" t="s">
        <v>555</v>
      </c>
      <c r="Y905" s="172">
        <f>IFERROR(-tblZwaste1422[[#This Row],[Weight (kgCO2e/kg)]],0)</f>
        <v>-2.6644477777777777</v>
      </c>
      <c r="Z905" s="172" t="str">
        <f>IF(AQ905="x",(AR905*-tblZwaste1422[[#This Row],[Weight (kgCO2e/kg)]])+AS905+($AR$10*Lookups!$J$38/1000),"DELETE")</f>
        <v>DELETE</v>
      </c>
      <c r="AA905" s="176">
        <v>-0.91191428180792811</v>
      </c>
      <c r="AB905" s="172">
        <v>-1.6286344906372801</v>
      </c>
      <c r="AC905" s="172">
        <v>-2.3972313350924299</v>
      </c>
      <c r="AD905" s="172">
        <v>-0.66697991340315199</v>
      </c>
      <c r="AE905" s="172">
        <v>-0.942225030340478</v>
      </c>
      <c r="AF905" s="172">
        <v>2.74731001572785E-2</v>
      </c>
      <c r="AG905" s="150"/>
      <c r="AI905" s="137">
        <v>3</v>
      </c>
      <c r="AJ905" s="136" t="s">
        <v>239</v>
      </c>
      <c r="AK905" s="142" t="s">
        <v>542</v>
      </c>
      <c r="AL905" s="5" t="s">
        <v>552</v>
      </c>
      <c r="AM905" s="5" t="s">
        <v>555</v>
      </c>
      <c r="AN905" s="1">
        <v>2.6644477777777777</v>
      </c>
      <c r="AO905" s="166">
        <v>0.64099666666666666</v>
      </c>
      <c r="AQ905">
        <f>_xlfn.XLOOKUP(tblGWP21[[#This Row],[Material Subcategory]],ls_Mat,Factors!$K$952:$K$1023)</f>
        <v>0</v>
      </c>
      <c r="BA905" cm="1">
        <f t="array" ref="BA905:BM905">tblGWP21[#This Row]</f>
        <v>3</v>
      </c>
      <c r="BB905" t="str">
        <v>Paper</v>
      </c>
      <c r="BC905" t="str">
        <v>Mixed Paper</v>
      </c>
      <c r="BD905" t="str">
        <v>South America</v>
      </c>
      <c r="BE905" t="str">
        <v>Brazil</v>
      </c>
      <c r="BF905">
        <v>-2.6644477777777777</v>
      </c>
      <c r="BG905" t="str">
        <v>DELETE</v>
      </c>
      <c r="BH905">
        <v>-0.91191428180792811</v>
      </c>
      <c r="BI905">
        <v>-1.6286344906372801</v>
      </c>
      <c r="BJ905">
        <v>-2.3972313350924299</v>
      </c>
      <c r="BK905">
        <v>-0.66697991340315199</v>
      </c>
      <c r="BL905">
        <v>-0.942225030340478</v>
      </c>
      <c r="BM905">
        <v>2.74731001572785E-2</v>
      </c>
    </row>
    <row r="906" spans="3:65">
      <c r="C906" s="136">
        <v>3</v>
      </c>
      <c r="D906" s="137" t="s">
        <v>256</v>
      </c>
      <c r="E906" s="136" t="s">
        <v>537</v>
      </c>
      <c r="F906" s="136" t="s">
        <v>552</v>
      </c>
      <c r="G906" s="136" t="s">
        <v>555</v>
      </c>
      <c r="H906" s="191">
        <v>-5.0082800000000001</v>
      </c>
      <c r="I906" s="191">
        <v>-4.9252017927000002</v>
      </c>
      <c r="J906" s="191">
        <v>-5.2843427411401773</v>
      </c>
      <c r="K906" s="191">
        <v>0</v>
      </c>
      <c r="L906" s="191">
        <v>0</v>
      </c>
      <c r="M906" s="191">
        <v>2.5860000000000001E-2</v>
      </c>
      <c r="N906" s="191">
        <v>-5.6611752205430597E-2</v>
      </c>
      <c r="O906" s="191">
        <v>-4.8378005974929097E-2</v>
      </c>
      <c r="T906" s="137">
        <v>3</v>
      </c>
      <c r="U906" s="137" t="s">
        <v>237</v>
      </c>
      <c r="V906" s="136" t="s">
        <v>238</v>
      </c>
      <c r="W906" s="136" t="s">
        <v>552</v>
      </c>
      <c r="X906" s="136" t="s">
        <v>555</v>
      </c>
      <c r="Y906" s="172">
        <f>IFERROR(-tblZwaste1422[[#This Row],[Weight (kgCO2e/kg)]],0)</f>
        <v>-2.7046544444444445</v>
      </c>
      <c r="Z906" s="172" t="str">
        <f>IF(AQ906="x",(AR906*-tblZwaste1422[[#This Row],[Weight (kgCO2e/kg)]])+AS906+($AR$10*Lookups!$J$38/1000),"DELETE")</f>
        <v>DELETE</v>
      </c>
      <c r="AA906" s="176" t="s">
        <v>567</v>
      </c>
      <c r="AB906" s="172" t="s">
        <v>567</v>
      </c>
      <c r="AC906" s="172" t="s">
        <v>567</v>
      </c>
      <c r="AD906" s="172">
        <v>-0.14723567376067564</v>
      </c>
      <c r="AE906" s="172">
        <v>-0.14435945193179459</v>
      </c>
      <c r="AF906" s="172">
        <v>0.54347190689911018</v>
      </c>
      <c r="AG906" s="150"/>
      <c r="AI906" s="137">
        <v>3</v>
      </c>
      <c r="AJ906" s="136" t="s">
        <v>237</v>
      </c>
      <c r="AK906" s="142" t="s">
        <v>238</v>
      </c>
      <c r="AL906" s="5" t="s">
        <v>552</v>
      </c>
      <c r="AM906" s="5" t="s">
        <v>555</v>
      </c>
      <c r="AN906" s="1">
        <v>2.7046544444444445</v>
      </c>
      <c r="AO906" s="166">
        <v>1.2161291666666667</v>
      </c>
      <c r="AQ906">
        <f>_xlfn.XLOOKUP(tblGWP21[[#This Row],[Material Subcategory]],ls_Mat,Factors!$K$952:$K$1023)</f>
        <v>0</v>
      </c>
      <c r="BA906" cm="1">
        <f t="array" ref="BA906:BM906">tblGWP21[#This Row]</f>
        <v>3</v>
      </c>
      <c r="BB906" t="str">
        <v>Mixed/Custom</v>
      </c>
      <c r="BC906" t="str">
        <v>Mixed Recycling</v>
      </c>
      <c r="BD906" t="str">
        <v>South America</v>
      </c>
      <c r="BE906" t="str">
        <v>Brazil</v>
      </c>
      <c r="BF906">
        <v>-2.7046544444444445</v>
      </c>
      <c r="BG906" t="str">
        <v>DELETE</v>
      </c>
      <c r="BH906" t="str">
        <v>DELETE</v>
      </c>
      <c r="BI906" t="str">
        <v>DELETE</v>
      </c>
      <c r="BJ906" t="str">
        <v>DELETE</v>
      </c>
      <c r="BK906">
        <v>-0.14723567376067564</v>
      </c>
      <c r="BL906">
        <v>-0.14435945193179459</v>
      </c>
      <c r="BM906">
        <v>0.54347190689911018</v>
      </c>
    </row>
    <row r="907" spans="3:65">
      <c r="C907" s="362">
        <v>3</v>
      </c>
      <c r="D907" s="363" t="s">
        <v>256</v>
      </c>
      <c r="E907" s="362" t="s">
        <v>538</v>
      </c>
      <c r="F907" s="362" t="s">
        <v>552</v>
      </c>
      <c r="G907" s="362" t="s">
        <v>555</v>
      </c>
      <c r="H907" s="368">
        <v>-4.6396800000000002</v>
      </c>
      <c r="I907" s="368">
        <v>0</v>
      </c>
      <c r="J907" s="368">
        <v>0</v>
      </c>
      <c r="K907" s="368">
        <v>0</v>
      </c>
      <c r="L907" s="368">
        <v>0</v>
      </c>
      <c r="M907" s="368">
        <v>2.5860000000000001E-2</v>
      </c>
      <c r="N907" s="368">
        <v>-5.2731480993355298E-2</v>
      </c>
      <c r="O907" s="368">
        <v>-4.8378005974929202E-2</v>
      </c>
      <c r="T907" s="137">
        <v>3</v>
      </c>
      <c r="U907" s="137" t="s">
        <v>264</v>
      </c>
      <c r="V907" s="136" t="s">
        <v>264</v>
      </c>
      <c r="W907" s="136" t="s">
        <v>552</v>
      </c>
      <c r="X907" s="136" t="s">
        <v>555</v>
      </c>
      <c r="Y907" s="172">
        <f>IFERROR(-tblZwaste1422[[#This Row],[Weight (kgCO2e/kg)]],0)</f>
        <v>-1.9287117500000002</v>
      </c>
      <c r="Z907" s="172" t="e">
        <f>IF(AQ907="x",(AR907*-tblZwaste1422[[#This Row],[Weight (kgCO2e/kg)]])+AS907+($AR$10*Lookups!$J$38/1000),"DELETE")</f>
        <v>#N/A</v>
      </c>
      <c r="AA907" s="172">
        <f>AA911</f>
        <v>0.15112249999999994</v>
      </c>
      <c r="AB907" s="172" t="s">
        <v>567</v>
      </c>
      <c r="AC907" s="172" t="s">
        <v>567</v>
      </c>
      <c r="AD907" s="172">
        <v>-0.35869868218287954</v>
      </c>
      <c r="AE907" s="172">
        <v>-0.59757324967558434</v>
      </c>
      <c r="AF907" s="172">
        <v>0.46009777689536741</v>
      </c>
      <c r="AG907" s="150"/>
      <c r="AI907" s="137">
        <v>3</v>
      </c>
      <c r="AJ907" s="136" t="s">
        <v>264</v>
      </c>
      <c r="AK907" s="142" t="s">
        <v>264</v>
      </c>
      <c r="AL907" s="5" t="s">
        <v>552</v>
      </c>
      <c r="AM907" s="5" t="s">
        <v>555</v>
      </c>
      <c r="AN907" s="1">
        <v>1.9287117500000002</v>
      </c>
      <c r="AO907" s="166">
        <v>0.467055</v>
      </c>
      <c r="AQ907" t="e">
        <f>_xlfn.XLOOKUP(tblGWP21[[#This Row],[Material Subcategory]],ls_Mat,Factors!$K$952:$K$1023)</f>
        <v>#N/A</v>
      </c>
      <c r="AR907" s="173">
        <v>0.65</v>
      </c>
      <c r="AS907">
        <v>0.14482945764999999</v>
      </c>
      <c r="AT907" t="s">
        <v>541</v>
      </c>
      <c r="BA907" cm="1">
        <f t="array" ref="BA907:BM907">tblGWP21[#This Row]</f>
        <v>3</v>
      </c>
      <c r="BB907" t="str">
        <v>Furniture/Textiles</v>
      </c>
      <c r="BC907" t="str">
        <v>Furniture/Textiles</v>
      </c>
      <c r="BD907" t="str">
        <v>South America</v>
      </c>
      <c r="BE907" t="str">
        <v>Brazil</v>
      </c>
      <c r="BF907">
        <v>-1.9287117500000002</v>
      </c>
      <c r="BG907" t="e">
        <v>#N/A</v>
      </c>
      <c r="BH907">
        <v>0.15112249999999994</v>
      </c>
      <c r="BI907" t="str">
        <v>DELETE</v>
      </c>
      <c r="BJ907" t="str">
        <v>DELETE</v>
      </c>
      <c r="BK907">
        <v>-0.35869868218287954</v>
      </c>
      <c r="BL907">
        <v>-0.59757324967558434</v>
      </c>
      <c r="BM907">
        <v>0.46009777689536741</v>
      </c>
    </row>
    <row r="908" spans="3:65">
      <c r="C908" s="136">
        <v>3</v>
      </c>
      <c r="D908" s="137" t="s">
        <v>256</v>
      </c>
      <c r="E908" s="136" t="s">
        <v>258</v>
      </c>
      <c r="F908" s="136" t="s">
        <v>552</v>
      </c>
      <c r="G908" s="136" t="s">
        <v>555</v>
      </c>
      <c r="H908" s="191">
        <v>-4.6396800000000002</v>
      </c>
      <c r="I908" s="191">
        <v>-4.5566017927000004</v>
      </c>
      <c r="J908" s="191">
        <v>-5.1225771470236534</v>
      </c>
      <c r="K908" s="191">
        <v>0</v>
      </c>
      <c r="L908" s="191">
        <v>0</v>
      </c>
      <c r="M908" s="191">
        <v>2.5860000000000001E-2</v>
      </c>
      <c r="N908" s="191">
        <v>-5.6611752205430597E-2</v>
      </c>
      <c r="O908" s="191">
        <v>-4.8378005974929202E-2</v>
      </c>
      <c r="T908" s="137">
        <v>3</v>
      </c>
      <c r="U908" s="137" t="s">
        <v>264</v>
      </c>
      <c r="V908" s="136" t="s">
        <v>336</v>
      </c>
      <c r="W908" s="136" t="s">
        <v>552</v>
      </c>
      <c r="X908" s="136" t="s">
        <v>555</v>
      </c>
      <c r="Y908" s="172">
        <f>IFERROR(-tblZwaste1422[[#This Row],[Weight (kgCO2e/kg)]],0)</f>
        <v>-0.76351350000000007</v>
      </c>
      <c r="Z908" s="172">
        <f>IF(AQ908="x",(AR908*-tblZwaste1422[[#This Row],[Weight (kgCO2e/kg)]])+AS908+($AR$10*Lookups!$J$38/1000),"DELETE")</f>
        <v>-0.34968251735000005</v>
      </c>
      <c r="AA908" s="176" t="s">
        <v>567</v>
      </c>
      <c r="AB908" s="172">
        <v>-1.64655650896596</v>
      </c>
      <c r="AC908" s="172">
        <v>-2.6336365493502698</v>
      </c>
      <c r="AD908" s="172">
        <v>-1.0033131033753351</v>
      </c>
      <c r="AE908" s="172">
        <v>-0.83241615029836658</v>
      </c>
      <c r="AF908" s="172">
        <v>0.21089953370705883</v>
      </c>
      <c r="AG908" s="150"/>
      <c r="AI908" s="137">
        <v>3</v>
      </c>
      <c r="AJ908" s="136" t="s">
        <v>264</v>
      </c>
      <c r="AK908" s="142" t="s">
        <v>336</v>
      </c>
      <c r="AL908" s="5" t="s">
        <v>552</v>
      </c>
      <c r="AM908" s="5" t="s">
        <v>555</v>
      </c>
      <c r="AN908" s="1">
        <v>0.76351350000000007</v>
      </c>
      <c r="AO908" s="166">
        <v>0.43603999999999998</v>
      </c>
      <c r="AQ908" t="str">
        <f>_xlfn.XLOOKUP(tblGWP21[[#This Row],[Material Subcategory]],ls_Mat,Factors!$K$952:$K$1023)</f>
        <v>x</v>
      </c>
      <c r="AR908" s="173">
        <v>0.65</v>
      </c>
      <c r="AS908">
        <v>0.14482945764999999</v>
      </c>
      <c r="AT908" t="s">
        <v>541</v>
      </c>
      <c r="BA908" cm="1">
        <f t="array" ref="BA908:BM908">tblGWP21[#This Row]</f>
        <v>3</v>
      </c>
      <c r="BB908" t="str">
        <v>Furniture/Textiles</v>
      </c>
      <c r="BC908" t="str">
        <v>Furniture</v>
      </c>
      <c r="BD908" t="str">
        <v>South America</v>
      </c>
      <c r="BE908" t="str">
        <v>Brazil</v>
      </c>
      <c r="BF908">
        <v>-0.76351350000000007</v>
      </c>
      <c r="BG908">
        <v>-0.34968251735000005</v>
      </c>
      <c r="BH908" t="str">
        <v>DELETE</v>
      </c>
      <c r="BI908">
        <v>-1.64655650896596</v>
      </c>
      <c r="BJ908">
        <v>-2.6336365493502698</v>
      </c>
      <c r="BK908">
        <v>-1.0033131033753351</v>
      </c>
      <c r="BL908">
        <v>-0.83241615029836658</v>
      </c>
      <c r="BM908">
        <v>0.21089953370705883</v>
      </c>
    </row>
    <row r="909" spans="3:65">
      <c r="C909" s="362">
        <v>3</v>
      </c>
      <c r="D909" s="363" t="s">
        <v>247</v>
      </c>
      <c r="E909" s="362" t="s">
        <v>247</v>
      </c>
      <c r="F909" s="362" t="s">
        <v>552</v>
      </c>
      <c r="G909" s="362" t="s">
        <v>555</v>
      </c>
      <c r="H909" s="368">
        <v>-1.0505633333333335</v>
      </c>
      <c r="I909" s="368">
        <v>-0.96748512603333348</v>
      </c>
      <c r="J909" s="368">
        <v>-0.32015017608359242</v>
      </c>
      <c r="K909" s="368">
        <v>0</v>
      </c>
      <c r="L909" s="368">
        <v>0</v>
      </c>
      <c r="M909" s="368">
        <v>2.60428875296266E-2</v>
      </c>
      <c r="N909" s="368">
        <v>2.89297378114915E-2</v>
      </c>
      <c r="O909" s="368">
        <v>4.8936183219078298E-2</v>
      </c>
      <c r="T909" s="137">
        <v>3</v>
      </c>
      <c r="U909" s="137" t="s">
        <v>242</v>
      </c>
      <c r="V909" s="136" t="s">
        <v>251</v>
      </c>
      <c r="W909" s="136" t="s">
        <v>552</v>
      </c>
      <c r="X909" s="136" t="s">
        <v>555</v>
      </c>
      <c r="Y909" s="172">
        <f>IFERROR(-tblZwaste1422[[#This Row],[Weight (kgCO2e/kg)]],0)</f>
        <v>-4.9218200000000003</v>
      </c>
      <c r="Z909" s="172">
        <f>IF(AQ909="x",(AR909*-tblZwaste1422[[#This Row],[Weight (kgCO2e/kg)]])+AS909+($AR$10*Lookups!$J$38/1000),"DELETE")</f>
        <v>-3.5665477000000001</v>
      </c>
      <c r="AA909" s="172">
        <v>-1.2190350000000001</v>
      </c>
      <c r="AB909" s="172" t="s">
        <v>567</v>
      </c>
      <c r="AC909" s="172" t="s">
        <v>567</v>
      </c>
      <c r="AD909" s="172">
        <v>2.5969732332329142E-2</v>
      </c>
      <c r="AE909" s="172">
        <v>0.1425399624297638</v>
      </c>
      <c r="AF909" s="172">
        <v>0.84877827098641234</v>
      </c>
      <c r="AG909" s="150"/>
      <c r="AI909" s="137">
        <v>3</v>
      </c>
      <c r="AJ909" s="136" t="s">
        <v>242</v>
      </c>
      <c r="AK909" s="142" t="s">
        <v>251</v>
      </c>
      <c r="AL909" s="5" t="s">
        <v>552</v>
      </c>
      <c r="AM909" s="5" t="s">
        <v>555</v>
      </c>
      <c r="AN909" s="1">
        <v>4.9218200000000003</v>
      </c>
      <c r="AO909" s="166">
        <v>0.15096000000000001</v>
      </c>
      <c r="AQ909" t="str">
        <f>_xlfn.XLOOKUP(tblGWP21[[#This Row],[Material Subcategory]],ls_Mat,Factors!$K$952:$K$1023)</f>
        <v>x</v>
      </c>
      <c r="AR909" s="173">
        <v>0.72499999999999998</v>
      </c>
      <c r="AS909">
        <v>0</v>
      </c>
      <c r="AT909" t="s">
        <v>527</v>
      </c>
      <c r="BA909" cm="1">
        <f t="array" ref="BA909:BM909">tblGWP21[#This Row]</f>
        <v>3</v>
      </c>
      <c r="BB909" t="str">
        <v>Electronics</v>
      </c>
      <c r="BC909" t="str">
        <v>Appliances</v>
      </c>
      <c r="BD909" t="str">
        <v>South America</v>
      </c>
      <c r="BE909" t="str">
        <v>Brazil</v>
      </c>
      <c r="BF909">
        <v>-4.9218200000000003</v>
      </c>
      <c r="BG909">
        <v>-3.5665477000000001</v>
      </c>
      <c r="BH909">
        <v>-1.2190350000000001</v>
      </c>
      <c r="BI909" t="str">
        <v>DELETE</v>
      </c>
      <c r="BJ909" t="str">
        <v>DELETE</v>
      </c>
      <c r="BK909">
        <v>2.5969732332329142E-2</v>
      </c>
      <c r="BL909">
        <v>0.1425399624297638</v>
      </c>
      <c r="BM909">
        <v>0.84877827098641234</v>
      </c>
    </row>
    <row r="910" spans="3:65">
      <c r="C910" s="136">
        <v>3</v>
      </c>
      <c r="D910" s="137" t="s">
        <v>247</v>
      </c>
      <c r="E910" s="136" t="s">
        <v>248</v>
      </c>
      <c r="F910" s="136" t="s">
        <v>552</v>
      </c>
      <c r="G910" s="136" t="s">
        <v>555</v>
      </c>
      <c r="H910" s="191">
        <v>-1.0606100000000001</v>
      </c>
      <c r="I910" s="191">
        <v>-0.97753179270000001</v>
      </c>
      <c r="J910" s="191">
        <v>-0.16783647372309501</v>
      </c>
      <c r="K910" s="191">
        <v>0</v>
      </c>
      <c r="L910" s="191">
        <v>0</v>
      </c>
      <c r="M910" s="191">
        <v>2.6042893584184702E-2</v>
      </c>
      <c r="N910" s="191">
        <v>3.3109226842325201E-2</v>
      </c>
      <c r="O910" s="191">
        <v>4.8934999613471301E-2</v>
      </c>
      <c r="T910" s="137">
        <v>3</v>
      </c>
      <c r="U910" s="137" t="s">
        <v>242</v>
      </c>
      <c r="V910" s="136" t="s">
        <v>543</v>
      </c>
      <c r="W910" s="136" t="s">
        <v>552</v>
      </c>
      <c r="X910" s="136" t="s">
        <v>555</v>
      </c>
      <c r="Y910" s="172">
        <f>IFERROR(-tblZwaste1422[[#This Row],[Weight (kgCO2e/kg)]],0)</f>
        <v>-1.00081</v>
      </c>
      <c r="Z910" s="172">
        <f>IF(AQ910="x",(AR910*-tblZwaste1422[[#This Row],[Weight (kgCO2e/kg)]])+AS910+($AR$10*Lookups!$J$38/1000),"DELETE")</f>
        <v>-0.72381545000000003</v>
      </c>
      <c r="AA910" s="172">
        <v>-0.20626249999999999</v>
      </c>
      <c r="AB910" s="172" t="s">
        <v>567</v>
      </c>
      <c r="AC910" s="172" t="s">
        <v>567</v>
      </c>
      <c r="AD910" s="172">
        <v>2.5860000000000001E-2</v>
      </c>
      <c r="AE910" s="172">
        <v>4.0984842545202599E-2</v>
      </c>
      <c r="AF910" s="172">
        <v>4.8934666491893597E-2</v>
      </c>
      <c r="AG910" s="150"/>
      <c r="AI910" s="137">
        <v>3</v>
      </c>
      <c r="AJ910" s="136" t="s">
        <v>242</v>
      </c>
      <c r="AK910" s="142" t="s">
        <v>543</v>
      </c>
      <c r="AL910" s="5" t="s">
        <v>552</v>
      </c>
      <c r="AM910" s="5" t="s">
        <v>555</v>
      </c>
      <c r="AN910" s="1">
        <v>1.00081</v>
      </c>
      <c r="AO910" s="166">
        <v>0.33138000000000001</v>
      </c>
      <c r="AQ910" t="str">
        <f>_xlfn.XLOOKUP(tblGWP21[[#This Row],[Material Subcategory]],ls_Mat,Factors!$K$952:$K$1023)</f>
        <v>x</v>
      </c>
      <c r="AR910" s="173">
        <v>0.72499999999999998</v>
      </c>
      <c r="AS910">
        <v>0</v>
      </c>
      <c r="AT910" t="s">
        <v>527</v>
      </c>
      <c r="BA910" cm="1">
        <f t="array" ref="BA910:BM910">tblGWP21[#This Row]</f>
        <v>3</v>
      </c>
      <c r="BB910" t="str">
        <v>Electronics</v>
      </c>
      <c r="BC910" t="str">
        <v>Lightbulb/Lamps</v>
      </c>
      <c r="BD910" t="str">
        <v>South America</v>
      </c>
      <c r="BE910" t="str">
        <v>Brazil</v>
      </c>
      <c r="BF910">
        <v>-1.00081</v>
      </c>
      <c r="BG910">
        <v>-0.72381545000000003</v>
      </c>
      <c r="BH910">
        <v>-0.20626249999999999</v>
      </c>
      <c r="BI910" t="str">
        <v>DELETE</v>
      </c>
      <c r="BJ910" t="str">
        <v>DELETE</v>
      </c>
      <c r="BK910">
        <v>2.5860000000000001E-2</v>
      </c>
      <c r="BL910">
        <v>4.0984842545202599E-2</v>
      </c>
      <c r="BM910">
        <v>4.8934666491893597E-2</v>
      </c>
    </row>
    <row r="911" spans="3:65">
      <c r="C911" s="362">
        <v>3</v>
      </c>
      <c r="D911" s="363" t="s">
        <v>247</v>
      </c>
      <c r="E911" s="362" t="s">
        <v>263</v>
      </c>
      <c r="F911" s="362" t="s">
        <v>552</v>
      </c>
      <c r="G911" s="362" t="s">
        <v>555</v>
      </c>
      <c r="H911" s="368">
        <v>-1.0341199999999999</v>
      </c>
      <c r="I911" s="368">
        <v>-0.95104179269999989</v>
      </c>
      <c r="J911" s="368">
        <v>-0.16783647372309501</v>
      </c>
      <c r="K911" s="368">
        <v>0</v>
      </c>
      <c r="L911" s="368">
        <v>0</v>
      </c>
      <c r="M911" s="368">
        <v>2.6042897336766301E-2</v>
      </c>
      <c r="N911" s="368">
        <v>3.5614574402337999E-2</v>
      </c>
      <c r="O911" s="368">
        <v>4.8935075181609701E-2</v>
      </c>
      <c r="T911" s="137">
        <v>3</v>
      </c>
      <c r="U911" s="137" t="s">
        <v>264</v>
      </c>
      <c r="V911" s="136" t="s">
        <v>544</v>
      </c>
      <c r="W911" s="136" t="s">
        <v>552</v>
      </c>
      <c r="X911" s="136" t="s">
        <v>555</v>
      </c>
      <c r="Y911" s="172">
        <f>IFERROR(-tblZwaste1422[[#This Row],[Weight (kgCO2e/kg)]],0)</f>
        <v>-3.0939100000000002</v>
      </c>
      <c r="Z911" s="172">
        <f>IF(AQ911="x",(AR911*-tblZwaste1422[[#This Row],[Weight (kgCO2e/kg)]])+AS911+($AR$10*Lookups!$J$38/1000),"DELETE")</f>
        <v>-1.8644402423500002</v>
      </c>
      <c r="AA911" s="172">
        <v>0.15112249999999994</v>
      </c>
      <c r="AB911" s="172" t="s">
        <v>567</v>
      </c>
      <c r="AC911" s="172" t="s">
        <v>567</v>
      </c>
      <c r="AD911" s="172">
        <v>0.28591573900957601</v>
      </c>
      <c r="AE911" s="172">
        <v>-0.36273034905280199</v>
      </c>
      <c r="AF911" s="172">
        <v>0.70929602008367598</v>
      </c>
      <c r="AG911" s="150"/>
      <c r="AI911" s="137">
        <v>3</v>
      </c>
      <c r="AJ911" s="136" t="s">
        <v>264</v>
      </c>
      <c r="AK911" s="142" t="s">
        <v>544</v>
      </c>
      <c r="AL911" s="5" t="s">
        <v>552</v>
      </c>
      <c r="AM911" s="5" t="s">
        <v>555</v>
      </c>
      <c r="AN911" s="1">
        <v>3.0939100000000002</v>
      </c>
      <c r="AO911" s="166">
        <v>0.49807000000000001</v>
      </c>
      <c r="AQ911" t="str">
        <f>_xlfn.XLOOKUP(tblGWP21[[#This Row],[Material Subcategory]],ls_Mat,Factors!$K$952:$K$1023)</f>
        <v>x</v>
      </c>
      <c r="AR911" s="173">
        <v>0.65</v>
      </c>
      <c r="AS911">
        <v>0.14482945764999999</v>
      </c>
      <c r="AT911" t="s">
        <v>541</v>
      </c>
      <c r="BA911" cm="1">
        <f t="array" ref="BA911:BM911">tblGWP21[#This Row]</f>
        <v>3</v>
      </c>
      <c r="BB911" t="str">
        <v>Furniture/Textiles</v>
      </c>
      <c r="BC911" t="str">
        <v>Textiles</v>
      </c>
      <c r="BD911" t="str">
        <v>South America</v>
      </c>
      <c r="BE911" t="str">
        <v>Brazil</v>
      </c>
      <c r="BF911">
        <v>-3.0939100000000002</v>
      </c>
      <c r="BG911">
        <v>-1.8644402423500002</v>
      </c>
      <c r="BH911">
        <v>0.15112249999999994</v>
      </c>
      <c r="BI911" t="str">
        <v>DELETE</v>
      </c>
      <c r="BJ911" t="str">
        <v>DELETE</v>
      </c>
      <c r="BK911">
        <v>0.28591573900957601</v>
      </c>
      <c r="BL911">
        <v>-0.36273034905280199</v>
      </c>
      <c r="BM911">
        <v>0.70929602008367598</v>
      </c>
    </row>
    <row r="912" spans="3:65">
      <c r="C912" s="136">
        <v>3</v>
      </c>
      <c r="D912" s="137" t="s">
        <v>247</v>
      </c>
      <c r="E912" s="136" t="s">
        <v>539</v>
      </c>
      <c r="F912" s="136" t="s">
        <v>552</v>
      </c>
      <c r="G912" s="136" t="s">
        <v>555</v>
      </c>
      <c r="H912" s="191">
        <v>-1.0569599999999999</v>
      </c>
      <c r="I912" s="191">
        <v>-0.97388179269999986</v>
      </c>
      <c r="J912" s="191">
        <v>-0.17313657289329801</v>
      </c>
      <c r="K912" s="191">
        <v>0</v>
      </c>
      <c r="L912" s="191">
        <v>0</v>
      </c>
      <c r="M912" s="191">
        <v>2.60428777320173E-2</v>
      </c>
      <c r="N912" s="191">
        <v>2.2198094085999199E-2</v>
      </c>
      <c r="O912" s="191">
        <v>4.8937457971748297E-2</v>
      </c>
      <c r="T912" s="137">
        <v>3</v>
      </c>
      <c r="U912" s="137" t="s">
        <v>237</v>
      </c>
      <c r="V912" s="136" t="s">
        <v>545</v>
      </c>
      <c r="W912" s="136" t="s">
        <v>552</v>
      </c>
      <c r="X912" s="136" t="s">
        <v>555</v>
      </c>
      <c r="Y912" s="172">
        <f>IFERROR(-tblZwaste1422[[#This Row],[Weight (kgCO2e/kg)]],0)</f>
        <v>-2.8533815875203707</v>
      </c>
      <c r="Z912" s="172" t="str">
        <f>IF(AQ912="x",(AR912*-tblZwaste1422[[#This Row],[Weight (kgCO2e/kg)]])+AS912+($AR$10*Lookups!$J$38/1000),"DELETE")</f>
        <v>DELETE</v>
      </c>
      <c r="AA912" s="176" t="s">
        <v>567</v>
      </c>
      <c r="AB912" s="172" t="s">
        <v>567</v>
      </c>
      <c r="AC912" s="172" t="s">
        <v>567</v>
      </c>
      <c r="AD912" s="172">
        <v>-0.47372783008290564</v>
      </c>
      <c r="AE912" s="172">
        <v>-0.60541892774296602</v>
      </c>
      <c r="AF912" s="172">
        <v>2.7971221813722445E-2</v>
      </c>
      <c r="AG912" s="150"/>
      <c r="AI912" s="137">
        <v>3</v>
      </c>
      <c r="AJ912" s="136" t="s">
        <v>237</v>
      </c>
      <c r="AK912" s="142" t="s">
        <v>545</v>
      </c>
      <c r="AL912" s="5" t="s">
        <v>552</v>
      </c>
      <c r="AM912" s="5" t="s">
        <v>555</v>
      </c>
      <c r="AN912" s="1">
        <v>2.8533815875203707</v>
      </c>
      <c r="AO912" s="166">
        <v>1.0711602172222223</v>
      </c>
      <c r="AQ912">
        <f>_xlfn.XLOOKUP(tblGWP21[[#This Row],[Material Subcategory]],ls_Mat,Factors!$K$952:$K$1023)</f>
        <v>0</v>
      </c>
      <c r="BA912" cm="1">
        <f t="array" ref="BA912:BM912">tblGWP21[#This Row]</f>
        <v>3</v>
      </c>
      <c r="BB912" t="str">
        <v>Mixed/Custom</v>
      </c>
      <c r="BC912" t="str">
        <v>General other</v>
      </c>
      <c r="BD912" t="str">
        <v>South America</v>
      </c>
      <c r="BE912" t="str">
        <v>Brazil</v>
      </c>
      <c r="BF912">
        <v>-2.8533815875203707</v>
      </c>
      <c r="BG912" t="str">
        <v>DELETE</v>
      </c>
      <c r="BH912" t="str">
        <v>DELETE</v>
      </c>
      <c r="BI912" t="str">
        <v>DELETE</v>
      </c>
      <c r="BJ912" t="str">
        <v>DELETE</v>
      </c>
      <c r="BK912">
        <v>-0.47372783008290564</v>
      </c>
      <c r="BL912">
        <v>-0.60541892774296602</v>
      </c>
      <c r="BM912">
        <v>2.7971221813722445E-2</v>
      </c>
    </row>
    <row r="913" spans="3:65">
      <c r="C913" s="362">
        <v>3</v>
      </c>
      <c r="D913" s="363" t="s">
        <v>247</v>
      </c>
      <c r="E913" s="369" t="s">
        <v>270</v>
      </c>
      <c r="F913" s="369" t="s">
        <v>552</v>
      </c>
      <c r="G913" s="369" t="s">
        <v>555</v>
      </c>
      <c r="H913" s="368">
        <v>-1.0505633333333335</v>
      </c>
      <c r="I913" s="368">
        <v>-0.96748512603333348</v>
      </c>
      <c r="J913" s="368">
        <v>-0.32015017608359242</v>
      </c>
      <c r="K913" s="368">
        <v>0</v>
      </c>
      <c r="L913" s="368">
        <v>0</v>
      </c>
      <c r="M913" s="368">
        <v>2.60428875296266E-2</v>
      </c>
      <c r="N913" s="368">
        <v>2.89297378114915E-2</v>
      </c>
      <c r="O913" s="368">
        <v>4.8936183219078298E-2</v>
      </c>
      <c r="T913" s="48">
        <v>99</v>
      </c>
      <c r="U913" s="51"/>
      <c r="V913" s="51"/>
      <c r="W913" s="51"/>
      <c r="X913" s="51"/>
      <c r="Y913" s="51"/>
      <c r="Z913" s="51"/>
      <c r="AA913" s="51"/>
      <c r="AB913" s="51"/>
      <c r="AC913" s="51"/>
      <c r="AD913" s="51"/>
      <c r="AE913" s="51"/>
      <c r="AF913" s="51"/>
      <c r="AG913" s="151"/>
      <c r="AI913" s="137"/>
      <c r="AJ913" s="136"/>
      <c r="AK913" s="5"/>
      <c r="AL913" s="5"/>
      <c r="AM913" s="5"/>
      <c r="AN913" s="136"/>
      <c r="AO913" s="138"/>
      <c r="AQ913" t="e">
        <f>_xlfn.XLOOKUP(tblGWP21[[#This Row],[Material Subcategory]],ls_Mat,Factors!$K$952:$K$1023)</f>
        <v>#N/A</v>
      </c>
      <c r="BA913" cm="1">
        <f t="array" ref="BA913:BM913">tblGWP21[#This Row]</f>
        <v>99</v>
      </c>
      <c r="BB913">
        <v>0</v>
      </c>
      <c r="BC913">
        <v>0</v>
      </c>
      <c r="BD913">
        <v>0</v>
      </c>
      <c r="BE913">
        <v>0</v>
      </c>
      <c r="BF913">
        <v>0</v>
      </c>
      <c r="BG913">
        <v>0</v>
      </c>
      <c r="BH913">
        <v>0</v>
      </c>
      <c r="BI913">
        <v>0</v>
      </c>
      <c r="BJ913">
        <v>0</v>
      </c>
      <c r="BK913">
        <v>0</v>
      </c>
      <c r="BL913">
        <v>0</v>
      </c>
      <c r="BM913">
        <v>0</v>
      </c>
    </row>
    <row r="914" spans="3:65">
      <c r="C914" s="136">
        <v>3</v>
      </c>
      <c r="D914" s="137" t="s">
        <v>247</v>
      </c>
      <c r="E914" s="51" t="s">
        <v>540</v>
      </c>
      <c r="F914" s="51" t="s">
        <v>552</v>
      </c>
      <c r="G914" s="51" t="s">
        <v>555</v>
      </c>
      <c r="H914" s="191">
        <v>-1.0473650000000001</v>
      </c>
      <c r="I914" s="191">
        <v>-0.96428679270000006</v>
      </c>
      <c r="J914" s="191">
        <v>0</v>
      </c>
      <c r="K914" s="191">
        <v>0</v>
      </c>
      <c r="L914" s="191">
        <v>0</v>
      </c>
      <c r="M914" s="191">
        <v>2.6042870829753598E-2</v>
      </c>
      <c r="N914" s="191">
        <v>2.4702921490784801E-2</v>
      </c>
      <c r="O914" s="191">
        <v>4.8937013384659597E-2</v>
      </c>
      <c r="T914" s="48">
        <v>99</v>
      </c>
      <c r="U914" s="51"/>
      <c r="V914" s="51"/>
      <c r="W914" s="51"/>
      <c r="X914" s="51"/>
      <c r="Y914" s="51"/>
      <c r="Z914" s="51"/>
      <c r="AA914" s="51"/>
      <c r="AB914" s="51"/>
      <c r="AC914" s="51"/>
      <c r="AD914" s="51"/>
      <c r="AE914" s="51"/>
      <c r="AF914" s="51"/>
      <c r="AG914" s="151"/>
      <c r="AI914" s="137"/>
      <c r="AJ914" s="136"/>
      <c r="AK914" s="5"/>
      <c r="AL914" s="5"/>
      <c r="AM914" s="5"/>
      <c r="AN914" s="136"/>
      <c r="AO914" s="138"/>
      <c r="AQ914" t="e">
        <f>_xlfn.XLOOKUP(tblGWP21[[#This Row],[Material Subcategory]],ls_Mat,Factors!$K$952:$K$1023)</f>
        <v>#N/A</v>
      </c>
      <c r="BA914" cm="1">
        <f t="array" ref="BA914:BM914">tblGWP21[#This Row]</f>
        <v>99</v>
      </c>
      <c r="BB914">
        <v>0</v>
      </c>
      <c r="BC914">
        <v>0</v>
      </c>
      <c r="BD914">
        <v>0</v>
      </c>
      <c r="BE914">
        <v>0</v>
      </c>
      <c r="BF914">
        <v>0</v>
      </c>
      <c r="BG914">
        <v>0</v>
      </c>
      <c r="BH914">
        <v>0</v>
      </c>
      <c r="BI914">
        <v>0</v>
      </c>
      <c r="BJ914">
        <v>0</v>
      </c>
      <c r="BK914">
        <v>0</v>
      </c>
      <c r="BL914">
        <v>0</v>
      </c>
      <c r="BM914">
        <v>0</v>
      </c>
    </row>
    <row r="915" spans="3:65">
      <c r="C915" s="362">
        <v>3</v>
      </c>
      <c r="D915" s="363" t="s">
        <v>261</v>
      </c>
      <c r="E915" s="369" t="s">
        <v>260</v>
      </c>
      <c r="F915" s="369" t="s">
        <v>552</v>
      </c>
      <c r="G915" s="369" t="s">
        <v>555</v>
      </c>
      <c r="H915" s="368">
        <v>-4.0364225925925927</v>
      </c>
      <c r="I915" s="368">
        <v>0</v>
      </c>
      <c r="J915" s="368">
        <v>0</v>
      </c>
      <c r="K915" s="368">
        <v>-0.50268967868134895</v>
      </c>
      <c r="L915" s="368">
        <v>-0.86800826709700496</v>
      </c>
      <c r="M915" s="368">
        <v>-0.17357286847922601</v>
      </c>
      <c r="N915" s="368">
        <v>-0.27119781115654301</v>
      </c>
      <c r="O915" s="368">
        <v>2.7532513622578698E-2</v>
      </c>
      <c r="T915" s="48">
        <v>99</v>
      </c>
      <c r="U915" s="51"/>
      <c r="V915" s="51"/>
      <c r="W915" s="51"/>
      <c r="X915" s="51"/>
      <c r="Y915" s="51"/>
      <c r="Z915" s="51"/>
      <c r="AA915" s="51"/>
      <c r="AB915" s="51"/>
      <c r="AC915" s="51"/>
      <c r="AD915" s="51"/>
      <c r="AE915" s="51"/>
      <c r="AF915" s="51"/>
      <c r="AG915" s="151"/>
      <c r="AI915" s="137"/>
      <c r="AJ915" s="136"/>
      <c r="AK915" s="5"/>
      <c r="AL915" s="5"/>
      <c r="AM915" s="5"/>
      <c r="AN915" s="136"/>
      <c r="AO915" s="138"/>
      <c r="AQ915" t="e">
        <f>_xlfn.XLOOKUP(tblGWP21[[#This Row],[Material Subcategory]],ls_Mat,Factors!$K$952:$K$1023)</f>
        <v>#N/A</v>
      </c>
      <c r="BA915" cm="1">
        <f t="array" ref="BA915:BM915">tblGWP21[#This Row]</f>
        <v>99</v>
      </c>
      <c r="BB915">
        <v>0</v>
      </c>
      <c r="BC915">
        <v>0</v>
      </c>
      <c r="BD915">
        <v>0</v>
      </c>
      <c r="BE915">
        <v>0</v>
      </c>
      <c r="BF915">
        <v>0</v>
      </c>
      <c r="BG915">
        <v>0</v>
      </c>
      <c r="BH915">
        <v>0</v>
      </c>
      <c r="BI915">
        <v>0</v>
      </c>
      <c r="BJ915">
        <v>0</v>
      </c>
      <c r="BK915">
        <v>0</v>
      </c>
      <c r="BL915">
        <v>0</v>
      </c>
      <c r="BM915">
        <v>0</v>
      </c>
    </row>
    <row r="916" spans="3:65">
      <c r="C916" s="136">
        <v>3</v>
      </c>
      <c r="D916" s="137" t="s">
        <v>10157</v>
      </c>
      <c r="E916" s="51" t="s">
        <v>237</v>
      </c>
      <c r="F916" s="51" t="s">
        <v>552</v>
      </c>
      <c r="G916" s="51" t="s">
        <v>555</v>
      </c>
      <c r="H916" s="191">
        <v>-2.8533815875203707</v>
      </c>
      <c r="I916" s="191">
        <v>-1.4249189937601854</v>
      </c>
      <c r="J916" s="191">
        <v>0</v>
      </c>
      <c r="K916" s="191">
        <v>0</v>
      </c>
      <c r="L916" s="191">
        <v>0</v>
      </c>
      <c r="M916" s="191">
        <v>-0.47372783008290564</v>
      </c>
      <c r="N916" s="191">
        <v>-0.60541892774296602</v>
      </c>
      <c r="O916" s="191">
        <v>2.7971221813722445E-2</v>
      </c>
      <c r="T916" s="48">
        <v>99</v>
      </c>
      <c r="U916" s="51"/>
      <c r="V916" s="51"/>
      <c r="W916" s="51"/>
      <c r="X916" s="51"/>
      <c r="Y916" s="51"/>
      <c r="Z916" s="51"/>
      <c r="AA916" s="51"/>
      <c r="AB916" s="51"/>
      <c r="AC916" s="51"/>
      <c r="AD916" s="51"/>
      <c r="AE916" s="51"/>
      <c r="AF916" s="51"/>
      <c r="AG916" s="151"/>
      <c r="AI916" s="137"/>
      <c r="AJ916" s="136"/>
      <c r="AK916" s="5"/>
      <c r="AL916" s="5"/>
      <c r="AM916" s="5"/>
      <c r="AN916" s="136"/>
      <c r="AO916" s="138"/>
      <c r="AQ916" t="e">
        <f>_xlfn.XLOOKUP(tblGWP21[[#This Row],[Material Subcategory]],ls_Mat,Factors!$K$952:$K$1023)</f>
        <v>#N/A</v>
      </c>
      <c r="BA916" cm="1">
        <f t="array" ref="BA916:BM916">tblGWP21[#This Row]</f>
        <v>99</v>
      </c>
      <c r="BB916">
        <v>0</v>
      </c>
      <c r="BC916">
        <v>0</v>
      </c>
      <c r="BD916">
        <v>0</v>
      </c>
      <c r="BE916">
        <v>0</v>
      </c>
      <c r="BF916">
        <v>0</v>
      </c>
      <c r="BG916">
        <v>0</v>
      </c>
      <c r="BH916">
        <v>0</v>
      </c>
      <c r="BI916">
        <v>0</v>
      </c>
      <c r="BJ916">
        <v>0</v>
      </c>
      <c r="BK916">
        <v>0</v>
      </c>
      <c r="BL916">
        <v>0</v>
      </c>
      <c r="BM916">
        <v>0</v>
      </c>
    </row>
    <row r="917" spans="3:65">
      <c r="C917" s="362">
        <v>3</v>
      </c>
      <c r="D917" s="363" t="s">
        <v>10157</v>
      </c>
      <c r="E917" s="369" t="s">
        <v>246</v>
      </c>
      <c r="F917" s="369" t="s">
        <v>552</v>
      </c>
      <c r="G917" s="369" t="s">
        <v>555</v>
      </c>
      <c r="H917" s="368">
        <v>-7.3412433500000009</v>
      </c>
      <c r="I917" s="368">
        <v>0</v>
      </c>
      <c r="J917" s="368">
        <v>0</v>
      </c>
      <c r="K917" s="368">
        <v>0</v>
      </c>
      <c r="L917" s="368">
        <v>0</v>
      </c>
      <c r="M917" s="368">
        <v>2.6042922296619801E-2</v>
      </c>
      <c r="N917" s="368">
        <v>4.0984842545202502E-2</v>
      </c>
      <c r="O917" s="368">
        <v>4.8934666491893701E-2</v>
      </c>
      <c r="T917" s="48">
        <v>99</v>
      </c>
      <c r="U917" s="51"/>
      <c r="V917" s="51"/>
      <c r="W917" s="51"/>
      <c r="X917" s="51"/>
      <c r="Y917" s="51"/>
      <c r="Z917" s="51"/>
      <c r="AA917" s="51"/>
      <c r="AB917" s="51"/>
      <c r="AC917" s="51"/>
      <c r="AD917" s="51"/>
      <c r="AE917" s="51"/>
      <c r="AF917" s="51"/>
      <c r="AG917" s="151"/>
      <c r="AI917" s="137"/>
      <c r="AJ917" s="136"/>
      <c r="AK917" s="5"/>
      <c r="AL917" s="5"/>
      <c r="AM917" s="5"/>
      <c r="AN917" s="136"/>
      <c r="AO917" s="138"/>
      <c r="AQ917" t="e">
        <f>_xlfn.XLOOKUP(tblGWP21[[#This Row],[Material Subcategory]],ls_Mat,Factors!$K$952:$K$1023)</f>
        <v>#N/A</v>
      </c>
      <c r="BA917" cm="1">
        <f t="array" ref="BA917:BM917">tblGWP21[#This Row]</f>
        <v>99</v>
      </c>
      <c r="BB917">
        <v>0</v>
      </c>
      <c r="BC917">
        <v>0</v>
      </c>
      <c r="BD917">
        <v>0</v>
      </c>
      <c r="BE917">
        <v>0</v>
      </c>
      <c r="BF917">
        <v>0</v>
      </c>
      <c r="BG917">
        <v>0</v>
      </c>
      <c r="BH917">
        <v>0</v>
      </c>
      <c r="BI917">
        <v>0</v>
      </c>
      <c r="BJ917">
        <v>0</v>
      </c>
      <c r="BK917">
        <v>0</v>
      </c>
      <c r="BL917">
        <v>0</v>
      </c>
      <c r="BM917">
        <v>0</v>
      </c>
    </row>
    <row r="918" spans="3:65">
      <c r="C918" s="136">
        <v>3</v>
      </c>
      <c r="D918" s="137" t="s">
        <v>10157</v>
      </c>
      <c r="E918" s="51" t="s">
        <v>243</v>
      </c>
      <c r="F918" s="51" t="s">
        <v>552</v>
      </c>
      <c r="G918" s="51" t="s">
        <v>555</v>
      </c>
      <c r="H918" s="191">
        <v>-2.8533815875203707</v>
      </c>
      <c r="I918" s="191">
        <v>0</v>
      </c>
      <c r="J918" s="191">
        <v>0</v>
      </c>
      <c r="K918" s="191">
        <v>-1.0281071311249455</v>
      </c>
      <c r="L918" s="191">
        <v>-1.602483635678982</v>
      </c>
      <c r="M918" s="191">
        <v>-0.47372783008290564</v>
      </c>
      <c r="N918" s="191">
        <v>-0.60541892774296602</v>
      </c>
      <c r="O918" s="191">
        <v>2.7971221813722445E-2</v>
      </c>
      <c r="T918" s="48">
        <v>99</v>
      </c>
      <c r="U918" s="51"/>
      <c r="V918" s="51"/>
      <c r="W918" s="51"/>
      <c r="X918" s="51"/>
      <c r="Y918" s="51"/>
      <c r="Z918" s="51"/>
      <c r="AA918" s="51"/>
      <c r="AB918" s="51"/>
      <c r="AC918" s="51"/>
      <c r="AD918" s="51"/>
      <c r="AE918" s="51"/>
      <c r="AF918" s="51"/>
      <c r="AG918" s="151"/>
      <c r="AI918" s="137"/>
      <c r="AJ918" s="136"/>
      <c r="AK918" s="5"/>
      <c r="AL918" s="5"/>
      <c r="AM918" s="5"/>
      <c r="AN918" s="136"/>
      <c r="AO918" s="138"/>
      <c r="AQ918" t="e">
        <f>_xlfn.XLOOKUP(tblGWP21[[#This Row],[Material Subcategory]],ls_Mat,Factors!$K$952:$K$1023)</f>
        <v>#N/A</v>
      </c>
      <c r="BA918" cm="1">
        <f t="array" ref="BA918:BM918">tblGWP21[#This Row]</f>
        <v>99</v>
      </c>
      <c r="BB918">
        <v>0</v>
      </c>
      <c r="BC918">
        <v>0</v>
      </c>
      <c r="BD918">
        <v>0</v>
      </c>
      <c r="BE918">
        <v>0</v>
      </c>
      <c r="BF918">
        <v>0</v>
      </c>
      <c r="BG918">
        <v>0</v>
      </c>
      <c r="BH918">
        <v>0</v>
      </c>
      <c r="BI918">
        <v>0</v>
      </c>
      <c r="BJ918">
        <v>0</v>
      </c>
      <c r="BK918">
        <v>0</v>
      </c>
      <c r="BL918">
        <v>0</v>
      </c>
      <c r="BM918">
        <v>0</v>
      </c>
    </row>
    <row r="919" spans="3:65">
      <c r="C919" s="362">
        <v>3</v>
      </c>
      <c r="D919" s="363" t="s">
        <v>252</v>
      </c>
      <c r="E919" s="369" t="s">
        <v>333</v>
      </c>
      <c r="F919" s="369" t="s">
        <v>552</v>
      </c>
      <c r="G919" s="369" t="s">
        <v>555</v>
      </c>
      <c r="H919" s="368">
        <v>-2.0953266666666663</v>
      </c>
      <c r="I919" s="368">
        <v>0</v>
      </c>
      <c r="J919" s="368">
        <v>-4.4025891502648795</v>
      </c>
      <c r="K919" s="368">
        <v>0</v>
      </c>
      <c r="L919" s="368">
        <v>0</v>
      </c>
      <c r="M919" s="368">
        <v>2.6042894329189499E-2</v>
      </c>
      <c r="N919" s="368">
        <v>0.44395532733173598</v>
      </c>
      <c r="O919" s="368">
        <v>2.1870269324237599</v>
      </c>
      <c r="T919" s="48">
        <v>99</v>
      </c>
      <c r="U919" s="51"/>
      <c r="V919" s="51"/>
      <c r="W919" s="51"/>
      <c r="X919" s="51"/>
      <c r="Y919" s="51"/>
      <c r="Z919" s="51"/>
      <c r="AA919" s="51"/>
      <c r="AB919" s="51"/>
      <c r="AC919" s="51"/>
      <c r="AD919" s="51"/>
      <c r="AE919" s="51"/>
      <c r="AF919" s="51"/>
      <c r="AG919" s="151"/>
      <c r="AI919" s="137"/>
      <c r="AJ919" s="136"/>
      <c r="AK919" s="5"/>
      <c r="AL919" s="5"/>
      <c r="AM919" s="5"/>
      <c r="AN919" s="136"/>
      <c r="AO919" s="138"/>
      <c r="AQ919" t="e">
        <f>_xlfn.XLOOKUP(tblGWP21[[#This Row],[Material Subcategory]],ls_Mat,Factors!$K$952:$K$1023)</f>
        <v>#N/A</v>
      </c>
      <c r="BA919" cm="1">
        <f t="array" ref="BA919:BM919">tblGWP21[#This Row]</f>
        <v>99</v>
      </c>
      <c r="BB919">
        <v>0</v>
      </c>
      <c r="BC919">
        <v>0</v>
      </c>
      <c r="BD919">
        <v>0</v>
      </c>
      <c r="BE919">
        <v>0</v>
      </c>
      <c r="BF919">
        <v>0</v>
      </c>
      <c r="BG919">
        <v>0</v>
      </c>
      <c r="BH919">
        <v>0</v>
      </c>
      <c r="BI919">
        <v>0</v>
      </c>
      <c r="BJ919">
        <v>0</v>
      </c>
      <c r="BK919">
        <v>0</v>
      </c>
      <c r="BL919">
        <v>0</v>
      </c>
      <c r="BM919">
        <v>0</v>
      </c>
    </row>
    <row r="920" spans="3:65">
      <c r="C920" s="136">
        <v>3</v>
      </c>
      <c r="D920" s="137" t="s">
        <v>239</v>
      </c>
      <c r="E920" s="51" t="s">
        <v>542</v>
      </c>
      <c r="F920" s="51" t="s">
        <v>552</v>
      </c>
      <c r="G920" s="51" t="s">
        <v>555</v>
      </c>
      <c r="H920" s="191">
        <v>-2.6644477777777777</v>
      </c>
      <c r="I920" s="191">
        <v>0</v>
      </c>
      <c r="J920" s="191">
        <v>-0.91191428180792811</v>
      </c>
      <c r="K920" s="191">
        <v>-1.6286344906372801</v>
      </c>
      <c r="L920" s="191">
        <v>-2.3972313350924299</v>
      </c>
      <c r="M920" s="191">
        <v>-0.66697991340315199</v>
      </c>
      <c r="N920" s="191">
        <v>-0.942225030340478</v>
      </c>
      <c r="O920" s="191">
        <v>2.74731001572785E-2</v>
      </c>
      <c r="T920" s="48">
        <v>99</v>
      </c>
      <c r="U920" s="51"/>
      <c r="V920" s="51"/>
      <c r="W920" s="51"/>
      <c r="X920" s="51"/>
      <c r="Y920" s="51"/>
      <c r="Z920" s="51"/>
      <c r="AA920" s="51"/>
      <c r="AB920" s="51"/>
      <c r="AC920" s="51"/>
      <c r="AD920" s="51"/>
      <c r="AE920" s="51"/>
      <c r="AF920" s="51"/>
      <c r="AG920" s="151"/>
      <c r="AI920" s="137"/>
      <c r="AJ920" s="136"/>
      <c r="AK920" s="5"/>
      <c r="AL920" s="5"/>
      <c r="AM920" s="5"/>
      <c r="AN920" s="136"/>
      <c r="AO920" s="138"/>
      <c r="AQ920" t="e">
        <f>_xlfn.XLOOKUP(tblGWP21[[#This Row],[Material Subcategory]],ls_Mat,Factors!$K$952:$K$1023)</f>
        <v>#N/A</v>
      </c>
      <c r="BA920" cm="1">
        <f t="array" ref="BA920:BM920">tblGWP21[#This Row]</f>
        <v>99</v>
      </c>
      <c r="BB920">
        <v>0</v>
      </c>
      <c r="BC920">
        <v>0</v>
      </c>
      <c r="BD920">
        <v>0</v>
      </c>
      <c r="BE920">
        <v>0</v>
      </c>
      <c r="BF920">
        <v>0</v>
      </c>
      <c r="BG920">
        <v>0</v>
      </c>
      <c r="BH920">
        <v>0</v>
      </c>
      <c r="BI920">
        <v>0</v>
      </c>
      <c r="BJ920">
        <v>0</v>
      </c>
      <c r="BK920">
        <v>0</v>
      </c>
      <c r="BL920">
        <v>0</v>
      </c>
      <c r="BM920">
        <v>0</v>
      </c>
    </row>
    <row r="921" spans="3:65">
      <c r="C921" s="362">
        <v>3</v>
      </c>
      <c r="D921" s="363" t="s">
        <v>10157</v>
      </c>
      <c r="E921" s="369" t="s">
        <v>238</v>
      </c>
      <c r="F921" s="369" t="s">
        <v>552</v>
      </c>
      <c r="G921" s="369" t="s">
        <v>555</v>
      </c>
      <c r="H921" s="368">
        <v>-2.7046544444444445</v>
      </c>
      <c r="I921" s="368">
        <v>0</v>
      </c>
      <c r="J921" s="368">
        <v>0</v>
      </c>
      <c r="K921" s="368">
        <v>0</v>
      </c>
      <c r="L921" s="368">
        <v>0</v>
      </c>
      <c r="M921" s="368">
        <v>-0.14723567376067564</v>
      </c>
      <c r="N921" s="368">
        <v>-0.14435945193179459</v>
      </c>
      <c r="O921" s="368">
        <v>0.54347190689911018</v>
      </c>
      <c r="T921" s="48">
        <v>99</v>
      </c>
      <c r="U921" s="51"/>
      <c r="V921" s="51"/>
      <c r="W921" s="51"/>
      <c r="X921" s="51"/>
      <c r="Y921" s="51"/>
      <c r="Z921" s="51"/>
      <c r="AA921" s="51"/>
      <c r="AB921" s="51"/>
      <c r="AC921" s="51"/>
      <c r="AD921" s="51"/>
      <c r="AE921" s="51"/>
      <c r="AF921" s="51"/>
      <c r="AG921" s="151"/>
      <c r="AI921" s="137"/>
      <c r="AJ921" s="136"/>
      <c r="AK921" s="5"/>
      <c r="AL921" s="5"/>
      <c r="AM921" s="5"/>
      <c r="AN921" s="136"/>
      <c r="AO921" s="138"/>
      <c r="AQ921" t="e">
        <f>_xlfn.XLOOKUP(tblGWP21[[#This Row],[Material Subcategory]],ls_Mat,Factors!$K$952:$K$1023)</f>
        <v>#N/A</v>
      </c>
      <c r="BA921" cm="1">
        <f t="array" ref="BA921:BM921">tblGWP21[#This Row]</f>
        <v>99</v>
      </c>
      <c r="BB921">
        <v>0</v>
      </c>
      <c r="BC921">
        <v>0</v>
      </c>
      <c r="BD921">
        <v>0</v>
      </c>
      <c r="BE921">
        <v>0</v>
      </c>
      <c r="BF921">
        <v>0</v>
      </c>
      <c r="BG921">
        <v>0</v>
      </c>
      <c r="BH921">
        <v>0</v>
      </c>
      <c r="BI921">
        <v>0</v>
      </c>
      <c r="BJ921">
        <v>0</v>
      </c>
      <c r="BK921">
        <v>0</v>
      </c>
      <c r="BL921">
        <v>0</v>
      </c>
      <c r="BM921">
        <v>0</v>
      </c>
    </row>
    <row r="922" spans="3:65">
      <c r="C922" s="136">
        <v>3</v>
      </c>
      <c r="D922" s="137" t="s">
        <v>264</v>
      </c>
      <c r="E922" s="51" t="s">
        <v>264</v>
      </c>
      <c r="F922" s="51" t="s">
        <v>552</v>
      </c>
      <c r="G922" s="51" t="s">
        <v>555</v>
      </c>
      <c r="H922" s="191">
        <v>-1.9287117500000002</v>
      </c>
      <c r="I922" s="191">
        <v>-1.1070613798500002</v>
      </c>
      <c r="J922" s="191">
        <v>0.15112249999999994</v>
      </c>
      <c r="K922" s="191">
        <v>0</v>
      </c>
      <c r="L922" s="191">
        <v>0</v>
      </c>
      <c r="M922" s="191">
        <v>-0.35869868218287954</v>
      </c>
      <c r="N922" s="191">
        <v>-0.59757324967558434</v>
      </c>
      <c r="O922" s="191">
        <v>0.46009777689536741</v>
      </c>
      <c r="T922" s="48">
        <v>99</v>
      </c>
      <c r="U922" s="51"/>
      <c r="V922" s="51"/>
      <c r="W922" s="51"/>
      <c r="X922" s="51"/>
      <c r="Y922" s="51"/>
      <c r="Z922" s="51"/>
      <c r="AA922" s="51"/>
      <c r="AB922" s="51"/>
      <c r="AC922" s="51"/>
      <c r="AD922" s="51"/>
      <c r="AE922" s="51"/>
      <c r="AF922" s="51"/>
      <c r="AG922" s="151"/>
      <c r="AI922" s="137"/>
      <c r="AJ922" s="136"/>
      <c r="AK922" s="5"/>
      <c r="AL922" s="5"/>
      <c r="AM922" s="5"/>
      <c r="AN922" s="136"/>
      <c r="AO922" s="138"/>
      <c r="AQ922" t="e">
        <f>_xlfn.XLOOKUP(tblGWP21[[#This Row],[Material Subcategory]],ls_Mat,Factors!$K$952:$K$1023)</f>
        <v>#N/A</v>
      </c>
      <c r="BA922" cm="1">
        <f t="array" ref="BA922:BM922">tblGWP21[#This Row]</f>
        <v>99</v>
      </c>
      <c r="BB922">
        <v>0</v>
      </c>
      <c r="BC922">
        <v>0</v>
      </c>
      <c r="BD922">
        <v>0</v>
      </c>
      <c r="BE922">
        <v>0</v>
      </c>
      <c r="BF922">
        <v>0</v>
      </c>
      <c r="BG922">
        <v>0</v>
      </c>
      <c r="BH922">
        <v>0</v>
      </c>
      <c r="BI922">
        <v>0</v>
      </c>
      <c r="BJ922">
        <v>0</v>
      </c>
      <c r="BK922">
        <v>0</v>
      </c>
      <c r="BL922">
        <v>0</v>
      </c>
      <c r="BM922">
        <v>0</v>
      </c>
    </row>
    <row r="923" spans="3:65">
      <c r="C923" s="362">
        <v>3</v>
      </c>
      <c r="D923" s="363" t="s">
        <v>264</v>
      </c>
      <c r="E923" s="369" t="s">
        <v>336</v>
      </c>
      <c r="F923" s="369" t="s">
        <v>552</v>
      </c>
      <c r="G923" s="369" t="s">
        <v>555</v>
      </c>
      <c r="H923" s="368">
        <v>-0.76351350000000007</v>
      </c>
      <c r="I923" s="368">
        <v>-0.34968251735000005</v>
      </c>
      <c r="J923" s="368">
        <v>0</v>
      </c>
      <c r="K923" s="368">
        <v>-1.64655650896596</v>
      </c>
      <c r="L923" s="368">
        <v>-2.6336365493502698</v>
      </c>
      <c r="M923" s="368">
        <v>-1.0033131033753351</v>
      </c>
      <c r="N923" s="368">
        <v>-0.83241615029836658</v>
      </c>
      <c r="O923" s="368">
        <v>0.21089953370705883</v>
      </c>
      <c r="T923" s="48">
        <v>99</v>
      </c>
      <c r="U923" s="51"/>
      <c r="V923" s="51"/>
      <c r="W923" s="51"/>
      <c r="X923" s="51"/>
      <c r="Y923" s="51"/>
      <c r="Z923" s="51"/>
      <c r="AA923" s="51"/>
      <c r="AB923" s="51"/>
      <c r="AC923" s="51"/>
      <c r="AD923" s="51"/>
      <c r="AE923" s="51"/>
      <c r="AF923" s="51"/>
      <c r="AG923" s="151"/>
      <c r="AI923" s="137"/>
      <c r="AJ923" s="136"/>
      <c r="AK923" s="5"/>
      <c r="AL923" s="5"/>
      <c r="AM923" s="5"/>
      <c r="AN923" s="136"/>
      <c r="AO923" s="138"/>
      <c r="AQ923" t="e">
        <f>_xlfn.XLOOKUP(tblGWP21[[#This Row],[Material Subcategory]],ls_Mat,Factors!$K$952:$K$1023)</f>
        <v>#N/A</v>
      </c>
      <c r="BA923" cm="1">
        <f t="array" ref="BA923:BM923">tblGWP21[#This Row]</f>
        <v>99</v>
      </c>
      <c r="BB923">
        <v>0</v>
      </c>
      <c r="BC923">
        <v>0</v>
      </c>
      <c r="BD923">
        <v>0</v>
      </c>
      <c r="BE923">
        <v>0</v>
      </c>
      <c r="BF923">
        <v>0</v>
      </c>
      <c r="BG923">
        <v>0</v>
      </c>
      <c r="BH923">
        <v>0</v>
      </c>
      <c r="BI923">
        <v>0</v>
      </c>
      <c r="BJ923">
        <v>0</v>
      </c>
      <c r="BK923">
        <v>0</v>
      </c>
      <c r="BL923">
        <v>0</v>
      </c>
      <c r="BM923">
        <v>0</v>
      </c>
    </row>
    <row r="924" spans="3:65">
      <c r="C924" s="136">
        <v>3</v>
      </c>
      <c r="D924" s="137" t="s">
        <v>242</v>
      </c>
      <c r="E924" s="51" t="s">
        <v>251</v>
      </c>
      <c r="F924" s="51" t="s">
        <v>552</v>
      </c>
      <c r="G924" s="51" t="s">
        <v>555</v>
      </c>
      <c r="H924" s="191">
        <v>-4.9218200000000003</v>
      </c>
      <c r="I924" s="191">
        <v>-3.5665477000000001</v>
      </c>
      <c r="J924" s="191">
        <v>-1.2190350000000001</v>
      </c>
      <c r="K924" s="191">
        <v>0</v>
      </c>
      <c r="L924" s="191">
        <v>0</v>
      </c>
      <c r="M924" s="191">
        <v>2.5969732332329142E-2</v>
      </c>
      <c r="N924" s="191">
        <v>0.1425399624297638</v>
      </c>
      <c r="O924" s="191">
        <v>0.84877827098641234</v>
      </c>
      <c r="T924" s="48">
        <v>99</v>
      </c>
      <c r="U924" s="51"/>
      <c r="V924" s="51"/>
      <c r="W924" s="51"/>
      <c r="X924" s="51"/>
      <c r="Y924" s="51"/>
      <c r="Z924" s="51"/>
      <c r="AA924" s="51"/>
      <c r="AB924" s="51"/>
      <c r="AC924" s="51"/>
      <c r="AD924" s="51"/>
      <c r="AE924" s="51"/>
      <c r="AF924" s="51"/>
      <c r="AG924" s="151"/>
      <c r="AI924" s="137"/>
      <c r="AJ924" s="136"/>
      <c r="AK924" s="5"/>
      <c r="AL924" s="5"/>
      <c r="AM924" s="5"/>
      <c r="AN924" s="136"/>
      <c r="AO924" s="138"/>
      <c r="AQ924" t="e">
        <f>_xlfn.XLOOKUP(tblGWP21[[#This Row],[Material Subcategory]],ls_Mat,Factors!$K$952:$K$1023)</f>
        <v>#N/A</v>
      </c>
      <c r="BA924" cm="1">
        <f t="array" ref="BA924:BM924">tblGWP21[#This Row]</f>
        <v>99</v>
      </c>
      <c r="BB924">
        <v>0</v>
      </c>
      <c r="BC924">
        <v>0</v>
      </c>
      <c r="BD924">
        <v>0</v>
      </c>
      <c r="BE924">
        <v>0</v>
      </c>
      <c r="BF924">
        <v>0</v>
      </c>
      <c r="BG924">
        <v>0</v>
      </c>
      <c r="BH924">
        <v>0</v>
      </c>
      <c r="BI924">
        <v>0</v>
      </c>
      <c r="BJ924">
        <v>0</v>
      </c>
      <c r="BK924">
        <v>0</v>
      </c>
      <c r="BL924">
        <v>0</v>
      </c>
      <c r="BM924">
        <v>0</v>
      </c>
    </row>
    <row r="925" spans="3:65">
      <c r="C925" s="362">
        <v>3</v>
      </c>
      <c r="D925" s="363" t="s">
        <v>242</v>
      </c>
      <c r="E925" s="369" t="s">
        <v>543</v>
      </c>
      <c r="F925" s="369" t="s">
        <v>552</v>
      </c>
      <c r="G925" s="369" t="s">
        <v>555</v>
      </c>
      <c r="H925" s="368">
        <v>-1.00081</v>
      </c>
      <c r="I925" s="368">
        <v>-0.72381545000000003</v>
      </c>
      <c r="J925" s="368">
        <v>-0.20626249999999999</v>
      </c>
      <c r="K925" s="368">
        <v>0</v>
      </c>
      <c r="L925" s="368">
        <v>0</v>
      </c>
      <c r="M925" s="368">
        <v>2.5860000000000001E-2</v>
      </c>
      <c r="N925" s="368">
        <v>4.0984842545202599E-2</v>
      </c>
      <c r="O925" s="368">
        <v>4.8934666491893597E-2</v>
      </c>
      <c r="T925" s="48">
        <v>99</v>
      </c>
      <c r="U925" s="51"/>
      <c r="V925" s="51"/>
      <c r="W925" s="51"/>
      <c r="X925" s="51"/>
      <c r="Y925" s="51"/>
      <c r="Z925" s="51"/>
      <c r="AA925" s="51"/>
      <c r="AB925" s="51"/>
      <c r="AC925" s="51"/>
      <c r="AD925" s="51"/>
      <c r="AE925" s="51"/>
      <c r="AF925" s="51"/>
      <c r="AG925" s="151"/>
      <c r="AI925" s="137"/>
      <c r="AJ925" s="136"/>
      <c r="AK925" s="5"/>
      <c r="AL925" s="5"/>
      <c r="AM925" s="5"/>
      <c r="AN925" s="136"/>
      <c r="AO925" s="138"/>
      <c r="AQ925" t="e">
        <f>_xlfn.XLOOKUP(tblGWP21[[#This Row],[Material Subcategory]],ls_Mat,Factors!$K$952:$K$1023)</f>
        <v>#N/A</v>
      </c>
      <c r="BA925" cm="1">
        <f t="array" ref="BA925:BM925">tblGWP21[#This Row]</f>
        <v>99</v>
      </c>
      <c r="BB925">
        <v>0</v>
      </c>
      <c r="BC925">
        <v>0</v>
      </c>
      <c r="BD925">
        <v>0</v>
      </c>
      <c r="BE925">
        <v>0</v>
      </c>
      <c r="BF925">
        <v>0</v>
      </c>
      <c r="BG925">
        <v>0</v>
      </c>
      <c r="BH925">
        <v>0</v>
      </c>
      <c r="BI925">
        <v>0</v>
      </c>
      <c r="BJ925">
        <v>0</v>
      </c>
      <c r="BK925">
        <v>0</v>
      </c>
      <c r="BL925">
        <v>0</v>
      </c>
      <c r="BM925">
        <v>0</v>
      </c>
    </row>
    <row r="926" spans="3:65">
      <c r="C926" s="136">
        <v>3</v>
      </c>
      <c r="D926" s="137" t="s">
        <v>264</v>
      </c>
      <c r="E926" s="51" t="s">
        <v>544</v>
      </c>
      <c r="F926" s="51" t="s">
        <v>552</v>
      </c>
      <c r="G926" s="51" t="s">
        <v>555</v>
      </c>
      <c r="H926" s="191">
        <v>-3.0939100000000002</v>
      </c>
      <c r="I926" s="191">
        <v>-1.8644402423500002</v>
      </c>
      <c r="J926" s="191">
        <v>0.15112249999999994</v>
      </c>
      <c r="K926" s="191">
        <v>0</v>
      </c>
      <c r="L926" s="191">
        <v>0</v>
      </c>
      <c r="M926" s="191">
        <v>0.28591573900957601</v>
      </c>
      <c r="N926" s="191">
        <v>-0.36273034905280199</v>
      </c>
      <c r="O926" s="191">
        <v>0.70929602008367598</v>
      </c>
      <c r="T926" s="48">
        <v>99</v>
      </c>
      <c r="U926" s="51"/>
      <c r="V926" s="51"/>
      <c r="W926" s="51"/>
      <c r="X926" s="51"/>
      <c r="Y926" s="51"/>
      <c r="Z926" s="51"/>
      <c r="AA926" s="51"/>
      <c r="AB926" s="51"/>
      <c r="AC926" s="51"/>
      <c r="AD926" s="51"/>
      <c r="AE926" s="51"/>
      <c r="AF926" s="51"/>
      <c r="AG926" s="151"/>
      <c r="AI926" s="137"/>
      <c r="AJ926" s="136"/>
      <c r="AK926" s="5"/>
      <c r="AL926" s="5"/>
      <c r="AM926" s="5"/>
      <c r="AN926" s="136"/>
      <c r="AO926" s="138"/>
      <c r="AQ926" t="e">
        <f>_xlfn.XLOOKUP(tblGWP21[[#This Row],[Material Subcategory]],ls_Mat,Factors!$K$952:$K$1023)</f>
        <v>#N/A</v>
      </c>
      <c r="BA926" cm="1">
        <f t="array" ref="BA926:BM926">tblGWP21[#This Row]</f>
        <v>99</v>
      </c>
      <c r="BB926">
        <v>0</v>
      </c>
      <c r="BC926">
        <v>0</v>
      </c>
      <c r="BD926">
        <v>0</v>
      </c>
      <c r="BE926">
        <v>0</v>
      </c>
      <c r="BF926">
        <v>0</v>
      </c>
      <c r="BG926">
        <v>0</v>
      </c>
      <c r="BH926">
        <v>0</v>
      </c>
      <c r="BI926">
        <v>0</v>
      </c>
      <c r="BJ926">
        <v>0</v>
      </c>
      <c r="BK926">
        <v>0</v>
      </c>
      <c r="BL926">
        <v>0</v>
      </c>
      <c r="BM926">
        <v>0</v>
      </c>
    </row>
    <row r="927" spans="3:65">
      <c r="C927" s="362">
        <v>3</v>
      </c>
      <c r="D927" s="363" t="s">
        <v>10157</v>
      </c>
      <c r="E927" s="369" t="s">
        <v>545</v>
      </c>
      <c r="F927" s="369" t="s">
        <v>552</v>
      </c>
      <c r="G927" s="369" t="s">
        <v>555</v>
      </c>
      <c r="H927" s="368">
        <v>-2.8533815875203707</v>
      </c>
      <c r="I927" s="368">
        <v>0</v>
      </c>
      <c r="J927" s="368">
        <v>0</v>
      </c>
      <c r="K927" s="368">
        <v>0</v>
      </c>
      <c r="L927" s="368">
        <v>0</v>
      </c>
      <c r="M927" s="368">
        <v>-0.47372783008290564</v>
      </c>
      <c r="N927" s="368">
        <v>-0.60541892774296602</v>
      </c>
      <c r="O927" s="368">
        <v>2.7971221813722445E-2</v>
      </c>
      <c r="T927" s="48">
        <v>99</v>
      </c>
      <c r="U927" s="51"/>
      <c r="V927" s="51"/>
      <c r="W927" s="51"/>
      <c r="X927" s="51"/>
      <c r="Y927" s="51"/>
      <c r="Z927" s="51"/>
      <c r="AA927" s="51"/>
      <c r="AB927" s="51"/>
      <c r="AC927" s="51"/>
      <c r="AD927" s="51"/>
      <c r="AE927" s="51"/>
      <c r="AF927" s="51"/>
      <c r="AG927" s="151"/>
      <c r="AI927" s="139"/>
      <c r="AJ927" s="140"/>
      <c r="AK927" s="148"/>
      <c r="AL927" s="148"/>
      <c r="AM927" s="148"/>
      <c r="AN927" s="140"/>
      <c r="AO927" s="141"/>
      <c r="AQ927" t="e">
        <f>_xlfn.XLOOKUP(tblGWP21[[#This Row],[Material Subcategory]],ls_Mat,Factors!$K$952:$K$1023)</f>
        <v>#N/A</v>
      </c>
      <c r="BA927" cm="1">
        <f t="array" ref="BA927:BM927">tblGWP21[#This Row]</f>
        <v>99</v>
      </c>
      <c r="BB927">
        <v>0</v>
      </c>
      <c r="BC927">
        <v>0</v>
      </c>
      <c r="BD927">
        <v>0</v>
      </c>
      <c r="BE927">
        <v>0</v>
      </c>
      <c r="BF927">
        <v>0</v>
      </c>
      <c r="BG927">
        <v>0</v>
      </c>
      <c r="BH927">
        <v>0</v>
      </c>
      <c r="BI927">
        <v>0</v>
      </c>
      <c r="BJ927">
        <v>0</v>
      </c>
      <c r="BK927">
        <v>0</v>
      </c>
      <c r="BL927">
        <v>0</v>
      </c>
      <c r="BM927">
        <v>0</v>
      </c>
    </row>
    <row r="928" spans="3:65" ht="28.8">
      <c r="C928" s="136">
        <v>3</v>
      </c>
      <c r="D928" s="137" t="s">
        <v>10169</v>
      </c>
      <c r="E928" s="51" t="s">
        <v>10170</v>
      </c>
      <c r="F928" s="51" t="s">
        <v>552</v>
      </c>
      <c r="G928" s="51" t="s">
        <v>555</v>
      </c>
      <c r="H928" s="191">
        <v>-0.74582333333333339</v>
      </c>
      <c r="I928" s="191">
        <v>-0.58351400000000009</v>
      </c>
      <c r="J928" s="191">
        <v>0.3259926084346883</v>
      </c>
      <c r="K928" s="191">
        <v>0</v>
      </c>
      <c r="L928" s="191">
        <v>0</v>
      </c>
      <c r="M928" s="191">
        <v>0.45668176288049178</v>
      </c>
      <c r="N928" s="191">
        <v>1.0683983533052401</v>
      </c>
      <c r="O928" s="191">
        <v>1.142290877337675</v>
      </c>
      <c r="T928" s="177"/>
      <c r="U928" s="46"/>
      <c r="V928" s="51"/>
      <c r="W928" s="51"/>
      <c r="X928" s="51"/>
      <c r="Y928" s="51"/>
      <c r="Z928" s="51"/>
      <c r="AA928" s="51"/>
      <c r="AB928" s="51"/>
      <c r="AC928" s="51"/>
      <c r="AD928" s="51"/>
      <c r="AE928" s="51"/>
      <c r="AF928" s="178"/>
      <c r="AQ928" t="e">
        <f>_xlfn.XLOOKUP(tblGWP21[[#This Row],[Material Subcategory]],ls_Mat,Factors!$K$952:$K$1023)</f>
        <v>#N/A</v>
      </c>
      <c r="BA928" cm="1">
        <f t="array" ref="BA928:BM928">tblGWP21[#This Row]</f>
        <v>0</v>
      </c>
      <c r="BB928">
        <v>0</v>
      </c>
      <c r="BC928">
        <v>0</v>
      </c>
      <c r="BD928">
        <v>0</v>
      </c>
      <c r="BE928">
        <v>0</v>
      </c>
      <c r="BF928">
        <v>0</v>
      </c>
      <c r="BG928">
        <v>0</v>
      </c>
      <c r="BH928">
        <v>0</v>
      </c>
      <c r="BI928">
        <v>0</v>
      </c>
      <c r="BJ928">
        <v>0</v>
      </c>
      <c r="BK928">
        <v>0</v>
      </c>
      <c r="BL928">
        <v>0</v>
      </c>
      <c r="BM928">
        <v>0</v>
      </c>
    </row>
    <row r="929" spans="3:65">
      <c r="C929" s="362">
        <v>99</v>
      </c>
      <c r="D929" s="363"/>
      <c r="E929" s="369"/>
      <c r="F929" s="369"/>
      <c r="G929" s="369"/>
      <c r="H929" s="368"/>
      <c r="I929" s="368"/>
      <c r="J929" s="368"/>
      <c r="K929" s="368"/>
      <c r="L929" s="368"/>
      <c r="M929" s="368"/>
      <c r="N929" s="368"/>
      <c r="O929" s="368"/>
      <c r="T929" s="177"/>
      <c r="U929" s="46"/>
      <c r="V929" s="51"/>
      <c r="W929" s="51"/>
      <c r="X929" s="51"/>
      <c r="Y929" s="51"/>
      <c r="Z929" s="51"/>
      <c r="AA929" s="51"/>
      <c r="AB929" s="51"/>
      <c r="AC929" s="51"/>
      <c r="AD929" s="51"/>
      <c r="AE929" s="51"/>
      <c r="AF929" s="178"/>
      <c r="AQ929" t="e">
        <f>_xlfn.XLOOKUP(tblGWP21[[#This Row],[Material Subcategory]],ls_Mat,Factors!$K$952:$K$1023)</f>
        <v>#N/A</v>
      </c>
      <c r="BA929" cm="1">
        <f t="array" ref="BA929:BM929">tblGWP21[#This Row]</f>
        <v>0</v>
      </c>
      <c r="BB929">
        <v>0</v>
      </c>
      <c r="BC929">
        <v>0</v>
      </c>
      <c r="BD929">
        <v>0</v>
      </c>
      <c r="BE929">
        <v>0</v>
      </c>
      <c r="BF929">
        <v>0</v>
      </c>
      <c r="BG929">
        <v>0</v>
      </c>
      <c r="BH929">
        <v>0</v>
      </c>
      <c r="BI929">
        <v>0</v>
      </c>
      <c r="BJ929">
        <v>0</v>
      </c>
      <c r="BK929">
        <v>0</v>
      </c>
      <c r="BL929">
        <v>0</v>
      </c>
      <c r="BM929">
        <v>0</v>
      </c>
    </row>
    <row r="930" spans="3:65">
      <c r="C930" s="136">
        <v>99</v>
      </c>
      <c r="D930" s="137"/>
      <c r="E930" s="51"/>
      <c r="F930" s="51"/>
      <c r="G930" s="51"/>
      <c r="H930" s="191"/>
      <c r="I930" s="191"/>
      <c r="J930" s="191"/>
      <c r="K930" s="191"/>
      <c r="L930" s="191"/>
      <c r="M930" s="191"/>
      <c r="N930" s="191"/>
      <c r="O930" s="191"/>
      <c r="T930" s="177"/>
      <c r="U930" s="46"/>
      <c r="V930" s="51"/>
      <c r="W930" s="51"/>
      <c r="X930" s="51"/>
      <c r="Y930" s="51"/>
      <c r="Z930" s="51"/>
      <c r="AA930" s="51"/>
      <c r="AB930" s="51"/>
      <c r="AC930" s="51"/>
      <c r="AD930" s="51"/>
      <c r="AE930" s="51"/>
      <c r="AF930" s="178"/>
      <c r="BA930" cm="1">
        <f t="array" ref="BA930:BM930">tblGWP21[#This Row]</f>
        <v>0</v>
      </c>
      <c r="BB930">
        <v>0</v>
      </c>
      <c r="BC930">
        <v>0</v>
      </c>
      <c r="BD930">
        <v>0</v>
      </c>
      <c r="BE930">
        <v>0</v>
      </c>
      <c r="BF930">
        <v>0</v>
      </c>
      <c r="BG930">
        <v>0</v>
      </c>
      <c r="BH930">
        <v>0</v>
      </c>
      <c r="BI930">
        <v>0</v>
      </c>
      <c r="BJ930">
        <v>0</v>
      </c>
      <c r="BK930">
        <v>0</v>
      </c>
      <c r="BL930">
        <v>0</v>
      </c>
      <c r="BM930">
        <v>0</v>
      </c>
    </row>
    <row r="931" spans="3:65">
      <c r="C931" s="362">
        <v>99</v>
      </c>
      <c r="D931" s="363"/>
      <c r="E931" s="369"/>
      <c r="F931" s="369"/>
      <c r="G931" s="369"/>
      <c r="H931" s="368"/>
      <c r="I931" s="368"/>
      <c r="J931" s="368"/>
      <c r="K931" s="368"/>
      <c r="L931" s="368"/>
      <c r="M931" s="368"/>
      <c r="N931" s="368"/>
      <c r="O931" s="368"/>
    </row>
    <row r="932" spans="3:65">
      <c r="C932" s="136">
        <v>99</v>
      </c>
      <c r="D932" s="137"/>
      <c r="E932" s="51"/>
      <c r="F932" s="51"/>
      <c r="G932" s="51"/>
      <c r="H932" s="191"/>
      <c r="I932" s="191"/>
      <c r="J932" s="191"/>
      <c r="K932" s="191"/>
      <c r="L932" s="191"/>
      <c r="M932" s="191"/>
      <c r="N932" s="191"/>
      <c r="O932" s="191"/>
    </row>
    <row r="933" spans="3:65">
      <c r="C933" s="362">
        <v>99</v>
      </c>
      <c r="D933" s="363"/>
      <c r="E933" s="369"/>
      <c r="F933" s="369"/>
      <c r="G933" s="369"/>
      <c r="H933" s="368"/>
      <c r="I933" s="368"/>
      <c r="J933" s="368"/>
      <c r="K933" s="368"/>
      <c r="L933" s="368"/>
      <c r="M933" s="368"/>
      <c r="N933" s="368"/>
      <c r="O933" s="368"/>
    </row>
    <row r="934" spans="3:65">
      <c r="C934" s="136">
        <v>99</v>
      </c>
      <c r="D934" s="137"/>
      <c r="E934" s="51"/>
      <c r="F934" s="51"/>
      <c r="G934" s="51"/>
      <c r="H934" s="191"/>
      <c r="I934" s="191"/>
      <c r="J934" s="191"/>
      <c r="K934" s="191"/>
      <c r="L934" s="191"/>
      <c r="M934" s="191"/>
      <c r="N934" s="191"/>
      <c r="O934" s="191"/>
    </row>
    <row r="935" spans="3:65">
      <c r="C935" s="362">
        <v>99</v>
      </c>
      <c r="D935" s="363"/>
      <c r="E935" s="369"/>
      <c r="F935" s="369"/>
      <c r="G935" s="369"/>
      <c r="H935" s="368"/>
      <c r="I935" s="368"/>
      <c r="J935" s="368"/>
      <c r="K935" s="368"/>
      <c r="L935" s="368"/>
      <c r="M935" s="368"/>
      <c r="N935" s="368"/>
      <c r="O935" s="368"/>
    </row>
    <row r="936" spans="3:65">
      <c r="C936" s="136">
        <v>99</v>
      </c>
      <c r="D936" s="137"/>
      <c r="E936" s="51"/>
      <c r="F936" s="51"/>
      <c r="G936" s="51"/>
      <c r="H936" s="191"/>
      <c r="I936" s="191"/>
      <c r="J936" s="191"/>
      <c r="K936" s="191"/>
      <c r="L936" s="191"/>
      <c r="M936" s="191"/>
      <c r="N936" s="191"/>
      <c r="O936" s="191"/>
    </row>
    <row r="937" spans="3:65">
      <c r="C937" s="362">
        <v>99</v>
      </c>
      <c r="D937" s="363"/>
      <c r="E937" s="369"/>
      <c r="F937" s="369"/>
      <c r="G937" s="369"/>
      <c r="H937" s="368"/>
      <c r="I937" s="368"/>
      <c r="J937" s="368"/>
      <c r="K937" s="368"/>
      <c r="L937" s="368"/>
      <c r="M937" s="368"/>
      <c r="N937" s="368"/>
      <c r="O937" s="368"/>
    </row>
    <row r="938" spans="3:65">
      <c r="C938" s="136">
        <v>99</v>
      </c>
      <c r="D938" s="137"/>
      <c r="E938" s="51"/>
      <c r="F938" s="51"/>
      <c r="G938" s="51"/>
      <c r="H938" s="191"/>
      <c r="I938" s="191"/>
      <c r="J938" s="191"/>
      <c r="K938" s="191"/>
      <c r="L938" s="191"/>
      <c r="M938" s="191"/>
      <c r="N938" s="191"/>
      <c r="O938" s="191"/>
    </row>
    <row r="939" spans="3:65">
      <c r="C939" s="362">
        <v>99</v>
      </c>
      <c r="D939" s="363"/>
      <c r="E939" s="369"/>
      <c r="F939" s="369"/>
      <c r="G939" s="369"/>
      <c r="H939" s="368"/>
      <c r="I939" s="368"/>
      <c r="J939" s="368"/>
      <c r="K939" s="368"/>
      <c r="L939" s="368"/>
      <c r="M939" s="368"/>
      <c r="N939" s="368"/>
      <c r="O939" s="368"/>
    </row>
    <row r="940" spans="3:65">
      <c r="C940" s="136">
        <v>99</v>
      </c>
      <c r="D940" s="137"/>
      <c r="E940" s="51"/>
      <c r="F940" s="51"/>
      <c r="G940" s="51"/>
      <c r="H940" s="191"/>
      <c r="I940" s="191"/>
      <c r="J940" s="191"/>
      <c r="K940" s="191"/>
      <c r="L940" s="191"/>
      <c r="M940" s="191"/>
      <c r="N940" s="191"/>
      <c r="O940" s="191"/>
    </row>
    <row r="941" spans="3:65">
      <c r="C941" s="362">
        <v>99</v>
      </c>
      <c r="D941" s="363"/>
      <c r="E941" s="369"/>
      <c r="F941" s="369"/>
      <c r="G941" s="369"/>
      <c r="H941" s="368"/>
      <c r="I941" s="368"/>
      <c r="J941" s="368"/>
      <c r="K941" s="368"/>
      <c r="L941" s="368"/>
      <c r="M941" s="368"/>
      <c r="N941" s="368"/>
      <c r="O941" s="368"/>
    </row>
    <row r="942" spans="3:65">
      <c r="C942" s="136">
        <v>99</v>
      </c>
      <c r="D942" s="137"/>
      <c r="E942" s="51"/>
      <c r="F942" s="51"/>
      <c r="G942" s="51"/>
      <c r="H942" s="191"/>
      <c r="I942" s="191"/>
      <c r="J942" s="191"/>
      <c r="K942" s="191"/>
      <c r="L942" s="191"/>
      <c r="M942" s="191"/>
      <c r="N942" s="191"/>
      <c r="O942" s="191"/>
    </row>
    <row r="943" spans="3:65">
      <c r="C943" s="362">
        <v>99</v>
      </c>
      <c r="D943" s="363"/>
      <c r="E943" s="369"/>
      <c r="F943" s="369"/>
      <c r="G943" s="369"/>
      <c r="H943" s="368"/>
      <c r="I943" s="368"/>
      <c r="J943" s="368"/>
      <c r="K943" s="368"/>
      <c r="L943" s="368"/>
      <c r="M943" s="368"/>
      <c r="N943" s="368"/>
      <c r="O943" s="368"/>
    </row>
    <row r="944" spans="3:65"/>
    <row r="945" spans="4:31"/>
    <row r="946" spans="4:31"/>
    <row r="947" spans="4:31"/>
    <row r="948" spans="4:31"/>
    <row r="949" spans="4:31"/>
    <row r="950" spans="4:31"/>
    <row r="951" spans="4:31" ht="28.8">
      <c r="D951" s="38" t="s">
        <v>223</v>
      </c>
      <c r="E951" s="38" t="s">
        <v>296</v>
      </c>
      <c r="F951" s="38"/>
      <c r="G951" s="37" t="s">
        <v>234</v>
      </c>
      <c r="H951" s="37" t="s">
        <v>236</v>
      </c>
      <c r="I951" s="37" t="s">
        <v>244</v>
      </c>
      <c r="J951" s="37" t="s">
        <v>241</v>
      </c>
      <c r="K951" s="37" t="s">
        <v>255</v>
      </c>
      <c r="L951" s="37" t="s">
        <v>235</v>
      </c>
      <c r="M951" s="37" t="s">
        <v>513</v>
      </c>
      <c r="N951" s="37" t="s">
        <v>397</v>
      </c>
      <c r="U951" s="38" t="s">
        <v>223</v>
      </c>
      <c r="V951" s="38" t="s">
        <v>296</v>
      </c>
      <c r="W951" s="38"/>
      <c r="X951" s="37" t="s">
        <v>234</v>
      </c>
      <c r="Y951" s="37" t="s">
        <v>236</v>
      </c>
      <c r="Z951" s="37" t="s">
        <v>244</v>
      </c>
      <c r="AA951" s="37" t="s">
        <v>241</v>
      </c>
      <c r="AB951" s="37" t="s">
        <v>255</v>
      </c>
      <c r="AC951" s="37" t="s">
        <v>235</v>
      </c>
      <c r="AD951" s="37" t="s">
        <v>513</v>
      </c>
      <c r="AE951" s="37" t="s">
        <v>397</v>
      </c>
    </row>
    <row r="952" spans="4:31">
      <c r="D952" s="3" t="s">
        <v>233</v>
      </c>
      <c r="E952" s="3" t="s">
        <v>233</v>
      </c>
      <c r="F952" s="3"/>
      <c r="G952" s="2" t="s">
        <v>526</v>
      </c>
      <c r="H952" s="2" t="s">
        <v>526</v>
      </c>
      <c r="I952" s="2"/>
      <c r="J952" s="2" t="s">
        <v>526</v>
      </c>
      <c r="K952" s="2" t="s">
        <v>526</v>
      </c>
      <c r="L952" s="2" t="s">
        <v>526</v>
      </c>
      <c r="M952" s="2" t="s">
        <v>526</v>
      </c>
      <c r="N952" s="2" t="s">
        <v>526</v>
      </c>
      <c r="U952" s="3" t="s">
        <v>233</v>
      </c>
      <c r="V952" s="127" t="s">
        <v>233</v>
      </c>
      <c r="W952" s="3"/>
      <c r="X952" s="160" t="s">
        <v>526</v>
      </c>
      <c r="Y952" s="160" t="s">
        <v>526</v>
      </c>
      <c r="Z952" s="160"/>
      <c r="AA952" s="160" t="s">
        <v>526</v>
      </c>
      <c r="AB952" s="160" t="s">
        <v>526</v>
      </c>
      <c r="AC952" s="160" t="s">
        <v>526</v>
      </c>
      <c r="AD952" s="160" t="s">
        <v>526</v>
      </c>
      <c r="AE952" s="160" t="s">
        <v>526</v>
      </c>
    </row>
    <row r="953" spans="4:31">
      <c r="D953" s="3" t="s">
        <v>233</v>
      </c>
      <c r="E953" s="3" t="s">
        <v>250</v>
      </c>
      <c r="F953" s="3"/>
      <c r="G953" s="2" t="s">
        <v>526</v>
      </c>
      <c r="H953" s="2"/>
      <c r="I953" s="2"/>
      <c r="J953" s="2" t="s">
        <v>526</v>
      </c>
      <c r="K953" s="2" t="s">
        <v>526</v>
      </c>
      <c r="L953" s="2" t="s">
        <v>526</v>
      </c>
      <c r="M953" s="2" t="s">
        <v>526</v>
      </c>
      <c r="N953" s="2" t="s">
        <v>526</v>
      </c>
      <c r="U953" s="3" t="s">
        <v>233</v>
      </c>
      <c r="V953" s="3" t="s">
        <v>250</v>
      </c>
      <c r="W953" s="3"/>
      <c r="X953" s="2" t="s">
        <v>526</v>
      </c>
      <c r="Y953" s="2"/>
      <c r="Z953" s="2"/>
      <c r="AA953" s="2" t="s">
        <v>526</v>
      </c>
      <c r="AB953" s="2" t="s">
        <v>526</v>
      </c>
      <c r="AC953" s="2" t="s">
        <v>526</v>
      </c>
      <c r="AD953" s="2" t="s">
        <v>526</v>
      </c>
      <c r="AE953" s="2" t="s">
        <v>526</v>
      </c>
    </row>
    <row r="954" spans="4:31">
      <c r="D954" s="3" t="s">
        <v>233</v>
      </c>
      <c r="E954" s="3" t="s">
        <v>249</v>
      </c>
      <c r="F954" s="3"/>
      <c r="G954" s="2" t="s">
        <v>526</v>
      </c>
      <c r="H954" s="2"/>
      <c r="I954" s="2"/>
      <c r="J954" s="2" t="s">
        <v>526</v>
      </c>
      <c r="K954" s="2" t="s">
        <v>526</v>
      </c>
      <c r="L954" s="2" t="s">
        <v>526</v>
      </c>
      <c r="M954" s="2" t="s">
        <v>526</v>
      </c>
      <c r="N954" s="2" t="s">
        <v>526</v>
      </c>
      <c r="U954" s="3" t="s">
        <v>233</v>
      </c>
      <c r="V954" s="3" t="s">
        <v>249</v>
      </c>
      <c r="W954" s="3"/>
      <c r="X954" s="2" t="s">
        <v>526</v>
      </c>
      <c r="Y954" s="2"/>
      <c r="Z954" s="2"/>
      <c r="AA954" s="2" t="s">
        <v>526</v>
      </c>
      <c r="AB954" s="2" t="s">
        <v>526</v>
      </c>
      <c r="AC954" s="2" t="s">
        <v>526</v>
      </c>
      <c r="AD954" s="2" t="s">
        <v>526</v>
      </c>
      <c r="AE954" s="2" t="s">
        <v>526</v>
      </c>
    </row>
    <row r="955" spans="4:31">
      <c r="D955" s="3" t="s">
        <v>233</v>
      </c>
      <c r="E955" s="3" t="s">
        <v>273</v>
      </c>
      <c r="F955" s="3"/>
      <c r="G955" s="2" t="s">
        <v>526</v>
      </c>
      <c r="H955" s="2"/>
      <c r="I955" s="2"/>
      <c r="J955" s="2" t="s">
        <v>526</v>
      </c>
      <c r="K955" s="2" t="s">
        <v>526</v>
      </c>
      <c r="L955" s="2" t="s">
        <v>526</v>
      </c>
      <c r="M955" s="2" t="s">
        <v>526</v>
      </c>
      <c r="N955" s="2" t="s">
        <v>526</v>
      </c>
      <c r="U955" s="3" t="s">
        <v>233</v>
      </c>
      <c r="V955" s="3" t="s">
        <v>273</v>
      </c>
      <c r="W955" s="3"/>
      <c r="X955" s="2" t="s">
        <v>526</v>
      </c>
      <c r="Y955" s="2"/>
      <c r="Z955" s="2"/>
      <c r="AA955" s="2" t="s">
        <v>526</v>
      </c>
      <c r="AB955" s="2" t="s">
        <v>526</v>
      </c>
      <c r="AC955" s="2" t="s">
        <v>526</v>
      </c>
      <c r="AD955" s="2" t="s">
        <v>526</v>
      </c>
      <c r="AE955" s="2" t="s">
        <v>526</v>
      </c>
    </row>
    <row r="956" spans="4:31">
      <c r="D956" s="3" t="s">
        <v>233</v>
      </c>
      <c r="E956" s="3" t="s">
        <v>330</v>
      </c>
      <c r="F956" s="3"/>
      <c r="G956" s="2" t="s">
        <v>526</v>
      </c>
      <c r="H956" s="2" t="s">
        <v>526</v>
      </c>
      <c r="I956" s="2"/>
      <c r="J956" s="2"/>
      <c r="K956" s="2"/>
      <c r="L956" s="2" t="s">
        <v>526</v>
      </c>
      <c r="M956" s="2" t="s">
        <v>526</v>
      </c>
      <c r="N956" s="2" t="s">
        <v>526</v>
      </c>
      <c r="U956" s="3" t="s">
        <v>233</v>
      </c>
      <c r="V956" s="3" t="s">
        <v>330</v>
      </c>
      <c r="W956" s="3"/>
      <c r="X956" s="2" t="s">
        <v>526</v>
      </c>
      <c r="Y956" s="2" t="s">
        <v>526</v>
      </c>
      <c r="Z956" s="2"/>
      <c r="AA956" s="2"/>
      <c r="AB956" s="2"/>
      <c r="AC956" s="2" t="s">
        <v>526</v>
      </c>
      <c r="AD956" s="2" t="s">
        <v>526</v>
      </c>
      <c r="AE956" s="2" t="s">
        <v>526</v>
      </c>
    </row>
    <row r="957" spans="4:31">
      <c r="D957" s="3" t="s">
        <v>233</v>
      </c>
      <c r="E957" s="3" t="s">
        <v>335</v>
      </c>
      <c r="F957" s="3"/>
      <c r="G957" s="2" t="s">
        <v>526</v>
      </c>
      <c r="H957" s="2" t="s">
        <v>526</v>
      </c>
      <c r="I957" s="2"/>
      <c r="J957" s="2" t="s">
        <v>526</v>
      </c>
      <c r="K957" s="2" t="s">
        <v>526</v>
      </c>
      <c r="L957" s="2" t="s">
        <v>526</v>
      </c>
      <c r="M957" s="2" t="s">
        <v>526</v>
      </c>
      <c r="N957" s="2" t="s">
        <v>526</v>
      </c>
      <c r="U957" s="3" t="s">
        <v>233</v>
      </c>
      <c r="V957" s="3" t="s">
        <v>335</v>
      </c>
      <c r="W957" s="3"/>
      <c r="X957" s="2" t="s">
        <v>526</v>
      </c>
      <c r="Y957" s="2" t="s">
        <v>526</v>
      </c>
      <c r="Z957" s="2"/>
      <c r="AA957" s="2" t="s">
        <v>526</v>
      </c>
      <c r="AB957" s="2" t="s">
        <v>526</v>
      </c>
      <c r="AC957" s="2" t="s">
        <v>526</v>
      </c>
      <c r="AD957" s="2" t="s">
        <v>526</v>
      </c>
      <c r="AE957" s="2" t="s">
        <v>526</v>
      </c>
    </row>
    <row r="958" spans="4:31">
      <c r="D958" s="3" t="s">
        <v>233</v>
      </c>
      <c r="E958" s="3" t="s">
        <v>326</v>
      </c>
      <c r="F958" s="3"/>
      <c r="G958" s="2" t="s">
        <v>526</v>
      </c>
      <c r="H958" s="2" t="s">
        <v>526</v>
      </c>
      <c r="I958" s="2"/>
      <c r="J958" s="2" t="s">
        <v>526</v>
      </c>
      <c r="K958" s="2" t="s">
        <v>526</v>
      </c>
      <c r="L958" s="2" t="s">
        <v>526</v>
      </c>
      <c r="M958" s="2" t="s">
        <v>526</v>
      </c>
      <c r="N958" s="2" t="s">
        <v>526</v>
      </c>
      <c r="U958" s="3" t="s">
        <v>233</v>
      </c>
      <c r="V958" s="3" t="s">
        <v>326</v>
      </c>
      <c r="W958" s="3"/>
      <c r="X958" s="2" t="s">
        <v>526</v>
      </c>
      <c r="Y958" s="2" t="s">
        <v>526</v>
      </c>
      <c r="Z958" s="2"/>
      <c r="AA958" s="2" t="s">
        <v>526</v>
      </c>
      <c r="AB958" s="2" t="s">
        <v>526</v>
      </c>
      <c r="AC958" s="2" t="s">
        <v>526</v>
      </c>
      <c r="AD958" s="2" t="s">
        <v>526</v>
      </c>
      <c r="AE958" s="2" t="s">
        <v>526</v>
      </c>
    </row>
    <row r="959" spans="4:31">
      <c r="D959" s="3" t="s">
        <v>261</v>
      </c>
      <c r="E959" s="3" t="s">
        <v>261</v>
      </c>
      <c r="F959" s="3"/>
      <c r="G959" s="2" t="s">
        <v>526</v>
      </c>
      <c r="H959" s="2" t="s">
        <v>526</v>
      </c>
      <c r="I959" s="2"/>
      <c r="J959" s="2" t="s">
        <v>526</v>
      </c>
      <c r="K959" s="2" t="s">
        <v>526</v>
      </c>
      <c r="L959" s="2" t="s">
        <v>526</v>
      </c>
      <c r="M959" s="2" t="s">
        <v>526</v>
      </c>
      <c r="N959" s="2" t="s">
        <v>526</v>
      </c>
      <c r="U959" s="3" t="s">
        <v>261</v>
      </c>
      <c r="V959" s="127" t="s">
        <v>261</v>
      </c>
      <c r="W959" s="3"/>
      <c r="X959" s="160" t="s">
        <v>526</v>
      </c>
      <c r="Y959" s="160" t="s">
        <v>526</v>
      </c>
      <c r="Z959" s="160"/>
      <c r="AA959" s="160" t="s">
        <v>526</v>
      </c>
      <c r="AB959" s="160" t="s">
        <v>526</v>
      </c>
      <c r="AC959" s="160" t="s">
        <v>526</v>
      </c>
      <c r="AD959" s="160" t="s">
        <v>526</v>
      </c>
      <c r="AE959" s="160" t="s">
        <v>526</v>
      </c>
    </row>
    <row r="960" spans="4:31">
      <c r="D960" s="3" t="s">
        <v>261</v>
      </c>
      <c r="E960" s="3" t="s">
        <v>269</v>
      </c>
      <c r="F960" s="3"/>
      <c r="G960" s="2" t="s">
        <v>526</v>
      </c>
      <c r="H960" s="2" t="s">
        <v>526</v>
      </c>
      <c r="I960" s="2"/>
      <c r="J960" s="2" t="s">
        <v>526</v>
      </c>
      <c r="K960" s="2" t="s">
        <v>526</v>
      </c>
      <c r="L960" s="2" t="s">
        <v>526</v>
      </c>
      <c r="M960" s="2" t="s">
        <v>526</v>
      </c>
      <c r="N960" s="2" t="s">
        <v>526</v>
      </c>
      <c r="U960" s="3" t="s">
        <v>261</v>
      </c>
      <c r="V960" s="3" t="s">
        <v>269</v>
      </c>
      <c r="W960" s="3"/>
      <c r="X960" s="2" t="s">
        <v>526</v>
      </c>
      <c r="Y960" s="2" t="s">
        <v>526</v>
      </c>
      <c r="Z960" s="2"/>
      <c r="AA960" s="2" t="s">
        <v>526</v>
      </c>
      <c r="AB960" s="2" t="s">
        <v>526</v>
      </c>
      <c r="AC960" s="2" t="s">
        <v>526</v>
      </c>
      <c r="AD960" s="2" t="s">
        <v>526</v>
      </c>
      <c r="AE960" s="2" t="s">
        <v>526</v>
      </c>
    </row>
    <row r="961" spans="4:31">
      <c r="D961" s="3" t="s">
        <v>261</v>
      </c>
      <c r="E961" s="3" t="s">
        <v>530</v>
      </c>
      <c r="F961" s="3"/>
      <c r="G961" s="2" t="s">
        <v>526</v>
      </c>
      <c r="H961" s="2" t="s">
        <v>526</v>
      </c>
      <c r="I961" s="2"/>
      <c r="J961" s="2" t="s">
        <v>526</v>
      </c>
      <c r="K961" s="2" t="s">
        <v>526</v>
      </c>
      <c r="L961" s="2" t="s">
        <v>526</v>
      </c>
      <c r="M961" s="2" t="s">
        <v>526</v>
      </c>
      <c r="N961" s="2" t="s">
        <v>526</v>
      </c>
      <c r="U961" s="3" t="s">
        <v>261</v>
      </c>
      <c r="V961" s="3" t="s">
        <v>530</v>
      </c>
      <c r="W961" s="3"/>
      <c r="X961" s="2" t="s">
        <v>526</v>
      </c>
      <c r="Y961" s="2" t="s">
        <v>526</v>
      </c>
      <c r="Z961" s="2"/>
      <c r="AA961" s="2" t="s">
        <v>526</v>
      </c>
      <c r="AB961" s="2" t="s">
        <v>526</v>
      </c>
      <c r="AC961" s="2" t="s">
        <v>526</v>
      </c>
      <c r="AD961" s="2" t="s">
        <v>526</v>
      </c>
      <c r="AE961" s="2" t="s">
        <v>526</v>
      </c>
    </row>
    <row r="962" spans="4:31">
      <c r="D962" s="3" t="s">
        <v>261</v>
      </c>
      <c r="E962" s="3" t="s">
        <v>262</v>
      </c>
      <c r="F962" s="3"/>
      <c r="G962" s="2" t="s">
        <v>526</v>
      </c>
      <c r="H962" s="2"/>
      <c r="I962" s="2"/>
      <c r="J962" s="2" t="s">
        <v>526</v>
      </c>
      <c r="K962" s="2" t="s">
        <v>526</v>
      </c>
      <c r="L962" s="2" t="s">
        <v>526</v>
      </c>
      <c r="M962" s="2" t="s">
        <v>526</v>
      </c>
      <c r="N962" s="2" t="s">
        <v>526</v>
      </c>
      <c r="U962" s="3" t="s">
        <v>261</v>
      </c>
      <c r="V962" s="3" t="s">
        <v>262</v>
      </c>
      <c r="W962" s="3"/>
      <c r="X962" s="2" t="s">
        <v>526</v>
      </c>
      <c r="Y962" s="2"/>
      <c r="Z962" s="2"/>
      <c r="AA962" s="2" t="s">
        <v>526</v>
      </c>
      <c r="AB962" s="2" t="s">
        <v>526</v>
      </c>
      <c r="AC962" s="2" t="s">
        <v>526</v>
      </c>
      <c r="AD962" s="2" t="s">
        <v>526</v>
      </c>
      <c r="AE962" s="2" t="s">
        <v>526</v>
      </c>
    </row>
    <row r="963" spans="4:31">
      <c r="D963" s="3" t="s">
        <v>252</v>
      </c>
      <c r="E963" s="3" t="s">
        <v>252</v>
      </c>
      <c r="F963" s="3"/>
      <c r="G963" s="2" t="s">
        <v>526</v>
      </c>
      <c r="H963" s="2" t="s">
        <v>526</v>
      </c>
      <c r="I963" s="2" t="s">
        <v>526</v>
      </c>
      <c r="J963" s="2"/>
      <c r="K963" s="2"/>
      <c r="L963" s="2" t="s">
        <v>526</v>
      </c>
      <c r="M963" s="2" t="s">
        <v>526</v>
      </c>
      <c r="N963" s="2" t="s">
        <v>526</v>
      </c>
      <c r="U963" s="3" t="s">
        <v>252</v>
      </c>
      <c r="V963" s="127" t="s">
        <v>252</v>
      </c>
      <c r="W963" s="3"/>
      <c r="X963" s="160" t="s">
        <v>526</v>
      </c>
      <c r="Y963" s="160" t="s">
        <v>526</v>
      </c>
      <c r="Z963" s="160" t="s">
        <v>526</v>
      </c>
      <c r="AA963" s="160"/>
      <c r="AB963" s="160"/>
      <c r="AC963" s="160" t="s">
        <v>526</v>
      </c>
      <c r="AD963" s="160" t="s">
        <v>526</v>
      </c>
      <c r="AE963" s="160" t="s">
        <v>526</v>
      </c>
    </row>
    <row r="964" spans="4:31" ht="43.2">
      <c r="D964" s="3" t="s">
        <v>252</v>
      </c>
      <c r="E964" s="4" t="s">
        <v>10163</v>
      </c>
      <c r="F964" s="3"/>
      <c r="G964" s="2" t="s">
        <v>526</v>
      </c>
      <c r="H964" s="2" t="s">
        <v>526</v>
      </c>
      <c r="I964" s="2" t="s">
        <v>526</v>
      </c>
      <c r="J964" s="2"/>
      <c r="K964" s="2"/>
      <c r="L964" s="2" t="s">
        <v>526</v>
      </c>
      <c r="M964" s="2" t="s">
        <v>526</v>
      </c>
      <c r="N964" s="2" t="s">
        <v>526</v>
      </c>
      <c r="U964" s="3" t="s">
        <v>252</v>
      </c>
      <c r="V964" s="3" t="s">
        <v>253</v>
      </c>
      <c r="W964" s="3"/>
      <c r="X964" s="2" t="s">
        <v>526</v>
      </c>
      <c r="Y964" s="2" t="s">
        <v>526</v>
      </c>
      <c r="Z964" s="2" t="s">
        <v>526</v>
      </c>
      <c r="AA964" s="2"/>
      <c r="AB964" s="2"/>
      <c r="AC964" s="2" t="s">
        <v>526</v>
      </c>
      <c r="AD964" s="2" t="s">
        <v>526</v>
      </c>
      <c r="AE964" s="2" t="s">
        <v>526</v>
      </c>
    </row>
    <row r="965" spans="4:31" ht="28.8">
      <c r="D965" s="3" t="s">
        <v>252</v>
      </c>
      <c r="E965" s="4" t="s">
        <v>10164</v>
      </c>
      <c r="F965" s="3"/>
      <c r="G965" s="2" t="s">
        <v>526</v>
      </c>
      <c r="H965" s="2"/>
      <c r="I965" s="2" t="s">
        <v>526</v>
      </c>
      <c r="J965" s="2"/>
      <c r="K965" s="2"/>
      <c r="L965" s="2" t="s">
        <v>526</v>
      </c>
      <c r="M965" s="2" t="s">
        <v>526</v>
      </c>
      <c r="N965" s="2" t="s">
        <v>526</v>
      </c>
      <c r="U965" s="3" t="s">
        <v>252</v>
      </c>
      <c r="V965" s="3" t="s">
        <v>328</v>
      </c>
      <c r="W965" s="3"/>
      <c r="X965" s="2" t="s">
        <v>526</v>
      </c>
      <c r="Y965" s="2"/>
      <c r="Z965" s="2" t="s">
        <v>526</v>
      </c>
      <c r="AA965" s="2"/>
      <c r="AB965" s="2"/>
      <c r="AC965" s="2" t="s">
        <v>526</v>
      </c>
      <c r="AD965" s="2" t="s">
        <v>526</v>
      </c>
      <c r="AE965" s="2" t="s">
        <v>526</v>
      </c>
    </row>
    <row r="966" spans="4:31" ht="28.8">
      <c r="D966" s="3" t="s">
        <v>252</v>
      </c>
      <c r="E966" s="4" t="s">
        <v>10165</v>
      </c>
      <c r="F966" s="3"/>
      <c r="G966" s="2" t="s">
        <v>526</v>
      </c>
      <c r="H966" s="2" t="s">
        <v>526</v>
      </c>
      <c r="I966" s="2" t="s">
        <v>526</v>
      </c>
      <c r="J966" s="2"/>
      <c r="K966" s="2"/>
      <c r="L966" s="2" t="s">
        <v>526</v>
      </c>
      <c r="M966" s="2" t="s">
        <v>526</v>
      </c>
      <c r="N966" s="2" t="s">
        <v>526</v>
      </c>
      <c r="U966" s="3" t="s">
        <v>252</v>
      </c>
      <c r="V966" s="3" t="s">
        <v>254</v>
      </c>
      <c r="W966" s="3"/>
      <c r="X966" s="2" t="s">
        <v>526</v>
      </c>
      <c r="Y966" s="2" t="s">
        <v>526</v>
      </c>
      <c r="Z966" s="2" t="s">
        <v>526</v>
      </c>
      <c r="AA966" s="2"/>
      <c r="AB966" s="2"/>
      <c r="AC966" s="2" t="s">
        <v>526</v>
      </c>
      <c r="AD966" s="2" t="s">
        <v>526</v>
      </c>
      <c r="AE966" s="2" t="s">
        <v>526</v>
      </c>
    </row>
    <row r="967" spans="4:31" ht="28.8">
      <c r="D967" s="3" t="s">
        <v>252</v>
      </c>
      <c r="E967" s="4" t="s">
        <v>10166</v>
      </c>
      <c r="F967" s="3"/>
      <c r="G967" s="2" t="s">
        <v>526</v>
      </c>
      <c r="H967" s="2"/>
      <c r="I967" s="2" t="s">
        <v>526</v>
      </c>
      <c r="J967" s="2"/>
      <c r="K967" s="2"/>
      <c r="L967" s="2" t="s">
        <v>526</v>
      </c>
      <c r="M967" s="2" t="s">
        <v>526</v>
      </c>
      <c r="N967" s="2" t="s">
        <v>526</v>
      </c>
      <c r="U967" s="3" t="s">
        <v>252</v>
      </c>
      <c r="V967" s="3" t="s">
        <v>532</v>
      </c>
      <c r="W967" s="3"/>
      <c r="X967" s="2" t="s">
        <v>526</v>
      </c>
      <c r="Y967" s="2"/>
      <c r="Z967" s="2" t="s">
        <v>526</v>
      </c>
      <c r="AA967" s="2"/>
      <c r="AB967" s="2"/>
      <c r="AC967" s="2" t="s">
        <v>526</v>
      </c>
      <c r="AD967" s="2" t="s">
        <v>526</v>
      </c>
      <c r="AE967" s="2" t="s">
        <v>526</v>
      </c>
    </row>
    <row r="968" spans="4:31">
      <c r="D968" s="3" t="s">
        <v>252</v>
      </c>
      <c r="E968" s="4" t="s">
        <v>10167</v>
      </c>
      <c r="F968" s="3"/>
      <c r="G968" s="2" t="s">
        <v>526</v>
      </c>
      <c r="H968" s="2" t="s">
        <v>526</v>
      </c>
      <c r="I968" s="2"/>
      <c r="J968" s="2"/>
      <c r="K968" s="2"/>
      <c r="L968" s="2" t="s">
        <v>526</v>
      </c>
      <c r="M968" s="2" t="s">
        <v>526</v>
      </c>
      <c r="N968" s="2" t="s">
        <v>526</v>
      </c>
      <c r="U968" s="3" t="s">
        <v>252</v>
      </c>
      <c r="V968" s="3" t="s">
        <v>245</v>
      </c>
      <c r="W968" s="3"/>
      <c r="X968" s="2" t="s">
        <v>526</v>
      </c>
      <c r="Y968" s="2" t="s">
        <v>526</v>
      </c>
      <c r="Z968" s="2"/>
      <c r="AA968" s="2"/>
      <c r="AB968" s="2"/>
      <c r="AC968" s="2" t="s">
        <v>526</v>
      </c>
      <c r="AD968" s="2" t="s">
        <v>526</v>
      </c>
      <c r="AE968" s="2" t="s">
        <v>526</v>
      </c>
    </row>
    <row r="969" spans="4:31">
      <c r="D969" s="3" t="s">
        <v>252</v>
      </c>
      <c r="E969" s="4" t="s">
        <v>10168</v>
      </c>
      <c r="F969" s="3"/>
      <c r="G969" s="2" t="s">
        <v>526</v>
      </c>
      <c r="H969" s="2" t="s">
        <v>526</v>
      </c>
      <c r="I969" s="2"/>
      <c r="J969" s="2"/>
      <c r="K969" s="2"/>
      <c r="L969" s="2" t="s">
        <v>526</v>
      </c>
      <c r="M969" s="2" t="s">
        <v>526</v>
      </c>
      <c r="N969" s="2" t="s">
        <v>526</v>
      </c>
      <c r="U969" s="3" t="s">
        <v>252</v>
      </c>
      <c r="V969" s="3" t="s">
        <v>533</v>
      </c>
      <c r="W969" s="3"/>
      <c r="X969" s="2" t="s">
        <v>526</v>
      </c>
      <c r="Y969" s="2" t="s">
        <v>526</v>
      </c>
      <c r="Z969" s="2"/>
      <c r="AA969" s="2"/>
      <c r="AB969" s="2"/>
      <c r="AC969" s="2" t="s">
        <v>526</v>
      </c>
      <c r="AD969" s="2" t="s">
        <v>526</v>
      </c>
      <c r="AE969" s="2" t="s">
        <v>526</v>
      </c>
    </row>
    <row r="970" spans="4:31">
      <c r="D970" s="3" t="s">
        <v>242</v>
      </c>
      <c r="E970" s="3" t="s">
        <v>242</v>
      </c>
      <c r="F970" s="3"/>
      <c r="G970" s="2" t="s">
        <v>526</v>
      </c>
      <c r="H970" s="2" t="s">
        <v>526</v>
      </c>
      <c r="I970" s="2" t="s">
        <v>526</v>
      </c>
      <c r="J970" s="2"/>
      <c r="K970" s="2"/>
      <c r="L970" s="2" t="s">
        <v>526</v>
      </c>
      <c r="M970" s="2" t="s">
        <v>526</v>
      </c>
      <c r="N970" s="2" t="s">
        <v>526</v>
      </c>
      <c r="U970" s="3" t="s">
        <v>242</v>
      </c>
      <c r="V970" s="127" t="s">
        <v>242</v>
      </c>
      <c r="W970" s="3"/>
      <c r="X970" s="160" t="s">
        <v>526</v>
      </c>
      <c r="Y970" s="160" t="s">
        <v>526</v>
      </c>
      <c r="Z970" s="160" t="s">
        <v>526</v>
      </c>
      <c r="AA970" s="160"/>
      <c r="AB970" s="160"/>
      <c r="AC970" s="160" t="s">
        <v>526</v>
      </c>
      <c r="AD970" s="160" t="s">
        <v>526</v>
      </c>
      <c r="AE970" s="160" t="s">
        <v>526</v>
      </c>
    </row>
    <row r="971" spans="4:31">
      <c r="D971" s="3" t="s">
        <v>242</v>
      </c>
      <c r="E971" s="3" t="s">
        <v>274</v>
      </c>
      <c r="F971" s="3"/>
      <c r="G971" s="2" t="s">
        <v>526</v>
      </c>
      <c r="H971" s="2" t="s">
        <v>526</v>
      </c>
      <c r="I971" s="2" t="s">
        <v>526</v>
      </c>
      <c r="J971" s="2"/>
      <c r="K971" s="2"/>
      <c r="L971" s="2" t="s">
        <v>526</v>
      </c>
      <c r="M971" s="2" t="s">
        <v>526</v>
      </c>
      <c r="N971" s="2" t="s">
        <v>526</v>
      </c>
      <c r="U971" s="3" t="s">
        <v>242</v>
      </c>
      <c r="V971" s="3" t="s">
        <v>274</v>
      </c>
      <c r="W971" s="3"/>
      <c r="X971" s="2" t="s">
        <v>526</v>
      </c>
      <c r="Y971" s="2" t="s">
        <v>526</v>
      </c>
      <c r="Z971" s="2" t="s">
        <v>526</v>
      </c>
      <c r="AA971" s="2"/>
      <c r="AB971" s="2"/>
      <c r="AC971" s="2" t="s">
        <v>526</v>
      </c>
      <c r="AD971" s="2" t="s">
        <v>526</v>
      </c>
      <c r="AE971" s="2" t="s">
        <v>526</v>
      </c>
    </row>
    <row r="972" spans="4:31">
      <c r="D972" s="3" t="s">
        <v>242</v>
      </c>
      <c r="E972" s="3" t="s">
        <v>534</v>
      </c>
      <c r="F972" s="3"/>
      <c r="G972" s="2" t="s">
        <v>526</v>
      </c>
      <c r="H972" s="2" t="s">
        <v>526</v>
      </c>
      <c r="I972" s="2" t="s">
        <v>526</v>
      </c>
      <c r="J972" s="2"/>
      <c r="K972" s="2"/>
      <c r="L972" s="2" t="s">
        <v>526</v>
      </c>
      <c r="M972" s="2" t="s">
        <v>526</v>
      </c>
      <c r="N972" s="2" t="s">
        <v>526</v>
      </c>
      <c r="U972" s="3" t="s">
        <v>242</v>
      </c>
      <c r="V972" s="3" t="s">
        <v>534</v>
      </c>
      <c r="W972" s="3"/>
      <c r="X972" s="2" t="s">
        <v>526</v>
      </c>
      <c r="Y972" s="2" t="s">
        <v>526</v>
      </c>
      <c r="Z972" s="2" t="s">
        <v>526</v>
      </c>
      <c r="AA972" s="2"/>
      <c r="AB972" s="2"/>
      <c r="AC972" s="2" t="s">
        <v>526</v>
      </c>
      <c r="AD972" s="2" t="s">
        <v>526</v>
      </c>
      <c r="AE972" s="2" t="s">
        <v>526</v>
      </c>
    </row>
    <row r="973" spans="4:31">
      <c r="D973" s="3" t="s">
        <v>239</v>
      </c>
      <c r="E973" s="3" t="s">
        <v>239</v>
      </c>
      <c r="F973" s="3"/>
      <c r="G973" s="2" t="s">
        <v>526</v>
      </c>
      <c r="H973" s="2" t="s">
        <v>526</v>
      </c>
      <c r="I973" s="2" t="s">
        <v>526</v>
      </c>
      <c r="J973" s="2" t="s">
        <v>526</v>
      </c>
      <c r="K973" s="2" t="s">
        <v>526</v>
      </c>
      <c r="L973" s="2" t="s">
        <v>526</v>
      </c>
      <c r="M973" s="2" t="s">
        <v>526</v>
      </c>
      <c r="N973" s="2" t="s">
        <v>526</v>
      </c>
      <c r="U973" s="3" t="s">
        <v>239</v>
      </c>
      <c r="V973" s="127" t="s">
        <v>239</v>
      </c>
      <c r="W973" s="3"/>
      <c r="X973" s="160" t="s">
        <v>526</v>
      </c>
      <c r="Y973" s="160" t="s">
        <v>526</v>
      </c>
      <c r="Z973" s="160" t="s">
        <v>526</v>
      </c>
      <c r="AA973" s="160" t="s">
        <v>526</v>
      </c>
      <c r="AB973" s="160" t="s">
        <v>526</v>
      </c>
      <c r="AC973" s="160" t="s">
        <v>526</v>
      </c>
      <c r="AD973" s="160" t="s">
        <v>526</v>
      </c>
      <c r="AE973" s="160" t="s">
        <v>526</v>
      </c>
    </row>
    <row r="974" spans="4:31">
      <c r="D974" s="3" t="s">
        <v>239</v>
      </c>
      <c r="E974" s="3" t="s">
        <v>324</v>
      </c>
      <c r="F974" s="3"/>
      <c r="G974" s="2" t="s">
        <v>526</v>
      </c>
      <c r="H974" s="2"/>
      <c r="I974" s="2" t="s">
        <v>526</v>
      </c>
      <c r="J974" s="2" t="s">
        <v>526</v>
      </c>
      <c r="K974" s="2" t="s">
        <v>526</v>
      </c>
      <c r="L974" s="2" t="s">
        <v>526</v>
      </c>
      <c r="M974" s="2" t="s">
        <v>526</v>
      </c>
      <c r="N974" s="2" t="s">
        <v>526</v>
      </c>
      <c r="U974" s="3" t="s">
        <v>239</v>
      </c>
      <c r="V974" s="3" t="s">
        <v>324</v>
      </c>
      <c r="W974" s="3"/>
      <c r="X974" s="2" t="s">
        <v>526</v>
      </c>
      <c r="Y974" s="2"/>
      <c r="Z974" s="2" t="s">
        <v>526</v>
      </c>
      <c r="AA974" s="2" t="s">
        <v>526</v>
      </c>
      <c r="AB974" s="2" t="s">
        <v>526</v>
      </c>
      <c r="AC974" s="2" t="s">
        <v>526</v>
      </c>
      <c r="AD974" s="2" t="s">
        <v>526</v>
      </c>
      <c r="AE974" s="2" t="s">
        <v>526</v>
      </c>
    </row>
    <row r="975" spans="4:31">
      <c r="D975" s="3" t="s">
        <v>239</v>
      </c>
      <c r="E975" s="3" t="s">
        <v>272</v>
      </c>
      <c r="F975" s="3"/>
      <c r="G975" s="2" t="s">
        <v>526</v>
      </c>
      <c r="H975" s="2" t="s">
        <v>526</v>
      </c>
      <c r="I975" s="2" t="s">
        <v>526</v>
      </c>
      <c r="J975" s="2" t="s">
        <v>526</v>
      </c>
      <c r="K975" s="2" t="s">
        <v>526</v>
      </c>
      <c r="L975" s="2" t="s">
        <v>526</v>
      </c>
      <c r="M975" s="2" t="s">
        <v>526</v>
      </c>
      <c r="N975" s="2" t="s">
        <v>526</v>
      </c>
      <c r="U975" s="3" t="s">
        <v>239</v>
      </c>
      <c r="V975" s="3" t="s">
        <v>272</v>
      </c>
      <c r="W975" s="3"/>
      <c r="X975" s="2" t="s">
        <v>526</v>
      </c>
      <c r="Y975" s="2" t="s">
        <v>526</v>
      </c>
      <c r="Z975" s="2" t="s">
        <v>526</v>
      </c>
      <c r="AA975" s="2" t="s">
        <v>526</v>
      </c>
      <c r="AB975" s="2" t="s">
        <v>526</v>
      </c>
      <c r="AC975" s="2" t="s">
        <v>526</v>
      </c>
      <c r="AD975" s="2" t="s">
        <v>526</v>
      </c>
      <c r="AE975" s="2" t="s">
        <v>526</v>
      </c>
    </row>
    <row r="976" spans="4:31">
      <c r="D976" s="3" t="s">
        <v>239</v>
      </c>
      <c r="E976" s="3" t="s">
        <v>329</v>
      </c>
      <c r="F976" s="3"/>
      <c r="G976" s="2" t="s">
        <v>526</v>
      </c>
      <c r="H976" s="2"/>
      <c r="I976" s="2" t="s">
        <v>526</v>
      </c>
      <c r="J976" s="2" t="s">
        <v>526</v>
      </c>
      <c r="K976" s="2" t="s">
        <v>526</v>
      </c>
      <c r="L976" s="2" t="s">
        <v>526</v>
      </c>
      <c r="M976" s="2" t="s">
        <v>526</v>
      </c>
      <c r="N976" s="2" t="s">
        <v>526</v>
      </c>
      <c r="U976" s="3" t="s">
        <v>239</v>
      </c>
      <c r="V976" s="3" t="s">
        <v>329</v>
      </c>
      <c r="W976" s="3"/>
      <c r="X976" s="2" t="s">
        <v>526</v>
      </c>
      <c r="Y976" s="2"/>
      <c r="Z976" s="2" t="s">
        <v>526</v>
      </c>
      <c r="AA976" s="2" t="s">
        <v>526</v>
      </c>
      <c r="AB976" s="2" t="s">
        <v>526</v>
      </c>
      <c r="AC976" s="2" t="s">
        <v>526</v>
      </c>
      <c r="AD976" s="2" t="s">
        <v>526</v>
      </c>
      <c r="AE976" s="2" t="s">
        <v>526</v>
      </c>
    </row>
    <row r="977" spans="4:31">
      <c r="D977" s="3" t="s">
        <v>239</v>
      </c>
      <c r="E977" s="3" t="s">
        <v>271</v>
      </c>
      <c r="F977" s="3"/>
      <c r="G977" s="2" t="s">
        <v>526</v>
      </c>
      <c r="H977" s="2"/>
      <c r="I977" s="2" t="s">
        <v>526</v>
      </c>
      <c r="J977" s="2" t="s">
        <v>526</v>
      </c>
      <c r="K977" s="2" t="s">
        <v>526</v>
      </c>
      <c r="L977" s="2" t="s">
        <v>526</v>
      </c>
      <c r="M977" s="2" t="s">
        <v>526</v>
      </c>
      <c r="N977" s="2" t="s">
        <v>526</v>
      </c>
      <c r="U977" s="3" t="s">
        <v>239</v>
      </c>
      <c r="V977" s="3" t="s">
        <v>271</v>
      </c>
      <c r="W977" s="3"/>
      <c r="X977" s="2" t="s">
        <v>526</v>
      </c>
      <c r="Y977" s="2"/>
      <c r="Z977" s="2" t="s">
        <v>526</v>
      </c>
      <c r="AA977" s="2" t="s">
        <v>526</v>
      </c>
      <c r="AB977" s="2" t="s">
        <v>526</v>
      </c>
      <c r="AC977" s="2" t="s">
        <v>526</v>
      </c>
      <c r="AD977" s="2" t="s">
        <v>526</v>
      </c>
      <c r="AE977" s="2" t="s">
        <v>526</v>
      </c>
    </row>
    <row r="978" spans="4:31">
      <c r="D978" s="3" t="s">
        <v>239</v>
      </c>
      <c r="E978" s="3" t="s">
        <v>535</v>
      </c>
      <c r="F978" s="3"/>
      <c r="G978" s="2" t="s">
        <v>526</v>
      </c>
      <c r="H978" s="2"/>
      <c r="I978" s="2" t="s">
        <v>526</v>
      </c>
      <c r="J978" s="2" t="s">
        <v>526</v>
      </c>
      <c r="K978" s="2" t="s">
        <v>526</v>
      </c>
      <c r="L978" s="2" t="s">
        <v>526</v>
      </c>
      <c r="M978" s="2" t="s">
        <v>526</v>
      </c>
      <c r="N978" s="2" t="s">
        <v>526</v>
      </c>
      <c r="U978" s="3" t="s">
        <v>239</v>
      </c>
      <c r="V978" s="3" t="s">
        <v>535</v>
      </c>
      <c r="W978" s="3"/>
      <c r="X978" s="2" t="s">
        <v>526</v>
      </c>
      <c r="Y978" s="2"/>
      <c r="Z978" s="2" t="s">
        <v>526</v>
      </c>
      <c r="AA978" s="2" t="s">
        <v>526</v>
      </c>
      <c r="AB978" s="2" t="s">
        <v>526</v>
      </c>
      <c r="AC978" s="2" t="s">
        <v>526</v>
      </c>
      <c r="AD978" s="2" t="s">
        <v>526</v>
      </c>
      <c r="AE978" s="2" t="s">
        <v>526</v>
      </c>
    </row>
    <row r="979" spans="4:31">
      <c r="D979" s="3" t="s">
        <v>239</v>
      </c>
      <c r="E979" s="3" t="s">
        <v>259</v>
      </c>
      <c r="F979" s="3"/>
      <c r="G979" s="2" t="s">
        <v>526</v>
      </c>
      <c r="H979" s="2"/>
      <c r="I979" s="2" t="s">
        <v>526</v>
      </c>
      <c r="J979" s="2" t="s">
        <v>526</v>
      </c>
      <c r="K979" s="2" t="s">
        <v>526</v>
      </c>
      <c r="L979" s="2" t="s">
        <v>526</v>
      </c>
      <c r="M979" s="2" t="s">
        <v>526</v>
      </c>
      <c r="N979" s="2" t="s">
        <v>526</v>
      </c>
      <c r="U979" s="3" t="s">
        <v>239</v>
      </c>
      <c r="V979" s="3" t="s">
        <v>259</v>
      </c>
      <c r="W979" s="3"/>
      <c r="X979" s="2" t="s">
        <v>526</v>
      </c>
      <c r="Y979" s="2"/>
      <c r="Z979" s="2" t="s">
        <v>526</v>
      </c>
      <c r="AA979" s="2" t="s">
        <v>526</v>
      </c>
      <c r="AB979" s="2" t="s">
        <v>526</v>
      </c>
      <c r="AC979" s="2" t="s">
        <v>526</v>
      </c>
      <c r="AD979" s="2" t="s">
        <v>526</v>
      </c>
      <c r="AE979" s="2" t="s">
        <v>526</v>
      </c>
    </row>
    <row r="980" spans="4:31">
      <c r="D980" s="3" t="s">
        <v>239</v>
      </c>
      <c r="E980" s="3" t="s">
        <v>334</v>
      </c>
      <c r="F980" s="3"/>
      <c r="G980" s="2" t="s">
        <v>526</v>
      </c>
      <c r="H980" s="2"/>
      <c r="I980" s="2" t="s">
        <v>526</v>
      </c>
      <c r="J980" s="2" t="s">
        <v>526</v>
      </c>
      <c r="K980" s="2" t="s">
        <v>526</v>
      </c>
      <c r="L980" s="2" t="s">
        <v>526</v>
      </c>
      <c r="M980" s="2" t="s">
        <v>526</v>
      </c>
      <c r="N980" s="2" t="s">
        <v>526</v>
      </c>
      <c r="U980" s="3" t="s">
        <v>239</v>
      </c>
      <c r="V980" s="3" t="s">
        <v>334</v>
      </c>
      <c r="W980" s="3"/>
      <c r="X980" s="2" t="s">
        <v>526</v>
      </c>
      <c r="Y980" s="2"/>
      <c r="Z980" s="2" t="s">
        <v>526</v>
      </c>
      <c r="AA980" s="2" t="s">
        <v>526</v>
      </c>
      <c r="AB980" s="2" t="s">
        <v>526</v>
      </c>
      <c r="AC980" s="2" t="s">
        <v>526</v>
      </c>
      <c r="AD980" s="2" t="s">
        <v>526</v>
      </c>
      <c r="AE980" s="2" t="s">
        <v>526</v>
      </c>
    </row>
    <row r="981" spans="4:31">
      <c r="D981" s="3" t="s">
        <v>239</v>
      </c>
      <c r="E981" s="3" t="s">
        <v>240</v>
      </c>
      <c r="F981" s="3"/>
      <c r="G981" s="2" t="s">
        <v>526</v>
      </c>
      <c r="H981" s="2"/>
      <c r="I981" s="2"/>
      <c r="J981" s="2" t="s">
        <v>526</v>
      </c>
      <c r="K981" s="2" t="s">
        <v>526</v>
      </c>
      <c r="L981" s="2" t="s">
        <v>526</v>
      </c>
      <c r="M981" s="2" t="s">
        <v>526</v>
      </c>
      <c r="N981" s="2" t="s">
        <v>526</v>
      </c>
      <c r="U981" s="3" t="s">
        <v>239</v>
      </c>
      <c r="V981" s="3" t="s">
        <v>240</v>
      </c>
      <c r="W981" s="3"/>
      <c r="X981" s="2" t="s">
        <v>526</v>
      </c>
      <c r="Y981" s="2"/>
      <c r="Z981" s="2"/>
      <c r="AA981" s="2" t="s">
        <v>526</v>
      </c>
      <c r="AB981" s="2" t="s">
        <v>526</v>
      </c>
      <c r="AC981" s="2" t="s">
        <v>526</v>
      </c>
      <c r="AD981" s="2" t="s">
        <v>526</v>
      </c>
      <c r="AE981" s="2" t="s">
        <v>526</v>
      </c>
    </row>
    <row r="982" spans="4:31">
      <c r="D982" s="3" t="s">
        <v>239</v>
      </c>
      <c r="E982" s="3" t="s">
        <v>325</v>
      </c>
      <c r="F982" s="3"/>
      <c r="G982" s="2" t="s">
        <v>526</v>
      </c>
      <c r="H982" s="2"/>
      <c r="I982" s="2"/>
      <c r="J982" s="2" t="s">
        <v>526</v>
      </c>
      <c r="K982" s="2" t="s">
        <v>526</v>
      </c>
      <c r="L982" s="2" t="s">
        <v>526</v>
      </c>
      <c r="M982" s="2" t="s">
        <v>526</v>
      </c>
      <c r="N982" s="2" t="s">
        <v>526</v>
      </c>
      <c r="U982" s="3" t="s">
        <v>239</v>
      </c>
      <c r="V982" s="3" t="s">
        <v>325</v>
      </c>
      <c r="W982" s="3"/>
      <c r="X982" s="2" t="s">
        <v>526</v>
      </c>
      <c r="Y982" s="2"/>
      <c r="Z982" s="2"/>
      <c r="AA982" s="2" t="s">
        <v>526</v>
      </c>
      <c r="AB982" s="2" t="s">
        <v>526</v>
      </c>
      <c r="AC982" s="2" t="s">
        <v>526</v>
      </c>
      <c r="AD982" s="2" t="s">
        <v>526</v>
      </c>
      <c r="AE982" s="2" t="s">
        <v>526</v>
      </c>
    </row>
    <row r="983" spans="4:31">
      <c r="D983" s="3" t="s">
        <v>256</v>
      </c>
      <c r="E983" s="3" t="s">
        <v>256</v>
      </c>
      <c r="F983" s="3"/>
      <c r="G983" s="2" t="s">
        <v>526</v>
      </c>
      <c r="H983" s="2" t="s">
        <v>526</v>
      </c>
      <c r="I983" s="2" t="s">
        <v>526</v>
      </c>
      <c r="J983" s="2"/>
      <c r="K983" s="2"/>
      <c r="L983" s="2" t="s">
        <v>526</v>
      </c>
      <c r="M983" s="2" t="s">
        <v>526</v>
      </c>
      <c r="N983" s="2" t="s">
        <v>526</v>
      </c>
      <c r="U983" s="3" t="s">
        <v>256</v>
      </c>
      <c r="V983" s="127" t="s">
        <v>256</v>
      </c>
      <c r="W983" s="3"/>
      <c r="X983" s="160" t="s">
        <v>526</v>
      </c>
      <c r="Y983" s="160" t="s">
        <v>526</v>
      </c>
      <c r="Z983" s="160" t="s">
        <v>526</v>
      </c>
      <c r="AA983" s="160"/>
      <c r="AB983" s="160"/>
      <c r="AC983" s="160" t="s">
        <v>526</v>
      </c>
      <c r="AD983" s="160" t="s">
        <v>526</v>
      </c>
      <c r="AE983" s="160" t="s">
        <v>526</v>
      </c>
    </row>
    <row r="984" spans="4:31">
      <c r="D984" s="3" t="s">
        <v>256</v>
      </c>
      <c r="E984" s="3" t="s">
        <v>536</v>
      </c>
      <c r="F984" s="3"/>
      <c r="G984" s="2" t="s">
        <v>526</v>
      </c>
      <c r="H984" s="2" t="s">
        <v>526</v>
      </c>
      <c r="I984" s="2" t="s">
        <v>526</v>
      </c>
      <c r="J984" s="2"/>
      <c r="K984" s="2"/>
      <c r="L984" s="2" t="s">
        <v>526</v>
      </c>
      <c r="M984" s="2" t="s">
        <v>526</v>
      </c>
      <c r="N984" s="2" t="s">
        <v>526</v>
      </c>
      <c r="U984" s="3" t="s">
        <v>256</v>
      </c>
      <c r="V984" s="3" t="s">
        <v>536</v>
      </c>
      <c r="W984" s="3"/>
      <c r="X984" s="2" t="s">
        <v>526</v>
      </c>
      <c r="Y984" s="2" t="s">
        <v>526</v>
      </c>
      <c r="Z984" s="2" t="s">
        <v>526</v>
      </c>
      <c r="AA984" s="2"/>
      <c r="AB984" s="2"/>
      <c r="AC984" s="2" t="s">
        <v>526</v>
      </c>
      <c r="AD984" s="2" t="s">
        <v>526</v>
      </c>
      <c r="AE984" s="2" t="s">
        <v>526</v>
      </c>
    </row>
    <row r="985" spans="4:31">
      <c r="D985" s="3" t="s">
        <v>256</v>
      </c>
      <c r="E985" s="3" t="s">
        <v>257</v>
      </c>
      <c r="F985" s="3"/>
      <c r="G985" s="2" t="s">
        <v>526</v>
      </c>
      <c r="H985" s="2" t="s">
        <v>526</v>
      </c>
      <c r="I985" s="2" t="s">
        <v>526</v>
      </c>
      <c r="J985" s="2"/>
      <c r="K985" s="2"/>
      <c r="L985" s="2" t="s">
        <v>526</v>
      </c>
      <c r="M985" s="2" t="s">
        <v>526</v>
      </c>
      <c r="N985" s="2" t="s">
        <v>526</v>
      </c>
      <c r="U985" s="3" t="s">
        <v>256</v>
      </c>
      <c r="V985" s="3" t="s">
        <v>257</v>
      </c>
      <c r="W985" s="3"/>
      <c r="X985" s="2" t="s">
        <v>526</v>
      </c>
      <c r="Y985" s="2" t="s">
        <v>526</v>
      </c>
      <c r="Z985" s="2" t="s">
        <v>526</v>
      </c>
      <c r="AA985" s="2"/>
      <c r="AB985" s="2"/>
      <c r="AC985" s="2" t="s">
        <v>526</v>
      </c>
      <c r="AD985" s="2" t="s">
        <v>526</v>
      </c>
      <c r="AE985" s="2" t="s">
        <v>526</v>
      </c>
    </row>
    <row r="986" spans="4:31">
      <c r="D986" s="3" t="s">
        <v>256</v>
      </c>
      <c r="E986" s="3" t="s">
        <v>537</v>
      </c>
      <c r="F986" s="3"/>
      <c r="G986" s="2" t="s">
        <v>526</v>
      </c>
      <c r="H986" s="2" t="s">
        <v>526</v>
      </c>
      <c r="I986" s="2" t="s">
        <v>526</v>
      </c>
      <c r="J986" s="2"/>
      <c r="K986" s="2"/>
      <c r="L986" s="2" t="s">
        <v>526</v>
      </c>
      <c r="M986" s="2" t="s">
        <v>526</v>
      </c>
      <c r="N986" s="2" t="s">
        <v>526</v>
      </c>
      <c r="U986" s="3" t="s">
        <v>256</v>
      </c>
      <c r="V986" s="3" t="s">
        <v>537</v>
      </c>
      <c r="W986" s="3"/>
      <c r="X986" s="2" t="s">
        <v>526</v>
      </c>
      <c r="Y986" s="2" t="s">
        <v>526</v>
      </c>
      <c r="Z986" s="2" t="s">
        <v>526</v>
      </c>
      <c r="AA986" s="2"/>
      <c r="AB986" s="2"/>
      <c r="AC986" s="2" t="s">
        <v>526</v>
      </c>
      <c r="AD986" s="2" t="s">
        <v>526</v>
      </c>
      <c r="AE986" s="2" t="s">
        <v>526</v>
      </c>
    </row>
    <row r="987" spans="4:31">
      <c r="D987" s="3" t="s">
        <v>256</v>
      </c>
      <c r="E987" s="3" t="s">
        <v>538</v>
      </c>
      <c r="F987" s="3"/>
      <c r="G987" s="2" t="s">
        <v>526</v>
      </c>
      <c r="H987" s="2"/>
      <c r="I987" s="2"/>
      <c r="J987" s="2"/>
      <c r="K987" s="2"/>
      <c r="L987" s="2" t="s">
        <v>526</v>
      </c>
      <c r="M987" s="2" t="s">
        <v>526</v>
      </c>
      <c r="N987" s="2" t="s">
        <v>526</v>
      </c>
      <c r="U987" s="3" t="s">
        <v>256</v>
      </c>
      <c r="V987" s="3" t="s">
        <v>538</v>
      </c>
      <c r="W987" s="3"/>
      <c r="X987" s="2" t="s">
        <v>526</v>
      </c>
      <c r="Y987" s="2"/>
      <c r="Z987" s="2"/>
      <c r="AA987" s="2"/>
      <c r="AB987" s="2"/>
      <c r="AC987" s="2" t="s">
        <v>526</v>
      </c>
      <c r="AD987" s="2" t="s">
        <v>526</v>
      </c>
      <c r="AE987" s="2" t="s">
        <v>526</v>
      </c>
    </row>
    <row r="988" spans="4:31">
      <c r="D988" s="3" t="s">
        <v>256</v>
      </c>
      <c r="E988" s="3" t="s">
        <v>258</v>
      </c>
      <c r="F988" s="3"/>
      <c r="G988" s="2" t="s">
        <v>526</v>
      </c>
      <c r="H988" s="2" t="s">
        <v>526</v>
      </c>
      <c r="I988" s="2" t="s">
        <v>526</v>
      </c>
      <c r="J988" s="2"/>
      <c r="K988" s="2"/>
      <c r="L988" s="2" t="s">
        <v>526</v>
      </c>
      <c r="M988" s="2" t="s">
        <v>526</v>
      </c>
      <c r="N988" s="2" t="s">
        <v>526</v>
      </c>
      <c r="U988" s="3" t="s">
        <v>256</v>
      </c>
      <c r="V988" s="3" t="s">
        <v>258</v>
      </c>
      <c r="W988" s="3"/>
      <c r="X988" s="2" t="s">
        <v>526</v>
      </c>
      <c r="Y988" s="2" t="s">
        <v>526</v>
      </c>
      <c r="Z988" s="2" t="s">
        <v>526</v>
      </c>
      <c r="AA988" s="2"/>
      <c r="AB988" s="2"/>
      <c r="AC988" s="2" t="s">
        <v>526</v>
      </c>
      <c r="AD988" s="2" t="s">
        <v>526</v>
      </c>
      <c r="AE988" s="2" t="s">
        <v>526</v>
      </c>
    </row>
    <row r="989" spans="4:31">
      <c r="D989" s="3" t="s">
        <v>247</v>
      </c>
      <c r="E989" s="3" t="s">
        <v>247</v>
      </c>
      <c r="F989" s="3"/>
      <c r="G989" s="2" t="s">
        <v>526</v>
      </c>
      <c r="H989" s="2" t="s">
        <v>526</v>
      </c>
      <c r="I989" s="2" t="s">
        <v>526</v>
      </c>
      <c r="J989" s="2" t="s">
        <v>526</v>
      </c>
      <c r="K989" s="2"/>
      <c r="L989" s="2" t="s">
        <v>526</v>
      </c>
      <c r="M989" s="2" t="s">
        <v>526</v>
      </c>
      <c r="N989" s="2" t="s">
        <v>526</v>
      </c>
      <c r="U989" s="3" t="s">
        <v>247</v>
      </c>
      <c r="V989" s="127" t="s">
        <v>247</v>
      </c>
      <c r="W989" s="3"/>
      <c r="X989" s="160" t="s">
        <v>526</v>
      </c>
      <c r="Y989" s="160" t="s">
        <v>526</v>
      </c>
      <c r="Z989" s="160" t="s">
        <v>526</v>
      </c>
      <c r="AA989" s="160" t="s">
        <v>526</v>
      </c>
      <c r="AB989" s="160"/>
      <c r="AC989" s="160" t="s">
        <v>526</v>
      </c>
      <c r="AD989" s="160" t="s">
        <v>526</v>
      </c>
      <c r="AE989" s="160" t="s">
        <v>526</v>
      </c>
    </row>
    <row r="990" spans="4:31">
      <c r="D990" s="3" t="s">
        <v>247</v>
      </c>
      <c r="E990" s="3" t="s">
        <v>248</v>
      </c>
      <c r="F990" s="3"/>
      <c r="G990" s="2" t="s">
        <v>526</v>
      </c>
      <c r="H990" s="2" t="s">
        <v>526</v>
      </c>
      <c r="I990" s="2" t="s">
        <v>526</v>
      </c>
      <c r="J990" s="2"/>
      <c r="K990" s="2"/>
      <c r="L990" s="2" t="s">
        <v>526</v>
      </c>
      <c r="M990" s="2" t="s">
        <v>526</v>
      </c>
      <c r="N990" s="2" t="s">
        <v>526</v>
      </c>
      <c r="U990" s="3" t="s">
        <v>247</v>
      </c>
      <c r="V990" s="3" t="s">
        <v>248</v>
      </c>
      <c r="W990" s="3"/>
      <c r="X990" s="2" t="s">
        <v>526</v>
      </c>
      <c r="Y990" s="2" t="s">
        <v>526</v>
      </c>
      <c r="Z990" s="2" t="s">
        <v>526</v>
      </c>
      <c r="AA990" s="2"/>
      <c r="AB990" s="2"/>
      <c r="AC990" s="2" t="s">
        <v>526</v>
      </c>
      <c r="AD990" s="2" t="s">
        <v>526</v>
      </c>
      <c r="AE990" s="2" t="s">
        <v>526</v>
      </c>
    </row>
    <row r="991" spans="4:31">
      <c r="D991" s="3" t="s">
        <v>247</v>
      </c>
      <c r="E991" s="3" t="s">
        <v>263</v>
      </c>
      <c r="F991" s="3"/>
      <c r="G991" s="2" t="s">
        <v>526</v>
      </c>
      <c r="H991" s="2" t="s">
        <v>526</v>
      </c>
      <c r="I991" s="2" t="s">
        <v>526</v>
      </c>
      <c r="J991" s="2"/>
      <c r="K991" s="2"/>
      <c r="L991" s="2" t="s">
        <v>526</v>
      </c>
      <c r="M991" s="2" t="s">
        <v>526</v>
      </c>
      <c r="N991" s="2" t="s">
        <v>526</v>
      </c>
      <c r="U991" s="3" t="s">
        <v>247</v>
      </c>
      <c r="V991" s="3" t="s">
        <v>263</v>
      </c>
      <c r="W991" s="3"/>
      <c r="X991" s="2" t="s">
        <v>526</v>
      </c>
      <c r="Y991" s="2" t="s">
        <v>526</v>
      </c>
      <c r="Z991" s="2" t="s">
        <v>526</v>
      </c>
      <c r="AA991" s="2"/>
      <c r="AB991" s="2"/>
      <c r="AC991" s="2" t="s">
        <v>526</v>
      </c>
      <c r="AD991" s="2" t="s">
        <v>526</v>
      </c>
      <c r="AE991" s="2" t="s">
        <v>526</v>
      </c>
    </row>
    <row r="992" spans="4:31">
      <c r="D992" s="3" t="s">
        <v>247</v>
      </c>
      <c r="E992" s="3" t="s">
        <v>539</v>
      </c>
      <c r="F992" s="3"/>
      <c r="G992" s="2" t="s">
        <v>526</v>
      </c>
      <c r="H992" s="2" t="s">
        <v>526</v>
      </c>
      <c r="I992" s="2" t="s">
        <v>526</v>
      </c>
      <c r="J992" s="2"/>
      <c r="K992" s="2"/>
      <c r="L992" s="2" t="s">
        <v>526</v>
      </c>
      <c r="M992" s="2" t="s">
        <v>526</v>
      </c>
      <c r="N992" s="2" t="s">
        <v>526</v>
      </c>
      <c r="U992" s="3" t="s">
        <v>247</v>
      </c>
      <c r="V992" s="3" t="s">
        <v>539</v>
      </c>
      <c r="W992" s="3"/>
      <c r="X992" s="2" t="s">
        <v>526</v>
      </c>
      <c r="Y992" s="2" t="s">
        <v>526</v>
      </c>
      <c r="Z992" s="2" t="s">
        <v>526</v>
      </c>
      <c r="AA992" s="2"/>
      <c r="AB992" s="2"/>
      <c r="AC992" s="2" t="s">
        <v>526</v>
      </c>
      <c r="AD992" s="2" t="s">
        <v>526</v>
      </c>
      <c r="AE992" s="2" t="s">
        <v>526</v>
      </c>
    </row>
    <row r="993" spans="4:31">
      <c r="D993" s="3" t="s">
        <v>247</v>
      </c>
      <c r="E993" s="3" t="s">
        <v>270</v>
      </c>
      <c r="F993" s="3"/>
      <c r="G993" s="2" t="s">
        <v>526</v>
      </c>
      <c r="H993" s="2" t="s">
        <v>526</v>
      </c>
      <c r="I993" s="2" t="s">
        <v>526</v>
      </c>
      <c r="J993" s="2"/>
      <c r="K993" s="2"/>
      <c r="L993" s="2" t="s">
        <v>526</v>
      </c>
      <c r="M993" s="2" t="s">
        <v>526</v>
      </c>
      <c r="N993" s="2" t="s">
        <v>526</v>
      </c>
      <c r="U993" s="3" t="s">
        <v>247</v>
      </c>
      <c r="V993" s="3" t="s">
        <v>270</v>
      </c>
      <c r="W993" s="3"/>
      <c r="X993" s="2" t="s">
        <v>526</v>
      </c>
      <c r="Y993" s="2" t="s">
        <v>526</v>
      </c>
      <c r="Z993" s="2" t="s">
        <v>526</v>
      </c>
      <c r="AA993" s="2"/>
      <c r="AB993" s="2"/>
      <c r="AC993" s="2" t="s">
        <v>526</v>
      </c>
      <c r="AD993" s="2" t="s">
        <v>526</v>
      </c>
      <c r="AE993" s="2" t="s">
        <v>526</v>
      </c>
    </row>
    <row r="994" spans="4:31">
      <c r="D994" s="3" t="s">
        <v>247</v>
      </c>
      <c r="E994" s="3" t="s">
        <v>540</v>
      </c>
      <c r="F994" s="3"/>
      <c r="G994" s="2" t="s">
        <v>526</v>
      </c>
      <c r="H994" s="2" t="s">
        <v>526</v>
      </c>
      <c r="I994" s="2"/>
      <c r="J994" s="2"/>
      <c r="K994" s="2"/>
      <c r="L994" s="2" t="s">
        <v>526</v>
      </c>
      <c r="M994" s="2" t="s">
        <v>526</v>
      </c>
      <c r="N994" s="2" t="s">
        <v>526</v>
      </c>
      <c r="U994" s="3" t="s">
        <v>247</v>
      </c>
      <c r="V994" s="3" t="s">
        <v>540</v>
      </c>
      <c r="W994" s="3"/>
      <c r="X994" s="2" t="s">
        <v>526</v>
      </c>
      <c r="Y994" s="2" t="s">
        <v>526</v>
      </c>
      <c r="Z994" s="2"/>
      <c r="AA994" s="2"/>
      <c r="AB994" s="2"/>
      <c r="AC994" s="2" t="s">
        <v>526</v>
      </c>
      <c r="AD994" s="2" t="s">
        <v>526</v>
      </c>
      <c r="AE994" s="2" t="s">
        <v>526</v>
      </c>
    </row>
    <row r="995" spans="4:31">
      <c r="D995" s="3" t="s">
        <v>261</v>
      </c>
      <c r="E995" s="3" t="s">
        <v>260</v>
      </c>
      <c r="F995" s="3"/>
      <c r="G995" s="2" t="s">
        <v>526</v>
      </c>
      <c r="H995" s="2"/>
      <c r="I995" s="2"/>
      <c r="J995" s="2" t="s">
        <v>526</v>
      </c>
      <c r="K995" s="2" t="s">
        <v>526</v>
      </c>
      <c r="L995" s="2" t="s">
        <v>526</v>
      </c>
      <c r="M995" s="2" t="s">
        <v>526</v>
      </c>
      <c r="N995" s="2" t="s">
        <v>526</v>
      </c>
      <c r="U995" s="3" t="s">
        <v>261</v>
      </c>
      <c r="V995" s="3" t="s">
        <v>260</v>
      </c>
      <c r="W995" s="3"/>
      <c r="X995" s="2" t="s">
        <v>526</v>
      </c>
      <c r="Y995" s="2"/>
      <c r="Z995" s="2"/>
      <c r="AA995" s="2" t="s">
        <v>526</v>
      </c>
      <c r="AB995" s="2" t="s">
        <v>526</v>
      </c>
      <c r="AC995" s="2" t="s">
        <v>526</v>
      </c>
      <c r="AD995" s="2" t="s">
        <v>526</v>
      </c>
      <c r="AE995" s="2" t="s">
        <v>526</v>
      </c>
    </row>
    <row r="996" spans="4:31">
      <c r="D996" s="3" t="s">
        <v>10157</v>
      </c>
      <c r="E996" s="3" t="s">
        <v>237</v>
      </c>
      <c r="F996" s="3"/>
      <c r="G996" s="2" t="s">
        <v>526</v>
      </c>
      <c r="H996" s="2" t="s">
        <v>526</v>
      </c>
      <c r="I996" s="160"/>
      <c r="J996" s="2"/>
      <c r="K996" s="2"/>
      <c r="L996" s="2" t="s">
        <v>526</v>
      </c>
      <c r="M996" s="2" t="s">
        <v>526</v>
      </c>
      <c r="N996" s="2" t="s">
        <v>526</v>
      </c>
      <c r="U996" s="3" t="s">
        <v>237</v>
      </c>
      <c r="V996" s="127" t="s">
        <v>237</v>
      </c>
      <c r="W996" s="3"/>
      <c r="X996" s="160" t="s">
        <v>526</v>
      </c>
      <c r="Y996" s="160" t="s">
        <v>526</v>
      </c>
      <c r="Z996" s="160" t="s">
        <v>526</v>
      </c>
      <c r="AA996" s="160"/>
      <c r="AB996" s="160"/>
      <c r="AC996" s="160" t="s">
        <v>526</v>
      </c>
      <c r="AD996" s="160" t="s">
        <v>526</v>
      </c>
      <c r="AE996" s="160" t="s">
        <v>526</v>
      </c>
    </row>
    <row r="997" spans="4:31">
      <c r="D997" s="3" t="s">
        <v>10157</v>
      </c>
      <c r="E997" s="3" t="s">
        <v>246</v>
      </c>
      <c r="F997" s="3"/>
      <c r="G997" s="2" t="s">
        <v>526</v>
      </c>
      <c r="H997" s="2"/>
      <c r="I997" s="2"/>
      <c r="J997" s="2"/>
      <c r="K997" s="2"/>
      <c r="L997" s="2" t="s">
        <v>526</v>
      </c>
      <c r="M997" s="2" t="s">
        <v>526</v>
      </c>
      <c r="N997" s="2" t="s">
        <v>526</v>
      </c>
      <c r="U997" s="3" t="s">
        <v>237</v>
      </c>
      <c r="V997" s="3" t="s">
        <v>246</v>
      </c>
      <c r="W997" s="3"/>
      <c r="X997" s="2" t="s">
        <v>526</v>
      </c>
      <c r="Y997" s="2"/>
      <c r="Z997" s="2"/>
      <c r="AA997" s="2"/>
      <c r="AB997" s="2"/>
      <c r="AC997" s="2" t="s">
        <v>526</v>
      </c>
      <c r="AD997" s="2" t="s">
        <v>526</v>
      </c>
      <c r="AE997" s="2" t="s">
        <v>526</v>
      </c>
    </row>
    <row r="998" spans="4:31">
      <c r="D998" s="3" t="s">
        <v>10157</v>
      </c>
      <c r="E998" s="3" t="s">
        <v>10162</v>
      </c>
      <c r="F998" s="3"/>
      <c r="G998" s="2" t="s">
        <v>526</v>
      </c>
      <c r="H998" s="2"/>
      <c r="I998" s="2"/>
      <c r="J998" s="2" t="s">
        <v>526</v>
      </c>
      <c r="K998" s="2" t="s">
        <v>526</v>
      </c>
      <c r="L998" s="2" t="s">
        <v>526</v>
      </c>
      <c r="M998" s="2" t="s">
        <v>526</v>
      </c>
      <c r="N998" s="2" t="s">
        <v>526</v>
      </c>
      <c r="U998" s="3" t="s">
        <v>237</v>
      </c>
      <c r="V998" s="3" t="s">
        <v>243</v>
      </c>
      <c r="W998" s="3"/>
      <c r="X998" s="2" t="s">
        <v>526</v>
      </c>
      <c r="Y998" s="2"/>
      <c r="Z998" s="2"/>
      <c r="AA998" s="2" t="s">
        <v>526</v>
      </c>
      <c r="AB998" s="2" t="s">
        <v>526</v>
      </c>
      <c r="AC998" s="2" t="s">
        <v>526</v>
      </c>
      <c r="AD998" s="2" t="s">
        <v>526</v>
      </c>
      <c r="AE998" s="2" t="s">
        <v>526</v>
      </c>
    </row>
    <row r="999" spans="4:31">
      <c r="D999" s="3" t="s">
        <v>252</v>
      </c>
      <c r="E999" s="3" t="s">
        <v>333</v>
      </c>
      <c r="F999" s="3"/>
      <c r="G999" s="2" t="s">
        <v>526</v>
      </c>
      <c r="H999" s="2"/>
      <c r="I999" s="2" t="s">
        <v>526</v>
      </c>
      <c r="J999" s="2"/>
      <c r="K999" s="2"/>
      <c r="L999" s="2" t="s">
        <v>526</v>
      </c>
      <c r="M999" s="2" t="s">
        <v>526</v>
      </c>
      <c r="N999" s="2" t="s">
        <v>526</v>
      </c>
      <c r="U999" s="3" t="s">
        <v>252</v>
      </c>
      <c r="V999" s="3" t="s">
        <v>333</v>
      </c>
      <c r="W999" s="3"/>
      <c r="X999" s="2" t="s">
        <v>526</v>
      </c>
      <c r="Y999" s="2"/>
      <c r="Z999" s="2" t="s">
        <v>526</v>
      </c>
      <c r="AA999" s="2"/>
      <c r="AB999" s="2"/>
      <c r="AC999" s="2" t="s">
        <v>526</v>
      </c>
      <c r="AD999" s="2" t="s">
        <v>526</v>
      </c>
      <c r="AE999" s="2" t="s">
        <v>526</v>
      </c>
    </row>
    <row r="1000" spans="4:31">
      <c r="D1000" s="3" t="s">
        <v>239</v>
      </c>
      <c r="E1000" s="3" t="s">
        <v>542</v>
      </c>
      <c r="F1000" s="3"/>
      <c r="G1000" s="2" t="s">
        <v>526</v>
      </c>
      <c r="H1000" s="2"/>
      <c r="I1000" s="2" t="s">
        <v>526</v>
      </c>
      <c r="J1000" s="2" t="s">
        <v>526</v>
      </c>
      <c r="K1000" s="2" t="s">
        <v>526</v>
      </c>
      <c r="L1000" s="2" t="s">
        <v>526</v>
      </c>
      <c r="M1000" s="2" t="s">
        <v>526</v>
      </c>
      <c r="N1000" s="2" t="s">
        <v>526</v>
      </c>
      <c r="U1000" s="3" t="s">
        <v>239</v>
      </c>
      <c r="V1000" s="3" t="s">
        <v>542</v>
      </c>
      <c r="W1000" s="3"/>
      <c r="X1000" s="2" t="s">
        <v>526</v>
      </c>
      <c r="Y1000" s="2"/>
      <c r="Z1000" s="2" t="s">
        <v>526</v>
      </c>
      <c r="AA1000" s="2" t="s">
        <v>526</v>
      </c>
      <c r="AB1000" s="2" t="s">
        <v>526</v>
      </c>
      <c r="AC1000" s="2" t="s">
        <v>526</v>
      </c>
      <c r="AD1000" s="2" t="s">
        <v>526</v>
      </c>
      <c r="AE1000" s="2" t="s">
        <v>526</v>
      </c>
    </row>
    <row r="1001" spans="4:31">
      <c r="D1001" s="3" t="s">
        <v>10157</v>
      </c>
      <c r="E1001" s="3" t="s">
        <v>238</v>
      </c>
      <c r="F1001" s="3"/>
      <c r="G1001" s="2" t="s">
        <v>526</v>
      </c>
      <c r="H1001" s="2"/>
      <c r="I1001" s="2" t="s">
        <v>526</v>
      </c>
      <c r="J1001" s="2"/>
      <c r="K1001" s="2"/>
      <c r="L1001" s="2" t="s">
        <v>526</v>
      </c>
      <c r="M1001" s="2" t="s">
        <v>526</v>
      </c>
      <c r="N1001" s="2" t="s">
        <v>526</v>
      </c>
      <c r="U1001" s="3" t="s">
        <v>237</v>
      </c>
      <c r="V1001" s="3" t="s">
        <v>238</v>
      </c>
      <c r="W1001" s="3"/>
      <c r="X1001" s="2" t="s">
        <v>526</v>
      </c>
      <c r="Y1001" s="2"/>
      <c r="Z1001" s="2" t="s">
        <v>526</v>
      </c>
      <c r="AA1001" s="2"/>
      <c r="AB1001" s="2"/>
      <c r="AC1001" s="2" t="s">
        <v>526</v>
      </c>
      <c r="AD1001" s="2" t="s">
        <v>526</v>
      </c>
      <c r="AE1001" s="2" t="s">
        <v>526</v>
      </c>
    </row>
    <row r="1002" spans="4:31">
      <c r="D1002" s="3" t="s">
        <v>264</v>
      </c>
      <c r="E1002" s="3" t="s">
        <v>264</v>
      </c>
      <c r="F1002" s="3"/>
      <c r="G1002" s="2" t="s">
        <v>526</v>
      </c>
      <c r="H1002" s="2" t="s">
        <v>526</v>
      </c>
      <c r="I1002" s="2" t="s">
        <v>526</v>
      </c>
      <c r="J1002" s="2"/>
      <c r="K1002" s="2"/>
      <c r="L1002" s="2" t="s">
        <v>526</v>
      </c>
      <c r="M1002" s="2" t="s">
        <v>526</v>
      </c>
      <c r="N1002" s="2" t="s">
        <v>526</v>
      </c>
      <c r="U1002" s="3" t="s">
        <v>264</v>
      </c>
      <c r="V1002" s="127" t="s">
        <v>264</v>
      </c>
      <c r="W1002" s="3"/>
      <c r="X1002" s="160" t="s">
        <v>526</v>
      </c>
      <c r="Y1002" s="160" t="s">
        <v>526</v>
      </c>
      <c r="Z1002" s="160" t="s">
        <v>526</v>
      </c>
      <c r="AA1002" s="160"/>
      <c r="AB1002" s="160"/>
      <c r="AC1002" s="160" t="s">
        <v>526</v>
      </c>
      <c r="AD1002" s="160" t="s">
        <v>526</v>
      </c>
      <c r="AE1002" s="160" t="s">
        <v>526</v>
      </c>
    </row>
    <row r="1003" spans="4:31">
      <c r="D1003" s="3" t="s">
        <v>264</v>
      </c>
      <c r="E1003" t="s">
        <v>336</v>
      </c>
      <c r="F1003" s="3"/>
      <c r="G1003" s="2" t="s">
        <v>526</v>
      </c>
      <c r="H1003" s="2" t="s">
        <v>526</v>
      </c>
      <c r="I1003" s="2"/>
      <c r="J1003" s="160"/>
      <c r="K1003" s="160"/>
      <c r="L1003" s="2" t="s">
        <v>526</v>
      </c>
      <c r="M1003" s="2" t="s">
        <v>526</v>
      </c>
      <c r="N1003" s="2" t="s">
        <v>526</v>
      </c>
      <c r="U1003" s="3" t="s">
        <v>264</v>
      </c>
      <c r="V1003" t="s">
        <v>336</v>
      </c>
      <c r="W1003" s="3"/>
      <c r="X1003" s="2" t="s">
        <v>526</v>
      </c>
      <c r="Y1003" s="2" t="s">
        <v>526</v>
      </c>
      <c r="Z1003" s="2"/>
      <c r="AA1003" s="2" t="s">
        <v>526</v>
      </c>
      <c r="AB1003" s="2" t="s">
        <v>526</v>
      </c>
      <c r="AC1003" s="2" t="s">
        <v>526</v>
      </c>
      <c r="AD1003" s="2" t="s">
        <v>526</v>
      </c>
      <c r="AE1003" s="2" t="s">
        <v>526</v>
      </c>
    </row>
    <row r="1004" spans="4:31">
      <c r="D1004" s="3" t="s">
        <v>242</v>
      </c>
      <c r="E1004" s="3" t="s">
        <v>251</v>
      </c>
      <c r="F1004" s="3"/>
      <c r="G1004" s="2" t="s">
        <v>526</v>
      </c>
      <c r="H1004" s="2" t="s">
        <v>526</v>
      </c>
      <c r="I1004" s="2" t="s">
        <v>526</v>
      </c>
      <c r="J1004" s="2"/>
      <c r="K1004" s="2"/>
      <c r="L1004" s="2" t="s">
        <v>526</v>
      </c>
      <c r="M1004" s="2" t="s">
        <v>526</v>
      </c>
      <c r="N1004" s="2" t="s">
        <v>526</v>
      </c>
      <c r="U1004" s="3" t="s">
        <v>242</v>
      </c>
      <c r="V1004" s="3" t="s">
        <v>251</v>
      </c>
      <c r="W1004" s="3"/>
      <c r="X1004" s="2" t="s">
        <v>526</v>
      </c>
      <c r="Y1004" s="2" t="s">
        <v>526</v>
      </c>
      <c r="Z1004" s="2" t="s">
        <v>526</v>
      </c>
      <c r="AA1004" s="2"/>
      <c r="AB1004" s="2"/>
      <c r="AC1004" s="2" t="s">
        <v>526</v>
      </c>
      <c r="AD1004" s="2" t="s">
        <v>526</v>
      </c>
      <c r="AE1004" s="2" t="s">
        <v>526</v>
      </c>
    </row>
    <row r="1005" spans="4:31">
      <c r="D1005" s="3" t="s">
        <v>242</v>
      </c>
      <c r="E1005" s="3" t="s">
        <v>543</v>
      </c>
      <c r="F1005" s="3"/>
      <c r="G1005" s="2" t="s">
        <v>526</v>
      </c>
      <c r="H1005" s="2" t="s">
        <v>526</v>
      </c>
      <c r="I1005" s="2" t="s">
        <v>526</v>
      </c>
      <c r="J1005" s="2"/>
      <c r="K1005" s="2"/>
      <c r="L1005" s="2" t="s">
        <v>526</v>
      </c>
      <c r="M1005" s="2" t="s">
        <v>526</v>
      </c>
      <c r="N1005" s="2" t="s">
        <v>526</v>
      </c>
      <c r="U1005" s="3" t="s">
        <v>242</v>
      </c>
      <c r="V1005" s="3" t="s">
        <v>543</v>
      </c>
      <c r="W1005" s="3"/>
      <c r="X1005" s="2" t="s">
        <v>526</v>
      </c>
      <c r="Y1005" s="2" t="s">
        <v>526</v>
      </c>
      <c r="Z1005" s="2" t="s">
        <v>526</v>
      </c>
      <c r="AA1005" s="2"/>
      <c r="AB1005" s="2"/>
      <c r="AC1005" s="2" t="s">
        <v>526</v>
      </c>
      <c r="AD1005" s="2" t="s">
        <v>526</v>
      </c>
      <c r="AE1005" s="2" t="s">
        <v>526</v>
      </c>
    </row>
    <row r="1006" spans="4:31">
      <c r="D1006" s="3" t="s">
        <v>264</v>
      </c>
      <c r="E1006" s="3" t="s">
        <v>544</v>
      </c>
      <c r="F1006" s="3"/>
      <c r="G1006" s="2" t="s">
        <v>526</v>
      </c>
      <c r="H1006" s="2" t="s">
        <v>526</v>
      </c>
      <c r="I1006" s="2" t="s">
        <v>526</v>
      </c>
      <c r="J1006" s="160"/>
      <c r="K1006" s="160"/>
      <c r="L1006" s="2" t="s">
        <v>526</v>
      </c>
      <c r="M1006" s="2" t="s">
        <v>526</v>
      </c>
      <c r="N1006" s="2" t="s">
        <v>526</v>
      </c>
      <c r="U1006" s="3" t="s">
        <v>264</v>
      </c>
      <c r="V1006" s="3" t="s">
        <v>544</v>
      </c>
      <c r="W1006" s="3"/>
      <c r="X1006" s="2" t="s">
        <v>526</v>
      </c>
      <c r="Y1006" s="2" t="s">
        <v>526</v>
      </c>
      <c r="Z1006" s="2" t="s">
        <v>526</v>
      </c>
      <c r="AA1006" s="2" t="s">
        <v>526</v>
      </c>
      <c r="AB1006" s="2" t="s">
        <v>526</v>
      </c>
      <c r="AC1006" s="2" t="s">
        <v>526</v>
      </c>
      <c r="AD1006" s="2" t="s">
        <v>526</v>
      </c>
      <c r="AE1006" s="2" t="s">
        <v>526</v>
      </c>
    </row>
    <row r="1007" spans="4:31">
      <c r="D1007" s="3" t="s">
        <v>10157</v>
      </c>
      <c r="E1007" s="3" t="s">
        <v>545</v>
      </c>
      <c r="F1007" s="3"/>
      <c r="G1007" s="2" t="s">
        <v>526</v>
      </c>
      <c r="H1007" s="2"/>
      <c r="I1007" s="2"/>
      <c r="J1007" s="2"/>
      <c r="K1007" s="2"/>
      <c r="L1007" s="2" t="s">
        <v>526</v>
      </c>
      <c r="M1007" s="2" t="s">
        <v>526</v>
      </c>
      <c r="N1007" s="2" t="s">
        <v>526</v>
      </c>
      <c r="U1007" s="3" t="s">
        <v>237</v>
      </c>
      <c r="V1007" s="3" t="s">
        <v>545</v>
      </c>
      <c r="W1007" s="3"/>
      <c r="X1007" s="2" t="s">
        <v>526</v>
      </c>
      <c r="Y1007" s="2"/>
      <c r="Z1007" s="2"/>
      <c r="AA1007" s="2"/>
      <c r="AB1007" s="2"/>
      <c r="AC1007" s="2" t="s">
        <v>526</v>
      </c>
      <c r="AD1007" s="2" t="s">
        <v>526</v>
      </c>
      <c r="AE1007" s="2" t="s">
        <v>526</v>
      </c>
    </row>
    <row r="1008" spans="4:31" ht="28.8">
      <c r="D1008" s="4" t="s">
        <v>10169</v>
      </c>
      <c r="E1008" s="3" t="s">
        <v>10170</v>
      </c>
      <c r="F1008" s="3"/>
      <c r="G1008" s="2" t="s">
        <v>526</v>
      </c>
      <c r="H1008" s="2" t="s">
        <v>526</v>
      </c>
      <c r="I1008" s="2" t="s">
        <v>526</v>
      </c>
      <c r="J1008" s="2"/>
      <c r="K1008" s="2"/>
      <c r="L1008" s="2" t="s">
        <v>526</v>
      </c>
      <c r="M1008" s="2" t="s">
        <v>526</v>
      </c>
      <c r="N1008" s="2" t="s">
        <v>526</v>
      </c>
    </row>
    <row r="1009" spans="4:14">
      <c r="D1009" s="3" t="str">
        <f>_xlfn.LET(_xlpm.x,Materials!A48,IF(LEN(_xlpm.x)=0,"","Custom"))</f>
        <v/>
      </c>
      <c r="E1009" s="3" t="str">
        <f>_xlfn.LET(_xlpm.x,Materials!A48,IF(LEN(_xlpm.x)=0,"",_xlpm.x))</f>
        <v/>
      </c>
      <c r="F1009" s="3"/>
      <c r="G1009" s="2" t="str">
        <f>_xlfn.LET(_xlpm.x,Materials!C48,IF(LEN(_xlpm.x)=0,"","x"))</f>
        <v/>
      </c>
      <c r="H1009" s="2" t="str">
        <f>_xlfn.LET(_xlpm.x,Materials!D48,IF(LEN(_xlpm.x)=0,"","x"))</f>
        <v/>
      </c>
      <c r="I1009" s="2" t="str">
        <f>_xlfn.LET(_xlpm.x,Materials!E48,IF(LEN(_xlpm.x)=0,"","x"))</f>
        <v/>
      </c>
      <c r="J1009" s="2" t="str">
        <f>_xlfn.LET(_xlpm.x,Materials!F48,IF(LEN(_xlpm.x)=0,"","x"))</f>
        <v/>
      </c>
      <c r="K1009" s="2" t="str">
        <f>_xlfn.LET(_xlpm.x,Materials!G48,IF(LEN(_xlpm.x)=0,"","x"))</f>
        <v/>
      </c>
      <c r="L1009" s="2" t="str">
        <f>_xlfn.LET(_xlpm.x,Materials!H48,IF(LEN(_xlpm.x)=0,"","x"))</f>
        <v/>
      </c>
      <c r="M1009" s="2" t="str">
        <f>_xlfn.LET(_xlpm.x,Materials!I48,IF(LEN(_xlpm.x)=0,"","x"))</f>
        <v/>
      </c>
      <c r="N1009" s="2" t="str">
        <f>_xlfn.LET(_xlpm.x,Materials!J48,IF(LEN(_xlpm.x)=0,"","x"))</f>
        <v/>
      </c>
    </row>
    <row r="1010" spans="4:14">
      <c r="D1010" s="3" t="str">
        <f>_xlfn.LET(_xlpm.x,Materials!A49,IF(LEN(_xlpm.x)=0,"","Custom"))</f>
        <v/>
      </c>
      <c r="E1010" s="3" t="str">
        <f>_xlfn.LET(_xlpm.x,Materials!A49,IF(LEN(_xlpm.x)=0,"",_xlpm.x))</f>
        <v/>
      </c>
      <c r="F1010" s="3"/>
      <c r="G1010" s="2" t="str">
        <f>_xlfn.LET(_xlpm.x,Materials!C49,IF(LEN(_xlpm.x)=0,"","x"))</f>
        <v/>
      </c>
      <c r="H1010" s="2" t="str">
        <f>_xlfn.LET(_xlpm.x,Materials!D49,IF(LEN(_xlpm.x)=0,"","x"))</f>
        <v/>
      </c>
      <c r="I1010" s="2" t="str">
        <f>_xlfn.LET(_xlpm.x,Materials!E49,IF(LEN(_xlpm.x)=0,"","x"))</f>
        <v/>
      </c>
      <c r="J1010" s="2" t="str">
        <f>_xlfn.LET(_xlpm.x,Materials!F49,IF(LEN(_xlpm.x)=0,"","x"))</f>
        <v/>
      </c>
      <c r="K1010" s="2" t="str">
        <f>_xlfn.LET(_xlpm.x,Materials!G49,IF(LEN(_xlpm.x)=0,"","x"))</f>
        <v/>
      </c>
      <c r="L1010" s="2" t="str">
        <f>_xlfn.LET(_xlpm.x,Materials!H49,IF(LEN(_xlpm.x)=0,"","x"))</f>
        <v/>
      </c>
      <c r="M1010" s="2" t="str">
        <f>_xlfn.LET(_xlpm.x,Materials!I49,IF(LEN(_xlpm.x)=0,"","x"))</f>
        <v/>
      </c>
      <c r="N1010" s="2" t="str">
        <f>_xlfn.LET(_xlpm.x,Materials!J49,IF(LEN(_xlpm.x)=0,"","x"))</f>
        <v/>
      </c>
    </row>
    <row r="1011" spans="4:14">
      <c r="D1011" s="3" t="str">
        <f>_xlfn.LET(_xlpm.x,Materials!A50,IF(LEN(_xlpm.x)=0,"","Custom"))</f>
        <v/>
      </c>
      <c r="E1011" s="3" t="str">
        <f>_xlfn.LET(_xlpm.x,Materials!A50,IF(LEN(_xlpm.x)=0,"",_xlpm.x))</f>
        <v/>
      </c>
      <c r="F1011" s="3"/>
      <c r="G1011" s="2" t="str">
        <f>_xlfn.LET(_xlpm.x,Materials!C50,IF(LEN(_xlpm.x)=0,"","x"))</f>
        <v/>
      </c>
      <c r="H1011" s="2" t="str">
        <f>_xlfn.LET(_xlpm.x,Materials!D50,IF(LEN(_xlpm.x)=0,"","x"))</f>
        <v/>
      </c>
      <c r="I1011" s="2" t="str">
        <f>_xlfn.LET(_xlpm.x,Materials!E50,IF(LEN(_xlpm.x)=0,"","x"))</f>
        <v/>
      </c>
      <c r="J1011" s="2" t="str">
        <f>_xlfn.LET(_xlpm.x,Materials!F50,IF(LEN(_xlpm.x)=0,"","x"))</f>
        <v/>
      </c>
      <c r="K1011" s="2" t="str">
        <f>_xlfn.LET(_xlpm.x,Materials!G50,IF(LEN(_xlpm.x)=0,"","x"))</f>
        <v/>
      </c>
      <c r="L1011" s="2" t="str">
        <f>_xlfn.LET(_xlpm.x,Materials!H50,IF(LEN(_xlpm.x)=0,"","x"))</f>
        <v/>
      </c>
      <c r="M1011" s="2" t="str">
        <f>_xlfn.LET(_xlpm.x,Materials!I50,IF(LEN(_xlpm.x)=0,"","x"))</f>
        <v/>
      </c>
      <c r="N1011" s="2" t="str">
        <f>_xlfn.LET(_xlpm.x,Materials!J50,IF(LEN(_xlpm.x)=0,"","x"))</f>
        <v/>
      </c>
    </row>
    <row r="1012" spans="4:14">
      <c r="D1012" s="3" t="str">
        <f>_xlfn.LET(_xlpm.x,Materials!A51,IF(LEN(_xlpm.x)=0,"","Custom"))</f>
        <v/>
      </c>
      <c r="E1012" s="3" t="str">
        <f>_xlfn.LET(_xlpm.x,Materials!A51,IF(LEN(_xlpm.x)=0,"",_xlpm.x))</f>
        <v/>
      </c>
      <c r="F1012" s="3"/>
      <c r="G1012" s="2" t="str">
        <f>_xlfn.LET(_xlpm.x,Materials!C51,IF(LEN(_xlpm.x)=0,"","x"))</f>
        <v/>
      </c>
      <c r="H1012" s="2" t="str">
        <f>_xlfn.LET(_xlpm.x,Materials!D51,IF(LEN(_xlpm.x)=0,"","x"))</f>
        <v/>
      </c>
      <c r="I1012" s="2" t="str">
        <f>_xlfn.LET(_xlpm.x,Materials!E51,IF(LEN(_xlpm.x)=0,"","x"))</f>
        <v/>
      </c>
      <c r="J1012" s="2" t="str">
        <f>_xlfn.LET(_xlpm.x,Materials!F51,IF(LEN(_xlpm.x)=0,"","x"))</f>
        <v/>
      </c>
      <c r="K1012" s="2" t="str">
        <f>_xlfn.LET(_xlpm.x,Materials!G51,IF(LEN(_xlpm.x)=0,"","x"))</f>
        <v/>
      </c>
      <c r="L1012" s="2" t="str">
        <f>_xlfn.LET(_xlpm.x,Materials!H51,IF(LEN(_xlpm.x)=0,"","x"))</f>
        <v/>
      </c>
      <c r="M1012" s="2" t="str">
        <f>_xlfn.LET(_xlpm.x,Materials!I51,IF(LEN(_xlpm.x)=0,"","x"))</f>
        <v/>
      </c>
      <c r="N1012" s="2" t="str">
        <f>_xlfn.LET(_xlpm.x,Materials!J51,IF(LEN(_xlpm.x)=0,"","x"))</f>
        <v/>
      </c>
    </row>
    <row r="1013" spans="4:14">
      <c r="D1013" s="3" t="str">
        <f>_xlfn.LET(_xlpm.x,Materials!A52,IF(LEN(_xlpm.x)=0,"","Custom"))</f>
        <v/>
      </c>
      <c r="E1013" s="3" t="str">
        <f>_xlfn.LET(_xlpm.x,Materials!A52,IF(LEN(_xlpm.x)=0,"",_xlpm.x))</f>
        <v/>
      </c>
      <c r="F1013" s="3"/>
      <c r="G1013" s="2" t="str">
        <f>_xlfn.LET(_xlpm.x,Materials!C52,IF(LEN(_xlpm.x)=0,"","x"))</f>
        <v/>
      </c>
      <c r="H1013" s="2" t="str">
        <f>_xlfn.LET(_xlpm.x,Materials!D52,IF(LEN(_xlpm.x)=0,"","x"))</f>
        <v/>
      </c>
      <c r="I1013" s="2" t="str">
        <f>_xlfn.LET(_xlpm.x,Materials!E52,IF(LEN(_xlpm.x)=0,"","x"))</f>
        <v/>
      </c>
      <c r="J1013" s="2" t="str">
        <f>_xlfn.LET(_xlpm.x,Materials!F52,IF(LEN(_xlpm.x)=0,"","x"))</f>
        <v/>
      </c>
      <c r="K1013" s="2" t="str">
        <f>_xlfn.LET(_xlpm.x,Materials!G52,IF(LEN(_xlpm.x)=0,"","x"))</f>
        <v/>
      </c>
      <c r="L1013" s="2" t="str">
        <f>_xlfn.LET(_xlpm.x,Materials!H52,IF(LEN(_xlpm.x)=0,"","x"))</f>
        <v/>
      </c>
      <c r="M1013" s="2" t="str">
        <f>_xlfn.LET(_xlpm.x,Materials!I52,IF(LEN(_xlpm.x)=0,"","x"))</f>
        <v/>
      </c>
      <c r="N1013" s="2" t="str">
        <f>_xlfn.LET(_xlpm.x,Materials!J52,IF(LEN(_xlpm.x)=0,"","x"))</f>
        <v/>
      </c>
    </row>
    <row r="1014" spans="4:14">
      <c r="D1014" s="3" t="str">
        <f>_xlfn.LET(_xlpm.x,Materials!A53,IF(LEN(_xlpm.x)=0,"","Custom"))</f>
        <v/>
      </c>
      <c r="E1014" s="3" t="str">
        <f>_xlfn.LET(_xlpm.x,Materials!A53,IF(LEN(_xlpm.x)=0,"",_xlpm.x))</f>
        <v/>
      </c>
      <c r="F1014" s="3"/>
      <c r="G1014" s="2" t="str">
        <f>_xlfn.LET(_xlpm.x,Materials!C53,IF(LEN(_xlpm.x)=0,"","x"))</f>
        <v/>
      </c>
      <c r="H1014" s="2" t="str">
        <f>_xlfn.LET(_xlpm.x,Materials!D53,IF(LEN(_xlpm.x)=0,"","x"))</f>
        <v/>
      </c>
      <c r="I1014" s="2" t="str">
        <f>_xlfn.LET(_xlpm.x,Materials!E53,IF(LEN(_xlpm.x)=0,"","x"))</f>
        <v/>
      </c>
      <c r="J1014" s="2" t="str">
        <f>_xlfn.LET(_xlpm.x,Materials!F53,IF(LEN(_xlpm.x)=0,"","x"))</f>
        <v/>
      </c>
      <c r="K1014" s="2" t="str">
        <f>_xlfn.LET(_xlpm.x,Materials!G53,IF(LEN(_xlpm.x)=0,"","x"))</f>
        <v/>
      </c>
      <c r="L1014" s="2" t="str">
        <f>_xlfn.LET(_xlpm.x,Materials!H53,IF(LEN(_xlpm.x)=0,"","x"))</f>
        <v/>
      </c>
      <c r="M1014" s="2" t="str">
        <f>_xlfn.LET(_xlpm.x,Materials!I53,IF(LEN(_xlpm.x)=0,"","x"))</f>
        <v/>
      </c>
      <c r="N1014" s="2" t="str">
        <f>_xlfn.LET(_xlpm.x,Materials!J53,IF(LEN(_xlpm.x)=0,"","x"))</f>
        <v/>
      </c>
    </row>
    <row r="1015" spans="4:14">
      <c r="D1015" s="3" t="str">
        <f>_xlfn.LET(_xlpm.x,Materials!A54,IF(LEN(_xlpm.x)=0,"","Custom"))</f>
        <v/>
      </c>
      <c r="E1015" s="3" t="str">
        <f>_xlfn.LET(_xlpm.x,Materials!A54,IF(LEN(_xlpm.x)=0,"",_xlpm.x))</f>
        <v/>
      </c>
      <c r="F1015" s="3"/>
      <c r="G1015" s="2" t="str">
        <f>_xlfn.LET(_xlpm.x,Materials!C54,IF(LEN(_xlpm.x)=0,"","x"))</f>
        <v/>
      </c>
      <c r="H1015" s="2" t="str">
        <f>_xlfn.LET(_xlpm.x,Materials!D54,IF(LEN(_xlpm.x)=0,"","x"))</f>
        <v/>
      </c>
      <c r="I1015" s="2" t="str">
        <f>_xlfn.LET(_xlpm.x,Materials!E54,IF(LEN(_xlpm.x)=0,"","x"))</f>
        <v/>
      </c>
      <c r="J1015" s="2" t="str">
        <f>_xlfn.LET(_xlpm.x,Materials!F54,IF(LEN(_xlpm.x)=0,"","x"))</f>
        <v/>
      </c>
      <c r="K1015" s="2" t="str">
        <f>_xlfn.LET(_xlpm.x,Materials!G54,IF(LEN(_xlpm.x)=0,"","x"))</f>
        <v/>
      </c>
      <c r="L1015" s="2" t="str">
        <f>_xlfn.LET(_xlpm.x,Materials!H54,IF(LEN(_xlpm.x)=0,"","x"))</f>
        <v/>
      </c>
      <c r="M1015" s="2" t="str">
        <f>_xlfn.LET(_xlpm.x,Materials!I54,IF(LEN(_xlpm.x)=0,"","x"))</f>
        <v/>
      </c>
      <c r="N1015" s="2" t="str">
        <f>_xlfn.LET(_xlpm.x,Materials!J54,IF(LEN(_xlpm.x)=0,"","x"))</f>
        <v/>
      </c>
    </row>
    <row r="1016" spans="4:14">
      <c r="D1016" s="3" t="str">
        <f>_xlfn.LET(_xlpm.x,Materials!A55,IF(LEN(_xlpm.x)=0,"","Custom"))</f>
        <v/>
      </c>
      <c r="E1016" s="3" t="str">
        <f>_xlfn.LET(_xlpm.x,Materials!A55,IF(LEN(_xlpm.x)=0,"",_xlpm.x))</f>
        <v/>
      </c>
      <c r="F1016" s="3"/>
      <c r="G1016" s="2" t="str">
        <f>_xlfn.LET(_xlpm.x,Materials!C55,IF(LEN(_xlpm.x)=0,"","x"))</f>
        <v/>
      </c>
      <c r="H1016" s="2" t="str">
        <f>_xlfn.LET(_xlpm.x,Materials!D55,IF(LEN(_xlpm.x)=0,"","x"))</f>
        <v/>
      </c>
      <c r="I1016" s="2" t="str">
        <f>_xlfn.LET(_xlpm.x,Materials!E55,IF(LEN(_xlpm.x)=0,"","x"))</f>
        <v/>
      </c>
      <c r="J1016" s="2" t="str">
        <f>_xlfn.LET(_xlpm.x,Materials!F55,IF(LEN(_xlpm.x)=0,"","x"))</f>
        <v/>
      </c>
      <c r="K1016" s="2" t="str">
        <f>_xlfn.LET(_xlpm.x,Materials!G55,IF(LEN(_xlpm.x)=0,"","x"))</f>
        <v/>
      </c>
      <c r="L1016" s="2" t="str">
        <f>_xlfn.LET(_xlpm.x,Materials!H55,IF(LEN(_xlpm.x)=0,"","x"))</f>
        <v/>
      </c>
      <c r="M1016" s="2" t="str">
        <f>_xlfn.LET(_xlpm.x,Materials!I55,IF(LEN(_xlpm.x)=0,"","x"))</f>
        <v/>
      </c>
      <c r="N1016" s="2" t="str">
        <f>_xlfn.LET(_xlpm.x,Materials!J55,IF(LEN(_xlpm.x)=0,"","x"))</f>
        <v/>
      </c>
    </row>
    <row r="1017" spans="4:14" hidden="1">
      <c r="D1017" s="3" t="str">
        <f>_xlfn.LET(_xlpm.x,Materials!A56,IF(LEN(_xlpm.x)=0,"","Custom"))</f>
        <v/>
      </c>
      <c r="E1017" s="3" t="str">
        <f>_xlfn.LET(_xlpm.x,Materials!A56,IF(LEN(_xlpm.x)=0,"",_xlpm.x))</f>
        <v/>
      </c>
      <c r="F1017" s="3"/>
      <c r="G1017" s="2" t="str">
        <f>_xlfn.LET(_xlpm.x,Materials!C56,IF(LEN(_xlpm.x)=0,"","x"))</f>
        <v/>
      </c>
      <c r="H1017" s="2" t="str">
        <f>_xlfn.LET(_xlpm.x,Materials!D56,IF(LEN(_xlpm.x)=0,"","x"))</f>
        <v/>
      </c>
      <c r="I1017" s="2" t="str">
        <f>_xlfn.LET(_xlpm.x,Materials!E56,IF(LEN(_xlpm.x)=0,"","x"))</f>
        <v/>
      </c>
      <c r="J1017" s="2" t="str">
        <f>_xlfn.LET(_xlpm.x,Materials!F56,IF(LEN(_xlpm.x)=0,"","x"))</f>
        <v/>
      </c>
      <c r="K1017" s="2" t="str">
        <f>_xlfn.LET(_xlpm.x,Materials!G56,IF(LEN(_xlpm.x)=0,"","x"))</f>
        <v/>
      </c>
      <c r="L1017" s="2" t="str">
        <f>_xlfn.LET(_xlpm.x,Materials!H56,IF(LEN(_xlpm.x)=0,"","x"))</f>
        <v/>
      </c>
      <c r="M1017" s="2" t="str">
        <f>_xlfn.LET(_xlpm.x,Materials!I56,IF(LEN(_xlpm.x)=0,"","x"))</f>
        <v/>
      </c>
      <c r="N1017" s="2" t="str">
        <f>_xlfn.LET(_xlpm.x,Materials!J56,IF(LEN(_xlpm.x)=0,"","x"))</f>
        <v/>
      </c>
    </row>
    <row r="1018" spans="4:14" hidden="1">
      <c r="D1018" s="3" t="str">
        <f>_xlfn.LET(_xlpm.x,Materials!A57,IF(LEN(_xlpm.x)=0,"","Custom"))</f>
        <v/>
      </c>
      <c r="E1018" s="3" t="str">
        <f>_xlfn.LET(_xlpm.x,Materials!A57,IF(LEN(_xlpm.x)=0,"",_xlpm.x))</f>
        <v/>
      </c>
      <c r="F1018" s="3"/>
      <c r="G1018" s="2" t="str">
        <f>_xlfn.LET(_xlpm.x,Materials!C57,IF(LEN(_xlpm.x)=0,"","x"))</f>
        <v/>
      </c>
      <c r="H1018" s="2" t="str">
        <f>_xlfn.LET(_xlpm.x,Materials!D57,IF(LEN(_xlpm.x)=0,"","x"))</f>
        <v/>
      </c>
      <c r="I1018" s="2" t="str">
        <f>_xlfn.LET(_xlpm.x,Materials!E57,IF(LEN(_xlpm.x)=0,"","x"))</f>
        <v/>
      </c>
      <c r="J1018" s="2" t="str">
        <f>_xlfn.LET(_xlpm.x,Materials!F57,IF(LEN(_xlpm.x)=0,"","x"))</f>
        <v/>
      </c>
      <c r="K1018" s="2" t="str">
        <f>_xlfn.LET(_xlpm.x,Materials!G57,IF(LEN(_xlpm.x)=0,"","x"))</f>
        <v/>
      </c>
      <c r="L1018" s="2" t="str">
        <f>_xlfn.LET(_xlpm.x,Materials!H57,IF(LEN(_xlpm.x)=0,"","x"))</f>
        <v/>
      </c>
      <c r="M1018" s="2" t="str">
        <f>_xlfn.LET(_xlpm.x,Materials!I57,IF(LEN(_xlpm.x)=0,"","x"))</f>
        <v/>
      </c>
      <c r="N1018" s="2" t="str">
        <f>_xlfn.LET(_xlpm.x,Materials!J57,IF(LEN(_xlpm.x)=0,"","x"))</f>
        <v/>
      </c>
    </row>
    <row r="1019" spans="4:14" hidden="1">
      <c r="D1019" s="3" t="str">
        <f>_xlfn.LET(_xlpm.x,Materials!A58,IF(LEN(_xlpm.x)=0,"","Custom"))</f>
        <v/>
      </c>
      <c r="E1019" s="3" t="str">
        <f>_xlfn.LET(_xlpm.x,Materials!A58,IF(LEN(_xlpm.x)=0,"",_xlpm.x))</f>
        <v/>
      </c>
      <c r="F1019" s="3"/>
      <c r="G1019" s="2" t="str">
        <f>_xlfn.LET(_xlpm.x,Materials!C58,IF(LEN(_xlpm.x)=0,"","x"))</f>
        <v/>
      </c>
      <c r="H1019" s="2" t="str">
        <f>_xlfn.LET(_xlpm.x,Materials!D58,IF(LEN(_xlpm.x)=0,"","x"))</f>
        <v/>
      </c>
      <c r="I1019" s="2" t="str">
        <f>_xlfn.LET(_xlpm.x,Materials!E58,IF(LEN(_xlpm.x)=0,"","x"))</f>
        <v/>
      </c>
      <c r="J1019" s="2" t="str">
        <f>_xlfn.LET(_xlpm.x,Materials!F58,IF(LEN(_xlpm.x)=0,"","x"))</f>
        <v/>
      </c>
      <c r="K1019" s="2" t="str">
        <f>_xlfn.LET(_xlpm.x,Materials!G58,IF(LEN(_xlpm.x)=0,"","x"))</f>
        <v/>
      </c>
      <c r="L1019" s="2" t="str">
        <f>_xlfn.LET(_xlpm.x,Materials!H58,IF(LEN(_xlpm.x)=0,"","x"))</f>
        <v/>
      </c>
      <c r="M1019" s="2" t="str">
        <f>_xlfn.LET(_xlpm.x,Materials!I58,IF(LEN(_xlpm.x)=0,"","x"))</f>
        <v/>
      </c>
      <c r="N1019" s="2" t="str">
        <f>_xlfn.LET(_xlpm.x,Materials!J58,IF(LEN(_xlpm.x)=0,"","x"))</f>
        <v/>
      </c>
    </row>
    <row r="1020" spans="4:14" hidden="1">
      <c r="D1020" s="3" t="str">
        <f>_xlfn.LET(_xlpm.x,Materials!A59,IF(LEN(_xlpm.x)=0,"","Custom"))</f>
        <v/>
      </c>
      <c r="E1020" s="3" t="str">
        <f>_xlfn.LET(_xlpm.x,Materials!A59,IF(LEN(_xlpm.x)=0,"",_xlpm.x))</f>
        <v/>
      </c>
      <c r="F1020" s="3"/>
      <c r="G1020" s="2" t="str">
        <f>_xlfn.LET(_xlpm.x,Materials!C59,IF(LEN(_xlpm.x)=0,"","x"))</f>
        <v/>
      </c>
      <c r="H1020" s="2" t="str">
        <f>_xlfn.LET(_xlpm.x,Materials!D59,IF(LEN(_xlpm.x)=0,"","x"))</f>
        <v/>
      </c>
      <c r="I1020" s="2" t="str">
        <f>_xlfn.LET(_xlpm.x,Materials!E59,IF(LEN(_xlpm.x)=0,"","x"))</f>
        <v/>
      </c>
      <c r="J1020" s="2" t="str">
        <f>_xlfn.LET(_xlpm.x,Materials!F59,IF(LEN(_xlpm.x)=0,"","x"))</f>
        <v/>
      </c>
      <c r="K1020" s="2" t="str">
        <f>_xlfn.LET(_xlpm.x,Materials!G59,IF(LEN(_xlpm.x)=0,"","x"))</f>
        <v/>
      </c>
      <c r="L1020" s="2" t="str">
        <f>_xlfn.LET(_xlpm.x,Materials!H59,IF(LEN(_xlpm.x)=0,"","x"))</f>
        <v/>
      </c>
      <c r="M1020" s="2" t="str">
        <f>_xlfn.LET(_xlpm.x,Materials!I59,IF(LEN(_xlpm.x)=0,"","x"))</f>
        <v/>
      </c>
      <c r="N1020" s="2" t="str">
        <f>_xlfn.LET(_xlpm.x,Materials!J59,IF(LEN(_xlpm.x)=0,"","x"))</f>
        <v/>
      </c>
    </row>
    <row r="1021" spans="4:14" hidden="1">
      <c r="D1021" s="3" t="str">
        <f>_xlfn.LET(_xlpm.x,Materials!A60,IF(LEN(_xlpm.x)=0,"","Custom"))</f>
        <v/>
      </c>
      <c r="E1021" s="3" t="str">
        <f>_xlfn.LET(_xlpm.x,Materials!A60,IF(LEN(_xlpm.x)=0,"",_xlpm.x))</f>
        <v/>
      </c>
      <c r="F1021" s="3"/>
      <c r="G1021" s="2" t="str">
        <f>_xlfn.LET(_xlpm.x,Materials!C60,IF(LEN(_xlpm.x)=0,"","x"))</f>
        <v/>
      </c>
      <c r="H1021" s="2" t="str">
        <f>_xlfn.LET(_xlpm.x,Materials!D60,IF(LEN(_xlpm.x)=0,"","x"))</f>
        <v/>
      </c>
      <c r="I1021" s="2" t="str">
        <f>_xlfn.LET(_xlpm.x,Materials!E60,IF(LEN(_xlpm.x)=0,"","x"))</f>
        <v/>
      </c>
      <c r="J1021" s="2" t="str">
        <f>_xlfn.LET(_xlpm.x,Materials!F60,IF(LEN(_xlpm.x)=0,"","x"))</f>
        <v/>
      </c>
      <c r="K1021" s="2" t="str">
        <f>_xlfn.LET(_xlpm.x,Materials!G60,IF(LEN(_xlpm.x)=0,"","x"))</f>
        <v/>
      </c>
      <c r="L1021" s="2" t="str">
        <f>_xlfn.LET(_xlpm.x,Materials!H60,IF(LEN(_xlpm.x)=0,"","x"))</f>
        <v/>
      </c>
      <c r="M1021" s="2" t="str">
        <f>_xlfn.LET(_xlpm.x,Materials!I60,IF(LEN(_xlpm.x)=0,"","x"))</f>
        <v/>
      </c>
      <c r="N1021" s="2" t="str">
        <f>_xlfn.LET(_xlpm.x,Materials!J60,IF(LEN(_xlpm.x)=0,"","x"))</f>
        <v/>
      </c>
    </row>
    <row r="1022" spans="4:14" hidden="1">
      <c r="D1022" s="3" t="str">
        <f>_xlfn.LET(_xlpm.x,Materials!A61,IF(LEN(_xlpm.x)=0,"","Custom"))</f>
        <v/>
      </c>
      <c r="E1022" s="3" t="str">
        <f>_xlfn.LET(_xlpm.x,Materials!A61,IF(LEN(_xlpm.x)=0,"",_xlpm.x))</f>
        <v/>
      </c>
      <c r="F1022" s="3"/>
      <c r="G1022" s="2" t="str">
        <f>_xlfn.LET(_xlpm.x,Materials!C61,IF(LEN(_xlpm.x)=0,"","x"))</f>
        <v/>
      </c>
      <c r="H1022" s="2" t="str">
        <f>_xlfn.LET(_xlpm.x,Materials!D61,IF(LEN(_xlpm.x)=0,"","x"))</f>
        <v/>
      </c>
      <c r="I1022" s="2" t="str">
        <f>_xlfn.LET(_xlpm.x,Materials!E61,IF(LEN(_xlpm.x)=0,"","x"))</f>
        <v/>
      </c>
      <c r="J1022" s="2" t="str">
        <f>_xlfn.LET(_xlpm.x,Materials!F61,IF(LEN(_xlpm.x)=0,"","x"))</f>
        <v/>
      </c>
      <c r="K1022" s="2" t="str">
        <f>_xlfn.LET(_xlpm.x,Materials!G61,IF(LEN(_xlpm.x)=0,"","x"))</f>
        <v/>
      </c>
      <c r="L1022" s="2" t="str">
        <f>_xlfn.LET(_xlpm.x,Materials!H61,IF(LEN(_xlpm.x)=0,"","x"))</f>
        <v/>
      </c>
      <c r="M1022" s="2" t="str">
        <f>_xlfn.LET(_xlpm.x,Materials!I61,IF(LEN(_xlpm.x)=0,"","x"))</f>
        <v/>
      </c>
      <c r="N1022" s="2" t="str">
        <f>_xlfn.LET(_xlpm.x,Materials!J61,IF(LEN(_xlpm.x)=0,"","x"))</f>
        <v/>
      </c>
    </row>
    <row r="1023" spans="4:14" hidden="1">
      <c r="D1023" s="3" t="str">
        <f>_xlfn.LET(_xlpm.x,Materials!A62,IF(LEN(_xlpm.x)=0,"","Custom"))</f>
        <v/>
      </c>
      <c r="E1023" s="3" t="str">
        <f>_xlfn.LET(_xlpm.x,Materials!A62,IF(LEN(_xlpm.x)=0,"",_xlpm.x))</f>
        <v/>
      </c>
      <c r="F1023" s="3"/>
      <c r="G1023" s="2" t="str">
        <f>_xlfn.LET(_xlpm.x,Materials!C62,IF(LEN(_xlpm.x)=0,"","x"))</f>
        <v/>
      </c>
      <c r="H1023" s="2" t="str">
        <f>_xlfn.LET(_xlpm.x,Materials!D62,IF(LEN(_xlpm.x)=0,"","x"))</f>
        <v/>
      </c>
      <c r="I1023" s="2" t="str">
        <f>_xlfn.LET(_xlpm.x,Materials!E62,IF(LEN(_xlpm.x)=0,"","x"))</f>
        <v/>
      </c>
      <c r="J1023" s="2" t="str">
        <f>_xlfn.LET(_xlpm.x,Materials!F62,IF(LEN(_xlpm.x)=0,"","x"))</f>
        <v/>
      </c>
      <c r="K1023" s="2" t="str">
        <f>_xlfn.LET(_xlpm.x,Materials!G62,IF(LEN(_xlpm.x)=0,"","x"))</f>
        <v/>
      </c>
      <c r="L1023" s="2" t="str">
        <f>_xlfn.LET(_xlpm.x,Materials!H62,IF(LEN(_xlpm.x)=0,"","x"))</f>
        <v/>
      </c>
      <c r="M1023" s="2" t="str">
        <f>_xlfn.LET(_xlpm.x,Materials!I62,IF(LEN(_xlpm.x)=0,"","x"))</f>
        <v/>
      </c>
      <c r="N1023" s="2" t="str">
        <f>_xlfn.LET(_xlpm.x,Materials!J62,IF(LEN(_xlpm.x)=0,"","x"))</f>
        <v/>
      </c>
    </row>
  </sheetData>
  <sheetProtection sheet="1" objects="1" scenarios="1" selectLockedCells="1"/>
  <conditionalFormatting sqref="BF17:BM17">
    <cfRule type="colorScale" priority="936">
      <colorScale>
        <cfvo type="min"/>
        <cfvo type="percentile" val="50"/>
        <cfvo type="max"/>
        <color rgb="FF63BE7B"/>
        <color rgb="FFFFEB84"/>
        <color rgb="FFF8696B"/>
      </colorScale>
    </cfRule>
  </conditionalFormatting>
  <conditionalFormatting sqref="BF18:BM18">
    <cfRule type="colorScale" priority="935">
      <colorScale>
        <cfvo type="min"/>
        <cfvo type="percentile" val="50"/>
        <cfvo type="max"/>
        <color rgb="FF63BE7B"/>
        <color rgb="FFFFEB84"/>
        <color rgb="FFF8696B"/>
      </colorScale>
    </cfRule>
  </conditionalFormatting>
  <conditionalFormatting sqref="BF19:BM19">
    <cfRule type="colorScale" priority="934">
      <colorScale>
        <cfvo type="min"/>
        <cfvo type="percentile" val="50"/>
        <cfvo type="max"/>
        <color rgb="FF63BE7B"/>
        <color rgb="FFFFEB84"/>
        <color rgb="FFF8696B"/>
      </colorScale>
    </cfRule>
  </conditionalFormatting>
  <conditionalFormatting sqref="BF20:BM20">
    <cfRule type="colorScale" priority="933">
      <colorScale>
        <cfvo type="min"/>
        <cfvo type="percentile" val="50"/>
        <cfvo type="max"/>
        <color rgb="FF63BE7B"/>
        <color rgb="FFFFEB84"/>
        <color rgb="FFF8696B"/>
      </colorScale>
    </cfRule>
  </conditionalFormatting>
  <conditionalFormatting sqref="BF21:BM21">
    <cfRule type="colorScale" priority="932">
      <colorScale>
        <cfvo type="min"/>
        <cfvo type="percentile" val="50"/>
        <cfvo type="max"/>
        <color rgb="FF63BE7B"/>
        <color rgb="FFFFEB84"/>
        <color rgb="FFF8696B"/>
      </colorScale>
    </cfRule>
  </conditionalFormatting>
  <conditionalFormatting sqref="BF22:BM22">
    <cfRule type="colorScale" priority="931">
      <colorScale>
        <cfvo type="min"/>
        <cfvo type="percentile" val="50"/>
        <cfvo type="max"/>
        <color rgb="FF63BE7B"/>
        <color rgb="FFFFEB84"/>
        <color rgb="FFF8696B"/>
      </colorScale>
    </cfRule>
  </conditionalFormatting>
  <conditionalFormatting sqref="BF23:BM23">
    <cfRule type="colorScale" priority="930">
      <colorScale>
        <cfvo type="min"/>
        <cfvo type="percentile" val="50"/>
        <cfvo type="max"/>
        <color rgb="FF63BE7B"/>
        <color rgb="FFFFEB84"/>
        <color rgb="FFF8696B"/>
      </colorScale>
    </cfRule>
  </conditionalFormatting>
  <conditionalFormatting sqref="BF24:BM24">
    <cfRule type="colorScale" priority="929">
      <colorScale>
        <cfvo type="min"/>
        <cfvo type="percentile" val="50"/>
        <cfvo type="max"/>
        <color rgb="FF63BE7B"/>
        <color rgb="FFFFEB84"/>
        <color rgb="FFF8696B"/>
      </colorScale>
    </cfRule>
  </conditionalFormatting>
  <conditionalFormatting sqref="BF25:BM25">
    <cfRule type="colorScale" priority="928">
      <colorScale>
        <cfvo type="min"/>
        <cfvo type="percentile" val="50"/>
        <cfvo type="max"/>
        <color rgb="FF63BE7B"/>
        <color rgb="FFFFEB84"/>
        <color rgb="FFF8696B"/>
      </colorScale>
    </cfRule>
  </conditionalFormatting>
  <conditionalFormatting sqref="BF26:BM26">
    <cfRule type="colorScale" priority="927">
      <colorScale>
        <cfvo type="min"/>
        <cfvo type="percentile" val="50"/>
        <cfvo type="max"/>
        <color rgb="FF63BE7B"/>
        <color rgb="FFFFEB84"/>
        <color rgb="FFF8696B"/>
      </colorScale>
    </cfRule>
  </conditionalFormatting>
  <conditionalFormatting sqref="BF27:BM27">
    <cfRule type="colorScale" priority="926">
      <colorScale>
        <cfvo type="min"/>
        <cfvo type="percentile" val="50"/>
        <cfvo type="max"/>
        <color rgb="FF63BE7B"/>
        <color rgb="FFFFEB84"/>
        <color rgb="FFF8696B"/>
      </colorScale>
    </cfRule>
  </conditionalFormatting>
  <conditionalFormatting sqref="BF28:BM28">
    <cfRule type="colorScale" priority="925">
      <colorScale>
        <cfvo type="min"/>
        <cfvo type="percentile" val="50"/>
        <cfvo type="max"/>
        <color rgb="FF63BE7B"/>
        <color rgb="FFFFEB84"/>
        <color rgb="FFF8696B"/>
      </colorScale>
    </cfRule>
  </conditionalFormatting>
  <conditionalFormatting sqref="BF29:BM29">
    <cfRule type="colorScale" priority="924">
      <colorScale>
        <cfvo type="min"/>
        <cfvo type="percentile" val="50"/>
        <cfvo type="max"/>
        <color rgb="FF63BE7B"/>
        <color rgb="FFFFEB84"/>
        <color rgb="FFF8696B"/>
      </colorScale>
    </cfRule>
  </conditionalFormatting>
  <conditionalFormatting sqref="BF30:BM30">
    <cfRule type="colorScale" priority="923">
      <colorScale>
        <cfvo type="min"/>
        <cfvo type="percentile" val="50"/>
        <cfvo type="max"/>
        <color rgb="FF63BE7B"/>
        <color rgb="FFFFEB84"/>
        <color rgb="FFF8696B"/>
      </colorScale>
    </cfRule>
  </conditionalFormatting>
  <conditionalFormatting sqref="BF31:BM31">
    <cfRule type="colorScale" priority="922">
      <colorScale>
        <cfvo type="min"/>
        <cfvo type="percentile" val="50"/>
        <cfvo type="max"/>
        <color rgb="FF63BE7B"/>
        <color rgb="FFFFEB84"/>
        <color rgb="FFF8696B"/>
      </colorScale>
    </cfRule>
  </conditionalFormatting>
  <conditionalFormatting sqref="BF32:BM32">
    <cfRule type="colorScale" priority="921">
      <colorScale>
        <cfvo type="min"/>
        <cfvo type="percentile" val="50"/>
        <cfvo type="max"/>
        <color rgb="FF63BE7B"/>
        <color rgb="FFFFEB84"/>
        <color rgb="FFF8696B"/>
      </colorScale>
    </cfRule>
  </conditionalFormatting>
  <conditionalFormatting sqref="BF33:BM33">
    <cfRule type="colorScale" priority="920">
      <colorScale>
        <cfvo type="min"/>
        <cfvo type="percentile" val="50"/>
        <cfvo type="max"/>
        <color rgb="FF63BE7B"/>
        <color rgb="FFFFEB84"/>
        <color rgb="FFF8696B"/>
      </colorScale>
    </cfRule>
  </conditionalFormatting>
  <conditionalFormatting sqref="BF34:BM34">
    <cfRule type="colorScale" priority="919">
      <colorScale>
        <cfvo type="min"/>
        <cfvo type="percentile" val="50"/>
        <cfvo type="max"/>
        <color rgb="FF63BE7B"/>
        <color rgb="FFFFEB84"/>
        <color rgb="FFF8696B"/>
      </colorScale>
    </cfRule>
  </conditionalFormatting>
  <conditionalFormatting sqref="BF35:BM35">
    <cfRule type="colorScale" priority="918">
      <colorScale>
        <cfvo type="min"/>
        <cfvo type="percentile" val="50"/>
        <cfvo type="max"/>
        <color rgb="FF63BE7B"/>
        <color rgb="FFFFEB84"/>
        <color rgb="FFF8696B"/>
      </colorScale>
    </cfRule>
  </conditionalFormatting>
  <conditionalFormatting sqref="BF36:BM36">
    <cfRule type="colorScale" priority="917">
      <colorScale>
        <cfvo type="min"/>
        <cfvo type="percentile" val="50"/>
        <cfvo type="max"/>
        <color rgb="FF63BE7B"/>
        <color rgb="FFFFEB84"/>
        <color rgb="FFF8696B"/>
      </colorScale>
    </cfRule>
  </conditionalFormatting>
  <conditionalFormatting sqref="BF37:BM37">
    <cfRule type="colorScale" priority="916">
      <colorScale>
        <cfvo type="min"/>
        <cfvo type="percentile" val="50"/>
        <cfvo type="max"/>
        <color rgb="FF63BE7B"/>
        <color rgb="FFFFEB84"/>
        <color rgb="FFF8696B"/>
      </colorScale>
    </cfRule>
  </conditionalFormatting>
  <conditionalFormatting sqref="BF38:BM38">
    <cfRule type="colorScale" priority="915">
      <colorScale>
        <cfvo type="min"/>
        <cfvo type="percentile" val="50"/>
        <cfvo type="max"/>
        <color rgb="FF63BE7B"/>
        <color rgb="FFFFEB84"/>
        <color rgb="FFF8696B"/>
      </colorScale>
    </cfRule>
  </conditionalFormatting>
  <conditionalFormatting sqref="BF39:BM39">
    <cfRule type="colorScale" priority="914">
      <colorScale>
        <cfvo type="min"/>
        <cfvo type="percentile" val="50"/>
        <cfvo type="max"/>
        <color rgb="FF63BE7B"/>
        <color rgb="FFFFEB84"/>
        <color rgb="FFF8696B"/>
      </colorScale>
    </cfRule>
  </conditionalFormatting>
  <conditionalFormatting sqref="BF40:BM40">
    <cfRule type="colorScale" priority="913">
      <colorScale>
        <cfvo type="min"/>
        <cfvo type="percentile" val="50"/>
        <cfvo type="max"/>
        <color rgb="FF63BE7B"/>
        <color rgb="FFFFEB84"/>
        <color rgb="FFF8696B"/>
      </colorScale>
    </cfRule>
  </conditionalFormatting>
  <conditionalFormatting sqref="BF41:BM41">
    <cfRule type="colorScale" priority="912">
      <colorScale>
        <cfvo type="min"/>
        <cfvo type="percentile" val="50"/>
        <cfvo type="max"/>
        <color rgb="FF63BE7B"/>
        <color rgb="FFFFEB84"/>
        <color rgb="FFF8696B"/>
      </colorScale>
    </cfRule>
  </conditionalFormatting>
  <conditionalFormatting sqref="BF42:BM42">
    <cfRule type="colorScale" priority="911">
      <colorScale>
        <cfvo type="min"/>
        <cfvo type="percentile" val="50"/>
        <cfvo type="max"/>
        <color rgb="FF63BE7B"/>
        <color rgb="FFFFEB84"/>
        <color rgb="FFF8696B"/>
      </colorScale>
    </cfRule>
  </conditionalFormatting>
  <conditionalFormatting sqref="BF43:BM43">
    <cfRule type="colorScale" priority="910">
      <colorScale>
        <cfvo type="min"/>
        <cfvo type="percentile" val="50"/>
        <cfvo type="max"/>
        <color rgb="FF63BE7B"/>
        <color rgb="FFFFEB84"/>
        <color rgb="FFF8696B"/>
      </colorScale>
    </cfRule>
  </conditionalFormatting>
  <conditionalFormatting sqref="BF44:BM44">
    <cfRule type="colorScale" priority="909">
      <colorScale>
        <cfvo type="min"/>
        <cfvo type="percentile" val="50"/>
        <cfvo type="max"/>
        <color rgb="FF63BE7B"/>
        <color rgb="FFFFEB84"/>
        <color rgb="FFF8696B"/>
      </colorScale>
    </cfRule>
  </conditionalFormatting>
  <conditionalFormatting sqref="BF45:BM45">
    <cfRule type="colorScale" priority="908">
      <colorScale>
        <cfvo type="min"/>
        <cfvo type="percentile" val="50"/>
        <cfvo type="max"/>
        <color rgb="FF63BE7B"/>
        <color rgb="FFFFEB84"/>
        <color rgb="FFF8696B"/>
      </colorScale>
    </cfRule>
  </conditionalFormatting>
  <conditionalFormatting sqref="BF46:BM46">
    <cfRule type="colorScale" priority="907">
      <colorScale>
        <cfvo type="min"/>
        <cfvo type="percentile" val="50"/>
        <cfvo type="max"/>
        <color rgb="FF63BE7B"/>
        <color rgb="FFFFEB84"/>
        <color rgb="FFF8696B"/>
      </colorScale>
    </cfRule>
  </conditionalFormatting>
  <conditionalFormatting sqref="BF47:BM47">
    <cfRule type="colorScale" priority="906">
      <colorScale>
        <cfvo type="min"/>
        <cfvo type="percentile" val="50"/>
        <cfvo type="max"/>
        <color rgb="FF63BE7B"/>
        <color rgb="FFFFEB84"/>
        <color rgb="FFF8696B"/>
      </colorScale>
    </cfRule>
  </conditionalFormatting>
  <conditionalFormatting sqref="BF48:BM48">
    <cfRule type="colorScale" priority="905">
      <colorScale>
        <cfvo type="min"/>
        <cfvo type="percentile" val="50"/>
        <cfvo type="max"/>
        <color rgb="FF63BE7B"/>
        <color rgb="FFFFEB84"/>
        <color rgb="FFF8696B"/>
      </colorScale>
    </cfRule>
  </conditionalFormatting>
  <conditionalFormatting sqref="BF49:BM49">
    <cfRule type="colorScale" priority="904">
      <colorScale>
        <cfvo type="min"/>
        <cfvo type="percentile" val="50"/>
        <cfvo type="max"/>
        <color rgb="FF63BE7B"/>
        <color rgb="FFFFEB84"/>
        <color rgb="FFF8696B"/>
      </colorScale>
    </cfRule>
  </conditionalFormatting>
  <conditionalFormatting sqref="BF50:BM50">
    <cfRule type="colorScale" priority="903">
      <colorScale>
        <cfvo type="min"/>
        <cfvo type="percentile" val="50"/>
        <cfvo type="max"/>
        <color rgb="FF63BE7B"/>
        <color rgb="FFFFEB84"/>
        <color rgb="FFF8696B"/>
      </colorScale>
    </cfRule>
  </conditionalFormatting>
  <conditionalFormatting sqref="BF51:BM51">
    <cfRule type="colorScale" priority="902">
      <colorScale>
        <cfvo type="min"/>
        <cfvo type="percentile" val="50"/>
        <cfvo type="max"/>
        <color rgb="FF63BE7B"/>
        <color rgb="FFFFEB84"/>
        <color rgb="FFF8696B"/>
      </colorScale>
    </cfRule>
  </conditionalFormatting>
  <conditionalFormatting sqref="BF52:BM52">
    <cfRule type="colorScale" priority="901">
      <colorScale>
        <cfvo type="min"/>
        <cfvo type="percentile" val="50"/>
        <cfvo type="max"/>
        <color rgb="FF63BE7B"/>
        <color rgb="FFFFEB84"/>
        <color rgb="FFF8696B"/>
      </colorScale>
    </cfRule>
  </conditionalFormatting>
  <conditionalFormatting sqref="BF53:BM53">
    <cfRule type="colorScale" priority="900">
      <colorScale>
        <cfvo type="min"/>
        <cfvo type="percentile" val="50"/>
        <cfvo type="max"/>
        <color rgb="FF63BE7B"/>
        <color rgb="FFFFEB84"/>
        <color rgb="FFF8696B"/>
      </colorScale>
    </cfRule>
  </conditionalFormatting>
  <conditionalFormatting sqref="BF54:BM54">
    <cfRule type="colorScale" priority="899">
      <colorScale>
        <cfvo type="min"/>
        <cfvo type="percentile" val="50"/>
        <cfvo type="max"/>
        <color rgb="FF63BE7B"/>
        <color rgb="FFFFEB84"/>
        <color rgb="FFF8696B"/>
      </colorScale>
    </cfRule>
  </conditionalFormatting>
  <conditionalFormatting sqref="BF55:BM55">
    <cfRule type="colorScale" priority="898">
      <colorScale>
        <cfvo type="min"/>
        <cfvo type="percentile" val="50"/>
        <cfvo type="max"/>
        <color rgb="FF63BE7B"/>
        <color rgb="FFFFEB84"/>
        <color rgb="FFF8696B"/>
      </colorScale>
    </cfRule>
  </conditionalFormatting>
  <conditionalFormatting sqref="BF56:BM56">
    <cfRule type="colorScale" priority="897">
      <colorScale>
        <cfvo type="min"/>
        <cfvo type="percentile" val="50"/>
        <cfvo type="max"/>
        <color rgb="FF63BE7B"/>
        <color rgb="FFFFEB84"/>
        <color rgb="FFF8696B"/>
      </colorScale>
    </cfRule>
  </conditionalFormatting>
  <conditionalFormatting sqref="BF57:BM57">
    <cfRule type="colorScale" priority="896">
      <colorScale>
        <cfvo type="min"/>
        <cfvo type="percentile" val="50"/>
        <cfvo type="max"/>
        <color rgb="FF63BE7B"/>
        <color rgb="FFFFEB84"/>
        <color rgb="FFF8696B"/>
      </colorScale>
    </cfRule>
  </conditionalFormatting>
  <conditionalFormatting sqref="BF58:BM58">
    <cfRule type="colorScale" priority="895">
      <colorScale>
        <cfvo type="min"/>
        <cfvo type="percentile" val="50"/>
        <cfvo type="max"/>
        <color rgb="FF63BE7B"/>
        <color rgb="FFFFEB84"/>
        <color rgb="FFF8696B"/>
      </colorScale>
    </cfRule>
  </conditionalFormatting>
  <conditionalFormatting sqref="BF59:BM59">
    <cfRule type="colorScale" priority="894">
      <colorScale>
        <cfvo type="min"/>
        <cfvo type="percentile" val="50"/>
        <cfvo type="max"/>
        <color rgb="FF63BE7B"/>
        <color rgb="FFFFEB84"/>
        <color rgb="FFF8696B"/>
      </colorScale>
    </cfRule>
  </conditionalFormatting>
  <conditionalFormatting sqref="BF60:BM60">
    <cfRule type="colorScale" priority="893">
      <colorScale>
        <cfvo type="min"/>
        <cfvo type="percentile" val="50"/>
        <cfvo type="max"/>
        <color rgb="FF63BE7B"/>
        <color rgb="FFFFEB84"/>
        <color rgb="FFF8696B"/>
      </colorScale>
    </cfRule>
  </conditionalFormatting>
  <conditionalFormatting sqref="BF61:BM61">
    <cfRule type="colorScale" priority="892">
      <colorScale>
        <cfvo type="min"/>
        <cfvo type="percentile" val="50"/>
        <cfvo type="max"/>
        <color rgb="FF63BE7B"/>
        <color rgb="FFFFEB84"/>
        <color rgb="FFF8696B"/>
      </colorScale>
    </cfRule>
  </conditionalFormatting>
  <conditionalFormatting sqref="BF62:BM62">
    <cfRule type="colorScale" priority="891">
      <colorScale>
        <cfvo type="min"/>
        <cfvo type="percentile" val="50"/>
        <cfvo type="max"/>
        <color rgb="FF63BE7B"/>
        <color rgb="FFFFEB84"/>
        <color rgb="FFF8696B"/>
      </colorScale>
    </cfRule>
  </conditionalFormatting>
  <conditionalFormatting sqref="BF63:BM63">
    <cfRule type="colorScale" priority="890">
      <colorScale>
        <cfvo type="min"/>
        <cfvo type="percentile" val="50"/>
        <cfvo type="max"/>
        <color rgb="FF63BE7B"/>
        <color rgb="FFFFEB84"/>
        <color rgb="FFF8696B"/>
      </colorScale>
    </cfRule>
  </conditionalFormatting>
  <conditionalFormatting sqref="BF64:BM64">
    <cfRule type="colorScale" priority="889">
      <colorScale>
        <cfvo type="min"/>
        <cfvo type="percentile" val="50"/>
        <cfvo type="max"/>
        <color rgb="FF63BE7B"/>
        <color rgb="FFFFEB84"/>
        <color rgb="FFF8696B"/>
      </colorScale>
    </cfRule>
  </conditionalFormatting>
  <conditionalFormatting sqref="BF65:BM65">
    <cfRule type="colorScale" priority="888">
      <colorScale>
        <cfvo type="min"/>
        <cfvo type="percentile" val="50"/>
        <cfvo type="max"/>
        <color rgb="FF63BE7B"/>
        <color rgb="FFFFEB84"/>
        <color rgb="FFF8696B"/>
      </colorScale>
    </cfRule>
  </conditionalFormatting>
  <conditionalFormatting sqref="BF66:BM66">
    <cfRule type="colorScale" priority="887">
      <colorScale>
        <cfvo type="min"/>
        <cfvo type="percentile" val="50"/>
        <cfvo type="max"/>
        <color rgb="FF63BE7B"/>
        <color rgb="FFFFEB84"/>
        <color rgb="FFF8696B"/>
      </colorScale>
    </cfRule>
  </conditionalFormatting>
  <conditionalFormatting sqref="BF67:BM67">
    <cfRule type="colorScale" priority="886">
      <colorScale>
        <cfvo type="min"/>
        <cfvo type="percentile" val="50"/>
        <cfvo type="max"/>
        <color rgb="FF63BE7B"/>
        <color rgb="FFFFEB84"/>
        <color rgb="FFF8696B"/>
      </colorScale>
    </cfRule>
  </conditionalFormatting>
  <conditionalFormatting sqref="BF68:BM68">
    <cfRule type="colorScale" priority="885">
      <colorScale>
        <cfvo type="min"/>
        <cfvo type="percentile" val="50"/>
        <cfvo type="max"/>
        <color rgb="FF63BE7B"/>
        <color rgb="FFFFEB84"/>
        <color rgb="FFF8696B"/>
      </colorScale>
    </cfRule>
  </conditionalFormatting>
  <conditionalFormatting sqref="BF69:BM69">
    <cfRule type="colorScale" priority="884">
      <colorScale>
        <cfvo type="min"/>
        <cfvo type="percentile" val="50"/>
        <cfvo type="max"/>
        <color rgb="FF63BE7B"/>
        <color rgb="FFFFEB84"/>
        <color rgb="FFF8696B"/>
      </colorScale>
    </cfRule>
  </conditionalFormatting>
  <conditionalFormatting sqref="BF70:BM70">
    <cfRule type="colorScale" priority="883">
      <colorScale>
        <cfvo type="min"/>
        <cfvo type="percentile" val="50"/>
        <cfvo type="max"/>
        <color rgb="FF63BE7B"/>
        <color rgb="FFFFEB84"/>
        <color rgb="FFF8696B"/>
      </colorScale>
    </cfRule>
  </conditionalFormatting>
  <conditionalFormatting sqref="BF71:BM71">
    <cfRule type="colorScale" priority="882">
      <colorScale>
        <cfvo type="min"/>
        <cfvo type="percentile" val="50"/>
        <cfvo type="max"/>
        <color rgb="FF63BE7B"/>
        <color rgb="FFFFEB84"/>
        <color rgb="FFF8696B"/>
      </colorScale>
    </cfRule>
  </conditionalFormatting>
  <conditionalFormatting sqref="BF72:BM72">
    <cfRule type="colorScale" priority="881">
      <colorScale>
        <cfvo type="min"/>
        <cfvo type="percentile" val="50"/>
        <cfvo type="max"/>
        <color rgb="FF63BE7B"/>
        <color rgb="FFFFEB84"/>
        <color rgb="FFF8696B"/>
      </colorScale>
    </cfRule>
  </conditionalFormatting>
  <conditionalFormatting sqref="BF73:BM73">
    <cfRule type="colorScale" priority="880">
      <colorScale>
        <cfvo type="min"/>
        <cfvo type="percentile" val="50"/>
        <cfvo type="max"/>
        <color rgb="FF63BE7B"/>
        <color rgb="FFFFEB84"/>
        <color rgb="FFF8696B"/>
      </colorScale>
    </cfRule>
  </conditionalFormatting>
  <conditionalFormatting sqref="BF74:BM74">
    <cfRule type="colorScale" priority="879">
      <colorScale>
        <cfvo type="min"/>
        <cfvo type="percentile" val="50"/>
        <cfvo type="max"/>
        <color rgb="FF63BE7B"/>
        <color rgb="FFFFEB84"/>
        <color rgb="FFF8696B"/>
      </colorScale>
    </cfRule>
  </conditionalFormatting>
  <conditionalFormatting sqref="BF75:BM75">
    <cfRule type="colorScale" priority="878">
      <colorScale>
        <cfvo type="min"/>
        <cfvo type="percentile" val="50"/>
        <cfvo type="max"/>
        <color rgb="FF63BE7B"/>
        <color rgb="FFFFEB84"/>
        <color rgb="FFF8696B"/>
      </colorScale>
    </cfRule>
  </conditionalFormatting>
  <conditionalFormatting sqref="BF76:BM76">
    <cfRule type="colorScale" priority="877">
      <colorScale>
        <cfvo type="min"/>
        <cfvo type="percentile" val="50"/>
        <cfvo type="max"/>
        <color rgb="FF63BE7B"/>
        <color rgb="FFFFEB84"/>
        <color rgb="FFF8696B"/>
      </colorScale>
    </cfRule>
  </conditionalFormatting>
  <conditionalFormatting sqref="BF77:BM77">
    <cfRule type="colorScale" priority="876">
      <colorScale>
        <cfvo type="min"/>
        <cfvo type="percentile" val="50"/>
        <cfvo type="max"/>
        <color rgb="FF63BE7B"/>
        <color rgb="FFFFEB84"/>
        <color rgb="FFF8696B"/>
      </colorScale>
    </cfRule>
  </conditionalFormatting>
  <conditionalFormatting sqref="BF78:BM78">
    <cfRule type="colorScale" priority="875">
      <colorScale>
        <cfvo type="min"/>
        <cfvo type="percentile" val="50"/>
        <cfvo type="max"/>
        <color rgb="FF63BE7B"/>
        <color rgb="FFFFEB84"/>
        <color rgb="FFF8696B"/>
      </colorScale>
    </cfRule>
  </conditionalFormatting>
  <conditionalFormatting sqref="BF79:BM79">
    <cfRule type="colorScale" priority="874">
      <colorScale>
        <cfvo type="min"/>
        <cfvo type="percentile" val="50"/>
        <cfvo type="max"/>
        <color rgb="FF63BE7B"/>
        <color rgb="FFFFEB84"/>
        <color rgb="FFF8696B"/>
      </colorScale>
    </cfRule>
  </conditionalFormatting>
  <conditionalFormatting sqref="BF80:BM80">
    <cfRule type="colorScale" priority="873">
      <colorScale>
        <cfvo type="min"/>
        <cfvo type="percentile" val="50"/>
        <cfvo type="max"/>
        <color rgb="FF63BE7B"/>
        <color rgb="FFFFEB84"/>
        <color rgb="FFF8696B"/>
      </colorScale>
    </cfRule>
  </conditionalFormatting>
  <conditionalFormatting sqref="BF81:BM81">
    <cfRule type="colorScale" priority="872">
      <colorScale>
        <cfvo type="min"/>
        <cfvo type="percentile" val="50"/>
        <cfvo type="max"/>
        <color rgb="FF63BE7B"/>
        <color rgb="FFFFEB84"/>
        <color rgb="FFF8696B"/>
      </colorScale>
    </cfRule>
  </conditionalFormatting>
  <conditionalFormatting sqref="BF82:BM82">
    <cfRule type="colorScale" priority="871">
      <colorScale>
        <cfvo type="min"/>
        <cfvo type="percentile" val="50"/>
        <cfvo type="max"/>
        <color rgb="FF63BE7B"/>
        <color rgb="FFFFEB84"/>
        <color rgb="FFF8696B"/>
      </colorScale>
    </cfRule>
  </conditionalFormatting>
  <conditionalFormatting sqref="BF83:BM83">
    <cfRule type="colorScale" priority="870">
      <colorScale>
        <cfvo type="min"/>
        <cfvo type="percentile" val="50"/>
        <cfvo type="max"/>
        <color rgb="FF63BE7B"/>
        <color rgb="FFFFEB84"/>
        <color rgb="FFF8696B"/>
      </colorScale>
    </cfRule>
  </conditionalFormatting>
  <conditionalFormatting sqref="BF84:BM84">
    <cfRule type="colorScale" priority="869">
      <colorScale>
        <cfvo type="min"/>
        <cfvo type="percentile" val="50"/>
        <cfvo type="max"/>
        <color rgb="FF63BE7B"/>
        <color rgb="FFFFEB84"/>
        <color rgb="FFF8696B"/>
      </colorScale>
    </cfRule>
  </conditionalFormatting>
  <conditionalFormatting sqref="BF85:BM85">
    <cfRule type="colorScale" priority="868">
      <colorScale>
        <cfvo type="min"/>
        <cfvo type="percentile" val="50"/>
        <cfvo type="max"/>
        <color rgb="FF63BE7B"/>
        <color rgb="FFFFEB84"/>
        <color rgb="FFF8696B"/>
      </colorScale>
    </cfRule>
  </conditionalFormatting>
  <conditionalFormatting sqref="BF86:BM86">
    <cfRule type="colorScale" priority="867">
      <colorScale>
        <cfvo type="min"/>
        <cfvo type="percentile" val="50"/>
        <cfvo type="max"/>
        <color rgb="FF63BE7B"/>
        <color rgb="FFFFEB84"/>
        <color rgb="FFF8696B"/>
      </colorScale>
    </cfRule>
  </conditionalFormatting>
  <conditionalFormatting sqref="BF87:BM87">
    <cfRule type="colorScale" priority="866">
      <colorScale>
        <cfvo type="min"/>
        <cfvo type="percentile" val="50"/>
        <cfvo type="max"/>
        <color rgb="FF63BE7B"/>
        <color rgb="FFFFEB84"/>
        <color rgb="FFF8696B"/>
      </colorScale>
    </cfRule>
  </conditionalFormatting>
  <conditionalFormatting sqref="BF88:BM88">
    <cfRule type="colorScale" priority="865">
      <colorScale>
        <cfvo type="min"/>
        <cfvo type="percentile" val="50"/>
        <cfvo type="max"/>
        <color rgb="FF63BE7B"/>
        <color rgb="FFFFEB84"/>
        <color rgb="FFF8696B"/>
      </colorScale>
    </cfRule>
  </conditionalFormatting>
  <conditionalFormatting sqref="BF89:BM89">
    <cfRule type="colorScale" priority="864">
      <colorScale>
        <cfvo type="min"/>
        <cfvo type="percentile" val="50"/>
        <cfvo type="max"/>
        <color rgb="FF63BE7B"/>
        <color rgb="FFFFEB84"/>
        <color rgb="FFF8696B"/>
      </colorScale>
    </cfRule>
  </conditionalFormatting>
  <conditionalFormatting sqref="BF90:BM90">
    <cfRule type="colorScale" priority="863">
      <colorScale>
        <cfvo type="min"/>
        <cfvo type="percentile" val="50"/>
        <cfvo type="max"/>
        <color rgb="FF63BE7B"/>
        <color rgb="FFFFEB84"/>
        <color rgb="FFF8696B"/>
      </colorScale>
    </cfRule>
  </conditionalFormatting>
  <conditionalFormatting sqref="BF91:BM91">
    <cfRule type="colorScale" priority="862">
      <colorScale>
        <cfvo type="min"/>
        <cfvo type="percentile" val="50"/>
        <cfvo type="max"/>
        <color rgb="FF63BE7B"/>
        <color rgb="FFFFEB84"/>
        <color rgb="FFF8696B"/>
      </colorScale>
    </cfRule>
  </conditionalFormatting>
  <conditionalFormatting sqref="BF92:BM92">
    <cfRule type="colorScale" priority="861">
      <colorScale>
        <cfvo type="min"/>
        <cfvo type="percentile" val="50"/>
        <cfvo type="max"/>
        <color rgb="FF63BE7B"/>
        <color rgb="FFFFEB84"/>
        <color rgb="FFF8696B"/>
      </colorScale>
    </cfRule>
  </conditionalFormatting>
  <conditionalFormatting sqref="BF93:BM93">
    <cfRule type="colorScale" priority="860">
      <colorScale>
        <cfvo type="min"/>
        <cfvo type="percentile" val="50"/>
        <cfvo type="max"/>
        <color rgb="FF63BE7B"/>
        <color rgb="FFFFEB84"/>
        <color rgb="FFF8696B"/>
      </colorScale>
    </cfRule>
  </conditionalFormatting>
  <conditionalFormatting sqref="BF94:BM94">
    <cfRule type="colorScale" priority="859">
      <colorScale>
        <cfvo type="min"/>
        <cfvo type="percentile" val="50"/>
        <cfvo type="max"/>
        <color rgb="FF63BE7B"/>
        <color rgb="FFFFEB84"/>
        <color rgb="FFF8696B"/>
      </colorScale>
    </cfRule>
  </conditionalFormatting>
  <conditionalFormatting sqref="BF95:BM95">
    <cfRule type="colorScale" priority="858">
      <colorScale>
        <cfvo type="min"/>
        <cfvo type="percentile" val="50"/>
        <cfvo type="max"/>
        <color rgb="FF63BE7B"/>
        <color rgb="FFFFEB84"/>
        <color rgb="FFF8696B"/>
      </colorScale>
    </cfRule>
  </conditionalFormatting>
  <conditionalFormatting sqref="BF96:BM96">
    <cfRule type="colorScale" priority="857">
      <colorScale>
        <cfvo type="min"/>
        <cfvo type="percentile" val="50"/>
        <cfvo type="max"/>
        <color rgb="FF63BE7B"/>
        <color rgb="FFFFEB84"/>
        <color rgb="FFF8696B"/>
      </colorScale>
    </cfRule>
  </conditionalFormatting>
  <conditionalFormatting sqref="BF97:BM97">
    <cfRule type="colorScale" priority="856">
      <colorScale>
        <cfvo type="min"/>
        <cfvo type="percentile" val="50"/>
        <cfvo type="max"/>
        <color rgb="FF63BE7B"/>
        <color rgb="FFFFEB84"/>
        <color rgb="FFF8696B"/>
      </colorScale>
    </cfRule>
  </conditionalFormatting>
  <conditionalFormatting sqref="BF98:BM98">
    <cfRule type="colorScale" priority="855">
      <colorScale>
        <cfvo type="min"/>
        <cfvo type="percentile" val="50"/>
        <cfvo type="max"/>
        <color rgb="FF63BE7B"/>
        <color rgb="FFFFEB84"/>
        <color rgb="FFF8696B"/>
      </colorScale>
    </cfRule>
  </conditionalFormatting>
  <conditionalFormatting sqref="BF99:BM99">
    <cfRule type="colorScale" priority="854">
      <colorScale>
        <cfvo type="min"/>
        <cfvo type="percentile" val="50"/>
        <cfvo type="max"/>
        <color rgb="FF63BE7B"/>
        <color rgb="FFFFEB84"/>
        <color rgb="FFF8696B"/>
      </colorScale>
    </cfRule>
  </conditionalFormatting>
  <conditionalFormatting sqref="BF100:BM100">
    <cfRule type="colorScale" priority="853">
      <colorScale>
        <cfvo type="min"/>
        <cfvo type="percentile" val="50"/>
        <cfvo type="max"/>
        <color rgb="FF63BE7B"/>
        <color rgb="FFFFEB84"/>
        <color rgb="FFF8696B"/>
      </colorScale>
    </cfRule>
  </conditionalFormatting>
  <conditionalFormatting sqref="BF101:BM101">
    <cfRule type="colorScale" priority="852">
      <colorScale>
        <cfvo type="min"/>
        <cfvo type="percentile" val="50"/>
        <cfvo type="max"/>
        <color rgb="FF63BE7B"/>
        <color rgb="FFFFEB84"/>
        <color rgb="FFF8696B"/>
      </colorScale>
    </cfRule>
  </conditionalFormatting>
  <conditionalFormatting sqref="BF102:BM102">
    <cfRule type="colorScale" priority="851">
      <colorScale>
        <cfvo type="min"/>
        <cfvo type="percentile" val="50"/>
        <cfvo type="max"/>
        <color rgb="FF63BE7B"/>
        <color rgb="FFFFEB84"/>
        <color rgb="FFF8696B"/>
      </colorScale>
    </cfRule>
  </conditionalFormatting>
  <conditionalFormatting sqref="BF103:BM103">
    <cfRule type="colorScale" priority="850">
      <colorScale>
        <cfvo type="min"/>
        <cfvo type="percentile" val="50"/>
        <cfvo type="max"/>
        <color rgb="FF63BE7B"/>
        <color rgb="FFFFEB84"/>
        <color rgb="FFF8696B"/>
      </colorScale>
    </cfRule>
  </conditionalFormatting>
  <conditionalFormatting sqref="BF104:BM104">
    <cfRule type="colorScale" priority="849">
      <colorScale>
        <cfvo type="min"/>
        <cfvo type="percentile" val="50"/>
        <cfvo type="max"/>
        <color rgb="FF63BE7B"/>
        <color rgb="FFFFEB84"/>
        <color rgb="FFF8696B"/>
      </colorScale>
    </cfRule>
  </conditionalFormatting>
  <conditionalFormatting sqref="BF105:BM105">
    <cfRule type="colorScale" priority="848">
      <colorScale>
        <cfvo type="min"/>
        <cfvo type="percentile" val="50"/>
        <cfvo type="max"/>
        <color rgb="FF63BE7B"/>
        <color rgb="FFFFEB84"/>
        <color rgb="FFF8696B"/>
      </colorScale>
    </cfRule>
  </conditionalFormatting>
  <conditionalFormatting sqref="BF106:BM106">
    <cfRule type="colorScale" priority="847">
      <colorScale>
        <cfvo type="min"/>
        <cfvo type="percentile" val="50"/>
        <cfvo type="max"/>
        <color rgb="FF63BE7B"/>
        <color rgb="FFFFEB84"/>
        <color rgb="FFF8696B"/>
      </colorScale>
    </cfRule>
  </conditionalFormatting>
  <conditionalFormatting sqref="BF107:BM107">
    <cfRule type="colorScale" priority="846">
      <colorScale>
        <cfvo type="min"/>
        <cfvo type="percentile" val="50"/>
        <cfvo type="max"/>
        <color rgb="FF63BE7B"/>
        <color rgb="FFFFEB84"/>
        <color rgb="FFF8696B"/>
      </colorScale>
    </cfRule>
  </conditionalFormatting>
  <conditionalFormatting sqref="BF108:BM108">
    <cfRule type="colorScale" priority="845">
      <colorScale>
        <cfvo type="min"/>
        <cfvo type="percentile" val="50"/>
        <cfvo type="max"/>
        <color rgb="FF63BE7B"/>
        <color rgb="FFFFEB84"/>
        <color rgb="FFF8696B"/>
      </colorScale>
    </cfRule>
  </conditionalFormatting>
  <conditionalFormatting sqref="BF109:BM109">
    <cfRule type="colorScale" priority="844">
      <colorScale>
        <cfvo type="min"/>
        <cfvo type="percentile" val="50"/>
        <cfvo type="max"/>
        <color rgb="FF63BE7B"/>
        <color rgb="FFFFEB84"/>
        <color rgb="FFF8696B"/>
      </colorScale>
    </cfRule>
  </conditionalFormatting>
  <conditionalFormatting sqref="BF110:BM110">
    <cfRule type="colorScale" priority="843">
      <colorScale>
        <cfvo type="min"/>
        <cfvo type="percentile" val="50"/>
        <cfvo type="max"/>
        <color rgb="FF63BE7B"/>
        <color rgb="FFFFEB84"/>
        <color rgb="FFF8696B"/>
      </colorScale>
    </cfRule>
  </conditionalFormatting>
  <conditionalFormatting sqref="BF111:BM111">
    <cfRule type="colorScale" priority="842">
      <colorScale>
        <cfvo type="min"/>
        <cfvo type="percentile" val="50"/>
        <cfvo type="max"/>
        <color rgb="FF63BE7B"/>
        <color rgb="FFFFEB84"/>
        <color rgb="FFF8696B"/>
      </colorScale>
    </cfRule>
  </conditionalFormatting>
  <conditionalFormatting sqref="BF112:BM112">
    <cfRule type="colorScale" priority="841">
      <colorScale>
        <cfvo type="min"/>
        <cfvo type="percentile" val="50"/>
        <cfvo type="max"/>
        <color rgb="FF63BE7B"/>
        <color rgb="FFFFEB84"/>
        <color rgb="FFF8696B"/>
      </colorScale>
    </cfRule>
  </conditionalFormatting>
  <conditionalFormatting sqref="BF113:BM113">
    <cfRule type="colorScale" priority="840">
      <colorScale>
        <cfvo type="min"/>
        <cfvo type="percentile" val="50"/>
        <cfvo type="max"/>
        <color rgb="FF63BE7B"/>
        <color rgb="FFFFEB84"/>
        <color rgb="FFF8696B"/>
      </colorScale>
    </cfRule>
  </conditionalFormatting>
  <conditionalFormatting sqref="BF114:BM114">
    <cfRule type="colorScale" priority="839">
      <colorScale>
        <cfvo type="min"/>
        <cfvo type="percentile" val="50"/>
        <cfvo type="max"/>
        <color rgb="FF63BE7B"/>
        <color rgb="FFFFEB84"/>
        <color rgb="FFF8696B"/>
      </colorScale>
    </cfRule>
  </conditionalFormatting>
  <conditionalFormatting sqref="BF115:BM115">
    <cfRule type="colorScale" priority="838">
      <colorScale>
        <cfvo type="min"/>
        <cfvo type="percentile" val="50"/>
        <cfvo type="max"/>
        <color rgb="FF63BE7B"/>
        <color rgb="FFFFEB84"/>
        <color rgb="FFF8696B"/>
      </colorScale>
    </cfRule>
  </conditionalFormatting>
  <conditionalFormatting sqref="BF116:BM116">
    <cfRule type="colorScale" priority="837">
      <colorScale>
        <cfvo type="min"/>
        <cfvo type="percentile" val="50"/>
        <cfvo type="max"/>
        <color rgb="FF63BE7B"/>
        <color rgb="FFFFEB84"/>
        <color rgb="FFF8696B"/>
      </colorScale>
    </cfRule>
  </conditionalFormatting>
  <conditionalFormatting sqref="BF117:BM117">
    <cfRule type="colorScale" priority="836">
      <colorScale>
        <cfvo type="min"/>
        <cfvo type="percentile" val="50"/>
        <cfvo type="max"/>
        <color rgb="FF63BE7B"/>
        <color rgb="FFFFEB84"/>
        <color rgb="FFF8696B"/>
      </colorScale>
    </cfRule>
  </conditionalFormatting>
  <conditionalFormatting sqref="BF118:BM118">
    <cfRule type="colorScale" priority="835">
      <colorScale>
        <cfvo type="min"/>
        <cfvo type="percentile" val="50"/>
        <cfvo type="max"/>
        <color rgb="FF63BE7B"/>
        <color rgb="FFFFEB84"/>
        <color rgb="FFF8696B"/>
      </colorScale>
    </cfRule>
  </conditionalFormatting>
  <conditionalFormatting sqref="BF119:BM119">
    <cfRule type="colorScale" priority="834">
      <colorScale>
        <cfvo type="min"/>
        <cfvo type="percentile" val="50"/>
        <cfvo type="max"/>
        <color rgb="FF63BE7B"/>
        <color rgb="FFFFEB84"/>
        <color rgb="FFF8696B"/>
      </colorScale>
    </cfRule>
  </conditionalFormatting>
  <conditionalFormatting sqref="BF120:BM120">
    <cfRule type="colorScale" priority="833">
      <colorScale>
        <cfvo type="min"/>
        <cfvo type="percentile" val="50"/>
        <cfvo type="max"/>
        <color rgb="FF63BE7B"/>
        <color rgb="FFFFEB84"/>
        <color rgb="FFF8696B"/>
      </colorScale>
    </cfRule>
  </conditionalFormatting>
  <conditionalFormatting sqref="BF121:BM121">
    <cfRule type="colorScale" priority="832">
      <colorScale>
        <cfvo type="min"/>
        <cfvo type="percentile" val="50"/>
        <cfvo type="max"/>
        <color rgb="FF63BE7B"/>
        <color rgb="FFFFEB84"/>
        <color rgb="FFF8696B"/>
      </colorScale>
    </cfRule>
  </conditionalFormatting>
  <conditionalFormatting sqref="BF122:BM122">
    <cfRule type="colorScale" priority="831">
      <colorScale>
        <cfvo type="min"/>
        <cfvo type="percentile" val="50"/>
        <cfvo type="max"/>
        <color rgb="FF63BE7B"/>
        <color rgb="FFFFEB84"/>
        <color rgb="FFF8696B"/>
      </colorScale>
    </cfRule>
  </conditionalFormatting>
  <conditionalFormatting sqref="BF123:BM123">
    <cfRule type="colorScale" priority="830">
      <colorScale>
        <cfvo type="min"/>
        <cfvo type="percentile" val="50"/>
        <cfvo type="max"/>
        <color rgb="FF63BE7B"/>
        <color rgb="FFFFEB84"/>
        <color rgb="FFF8696B"/>
      </colorScale>
    </cfRule>
  </conditionalFormatting>
  <conditionalFormatting sqref="BF124:BM124">
    <cfRule type="colorScale" priority="829">
      <colorScale>
        <cfvo type="min"/>
        <cfvo type="percentile" val="50"/>
        <cfvo type="max"/>
        <color rgb="FF63BE7B"/>
        <color rgb="FFFFEB84"/>
        <color rgb="FFF8696B"/>
      </colorScale>
    </cfRule>
  </conditionalFormatting>
  <conditionalFormatting sqref="BF125:BM125">
    <cfRule type="colorScale" priority="828">
      <colorScale>
        <cfvo type="min"/>
        <cfvo type="percentile" val="50"/>
        <cfvo type="max"/>
        <color rgb="FF63BE7B"/>
        <color rgb="FFFFEB84"/>
        <color rgb="FFF8696B"/>
      </colorScale>
    </cfRule>
  </conditionalFormatting>
  <conditionalFormatting sqref="BF126:BM126">
    <cfRule type="colorScale" priority="827">
      <colorScale>
        <cfvo type="min"/>
        <cfvo type="percentile" val="50"/>
        <cfvo type="max"/>
        <color rgb="FF63BE7B"/>
        <color rgb="FFFFEB84"/>
        <color rgb="FFF8696B"/>
      </colorScale>
    </cfRule>
  </conditionalFormatting>
  <conditionalFormatting sqref="BF127:BM127">
    <cfRule type="colorScale" priority="826">
      <colorScale>
        <cfvo type="min"/>
        <cfvo type="percentile" val="50"/>
        <cfvo type="max"/>
        <color rgb="FF63BE7B"/>
        <color rgb="FFFFEB84"/>
        <color rgb="FFF8696B"/>
      </colorScale>
    </cfRule>
  </conditionalFormatting>
  <conditionalFormatting sqref="BF128:BM128">
    <cfRule type="colorScale" priority="825">
      <colorScale>
        <cfvo type="min"/>
        <cfvo type="percentile" val="50"/>
        <cfvo type="max"/>
        <color rgb="FF63BE7B"/>
        <color rgb="FFFFEB84"/>
        <color rgb="FFF8696B"/>
      </colorScale>
    </cfRule>
  </conditionalFormatting>
  <conditionalFormatting sqref="BF129:BM129">
    <cfRule type="colorScale" priority="824">
      <colorScale>
        <cfvo type="min"/>
        <cfvo type="percentile" val="50"/>
        <cfvo type="max"/>
        <color rgb="FF63BE7B"/>
        <color rgb="FFFFEB84"/>
        <color rgb="FFF8696B"/>
      </colorScale>
    </cfRule>
  </conditionalFormatting>
  <conditionalFormatting sqref="BF130:BM130">
    <cfRule type="colorScale" priority="823">
      <colorScale>
        <cfvo type="min"/>
        <cfvo type="percentile" val="50"/>
        <cfvo type="max"/>
        <color rgb="FF63BE7B"/>
        <color rgb="FFFFEB84"/>
        <color rgb="FFF8696B"/>
      </colorScale>
    </cfRule>
  </conditionalFormatting>
  <conditionalFormatting sqref="BF131:BM131">
    <cfRule type="colorScale" priority="822">
      <colorScale>
        <cfvo type="min"/>
        <cfvo type="percentile" val="50"/>
        <cfvo type="max"/>
        <color rgb="FF63BE7B"/>
        <color rgb="FFFFEB84"/>
        <color rgb="FFF8696B"/>
      </colorScale>
    </cfRule>
  </conditionalFormatting>
  <conditionalFormatting sqref="BF132:BM132">
    <cfRule type="colorScale" priority="821">
      <colorScale>
        <cfvo type="min"/>
        <cfvo type="percentile" val="50"/>
        <cfvo type="max"/>
        <color rgb="FF63BE7B"/>
        <color rgb="FFFFEB84"/>
        <color rgb="FFF8696B"/>
      </colorScale>
    </cfRule>
  </conditionalFormatting>
  <conditionalFormatting sqref="BF133:BM133">
    <cfRule type="colorScale" priority="820">
      <colorScale>
        <cfvo type="min"/>
        <cfvo type="percentile" val="50"/>
        <cfvo type="max"/>
        <color rgb="FF63BE7B"/>
        <color rgb="FFFFEB84"/>
        <color rgb="FFF8696B"/>
      </colorScale>
    </cfRule>
  </conditionalFormatting>
  <conditionalFormatting sqref="BF134:BM134">
    <cfRule type="colorScale" priority="819">
      <colorScale>
        <cfvo type="min"/>
        <cfvo type="percentile" val="50"/>
        <cfvo type="max"/>
        <color rgb="FF63BE7B"/>
        <color rgb="FFFFEB84"/>
        <color rgb="FFF8696B"/>
      </colorScale>
    </cfRule>
  </conditionalFormatting>
  <conditionalFormatting sqref="BF135:BM135">
    <cfRule type="colorScale" priority="818">
      <colorScale>
        <cfvo type="min"/>
        <cfvo type="percentile" val="50"/>
        <cfvo type="max"/>
        <color rgb="FF63BE7B"/>
        <color rgb="FFFFEB84"/>
        <color rgb="FFF8696B"/>
      </colorScale>
    </cfRule>
  </conditionalFormatting>
  <conditionalFormatting sqref="BF136:BM136">
    <cfRule type="colorScale" priority="817">
      <colorScale>
        <cfvo type="min"/>
        <cfvo type="percentile" val="50"/>
        <cfvo type="max"/>
        <color rgb="FF63BE7B"/>
        <color rgb="FFFFEB84"/>
        <color rgb="FFF8696B"/>
      </colorScale>
    </cfRule>
  </conditionalFormatting>
  <conditionalFormatting sqref="BF137:BM137">
    <cfRule type="colorScale" priority="816">
      <colorScale>
        <cfvo type="min"/>
        <cfvo type="percentile" val="50"/>
        <cfvo type="max"/>
        <color rgb="FF63BE7B"/>
        <color rgb="FFFFEB84"/>
        <color rgb="FFF8696B"/>
      </colorScale>
    </cfRule>
  </conditionalFormatting>
  <conditionalFormatting sqref="BF138:BM138">
    <cfRule type="colorScale" priority="815">
      <colorScale>
        <cfvo type="min"/>
        <cfvo type="percentile" val="50"/>
        <cfvo type="max"/>
        <color rgb="FF63BE7B"/>
        <color rgb="FFFFEB84"/>
        <color rgb="FFF8696B"/>
      </colorScale>
    </cfRule>
  </conditionalFormatting>
  <conditionalFormatting sqref="BF139:BM139">
    <cfRule type="colorScale" priority="814">
      <colorScale>
        <cfvo type="min"/>
        <cfvo type="percentile" val="50"/>
        <cfvo type="max"/>
        <color rgb="FF63BE7B"/>
        <color rgb="FFFFEB84"/>
        <color rgb="FFF8696B"/>
      </colorScale>
    </cfRule>
  </conditionalFormatting>
  <conditionalFormatting sqref="BF140:BM140">
    <cfRule type="colorScale" priority="813">
      <colorScale>
        <cfvo type="min"/>
        <cfvo type="percentile" val="50"/>
        <cfvo type="max"/>
        <color rgb="FF63BE7B"/>
        <color rgb="FFFFEB84"/>
        <color rgb="FFF8696B"/>
      </colorScale>
    </cfRule>
  </conditionalFormatting>
  <conditionalFormatting sqref="BF141:BM141">
    <cfRule type="colorScale" priority="812">
      <colorScale>
        <cfvo type="min"/>
        <cfvo type="percentile" val="50"/>
        <cfvo type="max"/>
        <color rgb="FF63BE7B"/>
        <color rgb="FFFFEB84"/>
        <color rgb="FFF8696B"/>
      </colorScale>
    </cfRule>
  </conditionalFormatting>
  <conditionalFormatting sqref="BF142:BM142">
    <cfRule type="colorScale" priority="811">
      <colorScale>
        <cfvo type="min"/>
        <cfvo type="percentile" val="50"/>
        <cfvo type="max"/>
        <color rgb="FF63BE7B"/>
        <color rgb="FFFFEB84"/>
        <color rgb="FFF8696B"/>
      </colorScale>
    </cfRule>
  </conditionalFormatting>
  <conditionalFormatting sqref="BF143:BM143">
    <cfRule type="colorScale" priority="810">
      <colorScale>
        <cfvo type="min"/>
        <cfvo type="percentile" val="50"/>
        <cfvo type="max"/>
        <color rgb="FF63BE7B"/>
        <color rgb="FFFFEB84"/>
        <color rgb="FFF8696B"/>
      </colorScale>
    </cfRule>
  </conditionalFormatting>
  <conditionalFormatting sqref="BF144:BM144">
    <cfRule type="colorScale" priority="809">
      <colorScale>
        <cfvo type="min"/>
        <cfvo type="percentile" val="50"/>
        <cfvo type="max"/>
        <color rgb="FF63BE7B"/>
        <color rgb="FFFFEB84"/>
        <color rgb="FFF8696B"/>
      </colorScale>
    </cfRule>
  </conditionalFormatting>
  <conditionalFormatting sqref="BF145:BM145">
    <cfRule type="colorScale" priority="808">
      <colorScale>
        <cfvo type="min"/>
        <cfvo type="percentile" val="50"/>
        <cfvo type="max"/>
        <color rgb="FF63BE7B"/>
        <color rgb="FFFFEB84"/>
        <color rgb="FFF8696B"/>
      </colorScale>
    </cfRule>
  </conditionalFormatting>
  <conditionalFormatting sqref="BF146:BM146">
    <cfRule type="colorScale" priority="807">
      <colorScale>
        <cfvo type="min"/>
        <cfvo type="percentile" val="50"/>
        <cfvo type="max"/>
        <color rgb="FF63BE7B"/>
        <color rgb="FFFFEB84"/>
        <color rgb="FFF8696B"/>
      </colorScale>
    </cfRule>
  </conditionalFormatting>
  <conditionalFormatting sqref="BF147:BM147">
    <cfRule type="colorScale" priority="806">
      <colorScale>
        <cfvo type="min"/>
        <cfvo type="percentile" val="50"/>
        <cfvo type="max"/>
        <color rgb="FF63BE7B"/>
        <color rgb="FFFFEB84"/>
        <color rgb="FFF8696B"/>
      </colorScale>
    </cfRule>
  </conditionalFormatting>
  <conditionalFormatting sqref="BF148:BM148">
    <cfRule type="colorScale" priority="805">
      <colorScale>
        <cfvo type="min"/>
        <cfvo type="percentile" val="50"/>
        <cfvo type="max"/>
        <color rgb="FF63BE7B"/>
        <color rgb="FFFFEB84"/>
        <color rgb="FFF8696B"/>
      </colorScale>
    </cfRule>
  </conditionalFormatting>
  <conditionalFormatting sqref="BF149:BM149">
    <cfRule type="colorScale" priority="804">
      <colorScale>
        <cfvo type="min"/>
        <cfvo type="percentile" val="50"/>
        <cfvo type="max"/>
        <color rgb="FF63BE7B"/>
        <color rgb="FFFFEB84"/>
        <color rgb="FFF8696B"/>
      </colorScale>
    </cfRule>
  </conditionalFormatting>
  <conditionalFormatting sqref="BF150:BM150">
    <cfRule type="colorScale" priority="803">
      <colorScale>
        <cfvo type="min"/>
        <cfvo type="percentile" val="50"/>
        <cfvo type="max"/>
        <color rgb="FF63BE7B"/>
        <color rgb="FFFFEB84"/>
        <color rgb="FFF8696B"/>
      </colorScale>
    </cfRule>
  </conditionalFormatting>
  <conditionalFormatting sqref="BF151:BM151">
    <cfRule type="colorScale" priority="802">
      <colorScale>
        <cfvo type="min"/>
        <cfvo type="percentile" val="50"/>
        <cfvo type="max"/>
        <color rgb="FF63BE7B"/>
        <color rgb="FFFFEB84"/>
        <color rgb="FFF8696B"/>
      </colorScale>
    </cfRule>
  </conditionalFormatting>
  <conditionalFormatting sqref="BF152:BM152">
    <cfRule type="colorScale" priority="801">
      <colorScale>
        <cfvo type="min"/>
        <cfvo type="percentile" val="50"/>
        <cfvo type="max"/>
        <color rgb="FF63BE7B"/>
        <color rgb="FFFFEB84"/>
        <color rgb="FFF8696B"/>
      </colorScale>
    </cfRule>
  </conditionalFormatting>
  <conditionalFormatting sqref="BF153:BM153">
    <cfRule type="colorScale" priority="800">
      <colorScale>
        <cfvo type="min"/>
        <cfvo type="percentile" val="50"/>
        <cfvo type="max"/>
        <color rgb="FF63BE7B"/>
        <color rgb="FFFFEB84"/>
        <color rgb="FFF8696B"/>
      </colorScale>
    </cfRule>
  </conditionalFormatting>
  <conditionalFormatting sqref="BF154:BM154">
    <cfRule type="colorScale" priority="799">
      <colorScale>
        <cfvo type="min"/>
        <cfvo type="percentile" val="50"/>
        <cfvo type="max"/>
        <color rgb="FF63BE7B"/>
        <color rgb="FFFFEB84"/>
        <color rgb="FFF8696B"/>
      </colorScale>
    </cfRule>
  </conditionalFormatting>
  <conditionalFormatting sqref="BF155:BM155">
    <cfRule type="colorScale" priority="798">
      <colorScale>
        <cfvo type="min"/>
        <cfvo type="percentile" val="50"/>
        <cfvo type="max"/>
        <color rgb="FF63BE7B"/>
        <color rgb="FFFFEB84"/>
        <color rgb="FFF8696B"/>
      </colorScale>
    </cfRule>
  </conditionalFormatting>
  <conditionalFormatting sqref="BF156:BM156">
    <cfRule type="colorScale" priority="797">
      <colorScale>
        <cfvo type="min"/>
        <cfvo type="percentile" val="50"/>
        <cfvo type="max"/>
        <color rgb="FF63BE7B"/>
        <color rgb="FFFFEB84"/>
        <color rgb="FFF8696B"/>
      </colorScale>
    </cfRule>
  </conditionalFormatting>
  <conditionalFormatting sqref="BF157:BM157">
    <cfRule type="colorScale" priority="796">
      <colorScale>
        <cfvo type="min"/>
        <cfvo type="percentile" val="50"/>
        <cfvo type="max"/>
        <color rgb="FF63BE7B"/>
        <color rgb="FFFFEB84"/>
        <color rgb="FFF8696B"/>
      </colorScale>
    </cfRule>
  </conditionalFormatting>
  <conditionalFormatting sqref="BF158:BM158">
    <cfRule type="colorScale" priority="795">
      <colorScale>
        <cfvo type="min"/>
        <cfvo type="percentile" val="50"/>
        <cfvo type="max"/>
        <color rgb="FF63BE7B"/>
        <color rgb="FFFFEB84"/>
        <color rgb="FFF8696B"/>
      </colorScale>
    </cfRule>
  </conditionalFormatting>
  <conditionalFormatting sqref="BF159:BM159">
    <cfRule type="colorScale" priority="794">
      <colorScale>
        <cfvo type="min"/>
        <cfvo type="percentile" val="50"/>
        <cfvo type="max"/>
        <color rgb="FF63BE7B"/>
        <color rgb="FFFFEB84"/>
        <color rgb="FFF8696B"/>
      </colorScale>
    </cfRule>
  </conditionalFormatting>
  <conditionalFormatting sqref="BF160:BM160">
    <cfRule type="colorScale" priority="793">
      <colorScale>
        <cfvo type="min"/>
        <cfvo type="percentile" val="50"/>
        <cfvo type="max"/>
        <color rgb="FF63BE7B"/>
        <color rgb="FFFFEB84"/>
        <color rgb="FFF8696B"/>
      </colorScale>
    </cfRule>
  </conditionalFormatting>
  <conditionalFormatting sqref="BF161:BM161">
    <cfRule type="colorScale" priority="792">
      <colorScale>
        <cfvo type="min"/>
        <cfvo type="percentile" val="50"/>
        <cfvo type="max"/>
        <color rgb="FF63BE7B"/>
        <color rgb="FFFFEB84"/>
        <color rgb="FFF8696B"/>
      </colorScale>
    </cfRule>
  </conditionalFormatting>
  <conditionalFormatting sqref="BF162:BM162">
    <cfRule type="colorScale" priority="791">
      <colorScale>
        <cfvo type="min"/>
        <cfvo type="percentile" val="50"/>
        <cfvo type="max"/>
        <color rgb="FF63BE7B"/>
        <color rgb="FFFFEB84"/>
        <color rgb="FFF8696B"/>
      </colorScale>
    </cfRule>
  </conditionalFormatting>
  <conditionalFormatting sqref="BF163:BM163">
    <cfRule type="colorScale" priority="790">
      <colorScale>
        <cfvo type="min"/>
        <cfvo type="percentile" val="50"/>
        <cfvo type="max"/>
        <color rgb="FF63BE7B"/>
        <color rgb="FFFFEB84"/>
        <color rgb="FFF8696B"/>
      </colorScale>
    </cfRule>
  </conditionalFormatting>
  <conditionalFormatting sqref="BF164:BM164">
    <cfRule type="colorScale" priority="789">
      <colorScale>
        <cfvo type="min"/>
        <cfvo type="percentile" val="50"/>
        <cfvo type="max"/>
        <color rgb="FF63BE7B"/>
        <color rgb="FFFFEB84"/>
        <color rgb="FFF8696B"/>
      </colorScale>
    </cfRule>
  </conditionalFormatting>
  <conditionalFormatting sqref="BF165:BM165">
    <cfRule type="colorScale" priority="788">
      <colorScale>
        <cfvo type="min"/>
        <cfvo type="percentile" val="50"/>
        <cfvo type="max"/>
        <color rgb="FF63BE7B"/>
        <color rgb="FFFFEB84"/>
        <color rgb="FFF8696B"/>
      </colorScale>
    </cfRule>
  </conditionalFormatting>
  <conditionalFormatting sqref="BF166:BM166">
    <cfRule type="colorScale" priority="787">
      <colorScale>
        <cfvo type="min"/>
        <cfvo type="percentile" val="50"/>
        <cfvo type="max"/>
        <color rgb="FF63BE7B"/>
        <color rgb="FFFFEB84"/>
        <color rgb="FFF8696B"/>
      </colorScale>
    </cfRule>
  </conditionalFormatting>
  <conditionalFormatting sqref="BF167:BM167">
    <cfRule type="colorScale" priority="786">
      <colorScale>
        <cfvo type="min"/>
        <cfvo type="percentile" val="50"/>
        <cfvo type="max"/>
        <color rgb="FF63BE7B"/>
        <color rgb="FFFFEB84"/>
        <color rgb="FFF8696B"/>
      </colorScale>
    </cfRule>
  </conditionalFormatting>
  <conditionalFormatting sqref="BF168:BM168">
    <cfRule type="colorScale" priority="785">
      <colorScale>
        <cfvo type="min"/>
        <cfvo type="percentile" val="50"/>
        <cfvo type="max"/>
        <color rgb="FF63BE7B"/>
        <color rgb="FFFFEB84"/>
        <color rgb="FFF8696B"/>
      </colorScale>
    </cfRule>
  </conditionalFormatting>
  <conditionalFormatting sqref="BF169:BM169">
    <cfRule type="colorScale" priority="784">
      <colorScale>
        <cfvo type="min"/>
        <cfvo type="percentile" val="50"/>
        <cfvo type="max"/>
        <color rgb="FF63BE7B"/>
        <color rgb="FFFFEB84"/>
        <color rgb="FFF8696B"/>
      </colorScale>
    </cfRule>
  </conditionalFormatting>
  <conditionalFormatting sqref="BF170:BM170">
    <cfRule type="colorScale" priority="783">
      <colorScale>
        <cfvo type="min"/>
        <cfvo type="percentile" val="50"/>
        <cfvo type="max"/>
        <color rgb="FF63BE7B"/>
        <color rgb="FFFFEB84"/>
        <color rgb="FFF8696B"/>
      </colorScale>
    </cfRule>
  </conditionalFormatting>
  <conditionalFormatting sqref="BF171:BM171">
    <cfRule type="colorScale" priority="782">
      <colorScale>
        <cfvo type="min"/>
        <cfvo type="percentile" val="50"/>
        <cfvo type="max"/>
        <color rgb="FF63BE7B"/>
        <color rgb="FFFFEB84"/>
        <color rgb="FFF8696B"/>
      </colorScale>
    </cfRule>
  </conditionalFormatting>
  <conditionalFormatting sqref="BF172:BM172">
    <cfRule type="colorScale" priority="781">
      <colorScale>
        <cfvo type="min"/>
        <cfvo type="percentile" val="50"/>
        <cfvo type="max"/>
        <color rgb="FF63BE7B"/>
        <color rgb="FFFFEB84"/>
        <color rgb="FFF8696B"/>
      </colorScale>
    </cfRule>
  </conditionalFormatting>
  <conditionalFormatting sqref="BF173:BM173">
    <cfRule type="colorScale" priority="780">
      <colorScale>
        <cfvo type="min"/>
        <cfvo type="percentile" val="50"/>
        <cfvo type="max"/>
        <color rgb="FF63BE7B"/>
        <color rgb="FFFFEB84"/>
        <color rgb="FFF8696B"/>
      </colorScale>
    </cfRule>
  </conditionalFormatting>
  <conditionalFormatting sqref="BF174:BM174">
    <cfRule type="colorScale" priority="779">
      <colorScale>
        <cfvo type="min"/>
        <cfvo type="percentile" val="50"/>
        <cfvo type="max"/>
        <color rgb="FF63BE7B"/>
        <color rgb="FFFFEB84"/>
        <color rgb="FFF8696B"/>
      </colorScale>
    </cfRule>
  </conditionalFormatting>
  <conditionalFormatting sqref="BF175:BM175">
    <cfRule type="colorScale" priority="778">
      <colorScale>
        <cfvo type="min"/>
        <cfvo type="percentile" val="50"/>
        <cfvo type="max"/>
        <color rgb="FF63BE7B"/>
        <color rgb="FFFFEB84"/>
        <color rgb="FFF8696B"/>
      </colorScale>
    </cfRule>
  </conditionalFormatting>
  <conditionalFormatting sqref="BF176:BM176">
    <cfRule type="colorScale" priority="777">
      <colorScale>
        <cfvo type="min"/>
        <cfvo type="percentile" val="50"/>
        <cfvo type="max"/>
        <color rgb="FF63BE7B"/>
        <color rgb="FFFFEB84"/>
        <color rgb="FFF8696B"/>
      </colorScale>
    </cfRule>
  </conditionalFormatting>
  <conditionalFormatting sqref="BF177:BM177">
    <cfRule type="colorScale" priority="776">
      <colorScale>
        <cfvo type="min"/>
        <cfvo type="percentile" val="50"/>
        <cfvo type="max"/>
        <color rgb="FF63BE7B"/>
        <color rgb="FFFFEB84"/>
        <color rgb="FFF8696B"/>
      </colorScale>
    </cfRule>
  </conditionalFormatting>
  <conditionalFormatting sqref="BF178:BM178">
    <cfRule type="colorScale" priority="775">
      <colorScale>
        <cfvo type="min"/>
        <cfvo type="percentile" val="50"/>
        <cfvo type="max"/>
        <color rgb="FF63BE7B"/>
        <color rgb="FFFFEB84"/>
        <color rgb="FFF8696B"/>
      </colorScale>
    </cfRule>
  </conditionalFormatting>
  <conditionalFormatting sqref="BF179:BM179">
    <cfRule type="colorScale" priority="774">
      <colorScale>
        <cfvo type="min"/>
        <cfvo type="percentile" val="50"/>
        <cfvo type="max"/>
        <color rgb="FF63BE7B"/>
        <color rgb="FFFFEB84"/>
        <color rgb="FFF8696B"/>
      </colorScale>
    </cfRule>
  </conditionalFormatting>
  <conditionalFormatting sqref="BF180:BM180">
    <cfRule type="colorScale" priority="773">
      <colorScale>
        <cfvo type="min"/>
        <cfvo type="percentile" val="50"/>
        <cfvo type="max"/>
        <color rgb="FF63BE7B"/>
        <color rgb="FFFFEB84"/>
        <color rgb="FFF8696B"/>
      </colorScale>
    </cfRule>
  </conditionalFormatting>
  <conditionalFormatting sqref="BF181:BM181">
    <cfRule type="colorScale" priority="772">
      <colorScale>
        <cfvo type="min"/>
        <cfvo type="percentile" val="50"/>
        <cfvo type="max"/>
        <color rgb="FF63BE7B"/>
        <color rgb="FFFFEB84"/>
        <color rgb="FFF8696B"/>
      </colorScale>
    </cfRule>
  </conditionalFormatting>
  <conditionalFormatting sqref="BF182:BM182">
    <cfRule type="colorScale" priority="771">
      <colorScale>
        <cfvo type="min"/>
        <cfvo type="percentile" val="50"/>
        <cfvo type="max"/>
        <color rgb="FF63BE7B"/>
        <color rgb="FFFFEB84"/>
        <color rgb="FFF8696B"/>
      </colorScale>
    </cfRule>
  </conditionalFormatting>
  <conditionalFormatting sqref="BF183:BM183">
    <cfRule type="colorScale" priority="770">
      <colorScale>
        <cfvo type="min"/>
        <cfvo type="percentile" val="50"/>
        <cfvo type="max"/>
        <color rgb="FF63BE7B"/>
        <color rgb="FFFFEB84"/>
        <color rgb="FFF8696B"/>
      </colorScale>
    </cfRule>
  </conditionalFormatting>
  <conditionalFormatting sqref="BF184:BM184">
    <cfRule type="colorScale" priority="769">
      <colorScale>
        <cfvo type="min"/>
        <cfvo type="percentile" val="50"/>
        <cfvo type="max"/>
        <color rgb="FF63BE7B"/>
        <color rgb="FFFFEB84"/>
        <color rgb="FFF8696B"/>
      </colorScale>
    </cfRule>
  </conditionalFormatting>
  <conditionalFormatting sqref="BF185:BM185">
    <cfRule type="colorScale" priority="768">
      <colorScale>
        <cfvo type="min"/>
        <cfvo type="percentile" val="50"/>
        <cfvo type="max"/>
        <color rgb="FF63BE7B"/>
        <color rgb="FFFFEB84"/>
        <color rgb="FFF8696B"/>
      </colorScale>
    </cfRule>
  </conditionalFormatting>
  <conditionalFormatting sqref="BF186:BM186">
    <cfRule type="colorScale" priority="767">
      <colorScale>
        <cfvo type="min"/>
        <cfvo type="percentile" val="50"/>
        <cfvo type="max"/>
        <color rgb="FF63BE7B"/>
        <color rgb="FFFFEB84"/>
        <color rgb="FFF8696B"/>
      </colorScale>
    </cfRule>
  </conditionalFormatting>
  <conditionalFormatting sqref="BF187:BM187">
    <cfRule type="colorScale" priority="766">
      <colorScale>
        <cfvo type="min"/>
        <cfvo type="percentile" val="50"/>
        <cfvo type="max"/>
        <color rgb="FF63BE7B"/>
        <color rgb="FFFFEB84"/>
        <color rgb="FFF8696B"/>
      </colorScale>
    </cfRule>
  </conditionalFormatting>
  <conditionalFormatting sqref="BF188:BM188">
    <cfRule type="colorScale" priority="765">
      <colorScale>
        <cfvo type="min"/>
        <cfvo type="percentile" val="50"/>
        <cfvo type="max"/>
        <color rgb="FF63BE7B"/>
        <color rgb="FFFFEB84"/>
        <color rgb="FFF8696B"/>
      </colorScale>
    </cfRule>
  </conditionalFormatting>
  <conditionalFormatting sqref="BF189:BM189">
    <cfRule type="colorScale" priority="764">
      <colorScale>
        <cfvo type="min"/>
        <cfvo type="percentile" val="50"/>
        <cfvo type="max"/>
        <color rgb="FF63BE7B"/>
        <color rgb="FFFFEB84"/>
        <color rgb="FFF8696B"/>
      </colorScale>
    </cfRule>
  </conditionalFormatting>
  <conditionalFormatting sqref="BF190:BM190">
    <cfRule type="colorScale" priority="763">
      <colorScale>
        <cfvo type="min"/>
        <cfvo type="percentile" val="50"/>
        <cfvo type="max"/>
        <color rgb="FF63BE7B"/>
        <color rgb="FFFFEB84"/>
        <color rgb="FFF8696B"/>
      </colorScale>
    </cfRule>
  </conditionalFormatting>
  <conditionalFormatting sqref="BF191:BM191">
    <cfRule type="colorScale" priority="762">
      <colorScale>
        <cfvo type="min"/>
        <cfvo type="percentile" val="50"/>
        <cfvo type="max"/>
        <color rgb="FF63BE7B"/>
        <color rgb="FFFFEB84"/>
        <color rgb="FFF8696B"/>
      </colorScale>
    </cfRule>
  </conditionalFormatting>
  <conditionalFormatting sqref="BF192:BM192">
    <cfRule type="colorScale" priority="761">
      <colorScale>
        <cfvo type="min"/>
        <cfvo type="percentile" val="50"/>
        <cfvo type="max"/>
        <color rgb="FF63BE7B"/>
        <color rgb="FFFFEB84"/>
        <color rgb="FFF8696B"/>
      </colorScale>
    </cfRule>
  </conditionalFormatting>
  <conditionalFormatting sqref="BF193:BM193">
    <cfRule type="colorScale" priority="760">
      <colorScale>
        <cfvo type="min"/>
        <cfvo type="percentile" val="50"/>
        <cfvo type="max"/>
        <color rgb="FF63BE7B"/>
        <color rgb="FFFFEB84"/>
        <color rgb="FFF8696B"/>
      </colorScale>
    </cfRule>
  </conditionalFormatting>
  <conditionalFormatting sqref="BF194:BM194">
    <cfRule type="colorScale" priority="759">
      <colorScale>
        <cfvo type="min"/>
        <cfvo type="percentile" val="50"/>
        <cfvo type="max"/>
        <color rgb="FF63BE7B"/>
        <color rgb="FFFFEB84"/>
        <color rgb="FFF8696B"/>
      </colorScale>
    </cfRule>
  </conditionalFormatting>
  <conditionalFormatting sqref="BF195:BM195">
    <cfRule type="colorScale" priority="758">
      <colorScale>
        <cfvo type="min"/>
        <cfvo type="percentile" val="50"/>
        <cfvo type="max"/>
        <color rgb="FF63BE7B"/>
        <color rgb="FFFFEB84"/>
        <color rgb="FFF8696B"/>
      </colorScale>
    </cfRule>
  </conditionalFormatting>
  <conditionalFormatting sqref="BF196:BM196">
    <cfRule type="colorScale" priority="757">
      <colorScale>
        <cfvo type="min"/>
        <cfvo type="percentile" val="50"/>
        <cfvo type="max"/>
        <color rgb="FF63BE7B"/>
        <color rgb="FFFFEB84"/>
        <color rgb="FFF8696B"/>
      </colorScale>
    </cfRule>
  </conditionalFormatting>
  <conditionalFormatting sqref="BF197:BM197">
    <cfRule type="colorScale" priority="756">
      <colorScale>
        <cfvo type="min"/>
        <cfvo type="percentile" val="50"/>
        <cfvo type="max"/>
        <color rgb="FF63BE7B"/>
        <color rgb="FFFFEB84"/>
        <color rgb="FFF8696B"/>
      </colorScale>
    </cfRule>
  </conditionalFormatting>
  <conditionalFormatting sqref="BF198:BM198">
    <cfRule type="colorScale" priority="755">
      <colorScale>
        <cfvo type="min"/>
        <cfvo type="percentile" val="50"/>
        <cfvo type="max"/>
        <color rgb="FF63BE7B"/>
        <color rgb="FFFFEB84"/>
        <color rgb="FFF8696B"/>
      </colorScale>
    </cfRule>
  </conditionalFormatting>
  <conditionalFormatting sqref="BF199:BM199">
    <cfRule type="colorScale" priority="754">
      <colorScale>
        <cfvo type="min"/>
        <cfvo type="percentile" val="50"/>
        <cfvo type="max"/>
        <color rgb="FF63BE7B"/>
        <color rgb="FFFFEB84"/>
        <color rgb="FFF8696B"/>
      </colorScale>
    </cfRule>
  </conditionalFormatting>
  <conditionalFormatting sqref="BF200:BM200">
    <cfRule type="colorScale" priority="753">
      <colorScale>
        <cfvo type="min"/>
        <cfvo type="percentile" val="50"/>
        <cfvo type="max"/>
        <color rgb="FF63BE7B"/>
        <color rgb="FFFFEB84"/>
        <color rgb="FFF8696B"/>
      </colorScale>
    </cfRule>
  </conditionalFormatting>
  <conditionalFormatting sqref="BF201:BM201">
    <cfRule type="colorScale" priority="752">
      <colorScale>
        <cfvo type="min"/>
        <cfvo type="percentile" val="50"/>
        <cfvo type="max"/>
        <color rgb="FF63BE7B"/>
        <color rgb="FFFFEB84"/>
        <color rgb="FFF8696B"/>
      </colorScale>
    </cfRule>
  </conditionalFormatting>
  <conditionalFormatting sqref="BF202:BM202">
    <cfRule type="colorScale" priority="751">
      <colorScale>
        <cfvo type="min"/>
        <cfvo type="percentile" val="50"/>
        <cfvo type="max"/>
        <color rgb="FF63BE7B"/>
        <color rgb="FFFFEB84"/>
        <color rgb="FFF8696B"/>
      </colorScale>
    </cfRule>
  </conditionalFormatting>
  <conditionalFormatting sqref="BF203:BM203">
    <cfRule type="colorScale" priority="750">
      <colorScale>
        <cfvo type="min"/>
        <cfvo type="percentile" val="50"/>
        <cfvo type="max"/>
        <color rgb="FF63BE7B"/>
        <color rgb="FFFFEB84"/>
        <color rgb="FFF8696B"/>
      </colorScale>
    </cfRule>
  </conditionalFormatting>
  <conditionalFormatting sqref="BF204:BM204">
    <cfRule type="colorScale" priority="749">
      <colorScale>
        <cfvo type="min"/>
        <cfvo type="percentile" val="50"/>
        <cfvo type="max"/>
        <color rgb="FF63BE7B"/>
        <color rgb="FFFFEB84"/>
        <color rgb="FFF8696B"/>
      </colorScale>
    </cfRule>
  </conditionalFormatting>
  <conditionalFormatting sqref="BF205:BM205">
    <cfRule type="colorScale" priority="748">
      <colorScale>
        <cfvo type="min"/>
        <cfvo type="percentile" val="50"/>
        <cfvo type="max"/>
        <color rgb="FF63BE7B"/>
        <color rgb="FFFFEB84"/>
        <color rgb="FFF8696B"/>
      </colorScale>
    </cfRule>
  </conditionalFormatting>
  <conditionalFormatting sqref="BF206:BM206">
    <cfRule type="colorScale" priority="747">
      <colorScale>
        <cfvo type="min"/>
        <cfvo type="percentile" val="50"/>
        <cfvo type="max"/>
        <color rgb="FF63BE7B"/>
        <color rgb="FFFFEB84"/>
        <color rgb="FFF8696B"/>
      </colorScale>
    </cfRule>
  </conditionalFormatting>
  <conditionalFormatting sqref="BF207:BM207">
    <cfRule type="colorScale" priority="746">
      <colorScale>
        <cfvo type="min"/>
        <cfvo type="percentile" val="50"/>
        <cfvo type="max"/>
        <color rgb="FF63BE7B"/>
        <color rgb="FFFFEB84"/>
        <color rgb="FFF8696B"/>
      </colorScale>
    </cfRule>
  </conditionalFormatting>
  <conditionalFormatting sqref="BF208:BM208">
    <cfRule type="colorScale" priority="745">
      <colorScale>
        <cfvo type="min"/>
        <cfvo type="percentile" val="50"/>
        <cfvo type="max"/>
        <color rgb="FF63BE7B"/>
        <color rgb="FFFFEB84"/>
        <color rgb="FFF8696B"/>
      </colorScale>
    </cfRule>
  </conditionalFormatting>
  <conditionalFormatting sqref="BF209:BM209">
    <cfRule type="colorScale" priority="744">
      <colorScale>
        <cfvo type="min"/>
        <cfvo type="percentile" val="50"/>
        <cfvo type="max"/>
        <color rgb="FF63BE7B"/>
        <color rgb="FFFFEB84"/>
        <color rgb="FFF8696B"/>
      </colorScale>
    </cfRule>
  </conditionalFormatting>
  <conditionalFormatting sqref="BF210:BM210">
    <cfRule type="colorScale" priority="743">
      <colorScale>
        <cfvo type="min"/>
        <cfvo type="percentile" val="50"/>
        <cfvo type="max"/>
        <color rgb="FF63BE7B"/>
        <color rgb="FFFFEB84"/>
        <color rgb="FFF8696B"/>
      </colorScale>
    </cfRule>
  </conditionalFormatting>
  <conditionalFormatting sqref="BF211:BM211">
    <cfRule type="colorScale" priority="742">
      <colorScale>
        <cfvo type="min"/>
        <cfvo type="percentile" val="50"/>
        <cfvo type="max"/>
        <color rgb="FF63BE7B"/>
        <color rgb="FFFFEB84"/>
        <color rgb="FFF8696B"/>
      </colorScale>
    </cfRule>
  </conditionalFormatting>
  <conditionalFormatting sqref="BF212:BM212">
    <cfRule type="colorScale" priority="741">
      <colorScale>
        <cfvo type="min"/>
        <cfvo type="percentile" val="50"/>
        <cfvo type="max"/>
        <color rgb="FF63BE7B"/>
        <color rgb="FFFFEB84"/>
        <color rgb="FFF8696B"/>
      </colorScale>
    </cfRule>
  </conditionalFormatting>
  <conditionalFormatting sqref="BF213:BM213">
    <cfRule type="colorScale" priority="740">
      <colorScale>
        <cfvo type="min"/>
        <cfvo type="percentile" val="50"/>
        <cfvo type="max"/>
        <color rgb="FF63BE7B"/>
        <color rgb="FFFFEB84"/>
        <color rgb="FFF8696B"/>
      </colorScale>
    </cfRule>
  </conditionalFormatting>
  <conditionalFormatting sqref="BF214:BM214">
    <cfRule type="colorScale" priority="739">
      <colorScale>
        <cfvo type="min"/>
        <cfvo type="percentile" val="50"/>
        <cfvo type="max"/>
        <color rgb="FF63BE7B"/>
        <color rgb="FFFFEB84"/>
        <color rgb="FFF8696B"/>
      </colorScale>
    </cfRule>
  </conditionalFormatting>
  <conditionalFormatting sqref="BF215:BM215">
    <cfRule type="colorScale" priority="738">
      <colorScale>
        <cfvo type="min"/>
        <cfvo type="percentile" val="50"/>
        <cfvo type="max"/>
        <color rgb="FF63BE7B"/>
        <color rgb="FFFFEB84"/>
        <color rgb="FFF8696B"/>
      </colorScale>
    </cfRule>
  </conditionalFormatting>
  <conditionalFormatting sqref="BF216:BM216">
    <cfRule type="colorScale" priority="737">
      <colorScale>
        <cfvo type="min"/>
        <cfvo type="percentile" val="50"/>
        <cfvo type="max"/>
        <color rgb="FF63BE7B"/>
        <color rgb="FFFFEB84"/>
        <color rgb="FFF8696B"/>
      </colorScale>
    </cfRule>
  </conditionalFormatting>
  <conditionalFormatting sqref="BF217:BM217">
    <cfRule type="colorScale" priority="736">
      <colorScale>
        <cfvo type="min"/>
        <cfvo type="percentile" val="50"/>
        <cfvo type="max"/>
        <color rgb="FF63BE7B"/>
        <color rgb="FFFFEB84"/>
        <color rgb="FFF8696B"/>
      </colorScale>
    </cfRule>
  </conditionalFormatting>
  <conditionalFormatting sqref="BF218:BM218">
    <cfRule type="colorScale" priority="735">
      <colorScale>
        <cfvo type="min"/>
        <cfvo type="percentile" val="50"/>
        <cfvo type="max"/>
        <color rgb="FF63BE7B"/>
        <color rgb="FFFFEB84"/>
        <color rgb="FFF8696B"/>
      </colorScale>
    </cfRule>
  </conditionalFormatting>
  <conditionalFormatting sqref="BF219:BM219">
    <cfRule type="colorScale" priority="734">
      <colorScale>
        <cfvo type="min"/>
        <cfvo type="percentile" val="50"/>
        <cfvo type="max"/>
        <color rgb="FF63BE7B"/>
        <color rgb="FFFFEB84"/>
        <color rgb="FFF8696B"/>
      </colorScale>
    </cfRule>
  </conditionalFormatting>
  <conditionalFormatting sqref="BF220:BM220">
    <cfRule type="colorScale" priority="733">
      <colorScale>
        <cfvo type="min"/>
        <cfvo type="percentile" val="50"/>
        <cfvo type="max"/>
        <color rgb="FF63BE7B"/>
        <color rgb="FFFFEB84"/>
        <color rgb="FFF8696B"/>
      </colorScale>
    </cfRule>
  </conditionalFormatting>
  <conditionalFormatting sqref="BF221:BM221">
    <cfRule type="colorScale" priority="732">
      <colorScale>
        <cfvo type="min"/>
        <cfvo type="percentile" val="50"/>
        <cfvo type="max"/>
        <color rgb="FF63BE7B"/>
        <color rgb="FFFFEB84"/>
        <color rgb="FFF8696B"/>
      </colorScale>
    </cfRule>
  </conditionalFormatting>
  <conditionalFormatting sqref="BF222:BM222">
    <cfRule type="colorScale" priority="731">
      <colorScale>
        <cfvo type="min"/>
        <cfvo type="percentile" val="50"/>
        <cfvo type="max"/>
        <color rgb="FF63BE7B"/>
        <color rgb="FFFFEB84"/>
        <color rgb="FFF8696B"/>
      </colorScale>
    </cfRule>
  </conditionalFormatting>
  <conditionalFormatting sqref="BF223:BM223">
    <cfRule type="colorScale" priority="730">
      <colorScale>
        <cfvo type="min"/>
        <cfvo type="percentile" val="50"/>
        <cfvo type="max"/>
        <color rgb="FF63BE7B"/>
        <color rgb="FFFFEB84"/>
        <color rgb="FFF8696B"/>
      </colorScale>
    </cfRule>
  </conditionalFormatting>
  <conditionalFormatting sqref="BF224:BM224">
    <cfRule type="colorScale" priority="729">
      <colorScale>
        <cfvo type="min"/>
        <cfvo type="percentile" val="50"/>
        <cfvo type="max"/>
        <color rgb="FF63BE7B"/>
        <color rgb="FFFFEB84"/>
        <color rgb="FFF8696B"/>
      </colorScale>
    </cfRule>
  </conditionalFormatting>
  <conditionalFormatting sqref="BF225:BM225">
    <cfRule type="colorScale" priority="728">
      <colorScale>
        <cfvo type="min"/>
        <cfvo type="percentile" val="50"/>
        <cfvo type="max"/>
        <color rgb="FF63BE7B"/>
        <color rgb="FFFFEB84"/>
        <color rgb="FFF8696B"/>
      </colorScale>
    </cfRule>
  </conditionalFormatting>
  <conditionalFormatting sqref="BF226:BM226">
    <cfRule type="colorScale" priority="727">
      <colorScale>
        <cfvo type="min"/>
        <cfvo type="percentile" val="50"/>
        <cfvo type="max"/>
        <color rgb="FF63BE7B"/>
        <color rgb="FFFFEB84"/>
        <color rgb="FFF8696B"/>
      </colorScale>
    </cfRule>
  </conditionalFormatting>
  <conditionalFormatting sqref="BF227:BM227">
    <cfRule type="colorScale" priority="726">
      <colorScale>
        <cfvo type="min"/>
        <cfvo type="percentile" val="50"/>
        <cfvo type="max"/>
        <color rgb="FF63BE7B"/>
        <color rgb="FFFFEB84"/>
        <color rgb="FFF8696B"/>
      </colorScale>
    </cfRule>
  </conditionalFormatting>
  <conditionalFormatting sqref="BF228:BM228">
    <cfRule type="colorScale" priority="725">
      <colorScale>
        <cfvo type="min"/>
        <cfvo type="percentile" val="50"/>
        <cfvo type="max"/>
        <color rgb="FF63BE7B"/>
        <color rgb="FFFFEB84"/>
        <color rgb="FFF8696B"/>
      </colorScale>
    </cfRule>
  </conditionalFormatting>
  <conditionalFormatting sqref="BF229:BM229">
    <cfRule type="colorScale" priority="724">
      <colorScale>
        <cfvo type="min"/>
        <cfvo type="percentile" val="50"/>
        <cfvo type="max"/>
        <color rgb="FF63BE7B"/>
        <color rgb="FFFFEB84"/>
        <color rgb="FFF8696B"/>
      </colorScale>
    </cfRule>
  </conditionalFormatting>
  <conditionalFormatting sqref="BF230:BM230">
    <cfRule type="colorScale" priority="723">
      <colorScale>
        <cfvo type="min"/>
        <cfvo type="percentile" val="50"/>
        <cfvo type="max"/>
        <color rgb="FF63BE7B"/>
        <color rgb="FFFFEB84"/>
        <color rgb="FFF8696B"/>
      </colorScale>
    </cfRule>
  </conditionalFormatting>
  <conditionalFormatting sqref="BF231:BM231">
    <cfRule type="colorScale" priority="722">
      <colorScale>
        <cfvo type="min"/>
        <cfvo type="percentile" val="50"/>
        <cfvo type="max"/>
        <color rgb="FF63BE7B"/>
        <color rgb="FFFFEB84"/>
        <color rgb="FFF8696B"/>
      </colorScale>
    </cfRule>
  </conditionalFormatting>
  <conditionalFormatting sqref="BF232:BM232">
    <cfRule type="colorScale" priority="721">
      <colorScale>
        <cfvo type="min"/>
        <cfvo type="percentile" val="50"/>
        <cfvo type="max"/>
        <color rgb="FF63BE7B"/>
        <color rgb="FFFFEB84"/>
        <color rgb="FFF8696B"/>
      </colorScale>
    </cfRule>
  </conditionalFormatting>
  <conditionalFormatting sqref="BF233:BM233">
    <cfRule type="colorScale" priority="720">
      <colorScale>
        <cfvo type="min"/>
        <cfvo type="percentile" val="50"/>
        <cfvo type="max"/>
        <color rgb="FF63BE7B"/>
        <color rgb="FFFFEB84"/>
        <color rgb="FFF8696B"/>
      </colorScale>
    </cfRule>
  </conditionalFormatting>
  <conditionalFormatting sqref="BF234:BM234">
    <cfRule type="colorScale" priority="719">
      <colorScale>
        <cfvo type="min"/>
        <cfvo type="percentile" val="50"/>
        <cfvo type="max"/>
        <color rgb="FF63BE7B"/>
        <color rgb="FFFFEB84"/>
        <color rgb="FFF8696B"/>
      </colorScale>
    </cfRule>
  </conditionalFormatting>
  <conditionalFormatting sqref="BF235:BM235">
    <cfRule type="colorScale" priority="718">
      <colorScale>
        <cfvo type="min"/>
        <cfvo type="percentile" val="50"/>
        <cfvo type="max"/>
        <color rgb="FF63BE7B"/>
        <color rgb="FFFFEB84"/>
        <color rgb="FFF8696B"/>
      </colorScale>
    </cfRule>
  </conditionalFormatting>
  <conditionalFormatting sqref="BF236:BM236">
    <cfRule type="colorScale" priority="717">
      <colorScale>
        <cfvo type="min"/>
        <cfvo type="percentile" val="50"/>
        <cfvo type="max"/>
        <color rgb="FF63BE7B"/>
        <color rgb="FFFFEB84"/>
        <color rgb="FFF8696B"/>
      </colorScale>
    </cfRule>
  </conditionalFormatting>
  <conditionalFormatting sqref="BF237:BM237">
    <cfRule type="colorScale" priority="716">
      <colorScale>
        <cfvo type="min"/>
        <cfvo type="percentile" val="50"/>
        <cfvo type="max"/>
        <color rgb="FF63BE7B"/>
        <color rgb="FFFFEB84"/>
        <color rgb="FFF8696B"/>
      </colorScale>
    </cfRule>
  </conditionalFormatting>
  <conditionalFormatting sqref="BF238:BM238">
    <cfRule type="colorScale" priority="715">
      <colorScale>
        <cfvo type="min"/>
        <cfvo type="percentile" val="50"/>
        <cfvo type="max"/>
        <color rgb="FF63BE7B"/>
        <color rgb="FFFFEB84"/>
        <color rgb="FFF8696B"/>
      </colorScale>
    </cfRule>
  </conditionalFormatting>
  <conditionalFormatting sqref="BF239:BM239">
    <cfRule type="colorScale" priority="714">
      <colorScale>
        <cfvo type="min"/>
        <cfvo type="percentile" val="50"/>
        <cfvo type="max"/>
        <color rgb="FF63BE7B"/>
        <color rgb="FFFFEB84"/>
        <color rgb="FFF8696B"/>
      </colorScale>
    </cfRule>
  </conditionalFormatting>
  <conditionalFormatting sqref="BF240:BM240">
    <cfRule type="colorScale" priority="713">
      <colorScale>
        <cfvo type="min"/>
        <cfvo type="percentile" val="50"/>
        <cfvo type="max"/>
        <color rgb="FF63BE7B"/>
        <color rgb="FFFFEB84"/>
        <color rgb="FFF8696B"/>
      </colorScale>
    </cfRule>
  </conditionalFormatting>
  <conditionalFormatting sqref="BF241:BM241">
    <cfRule type="colorScale" priority="712">
      <colorScale>
        <cfvo type="min"/>
        <cfvo type="percentile" val="50"/>
        <cfvo type="max"/>
        <color rgb="FF63BE7B"/>
        <color rgb="FFFFEB84"/>
        <color rgb="FFF8696B"/>
      </colorScale>
    </cfRule>
  </conditionalFormatting>
  <conditionalFormatting sqref="BF242:BM242">
    <cfRule type="colorScale" priority="711">
      <colorScale>
        <cfvo type="min"/>
        <cfvo type="percentile" val="50"/>
        <cfvo type="max"/>
        <color rgb="FF63BE7B"/>
        <color rgb="FFFFEB84"/>
        <color rgb="FFF8696B"/>
      </colorScale>
    </cfRule>
  </conditionalFormatting>
  <conditionalFormatting sqref="BF243:BM243">
    <cfRule type="colorScale" priority="710">
      <colorScale>
        <cfvo type="min"/>
        <cfvo type="percentile" val="50"/>
        <cfvo type="max"/>
        <color rgb="FF63BE7B"/>
        <color rgb="FFFFEB84"/>
        <color rgb="FFF8696B"/>
      </colorScale>
    </cfRule>
  </conditionalFormatting>
  <conditionalFormatting sqref="BF244:BM244">
    <cfRule type="colorScale" priority="709">
      <colorScale>
        <cfvo type="min"/>
        <cfvo type="percentile" val="50"/>
        <cfvo type="max"/>
        <color rgb="FF63BE7B"/>
        <color rgb="FFFFEB84"/>
        <color rgb="FFF8696B"/>
      </colorScale>
    </cfRule>
  </conditionalFormatting>
  <conditionalFormatting sqref="BF245:BM245">
    <cfRule type="colorScale" priority="708">
      <colorScale>
        <cfvo type="min"/>
        <cfvo type="percentile" val="50"/>
        <cfvo type="max"/>
        <color rgb="FF63BE7B"/>
        <color rgb="FFFFEB84"/>
        <color rgb="FFF8696B"/>
      </colorScale>
    </cfRule>
  </conditionalFormatting>
  <conditionalFormatting sqref="BF246:BM246">
    <cfRule type="colorScale" priority="707">
      <colorScale>
        <cfvo type="min"/>
        <cfvo type="percentile" val="50"/>
        <cfvo type="max"/>
        <color rgb="FF63BE7B"/>
        <color rgb="FFFFEB84"/>
        <color rgb="FFF8696B"/>
      </colorScale>
    </cfRule>
  </conditionalFormatting>
  <conditionalFormatting sqref="BF247:BM247">
    <cfRule type="colorScale" priority="706">
      <colorScale>
        <cfvo type="min"/>
        <cfvo type="percentile" val="50"/>
        <cfvo type="max"/>
        <color rgb="FF63BE7B"/>
        <color rgb="FFFFEB84"/>
        <color rgb="FFF8696B"/>
      </colorScale>
    </cfRule>
  </conditionalFormatting>
  <conditionalFormatting sqref="BF248:BM248">
    <cfRule type="colorScale" priority="705">
      <colorScale>
        <cfvo type="min"/>
        <cfvo type="percentile" val="50"/>
        <cfvo type="max"/>
        <color rgb="FF63BE7B"/>
        <color rgb="FFFFEB84"/>
        <color rgb="FFF8696B"/>
      </colorScale>
    </cfRule>
  </conditionalFormatting>
  <conditionalFormatting sqref="BF249:BM249">
    <cfRule type="colorScale" priority="704">
      <colorScale>
        <cfvo type="min"/>
        <cfvo type="percentile" val="50"/>
        <cfvo type="max"/>
        <color rgb="FF63BE7B"/>
        <color rgb="FFFFEB84"/>
        <color rgb="FFF8696B"/>
      </colorScale>
    </cfRule>
  </conditionalFormatting>
  <conditionalFormatting sqref="BF250:BM250">
    <cfRule type="colorScale" priority="703">
      <colorScale>
        <cfvo type="min"/>
        <cfvo type="percentile" val="50"/>
        <cfvo type="max"/>
        <color rgb="FF63BE7B"/>
        <color rgb="FFFFEB84"/>
        <color rgb="FFF8696B"/>
      </colorScale>
    </cfRule>
  </conditionalFormatting>
  <conditionalFormatting sqref="BF251:BM251">
    <cfRule type="colorScale" priority="702">
      <colorScale>
        <cfvo type="min"/>
        <cfvo type="percentile" val="50"/>
        <cfvo type="max"/>
        <color rgb="FF63BE7B"/>
        <color rgb="FFFFEB84"/>
        <color rgb="FFF8696B"/>
      </colorScale>
    </cfRule>
  </conditionalFormatting>
  <conditionalFormatting sqref="BF252:BM252">
    <cfRule type="colorScale" priority="701">
      <colorScale>
        <cfvo type="min"/>
        <cfvo type="percentile" val="50"/>
        <cfvo type="max"/>
        <color rgb="FF63BE7B"/>
        <color rgb="FFFFEB84"/>
        <color rgb="FFF8696B"/>
      </colorScale>
    </cfRule>
  </conditionalFormatting>
  <conditionalFormatting sqref="BF253:BM253">
    <cfRule type="colorScale" priority="700">
      <colorScale>
        <cfvo type="min"/>
        <cfvo type="percentile" val="50"/>
        <cfvo type="max"/>
        <color rgb="FF63BE7B"/>
        <color rgb="FFFFEB84"/>
        <color rgb="FFF8696B"/>
      </colorScale>
    </cfRule>
  </conditionalFormatting>
  <conditionalFormatting sqref="BF254:BM254">
    <cfRule type="colorScale" priority="699">
      <colorScale>
        <cfvo type="min"/>
        <cfvo type="percentile" val="50"/>
        <cfvo type="max"/>
        <color rgb="FF63BE7B"/>
        <color rgb="FFFFEB84"/>
        <color rgb="FFF8696B"/>
      </colorScale>
    </cfRule>
  </conditionalFormatting>
  <conditionalFormatting sqref="BF255:BM255">
    <cfRule type="colorScale" priority="698">
      <colorScale>
        <cfvo type="min"/>
        <cfvo type="percentile" val="50"/>
        <cfvo type="max"/>
        <color rgb="FF63BE7B"/>
        <color rgb="FFFFEB84"/>
        <color rgb="FFF8696B"/>
      </colorScale>
    </cfRule>
  </conditionalFormatting>
  <conditionalFormatting sqref="BF256:BM256">
    <cfRule type="colorScale" priority="697">
      <colorScale>
        <cfvo type="min"/>
        <cfvo type="percentile" val="50"/>
        <cfvo type="max"/>
        <color rgb="FF63BE7B"/>
        <color rgb="FFFFEB84"/>
        <color rgb="FFF8696B"/>
      </colorScale>
    </cfRule>
  </conditionalFormatting>
  <conditionalFormatting sqref="BF257:BM257">
    <cfRule type="colorScale" priority="696">
      <colorScale>
        <cfvo type="min"/>
        <cfvo type="percentile" val="50"/>
        <cfvo type="max"/>
        <color rgb="FF63BE7B"/>
        <color rgb="FFFFEB84"/>
        <color rgb="FFF8696B"/>
      </colorScale>
    </cfRule>
  </conditionalFormatting>
  <conditionalFormatting sqref="BF258:BM258">
    <cfRule type="colorScale" priority="695">
      <colorScale>
        <cfvo type="min"/>
        <cfvo type="percentile" val="50"/>
        <cfvo type="max"/>
        <color rgb="FF63BE7B"/>
        <color rgb="FFFFEB84"/>
        <color rgb="FFF8696B"/>
      </colorScale>
    </cfRule>
  </conditionalFormatting>
  <conditionalFormatting sqref="BF259:BM259">
    <cfRule type="colorScale" priority="694">
      <colorScale>
        <cfvo type="min"/>
        <cfvo type="percentile" val="50"/>
        <cfvo type="max"/>
        <color rgb="FF63BE7B"/>
        <color rgb="FFFFEB84"/>
        <color rgb="FFF8696B"/>
      </colorScale>
    </cfRule>
  </conditionalFormatting>
  <conditionalFormatting sqref="BF260:BM260">
    <cfRule type="colorScale" priority="693">
      <colorScale>
        <cfvo type="min"/>
        <cfvo type="percentile" val="50"/>
        <cfvo type="max"/>
        <color rgb="FF63BE7B"/>
        <color rgb="FFFFEB84"/>
        <color rgb="FFF8696B"/>
      </colorScale>
    </cfRule>
  </conditionalFormatting>
  <conditionalFormatting sqref="BF261:BM261">
    <cfRule type="colorScale" priority="692">
      <colorScale>
        <cfvo type="min"/>
        <cfvo type="percentile" val="50"/>
        <cfvo type="max"/>
        <color rgb="FF63BE7B"/>
        <color rgb="FFFFEB84"/>
        <color rgb="FFF8696B"/>
      </colorScale>
    </cfRule>
  </conditionalFormatting>
  <conditionalFormatting sqref="BF262:BM262">
    <cfRule type="colorScale" priority="691">
      <colorScale>
        <cfvo type="min"/>
        <cfvo type="percentile" val="50"/>
        <cfvo type="max"/>
        <color rgb="FF63BE7B"/>
        <color rgb="FFFFEB84"/>
        <color rgb="FFF8696B"/>
      </colorScale>
    </cfRule>
  </conditionalFormatting>
  <conditionalFormatting sqref="BF263:BM263">
    <cfRule type="colorScale" priority="690">
      <colorScale>
        <cfvo type="min"/>
        <cfvo type="percentile" val="50"/>
        <cfvo type="max"/>
        <color rgb="FF63BE7B"/>
        <color rgb="FFFFEB84"/>
        <color rgb="FFF8696B"/>
      </colorScale>
    </cfRule>
  </conditionalFormatting>
  <conditionalFormatting sqref="BF264:BM264">
    <cfRule type="colorScale" priority="689">
      <colorScale>
        <cfvo type="min"/>
        <cfvo type="percentile" val="50"/>
        <cfvo type="max"/>
        <color rgb="FF63BE7B"/>
        <color rgb="FFFFEB84"/>
        <color rgb="FFF8696B"/>
      </colorScale>
    </cfRule>
  </conditionalFormatting>
  <conditionalFormatting sqref="BF265:BM265">
    <cfRule type="colorScale" priority="688">
      <colorScale>
        <cfvo type="min"/>
        <cfvo type="percentile" val="50"/>
        <cfvo type="max"/>
        <color rgb="FF63BE7B"/>
        <color rgb="FFFFEB84"/>
        <color rgb="FFF8696B"/>
      </colorScale>
    </cfRule>
  </conditionalFormatting>
  <conditionalFormatting sqref="BF266:BM266">
    <cfRule type="colorScale" priority="687">
      <colorScale>
        <cfvo type="min"/>
        <cfvo type="percentile" val="50"/>
        <cfvo type="max"/>
        <color rgb="FF63BE7B"/>
        <color rgb="FFFFEB84"/>
        <color rgb="FFF8696B"/>
      </colorScale>
    </cfRule>
  </conditionalFormatting>
  <conditionalFormatting sqref="BF267:BM267">
    <cfRule type="colorScale" priority="686">
      <colorScale>
        <cfvo type="min"/>
        <cfvo type="percentile" val="50"/>
        <cfvo type="max"/>
        <color rgb="FF63BE7B"/>
        <color rgb="FFFFEB84"/>
        <color rgb="FFF8696B"/>
      </colorScale>
    </cfRule>
  </conditionalFormatting>
  <conditionalFormatting sqref="BF268:BM268">
    <cfRule type="colorScale" priority="685">
      <colorScale>
        <cfvo type="min"/>
        <cfvo type="percentile" val="50"/>
        <cfvo type="max"/>
        <color rgb="FF63BE7B"/>
        <color rgb="FFFFEB84"/>
        <color rgb="FFF8696B"/>
      </colorScale>
    </cfRule>
  </conditionalFormatting>
  <conditionalFormatting sqref="BF269:BM269">
    <cfRule type="colorScale" priority="684">
      <colorScale>
        <cfvo type="min"/>
        <cfvo type="percentile" val="50"/>
        <cfvo type="max"/>
        <color rgb="FF63BE7B"/>
        <color rgb="FFFFEB84"/>
        <color rgb="FFF8696B"/>
      </colorScale>
    </cfRule>
  </conditionalFormatting>
  <conditionalFormatting sqref="BF270:BM270">
    <cfRule type="colorScale" priority="683">
      <colorScale>
        <cfvo type="min"/>
        <cfvo type="percentile" val="50"/>
        <cfvo type="max"/>
        <color rgb="FF63BE7B"/>
        <color rgb="FFFFEB84"/>
        <color rgb="FFF8696B"/>
      </colorScale>
    </cfRule>
  </conditionalFormatting>
  <conditionalFormatting sqref="BF271:BM271">
    <cfRule type="colorScale" priority="682">
      <colorScale>
        <cfvo type="min"/>
        <cfvo type="percentile" val="50"/>
        <cfvo type="max"/>
        <color rgb="FF63BE7B"/>
        <color rgb="FFFFEB84"/>
        <color rgb="FFF8696B"/>
      </colorScale>
    </cfRule>
  </conditionalFormatting>
  <conditionalFormatting sqref="BF272:BM272">
    <cfRule type="colorScale" priority="681">
      <colorScale>
        <cfvo type="min"/>
        <cfvo type="percentile" val="50"/>
        <cfvo type="max"/>
        <color rgb="FF63BE7B"/>
        <color rgb="FFFFEB84"/>
        <color rgb="FFF8696B"/>
      </colorScale>
    </cfRule>
  </conditionalFormatting>
  <conditionalFormatting sqref="BF273:BM273">
    <cfRule type="colorScale" priority="680">
      <colorScale>
        <cfvo type="min"/>
        <cfvo type="percentile" val="50"/>
        <cfvo type="max"/>
        <color rgb="FF63BE7B"/>
        <color rgb="FFFFEB84"/>
        <color rgb="FFF8696B"/>
      </colorScale>
    </cfRule>
  </conditionalFormatting>
  <conditionalFormatting sqref="BF274:BM274">
    <cfRule type="colorScale" priority="679">
      <colorScale>
        <cfvo type="min"/>
        <cfvo type="percentile" val="50"/>
        <cfvo type="max"/>
        <color rgb="FF63BE7B"/>
        <color rgb="FFFFEB84"/>
        <color rgb="FFF8696B"/>
      </colorScale>
    </cfRule>
  </conditionalFormatting>
  <conditionalFormatting sqref="BF275:BM275">
    <cfRule type="colorScale" priority="678">
      <colorScale>
        <cfvo type="min"/>
        <cfvo type="percentile" val="50"/>
        <cfvo type="max"/>
        <color rgb="FF63BE7B"/>
        <color rgb="FFFFEB84"/>
        <color rgb="FFF8696B"/>
      </colorScale>
    </cfRule>
  </conditionalFormatting>
  <conditionalFormatting sqref="BF276:BM276">
    <cfRule type="colorScale" priority="677">
      <colorScale>
        <cfvo type="min"/>
        <cfvo type="percentile" val="50"/>
        <cfvo type="max"/>
        <color rgb="FF63BE7B"/>
        <color rgb="FFFFEB84"/>
        <color rgb="FFF8696B"/>
      </colorScale>
    </cfRule>
  </conditionalFormatting>
  <conditionalFormatting sqref="BF277:BM277">
    <cfRule type="colorScale" priority="676">
      <colorScale>
        <cfvo type="min"/>
        <cfvo type="percentile" val="50"/>
        <cfvo type="max"/>
        <color rgb="FF63BE7B"/>
        <color rgb="FFFFEB84"/>
        <color rgb="FFF8696B"/>
      </colorScale>
    </cfRule>
  </conditionalFormatting>
  <conditionalFormatting sqref="BF278:BM278">
    <cfRule type="colorScale" priority="675">
      <colorScale>
        <cfvo type="min"/>
        <cfvo type="percentile" val="50"/>
        <cfvo type="max"/>
        <color rgb="FF63BE7B"/>
        <color rgb="FFFFEB84"/>
        <color rgb="FFF8696B"/>
      </colorScale>
    </cfRule>
  </conditionalFormatting>
  <conditionalFormatting sqref="BF279:BM279">
    <cfRule type="colorScale" priority="674">
      <colorScale>
        <cfvo type="min"/>
        <cfvo type="percentile" val="50"/>
        <cfvo type="max"/>
        <color rgb="FF63BE7B"/>
        <color rgb="FFFFEB84"/>
        <color rgb="FFF8696B"/>
      </colorScale>
    </cfRule>
  </conditionalFormatting>
  <conditionalFormatting sqref="BF280:BM280">
    <cfRule type="colorScale" priority="673">
      <colorScale>
        <cfvo type="min"/>
        <cfvo type="percentile" val="50"/>
        <cfvo type="max"/>
        <color rgb="FF63BE7B"/>
        <color rgb="FFFFEB84"/>
        <color rgb="FFF8696B"/>
      </colorScale>
    </cfRule>
  </conditionalFormatting>
  <conditionalFormatting sqref="BF281:BM281">
    <cfRule type="colorScale" priority="672">
      <colorScale>
        <cfvo type="min"/>
        <cfvo type="percentile" val="50"/>
        <cfvo type="max"/>
        <color rgb="FF63BE7B"/>
        <color rgb="FFFFEB84"/>
        <color rgb="FFF8696B"/>
      </colorScale>
    </cfRule>
  </conditionalFormatting>
  <conditionalFormatting sqref="BF282:BM282">
    <cfRule type="colorScale" priority="671">
      <colorScale>
        <cfvo type="min"/>
        <cfvo type="percentile" val="50"/>
        <cfvo type="max"/>
        <color rgb="FF63BE7B"/>
        <color rgb="FFFFEB84"/>
        <color rgb="FFF8696B"/>
      </colorScale>
    </cfRule>
  </conditionalFormatting>
  <conditionalFormatting sqref="BF283:BM283">
    <cfRule type="colorScale" priority="670">
      <colorScale>
        <cfvo type="min"/>
        <cfvo type="percentile" val="50"/>
        <cfvo type="max"/>
        <color rgb="FF63BE7B"/>
        <color rgb="FFFFEB84"/>
        <color rgb="FFF8696B"/>
      </colorScale>
    </cfRule>
  </conditionalFormatting>
  <conditionalFormatting sqref="BF284:BM284">
    <cfRule type="colorScale" priority="669">
      <colorScale>
        <cfvo type="min"/>
        <cfvo type="percentile" val="50"/>
        <cfvo type="max"/>
        <color rgb="FF63BE7B"/>
        <color rgb="FFFFEB84"/>
        <color rgb="FFF8696B"/>
      </colorScale>
    </cfRule>
  </conditionalFormatting>
  <conditionalFormatting sqref="BF285:BM285">
    <cfRule type="colorScale" priority="668">
      <colorScale>
        <cfvo type="min"/>
        <cfvo type="percentile" val="50"/>
        <cfvo type="max"/>
        <color rgb="FF63BE7B"/>
        <color rgb="FFFFEB84"/>
        <color rgb="FFF8696B"/>
      </colorScale>
    </cfRule>
  </conditionalFormatting>
  <conditionalFormatting sqref="BF286:BM286">
    <cfRule type="colorScale" priority="667">
      <colorScale>
        <cfvo type="min"/>
        <cfvo type="percentile" val="50"/>
        <cfvo type="max"/>
        <color rgb="FF63BE7B"/>
        <color rgb="FFFFEB84"/>
        <color rgb="FFF8696B"/>
      </colorScale>
    </cfRule>
  </conditionalFormatting>
  <conditionalFormatting sqref="BF287:BM287">
    <cfRule type="colorScale" priority="666">
      <colorScale>
        <cfvo type="min"/>
        <cfvo type="percentile" val="50"/>
        <cfvo type="max"/>
        <color rgb="FF63BE7B"/>
        <color rgb="FFFFEB84"/>
        <color rgb="FFF8696B"/>
      </colorScale>
    </cfRule>
  </conditionalFormatting>
  <conditionalFormatting sqref="BF288:BM288">
    <cfRule type="colorScale" priority="665">
      <colorScale>
        <cfvo type="min"/>
        <cfvo type="percentile" val="50"/>
        <cfvo type="max"/>
        <color rgb="FF63BE7B"/>
        <color rgb="FFFFEB84"/>
        <color rgb="FFF8696B"/>
      </colorScale>
    </cfRule>
  </conditionalFormatting>
  <conditionalFormatting sqref="BF289:BM289">
    <cfRule type="colorScale" priority="664">
      <colorScale>
        <cfvo type="min"/>
        <cfvo type="percentile" val="50"/>
        <cfvo type="max"/>
        <color rgb="FF63BE7B"/>
        <color rgb="FFFFEB84"/>
        <color rgb="FFF8696B"/>
      </colorScale>
    </cfRule>
  </conditionalFormatting>
  <conditionalFormatting sqref="BF290:BM290">
    <cfRule type="colorScale" priority="663">
      <colorScale>
        <cfvo type="min"/>
        <cfvo type="percentile" val="50"/>
        <cfvo type="max"/>
        <color rgb="FF63BE7B"/>
        <color rgb="FFFFEB84"/>
        <color rgb="FFF8696B"/>
      </colorScale>
    </cfRule>
  </conditionalFormatting>
  <conditionalFormatting sqref="BF291:BM291">
    <cfRule type="colorScale" priority="662">
      <colorScale>
        <cfvo type="min"/>
        <cfvo type="percentile" val="50"/>
        <cfvo type="max"/>
        <color rgb="FF63BE7B"/>
        <color rgb="FFFFEB84"/>
        <color rgb="FFF8696B"/>
      </colorScale>
    </cfRule>
  </conditionalFormatting>
  <conditionalFormatting sqref="BF292:BM292">
    <cfRule type="colorScale" priority="661">
      <colorScale>
        <cfvo type="min"/>
        <cfvo type="percentile" val="50"/>
        <cfvo type="max"/>
        <color rgb="FF63BE7B"/>
        <color rgb="FFFFEB84"/>
        <color rgb="FFF8696B"/>
      </colorScale>
    </cfRule>
  </conditionalFormatting>
  <conditionalFormatting sqref="BF293:BM293">
    <cfRule type="colorScale" priority="660">
      <colorScale>
        <cfvo type="min"/>
        <cfvo type="percentile" val="50"/>
        <cfvo type="max"/>
        <color rgb="FF63BE7B"/>
        <color rgb="FFFFEB84"/>
        <color rgb="FFF8696B"/>
      </colorScale>
    </cfRule>
  </conditionalFormatting>
  <conditionalFormatting sqref="BF294:BM294">
    <cfRule type="colorScale" priority="659">
      <colorScale>
        <cfvo type="min"/>
        <cfvo type="percentile" val="50"/>
        <cfvo type="max"/>
        <color rgb="FF63BE7B"/>
        <color rgb="FFFFEB84"/>
        <color rgb="FFF8696B"/>
      </colorScale>
    </cfRule>
  </conditionalFormatting>
  <conditionalFormatting sqref="BF295:BM295">
    <cfRule type="colorScale" priority="658">
      <colorScale>
        <cfvo type="min"/>
        <cfvo type="percentile" val="50"/>
        <cfvo type="max"/>
        <color rgb="FF63BE7B"/>
        <color rgb="FFFFEB84"/>
        <color rgb="FFF8696B"/>
      </colorScale>
    </cfRule>
  </conditionalFormatting>
  <conditionalFormatting sqref="BF296:BM296">
    <cfRule type="colorScale" priority="657">
      <colorScale>
        <cfvo type="min"/>
        <cfvo type="percentile" val="50"/>
        <cfvo type="max"/>
        <color rgb="FF63BE7B"/>
        <color rgb="FFFFEB84"/>
        <color rgb="FFF8696B"/>
      </colorScale>
    </cfRule>
  </conditionalFormatting>
  <conditionalFormatting sqref="BF297:BM297">
    <cfRule type="colorScale" priority="656">
      <colorScale>
        <cfvo type="min"/>
        <cfvo type="percentile" val="50"/>
        <cfvo type="max"/>
        <color rgb="FF63BE7B"/>
        <color rgb="FFFFEB84"/>
        <color rgb="FFF8696B"/>
      </colorScale>
    </cfRule>
  </conditionalFormatting>
  <conditionalFormatting sqref="BF298:BM298">
    <cfRule type="colorScale" priority="655">
      <colorScale>
        <cfvo type="min"/>
        <cfvo type="percentile" val="50"/>
        <cfvo type="max"/>
        <color rgb="FF63BE7B"/>
        <color rgb="FFFFEB84"/>
        <color rgb="FFF8696B"/>
      </colorScale>
    </cfRule>
  </conditionalFormatting>
  <conditionalFormatting sqref="BF299:BM299">
    <cfRule type="colorScale" priority="654">
      <colorScale>
        <cfvo type="min"/>
        <cfvo type="percentile" val="50"/>
        <cfvo type="max"/>
        <color rgb="FF63BE7B"/>
        <color rgb="FFFFEB84"/>
        <color rgb="FFF8696B"/>
      </colorScale>
    </cfRule>
  </conditionalFormatting>
  <conditionalFormatting sqref="BF300:BM300">
    <cfRule type="colorScale" priority="653">
      <colorScale>
        <cfvo type="min"/>
        <cfvo type="percentile" val="50"/>
        <cfvo type="max"/>
        <color rgb="FF63BE7B"/>
        <color rgb="FFFFEB84"/>
        <color rgb="FFF8696B"/>
      </colorScale>
    </cfRule>
  </conditionalFormatting>
  <conditionalFormatting sqref="BF301:BM301">
    <cfRule type="colorScale" priority="652">
      <colorScale>
        <cfvo type="min"/>
        <cfvo type="percentile" val="50"/>
        <cfvo type="max"/>
        <color rgb="FF63BE7B"/>
        <color rgb="FFFFEB84"/>
        <color rgb="FFF8696B"/>
      </colorScale>
    </cfRule>
  </conditionalFormatting>
  <conditionalFormatting sqref="BF302:BM302">
    <cfRule type="colorScale" priority="651">
      <colorScale>
        <cfvo type="min"/>
        <cfvo type="percentile" val="50"/>
        <cfvo type="max"/>
        <color rgb="FF63BE7B"/>
        <color rgb="FFFFEB84"/>
        <color rgb="FFF8696B"/>
      </colorScale>
    </cfRule>
  </conditionalFormatting>
  <conditionalFormatting sqref="BF303:BM303">
    <cfRule type="colorScale" priority="650">
      <colorScale>
        <cfvo type="min"/>
        <cfvo type="percentile" val="50"/>
        <cfvo type="max"/>
        <color rgb="FF63BE7B"/>
        <color rgb="FFFFEB84"/>
        <color rgb="FFF8696B"/>
      </colorScale>
    </cfRule>
  </conditionalFormatting>
  <conditionalFormatting sqref="BF304:BM304">
    <cfRule type="colorScale" priority="649">
      <colorScale>
        <cfvo type="min"/>
        <cfvo type="percentile" val="50"/>
        <cfvo type="max"/>
        <color rgb="FF63BE7B"/>
        <color rgb="FFFFEB84"/>
        <color rgb="FFF8696B"/>
      </colorScale>
    </cfRule>
  </conditionalFormatting>
  <conditionalFormatting sqref="BF305:BM305">
    <cfRule type="colorScale" priority="648">
      <colorScale>
        <cfvo type="min"/>
        <cfvo type="percentile" val="50"/>
        <cfvo type="max"/>
        <color rgb="FF63BE7B"/>
        <color rgb="FFFFEB84"/>
        <color rgb="FFF8696B"/>
      </colorScale>
    </cfRule>
  </conditionalFormatting>
  <conditionalFormatting sqref="BF306:BM306">
    <cfRule type="colorScale" priority="647">
      <colorScale>
        <cfvo type="min"/>
        <cfvo type="percentile" val="50"/>
        <cfvo type="max"/>
        <color rgb="FF63BE7B"/>
        <color rgb="FFFFEB84"/>
        <color rgb="FFF8696B"/>
      </colorScale>
    </cfRule>
  </conditionalFormatting>
  <conditionalFormatting sqref="BF307:BM307">
    <cfRule type="colorScale" priority="646">
      <colorScale>
        <cfvo type="min"/>
        <cfvo type="percentile" val="50"/>
        <cfvo type="max"/>
        <color rgb="FF63BE7B"/>
        <color rgb="FFFFEB84"/>
        <color rgb="FFF8696B"/>
      </colorScale>
    </cfRule>
  </conditionalFormatting>
  <conditionalFormatting sqref="BF308:BM308">
    <cfRule type="colorScale" priority="645">
      <colorScale>
        <cfvo type="min"/>
        <cfvo type="percentile" val="50"/>
        <cfvo type="max"/>
        <color rgb="FF63BE7B"/>
        <color rgb="FFFFEB84"/>
        <color rgb="FFF8696B"/>
      </colorScale>
    </cfRule>
  </conditionalFormatting>
  <conditionalFormatting sqref="BF309:BM309">
    <cfRule type="colorScale" priority="644">
      <colorScale>
        <cfvo type="min"/>
        <cfvo type="percentile" val="50"/>
        <cfvo type="max"/>
        <color rgb="FF63BE7B"/>
        <color rgb="FFFFEB84"/>
        <color rgb="FFF8696B"/>
      </colorScale>
    </cfRule>
  </conditionalFormatting>
  <conditionalFormatting sqref="BF310:BM310">
    <cfRule type="colorScale" priority="643">
      <colorScale>
        <cfvo type="min"/>
        <cfvo type="percentile" val="50"/>
        <cfvo type="max"/>
        <color rgb="FF63BE7B"/>
        <color rgb="FFFFEB84"/>
        <color rgb="FFF8696B"/>
      </colorScale>
    </cfRule>
  </conditionalFormatting>
  <conditionalFormatting sqref="BF311:BM311">
    <cfRule type="colorScale" priority="642">
      <colorScale>
        <cfvo type="min"/>
        <cfvo type="percentile" val="50"/>
        <cfvo type="max"/>
        <color rgb="FF63BE7B"/>
        <color rgb="FFFFEB84"/>
        <color rgb="FFF8696B"/>
      </colorScale>
    </cfRule>
  </conditionalFormatting>
  <conditionalFormatting sqref="BF312:BM312">
    <cfRule type="colorScale" priority="641">
      <colorScale>
        <cfvo type="min"/>
        <cfvo type="percentile" val="50"/>
        <cfvo type="max"/>
        <color rgb="FF63BE7B"/>
        <color rgb="FFFFEB84"/>
        <color rgb="FFF8696B"/>
      </colorScale>
    </cfRule>
  </conditionalFormatting>
  <conditionalFormatting sqref="BF313:BM313">
    <cfRule type="colorScale" priority="640">
      <colorScale>
        <cfvo type="min"/>
        <cfvo type="percentile" val="50"/>
        <cfvo type="max"/>
        <color rgb="FF63BE7B"/>
        <color rgb="FFFFEB84"/>
        <color rgb="FFF8696B"/>
      </colorScale>
    </cfRule>
  </conditionalFormatting>
  <conditionalFormatting sqref="BF314:BM314">
    <cfRule type="colorScale" priority="639">
      <colorScale>
        <cfvo type="min"/>
        <cfvo type="percentile" val="50"/>
        <cfvo type="max"/>
        <color rgb="FF63BE7B"/>
        <color rgb="FFFFEB84"/>
        <color rgb="FFF8696B"/>
      </colorScale>
    </cfRule>
  </conditionalFormatting>
  <conditionalFormatting sqref="BF315:BM315">
    <cfRule type="colorScale" priority="638">
      <colorScale>
        <cfvo type="min"/>
        <cfvo type="percentile" val="50"/>
        <cfvo type="max"/>
        <color rgb="FF63BE7B"/>
        <color rgb="FFFFEB84"/>
        <color rgb="FFF8696B"/>
      </colorScale>
    </cfRule>
  </conditionalFormatting>
  <conditionalFormatting sqref="BF316:BM316">
    <cfRule type="colorScale" priority="637">
      <colorScale>
        <cfvo type="min"/>
        <cfvo type="percentile" val="50"/>
        <cfvo type="max"/>
        <color rgb="FF63BE7B"/>
        <color rgb="FFFFEB84"/>
        <color rgb="FFF8696B"/>
      </colorScale>
    </cfRule>
  </conditionalFormatting>
  <conditionalFormatting sqref="BF317:BM317">
    <cfRule type="colorScale" priority="636">
      <colorScale>
        <cfvo type="min"/>
        <cfvo type="percentile" val="50"/>
        <cfvo type="max"/>
        <color rgb="FF63BE7B"/>
        <color rgb="FFFFEB84"/>
        <color rgb="FFF8696B"/>
      </colorScale>
    </cfRule>
  </conditionalFormatting>
  <conditionalFormatting sqref="BF318:BM318">
    <cfRule type="colorScale" priority="635">
      <colorScale>
        <cfvo type="min"/>
        <cfvo type="percentile" val="50"/>
        <cfvo type="max"/>
        <color rgb="FF63BE7B"/>
        <color rgb="FFFFEB84"/>
        <color rgb="FFF8696B"/>
      </colorScale>
    </cfRule>
  </conditionalFormatting>
  <conditionalFormatting sqref="BF319:BM319">
    <cfRule type="colorScale" priority="634">
      <colorScale>
        <cfvo type="min"/>
        <cfvo type="percentile" val="50"/>
        <cfvo type="max"/>
        <color rgb="FF63BE7B"/>
        <color rgb="FFFFEB84"/>
        <color rgb="FFF8696B"/>
      </colorScale>
    </cfRule>
  </conditionalFormatting>
  <conditionalFormatting sqref="BF320:BM320">
    <cfRule type="colorScale" priority="633">
      <colorScale>
        <cfvo type="min"/>
        <cfvo type="percentile" val="50"/>
        <cfvo type="max"/>
        <color rgb="FF63BE7B"/>
        <color rgb="FFFFEB84"/>
        <color rgb="FFF8696B"/>
      </colorScale>
    </cfRule>
  </conditionalFormatting>
  <conditionalFormatting sqref="BF321:BM321">
    <cfRule type="colorScale" priority="632">
      <colorScale>
        <cfvo type="min"/>
        <cfvo type="percentile" val="50"/>
        <cfvo type="max"/>
        <color rgb="FF63BE7B"/>
        <color rgb="FFFFEB84"/>
        <color rgb="FFF8696B"/>
      </colorScale>
    </cfRule>
  </conditionalFormatting>
  <conditionalFormatting sqref="BF322:BM322">
    <cfRule type="colorScale" priority="631">
      <colorScale>
        <cfvo type="min"/>
        <cfvo type="percentile" val="50"/>
        <cfvo type="max"/>
        <color rgb="FF63BE7B"/>
        <color rgb="FFFFEB84"/>
        <color rgb="FFF8696B"/>
      </colorScale>
    </cfRule>
  </conditionalFormatting>
  <conditionalFormatting sqref="BF323:BM323">
    <cfRule type="colorScale" priority="630">
      <colorScale>
        <cfvo type="min"/>
        <cfvo type="percentile" val="50"/>
        <cfvo type="max"/>
        <color rgb="FF63BE7B"/>
        <color rgb="FFFFEB84"/>
        <color rgb="FFF8696B"/>
      </colorScale>
    </cfRule>
  </conditionalFormatting>
  <conditionalFormatting sqref="BF324:BM324">
    <cfRule type="colorScale" priority="629">
      <colorScale>
        <cfvo type="min"/>
        <cfvo type="percentile" val="50"/>
        <cfvo type="max"/>
        <color rgb="FF63BE7B"/>
        <color rgb="FFFFEB84"/>
        <color rgb="FFF8696B"/>
      </colorScale>
    </cfRule>
  </conditionalFormatting>
  <conditionalFormatting sqref="BF325:BM325">
    <cfRule type="colorScale" priority="628">
      <colorScale>
        <cfvo type="min"/>
        <cfvo type="percentile" val="50"/>
        <cfvo type="max"/>
        <color rgb="FF63BE7B"/>
        <color rgb="FFFFEB84"/>
        <color rgb="FFF8696B"/>
      </colorScale>
    </cfRule>
  </conditionalFormatting>
  <conditionalFormatting sqref="BF326:BM326">
    <cfRule type="colorScale" priority="627">
      <colorScale>
        <cfvo type="min"/>
        <cfvo type="percentile" val="50"/>
        <cfvo type="max"/>
        <color rgb="FF63BE7B"/>
        <color rgb="FFFFEB84"/>
        <color rgb="FFF8696B"/>
      </colorScale>
    </cfRule>
  </conditionalFormatting>
  <conditionalFormatting sqref="BF327:BM327">
    <cfRule type="colorScale" priority="626">
      <colorScale>
        <cfvo type="min"/>
        <cfvo type="percentile" val="50"/>
        <cfvo type="max"/>
        <color rgb="FF63BE7B"/>
        <color rgb="FFFFEB84"/>
        <color rgb="FFF8696B"/>
      </colorScale>
    </cfRule>
  </conditionalFormatting>
  <conditionalFormatting sqref="BF328:BM328">
    <cfRule type="colorScale" priority="625">
      <colorScale>
        <cfvo type="min"/>
        <cfvo type="percentile" val="50"/>
        <cfvo type="max"/>
        <color rgb="FF63BE7B"/>
        <color rgb="FFFFEB84"/>
        <color rgb="FFF8696B"/>
      </colorScale>
    </cfRule>
  </conditionalFormatting>
  <conditionalFormatting sqref="BF329:BM329">
    <cfRule type="colorScale" priority="624">
      <colorScale>
        <cfvo type="min"/>
        <cfvo type="percentile" val="50"/>
        <cfvo type="max"/>
        <color rgb="FF63BE7B"/>
        <color rgb="FFFFEB84"/>
        <color rgb="FFF8696B"/>
      </colorScale>
    </cfRule>
  </conditionalFormatting>
  <conditionalFormatting sqref="BF330:BM330">
    <cfRule type="colorScale" priority="623">
      <colorScale>
        <cfvo type="min"/>
        <cfvo type="percentile" val="50"/>
        <cfvo type="max"/>
        <color rgb="FF63BE7B"/>
        <color rgb="FFFFEB84"/>
        <color rgb="FFF8696B"/>
      </colorScale>
    </cfRule>
  </conditionalFormatting>
  <conditionalFormatting sqref="BF331:BM331">
    <cfRule type="colorScale" priority="622">
      <colorScale>
        <cfvo type="min"/>
        <cfvo type="percentile" val="50"/>
        <cfvo type="max"/>
        <color rgb="FF63BE7B"/>
        <color rgb="FFFFEB84"/>
        <color rgb="FFF8696B"/>
      </colorScale>
    </cfRule>
  </conditionalFormatting>
  <conditionalFormatting sqref="BF332:BM332">
    <cfRule type="colorScale" priority="621">
      <colorScale>
        <cfvo type="min"/>
        <cfvo type="percentile" val="50"/>
        <cfvo type="max"/>
        <color rgb="FF63BE7B"/>
        <color rgb="FFFFEB84"/>
        <color rgb="FFF8696B"/>
      </colorScale>
    </cfRule>
  </conditionalFormatting>
  <conditionalFormatting sqref="BF333:BM333">
    <cfRule type="colorScale" priority="620">
      <colorScale>
        <cfvo type="min"/>
        <cfvo type="percentile" val="50"/>
        <cfvo type="max"/>
        <color rgb="FF63BE7B"/>
        <color rgb="FFFFEB84"/>
        <color rgb="FFF8696B"/>
      </colorScale>
    </cfRule>
  </conditionalFormatting>
  <conditionalFormatting sqref="BF334:BM334">
    <cfRule type="colorScale" priority="619">
      <colorScale>
        <cfvo type="min"/>
        <cfvo type="percentile" val="50"/>
        <cfvo type="max"/>
        <color rgb="FF63BE7B"/>
        <color rgb="FFFFEB84"/>
        <color rgb="FFF8696B"/>
      </colorScale>
    </cfRule>
  </conditionalFormatting>
  <conditionalFormatting sqref="BF335:BM335">
    <cfRule type="colorScale" priority="618">
      <colorScale>
        <cfvo type="min"/>
        <cfvo type="percentile" val="50"/>
        <cfvo type="max"/>
        <color rgb="FF63BE7B"/>
        <color rgb="FFFFEB84"/>
        <color rgb="FFF8696B"/>
      </colorScale>
    </cfRule>
  </conditionalFormatting>
  <conditionalFormatting sqref="BF336:BM336">
    <cfRule type="colorScale" priority="617">
      <colorScale>
        <cfvo type="min"/>
        <cfvo type="percentile" val="50"/>
        <cfvo type="max"/>
        <color rgb="FF63BE7B"/>
        <color rgb="FFFFEB84"/>
        <color rgb="FFF8696B"/>
      </colorScale>
    </cfRule>
  </conditionalFormatting>
  <conditionalFormatting sqref="BF337:BM337">
    <cfRule type="colorScale" priority="616">
      <colorScale>
        <cfvo type="min"/>
        <cfvo type="percentile" val="50"/>
        <cfvo type="max"/>
        <color rgb="FF63BE7B"/>
        <color rgb="FFFFEB84"/>
        <color rgb="FFF8696B"/>
      </colorScale>
    </cfRule>
  </conditionalFormatting>
  <conditionalFormatting sqref="BF338:BM338">
    <cfRule type="colorScale" priority="615">
      <colorScale>
        <cfvo type="min"/>
        <cfvo type="percentile" val="50"/>
        <cfvo type="max"/>
        <color rgb="FF63BE7B"/>
        <color rgb="FFFFEB84"/>
        <color rgb="FFF8696B"/>
      </colorScale>
    </cfRule>
  </conditionalFormatting>
  <conditionalFormatting sqref="BF339:BM339">
    <cfRule type="colorScale" priority="614">
      <colorScale>
        <cfvo type="min"/>
        <cfvo type="percentile" val="50"/>
        <cfvo type="max"/>
        <color rgb="FF63BE7B"/>
        <color rgb="FFFFEB84"/>
        <color rgb="FFF8696B"/>
      </colorScale>
    </cfRule>
  </conditionalFormatting>
  <conditionalFormatting sqref="BF340:BM340">
    <cfRule type="colorScale" priority="613">
      <colorScale>
        <cfvo type="min"/>
        <cfvo type="percentile" val="50"/>
        <cfvo type="max"/>
        <color rgb="FF63BE7B"/>
        <color rgb="FFFFEB84"/>
        <color rgb="FFF8696B"/>
      </colorScale>
    </cfRule>
  </conditionalFormatting>
  <conditionalFormatting sqref="BF341:BM341">
    <cfRule type="colorScale" priority="612">
      <colorScale>
        <cfvo type="min"/>
        <cfvo type="percentile" val="50"/>
        <cfvo type="max"/>
        <color rgb="FF63BE7B"/>
        <color rgb="FFFFEB84"/>
        <color rgb="FFF8696B"/>
      </colorScale>
    </cfRule>
  </conditionalFormatting>
  <conditionalFormatting sqref="BF342:BM342">
    <cfRule type="colorScale" priority="611">
      <colorScale>
        <cfvo type="min"/>
        <cfvo type="percentile" val="50"/>
        <cfvo type="max"/>
        <color rgb="FF63BE7B"/>
        <color rgb="FFFFEB84"/>
        <color rgb="FFF8696B"/>
      </colorScale>
    </cfRule>
  </conditionalFormatting>
  <conditionalFormatting sqref="BF343:BM343">
    <cfRule type="colorScale" priority="610">
      <colorScale>
        <cfvo type="min"/>
        <cfvo type="percentile" val="50"/>
        <cfvo type="max"/>
        <color rgb="FF63BE7B"/>
        <color rgb="FFFFEB84"/>
        <color rgb="FFF8696B"/>
      </colorScale>
    </cfRule>
  </conditionalFormatting>
  <conditionalFormatting sqref="BF344:BM344">
    <cfRule type="colorScale" priority="609">
      <colorScale>
        <cfvo type="min"/>
        <cfvo type="percentile" val="50"/>
        <cfvo type="max"/>
        <color rgb="FF63BE7B"/>
        <color rgb="FFFFEB84"/>
        <color rgb="FFF8696B"/>
      </colorScale>
    </cfRule>
  </conditionalFormatting>
  <conditionalFormatting sqref="BF345:BM345">
    <cfRule type="colorScale" priority="608">
      <colorScale>
        <cfvo type="min"/>
        <cfvo type="percentile" val="50"/>
        <cfvo type="max"/>
        <color rgb="FF63BE7B"/>
        <color rgb="FFFFEB84"/>
        <color rgb="FFF8696B"/>
      </colorScale>
    </cfRule>
  </conditionalFormatting>
  <conditionalFormatting sqref="BF346:BM346">
    <cfRule type="colorScale" priority="607">
      <colorScale>
        <cfvo type="min"/>
        <cfvo type="percentile" val="50"/>
        <cfvo type="max"/>
        <color rgb="FF63BE7B"/>
        <color rgb="FFFFEB84"/>
        <color rgb="FFF8696B"/>
      </colorScale>
    </cfRule>
  </conditionalFormatting>
  <conditionalFormatting sqref="BF347:BM347">
    <cfRule type="colorScale" priority="606">
      <colorScale>
        <cfvo type="min"/>
        <cfvo type="percentile" val="50"/>
        <cfvo type="max"/>
        <color rgb="FF63BE7B"/>
        <color rgb="FFFFEB84"/>
        <color rgb="FFF8696B"/>
      </colorScale>
    </cfRule>
  </conditionalFormatting>
  <conditionalFormatting sqref="BF348:BM348">
    <cfRule type="colorScale" priority="605">
      <colorScale>
        <cfvo type="min"/>
        <cfvo type="percentile" val="50"/>
        <cfvo type="max"/>
        <color rgb="FF63BE7B"/>
        <color rgb="FFFFEB84"/>
        <color rgb="FFF8696B"/>
      </colorScale>
    </cfRule>
  </conditionalFormatting>
  <conditionalFormatting sqref="BF349:BM349">
    <cfRule type="colorScale" priority="604">
      <colorScale>
        <cfvo type="min"/>
        <cfvo type="percentile" val="50"/>
        <cfvo type="max"/>
        <color rgb="FF63BE7B"/>
        <color rgb="FFFFEB84"/>
        <color rgb="FFF8696B"/>
      </colorScale>
    </cfRule>
  </conditionalFormatting>
  <conditionalFormatting sqref="BF350:BM350">
    <cfRule type="colorScale" priority="603">
      <colorScale>
        <cfvo type="min"/>
        <cfvo type="percentile" val="50"/>
        <cfvo type="max"/>
        <color rgb="FF63BE7B"/>
        <color rgb="FFFFEB84"/>
        <color rgb="FFF8696B"/>
      </colorScale>
    </cfRule>
  </conditionalFormatting>
  <conditionalFormatting sqref="BF351:BM351">
    <cfRule type="colorScale" priority="602">
      <colorScale>
        <cfvo type="min"/>
        <cfvo type="percentile" val="50"/>
        <cfvo type="max"/>
        <color rgb="FF63BE7B"/>
        <color rgb="FFFFEB84"/>
        <color rgb="FFF8696B"/>
      </colorScale>
    </cfRule>
  </conditionalFormatting>
  <conditionalFormatting sqref="BF352:BM352">
    <cfRule type="colorScale" priority="601">
      <colorScale>
        <cfvo type="min"/>
        <cfvo type="percentile" val="50"/>
        <cfvo type="max"/>
        <color rgb="FF63BE7B"/>
        <color rgb="FFFFEB84"/>
        <color rgb="FFF8696B"/>
      </colorScale>
    </cfRule>
  </conditionalFormatting>
  <conditionalFormatting sqref="BF353:BM353">
    <cfRule type="colorScale" priority="600">
      <colorScale>
        <cfvo type="min"/>
        <cfvo type="percentile" val="50"/>
        <cfvo type="max"/>
        <color rgb="FF63BE7B"/>
        <color rgb="FFFFEB84"/>
        <color rgb="FFF8696B"/>
      </colorScale>
    </cfRule>
  </conditionalFormatting>
  <conditionalFormatting sqref="BF354:BM354">
    <cfRule type="colorScale" priority="599">
      <colorScale>
        <cfvo type="min"/>
        <cfvo type="percentile" val="50"/>
        <cfvo type="max"/>
        <color rgb="FF63BE7B"/>
        <color rgb="FFFFEB84"/>
        <color rgb="FFF8696B"/>
      </colorScale>
    </cfRule>
  </conditionalFormatting>
  <conditionalFormatting sqref="BF355:BM355">
    <cfRule type="colorScale" priority="598">
      <colorScale>
        <cfvo type="min"/>
        <cfvo type="percentile" val="50"/>
        <cfvo type="max"/>
        <color rgb="FF63BE7B"/>
        <color rgb="FFFFEB84"/>
        <color rgb="FFF8696B"/>
      </colorScale>
    </cfRule>
  </conditionalFormatting>
  <conditionalFormatting sqref="BF356:BM356">
    <cfRule type="colorScale" priority="597">
      <colorScale>
        <cfvo type="min"/>
        <cfvo type="percentile" val="50"/>
        <cfvo type="max"/>
        <color rgb="FF63BE7B"/>
        <color rgb="FFFFEB84"/>
        <color rgb="FFF8696B"/>
      </colorScale>
    </cfRule>
  </conditionalFormatting>
  <conditionalFormatting sqref="BF357:BM357">
    <cfRule type="colorScale" priority="596">
      <colorScale>
        <cfvo type="min"/>
        <cfvo type="percentile" val="50"/>
        <cfvo type="max"/>
        <color rgb="FF63BE7B"/>
        <color rgb="FFFFEB84"/>
        <color rgb="FFF8696B"/>
      </colorScale>
    </cfRule>
  </conditionalFormatting>
  <conditionalFormatting sqref="BF358:BM358">
    <cfRule type="colorScale" priority="595">
      <colorScale>
        <cfvo type="min"/>
        <cfvo type="percentile" val="50"/>
        <cfvo type="max"/>
        <color rgb="FF63BE7B"/>
        <color rgb="FFFFEB84"/>
        <color rgb="FFF8696B"/>
      </colorScale>
    </cfRule>
  </conditionalFormatting>
  <conditionalFormatting sqref="BF359:BM359">
    <cfRule type="colorScale" priority="594">
      <colorScale>
        <cfvo type="min"/>
        <cfvo type="percentile" val="50"/>
        <cfvo type="max"/>
        <color rgb="FF63BE7B"/>
        <color rgb="FFFFEB84"/>
        <color rgb="FFF8696B"/>
      </colorScale>
    </cfRule>
  </conditionalFormatting>
  <conditionalFormatting sqref="BF360:BM360">
    <cfRule type="colorScale" priority="593">
      <colorScale>
        <cfvo type="min"/>
        <cfvo type="percentile" val="50"/>
        <cfvo type="max"/>
        <color rgb="FF63BE7B"/>
        <color rgb="FFFFEB84"/>
        <color rgb="FFF8696B"/>
      </colorScale>
    </cfRule>
  </conditionalFormatting>
  <conditionalFormatting sqref="BF361:BM361">
    <cfRule type="colorScale" priority="592">
      <colorScale>
        <cfvo type="min"/>
        <cfvo type="percentile" val="50"/>
        <cfvo type="max"/>
        <color rgb="FF63BE7B"/>
        <color rgb="FFFFEB84"/>
        <color rgb="FFF8696B"/>
      </colorScale>
    </cfRule>
  </conditionalFormatting>
  <conditionalFormatting sqref="BF362:BM362">
    <cfRule type="colorScale" priority="591">
      <colorScale>
        <cfvo type="min"/>
        <cfvo type="percentile" val="50"/>
        <cfvo type="max"/>
        <color rgb="FF63BE7B"/>
        <color rgb="FFFFEB84"/>
        <color rgb="FFF8696B"/>
      </colorScale>
    </cfRule>
  </conditionalFormatting>
  <conditionalFormatting sqref="BF363:BM363">
    <cfRule type="colorScale" priority="590">
      <colorScale>
        <cfvo type="min"/>
        <cfvo type="percentile" val="50"/>
        <cfvo type="max"/>
        <color rgb="FF63BE7B"/>
        <color rgb="FFFFEB84"/>
        <color rgb="FFF8696B"/>
      </colorScale>
    </cfRule>
  </conditionalFormatting>
  <conditionalFormatting sqref="BF364:BM364">
    <cfRule type="colorScale" priority="589">
      <colorScale>
        <cfvo type="min"/>
        <cfvo type="percentile" val="50"/>
        <cfvo type="max"/>
        <color rgb="FF63BE7B"/>
        <color rgb="FFFFEB84"/>
        <color rgb="FFF8696B"/>
      </colorScale>
    </cfRule>
  </conditionalFormatting>
  <conditionalFormatting sqref="BF365:BM365">
    <cfRule type="colorScale" priority="588">
      <colorScale>
        <cfvo type="min"/>
        <cfvo type="percentile" val="50"/>
        <cfvo type="max"/>
        <color rgb="FF63BE7B"/>
        <color rgb="FFFFEB84"/>
        <color rgb="FFF8696B"/>
      </colorScale>
    </cfRule>
  </conditionalFormatting>
  <conditionalFormatting sqref="BF366:BM366">
    <cfRule type="colorScale" priority="587">
      <colorScale>
        <cfvo type="min"/>
        <cfvo type="percentile" val="50"/>
        <cfvo type="max"/>
        <color rgb="FF63BE7B"/>
        <color rgb="FFFFEB84"/>
        <color rgb="FFF8696B"/>
      </colorScale>
    </cfRule>
  </conditionalFormatting>
  <conditionalFormatting sqref="BF367:BM367">
    <cfRule type="colorScale" priority="586">
      <colorScale>
        <cfvo type="min"/>
        <cfvo type="percentile" val="50"/>
        <cfvo type="max"/>
        <color rgb="FF63BE7B"/>
        <color rgb="FFFFEB84"/>
        <color rgb="FFF8696B"/>
      </colorScale>
    </cfRule>
  </conditionalFormatting>
  <conditionalFormatting sqref="BF368:BM368">
    <cfRule type="colorScale" priority="585">
      <colorScale>
        <cfvo type="min"/>
        <cfvo type="percentile" val="50"/>
        <cfvo type="max"/>
        <color rgb="FF63BE7B"/>
        <color rgb="FFFFEB84"/>
        <color rgb="FFF8696B"/>
      </colorScale>
    </cfRule>
  </conditionalFormatting>
  <conditionalFormatting sqref="BF369:BM369">
    <cfRule type="colorScale" priority="584">
      <colorScale>
        <cfvo type="min"/>
        <cfvo type="percentile" val="50"/>
        <cfvo type="max"/>
        <color rgb="FF63BE7B"/>
        <color rgb="FFFFEB84"/>
        <color rgb="FFF8696B"/>
      </colorScale>
    </cfRule>
  </conditionalFormatting>
  <conditionalFormatting sqref="BF370:BM370">
    <cfRule type="colorScale" priority="583">
      <colorScale>
        <cfvo type="min"/>
        <cfvo type="percentile" val="50"/>
        <cfvo type="max"/>
        <color rgb="FF63BE7B"/>
        <color rgb="FFFFEB84"/>
        <color rgb="FFF8696B"/>
      </colorScale>
    </cfRule>
  </conditionalFormatting>
  <conditionalFormatting sqref="BF371:BM371">
    <cfRule type="colorScale" priority="582">
      <colorScale>
        <cfvo type="min"/>
        <cfvo type="percentile" val="50"/>
        <cfvo type="max"/>
        <color rgb="FF63BE7B"/>
        <color rgb="FFFFEB84"/>
        <color rgb="FFF8696B"/>
      </colorScale>
    </cfRule>
  </conditionalFormatting>
  <conditionalFormatting sqref="BF372:BM372">
    <cfRule type="colorScale" priority="581">
      <colorScale>
        <cfvo type="min"/>
        <cfvo type="percentile" val="50"/>
        <cfvo type="max"/>
        <color rgb="FF63BE7B"/>
        <color rgb="FFFFEB84"/>
        <color rgb="FFF8696B"/>
      </colorScale>
    </cfRule>
  </conditionalFormatting>
  <conditionalFormatting sqref="BF373:BM373">
    <cfRule type="colorScale" priority="580">
      <colorScale>
        <cfvo type="min"/>
        <cfvo type="percentile" val="50"/>
        <cfvo type="max"/>
        <color rgb="FF63BE7B"/>
        <color rgb="FFFFEB84"/>
        <color rgb="FFF8696B"/>
      </colorScale>
    </cfRule>
  </conditionalFormatting>
  <conditionalFormatting sqref="BF374:BM374">
    <cfRule type="colorScale" priority="579">
      <colorScale>
        <cfvo type="min"/>
        <cfvo type="percentile" val="50"/>
        <cfvo type="max"/>
        <color rgb="FF63BE7B"/>
        <color rgb="FFFFEB84"/>
        <color rgb="FFF8696B"/>
      </colorScale>
    </cfRule>
  </conditionalFormatting>
  <conditionalFormatting sqref="BF375:BM375">
    <cfRule type="colorScale" priority="578">
      <colorScale>
        <cfvo type="min"/>
        <cfvo type="percentile" val="50"/>
        <cfvo type="max"/>
        <color rgb="FF63BE7B"/>
        <color rgb="FFFFEB84"/>
        <color rgb="FFF8696B"/>
      </colorScale>
    </cfRule>
  </conditionalFormatting>
  <conditionalFormatting sqref="BF376:BM376">
    <cfRule type="colorScale" priority="577">
      <colorScale>
        <cfvo type="min"/>
        <cfvo type="percentile" val="50"/>
        <cfvo type="max"/>
        <color rgb="FF63BE7B"/>
        <color rgb="FFFFEB84"/>
        <color rgb="FFF8696B"/>
      </colorScale>
    </cfRule>
  </conditionalFormatting>
  <conditionalFormatting sqref="BF377:BM377">
    <cfRule type="colorScale" priority="576">
      <colorScale>
        <cfvo type="min"/>
        <cfvo type="percentile" val="50"/>
        <cfvo type="max"/>
        <color rgb="FF63BE7B"/>
        <color rgb="FFFFEB84"/>
        <color rgb="FFF8696B"/>
      </colorScale>
    </cfRule>
  </conditionalFormatting>
  <conditionalFormatting sqref="BF378:BM378">
    <cfRule type="colorScale" priority="575">
      <colorScale>
        <cfvo type="min"/>
        <cfvo type="percentile" val="50"/>
        <cfvo type="max"/>
        <color rgb="FF63BE7B"/>
        <color rgb="FFFFEB84"/>
        <color rgb="FFF8696B"/>
      </colorScale>
    </cfRule>
  </conditionalFormatting>
  <conditionalFormatting sqref="BF379:BM379">
    <cfRule type="colorScale" priority="574">
      <colorScale>
        <cfvo type="min"/>
        <cfvo type="percentile" val="50"/>
        <cfvo type="max"/>
        <color rgb="FF63BE7B"/>
        <color rgb="FFFFEB84"/>
        <color rgb="FFF8696B"/>
      </colorScale>
    </cfRule>
  </conditionalFormatting>
  <conditionalFormatting sqref="BF380:BM380">
    <cfRule type="colorScale" priority="573">
      <colorScale>
        <cfvo type="min"/>
        <cfvo type="percentile" val="50"/>
        <cfvo type="max"/>
        <color rgb="FF63BE7B"/>
        <color rgb="FFFFEB84"/>
        <color rgb="FFF8696B"/>
      </colorScale>
    </cfRule>
  </conditionalFormatting>
  <conditionalFormatting sqref="BF381:BM381">
    <cfRule type="colorScale" priority="572">
      <colorScale>
        <cfvo type="min"/>
        <cfvo type="percentile" val="50"/>
        <cfvo type="max"/>
        <color rgb="FF63BE7B"/>
        <color rgb="FFFFEB84"/>
        <color rgb="FFF8696B"/>
      </colorScale>
    </cfRule>
  </conditionalFormatting>
  <conditionalFormatting sqref="BF382:BM382">
    <cfRule type="colorScale" priority="571">
      <colorScale>
        <cfvo type="min"/>
        <cfvo type="percentile" val="50"/>
        <cfvo type="max"/>
        <color rgb="FF63BE7B"/>
        <color rgb="FFFFEB84"/>
        <color rgb="FFF8696B"/>
      </colorScale>
    </cfRule>
  </conditionalFormatting>
  <conditionalFormatting sqref="BF383:BM383">
    <cfRule type="colorScale" priority="570">
      <colorScale>
        <cfvo type="min"/>
        <cfvo type="percentile" val="50"/>
        <cfvo type="max"/>
        <color rgb="FF63BE7B"/>
        <color rgb="FFFFEB84"/>
        <color rgb="FFF8696B"/>
      </colorScale>
    </cfRule>
  </conditionalFormatting>
  <conditionalFormatting sqref="BF384:BM384">
    <cfRule type="colorScale" priority="569">
      <colorScale>
        <cfvo type="min"/>
        <cfvo type="percentile" val="50"/>
        <cfvo type="max"/>
        <color rgb="FF63BE7B"/>
        <color rgb="FFFFEB84"/>
        <color rgb="FFF8696B"/>
      </colorScale>
    </cfRule>
  </conditionalFormatting>
  <conditionalFormatting sqref="BF385:BM385">
    <cfRule type="colorScale" priority="568">
      <colorScale>
        <cfvo type="min"/>
        <cfvo type="percentile" val="50"/>
        <cfvo type="max"/>
        <color rgb="FF63BE7B"/>
        <color rgb="FFFFEB84"/>
        <color rgb="FFF8696B"/>
      </colorScale>
    </cfRule>
  </conditionalFormatting>
  <conditionalFormatting sqref="BF386:BM386">
    <cfRule type="colorScale" priority="567">
      <colorScale>
        <cfvo type="min"/>
        <cfvo type="percentile" val="50"/>
        <cfvo type="max"/>
        <color rgb="FF63BE7B"/>
        <color rgb="FFFFEB84"/>
        <color rgb="FFF8696B"/>
      </colorScale>
    </cfRule>
  </conditionalFormatting>
  <conditionalFormatting sqref="BF387:BM387">
    <cfRule type="colorScale" priority="566">
      <colorScale>
        <cfvo type="min"/>
        <cfvo type="percentile" val="50"/>
        <cfvo type="max"/>
        <color rgb="FF63BE7B"/>
        <color rgb="FFFFEB84"/>
        <color rgb="FFF8696B"/>
      </colorScale>
    </cfRule>
  </conditionalFormatting>
  <conditionalFormatting sqref="BF388:BM388">
    <cfRule type="colorScale" priority="565">
      <colorScale>
        <cfvo type="min"/>
        <cfvo type="percentile" val="50"/>
        <cfvo type="max"/>
        <color rgb="FF63BE7B"/>
        <color rgb="FFFFEB84"/>
        <color rgb="FFF8696B"/>
      </colorScale>
    </cfRule>
  </conditionalFormatting>
  <conditionalFormatting sqref="BF389:BM389">
    <cfRule type="colorScale" priority="564">
      <colorScale>
        <cfvo type="min"/>
        <cfvo type="percentile" val="50"/>
        <cfvo type="max"/>
        <color rgb="FF63BE7B"/>
        <color rgb="FFFFEB84"/>
        <color rgb="FFF8696B"/>
      </colorScale>
    </cfRule>
  </conditionalFormatting>
  <conditionalFormatting sqref="BF390:BM390">
    <cfRule type="colorScale" priority="563">
      <colorScale>
        <cfvo type="min"/>
        <cfvo type="percentile" val="50"/>
        <cfvo type="max"/>
        <color rgb="FF63BE7B"/>
        <color rgb="FFFFEB84"/>
        <color rgb="FFF8696B"/>
      </colorScale>
    </cfRule>
  </conditionalFormatting>
  <conditionalFormatting sqref="BF391:BM391">
    <cfRule type="colorScale" priority="562">
      <colorScale>
        <cfvo type="min"/>
        <cfvo type="percentile" val="50"/>
        <cfvo type="max"/>
        <color rgb="FF63BE7B"/>
        <color rgb="FFFFEB84"/>
        <color rgb="FFF8696B"/>
      </colorScale>
    </cfRule>
  </conditionalFormatting>
  <conditionalFormatting sqref="BF392:BM392">
    <cfRule type="colorScale" priority="561">
      <colorScale>
        <cfvo type="min"/>
        <cfvo type="percentile" val="50"/>
        <cfvo type="max"/>
        <color rgb="FF63BE7B"/>
        <color rgb="FFFFEB84"/>
        <color rgb="FFF8696B"/>
      </colorScale>
    </cfRule>
  </conditionalFormatting>
  <conditionalFormatting sqref="BF393:BM393">
    <cfRule type="colorScale" priority="560">
      <colorScale>
        <cfvo type="min"/>
        <cfvo type="percentile" val="50"/>
        <cfvo type="max"/>
        <color rgb="FF63BE7B"/>
        <color rgb="FFFFEB84"/>
        <color rgb="FFF8696B"/>
      </colorScale>
    </cfRule>
  </conditionalFormatting>
  <conditionalFormatting sqref="BF394:BM394">
    <cfRule type="colorScale" priority="559">
      <colorScale>
        <cfvo type="min"/>
        <cfvo type="percentile" val="50"/>
        <cfvo type="max"/>
        <color rgb="FF63BE7B"/>
        <color rgb="FFFFEB84"/>
        <color rgb="FFF8696B"/>
      </colorScale>
    </cfRule>
  </conditionalFormatting>
  <conditionalFormatting sqref="BF395:BM395">
    <cfRule type="colorScale" priority="558">
      <colorScale>
        <cfvo type="min"/>
        <cfvo type="percentile" val="50"/>
        <cfvo type="max"/>
        <color rgb="FF63BE7B"/>
        <color rgb="FFFFEB84"/>
        <color rgb="FFF8696B"/>
      </colorScale>
    </cfRule>
  </conditionalFormatting>
  <conditionalFormatting sqref="BF396:BM396">
    <cfRule type="colorScale" priority="557">
      <colorScale>
        <cfvo type="min"/>
        <cfvo type="percentile" val="50"/>
        <cfvo type="max"/>
        <color rgb="FF63BE7B"/>
        <color rgb="FFFFEB84"/>
        <color rgb="FFF8696B"/>
      </colorScale>
    </cfRule>
  </conditionalFormatting>
  <conditionalFormatting sqref="BF397:BM397">
    <cfRule type="colorScale" priority="556">
      <colorScale>
        <cfvo type="min"/>
        <cfvo type="percentile" val="50"/>
        <cfvo type="max"/>
        <color rgb="FF63BE7B"/>
        <color rgb="FFFFEB84"/>
        <color rgb="FFF8696B"/>
      </colorScale>
    </cfRule>
  </conditionalFormatting>
  <conditionalFormatting sqref="BF398:BM398">
    <cfRule type="colorScale" priority="555">
      <colorScale>
        <cfvo type="min"/>
        <cfvo type="percentile" val="50"/>
        <cfvo type="max"/>
        <color rgb="FF63BE7B"/>
        <color rgb="FFFFEB84"/>
        <color rgb="FFF8696B"/>
      </colorScale>
    </cfRule>
  </conditionalFormatting>
  <conditionalFormatting sqref="BF399:BM399">
    <cfRule type="colorScale" priority="554">
      <colorScale>
        <cfvo type="min"/>
        <cfvo type="percentile" val="50"/>
        <cfvo type="max"/>
        <color rgb="FF63BE7B"/>
        <color rgb="FFFFEB84"/>
        <color rgb="FFF8696B"/>
      </colorScale>
    </cfRule>
  </conditionalFormatting>
  <conditionalFormatting sqref="BF400:BM400">
    <cfRule type="colorScale" priority="553">
      <colorScale>
        <cfvo type="min"/>
        <cfvo type="percentile" val="50"/>
        <cfvo type="max"/>
        <color rgb="FF63BE7B"/>
        <color rgb="FFFFEB84"/>
        <color rgb="FFF8696B"/>
      </colorScale>
    </cfRule>
  </conditionalFormatting>
  <conditionalFormatting sqref="BF401:BM401">
    <cfRule type="colorScale" priority="552">
      <colorScale>
        <cfvo type="min"/>
        <cfvo type="percentile" val="50"/>
        <cfvo type="max"/>
        <color rgb="FF63BE7B"/>
        <color rgb="FFFFEB84"/>
        <color rgb="FFF8696B"/>
      </colorScale>
    </cfRule>
  </conditionalFormatting>
  <conditionalFormatting sqref="BF402:BM402">
    <cfRule type="colorScale" priority="551">
      <colorScale>
        <cfvo type="min"/>
        <cfvo type="percentile" val="50"/>
        <cfvo type="max"/>
        <color rgb="FF63BE7B"/>
        <color rgb="FFFFEB84"/>
        <color rgb="FFF8696B"/>
      </colorScale>
    </cfRule>
  </conditionalFormatting>
  <conditionalFormatting sqref="BF403:BM403">
    <cfRule type="colorScale" priority="550">
      <colorScale>
        <cfvo type="min"/>
        <cfvo type="percentile" val="50"/>
        <cfvo type="max"/>
        <color rgb="FF63BE7B"/>
        <color rgb="FFFFEB84"/>
        <color rgb="FFF8696B"/>
      </colorScale>
    </cfRule>
  </conditionalFormatting>
  <conditionalFormatting sqref="BF404:BM404">
    <cfRule type="colorScale" priority="549">
      <colorScale>
        <cfvo type="min"/>
        <cfvo type="percentile" val="50"/>
        <cfvo type="max"/>
        <color rgb="FF63BE7B"/>
        <color rgb="FFFFEB84"/>
        <color rgb="FFF8696B"/>
      </colorScale>
    </cfRule>
  </conditionalFormatting>
  <conditionalFormatting sqref="BF405:BM405">
    <cfRule type="colorScale" priority="548">
      <colorScale>
        <cfvo type="min"/>
        <cfvo type="percentile" val="50"/>
        <cfvo type="max"/>
        <color rgb="FF63BE7B"/>
        <color rgb="FFFFEB84"/>
        <color rgb="FFF8696B"/>
      </colorScale>
    </cfRule>
  </conditionalFormatting>
  <conditionalFormatting sqref="BF406:BM406">
    <cfRule type="colorScale" priority="547">
      <colorScale>
        <cfvo type="min"/>
        <cfvo type="percentile" val="50"/>
        <cfvo type="max"/>
        <color rgb="FF63BE7B"/>
        <color rgb="FFFFEB84"/>
        <color rgb="FFF8696B"/>
      </colorScale>
    </cfRule>
  </conditionalFormatting>
  <conditionalFormatting sqref="BF407:BM407">
    <cfRule type="colorScale" priority="546">
      <colorScale>
        <cfvo type="min"/>
        <cfvo type="percentile" val="50"/>
        <cfvo type="max"/>
        <color rgb="FF63BE7B"/>
        <color rgb="FFFFEB84"/>
        <color rgb="FFF8696B"/>
      </colorScale>
    </cfRule>
  </conditionalFormatting>
  <conditionalFormatting sqref="BF408:BM408">
    <cfRule type="colorScale" priority="545">
      <colorScale>
        <cfvo type="min"/>
        <cfvo type="percentile" val="50"/>
        <cfvo type="max"/>
        <color rgb="FF63BE7B"/>
        <color rgb="FFFFEB84"/>
        <color rgb="FFF8696B"/>
      </colorScale>
    </cfRule>
  </conditionalFormatting>
  <conditionalFormatting sqref="BF409:BM409">
    <cfRule type="colorScale" priority="544">
      <colorScale>
        <cfvo type="min"/>
        <cfvo type="percentile" val="50"/>
        <cfvo type="max"/>
        <color rgb="FF63BE7B"/>
        <color rgb="FFFFEB84"/>
        <color rgb="FFF8696B"/>
      </colorScale>
    </cfRule>
  </conditionalFormatting>
  <conditionalFormatting sqref="BF410:BM410">
    <cfRule type="colorScale" priority="543">
      <colorScale>
        <cfvo type="min"/>
        <cfvo type="percentile" val="50"/>
        <cfvo type="max"/>
        <color rgb="FF63BE7B"/>
        <color rgb="FFFFEB84"/>
        <color rgb="FFF8696B"/>
      </colorScale>
    </cfRule>
  </conditionalFormatting>
  <conditionalFormatting sqref="BF411:BM411">
    <cfRule type="colorScale" priority="542">
      <colorScale>
        <cfvo type="min"/>
        <cfvo type="percentile" val="50"/>
        <cfvo type="max"/>
        <color rgb="FF63BE7B"/>
        <color rgb="FFFFEB84"/>
        <color rgb="FFF8696B"/>
      </colorScale>
    </cfRule>
  </conditionalFormatting>
  <conditionalFormatting sqref="BF412:BM412">
    <cfRule type="colorScale" priority="541">
      <colorScale>
        <cfvo type="min"/>
        <cfvo type="percentile" val="50"/>
        <cfvo type="max"/>
        <color rgb="FF63BE7B"/>
        <color rgb="FFFFEB84"/>
        <color rgb="FFF8696B"/>
      </colorScale>
    </cfRule>
  </conditionalFormatting>
  <conditionalFormatting sqref="BF413:BM413">
    <cfRule type="colorScale" priority="540">
      <colorScale>
        <cfvo type="min"/>
        <cfvo type="percentile" val="50"/>
        <cfvo type="max"/>
        <color rgb="FF63BE7B"/>
        <color rgb="FFFFEB84"/>
        <color rgb="FFF8696B"/>
      </colorScale>
    </cfRule>
  </conditionalFormatting>
  <conditionalFormatting sqref="BF414:BM414">
    <cfRule type="colorScale" priority="539">
      <colorScale>
        <cfvo type="min"/>
        <cfvo type="percentile" val="50"/>
        <cfvo type="max"/>
        <color rgb="FF63BE7B"/>
        <color rgb="FFFFEB84"/>
        <color rgb="FFF8696B"/>
      </colorScale>
    </cfRule>
  </conditionalFormatting>
  <conditionalFormatting sqref="BF415:BM415">
    <cfRule type="colorScale" priority="538">
      <colorScale>
        <cfvo type="min"/>
        <cfvo type="percentile" val="50"/>
        <cfvo type="max"/>
        <color rgb="FF63BE7B"/>
        <color rgb="FFFFEB84"/>
        <color rgb="FFF8696B"/>
      </colorScale>
    </cfRule>
  </conditionalFormatting>
  <conditionalFormatting sqref="BF416:BM416">
    <cfRule type="colorScale" priority="537">
      <colorScale>
        <cfvo type="min"/>
        <cfvo type="percentile" val="50"/>
        <cfvo type="max"/>
        <color rgb="FF63BE7B"/>
        <color rgb="FFFFEB84"/>
        <color rgb="FFF8696B"/>
      </colorScale>
    </cfRule>
  </conditionalFormatting>
  <conditionalFormatting sqref="BF417:BM417">
    <cfRule type="colorScale" priority="536">
      <colorScale>
        <cfvo type="min"/>
        <cfvo type="percentile" val="50"/>
        <cfvo type="max"/>
        <color rgb="FF63BE7B"/>
        <color rgb="FFFFEB84"/>
        <color rgb="FFF8696B"/>
      </colorScale>
    </cfRule>
  </conditionalFormatting>
  <conditionalFormatting sqref="BF418:BM418">
    <cfRule type="colorScale" priority="535">
      <colorScale>
        <cfvo type="min"/>
        <cfvo type="percentile" val="50"/>
        <cfvo type="max"/>
        <color rgb="FF63BE7B"/>
        <color rgb="FFFFEB84"/>
        <color rgb="FFF8696B"/>
      </colorScale>
    </cfRule>
  </conditionalFormatting>
  <conditionalFormatting sqref="BF419:BM419">
    <cfRule type="colorScale" priority="534">
      <colorScale>
        <cfvo type="min"/>
        <cfvo type="percentile" val="50"/>
        <cfvo type="max"/>
        <color rgb="FF63BE7B"/>
        <color rgb="FFFFEB84"/>
        <color rgb="FFF8696B"/>
      </colorScale>
    </cfRule>
  </conditionalFormatting>
  <conditionalFormatting sqref="BF420:BM420">
    <cfRule type="colorScale" priority="533">
      <colorScale>
        <cfvo type="min"/>
        <cfvo type="percentile" val="50"/>
        <cfvo type="max"/>
        <color rgb="FF63BE7B"/>
        <color rgb="FFFFEB84"/>
        <color rgb="FFF8696B"/>
      </colorScale>
    </cfRule>
  </conditionalFormatting>
  <conditionalFormatting sqref="BF421:BM421">
    <cfRule type="colorScale" priority="532">
      <colorScale>
        <cfvo type="min"/>
        <cfvo type="percentile" val="50"/>
        <cfvo type="max"/>
        <color rgb="FF63BE7B"/>
        <color rgb="FFFFEB84"/>
        <color rgb="FFF8696B"/>
      </colorScale>
    </cfRule>
  </conditionalFormatting>
  <conditionalFormatting sqref="BF422:BM422">
    <cfRule type="colorScale" priority="531">
      <colorScale>
        <cfvo type="min"/>
        <cfvo type="percentile" val="50"/>
        <cfvo type="max"/>
        <color rgb="FF63BE7B"/>
        <color rgb="FFFFEB84"/>
        <color rgb="FFF8696B"/>
      </colorScale>
    </cfRule>
  </conditionalFormatting>
  <conditionalFormatting sqref="BF423:BM423">
    <cfRule type="colorScale" priority="530">
      <colorScale>
        <cfvo type="min"/>
        <cfvo type="percentile" val="50"/>
        <cfvo type="max"/>
        <color rgb="FF63BE7B"/>
        <color rgb="FFFFEB84"/>
        <color rgb="FFF8696B"/>
      </colorScale>
    </cfRule>
  </conditionalFormatting>
  <conditionalFormatting sqref="BF424:BM424">
    <cfRule type="colorScale" priority="529">
      <colorScale>
        <cfvo type="min"/>
        <cfvo type="percentile" val="50"/>
        <cfvo type="max"/>
        <color rgb="FF63BE7B"/>
        <color rgb="FFFFEB84"/>
        <color rgb="FFF8696B"/>
      </colorScale>
    </cfRule>
  </conditionalFormatting>
  <conditionalFormatting sqref="BF425:BM425">
    <cfRule type="colorScale" priority="528">
      <colorScale>
        <cfvo type="min"/>
        <cfvo type="percentile" val="50"/>
        <cfvo type="max"/>
        <color rgb="FF63BE7B"/>
        <color rgb="FFFFEB84"/>
        <color rgb="FFF8696B"/>
      </colorScale>
    </cfRule>
  </conditionalFormatting>
  <conditionalFormatting sqref="BF426:BM426">
    <cfRule type="colorScale" priority="527">
      <colorScale>
        <cfvo type="min"/>
        <cfvo type="percentile" val="50"/>
        <cfvo type="max"/>
        <color rgb="FF63BE7B"/>
        <color rgb="FFFFEB84"/>
        <color rgb="FFF8696B"/>
      </colorScale>
    </cfRule>
  </conditionalFormatting>
  <conditionalFormatting sqref="BF427:BM427">
    <cfRule type="colorScale" priority="526">
      <colorScale>
        <cfvo type="min"/>
        <cfvo type="percentile" val="50"/>
        <cfvo type="max"/>
        <color rgb="FF63BE7B"/>
        <color rgb="FFFFEB84"/>
        <color rgb="FFF8696B"/>
      </colorScale>
    </cfRule>
  </conditionalFormatting>
  <conditionalFormatting sqref="BF428:BM428">
    <cfRule type="colorScale" priority="525">
      <colorScale>
        <cfvo type="min"/>
        <cfvo type="percentile" val="50"/>
        <cfvo type="max"/>
        <color rgb="FF63BE7B"/>
        <color rgb="FFFFEB84"/>
        <color rgb="FFF8696B"/>
      </colorScale>
    </cfRule>
  </conditionalFormatting>
  <conditionalFormatting sqref="BF429:BM429">
    <cfRule type="colorScale" priority="524">
      <colorScale>
        <cfvo type="min"/>
        <cfvo type="percentile" val="50"/>
        <cfvo type="max"/>
        <color rgb="FF63BE7B"/>
        <color rgb="FFFFEB84"/>
        <color rgb="FFF8696B"/>
      </colorScale>
    </cfRule>
  </conditionalFormatting>
  <conditionalFormatting sqref="BF430:BM430">
    <cfRule type="colorScale" priority="523">
      <colorScale>
        <cfvo type="min"/>
        <cfvo type="percentile" val="50"/>
        <cfvo type="max"/>
        <color rgb="FF63BE7B"/>
        <color rgb="FFFFEB84"/>
        <color rgb="FFF8696B"/>
      </colorScale>
    </cfRule>
  </conditionalFormatting>
  <conditionalFormatting sqref="BF431:BM431">
    <cfRule type="colorScale" priority="522">
      <colorScale>
        <cfvo type="min"/>
        <cfvo type="percentile" val="50"/>
        <cfvo type="max"/>
        <color rgb="FF63BE7B"/>
        <color rgb="FFFFEB84"/>
        <color rgb="FFF8696B"/>
      </colorScale>
    </cfRule>
  </conditionalFormatting>
  <conditionalFormatting sqref="BF432:BM432">
    <cfRule type="colorScale" priority="521">
      <colorScale>
        <cfvo type="min"/>
        <cfvo type="percentile" val="50"/>
        <cfvo type="max"/>
        <color rgb="FF63BE7B"/>
        <color rgb="FFFFEB84"/>
        <color rgb="FFF8696B"/>
      </colorScale>
    </cfRule>
  </conditionalFormatting>
  <conditionalFormatting sqref="BF433:BM433">
    <cfRule type="colorScale" priority="520">
      <colorScale>
        <cfvo type="min"/>
        <cfvo type="percentile" val="50"/>
        <cfvo type="max"/>
        <color rgb="FF63BE7B"/>
        <color rgb="FFFFEB84"/>
        <color rgb="FFF8696B"/>
      </colorScale>
    </cfRule>
  </conditionalFormatting>
  <conditionalFormatting sqref="BF434:BM434">
    <cfRule type="colorScale" priority="519">
      <colorScale>
        <cfvo type="min"/>
        <cfvo type="percentile" val="50"/>
        <cfvo type="max"/>
        <color rgb="FF63BE7B"/>
        <color rgb="FFFFEB84"/>
        <color rgb="FFF8696B"/>
      </colorScale>
    </cfRule>
  </conditionalFormatting>
  <conditionalFormatting sqref="BF435:BM435">
    <cfRule type="colorScale" priority="518">
      <colorScale>
        <cfvo type="min"/>
        <cfvo type="percentile" val="50"/>
        <cfvo type="max"/>
        <color rgb="FF63BE7B"/>
        <color rgb="FFFFEB84"/>
        <color rgb="FFF8696B"/>
      </colorScale>
    </cfRule>
  </conditionalFormatting>
  <conditionalFormatting sqref="BF436:BM436">
    <cfRule type="colorScale" priority="517">
      <colorScale>
        <cfvo type="min"/>
        <cfvo type="percentile" val="50"/>
        <cfvo type="max"/>
        <color rgb="FF63BE7B"/>
        <color rgb="FFFFEB84"/>
        <color rgb="FFF8696B"/>
      </colorScale>
    </cfRule>
  </conditionalFormatting>
  <conditionalFormatting sqref="BF437:BM437">
    <cfRule type="colorScale" priority="516">
      <colorScale>
        <cfvo type="min"/>
        <cfvo type="percentile" val="50"/>
        <cfvo type="max"/>
        <color rgb="FF63BE7B"/>
        <color rgb="FFFFEB84"/>
        <color rgb="FFF8696B"/>
      </colorScale>
    </cfRule>
  </conditionalFormatting>
  <conditionalFormatting sqref="BF438:BM438">
    <cfRule type="colorScale" priority="515">
      <colorScale>
        <cfvo type="min"/>
        <cfvo type="percentile" val="50"/>
        <cfvo type="max"/>
        <color rgb="FF63BE7B"/>
        <color rgb="FFFFEB84"/>
        <color rgb="FFF8696B"/>
      </colorScale>
    </cfRule>
  </conditionalFormatting>
  <conditionalFormatting sqref="BF439:BM439">
    <cfRule type="colorScale" priority="514">
      <colorScale>
        <cfvo type="min"/>
        <cfvo type="percentile" val="50"/>
        <cfvo type="max"/>
        <color rgb="FF63BE7B"/>
        <color rgb="FFFFEB84"/>
        <color rgb="FFF8696B"/>
      </colorScale>
    </cfRule>
  </conditionalFormatting>
  <conditionalFormatting sqref="BF440:BM440">
    <cfRule type="colorScale" priority="513">
      <colorScale>
        <cfvo type="min"/>
        <cfvo type="percentile" val="50"/>
        <cfvo type="max"/>
        <color rgb="FF63BE7B"/>
        <color rgb="FFFFEB84"/>
        <color rgb="FFF8696B"/>
      </colorScale>
    </cfRule>
  </conditionalFormatting>
  <conditionalFormatting sqref="BF441:BM441">
    <cfRule type="colorScale" priority="512">
      <colorScale>
        <cfvo type="min"/>
        <cfvo type="percentile" val="50"/>
        <cfvo type="max"/>
        <color rgb="FF63BE7B"/>
        <color rgb="FFFFEB84"/>
        <color rgb="FFF8696B"/>
      </colorScale>
    </cfRule>
  </conditionalFormatting>
  <conditionalFormatting sqref="BF442:BM442">
    <cfRule type="colorScale" priority="511">
      <colorScale>
        <cfvo type="min"/>
        <cfvo type="percentile" val="50"/>
        <cfvo type="max"/>
        <color rgb="FF63BE7B"/>
        <color rgb="FFFFEB84"/>
        <color rgb="FFF8696B"/>
      </colorScale>
    </cfRule>
  </conditionalFormatting>
  <conditionalFormatting sqref="BF443:BM443">
    <cfRule type="colorScale" priority="510">
      <colorScale>
        <cfvo type="min"/>
        <cfvo type="percentile" val="50"/>
        <cfvo type="max"/>
        <color rgb="FF63BE7B"/>
        <color rgb="FFFFEB84"/>
        <color rgb="FFF8696B"/>
      </colorScale>
    </cfRule>
  </conditionalFormatting>
  <conditionalFormatting sqref="BF444:BM444">
    <cfRule type="colorScale" priority="509">
      <colorScale>
        <cfvo type="min"/>
        <cfvo type="percentile" val="50"/>
        <cfvo type="max"/>
        <color rgb="FF63BE7B"/>
        <color rgb="FFFFEB84"/>
        <color rgb="FFF8696B"/>
      </colorScale>
    </cfRule>
  </conditionalFormatting>
  <conditionalFormatting sqref="BF445:BM445">
    <cfRule type="colorScale" priority="508">
      <colorScale>
        <cfvo type="min"/>
        <cfvo type="percentile" val="50"/>
        <cfvo type="max"/>
        <color rgb="FF63BE7B"/>
        <color rgb="FFFFEB84"/>
        <color rgb="FFF8696B"/>
      </colorScale>
    </cfRule>
  </conditionalFormatting>
  <conditionalFormatting sqref="BF446:BM446">
    <cfRule type="colorScale" priority="507">
      <colorScale>
        <cfvo type="min"/>
        <cfvo type="percentile" val="50"/>
        <cfvo type="max"/>
        <color rgb="FF63BE7B"/>
        <color rgb="FFFFEB84"/>
        <color rgb="FFF8696B"/>
      </colorScale>
    </cfRule>
  </conditionalFormatting>
  <conditionalFormatting sqref="BF447:BM447">
    <cfRule type="colorScale" priority="506">
      <colorScale>
        <cfvo type="min"/>
        <cfvo type="percentile" val="50"/>
        <cfvo type="max"/>
        <color rgb="FF63BE7B"/>
        <color rgb="FFFFEB84"/>
        <color rgb="FFF8696B"/>
      </colorScale>
    </cfRule>
  </conditionalFormatting>
  <conditionalFormatting sqref="BF448:BM448">
    <cfRule type="colorScale" priority="505">
      <colorScale>
        <cfvo type="min"/>
        <cfvo type="percentile" val="50"/>
        <cfvo type="max"/>
        <color rgb="FF63BE7B"/>
        <color rgb="FFFFEB84"/>
        <color rgb="FFF8696B"/>
      </colorScale>
    </cfRule>
  </conditionalFormatting>
  <conditionalFormatting sqref="BF449:BM449">
    <cfRule type="colorScale" priority="504">
      <colorScale>
        <cfvo type="min"/>
        <cfvo type="percentile" val="50"/>
        <cfvo type="max"/>
        <color rgb="FF63BE7B"/>
        <color rgb="FFFFEB84"/>
        <color rgb="FFF8696B"/>
      </colorScale>
    </cfRule>
  </conditionalFormatting>
  <conditionalFormatting sqref="BF450:BM450">
    <cfRule type="colorScale" priority="503">
      <colorScale>
        <cfvo type="min"/>
        <cfvo type="percentile" val="50"/>
        <cfvo type="max"/>
        <color rgb="FF63BE7B"/>
        <color rgb="FFFFEB84"/>
        <color rgb="FFF8696B"/>
      </colorScale>
    </cfRule>
  </conditionalFormatting>
  <conditionalFormatting sqref="BF451:BM451">
    <cfRule type="colorScale" priority="502">
      <colorScale>
        <cfvo type="min"/>
        <cfvo type="percentile" val="50"/>
        <cfvo type="max"/>
        <color rgb="FF63BE7B"/>
        <color rgb="FFFFEB84"/>
        <color rgb="FFF8696B"/>
      </colorScale>
    </cfRule>
  </conditionalFormatting>
  <conditionalFormatting sqref="BF452:BM452">
    <cfRule type="colorScale" priority="501">
      <colorScale>
        <cfvo type="min"/>
        <cfvo type="percentile" val="50"/>
        <cfvo type="max"/>
        <color rgb="FF63BE7B"/>
        <color rgb="FFFFEB84"/>
        <color rgb="FFF8696B"/>
      </colorScale>
    </cfRule>
  </conditionalFormatting>
  <conditionalFormatting sqref="BF453:BM453">
    <cfRule type="colorScale" priority="500">
      <colorScale>
        <cfvo type="min"/>
        <cfvo type="percentile" val="50"/>
        <cfvo type="max"/>
        <color rgb="FF63BE7B"/>
        <color rgb="FFFFEB84"/>
        <color rgb="FFF8696B"/>
      </colorScale>
    </cfRule>
  </conditionalFormatting>
  <conditionalFormatting sqref="BF454:BM454">
    <cfRule type="colorScale" priority="499">
      <colorScale>
        <cfvo type="min"/>
        <cfvo type="percentile" val="50"/>
        <cfvo type="max"/>
        <color rgb="FF63BE7B"/>
        <color rgb="FFFFEB84"/>
        <color rgb="FFF8696B"/>
      </colorScale>
    </cfRule>
  </conditionalFormatting>
  <conditionalFormatting sqref="BF455:BM455">
    <cfRule type="colorScale" priority="498">
      <colorScale>
        <cfvo type="min"/>
        <cfvo type="percentile" val="50"/>
        <cfvo type="max"/>
        <color rgb="FF63BE7B"/>
        <color rgb="FFFFEB84"/>
        <color rgb="FFF8696B"/>
      </colorScale>
    </cfRule>
  </conditionalFormatting>
  <conditionalFormatting sqref="BF456:BM456">
    <cfRule type="colorScale" priority="497">
      <colorScale>
        <cfvo type="min"/>
        <cfvo type="percentile" val="50"/>
        <cfvo type="max"/>
        <color rgb="FF63BE7B"/>
        <color rgb="FFFFEB84"/>
        <color rgb="FFF8696B"/>
      </colorScale>
    </cfRule>
  </conditionalFormatting>
  <conditionalFormatting sqref="BF457:BM457">
    <cfRule type="colorScale" priority="496">
      <colorScale>
        <cfvo type="min"/>
        <cfvo type="percentile" val="50"/>
        <cfvo type="max"/>
        <color rgb="FF63BE7B"/>
        <color rgb="FFFFEB84"/>
        <color rgb="FFF8696B"/>
      </colorScale>
    </cfRule>
  </conditionalFormatting>
  <conditionalFormatting sqref="BF458:BM458">
    <cfRule type="colorScale" priority="495">
      <colorScale>
        <cfvo type="min"/>
        <cfvo type="percentile" val="50"/>
        <cfvo type="max"/>
        <color rgb="FF63BE7B"/>
        <color rgb="FFFFEB84"/>
        <color rgb="FFF8696B"/>
      </colorScale>
    </cfRule>
  </conditionalFormatting>
  <conditionalFormatting sqref="BF459:BM459">
    <cfRule type="colorScale" priority="494">
      <colorScale>
        <cfvo type="min"/>
        <cfvo type="percentile" val="50"/>
        <cfvo type="max"/>
        <color rgb="FF63BE7B"/>
        <color rgb="FFFFEB84"/>
        <color rgb="FFF8696B"/>
      </colorScale>
    </cfRule>
  </conditionalFormatting>
  <conditionalFormatting sqref="BF460:BM460">
    <cfRule type="colorScale" priority="493">
      <colorScale>
        <cfvo type="min"/>
        <cfvo type="percentile" val="50"/>
        <cfvo type="max"/>
        <color rgb="FF63BE7B"/>
        <color rgb="FFFFEB84"/>
        <color rgb="FFF8696B"/>
      </colorScale>
    </cfRule>
  </conditionalFormatting>
  <conditionalFormatting sqref="BF461:BM461">
    <cfRule type="colorScale" priority="492">
      <colorScale>
        <cfvo type="min"/>
        <cfvo type="percentile" val="50"/>
        <cfvo type="max"/>
        <color rgb="FF63BE7B"/>
        <color rgb="FFFFEB84"/>
        <color rgb="FFF8696B"/>
      </colorScale>
    </cfRule>
  </conditionalFormatting>
  <conditionalFormatting sqref="BF462:BM462">
    <cfRule type="colorScale" priority="491">
      <colorScale>
        <cfvo type="min"/>
        <cfvo type="percentile" val="50"/>
        <cfvo type="max"/>
        <color rgb="FF63BE7B"/>
        <color rgb="FFFFEB84"/>
        <color rgb="FFF8696B"/>
      </colorScale>
    </cfRule>
  </conditionalFormatting>
  <conditionalFormatting sqref="BF463:BM463">
    <cfRule type="colorScale" priority="490">
      <colorScale>
        <cfvo type="min"/>
        <cfvo type="percentile" val="50"/>
        <cfvo type="max"/>
        <color rgb="FF63BE7B"/>
        <color rgb="FFFFEB84"/>
        <color rgb="FFF8696B"/>
      </colorScale>
    </cfRule>
  </conditionalFormatting>
  <conditionalFormatting sqref="BF464:BM464">
    <cfRule type="colorScale" priority="489">
      <colorScale>
        <cfvo type="min"/>
        <cfvo type="percentile" val="50"/>
        <cfvo type="max"/>
        <color rgb="FF63BE7B"/>
        <color rgb="FFFFEB84"/>
        <color rgb="FFF8696B"/>
      </colorScale>
    </cfRule>
  </conditionalFormatting>
  <conditionalFormatting sqref="BF465:BM465">
    <cfRule type="colorScale" priority="488">
      <colorScale>
        <cfvo type="min"/>
        <cfvo type="percentile" val="50"/>
        <cfvo type="max"/>
        <color rgb="FF63BE7B"/>
        <color rgb="FFFFEB84"/>
        <color rgb="FFF8696B"/>
      </colorScale>
    </cfRule>
  </conditionalFormatting>
  <conditionalFormatting sqref="BF466:BM466">
    <cfRule type="colorScale" priority="487">
      <colorScale>
        <cfvo type="min"/>
        <cfvo type="percentile" val="50"/>
        <cfvo type="max"/>
        <color rgb="FF63BE7B"/>
        <color rgb="FFFFEB84"/>
        <color rgb="FFF8696B"/>
      </colorScale>
    </cfRule>
  </conditionalFormatting>
  <conditionalFormatting sqref="BF467:BM467">
    <cfRule type="colorScale" priority="486">
      <colorScale>
        <cfvo type="min"/>
        <cfvo type="percentile" val="50"/>
        <cfvo type="max"/>
        <color rgb="FF63BE7B"/>
        <color rgb="FFFFEB84"/>
        <color rgb="FFF8696B"/>
      </colorScale>
    </cfRule>
  </conditionalFormatting>
  <conditionalFormatting sqref="BF468:BM468">
    <cfRule type="colorScale" priority="485">
      <colorScale>
        <cfvo type="min"/>
        <cfvo type="percentile" val="50"/>
        <cfvo type="max"/>
        <color rgb="FF63BE7B"/>
        <color rgb="FFFFEB84"/>
        <color rgb="FFF8696B"/>
      </colorScale>
    </cfRule>
  </conditionalFormatting>
  <conditionalFormatting sqref="BF469:BM469">
    <cfRule type="colorScale" priority="484">
      <colorScale>
        <cfvo type="min"/>
        <cfvo type="percentile" val="50"/>
        <cfvo type="max"/>
        <color rgb="FF63BE7B"/>
        <color rgb="FFFFEB84"/>
        <color rgb="FFF8696B"/>
      </colorScale>
    </cfRule>
  </conditionalFormatting>
  <conditionalFormatting sqref="BF470:BM470">
    <cfRule type="colorScale" priority="483">
      <colorScale>
        <cfvo type="min"/>
        <cfvo type="percentile" val="50"/>
        <cfvo type="max"/>
        <color rgb="FF63BE7B"/>
        <color rgb="FFFFEB84"/>
        <color rgb="FFF8696B"/>
      </colorScale>
    </cfRule>
  </conditionalFormatting>
  <conditionalFormatting sqref="BF471:BM471">
    <cfRule type="colorScale" priority="482">
      <colorScale>
        <cfvo type="min"/>
        <cfvo type="percentile" val="50"/>
        <cfvo type="max"/>
        <color rgb="FF63BE7B"/>
        <color rgb="FFFFEB84"/>
        <color rgb="FFF8696B"/>
      </colorScale>
    </cfRule>
  </conditionalFormatting>
  <conditionalFormatting sqref="BF472:BM472">
    <cfRule type="colorScale" priority="481">
      <colorScale>
        <cfvo type="min"/>
        <cfvo type="percentile" val="50"/>
        <cfvo type="max"/>
        <color rgb="FF63BE7B"/>
        <color rgb="FFFFEB84"/>
        <color rgb="FFF8696B"/>
      </colorScale>
    </cfRule>
  </conditionalFormatting>
  <conditionalFormatting sqref="BF473:BM473">
    <cfRule type="colorScale" priority="480">
      <colorScale>
        <cfvo type="min"/>
        <cfvo type="percentile" val="50"/>
        <cfvo type="max"/>
        <color rgb="FF63BE7B"/>
        <color rgb="FFFFEB84"/>
        <color rgb="FFF8696B"/>
      </colorScale>
    </cfRule>
  </conditionalFormatting>
  <conditionalFormatting sqref="BF474:BM474">
    <cfRule type="colorScale" priority="479">
      <colorScale>
        <cfvo type="min"/>
        <cfvo type="percentile" val="50"/>
        <cfvo type="max"/>
        <color rgb="FF63BE7B"/>
        <color rgb="FFFFEB84"/>
        <color rgb="FFF8696B"/>
      </colorScale>
    </cfRule>
  </conditionalFormatting>
  <conditionalFormatting sqref="BF475:BM475">
    <cfRule type="colorScale" priority="478">
      <colorScale>
        <cfvo type="min"/>
        <cfvo type="percentile" val="50"/>
        <cfvo type="max"/>
        <color rgb="FF63BE7B"/>
        <color rgb="FFFFEB84"/>
        <color rgb="FFF8696B"/>
      </colorScale>
    </cfRule>
  </conditionalFormatting>
  <conditionalFormatting sqref="BF476:BM476">
    <cfRule type="colorScale" priority="477">
      <colorScale>
        <cfvo type="min"/>
        <cfvo type="percentile" val="50"/>
        <cfvo type="max"/>
        <color rgb="FF63BE7B"/>
        <color rgb="FFFFEB84"/>
        <color rgb="FFF8696B"/>
      </colorScale>
    </cfRule>
  </conditionalFormatting>
  <conditionalFormatting sqref="BF477:BM477">
    <cfRule type="colorScale" priority="476">
      <colorScale>
        <cfvo type="min"/>
        <cfvo type="percentile" val="50"/>
        <cfvo type="max"/>
        <color rgb="FF63BE7B"/>
        <color rgb="FFFFEB84"/>
        <color rgb="FFF8696B"/>
      </colorScale>
    </cfRule>
  </conditionalFormatting>
  <conditionalFormatting sqref="BF478:BM478">
    <cfRule type="colorScale" priority="475">
      <colorScale>
        <cfvo type="min"/>
        <cfvo type="percentile" val="50"/>
        <cfvo type="max"/>
        <color rgb="FF63BE7B"/>
        <color rgb="FFFFEB84"/>
        <color rgb="FFF8696B"/>
      </colorScale>
    </cfRule>
  </conditionalFormatting>
  <conditionalFormatting sqref="BF479:BM479">
    <cfRule type="colorScale" priority="474">
      <colorScale>
        <cfvo type="min"/>
        <cfvo type="percentile" val="50"/>
        <cfvo type="max"/>
        <color rgb="FF63BE7B"/>
        <color rgb="FFFFEB84"/>
        <color rgb="FFF8696B"/>
      </colorScale>
    </cfRule>
  </conditionalFormatting>
  <conditionalFormatting sqref="BF480:BM480">
    <cfRule type="colorScale" priority="473">
      <colorScale>
        <cfvo type="min"/>
        <cfvo type="percentile" val="50"/>
        <cfvo type="max"/>
        <color rgb="FF63BE7B"/>
        <color rgb="FFFFEB84"/>
        <color rgb="FFF8696B"/>
      </colorScale>
    </cfRule>
  </conditionalFormatting>
  <conditionalFormatting sqref="BF481:BM481">
    <cfRule type="colorScale" priority="472">
      <colorScale>
        <cfvo type="min"/>
        <cfvo type="percentile" val="50"/>
        <cfvo type="max"/>
        <color rgb="FF63BE7B"/>
        <color rgb="FFFFEB84"/>
        <color rgb="FFF8696B"/>
      </colorScale>
    </cfRule>
  </conditionalFormatting>
  <conditionalFormatting sqref="BF482:BM482">
    <cfRule type="colorScale" priority="471">
      <colorScale>
        <cfvo type="min"/>
        <cfvo type="percentile" val="50"/>
        <cfvo type="max"/>
        <color rgb="FF63BE7B"/>
        <color rgb="FFFFEB84"/>
        <color rgb="FFF8696B"/>
      </colorScale>
    </cfRule>
  </conditionalFormatting>
  <conditionalFormatting sqref="BF483:BM483">
    <cfRule type="colorScale" priority="470">
      <colorScale>
        <cfvo type="min"/>
        <cfvo type="percentile" val="50"/>
        <cfvo type="max"/>
        <color rgb="FF63BE7B"/>
        <color rgb="FFFFEB84"/>
        <color rgb="FFF8696B"/>
      </colorScale>
    </cfRule>
  </conditionalFormatting>
  <conditionalFormatting sqref="BF484:BM484">
    <cfRule type="colorScale" priority="469">
      <colorScale>
        <cfvo type="min"/>
        <cfvo type="percentile" val="50"/>
        <cfvo type="max"/>
        <color rgb="FF63BE7B"/>
        <color rgb="FFFFEB84"/>
        <color rgb="FFF8696B"/>
      </colorScale>
    </cfRule>
  </conditionalFormatting>
  <conditionalFormatting sqref="BF485:BM485">
    <cfRule type="colorScale" priority="468">
      <colorScale>
        <cfvo type="min"/>
        <cfvo type="percentile" val="50"/>
        <cfvo type="max"/>
        <color rgb="FF63BE7B"/>
        <color rgb="FFFFEB84"/>
        <color rgb="FFF8696B"/>
      </colorScale>
    </cfRule>
  </conditionalFormatting>
  <conditionalFormatting sqref="BF486:BM486">
    <cfRule type="colorScale" priority="467">
      <colorScale>
        <cfvo type="min"/>
        <cfvo type="percentile" val="50"/>
        <cfvo type="max"/>
        <color rgb="FF63BE7B"/>
        <color rgb="FFFFEB84"/>
        <color rgb="FFF8696B"/>
      </colorScale>
    </cfRule>
  </conditionalFormatting>
  <conditionalFormatting sqref="BF487:BM487">
    <cfRule type="colorScale" priority="466">
      <colorScale>
        <cfvo type="min"/>
        <cfvo type="percentile" val="50"/>
        <cfvo type="max"/>
        <color rgb="FF63BE7B"/>
        <color rgb="FFFFEB84"/>
        <color rgb="FFF8696B"/>
      </colorScale>
    </cfRule>
  </conditionalFormatting>
  <conditionalFormatting sqref="BF488:BM488">
    <cfRule type="colorScale" priority="465">
      <colorScale>
        <cfvo type="min"/>
        <cfvo type="percentile" val="50"/>
        <cfvo type="max"/>
        <color rgb="FF63BE7B"/>
        <color rgb="FFFFEB84"/>
        <color rgb="FFF8696B"/>
      </colorScale>
    </cfRule>
  </conditionalFormatting>
  <conditionalFormatting sqref="BF489:BM489">
    <cfRule type="colorScale" priority="464">
      <colorScale>
        <cfvo type="min"/>
        <cfvo type="percentile" val="50"/>
        <cfvo type="max"/>
        <color rgb="FF63BE7B"/>
        <color rgb="FFFFEB84"/>
        <color rgb="FFF8696B"/>
      </colorScale>
    </cfRule>
  </conditionalFormatting>
  <conditionalFormatting sqref="BF490:BM490">
    <cfRule type="colorScale" priority="463">
      <colorScale>
        <cfvo type="min"/>
        <cfvo type="percentile" val="50"/>
        <cfvo type="max"/>
        <color rgb="FF63BE7B"/>
        <color rgb="FFFFEB84"/>
        <color rgb="FFF8696B"/>
      </colorScale>
    </cfRule>
  </conditionalFormatting>
  <conditionalFormatting sqref="BF491:BM491">
    <cfRule type="colorScale" priority="462">
      <colorScale>
        <cfvo type="min"/>
        <cfvo type="percentile" val="50"/>
        <cfvo type="max"/>
        <color rgb="FF63BE7B"/>
        <color rgb="FFFFEB84"/>
        <color rgb="FFF8696B"/>
      </colorScale>
    </cfRule>
  </conditionalFormatting>
  <conditionalFormatting sqref="BF492:BM492">
    <cfRule type="colorScale" priority="461">
      <colorScale>
        <cfvo type="min"/>
        <cfvo type="percentile" val="50"/>
        <cfvo type="max"/>
        <color rgb="FF63BE7B"/>
        <color rgb="FFFFEB84"/>
        <color rgb="FFF8696B"/>
      </colorScale>
    </cfRule>
  </conditionalFormatting>
  <conditionalFormatting sqref="BF493:BM493">
    <cfRule type="colorScale" priority="460">
      <colorScale>
        <cfvo type="min"/>
        <cfvo type="percentile" val="50"/>
        <cfvo type="max"/>
        <color rgb="FF63BE7B"/>
        <color rgb="FFFFEB84"/>
        <color rgb="FFF8696B"/>
      </colorScale>
    </cfRule>
  </conditionalFormatting>
  <conditionalFormatting sqref="BF494:BM494">
    <cfRule type="colorScale" priority="459">
      <colorScale>
        <cfvo type="min"/>
        <cfvo type="percentile" val="50"/>
        <cfvo type="max"/>
        <color rgb="FF63BE7B"/>
        <color rgb="FFFFEB84"/>
        <color rgb="FFF8696B"/>
      </colorScale>
    </cfRule>
  </conditionalFormatting>
  <conditionalFormatting sqref="BF495:BM495">
    <cfRule type="colorScale" priority="458">
      <colorScale>
        <cfvo type="min"/>
        <cfvo type="percentile" val="50"/>
        <cfvo type="max"/>
        <color rgb="FF63BE7B"/>
        <color rgb="FFFFEB84"/>
        <color rgb="FFF8696B"/>
      </colorScale>
    </cfRule>
  </conditionalFormatting>
  <conditionalFormatting sqref="BF496:BM496">
    <cfRule type="colorScale" priority="457">
      <colorScale>
        <cfvo type="min"/>
        <cfvo type="percentile" val="50"/>
        <cfvo type="max"/>
        <color rgb="FF63BE7B"/>
        <color rgb="FFFFEB84"/>
        <color rgb="FFF8696B"/>
      </colorScale>
    </cfRule>
  </conditionalFormatting>
  <conditionalFormatting sqref="BF497:BM497">
    <cfRule type="colorScale" priority="456">
      <colorScale>
        <cfvo type="min"/>
        <cfvo type="percentile" val="50"/>
        <cfvo type="max"/>
        <color rgb="FF63BE7B"/>
        <color rgb="FFFFEB84"/>
        <color rgb="FFF8696B"/>
      </colorScale>
    </cfRule>
  </conditionalFormatting>
  <conditionalFormatting sqref="BF498:BM498">
    <cfRule type="colorScale" priority="455">
      <colorScale>
        <cfvo type="min"/>
        <cfvo type="percentile" val="50"/>
        <cfvo type="max"/>
        <color rgb="FF63BE7B"/>
        <color rgb="FFFFEB84"/>
        <color rgb="FFF8696B"/>
      </colorScale>
    </cfRule>
  </conditionalFormatting>
  <conditionalFormatting sqref="BF499:BM499">
    <cfRule type="colorScale" priority="454">
      <colorScale>
        <cfvo type="min"/>
        <cfvo type="percentile" val="50"/>
        <cfvo type="max"/>
        <color rgb="FF63BE7B"/>
        <color rgb="FFFFEB84"/>
        <color rgb="FFF8696B"/>
      </colorScale>
    </cfRule>
  </conditionalFormatting>
  <conditionalFormatting sqref="BF500:BM500">
    <cfRule type="colorScale" priority="453">
      <colorScale>
        <cfvo type="min"/>
        <cfvo type="percentile" val="50"/>
        <cfvo type="max"/>
        <color rgb="FF63BE7B"/>
        <color rgb="FFFFEB84"/>
        <color rgb="FFF8696B"/>
      </colorScale>
    </cfRule>
  </conditionalFormatting>
  <conditionalFormatting sqref="BF501:BM501">
    <cfRule type="colorScale" priority="452">
      <colorScale>
        <cfvo type="min"/>
        <cfvo type="percentile" val="50"/>
        <cfvo type="max"/>
        <color rgb="FF63BE7B"/>
        <color rgb="FFFFEB84"/>
        <color rgb="FFF8696B"/>
      </colorScale>
    </cfRule>
  </conditionalFormatting>
  <conditionalFormatting sqref="BF502:BM502">
    <cfRule type="colorScale" priority="451">
      <colorScale>
        <cfvo type="min"/>
        <cfvo type="percentile" val="50"/>
        <cfvo type="max"/>
        <color rgb="FF63BE7B"/>
        <color rgb="FFFFEB84"/>
        <color rgb="FFF8696B"/>
      </colorScale>
    </cfRule>
  </conditionalFormatting>
  <conditionalFormatting sqref="BF503:BM503">
    <cfRule type="colorScale" priority="450">
      <colorScale>
        <cfvo type="min"/>
        <cfvo type="percentile" val="50"/>
        <cfvo type="max"/>
        <color rgb="FF63BE7B"/>
        <color rgb="FFFFEB84"/>
        <color rgb="FFF8696B"/>
      </colorScale>
    </cfRule>
  </conditionalFormatting>
  <conditionalFormatting sqref="BF504:BM504">
    <cfRule type="colorScale" priority="449">
      <colorScale>
        <cfvo type="min"/>
        <cfvo type="percentile" val="50"/>
        <cfvo type="max"/>
        <color rgb="FF63BE7B"/>
        <color rgb="FFFFEB84"/>
        <color rgb="FFF8696B"/>
      </colorScale>
    </cfRule>
  </conditionalFormatting>
  <conditionalFormatting sqref="BF505:BM505">
    <cfRule type="colorScale" priority="448">
      <colorScale>
        <cfvo type="min"/>
        <cfvo type="percentile" val="50"/>
        <cfvo type="max"/>
        <color rgb="FF63BE7B"/>
        <color rgb="FFFFEB84"/>
        <color rgb="FFF8696B"/>
      </colorScale>
    </cfRule>
  </conditionalFormatting>
  <conditionalFormatting sqref="BF506:BM506">
    <cfRule type="colorScale" priority="447">
      <colorScale>
        <cfvo type="min"/>
        <cfvo type="percentile" val="50"/>
        <cfvo type="max"/>
        <color rgb="FF63BE7B"/>
        <color rgb="FFFFEB84"/>
        <color rgb="FFF8696B"/>
      </colorScale>
    </cfRule>
  </conditionalFormatting>
  <conditionalFormatting sqref="BF507:BM507">
    <cfRule type="colorScale" priority="446">
      <colorScale>
        <cfvo type="min"/>
        <cfvo type="percentile" val="50"/>
        <cfvo type="max"/>
        <color rgb="FF63BE7B"/>
        <color rgb="FFFFEB84"/>
        <color rgb="FFF8696B"/>
      </colorScale>
    </cfRule>
  </conditionalFormatting>
  <conditionalFormatting sqref="BF508:BM508">
    <cfRule type="colorScale" priority="445">
      <colorScale>
        <cfvo type="min"/>
        <cfvo type="percentile" val="50"/>
        <cfvo type="max"/>
        <color rgb="FF63BE7B"/>
        <color rgb="FFFFEB84"/>
        <color rgb="FFF8696B"/>
      </colorScale>
    </cfRule>
  </conditionalFormatting>
  <conditionalFormatting sqref="BF509:BM509">
    <cfRule type="colorScale" priority="444">
      <colorScale>
        <cfvo type="min"/>
        <cfvo type="percentile" val="50"/>
        <cfvo type="max"/>
        <color rgb="FF63BE7B"/>
        <color rgb="FFFFEB84"/>
        <color rgb="FFF8696B"/>
      </colorScale>
    </cfRule>
  </conditionalFormatting>
  <conditionalFormatting sqref="BF510:BM510">
    <cfRule type="colorScale" priority="443">
      <colorScale>
        <cfvo type="min"/>
        <cfvo type="percentile" val="50"/>
        <cfvo type="max"/>
        <color rgb="FF63BE7B"/>
        <color rgb="FFFFEB84"/>
        <color rgb="FFF8696B"/>
      </colorScale>
    </cfRule>
  </conditionalFormatting>
  <conditionalFormatting sqref="BF511:BM511">
    <cfRule type="colorScale" priority="442">
      <colorScale>
        <cfvo type="min"/>
        <cfvo type="percentile" val="50"/>
        <cfvo type="max"/>
        <color rgb="FF63BE7B"/>
        <color rgb="FFFFEB84"/>
        <color rgb="FFF8696B"/>
      </colorScale>
    </cfRule>
  </conditionalFormatting>
  <conditionalFormatting sqref="BF512:BM512">
    <cfRule type="colorScale" priority="441">
      <colorScale>
        <cfvo type="min"/>
        <cfvo type="percentile" val="50"/>
        <cfvo type="max"/>
        <color rgb="FF63BE7B"/>
        <color rgb="FFFFEB84"/>
        <color rgb="FFF8696B"/>
      </colorScale>
    </cfRule>
  </conditionalFormatting>
  <conditionalFormatting sqref="BF513:BM513">
    <cfRule type="colorScale" priority="440">
      <colorScale>
        <cfvo type="min"/>
        <cfvo type="percentile" val="50"/>
        <cfvo type="max"/>
        <color rgb="FF63BE7B"/>
        <color rgb="FFFFEB84"/>
        <color rgb="FFF8696B"/>
      </colorScale>
    </cfRule>
  </conditionalFormatting>
  <conditionalFormatting sqref="BF514:BM514">
    <cfRule type="colorScale" priority="439">
      <colorScale>
        <cfvo type="min"/>
        <cfvo type="percentile" val="50"/>
        <cfvo type="max"/>
        <color rgb="FF63BE7B"/>
        <color rgb="FFFFEB84"/>
        <color rgb="FFF8696B"/>
      </colorScale>
    </cfRule>
  </conditionalFormatting>
  <conditionalFormatting sqref="BF515:BM515">
    <cfRule type="colorScale" priority="438">
      <colorScale>
        <cfvo type="min"/>
        <cfvo type="percentile" val="50"/>
        <cfvo type="max"/>
        <color rgb="FF63BE7B"/>
        <color rgb="FFFFEB84"/>
        <color rgb="FFF8696B"/>
      </colorScale>
    </cfRule>
  </conditionalFormatting>
  <conditionalFormatting sqref="BF516:BM516">
    <cfRule type="colorScale" priority="437">
      <colorScale>
        <cfvo type="min"/>
        <cfvo type="percentile" val="50"/>
        <cfvo type="max"/>
        <color rgb="FF63BE7B"/>
        <color rgb="FFFFEB84"/>
        <color rgb="FFF8696B"/>
      </colorScale>
    </cfRule>
  </conditionalFormatting>
  <conditionalFormatting sqref="BF517:BM517">
    <cfRule type="colorScale" priority="436">
      <colorScale>
        <cfvo type="min"/>
        <cfvo type="percentile" val="50"/>
        <cfvo type="max"/>
        <color rgb="FF63BE7B"/>
        <color rgb="FFFFEB84"/>
        <color rgb="FFF8696B"/>
      </colorScale>
    </cfRule>
  </conditionalFormatting>
  <conditionalFormatting sqref="BF518:BM518">
    <cfRule type="colorScale" priority="435">
      <colorScale>
        <cfvo type="min"/>
        <cfvo type="percentile" val="50"/>
        <cfvo type="max"/>
        <color rgb="FF63BE7B"/>
        <color rgb="FFFFEB84"/>
        <color rgb="FFF8696B"/>
      </colorScale>
    </cfRule>
  </conditionalFormatting>
  <conditionalFormatting sqref="BF519:BM519">
    <cfRule type="colorScale" priority="434">
      <colorScale>
        <cfvo type="min"/>
        <cfvo type="percentile" val="50"/>
        <cfvo type="max"/>
        <color rgb="FF63BE7B"/>
        <color rgb="FFFFEB84"/>
        <color rgb="FFF8696B"/>
      </colorScale>
    </cfRule>
  </conditionalFormatting>
  <conditionalFormatting sqref="BF520:BM520">
    <cfRule type="colorScale" priority="433">
      <colorScale>
        <cfvo type="min"/>
        <cfvo type="percentile" val="50"/>
        <cfvo type="max"/>
        <color rgb="FF63BE7B"/>
        <color rgb="FFFFEB84"/>
        <color rgb="FFF8696B"/>
      </colorScale>
    </cfRule>
  </conditionalFormatting>
  <conditionalFormatting sqref="BF521:BM521">
    <cfRule type="colorScale" priority="432">
      <colorScale>
        <cfvo type="min"/>
        <cfvo type="percentile" val="50"/>
        <cfvo type="max"/>
        <color rgb="FF63BE7B"/>
        <color rgb="FFFFEB84"/>
        <color rgb="FFF8696B"/>
      </colorScale>
    </cfRule>
  </conditionalFormatting>
  <conditionalFormatting sqref="BF522:BM522">
    <cfRule type="colorScale" priority="431">
      <colorScale>
        <cfvo type="min"/>
        <cfvo type="percentile" val="50"/>
        <cfvo type="max"/>
        <color rgb="FF63BE7B"/>
        <color rgb="FFFFEB84"/>
        <color rgb="FFF8696B"/>
      </colorScale>
    </cfRule>
  </conditionalFormatting>
  <conditionalFormatting sqref="BF523:BM523">
    <cfRule type="colorScale" priority="430">
      <colorScale>
        <cfvo type="min"/>
        <cfvo type="percentile" val="50"/>
        <cfvo type="max"/>
        <color rgb="FF63BE7B"/>
        <color rgb="FFFFEB84"/>
        <color rgb="FFF8696B"/>
      </colorScale>
    </cfRule>
  </conditionalFormatting>
  <conditionalFormatting sqref="BF524:BM524">
    <cfRule type="colorScale" priority="429">
      <colorScale>
        <cfvo type="min"/>
        <cfvo type="percentile" val="50"/>
        <cfvo type="max"/>
        <color rgb="FF63BE7B"/>
        <color rgb="FFFFEB84"/>
        <color rgb="FFF8696B"/>
      </colorScale>
    </cfRule>
  </conditionalFormatting>
  <conditionalFormatting sqref="BF525:BM525">
    <cfRule type="colorScale" priority="428">
      <colorScale>
        <cfvo type="min"/>
        <cfvo type="percentile" val="50"/>
        <cfvo type="max"/>
        <color rgb="FF63BE7B"/>
        <color rgb="FFFFEB84"/>
        <color rgb="FFF8696B"/>
      </colorScale>
    </cfRule>
  </conditionalFormatting>
  <conditionalFormatting sqref="BF526:BM526">
    <cfRule type="colorScale" priority="427">
      <colorScale>
        <cfvo type="min"/>
        <cfvo type="percentile" val="50"/>
        <cfvo type="max"/>
        <color rgb="FF63BE7B"/>
        <color rgb="FFFFEB84"/>
        <color rgb="FFF8696B"/>
      </colorScale>
    </cfRule>
  </conditionalFormatting>
  <conditionalFormatting sqref="BF527:BM527">
    <cfRule type="colorScale" priority="426">
      <colorScale>
        <cfvo type="min"/>
        <cfvo type="percentile" val="50"/>
        <cfvo type="max"/>
        <color rgb="FF63BE7B"/>
        <color rgb="FFFFEB84"/>
        <color rgb="FFF8696B"/>
      </colorScale>
    </cfRule>
  </conditionalFormatting>
  <conditionalFormatting sqref="BF528:BM528">
    <cfRule type="colorScale" priority="425">
      <colorScale>
        <cfvo type="min"/>
        <cfvo type="percentile" val="50"/>
        <cfvo type="max"/>
        <color rgb="FF63BE7B"/>
        <color rgb="FFFFEB84"/>
        <color rgb="FFF8696B"/>
      </colorScale>
    </cfRule>
  </conditionalFormatting>
  <conditionalFormatting sqref="BF529:BM529">
    <cfRule type="colorScale" priority="424">
      <colorScale>
        <cfvo type="min"/>
        <cfvo type="percentile" val="50"/>
        <cfvo type="max"/>
        <color rgb="FF63BE7B"/>
        <color rgb="FFFFEB84"/>
        <color rgb="FFF8696B"/>
      </colorScale>
    </cfRule>
  </conditionalFormatting>
  <conditionalFormatting sqref="BF530:BM530">
    <cfRule type="colorScale" priority="423">
      <colorScale>
        <cfvo type="min"/>
        <cfvo type="percentile" val="50"/>
        <cfvo type="max"/>
        <color rgb="FF63BE7B"/>
        <color rgb="FFFFEB84"/>
        <color rgb="FFF8696B"/>
      </colorScale>
    </cfRule>
  </conditionalFormatting>
  <conditionalFormatting sqref="BF531:BM531">
    <cfRule type="colorScale" priority="422">
      <colorScale>
        <cfvo type="min"/>
        <cfvo type="percentile" val="50"/>
        <cfvo type="max"/>
        <color rgb="FF63BE7B"/>
        <color rgb="FFFFEB84"/>
        <color rgb="FFF8696B"/>
      </colorScale>
    </cfRule>
  </conditionalFormatting>
  <conditionalFormatting sqref="BF532:BM532">
    <cfRule type="colorScale" priority="421">
      <colorScale>
        <cfvo type="min"/>
        <cfvo type="percentile" val="50"/>
        <cfvo type="max"/>
        <color rgb="FF63BE7B"/>
        <color rgb="FFFFEB84"/>
        <color rgb="FFF8696B"/>
      </colorScale>
    </cfRule>
  </conditionalFormatting>
  <conditionalFormatting sqref="BF533:BM533">
    <cfRule type="colorScale" priority="420">
      <colorScale>
        <cfvo type="min"/>
        <cfvo type="percentile" val="50"/>
        <cfvo type="max"/>
        <color rgb="FF63BE7B"/>
        <color rgb="FFFFEB84"/>
        <color rgb="FFF8696B"/>
      </colorScale>
    </cfRule>
  </conditionalFormatting>
  <conditionalFormatting sqref="BF534:BM534">
    <cfRule type="colorScale" priority="419">
      <colorScale>
        <cfvo type="min"/>
        <cfvo type="percentile" val="50"/>
        <cfvo type="max"/>
        <color rgb="FF63BE7B"/>
        <color rgb="FFFFEB84"/>
        <color rgb="FFF8696B"/>
      </colorScale>
    </cfRule>
  </conditionalFormatting>
  <conditionalFormatting sqref="BF535:BM535">
    <cfRule type="colorScale" priority="418">
      <colorScale>
        <cfvo type="min"/>
        <cfvo type="percentile" val="50"/>
        <cfvo type="max"/>
        <color rgb="FF63BE7B"/>
        <color rgb="FFFFEB84"/>
        <color rgb="FFF8696B"/>
      </colorScale>
    </cfRule>
  </conditionalFormatting>
  <conditionalFormatting sqref="BF536:BM536">
    <cfRule type="colorScale" priority="417">
      <colorScale>
        <cfvo type="min"/>
        <cfvo type="percentile" val="50"/>
        <cfvo type="max"/>
        <color rgb="FF63BE7B"/>
        <color rgb="FFFFEB84"/>
        <color rgb="FFF8696B"/>
      </colorScale>
    </cfRule>
  </conditionalFormatting>
  <conditionalFormatting sqref="BF537:BM537">
    <cfRule type="colorScale" priority="416">
      <colorScale>
        <cfvo type="min"/>
        <cfvo type="percentile" val="50"/>
        <cfvo type="max"/>
        <color rgb="FF63BE7B"/>
        <color rgb="FFFFEB84"/>
        <color rgb="FFF8696B"/>
      </colorScale>
    </cfRule>
  </conditionalFormatting>
  <conditionalFormatting sqref="BF538:BM538">
    <cfRule type="colorScale" priority="415">
      <colorScale>
        <cfvo type="min"/>
        <cfvo type="percentile" val="50"/>
        <cfvo type="max"/>
        <color rgb="FF63BE7B"/>
        <color rgb="FFFFEB84"/>
        <color rgb="FFF8696B"/>
      </colorScale>
    </cfRule>
  </conditionalFormatting>
  <conditionalFormatting sqref="BF539:BM539">
    <cfRule type="colorScale" priority="414">
      <colorScale>
        <cfvo type="min"/>
        <cfvo type="percentile" val="50"/>
        <cfvo type="max"/>
        <color rgb="FF63BE7B"/>
        <color rgb="FFFFEB84"/>
        <color rgb="FFF8696B"/>
      </colorScale>
    </cfRule>
  </conditionalFormatting>
  <conditionalFormatting sqref="BF540:BM540">
    <cfRule type="colorScale" priority="413">
      <colorScale>
        <cfvo type="min"/>
        <cfvo type="percentile" val="50"/>
        <cfvo type="max"/>
        <color rgb="FF63BE7B"/>
        <color rgb="FFFFEB84"/>
        <color rgb="FFF8696B"/>
      </colorScale>
    </cfRule>
  </conditionalFormatting>
  <conditionalFormatting sqref="BF541:BM541">
    <cfRule type="colorScale" priority="412">
      <colorScale>
        <cfvo type="min"/>
        <cfvo type="percentile" val="50"/>
        <cfvo type="max"/>
        <color rgb="FF63BE7B"/>
        <color rgb="FFFFEB84"/>
        <color rgb="FFF8696B"/>
      </colorScale>
    </cfRule>
  </conditionalFormatting>
  <conditionalFormatting sqref="BF542:BM542">
    <cfRule type="colorScale" priority="411">
      <colorScale>
        <cfvo type="min"/>
        <cfvo type="percentile" val="50"/>
        <cfvo type="max"/>
        <color rgb="FF63BE7B"/>
        <color rgb="FFFFEB84"/>
        <color rgb="FFF8696B"/>
      </colorScale>
    </cfRule>
  </conditionalFormatting>
  <conditionalFormatting sqref="BF543:BM543">
    <cfRule type="colorScale" priority="410">
      <colorScale>
        <cfvo type="min"/>
        <cfvo type="percentile" val="50"/>
        <cfvo type="max"/>
        <color rgb="FF63BE7B"/>
        <color rgb="FFFFEB84"/>
        <color rgb="FFF8696B"/>
      </colorScale>
    </cfRule>
  </conditionalFormatting>
  <conditionalFormatting sqref="BF544:BM544">
    <cfRule type="colorScale" priority="409">
      <colorScale>
        <cfvo type="min"/>
        <cfvo type="percentile" val="50"/>
        <cfvo type="max"/>
        <color rgb="FF63BE7B"/>
        <color rgb="FFFFEB84"/>
        <color rgb="FFF8696B"/>
      </colorScale>
    </cfRule>
  </conditionalFormatting>
  <conditionalFormatting sqref="BF545:BM545">
    <cfRule type="colorScale" priority="408">
      <colorScale>
        <cfvo type="min"/>
        <cfvo type="percentile" val="50"/>
        <cfvo type="max"/>
        <color rgb="FF63BE7B"/>
        <color rgb="FFFFEB84"/>
        <color rgb="FFF8696B"/>
      </colorScale>
    </cfRule>
  </conditionalFormatting>
  <conditionalFormatting sqref="BF546:BM546">
    <cfRule type="colorScale" priority="407">
      <colorScale>
        <cfvo type="min"/>
        <cfvo type="percentile" val="50"/>
        <cfvo type="max"/>
        <color rgb="FF63BE7B"/>
        <color rgb="FFFFEB84"/>
        <color rgb="FFF8696B"/>
      </colorScale>
    </cfRule>
  </conditionalFormatting>
  <conditionalFormatting sqref="BF547:BM547">
    <cfRule type="colorScale" priority="406">
      <colorScale>
        <cfvo type="min"/>
        <cfvo type="percentile" val="50"/>
        <cfvo type="max"/>
        <color rgb="FF63BE7B"/>
        <color rgb="FFFFEB84"/>
        <color rgb="FFF8696B"/>
      </colorScale>
    </cfRule>
  </conditionalFormatting>
  <conditionalFormatting sqref="BF548:BM548">
    <cfRule type="colorScale" priority="405">
      <colorScale>
        <cfvo type="min"/>
        <cfvo type="percentile" val="50"/>
        <cfvo type="max"/>
        <color rgb="FF63BE7B"/>
        <color rgb="FFFFEB84"/>
        <color rgb="FFF8696B"/>
      </colorScale>
    </cfRule>
  </conditionalFormatting>
  <conditionalFormatting sqref="BF549:BM549">
    <cfRule type="colorScale" priority="404">
      <colorScale>
        <cfvo type="min"/>
        <cfvo type="percentile" val="50"/>
        <cfvo type="max"/>
        <color rgb="FF63BE7B"/>
        <color rgb="FFFFEB84"/>
        <color rgb="FFF8696B"/>
      </colorScale>
    </cfRule>
  </conditionalFormatting>
  <conditionalFormatting sqref="BF550:BM550">
    <cfRule type="colorScale" priority="403">
      <colorScale>
        <cfvo type="min"/>
        <cfvo type="percentile" val="50"/>
        <cfvo type="max"/>
        <color rgb="FF63BE7B"/>
        <color rgb="FFFFEB84"/>
        <color rgb="FFF8696B"/>
      </colorScale>
    </cfRule>
  </conditionalFormatting>
  <conditionalFormatting sqref="BF551:BM551">
    <cfRule type="colorScale" priority="402">
      <colorScale>
        <cfvo type="min"/>
        <cfvo type="percentile" val="50"/>
        <cfvo type="max"/>
        <color rgb="FF63BE7B"/>
        <color rgb="FFFFEB84"/>
        <color rgb="FFF8696B"/>
      </colorScale>
    </cfRule>
  </conditionalFormatting>
  <conditionalFormatting sqref="BF552:BM552">
    <cfRule type="colorScale" priority="401">
      <colorScale>
        <cfvo type="min"/>
        <cfvo type="percentile" val="50"/>
        <cfvo type="max"/>
        <color rgb="FF63BE7B"/>
        <color rgb="FFFFEB84"/>
        <color rgb="FFF8696B"/>
      </colorScale>
    </cfRule>
  </conditionalFormatting>
  <conditionalFormatting sqref="BF553:BM553">
    <cfRule type="colorScale" priority="400">
      <colorScale>
        <cfvo type="min"/>
        <cfvo type="percentile" val="50"/>
        <cfvo type="max"/>
        <color rgb="FF63BE7B"/>
        <color rgb="FFFFEB84"/>
        <color rgb="FFF8696B"/>
      </colorScale>
    </cfRule>
  </conditionalFormatting>
  <conditionalFormatting sqref="BF554:BM554">
    <cfRule type="colorScale" priority="399">
      <colorScale>
        <cfvo type="min"/>
        <cfvo type="percentile" val="50"/>
        <cfvo type="max"/>
        <color rgb="FF63BE7B"/>
        <color rgb="FFFFEB84"/>
        <color rgb="FFF8696B"/>
      </colorScale>
    </cfRule>
  </conditionalFormatting>
  <conditionalFormatting sqref="BF555:BM555">
    <cfRule type="colorScale" priority="398">
      <colorScale>
        <cfvo type="min"/>
        <cfvo type="percentile" val="50"/>
        <cfvo type="max"/>
        <color rgb="FF63BE7B"/>
        <color rgb="FFFFEB84"/>
        <color rgb="FFF8696B"/>
      </colorScale>
    </cfRule>
  </conditionalFormatting>
  <conditionalFormatting sqref="BF556:BM556">
    <cfRule type="colorScale" priority="397">
      <colorScale>
        <cfvo type="min"/>
        <cfvo type="percentile" val="50"/>
        <cfvo type="max"/>
        <color rgb="FF63BE7B"/>
        <color rgb="FFFFEB84"/>
        <color rgb="FFF8696B"/>
      </colorScale>
    </cfRule>
  </conditionalFormatting>
  <conditionalFormatting sqref="BF557:BM557">
    <cfRule type="colorScale" priority="396">
      <colorScale>
        <cfvo type="min"/>
        <cfvo type="percentile" val="50"/>
        <cfvo type="max"/>
        <color rgb="FF63BE7B"/>
        <color rgb="FFFFEB84"/>
        <color rgb="FFF8696B"/>
      </colorScale>
    </cfRule>
  </conditionalFormatting>
  <conditionalFormatting sqref="BF558:BM558">
    <cfRule type="colorScale" priority="395">
      <colorScale>
        <cfvo type="min"/>
        <cfvo type="percentile" val="50"/>
        <cfvo type="max"/>
        <color rgb="FF63BE7B"/>
        <color rgb="FFFFEB84"/>
        <color rgb="FFF8696B"/>
      </colorScale>
    </cfRule>
  </conditionalFormatting>
  <conditionalFormatting sqref="BF559:BM559">
    <cfRule type="colorScale" priority="394">
      <colorScale>
        <cfvo type="min"/>
        <cfvo type="percentile" val="50"/>
        <cfvo type="max"/>
        <color rgb="FF63BE7B"/>
        <color rgb="FFFFEB84"/>
        <color rgb="FFF8696B"/>
      </colorScale>
    </cfRule>
  </conditionalFormatting>
  <conditionalFormatting sqref="BF560:BM560">
    <cfRule type="colorScale" priority="393">
      <colorScale>
        <cfvo type="min"/>
        <cfvo type="percentile" val="50"/>
        <cfvo type="max"/>
        <color rgb="FF63BE7B"/>
        <color rgb="FFFFEB84"/>
        <color rgb="FFF8696B"/>
      </colorScale>
    </cfRule>
  </conditionalFormatting>
  <conditionalFormatting sqref="BF561:BM561">
    <cfRule type="colorScale" priority="392">
      <colorScale>
        <cfvo type="min"/>
        <cfvo type="percentile" val="50"/>
        <cfvo type="max"/>
        <color rgb="FF63BE7B"/>
        <color rgb="FFFFEB84"/>
        <color rgb="FFF8696B"/>
      </colorScale>
    </cfRule>
  </conditionalFormatting>
  <conditionalFormatting sqref="BF562:BM562">
    <cfRule type="colorScale" priority="391">
      <colorScale>
        <cfvo type="min"/>
        <cfvo type="percentile" val="50"/>
        <cfvo type="max"/>
        <color rgb="FF63BE7B"/>
        <color rgb="FFFFEB84"/>
        <color rgb="FFF8696B"/>
      </colorScale>
    </cfRule>
  </conditionalFormatting>
  <conditionalFormatting sqref="BF563:BM563">
    <cfRule type="colorScale" priority="390">
      <colorScale>
        <cfvo type="min"/>
        <cfvo type="percentile" val="50"/>
        <cfvo type="max"/>
        <color rgb="FF63BE7B"/>
        <color rgb="FFFFEB84"/>
        <color rgb="FFF8696B"/>
      </colorScale>
    </cfRule>
  </conditionalFormatting>
  <conditionalFormatting sqref="BF564:BM564">
    <cfRule type="colorScale" priority="389">
      <colorScale>
        <cfvo type="min"/>
        <cfvo type="percentile" val="50"/>
        <cfvo type="max"/>
        <color rgb="FF63BE7B"/>
        <color rgb="FFFFEB84"/>
        <color rgb="FFF8696B"/>
      </colorScale>
    </cfRule>
  </conditionalFormatting>
  <conditionalFormatting sqref="BF565:BM565">
    <cfRule type="colorScale" priority="388">
      <colorScale>
        <cfvo type="min"/>
        <cfvo type="percentile" val="50"/>
        <cfvo type="max"/>
        <color rgb="FF63BE7B"/>
        <color rgb="FFFFEB84"/>
        <color rgb="FFF8696B"/>
      </colorScale>
    </cfRule>
  </conditionalFormatting>
  <conditionalFormatting sqref="BF566:BM566">
    <cfRule type="colorScale" priority="387">
      <colorScale>
        <cfvo type="min"/>
        <cfvo type="percentile" val="50"/>
        <cfvo type="max"/>
        <color rgb="FF63BE7B"/>
        <color rgb="FFFFEB84"/>
        <color rgb="FFF8696B"/>
      </colorScale>
    </cfRule>
  </conditionalFormatting>
  <conditionalFormatting sqref="BF567:BM567">
    <cfRule type="colorScale" priority="386">
      <colorScale>
        <cfvo type="min"/>
        <cfvo type="percentile" val="50"/>
        <cfvo type="max"/>
        <color rgb="FF63BE7B"/>
        <color rgb="FFFFEB84"/>
        <color rgb="FFF8696B"/>
      </colorScale>
    </cfRule>
  </conditionalFormatting>
  <conditionalFormatting sqref="BF568:BM568">
    <cfRule type="colorScale" priority="385">
      <colorScale>
        <cfvo type="min"/>
        <cfvo type="percentile" val="50"/>
        <cfvo type="max"/>
        <color rgb="FF63BE7B"/>
        <color rgb="FFFFEB84"/>
        <color rgb="FFF8696B"/>
      </colorScale>
    </cfRule>
  </conditionalFormatting>
  <conditionalFormatting sqref="BF569:BM569">
    <cfRule type="colorScale" priority="384">
      <colorScale>
        <cfvo type="min"/>
        <cfvo type="percentile" val="50"/>
        <cfvo type="max"/>
        <color rgb="FF63BE7B"/>
        <color rgb="FFFFEB84"/>
        <color rgb="FFF8696B"/>
      </colorScale>
    </cfRule>
  </conditionalFormatting>
  <conditionalFormatting sqref="BF570:BM570">
    <cfRule type="colorScale" priority="383">
      <colorScale>
        <cfvo type="min"/>
        <cfvo type="percentile" val="50"/>
        <cfvo type="max"/>
        <color rgb="FF63BE7B"/>
        <color rgb="FFFFEB84"/>
        <color rgb="FFF8696B"/>
      </colorScale>
    </cfRule>
  </conditionalFormatting>
  <conditionalFormatting sqref="BF571:BM571">
    <cfRule type="colorScale" priority="382">
      <colorScale>
        <cfvo type="min"/>
        <cfvo type="percentile" val="50"/>
        <cfvo type="max"/>
        <color rgb="FF63BE7B"/>
        <color rgb="FFFFEB84"/>
        <color rgb="FFF8696B"/>
      </colorScale>
    </cfRule>
  </conditionalFormatting>
  <conditionalFormatting sqref="BF572:BM572">
    <cfRule type="colorScale" priority="381">
      <colorScale>
        <cfvo type="min"/>
        <cfvo type="percentile" val="50"/>
        <cfvo type="max"/>
        <color rgb="FF63BE7B"/>
        <color rgb="FFFFEB84"/>
        <color rgb="FFF8696B"/>
      </colorScale>
    </cfRule>
  </conditionalFormatting>
  <conditionalFormatting sqref="BF573:BM573">
    <cfRule type="colorScale" priority="380">
      <colorScale>
        <cfvo type="min"/>
        <cfvo type="percentile" val="50"/>
        <cfvo type="max"/>
        <color rgb="FF63BE7B"/>
        <color rgb="FFFFEB84"/>
        <color rgb="FFF8696B"/>
      </colorScale>
    </cfRule>
  </conditionalFormatting>
  <conditionalFormatting sqref="BF574:BM574">
    <cfRule type="colorScale" priority="379">
      <colorScale>
        <cfvo type="min"/>
        <cfvo type="percentile" val="50"/>
        <cfvo type="max"/>
        <color rgb="FF63BE7B"/>
        <color rgb="FFFFEB84"/>
        <color rgb="FFF8696B"/>
      </colorScale>
    </cfRule>
  </conditionalFormatting>
  <conditionalFormatting sqref="BF575:BM575">
    <cfRule type="colorScale" priority="378">
      <colorScale>
        <cfvo type="min"/>
        <cfvo type="percentile" val="50"/>
        <cfvo type="max"/>
        <color rgb="FF63BE7B"/>
        <color rgb="FFFFEB84"/>
        <color rgb="FFF8696B"/>
      </colorScale>
    </cfRule>
  </conditionalFormatting>
  <conditionalFormatting sqref="BF576:BM576">
    <cfRule type="colorScale" priority="377">
      <colorScale>
        <cfvo type="min"/>
        <cfvo type="percentile" val="50"/>
        <cfvo type="max"/>
        <color rgb="FF63BE7B"/>
        <color rgb="FFFFEB84"/>
        <color rgb="FFF8696B"/>
      </colorScale>
    </cfRule>
  </conditionalFormatting>
  <conditionalFormatting sqref="BF577:BM577">
    <cfRule type="colorScale" priority="376">
      <colorScale>
        <cfvo type="min"/>
        <cfvo type="percentile" val="50"/>
        <cfvo type="max"/>
        <color rgb="FF63BE7B"/>
        <color rgb="FFFFEB84"/>
        <color rgb="FFF8696B"/>
      </colorScale>
    </cfRule>
  </conditionalFormatting>
  <conditionalFormatting sqref="BF578:BM578">
    <cfRule type="colorScale" priority="375">
      <colorScale>
        <cfvo type="min"/>
        <cfvo type="percentile" val="50"/>
        <cfvo type="max"/>
        <color rgb="FF63BE7B"/>
        <color rgb="FFFFEB84"/>
        <color rgb="FFF8696B"/>
      </colorScale>
    </cfRule>
  </conditionalFormatting>
  <conditionalFormatting sqref="BF579:BM579">
    <cfRule type="colorScale" priority="374">
      <colorScale>
        <cfvo type="min"/>
        <cfvo type="percentile" val="50"/>
        <cfvo type="max"/>
        <color rgb="FF63BE7B"/>
        <color rgb="FFFFEB84"/>
        <color rgb="FFF8696B"/>
      </colorScale>
    </cfRule>
  </conditionalFormatting>
  <conditionalFormatting sqref="BF580:BM580">
    <cfRule type="colorScale" priority="373">
      <colorScale>
        <cfvo type="min"/>
        <cfvo type="percentile" val="50"/>
        <cfvo type="max"/>
        <color rgb="FF63BE7B"/>
        <color rgb="FFFFEB84"/>
        <color rgb="FFF8696B"/>
      </colorScale>
    </cfRule>
  </conditionalFormatting>
  <conditionalFormatting sqref="BF581:BM581">
    <cfRule type="colorScale" priority="372">
      <colorScale>
        <cfvo type="min"/>
        <cfvo type="percentile" val="50"/>
        <cfvo type="max"/>
        <color rgb="FF63BE7B"/>
        <color rgb="FFFFEB84"/>
        <color rgb="FFF8696B"/>
      </colorScale>
    </cfRule>
  </conditionalFormatting>
  <conditionalFormatting sqref="BF582:BM582">
    <cfRule type="colorScale" priority="371">
      <colorScale>
        <cfvo type="min"/>
        <cfvo type="percentile" val="50"/>
        <cfvo type="max"/>
        <color rgb="FF63BE7B"/>
        <color rgb="FFFFEB84"/>
        <color rgb="FFF8696B"/>
      </colorScale>
    </cfRule>
  </conditionalFormatting>
  <conditionalFormatting sqref="BF583:BM583">
    <cfRule type="colorScale" priority="370">
      <colorScale>
        <cfvo type="min"/>
        <cfvo type="percentile" val="50"/>
        <cfvo type="max"/>
        <color rgb="FF63BE7B"/>
        <color rgb="FFFFEB84"/>
        <color rgb="FFF8696B"/>
      </colorScale>
    </cfRule>
  </conditionalFormatting>
  <conditionalFormatting sqref="BF584:BM584">
    <cfRule type="colorScale" priority="369">
      <colorScale>
        <cfvo type="min"/>
        <cfvo type="percentile" val="50"/>
        <cfvo type="max"/>
        <color rgb="FF63BE7B"/>
        <color rgb="FFFFEB84"/>
        <color rgb="FFF8696B"/>
      </colorScale>
    </cfRule>
  </conditionalFormatting>
  <conditionalFormatting sqref="BF585:BM585">
    <cfRule type="colorScale" priority="368">
      <colorScale>
        <cfvo type="min"/>
        <cfvo type="percentile" val="50"/>
        <cfvo type="max"/>
        <color rgb="FF63BE7B"/>
        <color rgb="FFFFEB84"/>
        <color rgb="FFF8696B"/>
      </colorScale>
    </cfRule>
  </conditionalFormatting>
  <conditionalFormatting sqref="BF586:BM586">
    <cfRule type="colorScale" priority="367">
      <colorScale>
        <cfvo type="min"/>
        <cfvo type="percentile" val="50"/>
        <cfvo type="max"/>
        <color rgb="FF63BE7B"/>
        <color rgb="FFFFEB84"/>
        <color rgb="FFF8696B"/>
      </colorScale>
    </cfRule>
  </conditionalFormatting>
  <conditionalFormatting sqref="BF587:BM587">
    <cfRule type="colorScale" priority="366">
      <colorScale>
        <cfvo type="min"/>
        <cfvo type="percentile" val="50"/>
        <cfvo type="max"/>
        <color rgb="FF63BE7B"/>
        <color rgb="FFFFEB84"/>
        <color rgb="FFF8696B"/>
      </colorScale>
    </cfRule>
  </conditionalFormatting>
  <conditionalFormatting sqref="BF588:BM588">
    <cfRule type="colorScale" priority="365">
      <colorScale>
        <cfvo type="min"/>
        <cfvo type="percentile" val="50"/>
        <cfvo type="max"/>
        <color rgb="FF63BE7B"/>
        <color rgb="FFFFEB84"/>
        <color rgb="FFF8696B"/>
      </colorScale>
    </cfRule>
  </conditionalFormatting>
  <conditionalFormatting sqref="BF589:BM589">
    <cfRule type="colorScale" priority="364">
      <colorScale>
        <cfvo type="min"/>
        <cfvo type="percentile" val="50"/>
        <cfvo type="max"/>
        <color rgb="FF63BE7B"/>
        <color rgb="FFFFEB84"/>
        <color rgb="FFF8696B"/>
      </colorScale>
    </cfRule>
  </conditionalFormatting>
  <conditionalFormatting sqref="BF590:BM590">
    <cfRule type="colorScale" priority="363">
      <colorScale>
        <cfvo type="min"/>
        <cfvo type="percentile" val="50"/>
        <cfvo type="max"/>
        <color rgb="FF63BE7B"/>
        <color rgb="FFFFEB84"/>
        <color rgb="FFF8696B"/>
      </colorScale>
    </cfRule>
  </conditionalFormatting>
  <conditionalFormatting sqref="BF591:BM591">
    <cfRule type="colorScale" priority="362">
      <colorScale>
        <cfvo type="min"/>
        <cfvo type="percentile" val="50"/>
        <cfvo type="max"/>
        <color rgb="FF63BE7B"/>
        <color rgb="FFFFEB84"/>
        <color rgb="FFF8696B"/>
      </colorScale>
    </cfRule>
  </conditionalFormatting>
  <conditionalFormatting sqref="BF592:BM592">
    <cfRule type="colorScale" priority="361">
      <colorScale>
        <cfvo type="min"/>
        <cfvo type="percentile" val="50"/>
        <cfvo type="max"/>
        <color rgb="FF63BE7B"/>
        <color rgb="FFFFEB84"/>
        <color rgb="FFF8696B"/>
      </colorScale>
    </cfRule>
  </conditionalFormatting>
  <conditionalFormatting sqref="BF593:BM593">
    <cfRule type="colorScale" priority="360">
      <colorScale>
        <cfvo type="min"/>
        <cfvo type="percentile" val="50"/>
        <cfvo type="max"/>
        <color rgb="FF63BE7B"/>
        <color rgb="FFFFEB84"/>
        <color rgb="FFF8696B"/>
      </colorScale>
    </cfRule>
  </conditionalFormatting>
  <conditionalFormatting sqref="BF594:BM594">
    <cfRule type="colorScale" priority="359">
      <colorScale>
        <cfvo type="min"/>
        <cfvo type="percentile" val="50"/>
        <cfvo type="max"/>
        <color rgb="FF63BE7B"/>
        <color rgb="FFFFEB84"/>
        <color rgb="FFF8696B"/>
      </colorScale>
    </cfRule>
  </conditionalFormatting>
  <conditionalFormatting sqref="BF595:BM595">
    <cfRule type="colorScale" priority="358">
      <colorScale>
        <cfvo type="min"/>
        <cfvo type="percentile" val="50"/>
        <cfvo type="max"/>
        <color rgb="FF63BE7B"/>
        <color rgb="FFFFEB84"/>
        <color rgb="FFF8696B"/>
      </colorScale>
    </cfRule>
  </conditionalFormatting>
  <conditionalFormatting sqref="BF596:BM596">
    <cfRule type="colorScale" priority="357">
      <colorScale>
        <cfvo type="min"/>
        <cfvo type="percentile" val="50"/>
        <cfvo type="max"/>
        <color rgb="FF63BE7B"/>
        <color rgb="FFFFEB84"/>
        <color rgb="FFF8696B"/>
      </colorScale>
    </cfRule>
  </conditionalFormatting>
  <conditionalFormatting sqref="BF597:BM597">
    <cfRule type="colorScale" priority="356">
      <colorScale>
        <cfvo type="min"/>
        <cfvo type="percentile" val="50"/>
        <cfvo type="max"/>
        <color rgb="FF63BE7B"/>
        <color rgb="FFFFEB84"/>
        <color rgb="FFF8696B"/>
      </colorScale>
    </cfRule>
  </conditionalFormatting>
  <conditionalFormatting sqref="BF598:BM598">
    <cfRule type="colorScale" priority="355">
      <colorScale>
        <cfvo type="min"/>
        <cfvo type="percentile" val="50"/>
        <cfvo type="max"/>
        <color rgb="FF63BE7B"/>
        <color rgb="FFFFEB84"/>
        <color rgb="FFF8696B"/>
      </colorScale>
    </cfRule>
  </conditionalFormatting>
  <conditionalFormatting sqref="BF599:BM599">
    <cfRule type="colorScale" priority="354">
      <colorScale>
        <cfvo type="min"/>
        <cfvo type="percentile" val="50"/>
        <cfvo type="max"/>
        <color rgb="FF63BE7B"/>
        <color rgb="FFFFEB84"/>
        <color rgb="FFF8696B"/>
      </colorScale>
    </cfRule>
  </conditionalFormatting>
  <conditionalFormatting sqref="BF600:BM600">
    <cfRule type="colorScale" priority="353">
      <colorScale>
        <cfvo type="min"/>
        <cfvo type="percentile" val="50"/>
        <cfvo type="max"/>
        <color rgb="FF63BE7B"/>
        <color rgb="FFFFEB84"/>
        <color rgb="FFF8696B"/>
      </colorScale>
    </cfRule>
  </conditionalFormatting>
  <conditionalFormatting sqref="BF601:BM601">
    <cfRule type="colorScale" priority="352">
      <colorScale>
        <cfvo type="min"/>
        <cfvo type="percentile" val="50"/>
        <cfvo type="max"/>
        <color rgb="FF63BE7B"/>
        <color rgb="FFFFEB84"/>
        <color rgb="FFF8696B"/>
      </colorScale>
    </cfRule>
  </conditionalFormatting>
  <conditionalFormatting sqref="BF602:BM602">
    <cfRule type="colorScale" priority="351">
      <colorScale>
        <cfvo type="min"/>
        <cfvo type="percentile" val="50"/>
        <cfvo type="max"/>
        <color rgb="FF63BE7B"/>
        <color rgb="FFFFEB84"/>
        <color rgb="FFF8696B"/>
      </colorScale>
    </cfRule>
  </conditionalFormatting>
  <conditionalFormatting sqref="BF603:BM603">
    <cfRule type="colorScale" priority="350">
      <colorScale>
        <cfvo type="min"/>
        <cfvo type="percentile" val="50"/>
        <cfvo type="max"/>
        <color rgb="FF63BE7B"/>
        <color rgb="FFFFEB84"/>
        <color rgb="FFF8696B"/>
      </colorScale>
    </cfRule>
  </conditionalFormatting>
  <conditionalFormatting sqref="BF604:BM604">
    <cfRule type="colorScale" priority="349">
      <colorScale>
        <cfvo type="min"/>
        <cfvo type="percentile" val="50"/>
        <cfvo type="max"/>
        <color rgb="FF63BE7B"/>
        <color rgb="FFFFEB84"/>
        <color rgb="FFF8696B"/>
      </colorScale>
    </cfRule>
  </conditionalFormatting>
  <conditionalFormatting sqref="BF605:BM605">
    <cfRule type="colorScale" priority="348">
      <colorScale>
        <cfvo type="min"/>
        <cfvo type="percentile" val="50"/>
        <cfvo type="max"/>
        <color rgb="FF63BE7B"/>
        <color rgb="FFFFEB84"/>
        <color rgb="FFF8696B"/>
      </colorScale>
    </cfRule>
  </conditionalFormatting>
  <conditionalFormatting sqref="BF606:BM606">
    <cfRule type="colorScale" priority="347">
      <colorScale>
        <cfvo type="min"/>
        <cfvo type="percentile" val="50"/>
        <cfvo type="max"/>
        <color rgb="FF63BE7B"/>
        <color rgb="FFFFEB84"/>
        <color rgb="FFF8696B"/>
      </colorScale>
    </cfRule>
  </conditionalFormatting>
  <conditionalFormatting sqref="BF607:BM607">
    <cfRule type="colorScale" priority="346">
      <colorScale>
        <cfvo type="min"/>
        <cfvo type="percentile" val="50"/>
        <cfvo type="max"/>
        <color rgb="FF63BE7B"/>
        <color rgb="FFFFEB84"/>
        <color rgb="FFF8696B"/>
      </colorScale>
    </cfRule>
  </conditionalFormatting>
  <conditionalFormatting sqref="BF608:BM608">
    <cfRule type="colorScale" priority="345">
      <colorScale>
        <cfvo type="min"/>
        <cfvo type="percentile" val="50"/>
        <cfvo type="max"/>
        <color rgb="FF63BE7B"/>
        <color rgb="FFFFEB84"/>
        <color rgb="FFF8696B"/>
      </colorScale>
    </cfRule>
  </conditionalFormatting>
  <conditionalFormatting sqref="BF609:BM609">
    <cfRule type="colorScale" priority="344">
      <colorScale>
        <cfvo type="min"/>
        <cfvo type="percentile" val="50"/>
        <cfvo type="max"/>
        <color rgb="FF63BE7B"/>
        <color rgb="FFFFEB84"/>
        <color rgb="FFF8696B"/>
      </colorScale>
    </cfRule>
  </conditionalFormatting>
  <conditionalFormatting sqref="BF610:BM610">
    <cfRule type="colorScale" priority="343">
      <colorScale>
        <cfvo type="min"/>
        <cfvo type="percentile" val="50"/>
        <cfvo type="max"/>
        <color rgb="FF63BE7B"/>
        <color rgb="FFFFEB84"/>
        <color rgb="FFF8696B"/>
      </colorScale>
    </cfRule>
  </conditionalFormatting>
  <conditionalFormatting sqref="BF611:BM611">
    <cfRule type="colorScale" priority="342">
      <colorScale>
        <cfvo type="min"/>
        <cfvo type="percentile" val="50"/>
        <cfvo type="max"/>
        <color rgb="FF63BE7B"/>
        <color rgb="FFFFEB84"/>
        <color rgb="FFF8696B"/>
      </colorScale>
    </cfRule>
  </conditionalFormatting>
  <conditionalFormatting sqref="BF612:BM612">
    <cfRule type="colorScale" priority="341">
      <colorScale>
        <cfvo type="min"/>
        <cfvo type="percentile" val="50"/>
        <cfvo type="max"/>
        <color rgb="FF63BE7B"/>
        <color rgb="FFFFEB84"/>
        <color rgb="FFF8696B"/>
      </colorScale>
    </cfRule>
  </conditionalFormatting>
  <conditionalFormatting sqref="BF613:BM613">
    <cfRule type="colorScale" priority="340">
      <colorScale>
        <cfvo type="min"/>
        <cfvo type="percentile" val="50"/>
        <cfvo type="max"/>
        <color rgb="FF63BE7B"/>
        <color rgb="FFFFEB84"/>
        <color rgb="FFF8696B"/>
      </colorScale>
    </cfRule>
  </conditionalFormatting>
  <conditionalFormatting sqref="BF614:BM614">
    <cfRule type="colorScale" priority="339">
      <colorScale>
        <cfvo type="min"/>
        <cfvo type="percentile" val="50"/>
        <cfvo type="max"/>
        <color rgb="FF63BE7B"/>
        <color rgb="FFFFEB84"/>
        <color rgb="FFF8696B"/>
      </colorScale>
    </cfRule>
  </conditionalFormatting>
  <conditionalFormatting sqref="BF615:BM615">
    <cfRule type="colorScale" priority="338">
      <colorScale>
        <cfvo type="min"/>
        <cfvo type="percentile" val="50"/>
        <cfvo type="max"/>
        <color rgb="FF63BE7B"/>
        <color rgb="FFFFEB84"/>
        <color rgb="FFF8696B"/>
      </colorScale>
    </cfRule>
  </conditionalFormatting>
  <conditionalFormatting sqref="BF616:BM616">
    <cfRule type="colorScale" priority="337">
      <colorScale>
        <cfvo type="min"/>
        <cfvo type="percentile" val="50"/>
        <cfvo type="max"/>
        <color rgb="FF63BE7B"/>
        <color rgb="FFFFEB84"/>
        <color rgb="FFF8696B"/>
      </colorScale>
    </cfRule>
  </conditionalFormatting>
  <conditionalFormatting sqref="BF617:BM617">
    <cfRule type="colorScale" priority="336">
      <colorScale>
        <cfvo type="min"/>
        <cfvo type="percentile" val="50"/>
        <cfvo type="max"/>
        <color rgb="FF63BE7B"/>
        <color rgb="FFFFEB84"/>
        <color rgb="FFF8696B"/>
      </colorScale>
    </cfRule>
  </conditionalFormatting>
  <conditionalFormatting sqref="BF618:BM618">
    <cfRule type="colorScale" priority="335">
      <colorScale>
        <cfvo type="min"/>
        <cfvo type="percentile" val="50"/>
        <cfvo type="max"/>
        <color rgb="FF63BE7B"/>
        <color rgb="FFFFEB84"/>
        <color rgb="FFF8696B"/>
      </colorScale>
    </cfRule>
  </conditionalFormatting>
  <conditionalFormatting sqref="BF619:BM619">
    <cfRule type="colorScale" priority="334">
      <colorScale>
        <cfvo type="min"/>
        <cfvo type="percentile" val="50"/>
        <cfvo type="max"/>
        <color rgb="FF63BE7B"/>
        <color rgb="FFFFEB84"/>
        <color rgb="FFF8696B"/>
      </colorScale>
    </cfRule>
  </conditionalFormatting>
  <conditionalFormatting sqref="BF620:BM620">
    <cfRule type="colorScale" priority="333">
      <colorScale>
        <cfvo type="min"/>
        <cfvo type="percentile" val="50"/>
        <cfvo type="max"/>
        <color rgb="FF63BE7B"/>
        <color rgb="FFFFEB84"/>
        <color rgb="FFF8696B"/>
      </colorScale>
    </cfRule>
  </conditionalFormatting>
  <conditionalFormatting sqref="BF621:BM621">
    <cfRule type="colorScale" priority="332">
      <colorScale>
        <cfvo type="min"/>
        <cfvo type="percentile" val="50"/>
        <cfvo type="max"/>
        <color rgb="FF63BE7B"/>
        <color rgb="FFFFEB84"/>
        <color rgb="FFF8696B"/>
      </colorScale>
    </cfRule>
  </conditionalFormatting>
  <conditionalFormatting sqref="BF622:BM622">
    <cfRule type="colorScale" priority="331">
      <colorScale>
        <cfvo type="min"/>
        <cfvo type="percentile" val="50"/>
        <cfvo type="max"/>
        <color rgb="FF63BE7B"/>
        <color rgb="FFFFEB84"/>
        <color rgb="FFF8696B"/>
      </colorScale>
    </cfRule>
  </conditionalFormatting>
  <conditionalFormatting sqref="BF623:BM623">
    <cfRule type="colorScale" priority="330">
      <colorScale>
        <cfvo type="min"/>
        <cfvo type="percentile" val="50"/>
        <cfvo type="max"/>
        <color rgb="FF63BE7B"/>
        <color rgb="FFFFEB84"/>
        <color rgb="FFF8696B"/>
      </colorScale>
    </cfRule>
  </conditionalFormatting>
  <conditionalFormatting sqref="BF624:BM624">
    <cfRule type="colorScale" priority="329">
      <colorScale>
        <cfvo type="min"/>
        <cfvo type="percentile" val="50"/>
        <cfvo type="max"/>
        <color rgb="FF63BE7B"/>
        <color rgb="FFFFEB84"/>
        <color rgb="FFF8696B"/>
      </colorScale>
    </cfRule>
  </conditionalFormatting>
  <conditionalFormatting sqref="BF625:BM625">
    <cfRule type="colorScale" priority="328">
      <colorScale>
        <cfvo type="min"/>
        <cfvo type="percentile" val="50"/>
        <cfvo type="max"/>
        <color rgb="FF63BE7B"/>
        <color rgb="FFFFEB84"/>
        <color rgb="FFF8696B"/>
      </colorScale>
    </cfRule>
  </conditionalFormatting>
  <conditionalFormatting sqref="BF626:BM626">
    <cfRule type="colorScale" priority="327">
      <colorScale>
        <cfvo type="min"/>
        <cfvo type="percentile" val="50"/>
        <cfvo type="max"/>
        <color rgb="FF63BE7B"/>
        <color rgb="FFFFEB84"/>
        <color rgb="FFF8696B"/>
      </colorScale>
    </cfRule>
  </conditionalFormatting>
  <conditionalFormatting sqref="BF627:BM627">
    <cfRule type="colorScale" priority="326">
      <colorScale>
        <cfvo type="min"/>
        <cfvo type="percentile" val="50"/>
        <cfvo type="max"/>
        <color rgb="FF63BE7B"/>
        <color rgb="FFFFEB84"/>
        <color rgb="FFF8696B"/>
      </colorScale>
    </cfRule>
  </conditionalFormatting>
  <conditionalFormatting sqref="BF628:BM628">
    <cfRule type="colorScale" priority="325">
      <colorScale>
        <cfvo type="min"/>
        <cfvo type="percentile" val="50"/>
        <cfvo type="max"/>
        <color rgb="FF63BE7B"/>
        <color rgb="FFFFEB84"/>
        <color rgb="FFF8696B"/>
      </colorScale>
    </cfRule>
  </conditionalFormatting>
  <conditionalFormatting sqref="BF629:BM629">
    <cfRule type="colorScale" priority="324">
      <colorScale>
        <cfvo type="min"/>
        <cfvo type="percentile" val="50"/>
        <cfvo type="max"/>
        <color rgb="FF63BE7B"/>
        <color rgb="FFFFEB84"/>
        <color rgb="FFF8696B"/>
      </colorScale>
    </cfRule>
  </conditionalFormatting>
  <conditionalFormatting sqref="BF630:BM630">
    <cfRule type="colorScale" priority="323">
      <colorScale>
        <cfvo type="min"/>
        <cfvo type="percentile" val="50"/>
        <cfvo type="max"/>
        <color rgb="FF63BE7B"/>
        <color rgb="FFFFEB84"/>
        <color rgb="FFF8696B"/>
      </colorScale>
    </cfRule>
  </conditionalFormatting>
  <conditionalFormatting sqref="BF631:BM631">
    <cfRule type="colorScale" priority="322">
      <colorScale>
        <cfvo type="min"/>
        <cfvo type="percentile" val="50"/>
        <cfvo type="max"/>
        <color rgb="FF63BE7B"/>
        <color rgb="FFFFEB84"/>
        <color rgb="FFF8696B"/>
      </colorScale>
    </cfRule>
  </conditionalFormatting>
  <conditionalFormatting sqref="BF632:BM632">
    <cfRule type="colorScale" priority="321">
      <colorScale>
        <cfvo type="min"/>
        <cfvo type="percentile" val="50"/>
        <cfvo type="max"/>
        <color rgb="FF63BE7B"/>
        <color rgb="FFFFEB84"/>
        <color rgb="FFF8696B"/>
      </colorScale>
    </cfRule>
  </conditionalFormatting>
  <conditionalFormatting sqref="BF633:BM633">
    <cfRule type="colorScale" priority="320">
      <colorScale>
        <cfvo type="min"/>
        <cfvo type="percentile" val="50"/>
        <cfvo type="max"/>
        <color rgb="FF63BE7B"/>
        <color rgb="FFFFEB84"/>
        <color rgb="FFF8696B"/>
      </colorScale>
    </cfRule>
  </conditionalFormatting>
  <conditionalFormatting sqref="BF634:BM634">
    <cfRule type="colorScale" priority="319">
      <colorScale>
        <cfvo type="min"/>
        <cfvo type="percentile" val="50"/>
        <cfvo type="max"/>
        <color rgb="FF63BE7B"/>
        <color rgb="FFFFEB84"/>
        <color rgb="FFF8696B"/>
      </colorScale>
    </cfRule>
  </conditionalFormatting>
  <conditionalFormatting sqref="BF635:BM635">
    <cfRule type="colorScale" priority="318">
      <colorScale>
        <cfvo type="min"/>
        <cfvo type="percentile" val="50"/>
        <cfvo type="max"/>
        <color rgb="FF63BE7B"/>
        <color rgb="FFFFEB84"/>
        <color rgb="FFF8696B"/>
      </colorScale>
    </cfRule>
  </conditionalFormatting>
  <conditionalFormatting sqref="BF636:BM636">
    <cfRule type="colorScale" priority="317">
      <colorScale>
        <cfvo type="min"/>
        <cfvo type="percentile" val="50"/>
        <cfvo type="max"/>
        <color rgb="FF63BE7B"/>
        <color rgb="FFFFEB84"/>
        <color rgb="FFF8696B"/>
      </colorScale>
    </cfRule>
  </conditionalFormatting>
  <conditionalFormatting sqref="BF637:BM637">
    <cfRule type="colorScale" priority="316">
      <colorScale>
        <cfvo type="min"/>
        <cfvo type="percentile" val="50"/>
        <cfvo type="max"/>
        <color rgb="FF63BE7B"/>
        <color rgb="FFFFEB84"/>
        <color rgb="FFF8696B"/>
      </colorScale>
    </cfRule>
  </conditionalFormatting>
  <conditionalFormatting sqref="BF638:BM638">
    <cfRule type="colorScale" priority="315">
      <colorScale>
        <cfvo type="min"/>
        <cfvo type="percentile" val="50"/>
        <cfvo type="max"/>
        <color rgb="FF63BE7B"/>
        <color rgb="FFFFEB84"/>
        <color rgb="FFF8696B"/>
      </colorScale>
    </cfRule>
  </conditionalFormatting>
  <conditionalFormatting sqref="BF639:BM639">
    <cfRule type="colorScale" priority="314">
      <colorScale>
        <cfvo type="min"/>
        <cfvo type="percentile" val="50"/>
        <cfvo type="max"/>
        <color rgb="FF63BE7B"/>
        <color rgb="FFFFEB84"/>
        <color rgb="FFF8696B"/>
      </colorScale>
    </cfRule>
  </conditionalFormatting>
  <conditionalFormatting sqref="BF640:BM640">
    <cfRule type="colorScale" priority="313">
      <colorScale>
        <cfvo type="min"/>
        <cfvo type="percentile" val="50"/>
        <cfvo type="max"/>
        <color rgb="FF63BE7B"/>
        <color rgb="FFFFEB84"/>
        <color rgb="FFF8696B"/>
      </colorScale>
    </cfRule>
  </conditionalFormatting>
  <conditionalFormatting sqref="BF641:BM641">
    <cfRule type="colorScale" priority="312">
      <colorScale>
        <cfvo type="min"/>
        <cfvo type="percentile" val="50"/>
        <cfvo type="max"/>
        <color rgb="FF63BE7B"/>
        <color rgb="FFFFEB84"/>
        <color rgb="FFF8696B"/>
      </colorScale>
    </cfRule>
  </conditionalFormatting>
  <conditionalFormatting sqref="BF642:BM642">
    <cfRule type="colorScale" priority="311">
      <colorScale>
        <cfvo type="min"/>
        <cfvo type="percentile" val="50"/>
        <cfvo type="max"/>
        <color rgb="FF63BE7B"/>
        <color rgb="FFFFEB84"/>
        <color rgb="FFF8696B"/>
      </colorScale>
    </cfRule>
  </conditionalFormatting>
  <conditionalFormatting sqref="BF643:BM643">
    <cfRule type="colorScale" priority="310">
      <colorScale>
        <cfvo type="min"/>
        <cfvo type="percentile" val="50"/>
        <cfvo type="max"/>
        <color rgb="FF63BE7B"/>
        <color rgb="FFFFEB84"/>
        <color rgb="FFF8696B"/>
      </colorScale>
    </cfRule>
  </conditionalFormatting>
  <conditionalFormatting sqref="BF644:BM644">
    <cfRule type="colorScale" priority="309">
      <colorScale>
        <cfvo type="min"/>
        <cfvo type="percentile" val="50"/>
        <cfvo type="max"/>
        <color rgb="FF63BE7B"/>
        <color rgb="FFFFEB84"/>
        <color rgb="FFF8696B"/>
      </colorScale>
    </cfRule>
  </conditionalFormatting>
  <conditionalFormatting sqref="BF645:BM645">
    <cfRule type="colorScale" priority="308">
      <colorScale>
        <cfvo type="min"/>
        <cfvo type="percentile" val="50"/>
        <cfvo type="max"/>
        <color rgb="FF63BE7B"/>
        <color rgb="FFFFEB84"/>
        <color rgb="FFF8696B"/>
      </colorScale>
    </cfRule>
  </conditionalFormatting>
  <conditionalFormatting sqref="BF646:BM646">
    <cfRule type="colorScale" priority="307">
      <colorScale>
        <cfvo type="min"/>
        <cfvo type="percentile" val="50"/>
        <cfvo type="max"/>
        <color rgb="FF63BE7B"/>
        <color rgb="FFFFEB84"/>
        <color rgb="FFF8696B"/>
      </colorScale>
    </cfRule>
  </conditionalFormatting>
  <conditionalFormatting sqref="BF647:BM647">
    <cfRule type="colorScale" priority="306">
      <colorScale>
        <cfvo type="min"/>
        <cfvo type="percentile" val="50"/>
        <cfvo type="max"/>
        <color rgb="FF63BE7B"/>
        <color rgb="FFFFEB84"/>
        <color rgb="FFF8696B"/>
      </colorScale>
    </cfRule>
  </conditionalFormatting>
  <conditionalFormatting sqref="BF648:BM648">
    <cfRule type="colorScale" priority="305">
      <colorScale>
        <cfvo type="min"/>
        <cfvo type="percentile" val="50"/>
        <cfvo type="max"/>
        <color rgb="FF63BE7B"/>
        <color rgb="FFFFEB84"/>
        <color rgb="FFF8696B"/>
      </colorScale>
    </cfRule>
  </conditionalFormatting>
  <conditionalFormatting sqref="BF649:BM649">
    <cfRule type="colorScale" priority="304">
      <colorScale>
        <cfvo type="min"/>
        <cfvo type="percentile" val="50"/>
        <cfvo type="max"/>
        <color rgb="FF63BE7B"/>
        <color rgb="FFFFEB84"/>
        <color rgb="FFF8696B"/>
      </colorScale>
    </cfRule>
  </conditionalFormatting>
  <conditionalFormatting sqref="BF650:BM650">
    <cfRule type="colorScale" priority="303">
      <colorScale>
        <cfvo type="min"/>
        <cfvo type="percentile" val="50"/>
        <cfvo type="max"/>
        <color rgb="FF63BE7B"/>
        <color rgb="FFFFEB84"/>
        <color rgb="FFF8696B"/>
      </colorScale>
    </cfRule>
  </conditionalFormatting>
  <conditionalFormatting sqref="BF651:BM651">
    <cfRule type="colorScale" priority="302">
      <colorScale>
        <cfvo type="min"/>
        <cfvo type="percentile" val="50"/>
        <cfvo type="max"/>
        <color rgb="FF63BE7B"/>
        <color rgb="FFFFEB84"/>
        <color rgb="FFF8696B"/>
      </colorScale>
    </cfRule>
  </conditionalFormatting>
  <conditionalFormatting sqref="BF652:BM652">
    <cfRule type="colorScale" priority="301">
      <colorScale>
        <cfvo type="min"/>
        <cfvo type="percentile" val="50"/>
        <cfvo type="max"/>
        <color rgb="FF63BE7B"/>
        <color rgb="FFFFEB84"/>
        <color rgb="FFF8696B"/>
      </colorScale>
    </cfRule>
  </conditionalFormatting>
  <conditionalFormatting sqref="BF653:BM653">
    <cfRule type="colorScale" priority="300">
      <colorScale>
        <cfvo type="min"/>
        <cfvo type="percentile" val="50"/>
        <cfvo type="max"/>
        <color rgb="FF63BE7B"/>
        <color rgb="FFFFEB84"/>
        <color rgb="FFF8696B"/>
      </colorScale>
    </cfRule>
  </conditionalFormatting>
  <conditionalFormatting sqref="BF654:BM654">
    <cfRule type="colorScale" priority="299">
      <colorScale>
        <cfvo type="min"/>
        <cfvo type="percentile" val="50"/>
        <cfvo type="max"/>
        <color rgb="FF63BE7B"/>
        <color rgb="FFFFEB84"/>
        <color rgb="FFF8696B"/>
      </colorScale>
    </cfRule>
  </conditionalFormatting>
  <conditionalFormatting sqref="BF655:BM655">
    <cfRule type="colorScale" priority="298">
      <colorScale>
        <cfvo type="min"/>
        <cfvo type="percentile" val="50"/>
        <cfvo type="max"/>
        <color rgb="FF63BE7B"/>
        <color rgb="FFFFEB84"/>
        <color rgb="FFF8696B"/>
      </colorScale>
    </cfRule>
  </conditionalFormatting>
  <conditionalFormatting sqref="BF656:BM656">
    <cfRule type="colorScale" priority="297">
      <colorScale>
        <cfvo type="min"/>
        <cfvo type="percentile" val="50"/>
        <cfvo type="max"/>
        <color rgb="FF63BE7B"/>
        <color rgb="FFFFEB84"/>
        <color rgb="FFF8696B"/>
      </colorScale>
    </cfRule>
  </conditionalFormatting>
  <conditionalFormatting sqref="BF657:BM657">
    <cfRule type="colorScale" priority="296">
      <colorScale>
        <cfvo type="min"/>
        <cfvo type="percentile" val="50"/>
        <cfvo type="max"/>
        <color rgb="FF63BE7B"/>
        <color rgb="FFFFEB84"/>
        <color rgb="FFF8696B"/>
      </colorScale>
    </cfRule>
  </conditionalFormatting>
  <conditionalFormatting sqref="BF658:BM658">
    <cfRule type="colorScale" priority="295">
      <colorScale>
        <cfvo type="min"/>
        <cfvo type="percentile" val="50"/>
        <cfvo type="max"/>
        <color rgb="FF63BE7B"/>
        <color rgb="FFFFEB84"/>
        <color rgb="FFF8696B"/>
      </colorScale>
    </cfRule>
  </conditionalFormatting>
  <conditionalFormatting sqref="BF659:BM659">
    <cfRule type="colorScale" priority="294">
      <colorScale>
        <cfvo type="min"/>
        <cfvo type="percentile" val="50"/>
        <cfvo type="max"/>
        <color rgb="FF63BE7B"/>
        <color rgb="FFFFEB84"/>
        <color rgb="FFF8696B"/>
      </colorScale>
    </cfRule>
  </conditionalFormatting>
  <conditionalFormatting sqref="BF660:BM660">
    <cfRule type="colorScale" priority="293">
      <colorScale>
        <cfvo type="min"/>
        <cfvo type="percentile" val="50"/>
        <cfvo type="max"/>
        <color rgb="FF63BE7B"/>
        <color rgb="FFFFEB84"/>
        <color rgb="FFF8696B"/>
      </colorScale>
    </cfRule>
  </conditionalFormatting>
  <conditionalFormatting sqref="BF661:BM661">
    <cfRule type="colorScale" priority="292">
      <colorScale>
        <cfvo type="min"/>
        <cfvo type="percentile" val="50"/>
        <cfvo type="max"/>
        <color rgb="FF63BE7B"/>
        <color rgb="FFFFEB84"/>
        <color rgb="FFF8696B"/>
      </colorScale>
    </cfRule>
  </conditionalFormatting>
  <conditionalFormatting sqref="BF662:BM662">
    <cfRule type="colorScale" priority="291">
      <colorScale>
        <cfvo type="min"/>
        <cfvo type="percentile" val="50"/>
        <cfvo type="max"/>
        <color rgb="FF63BE7B"/>
        <color rgb="FFFFEB84"/>
        <color rgb="FFF8696B"/>
      </colorScale>
    </cfRule>
  </conditionalFormatting>
  <conditionalFormatting sqref="BF663:BM663">
    <cfRule type="colorScale" priority="290">
      <colorScale>
        <cfvo type="min"/>
        <cfvo type="percentile" val="50"/>
        <cfvo type="max"/>
        <color rgb="FF63BE7B"/>
        <color rgb="FFFFEB84"/>
        <color rgb="FFF8696B"/>
      </colorScale>
    </cfRule>
  </conditionalFormatting>
  <conditionalFormatting sqref="BF664:BM664">
    <cfRule type="colorScale" priority="289">
      <colorScale>
        <cfvo type="min"/>
        <cfvo type="percentile" val="50"/>
        <cfvo type="max"/>
        <color rgb="FF63BE7B"/>
        <color rgb="FFFFEB84"/>
        <color rgb="FFF8696B"/>
      </colorScale>
    </cfRule>
  </conditionalFormatting>
  <conditionalFormatting sqref="BF665:BM665">
    <cfRule type="colorScale" priority="288">
      <colorScale>
        <cfvo type="min"/>
        <cfvo type="percentile" val="50"/>
        <cfvo type="max"/>
        <color rgb="FF63BE7B"/>
        <color rgb="FFFFEB84"/>
        <color rgb="FFF8696B"/>
      </colorScale>
    </cfRule>
  </conditionalFormatting>
  <conditionalFormatting sqref="BF666:BM666">
    <cfRule type="colorScale" priority="287">
      <colorScale>
        <cfvo type="min"/>
        <cfvo type="percentile" val="50"/>
        <cfvo type="max"/>
        <color rgb="FF63BE7B"/>
        <color rgb="FFFFEB84"/>
        <color rgb="FFF8696B"/>
      </colorScale>
    </cfRule>
  </conditionalFormatting>
  <conditionalFormatting sqref="BF667:BM667">
    <cfRule type="colorScale" priority="286">
      <colorScale>
        <cfvo type="min"/>
        <cfvo type="percentile" val="50"/>
        <cfvo type="max"/>
        <color rgb="FF63BE7B"/>
        <color rgb="FFFFEB84"/>
        <color rgb="FFF8696B"/>
      </colorScale>
    </cfRule>
  </conditionalFormatting>
  <conditionalFormatting sqref="BF668:BM668">
    <cfRule type="colorScale" priority="285">
      <colorScale>
        <cfvo type="min"/>
        <cfvo type="percentile" val="50"/>
        <cfvo type="max"/>
        <color rgb="FF63BE7B"/>
        <color rgb="FFFFEB84"/>
        <color rgb="FFF8696B"/>
      </colorScale>
    </cfRule>
  </conditionalFormatting>
  <conditionalFormatting sqref="BF669:BM669">
    <cfRule type="colorScale" priority="284">
      <colorScale>
        <cfvo type="min"/>
        <cfvo type="percentile" val="50"/>
        <cfvo type="max"/>
        <color rgb="FF63BE7B"/>
        <color rgb="FFFFEB84"/>
        <color rgb="FFF8696B"/>
      </colorScale>
    </cfRule>
  </conditionalFormatting>
  <conditionalFormatting sqref="BF670:BM670">
    <cfRule type="colorScale" priority="283">
      <colorScale>
        <cfvo type="min"/>
        <cfvo type="percentile" val="50"/>
        <cfvo type="max"/>
        <color rgb="FF63BE7B"/>
        <color rgb="FFFFEB84"/>
        <color rgb="FFF8696B"/>
      </colorScale>
    </cfRule>
  </conditionalFormatting>
  <conditionalFormatting sqref="BF671:BM671">
    <cfRule type="colorScale" priority="282">
      <colorScale>
        <cfvo type="min"/>
        <cfvo type="percentile" val="50"/>
        <cfvo type="max"/>
        <color rgb="FF63BE7B"/>
        <color rgb="FFFFEB84"/>
        <color rgb="FFF8696B"/>
      </colorScale>
    </cfRule>
  </conditionalFormatting>
  <conditionalFormatting sqref="BF672:BM672">
    <cfRule type="colorScale" priority="281">
      <colorScale>
        <cfvo type="min"/>
        <cfvo type="percentile" val="50"/>
        <cfvo type="max"/>
        <color rgb="FF63BE7B"/>
        <color rgb="FFFFEB84"/>
        <color rgb="FFF8696B"/>
      </colorScale>
    </cfRule>
  </conditionalFormatting>
  <conditionalFormatting sqref="BF673:BM673">
    <cfRule type="colorScale" priority="280">
      <colorScale>
        <cfvo type="min"/>
        <cfvo type="percentile" val="50"/>
        <cfvo type="max"/>
        <color rgb="FF63BE7B"/>
        <color rgb="FFFFEB84"/>
        <color rgb="FFF8696B"/>
      </colorScale>
    </cfRule>
  </conditionalFormatting>
  <conditionalFormatting sqref="BF674:BM674">
    <cfRule type="colorScale" priority="279">
      <colorScale>
        <cfvo type="min"/>
        <cfvo type="percentile" val="50"/>
        <cfvo type="max"/>
        <color rgb="FF63BE7B"/>
        <color rgb="FFFFEB84"/>
        <color rgb="FFF8696B"/>
      </colorScale>
    </cfRule>
  </conditionalFormatting>
  <conditionalFormatting sqref="BF675:BM675">
    <cfRule type="colorScale" priority="278">
      <colorScale>
        <cfvo type="min"/>
        <cfvo type="percentile" val="50"/>
        <cfvo type="max"/>
        <color rgb="FF63BE7B"/>
        <color rgb="FFFFEB84"/>
        <color rgb="FFF8696B"/>
      </colorScale>
    </cfRule>
  </conditionalFormatting>
  <conditionalFormatting sqref="BF676:BM676">
    <cfRule type="colorScale" priority="277">
      <colorScale>
        <cfvo type="min"/>
        <cfvo type="percentile" val="50"/>
        <cfvo type="max"/>
        <color rgb="FF63BE7B"/>
        <color rgb="FFFFEB84"/>
        <color rgb="FFF8696B"/>
      </colorScale>
    </cfRule>
  </conditionalFormatting>
  <conditionalFormatting sqref="BF677:BM677">
    <cfRule type="colorScale" priority="276">
      <colorScale>
        <cfvo type="min"/>
        <cfvo type="percentile" val="50"/>
        <cfvo type="max"/>
        <color rgb="FF63BE7B"/>
        <color rgb="FFFFEB84"/>
        <color rgb="FFF8696B"/>
      </colorScale>
    </cfRule>
  </conditionalFormatting>
  <conditionalFormatting sqref="BF678:BM678">
    <cfRule type="colorScale" priority="275">
      <colorScale>
        <cfvo type="min"/>
        <cfvo type="percentile" val="50"/>
        <cfvo type="max"/>
        <color rgb="FF63BE7B"/>
        <color rgb="FFFFEB84"/>
        <color rgb="FFF8696B"/>
      </colorScale>
    </cfRule>
  </conditionalFormatting>
  <conditionalFormatting sqref="BF679:BM679">
    <cfRule type="colorScale" priority="274">
      <colorScale>
        <cfvo type="min"/>
        <cfvo type="percentile" val="50"/>
        <cfvo type="max"/>
        <color rgb="FF63BE7B"/>
        <color rgb="FFFFEB84"/>
        <color rgb="FFF8696B"/>
      </colorScale>
    </cfRule>
  </conditionalFormatting>
  <conditionalFormatting sqref="BF680:BM680">
    <cfRule type="colorScale" priority="273">
      <colorScale>
        <cfvo type="min"/>
        <cfvo type="percentile" val="50"/>
        <cfvo type="max"/>
        <color rgb="FF63BE7B"/>
        <color rgb="FFFFEB84"/>
        <color rgb="FFF8696B"/>
      </colorScale>
    </cfRule>
  </conditionalFormatting>
  <conditionalFormatting sqref="BF681:BM681">
    <cfRule type="colorScale" priority="272">
      <colorScale>
        <cfvo type="min"/>
        <cfvo type="percentile" val="50"/>
        <cfvo type="max"/>
        <color rgb="FF63BE7B"/>
        <color rgb="FFFFEB84"/>
        <color rgb="FFF8696B"/>
      </colorScale>
    </cfRule>
  </conditionalFormatting>
  <conditionalFormatting sqref="BF682:BM682">
    <cfRule type="colorScale" priority="271">
      <colorScale>
        <cfvo type="min"/>
        <cfvo type="percentile" val="50"/>
        <cfvo type="max"/>
        <color rgb="FF63BE7B"/>
        <color rgb="FFFFEB84"/>
        <color rgb="FFF8696B"/>
      </colorScale>
    </cfRule>
  </conditionalFormatting>
  <conditionalFormatting sqref="BF683:BM683">
    <cfRule type="colorScale" priority="270">
      <colorScale>
        <cfvo type="min"/>
        <cfvo type="percentile" val="50"/>
        <cfvo type="max"/>
        <color rgb="FF63BE7B"/>
        <color rgb="FFFFEB84"/>
        <color rgb="FFF8696B"/>
      </colorScale>
    </cfRule>
  </conditionalFormatting>
  <conditionalFormatting sqref="BF684:BM684">
    <cfRule type="colorScale" priority="269">
      <colorScale>
        <cfvo type="min"/>
        <cfvo type="percentile" val="50"/>
        <cfvo type="max"/>
        <color rgb="FF63BE7B"/>
        <color rgb="FFFFEB84"/>
        <color rgb="FFF8696B"/>
      </colorScale>
    </cfRule>
  </conditionalFormatting>
  <conditionalFormatting sqref="BF685:BM685">
    <cfRule type="colorScale" priority="268">
      <colorScale>
        <cfvo type="min"/>
        <cfvo type="percentile" val="50"/>
        <cfvo type="max"/>
        <color rgb="FF63BE7B"/>
        <color rgb="FFFFEB84"/>
        <color rgb="FFF8696B"/>
      </colorScale>
    </cfRule>
  </conditionalFormatting>
  <conditionalFormatting sqref="BF686:BM686">
    <cfRule type="colorScale" priority="267">
      <colorScale>
        <cfvo type="min"/>
        <cfvo type="percentile" val="50"/>
        <cfvo type="max"/>
        <color rgb="FF63BE7B"/>
        <color rgb="FFFFEB84"/>
        <color rgb="FFF8696B"/>
      </colorScale>
    </cfRule>
  </conditionalFormatting>
  <conditionalFormatting sqref="BF687:BM687">
    <cfRule type="colorScale" priority="266">
      <colorScale>
        <cfvo type="min"/>
        <cfvo type="percentile" val="50"/>
        <cfvo type="max"/>
        <color rgb="FF63BE7B"/>
        <color rgb="FFFFEB84"/>
        <color rgb="FFF8696B"/>
      </colorScale>
    </cfRule>
  </conditionalFormatting>
  <conditionalFormatting sqref="BF688:BM688">
    <cfRule type="colorScale" priority="265">
      <colorScale>
        <cfvo type="min"/>
        <cfvo type="percentile" val="50"/>
        <cfvo type="max"/>
        <color rgb="FF63BE7B"/>
        <color rgb="FFFFEB84"/>
        <color rgb="FFF8696B"/>
      </colorScale>
    </cfRule>
  </conditionalFormatting>
  <conditionalFormatting sqref="BF689:BM689">
    <cfRule type="colorScale" priority="264">
      <colorScale>
        <cfvo type="min"/>
        <cfvo type="percentile" val="50"/>
        <cfvo type="max"/>
        <color rgb="FF63BE7B"/>
        <color rgb="FFFFEB84"/>
        <color rgb="FFF8696B"/>
      </colorScale>
    </cfRule>
  </conditionalFormatting>
  <conditionalFormatting sqref="BF690:BM690">
    <cfRule type="colorScale" priority="263">
      <colorScale>
        <cfvo type="min"/>
        <cfvo type="percentile" val="50"/>
        <cfvo type="max"/>
        <color rgb="FF63BE7B"/>
        <color rgb="FFFFEB84"/>
        <color rgb="FFF8696B"/>
      </colorScale>
    </cfRule>
  </conditionalFormatting>
  <conditionalFormatting sqref="BF691:BM691">
    <cfRule type="colorScale" priority="262">
      <colorScale>
        <cfvo type="min"/>
        <cfvo type="percentile" val="50"/>
        <cfvo type="max"/>
        <color rgb="FF63BE7B"/>
        <color rgb="FFFFEB84"/>
        <color rgb="FFF8696B"/>
      </colorScale>
    </cfRule>
  </conditionalFormatting>
  <conditionalFormatting sqref="BF692:BM692">
    <cfRule type="colorScale" priority="261">
      <colorScale>
        <cfvo type="min"/>
        <cfvo type="percentile" val="50"/>
        <cfvo type="max"/>
        <color rgb="FF63BE7B"/>
        <color rgb="FFFFEB84"/>
        <color rgb="FFF8696B"/>
      </colorScale>
    </cfRule>
  </conditionalFormatting>
  <conditionalFormatting sqref="BF693:BM693">
    <cfRule type="colorScale" priority="260">
      <colorScale>
        <cfvo type="min"/>
        <cfvo type="percentile" val="50"/>
        <cfvo type="max"/>
        <color rgb="FF63BE7B"/>
        <color rgb="FFFFEB84"/>
        <color rgb="FFF8696B"/>
      </colorScale>
    </cfRule>
  </conditionalFormatting>
  <conditionalFormatting sqref="BF694:BM694">
    <cfRule type="colorScale" priority="259">
      <colorScale>
        <cfvo type="min"/>
        <cfvo type="percentile" val="50"/>
        <cfvo type="max"/>
        <color rgb="FF63BE7B"/>
        <color rgb="FFFFEB84"/>
        <color rgb="FFF8696B"/>
      </colorScale>
    </cfRule>
  </conditionalFormatting>
  <conditionalFormatting sqref="BF695:BM695">
    <cfRule type="colorScale" priority="258">
      <colorScale>
        <cfvo type="min"/>
        <cfvo type="percentile" val="50"/>
        <cfvo type="max"/>
        <color rgb="FF63BE7B"/>
        <color rgb="FFFFEB84"/>
        <color rgb="FFF8696B"/>
      </colorScale>
    </cfRule>
  </conditionalFormatting>
  <conditionalFormatting sqref="BF696:BM696">
    <cfRule type="colorScale" priority="257">
      <colorScale>
        <cfvo type="min"/>
        <cfvo type="percentile" val="50"/>
        <cfvo type="max"/>
        <color rgb="FF63BE7B"/>
        <color rgb="FFFFEB84"/>
        <color rgb="FFF8696B"/>
      </colorScale>
    </cfRule>
  </conditionalFormatting>
  <conditionalFormatting sqref="BF697:BM697">
    <cfRule type="colorScale" priority="256">
      <colorScale>
        <cfvo type="min"/>
        <cfvo type="percentile" val="50"/>
        <cfvo type="max"/>
        <color rgb="FF63BE7B"/>
        <color rgb="FFFFEB84"/>
        <color rgb="FFF8696B"/>
      </colorScale>
    </cfRule>
  </conditionalFormatting>
  <conditionalFormatting sqref="BF698:BM698">
    <cfRule type="colorScale" priority="255">
      <colorScale>
        <cfvo type="min"/>
        <cfvo type="percentile" val="50"/>
        <cfvo type="max"/>
        <color rgb="FF63BE7B"/>
        <color rgb="FFFFEB84"/>
        <color rgb="FFF8696B"/>
      </colorScale>
    </cfRule>
  </conditionalFormatting>
  <conditionalFormatting sqref="BF699:BM699">
    <cfRule type="colorScale" priority="254">
      <colorScale>
        <cfvo type="min"/>
        <cfvo type="percentile" val="50"/>
        <cfvo type="max"/>
        <color rgb="FF63BE7B"/>
        <color rgb="FFFFEB84"/>
        <color rgb="FFF8696B"/>
      </colorScale>
    </cfRule>
  </conditionalFormatting>
  <conditionalFormatting sqref="BF700:BM700">
    <cfRule type="colorScale" priority="253">
      <colorScale>
        <cfvo type="min"/>
        <cfvo type="percentile" val="50"/>
        <cfvo type="max"/>
        <color rgb="FF63BE7B"/>
        <color rgb="FFFFEB84"/>
        <color rgb="FFF8696B"/>
      </colorScale>
    </cfRule>
  </conditionalFormatting>
  <conditionalFormatting sqref="BF701:BM701">
    <cfRule type="colorScale" priority="252">
      <colorScale>
        <cfvo type="min"/>
        <cfvo type="percentile" val="50"/>
        <cfvo type="max"/>
        <color rgb="FF63BE7B"/>
        <color rgb="FFFFEB84"/>
        <color rgb="FFF8696B"/>
      </colorScale>
    </cfRule>
  </conditionalFormatting>
  <conditionalFormatting sqref="BF702:BM702">
    <cfRule type="colorScale" priority="251">
      <colorScale>
        <cfvo type="min"/>
        <cfvo type="percentile" val="50"/>
        <cfvo type="max"/>
        <color rgb="FF63BE7B"/>
        <color rgb="FFFFEB84"/>
        <color rgb="FFF8696B"/>
      </colorScale>
    </cfRule>
  </conditionalFormatting>
  <conditionalFormatting sqref="BF703:BM703">
    <cfRule type="colorScale" priority="250">
      <colorScale>
        <cfvo type="min"/>
        <cfvo type="percentile" val="50"/>
        <cfvo type="max"/>
        <color rgb="FF63BE7B"/>
        <color rgb="FFFFEB84"/>
        <color rgb="FFF8696B"/>
      </colorScale>
    </cfRule>
  </conditionalFormatting>
  <conditionalFormatting sqref="BF704:BM704">
    <cfRule type="colorScale" priority="249">
      <colorScale>
        <cfvo type="min"/>
        <cfvo type="percentile" val="50"/>
        <cfvo type="max"/>
        <color rgb="FF63BE7B"/>
        <color rgb="FFFFEB84"/>
        <color rgb="FFF8696B"/>
      </colorScale>
    </cfRule>
  </conditionalFormatting>
  <conditionalFormatting sqref="BF705:BM705">
    <cfRule type="colorScale" priority="248">
      <colorScale>
        <cfvo type="min"/>
        <cfvo type="percentile" val="50"/>
        <cfvo type="max"/>
        <color rgb="FF63BE7B"/>
        <color rgb="FFFFEB84"/>
        <color rgb="FFF8696B"/>
      </colorScale>
    </cfRule>
  </conditionalFormatting>
  <conditionalFormatting sqref="BF706:BM706">
    <cfRule type="colorScale" priority="247">
      <colorScale>
        <cfvo type="min"/>
        <cfvo type="percentile" val="50"/>
        <cfvo type="max"/>
        <color rgb="FF63BE7B"/>
        <color rgb="FFFFEB84"/>
        <color rgb="FFF8696B"/>
      </colorScale>
    </cfRule>
  </conditionalFormatting>
  <conditionalFormatting sqref="BF707:BM707">
    <cfRule type="colorScale" priority="246">
      <colorScale>
        <cfvo type="min"/>
        <cfvo type="percentile" val="50"/>
        <cfvo type="max"/>
        <color rgb="FF63BE7B"/>
        <color rgb="FFFFEB84"/>
        <color rgb="FFF8696B"/>
      </colorScale>
    </cfRule>
  </conditionalFormatting>
  <conditionalFormatting sqref="BF708:BM708">
    <cfRule type="colorScale" priority="245">
      <colorScale>
        <cfvo type="min"/>
        <cfvo type="percentile" val="50"/>
        <cfvo type="max"/>
        <color rgb="FF63BE7B"/>
        <color rgb="FFFFEB84"/>
        <color rgb="FFF8696B"/>
      </colorScale>
    </cfRule>
  </conditionalFormatting>
  <conditionalFormatting sqref="BF709:BM709">
    <cfRule type="colorScale" priority="244">
      <colorScale>
        <cfvo type="min"/>
        <cfvo type="percentile" val="50"/>
        <cfvo type="max"/>
        <color rgb="FF63BE7B"/>
        <color rgb="FFFFEB84"/>
        <color rgb="FFF8696B"/>
      </colorScale>
    </cfRule>
  </conditionalFormatting>
  <conditionalFormatting sqref="BF710:BM710">
    <cfRule type="colorScale" priority="243">
      <colorScale>
        <cfvo type="min"/>
        <cfvo type="percentile" val="50"/>
        <cfvo type="max"/>
        <color rgb="FF63BE7B"/>
        <color rgb="FFFFEB84"/>
        <color rgb="FFF8696B"/>
      </colorScale>
    </cfRule>
  </conditionalFormatting>
  <conditionalFormatting sqref="BF711:BM711">
    <cfRule type="colorScale" priority="242">
      <colorScale>
        <cfvo type="min"/>
        <cfvo type="percentile" val="50"/>
        <cfvo type="max"/>
        <color rgb="FF63BE7B"/>
        <color rgb="FFFFEB84"/>
        <color rgb="FFF8696B"/>
      </colorScale>
    </cfRule>
  </conditionalFormatting>
  <conditionalFormatting sqref="BF712:BM712">
    <cfRule type="colorScale" priority="241">
      <colorScale>
        <cfvo type="min"/>
        <cfvo type="percentile" val="50"/>
        <cfvo type="max"/>
        <color rgb="FF63BE7B"/>
        <color rgb="FFFFEB84"/>
        <color rgb="FFF8696B"/>
      </colorScale>
    </cfRule>
  </conditionalFormatting>
  <conditionalFormatting sqref="BF713:BM713">
    <cfRule type="colorScale" priority="240">
      <colorScale>
        <cfvo type="min"/>
        <cfvo type="percentile" val="50"/>
        <cfvo type="max"/>
        <color rgb="FF63BE7B"/>
        <color rgb="FFFFEB84"/>
        <color rgb="FFF8696B"/>
      </colorScale>
    </cfRule>
  </conditionalFormatting>
  <conditionalFormatting sqref="BF714:BM714">
    <cfRule type="colorScale" priority="239">
      <colorScale>
        <cfvo type="min"/>
        <cfvo type="percentile" val="50"/>
        <cfvo type="max"/>
        <color rgb="FF63BE7B"/>
        <color rgb="FFFFEB84"/>
        <color rgb="FFF8696B"/>
      </colorScale>
    </cfRule>
  </conditionalFormatting>
  <conditionalFormatting sqref="BF715:BM715">
    <cfRule type="colorScale" priority="238">
      <colorScale>
        <cfvo type="min"/>
        <cfvo type="percentile" val="50"/>
        <cfvo type="max"/>
        <color rgb="FF63BE7B"/>
        <color rgb="FFFFEB84"/>
        <color rgb="FFF8696B"/>
      </colorScale>
    </cfRule>
  </conditionalFormatting>
  <conditionalFormatting sqref="BF716:BM716">
    <cfRule type="colorScale" priority="237">
      <colorScale>
        <cfvo type="min"/>
        <cfvo type="percentile" val="50"/>
        <cfvo type="max"/>
        <color rgb="FF63BE7B"/>
        <color rgb="FFFFEB84"/>
        <color rgb="FFF8696B"/>
      </colorScale>
    </cfRule>
  </conditionalFormatting>
  <conditionalFormatting sqref="BF717:BM717">
    <cfRule type="colorScale" priority="236">
      <colorScale>
        <cfvo type="min"/>
        <cfvo type="percentile" val="50"/>
        <cfvo type="max"/>
        <color rgb="FF63BE7B"/>
        <color rgb="FFFFEB84"/>
        <color rgb="FFF8696B"/>
      </colorScale>
    </cfRule>
  </conditionalFormatting>
  <conditionalFormatting sqref="BF718:BM718">
    <cfRule type="colorScale" priority="235">
      <colorScale>
        <cfvo type="min"/>
        <cfvo type="percentile" val="50"/>
        <cfvo type="max"/>
        <color rgb="FF63BE7B"/>
        <color rgb="FFFFEB84"/>
        <color rgb="FFF8696B"/>
      </colorScale>
    </cfRule>
  </conditionalFormatting>
  <conditionalFormatting sqref="BF719:BM719">
    <cfRule type="colorScale" priority="234">
      <colorScale>
        <cfvo type="min"/>
        <cfvo type="percentile" val="50"/>
        <cfvo type="max"/>
        <color rgb="FF63BE7B"/>
        <color rgb="FFFFEB84"/>
        <color rgb="FFF8696B"/>
      </colorScale>
    </cfRule>
  </conditionalFormatting>
  <conditionalFormatting sqref="BF720:BM720">
    <cfRule type="colorScale" priority="233">
      <colorScale>
        <cfvo type="min"/>
        <cfvo type="percentile" val="50"/>
        <cfvo type="max"/>
        <color rgb="FF63BE7B"/>
        <color rgb="FFFFEB84"/>
        <color rgb="FFF8696B"/>
      </colorScale>
    </cfRule>
  </conditionalFormatting>
  <conditionalFormatting sqref="BF721:BM721">
    <cfRule type="colorScale" priority="232">
      <colorScale>
        <cfvo type="min"/>
        <cfvo type="percentile" val="50"/>
        <cfvo type="max"/>
        <color rgb="FF63BE7B"/>
        <color rgb="FFFFEB84"/>
        <color rgb="FFF8696B"/>
      </colorScale>
    </cfRule>
  </conditionalFormatting>
  <conditionalFormatting sqref="BF722:BM722">
    <cfRule type="colorScale" priority="231">
      <colorScale>
        <cfvo type="min"/>
        <cfvo type="percentile" val="50"/>
        <cfvo type="max"/>
        <color rgb="FF63BE7B"/>
        <color rgb="FFFFEB84"/>
        <color rgb="FFF8696B"/>
      </colorScale>
    </cfRule>
  </conditionalFormatting>
  <conditionalFormatting sqref="BF723:BM723">
    <cfRule type="colorScale" priority="230">
      <colorScale>
        <cfvo type="min"/>
        <cfvo type="percentile" val="50"/>
        <cfvo type="max"/>
        <color rgb="FF63BE7B"/>
        <color rgb="FFFFEB84"/>
        <color rgb="FFF8696B"/>
      </colorScale>
    </cfRule>
  </conditionalFormatting>
  <conditionalFormatting sqref="BF724:BM724">
    <cfRule type="colorScale" priority="229">
      <colorScale>
        <cfvo type="min"/>
        <cfvo type="percentile" val="50"/>
        <cfvo type="max"/>
        <color rgb="FF63BE7B"/>
        <color rgb="FFFFEB84"/>
        <color rgb="FFF8696B"/>
      </colorScale>
    </cfRule>
  </conditionalFormatting>
  <conditionalFormatting sqref="BF725:BM725">
    <cfRule type="colorScale" priority="228">
      <colorScale>
        <cfvo type="min"/>
        <cfvo type="percentile" val="50"/>
        <cfvo type="max"/>
        <color rgb="FF63BE7B"/>
        <color rgb="FFFFEB84"/>
        <color rgb="FFF8696B"/>
      </colorScale>
    </cfRule>
  </conditionalFormatting>
  <conditionalFormatting sqref="BF726:BM726">
    <cfRule type="colorScale" priority="227">
      <colorScale>
        <cfvo type="min"/>
        <cfvo type="percentile" val="50"/>
        <cfvo type="max"/>
        <color rgb="FF63BE7B"/>
        <color rgb="FFFFEB84"/>
        <color rgb="FFF8696B"/>
      </colorScale>
    </cfRule>
  </conditionalFormatting>
  <conditionalFormatting sqref="BF727:BM727">
    <cfRule type="colorScale" priority="226">
      <colorScale>
        <cfvo type="min"/>
        <cfvo type="percentile" val="50"/>
        <cfvo type="max"/>
        <color rgb="FF63BE7B"/>
        <color rgb="FFFFEB84"/>
        <color rgb="FFF8696B"/>
      </colorScale>
    </cfRule>
  </conditionalFormatting>
  <conditionalFormatting sqref="BF728:BM728">
    <cfRule type="colorScale" priority="225">
      <colorScale>
        <cfvo type="min"/>
        <cfvo type="percentile" val="50"/>
        <cfvo type="max"/>
        <color rgb="FF63BE7B"/>
        <color rgb="FFFFEB84"/>
        <color rgb="FFF8696B"/>
      </colorScale>
    </cfRule>
  </conditionalFormatting>
  <conditionalFormatting sqref="BF729:BM729">
    <cfRule type="colorScale" priority="224">
      <colorScale>
        <cfvo type="min"/>
        <cfvo type="percentile" val="50"/>
        <cfvo type="max"/>
        <color rgb="FF63BE7B"/>
        <color rgb="FFFFEB84"/>
        <color rgb="FFF8696B"/>
      </colorScale>
    </cfRule>
  </conditionalFormatting>
  <conditionalFormatting sqref="BF730:BM730">
    <cfRule type="colorScale" priority="223">
      <colorScale>
        <cfvo type="min"/>
        <cfvo type="percentile" val="50"/>
        <cfvo type="max"/>
        <color rgb="FF63BE7B"/>
        <color rgb="FFFFEB84"/>
        <color rgb="FFF8696B"/>
      </colorScale>
    </cfRule>
  </conditionalFormatting>
  <conditionalFormatting sqref="BF731:BM731">
    <cfRule type="colorScale" priority="222">
      <colorScale>
        <cfvo type="min"/>
        <cfvo type="percentile" val="50"/>
        <cfvo type="max"/>
        <color rgb="FF63BE7B"/>
        <color rgb="FFFFEB84"/>
        <color rgb="FFF8696B"/>
      </colorScale>
    </cfRule>
  </conditionalFormatting>
  <conditionalFormatting sqref="BF732:BM732">
    <cfRule type="colorScale" priority="221">
      <colorScale>
        <cfvo type="min"/>
        <cfvo type="percentile" val="50"/>
        <cfvo type="max"/>
        <color rgb="FF63BE7B"/>
        <color rgb="FFFFEB84"/>
        <color rgb="FFF8696B"/>
      </colorScale>
    </cfRule>
  </conditionalFormatting>
  <conditionalFormatting sqref="BF733:BM733">
    <cfRule type="colorScale" priority="220">
      <colorScale>
        <cfvo type="min"/>
        <cfvo type="percentile" val="50"/>
        <cfvo type="max"/>
        <color rgb="FF63BE7B"/>
        <color rgb="FFFFEB84"/>
        <color rgb="FFF8696B"/>
      </colorScale>
    </cfRule>
  </conditionalFormatting>
  <conditionalFormatting sqref="BF734:BM734">
    <cfRule type="colorScale" priority="219">
      <colorScale>
        <cfvo type="min"/>
        <cfvo type="percentile" val="50"/>
        <cfvo type="max"/>
        <color rgb="FF63BE7B"/>
        <color rgb="FFFFEB84"/>
        <color rgb="FFF8696B"/>
      </colorScale>
    </cfRule>
  </conditionalFormatting>
  <conditionalFormatting sqref="BF735:BM735">
    <cfRule type="colorScale" priority="218">
      <colorScale>
        <cfvo type="min"/>
        <cfvo type="percentile" val="50"/>
        <cfvo type="max"/>
        <color rgb="FF63BE7B"/>
        <color rgb="FFFFEB84"/>
        <color rgb="FFF8696B"/>
      </colorScale>
    </cfRule>
  </conditionalFormatting>
  <conditionalFormatting sqref="BF736:BM736">
    <cfRule type="colorScale" priority="217">
      <colorScale>
        <cfvo type="min"/>
        <cfvo type="percentile" val="50"/>
        <cfvo type="max"/>
        <color rgb="FF63BE7B"/>
        <color rgb="FFFFEB84"/>
        <color rgb="FFF8696B"/>
      </colorScale>
    </cfRule>
  </conditionalFormatting>
  <conditionalFormatting sqref="BF737:BM737">
    <cfRule type="colorScale" priority="216">
      <colorScale>
        <cfvo type="min"/>
        <cfvo type="percentile" val="50"/>
        <cfvo type="max"/>
        <color rgb="FF63BE7B"/>
        <color rgb="FFFFEB84"/>
        <color rgb="FFF8696B"/>
      </colorScale>
    </cfRule>
  </conditionalFormatting>
  <conditionalFormatting sqref="BF738:BM738">
    <cfRule type="colorScale" priority="215">
      <colorScale>
        <cfvo type="min"/>
        <cfvo type="percentile" val="50"/>
        <cfvo type="max"/>
        <color rgb="FF63BE7B"/>
        <color rgb="FFFFEB84"/>
        <color rgb="FFF8696B"/>
      </colorScale>
    </cfRule>
  </conditionalFormatting>
  <conditionalFormatting sqref="BF739:BM739">
    <cfRule type="colorScale" priority="214">
      <colorScale>
        <cfvo type="min"/>
        <cfvo type="percentile" val="50"/>
        <cfvo type="max"/>
        <color rgb="FF63BE7B"/>
        <color rgb="FFFFEB84"/>
        <color rgb="FFF8696B"/>
      </colorScale>
    </cfRule>
  </conditionalFormatting>
  <conditionalFormatting sqref="BF740:BM740">
    <cfRule type="colorScale" priority="213">
      <colorScale>
        <cfvo type="min"/>
        <cfvo type="percentile" val="50"/>
        <cfvo type="max"/>
        <color rgb="FF63BE7B"/>
        <color rgb="FFFFEB84"/>
        <color rgb="FFF8696B"/>
      </colorScale>
    </cfRule>
  </conditionalFormatting>
  <conditionalFormatting sqref="BF741:BM741">
    <cfRule type="colorScale" priority="212">
      <colorScale>
        <cfvo type="min"/>
        <cfvo type="percentile" val="50"/>
        <cfvo type="max"/>
        <color rgb="FF63BE7B"/>
        <color rgb="FFFFEB84"/>
        <color rgb="FFF8696B"/>
      </colorScale>
    </cfRule>
  </conditionalFormatting>
  <conditionalFormatting sqref="BF742:BM742">
    <cfRule type="colorScale" priority="211">
      <colorScale>
        <cfvo type="min"/>
        <cfvo type="percentile" val="50"/>
        <cfvo type="max"/>
        <color rgb="FF63BE7B"/>
        <color rgb="FFFFEB84"/>
        <color rgb="FFF8696B"/>
      </colorScale>
    </cfRule>
  </conditionalFormatting>
  <conditionalFormatting sqref="BF743:BM743">
    <cfRule type="colorScale" priority="210">
      <colorScale>
        <cfvo type="min"/>
        <cfvo type="percentile" val="50"/>
        <cfvo type="max"/>
        <color rgb="FF63BE7B"/>
        <color rgb="FFFFEB84"/>
        <color rgb="FFF8696B"/>
      </colorScale>
    </cfRule>
  </conditionalFormatting>
  <conditionalFormatting sqref="BF744:BM744">
    <cfRule type="colorScale" priority="209">
      <colorScale>
        <cfvo type="min"/>
        <cfvo type="percentile" val="50"/>
        <cfvo type="max"/>
        <color rgb="FF63BE7B"/>
        <color rgb="FFFFEB84"/>
        <color rgb="FFF8696B"/>
      </colorScale>
    </cfRule>
  </conditionalFormatting>
  <conditionalFormatting sqref="BF745:BM745">
    <cfRule type="colorScale" priority="208">
      <colorScale>
        <cfvo type="min"/>
        <cfvo type="percentile" val="50"/>
        <cfvo type="max"/>
        <color rgb="FF63BE7B"/>
        <color rgb="FFFFEB84"/>
        <color rgb="FFF8696B"/>
      </colorScale>
    </cfRule>
  </conditionalFormatting>
  <conditionalFormatting sqref="BF746:BM746">
    <cfRule type="colorScale" priority="207">
      <colorScale>
        <cfvo type="min"/>
        <cfvo type="percentile" val="50"/>
        <cfvo type="max"/>
        <color rgb="FF63BE7B"/>
        <color rgb="FFFFEB84"/>
        <color rgb="FFF8696B"/>
      </colorScale>
    </cfRule>
  </conditionalFormatting>
  <conditionalFormatting sqref="BF747:BM747">
    <cfRule type="colorScale" priority="206">
      <colorScale>
        <cfvo type="min"/>
        <cfvo type="percentile" val="50"/>
        <cfvo type="max"/>
        <color rgb="FF63BE7B"/>
        <color rgb="FFFFEB84"/>
        <color rgb="FFF8696B"/>
      </colorScale>
    </cfRule>
  </conditionalFormatting>
  <conditionalFormatting sqref="BF748:BM748">
    <cfRule type="colorScale" priority="205">
      <colorScale>
        <cfvo type="min"/>
        <cfvo type="percentile" val="50"/>
        <cfvo type="max"/>
        <color rgb="FF63BE7B"/>
        <color rgb="FFFFEB84"/>
        <color rgb="FFF8696B"/>
      </colorScale>
    </cfRule>
  </conditionalFormatting>
  <conditionalFormatting sqref="BF749:BM749">
    <cfRule type="colorScale" priority="204">
      <colorScale>
        <cfvo type="min"/>
        <cfvo type="percentile" val="50"/>
        <cfvo type="max"/>
        <color rgb="FF63BE7B"/>
        <color rgb="FFFFEB84"/>
        <color rgb="FFF8696B"/>
      </colorScale>
    </cfRule>
  </conditionalFormatting>
  <conditionalFormatting sqref="BF750:BM750">
    <cfRule type="colorScale" priority="203">
      <colorScale>
        <cfvo type="min"/>
        <cfvo type="percentile" val="50"/>
        <cfvo type="max"/>
        <color rgb="FF63BE7B"/>
        <color rgb="FFFFEB84"/>
        <color rgb="FFF8696B"/>
      </colorScale>
    </cfRule>
  </conditionalFormatting>
  <conditionalFormatting sqref="BF751:BM751">
    <cfRule type="colorScale" priority="202">
      <colorScale>
        <cfvo type="min"/>
        <cfvo type="percentile" val="50"/>
        <cfvo type="max"/>
        <color rgb="FF63BE7B"/>
        <color rgb="FFFFEB84"/>
        <color rgb="FFF8696B"/>
      </colorScale>
    </cfRule>
  </conditionalFormatting>
  <conditionalFormatting sqref="BF752:BM752">
    <cfRule type="colorScale" priority="201">
      <colorScale>
        <cfvo type="min"/>
        <cfvo type="percentile" val="50"/>
        <cfvo type="max"/>
        <color rgb="FF63BE7B"/>
        <color rgb="FFFFEB84"/>
        <color rgb="FFF8696B"/>
      </colorScale>
    </cfRule>
  </conditionalFormatting>
  <conditionalFormatting sqref="BF753:BM753">
    <cfRule type="colorScale" priority="200">
      <colorScale>
        <cfvo type="min"/>
        <cfvo type="percentile" val="50"/>
        <cfvo type="max"/>
        <color rgb="FF63BE7B"/>
        <color rgb="FFFFEB84"/>
        <color rgb="FFF8696B"/>
      </colorScale>
    </cfRule>
  </conditionalFormatting>
  <conditionalFormatting sqref="BF754:BM754">
    <cfRule type="colorScale" priority="199">
      <colorScale>
        <cfvo type="min"/>
        <cfvo type="percentile" val="50"/>
        <cfvo type="max"/>
        <color rgb="FF63BE7B"/>
        <color rgb="FFFFEB84"/>
        <color rgb="FFF8696B"/>
      </colorScale>
    </cfRule>
  </conditionalFormatting>
  <conditionalFormatting sqref="BF755:BM755">
    <cfRule type="colorScale" priority="198">
      <colorScale>
        <cfvo type="min"/>
        <cfvo type="percentile" val="50"/>
        <cfvo type="max"/>
        <color rgb="FF63BE7B"/>
        <color rgb="FFFFEB84"/>
        <color rgb="FFF8696B"/>
      </colorScale>
    </cfRule>
  </conditionalFormatting>
  <conditionalFormatting sqref="BF756:BM756">
    <cfRule type="colorScale" priority="197">
      <colorScale>
        <cfvo type="min"/>
        <cfvo type="percentile" val="50"/>
        <cfvo type="max"/>
        <color rgb="FF63BE7B"/>
        <color rgb="FFFFEB84"/>
        <color rgb="FFF8696B"/>
      </colorScale>
    </cfRule>
  </conditionalFormatting>
  <conditionalFormatting sqref="BF757:BM757">
    <cfRule type="colorScale" priority="196">
      <colorScale>
        <cfvo type="min"/>
        <cfvo type="percentile" val="50"/>
        <cfvo type="max"/>
        <color rgb="FF63BE7B"/>
        <color rgb="FFFFEB84"/>
        <color rgb="FFF8696B"/>
      </colorScale>
    </cfRule>
  </conditionalFormatting>
  <conditionalFormatting sqref="BF758:BM758">
    <cfRule type="colorScale" priority="195">
      <colorScale>
        <cfvo type="min"/>
        <cfvo type="percentile" val="50"/>
        <cfvo type="max"/>
        <color rgb="FF63BE7B"/>
        <color rgb="FFFFEB84"/>
        <color rgb="FFF8696B"/>
      </colorScale>
    </cfRule>
  </conditionalFormatting>
  <conditionalFormatting sqref="BF759:BM759">
    <cfRule type="colorScale" priority="194">
      <colorScale>
        <cfvo type="min"/>
        <cfvo type="percentile" val="50"/>
        <cfvo type="max"/>
        <color rgb="FF63BE7B"/>
        <color rgb="FFFFEB84"/>
        <color rgb="FFF8696B"/>
      </colorScale>
    </cfRule>
  </conditionalFormatting>
  <conditionalFormatting sqref="BF760:BM760">
    <cfRule type="colorScale" priority="193">
      <colorScale>
        <cfvo type="min"/>
        <cfvo type="percentile" val="50"/>
        <cfvo type="max"/>
        <color rgb="FF63BE7B"/>
        <color rgb="FFFFEB84"/>
        <color rgb="FFF8696B"/>
      </colorScale>
    </cfRule>
  </conditionalFormatting>
  <conditionalFormatting sqref="BF761:BM761">
    <cfRule type="colorScale" priority="192">
      <colorScale>
        <cfvo type="min"/>
        <cfvo type="percentile" val="50"/>
        <cfvo type="max"/>
        <color rgb="FF63BE7B"/>
        <color rgb="FFFFEB84"/>
        <color rgb="FFF8696B"/>
      </colorScale>
    </cfRule>
  </conditionalFormatting>
  <conditionalFormatting sqref="BF762:BM762">
    <cfRule type="colorScale" priority="191">
      <colorScale>
        <cfvo type="min"/>
        <cfvo type="percentile" val="50"/>
        <cfvo type="max"/>
        <color rgb="FF63BE7B"/>
        <color rgb="FFFFEB84"/>
        <color rgb="FFF8696B"/>
      </colorScale>
    </cfRule>
  </conditionalFormatting>
  <conditionalFormatting sqref="BF763:BM763">
    <cfRule type="colorScale" priority="190">
      <colorScale>
        <cfvo type="min"/>
        <cfvo type="percentile" val="50"/>
        <cfvo type="max"/>
        <color rgb="FF63BE7B"/>
        <color rgb="FFFFEB84"/>
        <color rgb="FFF8696B"/>
      </colorScale>
    </cfRule>
  </conditionalFormatting>
  <conditionalFormatting sqref="BF764:BM764">
    <cfRule type="colorScale" priority="189">
      <colorScale>
        <cfvo type="min"/>
        <cfvo type="percentile" val="50"/>
        <cfvo type="max"/>
        <color rgb="FF63BE7B"/>
        <color rgb="FFFFEB84"/>
        <color rgb="FFF8696B"/>
      </colorScale>
    </cfRule>
  </conditionalFormatting>
  <conditionalFormatting sqref="BF765:BM765">
    <cfRule type="colorScale" priority="188">
      <colorScale>
        <cfvo type="min"/>
        <cfvo type="percentile" val="50"/>
        <cfvo type="max"/>
        <color rgb="FF63BE7B"/>
        <color rgb="FFFFEB84"/>
        <color rgb="FFF8696B"/>
      </colorScale>
    </cfRule>
  </conditionalFormatting>
  <conditionalFormatting sqref="BF766:BM766">
    <cfRule type="colorScale" priority="187">
      <colorScale>
        <cfvo type="min"/>
        <cfvo type="percentile" val="50"/>
        <cfvo type="max"/>
        <color rgb="FF63BE7B"/>
        <color rgb="FFFFEB84"/>
        <color rgb="FFF8696B"/>
      </colorScale>
    </cfRule>
  </conditionalFormatting>
  <conditionalFormatting sqref="BF767:BM767">
    <cfRule type="colorScale" priority="186">
      <colorScale>
        <cfvo type="min"/>
        <cfvo type="percentile" val="50"/>
        <cfvo type="max"/>
        <color rgb="FF63BE7B"/>
        <color rgb="FFFFEB84"/>
        <color rgb="FFF8696B"/>
      </colorScale>
    </cfRule>
  </conditionalFormatting>
  <conditionalFormatting sqref="BF768:BM768">
    <cfRule type="colorScale" priority="185">
      <colorScale>
        <cfvo type="min"/>
        <cfvo type="percentile" val="50"/>
        <cfvo type="max"/>
        <color rgb="FF63BE7B"/>
        <color rgb="FFFFEB84"/>
        <color rgb="FFF8696B"/>
      </colorScale>
    </cfRule>
  </conditionalFormatting>
  <conditionalFormatting sqref="BF769:BM769">
    <cfRule type="colorScale" priority="184">
      <colorScale>
        <cfvo type="min"/>
        <cfvo type="percentile" val="50"/>
        <cfvo type="max"/>
        <color rgb="FF63BE7B"/>
        <color rgb="FFFFEB84"/>
        <color rgb="FFF8696B"/>
      </colorScale>
    </cfRule>
  </conditionalFormatting>
  <conditionalFormatting sqref="BF770:BM770">
    <cfRule type="colorScale" priority="183">
      <colorScale>
        <cfvo type="min"/>
        <cfvo type="percentile" val="50"/>
        <cfvo type="max"/>
        <color rgb="FF63BE7B"/>
        <color rgb="FFFFEB84"/>
        <color rgb="FFF8696B"/>
      </colorScale>
    </cfRule>
  </conditionalFormatting>
  <conditionalFormatting sqref="BF771:BM771">
    <cfRule type="colorScale" priority="182">
      <colorScale>
        <cfvo type="min"/>
        <cfvo type="percentile" val="50"/>
        <cfvo type="max"/>
        <color rgb="FF63BE7B"/>
        <color rgb="FFFFEB84"/>
        <color rgb="FFF8696B"/>
      </colorScale>
    </cfRule>
  </conditionalFormatting>
  <conditionalFormatting sqref="BF772:BM772">
    <cfRule type="colorScale" priority="181">
      <colorScale>
        <cfvo type="min"/>
        <cfvo type="percentile" val="50"/>
        <cfvo type="max"/>
        <color rgb="FF63BE7B"/>
        <color rgb="FFFFEB84"/>
        <color rgb="FFF8696B"/>
      </colorScale>
    </cfRule>
  </conditionalFormatting>
  <conditionalFormatting sqref="BF773:BM773">
    <cfRule type="colorScale" priority="180">
      <colorScale>
        <cfvo type="min"/>
        <cfvo type="percentile" val="50"/>
        <cfvo type="max"/>
        <color rgb="FF63BE7B"/>
        <color rgb="FFFFEB84"/>
        <color rgb="FFF8696B"/>
      </colorScale>
    </cfRule>
  </conditionalFormatting>
  <conditionalFormatting sqref="BF774:BM774">
    <cfRule type="colorScale" priority="179">
      <colorScale>
        <cfvo type="min"/>
        <cfvo type="percentile" val="50"/>
        <cfvo type="max"/>
        <color rgb="FF63BE7B"/>
        <color rgb="FFFFEB84"/>
        <color rgb="FFF8696B"/>
      </colorScale>
    </cfRule>
  </conditionalFormatting>
  <conditionalFormatting sqref="BF775:BM775">
    <cfRule type="colorScale" priority="178">
      <colorScale>
        <cfvo type="min"/>
        <cfvo type="percentile" val="50"/>
        <cfvo type="max"/>
        <color rgb="FF63BE7B"/>
        <color rgb="FFFFEB84"/>
        <color rgb="FFF8696B"/>
      </colorScale>
    </cfRule>
  </conditionalFormatting>
  <conditionalFormatting sqref="BF776:BM776">
    <cfRule type="colorScale" priority="177">
      <colorScale>
        <cfvo type="min"/>
        <cfvo type="percentile" val="50"/>
        <cfvo type="max"/>
        <color rgb="FF63BE7B"/>
        <color rgb="FFFFEB84"/>
        <color rgb="FFF8696B"/>
      </colorScale>
    </cfRule>
  </conditionalFormatting>
  <conditionalFormatting sqref="BF777:BM777">
    <cfRule type="colorScale" priority="176">
      <colorScale>
        <cfvo type="min"/>
        <cfvo type="percentile" val="50"/>
        <cfvo type="max"/>
        <color rgb="FF63BE7B"/>
        <color rgb="FFFFEB84"/>
        <color rgb="FFF8696B"/>
      </colorScale>
    </cfRule>
  </conditionalFormatting>
  <conditionalFormatting sqref="BF778:BM778">
    <cfRule type="colorScale" priority="175">
      <colorScale>
        <cfvo type="min"/>
        <cfvo type="percentile" val="50"/>
        <cfvo type="max"/>
        <color rgb="FF63BE7B"/>
        <color rgb="FFFFEB84"/>
        <color rgb="FFF8696B"/>
      </colorScale>
    </cfRule>
  </conditionalFormatting>
  <conditionalFormatting sqref="BF779:BM779">
    <cfRule type="colorScale" priority="174">
      <colorScale>
        <cfvo type="min"/>
        <cfvo type="percentile" val="50"/>
        <cfvo type="max"/>
        <color rgb="FF63BE7B"/>
        <color rgb="FFFFEB84"/>
        <color rgb="FFF8696B"/>
      </colorScale>
    </cfRule>
  </conditionalFormatting>
  <conditionalFormatting sqref="BF780:BM780">
    <cfRule type="colorScale" priority="173">
      <colorScale>
        <cfvo type="min"/>
        <cfvo type="percentile" val="50"/>
        <cfvo type="max"/>
        <color rgb="FF63BE7B"/>
        <color rgb="FFFFEB84"/>
        <color rgb="FFF8696B"/>
      </colorScale>
    </cfRule>
  </conditionalFormatting>
  <conditionalFormatting sqref="BF781:BM781">
    <cfRule type="colorScale" priority="172">
      <colorScale>
        <cfvo type="min"/>
        <cfvo type="percentile" val="50"/>
        <cfvo type="max"/>
        <color rgb="FF63BE7B"/>
        <color rgb="FFFFEB84"/>
        <color rgb="FFF8696B"/>
      </colorScale>
    </cfRule>
  </conditionalFormatting>
  <conditionalFormatting sqref="BF782:BM782">
    <cfRule type="colorScale" priority="171">
      <colorScale>
        <cfvo type="min"/>
        <cfvo type="percentile" val="50"/>
        <cfvo type="max"/>
        <color rgb="FF63BE7B"/>
        <color rgb="FFFFEB84"/>
        <color rgb="FFF8696B"/>
      </colorScale>
    </cfRule>
  </conditionalFormatting>
  <conditionalFormatting sqref="BF783:BM783">
    <cfRule type="colorScale" priority="170">
      <colorScale>
        <cfvo type="min"/>
        <cfvo type="percentile" val="50"/>
        <cfvo type="max"/>
        <color rgb="FF63BE7B"/>
        <color rgb="FFFFEB84"/>
        <color rgb="FFF8696B"/>
      </colorScale>
    </cfRule>
  </conditionalFormatting>
  <conditionalFormatting sqref="BF784:BM784">
    <cfRule type="colorScale" priority="169">
      <colorScale>
        <cfvo type="min"/>
        <cfvo type="percentile" val="50"/>
        <cfvo type="max"/>
        <color rgb="FF63BE7B"/>
        <color rgb="FFFFEB84"/>
        <color rgb="FFF8696B"/>
      </colorScale>
    </cfRule>
  </conditionalFormatting>
  <conditionalFormatting sqref="BF785:BM785">
    <cfRule type="colorScale" priority="168">
      <colorScale>
        <cfvo type="min"/>
        <cfvo type="percentile" val="50"/>
        <cfvo type="max"/>
        <color rgb="FF63BE7B"/>
        <color rgb="FFFFEB84"/>
        <color rgb="FFF8696B"/>
      </colorScale>
    </cfRule>
  </conditionalFormatting>
  <conditionalFormatting sqref="BF786:BM786">
    <cfRule type="colorScale" priority="167">
      <colorScale>
        <cfvo type="min"/>
        <cfvo type="percentile" val="50"/>
        <cfvo type="max"/>
        <color rgb="FF63BE7B"/>
        <color rgb="FFFFEB84"/>
        <color rgb="FFF8696B"/>
      </colorScale>
    </cfRule>
  </conditionalFormatting>
  <conditionalFormatting sqref="BF787:BM787">
    <cfRule type="colorScale" priority="166">
      <colorScale>
        <cfvo type="min"/>
        <cfvo type="percentile" val="50"/>
        <cfvo type="max"/>
        <color rgb="FF63BE7B"/>
        <color rgb="FFFFEB84"/>
        <color rgb="FFF8696B"/>
      </colorScale>
    </cfRule>
  </conditionalFormatting>
  <conditionalFormatting sqref="BF788:BM788">
    <cfRule type="colorScale" priority="165">
      <colorScale>
        <cfvo type="min"/>
        <cfvo type="percentile" val="50"/>
        <cfvo type="max"/>
        <color rgb="FF63BE7B"/>
        <color rgb="FFFFEB84"/>
        <color rgb="FFF8696B"/>
      </colorScale>
    </cfRule>
  </conditionalFormatting>
  <conditionalFormatting sqref="BF789:BM789">
    <cfRule type="colorScale" priority="164">
      <colorScale>
        <cfvo type="min"/>
        <cfvo type="percentile" val="50"/>
        <cfvo type="max"/>
        <color rgb="FF63BE7B"/>
        <color rgb="FFFFEB84"/>
        <color rgb="FFF8696B"/>
      </colorScale>
    </cfRule>
  </conditionalFormatting>
  <conditionalFormatting sqref="BF790:BM790">
    <cfRule type="colorScale" priority="163">
      <colorScale>
        <cfvo type="min"/>
        <cfvo type="percentile" val="50"/>
        <cfvo type="max"/>
        <color rgb="FF63BE7B"/>
        <color rgb="FFFFEB84"/>
        <color rgb="FFF8696B"/>
      </colorScale>
    </cfRule>
  </conditionalFormatting>
  <conditionalFormatting sqref="BF791:BM791">
    <cfRule type="colorScale" priority="162">
      <colorScale>
        <cfvo type="min"/>
        <cfvo type="percentile" val="50"/>
        <cfvo type="max"/>
        <color rgb="FF63BE7B"/>
        <color rgb="FFFFEB84"/>
        <color rgb="FFF8696B"/>
      </colorScale>
    </cfRule>
  </conditionalFormatting>
  <conditionalFormatting sqref="BF792:BM792">
    <cfRule type="colorScale" priority="161">
      <colorScale>
        <cfvo type="min"/>
        <cfvo type="percentile" val="50"/>
        <cfvo type="max"/>
        <color rgb="FF63BE7B"/>
        <color rgb="FFFFEB84"/>
        <color rgb="FFF8696B"/>
      </colorScale>
    </cfRule>
  </conditionalFormatting>
  <conditionalFormatting sqref="BF793:BM793">
    <cfRule type="colorScale" priority="160">
      <colorScale>
        <cfvo type="min"/>
        <cfvo type="percentile" val="50"/>
        <cfvo type="max"/>
        <color rgb="FF63BE7B"/>
        <color rgb="FFFFEB84"/>
        <color rgb="FFF8696B"/>
      </colorScale>
    </cfRule>
  </conditionalFormatting>
  <conditionalFormatting sqref="BF794:BM794">
    <cfRule type="colorScale" priority="159">
      <colorScale>
        <cfvo type="min"/>
        <cfvo type="percentile" val="50"/>
        <cfvo type="max"/>
        <color rgb="FF63BE7B"/>
        <color rgb="FFFFEB84"/>
        <color rgb="FFF8696B"/>
      </colorScale>
    </cfRule>
  </conditionalFormatting>
  <conditionalFormatting sqref="BF795:BM795">
    <cfRule type="colorScale" priority="158">
      <colorScale>
        <cfvo type="min"/>
        <cfvo type="percentile" val="50"/>
        <cfvo type="max"/>
        <color rgb="FF63BE7B"/>
        <color rgb="FFFFEB84"/>
        <color rgb="FFF8696B"/>
      </colorScale>
    </cfRule>
  </conditionalFormatting>
  <conditionalFormatting sqref="BF796:BM796">
    <cfRule type="colorScale" priority="157">
      <colorScale>
        <cfvo type="min"/>
        <cfvo type="percentile" val="50"/>
        <cfvo type="max"/>
        <color rgb="FF63BE7B"/>
        <color rgb="FFFFEB84"/>
        <color rgb="FFF8696B"/>
      </colorScale>
    </cfRule>
  </conditionalFormatting>
  <conditionalFormatting sqref="BF797:BM797">
    <cfRule type="colorScale" priority="156">
      <colorScale>
        <cfvo type="min"/>
        <cfvo type="percentile" val="50"/>
        <cfvo type="max"/>
        <color rgb="FF63BE7B"/>
        <color rgb="FFFFEB84"/>
        <color rgb="FFF8696B"/>
      </colorScale>
    </cfRule>
  </conditionalFormatting>
  <conditionalFormatting sqref="BF798:BM798">
    <cfRule type="colorScale" priority="155">
      <colorScale>
        <cfvo type="min"/>
        <cfvo type="percentile" val="50"/>
        <cfvo type="max"/>
        <color rgb="FF63BE7B"/>
        <color rgb="FFFFEB84"/>
        <color rgb="FFF8696B"/>
      </colorScale>
    </cfRule>
  </conditionalFormatting>
  <conditionalFormatting sqref="BF799:BM799">
    <cfRule type="colorScale" priority="154">
      <colorScale>
        <cfvo type="min"/>
        <cfvo type="percentile" val="50"/>
        <cfvo type="max"/>
        <color rgb="FF63BE7B"/>
        <color rgb="FFFFEB84"/>
        <color rgb="FFF8696B"/>
      </colorScale>
    </cfRule>
  </conditionalFormatting>
  <conditionalFormatting sqref="BF800:BM800">
    <cfRule type="colorScale" priority="153">
      <colorScale>
        <cfvo type="min"/>
        <cfvo type="percentile" val="50"/>
        <cfvo type="max"/>
        <color rgb="FF63BE7B"/>
        <color rgb="FFFFEB84"/>
        <color rgb="FFF8696B"/>
      </colorScale>
    </cfRule>
  </conditionalFormatting>
  <conditionalFormatting sqref="BF801:BM801">
    <cfRule type="colorScale" priority="152">
      <colorScale>
        <cfvo type="min"/>
        <cfvo type="percentile" val="50"/>
        <cfvo type="max"/>
        <color rgb="FF63BE7B"/>
        <color rgb="FFFFEB84"/>
        <color rgb="FFF8696B"/>
      </colorScale>
    </cfRule>
  </conditionalFormatting>
  <conditionalFormatting sqref="BF802:BM802">
    <cfRule type="colorScale" priority="151">
      <colorScale>
        <cfvo type="min"/>
        <cfvo type="percentile" val="50"/>
        <cfvo type="max"/>
        <color rgb="FF63BE7B"/>
        <color rgb="FFFFEB84"/>
        <color rgb="FFF8696B"/>
      </colorScale>
    </cfRule>
  </conditionalFormatting>
  <conditionalFormatting sqref="BF803:BM803">
    <cfRule type="colorScale" priority="150">
      <colorScale>
        <cfvo type="min"/>
        <cfvo type="percentile" val="50"/>
        <cfvo type="max"/>
        <color rgb="FF63BE7B"/>
        <color rgb="FFFFEB84"/>
        <color rgb="FFF8696B"/>
      </colorScale>
    </cfRule>
  </conditionalFormatting>
  <conditionalFormatting sqref="BF804:BM804">
    <cfRule type="colorScale" priority="149">
      <colorScale>
        <cfvo type="min"/>
        <cfvo type="percentile" val="50"/>
        <cfvo type="max"/>
        <color rgb="FF63BE7B"/>
        <color rgb="FFFFEB84"/>
        <color rgb="FFF8696B"/>
      </colorScale>
    </cfRule>
  </conditionalFormatting>
  <conditionalFormatting sqref="BF805:BM805">
    <cfRule type="colorScale" priority="148">
      <colorScale>
        <cfvo type="min"/>
        <cfvo type="percentile" val="50"/>
        <cfvo type="max"/>
        <color rgb="FF63BE7B"/>
        <color rgb="FFFFEB84"/>
        <color rgb="FFF8696B"/>
      </colorScale>
    </cfRule>
  </conditionalFormatting>
  <conditionalFormatting sqref="BF806:BM806">
    <cfRule type="colorScale" priority="147">
      <colorScale>
        <cfvo type="min"/>
        <cfvo type="percentile" val="50"/>
        <cfvo type="max"/>
        <color rgb="FF63BE7B"/>
        <color rgb="FFFFEB84"/>
        <color rgb="FFF8696B"/>
      </colorScale>
    </cfRule>
  </conditionalFormatting>
  <conditionalFormatting sqref="BF807:BM807">
    <cfRule type="colorScale" priority="146">
      <colorScale>
        <cfvo type="min"/>
        <cfvo type="percentile" val="50"/>
        <cfvo type="max"/>
        <color rgb="FF63BE7B"/>
        <color rgb="FFFFEB84"/>
        <color rgb="FFF8696B"/>
      </colorScale>
    </cfRule>
  </conditionalFormatting>
  <conditionalFormatting sqref="BF808:BM808">
    <cfRule type="colorScale" priority="145">
      <colorScale>
        <cfvo type="min"/>
        <cfvo type="percentile" val="50"/>
        <cfvo type="max"/>
        <color rgb="FF63BE7B"/>
        <color rgb="FFFFEB84"/>
        <color rgb="FFF8696B"/>
      </colorScale>
    </cfRule>
  </conditionalFormatting>
  <conditionalFormatting sqref="BF809:BM809">
    <cfRule type="colorScale" priority="144">
      <colorScale>
        <cfvo type="min"/>
        <cfvo type="percentile" val="50"/>
        <cfvo type="max"/>
        <color rgb="FF63BE7B"/>
        <color rgb="FFFFEB84"/>
        <color rgb="FFF8696B"/>
      </colorScale>
    </cfRule>
  </conditionalFormatting>
  <conditionalFormatting sqref="BF810:BM810">
    <cfRule type="colorScale" priority="143">
      <colorScale>
        <cfvo type="min"/>
        <cfvo type="percentile" val="50"/>
        <cfvo type="max"/>
        <color rgb="FF63BE7B"/>
        <color rgb="FFFFEB84"/>
        <color rgb="FFF8696B"/>
      </colorScale>
    </cfRule>
  </conditionalFormatting>
  <conditionalFormatting sqref="BF811:BM811">
    <cfRule type="colorScale" priority="142">
      <colorScale>
        <cfvo type="min"/>
        <cfvo type="percentile" val="50"/>
        <cfvo type="max"/>
        <color rgb="FF63BE7B"/>
        <color rgb="FFFFEB84"/>
        <color rgb="FFF8696B"/>
      </colorScale>
    </cfRule>
  </conditionalFormatting>
  <conditionalFormatting sqref="BF812:BM812">
    <cfRule type="colorScale" priority="141">
      <colorScale>
        <cfvo type="min"/>
        <cfvo type="percentile" val="50"/>
        <cfvo type="max"/>
        <color rgb="FF63BE7B"/>
        <color rgb="FFFFEB84"/>
        <color rgb="FFF8696B"/>
      </colorScale>
    </cfRule>
  </conditionalFormatting>
  <conditionalFormatting sqref="BF813:BM813">
    <cfRule type="colorScale" priority="140">
      <colorScale>
        <cfvo type="min"/>
        <cfvo type="percentile" val="50"/>
        <cfvo type="max"/>
        <color rgb="FF63BE7B"/>
        <color rgb="FFFFEB84"/>
        <color rgb="FFF8696B"/>
      </colorScale>
    </cfRule>
  </conditionalFormatting>
  <conditionalFormatting sqref="BF814:BM814">
    <cfRule type="colorScale" priority="139">
      <colorScale>
        <cfvo type="min"/>
        <cfvo type="percentile" val="50"/>
        <cfvo type="max"/>
        <color rgb="FF63BE7B"/>
        <color rgb="FFFFEB84"/>
        <color rgb="FFF8696B"/>
      </colorScale>
    </cfRule>
  </conditionalFormatting>
  <conditionalFormatting sqref="BF815:BM815">
    <cfRule type="colorScale" priority="138">
      <colorScale>
        <cfvo type="min"/>
        <cfvo type="percentile" val="50"/>
        <cfvo type="max"/>
        <color rgb="FF63BE7B"/>
        <color rgb="FFFFEB84"/>
        <color rgb="FFF8696B"/>
      </colorScale>
    </cfRule>
  </conditionalFormatting>
  <conditionalFormatting sqref="BF816:BM816">
    <cfRule type="colorScale" priority="137">
      <colorScale>
        <cfvo type="min"/>
        <cfvo type="percentile" val="50"/>
        <cfvo type="max"/>
        <color rgb="FF63BE7B"/>
        <color rgb="FFFFEB84"/>
        <color rgb="FFF8696B"/>
      </colorScale>
    </cfRule>
  </conditionalFormatting>
  <conditionalFormatting sqref="BF817:BM817">
    <cfRule type="colorScale" priority="136">
      <colorScale>
        <cfvo type="min"/>
        <cfvo type="percentile" val="50"/>
        <cfvo type="max"/>
        <color rgb="FF63BE7B"/>
        <color rgb="FFFFEB84"/>
        <color rgb="FFF8696B"/>
      </colorScale>
    </cfRule>
  </conditionalFormatting>
  <conditionalFormatting sqref="BF818:BM818">
    <cfRule type="colorScale" priority="135">
      <colorScale>
        <cfvo type="min"/>
        <cfvo type="percentile" val="50"/>
        <cfvo type="max"/>
        <color rgb="FF63BE7B"/>
        <color rgb="FFFFEB84"/>
        <color rgb="FFF8696B"/>
      </colorScale>
    </cfRule>
  </conditionalFormatting>
  <conditionalFormatting sqref="BF819:BM819">
    <cfRule type="colorScale" priority="134">
      <colorScale>
        <cfvo type="min"/>
        <cfvo type="percentile" val="50"/>
        <cfvo type="max"/>
        <color rgb="FF63BE7B"/>
        <color rgb="FFFFEB84"/>
        <color rgb="FFF8696B"/>
      </colorScale>
    </cfRule>
  </conditionalFormatting>
  <conditionalFormatting sqref="BF820:BM820">
    <cfRule type="colorScale" priority="133">
      <colorScale>
        <cfvo type="min"/>
        <cfvo type="percentile" val="50"/>
        <cfvo type="max"/>
        <color rgb="FF63BE7B"/>
        <color rgb="FFFFEB84"/>
        <color rgb="FFF8696B"/>
      </colorScale>
    </cfRule>
  </conditionalFormatting>
  <conditionalFormatting sqref="BF821:BM821">
    <cfRule type="colorScale" priority="132">
      <colorScale>
        <cfvo type="min"/>
        <cfvo type="percentile" val="50"/>
        <cfvo type="max"/>
        <color rgb="FF63BE7B"/>
        <color rgb="FFFFEB84"/>
        <color rgb="FFF8696B"/>
      </colorScale>
    </cfRule>
  </conditionalFormatting>
  <conditionalFormatting sqref="BF822:BM822">
    <cfRule type="colorScale" priority="131">
      <colorScale>
        <cfvo type="min"/>
        <cfvo type="percentile" val="50"/>
        <cfvo type="max"/>
        <color rgb="FF63BE7B"/>
        <color rgb="FFFFEB84"/>
        <color rgb="FFF8696B"/>
      </colorScale>
    </cfRule>
  </conditionalFormatting>
  <conditionalFormatting sqref="BF823:BM823">
    <cfRule type="colorScale" priority="130">
      <colorScale>
        <cfvo type="min"/>
        <cfvo type="percentile" val="50"/>
        <cfvo type="max"/>
        <color rgb="FF63BE7B"/>
        <color rgb="FFFFEB84"/>
        <color rgb="FFF8696B"/>
      </colorScale>
    </cfRule>
  </conditionalFormatting>
  <conditionalFormatting sqref="BF824:BM824">
    <cfRule type="colorScale" priority="129">
      <colorScale>
        <cfvo type="min"/>
        <cfvo type="percentile" val="50"/>
        <cfvo type="max"/>
        <color rgb="FF63BE7B"/>
        <color rgb="FFFFEB84"/>
        <color rgb="FFF8696B"/>
      </colorScale>
    </cfRule>
  </conditionalFormatting>
  <conditionalFormatting sqref="BF825:BM825">
    <cfRule type="colorScale" priority="128">
      <colorScale>
        <cfvo type="min"/>
        <cfvo type="percentile" val="50"/>
        <cfvo type="max"/>
        <color rgb="FF63BE7B"/>
        <color rgb="FFFFEB84"/>
        <color rgb="FFF8696B"/>
      </colorScale>
    </cfRule>
  </conditionalFormatting>
  <conditionalFormatting sqref="BF826:BM826">
    <cfRule type="colorScale" priority="127">
      <colorScale>
        <cfvo type="min"/>
        <cfvo type="percentile" val="50"/>
        <cfvo type="max"/>
        <color rgb="FF63BE7B"/>
        <color rgb="FFFFEB84"/>
        <color rgb="FFF8696B"/>
      </colorScale>
    </cfRule>
  </conditionalFormatting>
  <conditionalFormatting sqref="BF827:BM827">
    <cfRule type="colorScale" priority="126">
      <colorScale>
        <cfvo type="min"/>
        <cfvo type="percentile" val="50"/>
        <cfvo type="max"/>
        <color rgb="FF63BE7B"/>
        <color rgb="FFFFEB84"/>
        <color rgb="FFF8696B"/>
      </colorScale>
    </cfRule>
  </conditionalFormatting>
  <conditionalFormatting sqref="BF828:BM828">
    <cfRule type="colorScale" priority="125">
      <colorScale>
        <cfvo type="min"/>
        <cfvo type="percentile" val="50"/>
        <cfvo type="max"/>
        <color rgb="FF63BE7B"/>
        <color rgb="FFFFEB84"/>
        <color rgb="FFF8696B"/>
      </colorScale>
    </cfRule>
  </conditionalFormatting>
  <conditionalFormatting sqref="BF829:BM829">
    <cfRule type="colorScale" priority="124">
      <colorScale>
        <cfvo type="min"/>
        <cfvo type="percentile" val="50"/>
        <cfvo type="max"/>
        <color rgb="FF63BE7B"/>
        <color rgb="FFFFEB84"/>
        <color rgb="FFF8696B"/>
      </colorScale>
    </cfRule>
  </conditionalFormatting>
  <conditionalFormatting sqref="BF830:BM830">
    <cfRule type="colorScale" priority="123">
      <colorScale>
        <cfvo type="min"/>
        <cfvo type="percentile" val="50"/>
        <cfvo type="max"/>
        <color rgb="FF63BE7B"/>
        <color rgb="FFFFEB84"/>
        <color rgb="FFF8696B"/>
      </colorScale>
    </cfRule>
  </conditionalFormatting>
  <conditionalFormatting sqref="BF831:BM831">
    <cfRule type="colorScale" priority="122">
      <colorScale>
        <cfvo type="min"/>
        <cfvo type="percentile" val="50"/>
        <cfvo type="max"/>
        <color rgb="FF63BE7B"/>
        <color rgb="FFFFEB84"/>
        <color rgb="FFF8696B"/>
      </colorScale>
    </cfRule>
  </conditionalFormatting>
  <conditionalFormatting sqref="BF832:BM832">
    <cfRule type="colorScale" priority="121">
      <colorScale>
        <cfvo type="min"/>
        <cfvo type="percentile" val="50"/>
        <cfvo type="max"/>
        <color rgb="FF63BE7B"/>
        <color rgb="FFFFEB84"/>
        <color rgb="FFF8696B"/>
      </colorScale>
    </cfRule>
  </conditionalFormatting>
  <conditionalFormatting sqref="BF833:BM833">
    <cfRule type="colorScale" priority="120">
      <colorScale>
        <cfvo type="min"/>
        <cfvo type="percentile" val="50"/>
        <cfvo type="max"/>
        <color rgb="FF63BE7B"/>
        <color rgb="FFFFEB84"/>
        <color rgb="FFF8696B"/>
      </colorScale>
    </cfRule>
  </conditionalFormatting>
  <conditionalFormatting sqref="BF834:BM834">
    <cfRule type="colorScale" priority="119">
      <colorScale>
        <cfvo type="min"/>
        <cfvo type="percentile" val="50"/>
        <cfvo type="max"/>
        <color rgb="FF63BE7B"/>
        <color rgb="FFFFEB84"/>
        <color rgb="FFF8696B"/>
      </colorScale>
    </cfRule>
  </conditionalFormatting>
  <conditionalFormatting sqref="BF835:BM835">
    <cfRule type="colorScale" priority="118">
      <colorScale>
        <cfvo type="min"/>
        <cfvo type="percentile" val="50"/>
        <cfvo type="max"/>
        <color rgb="FF63BE7B"/>
        <color rgb="FFFFEB84"/>
        <color rgb="FFF8696B"/>
      </colorScale>
    </cfRule>
  </conditionalFormatting>
  <conditionalFormatting sqref="BF836:BM836">
    <cfRule type="colorScale" priority="117">
      <colorScale>
        <cfvo type="min"/>
        <cfvo type="percentile" val="50"/>
        <cfvo type="max"/>
        <color rgb="FF63BE7B"/>
        <color rgb="FFFFEB84"/>
        <color rgb="FFF8696B"/>
      </colorScale>
    </cfRule>
  </conditionalFormatting>
  <conditionalFormatting sqref="BF837:BM837">
    <cfRule type="colorScale" priority="116">
      <colorScale>
        <cfvo type="min"/>
        <cfvo type="percentile" val="50"/>
        <cfvo type="max"/>
        <color rgb="FF63BE7B"/>
        <color rgb="FFFFEB84"/>
        <color rgb="FFF8696B"/>
      </colorScale>
    </cfRule>
  </conditionalFormatting>
  <conditionalFormatting sqref="BF838:BM838">
    <cfRule type="colorScale" priority="115">
      <colorScale>
        <cfvo type="min"/>
        <cfvo type="percentile" val="50"/>
        <cfvo type="max"/>
        <color rgb="FF63BE7B"/>
        <color rgb="FFFFEB84"/>
        <color rgb="FFF8696B"/>
      </colorScale>
    </cfRule>
  </conditionalFormatting>
  <conditionalFormatting sqref="BF839:BM839">
    <cfRule type="colorScale" priority="114">
      <colorScale>
        <cfvo type="min"/>
        <cfvo type="percentile" val="50"/>
        <cfvo type="max"/>
        <color rgb="FF63BE7B"/>
        <color rgb="FFFFEB84"/>
        <color rgb="FFF8696B"/>
      </colorScale>
    </cfRule>
  </conditionalFormatting>
  <conditionalFormatting sqref="BF840:BM840">
    <cfRule type="colorScale" priority="113">
      <colorScale>
        <cfvo type="min"/>
        <cfvo type="percentile" val="50"/>
        <cfvo type="max"/>
        <color rgb="FF63BE7B"/>
        <color rgb="FFFFEB84"/>
        <color rgb="FFF8696B"/>
      </colorScale>
    </cfRule>
  </conditionalFormatting>
  <conditionalFormatting sqref="BF841:BM841">
    <cfRule type="colorScale" priority="112">
      <colorScale>
        <cfvo type="min"/>
        <cfvo type="percentile" val="50"/>
        <cfvo type="max"/>
        <color rgb="FF63BE7B"/>
        <color rgb="FFFFEB84"/>
        <color rgb="FFF8696B"/>
      </colorScale>
    </cfRule>
  </conditionalFormatting>
  <conditionalFormatting sqref="BF842:BM842">
    <cfRule type="colorScale" priority="111">
      <colorScale>
        <cfvo type="min"/>
        <cfvo type="percentile" val="50"/>
        <cfvo type="max"/>
        <color rgb="FF63BE7B"/>
        <color rgb="FFFFEB84"/>
        <color rgb="FFF8696B"/>
      </colorScale>
    </cfRule>
  </conditionalFormatting>
  <conditionalFormatting sqref="BF843:BM843">
    <cfRule type="colorScale" priority="110">
      <colorScale>
        <cfvo type="min"/>
        <cfvo type="percentile" val="50"/>
        <cfvo type="max"/>
        <color rgb="FF63BE7B"/>
        <color rgb="FFFFEB84"/>
        <color rgb="FFF8696B"/>
      </colorScale>
    </cfRule>
  </conditionalFormatting>
  <conditionalFormatting sqref="BF844:BM844">
    <cfRule type="colorScale" priority="109">
      <colorScale>
        <cfvo type="min"/>
        <cfvo type="percentile" val="50"/>
        <cfvo type="max"/>
        <color rgb="FF63BE7B"/>
        <color rgb="FFFFEB84"/>
        <color rgb="FFF8696B"/>
      </colorScale>
    </cfRule>
  </conditionalFormatting>
  <conditionalFormatting sqref="BF845:BM845">
    <cfRule type="colorScale" priority="108">
      <colorScale>
        <cfvo type="min"/>
        <cfvo type="percentile" val="50"/>
        <cfvo type="max"/>
        <color rgb="FF63BE7B"/>
        <color rgb="FFFFEB84"/>
        <color rgb="FFF8696B"/>
      </colorScale>
    </cfRule>
  </conditionalFormatting>
  <conditionalFormatting sqref="BF846:BM846">
    <cfRule type="colorScale" priority="107">
      <colorScale>
        <cfvo type="min"/>
        <cfvo type="percentile" val="50"/>
        <cfvo type="max"/>
        <color rgb="FF63BE7B"/>
        <color rgb="FFFFEB84"/>
        <color rgb="FFF8696B"/>
      </colorScale>
    </cfRule>
  </conditionalFormatting>
  <conditionalFormatting sqref="BF847:BM847">
    <cfRule type="colorScale" priority="106">
      <colorScale>
        <cfvo type="min"/>
        <cfvo type="percentile" val="50"/>
        <cfvo type="max"/>
        <color rgb="FF63BE7B"/>
        <color rgb="FFFFEB84"/>
        <color rgb="FFF8696B"/>
      </colorScale>
    </cfRule>
  </conditionalFormatting>
  <conditionalFormatting sqref="BF848:BM848">
    <cfRule type="colorScale" priority="105">
      <colorScale>
        <cfvo type="min"/>
        <cfvo type="percentile" val="50"/>
        <cfvo type="max"/>
        <color rgb="FF63BE7B"/>
        <color rgb="FFFFEB84"/>
        <color rgb="FFF8696B"/>
      </colorScale>
    </cfRule>
  </conditionalFormatting>
  <conditionalFormatting sqref="BF849:BM849">
    <cfRule type="colorScale" priority="104">
      <colorScale>
        <cfvo type="min"/>
        <cfvo type="percentile" val="50"/>
        <cfvo type="max"/>
        <color rgb="FF63BE7B"/>
        <color rgb="FFFFEB84"/>
        <color rgb="FFF8696B"/>
      </colorScale>
    </cfRule>
  </conditionalFormatting>
  <conditionalFormatting sqref="BF850:BM850">
    <cfRule type="colorScale" priority="103">
      <colorScale>
        <cfvo type="min"/>
        <cfvo type="percentile" val="50"/>
        <cfvo type="max"/>
        <color rgb="FF63BE7B"/>
        <color rgb="FFFFEB84"/>
        <color rgb="FFF8696B"/>
      </colorScale>
    </cfRule>
  </conditionalFormatting>
  <conditionalFormatting sqref="BF851:BM851">
    <cfRule type="colorScale" priority="102">
      <colorScale>
        <cfvo type="min"/>
        <cfvo type="percentile" val="50"/>
        <cfvo type="max"/>
        <color rgb="FF63BE7B"/>
        <color rgb="FFFFEB84"/>
        <color rgb="FFF8696B"/>
      </colorScale>
    </cfRule>
  </conditionalFormatting>
  <conditionalFormatting sqref="BF852:BM852">
    <cfRule type="colorScale" priority="101">
      <colorScale>
        <cfvo type="min"/>
        <cfvo type="percentile" val="50"/>
        <cfvo type="max"/>
        <color rgb="FF63BE7B"/>
        <color rgb="FFFFEB84"/>
        <color rgb="FFF8696B"/>
      </colorScale>
    </cfRule>
  </conditionalFormatting>
  <conditionalFormatting sqref="BF853:BM853">
    <cfRule type="colorScale" priority="100">
      <colorScale>
        <cfvo type="min"/>
        <cfvo type="percentile" val="50"/>
        <cfvo type="max"/>
        <color rgb="FF63BE7B"/>
        <color rgb="FFFFEB84"/>
        <color rgb="FFF8696B"/>
      </colorScale>
    </cfRule>
  </conditionalFormatting>
  <conditionalFormatting sqref="BF854:BM854">
    <cfRule type="colorScale" priority="99">
      <colorScale>
        <cfvo type="min"/>
        <cfvo type="percentile" val="50"/>
        <cfvo type="max"/>
        <color rgb="FF63BE7B"/>
        <color rgb="FFFFEB84"/>
        <color rgb="FFF8696B"/>
      </colorScale>
    </cfRule>
  </conditionalFormatting>
  <conditionalFormatting sqref="BF855:BM855">
    <cfRule type="colorScale" priority="98">
      <colorScale>
        <cfvo type="min"/>
        <cfvo type="percentile" val="50"/>
        <cfvo type="max"/>
        <color rgb="FF63BE7B"/>
        <color rgb="FFFFEB84"/>
        <color rgb="FFF8696B"/>
      </colorScale>
    </cfRule>
  </conditionalFormatting>
  <conditionalFormatting sqref="BF856:BM856">
    <cfRule type="colorScale" priority="97">
      <colorScale>
        <cfvo type="min"/>
        <cfvo type="percentile" val="50"/>
        <cfvo type="max"/>
        <color rgb="FF63BE7B"/>
        <color rgb="FFFFEB84"/>
        <color rgb="FFF8696B"/>
      </colorScale>
    </cfRule>
  </conditionalFormatting>
  <conditionalFormatting sqref="BF857:BM857">
    <cfRule type="colorScale" priority="96">
      <colorScale>
        <cfvo type="min"/>
        <cfvo type="percentile" val="50"/>
        <cfvo type="max"/>
        <color rgb="FF63BE7B"/>
        <color rgb="FFFFEB84"/>
        <color rgb="FFF8696B"/>
      </colorScale>
    </cfRule>
  </conditionalFormatting>
  <conditionalFormatting sqref="BF858:BM858">
    <cfRule type="colorScale" priority="95">
      <colorScale>
        <cfvo type="min"/>
        <cfvo type="percentile" val="50"/>
        <cfvo type="max"/>
        <color rgb="FF63BE7B"/>
        <color rgb="FFFFEB84"/>
        <color rgb="FFF8696B"/>
      </colorScale>
    </cfRule>
  </conditionalFormatting>
  <conditionalFormatting sqref="BF859:BM859">
    <cfRule type="colorScale" priority="94">
      <colorScale>
        <cfvo type="min"/>
        <cfvo type="percentile" val="50"/>
        <cfvo type="max"/>
        <color rgb="FF63BE7B"/>
        <color rgb="FFFFEB84"/>
        <color rgb="FFF8696B"/>
      </colorScale>
    </cfRule>
  </conditionalFormatting>
  <conditionalFormatting sqref="BF860:BM860">
    <cfRule type="colorScale" priority="93">
      <colorScale>
        <cfvo type="min"/>
        <cfvo type="percentile" val="50"/>
        <cfvo type="max"/>
        <color rgb="FF63BE7B"/>
        <color rgb="FFFFEB84"/>
        <color rgb="FFF8696B"/>
      </colorScale>
    </cfRule>
  </conditionalFormatting>
  <conditionalFormatting sqref="BF861:BM861">
    <cfRule type="colorScale" priority="92">
      <colorScale>
        <cfvo type="min"/>
        <cfvo type="percentile" val="50"/>
        <cfvo type="max"/>
        <color rgb="FF63BE7B"/>
        <color rgb="FFFFEB84"/>
        <color rgb="FFF8696B"/>
      </colorScale>
    </cfRule>
  </conditionalFormatting>
  <conditionalFormatting sqref="BF862:BM862">
    <cfRule type="colorScale" priority="91">
      <colorScale>
        <cfvo type="min"/>
        <cfvo type="percentile" val="50"/>
        <cfvo type="max"/>
        <color rgb="FF63BE7B"/>
        <color rgb="FFFFEB84"/>
        <color rgb="FFF8696B"/>
      </colorScale>
    </cfRule>
  </conditionalFormatting>
  <conditionalFormatting sqref="BF863:BM863">
    <cfRule type="colorScale" priority="90">
      <colorScale>
        <cfvo type="min"/>
        <cfvo type="percentile" val="50"/>
        <cfvo type="max"/>
        <color rgb="FF63BE7B"/>
        <color rgb="FFFFEB84"/>
        <color rgb="FFF8696B"/>
      </colorScale>
    </cfRule>
  </conditionalFormatting>
  <conditionalFormatting sqref="BF864:BM864">
    <cfRule type="colorScale" priority="89">
      <colorScale>
        <cfvo type="min"/>
        <cfvo type="percentile" val="50"/>
        <cfvo type="max"/>
        <color rgb="FF63BE7B"/>
        <color rgb="FFFFEB84"/>
        <color rgb="FFF8696B"/>
      </colorScale>
    </cfRule>
  </conditionalFormatting>
  <conditionalFormatting sqref="BF865:BM865">
    <cfRule type="colorScale" priority="88">
      <colorScale>
        <cfvo type="min"/>
        <cfvo type="percentile" val="50"/>
        <cfvo type="max"/>
        <color rgb="FF63BE7B"/>
        <color rgb="FFFFEB84"/>
        <color rgb="FFF8696B"/>
      </colorScale>
    </cfRule>
  </conditionalFormatting>
  <conditionalFormatting sqref="BF866:BM866">
    <cfRule type="colorScale" priority="87">
      <colorScale>
        <cfvo type="min"/>
        <cfvo type="percentile" val="50"/>
        <cfvo type="max"/>
        <color rgb="FF63BE7B"/>
        <color rgb="FFFFEB84"/>
        <color rgb="FFF8696B"/>
      </colorScale>
    </cfRule>
  </conditionalFormatting>
  <conditionalFormatting sqref="BF867:BM867">
    <cfRule type="colorScale" priority="86">
      <colorScale>
        <cfvo type="min"/>
        <cfvo type="percentile" val="50"/>
        <cfvo type="max"/>
        <color rgb="FF63BE7B"/>
        <color rgb="FFFFEB84"/>
        <color rgb="FFF8696B"/>
      </colorScale>
    </cfRule>
  </conditionalFormatting>
  <conditionalFormatting sqref="BF868:BM868">
    <cfRule type="colorScale" priority="85">
      <colorScale>
        <cfvo type="min"/>
        <cfvo type="percentile" val="50"/>
        <cfvo type="max"/>
        <color rgb="FF63BE7B"/>
        <color rgb="FFFFEB84"/>
        <color rgb="FFF8696B"/>
      </colorScale>
    </cfRule>
  </conditionalFormatting>
  <conditionalFormatting sqref="BF869:BM869">
    <cfRule type="colorScale" priority="84">
      <colorScale>
        <cfvo type="min"/>
        <cfvo type="percentile" val="50"/>
        <cfvo type="max"/>
        <color rgb="FF63BE7B"/>
        <color rgb="FFFFEB84"/>
        <color rgb="FFF8696B"/>
      </colorScale>
    </cfRule>
  </conditionalFormatting>
  <conditionalFormatting sqref="BF870:BM870">
    <cfRule type="colorScale" priority="83">
      <colorScale>
        <cfvo type="min"/>
        <cfvo type="percentile" val="50"/>
        <cfvo type="max"/>
        <color rgb="FF63BE7B"/>
        <color rgb="FFFFEB84"/>
        <color rgb="FFF8696B"/>
      </colorScale>
    </cfRule>
  </conditionalFormatting>
  <conditionalFormatting sqref="BF871:BM871">
    <cfRule type="colorScale" priority="82">
      <colorScale>
        <cfvo type="min"/>
        <cfvo type="percentile" val="50"/>
        <cfvo type="max"/>
        <color rgb="FF63BE7B"/>
        <color rgb="FFFFEB84"/>
        <color rgb="FFF8696B"/>
      </colorScale>
    </cfRule>
  </conditionalFormatting>
  <conditionalFormatting sqref="BF872:BM872">
    <cfRule type="colorScale" priority="81">
      <colorScale>
        <cfvo type="min"/>
        <cfvo type="percentile" val="50"/>
        <cfvo type="max"/>
        <color rgb="FF63BE7B"/>
        <color rgb="FFFFEB84"/>
        <color rgb="FFF8696B"/>
      </colorScale>
    </cfRule>
  </conditionalFormatting>
  <conditionalFormatting sqref="BF873:BM873">
    <cfRule type="colorScale" priority="80">
      <colorScale>
        <cfvo type="min"/>
        <cfvo type="percentile" val="50"/>
        <cfvo type="max"/>
        <color rgb="FF63BE7B"/>
        <color rgb="FFFFEB84"/>
        <color rgb="FFF8696B"/>
      </colorScale>
    </cfRule>
  </conditionalFormatting>
  <conditionalFormatting sqref="BF874:BM874">
    <cfRule type="colorScale" priority="79">
      <colorScale>
        <cfvo type="min"/>
        <cfvo type="percentile" val="50"/>
        <cfvo type="max"/>
        <color rgb="FF63BE7B"/>
        <color rgb="FFFFEB84"/>
        <color rgb="FFF8696B"/>
      </colorScale>
    </cfRule>
  </conditionalFormatting>
  <conditionalFormatting sqref="BF875:BM875">
    <cfRule type="colorScale" priority="78">
      <colorScale>
        <cfvo type="min"/>
        <cfvo type="percentile" val="50"/>
        <cfvo type="max"/>
        <color rgb="FF63BE7B"/>
        <color rgb="FFFFEB84"/>
        <color rgb="FFF8696B"/>
      </colorScale>
    </cfRule>
  </conditionalFormatting>
  <conditionalFormatting sqref="BF876:BM876">
    <cfRule type="colorScale" priority="77">
      <colorScale>
        <cfvo type="min"/>
        <cfvo type="percentile" val="50"/>
        <cfvo type="max"/>
        <color rgb="FF63BE7B"/>
        <color rgb="FFFFEB84"/>
        <color rgb="FFF8696B"/>
      </colorScale>
    </cfRule>
  </conditionalFormatting>
  <conditionalFormatting sqref="BF877:BM877">
    <cfRule type="colorScale" priority="76">
      <colorScale>
        <cfvo type="min"/>
        <cfvo type="percentile" val="50"/>
        <cfvo type="max"/>
        <color rgb="FF63BE7B"/>
        <color rgb="FFFFEB84"/>
        <color rgb="FFF8696B"/>
      </colorScale>
    </cfRule>
  </conditionalFormatting>
  <conditionalFormatting sqref="BF878:BM878">
    <cfRule type="colorScale" priority="75">
      <colorScale>
        <cfvo type="min"/>
        <cfvo type="percentile" val="50"/>
        <cfvo type="max"/>
        <color rgb="FF63BE7B"/>
        <color rgb="FFFFEB84"/>
        <color rgb="FFF8696B"/>
      </colorScale>
    </cfRule>
  </conditionalFormatting>
  <conditionalFormatting sqref="BF879:BM879">
    <cfRule type="colorScale" priority="74">
      <colorScale>
        <cfvo type="min"/>
        <cfvo type="percentile" val="50"/>
        <cfvo type="max"/>
        <color rgb="FF63BE7B"/>
        <color rgb="FFFFEB84"/>
        <color rgb="FFF8696B"/>
      </colorScale>
    </cfRule>
  </conditionalFormatting>
  <conditionalFormatting sqref="BF880:BM880">
    <cfRule type="colorScale" priority="73">
      <colorScale>
        <cfvo type="min"/>
        <cfvo type="percentile" val="50"/>
        <cfvo type="max"/>
        <color rgb="FF63BE7B"/>
        <color rgb="FFFFEB84"/>
        <color rgb="FFF8696B"/>
      </colorScale>
    </cfRule>
  </conditionalFormatting>
  <conditionalFormatting sqref="BF881:BM881">
    <cfRule type="colorScale" priority="72">
      <colorScale>
        <cfvo type="min"/>
        <cfvo type="percentile" val="50"/>
        <cfvo type="max"/>
        <color rgb="FF63BE7B"/>
        <color rgb="FFFFEB84"/>
        <color rgb="FFF8696B"/>
      </colorScale>
    </cfRule>
  </conditionalFormatting>
  <conditionalFormatting sqref="BF882:BM882">
    <cfRule type="colorScale" priority="71">
      <colorScale>
        <cfvo type="min"/>
        <cfvo type="percentile" val="50"/>
        <cfvo type="max"/>
        <color rgb="FF63BE7B"/>
        <color rgb="FFFFEB84"/>
        <color rgb="FFF8696B"/>
      </colorScale>
    </cfRule>
  </conditionalFormatting>
  <conditionalFormatting sqref="BF883:BM883">
    <cfRule type="colorScale" priority="70">
      <colorScale>
        <cfvo type="min"/>
        <cfvo type="percentile" val="50"/>
        <cfvo type="max"/>
        <color rgb="FF63BE7B"/>
        <color rgb="FFFFEB84"/>
        <color rgb="FFF8696B"/>
      </colorScale>
    </cfRule>
  </conditionalFormatting>
  <conditionalFormatting sqref="BF884:BM884">
    <cfRule type="colorScale" priority="69">
      <colorScale>
        <cfvo type="min"/>
        <cfvo type="percentile" val="50"/>
        <cfvo type="max"/>
        <color rgb="FF63BE7B"/>
        <color rgb="FFFFEB84"/>
        <color rgb="FFF8696B"/>
      </colorScale>
    </cfRule>
  </conditionalFormatting>
  <conditionalFormatting sqref="BF885:BM885">
    <cfRule type="colorScale" priority="68">
      <colorScale>
        <cfvo type="min"/>
        <cfvo type="percentile" val="50"/>
        <cfvo type="max"/>
        <color rgb="FF63BE7B"/>
        <color rgb="FFFFEB84"/>
        <color rgb="FFF8696B"/>
      </colorScale>
    </cfRule>
  </conditionalFormatting>
  <conditionalFormatting sqref="BF886:BM886">
    <cfRule type="colorScale" priority="67">
      <colorScale>
        <cfvo type="min"/>
        <cfvo type="percentile" val="50"/>
        <cfvo type="max"/>
        <color rgb="FF63BE7B"/>
        <color rgb="FFFFEB84"/>
        <color rgb="FFF8696B"/>
      </colorScale>
    </cfRule>
  </conditionalFormatting>
  <conditionalFormatting sqref="BF887:BM887">
    <cfRule type="colorScale" priority="66">
      <colorScale>
        <cfvo type="min"/>
        <cfvo type="percentile" val="50"/>
        <cfvo type="max"/>
        <color rgb="FF63BE7B"/>
        <color rgb="FFFFEB84"/>
        <color rgb="FFF8696B"/>
      </colorScale>
    </cfRule>
  </conditionalFormatting>
  <conditionalFormatting sqref="BF888:BM888">
    <cfRule type="colorScale" priority="65">
      <colorScale>
        <cfvo type="min"/>
        <cfvo type="percentile" val="50"/>
        <cfvo type="max"/>
        <color rgb="FF63BE7B"/>
        <color rgb="FFFFEB84"/>
        <color rgb="FFF8696B"/>
      </colorScale>
    </cfRule>
  </conditionalFormatting>
  <conditionalFormatting sqref="BF889:BM889">
    <cfRule type="colorScale" priority="64">
      <colorScale>
        <cfvo type="min"/>
        <cfvo type="percentile" val="50"/>
        <cfvo type="max"/>
        <color rgb="FF63BE7B"/>
        <color rgb="FFFFEB84"/>
        <color rgb="FFF8696B"/>
      </colorScale>
    </cfRule>
  </conditionalFormatting>
  <conditionalFormatting sqref="BF890:BM890">
    <cfRule type="colorScale" priority="63">
      <colorScale>
        <cfvo type="min"/>
        <cfvo type="percentile" val="50"/>
        <cfvo type="max"/>
        <color rgb="FF63BE7B"/>
        <color rgb="FFFFEB84"/>
        <color rgb="FFF8696B"/>
      </colorScale>
    </cfRule>
  </conditionalFormatting>
  <conditionalFormatting sqref="BF891:BM891">
    <cfRule type="colorScale" priority="62">
      <colorScale>
        <cfvo type="min"/>
        <cfvo type="percentile" val="50"/>
        <cfvo type="max"/>
        <color rgb="FF63BE7B"/>
        <color rgb="FFFFEB84"/>
        <color rgb="FFF8696B"/>
      </colorScale>
    </cfRule>
  </conditionalFormatting>
  <conditionalFormatting sqref="BF892:BM892">
    <cfRule type="colorScale" priority="61">
      <colorScale>
        <cfvo type="min"/>
        <cfvo type="percentile" val="50"/>
        <cfvo type="max"/>
        <color rgb="FF63BE7B"/>
        <color rgb="FFFFEB84"/>
        <color rgb="FFF8696B"/>
      </colorScale>
    </cfRule>
  </conditionalFormatting>
  <conditionalFormatting sqref="BF893:BM893">
    <cfRule type="colorScale" priority="60">
      <colorScale>
        <cfvo type="min"/>
        <cfvo type="percentile" val="50"/>
        <cfvo type="max"/>
        <color rgb="FF63BE7B"/>
        <color rgb="FFFFEB84"/>
        <color rgb="FFF8696B"/>
      </colorScale>
    </cfRule>
  </conditionalFormatting>
  <conditionalFormatting sqref="BF894:BM894">
    <cfRule type="colorScale" priority="59">
      <colorScale>
        <cfvo type="min"/>
        <cfvo type="percentile" val="50"/>
        <cfvo type="max"/>
        <color rgb="FF63BE7B"/>
        <color rgb="FFFFEB84"/>
        <color rgb="FFF8696B"/>
      </colorScale>
    </cfRule>
  </conditionalFormatting>
  <conditionalFormatting sqref="BF895:BM895">
    <cfRule type="colorScale" priority="58">
      <colorScale>
        <cfvo type="min"/>
        <cfvo type="percentile" val="50"/>
        <cfvo type="max"/>
        <color rgb="FF63BE7B"/>
        <color rgb="FFFFEB84"/>
        <color rgb="FFF8696B"/>
      </colorScale>
    </cfRule>
  </conditionalFormatting>
  <conditionalFormatting sqref="BF896:BM896">
    <cfRule type="colorScale" priority="57">
      <colorScale>
        <cfvo type="min"/>
        <cfvo type="percentile" val="50"/>
        <cfvo type="max"/>
        <color rgb="FF63BE7B"/>
        <color rgb="FFFFEB84"/>
        <color rgb="FFF8696B"/>
      </colorScale>
    </cfRule>
  </conditionalFormatting>
  <conditionalFormatting sqref="BF897:BM897">
    <cfRule type="colorScale" priority="56">
      <colorScale>
        <cfvo type="min"/>
        <cfvo type="percentile" val="50"/>
        <cfvo type="max"/>
        <color rgb="FF63BE7B"/>
        <color rgb="FFFFEB84"/>
        <color rgb="FFF8696B"/>
      </colorScale>
    </cfRule>
  </conditionalFormatting>
  <conditionalFormatting sqref="BF898:BM898">
    <cfRule type="colorScale" priority="55">
      <colorScale>
        <cfvo type="min"/>
        <cfvo type="percentile" val="50"/>
        <cfvo type="max"/>
        <color rgb="FF63BE7B"/>
        <color rgb="FFFFEB84"/>
        <color rgb="FFF8696B"/>
      </colorScale>
    </cfRule>
  </conditionalFormatting>
  <conditionalFormatting sqref="BF899:BM899">
    <cfRule type="colorScale" priority="54">
      <colorScale>
        <cfvo type="min"/>
        <cfvo type="percentile" val="50"/>
        <cfvo type="max"/>
        <color rgb="FF63BE7B"/>
        <color rgb="FFFFEB84"/>
        <color rgb="FFF8696B"/>
      </colorScale>
    </cfRule>
  </conditionalFormatting>
  <conditionalFormatting sqref="BF900:BM900">
    <cfRule type="colorScale" priority="53">
      <colorScale>
        <cfvo type="min"/>
        <cfvo type="percentile" val="50"/>
        <cfvo type="max"/>
        <color rgb="FF63BE7B"/>
        <color rgb="FFFFEB84"/>
        <color rgb="FFF8696B"/>
      </colorScale>
    </cfRule>
  </conditionalFormatting>
  <conditionalFormatting sqref="BF901:BM901">
    <cfRule type="colorScale" priority="52">
      <colorScale>
        <cfvo type="min"/>
        <cfvo type="percentile" val="50"/>
        <cfvo type="max"/>
        <color rgb="FF63BE7B"/>
        <color rgb="FFFFEB84"/>
        <color rgb="FFF8696B"/>
      </colorScale>
    </cfRule>
  </conditionalFormatting>
  <conditionalFormatting sqref="BF902:BM902">
    <cfRule type="colorScale" priority="51">
      <colorScale>
        <cfvo type="min"/>
        <cfvo type="percentile" val="50"/>
        <cfvo type="max"/>
        <color rgb="FF63BE7B"/>
        <color rgb="FFFFEB84"/>
        <color rgb="FFF8696B"/>
      </colorScale>
    </cfRule>
  </conditionalFormatting>
  <conditionalFormatting sqref="BF903:BM903">
    <cfRule type="colorScale" priority="50">
      <colorScale>
        <cfvo type="min"/>
        <cfvo type="percentile" val="50"/>
        <cfvo type="max"/>
        <color rgb="FF63BE7B"/>
        <color rgb="FFFFEB84"/>
        <color rgb="FFF8696B"/>
      </colorScale>
    </cfRule>
  </conditionalFormatting>
  <conditionalFormatting sqref="BF904:BM904">
    <cfRule type="colorScale" priority="49">
      <colorScale>
        <cfvo type="min"/>
        <cfvo type="percentile" val="50"/>
        <cfvo type="max"/>
        <color rgb="FF63BE7B"/>
        <color rgb="FFFFEB84"/>
        <color rgb="FFF8696B"/>
      </colorScale>
    </cfRule>
  </conditionalFormatting>
  <conditionalFormatting sqref="BF905:BM905">
    <cfRule type="colorScale" priority="48">
      <colorScale>
        <cfvo type="min"/>
        <cfvo type="percentile" val="50"/>
        <cfvo type="max"/>
        <color rgb="FF63BE7B"/>
        <color rgb="FFFFEB84"/>
        <color rgb="FFF8696B"/>
      </colorScale>
    </cfRule>
  </conditionalFormatting>
  <conditionalFormatting sqref="BF906:BM906">
    <cfRule type="colorScale" priority="47">
      <colorScale>
        <cfvo type="min"/>
        <cfvo type="percentile" val="50"/>
        <cfvo type="max"/>
        <color rgb="FF63BE7B"/>
        <color rgb="FFFFEB84"/>
        <color rgb="FFF8696B"/>
      </colorScale>
    </cfRule>
  </conditionalFormatting>
  <conditionalFormatting sqref="BF907:BM907">
    <cfRule type="colorScale" priority="46">
      <colorScale>
        <cfvo type="min"/>
        <cfvo type="percentile" val="50"/>
        <cfvo type="max"/>
        <color rgb="FF63BE7B"/>
        <color rgb="FFFFEB84"/>
        <color rgb="FFF8696B"/>
      </colorScale>
    </cfRule>
  </conditionalFormatting>
  <conditionalFormatting sqref="BF908:BM908">
    <cfRule type="colorScale" priority="45">
      <colorScale>
        <cfvo type="min"/>
        <cfvo type="percentile" val="50"/>
        <cfvo type="max"/>
        <color rgb="FF63BE7B"/>
        <color rgb="FFFFEB84"/>
        <color rgb="FFF8696B"/>
      </colorScale>
    </cfRule>
  </conditionalFormatting>
  <conditionalFormatting sqref="BF909:BM909">
    <cfRule type="colorScale" priority="44">
      <colorScale>
        <cfvo type="min"/>
        <cfvo type="percentile" val="50"/>
        <cfvo type="max"/>
        <color rgb="FF63BE7B"/>
        <color rgb="FFFFEB84"/>
        <color rgb="FFF8696B"/>
      </colorScale>
    </cfRule>
  </conditionalFormatting>
  <conditionalFormatting sqref="BF910:BM910">
    <cfRule type="colorScale" priority="43">
      <colorScale>
        <cfvo type="min"/>
        <cfvo type="percentile" val="50"/>
        <cfvo type="max"/>
        <color rgb="FF63BE7B"/>
        <color rgb="FFFFEB84"/>
        <color rgb="FFF8696B"/>
      </colorScale>
    </cfRule>
  </conditionalFormatting>
  <conditionalFormatting sqref="BF911:BM911">
    <cfRule type="colorScale" priority="42">
      <colorScale>
        <cfvo type="min"/>
        <cfvo type="percentile" val="50"/>
        <cfvo type="max"/>
        <color rgb="FF63BE7B"/>
        <color rgb="FFFFEB84"/>
        <color rgb="FFF8696B"/>
      </colorScale>
    </cfRule>
  </conditionalFormatting>
  <conditionalFormatting sqref="BF912:BM912">
    <cfRule type="colorScale" priority="41">
      <colorScale>
        <cfvo type="min"/>
        <cfvo type="percentile" val="50"/>
        <cfvo type="max"/>
        <color rgb="FF63BE7B"/>
        <color rgb="FFFFEB84"/>
        <color rgb="FFF8696B"/>
      </colorScale>
    </cfRule>
  </conditionalFormatting>
  <conditionalFormatting sqref="BF913:BM913">
    <cfRule type="colorScale" priority="40">
      <colorScale>
        <cfvo type="min"/>
        <cfvo type="percentile" val="50"/>
        <cfvo type="max"/>
        <color rgb="FF63BE7B"/>
        <color rgb="FFFFEB84"/>
        <color rgb="FFF8696B"/>
      </colorScale>
    </cfRule>
  </conditionalFormatting>
  <conditionalFormatting sqref="BF914:BM914">
    <cfRule type="colorScale" priority="39">
      <colorScale>
        <cfvo type="min"/>
        <cfvo type="percentile" val="50"/>
        <cfvo type="max"/>
        <color rgb="FF63BE7B"/>
        <color rgb="FFFFEB84"/>
        <color rgb="FFF8696B"/>
      </colorScale>
    </cfRule>
  </conditionalFormatting>
  <conditionalFormatting sqref="BF915:BM915">
    <cfRule type="colorScale" priority="38">
      <colorScale>
        <cfvo type="min"/>
        <cfvo type="percentile" val="50"/>
        <cfvo type="max"/>
        <color rgb="FF63BE7B"/>
        <color rgb="FFFFEB84"/>
        <color rgb="FFF8696B"/>
      </colorScale>
    </cfRule>
  </conditionalFormatting>
  <conditionalFormatting sqref="BF916:BM916">
    <cfRule type="colorScale" priority="37">
      <colorScale>
        <cfvo type="min"/>
        <cfvo type="percentile" val="50"/>
        <cfvo type="max"/>
        <color rgb="FF63BE7B"/>
        <color rgb="FFFFEB84"/>
        <color rgb="FFF8696B"/>
      </colorScale>
    </cfRule>
  </conditionalFormatting>
  <conditionalFormatting sqref="BF917:BM917">
    <cfRule type="colorScale" priority="36">
      <colorScale>
        <cfvo type="min"/>
        <cfvo type="percentile" val="50"/>
        <cfvo type="max"/>
        <color rgb="FF63BE7B"/>
        <color rgb="FFFFEB84"/>
        <color rgb="FFF8696B"/>
      </colorScale>
    </cfRule>
  </conditionalFormatting>
  <conditionalFormatting sqref="BF918:BM918">
    <cfRule type="colorScale" priority="35">
      <colorScale>
        <cfvo type="min"/>
        <cfvo type="percentile" val="50"/>
        <cfvo type="max"/>
        <color rgb="FF63BE7B"/>
        <color rgb="FFFFEB84"/>
        <color rgb="FFF8696B"/>
      </colorScale>
    </cfRule>
  </conditionalFormatting>
  <conditionalFormatting sqref="BF919:BM919">
    <cfRule type="colorScale" priority="34">
      <colorScale>
        <cfvo type="min"/>
        <cfvo type="percentile" val="50"/>
        <cfvo type="max"/>
        <color rgb="FF63BE7B"/>
        <color rgb="FFFFEB84"/>
        <color rgb="FFF8696B"/>
      </colorScale>
    </cfRule>
  </conditionalFormatting>
  <conditionalFormatting sqref="BF920:BM920">
    <cfRule type="colorScale" priority="33">
      <colorScale>
        <cfvo type="min"/>
        <cfvo type="percentile" val="50"/>
        <cfvo type="max"/>
        <color rgb="FF63BE7B"/>
        <color rgb="FFFFEB84"/>
        <color rgb="FFF8696B"/>
      </colorScale>
    </cfRule>
  </conditionalFormatting>
  <conditionalFormatting sqref="BF921:BM921">
    <cfRule type="colorScale" priority="32">
      <colorScale>
        <cfvo type="min"/>
        <cfvo type="percentile" val="50"/>
        <cfvo type="max"/>
        <color rgb="FF63BE7B"/>
        <color rgb="FFFFEB84"/>
        <color rgb="FFF8696B"/>
      </colorScale>
    </cfRule>
  </conditionalFormatting>
  <conditionalFormatting sqref="BF922:BM922">
    <cfRule type="colorScale" priority="31">
      <colorScale>
        <cfvo type="min"/>
        <cfvo type="percentile" val="50"/>
        <cfvo type="max"/>
        <color rgb="FF63BE7B"/>
        <color rgb="FFFFEB84"/>
        <color rgb="FFF8696B"/>
      </colorScale>
    </cfRule>
  </conditionalFormatting>
  <conditionalFormatting sqref="BF923:BM923">
    <cfRule type="colorScale" priority="30">
      <colorScale>
        <cfvo type="min"/>
        <cfvo type="percentile" val="50"/>
        <cfvo type="max"/>
        <color rgb="FF63BE7B"/>
        <color rgb="FFFFEB84"/>
        <color rgb="FFF8696B"/>
      </colorScale>
    </cfRule>
  </conditionalFormatting>
  <conditionalFormatting sqref="BF924:BM924">
    <cfRule type="colorScale" priority="29">
      <colorScale>
        <cfvo type="min"/>
        <cfvo type="percentile" val="50"/>
        <cfvo type="max"/>
        <color rgb="FF63BE7B"/>
        <color rgb="FFFFEB84"/>
        <color rgb="FFF8696B"/>
      </colorScale>
    </cfRule>
  </conditionalFormatting>
  <conditionalFormatting sqref="BF925:BM925">
    <cfRule type="colorScale" priority="28">
      <colorScale>
        <cfvo type="min"/>
        <cfvo type="percentile" val="50"/>
        <cfvo type="max"/>
        <color rgb="FF63BE7B"/>
        <color rgb="FFFFEB84"/>
        <color rgb="FFF8696B"/>
      </colorScale>
    </cfRule>
  </conditionalFormatting>
  <conditionalFormatting sqref="BF926:BM926">
    <cfRule type="colorScale" priority="27">
      <colorScale>
        <cfvo type="min"/>
        <cfvo type="percentile" val="50"/>
        <cfvo type="max"/>
        <color rgb="FF63BE7B"/>
        <color rgb="FFFFEB84"/>
        <color rgb="FFF8696B"/>
      </colorScale>
    </cfRule>
  </conditionalFormatting>
  <conditionalFormatting sqref="BF927:BM927">
    <cfRule type="colorScale" priority="26">
      <colorScale>
        <cfvo type="min"/>
        <cfvo type="percentile" val="50"/>
        <cfvo type="max"/>
        <color rgb="FF63BE7B"/>
        <color rgb="FFFFEB84"/>
        <color rgb="FFF8696B"/>
      </colorScale>
    </cfRule>
  </conditionalFormatting>
  <conditionalFormatting sqref="BF928:BM928">
    <cfRule type="colorScale" priority="25">
      <colorScale>
        <cfvo type="min"/>
        <cfvo type="percentile" val="50"/>
        <cfvo type="max"/>
        <color rgb="FF63BE7B"/>
        <color rgb="FFFFEB84"/>
        <color rgb="FFF8696B"/>
      </colorScale>
    </cfRule>
  </conditionalFormatting>
  <conditionalFormatting sqref="BF929:BM929">
    <cfRule type="colorScale" priority="24">
      <colorScale>
        <cfvo type="min"/>
        <cfvo type="percentile" val="50"/>
        <cfvo type="max"/>
        <color rgb="FF63BE7B"/>
        <color rgb="FFFFEB84"/>
        <color rgb="FFF8696B"/>
      </colorScale>
    </cfRule>
  </conditionalFormatting>
  <conditionalFormatting sqref="BF930:BM930">
    <cfRule type="colorScale" priority="23">
      <colorScale>
        <cfvo type="min"/>
        <cfvo type="percentile" val="50"/>
        <cfvo type="max"/>
        <color rgb="FF63BE7B"/>
        <color rgb="FFFFEB84"/>
        <color rgb="FFF8696B"/>
      </colorScale>
    </cfRule>
  </conditionalFormatting>
  <conditionalFormatting sqref="BF931:BM931">
    <cfRule type="colorScale" priority="22">
      <colorScale>
        <cfvo type="min"/>
        <cfvo type="percentile" val="50"/>
        <cfvo type="max"/>
        <color rgb="FF63BE7B"/>
        <color rgb="FFFFEB84"/>
        <color rgb="FFF8696B"/>
      </colorScale>
    </cfRule>
  </conditionalFormatting>
  <conditionalFormatting sqref="BF932:BM947">
    <cfRule type="colorScale" priority="21">
      <colorScale>
        <cfvo type="min"/>
        <cfvo type="percentile" val="50"/>
        <cfvo type="max"/>
        <color rgb="FF63BE7B"/>
        <color rgb="FFFFEB84"/>
        <color rgb="FFF8696B"/>
      </colorScale>
    </cfRule>
  </conditionalFormatting>
  <conditionalFormatting sqref="BF948:BM948">
    <cfRule type="colorScale" priority="20">
      <colorScale>
        <cfvo type="min"/>
        <cfvo type="percentile" val="50"/>
        <cfvo type="max"/>
        <color rgb="FF63BE7B"/>
        <color rgb="FFFFEB84"/>
        <color rgb="FFF8696B"/>
      </colorScale>
    </cfRule>
  </conditionalFormatting>
  <conditionalFormatting sqref="BF949:BM949">
    <cfRule type="colorScale" priority="19">
      <colorScale>
        <cfvo type="min"/>
        <cfvo type="percentile" val="50"/>
        <cfvo type="max"/>
        <color rgb="FF63BE7B"/>
        <color rgb="FFFFEB84"/>
        <color rgb="FFF8696B"/>
      </colorScale>
    </cfRule>
  </conditionalFormatting>
  <conditionalFormatting sqref="BF950:BM950">
    <cfRule type="colorScale" priority="18">
      <colorScale>
        <cfvo type="min"/>
        <cfvo type="percentile" val="50"/>
        <cfvo type="max"/>
        <color rgb="FF63BE7B"/>
        <color rgb="FFFFEB84"/>
        <color rgb="FFF8696B"/>
      </colorScale>
    </cfRule>
  </conditionalFormatting>
  <conditionalFormatting sqref="BF951:BM951">
    <cfRule type="colorScale" priority="17">
      <colorScale>
        <cfvo type="min"/>
        <cfvo type="percentile" val="50"/>
        <cfvo type="max"/>
        <color rgb="FF63BE7B"/>
        <color rgb="FFFFEB84"/>
        <color rgb="FFF8696B"/>
      </colorScale>
    </cfRule>
  </conditionalFormatting>
  <conditionalFormatting sqref="BF952:BM952">
    <cfRule type="colorScale" priority="16">
      <colorScale>
        <cfvo type="min"/>
        <cfvo type="percentile" val="50"/>
        <cfvo type="max"/>
        <color rgb="FF63BE7B"/>
        <color rgb="FFFFEB84"/>
        <color rgb="FFF8696B"/>
      </colorScale>
    </cfRule>
  </conditionalFormatting>
  <conditionalFormatting sqref="BF953:BM953">
    <cfRule type="colorScale" priority="15">
      <colorScale>
        <cfvo type="min"/>
        <cfvo type="percentile" val="50"/>
        <cfvo type="max"/>
        <color rgb="FF63BE7B"/>
        <color rgb="FFFFEB84"/>
        <color rgb="FFF8696B"/>
      </colorScale>
    </cfRule>
  </conditionalFormatting>
  <conditionalFormatting sqref="BF954:BM954">
    <cfRule type="colorScale" priority="14">
      <colorScale>
        <cfvo type="min"/>
        <cfvo type="percentile" val="50"/>
        <cfvo type="max"/>
        <color rgb="FF63BE7B"/>
        <color rgb="FFFFEB84"/>
        <color rgb="FFF8696B"/>
      </colorScale>
    </cfRule>
  </conditionalFormatting>
  <conditionalFormatting sqref="BF955:BM955">
    <cfRule type="colorScale" priority="13">
      <colorScale>
        <cfvo type="min"/>
        <cfvo type="percentile" val="50"/>
        <cfvo type="max"/>
        <color rgb="FF63BE7B"/>
        <color rgb="FFFFEB84"/>
        <color rgb="FFF8696B"/>
      </colorScale>
    </cfRule>
  </conditionalFormatting>
  <conditionalFormatting sqref="BF956:BM956">
    <cfRule type="colorScale" priority="12">
      <colorScale>
        <cfvo type="min"/>
        <cfvo type="percentile" val="50"/>
        <cfvo type="max"/>
        <color rgb="FF63BE7B"/>
        <color rgb="FFFFEB84"/>
        <color rgb="FFF8696B"/>
      </colorScale>
    </cfRule>
  </conditionalFormatting>
  <conditionalFormatting sqref="BF957:BM957">
    <cfRule type="colorScale" priority="11">
      <colorScale>
        <cfvo type="min"/>
        <cfvo type="percentile" val="50"/>
        <cfvo type="max"/>
        <color rgb="FF63BE7B"/>
        <color rgb="FFFFEB84"/>
        <color rgb="FFF8696B"/>
      </colorScale>
    </cfRule>
  </conditionalFormatting>
  <conditionalFormatting sqref="BF958:BM958">
    <cfRule type="colorScale" priority="10">
      <colorScale>
        <cfvo type="min"/>
        <cfvo type="percentile" val="50"/>
        <cfvo type="max"/>
        <color rgb="FF63BE7B"/>
        <color rgb="FFFFEB84"/>
        <color rgb="FFF8696B"/>
      </colorScale>
    </cfRule>
  </conditionalFormatting>
  <conditionalFormatting sqref="BF959:BM959">
    <cfRule type="colorScale" priority="9">
      <colorScale>
        <cfvo type="min"/>
        <cfvo type="percentile" val="50"/>
        <cfvo type="max"/>
        <color rgb="FF63BE7B"/>
        <color rgb="FFFFEB84"/>
        <color rgb="FFF8696B"/>
      </colorScale>
    </cfRule>
  </conditionalFormatting>
  <conditionalFormatting sqref="BF960:BM960">
    <cfRule type="colorScale" priority="8">
      <colorScale>
        <cfvo type="min"/>
        <cfvo type="percentile" val="50"/>
        <cfvo type="max"/>
        <color rgb="FF63BE7B"/>
        <color rgb="FFFFEB84"/>
        <color rgb="FFF8696B"/>
      </colorScale>
    </cfRule>
  </conditionalFormatting>
  <conditionalFormatting sqref="BF961:BM961">
    <cfRule type="colorScale" priority="7">
      <colorScale>
        <cfvo type="min"/>
        <cfvo type="percentile" val="50"/>
        <cfvo type="max"/>
        <color rgb="FF63BE7B"/>
        <color rgb="FFFFEB84"/>
        <color rgb="FFF8696B"/>
      </colorScale>
    </cfRule>
  </conditionalFormatting>
  <conditionalFormatting sqref="BF962:BM962">
    <cfRule type="colorScale" priority="6">
      <colorScale>
        <cfvo type="min"/>
        <cfvo type="percentile" val="50"/>
        <cfvo type="max"/>
        <color rgb="FF63BE7B"/>
        <color rgb="FFFFEB84"/>
        <color rgb="FFF8696B"/>
      </colorScale>
    </cfRule>
  </conditionalFormatting>
  <conditionalFormatting sqref="BF963:BM963">
    <cfRule type="colorScale" priority="5">
      <colorScale>
        <cfvo type="min"/>
        <cfvo type="percentile" val="50"/>
        <cfvo type="max"/>
        <color rgb="FF63BE7B"/>
        <color rgb="FFFFEB84"/>
        <color rgb="FFF8696B"/>
      </colorScale>
    </cfRule>
  </conditionalFormatting>
  <conditionalFormatting sqref="BF964:BM964">
    <cfRule type="colorScale" priority="4">
      <colorScale>
        <cfvo type="min"/>
        <cfvo type="percentile" val="50"/>
        <cfvo type="max"/>
        <color rgb="FF63BE7B"/>
        <color rgb="FFFFEB84"/>
        <color rgb="FFF8696B"/>
      </colorScale>
    </cfRule>
  </conditionalFormatting>
  <conditionalFormatting sqref="BF965:BM965">
    <cfRule type="colorScale" priority="3">
      <colorScale>
        <cfvo type="min"/>
        <cfvo type="percentile" val="50"/>
        <cfvo type="max"/>
        <color rgb="FF63BE7B"/>
        <color rgb="FFFFEB84"/>
        <color rgb="FFF8696B"/>
      </colorScale>
    </cfRule>
  </conditionalFormatting>
  <conditionalFormatting sqref="BF966:BM966">
    <cfRule type="colorScale" priority="2">
      <colorScale>
        <cfvo type="min"/>
        <cfvo type="percentile" val="50"/>
        <cfvo type="max"/>
        <color rgb="FF63BE7B"/>
        <color rgb="FFFFEB84"/>
        <color rgb="FFF8696B"/>
      </colorScale>
    </cfRule>
  </conditionalFormatting>
  <conditionalFormatting sqref="BF967:BM967">
    <cfRule type="colorScale" priority="1">
      <colorScale>
        <cfvo type="min"/>
        <cfvo type="percentile" val="50"/>
        <cfvo type="max"/>
        <color rgb="FF63BE7B"/>
        <color rgb="FFFFEB84"/>
        <color rgb="FFF8696B"/>
      </colorScale>
    </cfRule>
  </conditionalFormatting>
  <pageMargins left="0.7" right="0.7" top="0.75" bottom="0.75" header="0.3" footer="0.3"/>
  <legacyDrawing r:id="rId1"/>
  <tableParts count="2">
    <tablePart r:id="rId2"/>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6A82C-7F40-4878-9702-5B210E621972}">
  <sheetPr codeName="Sheet8">
    <tabColor theme="5"/>
  </sheetPr>
  <dimension ref="B2:Z365"/>
  <sheetViews>
    <sheetView topLeftCell="D100" workbookViewId="0">
      <selection activeCell="P98" sqref="P98"/>
    </sheetView>
  </sheetViews>
  <sheetFormatPr defaultRowHeight="14.4"/>
  <cols>
    <col min="1" max="1" width="1.5546875" customWidth="1"/>
    <col min="2" max="2" width="2" customWidth="1"/>
    <col min="3" max="3" width="34.5546875" bestFit="1" customWidth="1"/>
    <col min="4" max="4" width="14.44140625" customWidth="1"/>
    <col min="5" max="6" width="1.5546875" customWidth="1"/>
    <col min="7" max="7" width="7.5546875" bestFit="1" customWidth="1"/>
    <col min="8" max="8" width="24.5546875" customWidth="1"/>
    <col min="9" max="9" width="35.5546875" customWidth="1"/>
    <col min="10" max="10" width="17.5546875" customWidth="1"/>
    <col min="11" max="11" width="18.44140625" bestFit="1" customWidth="1"/>
    <col min="12" max="12" width="5.5546875" customWidth="1"/>
    <col min="13" max="13" width="1.5546875" customWidth="1"/>
    <col min="14" max="14" width="20.5546875" customWidth="1"/>
    <col min="15" max="15" width="50.5546875" customWidth="1"/>
    <col min="16" max="23" width="20.5546875" customWidth="1"/>
  </cols>
  <sheetData>
    <row r="2" spans="2:23">
      <c r="B2" s="1" t="s">
        <v>423</v>
      </c>
    </row>
    <row r="3" spans="2:23">
      <c r="C3" s="1" t="str" cm="1">
        <f t="array" ref="C3:C19">_xlfn.LET(_xlpm.x,F:F,_xlfn._xlws.FILTER(_xlpm.x,LEN(_xlpm.x)&gt;0))</f>
        <v>Confirmation</v>
      </c>
      <c r="D3" s="1" t="str">
        <f t="shared" ref="D3:D19" si="0">ADDRESS(MATCH(C3,F:F,0),COLUMN(F$2))</f>
        <v>$F$4</v>
      </c>
      <c r="E3" s="1"/>
      <c r="M3" s="1" t="s">
        <v>568</v>
      </c>
    </row>
    <row r="4" spans="2:23">
      <c r="C4" s="1" t="str">
        <v>Months</v>
      </c>
      <c r="D4" s="1" t="str">
        <f t="shared" si="0"/>
        <v>$F$10</v>
      </c>
      <c r="F4" s="1" t="s">
        <v>569</v>
      </c>
    </row>
    <row r="5" spans="2:23">
      <c r="C5" s="1" t="str">
        <v>Frequency</v>
      </c>
      <c r="D5" s="1" t="str">
        <f t="shared" si="0"/>
        <v>$F$26</v>
      </c>
      <c r="F5" s="31"/>
      <c r="G5" s="8" t="s">
        <v>570</v>
      </c>
      <c r="H5" s="8" t="s">
        <v>571</v>
      </c>
    </row>
    <row r="6" spans="2:23">
      <c r="C6" s="1" t="str">
        <v>Vehicle Emission Factors</v>
      </c>
      <c r="D6" s="1" t="str">
        <f t="shared" si="0"/>
        <v>$F$34</v>
      </c>
      <c r="G6" s="2">
        <v>1</v>
      </c>
      <c r="H6" s="5" t="s">
        <v>83</v>
      </c>
    </row>
    <row r="7" spans="2:23">
      <c r="C7" s="1" t="str">
        <v>weight</v>
      </c>
      <c r="D7" s="1" t="str">
        <f t="shared" si="0"/>
        <v>$F$47</v>
      </c>
      <c r="G7" s="2">
        <v>2</v>
      </c>
      <c r="H7" s="5" t="s">
        <v>78</v>
      </c>
    </row>
    <row r="8" spans="2:23">
      <c r="C8" s="1" t="str">
        <v>Volume</v>
      </c>
      <c r="D8" s="1" t="str">
        <f t="shared" si="0"/>
        <v>$F$56</v>
      </c>
    </row>
    <row r="9" spans="2:23">
      <c r="C9" s="1" t="str">
        <v>PIc1</v>
      </c>
      <c r="D9" s="1" t="str">
        <f t="shared" si="0"/>
        <v>$F$65</v>
      </c>
      <c r="M9" s="1" t="s">
        <v>563</v>
      </c>
    </row>
    <row r="10" spans="2:23">
      <c r="C10" s="1" t="str">
        <v>PIc2</v>
      </c>
      <c r="D10" s="1" t="str">
        <f t="shared" si="0"/>
        <v>$F$74</v>
      </c>
      <c r="F10" s="1" t="s">
        <v>572</v>
      </c>
      <c r="H10" s="1"/>
      <c r="N10" s="8" t="s">
        <v>573</v>
      </c>
      <c r="O10" s="8" t="s">
        <v>231</v>
      </c>
      <c r="P10" s="8" t="str" cm="1">
        <f t="array" ref="P10:W10">"Option "&amp;_xlfn.SEQUENCE(1,COUNTA(ls_WHM))</f>
        <v>Option 1</v>
      </c>
      <c r="Q10" s="8" t="str">
        <v>Option 2</v>
      </c>
      <c r="R10" s="8" t="str">
        <v>Option 3</v>
      </c>
      <c r="S10" s="8" t="str">
        <v>Option 4</v>
      </c>
      <c r="T10" s="8" t="str">
        <v>Option 5</v>
      </c>
      <c r="U10" s="8" t="str">
        <v>Option 6</v>
      </c>
      <c r="V10" s="8" t="str">
        <v>Option 7</v>
      </c>
      <c r="W10" s="8" t="str">
        <v>Option 8</v>
      </c>
    </row>
    <row r="11" spans="2:23">
      <c r="C11" s="1" t="str">
        <v>PIc7</v>
      </c>
      <c r="D11" s="1" t="str">
        <f t="shared" si="0"/>
        <v>$F$83</v>
      </c>
      <c r="G11" s="8" t="s">
        <v>570</v>
      </c>
      <c r="H11" s="8" t="s">
        <v>572</v>
      </c>
      <c r="I11" s="25" t="s">
        <v>574</v>
      </c>
      <c r="N11" s="5" t="str">
        <f t="shared" ref="N11:N58" si="1">_xlfn.CONCAT("LOOKUPS!",ADDRESS(ROW(P11),COLUMN(P11),4),"#")</f>
        <v>LOOKUPS!P11#</v>
      </c>
      <c r="O11" s="60" t="str" cm="1">
        <f t="array" ref="O11:O82">ls_Mat</f>
        <v>Wood/Yard Trimmings - Generic</v>
      </c>
      <c r="P11" s="5" t="str" cm="1">
        <f t="array" aca="1" ref="P11:V11" ca="1">_xlfn._xlws.FILTER(TRANSPOSE(ls_WHM),_xlfn.CHOOSEROWS(INDIRECT(Factors!$H$10),MATCH(O11,ls_Mat,0))="x","Check WH options")</f>
        <v>Reduce</v>
      </c>
      <c r="Q11" s="5" t="str">
        <f ca="1"/>
        <v>Reuse</v>
      </c>
      <c r="R11" s="5" t="str">
        <f ca="1"/>
        <v>Composting</v>
      </c>
      <c r="S11" s="5" t="str">
        <f ca="1"/>
        <v>Anaerobic Digestion</v>
      </c>
      <c r="T11" s="5" t="str">
        <f ca="1"/>
        <v>Landfill</v>
      </c>
      <c r="U11" s="5" t="str">
        <f ca="1"/>
        <v>Waste-to-Energy</v>
      </c>
      <c r="V11" s="5" t="str">
        <f ca="1"/>
        <v>Incineration</v>
      </c>
      <c r="W11" s="5"/>
    </row>
    <row r="12" spans="2:23">
      <c r="C12" s="1" t="str">
        <v>TRUEv2 Certification</v>
      </c>
      <c r="D12" s="1" t="str">
        <f t="shared" si="0"/>
        <v>$F$93</v>
      </c>
      <c r="G12" s="5">
        <v>1</v>
      </c>
      <c r="H12" s="5" t="s">
        <v>208</v>
      </c>
      <c r="I12" s="2" t="s">
        <v>575</v>
      </c>
      <c r="N12" s="5" t="str">
        <f t="shared" si="1"/>
        <v>LOOKUPS!P12#</v>
      </c>
      <c r="O12" s="60" t="str">
        <v>Yard Trimmings – Leaves</v>
      </c>
      <c r="P12" s="5" t="str" cm="1">
        <f t="array" aca="1" ref="P12:U12" ca="1">_xlfn._xlws.FILTER(TRANSPOSE(ls_WHM),_xlfn.CHOOSEROWS(INDIRECT(Factors!$H$10),MATCH(O12,ls_Mat,0))="x","Check WH options")</f>
        <v>Reduce</v>
      </c>
      <c r="Q12" s="5" t="str">
        <f ca="1"/>
        <v>Composting</v>
      </c>
      <c r="R12" s="5" t="str">
        <f ca="1"/>
        <v>Anaerobic Digestion</v>
      </c>
      <c r="S12" s="5" t="str">
        <f ca="1"/>
        <v>Landfill</v>
      </c>
      <c r="T12" s="5" t="str">
        <f ca="1"/>
        <v>Waste-to-Energy</v>
      </c>
      <c r="U12" s="5" t="str">
        <f ca="1"/>
        <v>Incineration</v>
      </c>
      <c r="V12" s="5"/>
      <c r="W12" s="5"/>
    </row>
    <row r="13" spans="2:23">
      <c r="C13" s="1" t="str">
        <v>Weight Measurement Method</v>
      </c>
      <c r="D13" s="1" t="str">
        <f t="shared" si="0"/>
        <v>$F$101</v>
      </c>
      <c r="G13" s="5">
        <v>2</v>
      </c>
      <c r="H13" s="5" t="s">
        <v>576</v>
      </c>
      <c r="I13" s="2" t="s">
        <v>577</v>
      </c>
      <c r="N13" s="5" t="str">
        <f t="shared" si="1"/>
        <v>LOOKUPS!P13#</v>
      </c>
      <c r="O13" s="60" t="str">
        <v>Yard Trimmings – Grass</v>
      </c>
      <c r="P13" s="5" t="str" cm="1">
        <f t="array" aca="1" ref="P13:U13" ca="1">_xlfn._xlws.FILTER(TRANSPOSE(ls_WHM),_xlfn.CHOOSEROWS(INDIRECT(Factors!$H$10),MATCH(O13,ls_Mat,0))="x","Check WH options")</f>
        <v>Reduce</v>
      </c>
      <c r="Q13" s="5" t="str">
        <f ca="1"/>
        <v>Composting</v>
      </c>
      <c r="R13" s="5" t="str">
        <f ca="1"/>
        <v>Anaerobic Digestion</v>
      </c>
      <c r="S13" s="5" t="str">
        <f ca="1"/>
        <v>Landfill</v>
      </c>
      <c r="T13" s="5" t="str">
        <f ca="1"/>
        <v>Waste-to-Energy</v>
      </c>
      <c r="U13" s="5" t="str">
        <f ca="1"/>
        <v>Incineration</v>
      </c>
      <c r="V13" s="5"/>
      <c r="W13" s="5"/>
    </row>
    <row r="14" spans="2:23">
      <c r="C14" s="1" t="str">
        <v>Waste handling methods</v>
      </c>
      <c r="D14" s="1" t="str">
        <f t="shared" si="0"/>
        <v>$F$107</v>
      </c>
      <c r="G14" s="5">
        <v>3</v>
      </c>
      <c r="H14" s="5" t="s">
        <v>578</v>
      </c>
      <c r="I14" s="2" t="s">
        <v>579</v>
      </c>
      <c r="N14" s="5" t="str">
        <f t="shared" si="1"/>
        <v>LOOKUPS!P14#</v>
      </c>
      <c r="O14" s="60" t="str">
        <v>Yard Trimming – Branches</v>
      </c>
      <c r="P14" s="5" t="str" cm="1">
        <f t="array" aca="1" ref="P14:U14" ca="1">_xlfn._xlws.FILTER(TRANSPOSE(ls_WHM),_xlfn.CHOOSEROWS(INDIRECT(Factors!$H$10),MATCH(O14,ls_Mat,0))="x","Check WH options")</f>
        <v>Reduce</v>
      </c>
      <c r="Q14" s="5" t="str">
        <f ca="1"/>
        <v>Composting</v>
      </c>
      <c r="R14" s="5" t="str">
        <f ca="1"/>
        <v>Anaerobic Digestion</v>
      </c>
      <c r="S14" s="5" t="str">
        <f ca="1"/>
        <v>Landfill</v>
      </c>
      <c r="T14" s="5" t="str">
        <f ca="1"/>
        <v>Waste-to-Energy</v>
      </c>
      <c r="U14" s="5" t="str">
        <f ca="1"/>
        <v>Incineration</v>
      </c>
      <c r="V14" s="5"/>
      <c r="W14" s="5"/>
    </row>
    <row r="15" spans="2:23">
      <c r="C15" s="1" t="str">
        <v>Future waste handling methods</v>
      </c>
      <c r="D15" s="1" t="str">
        <f>ADDRESS(MATCH(C15,F:F,0),COLUMN(F$2))</f>
        <v>$F$119</v>
      </c>
      <c r="G15" s="5">
        <v>4</v>
      </c>
      <c r="H15" s="5" t="s">
        <v>580</v>
      </c>
      <c r="I15" s="2" t="s">
        <v>581</v>
      </c>
      <c r="N15" s="5" t="str">
        <f t="shared" si="1"/>
        <v>LOOKUPS!P15#</v>
      </c>
      <c r="O15" s="60" t="str">
        <v>Wood</v>
      </c>
      <c r="P15" s="5" t="str" cm="1">
        <f t="array" aca="1" ref="P15:T15" ca="1">_xlfn._xlws.FILTER(TRANSPOSE(ls_WHM),_xlfn.CHOOSEROWS(INDIRECT(Factors!$H$10),MATCH(O15,ls_Mat,0))="x","Check WH options")</f>
        <v>Reduce</v>
      </c>
      <c r="Q15" s="5" t="str">
        <f ca="1"/>
        <v>Reuse</v>
      </c>
      <c r="R15" s="5" t="str">
        <f ca="1"/>
        <v>Landfill</v>
      </c>
      <c r="S15" s="5" t="str">
        <f ca="1"/>
        <v>Waste-to-Energy</v>
      </c>
      <c r="T15" s="5" t="str">
        <f ca="1"/>
        <v>Incineration</v>
      </c>
      <c r="U15" s="5"/>
      <c r="V15" s="5"/>
      <c r="W15" s="5"/>
    </row>
    <row r="16" spans="2:23">
      <c r="C16" s="1" t="str">
        <v>Country level data</v>
      </c>
      <c r="D16" s="1" t="str">
        <f t="shared" si="0"/>
        <v>$F$128</v>
      </c>
      <c r="G16" s="5">
        <v>5</v>
      </c>
      <c r="H16" s="5" t="s">
        <v>582</v>
      </c>
      <c r="I16" s="2" t="s">
        <v>582</v>
      </c>
      <c r="N16" s="5" t="str">
        <f t="shared" si="1"/>
        <v>LOOKUPS!P16#</v>
      </c>
      <c r="O16" s="60" t="str">
        <v>Pallets</v>
      </c>
      <c r="P16" s="5" t="str" cm="1">
        <f t="array" aca="1" ref="P16:V16" ca="1">_xlfn._xlws.FILTER(TRANSPOSE(ls_WHM),_xlfn.CHOOSEROWS(INDIRECT(Factors!$H$10),MATCH(O16,ls_Mat,0))="x","Check WH options")</f>
        <v>Reduce</v>
      </c>
      <c r="Q16" s="5" t="str">
        <f ca="1"/>
        <v>Reuse</v>
      </c>
      <c r="R16" s="5" t="str">
        <f ca="1"/>
        <v>Composting</v>
      </c>
      <c r="S16" s="5" t="str">
        <f ca="1"/>
        <v>Anaerobic Digestion</v>
      </c>
      <c r="T16" s="5" t="str">
        <f ca="1"/>
        <v>Landfill</v>
      </c>
      <c r="U16" s="5" t="str">
        <f ca="1"/>
        <v>Waste-to-Energy</v>
      </c>
      <c r="V16" s="5" t="str">
        <f ca="1"/>
        <v>Incineration</v>
      </c>
      <c r="W16" s="5"/>
    </row>
    <row r="17" spans="3:23">
      <c r="C17" s="1" t="str">
        <v>Intensity Metrics</v>
      </c>
      <c r="D17" s="1" t="str">
        <f t="shared" si="0"/>
        <v>$F$141</v>
      </c>
      <c r="G17" s="5">
        <v>6</v>
      </c>
      <c r="H17" s="5" t="s">
        <v>583</v>
      </c>
      <c r="I17" s="2" t="s">
        <v>584</v>
      </c>
      <c r="N17" s="5" t="str">
        <f t="shared" si="1"/>
        <v>LOOKUPS!P17#</v>
      </c>
      <c r="O17" s="60" t="str">
        <v>Other Wood</v>
      </c>
      <c r="P17" s="5" t="str" cm="1">
        <f t="array" aca="1" ref="P17:V17" ca="1">_xlfn._xlws.FILTER(TRANSPOSE(ls_WHM),_xlfn.CHOOSEROWS(INDIRECT(Factors!$H$10),MATCH(O17,ls_Mat,0))="x","Check WH options")</f>
        <v>Reduce</v>
      </c>
      <c r="Q17" s="5" t="str">
        <f ca="1"/>
        <v>Reuse</v>
      </c>
      <c r="R17" s="5" t="str">
        <f ca="1"/>
        <v>Composting</v>
      </c>
      <c r="S17" s="5" t="str">
        <f ca="1"/>
        <v>Anaerobic Digestion</v>
      </c>
      <c r="T17" s="5" t="str">
        <f ca="1"/>
        <v>Landfill</v>
      </c>
      <c r="U17" s="5" t="str">
        <f ca="1"/>
        <v>Waste-to-Energy</v>
      </c>
      <c r="V17" s="5" t="str">
        <f ca="1"/>
        <v>Incineration</v>
      </c>
      <c r="W17" s="5"/>
    </row>
    <row r="18" spans="3:23">
      <c r="C18" s="1" t="str">
        <v>Material Categories</v>
      </c>
      <c r="D18" s="1" t="str">
        <f t="shared" si="0"/>
        <v>$F$151</v>
      </c>
      <c r="G18" s="5">
        <v>7</v>
      </c>
      <c r="H18" s="5" t="s">
        <v>585</v>
      </c>
      <c r="I18" s="2" t="s">
        <v>585</v>
      </c>
      <c r="N18" s="5" t="str">
        <f t="shared" si="1"/>
        <v>LOOKUPS!P18#</v>
      </c>
      <c r="O18" s="60" t="str">
        <v>Food Waste -Generic</v>
      </c>
      <c r="P18" s="5" t="str" cm="1">
        <f t="array" aca="1" ref="P18:V18" ca="1">_xlfn._xlws.FILTER(TRANSPOSE(ls_WHM),_xlfn.CHOOSEROWS(INDIRECT(Factors!$H$10),MATCH(O18,ls_Mat,0))="x","Check WH options")</f>
        <v>Reduce</v>
      </c>
      <c r="Q18" s="5" t="str">
        <f ca="1"/>
        <v>Reuse</v>
      </c>
      <c r="R18" s="5" t="str">
        <f ca="1"/>
        <v>Composting</v>
      </c>
      <c r="S18" s="5" t="str">
        <f ca="1"/>
        <v>Anaerobic Digestion</v>
      </c>
      <c r="T18" s="5" t="str">
        <f ca="1"/>
        <v>Landfill</v>
      </c>
      <c r="U18" s="5" t="str">
        <f ca="1"/>
        <v>Waste-to-Energy</v>
      </c>
      <c r="V18" s="5" t="str">
        <f ca="1"/>
        <v>Incineration</v>
      </c>
      <c r="W18" s="5"/>
    </row>
    <row r="19" spans="3:23">
      <c r="C19" s="1" t="str">
        <v>Country List</v>
      </c>
      <c r="D19" s="1" t="str">
        <f t="shared" si="0"/>
        <v>$F$169</v>
      </c>
      <c r="G19" s="5">
        <v>8</v>
      </c>
      <c r="H19" s="5" t="s">
        <v>586</v>
      </c>
      <c r="I19" s="2" t="s">
        <v>587</v>
      </c>
      <c r="N19" s="5" t="str">
        <f t="shared" si="1"/>
        <v>LOOKUPS!P19#</v>
      </c>
      <c r="O19" s="60" t="str">
        <v>Food Waste – Vegetable</v>
      </c>
      <c r="P19" s="5" t="str" cm="1">
        <f t="array" aca="1" ref="P19:V19" ca="1">_xlfn._xlws.FILTER(TRANSPOSE(ls_WHM),_xlfn.CHOOSEROWS(INDIRECT(Factors!$H$10),MATCH(O19,ls_Mat,0))="x","Check WH options")</f>
        <v>Reduce</v>
      </c>
      <c r="Q19" s="5" t="str">
        <f ca="1"/>
        <v>Reuse</v>
      </c>
      <c r="R19" s="5" t="str">
        <f ca="1"/>
        <v>Composting</v>
      </c>
      <c r="S19" s="5" t="str">
        <f ca="1"/>
        <v>Anaerobic Digestion</v>
      </c>
      <c r="T19" s="5" t="str">
        <f ca="1"/>
        <v>Landfill</v>
      </c>
      <c r="U19" s="5" t="str">
        <f ca="1"/>
        <v>Waste-to-Energy</v>
      </c>
      <c r="V19" s="5" t="str">
        <f ca="1"/>
        <v>Incineration</v>
      </c>
      <c r="W19" s="5"/>
    </row>
    <row r="20" spans="3:23">
      <c r="C20" s="1"/>
      <c r="G20" s="5">
        <v>9</v>
      </c>
      <c r="H20" s="5" t="s">
        <v>588</v>
      </c>
      <c r="I20" s="2" t="s">
        <v>589</v>
      </c>
      <c r="N20" s="5" t="str">
        <f t="shared" si="1"/>
        <v>LOOKUPS!P20#</v>
      </c>
      <c r="O20" s="60" t="str">
        <v>Food Waste – Non-Vegetable</v>
      </c>
      <c r="P20" s="5" t="str" cm="1">
        <f t="array" aca="1" ref="P20:V20" ca="1">_xlfn._xlws.FILTER(TRANSPOSE(ls_WHM),_xlfn.CHOOSEROWS(INDIRECT(Factors!$H$10),MATCH(O20,ls_Mat,0))="x","Check WH options")</f>
        <v>Reduce</v>
      </c>
      <c r="Q20" s="5" t="str">
        <f ca="1"/>
        <v>Reuse</v>
      </c>
      <c r="R20" s="5" t="str">
        <f ca="1"/>
        <v>Composting</v>
      </c>
      <c r="S20" s="5" t="str">
        <f ca="1"/>
        <v>Anaerobic Digestion</v>
      </c>
      <c r="T20" s="5" t="str">
        <f ca="1"/>
        <v>Landfill</v>
      </c>
      <c r="U20" s="5" t="str">
        <f ca="1"/>
        <v>Waste-to-Energy</v>
      </c>
      <c r="V20" s="5" t="str">
        <f ca="1"/>
        <v>Incineration</v>
      </c>
      <c r="W20" s="5"/>
    </row>
    <row r="21" spans="3:23">
      <c r="C21" s="1"/>
      <c r="G21" s="5">
        <v>10</v>
      </c>
      <c r="H21" s="5" t="s">
        <v>590</v>
      </c>
      <c r="I21" s="2" t="s">
        <v>591</v>
      </c>
      <c r="N21" s="5" t="str">
        <f t="shared" si="1"/>
        <v>LOOKUPS!P21#</v>
      </c>
      <c r="O21" s="60" t="str">
        <v>Oils/Grease</v>
      </c>
      <c r="P21" s="5" t="str" cm="1">
        <f t="array" aca="1" ref="P21:U21" ca="1">_xlfn._xlws.FILTER(TRANSPOSE(ls_WHM),_xlfn.CHOOSEROWS(INDIRECT(Factors!$H$10),MATCH(O21,ls_Mat,0))="x","Check WH options")</f>
        <v>Reduce</v>
      </c>
      <c r="Q21" s="5" t="str">
        <f ca="1"/>
        <v>Composting</v>
      </c>
      <c r="R21" s="5" t="str">
        <f ca="1"/>
        <v>Anaerobic Digestion</v>
      </c>
      <c r="S21" s="5" t="str">
        <f ca="1"/>
        <v>Landfill</v>
      </c>
      <c r="T21" s="5" t="str">
        <f ca="1"/>
        <v>Waste-to-Energy</v>
      </c>
      <c r="U21" s="5" t="str">
        <f ca="1"/>
        <v>Incineration</v>
      </c>
      <c r="V21" s="5"/>
      <c r="W21" s="5"/>
    </row>
    <row r="22" spans="3:23">
      <c r="C22" s="1"/>
      <c r="G22" s="5">
        <v>11</v>
      </c>
      <c r="H22" s="5" t="s">
        <v>592</v>
      </c>
      <c r="I22" s="2" t="s">
        <v>593</v>
      </c>
      <c r="N22" s="5" t="str">
        <f t="shared" si="1"/>
        <v>LOOKUPS!P22#</v>
      </c>
      <c r="O22" s="60" t="str">
        <v>Plastics - Generic</v>
      </c>
      <c r="P22" s="5" t="str" cm="1">
        <f t="array" aca="1" ref="P22:U22" ca="1">_xlfn._xlws.FILTER(TRANSPOSE(ls_WHM),_xlfn.CHOOSEROWS(INDIRECT(Factors!$H$10),MATCH(O22,ls_Mat,0))="x","Check WH options")</f>
        <v>Reduce</v>
      </c>
      <c r="Q22" s="5" t="str">
        <f ca="1"/>
        <v>Reuse</v>
      </c>
      <c r="R22" s="5" t="str">
        <f ca="1"/>
        <v>Recycle</v>
      </c>
      <c r="S22" s="5" t="str">
        <f ca="1"/>
        <v>Landfill</v>
      </c>
      <c r="T22" s="5" t="str">
        <f ca="1"/>
        <v>Waste-to-Energy</v>
      </c>
      <c r="U22" s="5" t="str">
        <f ca="1"/>
        <v>Incineration</v>
      </c>
      <c r="V22" s="5"/>
      <c r="W22" s="5"/>
    </row>
    <row r="23" spans="3:23">
      <c r="C23" s="1"/>
      <c r="G23" s="5">
        <v>12</v>
      </c>
      <c r="H23" s="5" t="s">
        <v>594</v>
      </c>
      <c r="I23" s="2" t="s">
        <v>595</v>
      </c>
      <c r="N23" s="5" t="str">
        <f t="shared" si="1"/>
        <v>LOOKUPS!P23#</v>
      </c>
      <c r="O23" s="60" t="str">
        <v>High-Density Polyethylene (HDPE) (translucent and pigmented)</v>
      </c>
      <c r="P23" s="5" t="str" cm="1">
        <f t="array" aca="1" ref="P23:U23" ca="1">_xlfn._xlws.FILTER(TRANSPOSE(ls_WHM),_xlfn.CHOOSEROWS(INDIRECT(Factors!$H$10),MATCH(O23,ls_Mat,0))="x","Check WH options")</f>
        <v>Reduce</v>
      </c>
      <c r="Q23" s="5" t="str">
        <f ca="1"/>
        <v>Reuse</v>
      </c>
      <c r="R23" s="5" t="str">
        <f ca="1"/>
        <v>Recycle</v>
      </c>
      <c r="S23" s="5" t="str">
        <f ca="1"/>
        <v>Landfill</v>
      </c>
      <c r="T23" s="5" t="str">
        <f ca="1"/>
        <v>Waste-to-Energy</v>
      </c>
      <c r="U23" s="5" t="str">
        <f ca="1"/>
        <v>Incineration</v>
      </c>
      <c r="V23" s="5"/>
      <c r="W23" s="5"/>
    </row>
    <row r="24" spans="3:23">
      <c r="C24" s="1"/>
      <c r="N24" s="5" t="str">
        <f t="shared" si="1"/>
        <v>LOOKUPS!P24#</v>
      </c>
      <c r="O24" s="60" t="str">
        <v>Low-Density Polyethylene (LDPE)</v>
      </c>
      <c r="P24" s="5" t="str" cm="1">
        <f t="array" aca="1" ref="P24:T24" ca="1">_xlfn._xlws.FILTER(TRANSPOSE(ls_WHM),_xlfn.CHOOSEROWS(INDIRECT(Factors!$H$10),MATCH(O24,ls_Mat,0))="x","Check WH options")</f>
        <v>Reduce</v>
      </c>
      <c r="Q24" s="5" t="str">
        <f ca="1"/>
        <v>Recycle</v>
      </c>
      <c r="R24" s="5" t="str">
        <f ca="1"/>
        <v>Landfill</v>
      </c>
      <c r="S24" s="5" t="str">
        <f ca="1"/>
        <v>Waste-to-Energy</v>
      </c>
      <c r="T24" s="5" t="str">
        <f ca="1"/>
        <v>Incineration</v>
      </c>
      <c r="U24" s="5"/>
      <c r="V24" s="5"/>
      <c r="W24" s="5"/>
    </row>
    <row r="25" spans="3:23">
      <c r="C25" s="1"/>
      <c r="N25" s="5" t="str">
        <f t="shared" si="1"/>
        <v>LOOKUPS!P25#</v>
      </c>
      <c r="O25" s="60" t="str">
        <v>Polyethylene Terephthalate (PET)</v>
      </c>
      <c r="P25" s="5" t="str" cm="1">
        <f t="array" aca="1" ref="P25:U25" ca="1">_xlfn._xlws.FILTER(TRANSPOSE(ls_WHM),_xlfn.CHOOSEROWS(INDIRECT(Factors!$H$10),MATCH(O25,ls_Mat,0))="x","Check WH options")</f>
        <v>Reduce</v>
      </c>
      <c r="Q25" s="5" t="str">
        <f ca="1"/>
        <v>Reuse</v>
      </c>
      <c r="R25" s="5" t="str">
        <f ca="1"/>
        <v>Recycle</v>
      </c>
      <c r="S25" s="5" t="str">
        <f ca="1"/>
        <v>Landfill</v>
      </c>
      <c r="T25" s="5" t="str">
        <f ca="1"/>
        <v>Waste-to-Energy</v>
      </c>
      <c r="U25" s="5" t="str">
        <f ca="1"/>
        <v>Incineration</v>
      </c>
      <c r="V25" s="5"/>
      <c r="W25" s="5"/>
    </row>
    <row r="26" spans="3:23">
      <c r="C26" s="1"/>
      <c r="F26" s="1" t="s">
        <v>596</v>
      </c>
      <c r="H26" s="1"/>
      <c r="N26" s="5" t="str">
        <f t="shared" si="1"/>
        <v>LOOKUPS!P26#</v>
      </c>
      <c r="O26" s="60" t="str">
        <v>Linear Low-Density Polyethylene (LLDPE)</v>
      </c>
      <c r="P26" s="5" t="str" cm="1">
        <f t="array" aca="1" ref="P26:T26" ca="1">_xlfn._xlws.FILTER(TRANSPOSE(ls_WHM),_xlfn.CHOOSEROWS(INDIRECT(Factors!$H$10),MATCH(O26,ls_Mat,0))="x","Check WH options")</f>
        <v>Reduce</v>
      </c>
      <c r="Q26" s="5" t="str">
        <f ca="1"/>
        <v>Recycle</v>
      </c>
      <c r="R26" s="5" t="str">
        <f ca="1"/>
        <v>Landfill</v>
      </c>
      <c r="S26" s="5" t="str">
        <f ca="1"/>
        <v>Waste-to-Energy</v>
      </c>
      <c r="T26" s="5" t="str">
        <f ca="1"/>
        <v>Incineration</v>
      </c>
      <c r="U26" s="5"/>
      <c r="V26" s="5"/>
      <c r="W26" s="5"/>
    </row>
    <row r="27" spans="3:23">
      <c r="C27" s="1"/>
      <c r="G27" s="7" t="s">
        <v>570</v>
      </c>
      <c r="H27" s="7" t="s">
        <v>597</v>
      </c>
      <c r="I27" s="31"/>
      <c r="J27" s="31"/>
      <c r="N27" s="5" t="str">
        <f t="shared" si="1"/>
        <v>LOOKUPS!P27#</v>
      </c>
      <c r="O27" s="60" t="str">
        <v>Polypropylene (PP)</v>
      </c>
      <c r="P27" s="5" t="str" cm="1">
        <f t="array" aca="1" ref="P27:T27" ca="1">_xlfn._xlws.FILTER(TRANSPOSE(ls_WHM),_xlfn.CHOOSEROWS(INDIRECT(Factors!$H$10),MATCH(O27,ls_Mat,0))="x","Check WH options")</f>
        <v>Reduce</v>
      </c>
      <c r="Q27" s="5" t="str">
        <f ca="1"/>
        <v>Reuse</v>
      </c>
      <c r="R27" s="5" t="str">
        <f ca="1"/>
        <v>Landfill</v>
      </c>
      <c r="S27" s="5" t="str">
        <f ca="1"/>
        <v>Waste-to-Energy</v>
      </c>
      <c r="T27" s="5" t="str">
        <f ca="1"/>
        <v>Incineration</v>
      </c>
      <c r="U27" s="5"/>
      <c r="V27" s="5"/>
      <c r="W27" s="5"/>
    </row>
    <row r="28" spans="3:23">
      <c r="C28" s="1"/>
      <c r="G28" s="6">
        <v>1</v>
      </c>
      <c r="H28" s="33" t="s">
        <v>598</v>
      </c>
      <c r="N28" s="5" t="str">
        <f t="shared" si="1"/>
        <v>LOOKUPS!P28#</v>
      </c>
      <c r="O28" s="60" t="str">
        <v>Polyvinyl chloride (PVC)</v>
      </c>
      <c r="P28" s="5" t="str" cm="1">
        <f t="array" aca="1" ref="P28:T28" ca="1">_xlfn._xlws.FILTER(TRANSPOSE(ls_WHM),_xlfn.CHOOSEROWS(INDIRECT(Factors!$H$10),MATCH(O28,ls_Mat,0))="x","Check WH options")</f>
        <v>Reduce</v>
      </c>
      <c r="Q28" s="5" t="str">
        <f ca="1"/>
        <v>Reuse</v>
      </c>
      <c r="R28" s="5" t="str">
        <f ca="1"/>
        <v>Landfill</v>
      </c>
      <c r="S28" s="5" t="str">
        <f ca="1"/>
        <v>Waste-to-Energy</v>
      </c>
      <c r="T28" s="5" t="str">
        <f ca="1"/>
        <v>Incineration</v>
      </c>
      <c r="U28" s="5"/>
      <c r="V28" s="5"/>
      <c r="W28" s="5"/>
    </row>
    <row r="29" spans="3:23">
      <c r="C29" s="1"/>
      <c r="G29" s="6">
        <v>2</v>
      </c>
      <c r="H29" s="33" t="s">
        <v>599</v>
      </c>
      <c r="N29" s="5" t="str">
        <f t="shared" si="1"/>
        <v>LOOKUPS!P29#</v>
      </c>
      <c r="O29" s="60" t="str">
        <v>Electronics - Generic</v>
      </c>
      <c r="P29" s="5" t="str" cm="1">
        <f t="array" aca="1" ref="P29:U29" ca="1">_xlfn._xlws.FILTER(TRANSPOSE(ls_WHM),_xlfn.CHOOSEROWS(INDIRECT(Factors!$H$10),MATCH(O29,ls_Mat,0))="x","Check WH options")</f>
        <v>Reduce</v>
      </c>
      <c r="Q29" s="5" t="str">
        <f ca="1"/>
        <v>Reuse</v>
      </c>
      <c r="R29" s="5" t="str">
        <f ca="1"/>
        <v>Recycle</v>
      </c>
      <c r="S29" s="5" t="str">
        <f ca="1"/>
        <v>Landfill</v>
      </c>
      <c r="T29" s="5" t="str">
        <f ca="1"/>
        <v>Waste-to-Energy</v>
      </c>
      <c r="U29" s="5" t="str">
        <f ca="1"/>
        <v>Incineration</v>
      </c>
      <c r="V29" s="5"/>
      <c r="W29" s="5"/>
    </row>
    <row r="30" spans="3:23">
      <c r="C30" s="1"/>
      <c r="G30" s="6">
        <v>3</v>
      </c>
      <c r="H30" s="33" t="s">
        <v>600</v>
      </c>
      <c r="N30" s="5" t="str">
        <f t="shared" si="1"/>
        <v>LOOKUPS!P30#</v>
      </c>
      <c r="O30" s="60" t="str">
        <v>E-waste</v>
      </c>
      <c r="P30" s="5" t="str" cm="1">
        <f t="array" aca="1" ref="P30:U30" ca="1">_xlfn._xlws.FILTER(TRANSPOSE(ls_WHM),_xlfn.CHOOSEROWS(INDIRECT(Factors!$H$10),MATCH(O30,ls_Mat,0))="x","Check WH options")</f>
        <v>Reduce</v>
      </c>
      <c r="Q30" s="5" t="str">
        <f ca="1"/>
        <v>Reuse</v>
      </c>
      <c r="R30" s="5" t="str">
        <f ca="1"/>
        <v>Recycle</v>
      </c>
      <c r="S30" s="5" t="str">
        <f ca="1"/>
        <v>Landfill</v>
      </c>
      <c r="T30" s="5" t="str">
        <f ca="1"/>
        <v>Waste-to-Energy</v>
      </c>
      <c r="U30" s="5" t="str">
        <f ca="1"/>
        <v>Incineration</v>
      </c>
      <c r="V30" s="5"/>
      <c r="W30" s="5"/>
    </row>
    <row r="31" spans="3:23">
      <c r="C31" s="1"/>
      <c r="G31" s="6">
        <v>4</v>
      </c>
      <c r="H31" s="33" t="s">
        <v>601</v>
      </c>
      <c r="N31" s="5" t="str">
        <f t="shared" si="1"/>
        <v>LOOKUPS!P31#</v>
      </c>
      <c r="O31" s="60" t="str">
        <v>Batteries</v>
      </c>
      <c r="P31" s="5" t="str" cm="1">
        <f t="array" aca="1" ref="P31:U31" ca="1">_xlfn._xlws.FILTER(TRANSPOSE(ls_WHM),_xlfn.CHOOSEROWS(INDIRECT(Factors!$H$10),MATCH(O31,ls_Mat,0))="x","Check WH options")</f>
        <v>Reduce</v>
      </c>
      <c r="Q31" s="5" t="str">
        <f ca="1"/>
        <v>Reuse</v>
      </c>
      <c r="R31" s="5" t="str">
        <f ca="1"/>
        <v>Recycle</v>
      </c>
      <c r="S31" s="5" t="str">
        <f ca="1"/>
        <v>Landfill</v>
      </c>
      <c r="T31" s="5" t="str">
        <f ca="1"/>
        <v>Waste-to-Energy</v>
      </c>
      <c r="U31" s="5" t="str">
        <f ca="1"/>
        <v>Incineration</v>
      </c>
      <c r="V31" s="5"/>
      <c r="W31" s="5"/>
    </row>
    <row r="32" spans="3:23">
      <c r="C32" s="1"/>
      <c r="N32" s="5" t="str">
        <f t="shared" si="1"/>
        <v>LOOKUPS!P32#</v>
      </c>
      <c r="O32" s="60" t="str">
        <v>Paper - Generic</v>
      </c>
      <c r="P32" s="5" t="str" cm="1">
        <f t="array" aca="1" ref="P32:W32" ca="1">_xlfn._xlws.FILTER(TRANSPOSE(ls_WHM),_xlfn.CHOOSEROWS(INDIRECT(Factors!$H$10),MATCH(O32,ls_Mat,0))="x","Check WH options")</f>
        <v>Reduce</v>
      </c>
      <c r="Q32" s="5" t="str">
        <f ca="1"/>
        <v>Reuse</v>
      </c>
      <c r="R32" s="5" t="str">
        <f ca="1"/>
        <v>Recycle</v>
      </c>
      <c r="S32" s="5" t="str">
        <f ca="1"/>
        <v>Composting</v>
      </c>
      <c r="T32" s="5" t="str">
        <f ca="1"/>
        <v>Anaerobic Digestion</v>
      </c>
      <c r="U32" s="5" t="str">
        <f ca="1"/>
        <v>Landfill</v>
      </c>
      <c r="V32" s="5" t="str">
        <f ca="1"/>
        <v>Waste-to-Energy</v>
      </c>
      <c r="W32" s="5" t="str">
        <f ca="1"/>
        <v>Incineration</v>
      </c>
    </row>
    <row r="33" spans="3:23">
      <c r="C33" s="1"/>
      <c r="N33" s="5" t="str">
        <f t="shared" si="1"/>
        <v>LOOKUPS!P33#</v>
      </c>
      <c r="O33" s="60" t="str">
        <v>Newsprint</v>
      </c>
      <c r="P33" s="5" t="str" cm="1">
        <f t="array" aca="1" ref="P33:V33" ca="1">_xlfn._xlws.FILTER(TRANSPOSE(ls_WHM),_xlfn.CHOOSEROWS(INDIRECT(Factors!$H$10),MATCH(O33,ls_Mat,0))="x","Check WH options")</f>
        <v>Reduce</v>
      </c>
      <c r="Q33" s="5" t="str">
        <f ca="1"/>
        <v>Recycle</v>
      </c>
      <c r="R33" s="5" t="str">
        <f ca="1"/>
        <v>Composting</v>
      </c>
      <c r="S33" s="5" t="str">
        <f ca="1"/>
        <v>Anaerobic Digestion</v>
      </c>
      <c r="T33" s="5" t="str">
        <f ca="1"/>
        <v>Landfill</v>
      </c>
      <c r="U33" s="5" t="str">
        <f ca="1"/>
        <v>Waste-to-Energy</v>
      </c>
      <c r="V33" s="5" t="str">
        <f ca="1"/>
        <v>Incineration</v>
      </c>
      <c r="W33" s="5"/>
    </row>
    <row r="34" spans="3:23">
      <c r="C34" s="1"/>
      <c r="F34" s="1" t="s">
        <v>602</v>
      </c>
      <c r="N34" s="5" t="str">
        <f t="shared" si="1"/>
        <v>LOOKUPS!P34#</v>
      </c>
      <c r="O34" s="60" t="str">
        <v>Corr. Cardboard</v>
      </c>
      <c r="P34" s="5" t="str" cm="1">
        <f t="array" aca="1" ref="P34:W34" ca="1">_xlfn._xlws.FILTER(TRANSPOSE(ls_WHM),_xlfn.CHOOSEROWS(INDIRECT(Factors!$H$10),MATCH(O34,ls_Mat,0))="x","Check WH options")</f>
        <v>Reduce</v>
      </c>
      <c r="Q34" s="5" t="str">
        <f ca="1"/>
        <v>Reuse</v>
      </c>
      <c r="R34" s="5" t="str">
        <f ca="1"/>
        <v>Recycle</v>
      </c>
      <c r="S34" s="5" t="str">
        <f ca="1"/>
        <v>Composting</v>
      </c>
      <c r="T34" s="5" t="str">
        <f ca="1"/>
        <v>Anaerobic Digestion</v>
      </c>
      <c r="U34" s="5" t="str">
        <f ca="1"/>
        <v>Landfill</v>
      </c>
      <c r="V34" s="5" t="str">
        <f ca="1"/>
        <v>Waste-to-Energy</v>
      </c>
      <c r="W34" s="5" t="str">
        <f ca="1"/>
        <v>Incineration</v>
      </c>
    </row>
    <row r="35" spans="3:23" ht="43.2">
      <c r="C35" s="1"/>
      <c r="G35" s="7" t="s">
        <v>570</v>
      </c>
      <c r="H35" s="7" t="s">
        <v>20</v>
      </c>
      <c r="I35" s="7" t="s">
        <v>603</v>
      </c>
      <c r="J35" s="7" t="s">
        <v>604</v>
      </c>
      <c r="N35" s="5" t="str">
        <f t="shared" si="1"/>
        <v>LOOKUPS!P35#</v>
      </c>
      <c r="O35" s="60" t="str">
        <v>Office Paper</v>
      </c>
      <c r="P35" s="5" t="str" cm="1">
        <f t="array" aca="1" ref="P35:V35" ca="1">_xlfn._xlws.FILTER(TRANSPOSE(ls_WHM),_xlfn.CHOOSEROWS(INDIRECT(Factors!$H$10),MATCH(O35,ls_Mat,0))="x","Check WH options")</f>
        <v>Reduce</v>
      </c>
      <c r="Q35" s="5" t="str">
        <f ca="1"/>
        <v>Recycle</v>
      </c>
      <c r="R35" s="5" t="str">
        <f ca="1"/>
        <v>Composting</v>
      </c>
      <c r="S35" s="5" t="str">
        <f ca="1"/>
        <v>Anaerobic Digestion</v>
      </c>
      <c r="T35" s="5" t="str">
        <f ca="1"/>
        <v>Landfill</v>
      </c>
      <c r="U35" s="5" t="str">
        <f ca="1"/>
        <v>Waste-to-Energy</v>
      </c>
      <c r="V35" s="5" t="str">
        <f ca="1"/>
        <v>Incineration</v>
      </c>
      <c r="W35" s="5"/>
    </row>
    <row r="36" spans="3:23" ht="30" customHeight="1">
      <c r="C36" s="1"/>
      <c r="G36" s="6" cm="1">
        <f t="array" ref="G36:G44">_xlfn.SEQUENCE(COUNTA(ls_Transport))</f>
        <v>1</v>
      </c>
      <c r="H36" s="5" t="s">
        <v>307</v>
      </c>
      <c r="I36" s="6" t="s">
        <v>605</v>
      </c>
      <c r="J36" s="5">
        <v>1.8380000000000001E-2</v>
      </c>
      <c r="N36" s="5" t="str">
        <f t="shared" si="1"/>
        <v>LOOKUPS!P36#</v>
      </c>
      <c r="O36" s="60" t="str">
        <v>Magazines</v>
      </c>
      <c r="P36" s="5" t="str" cm="1">
        <f t="array" aca="1" ref="P36:V36" ca="1">_xlfn._xlws.FILTER(TRANSPOSE(ls_WHM),_xlfn.CHOOSEROWS(INDIRECT(Factors!$H$10),MATCH(O36,ls_Mat,0))="x","Check WH options")</f>
        <v>Reduce</v>
      </c>
      <c r="Q36" s="5" t="str">
        <f ca="1"/>
        <v>Recycle</v>
      </c>
      <c r="R36" s="5" t="str">
        <f ca="1"/>
        <v>Composting</v>
      </c>
      <c r="S36" s="5" t="str">
        <f ca="1"/>
        <v>Anaerobic Digestion</v>
      </c>
      <c r="T36" s="5" t="str">
        <f ca="1"/>
        <v>Landfill</v>
      </c>
      <c r="U36" s="5" t="str">
        <f ca="1"/>
        <v>Waste-to-Energy</v>
      </c>
      <c r="V36" s="5" t="str">
        <f ca="1"/>
        <v>Incineration</v>
      </c>
      <c r="W36" s="5"/>
    </row>
    <row r="37" spans="3:23" ht="30" customHeight="1">
      <c r="C37" s="1"/>
      <c r="G37" s="6">
        <v>2</v>
      </c>
      <c r="H37" s="5" t="s">
        <v>302</v>
      </c>
      <c r="I37" s="6" t="s">
        <v>606</v>
      </c>
      <c r="J37" s="5">
        <v>9.0770000000000003E-2</v>
      </c>
      <c r="N37" s="5" t="str">
        <f t="shared" si="1"/>
        <v>LOOKUPS!P37#</v>
      </c>
      <c r="O37" s="60" t="str">
        <v>3rd Class Mail</v>
      </c>
      <c r="P37" s="5" t="str" cm="1">
        <f t="array" aca="1" ref="P37:V37" ca="1">_xlfn._xlws.FILTER(TRANSPOSE(ls_WHM),_xlfn.CHOOSEROWS(INDIRECT(Factors!$H$10),MATCH(O37,ls_Mat,0))="x","Check WH options")</f>
        <v>Reduce</v>
      </c>
      <c r="Q37" s="5" t="str">
        <f ca="1"/>
        <v>Recycle</v>
      </c>
      <c r="R37" s="5" t="str">
        <f ca="1"/>
        <v>Composting</v>
      </c>
      <c r="S37" s="5" t="str">
        <f ca="1"/>
        <v>Anaerobic Digestion</v>
      </c>
      <c r="T37" s="5" t="str">
        <f ca="1"/>
        <v>Landfill</v>
      </c>
      <c r="U37" s="5" t="str">
        <f ca="1"/>
        <v>Waste-to-Energy</v>
      </c>
      <c r="V37" s="5" t="str">
        <f ca="1"/>
        <v>Incineration</v>
      </c>
      <c r="W37" s="5"/>
    </row>
    <row r="38" spans="3:23" ht="30" customHeight="1">
      <c r="C38" s="1"/>
      <c r="G38" s="5">
        <v>3</v>
      </c>
      <c r="H38" s="5" t="s">
        <v>304</v>
      </c>
      <c r="I38" s="6" t="s">
        <v>607</v>
      </c>
      <c r="J38" s="5">
        <v>8.8590000000000002E-2</v>
      </c>
      <c r="N38" s="5" t="str">
        <f t="shared" si="1"/>
        <v>LOOKUPS!P38#</v>
      </c>
      <c r="O38" s="60" t="str">
        <v>Folding Containers</v>
      </c>
      <c r="P38" s="5" t="str" cm="1">
        <f t="array" aca="1" ref="P38:V38" ca="1">_xlfn._xlws.FILTER(TRANSPOSE(ls_WHM),_xlfn.CHOOSEROWS(INDIRECT(Factors!$H$10),MATCH(O38,ls_Mat,0))="x","Check WH options")</f>
        <v>Reduce</v>
      </c>
      <c r="Q38" s="5" t="str">
        <f ca="1"/>
        <v>Recycle</v>
      </c>
      <c r="R38" s="5" t="str">
        <f ca="1"/>
        <v>Composting</v>
      </c>
      <c r="S38" s="5" t="str">
        <f ca="1"/>
        <v>Anaerobic Digestion</v>
      </c>
      <c r="T38" s="5" t="str">
        <f ca="1"/>
        <v>Landfill</v>
      </c>
      <c r="U38" s="5" t="str">
        <f ca="1"/>
        <v>Waste-to-Energy</v>
      </c>
      <c r="V38" s="5" t="str">
        <f ca="1"/>
        <v>Incineration</v>
      </c>
      <c r="W38" s="5"/>
    </row>
    <row r="39" spans="3:23" ht="30" customHeight="1">
      <c r="C39" s="1"/>
      <c r="G39" s="5">
        <v>4</v>
      </c>
      <c r="H39" s="5" t="s">
        <v>305</v>
      </c>
      <c r="I39" s="6" t="s">
        <v>608</v>
      </c>
      <c r="J39" s="5">
        <v>5.9139999999999998E-2</v>
      </c>
      <c r="N39" s="5" t="str">
        <f t="shared" si="1"/>
        <v>LOOKUPS!P39#</v>
      </c>
      <c r="O39" s="60" t="str">
        <v>Paper Bags</v>
      </c>
      <c r="P39" s="5" t="str" cm="1">
        <f t="array" aca="1" ref="P39:V39" ca="1">_xlfn._xlws.FILTER(TRANSPOSE(ls_WHM),_xlfn.CHOOSEROWS(INDIRECT(Factors!$H$10),MATCH(O39,ls_Mat,0))="x","Check WH options")</f>
        <v>Reduce</v>
      </c>
      <c r="Q39" s="5" t="str">
        <f ca="1"/>
        <v>Recycle</v>
      </c>
      <c r="R39" s="5" t="str">
        <f ca="1"/>
        <v>Composting</v>
      </c>
      <c r="S39" s="5" t="str">
        <f ca="1"/>
        <v>Anaerobic Digestion</v>
      </c>
      <c r="T39" s="5" t="str">
        <f ca="1"/>
        <v>Landfill</v>
      </c>
      <c r="U39" s="5" t="str">
        <f ca="1"/>
        <v>Waste-to-Energy</v>
      </c>
      <c r="V39" s="5" t="str">
        <f ca="1"/>
        <v>Incineration</v>
      </c>
      <c r="W39" s="5"/>
    </row>
    <row r="40" spans="3:23" ht="30" customHeight="1">
      <c r="C40" s="1"/>
      <c r="G40" s="5">
        <v>5</v>
      </c>
      <c r="H40" s="5" t="s">
        <v>303</v>
      </c>
      <c r="I40" s="6" t="s">
        <v>609</v>
      </c>
      <c r="J40" s="5">
        <v>8.3680000000000004E-2</v>
      </c>
      <c r="N40" s="5" t="str">
        <f t="shared" si="1"/>
        <v>LOOKUPS!P40#</v>
      </c>
      <c r="O40" s="60" t="str">
        <v>Paper – Non-Recyclable</v>
      </c>
      <c r="P40" s="5" t="str" cm="1">
        <f t="array" aca="1" ref="P40:U40" ca="1">_xlfn._xlws.FILTER(TRANSPOSE(ls_WHM),_xlfn.CHOOSEROWS(INDIRECT(Factors!$H$10),MATCH(O40,ls_Mat,0))="x","Check WH options")</f>
        <v>Reduce</v>
      </c>
      <c r="Q40" s="5" t="str">
        <f ca="1"/>
        <v>Composting</v>
      </c>
      <c r="R40" s="5" t="str">
        <f ca="1"/>
        <v>Anaerobic Digestion</v>
      </c>
      <c r="S40" s="5" t="str">
        <f ca="1"/>
        <v>Landfill</v>
      </c>
      <c r="T40" s="5" t="str">
        <f ca="1"/>
        <v>Waste-to-Energy</v>
      </c>
      <c r="U40" s="5" t="str">
        <f ca="1"/>
        <v>Incineration</v>
      </c>
      <c r="V40" s="5"/>
      <c r="W40" s="5"/>
    </row>
    <row r="41" spans="3:23" ht="30" customHeight="1">
      <c r="C41" s="1"/>
      <c r="G41" s="5">
        <v>6</v>
      </c>
      <c r="H41" s="5" t="s">
        <v>10193</v>
      </c>
      <c r="I41" s="6" t="s">
        <v>610</v>
      </c>
      <c r="J41" s="5">
        <v>5.5100000000000001E-3</v>
      </c>
      <c r="N41" s="5" t="str">
        <f t="shared" si="1"/>
        <v>LOOKUPS!P41#</v>
      </c>
      <c r="O41" s="60" t="str">
        <v>Compostable Food Service Ware</v>
      </c>
      <c r="P41" s="5" t="str" cm="1">
        <f t="array" aca="1" ref="P41:U41" ca="1">_xlfn._xlws.FILTER(TRANSPOSE(ls_WHM),_xlfn.CHOOSEROWS(INDIRECT(Factors!$H$10),MATCH(O41,ls_Mat,0))="x","Check WH options")</f>
        <v>Reduce</v>
      </c>
      <c r="Q41" s="5" t="str">
        <f ca="1"/>
        <v>Composting</v>
      </c>
      <c r="R41" s="5" t="str">
        <f ca="1"/>
        <v>Anaerobic Digestion</v>
      </c>
      <c r="S41" s="5" t="str">
        <f ca="1"/>
        <v>Landfill</v>
      </c>
      <c r="T41" s="5" t="str">
        <f ca="1"/>
        <v>Waste-to-Energy</v>
      </c>
      <c r="U41" s="5" t="str">
        <f ca="1"/>
        <v>Incineration</v>
      </c>
      <c r="V41" s="5"/>
      <c r="W41" s="5"/>
    </row>
    <row r="42" spans="3:23" ht="30" customHeight="1">
      <c r="C42" s="1"/>
      <c r="G42" s="5">
        <v>7</v>
      </c>
      <c r="H42" s="5" t="s">
        <v>309</v>
      </c>
      <c r="I42" s="6" t="s">
        <v>611</v>
      </c>
      <c r="J42" s="5">
        <v>0.12509999999999999</v>
      </c>
      <c r="N42" s="5" t="str">
        <f t="shared" si="1"/>
        <v>LOOKUPS!P42#</v>
      </c>
      <c r="O42" s="60" t="str">
        <v>Metals - Generic</v>
      </c>
      <c r="P42" s="5" t="str" cm="1">
        <f t="array" aca="1" ref="P42:U42" ca="1">_xlfn._xlws.FILTER(TRANSPOSE(ls_WHM),_xlfn.CHOOSEROWS(INDIRECT(Factors!$H$10),MATCH(O42,ls_Mat,0))="x","Check WH options")</f>
        <v>Reduce</v>
      </c>
      <c r="Q42" s="5" t="str">
        <f ca="1"/>
        <v>Reuse</v>
      </c>
      <c r="R42" s="5" t="str">
        <f ca="1"/>
        <v>Recycle</v>
      </c>
      <c r="S42" s="5" t="str">
        <f ca="1"/>
        <v>Landfill</v>
      </c>
      <c r="T42" s="5" t="str">
        <f ca="1"/>
        <v>Waste-to-Energy</v>
      </c>
      <c r="U42" s="5" t="str">
        <f ca="1"/>
        <v>Incineration</v>
      </c>
      <c r="V42" s="5"/>
      <c r="W42" s="5"/>
    </row>
    <row r="43" spans="3:23" ht="30" customHeight="1">
      <c r="C43" s="1"/>
      <c r="G43" s="5">
        <v>8</v>
      </c>
      <c r="H43" s="5" t="s">
        <v>308</v>
      </c>
      <c r="I43" s="6" t="s">
        <v>612</v>
      </c>
      <c r="J43" s="5">
        <v>0.11717</v>
      </c>
      <c r="N43" s="5" t="str">
        <f t="shared" si="1"/>
        <v>LOOKUPS!P43#</v>
      </c>
      <c r="O43" s="60" t="str">
        <v>Ferrous Cans</v>
      </c>
      <c r="P43" s="5" t="str" cm="1">
        <f t="array" aca="1" ref="P43:U43" ca="1">_xlfn._xlws.FILTER(TRANSPOSE(ls_WHM),_xlfn.CHOOSEROWS(INDIRECT(Factors!$H$10),MATCH(O43,ls_Mat,0))="x","Check WH options")</f>
        <v>Reduce</v>
      </c>
      <c r="Q43" s="5" t="str">
        <f ca="1"/>
        <v>Reuse</v>
      </c>
      <c r="R43" s="5" t="str">
        <f ca="1"/>
        <v>Recycle</v>
      </c>
      <c r="S43" s="5" t="str">
        <f ca="1"/>
        <v>Landfill</v>
      </c>
      <c r="T43" s="5" t="str">
        <f ca="1"/>
        <v>Waste-to-Energy</v>
      </c>
      <c r="U43" s="5" t="str">
        <f ca="1"/>
        <v>Incineration</v>
      </c>
      <c r="V43" s="5"/>
      <c r="W43" s="5"/>
    </row>
    <row r="44" spans="3:23" ht="30" customHeight="1">
      <c r="C44" s="1"/>
      <c r="G44" s="5">
        <v>9</v>
      </c>
      <c r="H44" s="5" t="s">
        <v>306</v>
      </c>
      <c r="I44" s="6" t="s">
        <v>613</v>
      </c>
      <c r="J44" s="5">
        <v>1.4959999999999999E-2</v>
      </c>
      <c r="N44" s="5" t="str">
        <f t="shared" si="1"/>
        <v>LOOKUPS!P44#</v>
      </c>
      <c r="O44" s="60" t="str">
        <v>Ferrous Metal</v>
      </c>
      <c r="P44" s="5" t="str" cm="1">
        <f t="array" aca="1" ref="P44:U44" ca="1">_xlfn._xlws.FILTER(TRANSPOSE(ls_WHM),_xlfn.CHOOSEROWS(INDIRECT(Factors!$H$10),MATCH(O44,ls_Mat,0))="x","Check WH options")</f>
        <v>Reduce</v>
      </c>
      <c r="Q44" s="5" t="str">
        <f ca="1"/>
        <v>Reuse</v>
      </c>
      <c r="R44" s="5" t="str">
        <f ca="1"/>
        <v>Recycle</v>
      </c>
      <c r="S44" s="5" t="str">
        <f ca="1"/>
        <v>Landfill</v>
      </c>
      <c r="T44" s="5" t="str">
        <f ca="1"/>
        <v>Waste-to-Energy</v>
      </c>
      <c r="U44" s="5" t="str">
        <f ca="1"/>
        <v>Incineration</v>
      </c>
      <c r="V44" s="5"/>
      <c r="W44" s="5"/>
    </row>
    <row r="45" spans="3:23">
      <c r="C45" s="1"/>
      <c r="N45" s="5" t="str">
        <f t="shared" si="1"/>
        <v>LOOKUPS!P45#</v>
      </c>
      <c r="O45" s="60" t="str">
        <v>Aluminum Cans</v>
      </c>
      <c r="P45" s="5" t="str" cm="1">
        <f t="array" aca="1" ref="P45:U45" ca="1">_xlfn._xlws.FILTER(TRANSPOSE(ls_WHM),_xlfn.CHOOSEROWS(INDIRECT(Factors!$H$10),MATCH(O45,ls_Mat,0))="x","Check WH options")</f>
        <v>Reduce</v>
      </c>
      <c r="Q45" s="5" t="str">
        <f ca="1"/>
        <v>Reuse</v>
      </c>
      <c r="R45" s="5" t="str">
        <f ca="1"/>
        <v>Recycle</v>
      </c>
      <c r="S45" s="5" t="str">
        <f ca="1"/>
        <v>Landfill</v>
      </c>
      <c r="T45" s="5" t="str">
        <f ca="1"/>
        <v>Waste-to-Energy</v>
      </c>
      <c r="U45" s="5" t="str">
        <f ca="1"/>
        <v>Incineration</v>
      </c>
      <c r="V45" s="5"/>
      <c r="W45" s="5"/>
    </row>
    <row r="46" spans="3:23">
      <c r="C46" s="1"/>
      <c r="N46" s="5" t="str">
        <f t="shared" si="1"/>
        <v>LOOKUPS!P46#</v>
      </c>
      <c r="O46" s="60" t="str">
        <v>Aluminum Foil</v>
      </c>
      <c r="P46" s="5" t="str" cm="1">
        <f t="array" aca="1" ref="P46:S46" ca="1">_xlfn._xlws.FILTER(TRANSPOSE(ls_WHM),_xlfn.CHOOSEROWS(INDIRECT(Factors!$H$10),MATCH(O46,ls_Mat,0))="x","Check WH options")</f>
        <v>Reduce</v>
      </c>
      <c r="Q46" s="5" t="str">
        <f ca="1"/>
        <v>Landfill</v>
      </c>
      <c r="R46" s="5" t="str">
        <f ca="1"/>
        <v>Waste-to-Energy</v>
      </c>
      <c r="S46" s="5" t="str">
        <f ca="1"/>
        <v>Incineration</v>
      </c>
      <c r="T46" s="5"/>
      <c r="U46" s="5"/>
      <c r="V46" s="5"/>
      <c r="W46" s="5"/>
    </row>
    <row r="47" spans="3:23">
      <c r="F47" s="1" t="s">
        <v>614</v>
      </c>
      <c r="N47" s="5" t="str">
        <f t="shared" si="1"/>
        <v>LOOKUPS!P47#</v>
      </c>
      <c r="O47" s="60" t="str">
        <v>Other Aluminum</v>
      </c>
      <c r="P47" s="5" t="str" cm="1">
        <f t="array" aca="1" ref="P47:U47" ca="1">_xlfn._xlws.FILTER(TRANSPOSE(ls_WHM),_xlfn.CHOOSEROWS(INDIRECT(Factors!$H$10),MATCH(O47,ls_Mat,0))="x","Check WH options")</f>
        <v>Reduce</v>
      </c>
      <c r="Q47" s="5" t="str">
        <f ca="1"/>
        <v>Reuse</v>
      </c>
      <c r="R47" s="5" t="str">
        <f ca="1"/>
        <v>Recycle</v>
      </c>
      <c r="S47" s="5" t="str">
        <f ca="1"/>
        <v>Landfill</v>
      </c>
      <c r="T47" s="5" t="str">
        <f ca="1"/>
        <v>Waste-to-Energy</v>
      </c>
      <c r="U47" s="5" t="str">
        <f ca="1"/>
        <v>Incineration</v>
      </c>
      <c r="V47" s="5"/>
      <c r="W47" s="5"/>
    </row>
    <row r="48" spans="3:23">
      <c r="G48" s="8" t="s">
        <v>570</v>
      </c>
      <c r="H48" s="8" t="s">
        <v>615</v>
      </c>
      <c r="I48" s="8" t="s">
        <v>16</v>
      </c>
      <c r="N48" s="5" t="str">
        <f t="shared" si="1"/>
        <v>LOOKUPS!P48#</v>
      </c>
      <c r="O48" s="60" t="str">
        <v>Glass</v>
      </c>
      <c r="P48" s="5" t="str" cm="1">
        <f t="array" aca="1" ref="P48:V48" ca="1">_xlfn._xlws.FILTER(TRANSPOSE(ls_WHM),_xlfn.CHOOSEROWS(INDIRECT(Factors!$H$10),MATCH(O48,ls_Mat,0))="x","Check WH options")</f>
        <v>Reduce</v>
      </c>
      <c r="Q48" s="5" t="str">
        <f ca="1"/>
        <v>Reuse</v>
      </c>
      <c r="R48" s="5" t="str">
        <f ca="1"/>
        <v>Recycle</v>
      </c>
      <c r="S48" s="5" t="str">
        <f ca="1"/>
        <v>Composting</v>
      </c>
      <c r="T48" s="5" t="str">
        <f ca="1"/>
        <v>Landfill</v>
      </c>
      <c r="U48" s="5" t="str">
        <f ca="1"/>
        <v>Waste-to-Energy</v>
      </c>
      <c r="V48" s="5" t="str">
        <f ca="1"/>
        <v>Incineration</v>
      </c>
      <c r="W48" s="5"/>
    </row>
    <row r="49" spans="6:23">
      <c r="G49" s="5">
        <v>1</v>
      </c>
      <c r="H49" s="2" t="s">
        <v>409</v>
      </c>
      <c r="I49" s="5" t="s">
        <v>409</v>
      </c>
      <c r="N49" s="5" t="str">
        <f t="shared" si="1"/>
        <v>LOOKUPS!P49#</v>
      </c>
      <c r="O49" s="60" t="str">
        <v>Glass – Brown</v>
      </c>
      <c r="P49" s="5" t="str" cm="1">
        <f t="array" aca="1" ref="P49:U49" ca="1">_xlfn._xlws.FILTER(TRANSPOSE(ls_WHM),_xlfn.CHOOSEROWS(INDIRECT(Factors!$H$10),MATCH(O49,ls_Mat,0))="x","Check WH options")</f>
        <v>Reduce</v>
      </c>
      <c r="Q49" s="5" t="str">
        <f ca="1"/>
        <v>Reuse</v>
      </c>
      <c r="R49" s="5" t="str">
        <f ca="1"/>
        <v>Recycle</v>
      </c>
      <c r="S49" s="5" t="str">
        <f ca="1"/>
        <v>Landfill</v>
      </c>
      <c r="T49" s="5" t="str">
        <f ca="1"/>
        <v>Waste-to-Energy</v>
      </c>
      <c r="U49" s="5" t="str">
        <f ca="1"/>
        <v>Incineration</v>
      </c>
      <c r="V49" s="5"/>
      <c r="W49" s="5"/>
    </row>
    <row r="50" spans="6:23">
      <c r="G50" s="5">
        <v>2</v>
      </c>
      <c r="H50" s="2" t="s">
        <v>616</v>
      </c>
      <c r="I50" s="5" t="s">
        <v>617</v>
      </c>
      <c r="N50" s="5" t="str">
        <f t="shared" si="1"/>
        <v>LOOKUPS!P50#</v>
      </c>
      <c r="O50" s="60" t="str">
        <v>Glass – Green</v>
      </c>
      <c r="P50" s="5" t="str" cm="1">
        <f t="array" aca="1" ref="P50:U50" ca="1">_xlfn._xlws.FILTER(TRANSPOSE(ls_WHM),_xlfn.CHOOSEROWS(INDIRECT(Factors!$H$10),MATCH(O50,ls_Mat,0))="x","Check WH options")</f>
        <v>Reduce</v>
      </c>
      <c r="Q50" s="5" t="str">
        <f ca="1"/>
        <v>Reuse</v>
      </c>
      <c r="R50" s="5" t="str">
        <f ca="1"/>
        <v>Recycle</v>
      </c>
      <c r="S50" s="5" t="str">
        <f ca="1"/>
        <v>Landfill</v>
      </c>
      <c r="T50" s="5" t="str">
        <f ca="1"/>
        <v>Waste-to-Energy</v>
      </c>
      <c r="U50" s="5" t="str">
        <f ca="1"/>
        <v>Incineration</v>
      </c>
      <c r="V50" s="5"/>
      <c r="W50" s="5"/>
    </row>
    <row r="51" spans="6:23">
      <c r="G51" s="5">
        <v>3</v>
      </c>
      <c r="H51" s="2" t="s">
        <v>618</v>
      </c>
      <c r="I51" s="5" t="s">
        <v>216</v>
      </c>
      <c r="N51" s="5" t="str">
        <f t="shared" si="1"/>
        <v>LOOKUPS!P51#</v>
      </c>
      <c r="O51" s="60" t="str">
        <v>Glass – Clear</v>
      </c>
      <c r="P51" s="5" t="str" cm="1">
        <f t="array" aca="1" ref="P51:U51" ca="1">_xlfn._xlws.FILTER(TRANSPOSE(ls_WHM),_xlfn.CHOOSEROWS(INDIRECT(Factors!$H$10),MATCH(O51,ls_Mat,0))="x","Check WH options")</f>
        <v>Reduce</v>
      </c>
      <c r="Q51" s="5" t="str">
        <f ca="1"/>
        <v>Reuse</v>
      </c>
      <c r="R51" s="5" t="str">
        <f ca="1"/>
        <v>Recycle</v>
      </c>
      <c r="S51" s="5" t="str">
        <f ca="1"/>
        <v>Landfill</v>
      </c>
      <c r="T51" s="5" t="str">
        <f ca="1"/>
        <v>Waste-to-Energy</v>
      </c>
      <c r="U51" s="5" t="str">
        <f ca="1"/>
        <v>Incineration</v>
      </c>
      <c r="V51" s="5"/>
      <c r="W51" s="5"/>
    </row>
    <row r="52" spans="6:23">
      <c r="G52" s="5">
        <v>4</v>
      </c>
      <c r="H52" s="2" t="s">
        <v>619</v>
      </c>
      <c r="I52" s="5" t="s">
        <v>620</v>
      </c>
      <c r="N52" s="5" t="str">
        <f t="shared" si="1"/>
        <v>LOOKUPS!P52#</v>
      </c>
      <c r="O52" s="60" t="str">
        <v>Mixed Glass</v>
      </c>
      <c r="P52" s="5" t="str" cm="1">
        <f t="array" aca="1" ref="P52:U52" ca="1">_xlfn._xlws.FILTER(TRANSPOSE(ls_WHM),_xlfn.CHOOSEROWS(INDIRECT(Factors!$H$10),MATCH(O52,ls_Mat,0))="x","Check WH options")</f>
        <v>Reduce</v>
      </c>
      <c r="Q52" s="5" t="str">
        <f ca="1"/>
        <v>Reuse</v>
      </c>
      <c r="R52" s="5" t="str">
        <f ca="1"/>
        <v>Recycle</v>
      </c>
      <c r="S52" s="5" t="str">
        <f ca="1"/>
        <v>Landfill</v>
      </c>
      <c r="T52" s="5" t="str">
        <f ca="1"/>
        <v>Waste-to-Energy</v>
      </c>
      <c r="U52" s="5" t="str">
        <f ca="1"/>
        <v>Incineration</v>
      </c>
      <c r="V52" s="5"/>
      <c r="W52" s="5"/>
    </row>
    <row r="53" spans="6:23">
      <c r="G53" s="5">
        <v>5</v>
      </c>
      <c r="H53" s="2" t="s">
        <v>405</v>
      </c>
      <c r="I53" s="5" t="s">
        <v>621</v>
      </c>
      <c r="N53" s="5" t="str">
        <f t="shared" si="1"/>
        <v>LOOKUPS!P53#</v>
      </c>
      <c r="O53" s="60" t="str">
        <v>Glass – Non-Recyclable</v>
      </c>
      <c r="P53" s="5" t="str" cm="1">
        <f t="array" aca="1" ref="P53:T53" ca="1">_xlfn._xlws.FILTER(TRANSPOSE(ls_WHM),_xlfn.CHOOSEROWS(INDIRECT(Factors!$H$10),MATCH(O53,ls_Mat,0))="x","Check WH options")</f>
        <v>Reduce</v>
      </c>
      <c r="Q53" s="5" t="str">
        <f ca="1"/>
        <v>Reuse</v>
      </c>
      <c r="R53" s="5" t="str">
        <f ca="1"/>
        <v>Landfill</v>
      </c>
      <c r="S53" s="5" t="str">
        <f ca="1"/>
        <v>Waste-to-Energy</v>
      </c>
      <c r="T53" s="5" t="str">
        <f ca="1"/>
        <v>Incineration</v>
      </c>
      <c r="U53" s="5"/>
      <c r="V53" s="5"/>
      <c r="W53" s="5"/>
    </row>
    <row r="54" spans="6:23">
      <c r="N54" s="5" t="str">
        <f t="shared" si="1"/>
        <v>LOOKUPS!P54#</v>
      </c>
      <c r="O54" s="60" t="str">
        <v>Mixed Organics</v>
      </c>
      <c r="P54" s="5" t="str" cm="1">
        <f t="array" aca="1" ref="P54:U54" ca="1">_xlfn._xlws.FILTER(TRANSPOSE(ls_WHM),_xlfn.CHOOSEROWS(INDIRECT(Factors!$H$10),MATCH(O54,ls_Mat,0))="x","Check WH options")</f>
        <v>Reduce</v>
      </c>
      <c r="Q54" s="5" t="str">
        <f ca="1"/>
        <v>Composting</v>
      </c>
      <c r="R54" s="5" t="str">
        <f ca="1"/>
        <v>Anaerobic Digestion</v>
      </c>
      <c r="S54" s="5" t="str">
        <f ca="1"/>
        <v>Landfill</v>
      </c>
      <c r="T54" s="5" t="str">
        <f ca="1"/>
        <v>Waste-to-Energy</v>
      </c>
      <c r="U54" s="5" t="str">
        <f ca="1"/>
        <v>Incineration</v>
      </c>
      <c r="V54" s="5"/>
      <c r="W54" s="5"/>
    </row>
    <row r="55" spans="6:23">
      <c r="N55" s="5" t="str">
        <f t="shared" si="1"/>
        <v>LOOKUPS!P55#</v>
      </c>
      <c r="O55" s="60" t="str">
        <v>Mixed</v>
      </c>
      <c r="P55" s="5" t="str" cm="1">
        <f t="array" aca="1" ref="P55:T55" ca="1">_xlfn._xlws.FILTER(TRANSPOSE(ls_WHM),_xlfn.CHOOSEROWS(INDIRECT(Factors!$H$10),MATCH(O55,ls_Mat,0))="x","Check WH options")</f>
        <v>Reduce</v>
      </c>
      <c r="Q55" s="5" t="str">
        <f ca="1"/>
        <v>Reuse</v>
      </c>
      <c r="R55" s="5" t="str">
        <f ca="1"/>
        <v>Landfill</v>
      </c>
      <c r="S55" s="5" t="str">
        <f ca="1"/>
        <v>Waste-to-Energy</v>
      </c>
      <c r="T55" s="5" t="str">
        <f ca="1"/>
        <v>Incineration</v>
      </c>
      <c r="U55" s="5"/>
      <c r="V55" s="5"/>
      <c r="W55" s="5"/>
    </row>
    <row r="56" spans="6:23">
      <c r="F56" s="1" t="s">
        <v>622</v>
      </c>
      <c r="N56" s="5" t="str">
        <f t="shared" si="1"/>
        <v>LOOKUPS!P56#</v>
      </c>
      <c r="O56" s="60" t="str">
        <v>Mixed Inorganics</v>
      </c>
      <c r="P56" s="5" t="str" cm="1">
        <f t="array" aca="1" ref="P56:S56" ca="1">_xlfn._xlws.FILTER(TRANSPOSE(ls_WHM),_xlfn.CHOOSEROWS(INDIRECT(Factors!$H$10),MATCH(O56,ls_Mat,0))="x","Check WH options")</f>
        <v>Reduce</v>
      </c>
      <c r="Q56" s="5" t="str">
        <f ca="1"/>
        <v>Landfill</v>
      </c>
      <c r="R56" s="5" t="str">
        <f ca="1"/>
        <v>Waste-to-Energy</v>
      </c>
      <c r="S56" s="5" t="str">
        <f ca="1"/>
        <v>Incineration</v>
      </c>
      <c r="T56" s="5"/>
      <c r="U56" s="5"/>
      <c r="V56" s="5"/>
      <c r="W56" s="5"/>
    </row>
    <row r="57" spans="6:23">
      <c r="F57" s="31"/>
      <c r="G57" s="8" t="s">
        <v>570</v>
      </c>
      <c r="H57" s="7" t="s">
        <v>623</v>
      </c>
      <c r="I57" s="8" t="s">
        <v>16</v>
      </c>
      <c r="N57" s="5" t="str">
        <f t="shared" si="1"/>
        <v>LOOKUPS!P57#</v>
      </c>
      <c r="O57" s="60" t="str">
        <v>Mixed Municipal Solid Waste</v>
      </c>
      <c r="P57" s="5" t="str" cm="1">
        <f t="array" aca="1" ref="P57:U57" ca="1">_xlfn._xlws.FILTER(TRANSPOSE(ls_WHM),_xlfn.CHOOSEROWS(INDIRECT(Factors!$H$10),MATCH(O57,ls_Mat,0))="x","Check WH options")</f>
        <v>Reduce</v>
      </c>
      <c r="Q57" s="5" t="str">
        <f ca="1"/>
        <v>Composting</v>
      </c>
      <c r="R57" s="5" t="str">
        <f ca="1"/>
        <v>Anaerobic Digestion</v>
      </c>
      <c r="S57" s="5" t="str">
        <f ca="1"/>
        <v>Landfill</v>
      </c>
      <c r="T57" s="5" t="str">
        <f ca="1"/>
        <v>Waste-to-Energy</v>
      </c>
      <c r="U57" s="5" t="str">
        <f ca="1"/>
        <v>Incineration</v>
      </c>
      <c r="V57" s="5"/>
      <c r="W57" s="5"/>
    </row>
    <row r="58" spans="6:23">
      <c r="G58" s="5">
        <v>1</v>
      </c>
      <c r="H58" s="2" t="s">
        <v>624</v>
      </c>
      <c r="I58" s="5" t="s">
        <v>625</v>
      </c>
      <c r="N58" s="5" t="str">
        <f t="shared" si="1"/>
        <v>LOOKUPS!P58#</v>
      </c>
      <c r="O58" s="60" t="str">
        <v>Mixed Plastics</v>
      </c>
      <c r="P58" s="5" t="str" cm="1">
        <f t="array" aca="1" ref="P58:T58" ca="1">_xlfn._xlws.FILTER(TRANSPOSE(ls_WHM),_xlfn.CHOOSEROWS(INDIRECT(Factors!$H$10),MATCH(O58,ls_Mat,0))="x","Check WH options")</f>
        <v>Reduce</v>
      </c>
      <c r="Q58" s="5" t="str">
        <f ca="1"/>
        <v>Recycle</v>
      </c>
      <c r="R58" s="5" t="str">
        <f ca="1"/>
        <v>Landfill</v>
      </c>
      <c r="S58" s="5" t="str">
        <f ca="1"/>
        <v>Waste-to-Energy</v>
      </c>
      <c r="T58" s="5" t="str">
        <f ca="1"/>
        <v>Incineration</v>
      </c>
      <c r="U58" s="5"/>
      <c r="V58" s="5"/>
      <c r="W58" s="5"/>
    </row>
    <row r="59" spans="6:23">
      <c r="G59" s="5">
        <v>2</v>
      </c>
      <c r="H59" s="2" t="s">
        <v>626</v>
      </c>
      <c r="I59" s="5" t="s">
        <v>627</v>
      </c>
      <c r="N59" s="5" t="str">
        <f>_xlfn.CONCAT("LOOKUPS!",ADDRESS(ROW(P93),COLUMN(P93),4),"#")</f>
        <v>LOOKUPS!P93#</v>
      </c>
      <c r="O59" s="60" t="str">
        <v>Mixed Paper</v>
      </c>
      <c r="P59" s="5" t="str" cm="1">
        <f t="array" aca="1" ref="P59:V59" ca="1">_xlfn._xlws.FILTER(TRANSPOSE(ls_WHM),_xlfn.CHOOSEROWS(INDIRECT(Factors!$H$10),MATCH(O59,ls_Mat,0))="x","Check WH options")</f>
        <v>Reduce</v>
      </c>
      <c r="Q59" s="5" t="str">
        <f ca="1"/>
        <v>Recycle</v>
      </c>
      <c r="R59" s="5" t="str">
        <f ca="1"/>
        <v>Composting</v>
      </c>
      <c r="S59" s="5" t="str">
        <f ca="1"/>
        <v>Anaerobic Digestion</v>
      </c>
      <c r="T59" s="5" t="str">
        <f ca="1"/>
        <v>Landfill</v>
      </c>
      <c r="U59" s="5" t="str">
        <f ca="1"/>
        <v>Waste-to-Energy</v>
      </c>
      <c r="V59" s="5" t="str">
        <f ca="1"/>
        <v>Incineration</v>
      </c>
      <c r="W59" s="5"/>
    </row>
    <row r="60" spans="6:23">
      <c r="G60" s="5">
        <v>3</v>
      </c>
      <c r="H60" s="2" t="s">
        <v>628</v>
      </c>
      <c r="I60" s="5" t="s">
        <v>629</v>
      </c>
      <c r="N60" s="5" t="str">
        <f t="shared" ref="N60:N81" si="2">_xlfn.CONCAT("LOOKUPS!",ADDRESS(ROW(P60),COLUMN(P60),4),"#")</f>
        <v>LOOKUPS!P60#</v>
      </c>
      <c r="O60" s="60" t="str">
        <v>Mixed Recycling</v>
      </c>
      <c r="P60" s="5" t="str" cm="1">
        <f t="array" aca="1" ref="P60:T60" ca="1">_xlfn._xlws.FILTER(TRANSPOSE(ls_WHM),_xlfn.CHOOSEROWS(INDIRECT(Factors!$H$10),MATCH(O60,ls_Mat,0))="x","Check WH options")</f>
        <v>Reduce</v>
      </c>
      <c r="Q60" s="5" t="str">
        <f ca="1"/>
        <v>Recycle</v>
      </c>
      <c r="R60" s="5" t="str">
        <f ca="1"/>
        <v>Landfill</v>
      </c>
      <c r="S60" s="5" t="str">
        <f ca="1"/>
        <v>Waste-to-Energy</v>
      </c>
      <c r="T60" s="5" t="str">
        <f ca="1"/>
        <v>Incineration</v>
      </c>
      <c r="U60" s="5"/>
      <c r="V60" s="5"/>
      <c r="W60" s="5"/>
    </row>
    <row r="61" spans="6:23">
      <c r="G61" s="5">
        <v>4</v>
      </c>
      <c r="H61" s="2" t="s">
        <v>630</v>
      </c>
      <c r="I61" s="5" t="s">
        <v>631</v>
      </c>
      <c r="N61" s="5" t="str">
        <f t="shared" si="2"/>
        <v>LOOKUPS!P61#</v>
      </c>
      <c r="O61" s="60" t="str">
        <v>Furniture/Textiles - Generic</v>
      </c>
      <c r="P61" s="5" t="str" cm="1">
        <f t="array" aca="1" ref="P61:U61" ca="1">_xlfn._xlws.FILTER(TRANSPOSE(ls_WHM),_xlfn.CHOOSEROWS(INDIRECT(Factors!$H$10),MATCH(O61,ls_Mat,0))="x","Check WH options")</f>
        <v>Reduce</v>
      </c>
      <c r="Q61" s="5" t="str">
        <f ca="1"/>
        <v>Reuse</v>
      </c>
      <c r="R61" s="5" t="str">
        <f ca="1"/>
        <v>Recycle</v>
      </c>
      <c r="S61" s="5" t="str">
        <f ca="1"/>
        <v>Landfill</v>
      </c>
      <c r="T61" s="5" t="str">
        <f ca="1"/>
        <v>Waste-to-Energy</v>
      </c>
      <c r="U61" s="5" t="str">
        <f ca="1"/>
        <v>Incineration</v>
      </c>
      <c r="V61" s="5"/>
      <c r="W61" s="5"/>
    </row>
    <row r="62" spans="6:23">
      <c r="G62" s="5">
        <v>5</v>
      </c>
      <c r="H62" s="2" t="s">
        <v>632</v>
      </c>
      <c r="I62" s="5" t="s">
        <v>633</v>
      </c>
      <c r="N62" s="5" t="str">
        <f t="shared" si="2"/>
        <v>LOOKUPS!P62#</v>
      </c>
      <c r="O62" s="3" t="str">
        <v>Furniture</v>
      </c>
      <c r="P62" s="5" t="str" cm="1">
        <f t="array" aca="1" ref="P62:T62" ca="1">_xlfn._xlws.FILTER(TRANSPOSE(ls_WHM),_xlfn.CHOOSEROWS(INDIRECT(Factors!$H$10),MATCH(O62,ls_Mat,0))="x","Check WH options")</f>
        <v>Reduce</v>
      </c>
      <c r="Q62" s="3" t="str">
        <f ca="1"/>
        <v>Reuse</v>
      </c>
      <c r="R62" s="3" t="str">
        <f ca="1"/>
        <v>Landfill</v>
      </c>
      <c r="S62" s="3" t="str">
        <f ca="1"/>
        <v>Waste-to-Energy</v>
      </c>
      <c r="T62" s="3" t="str">
        <f ca="1"/>
        <v>Incineration</v>
      </c>
      <c r="U62" s="3"/>
      <c r="V62" s="3"/>
      <c r="W62" s="3"/>
    </row>
    <row r="63" spans="6:23">
      <c r="N63" s="5" t="str">
        <f t="shared" si="2"/>
        <v>LOOKUPS!P63#</v>
      </c>
      <c r="O63" s="3" t="str">
        <v>Appliances</v>
      </c>
      <c r="P63" s="5" t="str" cm="1">
        <f t="array" aca="1" ref="P63:U63" ca="1">_xlfn._xlws.FILTER(TRANSPOSE(ls_WHM),_xlfn.CHOOSEROWS(INDIRECT(Factors!$H$10),MATCH(O63,ls_Mat,0))="x","Check WH options")</f>
        <v>Reduce</v>
      </c>
      <c r="Q63" s="3" t="str">
        <f ca="1"/>
        <v>Reuse</v>
      </c>
      <c r="R63" s="3" t="str">
        <f ca="1"/>
        <v>Recycle</v>
      </c>
      <c r="S63" s="3" t="str">
        <f ca="1"/>
        <v>Landfill</v>
      </c>
      <c r="T63" s="3" t="str">
        <f ca="1"/>
        <v>Waste-to-Energy</v>
      </c>
      <c r="U63" s="3" t="str">
        <f ca="1"/>
        <v>Incineration</v>
      </c>
      <c r="V63" s="3"/>
      <c r="W63" s="3"/>
    </row>
    <row r="64" spans="6:23">
      <c r="N64" s="5" t="str">
        <f t="shared" si="2"/>
        <v>LOOKUPS!P64#</v>
      </c>
      <c r="O64" s="3" t="str">
        <v>Lightbulb/Lamps</v>
      </c>
      <c r="P64" s="5" t="str" cm="1">
        <f t="array" aca="1" ref="P64:U64" ca="1">_xlfn._xlws.FILTER(TRANSPOSE(ls_WHM),_xlfn.CHOOSEROWS(INDIRECT(Factors!$H$10),MATCH(O64,ls_Mat,0))="x","Check WH options")</f>
        <v>Reduce</v>
      </c>
      <c r="Q64" s="3" t="str">
        <f ca="1"/>
        <v>Reuse</v>
      </c>
      <c r="R64" s="3" t="str">
        <f ca="1"/>
        <v>Recycle</v>
      </c>
      <c r="S64" s="3" t="str">
        <f ca="1"/>
        <v>Landfill</v>
      </c>
      <c r="T64" s="3" t="str">
        <f ca="1"/>
        <v>Waste-to-Energy</v>
      </c>
      <c r="U64" s="3" t="str">
        <f ca="1"/>
        <v>Incineration</v>
      </c>
      <c r="V64" s="3"/>
      <c r="W64" s="3"/>
    </row>
    <row r="65" spans="6:23">
      <c r="F65" s="1" t="s">
        <v>34</v>
      </c>
      <c r="H65" s="1" t="s">
        <v>35</v>
      </c>
      <c r="N65" s="5" t="str">
        <f t="shared" si="2"/>
        <v>LOOKUPS!P65#</v>
      </c>
      <c r="O65" s="3" t="str">
        <v>Textiles</v>
      </c>
      <c r="P65" s="5" t="str" cm="1">
        <f t="array" aca="1" ref="P65:U65" ca="1">_xlfn._xlws.FILTER(TRANSPOSE(ls_WHM),_xlfn.CHOOSEROWS(INDIRECT(Factors!$H$10),MATCH(O65,ls_Mat,0))="x","Check WH options")</f>
        <v>Reduce</v>
      </c>
      <c r="Q65" s="3" t="str">
        <f ca="1"/>
        <v>Reuse</v>
      </c>
      <c r="R65" s="3" t="str">
        <f ca="1"/>
        <v>Recycle</v>
      </c>
      <c r="S65" s="3" t="str">
        <f ca="1"/>
        <v>Landfill</v>
      </c>
      <c r="T65" s="3" t="str">
        <f ca="1"/>
        <v>Waste-to-Energy</v>
      </c>
      <c r="U65" s="3" t="str">
        <f ca="1"/>
        <v>Incineration</v>
      </c>
      <c r="V65" s="3"/>
      <c r="W65" s="3"/>
    </row>
    <row r="66" spans="6:23">
      <c r="G66" s="7" t="s">
        <v>634</v>
      </c>
      <c r="H66" s="7" t="s">
        <v>635</v>
      </c>
      <c r="N66" s="5" t="str">
        <f t="shared" si="2"/>
        <v>LOOKUPS!P66#</v>
      </c>
      <c r="O66" s="3" t="str">
        <v>General other</v>
      </c>
      <c r="P66" s="5" t="str" cm="1">
        <f t="array" aca="1" ref="P66:S66" ca="1">_xlfn._xlws.FILTER(TRANSPOSE(ls_WHM),_xlfn.CHOOSEROWS(INDIRECT(Factors!$H$10),MATCH(O66,ls_Mat,0))="x","Check WH options")</f>
        <v>Reduce</v>
      </c>
      <c r="Q66" s="3" t="str">
        <f ca="1"/>
        <v>Landfill</v>
      </c>
      <c r="R66" s="3" t="str">
        <f ca="1"/>
        <v>Waste-to-Energy</v>
      </c>
      <c r="S66" s="3" t="str">
        <f ca="1"/>
        <v>Incineration</v>
      </c>
      <c r="T66" s="3"/>
      <c r="U66" s="3"/>
      <c r="V66" s="3"/>
      <c r="W66" s="3"/>
    </row>
    <row r="67" spans="6:23">
      <c r="G67" s="5">
        <v>1</v>
      </c>
      <c r="H67" s="71">
        <v>0.90100000000000002</v>
      </c>
      <c r="N67" s="5" t="str">
        <f t="shared" si="2"/>
        <v>LOOKUPS!P67#</v>
      </c>
      <c r="O67" s="3" t="str">
        <v>C&amp;D All</v>
      </c>
      <c r="P67" s="5" t="str" cm="1">
        <f t="array" aca="1" ref="P67:U67" ca="1">_xlfn._xlws.FILTER(TRANSPOSE(ls_WHM),_xlfn.CHOOSEROWS(INDIRECT(Factors!$H$10),MATCH(O67,ls_Mat,0))="x","Check WH options")</f>
        <v>Reduce</v>
      </c>
      <c r="Q67" s="3" t="str">
        <f ca="1"/>
        <v>Reuse</v>
      </c>
      <c r="R67" s="3" t="str">
        <f ca="1"/>
        <v>Recycle</v>
      </c>
      <c r="S67" s="3" t="str">
        <f ca="1"/>
        <v>Landfill</v>
      </c>
      <c r="T67" s="3" t="str">
        <f ca="1"/>
        <v>Waste-to-Energy</v>
      </c>
      <c r="U67" s="3" t="str">
        <f ca="1"/>
        <v>Incineration</v>
      </c>
      <c r="V67" s="3"/>
      <c r="W67" s="3"/>
    </row>
    <row r="68" spans="6:23">
      <c r="G68" s="5">
        <v>2</v>
      </c>
      <c r="H68" s="71">
        <v>0.92100000000000004</v>
      </c>
      <c r="N68" s="5" t="str">
        <f t="shared" si="2"/>
        <v>LOOKUPS!P68#</v>
      </c>
      <c r="O68" s="3" t="str">
        <v/>
      </c>
      <c r="P68" s="5" t="str" cm="1">
        <f t="array" aca="1" ref="P68" ca="1">_xlfn._xlws.FILTER(TRANSPOSE(ls_WHM),_xlfn.CHOOSEROWS(INDIRECT(Factors!$H$10),MATCH(O68,ls_Mat,0))="x","Check WH options")</f>
        <v>Check WH options</v>
      </c>
      <c r="Q68" s="3"/>
      <c r="R68" s="3"/>
      <c r="S68" s="3"/>
      <c r="T68" s="3"/>
      <c r="U68" s="3"/>
      <c r="V68" s="3"/>
      <c r="W68" s="3"/>
    </row>
    <row r="69" spans="6:23">
      <c r="G69" s="5">
        <v>3</v>
      </c>
      <c r="H69" s="71">
        <v>0.94099999999999995</v>
      </c>
      <c r="N69" s="5" t="str">
        <f t="shared" si="2"/>
        <v>LOOKUPS!P69#</v>
      </c>
      <c r="O69" s="3" t="str">
        <v/>
      </c>
      <c r="P69" s="5" t="str" cm="1">
        <f t="array" aca="1" ref="P69" ca="1">_xlfn._xlws.FILTER(TRANSPOSE(ls_WHM),_xlfn.CHOOSEROWS(INDIRECT(Factors!$H$10),MATCH(O69,ls_Mat,0))="x","Check WH options")</f>
        <v>Check WH options</v>
      </c>
      <c r="Q69" s="3"/>
      <c r="R69" s="3"/>
      <c r="S69" s="3"/>
      <c r="T69" s="3"/>
      <c r="U69" s="3"/>
      <c r="V69" s="3"/>
      <c r="W69" s="3"/>
    </row>
    <row r="70" spans="6:23">
      <c r="G70" s="5">
        <v>4</v>
      </c>
      <c r="H70" s="71">
        <v>0.96099999999999997</v>
      </c>
      <c r="N70" s="5" t="str">
        <f t="shared" si="2"/>
        <v>LOOKUPS!P70#</v>
      </c>
      <c r="O70" s="3" t="str">
        <v/>
      </c>
      <c r="P70" s="5" t="str" cm="1">
        <f t="array" aca="1" ref="P70" ca="1">_xlfn._xlws.FILTER(TRANSPOSE(ls_WHM),_xlfn.CHOOSEROWS(INDIRECT(Factors!$H$10),MATCH(O70,ls_Mat,0))="x","Check WH options")</f>
        <v>Check WH options</v>
      </c>
      <c r="Q70" s="3"/>
      <c r="R70" s="3"/>
      <c r="S70" s="3"/>
      <c r="T70" s="3"/>
      <c r="U70" s="3"/>
      <c r="V70" s="3"/>
      <c r="W70" s="3"/>
    </row>
    <row r="71" spans="6:23">
      <c r="G71" s="5">
        <v>5</v>
      </c>
      <c r="H71" s="71">
        <v>0.98099999999999998</v>
      </c>
      <c r="N71" s="5" t="str">
        <f t="shared" si="2"/>
        <v>LOOKUPS!P71#</v>
      </c>
      <c r="O71" s="3" t="str">
        <v/>
      </c>
      <c r="P71" s="5" t="str" cm="1">
        <f t="array" aca="1" ref="P71" ca="1">_xlfn._xlws.FILTER(TRANSPOSE(ls_WHM),_xlfn.CHOOSEROWS(INDIRECT(Factors!$H$10),MATCH(O71,ls_Mat,0))="x","Check WH options")</f>
        <v>Check WH options</v>
      </c>
      <c r="Q71" s="3"/>
      <c r="R71" s="3"/>
      <c r="S71" s="3"/>
      <c r="T71" s="3"/>
      <c r="U71" s="3"/>
      <c r="V71" s="3"/>
      <c r="W71" s="3"/>
    </row>
    <row r="72" spans="6:23">
      <c r="N72" s="5" t="str">
        <f t="shared" si="2"/>
        <v>LOOKUPS!P72#</v>
      </c>
      <c r="O72" s="3" t="str">
        <v/>
      </c>
      <c r="P72" s="5" t="str" cm="1">
        <f t="array" aca="1" ref="P72" ca="1">_xlfn._xlws.FILTER(TRANSPOSE(ls_WHM),_xlfn.CHOOSEROWS(INDIRECT(Factors!$H$10),MATCH(O72,ls_Mat,0))="x","Check WH options")</f>
        <v>Check WH options</v>
      </c>
      <c r="Q72" s="3"/>
      <c r="R72" s="3"/>
      <c r="S72" s="3"/>
      <c r="T72" s="3"/>
      <c r="U72" s="3"/>
      <c r="V72" s="3"/>
      <c r="W72" s="3"/>
    </row>
    <row r="73" spans="6:23">
      <c r="N73" s="5" t="str">
        <f t="shared" si="2"/>
        <v>LOOKUPS!P73#</v>
      </c>
      <c r="O73" s="3" t="str">
        <v/>
      </c>
      <c r="P73" s="5" t="str" cm="1">
        <f t="array" aca="1" ref="P73" ca="1">_xlfn._xlws.FILTER(TRANSPOSE(ls_WHM),_xlfn.CHOOSEROWS(INDIRECT(Factors!$H$10),MATCH(O73,ls_Mat,0))="x","Check WH options")</f>
        <v>Check WH options</v>
      </c>
      <c r="Q73" s="3"/>
      <c r="R73" s="3"/>
      <c r="S73" s="3"/>
      <c r="T73" s="3"/>
      <c r="U73" s="3"/>
      <c r="V73" s="3"/>
      <c r="W73" s="3"/>
    </row>
    <row r="74" spans="6:23">
      <c r="F74" s="1" t="s">
        <v>36</v>
      </c>
      <c r="H74" s="1" t="s">
        <v>37</v>
      </c>
      <c r="N74" s="5" t="str">
        <f t="shared" si="2"/>
        <v>LOOKUPS!P74#</v>
      </c>
      <c r="O74" s="3" t="str">
        <v/>
      </c>
      <c r="P74" s="5" t="str" cm="1">
        <f t="array" aca="1" ref="P74" ca="1">_xlfn._xlws.FILTER(TRANSPOSE(ls_WHM),_xlfn.CHOOSEROWS(INDIRECT(Factors!$H$10),MATCH(O74,ls_Mat,0))="x","Check WH options")</f>
        <v>Check WH options</v>
      </c>
      <c r="Q74" s="3"/>
      <c r="R74" s="3"/>
      <c r="S74" s="3"/>
      <c r="T74" s="3"/>
      <c r="U74" s="3"/>
      <c r="V74" s="3"/>
      <c r="W74" s="3"/>
    </row>
    <row r="75" spans="6:23">
      <c r="G75" s="7" t="s">
        <v>634</v>
      </c>
      <c r="H75" s="7" t="s">
        <v>635</v>
      </c>
      <c r="N75" s="5" t="str">
        <f t="shared" si="2"/>
        <v>LOOKUPS!P75#</v>
      </c>
      <c r="O75" s="3" t="str">
        <v/>
      </c>
      <c r="P75" s="5" t="str" cm="1">
        <f t="array" aca="1" ref="P75" ca="1">_xlfn._xlws.FILTER(TRANSPOSE(ls_WHM),_xlfn.CHOOSEROWS(INDIRECT(Factors!$H$10),MATCH(O75,ls_Mat,0))="x","Check WH options")</f>
        <v>Check WH options</v>
      </c>
      <c r="Q75" s="3"/>
      <c r="R75" s="3"/>
      <c r="S75" s="3"/>
      <c r="T75" s="3"/>
      <c r="U75" s="3"/>
      <c r="V75" s="3"/>
      <c r="W75" s="3"/>
    </row>
    <row r="76" spans="6:23">
      <c r="G76" s="5">
        <v>1</v>
      </c>
      <c r="H76" s="71">
        <v>0.1</v>
      </c>
      <c r="N76" s="5" t="str">
        <f t="shared" si="2"/>
        <v>LOOKUPS!P76#</v>
      </c>
      <c r="O76" s="3" t="str">
        <v/>
      </c>
      <c r="P76" s="5" t="str" cm="1">
        <f t="array" aca="1" ref="P76" ca="1">_xlfn._xlws.FILTER(TRANSPOSE(ls_WHM),_xlfn.CHOOSEROWS(INDIRECT(Factors!$H$10),MATCH(O76,ls_Mat,0))="x","Check WH options")</f>
        <v>Check WH options</v>
      </c>
      <c r="Q76" s="3"/>
      <c r="R76" s="3"/>
      <c r="S76" s="3"/>
      <c r="T76" s="3"/>
      <c r="U76" s="3"/>
      <c r="V76" s="3"/>
      <c r="W76" s="3"/>
    </row>
    <row r="77" spans="6:23">
      <c r="G77" s="5">
        <v>2</v>
      </c>
      <c r="H77" s="71">
        <v>0.2</v>
      </c>
      <c r="N77" s="5" t="str">
        <f t="shared" si="2"/>
        <v>LOOKUPS!P77#</v>
      </c>
      <c r="O77" s="3" t="str">
        <v/>
      </c>
      <c r="P77" s="5" t="str" cm="1">
        <f t="array" aca="1" ref="P77" ca="1">_xlfn._xlws.FILTER(TRANSPOSE(ls_WHM),_xlfn.CHOOSEROWS(INDIRECT(Factors!$H$10),MATCH(O77,ls_Mat,0))="x","Check WH options")</f>
        <v>Check WH options</v>
      </c>
      <c r="Q77" s="3"/>
      <c r="R77" s="3"/>
      <c r="S77" s="3"/>
      <c r="T77" s="3"/>
      <c r="U77" s="3"/>
      <c r="V77" s="3"/>
      <c r="W77" s="3"/>
    </row>
    <row r="78" spans="6:23">
      <c r="G78" s="5">
        <v>3</v>
      </c>
      <c r="H78" s="71">
        <v>0.3</v>
      </c>
      <c r="N78" s="5" t="str">
        <f t="shared" si="2"/>
        <v>LOOKUPS!P78#</v>
      </c>
      <c r="O78" s="3" t="str">
        <v/>
      </c>
      <c r="P78" s="5" t="str" cm="1">
        <f t="array" aca="1" ref="P78" ca="1">_xlfn._xlws.FILTER(TRANSPOSE(ls_WHM),_xlfn.CHOOSEROWS(INDIRECT(Factors!$H$10),MATCH(O78,ls_Mat,0))="x","Check WH options")</f>
        <v>Check WH options</v>
      </c>
      <c r="Q78" s="3"/>
      <c r="R78" s="3"/>
      <c r="S78" s="3"/>
      <c r="T78" s="3"/>
      <c r="U78" s="3"/>
      <c r="V78" s="3"/>
      <c r="W78" s="3"/>
    </row>
    <row r="79" spans="6:23">
      <c r="G79" s="5">
        <v>4</v>
      </c>
      <c r="H79" s="71">
        <v>0.38</v>
      </c>
      <c r="N79" s="5" t="str">
        <f t="shared" si="2"/>
        <v>LOOKUPS!P79#</v>
      </c>
      <c r="O79" s="3" t="str">
        <v/>
      </c>
      <c r="P79" s="5" t="str" cm="1">
        <f t="array" aca="1" ref="P79" ca="1">_xlfn._xlws.FILTER(TRANSPOSE(ls_WHM),_xlfn.CHOOSEROWS(INDIRECT(Factors!$H$10),MATCH(O79,ls_Mat,0))="x","Check WH options")</f>
        <v>Check WH options</v>
      </c>
      <c r="Q79" s="3"/>
      <c r="R79" s="3"/>
      <c r="S79" s="3"/>
      <c r="T79" s="3"/>
      <c r="U79" s="3"/>
      <c r="V79" s="3"/>
      <c r="W79" s="3"/>
    </row>
    <row r="80" spans="6:23">
      <c r="G80" s="5">
        <v>5</v>
      </c>
      <c r="H80" s="71">
        <v>0.45</v>
      </c>
      <c r="N80" s="5" t="str">
        <f t="shared" si="2"/>
        <v>LOOKUPS!P80#</v>
      </c>
      <c r="O80" s="3" t="str">
        <v/>
      </c>
      <c r="P80" s="5" t="str" cm="1">
        <f t="array" aca="1" ref="P80" ca="1">_xlfn._xlws.FILTER(TRANSPOSE(ls_WHM),_xlfn.CHOOSEROWS(INDIRECT(Factors!$H$10),MATCH(O80,ls_Mat,0))="x","Check WH options")</f>
        <v>Check WH options</v>
      </c>
      <c r="Q80" s="3"/>
      <c r="R80" s="3"/>
      <c r="S80" s="3"/>
      <c r="T80" s="3"/>
      <c r="U80" s="3"/>
      <c r="V80" s="3"/>
      <c r="W80" s="3"/>
    </row>
    <row r="81" spans="6:26">
      <c r="N81" s="5" t="str">
        <f t="shared" si="2"/>
        <v>LOOKUPS!P81#</v>
      </c>
      <c r="O81" s="3" t="str">
        <v/>
      </c>
      <c r="P81" s="5" t="str" cm="1">
        <f t="array" aca="1" ref="P81" ca="1">_xlfn._xlws.FILTER(TRANSPOSE(ls_WHM),_xlfn.CHOOSEROWS(INDIRECT(Factors!$H$10),MATCH(O81,ls_Mat,0))="x","Check WH options")</f>
        <v>Check WH options</v>
      </c>
      <c r="Q81" s="3"/>
      <c r="R81" s="3"/>
      <c r="S81" s="3"/>
      <c r="T81" s="3"/>
      <c r="U81" s="3"/>
      <c r="V81" s="3"/>
      <c r="W81" s="3"/>
    </row>
    <row r="82" spans="6:26">
      <c r="N82" s="31"/>
      <c r="O82" t="str">
        <v/>
      </c>
      <c r="P82" s="31"/>
    </row>
    <row r="83" spans="6:26">
      <c r="F83" s="1" t="s">
        <v>44</v>
      </c>
      <c r="H83" t="s">
        <v>45</v>
      </c>
      <c r="N83" s="31"/>
      <c r="P83" s="31"/>
    </row>
    <row r="84" spans="6:26">
      <c r="G84" s="8" t="s">
        <v>570</v>
      </c>
      <c r="H84" s="8" t="s">
        <v>459</v>
      </c>
      <c r="I84" s="8" t="s">
        <v>81</v>
      </c>
      <c r="M84" s="1" t="s">
        <v>636</v>
      </c>
      <c r="N84" s="31"/>
      <c r="P84" s="31"/>
    </row>
    <row r="85" spans="6:26">
      <c r="G85" s="5">
        <v>1</v>
      </c>
      <c r="H85" s="96">
        <v>0.05</v>
      </c>
      <c r="I85" s="5">
        <v>1</v>
      </c>
      <c r="N85" s="5" t="str">
        <f t="shared" ref="N85:N95" si="3">_xlfn.CONCAT("LOOKUPS!",ADDRESS(ROW(P85),COLUMN(P85),4),"#")</f>
        <v>LOOKUPS!P85#</v>
      </c>
      <c r="O85" s="5" t="str" cm="1">
        <f t="array" ref="O85:O95">ls_Mat_Cat</f>
        <v>Wood/Yard Trimmings</v>
      </c>
      <c r="P85" t="str" cm="1">
        <f t="array" ref="P85:V85">TRANSPOSE(_xlfn.UNIQUE(_xlfn._xlws.FILTER(tblGWP[Material Subcategory],tblGWP[Material Category]=Lookups!O85,"Check subcategories")))</f>
        <v>Wood/Yard Trimmings - Generic</v>
      </c>
      <c r="Q85" t="str">
        <v>Yard Trimmings – Leaves</v>
      </c>
      <c r="R85" t="str">
        <v>Yard Trimmings – Grass</v>
      </c>
      <c r="S85" t="str">
        <v>Yard Trimming – Branches</v>
      </c>
      <c r="T85" t="str">
        <v>Wood</v>
      </c>
      <c r="U85" t="str">
        <v>Pallets</v>
      </c>
      <c r="V85" t="str">
        <v>Other Wood</v>
      </c>
    </row>
    <row r="86" spans="6:26">
      <c r="G86" s="5">
        <v>2</v>
      </c>
      <c r="H86" s="96">
        <v>0.1</v>
      </c>
      <c r="I86" s="5">
        <v>2</v>
      </c>
      <c r="N86" s="5" t="str">
        <f t="shared" si="3"/>
        <v>LOOKUPS!P86#</v>
      </c>
      <c r="O86" s="5" t="str">
        <v>Food Waste</v>
      </c>
      <c r="P86" t="str" cm="1">
        <f t="array" ref="P86:T86">TRANSPOSE(_xlfn.UNIQUE(_xlfn._xlws.FILTER(tblGWP[Material Subcategory],tblGWP[Material Category]=Lookups!O86,"Check subcategories")))</f>
        <v>Food Waste -Generic</v>
      </c>
      <c r="Q86" t="str">
        <v>Food Waste – Vegetable</v>
      </c>
      <c r="R86" t="str">
        <v>Food Waste – Non-Vegetable</v>
      </c>
      <c r="S86" t="str">
        <v>Oils/Grease</v>
      </c>
      <c r="T86" t="str">
        <v>Mixed Organics</v>
      </c>
    </row>
    <row r="87" spans="6:26">
      <c r="G87" s="5">
        <v>3</v>
      </c>
      <c r="H87" s="96">
        <v>0.15</v>
      </c>
      <c r="I87" s="5">
        <v>3</v>
      </c>
      <c r="N87" s="5" t="str">
        <f t="shared" si="3"/>
        <v>LOOKUPS!P87#</v>
      </c>
      <c r="O87" s="5" t="str">
        <v>Plastics</v>
      </c>
      <c r="P87" t="str" cm="1">
        <f t="array" ref="P87:W87">TRANSPOSE(_xlfn.UNIQUE(_xlfn._xlws.FILTER(tblGWP[Material Subcategory],tblGWP[Material Category]=Lookups!O87,"Check subcategories")))</f>
        <v>Plastics - Generic</v>
      </c>
      <c r="Q87" t="str">
        <v>High-Density Polyethylene (HDPE) (translucent and pigmented)</v>
      </c>
      <c r="R87" t="str">
        <v>Low-Density Polyethylene (LDPE)</v>
      </c>
      <c r="S87" t="str">
        <v>Polyethylene Terephthalate (PET)</v>
      </c>
      <c r="T87" t="str">
        <v>Linear Low-Density Polyethylene (LLDPE)</v>
      </c>
      <c r="U87" t="str">
        <v>Polypropylene (PP)</v>
      </c>
      <c r="V87" t="str">
        <v>Polyvinyl chloride (PVC)</v>
      </c>
      <c r="W87" t="str">
        <v>Mixed Plastics</v>
      </c>
    </row>
    <row r="88" spans="6:26">
      <c r="G88" s="5">
        <v>4</v>
      </c>
      <c r="H88" s="96">
        <v>0.2</v>
      </c>
      <c r="I88" s="5">
        <v>4</v>
      </c>
      <c r="N88" s="5" t="str">
        <f t="shared" si="3"/>
        <v>LOOKUPS!P88#</v>
      </c>
      <c r="O88" s="5" t="str">
        <v>Electronics</v>
      </c>
      <c r="P88" t="str" cm="1">
        <f t="array" ref="P88:T88">TRANSPOSE(_xlfn.UNIQUE(_xlfn._xlws.FILTER(tblGWP[Material Subcategory],tblGWP[Material Category]=Lookups!O88,"Check subcategories")))</f>
        <v>Electronics - Generic</v>
      </c>
      <c r="Q88" t="str">
        <v>E-waste</v>
      </c>
      <c r="R88" t="str">
        <v>Batteries</v>
      </c>
      <c r="S88" t="str">
        <v>Appliances</v>
      </c>
      <c r="T88" t="str">
        <v>Lightbulb/Lamps</v>
      </c>
    </row>
    <row r="89" spans="6:26">
      <c r="G89" s="5">
        <v>5</v>
      </c>
      <c r="H89" s="96">
        <v>0.25</v>
      </c>
      <c r="I89" s="5">
        <v>5</v>
      </c>
      <c r="N89" s="5" t="str">
        <f t="shared" si="3"/>
        <v>LOOKUPS!P89#</v>
      </c>
      <c r="O89" s="5" t="str">
        <v>Paper</v>
      </c>
      <c r="P89" t="str" cm="1">
        <f t="array" ref="P89:Z89">TRANSPOSE(_xlfn.UNIQUE(_xlfn._xlws.FILTER(tblGWP[Material Subcategory],tblGWP[Material Category]=Lookups!O89,"Check subcategories")))</f>
        <v>Paper - Generic</v>
      </c>
      <c r="Q89" t="str">
        <v>Newsprint</v>
      </c>
      <c r="R89" t="str">
        <v>Corr. Cardboard</v>
      </c>
      <c r="S89" t="str">
        <v>Office Paper</v>
      </c>
      <c r="T89" t="str">
        <v>Magazines</v>
      </c>
      <c r="U89" t="str">
        <v>3rd Class Mail</v>
      </c>
      <c r="V89" t="str">
        <v>Folding Containers</v>
      </c>
      <c r="W89" t="str">
        <v>Paper Bags</v>
      </c>
      <c r="X89" t="str">
        <v>Paper – Non-Recyclable</v>
      </c>
      <c r="Y89" t="str">
        <v>Compostable Food Service Ware</v>
      </c>
      <c r="Z89" t="str">
        <v>Mixed Paper</v>
      </c>
    </row>
    <row r="90" spans="6:26">
      <c r="N90" s="5" t="str">
        <f t="shared" si="3"/>
        <v>LOOKUPS!P90#</v>
      </c>
      <c r="O90" s="5" t="str">
        <v>Metals</v>
      </c>
      <c r="P90" t="str" cm="1">
        <f t="array" ref="P90:U90">TRANSPOSE(_xlfn.UNIQUE(_xlfn._xlws.FILTER(tblGWP[Material Subcategory],tblGWP[Material Category]=Lookups!O90,"Check subcategories")))</f>
        <v>Metals - Generic</v>
      </c>
      <c r="Q90" t="str">
        <v>Ferrous Cans</v>
      </c>
      <c r="R90" t="str">
        <v>Ferrous Metal</v>
      </c>
      <c r="S90" t="str">
        <v>Aluminum Cans</v>
      </c>
      <c r="T90" t="str">
        <v>Aluminum Foil</v>
      </c>
      <c r="U90" t="str">
        <v>Other Aluminum</v>
      </c>
    </row>
    <row r="91" spans="6:26">
      <c r="N91" s="5" t="str">
        <f t="shared" si="3"/>
        <v>LOOKUPS!P91#</v>
      </c>
      <c r="O91" s="5" t="str">
        <v>Glass</v>
      </c>
      <c r="P91" t="str" cm="1">
        <f t="array" ref="P91:U91">TRANSPOSE(_xlfn.UNIQUE(_xlfn._xlws.FILTER(tblGWP[Material Subcategory],tblGWP[Material Category]=Lookups!O91,"Check subcategories")))</f>
        <v>Glass</v>
      </c>
      <c r="Q91" t="str">
        <v>Glass – Brown</v>
      </c>
      <c r="R91" t="str">
        <v>Glass – Green</v>
      </c>
      <c r="S91" t="str">
        <v>Glass – Clear</v>
      </c>
      <c r="T91" t="str">
        <v>Mixed Glass</v>
      </c>
      <c r="U91" t="str">
        <v>Glass – Non-Recyclable</v>
      </c>
    </row>
    <row r="92" spans="6:26">
      <c r="N92" s="5" t="str">
        <f t="shared" si="3"/>
        <v>LOOKUPS!P92#</v>
      </c>
      <c r="O92" s="5" t="str">
        <v>Mixed</v>
      </c>
      <c r="P92" t="str" cm="1">
        <f t="array" ref="P92:T92">TRANSPOSE(_xlfn.UNIQUE(_xlfn._xlws.FILTER(tblGWP[Material Subcategory],tblGWP[Material Category]=Lookups!O92,"Check subcategories")))</f>
        <v>Mixed</v>
      </c>
      <c r="Q92" t="str">
        <v>Mixed Inorganics</v>
      </c>
      <c r="R92" t="str">
        <v>Mixed Municipal Solid Waste</v>
      </c>
      <c r="S92" t="str">
        <v>Mixed Recycling</v>
      </c>
      <c r="T92" t="str">
        <v>General other</v>
      </c>
    </row>
    <row r="93" spans="6:26">
      <c r="F93" s="1" t="s">
        <v>637</v>
      </c>
      <c r="N93" s="5" t="str">
        <f t="shared" si="3"/>
        <v>LOOKUPS!P93#</v>
      </c>
      <c r="O93" s="5" t="str">
        <v>Furniture/Textiles</v>
      </c>
      <c r="P93" t="str" cm="1">
        <f t="array" ref="P93:R93">TRANSPOSE(_xlfn.UNIQUE(_xlfn._xlws.FILTER(tblGWP[Material Subcategory],tblGWP[Material Category]=Lookups!O93,"Check subcategories")))</f>
        <v>Furniture/Textiles - Generic</v>
      </c>
      <c r="Q93" t="str">
        <v>Furniture</v>
      </c>
      <c r="R93" t="str">
        <v>Textiles</v>
      </c>
      <c r="W93" s="36"/>
    </row>
    <row r="94" spans="6:26">
      <c r="G94" s="8" t="s">
        <v>570</v>
      </c>
      <c r="H94" s="8" t="s">
        <v>638</v>
      </c>
      <c r="I94" s="8" t="s">
        <v>639</v>
      </c>
      <c r="J94" s="8" t="s">
        <v>640</v>
      </c>
      <c r="N94" s="5" t="str">
        <f t="shared" si="3"/>
        <v>LOOKUPS!P94#</v>
      </c>
      <c r="O94" s="5" t="str">
        <v>Construction &amp; Demolition (C&amp;D)</v>
      </c>
      <c r="P94" t="str" cm="1">
        <f t="array" ref="P94">TRANSPOSE(_xlfn.UNIQUE(_xlfn._xlws.FILTER(tblGWP[Material Subcategory],tblGWP[Material Category]=Lookups!O94,"Check subcategories")))</f>
        <v>C&amp;D All</v>
      </c>
    </row>
    <row r="95" spans="6:26">
      <c r="G95" s="5">
        <v>1</v>
      </c>
      <c r="H95" s="5" t="s">
        <v>641</v>
      </c>
      <c r="I95" s="5">
        <v>40</v>
      </c>
      <c r="J95" s="5">
        <v>49</v>
      </c>
      <c r="N95" s="5" t="str">
        <f t="shared" si="3"/>
        <v>LOOKUPS!P95#</v>
      </c>
      <c r="O95" s="5" t="str">
        <v>Custom</v>
      </c>
      <c r="P95" t="str" cm="1">
        <f t="array" ref="P95">TRANSPOSE(_xlfn.UNIQUE(_xlfn._xlws.FILTER(tblGWP[Material Subcategory],tblGWP[Material Category]=Lookups!O95,"Check subcategories")))</f>
        <v>Check subcategories</v>
      </c>
    </row>
    <row r="96" spans="6:26">
      <c r="G96" s="5">
        <v>2</v>
      </c>
      <c r="H96" s="5" t="s">
        <v>642</v>
      </c>
      <c r="I96" s="5">
        <v>50</v>
      </c>
      <c r="J96" s="5">
        <v>59</v>
      </c>
    </row>
    <row r="97" spans="6:23">
      <c r="G97" s="5">
        <v>3</v>
      </c>
      <c r="H97" s="5" t="s">
        <v>643</v>
      </c>
      <c r="I97" s="5">
        <v>60</v>
      </c>
      <c r="J97" s="5">
        <v>79</v>
      </c>
      <c r="N97" s="8" t="s">
        <v>573</v>
      </c>
      <c r="O97" s="8" t="s">
        <v>10177</v>
      </c>
      <c r="P97" s="8" t="str" cm="1">
        <f t="array" ref="P97:W97">"Option "&amp;_xlfn.SEQUENCE(1,COUNTA(ls_WHM))</f>
        <v>Option 1</v>
      </c>
      <c r="Q97" t="str">
        <v>Option 2</v>
      </c>
      <c r="R97" t="str">
        <v>Option 3</v>
      </c>
      <c r="S97" t="str">
        <v>Option 4</v>
      </c>
      <c r="T97" t="str">
        <v>Option 5</v>
      </c>
      <c r="U97" t="str">
        <v>Option 6</v>
      </c>
      <c r="V97" t="str">
        <v>Option 7</v>
      </c>
      <c r="W97" t="str">
        <v>Option 8</v>
      </c>
    </row>
    <row r="98" spans="6:23">
      <c r="G98" s="5">
        <v>4</v>
      </c>
      <c r="H98" s="5" t="s">
        <v>644</v>
      </c>
      <c r="I98" s="5">
        <v>80</v>
      </c>
      <c r="J98" s="5">
        <v>100</v>
      </c>
      <c r="N98" s="5" t="str">
        <f t="shared" ref="N98:N145" si="4">_xlfn.CONCAT("LOOKUPS!",ADDRESS(ROW(P98),COLUMN(P98),4),"#")</f>
        <v>LOOKUPS!P98#</v>
      </c>
      <c r="O98" s="60" t="str" cm="1">
        <f t="array" ref="O98:O169">ls_Mat</f>
        <v>Wood/Yard Trimmings - Generic</v>
      </c>
      <c r="P98" s="5" t="str" cm="1">
        <f t="array" aca="1" ref="P98:U98" ca="1">_xlfn.LET(_xlpm.x,_xlfn._xlws.FILTER(TRANSPOSE(ls_WHM),_xlfn.CHOOSEROWS(INDIRECT(Factors!$H$10),MATCH(O98,ls_Mat,0))="x","Check WH options"),_xlfn._xlws.FILTER(_xlpm.x,_xlpm.x&lt;&gt;"Reduce"))</f>
        <v>Reuse</v>
      </c>
      <c r="Q98" t="str">
        <f ca="1"/>
        <v>Composting</v>
      </c>
      <c r="R98" t="str">
        <f ca="1"/>
        <v>Anaerobic Digestion</v>
      </c>
      <c r="S98" t="str">
        <f ca="1"/>
        <v>Landfill</v>
      </c>
      <c r="T98" t="str">
        <f ca="1"/>
        <v>Waste-to-Energy</v>
      </c>
      <c r="U98" t="str">
        <f ca="1"/>
        <v>Incineration</v>
      </c>
    </row>
    <row r="99" spans="6:23">
      <c r="N99" s="5" t="str">
        <f t="shared" si="4"/>
        <v>LOOKUPS!P99#</v>
      </c>
      <c r="O99" s="60" t="str">
        <v>Yard Trimmings – Leaves</v>
      </c>
      <c r="P99" s="5" t="str" cm="1">
        <f t="array" aca="1" ref="P99:T99" ca="1">_xlfn.LET(_xlpm.x,_xlfn._xlws.FILTER(TRANSPOSE(ls_WHM),_xlfn.CHOOSEROWS(INDIRECT(Factors!$H$10),MATCH(O99,ls_Mat,0))="x","Check WH options"),_xlfn._xlws.FILTER(_xlpm.x,_xlpm.x&lt;&gt;"Reduce"))</f>
        <v>Composting</v>
      </c>
      <c r="Q99" t="str">
        <f ca="1"/>
        <v>Anaerobic Digestion</v>
      </c>
      <c r="R99" t="str">
        <f ca="1"/>
        <v>Landfill</v>
      </c>
      <c r="S99" t="str">
        <f ca="1"/>
        <v>Waste-to-Energy</v>
      </c>
      <c r="T99" t="str">
        <f ca="1"/>
        <v>Incineration</v>
      </c>
    </row>
    <row r="100" spans="6:23">
      <c r="N100" s="5" t="str">
        <f t="shared" si="4"/>
        <v>LOOKUPS!P100#</v>
      </c>
      <c r="O100" s="60" t="str">
        <v>Yard Trimmings – Grass</v>
      </c>
      <c r="P100" s="5" t="str" cm="1">
        <f t="array" aca="1" ref="P100:T100" ca="1">_xlfn.LET(_xlpm.x,_xlfn._xlws.FILTER(TRANSPOSE(ls_WHM),_xlfn.CHOOSEROWS(INDIRECT(Factors!$H$10),MATCH(O100,ls_Mat,0))="x","Check WH options"),_xlfn._xlws.FILTER(_xlpm.x,_xlpm.x&lt;&gt;"Reduce"))</f>
        <v>Composting</v>
      </c>
      <c r="Q100" t="str">
        <f ca="1"/>
        <v>Anaerobic Digestion</v>
      </c>
      <c r="R100" t="str">
        <f ca="1"/>
        <v>Landfill</v>
      </c>
      <c r="S100" t="str">
        <f ca="1"/>
        <v>Waste-to-Energy</v>
      </c>
      <c r="T100" t="str">
        <f ca="1"/>
        <v>Incineration</v>
      </c>
    </row>
    <row r="101" spans="6:23">
      <c r="F101" s="1" t="s">
        <v>645</v>
      </c>
      <c r="N101" s="5" t="str">
        <f t="shared" si="4"/>
        <v>LOOKUPS!P101#</v>
      </c>
      <c r="O101" s="60" t="str">
        <v>Yard Trimming – Branches</v>
      </c>
      <c r="P101" s="5" t="str" cm="1">
        <f t="array" aca="1" ref="P101:T101" ca="1">_xlfn.LET(_xlpm.x,_xlfn._xlws.FILTER(TRANSPOSE(ls_WHM),_xlfn.CHOOSEROWS(INDIRECT(Factors!$H$10),MATCH(O101,ls_Mat,0))="x","Check WH options"),_xlfn._xlws.FILTER(_xlpm.x,_xlpm.x&lt;&gt;"Reduce"))</f>
        <v>Composting</v>
      </c>
      <c r="Q101" t="str">
        <f ca="1"/>
        <v>Anaerobic Digestion</v>
      </c>
      <c r="R101" t="str">
        <f ca="1"/>
        <v>Landfill</v>
      </c>
      <c r="S101" t="str">
        <f ca="1"/>
        <v>Waste-to-Energy</v>
      </c>
      <c r="T101" t="str">
        <f ca="1"/>
        <v>Incineration</v>
      </c>
    </row>
    <row r="102" spans="6:23">
      <c r="G102" s="8" t="s">
        <v>570</v>
      </c>
      <c r="H102" s="8" t="s">
        <v>646</v>
      </c>
      <c r="N102" s="5" t="str">
        <f t="shared" si="4"/>
        <v>LOOKUPS!P102#</v>
      </c>
      <c r="O102" s="60" t="str">
        <v>Wood</v>
      </c>
      <c r="P102" s="5" t="str" cm="1">
        <f t="array" aca="1" ref="P102:S102" ca="1">_xlfn.LET(_xlpm.x,_xlfn._xlws.FILTER(TRANSPOSE(ls_WHM),_xlfn.CHOOSEROWS(INDIRECT(Factors!$H$10),MATCH(O102,ls_Mat,0))="x","Check WH options"),_xlfn._xlws.FILTER(_xlpm.x,_xlpm.x&lt;&gt;"Reduce"))</f>
        <v>Reuse</v>
      </c>
      <c r="Q102" t="str">
        <f ca="1"/>
        <v>Landfill</v>
      </c>
      <c r="R102" t="str">
        <f ca="1"/>
        <v>Waste-to-Energy</v>
      </c>
      <c r="S102" t="str">
        <f ca="1"/>
        <v>Incineration</v>
      </c>
    </row>
    <row r="103" spans="6:23">
      <c r="G103" s="2">
        <v>1</v>
      </c>
      <c r="H103" s="5" t="s">
        <v>647</v>
      </c>
      <c r="N103" s="5" t="str">
        <f t="shared" si="4"/>
        <v>LOOKUPS!P103#</v>
      </c>
      <c r="O103" s="60" t="str">
        <v>Pallets</v>
      </c>
      <c r="P103" s="5" t="str" cm="1">
        <f t="array" aca="1" ref="P103:U103" ca="1">_xlfn.LET(_xlpm.x,_xlfn._xlws.FILTER(TRANSPOSE(ls_WHM),_xlfn.CHOOSEROWS(INDIRECT(Factors!$H$10),MATCH(O103,ls_Mat,0))="x","Check WH options"),_xlfn._xlws.FILTER(_xlpm.x,_xlpm.x&lt;&gt;"Reduce"))</f>
        <v>Reuse</v>
      </c>
      <c r="Q103" t="str">
        <f ca="1"/>
        <v>Composting</v>
      </c>
      <c r="R103" t="str">
        <f ca="1"/>
        <v>Anaerobic Digestion</v>
      </c>
      <c r="S103" t="str">
        <f ca="1"/>
        <v>Landfill</v>
      </c>
      <c r="T103" t="str">
        <f ca="1"/>
        <v>Waste-to-Energy</v>
      </c>
      <c r="U103" t="str">
        <f ca="1"/>
        <v>Incineration</v>
      </c>
    </row>
    <row r="104" spans="6:23">
      <c r="G104" s="2">
        <v>2</v>
      </c>
      <c r="H104" s="5" t="s">
        <v>648</v>
      </c>
      <c r="N104" s="5" t="str">
        <f t="shared" si="4"/>
        <v>LOOKUPS!P104#</v>
      </c>
      <c r="O104" s="60" t="str">
        <v>Other Wood</v>
      </c>
      <c r="P104" s="5" t="str" cm="1">
        <f t="array" aca="1" ref="P104:U104" ca="1">_xlfn.LET(_xlpm.x,_xlfn._xlws.FILTER(TRANSPOSE(ls_WHM),_xlfn.CHOOSEROWS(INDIRECT(Factors!$H$10),MATCH(O104,ls_Mat,0))="x","Check WH options"),_xlfn._xlws.FILTER(_xlpm.x,_xlpm.x&lt;&gt;"Reduce"))</f>
        <v>Reuse</v>
      </c>
      <c r="Q104" t="str">
        <f ca="1"/>
        <v>Composting</v>
      </c>
      <c r="R104" t="str">
        <f ca="1"/>
        <v>Anaerobic Digestion</v>
      </c>
      <c r="S104" t="str">
        <f ca="1"/>
        <v>Landfill</v>
      </c>
      <c r="T104" t="str">
        <f ca="1"/>
        <v>Waste-to-Energy</v>
      </c>
      <c r="U104" t="str">
        <f ca="1"/>
        <v>Incineration</v>
      </c>
    </row>
    <row r="105" spans="6:23">
      <c r="N105" s="5" t="str">
        <f t="shared" si="4"/>
        <v>LOOKUPS!P105#</v>
      </c>
      <c r="O105" s="60" t="str">
        <v>Food Waste -Generic</v>
      </c>
      <c r="P105" s="5" t="str" cm="1">
        <f t="array" aca="1" ref="P105:U105" ca="1">_xlfn.LET(_xlpm.x,_xlfn._xlws.FILTER(TRANSPOSE(ls_WHM),_xlfn.CHOOSEROWS(INDIRECT(Factors!$H$10),MATCH(O105,ls_Mat,0))="x","Check WH options"),_xlfn._xlws.FILTER(_xlpm.x,_xlpm.x&lt;&gt;"Reduce"))</f>
        <v>Reuse</v>
      </c>
      <c r="Q105" t="str">
        <f ca="1"/>
        <v>Composting</v>
      </c>
      <c r="R105" t="str">
        <f ca="1"/>
        <v>Anaerobic Digestion</v>
      </c>
      <c r="S105" t="str">
        <f ca="1"/>
        <v>Landfill</v>
      </c>
      <c r="T105" t="str">
        <f ca="1"/>
        <v>Waste-to-Energy</v>
      </c>
      <c r="U105" t="str">
        <f ca="1"/>
        <v>Incineration</v>
      </c>
    </row>
    <row r="106" spans="6:23">
      <c r="N106" s="5" t="str">
        <f t="shared" si="4"/>
        <v>LOOKUPS!P106#</v>
      </c>
      <c r="O106" s="60" t="str">
        <v>Food Waste – Vegetable</v>
      </c>
      <c r="P106" s="5" t="str" cm="1">
        <f t="array" aca="1" ref="P106:U106" ca="1">_xlfn.LET(_xlpm.x,_xlfn._xlws.FILTER(TRANSPOSE(ls_WHM),_xlfn.CHOOSEROWS(INDIRECT(Factors!$H$10),MATCH(O106,ls_Mat,0))="x","Check WH options"),_xlfn._xlws.FILTER(_xlpm.x,_xlpm.x&lt;&gt;"Reduce"))</f>
        <v>Reuse</v>
      </c>
      <c r="Q106" t="str">
        <f ca="1"/>
        <v>Composting</v>
      </c>
      <c r="R106" t="str">
        <f ca="1"/>
        <v>Anaerobic Digestion</v>
      </c>
      <c r="S106" t="str">
        <f ca="1"/>
        <v>Landfill</v>
      </c>
      <c r="T106" t="str">
        <f ca="1"/>
        <v>Waste-to-Energy</v>
      </c>
      <c r="U106" t="str">
        <f ca="1"/>
        <v>Incineration</v>
      </c>
    </row>
    <row r="107" spans="6:23">
      <c r="F107" s="1" t="s">
        <v>649</v>
      </c>
      <c r="N107" s="5" t="str">
        <f t="shared" si="4"/>
        <v>LOOKUPS!P107#</v>
      </c>
      <c r="O107" s="60" t="str">
        <v>Food Waste – Non-Vegetable</v>
      </c>
      <c r="P107" s="5" t="str" cm="1">
        <f t="array" aca="1" ref="P107:U107" ca="1">_xlfn.LET(_xlpm.x,_xlfn._xlws.FILTER(TRANSPOSE(ls_WHM),_xlfn.CHOOSEROWS(INDIRECT(Factors!$H$10),MATCH(O107,ls_Mat,0))="x","Check WH options"),_xlfn._xlws.FILTER(_xlpm.x,_xlpm.x&lt;&gt;"Reduce"))</f>
        <v>Reuse</v>
      </c>
      <c r="Q107" t="str">
        <f ca="1"/>
        <v>Composting</v>
      </c>
      <c r="R107" t="str">
        <f ca="1"/>
        <v>Anaerobic Digestion</v>
      </c>
      <c r="S107" t="str">
        <f ca="1"/>
        <v>Landfill</v>
      </c>
      <c r="T107" t="str">
        <f ca="1"/>
        <v>Waste-to-Energy</v>
      </c>
      <c r="U107" t="str">
        <f ca="1"/>
        <v>Incineration</v>
      </c>
    </row>
    <row r="108" spans="6:23">
      <c r="F108" s="31"/>
      <c r="G108" s="8" t="s">
        <v>570</v>
      </c>
      <c r="H108" s="7" t="s">
        <v>225</v>
      </c>
      <c r="N108" s="5" t="str">
        <f t="shared" si="4"/>
        <v>LOOKUPS!P108#</v>
      </c>
      <c r="O108" s="60" t="str">
        <v>Oils/Grease</v>
      </c>
      <c r="P108" s="5" t="str" cm="1">
        <f t="array" aca="1" ref="P108:T108" ca="1">_xlfn.LET(_xlpm.x,_xlfn._xlws.FILTER(TRANSPOSE(ls_WHM),_xlfn.CHOOSEROWS(INDIRECT(Factors!$H$10),MATCH(O108,ls_Mat,0))="x","Check WH options"),_xlfn._xlws.FILTER(_xlpm.x,_xlpm.x&lt;&gt;"Reduce"))</f>
        <v>Composting</v>
      </c>
      <c r="Q108" t="str">
        <f ca="1"/>
        <v>Anaerobic Digestion</v>
      </c>
      <c r="R108" t="str">
        <f ca="1"/>
        <v>Landfill</v>
      </c>
      <c r="S108" t="str">
        <f ca="1"/>
        <v>Waste-to-Energy</v>
      </c>
      <c r="T108" t="str">
        <f ca="1"/>
        <v>Incineration</v>
      </c>
    </row>
    <row r="109" spans="6:23">
      <c r="G109" s="2" cm="1">
        <f t="array" ref="G109:G116">_xlfn.SEQUENCE(COUNTA(ls_WHM))</f>
        <v>1</v>
      </c>
      <c r="H109" s="5" t="s">
        <v>234</v>
      </c>
      <c r="N109" s="5" t="str">
        <f t="shared" si="4"/>
        <v>LOOKUPS!P109#</v>
      </c>
      <c r="O109" s="60" t="str">
        <v>Plastics - Generic</v>
      </c>
      <c r="P109" s="5" t="str" cm="1">
        <f t="array" aca="1" ref="P109:T109" ca="1">_xlfn.LET(_xlpm.x,_xlfn._xlws.FILTER(TRANSPOSE(ls_WHM),_xlfn.CHOOSEROWS(INDIRECT(Factors!$H$10),MATCH(O109,ls_Mat,0))="x","Check WH options"),_xlfn._xlws.FILTER(_xlpm.x,_xlpm.x&lt;&gt;"Reduce"))</f>
        <v>Reuse</v>
      </c>
      <c r="Q109" t="str">
        <f ca="1"/>
        <v>Recycle</v>
      </c>
      <c r="R109" t="str">
        <f ca="1"/>
        <v>Landfill</v>
      </c>
      <c r="S109" t="str">
        <f ca="1"/>
        <v>Waste-to-Energy</v>
      </c>
      <c r="T109" t="str">
        <f ca="1"/>
        <v>Incineration</v>
      </c>
    </row>
    <row r="110" spans="6:23">
      <c r="G110" s="2">
        <v>2</v>
      </c>
      <c r="H110" s="5" t="s">
        <v>236</v>
      </c>
      <c r="N110" s="5" t="str">
        <f t="shared" si="4"/>
        <v>LOOKUPS!P110#</v>
      </c>
      <c r="O110" s="60" t="str">
        <v>High-Density Polyethylene (HDPE) (translucent and pigmented)</v>
      </c>
      <c r="P110" s="5" t="str" cm="1">
        <f t="array" aca="1" ref="P110:T110" ca="1">_xlfn.LET(_xlpm.x,_xlfn._xlws.FILTER(TRANSPOSE(ls_WHM),_xlfn.CHOOSEROWS(INDIRECT(Factors!$H$10),MATCH(O110,ls_Mat,0))="x","Check WH options"),_xlfn._xlws.FILTER(_xlpm.x,_xlpm.x&lt;&gt;"Reduce"))</f>
        <v>Reuse</v>
      </c>
      <c r="Q110" t="str">
        <f ca="1"/>
        <v>Recycle</v>
      </c>
      <c r="R110" t="str">
        <f ca="1"/>
        <v>Landfill</v>
      </c>
      <c r="S110" t="str">
        <f ca="1"/>
        <v>Waste-to-Energy</v>
      </c>
      <c r="T110" t="str">
        <f ca="1"/>
        <v>Incineration</v>
      </c>
    </row>
    <row r="111" spans="6:23">
      <c r="G111" s="2">
        <v>3</v>
      </c>
      <c r="H111" s="5" t="s">
        <v>244</v>
      </c>
      <c r="N111" s="5" t="str">
        <f t="shared" si="4"/>
        <v>LOOKUPS!P111#</v>
      </c>
      <c r="O111" s="60" t="str">
        <v>Low-Density Polyethylene (LDPE)</v>
      </c>
      <c r="P111" s="5" t="str" cm="1">
        <f t="array" aca="1" ref="P111:S111" ca="1">_xlfn.LET(_xlpm.x,_xlfn._xlws.FILTER(TRANSPOSE(ls_WHM),_xlfn.CHOOSEROWS(INDIRECT(Factors!$H$10),MATCH(O111,ls_Mat,0))="x","Check WH options"),_xlfn._xlws.FILTER(_xlpm.x,_xlpm.x&lt;&gt;"Reduce"))</f>
        <v>Recycle</v>
      </c>
      <c r="Q111" t="str">
        <f ca="1"/>
        <v>Landfill</v>
      </c>
      <c r="R111" t="str">
        <f ca="1"/>
        <v>Waste-to-Energy</v>
      </c>
      <c r="S111" t="str">
        <f ca="1"/>
        <v>Incineration</v>
      </c>
    </row>
    <row r="112" spans="6:23">
      <c r="G112" s="2">
        <v>4</v>
      </c>
      <c r="H112" s="5" t="s">
        <v>241</v>
      </c>
      <c r="N112" s="5" t="str">
        <f t="shared" si="4"/>
        <v>LOOKUPS!P112#</v>
      </c>
      <c r="O112" s="60" t="str">
        <v>Polyethylene Terephthalate (PET)</v>
      </c>
      <c r="P112" s="5" t="str" cm="1">
        <f t="array" aca="1" ref="P112:T112" ca="1">_xlfn.LET(_xlpm.x,_xlfn._xlws.FILTER(TRANSPOSE(ls_WHM),_xlfn.CHOOSEROWS(INDIRECT(Factors!$H$10),MATCH(O112,ls_Mat,0))="x","Check WH options"),_xlfn._xlws.FILTER(_xlpm.x,_xlpm.x&lt;&gt;"Reduce"))</f>
        <v>Reuse</v>
      </c>
      <c r="Q112" t="str">
        <f ca="1"/>
        <v>Recycle</v>
      </c>
      <c r="R112" t="str">
        <f ca="1"/>
        <v>Landfill</v>
      </c>
      <c r="S112" t="str">
        <f ca="1"/>
        <v>Waste-to-Energy</v>
      </c>
      <c r="T112" t="str">
        <f ca="1"/>
        <v>Incineration</v>
      </c>
    </row>
    <row r="113" spans="6:22">
      <c r="G113" s="2">
        <v>5</v>
      </c>
      <c r="H113" s="5" t="s">
        <v>255</v>
      </c>
      <c r="N113" s="5" t="str">
        <f t="shared" si="4"/>
        <v>LOOKUPS!P113#</v>
      </c>
      <c r="O113" s="60" t="str">
        <v>Linear Low-Density Polyethylene (LLDPE)</v>
      </c>
      <c r="P113" s="5" t="str" cm="1">
        <f t="array" aca="1" ref="P113:S113" ca="1">_xlfn.LET(_xlpm.x,_xlfn._xlws.FILTER(TRANSPOSE(ls_WHM),_xlfn.CHOOSEROWS(INDIRECT(Factors!$H$10),MATCH(O113,ls_Mat,0))="x","Check WH options"),_xlfn._xlws.FILTER(_xlpm.x,_xlpm.x&lt;&gt;"Reduce"))</f>
        <v>Recycle</v>
      </c>
      <c r="Q113" t="str">
        <f ca="1"/>
        <v>Landfill</v>
      </c>
      <c r="R113" t="str">
        <f ca="1"/>
        <v>Waste-to-Energy</v>
      </c>
      <c r="S113" t="str">
        <f ca="1"/>
        <v>Incineration</v>
      </c>
    </row>
    <row r="114" spans="6:22">
      <c r="G114" s="2">
        <v>6</v>
      </c>
      <c r="H114" s="5" t="s">
        <v>235</v>
      </c>
      <c r="N114" s="5" t="str">
        <f t="shared" si="4"/>
        <v>LOOKUPS!P114#</v>
      </c>
      <c r="O114" s="60" t="str">
        <v>Polypropylene (PP)</v>
      </c>
      <c r="P114" s="5" t="str" cm="1">
        <f t="array" aca="1" ref="P114:S114" ca="1">_xlfn.LET(_xlpm.x,_xlfn._xlws.FILTER(TRANSPOSE(ls_WHM),_xlfn.CHOOSEROWS(INDIRECT(Factors!$H$10),MATCH(O114,ls_Mat,0))="x","Check WH options"),_xlfn._xlws.FILTER(_xlpm.x,_xlpm.x&lt;&gt;"Reduce"))</f>
        <v>Reuse</v>
      </c>
      <c r="Q114" t="str">
        <f ca="1"/>
        <v>Landfill</v>
      </c>
      <c r="R114" t="str">
        <f ca="1"/>
        <v>Waste-to-Energy</v>
      </c>
      <c r="S114" t="str">
        <f ca="1"/>
        <v>Incineration</v>
      </c>
    </row>
    <row r="115" spans="6:22">
      <c r="G115" s="2">
        <v>7</v>
      </c>
      <c r="H115" s="5" t="s">
        <v>513</v>
      </c>
      <c r="N115" s="5" t="str">
        <f t="shared" si="4"/>
        <v>LOOKUPS!P115#</v>
      </c>
      <c r="O115" s="60" t="str">
        <v>Polyvinyl chloride (PVC)</v>
      </c>
      <c r="P115" s="5" t="str" cm="1">
        <f t="array" aca="1" ref="P115:S115" ca="1">_xlfn.LET(_xlpm.x,_xlfn._xlws.FILTER(TRANSPOSE(ls_WHM),_xlfn.CHOOSEROWS(INDIRECT(Factors!$H$10),MATCH(O115,ls_Mat,0))="x","Check WH options"),_xlfn._xlws.FILTER(_xlpm.x,_xlpm.x&lt;&gt;"Reduce"))</f>
        <v>Reuse</v>
      </c>
      <c r="Q115" t="str">
        <f ca="1"/>
        <v>Landfill</v>
      </c>
      <c r="R115" t="str">
        <f ca="1"/>
        <v>Waste-to-Energy</v>
      </c>
      <c r="S115" t="str">
        <f ca="1"/>
        <v>Incineration</v>
      </c>
    </row>
    <row r="116" spans="6:22">
      <c r="G116" s="2">
        <v>8</v>
      </c>
      <c r="H116" s="5" t="s">
        <v>397</v>
      </c>
      <c r="N116" s="5" t="str">
        <f t="shared" si="4"/>
        <v>LOOKUPS!P116#</v>
      </c>
      <c r="O116" s="60" t="str">
        <v>Electronics - Generic</v>
      </c>
      <c r="P116" s="5" t="str" cm="1">
        <f t="array" aca="1" ref="P116:T116" ca="1">_xlfn.LET(_xlpm.x,_xlfn._xlws.FILTER(TRANSPOSE(ls_WHM),_xlfn.CHOOSEROWS(INDIRECT(Factors!$H$10),MATCH(O116,ls_Mat,0))="x","Check WH options"),_xlfn._xlws.FILTER(_xlpm.x,_xlpm.x&lt;&gt;"Reduce"))</f>
        <v>Reuse</v>
      </c>
      <c r="Q116" t="str">
        <f ca="1"/>
        <v>Recycle</v>
      </c>
      <c r="R116" t="str">
        <f ca="1"/>
        <v>Landfill</v>
      </c>
      <c r="S116" t="str">
        <f ca="1"/>
        <v>Waste-to-Energy</v>
      </c>
      <c r="T116" t="str">
        <f ca="1"/>
        <v>Incineration</v>
      </c>
    </row>
    <row r="117" spans="6:22">
      <c r="N117" s="5" t="str">
        <f t="shared" si="4"/>
        <v>LOOKUPS!P117#</v>
      </c>
      <c r="O117" s="60" t="str">
        <v>E-waste</v>
      </c>
      <c r="P117" s="5" t="str" cm="1">
        <f t="array" aca="1" ref="P117:T117" ca="1">_xlfn.LET(_xlpm.x,_xlfn._xlws.FILTER(TRANSPOSE(ls_WHM),_xlfn.CHOOSEROWS(INDIRECT(Factors!$H$10),MATCH(O117,ls_Mat,0))="x","Check WH options"),_xlfn._xlws.FILTER(_xlpm.x,_xlpm.x&lt;&gt;"Reduce"))</f>
        <v>Reuse</v>
      </c>
      <c r="Q117" t="str">
        <f ca="1"/>
        <v>Recycle</v>
      </c>
      <c r="R117" t="str">
        <f ca="1"/>
        <v>Landfill</v>
      </c>
      <c r="S117" t="str">
        <f ca="1"/>
        <v>Waste-to-Energy</v>
      </c>
      <c r="T117" t="str">
        <f ca="1"/>
        <v>Incineration</v>
      </c>
    </row>
    <row r="118" spans="6:22">
      <c r="N118" s="5" t="str">
        <f t="shared" si="4"/>
        <v>LOOKUPS!P118#</v>
      </c>
      <c r="O118" s="60" t="str">
        <v>Batteries</v>
      </c>
      <c r="P118" s="5" t="str" cm="1">
        <f t="array" aca="1" ref="P118:T118" ca="1">_xlfn.LET(_xlpm.x,_xlfn._xlws.FILTER(TRANSPOSE(ls_WHM),_xlfn.CHOOSEROWS(INDIRECT(Factors!$H$10),MATCH(O118,ls_Mat,0))="x","Check WH options"),_xlfn._xlws.FILTER(_xlpm.x,_xlpm.x&lt;&gt;"Reduce"))</f>
        <v>Reuse</v>
      </c>
      <c r="Q118" t="str">
        <f ca="1"/>
        <v>Recycle</v>
      </c>
      <c r="R118" t="str">
        <f ca="1"/>
        <v>Landfill</v>
      </c>
      <c r="S118" t="str">
        <f ca="1"/>
        <v>Waste-to-Energy</v>
      </c>
      <c r="T118" t="str">
        <f ca="1"/>
        <v>Incineration</v>
      </c>
    </row>
    <row r="119" spans="6:22">
      <c r="F119" s="1" t="s">
        <v>650</v>
      </c>
      <c r="N119" s="5" t="str">
        <f t="shared" si="4"/>
        <v>LOOKUPS!P119#</v>
      </c>
      <c r="O119" s="60" t="str">
        <v>Paper - Generic</v>
      </c>
      <c r="P119" s="5" t="str" cm="1">
        <f t="array" aca="1" ref="P119:V119" ca="1">_xlfn.LET(_xlpm.x,_xlfn._xlws.FILTER(TRANSPOSE(ls_WHM),_xlfn.CHOOSEROWS(INDIRECT(Factors!$H$10),MATCH(O119,ls_Mat,0))="x","Check WH options"),_xlfn._xlws.FILTER(_xlpm.x,_xlpm.x&lt;&gt;"Reduce"))</f>
        <v>Reuse</v>
      </c>
      <c r="Q119" t="str">
        <f ca="1"/>
        <v>Recycle</v>
      </c>
      <c r="R119" t="str">
        <f ca="1"/>
        <v>Composting</v>
      </c>
      <c r="S119" t="str">
        <f ca="1"/>
        <v>Anaerobic Digestion</v>
      </c>
      <c r="T119" t="str">
        <f ca="1"/>
        <v>Landfill</v>
      </c>
      <c r="U119" t="str">
        <f ca="1"/>
        <v>Waste-to-Energy</v>
      </c>
      <c r="V119" t="str">
        <f ca="1"/>
        <v>Incineration</v>
      </c>
    </row>
    <row r="120" spans="6:22">
      <c r="G120" s="8" t="s">
        <v>570</v>
      </c>
      <c r="H120" s="7" t="s">
        <v>225</v>
      </c>
      <c r="N120" s="5" t="str">
        <f t="shared" si="4"/>
        <v>LOOKUPS!P120#</v>
      </c>
      <c r="O120" s="60" t="str">
        <v>Newsprint</v>
      </c>
      <c r="P120" s="5" t="str" cm="1">
        <f t="array" aca="1" ref="P120:U120" ca="1">_xlfn.LET(_xlpm.x,_xlfn._xlws.FILTER(TRANSPOSE(ls_WHM),_xlfn.CHOOSEROWS(INDIRECT(Factors!$H$10),MATCH(O120,ls_Mat,0))="x","Check WH options"),_xlfn._xlws.FILTER(_xlpm.x,_xlpm.x&lt;&gt;"Reduce"))</f>
        <v>Recycle</v>
      </c>
      <c r="Q120" t="str">
        <f ca="1"/>
        <v>Composting</v>
      </c>
      <c r="R120" t="str">
        <f ca="1"/>
        <v>Anaerobic Digestion</v>
      </c>
      <c r="S120" t="str">
        <f ca="1"/>
        <v>Landfill</v>
      </c>
      <c r="T120" t="str">
        <f ca="1"/>
        <v>Waste-to-Energy</v>
      </c>
      <c r="U120" t="str">
        <f ca="1"/>
        <v>Incineration</v>
      </c>
    </row>
    <row r="121" spans="6:22">
      <c r="G121" s="2">
        <v>9</v>
      </c>
      <c r="H121" s="5" t="s">
        <v>651</v>
      </c>
      <c r="N121" s="5" t="str">
        <f t="shared" si="4"/>
        <v>LOOKUPS!P121#</v>
      </c>
      <c r="O121" s="60" t="str">
        <v>Corr. Cardboard</v>
      </c>
      <c r="P121" s="5" t="str" cm="1">
        <f t="array" aca="1" ref="P121:V121" ca="1">_xlfn.LET(_xlpm.x,_xlfn._xlws.FILTER(TRANSPOSE(ls_WHM),_xlfn.CHOOSEROWS(INDIRECT(Factors!$H$10),MATCH(O121,ls_Mat,0))="x","Check WH options"),_xlfn._xlws.FILTER(_xlpm.x,_xlpm.x&lt;&gt;"Reduce"))</f>
        <v>Reuse</v>
      </c>
      <c r="Q121" t="str">
        <f ca="1"/>
        <v>Recycle</v>
      </c>
      <c r="R121" t="str">
        <f ca="1"/>
        <v>Composting</v>
      </c>
      <c r="S121" t="str">
        <f ca="1"/>
        <v>Anaerobic Digestion</v>
      </c>
      <c r="T121" t="str">
        <f ca="1"/>
        <v>Landfill</v>
      </c>
      <c r="U121" t="str">
        <f ca="1"/>
        <v>Waste-to-Energy</v>
      </c>
      <c r="V121" t="str">
        <f ca="1"/>
        <v>Incineration</v>
      </c>
    </row>
    <row r="122" spans="6:22">
      <c r="G122" s="2">
        <v>10</v>
      </c>
      <c r="H122" s="5" t="s">
        <v>652</v>
      </c>
      <c r="N122" s="5" t="str">
        <f t="shared" si="4"/>
        <v>LOOKUPS!P122#</v>
      </c>
      <c r="O122" s="60" t="str">
        <v>Office Paper</v>
      </c>
      <c r="P122" s="5" t="str" cm="1">
        <f t="array" aca="1" ref="P122:U122" ca="1">_xlfn.LET(_xlpm.x,_xlfn._xlws.FILTER(TRANSPOSE(ls_WHM),_xlfn.CHOOSEROWS(INDIRECT(Factors!$H$10),MATCH(O122,ls_Mat,0))="x","Check WH options"),_xlfn._xlws.FILTER(_xlpm.x,_xlpm.x&lt;&gt;"Reduce"))</f>
        <v>Recycle</v>
      </c>
      <c r="Q122" t="str">
        <f ca="1"/>
        <v>Composting</v>
      </c>
      <c r="R122" t="str">
        <f ca="1"/>
        <v>Anaerobic Digestion</v>
      </c>
      <c r="S122" t="str">
        <f ca="1"/>
        <v>Landfill</v>
      </c>
      <c r="T122" t="str">
        <f ca="1"/>
        <v>Waste-to-Energy</v>
      </c>
      <c r="U122" t="str">
        <f ca="1"/>
        <v>Incineration</v>
      </c>
    </row>
    <row r="123" spans="6:22">
      <c r="G123" s="2">
        <v>11</v>
      </c>
      <c r="H123" s="5" t="s">
        <v>653</v>
      </c>
      <c r="N123" s="5" t="str">
        <f t="shared" si="4"/>
        <v>LOOKUPS!P123#</v>
      </c>
      <c r="O123" s="60" t="str">
        <v>Magazines</v>
      </c>
      <c r="P123" s="5" t="str" cm="1">
        <f t="array" aca="1" ref="P123:U123" ca="1">_xlfn.LET(_xlpm.x,_xlfn._xlws.FILTER(TRANSPOSE(ls_WHM),_xlfn.CHOOSEROWS(INDIRECT(Factors!$H$10),MATCH(O123,ls_Mat,0))="x","Check WH options"),_xlfn._xlws.FILTER(_xlpm.x,_xlpm.x&lt;&gt;"Reduce"))</f>
        <v>Recycle</v>
      </c>
      <c r="Q123" t="str">
        <f ca="1"/>
        <v>Composting</v>
      </c>
      <c r="R123" t="str">
        <f ca="1"/>
        <v>Anaerobic Digestion</v>
      </c>
      <c r="S123" t="str">
        <f ca="1"/>
        <v>Landfill</v>
      </c>
      <c r="T123" t="str">
        <f ca="1"/>
        <v>Waste-to-Energy</v>
      </c>
      <c r="U123" t="str">
        <f ca="1"/>
        <v>Incineration</v>
      </c>
    </row>
    <row r="124" spans="6:22">
      <c r="G124" s="2">
        <v>12</v>
      </c>
      <c r="H124" s="5" t="s">
        <v>654</v>
      </c>
      <c r="N124" s="5" t="str">
        <f t="shared" si="4"/>
        <v>LOOKUPS!P124#</v>
      </c>
      <c r="O124" s="60" t="str">
        <v>3rd Class Mail</v>
      </c>
      <c r="P124" s="5" t="str" cm="1">
        <f t="array" aca="1" ref="P124:U124" ca="1">_xlfn.LET(_xlpm.x,_xlfn._xlws.FILTER(TRANSPOSE(ls_WHM),_xlfn.CHOOSEROWS(INDIRECT(Factors!$H$10),MATCH(O124,ls_Mat,0))="x","Check WH options"),_xlfn._xlws.FILTER(_xlpm.x,_xlpm.x&lt;&gt;"Reduce"))</f>
        <v>Recycle</v>
      </c>
      <c r="Q124" t="str">
        <f ca="1"/>
        <v>Composting</v>
      </c>
      <c r="R124" t="str">
        <f ca="1"/>
        <v>Anaerobic Digestion</v>
      </c>
      <c r="S124" t="str">
        <f ca="1"/>
        <v>Landfill</v>
      </c>
      <c r="T124" t="str">
        <f ca="1"/>
        <v>Waste-to-Energy</v>
      </c>
      <c r="U124" t="str">
        <f ca="1"/>
        <v>Incineration</v>
      </c>
    </row>
    <row r="125" spans="6:22">
      <c r="G125" s="2">
        <v>13</v>
      </c>
      <c r="H125" s="5" t="s">
        <v>655</v>
      </c>
      <c r="N125" s="5" t="str">
        <f t="shared" si="4"/>
        <v>LOOKUPS!P125#</v>
      </c>
      <c r="O125" s="60" t="str">
        <v>Folding Containers</v>
      </c>
      <c r="P125" s="5" t="str" cm="1">
        <f t="array" aca="1" ref="P125:U125" ca="1">_xlfn.LET(_xlpm.x,_xlfn._xlws.FILTER(TRANSPOSE(ls_WHM),_xlfn.CHOOSEROWS(INDIRECT(Factors!$H$10),MATCH(O125,ls_Mat,0))="x","Check WH options"),_xlfn._xlws.FILTER(_xlpm.x,_xlpm.x&lt;&gt;"Reduce"))</f>
        <v>Recycle</v>
      </c>
      <c r="Q125" t="str">
        <f ca="1"/>
        <v>Composting</v>
      </c>
      <c r="R125" t="str">
        <f ca="1"/>
        <v>Anaerobic Digestion</v>
      </c>
      <c r="S125" t="str">
        <f ca="1"/>
        <v>Landfill</v>
      </c>
      <c r="T125" t="str">
        <f ca="1"/>
        <v>Waste-to-Energy</v>
      </c>
      <c r="U125" t="str">
        <f ca="1"/>
        <v>Incineration</v>
      </c>
    </row>
    <row r="126" spans="6:22">
      <c r="N126" s="5" t="str">
        <f t="shared" si="4"/>
        <v>LOOKUPS!P126#</v>
      </c>
      <c r="O126" s="60" t="str">
        <v>Paper Bags</v>
      </c>
      <c r="P126" s="5" t="str" cm="1">
        <f t="array" aca="1" ref="P126:U126" ca="1">_xlfn.LET(_xlpm.x,_xlfn._xlws.FILTER(TRANSPOSE(ls_WHM),_xlfn.CHOOSEROWS(INDIRECT(Factors!$H$10),MATCH(O126,ls_Mat,0))="x","Check WH options"),_xlfn._xlws.FILTER(_xlpm.x,_xlpm.x&lt;&gt;"Reduce"))</f>
        <v>Recycle</v>
      </c>
      <c r="Q126" t="str">
        <f ca="1"/>
        <v>Composting</v>
      </c>
      <c r="R126" t="str">
        <f ca="1"/>
        <v>Anaerobic Digestion</v>
      </c>
      <c r="S126" t="str">
        <f ca="1"/>
        <v>Landfill</v>
      </c>
      <c r="T126" t="str">
        <f ca="1"/>
        <v>Waste-to-Energy</v>
      </c>
      <c r="U126" t="str">
        <f ca="1"/>
        <v>Incineration</v>
      </c>
    </row>
    <row r="127" spans="6:22">
      <c r="N127" s="5" t="str">
        <f t="shared" si="4"/>
        <v>LOOKUPS!P127#</v>
      </c>
      <c r="O127" s="60" t="str">
        <v>Paper – Non-Recyclable</v>
      </c>
      <c r="P127" s="5" t="str" cm="1">
        <f t="array" aca="1" ref="P127:T127" ca="1">_xlfn.LET(_xlpm.x,_xlfn._xlws.FILTER(TRANSPOSE(ls_WHM),_xlfn.CHOOSEROWS(INDIRECT(Factors!$H$10),MATCH(O127,ls_Mat,0))="x","Check WH options"),_xlfn._xlws.FILTER(_xlpm.x,_xlpm.x&lt;&gt;"Reduce"))</f>
        <v>Composting</v>
      </c>
      <c r="Q127" t="str">
        <f ca="1"/>
        <v>Anaerobic Digestion</v>
      </c>
      <c r="R127" t="str">
        <f ca="1"/>
        <v>Landfill</v>
      </c>
      <c r="S127" t="str">
        <f ca="1"/>
        <v>Waste-to-Energy</v>
      </c>
      <c r="T127" t="str">
        <f ca="1"/>
        <v>Incineration</v>
      </c>
    </row>
    <row r="128" spans="6:22">
      <c r="F128" s="1" t="s">
        <v>656</v>
      </c>
      <c r="N128" s="5" t="str">
        <f t="shared" si="4"/>
        <v>LOOKUPS!P128#</v>
      </c>
      <c r="O128" s="60" t="str">
        <v>Compostable Food Service Ware</v>
      </c>
      <c r="P128" s="5" t="str" cm="1">
        <f t="array" aca="1" ref="P128:T128" ca="1">_xlfn.LET(_xlpm.x,_xlfn._xlws.FILTER(TRANSPOSE(ls_WHM),_xlfn.CHOOSEROWS(INDIRECT(Factors!$H$10),MATCH(O128,ls_Mat,0))="x","Check WH options"),_xlfn._xlws.FILTER(_xlpm.x,_xlpm.x&lt;&gt;"Reduce"))</f>
        <v>Composting</v>
      </c>
      <c r="Q128" t="str">
        <f ca="1"/>
        <v>Anaerobic Digestion</v>
      </c>
      <c r="R128" t="str">
        <f ca="1"/>
        <v>Landfill</v>
      </c>
      <c r="S128" t="str">
        <f ca="1"/>
        <v>Waste-to-Energy</v>
      </c>
      <c r="T128" t="str">
        <f ca="1"/>
        <v>Incineration</v>
      </c>
    </row>
    <row r="129" spans="6:21" ht="28.8">
      <c r="G129" s="7" t="s">
        <v>316</v>
      </c>
      <c r="H129" s="7" t="s">
        <v>657</v>
      </c>
      <c r="N129" s="5" t="str">
        <f t="shared" si="4"/>
        <v>LOOKUPS!P129#</v>
      </c>
      <c r="O129" s="60" t="str">
        <v>Metals - Generic</v>
      </c>
      <c r="P129" s="5" t="str" cm="1">
        <f t="array" aca="1" ref="P129:T129" ca="1">_xlfn.LET(_xlpm.x,_xlfn._xlws.FILTER(TRANSPOSE(ls_WHM),_xlfn.CHOOSEROWS(INDIRECT(Factors!$H$10),MATCH(O129,ls_Mat,0))="x","Check WH options"),_xlfn._xlws.FILTER(_xlpm.x,_xlpm.x&lt;&gt;"Reduce"))</f>
        <v>Reuse</v>
      </c>
      <c r="Q129" t="str">
        <f ca="1"/>
        <v>Recycle</v>
      </c>
      <c r="R129" t="str">
        <f ca="1"/>
        <v>Landfill</v>
      </c>
      <c r="S129" t="str">
        <f ca="1"/>
        <v>Waste-to-Energy</v>
      </c>
      <c r="T129" t="str">
        <f ca="1"/>
        <v>Incineration</v>
      </c>
    </row>
    <row r="130" spans="6:21">
      <c r="G130" s="3" cm="1">
        <f t="array" ref="G130:G138">_xlfn.SEQUENCE(COUNTA(_xlfn.ANCHORARRAY(H130)),,2)</f>
        <v>2</v>
      </c>
      <c r="H130" s="3" t="str" cm="1">
        <f t="array" ref="H130:H138">_xlfn._xlws.FILTER(ls_country,K171:K365="Yes")</f>
        <v>Australia</v>
      </c>
      <c r="N130" s="5" t="str">
        <f t="shared" si="4"/>
        <v>LOOKUPS!P130#</v>
      </c>
      <c r="O130" s="60" t="str">
        <v>Ferrous Cans</v>
      </c>
      <c r="P130" s="5" t="str" cm="1">
        <f t="array" aca="1" ref="P130:T130" ca="1">_xlfn.LET(_xlpm.x,_xlfn._xlws.FILTER(TRANSPOSE(ls_WHM),_xlfn.CHOOSEROWS(INDIRECT(Factors!$H$10),MATCH(O130,ls_Mat,0))="x","Check WH options"),_xlfn._xlws.FILTER(_xlpm.x,_xlpm.x&lt;&gt;"Reduce"))</f>
        <v>Reuse</v>
      </c>
      <c r="Q130" t="str">
        <f ca="1"/>
        <v>Recycle</v>
      </c>
      <c r="R130" t="str">
        <f ca="1"/>
        <v>Landfill</v>
      </c>
      <c r="S130" t="str">
        <f ca="1"/>
        <v>Waste-to-Energy</v>
      </c>
      <c r="T130" t="str">
        <f ca="1"/>
        <v>Incineration</v>
      </c>
    </row>
    <row r="131" spans="6:21">
      <c r="G131" s="3">
        <v>3</v>
      </c>
      <c r="H131" s="3" t="str">
        <v>Brazil</v>
      </c>
      <c r="N131" s="5" t="str">
        <f t="shared" si="4"/>
        <v>LOOKUPS!P131#</v>
      </c>
      <c r="O131" s="60" t="str">
        <v>Ferrous Metal</v>
      </c>
      <c r="P131" s="5" t="str" cm="1">
        <f t="array" aca="1" ref="P131:T131" ca="1">_xlfn.LET(_xlpm.x,_xlfn._xlws.FILTER(TRANSPOSE(ls_WHM),_xlfn.CHOOSEROWS(INDIRECT(Factors!$H$10),MATCH(O131,ls_Mat,0))="x","Check WH options"),_xlfn._xlws.FILTER(_xlpm.x,_xlpm.x&lt;&gt;"Reduce"))</f>
        <v>Reuse</v>
      </c>
      <c r="Q131" t="str">
        <f ca="1"/>
        <v>Recycle</v>
      </c>
      <c r="R131" t="str">
        <f ca="1"/>
        <v>Landfill</v>
      </c>
      <c r="S131" t="str">
        <f ca="1"/>
        <v>Waste-to-Energy</v>
      </c>
      <c r="T131" t="str">
        <f ca="1"/>
        <v>Incineration</v>
      </c>
    </row>
    <row r="132" spans="6:21">
      <c r="G132" s="3">
        <v>4</v>
      </c>
      <c r="H132" s="3" t="str">
        <v>Canada</v>
      </c>
      <c r="N132" s="5" t="str">
        <f t="shared" si="4"/>
        <v>LOOKUPS!P132#</v>
      </c>
      <c r="O132" s="60" t="str">
        <v>Aluminum Cans</v>
      </c>
      <c r="P132" s="5" t="str" cm="1">
        <f t="array" aca="1" ref="P132:T132" ca="1">_xlfn.LET(_xlpm.x,_xlfn._xlws.FILTER(TRANSPOSE(ls_WHM),_xlfn.CHOOSEROWS(INDIRECT(Factors!$H$10),MATCH(O132,ls_Mat,0))="x","Check WH options"),_xlfn._xlws.FILTER(_xlpm.x,_xlpm.x&lt;&gt;"Reduce"))</f>
        <v>Reuse</v>
      </c>
      <c r="Q132" t="str">
        <f ca="1"/>
        <v>Recycle</v>
      </c>
      <c r="R132" t="str">
        <f ca="1"/>
        <v>Landfill</v>
      </c>
      <c r="S132" t="str">
        <f ca="1"/>
        <v>Waste-to-Energy</v>
      </c>
      <c r="T132" t="str">
        <f ca="1"/>
        <v>Incineration</v>
      </c>
    </row>
    <row r="133" spans="6:21">
      <c r="G133" s="3">
        <v>5</v>
      </c>
      <c r="H133" s="3" t="str">
        <v>China</v>
      </c>
      <c r="N133" s="5" t="str">
        <f t="shared" si="4"/>
        <v>LOOKUPS!P133#</v>
      </c>
      <c r="O133" s="60" t="str">
        <v>Aluminum Foil</v>
      </c>
      <c r="P133" s="5" t="str" cm="1">
        <f t="array" aca="1" ref="P133:R133" ca="1">_xlfn.LET(_xlpm.x,_xlfn._xlws.FILTER(TRANSPOSE(ls_WHM),_xlfn.CHOOSEROWS(INDIRECT(Factors!$H$10),MATCH(O133,ls_Mat,0))="x","Check WH options"),_xlfn._xlws.FILTER(_xlpm.x,_xlpm.x&lt;&gt;"Reduce"))</f>
        <v>Landfill</v>
      </c>
      <c r="Q133" t="str">
        <f ca="1"/>
        <v>Waste-to-Energy</v>
      </c>
      <c r="R133" t="str">
        <f ca="1"/>
        <v>Incineration</v>
      </c>
    </row>
    <row r="134" spans="6:21">
      <c r="G134" s="3">
        <v>6</v>
      </c>
      <c r="H134" s="3" t="str">
        <v>India</v>
      </c>
      <c r="N134" s="5" t="str">
        <f t="shared" si="4"/>
        <v>LOOKUPS!P134#</v>
      </c>
      <c r="O134" s="60" t="str">
        <v>Other Aluminum</v>
      </c>
      <c r="P134" s="5" t="str" cm="1">
        <f t="array" aca="1" ref="P134:T134" ca="1">_xlfn.LET(_xlpm.x,_xlfn._xlws.FILTER(TRANSPOSE(ls_WHM),_xlfn.CHOOSEROWS(INDIRECT(Factors!$H$10),MATCH(O134,ls_Mat,0))="x","Check WH options"),_xlfn._xlws.FILTER(_xlpm.x,_xlpm.x&lt;&gt;"Reduce"))</f>
        <v>Reuse</v>
      </c>
      <c r="Q134" t="str">
        <f ca="1"/>
        <v>Recycle</v>
      </c>
      <c r="R134" t="str">
        <f ca="1"/>
        <v>Landfill</v>
      </c>
      <c r="S134" t="str">
        <f ca="1"/>
        <v>Waste-to-Energy</v>
      </c>
      <c r="T134" t="str">
        <f ca="1"/>
        <v>Incineration</v>
      </c>
    </row>
    <row r="135" spans="6:21">
      <c r="G135" s="3">
        <v>7</v>
      </c>
      <c r="H135" s="3" t="str">
        <v>Ireland</v>
      </c>
      <c r="N135" s="5" t="str">
        <f t="shared" si="4"/>
        <v>LOOKUPS!P135#</v>
      </c>
      <c r="O135" s="60" t="str">
        <v>Glass</v>
      </c>
      <c r="P135" s="5" t="str" cm="1">
        <f t="array" aca="1" ref="P135:U135" ca="1">_xlfn.LET(_xlpm.x,_xlfn._xlws.FILTER(TRANSPOSE(ls_WHM),_xlfn.CHOOSEROWS(INDIRECT(Factors!$H$10),MATCH(O135,ls_Mat,0))="x","Check WH options"),_xlfn._xlws.FILTER(_xlpm.x,_xlpm.x&lt;&gt;"Reduce"))</f>
        <v>Reuse</v>
      </c>
      <c r="Q135" t="str">
        <f ca="1"/>
        <v>Recycle</v>
      </c>
      <c r="R135" t="str">
        <f ca="1"/>
        <v>Composting</v>
      </c>
      <c r="S135" t="str">
        <f ca="1"/>
        <v>Landfill</v>
      </c>
      <c r="T135" t="str">
        <f ca="1"/>
        <v>Waste-to-Energy</v>
      </c>
      <c r="U135" t="str">
        <f ca="1"/>
        <v>Incineration</v>
      </c>
    </row>
    <row r="136" spans="6:21">
      <c r="G136" s="3">
        <v>8</v>
      </c>
      <c r="H136" s="3" t="str">
        <v>Mexico</v>
      </c>
      <c r="N136" s="5" t="str">
        <f t="shared" si="4"/>
        <v>LOOKUPS!P136#</v>
      </c>
      <c r="O136" s="60" t="str">
        <v>Glass – Brown</v>
      </c>
      <c r="P136" s="5" t="str" cm="1">
        <f t="array" aca="1" ref="P136:T136" ca="1">_xlfn.LET(_xlpm.x,_xlfn._xlws.FILTER(TRANSPOSE(ls_WHM),_xlfn.CHOOSEROWS(INDIRECT(Factors!$H$10),MATCH(O136,ls_Mat,0))="x","Check WH options"),_xlfn._xlws.FILTER(_xlpm.x,_xlpm.x&lt;&gt;"Reduce"))</f>
        <v>Reuse</v>
      </c>
      <c r="Q136" t="str">
        <f ca="1"/>
        <v>Recycle</v>
      </c>
      <c r="R136" t="str">
        <f ca="1"/>
        <v>Landfill</v>
      </c>
      <c r="S136" t="str">
        <f ca="1"/>
        <v>Waste-to-Energy</v>
      </c>
      <c r="T136" t="str">
        <f ca="1"/>
        <v>Incineration</v>
      </c>
    </row>
    <row r="137" spans="6:21">
      <c r="G137" s="3">
        <v>9</v>
      </c>
      <c r="H137" s="3" t="str">
        <v>Spain</v>
      </c>
      <c r="N137" s="5" t="str">
        <f t="shared" si="4"/>
        <v>LOOKUPS!P137#</v>
      </c>
      <c r="O137" s="60" t="str">
        <v>Glass – Green</v>
      </c>
      <c r="P137" s="5" t="str" cm="1">
        <f t="array" aca="1" ref="P137:T137" ca="1">_xlfn.LET(_xlpm.x,_xlfn._xlws.FILTER(TRANSPOSE(ls_WHM),_xlfn.CHOOSEROWS(INDIRECT(Factors!$H$10),MATCH(O137,ls_Mat,0))="x","Check WH options"),_xlfn._xlws.FILTER(_xlpm.x,_xlpm.x&lt;&gt;"Reduce"))</f>
        <v>Reuse</v>
      </c>
      <c r="Q137" t="str">
        <f ca="1"/>
        <v>Recycle</v>
      </c>
      <c r="R137" t="str">
        <f ca="1"/>
        <v>Landfill</v>
      </c>
      <c r="S137" t="str">
        <f ca="1"/>
        <v>Waste-to-Energy</v>
      </c>
      <c r="T137" t="str">
        <f ca="1"/>
        <v>Incineration</v>
      </c>
    </row>
    <row r="138" spans="6:21">
      <c r="G138" s="3">
        <v>10</v>
      </c>
      <c r="H138" s="3" t="str">
        <v>United States</v>
      </c>
      <c r="N138" s="5" t="str">
        <f t="shared" si="4"/>
        <v>LOOKUPS!P138#</v>
      </c>
      <c r="O138" s="60" t="str">
        <v>Glass – Clear</v>
      </c>
      <c r="P138" s="5" t="str" cm="1">
        <f t="array" aca="1" ref="P138:T138" ca="1">_xlfn.LET(_xlpm.x,_xlfn._xlws.FILTER(TRANSPOSE(ls_WHM),_xlfn.CHOOSEROWS(INDIRECT(Factors!$H$10),MATCH(O138,ls_Mat,0))="x","Check WH options"),_xlfn._xlws.FILTER(_xlpm.x,_xlpm.x&lt;&gt;"Reduce"))</f>
        <v>Reuse</v>
      </c>
      <c r="Q138" t="str">
        <f ca="1"/>
        <v>Recycle</v>
      </c>
      <c r="R138" t="str">
        <f ca="1"/>
        <v>Landfill</v>
      </c>
      <c r="S138" t="str">
        <f ca="1"/>
        <v>Waste-to-Energy</v>
      </c>
      <c r="T138" t="str">
        <f ca="1"/>
        <v>Incineration</v>
      </c>
    </row>
    <row r="139" spans="6:21">
      <c r="N139" s="5" t="str">
        <f t="shared" si="4"/>
        <v>LOOKUPS!P139#</v>
      </c>
      <c r="O139" s="60" t="str">
        <v>Mixed Glass</v>
      </c>
      <c r="P139" s="5" t="str" cm="1">
        <f t="array" aca="1" ref="P139:T139" ca="1">_xlfn.LET(_xlpm.x,_xlfn._xlws.FILTER(TRANSPOSE(ls_WHM),_xlfn.CHOOSEROWS(INDIRECT(Factors!$H$10),MATCH(O139,ls_Mat,0))="x","Check WH options"),_xlfn._xlws.FILTER(_xlpm.x,_xlpm.x&lt;&gt;"Reduce"))</f>
        <v>Reuse</v>
      </c>
      <c r="Q139" t="str">
        <f ca="1"/>
        <v>Recycle</v>
      </c>
      <c r="R139" t="str">
        <f ca="1"/>
        <v>Landfill</v>
      </c>
      <c r="S139" t="str">
        <f ca="1"/>
        <v>Waste-to-Energy</v>
      </c>
      <c r="T139" t="str">
        <f ca="1"/>
        <v>Incineration</v>
      </c>
    </row>
    <row r="140" spans="6:21">
      <c r="N140" s="5" t="str">
        <f t="shared" si="4"/>
        <v>LOOKUPS!P140#</v>
      </c>
      <c r="O140" s="60" t="str">
        <v>Glass – Non-Recyclable</v>
      </c>
      <c r="P140" s="5" t="str" cm="1">
        <f t="array" aca="1" ref="P140:S140" ca="1">_xlfn.LET(_xlpm.x,_xlfn._xlws.FILTER(TRANSPOSE(ls_WHM),_xlfn.CHOOSEROWS(INDIRECT(Factors!$H$10),MATCH(O140,ls_Mat,0))="x","Check WH options"),_xlfn._xlws.FILTER(_xlpm.x,_xlpm.x&lt;&gt;"Reduce"))</f>
        <v>Reuse</v>
      </c>
      <c r="Q140" t="str">
        <f ca="1"/>
        <v>Landfill</v>
      </c>
      <c r="R140" t="str">
        <f ca="1"/>
        <v>Waste-to-Energy</v>
      </c>
      <c r="S140" t="str">
        <f ca="1"/>
        <v>Incineration</v>
      </c>
    </row>
    <row r="141" spans="6:21">
      <c r="F141" s="1" t="s">
        <v>658</v>
      </c>
      <c r="N141" s="5" t="str">
        <f t="shared" si="4"/>
        <v>LOOKUPS!P141#</v>
      </c>
      <c r="O141" s="60" t="str">
        <v>Mixed Organics</v>
      </c>
      <c r="P141" s="5" t="str" cm="1">
        <f t="array" aca="1" ref="P141:T141" ca="1">_xlfn.LET(_xlpm.x,_xlfn._xlws.FILTER(TRANSPOSE(ls_WHM),_xlfn.CHOOSEROWS(INDIRECT(Factors!$H$10),MATCH(O141,ls_Mat,0))="x","Check WH options"),_xlfn._xlws.FILTER(_xlpm.x,_xlpm.x&lt;&gt;"Reduce"))</f>
        <v>Composting</v>
      </c>
      <c r="Q141" t="str">
        <f ca="1"/>
        <v>Anaerobic Digestion</v>
      </c>
      <c r="R141" t="str">
        <f ca="1"/>
        <v>Landfill</v>
      </c>
      <c r="S141" t="str">
        <f ca="1"/>
        <v>Waste-to-Energy</v>
      </c>
      <c r="T141" t="str">
        <f ca="1"/>
        <v>Incineration</v>
      </c>
    </row>
    <row r="142" spans="6:21">
      <c r="G142" s="7" t="s">
        <v>570</v>
      </c>
      <c r="H142" s="7" t="s">
        <v>659</v>
      </c>
      <c r="N142" s="5" t="str">
        <f t="shared" si="4"/>
        <v>LOOKUPS!P142#</v>
      </c>
      <c r="O142" s="60" t="str">
        <v>Mixed</v>
      </c>
      <c r="P142" s="5" t="str" cm="1">
        <f t="array" aca="1" ref="P142:S142" ca="1">_xlfn.LET(_xlpm.x,_xlfn._xlws.FILTER(TRANSPOSE(ls_WHM),_xlfn.CHOOSEROWS(INDIRECT(Factors!$H$10),MATCH(O142,ls_Mat,0))="x","Check WH options"),_xlfn._xlws.FILTER(_xlpm.x,_xlpm.x&lt;&gt;"Reduce"))</f>
        <v>Reuse</v>
      </c>
      <c r="Q142" t="str">
        <f ca="1"/>
        <v>Landfill</v>
      </c>
      <c r="R142" t="str">
        <f ca="1"/>
        <v>Waste-to-Energy</v>
      </c>
      <c r="S142" t="str">
        <f ca="1"/>
        <v>Incineration</v>
      </c>
    </row>
    <row r="143" spans="6:21">
      <c r="G143" s="3">
        <v>1</v>
      </c>
      <c r="H143" s="3" t="s">
        <v>660</v>
      </c>
      <c r="N143" s="5" t="str">
        <f t="shared" si="4"/>
        <v>LOOKUPS!P143#</v>
      </c>
      <c r="O143" s="60" t="str">
        <v>Mixed Inorganics</v>
      </c>
      <c r="P143" s="5" t="str" cm="1">
        <f t="array" aca="1" ref="P143:R143" ca="1">_xlfn.LET(_xlpm.x,_xlfn._xlws.FILTER(TRANSPOSE(ls_WHM),_xlfn.CHOOSEROWS(INDIRECT(Factors!$H$10),MATCH(O143,ls_Mat,0))="x","Check WH options"),_xlfn._xlws.FILTER(_xlpm.x,_xlpm.x&lt;&gt;"Reduce"))</f>
        <v>Landfill</v>
      </c>
      <c r="Q143" t="str">
        <f ca="1"/>
        <v>Waste-to-Energy</v>
      </c>
      <c r="R143" t="str">
        <f ca="1"/>
        <v>Incineration</v>
      </c>
    </row>
    <row r="144" spans="6:21">
      <c r="G144" s="3">
        <v>2</v>
      </c>
      <c r="H144" s="3" t="s">
        <v>661</v>
      </c>
      <c r="N144" s="5" t="str">
        <f t="shared" si="4"/>
        <v>LOOKUPS!P144#</v>
      </c>
      <c r="O144" s="60" t="str">
        <v>Mixed Municipal Solid Waste</v>
      </c>
      <c r="P144" s="5" t="str" cm="1">
        <f t="array" aca="1" ref="P144:T144" ca="1">_xlfn.LET(_xlpm.x,_xlfn._xlws.FILTER(TRANSPOSE(ls_WHM),_xlfn.CHOOSEROWS(INDIRECT(Factors!$H$10),MATCH(O144,ls_Mat,0))="x","Check WH options"),_xlfn._xlws.FILTER(_xlpm.x,_xlpm.x&lt;&gt;"Reduce"))</f>
        <v>Composting</v>
      </c>
      <c r="Q144" t="str">
        <f ca="1"/>
        <v>Anaerobic Digestion</v>
      </c>
      <c r="R144" t="str">
        <f ca="1"/>
        <v>Landfill</v>
      </c>
      <c r="S144" t="str">
        <f ca="1"/>
        <v>Waste-to-Energy</v>
      </c>
      <c r="T144" t="str">
        <f ca="1"/>
        <v>Incineration</v>
      </c>
    </row>
    <row r="145" spans="6:21">
      <c r="G145" s="3">
        <v>3</v>
      </c>
      <c r="H145" s="3" t="s">
        <v>662</v>
      </c>
      <c r="N145" s="5" t="str">
        <f t="shared" si="4"/>
        <v>LOOKUPS!P145#</v>
      </c>
      <c r="O145" s="60" t="str">
        <v>Mixed Plastics</v>
      </c>
      <c r="P145" s="5" t="str" cm="1">
        <f t="array" aca="1" ref="P145:S145" ca="1">_xlfn.LET(_xlpm.x,_xlfn._xlws.FILTER(TRANSPOSE(ls_WHM),_xlfn.CHOOSEROWS(INDIRECT(Factors!$H$10),MATCH(O145,ls_Mat,0))="x","Check WH options"),_xlfn._xlws.FILTER(_xlpm.x,_xlpm.x&lt;&gt;"Reduce"))</f>
        <v>Recycle</v>
      </c>
      <c r="Q145" t="str">
        <f ca="1"/>
        <v>Landfill</v>
      </c>
      <c r="R145" t="str">
        <f ca="1"/>
        <v>Waste-to-Energy</v>
      </c>
      <c r="S145" t="str">
        <f ca="1"/>
        <v>Incineration</v>
      </c>
    </row>
    <row r="146" spans="6:21">
      <c r="G146" s="3">
        <v>4</v>
      </c>
      <c r="H146" s="3" t="s">
        <v>663</v>
      </c>
      <c r="N146" s="5" t="str">
        <f>_xlfn.CONCAT("LOOKUPS!",ADDRESS(ROW(P180),COLUMN(P180),4),"#")</f>
        <v>LOOKUPS!P180#</v>
      </c>
      <c r="O146" s="60" t="str">
        <v>Mixed Paper</v>
      </c>
      <c r="P146" s="5" t="str" cm="1">
        <f t="array" aca="1" ref="P146:U146" ca="1">_xlfn.LET(_xlpm.x,_xlfn._xlws.FILTER(TRANSPOSE(ls_WHM),_xlfn.CHOOSEROWS(INDIRECT(Factors!$H$10),MATCH(O146,ls_Mat,0))="x","Check WH options"),_xlfn._xlws.FILTER(_xlpm.x,_xlpm.x&lt;&gt;"Reduce"))</f>
        <v>Recycle</v>
      </c>
      <c r="Q146" t="str">
        <f ca="1"/>
        <v>Composting</v>
      </c>
      <c r="R146" t="str">
        <f ca="1"/>
        <v>Anaerobic Digestion</v>
      </c>
      <c r="S146" t="str">
        <f ca="1"/>
        <v>Landfill</v>
      </c>
      <c r="T146" t="str">
        <f ca="1"/>
        <v>Waste-to-Energy</v>
      </c>
      <c r="U146" t="str">
        <f ca="1"/>
        <v>Incineration</v>
      </c>
    </row>
    <row r="147" spans="6:21">
      <c r="G147" s="3">
        <v>5</v>
      </c>
      <c r="H147" s="4" t="s">
        <v>10252</v>
      </c>
      <c r="N147" s="5" t="str">
        <f t="shared" ref="N147:N169" si="5">_xlfn.CONCAT("LOOKUPS!",ADDRESS(ROW(P147),COLUMN(P147),4),"#")</f>
        <v>LOOKUPS!P147#</v>
      </c>
      <c r="O147" s="60" t="str">
        <v>Mixed Recycling</v>
      </c>
      <c r="P147" s="5" t="str" cm="1">
        <f t="array" aca="1" ref="P147:S147" ca="1">_xlfn.LET(_xlpm.x,_xlfn._xlws.FILTER(TRANSPOSE(ls_WHM),_xlfn.CHOOSEROWS(INDIRECT(Factors!$H$10),MATCH(O147,ls_Mat,0))="x","Check WH options"),_xlfn._xlws.FILTER(_xlpm.x,_xlpm.x&lt;&gt;"Reduce"))</f>
        <v>Recycle</v>
      </c>
      <c r="Q147" t="str">
        <f ca="1"/>
        <v>Landfill</v>
      </c>
      <c r="R147" t="str">
        <f ca="1"/>
        <v>Waste-to-Energy</v>
      </c>
      <c r="S147" t="str">
        <f ca="1"/>
        <v>Incineration</v>
      </c>
    </row>
    <row r="148" spans="6:21">
      <c r="G148" s="3">
        <v>6</v>
      </c>
      <c r="H148" s="3" t="s">
        <v>209</v>
      </c>
      <c r="N148" s="5" t="str">
        <f t="shared" si="5"/>
        <v>LOOKUPS!P148#</v>
      </c>
      <c r="O148" s="60" t="str">
        <v>Furniture/Textiles - Generic</v>
      </c>
      <c r="P148" s="5" t="str" cm="1">
        <f t="array" aca="1" ref="P148:T148" ca="1">_xlfn.LET(_xlpm.x,_xlfn._xlws.FILTER(TRANSPOSE(ls_WHM),_xlfn.CHOOSEROWS(INDIRECT(Factors!$H$10),MATCH(O148,ls_Mat,0))="x","Check WH options"),_xlfn._xlws.FILTER(_xlpm.x,_xlpm.x&lt;&gt;"Reduce"))</f>
        <v>Reuse</v>
      </c>
      <c r="Q148" t="str">
        <f ca="1"/>
        <v>Recycle</v>
      </c>
      <c r="R148" t="str">
        <f ca="1"/>
        <v>Landfill</v>
      </c>
      <c r="S148" t="str">
        <f ca="1"/>
        <v>Waste-to-Energy</v>
      </c>
      <c r="T148" t="str">
        <f ca="1"/>
        <v>Incineration</v>
      </c>
    </row>
    <row r="149" spans="6:21">
      <c r="N149" s="5" t="str">
        <f t="shared" si="5"/>
        <v>LOOKUPS!P149#</v>
      </c>
      <c r="O149" s="3" t="str">
        <v>Furniture</v>
      </c>
      <c r="P149" s="5" t="str" cm="1">
        <f t="array" aca="1" ref="P149:S149" ca="1">_xlfn.LET(_xlpm.x,_xlfn._xlws.FILTER(TRANSPOSE(ls_WHM),_xlfn.CHOOSEROWS(INDIRECT(Factors!$H$10),MATCH(O149,ls_Mat,0))="x","Check WH options"),_xlfn._xlws.FILTER(_xlpm.x,_xlpm.x&lt;&gt;"Reduce"))</f>
        <v>Reuse</v>
      </c>
      <c r="Q149" t="str">
        <f ca="1"/>
        <v>Landfill</v>
      </c>
      <c r="R149" t="str">
        <f ca="1"/>
        <v>Waste-to-Energy</v>
      </c>
      <c r="S149" t="str">
        <f ca="1"/>
        <v>Incineration</v>
      </c>
    </row>
    <row r="150" spans="6:21">
      <c r="N150" s="5" t="str">
        <f t="shared" si="5"/>
        <v>LOOKUPS!P150#</v>
      </c>
      <c r="O150" s="3" t="str">
        <v>Appliances</v>
      </c>
      <c r="P150" s="5" t="str" cm="1">
        <f t="array" aca="1" ref="P150:T150" ca="1">_xlfn.LET(_xlpm.x,_xlfn._xlws.FILTER(TRANSPOSE(ls_WHM),_xlfn.CHOOSEROWS(INDIRECT(Factors!$H$10),MATCH(O150,ls_Mat,0))="x","Check WH options"),_xlfn._xlws.FILTER(_xlpm.x,_xlpm.x&lt;&gt;"Reduce"))</f>
        <v>Reuse</v>
      </c>
      <c r="Q150" t="str">
        <f ca="1"/>
        <v>Recycle</v>
      </c>
      <c r="R150" t="str">
        <f ca="1"/>
        <v>Landfill</v>
      </c>
      <c r="S150" t="str">
        <f ca="1"/>
        <v>Waste-to-Energy</v>
      </c>
      <c r="T150" t="str">
        <f ca="1"/>
        <v>Incineration</v>
      </c>
    </row>
    <row r="151" spans="6:21">
      <c r="F151" s="1" t="s">
        <v>664</v>
      </c>
      <c r="N151" s="5" t="str">
        <f t="shared" si="5"/>
        <v>LOOKUPS!P151#</v>
      </c>
      <c r="O151" s="3" t="str">
        <v>Lightbulb/Lamps</v>
      </c>
      <c r="P151" s="5" t="str" cm="1">
        <f t="array" aca="1" ref="P151:T151" ca="1">_xlfn.LET(_xlpm.x,_xlfn._xlws.FILTER(TRANSPOSE(ls_WHM),_xlfn.CHOOSEROWS(INDIRECT(Factors!$H$10),MATCH(O151,ls_Mat,0))="x","Check WH options"),_xlfn._xlws.FILTER(_xlpm.x,_xlpm.x&lt;&gt;"Reduce"))</f>
        <v>Reuse</v>
      </c>
      <c r="Q151" t="str">
        <f ca="1"/>
        <v>Recycle</v>
      </c>
      <c r="R151" t="str">
        <f ca="1"/>
        <v>Landfill</v>
      </c>
      <c r="S151" t="str">
        <f ca="1"/>
        <v>Waste-to-Energy</v>
      </c>
      <c r="T151" t="str">
        <f ca="1"/>
        <v>Incineration</v>
      </c>
    </row>
    <row r="152" spans="6:21">
      <c r="G152" s="7" t="s">
        <v>570</v>
      </c>
      <c r="H152" s="7" t="s">
        <v>295</v>
      </c>
      <c r="N152" s="5" t="str">
        <f t="shared" si="5"/>
        <v>LOOKUPS!P152#</v>
      </c>
      <c r="O152" s="3" t="str">
        <v>Textiles</v>
      </c>
      <c r="P152" s="5" t="str" cm="1">
        <f t="array" aca="1" ref="P152:T152" ca="1">_xlfn.LET(_xlpm.x,_xlfn._xlws.FILTER(TRANSPOSE(ls_WHM),_xlfn.CHOOSEROWS(INDIRECT(Factors!$H$10),MATCH(O152,ls_Mat,0))="x","Check WH options"),_xlfn._xlws.FILTER(_xlpm.x,_xlpm.x&lt;&gt;"Reduce"))</f>
        <v>Reuse</v>
      </c>
      <c r="Q152" t="str">
        <f ca="1"/>
        <v>Recycle</v>
      </c>
      <c r="R152" t="str">
        <f ca="1"/>
        <v>Landfill</v>
      </c>
      <c r="S152" t="str">
        <f ca="1"/>
        <v>Waste-to-Energy</v>
      </c>
      <c r="T152" t="str">
        <f ca="1"/>
        <v>Incineration</v>
      </c>
    </row>
    <row r="153" spans="6:21">
      <c r="G153" s="2">
        <v>1</v>
      </c>
      <c r="H153" s="2" t="s">
        <v>233</v>
      </c>
      <c r="N153" s="5" t="str">
        <f t="shared" si="5"/>
        <v>LOOKUPS!P153#</v>
      </c>
      <c r="O153" s="3" t="str">
        <v>General other</v>
      </c>
      <c r="P153" s="5" t="str" cm="1">
        <f t="array" aca="1" ref="P153:R153" ca="1">_xlfn.LET(_xlpm.x,_xlfn._xlws.FILTER(TRANSPOSE(ls_WHM),_xlfn.CHOOSEROWS(INDIRECT(Factors!$H$10),MATCH(O153,ls_Mat,0))="x","Check WH options"),_xlfn._xlws.FILTER(_xlpm.x,_xlpm.x&lt;&gt;"Reduce"))</f>
        <v>Landfill</v>
      </c>
      <c r="Q153" t="str">
        <f ca="1"/>
        <v>Waste-to-Energy</v>
      </c>
      <c r="R153" t="str">
        <f ca="1"/>
        <v>Incineration</v>
      </c>
    </row>
    <row r="154" spans="6:21">
      <c r="G154" s="2">
        <v>2</v>
      </c>
      <c r="H154" s="2" t="s">
        <v>261</v>
      </c>
      <c r="N154" s="5" t="str">
        <f t="shared" si="5"/>
        <v>LOOKUPS!P154#</v>
      </c>
      <c r="O154" s="3" t="str">
        <v>C&amp;D All</v>
      </c>
      <c r="P154" s="5" t="str" cm="1">
        <f t="array" aca="1" ref="P154:T154" ca="1">_xlfn.LET(_xlpm.x,_xlfn._xlws.FILTER(TRANSPOSE(ls_WHM),_xlfn.CHOOSEROWS(INDIRECT(Factors!$H$10),MATCH(O154,ls_Mat,0))="x","Check WH options"),_xlfn._xlws.FILTER(_xlpm.x,_xlpm.x&lt;&gt;"Reduce"))</f>
        <v>Reuse</v>
      </c>
      <c r="Q154" t="str">
        <f ca="1"/>
        <v>Recycle</v>
      </c>
      <c r="R154" t="str">
        <f ca="1"/>
        <v>Landfill</v>
      </c>
      <c r="S154" t="str">
        <f ca="1"/>
        <v>Waste-to-Energy</v>
      </c>
      <c r="T154" t="str">
        <f ca="1"/>
        <v>Incineration</v>
      </c>
    </row>
    <row r="155" spans="6:21">
      <c r="G155" s="2">
        <v>3</v>
      </c>
      <c r="H155" s="2" t="s">
        <v>252</v>
      </c>
      <c r="N155" s="5" t="str">
        <f t="shared" si="5"/>
        <v>LOOKUPS!P155#</v>
      </c>
      <c r="O155" s="3" t="str">
        <v/>
      </c>
      <c r="P155" s="5" t="str" cm="1">
        <f t="array" aca="1" ref="P155" ca="1">_xlfn.LET(_xlpm.x,_xlfn._xlws.FILTER(TRANSPOSE(ls_WHM),_xlfn.CHOOSEROWS(INDIRECT(Factors!$H$10),MATCH(O155,ls_Mat,0))="x","Check WH options"),_xlfn._xlws.FILTER(_xlpm.x,_xlpm.x&lt;&gt;"Reduce"))</f>
        <v>Check WH options</v>
      </c>
    </row>
    <row r="156" spans="6:21">
      <c r="G156" s="2">
        <v>4</v>
      </c>
      <c r="H156" s="2" t="s">
        <v>242</v>
      </c>
      <c r="N156" s="5" t="str">
        <f t="shared" si="5"/>
        <v>LOOKUPS!P156#</v>
      </c>
      <c r="O156" s="3" t="str">
        <v/>
      </c>
      <c r="P156" s="5" t="str" cm="1">
        <f t="array" aca="1" ref="P156" ca="1">_xlfn.LET(_xlpm.x,_xlfn._xlws.FILTER(TRANSPOSE(ls_WHM),_xlfn.CHOOSEROWS(INDIRECT(Factors!$H$10),MATCH(O156,ls_Mat,0))="x","Check WH options"),_xlfn._xlws.FILTER(_xlpm.x,_xlpm.x&lt;&gt;"Reduce"))</f>
        <v>Check WH options</v>
      </c>
    </row>
    <row r="157" spans="6:21">
      <c r="G157" s="2">
        <v>5</v>
      </c>
      <c r="H157" s="2" t="s">
        <v>239</v>
      </c>
      <c r="N157" s="5" t="str">
        <f t="shared" si="5"/>
        <v>LOOKUPS!P157#</v>
      </c>
      <c r="O157" s="3" t="str">
        <v/>
      </c>
      <c r="P157" s="5" t="str" cm="1">
        <f t="array" aca="1" ref="P157" ca="1">_xlfn.LET(_xlpm.x,_xlfn._xlws.FILTER(TRANSPOSE(ls_WHM),_xlfn.CHOOSEROWS(INDIRECT(Factors!$H$10),MATCH(O157,ls_Mat,0))="x","Check WH options"),_xlfn._xlws.FILTER(_xlpm.x,_xlpm.x&lt;&gt;"Reduce"))</f>
        <v>Check WH options</v>
      </c>
    </row>
    <row r="158" spans="6:21">
      <c r="G158" s="2">
        <v>6</v>
      </c>
      <c r="H158" s="2" t="s">
        <v>256</v>
      </c>
      <c r="N158" s="5" t="str">
        <f t="shared" si="5"/>
        <v>LOOKUPS!P158#</v>
      </c>
      <c r="O158" s="3" t="str">
        <v/>
      </c>
      <c r="P158" s="5" t="str" cm="1">
        <f t="array" aca="1" ref="P158" ca="1">_xlfn.LET(_xlpm.x,_xlfn._xlws.FILTER(TRANSPOSE(ls_WHM),_xlfn.CHOOSEROWS(INDIRECT(Factors!$H$10),MATCH(O158,ls_Mat,0))="x","Check WH options"),_xlfn._xlws.FILTER(_xlpm.x,_xlpm.x&lt;&gt;"Reduce"))</f>
        <v>Check WH options</v>
      </c>
    </row>
    <row r="159" spans="6:21">
      <c r="G159" s="2">
        <v>7</v>
      </c>
      <c r="H159" s="2" t="s">
        <v>247</v>
      </c>
      <c r="N159" s="5" t="str">
        <f t="shared" si="5"/>
        <v>LOOKUPS!P159#</v>
      </c>
      <c r="O159" s="3" t="str">
        <v/>
      </c>
      <c r="P159" s="5" t="str" cm="1">
        <f t="array" aca="1" ref="P159" ca="1">_xlfn.LET(_xlpm.x,_xlfn._xlws.FILTER(TRANSPOSE(ls_WHM),_xlfn.CHOOSEROWS(INDIRECT(Factors!$H$10),MATCH(O159,ls_Mat,0))="x","Check WH options"),_xlfn._xlws.FILTER(_xlpm.x,_xlpm.x&lt;&gt;"Reduce"))</f>
        <v>Check WH options</v>
      </c>
    </row>
    <row r="160" spans="6:21">
      <c r="G160" s="2">
        <v>8</v>
      </c>
      <c r="H160" s="2" t="s">
        <v>10157</v>
      </c>
      <c r="N160" s="5" t="str">
        <f t="shared" si="5"/>
        <v>LOOKUPS!P160#</v>
      </c>
      <c r="O160" s="3" t="str">
        <v/>
      </c>
      <c r="P160" s="5" t="str" cm="1">
        <f t="array" aca="1" ref="P160" ca="1">_xlfn.LET(_xlpm.x,_xlfn._xlws.FILTER(TRANSPOSE(ls_WHM),_xlfn.CHOOSEROWS(INDIRECT(Factors!$H$10),MATCH(O160,ls_Mat,0))="x","Check WH options"),_xlfn._xlws.FILTER(_xlpm.x,_xlpm.x&lt;&gt;"Reduce"))</f>
        <v>Check WH options</v>
      </c>
    </row>
    <row r="161" spans="6:16">
      <c r="G161" s="2">
        <v>9</v>
      </c>
      <c r="H161" s="2" t="s">
        <v>264</v>
      </c>
      <c r="N161" s="5" t="str">
        <f t="shared" si="5"/>
        <v>LOOKUPS!P161#</v>
      </c>
      <c r="O161" s="3" t="str">
        <v/>
      </c>
      <c r="P161" s="5" t="str" cm="1">
        <f t="array" aca="1" ref="P161" ca="1">_xlfn.LET(_xlpm.x,_xlfn._xlws.FILTER(TRANSPOSE(ls_WHM),_xlfn.CHOOSEROWS(INDIRECT(Factors!$H$10),MATCH(O161,ls_Mat,0))="x","Check WH options"),_xlfn._xlws.FILTER(_xlpm.x,_xlpm.x&lt;&gt;"Reduce"))</f>
        <v>Check WH options</v>
      </c>
    </row>
    <row r="162" spans="6:16">
      <c r="G162" s="2">
        <v>10</v>
      </c>
      <c r="H162" s="2" t="s">
        <v>10169</v>
      </c>
      <c r="N162" s="5" t="str">
        <f t="shared" si="5"/>
        <v>LOOKUPS!P162#</v>
      </c>
      <c r="O162" s="3" t="str">
        <v/>
      </c>
      <c r="P162" s="5" t="str" cm="1">
        <f t="array" aca="1" ref="P162" ca="1">_xlfn.LET(_xlpm.x,_xlfn._xlws.FILTER(TRANSPOSE(ls_WHM),_xlfn.CHOOSEROWS(INDIRECT(Factors!$H$10),MATCH(O162,ls_Mat,0))="x","Check WH options"),_xlfn._xlws.FILTER(_xlpm.x,_xlpm.x&lt;&gt;"Reduce"))</f>
        <v>Check WH options</v>
      </c>
    </row>
    <row r="163" spans="6:16">
      <c r="G163" s="2">
        <v>11</v>
      </c>
      <c r="H163" s="2" t="s">
        <v>10158</v>
      </c>
      <c r="N163" s="5" t="str">
        <f t="shared" si="5"/>
        <v>LOOKUPS!P163#</v>
      </c>
      <c r="O163" s="3" t="str">
        <v/>
      </c>
      <c r="P163" s="5" t="str" cm="1">
        <f t="array" aca="1" ref="P163" ca="1">_xlfn.LET(_xlpm.x,_xlfn._xlws.FILTER(TRANSPOSE(ls_WHM),_xlfn.CHOOSEROWS(INDIRECT(Factors!$H$10),MATCH(O163,ls_Mat,0))="x","Check WH options"),_xlfn._xlws.FILTER(_xlpm.x,_xlpm.x&lt;&gt;"Reduce"))</f>
        <v>Check WH options</v>
      </c>
    </row>
    <row r="164" spans="6:16">
      <c r="N164" s="5" t="str">
        <f t="shared" si="5"/>
        <v>LOOKUPS!P164#</v>
      </c>
      <c r="O164" s="3" t="str">
        <v/>
      </c>
      <c r="P164" s="5" t="str" cm="1">
        <f t="array" aca="1" ref="P164" ca="1">_xlfn.LET(_xlpm.x,_xlfn._xlws.FILTER(TRANSPOSE(ls_WHM),_xlfn.CHOOSEROWS(INDIRECT(Factors!$H$10),MATCH(O164,ls_Mat,0))="x","Check WH options"),_xlfn._xlws.FILTER(_xlpm.x,_xlpm.x&lt;&gt;"Reduce"))</f>
        <v>Check WH options</v>
      </c>
    </row>
    <row r="165" spans="6:16">
      <c r="N165" s="5" t="str">
        <f t="shared" si="5"/>
        <v>LOOKUPS!P165#</v>
      </c>
      <c r="O165" s="3" t="str">
        <v/>
      </c>
      <c r="P165" s="5" t="str" cm="1">
        <f t="array" aca="1" ref="P165" ca="1">_xlfn.LET(_xlpm.x,_xlfn._xlws.FILTER(TRANSPOSE(ls_WHM),_xlfn.CHOOSEROWS(INDIRECT(Factors!$H$10),MATCH(O165,ls_Mat,0))="x","Check WH options"),_xlfn._xlws.FILTER(_xlpm.x,_xlpm.x&lt;&gt;"Reduce"))</f>
        <v>Check WH options</v>
      </c>
    </row>
    <row r="166" spans="6:16">
      <c r="N166" s="5" t="str">
        <f t="shared" si="5"/>
        <v>LOOKUPS!P166#</v>
      </c>
      <c r="O166" s="3" t="str">
        <v/>
      </c>
      <c r="P166" s="5" t="str" cm="1">
        <f t="array" aca="1" ref="P166" ca="1">_xlfn.LET(_xlpm.x,_xlfn._xlws.FILTER(TRANSPOSE(ls_WHM),_xlfn.CHOOSEROWS(INDIRECT(Factors!$H$10),MATCH(O166,ls_Mat,0))="x","Check WH options"),_xlfn._xlws.FILTER(_xlpm.x,_xlpm.x&lt;&gt;"Reduce"))</f>
        <v>Check WH options</v>
      </c>
    </row>
    <row r="167" spans="6:16">
      <c r="N167" s="5" t="str">
        <f t="shared" si="5"/>
        <v>LOOKUPS!P167#</v>
      </c>
      <c r="O167" s="3" t="str">
        <v/>
      </c>
      <c r="P167" s="5" t="str" cm="1">
        <f t="array" aca="1" ref="P167" ca="1">_xlfn.LET(_xlpm.x,_xlfn._xlws.FILTER(TRANSPOSE(ls_WHM),_xlfn.CHOOSEROWS(INDIRECT(Factors!$H$10),MATCH(O167,ls_Mat,0))="x","Check WH options"),_xlfn._xlws.FILTER(_xlpm.x,_xlpm.x&lt;&gt;"Reduce"))</f>
        <v>Check WH options</v>
      </c>
    </row>
    <row r="168" spans="6:16">
      <c r="N168" s="5" t="str">
        <f t="shared" si="5"/>
        <v>LOOKUPS!P168#</v>
      </c>
      <c r="O168" s="3" t="str">
        <v/>
      </c>
      <c r="P168" s="5" t="str" cm="1">
        <f t="array" aca="1" ref="P168" ca="1">_xlfn.LET(_xlpm.x,_xlfn._xlws.FILTER(TRANSPOSE(ls_WHM),_xlfn.CHOOSEROWS(INDIRECT(Factors!$H$10),MATCH(O168,ls_Mat,0))="x","Check WH options"),_xlfn._xlws.FILTER(_xlpm.x,_xlpm.x&lt;&gt;"Reduce"))</f>
        <v>Check WH options</v>
      </c>
    </row>
    <row r="169" spans="6:16">
      <c r="F169" s="1" t="s">
        <v>665</v>
      </c>
      <c r="N169" s="5" t="str">
        <f t="shared" si="5"/>
        <v>LOOKUPS!P169#</v>
      </c>
      <c r="O169" s="3" t="str">
        <v/>
      </c>
      <c r="P169" s="5" t="str" cm="1">
        <f t="array" aca="1" ref="P169" ca="1">_xlfn.LET(_xlpm.x,_xlfn._xlws.FILTER(TRANSPOSE(ls_WHM),_xlfn.CHOOSEROWS(INDIRECT(Factors!$H$10),MATCH(O169,ls_Mat,0))="x","Check WH options"),_xlfn._xlws.FILTER(_xlpm.x,_xlpm.x&lt;&gt;"Reduce"))</f>
        <v>Check WH options</v>
      </c>
    </row>
    <row r="170" spans="6:16">
      <c r="G170" s="7" t="s">
        <v>570</v>
      </c>
      <c r="H170" s="7" t="s">
        <v>666</v>
      </c>
      <c r="I170" s="7" t="s">
        <v>202</v>
      </c>
      <c r="J170" s="7" t="s">
        <v>667</v>
      </c>
      <c r="K170" s="7" t="s">
        <v>668</v>
      </c>
    </row>
    <row r="171" spans="6:16">
      <c r="G171" s="4" cm="1">
        <f t="array" ref="G171:G365">_xlfn.SEQUENCE(COUNTA(H171:H365))</f>
        <v>1</v>
      </c>
      <c r="H171" s="4" t="s">
        <v>547</v>
      </c>
      <c r="I171" s="4" t="s">
        <v>669</v>
      </c>
      <c r="J171" s="4" t="s">
        <v>670</v>
      </c>
      <c r="K171" s="4" t="s">
        <v>671</v>
      </c>
    </row>
    <row r="172" spans="6:16">
      <c r="G172" s="4">
        <v>2</v>
      </c>
      <c r="H172" s="4" t="s">
        <v>548</v>
      </c>
      <c r="I172" s="4" t="s">
        <v>672</v>
      </c>
      <c r="J172" s="4" t="s">
        <v>673</v>
      </c>
      <c r="K172" s="4" t="s">
        <v>671</v>
      </c>
    </row>
    <row r="173" spans="6:16">
      <c r="G173" s="4">
        <v>3</v>
      </c>
      <c r="H173" s="4" t="s">
        <v>546</v>
      </c>
      <c r="I173" s="4" t="s">
        <v>674</v>
      </c>
      <c r="J173" s="4" t="s">
        <v>675</v>
      </c>
      <c r="K173" s="4" t="s">
        <v>671</v>
      </c>
    </row>
    <row r="174" spans="6:16">
      <c r="G174" s="4">
        <v>4</v>
      </c>
      <c r="H174" s="4" t="s">
        <v>548</v>
      </c>
      <c r="I174" s="4" t="s">
        <v>676</v>
      </c>
      <c r="J174" s="4" t="s">
        <v>368</v>
      </c>
      <c r="K174" s="4" t="s">
        <v>671</v>
      </c>
    </row>
    <row r="175" spans="6:16">
      <c r="G175" s="4">
        <v>5</v>
      </c>
      <c r="H175" s="4" t="s">
        <v>546</v>
      </c>
      <c r="I175" s="4" t="s">
        <v>677</v>
      </c>
      <c r="J175" s="4" t="s">
        <v>678</v>
      </c>
      <c r="K175" s="4" t="s">
        <v>671</v>
      </c>
    </row>
    <row r="176" spans="6:16">
      <c r="G176" s="4">
        <v>6</v>
      </c>
      <c r="H176" s="4" t="s">
        <v>549</v>
      </c>
      <c r="I176" s="4" t="s">
        <v>679</v>
      </c>
      <c r="J176" s="4" t="s">
        <v>680</v>
      </c>
      <c r="K176" s="4" t="s">
        <v>671</v>
      </c>
    </row>
    <row r="177" spans="7:11">
      <c r="G177" s="4">
        <v>7</v>
      </c>
      <c r="H177" s="4" t="s">
        <v>552</v>
      </c>
      <c r="I177" s="4" t="s">
        <v>681</v>
      </c>
      <c r="J177" s="4" t="s">
        <v>682</v>
      </c>
      <c r="K177" s="4" t="s">
        <v>671</v>
      </c>
    </row>
    <row r="178" spans="7:11">
      <c r="G178" s="4">
        <v>8</v>
      </c>
      <c r="H178" s="4" t="s">
        <v>547</v>
      </c>
      <c r="I178" s="4" t="s">
        <v>683</v>
      </c>
      <c r="J178" s="4" t="s">
        <v>684</v>
      </c>
      <c r="K178" s="4" t="s">
        <v>671</v>
      </c>
    </row>
    <row r="179" spans="7:11">
      <c r="G179" s="4">
        <v>9</v>
      </c>
      <c r="H179" s="4" t="s">
        <v>550</v>
      </c>
      <c r="I179" s="4" t="s">
        <v>561</v>
      </c>
      <c r="J179" s="4" t="s">
        <v>685</v>
      </c>
      <c r="K179" s="4" t="s">
        <v>686</v>
      </c>
    </row>
    <row r="180" spans="7:11">
      <c r="G180" s="4">
        <v>10</v>
      </c>
      <c r="H180" s="4" t="s">
        <v>548</v>
      </c>
      <c r="I180" s="4" t="s">
        <v>687</v>
      </c>
      <c r="J180" s="4" t="s">
        <v>688</v>
      </c>
      <c r="K180" s="4" t="s">
        <v>671</v>
      </c>
    </row>
    <row r="181" spans="7:11">
      <c r="G181" s="4">
        <v>11</v>
      </c>
      <c r="H181" s="4" t="s">
        <v>547</v>
      </c>
      <c r="I181" s="4" t="s">
        <v>689</v>
      </c>
      <c r="J181" s="4" t="s">
        <v>690</v>
      </c>
      <c r="K181" s="4" t="s">
        <v>671</v>
      </c>
    </row>
    <row r="182" spans="7:11">
      <c r="G182" s="4">
        <v>12</v>
      </c>
      <c r="H182" s="4" t="s">
        <v>549</v>
      </c>
      <c r="I182" s="4" t="s">
        <v>691</v>
      </c>
      <c r="J182" s="4" t="s">
        <v>692</v>
      </c>
      <c r="K182" s="4" t="s">
        <v>671</v>
      </c>
    </row>
    <row r="183" spans="7:11">
      <c r="G183" s="4">
        <v>13</v>
      </c>
      <c r="H183" s="4" t="s">
        <v>547</v>
      </c>
      <c r="I183" s="4" t="s">
        <v>693</v>
      </c>
      <c r="J183" s="4" t="s">
        <v>694</v>
      </c>
      <c r="K183" s="4" t="s">
        <v>671</v>
      </c>
    </row>
    <row r="184" spans="7:11">
      <c r="G184" s="4">
        <v>14</v>
      </c>
      <c r="H184" s="4" t="s">
        <v>547</v>
      </c>
      <c r="I184" s="4" t="s">
        <v>695</v>
      </c>
      <c r="J184" s="4" t="s">
        <v>696</v>
      </c>
      <c r="K184" s="4" t="s">
        <v>671</v>
      </c>
    </row>
    <row r="185" spans="7:11">
      <c r="G185" s="4">
        <v>15</v>
      </c>
      <c r="H185" s="4" t="s">
        <v>549</v>
      </c>
      <c r="I185" s="4" t="s">
        <v>697</v>
      </c>
      <c r="J185" s="4" t="s">
        <v>698</v>
      </c>
      <c r="K185" s="4" t="s">
        <v>671</v>
      </c>
    </row>
    <row r="186" spans="7:11">
      <c r="G186" s="4">
        <v>16</v>
      </c>
      <c r="H186" s="4" t="s">
        <v>548</v>
      </c>
      <c r="I186" s="4" t="s">
        <v>699</v>
      </c>
      <c r="J186" s="4" t="s">
        <v>700</v>
      </c>
      <c r="K186" s="4" t="s">
        <v>671</v>
      </c>
    </row>
    <row r="187" spans="7:11">
      <c r="G187" s="4">
        <v>17</v>
      </c>
      <c r="H187" s="4" t="s">
        <v>548</v>
      </c>
      <c r="I187" s="4" t="s">
        <v>701</v>
      </c>
      <c r="J187" s="4" t="s">
        <v>702</v>
      </c>
      <c r="K187" s="4" t="s">
        <v>671</v>
      </c>
    </row>
    <row r="188" spans="7:11">
      <c r="G188" s="4">
        <v>18</v>
      </c>
      <c r="H188" s="4" t="s">
        <v>549</v>
      </c>
      <c r="I188" s="4" t="s">
        <v>703</v>
      </c>
      <c r="J188" s="4" t="s">
        <v>704</v>
      </c>
      <c r="K188" s="4" t="s">
        <v>671</v>
      </c>
    </row>
    <row r="189" spans="7:11">
      <c r="G189" s="4">
        <v>19</v>
      </c>
      <c r="H189" s="4" t="s">
        <v>546</v>
      </c>
      <c r="I189" s="4" t="s">
        <v>705</v>
      </c>
      <c r="J189" s="4" t="s">
        <v>706</v>
      </c>
      <c r="K189" s="4" t="s">
        <v>671</v>
      </c>
    </row>
    <row r="190" spans="7:11">
      <c r="G190" s="4">
        <v>20</v>
      </c>
      <c r="H190" s="4" t="s">
        <v>547</v>
      </c>
      <c r="I190" s="4" t="s">
        <v>707</v>
      </c>
      <c r="J190" s="4" t="s">
        <v>708</v>
      </c>
      <c r="K190" s="4" t="s">
        <v>671</v>
      </c>
    </row>
    <row r="191" spans="7:11">
      <c r="G191" s="4">
        <v>21</v>
      </c>
      <c r="H191" s="4" t="s">
        <v>552</v>
      </c>
      <c r="I191" s="4" t="s">
        <v>709</v>
      </c>
      <c r="J191" s="4" t="s">
        <v>710</v>
      </c>
      <c r="K191" s="4" t="s">
        <v>671</v>
      </c>
    </row>
    <row r="192" spans="7:11">
      <c r="G192" s="4">
        <v>22</v>
      </c>
      <c r="H192" s="4" t="s">
        <v>548</v>
      </c>
      <c r="I192" s="4" t="s">
        <v>711</v>
      </c>
      <c r="J192" s="4" t="s">
        <v>712</v>
      </c>
      <c r="K192" s="4" t="s">
        <v>671</v>
      </c>
    </row>
    <row r="193" spans="7:11">
      <c r="G193" s="4">
        <v>23</v>
      </c>
      <c r="H193" s="4" t="s">
        <v>546</v>
      </c>
      <c r="I193" s="4" t="s">
        <v>713</v>
      </c>
      <c r="J193" s="4" t="s">
        <v>714</v>
      </c>
      <c r="K193" s="4" t="s">
        <v>671</v>
      </c>
    </row>
    <row r="194" spans="7:11">
      <c r="G194" s="4">
        <v>24</v>
      </c>
      <c r="H194" s="4" t="s">
        <v>552</v>
      </c>
      <c r="I194" s="4" t="s">
        <v>555</v>
      </c>
      <c r="J194" s="4" t="s">
        <v>715</v>
      </c>
      <c r="K194" s="4" t="s">
        <v>686</v>
      </c>
    </row>
    <row r="195" spans="7:11">
      <c r="G195" s="4">
        <v>25</v>
      </c>
      <c r="H195" s="4" t="s">
        <v>547</v>
      </c>
      <c r="I195" s="4" t="s">
        <v>716</v>
      </c>
      <c r="J195" s="4" t="s">
        <v>717</v>
      </c>
      <c r="K195" s="4" t="s">
        <v>671</v>
      </c>
    </row>
    <row r="196" spans="7:11">
      <c r="G196" s="4">
        <v>26</v>
      </c>
      <c r="H196" s="4" t="s">
        <v>548</v>
      </c>
      <c r="I196" s="4" t="s">
        <v>718</v>
      </c>
      <c r="J196" s="4" t="s">
        <v>719</v>
      </c>
      <c r="K196" s="4" t="s">
        <v>671</v>
      </c>
    </row>
    <row r="197" spans="7:11">
      <c r="G197" s="4">
        <v>27</v>
      </c>
      <c r="H197" s="4" t="s">
        <v>546</v>
      </c>
      <c r="I197" s="4" t="s">
        <v>720</v>
      </c>
      <c r="J197" s="4" t="s">
        <v>721</v>
      </c>
      <c r="K197" s="4" t="s">
        <v>671</v>
      </c>
    </row>
    <row r="198" spans="7:11">
      <c r="G198" s="4">
        <v>28</v>
      </c>
      <c r="H198" s="4" t="s">
        <v>546</v>
      </c>
      <c r="I198" s="4" t="s">
        <v>722</v>
      </c>
      <c r="J198" s="4" t="s">
        <v>723</v>
      </c>
      <c r="K198" s="4" t="s">
        <v>671</v>
      </c>
    </row>
    <row r="199" spans="7:11">
      <c r="G199" s="4">
        <v>29</v>
      </c>
      <c r="H199" s="4" t="s">
        <v>546</v>
      </c>
      <c r="I199" s="4" t="s">
        <v>724</v>
      </c>
      <c r="J199" s="4" t="s">
        <v>725</v>
      </c>
      <c r="K199" s="4" t="s">
        <v>671</v>
      </c>
    </row>
    <row r="200" spans="7:11">
      <c r="G200" s="4">
        <v>30</v>
      </c>
      <c r="H200" s="4" t="s">
        <v>547</v>
      </c>
      <c r="I200" s="4" t="s">
        <v>726</v>
      </c>
      <c r="J200" s="4" t="s">
        <v>727</v>
      </c>
      <c r="K200" s="4" t="s">
        <v>671</v>
      </c>
    </row>
    <row r="201" spans="7:11">
      <c r="G201" s="4">
        <v>31</v>
      </c>
      <c r="H201" s="4" t="s">
        <v>546</v>
      </c>
      <c r="I201" s="4" t="s">
        <v>728</v>
      </c>
      <c r="J201" s="4" t="s">
        <v>729</v>
      </c>
      <c r="K201" s="4" t="s">
        <v>671</v>
      </c>
    </row>
    <row r="202" spans="7:11">
      <c r="G202" s="4">
        <v>32</v>
      </c>
      <c r="H202" s="4" t="s">
        <v>549</v>
      </c>
      <c r="I202" s="4" t="s">
        <v>558</v>
      </c>
      <c r="J202" s="4" t="s">
        <v>730</v>
      </c>
      <c r="K202" s="4" t="s">
        <v>686</v>
      </c>
    </row>
    <row r="203" spans="7:11">
      <c r="G203" s="4">
        <v>33</v>
      </c>
      <c r="H203" s="4" t="s">
        <v>546</v>
      </c>
      <c r="I203" s="4" t="s">
        <v>731</v>
      </c>
      <c r="J203" s="4" t="s">
        <v>732</v>
      </c>
      <c r="K203" s="4" t="s">
        <v>671</v>
      </c>
    </row>
    <row r="204" spans="7:11">
      <c r="G204" s="4">
        <v>34</v>
      </c>
      <c r="H204" s="4" t="s">
        <v>546</v>
      </c>
      <c r="I204" s="4" t="s">
        <v>733</v>
      </c>
      <c r="J204" s="4" t="s">
        <v>734</v>
      </c>
      <c r="K204" s="4" t="s">
        <v>671</v>
      </c>
    </row>
    <row r="205" spans="7:11">
      <c r="G205" s="4">
        <v>35</v>
      </c>
      <c r="H205" s="4" t="s">
        <v>552</v>
      </c>
      <c r="I205" s="4" t="s">
        <v>735</v>
      </c>
      <c r="J205" s="4" t="s">
        <v>736</v>
      </c>
      <c r="K205" s="4" t="s">
        <v>671</v>
      </c>
    </row>
    <row r="206" spans="7:11">
      <c r="G206" s="4">
        <v>36</v>
      </c>
      <c r="H206" s="4" t="s">
        <v>547</v>
      </c>
      <c r="I206" s="4" t="s">
        <v>553</v>
      </c>
      <c r="J206" s="4" t="s">
        <v>737</v>
      </c>
      <c r="K206" s="4" t="s">
        <v>686</v>
      </c>
    </row>
    <row r="207" spans="7:11">
      <c r="G207" s="4">
        <v>37</v>
      </c>
      <c r="H207" s="4" t="s">
        <v>552</v>
      </c>
      <c r="I207" s="4" t="s">
        <v>738</v>
      </c>
      <c r="J207" s="4" t="s">
        <v>739</v>
      </c>
      <c r="K207" s="4" t="s">
        <v>671</v>
      </c>
    </row>
    <row r="208" spans="7:11">
      <c r="G208" s="4">
        <v>38</v>
      </c>
      <c r="H208" s="4" t="s">
        <v>546</v>
      </c>
      <c r="I208" s="4" t="s">
        <v>740</v>
      </c>
      <c r="J208" s="4" t="s">
        <v>741</v>
      </c>
      <c r="K208" s="4" t="s">
        <v>671</v>
      </c>
    </row>
    <row r="209" spans="7:11">
      <c r="G209" s="4">
        <v>39</v>
      </c>
      <c r="H209" s="4" t="s">
        <v>546</v>
      </c>
      <c r="I209" s="4" t="s">
        <v>742</v>
      </c>
      <c r="J209" s="4" t="s">
        <v>743</v>
      </c>
      <c r="K209" s="4" t="s">
        <v>671</v>
      </c>
    </row>
    <row r="210" spans="7:11">
      <c r="G210" s="4">
        <v>40</v>
      </c>
      <c r="H210" s="4" t="s">
        <v>549</v>
      </c>
      <c r="I210" s="4" t="s">
        <v>744</v>
      </c>
      <c r="J210" s="4" t="s">
        <v>745</v>
      </c>
      <c r="K210" s="4" t="s">
        <v>671</v>
      </c>
    </row>
    <row r="211" spans="7:11">
      <c r="G211" s="4">
        <v>41</v>
      </c>
      <c r="H211" s="4" t="s">
        <v>546</v>
      </c>
      <c r="I211" s="4" t="s">
        <v>746</v>
      </c>
      <c r="J211" s="4" t="s">
        <v>747</v>
      </c>
      <c r="K211" s="4" t="s">
        <v>671</v>
      </c>
    </row>
    <row r="212" spans="7:11">
      <c r="G212" s="4">
        <v>42</v>
      </c>
      <c r="H212" s="4" t="s">
        <v>548</v>
      </c>
      <c r="I212" s="4" t="s">
        <v>748</v>
      </c>
      <c r="J212" s="4" t="s">
        <v>749</v>
      </c>
      <c r="K212" s="4" t="s">
        <v>671</v>
      </c>
    </row>
    <row r="213" spans="7:11">
      <c r="G213" s="4">
        <v>43</v>
      </c>
      <c r="H213" s="4" t="s">
        <v>549</v>
      </c>
      <c r="I213" s="4" t="s">
        <v>750</v>
      </c>
      <c r="J213" s="4" t="s">
        <v>751</v>
      </c>
      <c r="K213" s="4" t="s">
        <v>671</v>
      </c>
    </row>
    <row r="214" spans="7:11">
      <c r="G214" s="4">
        <v>44</v>
      </c>
      <c r="H214" s="4" t="s">
        <v>548</v>
      </c>
      <c r="I214" s="4" t="s">
        <v>752</v>
      </c>
      <c r="J214" s="4" t="s">
        <v>753</v>
      </c>
      <c r="K214" s="4" t="s">
        <v>671</v>
      </c>
    </row>
    <row r="215" spans="7:11">
      <c r="G215" s="4">
        <v>45</v>
      </c>
      <c r="H215" s="4" t="s">
        <v>548</v>
      </c>
      <c r="I215" s="4" t="s">
        <v>754</v>
      </c>
      <c r="J215" s="4" t="s">
        <v>755</v>
      </c>
      <c r="K215" s="4" t="s">
        <v>671</v>
      </c>
    </row>
    <row r="216" spans="7:11">
      <c r="G216" s="4">
        <v>46</v>
      </c>
      <c r="H216" s="4" t="s">
        <v>546</v>
      </c>
      <c r="I216" s="4" t="s">
        <v>756</v>
      </c>
      <c r="J216" s="4" t="s">
        <v>757</v>
      </c>
      <c r="K216" s="4" t="s">
        <v>671</v>
      </c>
    </row>
    <row r="217" spans="7:11">
      <c r="G217" s="4">
        <v>47</v>
      </c>
      <c r="H217" s="4" t="s">
        <v>548</v>
      </c>
      <c r="I217" s="4" t="s">
        <v>758</v>
      </c>
      <c r="J217" s="4" t="s">
        <v>759</v>
      </c>
      <c r="K217" s="4" t="s">
        <v>671</v>
      </c>
    </row>
    <row r="218" spans="7:11">
      <c r="G218" s="4">
        <v>48</v>
      </c>
      <c r="H218" s="4" t="s">
        <v>546</v>
      </c>
      <c r="I218" s="4" t="s">
        <v>760</v>
      </c>
      <c r="J218" s="4" t="s">
        <v>761</v>
      </c>
      <c r="K218" s="4" t="s">
        <v>671</v>
      </c>
    </row>
    <row r="219" spans="7:11">
      <c r="G219" s="4">
        <v>49</v>
      </c>
      <c r="H219" s="4" t="s">
        <v>549</v>
      </c>
      <c r="I219" s="4" t="s">
        <v>762</v>
      </c>
      <c r="J219" s="4" t="s">
        <v>763</v>
      </c>
      <c r="K219" s="4" t="s">
        <v>671</v>
      </c>
    </row>
    <row r="220" spans="7:11">
      <c r="G220" s="4">
        <v>50</v>
      </c>
      <c r="H220" s="4" t="s">
        <v>549</v>
      </c>
      <c r="I220" s="4" t="s">
        <v>764</v>
      </c>
      <c r="J220" s="4" t="s">
        <v>765</v>
      </c>
      <c r="K220" s="4" t="s">
        <v>671</v>
      </c>
    </row>
    <row r="221" spans="7:11">
      <c r="G221" s="4">
        <v>51</v>
      </c>
      <c r="H221" s="4" t="s">
        <v>552</v>
      </c>
      <c r="I221" s="4" t="s">
        <v>766</v>
      </c>
      <c r="J221" s="4" t="s">
        <v>767</v>
      </c>
      <c r="K221" s="4" t="s">
        <v>671</v>
      </c>
    </row>
    <row r="222" spans="7:11">
      <c r="G222" s="4">
        <v>52</v>
      </c>
      <c r="H222" s="4" t="s">
        <v>546</v>
      </c>
      <c r="I222" s="4" t="s">
        <v>768</v>
      </c>
      <c r="J222" s="4" t="s">
        <v>769</v>
      </c>
      <c r="K222" s="4" t="s">
        <v>671</v>
      </c>
    </row>
    <row r="223" spans="7:11">
      <c r="G223" s="4">
        <v>53</v>
      </c>
      <c r="H223" s="4" t="s">
        <v>549</v>
      </c>
      <c r="I223" s="4" t="s">
        <v>770</v>
      </c>
      <c r="J223" s="4" t="s">
        <v>771</v>
      </c>
      <c r="K223" s="4" t="s">
        <v>671</v>
      </c>
    </row>
    <row r="224" spans="7:11">
      <c r="G224" s="4">
        <v>54</v>
      </c>
      <c r="H224" s="59" t="s">
        <v>546</v>
      </c>
      <c r="I224" s="59" t="s">
        <v>772</v>
      </c>
      <c r="J224" s="59" t="s">
        <v>773</v>
      </c>
      <c r="K224" s="4" t="s">
        <v>671</v>
      </c>
    </row>
    <row r="225" spans="7:11">
      <c r="G225" s="4">
        <v>55</v>
      </c>
      <c r="H225" s="4" t="s">
        <v>546</v>
      </c>
      <c r="I225" s="4" t="s">
        <v>774</v>
      </c>
      <c r="J225" s="4" t="s">
        <v>775</v>
      </c>
      <c r="K225" s="4" t="s">
        <v>671</v>
      </c>
    </row>
    <row r="226" spans="7:11">
      <c r="G226" s="4">
        <v>56</v>
      </c>
      <c r="H226" s="4" t="s">
        <v>548</v>
      </c>
      <c r="I226" s="4" t="s">
        <v>776</v>
      </c>
      <c r="J226" s="4" t="s">
        <v>777</v>
      </c>
      <c r="K226" s="4" t="s">
        <v>671</v>
      </c>
    </row>
    <row r="227" spans="7:11">
      <c r="G227" s="4">
        <v>57</v>
      </c>
      <c r="H227" s="4" t="s">
        <v>546</v>
      </c>
      <c r="I227" s="4" t="s">
        <v>778</v>
      </c>
      <c r="J227" s="4" t="s">
        <v>779</v>
      </c>
      <c r="K227" s="4" t="s">
        <v>671</v>
      </c>
    </row>
    <row r="228" spans="7:11">
      <c r="G228" s="4">
        <v>58</v>
      </c>
      <c r="H228" s="4" t="s">
        <v>546</v>
      </c>
      <c r="I228" s="4" t="s">
        <v>780</v>
      </c>
      <c r="J228" s="4" t="s">
        <v>781</v>
      </c>
      <c r="K228" s="4" t="s">
        <v>671</v>
      </c>
    </row>
    <row r="229" spans="7:11">
      <c r="G229" s="4">
        <v>59</v>
      </c>
      <c r="H229" s="4" t="s">
        <v>550</v>
      </c>
      <c r="I229" s="4" t="s">
        <v>782</v>
      </c>
      <c r="J229" s="4" t="s">
        <v>783</v>
      </c>
      <c r="K229" s="4" t="s">
        <v>671</v>
      </c>
    </row>
    <row r="230" spans="7:11">
      <c r="G230" s="4">
        <v>60</v>
      </c>
      <c r="H230" s="4" t="s">
        <v>548</v>
      </c>
      <c r="I230" s="4" t="s">
        <v>784</v>
      </c>
      <c r="J230" s="4" t="s">
        <v>785</v>
      </c>
      <c r="K230" s="4" t="s">
        <v>671</v>
      </c>
    </row>
    <row r="231" spans="7:11">
      <c r="G231" s="4">
        <v>61</v>
      </c>
      <c r="H231" s="4" t="s">
        <v>548</v>
      </c>
      <c r="I231" s="4" t="s">
        <v>786</v>
      </c>
      <c r="J231" s="4" t="s">
        <v>787</v>
      </c>
      <c r="K231" s="4" t="s">
        <v>671</v>
      </c>
    </row>
    <row r="232" spans="7:11">
      <c r="G232" s="4">
        <v>62</v>
      </c>
      <c r="H232" s="4" t="s">
        <v>546</v>
      </c>
      <c r="I232" s="4" t="s">
        <v>788</v>
      </c>
      <c r="J232" s="4" t="s">
        <v>789</v>
      </c>
      <c r="K232" s="4" t="s">
        <v>671</v>
      </c>
    </row>
    <row r="233" spans="7:11">
      <c r="G233" s="4">
        <v>63</v>
      </c>
      <c r="H233" s="4" t="s">
        <v>546</v>
      </c>
      <c r="I233" s="4" t="s">
        <v>790</v>
      </c>
      <c r="J233" s="4" t="s">
        <v>791</v>
      </c>
      <c r="K233" s="4" t="s">
        <v>671</v>
      </c>
    </row>
    <row r="234" spans="7:11">
      <c r="G234" s="4">
        <v>64</v>
      </c>
      <c r="H234" s="4" t="s">
        <v>547</v>
      </c>
      <c r="I234" s="4" t="s">
        <v>792</v>
      </c>
      <c r="J234" s="4" t="s">
        <v>793</v>
      </c>
      <c r="K234" s="4" t="s">
        <v>671</v>
      </c>
    </row>
    <row r="235" spans="7:11">
      <c r="G235" s="4">
        <v>65</v>
      </c>
      <c r="H235" s="4" t="s">
        <v>548</v>
      </c>
      <c r="I235" s="4" t="s">
        <v>794</v>
      </c>
      <c r="J235" s="4" t="s">
        <v>795</v>
      </c>
      <c r="K235" s="4" t="s">
        <v>671</v>
      </c>
    </row>
    <row r="236" spans="7:11">
      <c r="G236" s="4">
        <v>66</v>
      </c>
      <c r="H236" s="4" t="s">
        <v>546</v>
      </c>
      <c r="I236" s="4" t="s">
        <v>796</v>
      </c>
      <c r="J236" s="4" t="s">
        <v>797</v>
      </c>
      <c r="K236" s="4" t="s">
        <v>671</v>
      </c>
    </row>
    <row r="237" spans="7:11">
      <c r="G237" s="4">
        <v>67</v>
      </c>
      <c r="H237" s="4" t="s">
        <v>548</v>
      </c>
      <c r="I237" s="4" t="s">
        <v>798</v>
      </c>
      <c r="J237" s="4" t="s">
        <v>799</v>
      </c>
      <c r="K237" s="4" t="s">
        <v>671</v>
      </c>
    </row>
    <row r="238" spans="7:11">
      <c r="G238" s="4">
        <v>68</v>
      </c>
      <c r="H238" s="4" t="s">
        <v>549</v>
      </c>
      <c r="I238" s="4" t="s">
        <v>800</v>
      </c>
      <c r="J238" s="4" t="s">
        <v>801</v>
      </c>
      <c r="K238" s="4" t="s">
        <v>671</v>
      </c>
    </row>
    <row r="239" spans="7:11">
      <c r="G239" s="4">
        <v>69</v>
      </c>
      <c r="H239" s="4" t="s">
        <v>549</v>
      </c>
      <c r="I239" s="4" t="s">
        <v>802</v>
      </c>
      <c r="J239" s="4" t="s">
        <v>803</v>
      </c>
      <c r="K239" s="4" t="s">
        <v>671</v>
      </c>
    </row>
    <row r="240" spans="7:11">
      <c r="G240" s="4">
        <v>70</v>
      </c>
      <c r="H240" s="4" t="s">
        <v>546</v>
      </c>
      <c r="I240" s="4" t="s">
        <v>804</v>
      </c>
      <c r="J240" s="4" t="s">
        <v>805</v>
      </c>
      <c r="K240" s="4" t="s">
        <v>671</v>
      </c>
    </row>
    <row r="241" spans="7:11">
      <c r="G241" s="4">
        <v>71</v>
      </c>
      <c r="H241" s="4" t="s">
        <v>546</v>
      </c>
      <c r="I241" s="4" t="s">
        <v>806</v>
      </c>
      <c r="J241" s="4" t="s">
        <v>807</v>
      </c>
      <c r="K241" s="4" t="s">
        <v>671</v>
      </c>
    </row>
    <row r="242" spans="7:11">
      <c r="G242" s="4">
        <v>72</v>
      </c>
      <c r="H242" s="4" t="s">
        <v>552</v>
      </c>
      <c r="I242" s="4" t="s">
        <v>808</v>
      </c>
      <c r="J242" s="4" t="s">
        <v>809</v>
      </c>
      <c r="K242" s="4" t="s">
        <v>671</v>
      </c>
    </row>
    <row r="243" spans="7:11">
      <c r="G243" s="4">
        <v>73</v>
      </c>
      <c r="H243" s="4" t="s">
        <v>549</v>
      </c>
      <c r="I243" s="4" t="s">
        <v>810</v>
      </c>
      <c r="J243" s="4" t="s">
        <v>811</v>
      </c>
      <c r="K243" s="4" t="s">
        <v>671</v>
      </c>
    </row>
    <row r="244" spans="7:11">
      <c r="G244" s="4">
        <v>74</v>
      </c>
      <c r="H244" s="4" t="s">
        <v>549</v>
      </c>
      <c r="I244" s="4" t="s">
        <v>812</v>
      </c>
      <c r="J244" s="4" t="s">
        <v>813</v>
      </c>
      <c r="K244" s="4" t="s">
        <v>671</v>
      </c>
    </row>
    <row r="245" spans="7:11">
      <c r="G245" s="4">
        <v>75</v>
      </c>
      <c r="H245" s="4" t="s">
        <v>548</v>
      </c>
      <c r="I245" s="4" t="s">
        <v>814</v>
      </c>
      <c r="J245" s="4" t="s">
        <v>815</v>
      </c>
      <c r="K245" s="4" t="s">
        <v>671</v>
      </c>
    </row>
    <row r="246" spans="7:11">
      <c r="G246" s="4">
        <v>76</v>
      </c>
      <c r="H246" s="4" t="s">
        <v>548</v>
      </c>
      <c r="I246" s="4" t="s">
        <v>816</v>
      </c>
      <c r="J246" s="4" t="s">
        <v>817</v>
      </c>
      <c r="K246" s="4" t="s">
        <v>671</v>
      </c>
    </row>
    <row r="247" spans="7:11">
      <c r="G247" s="4">
        <v>77</v>
      </c>
      <c r="H247" s="4" t="s">
        <v>547</v>
      </c>
      <c r="I247" s="4" t="s">
        <v>556</v>
      </c>
      <c r="J247" s="4" t="s">
        <v>818</v>
      </c>
      <c r="K247" s="4" t="s">
        <v>686</v>
      </c>
    </row>
    <row r="248" spans="7:11">
      <c r="G248" s="4">
        <v>78</v>
      </c>
      <c r="H248" s="4" t="s">
        <v>547</v>
      </c>
      <c r="I248" s="4" t="s">
        <v>819</v>
      </c>
      <c r="J248" s="4" t="s">
        <v>570</v>
      </c>
      <c r="K248" s="4" t="s">
        <v>671</v>
      </c>
    </row>
    <row r="249" spans="7:11">
      <c r="G249" s="4">
        <v>79</v>
      </c>
      <c r="H249" s="4" t="s">
        <v>547</v>
      </c>
      <c r="I249" s="4" t="s">
        <v>820</v>
      </c>
      <c r="J249" s="4" t="s">
        <v>821</v>
      </c>
      <c r="K249" s="4" t="s">
        <v>671</v>
      </c>
    </row>
    <row r="250" spans="7:11">
      <c r="G250" s="4">
        <v>80</v>
      </c>
      <c r="H250" s="4" t="s">
        <v>547</v>
      </c>
      <c r="I250" s="4" t="s">
        <v>822</v>
      </c>
      <c r="J250" s="4" t="s">
        <v>823</v>
      </c>
      <c r="K250" s="4" t="s">
        <v>671</v>
      </c>
    </row>
    <row r="251" spans="7:11">
      <c r="G251" s="4">
        <v>81</v>
      </c>
      <c r="H251" s="4" t="s">
        <v>548</v>
      </c>
      <c r="I251" s="4" t="s">
        <v>557</v>
      </c>
      <c r="J251" s="4" t="s">
        <v>824</v>
      </c>
      <c r="K251" s="4" t="s">
        <v>686</v>
      </c>
    </row>
    <row r="252" spans="7:11">
      <c r="G252" s="4">
        <v>82</v>
      </c>
      <c r="H252" s="4" t="s">
        <v>547</v>
      </c>
      <c r="I252" s="4" t="s">
        <v>825</v>
      </c>
      <c r="J252" s="4" t="s">
        <v>826</v>
      </c>
      <c r="K252" s="4" t="s">
        <v>671</v>
      </c>
    </row>
    <row r="253" spans="7:11">
      <c r="G253" s="4">
        <v>83</v>
      </c>
      <c r="H253" s="4" t="s">
        <v>548</v>
      </c>
      <c r="I253" s="4" t="s">
        <v>827</v>
      </c>
      <c r="J253" s="4" t="s">
        <v>828</v>
      </c>
      <c r="K253" s="4" t="s">
        <v>671</v>
      </c>
    </row>
    <row r="254" spans="7:11">
      <c r="G254" s="4">
        <v>84</v>
      </c>
      <c r="H254" s="4" t="s">
        <v>549</v>
      </c>
      <c r="I254" s="4" t="s">
        <v>829</v>
      </c>
      <c r="J254" s="4" t="s">
        <v>830</v>
      </c>
      <c r="K254" s="4" t="s">
        <v>671</v>
      </c>
    </row>
    <row r="255" spans="7:11">
      <c r="G255" s="4">
        <v>85</v>
      </c>
      <c r="H255" s="4" t="s">
        <v>547</v>
      </c>
      <c r="I255" s="4" t="s">
        <v>831</v>
      </c>
      <c r="J255" s="4" t="s">
        <v>832</v>
      </c>
      <c r="K255" s="4" t="s">
        <v>671</v>
      </c>
    </row>
    <row r="256" spans="7:11">
      <c r="G256" s="4">
        <v>86</v>
      </c>
      <c r="H256" s="4" t="s">
        <v>547</v>
      </c>
      <c r="I256" s="4" t="s">
        <v>833</v>
      </c>
      <c r="J256" s="4" t="s">
        <v>834</v>
      </c>
      <c r="K256" s="4" t="s">
        <v>671</v>
      </c>
    </row>
    <row r="257" spans="7:11">
      <c r="G257" s="4">
        <v>87</v>
      </c>
      <c r="H257" s="4" t="s">
        <v>547</v>
      </c>
      <c r="I257" s="4" t="s">
        <v>835</v>
      </c>
      <c r="J257" s="4" t="s">
        <v>836</v>
      </c>
      <c r="K257" s="4" t="s">
        <v>671</v>
      </c>
    </row>
    <row r="258" spans="7:11">
      <c r="G258" s="4">
        <v>88</v>
      </c>
      <c r="H258" s="4" t="s">
        <v>546</v>
      </c>
      <c r="I258" s="4" t="s">
        <v>837</v>
      </c>
      <c r="J258" s="4" t="s">
        <v>838</v>
      </c>
      <c r="K258" s="4" t="s">
        <v>671</v>
      </c>
    </row>
    <row r="259" spans="7:11">
      <c r="G259" s="4">
        <v>89</v>
      </c>
      <c r="H259" s="4" t="s">
        <v>550</v>
      </c>
      <c r="I259" s="4" t="s">
        <v>839</v>
      </c>
      <c r="J259" s="4" t="s">
        <v>840</v>
      </c>
      <c r="K259" s="4" t="s">
        <v>671</v>
      </c>
    </row>
    <row r="260" spans="7:11">
      <c r="G260" s="4">
        <v>90</v>
      </c>
      <c r="H260" s="4" t="s">
        <v>547</v>
      </c>
      <c r="I260" s="4" t="s">
        <v>841</v>
      </c>
      <c r="J260" s="4" t="s">
        <v>842</v>
      </c>
      <c r="K260" s="4" t="s">
        <v>671</v>
      </c>
    </row>
    <row r="261" spans="7:11">
      <c r="G261" s="4">
        <v>91</v>
      </c>
      <c r="H261" s="4" t="s">
        <v>547</v>
      </c>
      <c r="I261" s="4" t="s">
        <v>843</v>
      </c>
      <c r="J261" s="4" t="s">
        <v>844</v>
      </c>
      <c r="K261" s="4" t="s">
        <v>671</v>
      </c>
    </row>
    <row r="262" spans="7:11">
      <c r="G262" s="4">
        <v>92</v>
      </c>
      <c r="H262" s="4" t="s">
        <v>547</v>
      </c>
      <c r="I262" s="4" t="s">
        <v>845</v>
      </c>
      <c r="J262" s="4" t="s">
        <v>846</v>
      </c>
      <c r="K262" s="4" t="s">
        <v>671</v>
      </c>
    </row>
    <row r="263" spans="7:11">
      <c r="G263" s="4">
        <v>93</v>
      </c>
      <c r="H263" s="4" t="s">
        <v>548</v>
      </c>
      <c r="I263" s="4" t="s">
        <v>847</v>
      </c>
      <c r="J263" s="4" t="s">
        <v>848</v>
      </c>
      <c r="K263" s="4" t="s">
        <v>671</v>
      </c>
    </row>
    <row r="264" spans="7:11">
      <c r="G264" s="4">
        <v>94</v>
      </c>
      <c r="H264" s="4" t="s">
        <v>547</v>
      </c>
      <c r="I264" s="4" t="s">
        <v>849</v>
      </c>
      <c r="J264" s="4" t="s">
        <v>850</v>
      </c>
      <c r="K264" s="4" t="s">
        <v>671</v>
      </c>
    </row>
    <row r="265" spans="7:11">
      <c r="G265" s="4">
        <v>95</v>
      </c>
      <c r="H265" s="4" t="s">
        <v>546</v>
      </c>
      <c r="I265" s="4" t="s">
        <v>851</v>
      </c>
      <c r="J265" s="4" t="s">
        <v>852</v>
      </c>
      <c r="K265" s="4" t="s">
        <v>671</v>
      </c>
    </row>
    <row r="266" spans="7:11">
      <c r="G266" s="4">
        <v>96</v>
      </c>
      <c r="H266" s="4" t="s">
        <v>546</v>
      </c>
      <c r="I266" s="4" t="s">
        <v>853</v>
      </c>
      <c r="J266" s="4" t="s">
        <v>854</v>
      </c>
      <c r="K266" s="4" t="s">
        <v>671</v>
      </c>
    </row>
    <row r="267" spans="7:11">
      <c r="G267" s="4">
        <v>97</v>
      </c>
      <c r="H267" s="4" t="s">
        <v>546</v>
      </c>
      <c r="I267" s="4" t="s">
        <v>855</v>
      </c>
      <c r="J267" s="4" t="s">
        <v>856</v>
      </c>
      <c r="K267" s="4" t="s">
        <v>671</v>
      </c>
    </row>
    <row r="268" spans="7:11">
      <c r="G268" s="4">
        <v>98</v>
      </c>
      <c r="H268" s="4" t="s">
        <v>548</v>
      </c>
      <c r="I268" s="4" t="s">
        <v>857</v>
      </c>
      <c r="J268" s="4" t="s">
        <v>858</v>
      </c>
      <c r="K268" s="4" t="s">
        <v>671</v>
      </c>
    </row>
    <row r="269" spans="7:11">
      <c r="G269" s="4">
        <v>99</v>
      </c>
      <c r="H269" s="4" t="s">
        <v>548</v>
      </c>
      <c r="I269" s="4" t="s">
        <v>859</v>
      </c>
      <c r="J269" s="4" t="s">
        <v>860</v>
      </c>
      <c r="K269" s="4" t="s">
        <v>671</v>
      </c>
    </row>
    <row r="270" spans="7:11">
      <c r="G270" s="4">
        <v>100</v>
      </c>
      <c r="H270" s="4" t="s">
        <v>548</v>
      </c>
      <c r="I270" s="4" t="s">
        <v>861</v>
      </c>
      <c r="J270" s="4" t="s">
        <v>862</v>
      </c>
      <c r="K270" s="4" t="s">
        <v>671</v>
      </c>
    </row>
    <row r="271" spans="7:11">
      <c r="G271" s="4">
        <v>101</v>
      </c>
      <c r="H271" s="4" t="s">
        <v>546</v>
      </c>
      <c r="I271" s="4" t="s">
        <v>863</v>
      </c>
      <c r="J271" s="4" t="s">
        <v>864</v>
      </c>
      <c r="K271" s="4" t="s">
        <v>671</v>
      </c>
    </row>
    <row r="272" spans="7:11">
      <c r="G272" s="4">
        <v>102</v>
      </c>
      <c r="H272" s="4" t="s">
        <v>546</v>
      </c>
      <c r="I272" s="4" t="s">
        <v>865</v>
      </c>
      <c r="J272" s="4" t="s">
        <v>866</v>
      </c>
      <c r="K272" s="4" t="s">
        <v>671</v>
      </c>
    </row>
    <row r="273" spans="7:11">
      <c r="G273" s="4">
        <v>103</v>
      </c>
      <c r="H273" s="4" t="s">
        <v>547</v>
      </c>
      <c r="I273" s="4" t="s">
        <v>867</v>
      </c>
      <c r="J273" s="4" t="s">
        <v>868</v>
      </c>
      <c r="K273" s="4" t="s">
        <v>671</v>
      </c>
    </row>
    <row r="274" spans="7:11">
      <c r="G274" s="4">
        <v>104</v>
      </c>
      <c r="H274" s="4" t="s">
        <v>547</v>
      </c>
      <c r="I274" s="4" t="s">
        <v>869</v>
      </c>
      <c r="J274" s="4" t="s">
        <v>870</v>
      </c>
      <c r="K274" s="4" t="s">
        <v>671</v>
      </c>
    </row>
    <row r="275" spans="7:11">
      <c r="G275" s="4">
        <v>105</v>
      </c>
      <c r="H275" s="4" t="s">
        <v>546</v>
      </c>
      <c r="I275" s="4" t="s">
        <v>871</v>
      </c>
      <c r="J275" s="4" t="s">
        <v>872</v>
      </c>
      <c r="K275" s="4" t="s">
        <v>671</v>
      </c>
    </row>
    <row r="276" spans="7:11">
      <c r="G276" s="4">
        <v>106</v>
      </c>
      <c r="H276" s="4" t="s">
        <v>548</v>
      </c>
      <c r="I276" s="4" t="s">
        <v>873</v>
      </c>
      <c r="J276" s="4" t="s">
        <v>874</v>
      </c>
      <c r="K276" s="4" t="s">
        <v>671</v>
      </c>
    </row>
    <row r="277" spans="7:11">
      <c r="G277" s="4">
        <v>107</v>
      </c>
      <c r="H277" s="4" t="s">
        <v>550</v>
      </c>
      <c r="I277" s="4" t="s">
        <v>875</v>
      </c>
      <c r="J277" s="4" t="s">
        <v>876</v>
      </c>
      <c r="K277" s="4" t="s">
        <v>671</v>
      </c>
    </row>
    <row r="278" spans="7:11">
      <c r="G278" s="4">
        <v>108</v>
      </c>
      <c r="H278" s="4" t="s">
        <v>546</v>
      </c>
      <c r="I278" s="4" t="s">
        <v>877</v>
      </c>
      <c r="J278" s="4" t="s">
        <v>878</v>
      </c>
      <c r="K278" s="4" t="s">
        <v>671</v>
      </c>
    </row>
    <row r="279" spans="7:11">
      <c r="G279" s="4">
        <v>109</v>
      </c>
      <c r="H279" s="4" t="s">
        <v>546</v>
      </c>
      <c r="I279" s="4" t="s">
        <v>879</v>
      </c>
      <c r="J279" s="4" t="s">
        <v>880</v>
      </c>
      <c r="K279" s="4" t="s">
        <v>671</v>
      </c>
    </row>
    <row r="280" spans="7:11">
      <c r="G280" s="4">
        <v>110</v>
      </c>
      <c r="H280" s="4" t="s">
        <v>549</v>
      </c>
      <c r="I280" s="4" t="s">
        <v>559</v>
      </c>
      <c r="J280" s="4" t="s">
        <v>881</v>
      </c>
      <c r="K280" s="4" t="s">
        <v>686</v>
      </c>
    </row>
    <row r="281" spans="7:11">
      <c r="G281" s="4">
        <v>111</v>
      </c>
      <c r="H281" s="4" t="s">
        <v>550</v>
      </c>
      <c r="I281" s="4" t="s">
        <v>882</v>
      </c>
      <c r="J281" s="4" t="s">
        <v>883</v>
      </c>
      <c r="K281" s="4" t="s">
        <v>671</v>
      </c>
    </row>
    <row r="282" spans="7:11">
      <c r="G282" s="4">
        <v>112</v>
      </c>
      <c r="H282" s="4" t="s">
        <v>548</v>
      </c>
      <c r="I282" s="4" t="s">
        <v>884</v>
      </c>
      <c r="J282" s="4" t="s">
        <v>885</v>
      </c>
      <c r="K282" s="4" t="s">
        <v>671</v>
      </c>
    </row>
    <row r="283" spans="7:11">
      <c r="G283" s="4">
        <v>113</v>
      </c>
      <c r="H283" s="4" t="s">
        <v>548</v>
      </c>
      <c r="I283" s="4" t="s">
        <v>886</v>
      </c>
      <c r="J283" s="4" t="s">
        <v>887</v>
      </c>
      <c r="K283" s="4" t="s">
        <v>671</v>
      </c>
    </row>
    <row r="284" spans="7:11">
      <c r="G284" s="4">
        <v>114</v>
      </c>
      <c r="H284" s="4" t="s">
        <v>547</v>
      </c>
      <c r="I284" s="4" t="s">
        <v>888</v>
      </c>
      <c r="J284" s="4" t="s">
        <v>889</v>
      </c>
      <c r="K284" s="4" t="s">
        <v>671</v>
      </c>
    </row>
    <row r="285" spans="7:11">
      <c r="G285" s="4">
        <v>115</v>
      </c>
      <c r="H285" s="4" t="s">
        <v>548</v>
      </c>
      <c r="I285" s="4" t="s">
        <v>890</v>
      </c>
      <c r="J285" s="4" t="s">
        <v>891</v>
      </c>
      <c r="K285" s="4" t="s">
        <v>671</v>
      </c>
    </row>
    <row r="286" spans="7:11">
      <c r="G286" s="4">
        <v>116</v>
      </c>
      <c r="H286" s="4" t="s">
        <v>546</v>
      </c>
      <c r="I286" s="4" t="s">
        <v>892</v>
      </c>
      <c r="J286" s="4" t="s">
        <v>893</v>
      </c>
      <c r="K286" s="4" t="s">
        <v>671</v>
      </c>
    </row>
    <row r="287" spans="7:11">
      <c r="G287" s="4">
        <v>117</v>
      </c>
      <c r="H287" s="4" t="s">
        <v>546</v>
      </c>
      <c r="I287" s="4" t="s">
        <v>894</v>
      </c>
      <c r="J287" s="4" t="s">
        <v>895</v>
      </c>
      <c r="K287" s="4" t="s">
        <v>671</v>
      </c>
    </row>
    <row r="288" spans="7:11">
      <c r="G288" s="4">
        <v>118</v>
      </c>
      <c r="H288" s="4" t="s">
        <v>547</v>
      </c>
      <c r="I288" s="4" t="s">
        <v>896</v>
      </c>
      <c r="J288" s="4" t="s">
        <v>897</v>
      </c>
      <c r="K288" s="4" t="s">
        <v>671</v>
      </c>
    </row>
    <row r="289" spans="7:11">
      <c r="G289" s="4">
        <v>119</v>
      </c>
      <c r="H289" s="4" t="s">
        <v>546</v>
      </c>
      <c r="I289" s="4" t="s">
        <v>898</v>
      </c>
      <c r="J289" s="4" t="s">
        <v>8</v>
      </c>
      <c r="K289" s="4" t="s">
        <v>671</v>
      </c>
    </row>
    <row r="290" spans="7:11">
      <c r="G290" s="4">
        <v>120</v>
      </c>
      <c r="H290" s="4" t="s">
        <v>550</v>
      </c>
      <c r="I290" s="4" t="s">
        <v>899</v>
      </c>
      <c r="J290" s="4" t="s">
        <v>900</v>
      </c>
      <c r="K290" s="4" t="s">
        <v>671</v>
      </c>
    </row>
    <row r="291" spans="7:11">
      <c r="G291" s="4">
        <v>121</v>
      </c>
      <c r="H291" s="4" t="s">
        <v>547</v>
      </c>
      <c r="I291" s="4" t="s">
        <v>901</v>
      </c>
      <c r="J291" s="4" t="s">
        <v>902</v>
      </c>
      <c r="K291" s="4" t="s">
        <v>671</v>
      </c>
    </row>
    <row r="292" spans="7:11">
      <c r="G292" s="4">
        <v>122</v>
      </c>
      <c r="H292" s="4" t="s">
        <v>548</v>
      </c>
      <c r="I292" s="4" t="s">
        <v>903</v>
      </c>
      <c r="J292" s="4" t="s">
        <v>904</v>
      </c>
      <c r="K292" s="4" t="s">
        <v>671</v>
      </c>
    </row>
    <row r="293" spans="7:11">
      <c r="G293" s="4">
        <v>123</v>
      </c>
      <c r="H293" s="4" t="s">
        <v>550</v>
      </c>
      <c r="I293" s="4" t="s">
        <v>905</v>
      </c>
      <c r="J293" s="4" t="s">
        <v>906</v>
      </c>
      <c r="K293" s="4" t="s">
        <v>671</v>
      </c>
    </row>
    <row r="294" spans="7:11">
      <c r="G294" s="4">
        <v>124</v>
      </c>
      <c r="H294" s="4" t="s">
        <v>549</v>
      </c>
      <c r="I294" s="4" t="s">
        <v>907</v>
      </c>
      <c r="J294" s="4" t="s">
        <v>908</v>
      </c>
      <c r="K294" s="4" t="s">
        <v>671</v>
      </c>
    </row>
    <row r="295" spans="7:11">
      <c r="G295" s="4">
        <v>125</v>
      </c>
      <c r="H295" s="4" t="s">
        <v>546</v>
      </c>
      <c r="I295" s="4" t="s">
        <v>909</v>
      </c>
      <c r="J295" s="4" t="s">
        <v>910</v>
      </c>
      <c r="K295" s="4" t="s">
        <v>671</v>
      </c>
    </row>
    <row r="296" spans="7:11">
      <c r="G296" s="4">
        <v>126</v>
      </c>
      <c r="H296" s="4" t="s">
        <v>546</v>
      </c>
      <c r="I296" s="4" t="s">
        <v>911</v>
      </c>
      <c r="J296" s="4" t="s">
        <v>912</v>
      </c>
      <c r="K296" s="4" t="s">
        <v>671</v>
      </c>
    </row>
    <row r="297" spans="7:11">
      <c r="G297" s="4">
        <v>127</v>
      </c>
      <c r="H297" s="4" t="s">
        <v>547</v>
      </c>
      <c r="I297" s="4" t="s">
        <v>913</v>
      </c>
      <c r="J297" s="4" t="s">
        <v>914</v>
      </c>
      <c r="K297" s="4" t="s">
        <v>671</v>
      </c>
    </row>
    <row r="298" spans="7:11">
      <c r="G298" s="4">
        <v>128</v>
      </c>
      <c r="H298" s="4" t="s">
        <v>548</v>
      </c>
      <c r="I298" s="4" t="s">
        <v>915</v>
      </c>
      <c r="J298" s="4" t="s">
        <v>916</v>
      </c>
      <c r="K298" s="4" t="s">
        <v>671</v>
      </c>
    </row>
    <row r="299" spans="7:11">
      <c r="G299" s="4">
        <v>129</v>
      </c>
      <c r="H299" s="4" t="s">
        <v>548</v>
      </c>
      <c r="I299" s="4" t="s">
        <v>917</v>
      </c>
      <c r="J299" s="4" t="s">
        <v>918</v>
      </c>
      <c r="K299" s="4" t="s">
        <v>671</v>
      </c>
    </row>
    <row r="300" spans="7:11">
      <c r="G300" s="4">
        <v>130</v>
      </c>
      <c r="H300" s="4" t="s">
        <v>547</v>
      </c>
      <c r="I300" s="4" t="s">
        <v>919</v>
      </c>
      <c r="J300" s="4" t="s">
        <v>920</v>
      </c>
      <c r="K300" s="4" t="s">
        <v>671</v>
      </c>
    </row>
    <row r="301" spans="7:11">
      <c r="G301" s="4">
        <v>131</v>
      </c>
      <c r="H301" s="4" t="s">
        <v>547</v>
      </c>
      <c r="I301" s="4" t="s">
        <v>921</v>
      </c>
      <c r="J301" s="4" t="s">
        <v>922</v>
      </c>
      <c r="K301" s="4" t="s">
        <v>671</v>
      </c>
    </row>
    <row r="302" spans="7:11">
      <c r="G302" s="4">
        <v>132</v>
      </c>
      <c r="H302" s="4" t="s">
        <v>550</v>
      </c>
      <c r="I302" s="4" t="s">
        <v>923</v>
      </c>
      <c r="J302" s="4" t="s">
        <v>924</v>
      </c>
      <c r="K302" s="4" t="s">
        <v>671</v>
      </c>
    </row>
    <row r="303" spans="7:11">
      <c r="G303" s="4">
        <v>133</v>
      </c>
      <c r="H303" s="4" t="s">
        <v>547</v>
      </c>
      <c r="I303" s="4" t="s">
        <v>925</v>
      </c>
      <c r="J303" s="4" t="s">
        <v>926</v>
      </c>
      <c r="K303" s="4" t="s">
        <v>671</v>
      </c>
    </row>
    <row r="304" spans="7:11">
      <c r="G304" s="4">
        <v>134</v>
      </c>
      <c r="H304" s="4" t="s">
        <v>549</v>
      </c>
      <c r="I304" s="4" t="s">
        <v>927</v>
      </c>
      <c r="J304" s="4" t="s">
        <v>928</v>
      </c>
      <c r="K304" s="4" t="s">
        <v>671</v>
      </c>
    </row>
    <row r="305" spans="7:11">
      <c r="G305" s="4">
        <v>135</v>
      </c>
      <c r="H305" s="4" t="s">
        <v>550</v>
      </c>
      <c r="I305" s="4" t="s">
        <v>929</v>
      </c>
      <c r="J305" s="4" t="s">
        <v>930</v>
      </c>
      <c r="K305" s="4" t="s">
        <v>671</v>
      </c>
    </row>
    <row r="306" spans="7:11">
      <c r="G306" s="4">
        <v>136</v>
      </c>
      <c r="H306" s="4" t="s">
        <v>552</v>
      </c>
      <c r="I306" s="4" t="s">
        <v>931</v>
      </c>
      <c r="J306" s="4" t="s">
        <v>932</v>
      </c>
      <c r="K306" s="4" t="s">
        <v>671</v>
      </c>
    </row>
    <row r="307" spans="7:11">
      <c r="G307" s="4">
        <v>137</v>
      </c>
      <c r="H307" s="4" t="s">
        <v>552</v>
      </c>
      <c r="I307" s="4" t="s">
        <v>933</v>
      </c>
      <c r="J307" s="4" t="s">
        <v>934</v>
      </c>
      <c r="K307" s="4" t="s">
        <v>671</v>
      </c>
    </row>
    <row r="308" spans="7:11">
      <c r="G308" s="4">
        <v>138</v>
      </c>
      <c r="H308" s="4" t="s">
        <v>547</v>
      </c>
      <c r="I308" s="4" t="s">
        <v>935</v>
      </c>
      <c r="J308" s="4" t="s">
        <v>936</v>
      </c>
      <c r="K308" s="4" t="s">
        <v>671</v>
      </c>
    </row>
    <row r="309" spans="7:11">
      <c r="G309" s="4">
        <v>139</v>
      </c>
      <c r="H309" s="4" t="s">
        <v>548</v>
      </c>
      <c r="I309" s="4" t="s">
        <v>937</v>
      </c>
      <c r="J309" s="4" t="s">
        <v>938</v>
      </c>
      <c r="K309" s="4" t="s">
        <v>671</v>
      </c>
    </row>
    <row r="310" spans="7:11">
      <c r="G310" s="4">
        <v>140</v>
      </c>
      <c r="H310" s="4" t="s">
        <v>548</v>
      </c>
      <c r="I310" s="4" t="s">
        <v>939</v>
      </c>
      <c r="J310" s="4" t="s">
        <v>940</v>
      </c>
      <c r="K310" s="4" t="s">
        <v>671</v>
      </c>
    </row>
    <row r="311" spans="7:11">
      <c r="G311" s="4">
        <v>141</v>
      </c>
      <c r="H311" s="4" t="s">
        <v>547</v>
      </c>
      <c r="I311" s="4" t="s">
        <v>941</v>
      </c>
      <c r="J311" s="4" t="s">
        <v>942</v>
      </c>
      <c r="K311" s="4" t="s">
        <v>671</v>
      </c>
    </row>
    <row r="312" spans="7:11">
      <c r="G312" s="4">
        <v>142</v>
      </c>
      <c r="H312" s="4" t="s">
        <v>548</v>
      </c>
      <c r="I312" s="4" t="s">
        <v>943</v>
      </c>
      <c r="J312" s="4" t="s">
        <v>944</v>
      </c>
      <c r="K312" s="4" t="s">
        <v>671</v>
      </c>
    </row>
    <row r="313" spans="7:11">
      <c r="G313" s="4">
        <v>143</v>
      </c>
      <c r="H313" s="4" t="s">
        <v>548</v>
      </c>
      <c r="I313" s="4" t="s">
        <v>945</v>
      </c>
      <c r="J313" s="4" t="s">
        <v>946</v>
      </c>
      <c r="K313" s="4" t="s">
        <v>671</v>
      </c>
    </row>
    <row r="314" spans="7:11">
      <c r="G314" s="4">
        <v>144</v>
      </c>
      <c r="H314" s="4" t="s">
        <v>546</v>
      </c>
      <c r="I314" s="4" t="s">
        <v>947</v>
      </c>
      <c r="J314" s="4" t="s">
        <v>948</v>
      </c>
      <c r="K314" s="4" t="s">
        <v>671</v>
      </c>
    </row>
    <row r="315" spans="7:11">
      <c r="G315" s="4">
        <v>145</v>
      </c>
      <c r="H315" s="4" t="s">
        <v>549</v>
      </c>
      <c r="I315" s="4" t="s">
        <v>949</v>
      </c>
      <c r="J315" s="4" t="s">
        <v>950</v>
      </c>
      <c r="K315" s="4" t="s">
        <v>671</v>
      </c>
    </row>
    <row r="316" spans="7:11">
      <c r="G316" s="4">
        <v>146</v>
      </c>
      <c r="H316" s="59" t="s">
        <v>549</v>
      </c>
      <c r="I316" s="59" t="s">
        <v>951</v>
      </c>
      <c r="J316" s="59" t="s">
        <v>952</v>
      </c>
      <c r="K316" s="4" t="s">
        <v>671</v>
      </c>
    </row>
    <row r="317" spans="7:11">
      <c r="G317" s="4">
        <v>147</v>
      </c>
      <c r="H317" s="4" t="s">
        <v>549</v>
      </c>
      <c r="I317" s="4" t="s">
        <v>953</v>
      </c>
      <c r="J317" s="4" t="s">
        <v>954</v>
      </c>
      <c r="K317" s="4" t="s">
        <v>671</v>
      </c>
    </row>
    <row r="318" spans="7:11">
      <c r="G318" s="4">
        <v>148</v>
      </c>
      <c r="H318" s="4" t="s">
        <v>550</v>
      </c>
      <c r="I318" s="4" t="s">
        <v>955</v>
      </c>
      <c r="J318" s="4" t="s">
        <v>956</v>
      </c>
      <c r="K318" s="4" t="s">
        <v>671</v>
      </c>
    </row>
    <row r="319" spans="7:11">
      <c r="G319" s="4">
        <v>149</v>
      </c>
      <c r="H319" s="4" t="s">
        <v>548</v>
      </c>
      <c r="I319" s="4" t="s">
        <v>957</v>
      </c>
      <c r="J319" s="4" t="s">
        <v>958</v>
      </c>
      <c r="K319" s="4" t="s">
        <v>671</v>
      </c>
    </row>
    <row r="320" spans="7:11">
      <c r="G320" s="4">
        <v>150</v>
      </c>
      <c r="H320" s="4" t="s">
        <v>546</v>
      </c>
      <c r="I320" s="4" t="s">
        <v>959</v>
      </c>
      <c r="J320" s="4" t="s">
        <v>960</v>
      </c>
      <c r="K320" s="4" t="s">
        <v>671</v>
      </c>
    </row>
    <row r="321" spans="7:11">
      <c r="G321" s="4">
        <v>151</v>
      </c>
      <c r="H321" s="4" t="s">
        <v>547</v>
      </c>
      <c r="I321" s="4" t="s">
        <v>961</v>
      </c>
      <c r="J321" s="4" t="s">
        <v>962</v>
      </c>
      <c r="K321" s="4" t="s">
        <v>671</v>
      </c>
    </row>
    <row r="322" spans="7:11">
      <c r="G322" s="4">
        <v>152</v>
      </c>
      <c r="H322" s="4" t="s">
        <v>546</v>
      </c>
      <c r="I322" s="4" t="s">
        <v>963</v>
      </c>
      <c r="J322" s="4" t="s">
        <v>964</v>
      </c>
      <c r="K322" s="4" t="s">
        <v>671</v>
      </c>
    </row>
    <row r="323" spans="7:11">
      <c r="G323" s="4">
        <v>153</v>
      </c>
      <c r="H323" s="4" t="s">
        <v>548</v>
      </c>
      <c r="I323" s="4" t="s">
        <v>965</v>
      </c>
      <c r="J323" s="4" t="s">
        <v>966</v>
      </c>
      <c r="K323" s="4" t="s">
        <v>671</v>
      </c>
    </row>
    <row r="324" spans="7:11">
      <c r="G324" s="4">
        <v>154</v>
      </c>
      <c r="H324" s="4" t="s">
        <v>546</v>
      </c>
      <c r="I324" s="4" t="s">
        <v>967</v>
      </c>
      <c r="J324" s="4" t="s">
        <v>968</v>
      </c>
      <c r="K324" s="4" t="s">
        <v>671</v>
      </c>
    </row>
    <row r="325" spans="7:11">
      <c r="G325" s="4">
        <v>155</v>
      </c>
      <c r="H325" s="4" t="s">
        <v>546</v>
      </c>
      <c r="I325" s="4" t="s">
        <v>969</v>
      </c>
      <c r="J325" s="4" t="s">
        <v>970</v>
      </c>
      <c r="K325" s="4" t="s">
        <v>671</v>
      </c>
    </row>
    <row r="326" spans="7:11">
      <c r="G326" s="4">
        <v>156</v>
      </c>
      <c r="H326" s="4" t="s">
        <v>547</v>
      </c>
      <c r="I326" s="4" t="s">
        <v>971</v>
      </c>
      <c r="J326" s="4" t="s">
        <v>972</v>
      </c>
      <c r="K326" s="4" t="s">
        <v>671</v>
      </c>
    </row>
    <row r="327" spans="7:11">
      <c r="G327" s="4">
        <v>157</v>
      </c>
      <c r="H327" s="4" t="s">
        <v>548</v>
      </c>
      <c r="I327" s="4" t="s">
        <v>973</v>
      </c>
      <c r="J327" s="4" t="s">
        <v>974</v>
      </c>
      <c r="K327" s="4" t="s">
        <v>671</v>
      </c>
    </row>
    <row r="328" spans="7:11">
      <c r="G328" s="4">
        <v>158</v>
      </c>
      <c r="H328" s="4" t="s">
        <v>548</v>
      </c>
      <c r="I328" s="4" t="s">
        <v>975</v>
      </c>
      <c r="J328" s="4" t="s">
        <v>976</v>
      </c>
      <c r="K328" s="4" t="s">
        <v>671</v>
      </c>
    </row>
    <row r="329" spans="7:11">
      <c r="G329" s="4">
        <v>159</v>
      </c>
      <c r="H329" s="4" t="s">
        <v>550</v>
      </c>
      <c r="I329" s="4" t="s">
        <v>977</v>
      </c>
      <c r="J329" s="4" t="s">
        <v>978</v>
      </c>
      <c r="K329" s="4" t="s">
        <v>671</v>
      </c>
    </row>
    <row r="330" spans="7:11">
      <c r="G330" s="4">
        <v>160</v>
      </c>
      <c r="H330" s="4" t="s">
        <v>546</v>
      </c>
      <c r="I330" s="4" t="s">
        <v>979</v>
      </c>
      <c r="J330" s="4" t="s">
        <v>980</v>
      </c>
      <c r="K330" s="4" t="s">
        <v>671</v>
      </c>
    </row>
    <row r="331" spans="7:11">
      <c r="G331" s="4">
        <v>161</v>
      </c>
      <c r="H331" s="4" t="s">
        <v>546</v>
      </c>
      <c r="I331" s="4" t="s">
        <v>981</v>
      </c>
      <c r="J331" s="4" t="s">
        <v>982</v>
      </c>
      <c r="K331" s="4" t="s">
        <v>671</v>
      </c>
    </row>
    <row r="332" spans="7:11">
      <c r="G332" s="4">
        <v>162</v>
      </c>
      <c r="H332" s="4" t="s">
        <v>547</v>
      </c>
      <c r="I332" s="4" t="s">
        <v>983</v>
      </c>
      <c r="J332" s="4" t="s">
        <v>984</v>
      </c>
      <c r="K332" s="4" t="s">
        <v>671</v>
      </c>
    </row>
    <row r="333" spans="7:11">
      <c r="G333" s="4">
        <v>163</v>
      </c>
      <c r="H333" s="4" t="s">
        <v>546</v>
      </c>
      <c r="I333" s="4" t="s">
        <v>985</v>
      </c>
      <c r="J333" s="4" t="s">
        <v>986</v>
      </c>
      <c r="K333" s="4" t="s">
        <v>671</v>
      </c>
    </row>
    <row r="334" spans="7:11">
      <c r="G334" s="4">
        <v>164</v>
      </c>
      <c r="H334" s="4" t="s">
        <v>548</v>
      </c>
      <c r="I334" s="4" t="s">
        <v>560</v>
      </c>
      <c r="J334" s="4" t="s">
        <v>987</v>
      </c>
      <c r="K334" s="4" t="s">
        <v>686</v>
      </c>
    </row>
    <row r="335" spans="7:11">
      <c r="G335" s="4">
        <v>165</v>
      </c>
      <c r="H335" s="4" t="s">
        <v>547</v>
      </c>
      <c r="I335" s="4" t="s">
        <v>988</v>
      </c>
      <c r="J335" s="4" t="s">
        <v>989</v>
      </c>
      <c r="K335" s="4" t="s">
        <v>671</v>
      </c>
    </row>
    <row r="336" spans="7:11">
      <c r="G336" s="4">
        <v>166</v>
      </c>
      <c r="H336" s="4" t="s">
        <v>546</v>
      </c>
      <c r="I336" s="4" t="s">
        <v>990</v>
      </c>
      <c r="J336" s="4" t="s">
        <v>991</v>
      </c>
      <c r="K336" s="4" t="s">
        <v>671</v>
      </c>
    </row>
    <row r="337" spans="7:11">
      <c r="G337" s="4">
        <v>167</v>
      </c>
      <c r="H337" s="4" t="s">
        <v>552</v>
      </c>
      <c r="I337" s="4" t="s">
        <v>992</v>
      </c>
      <c r="J337" s="4" t="s">
        <v>993</v>
      </c>
      <c r="K337" s="4" t="s">
        <v>671</v>
      </c>
    </row>
    <row r="338" spans="7:11">
      <c r="G338" s="4">
        <v>168</v>
      </c>
      <c r="H338" s="4" t="s">
        <v>548</v>
      </c>
      <c r="I338" s="4" t="s">
        <v>994</v>
      </c>
      <c r="J338" s="4" t="s">
        <v>995</v>
      </c>
      <c r="K338" s="4" t="s">
        <v>671</v>
      </c>
    </row>
    <row r="339" spans="7:11">
      <c r="G339" s="4">
        <v>169</v>
      </c>
      <c r="H339" s="59" t="s">
        <v>548</v>
      </c>
      <c r="I339" s="59" t="s">
        <v>996</v>
      </c>
      <c r="J339" s="59" t="s">
        <v>997</v>
      </c>
      <c r="K339" s="4" t="s">
        <v>671</v>
      </c>
    </row>
    <row r="340" spans="7:11">
      <c r="G340" s="4">
        <v>170</v>
      </c>
      <c r="H340" s="4" t="s">
        <v>547</v>
      </c>
      <c r="I340" s="4" t="s">
        <v>998</v>
      </c>
      <c r="J340" s="4" t="s">
        <v>999</v>
      </c>
      <c r="K340" s="4" t="s">
        <v>671</v>
      </c>
    </row>
    <row r="341" spans="7:11">
      <c r="G341" s="4">
        <v>171</v>
      </c>
      <c r="H341" s="4" t="s">
        <v>547</v>
      </c>
      <c r="I341" s="4" t="s">
        <v>1000</v>
      </c>
      <c r="J341" s="4" t="s">
        <v>1001</v>
      </c>
      <c r="K341" s="4" t="s">
        <v>671</v>
      </c>
    </row>
    <row r="342" spans="7:11">
      <c r="G342" s="4">
        <v>172</v>
      </c>
      <c r="H342" s="4" t="s">
        <v>546</v>
      </c>
      <c r="I342" s="4" t="s">
        <v>1002</v>
      </c>
      <c r="J342" s="4" t="s">
        <v>1003</v>
      </c>
      <c r="K342" s="4" t="s">
        <v>671</v>
      </c>
    </row>
    <row r="343" spans="7:11">
      <c r="G343" s="4">
        <v>173</v>
      </c>
      <c r="H343" s="4" t="s">
        <v>547</v>
      </c>
      <c r="I343" s="4" t="s">
        <v>1004</v>
      </c>
      <c r="J343" s="4" t="s">
        <v>1005</v>
      </c>
      <c r="K343" s="4" t="s">
        <v>671</v>
      </c>
    </row>
    <row r="344" spans="7:11">
      <c r="G344" s="4">
        <v>174</v>
      </c>
      <c r="H344" s="4" t="s">
        <v>547</v>
      </c>
      <c r="I344" s="4" t="s">
        <v>1006</v>
      </c>
      <c r="J344" s="4" t="s">
        <v>1007</v>
      </c>
      <c r="K344" s="4" t="s">
        <v>671</v>
      </c>
    </row>
    <row r="345" spans="7:11">
      <c r="G345" s="4">
        <v>175</v>
      </c>
      <c r="H345" s="4" t="s">
        <v>546</v>
      </c>
      <c r="I345" s="4" t="s">
        <v>1008</v>
      </c>
      <c r="J345" s="4" t="s">
        <v>1009</v>
      </c>
      <c r="K345" s="4" t="s">
        <v>671</v>
      </c>
    </row>
    <row r="346" spans="7:11">
      <c r="G346" s="4">
        <v>176</v>
      </c>
      <c r="H346" s="4" t="s">
        <v>550</v>
      </c>
      <c r="I346" s="4" t="s">
        <v>1010</v>
      </c>
      <c r="J346" s="4" t="s">
        <v>1011</v>
      </c>
      <c r="K346" s="4" t="s">
        <v>671</v>
      </c>
    </row>
    <row r="347" spans="7:11">
      <c r="G347" s="4">
        <v>177</v>
      </c>
      <c r="H347" s="4" t="s">
        <v>549</v>
      </c>
      <c r="I347" s="4" t="s">
        <v>1012</v>
      </c>
      <c r="J347" s="4" t="s">
        <v>1013</v>
      </c>
      <c r="K347" s="4" t="s">
        <v>671</v>
      </c>
    </row>
    <row r="348" spans="7:11">
      <c r="G348" s="4">
        <v>178</v>
      </c>
      <c r="H348" s="4" t="s">
        <v>546</v>
      </c>
      <c r="I348" s="4" t="s">
        <v>1014</v>
      </c>
      <c r="J348" s="4" t="s">
        <v>1015</v>
      </c>
      <c r="K348" s="4" t="s">
        <v>671</v>
      </c>
    </row>
    <row r="349" spans="7:11">
      <c r="G349" s="4">
        <v>179</v>
      </c>
      <c r="H349" s="4" t="s">
        <v>547</v>
      </c>
      <c r="I349" s="4" t="s">
        <v>1016</v>
      </c>
      <c r="J349" s="4" t="s">
        <v>1017</v>
      </c>
      <c r="K349" s="4" t="s">
        <v>671</v>
      </c>
    </row>
    <row r="350" spans="7:11">
      <c r="G350" s="4">
        <v>180</v>
      </c>
      <c r="H350" s="4" t="s">
        <v>547</v>
      </c>
      <c r="I350" s="4" t="s">
        <v>1018</v>
      </c>
      <c r="J350" s="4" t="s">
        <v>1019</v>
      </c>
      <c r="K350" s="4" t="s">
        <v>671</v>
      </c>
    </row>
    <row r="351" spans="7:11">
      <c r="G351" s="4">
        <v>181</v>
      </c>
      <c r="H351" s="4" t="s">
        <v>550</v>
      </c>
      <c r="I351" s="4" t="s">
        <v>1020</v>
      </c>
      <c r="J351" s="4" t="s">
        <v>1021</v>
      </c>
      <c r="K351" s="4" t="s">
        <v>671</v>
      </c>
    </row>
    <row r="352" spans="7:11">
      <c r="G352" s="4">
        <v>182</v>
      </c>
      <c r="H352" s="4" t="s">
        <v>546</v>
      </c>
      <c r="I352" s="4" t="s">
        <v>1022</v>
      </c>
      <c r="J352" s="4" t="s">
        <v>1023</v>
      </c>
      <c r="K352" s="4" t="s">
        <v>671</v>
      </c>
    </row>
    <row r="353" spans="7:11">
      <c r="G353" s="4">
        <v>183</v>
      </c>
      <c r="H353" s="4" t="s">
        <v>548</v>
      </c>
      <c r="I353" s="4" t="s">
        <v>1024</v>
      </c>
      <c r="J353" s="4" t="s">
        <v>1025</v>
      </c>
      <c r="K353" s="4" t="s">
        <v>671</v>
      </c>
    </row>
    <row r="354" spans="7:11">
      <c r="G354" s="4">
        <v>184</v>
      </c>
      <c r="H354" s="4" t="s">
        <v>547</v>
      </c>
      <c r="I354" s="4" t="s">
        <v>204</v>
      </c>
      <c r="J354" s="4" t="s">
        <v>1026</v>
      </c>
      <c r="K354" s="4" t="s">
        <v>671</v>
      </c>
    </row>
    <row r="355" spans="7:11">
      <c r="G355" s="4">
        <v>185</v>
      </c>
      <c r="H355" s="4" t="s">
        <v>548</v>
      </c>
      <c r="I355" s="4" t="s">
        <v>1027</v>
      </c>
      <c r="J355" s="4" t="s">
        <v>1028</v>
      </c>
      <c r="K355" s="4" t="s">
        <v>671</v>
      </c>
    </row>
    <row r="356" spans="7:11">
      <c r="G356" s="4">
        <v>186</v>
      </c>
      <c r="H356" s="4" t="s">
        <v>549</v>
      </c>
      <c r="I356" s="4" t="s">
        <v>554</v>
      </c>
      <c r="J356" s="4" t="s">
        <v>1029</v>
      </c>
      <c r="K356" s="4" t="s">
        <v>686</v>
      </c>
    </row>
    <row r="357" spans="7:11">
      <c r="G357" s="4">
        <v>187</v>
      </c>
      <c r="H357" s="4" t="s">
        <v>552</v>
      </c>
      <c r="I357" s="4" t="s">
        <v>1030</v>
      </c>
      <c r="J357" s="4" t="s">
        <v>1031</v>
      </c>
      <c r="K357" s="4" t="s">
        <v>671</v>
      </c>
    </row>
    <row r="358" spans="7:11">
      <c r="G358" s="4">
        <v>188</v>
      </c>
      <c r="H358" s="4" t="s">
        <v>547</v>
      </c>
      <c r="I358" s="4" t="s">
        <v>1032</v>
      </c>
      <c r="J358" s="4" t="s">
        <v>1033</v>
      </c>
      <c r="K358" s="4" t="s">
        <v>671</v>
      </c>
    </row>
    <row r="359" spans="7:11">
      <c r="G359" s="4">
        <v>189</v>
      </c>
      <c r="H359" s="4" t="s">
        <v>550</v>
      </c>
      <c r="I359" s="4" t="s">
        <v>1034</v>
      </c>
      <c r="J359" s="4" t="s">
        <v>1035</v>
      </c>
      <c r="K359" s="4" t="s">
        <v>671</v>
      </c>
    </row>
    <row r="360" spans="7:11">
      <c r="G360" s="4">
        <v>190</v>
      </c>
      <c r="H360" s="4" t="s">
        <v>548</v>
      </c>
      <c r="I360" s="4" t="s">
        <v>1036</v>
      </c>
      <c r="J360" s="4" t="s">
        <v>1037</v>
      </c>
      <c r="K360" s="4" t="s">
        <v>671</v>
      </c>
    </row>
    <row r="361" spans="7:11">
      <c r="G361" s="4">
        <v>191</v>
      </c>
      <c r="H361" s="4" t="s">
        <v>552</v>
      </c>
      <c r="I361" s="4" t="s">
        <v>1038</v>
      </c>
      <c r="J361" s="4" t="s">
        <v>1039</v>
      </c>
      <c r="K361" s="4" t="s">
        <v>671</v>
      </c>
    </row>
    <row r="362" spans="7:11">
      <c r="G362" s="4">
        <v>192</v>
      </c>
      <c r="H362" s="4" t="s">
        <v>547</v>
      </c>
      <c r="I362" s="4" t="s">
        <v>1040</v>
      </c>
      <c r="J362" s="4" t="s">
        <v>1041</v>
      </c>
      <c r="K362" s="4" t="s">
        <v>671</v>
      </c>
    </row>
    <row r="363" spans="7:11">
      <c r="G363" s="4">
        <v>193</v>
      </c>
      <c r="H363" s="4" t="s">
        <v>547</v>
      </c>
      <c r="I363" s="4" t="s">
        <v>1042</v>
      </c>
      <c r="J363" s="4" t="s">
        <v>1043</v>
      </c>
      <c r="K363" s="4" t="s">
        <v>671</v>
      </c>
    </row>
    <row r="364" spans="7:11">
      <c r="G364" s="4">
        <v>194</v>
      </c>
      <c r="H364" s="4" t="s">
        <v>546</v>
      </c>
      <c r="I364" s="4" t="s">
        <v>1044</v>
      </c>
      <c r="J364" s="4" t="s">
        <v>1045</v>
      </c>
      <c r="K364" s="4" t="s">
        <v>671</v>
      </c>
    </row>
    <row r="365" spans="7:11">
      <c r="G365" s="4">
        <v>195</v>
      </c>
      <c r="H365" s="4" t="s">
        <v>546</v>
      </c>
      <c r="I365" s="4" t="s">
        <v>1046</v>
      </c>
      <c r="J365" s="4" t="s">
        <v>1047</v>
      </c>
      <c r="K365" s="4" t="s">
        <v>671</v>
      </c>
    </row>
  </sheetData>
  <sheetProtection algorithmName="SHA-512" hashValue="g0x6qJRnkBqDRJ7764Stto3UN9dKCTuVRoCEyhyokSokD9tprOfa3qE5a+FhGrOhfzcNXGiI2iUsGUarqUdwvA==" saltValue="qECtLYaI+wHBxP+3cyTQ6g==" spinCount="100000" sheet="1" objects="1" scenarios="1" selectLockedCells="1"/>
  <sortState xmlns:xlrd2="http://schemas.microsoft.com/office/spreadsheetml/2017/richdata2" ref="H138:K360">
    <sortCondition ref="I138:I360"/>
  </sortState>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6DFC2-51F7-4AF2-8A59-868BFAD38EAD}">
  <dimension ref="B2:M75"/>
  <sheetViews>
    <sheetView workbookViewId="0">
      <selection activeCell="L34" sqref="L34"/>
    </sheetView>
  </sheetViews>
  <sheetFormatPr defaultRowHeight="14.4"/>
  <cols>
    <col min="2" max="2" width="30.44140625" bestFit="1" customWidth="1"/>
    <col min="3" max="3" width="11.5546875" bestFit="1" customWidth="1"/>
  </cols>
  <sheetData>
    <row r="2" spans="2:13">
      <c r="B2" t="s">
        <v>244</v>
      </c>
    </row>
    <row r="3" spans="2:13">
      <c r="B3" t="s">
        <v>1048</v>
      </c>
      <c r="C3" t="s">
        <v>1049</v>
      </c>
    </row>
    <row r="4" spans="2:13">
      <c r="B4" t="b" cm="1">
        <f t="array" ref="B4:B75">IF(Factors!L952:L1023="x",ls_Mat)</f>
        <v>0</v>
      </c>
      <c r="M4" t="str" cm="1">
        <f t="array" ref="M4:M18">_xlfn.UNIQUE(swolf_openlca_lcia_results!D6656:D7996)</f>
        <v>Al</v>
      </c>
    </row>
    <row r="5" spans="2:13">
      <c r="B5" t="b">
        <v>0</v>
      </c>
      <c r="M5" t="str">
        <v>Brown_glass</v>
      </c>
    </row>
    <row r="6" spans="2:13">
      <c r="B6" t="b">
        <v>0</v>
      </c>
      <c r="M6" t="str">
        <v>Clear_glass</v>
      </c>
    </row>
    <row r="7" spans="2:13">
      <c r="B7" t="b">
        <v>0</v>
      </c>
      <c r="M7" t="str">
        <v>Fe</v>
      </c>
    </row>
    <row r="8" spans="2:13">
      <c r="B8" t="b">
        <v>0</v>
      </c>
      <c r="M8" t="str">
        <v>Fiber_Other</v>
      </c>
    </row>
    <row r="9" spans="2:13">
      <c r="B9" t="b">
        <v>0</v>
      </c>
      <c r="M9" t="str">
        <v>Green_glass</v>
      </c>
    </row>
    <row r="10" spans="2:13">
      <c r="B10" t="b">
        <v>0</v>
      </c>
      <c r="M10" t="str">
        <v>HDPE_P</v>
      </c>
    </row>
    <row r="11" spans="2:13">
      <c r="B11" t="b">
        <v>0</v>
      </c>
      <c r="M11" t="str">
        <v>HDPE_T</v>
      </c>
    </row>
    <row r="12" spans="2:13">
      <c r="B12" t="b">
        <v>0</v>
      </c>
      <c r="M12" t="str">
        <v>LDPE_Film</v>
      </c>
    </row>
    <row r="13" spans="2:13">
      <c r="B13" t="b">
        <v>0</v>
      </c>
      <c r="M13" t="str">
        <v>Mixed_Glass</v>
      </c>
    </row>
    <row r="14" spans="2:13">
      <c r="B14" t="b">
        <v>0</v>
      </c>
      <c r="M14" t="str">
        <v>Mixed_Paper</v>
      </c>
    </row>
    <row r="15" spans="2:13">
      <c r="B15" t="str">
        <v>Plastics - Generic</v>
      </c>
      <c r="C15" t="s">
        <v>1050</v>
      </c>
      <c r="M15" t="str">
        <v>OCC</v>
      </c>
    </row>
    <row r="16" spans="2:13">
      <c r="B16" t="str">
        <v>High-Density Polyethylene (HDPE) (translucent and pigmented)</v>
      </c>
      <c r="C16" t="str">
        <f>M10</f>
        <v>HDPE_P</v>
      </c>
      <c r="M16" t="str">
        <v>OFF</v>
      </c>
    </row>
    <row r="17" spans="2:13">
      <c r="B17" t="str">
        <v>Low-Density Polyethylene (LDPE)</v>
      </c>
      <c r="C17" t="str">
        <f>M12</f>
        <v>LDPE_Film</v>
      </c>
      <c r="M17" t="str">
        <v>ONP</v>
      </c>
    </row>
    <row r="18" spans="2:13">
      <c r="B18" t="str">
        <v>Polyethylene Terephthalate (PET)</v>
      </c>
      <c r="C18" t="str">
        <f>M18</f>
        <v>PET</v>
      </c>
      <c r="M18" t="str">
        <v>PET</v>
      </c>
    </row>
    <row r="19" spans="2:13">
      <c r="B19" t="str">
        <v>Linear Low-Density Polyethylene (LLDPE)</v>
      </c>
      <c r="C19" t="str">
        <f>M12</f>
        <v>LDPE_Film</v>
      </c>
    </row>
    <row r="20" spans="2:13">
      <c r="B20" t="b">
        <v>0</v>
      </c>
    </row>
    <row r="21" spans="2:13">
      <c r="B21" t="b">
        <v>0</v>
      </c>
    </row>
    <row r="22" spans="2:13">
      <c r="B22" t="str">
        <v>Electronics - Generic</v>
      </c>
      <c r="C22" t="s">
        <v>1051</v>
      </c>
    </row>
    <row r="23" spans="2:13">
      <c r="B23" t="str">
        <v>E-waste</v>
      </c>
      <c r="C23" t="s">
        <v>1051</v>
      </c>
    </row>
    <row r="24" spans="2:13">
      <c r="B24" t="str">
        <v>Batteries</v>
      </c>
      <c r="C24" t="s">
        <v>1051</v>
      </c>
    </row>
    <row r="25" spans="2:13">
      <c r="B25" t="str">
        <v>Paper - Generic</v>
      </c>
      <c r="C25" t="str">
        <f>M14</f>
        <v>Mixed_Paper</v>
      </c>
    </row>
    <row r="26" spans="2:13">
      <c r="B26" t="str">
        <v>Newsprint</v>
      </c>
      <c r="C26" t="str">
        <f>M17</f>
        <v>ONP</v>
      </c>
    </row>
    <row r="27" spans="2:13">
      <c r="B27" t="str">
        <v>Corr. Cardboard</v>
      </c>
      <c r="C27" t="str">
        <f>M15</f>
        <v>OCC</v>
      </c>
    </row>
    <row r="28" spans="2:13">
      <c r="B28" t="str">
        <v>Office Paper</v>
      </c>
      <c r="C28" t="str">
        <f>M16</f>
        <v>OFF</v>
      </c>
    </row>
    <row r="29" spans="2:13">
      <c r="B29" t="str">
        <v>Magazines</v>
      </c>
      <c r="C29" t="str">
        <f>M14</f>
        <v>Mixed_Paper</v>
      </c>
    </row>
    <row r="30" spans="2:13">
      <c r="B30" t="str">
        <v>3rd Class Mail</v>
      </c>
      <c r="C30" t="str">
        <f>M14</f>
        <v>Mixed_Paper</v>
      </c>
    </row>
    <row r="31" spans="2:13">
      <c r="B31" t="str">
        <v>Folding Containers</v>
      </c>
      <c r="C31" t="str">
        <f>M14</f>
        <v>Mixed_Paper</v>
      </c>
    </row>
    <row r="32" spans="2:13">
      <c r="B32" t="str">
        <v>Paper Bags</v>
      </c>
      <c r="C32" t="str">
        <f>M14</f>
        <v>Mixed_Paper</v>
      </c>
    </row>
    <row r="33" spans="2:3">
      <c r="B33" t="b">
        <v>0</v>
      </c>
    </row>
    <row r="34" spans="2:3">
      <c r="B34" t="b">
        <v>0</v>
      </c>
    </row>
    <row r="35" spans="2:3">
      <c r="B35" t="str">
        <v>Metals - Generic</v>
      </c>
      <c r="C35" t="s">
        <v>1050</v>
      </c>
    </row>
    <row r="36" spans="2:3">
      <c r="B36" t="str">
        <v>Ferrous Cans</v>
      </c>
      <c r="C36" t="str">
        <f>M7</f>
        <v>Fe</v>
      </c>
    </row>
    <row r="37" spans="2:3">
      <c r="B37" t="str">
        <v>Ferrous Metal</v>
      </c>
      <c r="C37" t="str">
        <f>M7</f>
        <v>Fe</v>
      </c>
    </row>
    <row r="38" spans="2:3">
      <c r="B38" t="str">
        <v>Aluminum Cans</v>
      </c>
      <c r="C38" t="str">
        <f>M4</f>
        <v>Al</v>
      </c>
    </row>
    <row r="39" spans="2:3">
      <c r="B39" t="b">
        <v>0</v>
      </c>
    </row>
    <row r="40" spans="2:3">
      <c r="B40" t="str">
        <v>Other Aluminum</v>
      </c>
      <c r="C40" t="str">
        <f>M4</f>
        <v>Al</v>
      </c>
    </row>
    <row r="41" spans="2:3">
      <c r="B41" t="str">
        <v>Glass</v>
      </c>
      <c r="C41" t="str">
        <f>M13</f>
        <v>Mixed_Glass</v>
      </c>
    </row>
    <row r="42" spans="2:3">
      <c r="B42" t="str">
        <v>Glass – Brown</v>
      </c>
      <c r="C42" t="str">
        <f>M5</f>
        <v>Brown_glass</v>
      </c>
    </row>
    <row r="43" spans="2:3">
      <c r="B43" t="str">
        <v>Glass – Green</v>
      </c>
      <c r="C43" t="str">
        <f>M9</f>
        <v>Green_glass</v>
      </c>
    </row>
    <row r="44" spans="2:3">
      <c r="B44" t="str">
        <v>Glass – Clear</v>
      </c>
      <c r="C44" t="str">
        <f>M6</f>
        <v>Clear_glass</v>
      </c>
    </row>
    <row r="45" spans="2:3">
      <c r="B45" t="str">
        <v>Mixed Glass</v>
      </c>
      <c r="C45" t="str">
        <f>M13</f>
        <v>Mixed_Glass</v>
      </c>
    </row>
    <row r="46" spans="2:3">
      <c r="B46" t="b">
        <v>0</v>
      </c>
    </row>
    <row r="47" spans="2:3">
      <c r="B47" t="b">
        <v>0</v>
      </c>
    </row>
    <row r="48" spans="2:3">
      <c r="B48" t="b">
        <v>0</v>
      </c>
      <c r="C48" t="s">
        <v>1051</v>
      </c>
    </row>
    <row r="49" spans="2:3">
      <c r="B49" t="b">
        <v>0</v>
      </c>
    </row>
    <row r="50" spans="2:3">
      <c r="B50" t="b">
        <v>0</v>
      </c>
    </row>
    <row r="51" spans="2:3">
      <c r="B51" t="str">
        <v>Mixed Plastics</v>
      </c>
      <c r="C51" t="s">
        <v>1050</v>
      </c>
    </row>
    <row r="52" spans="2:3">
      <c r="B52" t="str">
        <v>Mixed Paper</v>
      </c>
      <c r="C52" t="str">
        <f>M14</f>
        <v>Mixed_Paper</v>
      </c>
    </row>
    <row r="53" spans="2:3">
      <c r="B53" t="str">
        <v>Mixed Recycling</v>
      </c>
    </row>
    <row r="54" spans="2:3">
      <c r="B54" t="str">
        <v>Furniture/Textiles - Generic</v>
      </c>
      <c r="C54" t="s">
        <v>1051</v>
      </c>
    </row>
    <row r="55" spans="2:3">
      <c r="B55" t="b">
        <v>0</v>
      </c>
    </row>
    <row r="56" spans="2:3">
      <c r="B56" t="str">
        <v>Appliances</v>
      </c>
      <c r="C56" t="s">
        <v>1051</v>
      </c>
    </row>
    <row r="57" spans="2:3">
      <c r="B57" t="str">
        <v>Lightbulb/Lamps</v>
      </c>
      <c r="C57" t="s">
        <v>1051</v>
      </c>
    </row>
    <row r="58" spans="2:3">
      <c r="B58" t="str">
        <v>Textiles</v>
      </c>
      <c r="C58" t="s">
        <v>1051</v>
      </c>
    </row>
    <row r="59" spans="2:3">
      <c r="B59" t="b">
        <v>0</v>
      </c>
    </row>
    <row r="60" spans="2:3">
      <c r="B60" t="str">
        <v>C&amp;D All</v>
      </c>
    </row>
    <row r="61" spans="2:3">
      <c r="B61" t="b">
        <v>0</v>
      </c>
    </row>
    <row r="62" spans="2:3">
      <c r="B62" t="b">
        <v>0</v>
      </c>
    </row>
    <row r="63" spans="2:3">
      <c r="B63" t="b">
        <v>0</v>
      </c>
    </row>
    <row r="64" spans="2:3">
      <c r="B64" t="b">
        <v>0</v>
      </c>
    </row>
    <row r="65" spans="2:2">
      <c r="B65" t="b">
        <v>0</v>
      </c>
    </row>
    <row r="66" spans="2:2">
      <c r="B66" t="b">
        <v>0</v>
      </c>
    </row>
    <row r="67" spans="2:2">
      <c r="B67" t="b">
        <v>0</v>
      </c>
    </row>
    <row r="68" spans="2:2">
      <c r="B68" t="b">
        <v>0</v>
      </c>
    </row>
    <row r="69" spans="2:2">
      <c r="B69" t="b">
        <v>0</v>
      </c>
    </row>
    <row r="70" spans="2:2">
      <c r="B70" t="b">
        <v>0</v>
      </c>
    </row>
    <row r="71" spans="2:2">
      <c r="B71" t="b">
        <v>0</v>
      </c>
    </row>
    <row r="72" spans="2:2">
      <c r="B72" t="b">
        <v>0</v>
      </c>
    </row>
    <row r="73" spans="2:2">
      <c r="B73" t="b">
        <v>0</v>
      </c>
    </row>
    <row r="74" spans="2:2">
      <c r="B74" t="b">
        <v>0</v>
      </c>
    </row>
    <row r="75" spans="2:2">
      <c r="B75" t="b">
        <v>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8949E-7C12-45E2-9B79-DDE2D986D40A}">
  <sheetPr filterMode="1"/>
  <dimension ref="A1:M15921"/>
  <sheetViews>
    <sheetView workbookViewId="0">
      <selection activeCell="T6886" sqref="T6886"/>
    </sheetView>
  </sheetViews>
  <sheetFormatPr defaultRowHeight="14.4"/>
  <cols>
    <col min="1" max="1" width="42" customWidth="1"/>
    <col min="3" max="3" width="21.44140625" bestFit="1" customWidth="1"/>
    <col min="7" max="7" width="28.44140625" bestFit="1" customWidth="1"/>
  </cols>
  <sheetData>
    <row r="1" spans="1:13">
      <c r="A1" t="s">
        <v>1052</v>
      </c>
      <c r="B1" t="s">
        <v>1053</v>
      </c>
      <c r="C1" t="s">
        <v>1054</v>
      </c>
      <c r="D1" t="s">
        <v>1055</v>
      </c>
      <c r="E1" t="s">
        <v>1056</v>
      </c>
      <c r="F1" t="s">
        <v>1057</v>
      </c>
      <c r="G1" t="s">
        <v>1058</v>
      </c>
      <c r="H1" t="s">
        <v>1059</v>
      </c>
      <c r="I1" t="s">
        <v>1060</v>
      </c>
      <c r="J1" t="s">
        <v>1061</v>
      </c>
      <c r="K1" t="s">
        <v>1062</v>
      </c>
      <c r="M1" t="s">
        <v>1063</v>
      </c>
    </row>
    <row r="2" spans="1:13" hidden="1">
      <c r="A2" t="s">
        <v>1064</v>
      </c>
      <c r="B2" t="s">
        <v>1065</v>
      </c>
      <c r="C2" t="s">
        <v>1066</v>
      </c>
      <c r="D2" t="s">
        <v>1067</v>
      </c>
      <c r="E2" t="s">
        <v>561</v>
      </c>
      <c r="F2" t="s">
        <v>1068</v>
      </c>
      <c r="G2" t="s">
        <v>1069</v>
      </c>
      <c r="H2">
        <v>-0.18466590026204899</v>
      </c>
      <c r="I2" t="s">
        <v>1070</v>
      </c>
      <c r="J2">
        <v>1.65</v>
      </c>
    </row>
    <row r="3" spans="1:13" hidden="1">
      <c r="A3" t="s">
        <v>1064</v>
      </c>
      <c r="B3" t="s">
        <v>1065</v>
      </c>
      <c r="C3" t="s">
        <v>1066</v>
      </c>
      <c r="D3" t="s">
        <v>1067</v>
      </c>
      <c r="E3" t="s">
        <v>561</v>
      </c>
      <c r="F3" t="s">
        <v>1068</v>
      </c>
      <c r="G3" t="s">
        <v>1071</v>
      </c>
      <c r="H3" s="170">
        <v>-3.7398275081756302E-10</v>
      </c>
      <c r="I3" t="s">
        <v>1072</v>
      </c>
      <c r="J3">
        <v>1.65</v>
      </c>
    </row>
    <row r="4" spans="1:13" hidden="1">
      <c r="A4" t="s">
        <v>1064</v>
      </c>
      <c r="B4" t="s">
        <v>1065</v>
      </c>
      <c r="C4" t="s">
        <v>1066</v>
      </c>
      <c r="D4" t="s">
        <v>1067</v>
      </c>
      <c r="E4" t="s">
        <v>561</v>
      </c>
      <c r="F4" t="s">
        <v>1068</v>
      </c>
      <c r="G4" t="s">
        <v>1073</v>
      </c>
      <c r="H4" s="170">
        <v>-8.4572248001026601E-8</v>
      </c>
      <c r="I4" t="s">
        <v>1074</v>
      </c>
      <c r="J4">
        <v>1.65</v>
      </c>
    </row>
    <row r="5" spans="1:13" hidden="1">
      <c r="A5" t="s">
        <v>1064</v>
      </c>
      <c r="B5" t="s">
        <v>1065</v>
      </c>
      <c r="C5" t="s">
        <v>1066</v>
      </c>
      <c r="D5" t="s">
        <v>1067</v>
      </c>
      <c r="E5" t="s">
        <v>561</v>
      </c>
      <c r="F5" t="s">
        <v>1068</v>
      </c>
      <c r="G5" t="s">
        <v>1075</v>
      </c>
      <c r="H5" s="171" t="s">
        <v>1076</v>
      </c>
      <c r="I5" t="s">
        <v>1077</v>
      </c>
      <c r="J5">
        <v>1.65</v>
      </c>
    </row>
    <row r="6" spans="1:13" hidden="1">
      <c r="A6" t="s">
        <v>1064</v>
      </c>
      <c r="B6" t="s">
        <v>1065</v>
      </c>
      <c r="C6" t="s">
        <v>1066</v>
      </c>
      <c r="D6" t="s">
        <v>1067</v>
      </c>
      <c r="E6" t="s">
        <v>561</v>
      </c>
      <c r="F6" t="s">
        <v>1068</v>
      </c>
      <c r="G6" t="s">
        <v>1078</v>
      </c>
      <c r="H6">
        <v>-2.2496173220472202</v>
      </c>
      <c r="I6" t="s">
        <v>1079</v>
      </c>
      <c r="J6">
        <v>1.65</v>
      </c>
    </row>
    <row r="7" spans="1:13" hidden="1">
      <c r="A7" t="s">
        <v>1064</v>
      </c>
      <c r="B7" t="s">
        <v>1065</v>
      </c>
      <c r="C7" t="s">
        <v>1066</v>
      </c>
      <c r="D7" t="s">
        <v>1067</v>
      </c>
      <c r="E7" t="s">
        <v>561</v>
      </c>
      <c r="F7" t="s">
        <v>1068</v>
      </c>
      <c r="G7" t="s">
        <v>1080</v>
      </c>
      <c r="H7" s="171" t="s">
        <v>1081</v>
      </c>
      <c r="I7" t="s">
        <v>1082</v>
      </c>
      <c r="J7">
        <v>1.65</v>
      </c>
    </row>
    <row r="8" spans="1:13" hidden="1">
      <c r="A8" t="s">
        <v>1064</v>
      </c>
      <c r="B8" t="s">
        <v>1065</v>
      </c>
      <c r="C8" t="s">
        <v>1066</v>
      </c>
      <c r="D8" t="s">
        <v>1067</v>
      </c>
      <c r="E8" t="s">
        <v>561</v>
      </c>
      <c r="F8" t="s">
        <v>1068</v>
      </c>
      <c r="G8" t="s">
        <v>1083</v>
      </c>
      <c r="H8">
        <v>-1.7464870389512399E-3</v>
      </c>
      <c r="I8" t="s">
        <v>1084</v>
      </c>
      <c r="J8">
        <v>1.65</v>
      </c>
    </row>
    <row r="9" spans="1:13" hidden="1">
      <c r="A9" t="s">
        <v>1064</v>
      </c>
      <c r="B9" t="s">
        <v>1065</v>
      </c>
      <c r="C9" t="s">
        <v>1066</v>
      </c>
      <c r="D9" t="s">
        <v>1067</v>
      </c>
      <c r="E9" t="s">
        <v>561</v>
      </c>
      <c r="F9" t="s">
        <v>1068</v>
      </c>
      <c r="G9" t="s">
        <v>1085</v>
      </c>
      <c r="H9">
        <v>-4.8444525122982501E-2</v>
      </c>
      <c r="I9" t="s">
        <v>1086</v>
      </c>
      <c r="J9">
        <v>1.65</v>
      </c>
    </row>
    <row r="10" spans="1:13" hidden="1">
      <c r="A10" t="s">
        <v>1064</v>
      </c>
      <c r="B10" t="s">
        <v>1065</v>
      </c>
      <c r="C10" t="s">
        <v>1066</v>
      </c>
      <c r="D10" t="s">
        <v>1067</v>
      </c>
      <c r="E10" t="s">
        <v>561</v>
      </c>
      <c r="F10" t="s">
        <v>1068</v>
      </c>
      <c r="G10" t="s">
        <v>1087</v>
      </c>
      <c r="H10" s="170">
        <v>-8.8839337815150799E-7</v>
      </c>
      <c r="I10" t="s">
        <v>1088</v>
      </c>
      <c r="J10">
        <v>1.65</v>
      </c>
    </row>
    <row r="11" spans="1:13" hidden="1">
      <c r="A11" t="s">
        <v>1064</v>
      </c>
      <c r="B11" t="s">
        <v>1065</v>
      </c>
      <c r="C11" t="s">
        <v>1066</v>
      </c>
      <c r="D11" t="s">
        <v>1067</v>
      </c>
      <c r="E11" t="s">
        <v>561</v>
      </c>
      <c r="F11" t="s">
        <v>1068</v>
      </c>
      <c r="G11" t="s">
        <v>1089</v>
      </c>
      <c r="H11">
        <v>-1.3056750113457499E-2</v>
      </c>
      <c r="I11" t="s">
        <v>1090</v>
      </c>
      <c r="J11">
        <v>1.65</v>
      </c>
    </row>
    <row r="12" spans="1:13" hidden="1">
      <c r="A12" t="s">
        <v>1091</v>
      </c>
      <c r="B12" t="s">
        <v>1092</v>
      </c>
      <c r="C12" t="s">
        <v>1066</v>
      </c>
      <c r="D12" t="s">
        <v>1067</v>
      </c>
      <c r="E12" t="s">
        <v>555</v>
      </c>
      <c r="F12" t="s">
        <v>1068</v>
      </c>
      <c r="G12" t="s">
        <v>1069</v>
      </c>
      <c r="H12">
        <v>-0.19446097193367801</v>
      </c>
      <c r="I12" t="s">
        <v>1070</v>
      </c>
      <c r="J12">
        <v>1.02</v>
      </c>
    </row>
    <row r="13" spans="1:13" hidden="1">
      <c r="A13" t="s">
        <v>1091</v>
      </c>
      <c r="B13" t="s">
        <v>1092</v>
      </c>
      <c r="C13" t="s">
        <v>1066</v>
      </c>
      <c r="D13" t="s">
        <v>1067</v>
      </c>
      <c r="E13" t="s">
        <v>555</v>
      </c>
      <c r="F13" t="s">
        <v>1068</v>
      </c>
      <c r="G13" t="s">
        <v>1071</v>
      </c>
      <c r="H13" s="170">
        <v>-3.8799384584595698E-10</v>
      </c>
      <c r="I13" t="s">
        <v>1072</v>
      </c>
      <c r="J13">
        <v>1.02</v>
      </c>
    </row>
    <row r="14" spans="1:13" hidden="1">
      <c r="A14" t="s">
        <v>1091</v>
      </c>
      <c r="B14" t="s">
        <v>1092</v>
      </c>
      <c r="C14" t="s">
        <v>1066</v>
      </c>
      <c r="D14" t="s">
        <v>1067</v>
      </c>
      <c r="E14" t="s">
        <v>555</v>
      </c>
      <c r="F14" t="s">
        <v>1068</v>
      </c>
      <c r="G14" t="s">
        <v>1073</v>
      </c>
      <c r="H14" s="170">
        <v>-8.8052017082793694E-8</v>
      </c>
      <c r="I14" t="s">
        <v>1074</v>
      </c>
      <c r="J14">
        <v>1.02</v>
      </c>
    </row>
    <row r="15" spans="1:13" hidden="1">
      <c r="A15" t="s">
        <v>1091</v>
      </c>
      <c r="B15" t="s">
        <v>1092</v>
      </c>
      <c r="C15" t="s">
        <v>1066</v>
      </c>
      <c r="D15" t="s">
        <v>1067</v>
      </c>
      <c r="E15" t="s">
        <v>555</v>
      </c>
      <c r="F15" t="s">
        <v>1068</v>
      </c>
      <c r="G15" t="s">
        <v>1075</v>
      </c>
      <c r="H15" s="171" t="s">
        <v>1093</v>
      </c>
      <c r="I15" t="s">
        <v>1077</v>
      </c>
      <c r="J15">
        <v>1.02</v>
      </c>
    </row>
    <row r="16" spans="1:13" hidden="1">
      <c r="A16" t="s">
        <v>1091</v>
      </c>
      <c r="B16" t="s">
        <v>1092</v>
      </c>
      <c r="C16" t="s">
        <v>1066</v>
      </c>
      <c r="D16" t="s">
        <v>1067</v>
      </c>
      <c r="E16" t="s">
        <v>555</v>
      </c>
      <c r="F16" t="s">
        <v>1068</v>
      </c>
      <c r="G16" t="s">
        <v>1078</v>
      </c>
      <c r="H16">
        <v>-2.2614031725356099</v>
      </c>
      <c r="I16" t="s">
        <v>1079</v>
      </c>
      <c r="J16">
        <v>1.02</v>
      </c>
    </row>
    <row r="17" spans="1:10" hidden="1">
      <c r="A17" t="s">
        <v>1091</v>
      </c>
      <c r="B17" t="s">
        <v>1092</v>
      </c>
      <c r="C17" t="s">
        <v>1066</v>
      </c>
      <c r="D17" t="s">
        <v>1067</v>
      </c>
      <c r="E17" t="s">
        <v>555</v>
      </c>
      <c r="F17" t="s">
        <v>1068</v>
      </c>
      <c r="G17" t="s">
        <v>1080</v>
      </c>
      <c r="H17" s="171" t="s">
        <v>1094</v>
      </c>
      <c r="I17" t="s">
        <v>1082</v>
      </c>
      <c r="J17">
        <v>1.02</v>
      </c>
    </row>
    <row r="18" spans="1:10" hidden="1">
      <c r="A18" t="s">
        <v>1091</v>
      </c>
      <c r="B18" t="s">
        <v>1092</v>
      </c>
      <c r="C18" t="s">
        <v>1066</v>
      </c>
      <c r="D18" t="s">
        <v>1067</v>
      </c>
      <c r="E18" t="s">
        <v>555</v>
      </c>
      <c r="F18" t="s">
        <v>1068</v>
      </c>
      <c r="G18" t="s">
        <v>1083</v>
      </c>
      <c r="H18">
        <v>-1.7479762691411001E-3</v>
      </c>
      <c r="I18" t="s">
        <v>1084</v>
      </c>
      <c r="J18">
        <v>1.02</v>
      </c>
    </row>
    <row r="19" spans="1:10" hidden="1">
      <c r="A19" t="s">
        <v>1091</v>
      </c>
      <c r="B19" t="s">
        <v>1092</v>
      </c>
      <c r="C19" t="s">
        <v>1066</v>
      </c>
      <c r="D19" t="s">
        <v>1067</v>
      </c>
      <c r="E19" t="s">
        <v>555</v>
      </c>
      <c r="F19" t="s">
        <v>1068</v>
      </c>
      <c r="G19" t="s">
        <v>1085</v>
      </c>
      <c r="H19">
        <v>-4.8461336078491901E-2</v>
      </c>
      <c r="I19" t="s">
        <v>1086</v>
      </c>
      <c r="J19">
        <v>1.02</v>
      </c>
    </row>
    <row r="20" spans="1:10" hidden="1">
      <c r="A20" t="s">
        <v>1091</v>
      </c>
      <c r="B20" t="s">
        <v>1092</v>
      </c>
      <c r="C20" t="s">
        <v>1066</v>
      </c>
      <c r="D20" t="s">
        <v>1067</v>
      </c>
      <c r="E20" t="s">
        <v>555</v>
      </c>
      <c r="F20" t="s">
        <v>1068</v>
      </c>
      <c r="G20" t="s">
        <v>1087</v>
      </c>
      <c r="H20" s="170">
        <v>-8.9632912489909697E-7</v>
      </c>
      <c r="I20" t="s">
        <v>1088</v>
      </c>
      <c r="J20">
        <v>1.02</v>
      </c>
    </row>
    <row r="21" spans="1:10" hidden="1">
      <c r="A21" t="s">
        <v>1091</v>
      </c>
      <c r="B21" t="s">
        <v>1092</v>
      </c>
      <c r="C21" t="s">
        <v>1066</v>
      </c>
      <c r="D21" t="s">
        <v>1067</v>
      </c>
      <c r="E21" t="s">
        <v>555</v>
      </c>
      <c r="F21" t="s">
        <v>1068</v>
      </c>
      <c r="G21" t="s">
        <v>1089</v>
      </c>
      <c r="H21">
        <v>-1.30602217286652E-2</v>
      </c>
      <c r="I21" t="s">
        <v>1090</v>
      </c>
      <c r="J21">
        <v>1.02</v>
      </c>
    </row>
    <row r="22" spans="1:10" hidden="1">
      <c r="A22" t="s">
        <v>1095</v>
      </c>
      <c r="B22" t="s">
        <v>1096</v>
      </c>
      <c r="C22" t="s">
        <v>1066</v>
      </c>
      <c r="D22" t="s">
        <v>1067</v>
      </c>
      <c r="E22" t="s">
        <v>558</v>
      </c>
      <c r="F22" t="s">
        <v>1068</v>
      </c>
      <c r="G22" t="s">
        <v>1069</v>
      </c>
      <c r="H22">
        <v>-0.183798409634226</v>
      </c>
      <c r="I22" t="s">
        <v>1070</v>
      </c>
      <c r="J22">
        <v>1.52</v>
      </c>
    </row>
    <row r="23" spans="1:10" hidden="1">
      <c r="A23" t="s">
        <v>1095</v>
      </c>
      <c r="B23" t="s">
        <v>1096</v>
      </c>
      <c r="C23" t="s">
        <v>1066</v>
      </c>
      <c r="D23" t="s">
        <v>1067</v>
      </c>
      <c r="E23" t="s">
        <v>558</v>
      </c>
      <c r="F23" t="s">
        <v>1068</v>
      </c>
      <c r="G23" t="s">
        <v>1071</v>
      </c>
      <c r="H23" s="170">
        <v>-3.7274136185981098E-10</v>
      </c>
      <c r="I23" t="s">
        <v>1072</v>
      </c>
      <c r="J23">
        <v>1.52</v>
      </c>
    </row>
    <row r="24" spans="1:10" hidden="1">
      <c r="A24" t="s">
        <v>1095</v>
      </c>
      <c r="B24" t="s">
        <v>1096</v>
      </c>
      <c r="C24" t="s">
        <v>1066</v>
      </c>
      <c r="D24" t="s">
        <v>1067</v>
      </c>
      <c r="E24" t="s">
        <v>558</v>
      </c>
      <c r="F24" t="s">
        <v>1068</v>
      </c>
      <c r="G24" t="s">
        <v>1073</v>
      </c>
      <c r="H24" s="170">
        <v>-8.4264112585116796E-8</v>
      </c>
      <c r="I24" t="s">
        <v>1074</v>
      </c>
      <c r="J24">
        <v>1.52</v>
      </c>
    </row>
    <row r="25" spans="1:10" hidden="1">
      <c r="A25" t="s">
        <v>1095</v>
      </c>
      <c r="B25" t="s">
        <v>1096</v>
      </c>
      <c r="C25" t="s">
        <v>1066</v>
      </c>
      <c r="D25" t="s">
        <v>1067</v>
      </c>
      <c r="E25" t="s">
        <v>558</v>
      </c>
      <c r="F25" t="s">
        <v>1068</v>
      </c>
      <c r="G25" t="s">
        <v>1075</v>
      </c>
      <c r="H25">
        <v>4.35378264450468E-2</v>
      </c>
      <c r="I25" t="s">
        <v>1077</v>
      </c>
      <c r="J25">
        <v>1.52</v>
      </c>
    </row>
    <row r="26" spans="1:10" hidden="1">
      <c r="A26" t="s">
        <v>1095</v>
      </c>
      <c r="B26" t="s">
        <v>1096</v>
      </c>
      <c r="C26" t="s">
        <v>1066</v>
      </c>
      <c r="D26" t="s">
        <v>1067</v>
      </c>
      <c r="E26" t="s">
        <v>558</v>
      </c>
      <c r="F26" t="s">
        <v>1068</v>
      </c>
      <c r="G26" t="s">
        <v>1078</v>
      </c>
      <c r="H26">
        <v>-2.2484314757805302</v>
      </c>
      <c r="I26" t="s">
        <v>1079</v>
      </c>
      <c r="J26">
        <v>1.52</v>
      </c>
    </row>
    <row r="27" spans="1:10" hidden="1">
      <c r="A27" t="s">
        <v>1095</v>
      </c>
      <c r="B27" t="s">
        <v>1096</v>
      </c>
      <c r="C27" t="s">
        <v>1066</v>
      </c>
      <c r="D27" t="s">
        <v>1067</v>
      </c>
      <c r="E27" t="s">
        <v>558</v>
      </c>
      <c r="F27" t="s">
        <v>1068</v>
      </c>
      <c r="G27" t="s">
        <v>1080</v>
      </c>
      <c r="H27" s="171" t="s">
        <v>1097</v>
      </c>
      <c r="I27" t="s">
        <v>1082</v>
      </c>
      <c r="J27">
        <v>1.52</v>
      </c>
    </row>
    <row r="28" spans="1:10" hidden="1">
      <c r="A28" t="s">
        <v>1095</v>
      </c>
      <c r="B28" t="s">
        <v>1096</v>
      </c>
      <c r="C28" t="s">
        <v>1066</v>
      </c>
      <c r="D28" t="s">
        <v>1067</v>
      </c>
      <c r="E28" t="s">
        <v>558</v>
      </c>
      <c r="F28" t="s">
        <v>1068</v>
      </c>
      <c r="G28" t="s">
        <v>1083</v>
      </c>
      <c r="H28">
        <v>-1.7463551798141499E-3</v>
      </c>
      <c r="I28" t="s">
        <v>1084</v>
      </c>
      <c r="J28">
        <v>1.52</v>
      </c>
    </row>
    <row r="29" spans="1:10" hidden="1">
      <c r="A29" t="s">
        <v>1095</v>
      </c>
      <c r="B29" t="s">
        <v>1096</v>
      </c>
      <c r="C29" t="s">
        <v>1066</v>
      </c>
      <c r="D29" t="s">
        <v>1067</v>
      </c>
      <c r="E29" t="s">
        <v>558</v>
      </c>
      <c r="F29" t="s">
        <v>1068</v>
      </c>
      <c r="G29" t="s">
        <v>1085</v>
      </c>
      <c r="H29">
        <v>-4.8443034847115603E-2</v>
      </c>
      <c r="I29" t="s">
        <v>1086</v>
      </c>
      <c r="J29">
        <v>1.52</v>
      </c>
    </row>
    <row r="30" spans="1:10" hidden="1">
      <c r="A30" t="s">
        <v>1095</v>
      </c>
      <c r="B30" t="s">
        <v>1096</v>
      </c>
      <c r="C30" t="s">
        <v>1066</v>
      </c>
      <c r="D30" t="s">
        <v>1067</v>
      </c>
      <c r="E30" t="s">
        <v>558</v>
      </c>
      <c r="F30" t="s">
        <v>1068</v>
      </c>
      <c r="G30" t="s">
        <v>1087</v>
      </c>
      <c r="H30" s="170">
        <v>-8.8767416421350701E-7</v>
      </c>
      <c r="I30" t="s">
        <v>1088</v>
      </c>
      <c r="J30">
        <v>1.52</v>
      </c>
    </row>
    <row r="31" spans="1:10" hidden="1">
      <c r="A31" t="s">
        <v>1095</v>
      </c>
      <c r="B31" t="s">
        <v>1096</v>
      </c>
      <c r="C31" t="s">
        <v>1066</v>
      </c>
      <c r="D31" t="s">
        <v>1067</v>
      </c>
      <c r="E31" t="s">
        <v>558</v>
      </c>
      <c r="F31" t="s">
        <v>1068</v>
      </c>
      <c r="G31" t="s">
        <v>1089</v>
      </c>
      <c r="H31">
        <v>-1.3056442672489E-2</v>
      </c>
      <c r="I31" t="s">
        <v>1090</v>
      </c>
      <c r="J31">
        <v>1.52</v>
      </c>
    </row>
    <row r="32" spans="1:10" hidden="1">
      <c r="A32" t="s">
        <v>1098</v>
      </c>
      <c r="B32" t="s">
        <v>1099</v>
      </c>
      <c r="C32" t="s">
        <v>1066</v>
      </c>
      <c r="D32" t="s">
        <v>1067</v>
      </c>
      <c r="E32" t="s">
        <v>553</v>
      </c>
      <c r="F32" t="s">
        <v>1068</v>
      </c>
      <c r="G32" t="s">
        <v>1069</v>
      </c>
      <c r="H32">
        <v>-0.18294633587436601</v>
      </c>
      <c r="I32" t="s">
        <v>1070</v>
      </c>
      <c r="J32">
        <v>1.02</v>
      </c>
    </row>
    <row r="33" spans="1:10" hidden="1">
      <c r="A33" t="s">
        <v>1098</v>
      </c>
      <c r="B33" t="s">
        <v>1099</v>
      </c>
      <c r="C33" t="s">
        <v>1066</v>
      </c>
      <c r="D33" t="s">
        <v>1067</v>
      </c>
      <c r="E33" t="s">
        <v>553</v>
      </c>
      <c r="F33" t="s">
        <v>1068</v>
      </c>
      <c r="G33" t="s">
        <v>1071</v>
      </c>
      <c r="H33" s="170">
        <v>-3.7151627064439702E-10</v>
      </c>
      <c r="I33" t="s">
        <v>1072</v>
      </c>
      <c r="J33">
        <v>1.02</v>
      </c>
    </row>
    <row r="34" spans="1:10" hidden="1">
      <c r="A34" t="s">
        <v>1098</v>
      </c>
      <c r="B34" t="s">
        <v>1099</v>
      </c>
      <c r="C34" t="s">
        <v>1066</v>
      </c>
      <c r="D34" t="s">
        <v>1067</v>
      </c>
      <c r="E34" t="s">
        <v>553</v>
      </c>
      <c r="F34" t="s">
        <v>1068</v>
      </c>
      <c r="G34" t="s">
        <v>1073</v>
      </c>
      <c r="H34" s="170">
        <v>-8.3961981919997905E-8</v>
      </c>
      <c r="I34" t="s">
        <v>1074</v>
      </c>
      <c r="J34">
        <v>1.02</v>
      </c>
    </row>
    <row r="35" spans="1:10" hidden="1">
      <c r="A35" t="s">
        <v>1098</v>
      </c>
      <c r="B35" t="s">
        <v>1099</v>
      </c>
      <c r="C35" t="s">
        <v>1066</v>
      </c>
      <c r="D35" t="s">
        <v>1067</v>
      </c>
      <c r="E35" t="s">
        <v>553</v>
      </c>
      <c r="F35" t="s">
        <v>1068</v>
      </c>
      <c r="G35" t="s">
        <v>1075</v>
      </c>
      <c r="H35">
        <v>4.3568550761793702E-2</v>
      </c>
      <c r="I35" t="s">
        <v>1077</v>
      </c>
      <c r="J35">
        <v>1.02</v>
      </c>
    </row>
    <row r="36" spans="1:10" hidden="1">
      <c r="A36" t="s">
        <v>1098</v>
      </c>
      <c r="B36" t="s">
        <v>1099</v>
      </c>
      <c r="C36" t="s">
        <v>1066</v>
      </c>
      <c r="D36" t="s">
        <v>1067</v>
      </c>
      <c r="E36" t="s">
        <v>553</v>
      </c>
      <c r="F36" t="s">
        <v>1068</v>
      </c>
      <c r="G36" t="s">
        <v>1078</v>
      </c>
      <c r="H36">
        <v>-2.24566284319341</v>
      </c>
      <c r="I36" t="s">
        <v>1079</v>
      </c>
      <c r="J36">
        <v>1.02</v>
      </c>
    </row>
    <row r="37" spans="1:10" hidden="1">
      <c r="A37" t="s">
        <v>1098</v>
      </c>
      <c r="B37" t="s">
        <v>1099</v>
      </c>
      <c r="C37" t="s">
        <v>1066</v>
      </c>
      <c r="D37" t="s">
        <v>1067</v>
      </c>
      <c r="E37" t="s">
        <v>553</v>
      </c>
      <c r="F37" t="s">
        <v>1068</v>
      </c>
      <c r="G37" t="s">
        <v>1080</v>
      </c>
      <c r="H37" s="171" t="s">
        <v>1100</v>
      </c>
      <c r="I37" t="s">
        <v>1082</v>
      </c>
      <c r="J37">
        <v>1.02</v>
      </c>
    </row>
    <row r="38" spans="1:10" hidden="1">
      <c r="A38" t="s">
        <v>1098</v>
      </c>
      <c r="B38" t="s">
        <v>1099</v>
      </c>
      <c r="C38" t="s">
        <v>1066</v>
      </c>
      <c r="D38" t="s">
        <v>1067</v>
      </c>
      <c r="E38" t="s">
        <v>553</v>
      </c>
      <c r="F38" t="s">
        <v>1068</v>
      </c>
      <c r="G38" t="s">
        <v>1083</v>
      </c>
      <c r="H38">
        <v>-1.74622603700483E-3</v>
      </c>
      <c r="I38" t="s">
        <v>1084</v>
      </c>
      <c r="J38">
        <v>1.02</v>
      </c>
    </row>
    <row r="39" spans="1:10" hidden="1">
      <c r="A39" t="s">
        <v>1098</v>
      </c>
      <c r="B39" t="s">
        <v>1099</v>
      </c>
      <c r="C39" t="s">
        <v>1066</v>
      </c>
      <c r="D39" t="s">
        <v>1067</v>
      </c>
      <c r="E39" t="s">
        <v>553</v>
      </c>
      <c r="F39" t="s">
        <v>1068</v>
      </c>
      <c r="G39" t="s">
        <v>1085</v>
      </c>
      <c r="H39">
        <v>-4.8441554903127897E-2</v>
      </c>
      <c r="I39" t="s">
        <v>1086</v>
      </c>
      <c r="J39">
        <v>1.02</v>
      </c>
    </row>
    <row r="40" spans="1:10" hidden="1">
      <c r="A40" t="s">
        <v>1098</v>
      </c>
      <c r="B40" t="s">
        <v>1099</v>
      </c>
      <c r="C40" t="s">
        <v>1066</v>
      </c>
      <c r="D40" t="s">
        <v>1067</v>
      </c>
      <c r="E40" t="s">
        <v>553</v>
      </c>
      <c r="F40" t="s">
        <v>1068</v>
      </c>
      <c r="G40" t="s">
        <v>1087</v>
      </c>
      <c r="H40" s="170">
        <v>-8.8678263934727805E-7</v>
      </c>
      <c r="I40" t="s">
        <v>1088</v>
      </c>
      <c r="J40">
        <v>1.02</v>
      </c>
    </row>
    <row r="41" spans="1:10" hidden="1">
      <c r="A41" t="s">
        <v>1098</v>
      </c>
      <c r="B41" t="s">
        <v>1099</v>
      </c>
      <c r="C41" t="s">
        <v>1066</v>
      </c>
      <c r="D41" t="s">
        <v>1067</v>
      </c>
      <c r="E41" t="s">
        <v>553</v>
      </c>
      <c r="F41" t="s">
        <v>1068</v>
      </c>
      <c r="G41" t="s">
        <v>1089</v>
      </c>
      <c r="H41">
        <v>-1.3056140911250199E-2</v>
      </c>
      <c r="I41" t="s">
        <v>1090</v>
      </c>
      <c r="J41">
        <v>1.02</v>
      </c>
    </row>
    <row r="42" spans="1:10" hidden="1">
      <c r="A42" t="s">
        <v>1101</v>
      </c>
      <c r="B42" t="s">
        <v>1102</v>
      </c>
      <c r="C42" t="s">
        <v>1066</v>
      </c>
      <c r="D42" t="s">
        <v>1067</v>
      </c>
      <c r="E42" t="s">
        <v>556</v>
      </c>
      <c r="F42" t="s">
        <v>1068</v>
      </c>
      <c r="G42" t="s">
        <v>1069</v>
      </c>
      <c r="H42">
        <v>-0.19337865512810801</v>
      </c>
      <c r="I42" t="s">
        <v>1070</v>
      </c>
      <c r="J42">
        <v>1.01</v>
      </c>
    </row>
    <row r="43" spans="1:10" hidden="1">
      <c r="A43" t="s">
        <v>1101</v>
      </c>
      <c r="B43" t="s">
        <v>1102</v>
      </c>
      <c r="C43" t="s">
        <v>1066</v>
      </c>
      <c r="D43" t="s">
        <v>1067</v>
      </c>
      <c r="E43" t="s">
        <v>556</v>
      </c>
      <c r="F43" t="s">
        <v>1068</v>
      </c>
      <c r="G43" t="s">
        <v>1071</v>
      </c>
      <c r="H43" s="170">
        <v>-3.8641291124574501E-10</v>
      </c>
      <c r="I43" t="s">
        <v>1072</v>
      </c>
      <c r="J43">
        <v>1.01</v>
      </c>
    </row>
    <row r="44" spans="1:10" hidden="1">
      <c r="A44" t="s">
        <v>1101</v>
      </c>
      <c r="B44" t="s">
        <v>1102</v>
      </c>
      <c r="C44" t="s">
        <v>1066</v>
      </c>
      <c r="D44" t="s">
        <v>1067</v>
      </c>
      <c r="E44" t="s">
        <v>556</v>
      </c>
      <c r="F44" t="s">
        <v>1068</v>
      </c>
      <c r="G44" t="s">
        <v>1073</v>
      </c>
      <c r="H44" s="170">
        <v>-8.7666654863002101E-8</v>
      </c>
      <c r="I44" t="s">
        <v>1074</v>
      </c>
      <c r="J44">
        <v>1.01</v>
      </c>
    </row>
    <row r="45" spans="1:10" hidden="1">
      <c r="A45" t="s">
        <v>1101</v>
      </c>
      <c r="B45" t="s">
        <v>1102</v>
      </c>
      <c r="C45" t="s">
        <v>1066</v>
      </c>
      <c r="D45" t="s">
        <v>1067</v>
      </c>
      <c r="E45" t="s">
        <v>556</v>
      </c>
      <c r="F45" t="s">
        <v>1068</v>
      </c>
      <c r="G45" t="s">
        <v>1075</v>
      </c>
      <c r="H45">
        <v>4.32528318811463E-2</v>
      </c>
      <c r="I45" t="s">
        <v>1077</v>
      </c>
      <c r="J45">
        <v>1.01</v>
      </c>
    </row>
    <row r="46" spans="1:10" hidden="1">
      <c r="A46" t="s">
        <v>1101</v>
      </c>
      <c r="B46" t="s">
        <v>1102</v>
      </c>
      <c r="C46" t="s">
        <v>1066</v>
      </c>
      <c r="D46" t="s">
        <v>1067</v>
      </c>
      <c r="E46" t="s">
        <v>556</v>
      </c>
      <c r="F46" t="s">
        <v>1068</v>
      </c>
      <c r="G46" t="s">
        <v>1078</v>
      </c>
      <c r="H46">
        <v>-2.25405904094508</v>
      </c>
      <c r="I46" t="s">
        <v>1079</v>
      </c>
      <c r="J46">
        <v>1.01</v>
      </c>
    </row>
    <row r="47" spans="1:10" hidden="1">
      <c r="A47" t="s">
        <v>1101</v>
      </c>
      <c r="B47" t="s">
        <v>1102</v>
      </c>
      <c r="C47" t="s">
        <v>1066</v>
      </c>
      <c r="D47" t="s">
        <v>1067</v>
      </c>
      <c r="E47" t="s">
        <v>556</v>
      </c>
      <c r="F47" t="s">
        <v>1068</v>
      </c>
      <c r="G47" t="s">
        <v>1080</v>
      </c>
      <c r="H47" s="171" t="s">
        <v>1103</v>
      </c>
      <c r="I47" t="s">
        <v>1082</v>
      </c>
      <c r="J47">
        <v>1.01</v>
      </c>
    </row>
    <row r="48" spans="1:10" hidden="1">
      <c r="A48" t="s">
        <v>1101</v>
      </c>
      <c r="B48" t="s">
        <v>1102</v>
      </c>
      <c r="C48" t="s">
        <v>1066</v>
      </c>
      <c r="D48" t="s">
        <v>1067</v>
      </c>
      <c r="E48" t="s">
        <v>556</v>
      </c>
      <c r="F48" t="s">
        <v>1068</v>
      </c>
      <c r="G48" t="s">
        <v>1083</v>
      </c>
      <c r="H48">
        <v>-1.7478117521126601E-3</v>
      </c>
      <c r="I48" t="s">
        <v>1084</v>
      </c>
      <c r="J48">
        <v>1.01</v>
      </c>
    </row>
    <row r="49" spans="1:10" hidden="1">
      <c r="A49" t="s">
        <v>1101</v>
      </c>
      <c r="B49" t="s">
        <v>1102</v>
      </c>
      <c r="C49" t="s">
        <v>1066</v>
      </c>
      <c r="D49" t="s">
        <v>1067</v>
      </c>
      <c r="E49" t="s">
        <v>556</v>
      </c>
      <c r="F49" t="s">
        <v>1068</v>
      </c>
      <c r="G49" t="s">
        <v>1085</v>
      </c>
      <c r="H49">
        <v>-4.8459402762543298E-2</v>
      </c>
      <c r="I49" t="s">
        <v>1086</v>
      </c>
      <c r="J49">
        <v>1.01</v>
      </c>
    </row>
    <row r="50" spans="1:10" hidden="1">
      <c r="A50" t="s">
        <v>1101</v>
      </c>
      <c r="B50" t="s">
        <v>1102</v>
      </c>
      <c r="C50" t="s">
        <v>1066</v>
      </c>
      <c r="D50" t="s">
        <v>1067</v>
      </c>
      <c r="E50" t="s">
        <v>556</v>
      </c>
      <c r="F50" t="s">
        <v>1068</v>
      </c>
      <c r="G50" t="s">
        <v>1087</v>
      </c>
      <c r="H50" s="170">
        <v>-8.9543182926093896E-7</v>
      </c>
      <c r="I50" t="s">
        <v>1088</v>
      </c>
      <c r="J50">
        <v>1.01</v>
      </c>
    </row>
    <row r="51" spans="1:10" hidden="1">
      <c r="A51" t="s">
        <v>1101</v>
      </c>
      <c r="B51" t="s">
        <v>1102</v>
      </c>
      <c r="C51" t="s">
        <v>1066</v>
      </c>
      <c r="D51" t="s">
        <v>1067</v>
      </c>
      <c r="E51" t="s">
        <v>556</v>
      </c>
      <c r="F51" t="s">
        <v>1068</v>
      </c>
      <c r="G51" t="s">
        <v>1089</v>
      </c>
      <c r="H51">
        <v>-1.3059838163462401E-2</v>
      </c>
      <c r="I51" t="s">
        <v>1090</v>
      </c>
      <c r="J51">
        <v>1.01</v>
      </c>
    </row>
    <row r="52" spans="1:10" hidden="1">
      <c r="A52" t="s">
        <v>1104</v>
      </c>
      <c r="B52" t="s">
        <v>1105</v>
      </c>
      <c r="C52" t="s">
        <v>1066</v>
      </c>
      <c r="D52" t="s">
        <v>1067</v>
      </c>
      <c r="E52" t="s">
        <v>557</v>
      </c>
      <c r="F52" t="s">
        <v>1068</v>
      </c>
      <c r="G52" t="s">
        <v>1069</v>
      </c>
      <c r="H52">
        <v>-0.18738152309682099</v>
      </c>
      <c r="I52" t="s">
        <v>1070</v>
      </c>
      <c r="J52">
        <v>1.01</v>
      </c>
    </row>
    <row r="53" spans="1:10" hidden="1">
      <c r="A53" t="s">
        <v>1104</v>
      </c>
      <c r="B53" t="s">
        <v>1105</v>
      </c>
      <c r="C53" t="s">
        <v>1066</v>
      </c>
      <c r="D53" t="s">
        <v>1067</v>
      </c>
      <c r="E53" t="s">
        <v>557</v>
      </c>
      <c r="F53" t="s">
        <v>1068</v>
      </c>
      <c r="G53" t="s">
        <v>1071</v>
      </c>
      <c r="H53" s="170">
        <v>-3.7786883798935602E-10</v>
      </c>
      <c r="I53" t="s">
        <v>1072</v>
      </c>
      <c r="J53">
        <v>1.01</v>
      </c>
    </row>
    <row r="54" spans="1:10" hidden="1">
      <c r="A54" t="s">
        <v>1104</v>
      </c>
      <c r="B54" t="s">
        <v>1105</v>
      </c>
      <c r="C54" t="s">
        <v>1066</v>
      </c>
      <c r="D54" t="s">
        <v>1067</v>
      </c>
      <c r="E54" t="s">
        <v>557</v>
      </c>
      <c r="F54" t="s">
        <v>1068</v>
      </c>
      <c r="G54" t="s">
        <v>1073</v>
      </c>
      <c r="H54" s="170">
        <v>-8.5536845824686101E-8</v>
      </c>
      <c r="I54" t="s">
        <v>1074</v>
      </c>
      <c r="J54">
        <v>1.01</v>
      </c>
    </row>
    <row r="55" spans="1:10" hidden="1">
      <c r="A55" t="s">
        <v>1104</v>
      </c>
      <c r="B55" t="s">
        <v>1105</v>
      </c>
      <c r="C55" t="s">
        <v>1066</v>
      </c>
      <c r="D55" t="s">
        <v>1067</v>
      </c>
      <c r="E55" t="s">
        <v>557</v>
      </c>
      <c r="F55" t="s">
        <v>1068</v>
      </c>
      <c r="G55" t="s">
        <v>1075</v>
      </c>
      <c r="H55">
        <v>4.34245604007584E-2</v>
      </c>
      <c r="I55" t="s">
        <v>1077</v>
      </c>
      <c r="J55">
        <v>1.01</v>
      </c>
    </row>
    <row r="56" spans="1:10" hidden="1">
      <c r="A56" t="s">
        <v>1104</v>
      </c>
      <c r="B56" t="s">
        <v>1105</v>
      </c>
      <c r="C56" t="s">
        <v>1066</v>
      </c>
      <c r="D56" t="s">
        <v>1067</v>
      </c>
      <c r="E56" t="s">
        <v>557</v>
      </c>
      <c r="F56" t="s">
        <v>1068</v>
      </c>
      <c r="G56" t="s">
        <v>1078</v>
      </c>
      <c r="H56">
        <v>-2.2533295364473198</v>
      </c>
      <c r="I56" t="s">
        <v>1079</v>
      </c>
      <c r="J56">
        <v>1.01</v>
      </c>
    </row>
    <row r="57" spans="1:10" hidden="1">
      <c r="A57" t="s">
        <v>1104</v>
      </c>
      <c r="B57" t="s">
        <v>1105</v>
      </c>
      <c r="C57" t="s">
        <v>1066</v>
      </c>
      <c r="D57" t="s">
        <v>1067</v>
      </c>
      <c r="E57" t="s">
        <v>557</v>
      </c>
      <c r="F57" t="s">
        <v>1068</v>
      </c>
      <c r="G57" t="s">
        <v>1080</v>
      </c>
      <c r="H57" s="171" t="s">
        <v>1106</v>
      </c>
      <c r="I57" t="s">
        <v>1082</v>
      </c>
      <c r="J57">
        <v>1.01</v>
      </c>
    </row>
    <row r="58" spans="1:10" hidden="1">
      <c r="A58" t="s">
        <v>1104</v>
      </c>
      <c r="B58" t="s">
        <v>1105</v>
      </c>
      <c r="C58" t="s">
        <v>1066</v>
      </c>
      <c r="D58" t="s">
        <v>1067</v>
      </c>
      <c r="E58" t="s">
        <v>557</v>
      </c>
      <c r="F58" t="s">
        <v>1068</v>
      </c>
      <c r="G58" t="s">
        <v>1083</v>
      </c>
      <c r="H58">
        <v>-1.7468998153804E-3</v>
      </c>
      <c r="I58" t="s">
        <v>1084</v>
      </c>
      <c r="J58">
        <v>1.01</v>
      </c>
    </row>
    <row r="59" spans="1:10" hidden="1">
      <c r="A59" t="s">
        <v>1104</v>
      </c>
      <c r="B59" t="s">
        <v>1105</v>
      </c>
      <c r="C59" t="s">
        <v>1066</v>
      </c>
      <c r="D59" t="s">
        <v>1067</v>
      </c>
      <c r="E59" t="s">
        <v>557</v>
      </c>
      <c r="F59" t="s">
        <v>1068</v>
      </c>
      <c r="G59" t="s">
        <v>1085</v>
      </c>
      <c r="H59">
        <v>-4.8449190334392003E-2</v>
      </c>
      <c r="I59" t="s">
        <v>1086</v>
      </c>
      <c r="J59">
        <v>1.01</v>
      </c>
    </row>
    <row r="60" spans="1:10" hidden="1">
      <c r="A60" t="s">
        <v>1104</v>
      </c>
      <c r="B60" t="s">
        <v>1105</v>
      </c>
      <c r="C60" t="s">
        <v>1066</v>
      </c>
      <c r="D60" t="s">
        <v>1067</v>
      </c>
      <c r="E60" t="s">
        <v>557</v>
      </c>
      <c r="F60" t="s">
        <v>1068</v>
      </c>
      <c r="G60" t="s">
        <v>1087</v>
      </c>
      <c r="H60" s="170">
        <v>-8.9064483047916197E-7</v>
      </c>
      <c r="I60" t="s">
        <v>1088</v>
      </c>
      <c r="J60">
        <v>1.01</v>
      </c>
    </row>
    <row r="61" spans="1:10" hidden="1">
      <c r="A61" t="s">
        <v>1104</v>
      </c>
      <c r="B61" t="s">
        <v>1105</v>
      </c>
      <c r="C61" t="s">
        <v>1066</v>
      </c>
      <c r="D61" t="s">
        <v>1067</v>
      </c>
      <c r="E61" t="s">
        <v>557</v>
      </c>
      <c r="F61" t="s">
        <v>1068</v>
      </c>
      <c r="G61" t="s">
        <v>1089</v>
      </c>
      <c r="H61">
        <v>-1.30577125373587E-2</v>
      </c>
      <c r="I61" t="s">
        <v>1090</v>
      </c>
      <c r="J61">
        <v>1.01</v>
      </c>
    </row>
    <row r="62" spans="1:10" hidden="1">
      <c r="A62" t="s">
        <v>1107</v>
      </c>
      <c r="B62" t="s">
        <v>1108</v>
      </c>
      <c r="C62" t="s">
        <v>1066</v>
      </c>
      <c r="D62" t="s">
        <v>1067</v>
      </c>
      <c r="E62" t="s">
        <v>559</v>
      </c>
      <c r="F62" t="s">
        <v>1068</v>
      </c>
      <c r="G62" t="s">
        <v>1069</v>
      </c>
      <c r="H62">
        <v>-0.19027775209146799</v>
      </c>
      <c r="I62" t="s">
        <v>1070</v>
      </c>
      <c r="J62">
        <v>1.53</v>
      </c>
    </row>
    <row r="63" spans="1:10" hidden="1">
      <c r="A63" t="s">
        <v>1107</v>
      </c>
      <c r="B63" t="s">
        <v>1108</v>
      </c>
      <c r="C63" t="s">
        <v>1066</v>
      </c>
      <c r="D63" t="s">
        <v>1067</v>
      </c>
      <c r="E63" t="s">
        <v>559</v>
      </c>
      <c r="F63" t="s">
        <v>1068</v>
      </c>
      <c r="G63" t="s">
        <v>1071</v>
      </c>
      <c r="H63" s="170">
        <v>-3.8200761065937303E-10</v>
      </c>
      <c r="I63" t="s">
        <v>1072</v>
      </c>
      <c r="J63">
        <v>1.53</v>
      </c>
    </row>
    <row r="64" spans="1:10" hidden="1">
      <c r="A64" t="s">
        <v>1107</v>
      </c>
      <c r="B64" t="s">
        <v>1108</v>
      </c>
      <c r="C64" t="s">
        <v>1066</v>
      </c>
      <c r="D64" t="s">
        <v>1067</v>
      </c>
      <c r="E64" t="s">
        <v>559</v>
      </c>
      <c r="F64" t="s">
        <v>1068</v>
      </c>
      <c r="G64" t="s">
        <v>1073</v>
      </c>
      <c r="H64" s="170">
        <v>-8.6566124158307701E-8</v>
      </c>
      <c r="I64" t="s">
        <v>1074</v>
      </c>
      <c r="J64">
        <v>1.53</v>
      </c>
    </row>
    <row r="65" spans="1:10" hidden="1">
      <c r="A65" t="s">
        <v>1107</v>
      </c>
      <c r="B65" t="s">
        <v>1108</v>
      </c>
      <c r="C65" t="s">
        <v>1066</v>
      </c>
      <c r="D65" t="s">
        <v>1067</v>
      </c>
      <c r="E65" t="s">
        <v>559</v>
      </c>
      <c r="F65" t="s">
        <v>1068</v>
      </c>
      <c r="G65" t="s">
        <v>1075</v>
      </c>
      <c r="H65" s="171" t="s">
        <v>1109</v>
      </c>
      <c r="I65" t="s">
        <v>1077</v>
      </c>
      <c r="J65">
        <v>1.53</v>
      </c>
    </row>
    <row r="66" spans="1:10" hidden="1">
      <c r="A66" t="s">
        <v>1107</v>
      </c>
      <c r="B66" t="s">
        <v>1108</v>
      </c>
      <c r="C66" t="s">
        <v>1066</v>
      </c>
      <c r="D66" t="s">
        <v>1067</v>
      </c>
      <c r="E66" t="s">
        <v>559</v>
      </c>
      <c r="F66" t="s">
        <v>1068</v>
      </c>
      <c r="G66" t="s">
        <v>1078</v>
      </c>
      <c r="H66">
        <v>-2.2556847757332998</v>
      </c>
      <c r="I66" t="s">
        <v>1079</v>
      </c>
      <c r="J66">
        <v>1.53</v>
      </c>
    </row>
    <row r="67" spans="1:10" hidden="1">
      <c r="A67" t="s">
        <v>1107</v>
      </c>
      <c r="B67" t="s">
        <v>1108</v>
      </c>
      <c r="C67" t="s">
        <v>1066</v>
      </c>
      <c r="D67" t="s">
        <v>1067</v>
      </c>
      <c r="E67" t="s">
        <v>559</v>
      </c>
      <c r="F67" t="s">
        <v>1068</v>
      </c>
      <c r="G67" t="s">
        <v>1080</v>
      </c>
      <c r="H67" s="171" t="s">
        <v>1110</v>
      </c>
      <c r="I67" t="s">
        <v>1082</v>
      </c>
      <c r="J67">
        <v>1.53</v>
      </c>
    </row>
    <row r="68" spans="1:10" hidden="1">
      <c r="A68" t="s">
        <v>1107</v>
      </c>
      <c r="B68" t="s">
        <v>1108</v>
      </c>
      <c r="C68" t="s">
        <v>1066</v>
      </c>
      <c r="D68" t="s">
        <v>1067</v>
      </c>
      <c r="E68" t="s">
        <v>559</v>
      </c>
      <c r="F68" t="s">
        <v>1068</v>
      </c>
      <c r="G68" t="s">
        <v>1083</v>
      </c>
      <c r="H68">
        <v>-1.7473404170166801E-3</v>
      </c>
      <c r="I68" t="s">
        <v>1084</v>
      </c>
      <c r="J68">
        <v>1.53</v>
      </c>
    </row>
    <row r="69" spans="1:10" hidden="1">
      <c r="A69" t="s">
        <v>1107</v>
      </c>
      <c r="B69" t="s">
        <v>1108</v>
      </c>
      <c r="C69" t="s">
        <v>1066</v>
      </c>
      <c r="D69" t="s">
        <v>1067</v>
      </c>
      <c r="E69" t="s">
        <v>559</v>
      </c>
      <c r="F69" t="s">
        <v>1068</v>
      </c>
      <c r="G69" t="s">
        <v>1085</v>
      </c>
      <c r="H69">
        <v>-4.8454149658977402E-2</v>
      </c>
      <c r="I69" t="s">
        <v>1086</v>
      </c>
      <c r="J69">
        <v>1.53</v>
      </c>
    </row>
    <row r="70" spans="1:10" hidden="1">
      <c r="A70" t="s">
        <v>1107</v>
      </c>
      <c r="B70" t="s">
        <v>1108</v>
      </c>
      <c r="C70" t="s">
        <v>1066</v>
      </c>
      <c r="D70" t="s">
        <v>1067</v>
      </c>
      <c r="E70" t="s">
        <v>559</v>
      </c>
      <c r="F70" t="s">
        <v>1068</v>
      </c>
      <c r="G70" t="s">
        <v>1087</v>
      </c>
      <c r="H70" s="170">
        <v>-8.9286092602815695E-7</v>
      </c>
      <c r="I70" t="s">
        <v>1088</v>
      </c>
      <c r="J70">
        <v>1.53</v>
      </c>
    </row>
    <row r="71" spans="1:10" hidden="1">
      <c r="A71" t="s">
        <v>1107</v>
      </c>
      <c r="B71" t="s">
        <v>1108</v>
      </c>
      <c r="C71" t="s">
        <v>1066</v>
      </c>
      <c r="D71" t="s">
        <v>1067</v>
      </c>
      <c r="E71" t="s">
        <v>559</v>
      </c>
      <c r="F71" t="s">
        <v>1068</v>
      </c>
      <c r="G71" t="s">
        <v>1089</v>
      </c>
      <c r="H71">
        <v>-1.30587391845107E-2</v>
      </c>
      <c r="I71" t="s">
        <v>1090</v>
      </c>
      <c r="J71">
        <v>1.53</v>
      </c>
    </row>
    <row r="72" spans="1:10" hidden="1">
      <c r="A72" t="s">
        <v>1111</v>
      </c>
      <c r="B72" t="s">
        <v>1112</v>
      </c>
      <c r="C72" t="s">
        <v>1066</v>
      </c>
      <c r="D72" t="s">
        <v>1067</v>
      </c>
      <c r="E72" t="s">
        <v>560</v>
      </c>
      <c r="F72" t="s">
        <v>1068</v>
      </c>
      <c r="G72" t="s">
        <v>1069</v>
      </c>
      <c r="H72">
        <v>-0.189292516943769</v>
      </c>
      <c r="I72" t="s">
        <v>1070</v>
      </c>
      <c r="J72">
        <v>1.02</v>
      </c>
    </row>
    <row r="73" spans="1:10" hidden="1">
      <c r="A73" t="s">
        <v>1111</v>
      </c>
      <c r="B73" t="s">
        <v>1112</v>
      </c>
      <c r="C73" t="s">
        <v>1066</v>
      </c>
      <c r="D73" t="s">
        <v>1067</v>
      </c>
      <c r="E73" t="s">
        <v>560</v>
      </c>
      <c r="F73" t="s">
        <v>1068</v>
      </c>
      <c r="G73" t="s">
        <v>1071</v>
      </c>
      <c r="H73" s="170">
        <v>-3.8060349192558899E-10</v>
      </c>
      <c r="I73" t="s">
        <v>1072</v>
      </c>
      <c r="J73">
        <v>1.02</v>
      </c>
    </row>
    <row r="74" spans="1:10" hidden="1">
      <c r="A74" t="s">
        <v>1111</v>
      </c>
      <c r="B74" t="s">
        <v>1112</v>
      </c>
      <c r="C74" t="s">
        <v>1066</v>
      </c>
      <c r="D74" t="s">
        <v>1067</v>
      </c>
      <c r="E74" t="s">
        <v>560</v>
      </c>
      <c r="F74" t="s">
        <v>1068</v>
      </c>
      <c r="G74" t="s">
        <v>1073</v>
      </c>
      <c r="H74" s="170">
        <v>-8.6215636885880207E-8</v>
      </c>
      <c r="I74" t="s">
        <v>1074</v>
      </c>
      <c r="J74">
        <v>1.02</v>
      </c>
    </row>
    <row r="75" spans="1:10" hidden="1">
      <c r="A75" t="s">
        <v>1111</v>
      </c>
      <c r="B75" t="s">
        <v>1112</v>
      </c>
      <c r="C75" t="s">
        <v>1066</v>
      </c>
      <c r="D75" t="s">
        <v>1067</v>
      </c>
      <c r="E75" t="s">
        <v>560</v>
      </c>
      <c r="F75" t="s">
        <v>1068</v>
      </c>
      <c r="G75" t="s">
        <v>1075</v>
      </c>
      <c r="H75">
        <v>4.3364151843805397E-2</v>
      </c>
      <c r="I75" t="s">
        <v>1077</v>
      </c>
      <c r="J75">
        <v>1.02</v>
      </c>
    </row>
    <row r="76" spans="1:10" hidden="1">
      <c r="A76" t="s">
        <v>1111</v>
      </c>
      <c r="B76" t="s">
        <v>1112</v>
      </c>
      <c r="C76" t="s">
        <v>1066</v>
      </c>
      <c r="D76" t="s">
        <v>1067</v>
      </c>
      <c r="E76" t="s">
        <v>560</v>
      </c>
      <c r="F76" t="s">
        <v>1068</v>
      </c>
      <c r="G76" t="s">
        <v>1078</v>
      </c>
      <c r="H76">
        <v>-2.2559418354696001</v>
      </c>
      <c r="I76" t="s">
        <v>1079</v>
      </c>
      <c r="J76">
        <v>1.02</v>
      </c>
    </row>
    <row r="77" spans="1:10" hidden="1">
      <c r="A77" t="s">
        <v>1111</v>
      </c>
      <c r="B77" t="s">
        <v>1112</v>
      </c>
      <c r="C77" t="s">
        <v>1066</v>
      </c>
      <c r="D77" t="s">
        <v>1067</v>
      </c>
      <c r="E77" t="s">
        <v>560</v>
      </c>
      <c r="F77" t="s">
        <v>1068</v>
      </c>
      <c r="G77" t="s">
        <v>1080</v>
      </c>
      <c r="H77" s="171" t="s">
        <v>1113</v>
      </c>
      <c r="I77" t="s">
        <v>1082</v>
      </c>
      <c r="J77">
        <v>1.02</v>
      </c>
    </row>
    <row r="78" spans="1:10" hidden="1">
      <c r="A78" t="s">
        <v>1111</v>
      </c>
      <c r="B78" t="s">
        <v>1112</v>
      </c>
      <c r="C78" t="s">
        <v>1066</v>
      </c>
      <c r="D78" t="s">
        <v>1067</v>
      </c>
      <c r="E78" t="s">
        <v>560</v>
      </c>
      <c r="F78" t="s">
        <v>1068</v>
      </c>
      <c r="G78" t="s">
        <v>1083</v>
      </c>
      <c r="H78">
        <v>-1.74719028768241E-3</v>
      </c>
      <c r="I78" t="s">
        <v>1084</v>
      </c>
      <c r="J78">
        <v>1.02</v>
      </c>
    </row>
    <row r="79" spans="1:10" hidden="1">
      <c r="A79" t="s">
        <v>1111</v>
      </c>
      <c r="B79" t="s">
        <v>1112</v>
      </c>
      <c r="C79" t="s">
        <v>1066</v>
      </c>
      <c r="D79" t="s">
        <v>1067</v>
      </c>
      <c r="E79" t="s">
        <v>560</v>
      </c>
      <c r="F79" t="s">
        <v>1068</v>
      </c>
      <c r="G79" t="s">
        <v>1085</v>
      </c>
      <c r="H79">
        <v>-4.8452473260939502E-2</v>
      </c>
      <c r="I79" t="s">
        <v>1086</v>
      </c>
      <c r="J79">
        <v>1.02</v>
      </c>
    </row>
    <row r="80" spans="1:10" hidden="1">
      <c r="A80" t="s">
        <v>1111</v>
      </c>
      <c r="B80" t="s">
        <v>1112</v>
      </c>
      <c r="C80" t="s">
        <v>1066</v>
      </c>
      <c r="D80" t="s">
        <v>1067</v>
      </c>
      <c r="E80" t="s">
        <v>560</v>
      </c>
      <c r="F80" t="s">
        <v>1068</v>
      </c>
      <c r="G80" t="s">
        <v>1087</v>
      </c>
      <c r="H80" s="170">
        <v>-8.9222918582084703E-7</v>
      </c>
      <c r="I80" t="s">
        <v>1088</v>
      </c>
      <c r="J80">
        <v>1.02</v>
      </c>
    </row>
    <row r="81" spans="1:10" hidden="1">
      <c r="A81" t="s">
        <v>1111</v>
      </c>
      <c r="B81" t="s">
        <v>1112</v>
      </c>
      <c r="C81" t="s">
        <v>1066</v>
      </c>
      <c r="D81" t="s">
        <v>1067</v>
      </c>
      <c r="E81" t="s">
        <v>560</v>
      </c>
      <c r="F81" t="s">
        <v>1068</v>
      </c>
      <c r="G81" t="s">
        <v>1089</v>
      </c>
      <c r="H81">
        <v>-1.30583897986225E-2</v>
      </c>
      <c r="I81" t="s">
        <v>1090</v>
      </c>
      <c r="J81">
        <v>1.02</v>
      </c>
    </row>
    <row r="82" spans="1:10" hidden="1">
      <c r="A82" t="s">
        <v>1114</v>
      </c>
      <c r="B82" t="s">
        <v>1115</v>
      </c>
      <c r="C82" t="s">
        <v>1066</v>
      </c>
      <c r="D82" t="s">
        <v>1067</v>
      </c>
      <c r="E82" t="s">
        <v>1116</v>
      </c>
      <c r="F82" t="s">
        <v>1068</v>
      </c>
      <c r="G82" t="s">
        <v>1069</v>
      </c>
      <c r="H82">
        <v>-0.183492458439034</v>
      </c>
      <c r="I82" t="s">
        <v>1070</v>
      </c>
      <c r="J82">
        <v>17.690000000000001</v>
      </c>
    </row>
    <row r="83" spans="1:10" hidden="1">
      <c r="A83" t="s">
        <v>1114</v>
      </c>
      <c r="B83" t="s">
        <v>1115</v>
      </c>
      <c r="C83" t="s">
        <v>1066</v>
      </c>
      <c r="D83" t="s">
        <v>1067</v>
      </c>
      <c r="E83" t="s">
        <v>1116</v>
      </c>
      <c r="F83" t="s">
        <v>1068</v>
      </c>
      <c r="G83" t="s">
        <v>1071</v>
      </c>
      <c r="H83" s="170">
        <v>-3.7230354221855098E-10</v>
      </c>
      <c r="I83" t="s">
        <v>1072</v>
      </c>
      <c r="J83">
        <v>17.690000000000001</v>
      </c>
    </row>
    <row r="84" spans="1:10" hidden="1">
      <c r="A84" t="s">
        <v>1114</v>
      </c>
      <c r="B84" t="s">
        <v>1115</v>
      </c>
      <c r="C84" t="s">
        <v>1066</v>
      </c>
      <c r="D84" t="s">
        <v>1067</v>
      </c>
      <c r="E84" t="s">
        <v>1116</v>
      </c>
      <c r="F84" t="s">
        <v>1068</v>
      </c>
      <c r="G84" t="s">
        <v>1073</v>
      </c>
      <c r="H84" s="170">
        <v>-8.4155437752487605E-8</v>
      </c>
      <c r="I84" t="s">
        <v>1074</v>
      </c>
      <c r="J84">
        <v>17.690000000000001</v>
      </c>
    </row>
    <row r="85" spans="1:10" hidden="1">
      <c r="A85" t="s">
        <v>1114</v>
      </c>
      <c r="B85" t="s">
        <v>1115</v>
      </c>
      <c r="C85" t="s">
        <v>1066</v>
      </c>
      <c r="D85" t="s">
        <v>1067</v>
      </c>
      <c r="E85" t="s">
        <v>1116</v>
      </c>
      <c r="F85" t="s">
        <v>1068</v>
      </c>
      <c r="G85" t="s">
        <v>1075</v>
      </c>
      <c r="H85">
        <v>4.3547497889159202E-2</v>
      </c>
      <c r="I85" t="s">
        <v>1077</v>
      </c>
      <c r="J85">
        <v>17.690000000000001</v>
      </c>
    </row>
    <row r="86" spans="1:10" hidden="1">
      <c r="A86" t="s">
        <v>1114</v>
      </c>
      <c r="B86" t="s">
        <v>1115</v>
      </c>
      <c r="C86" t="s">
        <v>1066</v>
      </c>
      <c r="D86" t="s">
        <v>1067</v>
      </c>
      <c r="E86" t="s">
        <v>1116</v>
      </c>
      <c r="F86" t="s">
        <v>1068</v>
      </c>
      <c r="G86" t="s">
        <v>1078</v>
      </c>
      <c r="H86">
        <v>-2.2480132452305401</v>
      </c>
      <c r="I86" t="s">
        <v>1079</v>
      </c>
      <c r="J86">
        <v>17.690000000000001</v>
      </c>
    </row>
    <row r="87" spans="1:10" hidden="1">
      <c r="A87" t="s">
        <v>1114</v>
      </c>
      <c r="B87" t="s">
        <v>1115</v>
      </c>
      <c r="C87" t="s">
        <v>1066</v>
      </c>
      <c r="D87" t="s">
        <v>1067</v>
      </c>
      <c r="E87" t="s">
        <v>1116</v>
      </c>
      <c r="F87" t="s">
        <v>1068</v>
      </c>
      <c r="G87" t="s">
        <v>1080</v>
      </c>
      <c r="H87" s="171" t="s">
        <v>1117</v>
      </c>
      <c r="I87" t="s">
        <v>1082</v>
      </c>
      <c r="J87">
        <v>17.690000000000001</v>
      </c>
    </row>
    <row r="88" spans="1:10" hidden="1">
      <c r="A88" t="s">
        <v>1114</v>
      </c>
      <c r="B88" t="s">
        <v>1115</v>
      </c>
      <c r="C88" t="s">
        <v>1066</v>
      </c>
      <c r="D88" t="s">
        <v>1067</v>
      </c>
      <c r="E88" t="s">
        <v>1116</v>
      </c>
      <c r="F88" t="s">
        <v>1068</v>
      </c>
      <c r="G88" t="s">
        <v>1083</v>
      </c>
      <c r="H88">
        <v>-1.7463086750344201E-3</v>
      </c>
      <c r="I88" t="s">
        <v>1084</v>
      </c>
      <c r="J88">
        <v>17.690000000000001</v>
      </c>
    </row>
    <row r="89" spans="1:10" hidden="1">
      <c r="A89" t="s">
        <v>1114</v>
      </c>
      <c r="B89" t="s">
        <v>1115</v>
      </c>
      <c r="C89" t="s">
        <v>1066</v>
      </c>
      <c r="D89" t="s">
        <v>1067</v>
      </c>
      <c r="E89" t="s">
        <v>1116</v>
      </c>
      <c r="F89" t="s">
        <v>1068</v>
      </c>
      <c r="G89" t="s">
        <v>1085</v>
      </c>
      <c r="H89">
        <v>-4.8442509248719803E-2</v>
      </c>
      <c r="I89" t="s">
        <v>1086</v>
      </c>
      <c r="J89">
        <v>17.690000000000001</v>
      </c>
    </row>
    <row r="90" spans="1:10" hidden="1">
      <c r="A90" t="s">
        <v>1114</v>
      </c>
      <c r="B90" t="s">
        <v>1115</v>
      </c>
      <c r="C90" t="s">
        <v>1066</v>
      </c>
      <c r="D90" t="s">
        <v>1067</v>
      </c>
      <c r="E90" t="s">
        <v>1116</v>
      </c>
      <c r="F90" t="s">
        <v>1068</v>
      </c>
      <c r="G90" t="s">
        <v>1087</v>
      </c>
      <c r="H90" s="170">
        <v>-8.8742050802781596E-7</v>
      </c>
      <c r="I90" t="s">
        <v>1088</v>
      </c>
      <c r="J90">
        <v>17.690000000000001</v>
      </c>
    </row>
    <row r="91" spans="1:10" hidden="1">
      <c r="A91" t="s">
        <v>1114</v>
      </c>
      <c r="B91" t="s">
        <v>1115</v>
      </c>
      <c r="C91" t="s">
        <v>1066</v>
      </c>
      <c r="D91" t="s">
        <v>1067</v>
      </c>
      <c r="E91" t="s">
        <v>1116</v>
      </c>
      <c r="F91" t="s">
        <v>1068</v>
      </c>
      <c r="G91" t="s">
        <v>1089</v>
      </c>
      <c r="H91">
        <v>-1.30563342425779E-2</v>
      </c>
      <c r="I91" t="s">
        <v>1090</v>
      </c>
      <c r="J91">
        <v>17.690000000000001</v>
      </c>
    </row>
    <row r="92" spans="1:10" hidden="1">
      <c r="A92" t="s">
        <v>1118</v>
      </c>
      <c r="B92" t="s">
        <v>1119</v>
      </c>
      <c r="C92" t="s">
        <v>1066</v>
      </c>
      <c r="D92" t="s">
        <v>1120</v>
      </c>
      <c r="E92" t="s">
        <v>561</v>
      </c>
      <c r="F92" t="s">
        <v>1068</v>
      </c>
      <c r="G92" t="s">
        <v>1069</v>
      </c>
      <c r="H92">
        <v>-0.64163206287619701</v>
      </c>
      <c r="I92" t="s">
        <v>1070</v>
      </c>
      <c r="J92">
        <v>8.1</v>
      </c>
    </row>
    <row r="93" spans="1:10" hidden="1">
      <c r="A93" t="s">
        <v>1118</v>
      </c>
      <c r="B93" t="s">
        <v>1119</v>
      </c>
      <c r="C93" t="s">
        <v>1066</v>
      </c>
      <c r="D93" t="s">
        <v>1120</v>
      </c>
      <c r="E93" t="s">
        <v>561</v>
      </c>
      <c r="F93" t="s">
        <v>1068</v>
      </c>
      <c r="G93" t="s">
        <v>1071</v>
      </c>
      <c r="H93" s="170">
        <v>-1.07993078454243E-9</v>
      </c>
      <c r="I93" t="s">
        <v>1072</v>
      </c>
      <c r="J93">
        <v>8.1</v>
      </c>
    </row>
    <row r="94" spans="1:10" hidden="1">
      <c r="A94" t="s">
        <v>1118</v>
      </c>
      <c r="B94" t="s">
        <v>1119</v>
      </c>
      <c r="C94" t="s">
        <v>1066</v>
      </c>
      <c r="D94" t="s">
        <v>1120</v>
      </c>
      <c r="E94" t="s">
        <v>561</v>
      </c>
      <c r="F94" t="s">
        <v>1068</v>
      </c>
      <c r="G94" t="s">
        <v>1073</v>
      </c>
      <c r="H94" s="170">
        <v>-2.4044527764864802E-7</v>
      </c>
      <c r="I94" t="s">
        <v>1074</v>
      </c>
      <c r="J94">
        <v>8.1</v>
      </c>
    </row>
    <row r="95" spans="1:10" hidden="1">
      <c r="A95" t="s">
        <v>1118</v>
      </c>
      <c r="B95" t="s">
        <v>1119</v>
      </c>
      <c r="C95" t="s">
        <v>1066</v>
      </c>
      <c r="D95" t="s">
        <v>1120</v>
      </c>
      <c r="E95" t="s">
        <v>561</v>
      </c>
      <c r="F95" t="s">
        <v>1068</v>
      </c>
      <c r="G95" t="s">
        <v>1075</v>
      </c>
      <c r="H95">
        <v>7.7800973362672401E-2</v>
      </c>
      <c r="I95" t="s">
        <v>1077</v>
      </c>
      <c r="J95">
        <v>8.1</v>
      </c>
    </row>
    <row r="96" spans="1:10" hidden="1">
      <c r="A96" t="s">
        <v>1118</v>
      </c>
      <c r="B96" t="s">
        <v>1119</v>
      </c>
      <c r="C96" t="s">
        <v>1066</v>
      </c>
      <c r="D96" t="s">
        <v>1120</v>
      </c>
      <c r="E96" t="s">
        <v>561</v>
      </c>
      <c r="F96" t="s">
        <v>1068</v>
      </c>
      <c r="G96" t="s">
        <v>1078</v>
      </c>
      <c r="H96">
        <v>-1.9541761966753799</v>
      </c>
      <c r="I96" t="s">
        <v>1079</v>
      </c>
      <c r="J96">
        <v>8.1</v>
      </c>
    </row>
    <row r="97" spans="1:10" hidden="1">
      <c r="A97" t="s">
        <v>1118</v>
      </c>
      <c r="B97" t="s">
        <v>1119</v>
      </c>
      <c r="C97" t="s">
        <v>1066</v>
      </c>
      <c r="D97" t="s">
        <v>1120</v>
      </c>
      <c r="E97" t="s">
        <v>561</v>
      </c>
      <c r="F97" t="s">
        <v>1068</v>
      </c>
      <c r="G97" t="s">
        <v>1080</v>
      </c>
      <c r="H97" s="171" t="s">
        <v>1121</v>
      </c>
      <c r="I97" t="s">
        <v>1082</v>
      </c>
      <c r="J97">
        <v>8.1</v>
      </c>
    </row>
    <row r="98" spans="1:10" hidden="1">
      <c r="A98" t="s">
        <v>1118</v>
      </c>
      <c r="B98" t="s">
        <v>1119</v>
      </c>
      <c r="C98" t="s">
        <v>1066</v>
      </c>
      <c r="D98" t="s">
        <v>1120</v>
      </c>
      <c r="E98" t="s">
        <v>561</v>
      </c>
      <c r="F98" t="s">
        <v>1068</v>
      </c>
      <c r="G98" t="s">
        <v>1083</v>
      </c>
      <c r="H98">
        <v>-4.2996645592349302E-4</v>
      </c>
      <c r="I98" t="s">
        <v>1084</v>
      </c>
      <c r="J98">
        <v>8.1</v>
      </c>
    </row>
    <row r="99" spans="1:10" hidden="1">
      <c r="A99" t="s">
        <v>1118</v>
      </c>
      <c r="B99" t="s">
        <v>1119</v>
      </c>
      <c r="C99" t="s">
        <v>1066</v>
      </c>
      <c r="D99" t="s">
        <v>1120</v>
      </c>
      <c r="E99" t="s">
        <v>561</v>
      </c>
      <c r="F99" t="s">
        <v>1068</v>
      </c>
      <c r="G99" t="s">
        <v>1085</v>
      </c>
      <c r="H99">
        <v>-9.4005197871399795E-3</v>
      </c>
      <c r="I99" t="s">
        <v>1086</v>
      </c>
      <c r="J99">
        <v>8.1</v>
      </c>
    </row>
    <row r="100" spans="1:10" hidden="1">
      <c r="A100" t="s">
        <v>1118</v>
      </c>
      <c r="B100" t="s">
        <v>1119</v>
      </c>
      <c r="C100" t="s">
        <v>1066</v>
      </c>
      <c r="D100" t="s">
        <v>1120</v>
      </c>
      <c r="E100" t="s">
        <v>561</v>
      </c>
      <c r="F100" t="s">
        <v>1068</v>
      </c>
      <c r="G100" t="s">
        <v>1087</v>
      </c>
      <c r="H100" s="170">
        <v>-4.02458926125647E-7</v>
      </c>
      <c r="I100" t="s">
        <v>1088</v>
      </c>
      <c r="J100">
        <v>8.1</v>
      </c>
    </row>
    <row r="101" spans="1:10" hidden="1">
      <c r="A101" t="s">
        <v>1118</v>
      </c>
      <c r="B101" t="s">
        <v>1119</v>
      </c>
      <c r="C101" t="s">
        <v>1066</v>
      </c>
      <c r="D101" t="s">
        <v>1120</v>
      </c>
      <c r="E101" t="s">
        <v>561</v>
      </c>
      <c r="F101" t="s">
        <v>1068</v>
      </c>
      <c r="G101" t="s">
        <v>1089</v>
      </c>
      <c r="H101">
        <v>-2.2753938553224202E-3</v>
      </c>
      <c r="I101" t="s">
        <v>1090</v>
      </c>
      <c r="J101">
        <v>8.1</v>
      </c>
    </row>
    <row r="102" spans="1:10" hidden="1">
      <c r="A102" t="s">
        <v>1122</v>
      </c>
      <c r="B102" t="s">
        <v>1123</v>
      </c>
      <c r="C102" t="s">
        <v>1066</v>
      </c>
      <c r="D102" t="s">
        <v>1120</v>
      </c>
      <c r="E102" t="s">
        <v>555</v>
      </c>
      <c r="F102" t="s">
        <v>1068</v>
      </c>
      <c r="G102" t="s">
        <v>1069</v>
      </c>
      <c r="H102">
        <v>-0.69815636166986395</v>
      </c>
      <c r="I102" t="s">
        <v>1070</v>
      </c>
      <c r="J102">
        <v>4.58</v>
      </c>
    </row>
    <row r="103" spans="1:10" hidden="1">
      <c r="A103" t="s">
        <v>1122</v>
      </c>
      <c r="B103" t="s">
        <v>1123</v>
      </c>
      <c r="C103" t="s">
        <v>1066</v>
      </c>
      <c r="D103" t="s">
        <v>1120</v>
      </c>
      <c r="E103" t="s">
        <v>555</v>
      </c>
      <c r="F103" t="s">
        <v>1068</v>
      </c>
      <c r="G103" t="s">
        <v>1071</v>
      </c>
      <c r="H103" s="170">
        <v>-1.1608119352150801E-9</v>
      </c>
      <c r="I103" t="s">
        <v>1072</v>
      </c>
      <c r="J103">
        <v>4.58</v>
      </c>
    </row>
    <row r="104" spans="1:10" hidden="1">
      <c r="A104" t="s">
        <v>1122</v>
      </c>
      <c r="B104" t="s">
        <v>1123</v>
      </c>
      <c r="C104" t="s">
        <v>1066</v>
      </c>
      <c r="D104" t="s">
        <v>1120</v>
      </c>
      <c r="E104" t="s">
        <v>555</v>
      </c>
      <c r="F104" t="s">
        <v>1068</v>
      </c>
      <c r="G104" t="s">
        <v>1073</v>
      </c>
      <c r="H104" s="170">
        <v>-2.6052341606441999E-7</v>
      </c>
      <c r="I104" t="s">
        <v>1074</v>
      </c>
      <c r="J104">
        <v>4.58</v>
      </c>
    </row>
    <row r="105" spans="1:10" hidden="1">
      <c r="A105" t="s">
        <v>1122</v>
      </c>
      <c r="B105" t="s">
        <v>1123</v>
      </c>
      <c r="C105" t="s">
        <v>1066</v>
      </c>
      <c r="D105" t="s">
        <v>1120</v>
      </c>
      <c r="E105" t="s">
        <v>555</v>
      </c>
      <c r="F105" t="s">
        <v>1068</v>
      </c>
      <c r="G105" t="s">
        <v>1075</v>
      </c>
      <c r="H105">
        <v>7.6017969249569203E-2</v>
      </c>
      <c r="I105" t="s">
        <v>1077</v>
      </c>
      <c r="J105">
        <v>4.58</v>
      </c>
    </row>
    <row r="106" spans="1:10" hidden="1">
      <c r="A106" t="s">
        <v>1122</v>
      </c>
      <c r="B106" t="s">
        <v>1123</v>
      </c>
      <c r="C106" t="s">
        <v>1066</v>
      </c>
      <c r="D106" t="s">
        <v>1120</v>
      </c>
      <c r="E106" t="s">
        <v>555</v>
      </c>
      <c r="F106" t="s">
        <v>1068</v>
      </c>
      <c r="G106" t="s">
        <v>1078</v>
      </c>
      <c r="H106">
        <v>-2.02984017766047</v>
      </c>
      <c r="I106" t="s">
        <v>1079</v>
      </c>
      <c r="J106">
        <v>4.58</v>
      </c>
    </row>
    <row r="107" spans="1:10" hidden="1">
      <c r="A107" t="s">
        <v>1122</v>
      </c>
      <c r="B107" t="s">
        <v>1123</v>
      </c>
      <c r="C107" t="s">
        <v>1066</v>
      </c>
      <c r="D107" t="s">
        <v>1120</v>
      </c>
      <c r="E107" t="s">
        <v>555</v>
      </c>
      <c r="F107" t="s">
        <v>1068</v>
      </c>
      <c r="G107" t="s">
        <v>1080</v>
      </c>
      <c r="H107" s="171" t="s">
        <v>1124</v>
      </c>
      <c r="I107" t="s">
        <v>1082</v>
      </c>
      <c r="J107">
        <v>4.58</v>
      </c>
    </row>
    <row r="108" spans="1:10" hidden="1">
      <c r="A108" t="s">
        <v>1122</v>
      </c>
      <c r="B108" t="s">
        <v>1123</v>
      </c>
      <c r="C108" t="s">
        <v>1066</v>
      </c>
      <c r="D108" t="s">
        <v>1120</v>
      </c>
      <c r="E108" t="s">
        <v>555</v>
      </c>
      <c r="F108" t="s">
        <v>1068</v>
      </c>
      <c r="G108" t="s">
        <v>1083</v>
      </c>
      <c r="H108">
        <v>-4.3855855889124098E-4</v>
      </c>
      <c r="I108" t="s">
        <v>1084</v>
      </c>
      <c r="J108">
        <v>4.58</v>
      </c>
    </row>
    <row r="109" spans="1:10" hidden="1">
      <c r="A109" t="s">
        <v>1122</v>
      </c>
      <c r="B109" t="s">
        <v>1123</v>
      </c>
      <c r="C109" t="s">
        <v>1066</v>
      </c>
      <c r="D109" t="s">
        <v>1120</v>
      </c>
      <c r="E109" t="s">
        <v>555</v>
      </c>
      <c r="F109" t="s">
        <v>1068</v>
      </c>
      <c r="G109" t="s">
        <v>1085</v>
      </c>
      <c r="H109">
        <v>-9.4976076208393798E-3</v>
      </c>
      <c r="I109" t="s">
        <v>1086</v>
      </c>
      <c r="J109">
        <v>4.58</v>
      </c>
    </row>
    <row r="110" spans="1:10" hidden="1">
      <c r="A110" t="s">
        <v>1122</v>
      </c>
      <c r="B110" t="s">
        <v>1123</v>
      </c>
      <c r="C110" t="s">
        <v>1066</v>
      </c>
      <c r="D110" t="s">
        <v>1120</v>
      </c>
      <c r="E110" t="s">
        <v>555</v>
      </c>
      <c r="F110" t="s">
        <v>1068</v>
      </c>
      <c r="G110" t="s">
        <v>1087</v>
      </c>
      <c r="H110" s="170">
        <v>-4.4913666083319901E-7</v>
      </c>
      <c r="I110" t="s">
        <v>1088</v>
      </c>
      <c r="J110">
        <v>4.58</v>
      </c>
    </row>
    <row r="111" spans="1:10" hidden="1">
      <c r="A111" t="s">
        <v>1122</v>
      </c>
      <c r="B111" t="s">
        <v>1123</v>
      </c>
      <c r="C111" t="s">
        <v>1066</v>
      </c>
      <c r="D111" t="s">
        <v>1120</v>
      </c>
      <c r="E111" t="s">
        <v>555</v>
      </c>
      <c r="F111" t="s">
        <v>1068</v>
      </c>
      <c r="G111" t="s">
        <v>1089</v>
      </c>
      <c r="H111">
        <v>-2.2954264319750999E-3</v>
      </c>
      <c r="I111" t="s">
        <v>1090</v>
      </c>
      <c r="J111">
        <v>4.58</v>
      </c>
    </row>
    <row r="112" spans="1:10" hidden="1">
      <c r="A112" t="s">
        <v>1125</v>
      </c>
      <c r="B112" t="s">
        <v>1126</v>
      </c>
      <c r="C112" t="s">
        <v>1066</v>
      </c>
      <c r="D112" t="s">
        <v>1120</v>
      </c>
      <c r="E112" t="s">
        <v>558</v>
      </c>
      <c r="F112" t="s">
        <v>1068</v>
      </c>
      <c r="G112" t="s">
        <v>1069</v>
      </c>
      <c r="H112">
        <v>-0.63662708859686801</v>
      </c>
      <c r="I112" t="s">
        <v>1070</v>
      </c>
      <c r="J112">
        <v>17.54</v>
      </c>
    </row>
    <row r="113" spans="1:10" hidden="1">
      <c r="A113" t="s">
        <v>1125</v>
      </c>
      <c r="B113" t="s">
        <v>1126</v>
      </c>
      <c r="C113" t="s">
        <v>1066</v>
      </c>
      <c r="D113" t="s">
        <v>1120</v>
      </c>
      <c r="E113" t="s">
        <v>558</v>
      </c>
      <c r="F113" t="s">
        <v>1068</v>
      </c>
      <c r="G113" t="s">
        <v>1071</v>
      </c>
      <c r="H113" s="170">
        <v>-1.0727686094076599E-9</v>
      </c>
      <c r="I113" t="s">
        <v>1072</v>
      </c>
      <c r="J113">
        <v>17.54</v>
      </c>
    </row>
    <row r="114" spans="1:10" hidden="1">
      <c r="A114" t="s">
        <v>1125</v>
      </c>
      <c r="B114" t="s">
        <v>1126</v>
      </c>
      <c r="C114" t="s">
        <v>1066</v>
      </c>
      <c r="D114" t="s">
        <v>1120</v>
      </c>
      <c r="E114" t="s">
        <v>558</v>
      </c>
      <c r="F114" t="s">
        <v>1068</v>
      </c>
      <c r="G114" t="s">
        <v>1073</v>
      </c>
      <c r="H114" s="170">
        <v>-2.3866749494792597E-7</v>
      </c>
      <c r="I114" t="s">
        <v>1074</v>
      </c>
      <c r="J114">
        <v>17.54</v>
      </c>
    </row>
    <row r="115" spans="1:10" hidden="1">
      <c r="A115" t="s">
        <v>1125</v>
      </c>
      <c r="B115" t="s">
        <v>1126</v>
      </c>
      <c r="C115" t="s">
        <v>1066</v>
      </c>
      <c r="D115" t="s">
        <v>1120</v>
      </c>
      <c r="E115" t="s">
        <v>558</v>
      </c>
      <c r="F115" t="s">
        <v>1068</v>
      </c>
      <c r="G115" t="s">
        <v>1075</v>
      </c>
      <c r="H115">
        <v>7.7959185946302897E-2</v>
      </c>
      <c r="I115" t="s">
        <v>1077</v>
      </c>
      <c r="J115">
        <v>17.54</v>
      </c>
    </row>
    <row r="116" spans="1:10" hidden="1">
      <c r="A116" t="s">
        <v>1125</v>
      </c>
      <c r="B116" t="s">
        <v>1126</v>
      </c>
      <c r="C116" t="s">
        <v>1066</v>
      </c>
      <c r="D116" t="s">
        <v>1120</v>
      </c>
      <c r="E116" t="s">
        <v>558</v>
      </c>
      <c r="F116" t="s">
        <v>1068</v>
      </c>
      <c r="G116" t="s">
        <v>1078</v>
      </c>
      <c r="H116">
        <v>-1.94733447427094</v>
      </c>
      <c r="I116" t="s">
        <v>1079</v>
      </c>
      <c r="J116">
        <v>17.54</v>
      </c>
    </row>
    <row r="117" spans="1:10" hidden="1">
      <c r="A117" t="s">
        <v>1125</v>
      </c>
      <c r="B117" t="s">
        <v>1126</v>
      </c>
      <c r="C117" t="s">
        <v>1066</v>
      </c>
      <c r="D117" t="s">
        <v>1120</v>
      </c>
      <c r="E117" t="s">
        <v>558</v>
      </c>
      <c r="F117" t="s">
        <v>1068</v>
      </c>
      <c r="G117" t="s">
        <v>1080</v>
      </c>
      <c r="H117" s="171" t="s">
        <v>1127</v>
      </c>
      <c r="I117" t="s">
        <v>1082</v>
      </c>
      <c r="J117">
        <v>17.54</v>
      </c>
    </row>
    <row r="118" spans="1:10" hidden="1">
      <c r="A118" t="s">
        <v>1125</v>
      </c>
      <c r="B118" t="s">
        <v>1126</v>
      </c>
      <c r="C118" t="s">
        <v>1066</v>
      </c>
      <c r="D118" t="s">
        <v>1120</v>
      </c>
      <c r="E118" t="s">
        <v>558</v>
      </c>
      <c r="F118" t="s">
        <v>1068</v>
      </c>
      <c r="G118" t="s">
        <v>1083</v>
      </c>
      <c r="H118">
        <v>-4.2920569659252102E-4</v>
      </c>
      <c r="I118" t="s">
        <v>1084</v>
      </c>
      <c r="J118">
        <v>17.54</v>
      </c>
    </row>
    <row r="119" spans="1:10" hidden="1">
      <c r="A119" t="s">
        <v>1125</v>
      </c>
      <c r="B119" t="s">
        <v>1126</v>
      </c>
      <c r="C119" t="s">
        <v>1066</v>
      </c>
      <c r="D119" t="s">
        <v>1120</v>
      </c>
      <c r="E119" t="s">
        <v>558</v>
      </c>
      <c r="F119" t="s">
        <v>1068</v>
      </c>
      <c r="G119" t="s">
        <v>1085</v>
      </c>
      <c r="H119">
        <v>-9.3919216626832808E-3</v>
      </c>
      <c r="I119" t="s">
        <v>1086</v>
      </c>
      <c r="J119">
        <v>17.54</v>
      </c>
    </row>
    <row r="120" spans="1:10" hidden="1">
      <c r="A120" t="s">
        <v>1125</v>
      </c>
      <c r="B120" t="s">
        <v>1126</v>
      </c>
      <c r="C120" t="s">
        <v>1066</v>
      </c>
      <c r="D120" t="s">
        <v>1120</v>
      </c>
      <c r="E120" t="s">
        <v>558</v>
      </c>
      <c r="F120" t="s">
        <v>1068</v>
      </c>
      <c r="G120" t="s">
        <v>1087</v>
      </c>
      <c r="H120" s="170">
        <v>-3.9830943200368102E-7</v>
      </c>
      <c r="I120" t="s">
        <v>1088</v>
      </c>
      <c r="J120">
        <v>17.54</v>
      </c>
    </row>
    <row r="121" spans="1:10" hidden="1">
      <c r="A121" t="s">
        <v>1125</v>
      </c>
      <c r="B121" t="s">
        <v>1126</v>
      </c>
      <c r="C121" t="s">
        <v>1066</v>
      </c>
      <c r="D121" t="s">
        <v>1120</v>
      </c>
      <c r="E121" t="s">
        <v>558</v>
      </c>
      <c r="F121" t="s">
        <v>1068</v>
      </c>
      <c r="G121" t="s">
        <v>1089</v>
      </c>
      <c r="H121">
        <v>-2.2736200792260299E-3</v>
      </c>
      <c r="I121" t="s">
        <v>1090</v>
      </c>
      <c r="J121">
        <v>17.54</v>
      </c>
    </row>
    <row r="122" spans="1:10" hidden="1">
      <c r="A122" t="s">
        <v>1128</v>
      </c>
      <c r="B122" t="s">
        <v>1129</v>
      </c>
      <c r="C122" t="s">
        <v>1066</v>
      </c>
      <c r="D122" t="s">
        <v>1120</v>
      </c>
      <c r="E122" t="s">
        <v>553</v>
      </c>
      <c r="F122" t="s">
        <v>1068</v>
      </c>
      <c r="G122" t="s">
        <v>1069</v>
      </c>
      <c r="H122">
        <v>-0.63172284012647395</v>
      </c>
      <c r="I122" t="s">
        <v>1070</v>
      </c>
      <c r="J122">
        <v>9.14</v>
      </c>
    </row>
    <row r="123" spans="1:10" hidden="1">
      <c r="A123" t="s">
        <v>1128</v>
      </c>
      <c r="B123" t="s">
        <v>1129</v>
      </c>
      <c r="C123" t="s">
        <v>1066</v>
      </c>
      <c r="D123" t="s">
        <v>1120</v>
      </c>
      <c r="E123" t="s">
        <v>553</v>
      </c>
      <c r="F123" t="s">
        <v>1068</v>
      </c>
      <c r="G123" t="s">
        <v>1071</v>
      </c>
      <c r="H123" s="170">
        <v>-1.0657448100800599E-9</v>
      </c>
      <c r="I123" t="s">
        <v>1072</v>
      </c>
      <c r="J123">
        <v>9.14</v>
      </c>
    </row>
    <row r="124" spans="1:10" hidden="1">
      <c r="A124" t="s">
        <v>1128</v>
      </c>
      <c r="B124" t="s">
        <v>1129</v>
      </c>
      <c r="C124" t="s">
        <v>1066</v>
      </c>
      <c r="D124" t="s">
        <v>1120</v>
      </c>
      <c r="E124" t="s">
        <v>553</v>
      </c>
      <c r="F124" t="s">
        <v>1068</v>
      </c>
      <c r="G124" t="s">
        <v>1073</v>
      </c>
      <c r="H124" s="170">
        <v>-2.3692601900375E-7</v>
      </c>
      <c r="I124" t="s">
        <v>1074</v>
      </c>
      <c r="J124">
        <v>9.14</v>
      </c>
    </row>
    <row r="125" spans="1:10" hidden="1">
      <c r="A125" t="s">
        <v>1128</v>
      </c>
      <c r="B125" t="s">
        <v>1129</v>
      </c>
      <c r="C125" t="s">
        <v>1066</v>
      </c>
      <c r="D125" t="s">
        <v>1120</v>
      </c>
      <c r="E125" t="s">
        <v>553</v>
      </c>
      <c r="F125" t="s">
        <v>1068</v>
      </c>
      <c r="G125" t="s">
        <v>1075</v>
      </c>
      <c r="H125">
        <v>7.8118003834459895E-2</v>
      </c>
      <c r="I125" t="s">
        <v>1077</v>
      </c>
      <c r="J125">
        <v>9.14</v>
      </c>
    </row>
    <row r="126" spans="1:10" hidden="1">
      <c r="A126" t="s">
        <v>1128</v>
      </c>
      <c r="B126" t="s">
        <v>1129</v>
      </c>
      <c r="C126" t="s">
        <v>1066</v>
      </c>
      <c r="D126" t="s">
        <v>1120</v>
      </c>
      <c r="E126" t="s">
        <v>553</v>
      </c>
      <c r="F126" t="s">
        <v>1068</v>
      </c>
      <c r="G126" t="s">
        <v>1078</v>
      </c>
      <c r="H126">
        <v>-1.9390265815488099</v>
      </c>
      <c r="I126" t="s">
        <v>1079</v>
      </c>
      <c r="J126">
        <v>9.14</v>
      </c>
    </row>
    <row r="127" spans="1:10" hidden="1">
      <c r="A127" t="s">
        <v>1128</v>
      </c>
      <c r="B127" t="s">
        <v>1129</v>
      </c>
      <c r="C127" t="s">
        <v>1066</v>
      </c>
      <c r="D127" t="s">
        <v>1120</v>
      </c>
      <c r="E127" t="s">
        <v>553</v>
      </c>
      <c r="F127" t="s">
        <v>1068</v>
      </c>
      <c r="G127" t="s">
        <v>1080</v>
      </c>
      <c r="H127" s="171" t="s">
        <v>1130</v>
      </c>
      <c r="I127" t="s">
        <v>1082</v>
      </c>
      <c r="J127">
        <v>9.14</v>
      </c>
    </row>
    <row r="128" spans="1:10" hidden="1">
      <c r="A128" t="s">
        <v>1128</v>
      </c>
      <c r="B128" t="s">
        <v>1129</v>
      </c>
      <c r="C128" t="s">
        <v>1066</v>
      </c>
      <c r="D128" t="s">
        <v>1120</v>
      </c>
      <c r="E128" t="s">
        <v>553</v>
      </c>
      <c r="F128" t="s">
        <v>1068</v>
      </c>
      <c r="G128" t="s">
        <v>1083</v>
      </c>
      <c r="H128">
        <v>-4.2846062060362201E-4</v>
      </c>
      <c r="I128" t="s">
        <v>1084</v>
      </c>
      <c r="J128">
        <v>9.14</v>
      </c>
    </row>
    <row r="129" spans="1:10" hidden="1">
      <c r="A129" t="s">
        <v>1128</v>
      </c>
      <c r="B129" t="s">
        <v>1129</v>
      </c>
      <c r="C129" t="s">
        <v>1066</v>
      </c>
      <c r="D129" t="s">
        <v>1120</v>
      </c>
      <c r="E129" t="s">
        <v>553</v>
      </c>
      <c r="F129" t="s">
        <v>1068</v>
      </c>
      <c r="G129" t="s">
        <v>1085</v>
      </c>
      <c r="H129">
        <v>-9.3834804236848195E-3</v>
      </c>
      <c r="I129" t="s">
        <v>1086</v>
      </c>
      <c r="J129">
        <v>9.14</v>
      </c>
    </row>
    <row r="130" spans="1:10" hidden="1">
      <c r="A130" t="s">
        <v>1128</v>
      </c>
      <c r="B130" t="s">
        <v>1129</v>
      </c>
      <c r="C130" t="s">
        <v>1066</v>
      </c>
      <c r="D130" t="s">
        <v>1120</v>
      </c>
      <c r="E130" t="s">
        <v>553</v>
      </c>
      <c r="F130" t="s">
        <v>1068</v>
      </c>
      <c r="G130" t="s">
        <v>1087</v>
      </c>
      <c r="H130" s="170">
        <v>-3.9405835437991797E-7</v>
      </c>
      <c r="I130" t="s">
        <v>1088</v>
      </c>
      <c r="J130">
        <v>9.14</v>
      </c>
    </row>
    <row r="131" spans="1:10" hidden="1">
      <c r="A131" t="s">
        <v>1128</v>
      </c>
      <c r="B131" t="s">
        <v>1129</v>
      </c>
      <c r="C131" t="s">
        <v>1066</v>
      </c>
      <c r="D131" t="s">
        <v>1120</v>
      </c>
      <c r="E131" t="s">
        <v>553</v>
      </c>
      <c r="F131" t="s">
        <v>1068</v>
      </c>
      <c r="G131" t="s">
        <v>1089</v>
      </c>
      <c r="H131">
        <v>-2.2718822165732101E-3</v>
      </c>
      <c r="I131" t="s">
        <v>1090</v>
      </c>
      <c r="J131">
        <v>9.14</v>
      </c>
    </row>
    <row r="132" spans="1:10" hidden="1">
      <c r="A132" t="s">
        <v>1131</v>
      </c>
      <c r="B132" t="s">
        <v>1132</v>
      </c>
      <c r="C132" t="s">
        <v>1066</v>
      </c>
      <c r="D132" t="s">
        <v>1120</v>
      </c>
      <c r="E132" t="s">
        <v>556</v>
      </c>
      <c r="F132" t="s">
        <v>1068</v>
      </c>
      <c r="G132" t="s">
        <v>1069</v>
      </c>
      <c r="H132">
        <v>-0.69191209535701403</v>
      </c>
      <c r="I132" t="s">
        <v>1070</v>
      </c>
      <c r="J132">
        <v>3.84</v>
      </c>
    </row>
    <row r="133" spans="1:10" hidden="1">
      <c r="A133" t="s">
        <v>1131</v>
      </c>
      <c r="B133" t="s">
        <v>1132</v>
      </c>
      <c r="C133" t="s">
        <v>1066</v>
      </c>
      <c r="D133" t="s">
        <v>1120</v>
      </c>
      <c r="E133" t="s">
        <v>556</v>
      </c>
      <c r="F133" t="s">
        <v>1068</v>
      </c>
      <c r="G133" t="s">
        <v>1071</v>
      </c>
      <c r="H133" s="170">
        <v>-1.1518441921434201E-9</v>
      </c>
      <c r="I133" t="s">
        <v>1072</v>
      </c>
      <c r="J133">
        <v>3.84</v>
      </c>
    </row>
    <row r="134" spans="1:10" hidden="1">
      <c r="A134" t="s">
        <v>1131</v>
      </c>
      <c r="B134" t="s">
        <v>1132</v>
      </c>
      <c r="C134" t="s">
        <v>1066</v>
      </c>
      <c r="D134" t="s">
        <v>1120</v>
      </c>
      <c r="E134" t="s">
        <v>556</v>
      </c>
      <c r="F134" t="s">
        <v>1068</v>
      </c>
      <c r="G134" t="s">
        <v>1073</v>
      </c>
      <c r="H134" s="170">
        <v>-2.58304513046259E-7</v>
      </c>
      <c r="I134" t="s">
        <v>1074</v>
      </c>
      <c r="J134">
        <v>3.84</v>
      </c>
    </row>
    <row r="135" spans="1:10" hidden="1">
      <c r="A135" t="s">
        <v>1131</v>
      </c>
      <c r="B135" t="s">
        <v>1132</v>
      </c>
      <c r="C135" t="s">
        <v>1066</v>
      </c>
      <c r="D135" t="s">
        <v>1120</v>
      </c>
      <c r="E135" t="s">
        <v>556</v>
      </c>
      <c r="F135" t="s">
        <v>1068</v>
      </c>
      <c r="G135" t="s">
        <v>1075</v>
      </c>
      <c r="H135">
        <v>7.6229415053774299E-2</v>
      </c>
      <c r="I135" t="s">
        <v>1077</v>
      </c>
      <c r="J135">
        <v>3.84</v>
      </c>
    </row>
    <row r="136" spans="1:10" hidden="1">
      <c r="A136" t="s">
        <v>1131</v>
      </c>
      <c r="B136" t="s">
        <v>1132</v>
      </c>
      <c r="C136" t="s">
        <v>1066</v>
      </c>
      <c r="D136" t="s">
        <v>1120</v>
      </c>
      <c r="E136" t="s">
        <v>556</v>
      </c>
      <c r="F136" t="s">
        <v>1068</v>
      </c>
      <c r="G136" t="s">
        <v>1078</v>
      </c>
      <c r="H136">
        <v>-2.0154397409569902</v>
      </c>
      <c r="I136" t="s">
        <v>1079</v>
      </c>
      <c r="J136">
        <v>3.84</v>
      </c>
    </row>
    <row r="137" spans="1:10" hidden="1">
      <c r="A137" t="s">
        <v>1131</v>
      </c>
      <c r="B137" t="s">
        <v>1132</v>
      </c>
      <c r="C137" t="s">
        <v>1066</v>
      </c>
      <c r="D137" t="s">
        <v>1120</v>
      </c>
      <c r="E137" t="s">
        <v>556</v>
      </c>
      <c r="F137" t="s">
        <v>1068</v>
      </c>
      <c r="G137" t="s">
        <v>1080</v>
      </c>
      <c r="H137" s="171" t="s">
        <v>1133</v>
      </c>
      <c r="I137" t="s">
        <v>1082</v>
      </c>
      <c r="J137">
        <v>3.84</v>
      </c>
    </row>
    <row r="138" spans="1:10" hidden="1">
      <c r="A138" t="s">
        <v>1131</v>
      </c>
      <c r="B138" t="s">
        <v>1132</v>
      </c>
      <c r="C138" t="s">
        <v>1066</v>
      </c>
      <c r="D138" t="s">
        <v>1120</v>
      </c>
      <c r="E138" t="s">
        <v>556</v>
      </c>
      <c r="F138" t="s">
        <v>1068</v>
      </c>
      <c r="G138" t="s">
        <v>1083</v>
      </c>
      <c r="H138">
        <v>-4.37609422195487E-4</v>
      </c>
      <c r="I138" t="s">
        <v>1084</v>
      </c>
      <c r="J138">
        <v>3.84</v>
      </c>
    </row>
    <row r="139" spans="1:10" hidden="1">
      <c r="A139" t="s">
        <v>1131</v>
      </c>
      <c r="B139" t="s">
        <v>1132</v>
      </c>
      <c r="C139" t="s">
        <v>1066</v>
      </c>
      <c r="D139" t="s">
        <v>1120</v>
      </c>
      <c r="E139" t="s">
        <v>556</v>
      </c>
      <c r="F139" t="s">
        <v>1068</v>
      </c>
      <c r="G139" t="s">
        <v>1085</v>
      </c>
      <c r="H139">
        <v>-9.4868065102071998E-3</v>
      </c>
      <c r="I139" t="s">
        <v>1086</v>
      </c>
      <c r="J139">
        <v>3.84</v>
      </c>
    </row>
    <row r="140" spans="1:10" hidden="1">
      <c r="A140" t="s">
        <v>1131</v>
      </c>
      <c r="B140" t="s">
        <v>1132</v>
      </c>
      <c r="C140" t="s">
        <v>1066</v>
      </c>
      <c r="D140" t="s">
        <v>1120</v>
      </c>
      <c r="E140" t="s">
        <v>556</v>
      </c>
      <c r="F140" t="s">
        <v>1068</v>
      </c>
      <c r="G140" t="s">
        <v>1087</v>
      </c>
      <c r="H140" s="170">
        <v>-4.4395972699020499E-7</v>
      </c>
      <c r="I140" t="s">
        <v>1088</v>
      </c>
      <c r="J140">
        <v>3.84</v>
      </c>
    </row>
    <row r="141" spans="1:10" hidden="1">
      <c r="A141" t="s">
        <v>1131</v>
      </c>
      <c r="B141" t="s">
        <v>1132</v>
      </c>
      <c r="C141" t="s">
        <v>1066</v>
      </c>
      <c r="D141" t="s">
        <v>1120</v>
      </c>
      <c r="E141" t="s">
        <v>556</v>
      </c>
      <c r="F141" t="s">
        <v>1068</v>
      </c>
      <c r="G141" t="s">
        <v>1089</v>
      </c>
      <c r="H141">
        <v>-2.29321345824062E-3</v>
      </c>
      <c r="I141" t="s">
        <v>1090</v>
      </c>
      <c r="J141">
        <v>3.84</v>
      </c>
    </row>
    <row r="142" spans="1:10" hidden="1">
      <c r="A142" t="s">
        <v>1134</v>
      </c>
      <c r="B142" s="170" t="s">
        <v>1135</v>
      </c>
      <c r="C142" t="s">
        <v>1066</v>
      </c>
      <c r="D142" t="s">
        <v>1120</v>
      </c>
      <c r="E142" t="s">
        <v>557</v>
      </c>
      <c r="F142" t="s">
        <v>1068</v>
      </c>
      <c r="G142" t="s">
        <v>1069</v>
      </c>
      <c r="H142">
        <v>-0.65729980844613201</v>
      </c>
      <c r="I142" t="s">
        <v>1070</v>
      </c>
      <c r="J142">
        <v>4.38</v>
      </c>
    </row>
    <row r="143" spans="1:10" hidden="1">
      <c r="A143" t="s">
        <v>1134</v>
      </c>
      <c r="B143" s="170" t="s">
        <v>1135</v>
      </c>
      <c r="C143" t="s">
        <v>1066</v>
      </c>
      <c r="D143" t="s">
        <v>1120</v>
      </c>
      <c r="E143" t="s">
        <v>557</v>
      </c>
      <c r="F143" t="s">
        <v>1068</v>
      </c>
      <c r="G143" t="s">
        <v>1071</v>
      </c>
      <c r="H143" s="170">
        <v>-1.1023515067031101E-9</v>
      </c>
      <c r="I143" t="s">
        <v>1072</v>
      </c>
      <c r="J143">
        <v>4.38</v>
      </c>
    </row>
    <row r="144" spans="1:10" hidden="1">
      <c r="A144" t="s">
        <v>1134</v>
      </c>
      <c r="B144" s="170" t="s">
        <v>1135</v>
      </c>
      <c r="C144" t="s">
        <v>1066</v>
      </c>
      <c r="D144" t="s">
        <v>1120</v>
      </c>
      <c r="E144" t="s">
        <v>557</v>
      </c>
      <c r="F144" t="s">
        <v>1068</v>
      </c>
      <c r="G144" t="s">
        <v>1073</v>
      </c>
      <c r="H144" s="170">
        <v>-2.4601051045085299E-7</v>
      </c>
      <c r="I144" t="s">
        <v>1074</v>
      </c>
      <c r="J144">
        <v>4.38</v>
      </c>
    </row>
    <row r="145" spans="1:10" hidden="1">
      <c r="A145" t="s">
        <v>1134</v>
      </c>
      <c r="B145" s="170" t="s">
        <v>1135</v>
      </c>
      <c r="C145" t="s">
        <v>1066</v>
      </c>
      <c r="D145" t="s">
        <v>1120</v>
      </c>
      <c r="E145" t="s">
        <v>557</v>
      </c>
      <c r="F145" t="s">
        <v>1068</v>
      </c>
      <c r="G145" t="s">
        <v>1075</v>
      </c>
      <c r="H145">
        <v>7.73056991878322E-2</v>
      </c>
      <c r="I145" t="s">
        <v>1077</v>
      </c>
      <c r="J145">
        <v>4.38</v>
      </c>
    </row>
    <row r="146" spans="1:10" hidden="1">
      <c r="A146" t="s">
        <v>1134</v>
      </c>
      <c r="B146" s="170" t="s">
        <v>1135</v>
      </c>
      <c r="C146" t="s">
        <v>1066</v>
      </c>
      <c r="D146" t="s">
        <v>1120</v>
      </c>
      <c r="E146" t="s">
        <v>557</v>
      </c>
      <c r="F146" t="s">
        <v>1068</v>
      </c>
      <c r="G146" t="s">
        <v>1078</v>
      </c>
      <c r="H146">
        <v>-1.9755937624631501</v>
      </c>
      <c r="I146" t="s">
        <v>1079</v>
      </c>
      <c r="J146">
        <v>4.38</v>
      </c>
    </row>
    <row r="147" spans="1:10" hidden="1">
      <c r="A147" t="s">
        <v>1134</v>
      </c>
      <c r="B147" s="170" t="s">
        <v>1135</v>
      </c>
      <c r="C147" t="s">
        <v>1066</v>
      </c>
      <c r="D147" t="s">
        <v>1120</v>
      </c>
      <c r="E147" t="s">
        <v>557</v>
      </c>
      <c r="F147" t="s">
        <v>1068</v>
      </c>
      <c r="G147" t="s">
        <v>1080</v>
      </c>
      <c r="H147" s="171" t="s">
        <v>1136</v>
      </c>
      <c r="I147" t="s">
        <v>1082</v>
      </c>
      <c r="J147">
        <v>4.38</v>
      </c>
    </row>
    <row r="148" spans="1:10" hidden="1">
      <c r="A148" t="s">
        <v>1134</v>
      </c>
      <c r="B148" s="170" t="s">
        <v>1135</v>
      </c>
      <c r="C148" t="s">
        <v>1066</v>
      </c>
      <c r="D148" t="s">
        <v>1120</v>
      </c>
      <c r="E148" t="s">
        <v>557</v>
      </c>
      <c r="F148" t="s">
        <v>1068</v>
      </c>
      <c r="G148" t="s">
        <v>1083</v>
      </c>
      <c r="H148">
        <v>-4.3234796339435699E-4</v>
      </c>
      <c r="I148" t="s">
        <v>1084</v>
      </c>
      <c r="J148">
        <v>4.38</v>
      </c>
    </row>
    <row r="149" spans="1:10" hidden="1">
      <c r="A149" t="s">
        <v>1134</v>
      </c>
      <c r="B149" s="170" t="s">
        <v>1135</v>
      </c>
      <c r="C149" t="s">
        <v>1066</v>
      </c>
      <c r="D149" t="s">
        <v>1120</v>
      </c>
      <c r="E149" t="s">
        <v>557</v>
      </c>
      <c r="F149" t="s">
        <v>1068</v>
      </c>
      <c r="G149" t="s">
        <v>1085</v>
      </c>
      <c r="H149">
        <v>-9.4274356550043802E-3</v>
      </c>
      <c r="I149" t="s">
        <v>1086</v>
      </c>
      <c r="J149">
        <v>4.38</v>
      </c>
    </row>
    <row r="150" spans="1:10" hidden="1">
      <c r="A150" t="s">
        <v>1134</v>
      </c>
      <c r="B150" s="170" t="s">
        <v>1135</v>
      </c>
      <c r="C150" t="s">
        <v>1066</v>
      </c>
      <c r="D150" t="s">
        <v>1120</v>
      </c>
      <c r="E150" t="s">
        <v>557</v>
      </c>
      <c r="F150" t="s">
        <v>1068</v>
      </c>
      <c r="G150" t="s">
        <v>1087</v>
      </c>
      <c r="H150" s="170">
        <v>-4.1544864685526001E-7</v>
      </c>
      <c r="I150" t="s">
        <v>1088</v>
      </c>
      <c r="J150">
        <v>4.38</v>
      </c>
    </row>
    <row r="151" spans="1:10" hidden="1">
      <c r="A151" t="s">
        <v>1134</v>
      </c>
      <c r="B151" s="170" t="s">
        <v>1135</v>
      </c>
      <c r="C151" t="s">
        <v>1066</v>
      </c>
      <c r="D151" t="s">
        <v>1120</v>
      </c>
      <c r="E151" t="s">
        <v>557</v>
      </c>
      <c r="F151" t="s">
        <v>1068</v>
      </c>
      <c r="G151" t="s">
        <v>1089</v>
      </c>
      <c r="H151">
        <v>-2.2809465457111098E-3</v>
      </c>
      <c r="I151" t="s">
        <v>1090</v>
      </c>
      <c r="J151">
        <v>4.38</v>
      </c>
    </row>
    <row r="152" spans="1:10" hidden="1">
      <c r="A152" t="s">
        <v>1137</v>
      </c>
      <c r="B152" t="s">
        <v>1138</v>
      </c>
      <c r="C152" t="s">
        <v>1066</v>
      </c>
      <c r="D152" t="s">
        <v>1120</v>
      </c>
      <c r="E152" t="s">
        <v>559</v>
      </c>
      <c r="F152" t="s">
        <v>1068</v>
      </c>
      <c r="G152" t="s">
        <v>1069</v>
      </c>
      <c r="H152">
        <v>-0.49751148027529901</v>
      </c>
      <c r="I152" t="s">
        <v>1070</v>
      </c>
      <c r="J152">
        <v>2.5499999999999998</v>
      </c>
    </row>
    <row r="153" spans="1:10" hidden="1">
      <c r="A153" t="s">
        <v>1137</v>
      </c>
      <c r="B153" t="s">
        <v>1138</v>
      </c>
      <c r="C153" t="s">
        <v>1066</v>
      </c>
      <c r="D153" t="s">
        <v>1120</v>
      </c>
      <c r="E153" t="s">
        <v>559</v>
      </c>
      <c r="F153" t="s">
        <v>1068</v>
      </c>
      <c r="G153" t="s">
        <v>1071</v>
      </c>
      <c r="H153" s="170">
        <v>-7.3369651782398504E-10</v>
      </c>
      <c r="I153" t="s">
        <v>1072</v>
      </c>
      <c r="J153">
        <v>2.5499999999999998</v>
      </c>
    </row>
    <row r="154" spans="1:10" hidden="1">
      <c r="A154" t="s">
        <v>1137</v>
      </c>
      <c r="B154" t="s">
        <v>1138</v>
      </c>
      <c r="C154" t="s">
        <v>1066</v>
      </c>
      <c r="D154" t="s">
        <v>1120</v>
      </c>
      <c r="E154" t="s">
        <v>559</v>
      </c>
      <c r="F154" t="s">
        <v>1068</v>
      </c>
      <c r="G154" t="s">
        <v>1073</v>
      </c>
      <c r="H154" s="170">
        <v>-1.8165123300860799E-7</v>
      </c>
      <c r="I154" t="s">
        <v>1074</v>
      </c>
      <c r="J154">
        <v>2.5499999999999998</v>
      </c>
    </row>
    <row r="155" spans="1:10" hidden="1">
      <c r="A155" t="s">
        <v>1137</v>
      </c>
      <c r="B155" t="s">
        <v>1138</v>
      </c>
      <c r="C155" t="s">
        <v>1066</v>
      </c>
      <c r="D155" t="s">
        <v>1120</v>
      </c>
      <c r="E155" t="s">
        <v>559</v>
      </c>
      <c r="F155" t="s">
        <v>1068</v>
      </c>
      <c r="G155" t="s">
        <v>1075</v>
      </c>
      <c r="H155">
        <v>8.1620641297485502E-2</v>
      </c>
      <c r="I155" t="s">
        <v>1077</v>
      </c>
      <c r="J155">
        <v>2.5499999999999998</v>
      </c>
    </row>
    <row r="156" spans="1:10" hidden="1">
      <c r="A156" t="s">
        <v>1137</v>
      </c>
      <c r="B156" t="s">
        <v>1138</v>
      </c>
      <c r="C156" t="s">
        <v>1066</v>
      </c>
      <c r="D156" t="s">
        <v>1120</v>
      </c>
      <c r="E156" t="s">
        <v>559</v>
      </c>
      <c r="F156" t="s">
        <v>1068</v>
      </c>
      <c r="G156" t="s">
        <v>1078</v>
      </c>
      <c r="H156">
        <v>-1.48271925634947</v>
      </c>
      <c r="I156" t="s">
        <v>1079</v>
      </c>
      <c r="J156">
        <v>2.5499999999999998</v>
      </c>
    </row>
    <row r="157" spans="1:10" hidden="1">
      <c r="A157" t="s">
        <v>1137</v>
      </c>
      <c r="B157" t="s">
        <v>1138</v>
      </c>
      <c r="C157" t="s">
        <v>1066</v>
      </c>
      <c r="D157" t="s">
        <v>1120</v>
      </c>
      <c r="E157" t="s">
        <v>559</v>
      </c>
      <c r="F157" t="s">
        <v>1068</v>
      </c>
      <c r="G157" t="s">
        <v>1080</v>
      </c>
      <c r="H157" s="171" t="s">
        <v>1139</v>
      </c>
      <c r="I157" t="s">
        <v>1082</v>
      </c>
      <c r="J157">
        <v>2.5499999999999998</v>
      </c>
    </row>
    <row r="158" spans="1:10" hidden="1">
      <c r="A158" t="s">
        <v>1137</v>
      </c>
      <c r="B158" t="s">
        <v>1138</v>
      </c>
      <c r="C158" t="s">
        <v>1066</v>
      </c>
      <c r="D158" t="s">
        <v>1120</v>
      </c>
      <c r="E158" t="s">
        <v>559</v>
      </c>
      <c r="F158" t="s">
        <v>1068</v>
      </c>
      <c r="G158" t="s">
        <v>1083</v>
      </c>
      <c r="H158" s="170">
        <v>-3.14623519195168E-5</v>
      </c>
      <c r="I158" t="s">
        <v>1084</v>
      </c>
      <c r="J158">
        <v>2.5499999999999998</v>
      </c>
    </row>
    <row r="159" spans="1:10" hidden="1">
      <c r="A159" t="s">
        <v>1137</v>
      </c>
      <c r="B159" t="s">
        <v>1138</v>
      </c>
      <c r="C159" t="s">
        <v>1066</v>
      </c>
      <c r="D159" t="s">
        <v>1120</v>
      </c>
      <c r="E159" t="s">
        <v>559</v>
      </c>
      <c r="F159" t="s">
        <v>1068</v>
      </c>
      <c r="G159" t="s">
        <v>1085</v>
      </c>
      <c r="H159">
        <v>1.9399270472870401E-3</v>
      </c>
      <c r="I159" t="s">
        <v>1086</v>
      </c>
      <c r="J159">
        <v>2.5499999999999998</v>
      </c>
    </row>
    <row r="160" spans="1:10" hidden="1">
      <c r="A160" t="s">
        <v>1137</v>
      </c>
      <c r="B160" t="s">
        <v>1138</v>
      </c>
      <c r="C160" t="s">
        <v>1066</v>
      </c>
      <c r="D160" t="s">
        <v>1120</v>
      </c>
      <c r="E160" t="s">
        <v>559</v>
      </c>
      <c r="F160" t="s">
        <v>1068</v>
      </c>
      <c r="G160" t="s">
        <v>1087</v>
      </c>
      <c r="H160" s="170">
        <v>-4.09596432437975E-7</v>
      </c>
      <c r="I160" t="s">
        <v>1088</v>
      </c>
      <c r="J160">
        <v>2.5499999999999998</v>
      </c>
    </row>
    <row r="161" spans="1:10" hidden="1">
      <c r="A161" t="s">
        <v>1137</v>
      </c>
      <c r="B161" t="s">
        <v>1138</v>
      </c>
      <c r="C161" t="s">
        <v>1066</v>
      </c>
      <c r="D161" t="s">
        <v>1120</v>
      </c>
      <c r="E161" t="s">
        <v>559</v>
      </c>
      <c r="F161" t="s">
        <v>1068</v>
      </c>
      <c r="G161" t="s">
        <v>1089</v>
      </c>
      <c r="H161">
        <v>8.2514884002791804E-4</v>
      </c>
      <c r="I161" t="s">
        <v>1090</v>
      </c>
      <c r="J161">
        <v>2.5499999999999998</v>
      </c>
    </row>
    <row r="162" spans="1:10" hidden="1">
      <c r="A162" t="s">
        <v>1140</v>
      </c>
      <c r="B162" t="s">
        <v>1141</v>
      </c>
      <c r="C162" t="s">
        <v>1066</v>
      </c>
      <c r="D162" t="s">
        <v>1120</v>
      </c>
      <c r="E162" t="s">
        <v>560</v>
      </c>
      <c r="F162" t="s">
        <v>1068</v>
      </c>
      <c r="G162" t="s">
        <v>1069</v>
      </c>
      <c r="H162">
        <v>-0.66832525903240403</v>
      </c>
      <c r="I162" t="s">
        <v>1070</v>
      </c>
      <c r="J162">
        <v>3.56</v>
      </c>
    </row>
    <row r="163" spans="1:10" hidden="1">
      <c r="A163" t="s">
        <v>1140</v>
      </c>
      <c r="B163" t="s">
        <v>1141</v>
      </c>
      <c r="C163" t="s">
        <v>1066</v>
      </c>
      <c r="D163" t="s">
        <v>1120</v>
      </c>
      <c r="E163" t="s">
        <v>560</v>
      </c>
      <c r="F163" t="s">
        <v>1068</v>
      </c>
      <c r="G163" t="s">
        <v>1071</v>
      </c>
      <c r="H163" s="170">
        <v>-1.11812905192734E-9</v>
      </c>
      <c r="I163" t="s">
        <v>1072</v>
      </c>
      <c r="J163">
        <v>3.56</v>
      </c>
    </row>
    <row r="164" spans="1:10" hidden="1">
      <c r="A164" t="s">
        <v>1140</v>
      </c>
      <c r="B164" t="s">
        <v>1141</v>
      </c>
      <c r="C164" t="s">
        <v>1066</v>
      </c>
      <c r="D164" t="s">
        <v>1120</v>
      </c>
      <c r="E164" t="s">
        <v>560</v>
      </c>
      <c r="F164" t="s">
        <v>1068</v>
      </c>
      <c r="G164" t="s">
        <v>1073</v>
      </c>
      <c r="H164" s="170">
        <v>-2.4992678538574701E-7</v>
      </c>
      <c r="I164" t="s">
        <v>1074</v>
      </c>
      <c r="J164">
        <v>3.56</v>
      </c>
    </row>
    <row r="165" spans="1:10" hidden="1">
      <c r="A165" t="s">
        <v>1140</v>
      </c>
      <c r="B165" t="s">
        <v>1141</v>
      </c>
      <c r="C165" t="s">
        <v>1066</v>
      </c>
      <c r="D165" t="s">
        <v>1120</v>
      </c>
      <c r="E165" t="s">
        <v>560</v>
      </c>
      <c r="F165" t="s">
        <v>1068</v>
      </c>
      <c r="G165" t="s">
        <v>1075</v>
      </c>
      <c r="H165">
        <v>7.6957172916647901E-2</v>
      </c>
      <c r="I165" t="s">
        <v>1077</v>
      </c>
      <c r="J165">
        <v>3.56</v>
      </c>
    </row>
    <row r="166" spans="1:10" hidden="1">
      <c r="A166" t="s">
        <v>1140</v>
      </c>
      <c r="B166" t="s">
        <v>1141</v>
      </c>
      <c r="C166" t="s">
        <v>1066</v>
      </c>
      <c r="D166" t="s">
        <v>1120</v>
      </c>
      <c r="E166" t="s">
        <v>560</v>
      </c>
      <c r="F166" t="s">
        <v>1068</v>
      </c>
      <c r="G166" t="s">
        <v>1078</v>
      </c>
      <c r="H166">
        <v>-1.99066538283233</v>
      </c>
      <c r="I166" t="s">
        <v>1079</v>
      </c>
      <c r="J166">
        <v>3.56</v>
      </c>
    </row>
    <row r="167" spans="1:10" hidden="1">
      <c r="A167" t="s">
        <v>1140</v>
      </c>
      <c r="B167" t="s">
        <v>1141</v>
      </c>
      <c r="C167" t="s">
        <v>1066</v>
      </c>
      <c r="D167" t="s">
        <v>1120</v>
      </c>
      <c r="E167" t="s">
        <v>560</v>
      </c>
      <c r="F167" t="s">
        <v>1068</v>
      </c>
      <c r="G167" t="s">
        <v>1080</v>
      </c>
      <c r="H167" s="171" t="s">
        <v>1142</v>
      </c>
      <c r="I167" t="s">
        <v>1082</v>
      </c>
      <c r="J167">
        <v>3.56</v>
      </c>
    </row>
    <row r="168" spans="1:10" hidden="1">
      <c r="A168" t="s">
        <v>1140</v>
      </c>
      <c r="B168" t="s">
        <v>1141</v>
      </c>
      <c r="C168" t="s">
        <v>1066</v>
      </c>
      <c r="D168" t="s">
        <v>1120</v>
      </c>
      <c r="E168" t="s">
        <v>560</v>
      </c>
      <c r="F168" t="s">
        <v>1068</v>
      </c>
      <c r="G168" t="s">
        <v>1083</v>
      </c>
      <c r="H168">
        <v>-4.3402383902200299E-4</v>
      </c>
      <c r="I168" t="s">
        <v>1084</v>
      </c>
      <c r="J168">
        <v>3.56</v>
      </c>
    </row>
    <row r="169" spans="1:10" hidden="1">
      <c r="A169" t="s">
        <v>1140</v>
      </c>
      <c r="B169" t="s">
        <v>1141</v>
      </c>
      <c r="C169" t="s">
        <v>1066</v>
      </c>
      <c r="D169" t="s">
        <v>1120</v>
      </c>
      <c r="E169" t="s">
        <v>560</v>
      </c>
      <c r="F169" t="s">
        <v>1068</v>
      </c>
      <c r="G169" t="s">
        <v>1085</v>
      </c>
      <c r="H169">
        <v>-9.4463764509089606E-3</v>
      </c>
      <c r="I169" t="s">
        <v>1086</v>
      </c>
      <c r="J169">
        <v>3.56</v>
      </c>
    </row>
    <row r="170" spans="1:10" hidden="1">
      <c r="A170" t="s">
        <v>1140</v>
      </c>
      <c r="B170" t="s">
        <v>1141</v>
      </c>
      <c r="C170" t="s">
        <v>1066</v>
      </c>
      <c r="D170" t="s">
        <v>1120</v>
      </c>
      <c r="E170" t="s">
        <v>560</v>
      </c>
      <c r="F170" t="s">
        <v>1068</v>
      </c>
      <c r="G170" t="s">
        <v>1087</v>
      </c>
      <c r="H170" s="170">
        <v>-4.2458956144276801E-7</v>
      </c>
      <c r="I170" t="s">
        <v>1088</v>
      </c>
      <c r="J170">
        <v>3.56</v>
      </c>
    </row>
    <row r="171" spans="1:10" hidden="1">
      <c r="A171" t="s">
        <v>1140</v>
      </c>
      <c r="B171" t="s">
        <v>1141</v>
      </c>
      <c r="C171" t="s">
        <v>1066</v>
      </c>
      <c r="D171" t="s">
        <v>1120</v>
      </c>
      <c r="E171" t="s">
        <v>560</v>
      </c>
      <c r="F171" t="s">
        <v>1068</v>
      </c>
      <c r="G171" t="s">
        <v>1089</v>
      </c>
      <c r="H171">
        <v>-2.2848539945031499E-3</v>
      </c>
      <c r="I171" t="s">
        <v>1090</v>
      </c>
      <c r="J171">
        <v>3.56</v>
      </c>
    </row>
    <row r="172" spans="1:10" hidden="1">
      <c r="A172" t="s">
        <v>1143</v>
      </c>
      <c r="B172" t="s">
        <v>1144</v>
      </c>
      <c r="C172" t="s">
        <v>1066</v>
      </c>
      <c r="D172" t="s">
        <v>1120</v>
      </c>
      <c r="E172" t="s">
        <v>1116</v>
      </c>
      <c r="F172" t="s">
        <v>1068</v>
      </c>
      <c r="G172" t="s">
        <v>1069</v>
      </c>
      <c r="H172">
        <v>-0.63486190772647</v>
      </c>
      <c r="I172" t="s">
        <v>1070</v>
      </c>
      <c r="J172">
        <v>4.0599999999999996</v>
      </c>
    </row>
    <row r="173" spans="1:10" hidden="1">
      <c r="A173" t="s">
        <v>1143</v>
      </c>
      <c r="B173" t="s">
        <v>1144</v>
      </c>
      <c r="C173" t="s">
        <v>1066</v>
      </c>
      <c r="D173" t="s">
        <v>1120</v>
      </c>
      <c r="E173" t="s">
        <v>1116</v>
      </c>
      <c r="F173" t="s">
        <v>1068</v>
      </c>
      <c r="G173" t="s">
        <v>1071</v>
      </c>
      <c r="H173" s="170">
        <v>-1.0702426154998601E-9</v>
      </c>
      <c r="I173" t="s">
        <v>1072</v>
      </c>
      <c r="J173">
        <v>4.0599999999999996</v>
      </c>
    </row>
    <row r="174" spans="1:10" hidden="1">
      <c r="A174" t="s">
        <v>1143</v>
      </c>
      <c r="B174" t="s">
        <v>1144</v>
      </c>
      <c r="C174" t="s">
        <v>1066</v>
      </c>
      <c r="D174" t="s">
        <v>1120</v>
      </c>
      <c r="E174" t="s">
        <v>1116</v>
      </c>
      <c r="F174" t="s">
        <v>1068</v>
      </c>
      <c r="G174" t="s">
        <v>1073</v>
      </c>
      <c r="H174" s="170">
        <v>-2.3804049711738901E-7</v>
      </c>
      <c r="I174" t="s">
        <v>1074</v>
      </c>
      <c r="J174">
        <v>4.0599999999999996</v>
      </c>
    </row>
    <row r="175" spans="1:10" hidden="1">
      <c r="A175" t="s">
        <v>1143</v>
      </c>
      <c r="B175" t="s">
        <v>1144</v>
      </c>
      <c r="C175" t="s">
        <v>1066</v>
      </c>
      <c r="D175" t="s">
        <v>1120</v>
      </c>
      <c r="E175" t="s">
        <v>1116</v>
      </c>
      <c r="F175" t="s">
        <v>1068</v>
      </c>
      <c r="G175" t="s">
        <v>1075</v>
      </c>
      <c r="H175">
        <v>7.8014985199305095E-2</v>
      </c>
      <c r="I175" t="s">
        <v>1077</v>
      </c>
      <c r="J175">
        <v>4.0599999999999996</v>
      </c>
    </row>
    <row r="176" spans="1:10" hidden="1">
      <c r="A176" t="s">
        <v>1143</v>
      </c>
      <c r="B176" t="s">
        <v>1144</v>
      </c>
      <c r="C176" t="s">
        <v>1066</v>
      </c>
      <c r="D176" t="s">
        <v>1120</v>
      </c>
      <c r="E176" t="s">
        <v>1116</v>
      </c>
      <c r="F176" t="s">
        <v>1068</v>
      </c>
      <c r="G176" t="s">
        <v>1078</v>
      </c>
      <c r="H176">
        <v>-1.9449214993314099</v>
      </c>
      <c r="I176" t="s">
        <v>1079</v>
      </c>
      <c r="J176">
        <v>4.0599999999999996</v>
      </c>
    </row>
    <row r="177" spans="1:10" hidden="1">
      <c r="A177" t="s">
        <v>1143</v>
      </c>
      <c r="B177" t="s">
        <v>1144</v>
      </c>
      <c r="C177" t="s">
        <v>1066</v>
      </c>
      <c r="D177" t="s">
        <v>1120</v>
      </c>
      <c r="E177" t="s">
        <v>1116</v>
      </c>
      <c r="F177" t="s">
        <v>1068</v>
      </c>
      <c r="G177" t="s">
        <v>1080</v>
      </c>
      <c r="H177" s="171" t="s">
        <v>1145</v>
      </c>
      <c r="I177" t="s">
        <v>1082</v>
      </c>
      <c r="J177">
        <v>4.0599999999999996</v>
      </c>
    </row>
    <row r="178" spans="1:10" hidden="1">
      <c r="A178" t="s">
        <v>1143</v>
      </c>
      <c r="B178" t="s">
        <v>1144</v>
      </c>
      <c r="C178" t="s">
        <v>1066</v>
      </c>
      <c r="D178" t="s">
        <v>1120</v>
      </c>
      <c r="E178" t="s">
        <v>1116</v>
      </c>
      <c r="F178" t="s">
        <v>1068</v>
      </c>
      <c r="G178" t="s">
        <v>1083</v>
      </c>
      <c r="H178">
        <v>-4.2893738795733699E-4</v>
      </c>
      <c r="I178" t="s">
        <v>1084</v>
      </c>
      <c r="J178">
        <v>4.0599999999999996</v>
      </c>
    </row>
    <row r="179" spans="1:10" hidden="1">
      <c r="A179" t="s">
        <v>1143</v>
      </c>
      <c r="B179" t="s">
        <v>1144</v>
      </c>
      <c r="C179" t="s">
        <v>1066</v>
      </c>
      <c r="D179" t="s">
        <v>1120</v>
      </c>
      <c r="E179" t="s">
        <v>1116</v>
      </c>
      <c r="F179" t="s">
        <v>1068</v>
      </c>
      <c r="G179" t="s">
        <v>1085</v>
      </c>
      <c r="H179">
        <v>-9.3888892305537004E-3</v>
      </c>
      <c r="I179" t="s">
        <v>1086</v>
      </c>
      <c r="J179">
        <v>4.0599999999999996</v>
      </c>
    </row>
    <row r="180" spans="1:10" hidden="1">
      <c r="A180" t="s">
        <v>1143</v>
      </c>
      <c r="B180" t="s">
        <v>1144</v>
      </c>
      <c r="C180" t="s">
        <v>1066</v>
      </c>
      <c r="D180" t="s">
        <v>1120</v>
      </c>
      <c r="E180" t="s">
        <v>1116</v>
      </c>
      <c r="F180" t="s">
        <v>1068</v>
      </c>
      <c r="G180" t="s">
        <v>1087</v>
      </c>
      <c r="H180" s="170">
        <v>-3.9684596641181502E-7</v>
      </c>
      <c r="I180" t="s">
        <v>1088</v>
      </c>
      <c r="J180">
        <v>4.0599999999999996</v>
      </c>
    </row>
    <row r="181" spans="1:10" hidden="1">
      <c r="A181" t="s">
        <v>1143</v>
      </c>
      <c r="B181" t="s">
        <v>1144</v>
      </c>
      <c r="C181" t="s">
        <v>1066</v>
      </c>
      <c r="D181" t="s">
        <v>1120</v>
      </c>
      <c r="E181" t="s">
        <v>1116</v>
      </c>
      <c r="F181" t="s">
        <v>1068</v>
      </c>
      <c r="G181" t="s">
        <v>1089</v>
      </c>
      <c r="H181">
        <v>-2.2729944944659499E-3</v>
      </c>
      <c r="I181" t="s">
        <v>1090</v>
      </c>
      <c r="J181">
        <v>4.0599999999999996</v>
      </c>
    </row>
    <row r="182" spans="1:10" hidden="1">
      <c r="A182" t="s">
        <v>1146</v>
      </c>
      <c r="B182" t="s">
        <v>1147</v>
      </c>
      <c r="C182" t="s">
        <v>1066</v>
      </c>
      <c r="D182" t="s">
        <v>1148</v>
      </c>
      <c r="E182" t="s">
        <v>561</v>
      </c>
      <c r="F182" t="s">
        <v>1068</v>
      </c>
      <c r="G182" t="s">
        <v>1069</v>
      </c>
      <c r="H182">
        <v>-0.126306671777796</v>
      </c>
      <c r="I182" t="s">
        <v>1070</v>
      </c>
      <c r="J182">
        <v>3.06</v>
      </c>
    </row>
    <row r="183" spans="1:10" hidden="1">
      <c r="A183" t="s">
        <v>1146</v>
      </c>
      <c r="B183" t="s">
        <v>1147</v>
      </c>
      <c r="C183" t="s">
        <v>1066</v>
      </c>
      <c r="D183" t="s">
        <v>1148</v>
      </c>
      <c r="E183" t="s">
        <v>561</v>
      </c>
      <c r="F183" t="s">
        <v>1068</v>
      </c>
      <c r="G183" t="s">
        <v>1071</v>
      </c>
      <c r="H183" s="170">
        <v>-3.1863812545775598E-10</v>
      </c>
      <c r="I183" t="s">
        <v>1072</v>
      </c>
      <c r="J183">
        <v>3.06</v>
      </c>
    </row>
    <row r="184" spans="1:10" hidden="1">
      <c r="A184" t="s">
        <v>1146</v>
      </c>
      <c r="B184" t="s">
        <v>1147</v>
      </c>
      <c r="C184" t="s">
        <v>1066</v>
      </c>
      <c r="D184" t="s">
        <v>1148</v>
      </c>
      <c r="E184" t="s">
        <v>561</v>
      </c>
      <c r="F184" t="s">
        <v>1068</v>
      </c>
      <c r="G184" t="s">
        <v>1073</v>
      </c>
      <c r="H184" s="170">
        <v>-6.9161297786882794E-8</v>
      </c>
      <c r="I184" t="s">
        <v>1074</v>
      </c>
      <c r="J184">
        <v>3.06</v>
      </c>
    </row>
    <row r="185" spans="1:10" hidden="1">
      <c r="A185" t="s">
        <v>1146</v>
      </c>
      <c r="B185" t="s">
        <v>1147</v>
      </c>
      <c r="C185" t="s">
        <v>1066</v>
      </c>
      <c r="D185" t="s">
        <v>1148</v>
      </c>
      <c r="E185" t="s">
        <v>561</v>
      </c>
      <c r="F185" t="s">
        <v>1068</v>
      </c>
      <c r="G185" t="s">
        <v>1075</v>
      </c>
      <c r="H185">
        <v>3.4895773762401001E-2</v>
      </c>
      <c r="I185" t="s">
        <v>1077</v>
      </c>
      <c r="J185">
        <v>3.06</v>
      </c>
    </row>
    <row r="186" spans="1:10" hidden="1">
      <c r="A186" t="s">
        <v>1146</v>
      </c>
      <c r="B186" t="s">
        <v>1147</v>
      </c>
      <c r="C186" t="s">
        <v>1066</v>
      </c>
      <c r="D186" t="s">
        <v>1148</v>
      </c>
      <c r="E186" t="s">
        <v>561</v>
      </c>
      <c r="F186" t="s">
        <v>1068</v>
      </c>
      <c r="G186" t="s">
        <v>1078</v>
      </c>
      <c r="H186">
        <v>-2.0233346272533499</v>
      </c>
      <c r="I186" t="s">
        <v>1079</v>
      </c>
      <c r="J186">
        <v>3.06</v>
      </c>
    </row>
    <row r="187" spans="1:10" hidden="1">
      <c r="A187" t="s">
        <v>1146</v>
      </c>
      <c r="B187" t="s">
        <v>1147</v>
      </c>
      <c r="C187" t="s">
        <v>1066</v>
      </c>
      <c r="D187" t="s">
        <v>1148</v>
      </c>
      <c r="E187" t="s">
        <v>561</v>
      </c>
      <c r="F187" t="s">
        <v>1068</v>
      </c>
      <c r="G187" t="s">
        <v>1080</v>
      </c>
      <c r="H187" s="171" t="s">
        <v>1149</v>
      </c>
      <c r="I187" t="s">
        <v>1082</v>
      </c>
      <c r="J187">
        <v>3.06</v>
      </c>
    </row>
    <row r="188" spans="1:10" hidden="1">
      <c r="A188" t="s">
        <v>1146</v>
      </c>
      <c r="B188" t="s">
        <v>1147</v>
      </c>
      <c r="C188" t="s">
        <v>1066</v>
      </c>
      <c r="D188" t="s">
        <v>1148</v>
      </c>
      <c r="E188" t="s">
        <v>561</v>
      </c>
      <c r="F188" t="s">
        <v>1068</v>
      </c>
      <c r="G188" t="s">
        <v>1083</v>
      </c>
      <c r="H188">
        <v>-1.5885668531364901E-3</v>
      </c>
      <c r="I188" t="s">
        <v>1084</v>
      </c>
      <c r="J188">
        <v>3.06</v>
      </c>
    </row>
    <row r="189" spans="1:10" hidden="1">
      <c r="A189" t="s">
        <v>1146</v>
      </c>
      <c r="B189" t="s">
        <v>1147</v>
      </c>
      <c r="C189" t="s">
        <v>1066</v>
      </c>
      <c r="D189" t="s">
        <v>1148</v>
      </c>
      <c r="E189" t="s">
        <v>561</v>
      </c>
      <c r="F189" t="s">
        <v>1068</v>
      </c>
      <c r="G189" t="s">
        <v>1085</v>
      </c>
      <c r="H189">
        <v>-4.4225849853685002E-2</v>
      </c>
      <c r="I189" t="s">
        <v>1086</v>
      </c>
      <c r="J189">
        <v>3.06</v>
      </c>
    </row>
    <row r="190" spans="1:10" hidden="1">
      <c r="A190" t="s">
        <v>1146</v>
      </c>
      <c r="B190" t="s">
        <v>1147</v>
      </c>
      <c r="C190" t="s">
        <v>1066</v>
      </c>
      <c r="D190" t="s">
        <v>1148</v>
      </c>
      <c r="E190" t="s">
        <v>561</v>
      </c>
      <c r="F190" t="s">
        <v>1068</v>
      </c>
      <c r="G190" t="s">
        <v>1087</v>
      </c>
      <c r="H190" s="170">
        <v>-7.96977025308251E-7</v>
      </c>
      <c r="I190" t="s">
        <v>1088</v>
      </c>
      <c r="J190">
        <v>3.06</v>
      </c>
    </row>
    <row r="191" spans="1:10" hidden="1">
      <c r="A191" t="s">
        <v>1146</v>
      </c>
      <c r="B191" t="s">
        <v>1147</v>
      </c>
      <c r="C191" t="s">
        <v>1066</v>
      </c>
      <c r="D191" t="s">
        <v>1148</v>
      </c>
      <c r="E191" t="s">
        <v>561</v>
      </c>
      <c r="F191" t="s">
        <v>1068</v>
      </c>
      <c r="G191" t="s">
        <v>1089</v>
      </c>
      <c r="H191">
        <v>-1.19269650668174E-2</v>
      </c>
      <c r="I191" t="s">
        <v>1090</v>
      </c>
      <c r="J191">
        <v>3.06</v>
      </c>
    </row>
    <row r="192" spans="1:10" hidden="1">
      <c r="A192" t="s">
        <v>1150</v>
      </c>
      <c r="B192" t="s">
        <v>1151</v>
      </c>
      <c r="C192" t="s">
        <v>1066</v>
      </c>
      <c r="D192" t="s">
        <v>1148</v>
      </c>
      <c r="E192" t="s">
        <v>555</v>
      </c>
      <c r="F192" t="s">
        <v>1068</v>
      </c>
      <c r="G192" t="s">
        <v>1069</v>
      </c>
      <c r="H192">
        <v>-0.13155652213798699</v>
      </c>
      <c r="I192" t="s">
        <v>1070</v>
      </c>
      <c r="J192">
        <v>2.54</v>
      </c>
    </row>
    <row r="193" spans="1:10" hidden="1">
      <c r="A193" t="s">
        <v>1150</v>
      </c>
      <c r="B193" t="s">
        <v>1151</v>
      </c>
      <c r="C193" t="s">
        <v>1066</v>
      </c>
      <c r="D193" t="s">
        <v>1148</v>
      </c>
      <c r="E193" t="s">
        <v>555</v>
      </c>
      <c r="F193" t="s">
        <v>1068</v>
      </c>
      <c r="G193" t="s">
        <v>1071</v>
      </c>
      <c r="H193" s="170">
        <v>-3.26144957078189E-10</v>
      </c>
      <c r="I193" t="s">
        <v>1072</v>
      </c>
      <c r="J193">
        <v>2.54</v>
      </c>
    </row>
    <row r="194" spans="1:10" hidden="1">
      <c r="A194" t="s">
        <v>1150</v>
      </c>
      <c r="B194" t="s">
        <v>1151</v>
      </c>
      <c r="C194" t="s">
        <v>1066</v>
      </c>
      <c r="D194" t="s">
        <v>1148</v>
      </c>
      <c r="E194" t="s">
        <v>555</v>
      </c>
      <c r="F194" t="s">
        <v>1068</v>
      </c>
      <c r="G194" t="s">
        <v>1073</v>
      </c>
      <c r="H194" s="170">
        <v>-7.1026589876827195E-8</v>
      </c>
      <c r="I194" t="s">
        <v>1074</v>
      </c>
      <c r="J194">
        <v>2.54</v>
      </c>
    </row>
    <row r="195" spans="1:10" hidden="1">
      <c r="A195" t="s">
        <v>1150</v>
      </c>
      <c r="B195" t="s">
        <v>1151</v>
      </c>
      <c r="C195" t="s">
        <v>1066</v>
      </c>
      <c r="D195" t="s">
        <v>1148</v>
      </c>
      <c r="E195" t="s">
        <v>555</v>
      </c>
      <c r="F195" t="s">
        <v>1068</v>
      </c>
      <c r="G195" t="s">
        <v>1075</v>
      </c>
      <c r="H195">
        <v>3.4733609739189597E-2</v>
      </c>
      <c r="I195" t="s">
        <v>1077</v>
      </c>
      <c r="J195">
        <v>2.54</v>
      </c>
    </row>
    <row r="196" spans="1:10" hidden="1">
      <c r="A196" t="s">
        <v>1150</v>
      </c>
      <c r="B196" t="s">
        <v>1151</v>
      </c>
      <c r="C196" t="s">
        <v>1066</v>
      </c>
      <c r="D196" t="s">
        <v>1148</v>
      </c>
      <c r="E196" t="s">
        <v>555</v>
      </c>
      <c r="F196" t="s">
        <v>1068</v>
      </c>
      <c r="G196" t="s">
        <v>1078</v>
      </c>
      <c r="H196">
        <v>-2.0289072305326199</v>
      </c>
      <c r="I196" t="s">
        <v>1079</v>
      </c>
      <c r="J196">
        <v>2.54</v>
      </c>
    </row>
    <row r="197" spans="1:10" hidden="1">
      <c r="A197" t="s">
        <v>1150</v>
      </c>
      <c r="B197" t="s">
        <v>1151</v>
      </c>
      <c r="C197" t="s">
        <v>1066</v>
      </c>
      <c r="D197" t="s">
        <v>1148</v>
      </c>
      <c r="E197" t="s">
        <v>555</v>
      </c>
      <c r="F197" t="s">
        <v>1068</v>
      </c>
      <c r="G197" t="s">
        <v>1080</v>
      </c>
      <c r="H197" s="171" t="s">
        <v>1152</v>
      </c>
      <c r="I197" t="s">
        <v>1082</v>
      </c>
      <c r="J197">
        <v>2.54</v>
      </c>
    </row>
    <row r="198" spans="1:10" hidden="1">
      <c r="A198" t="s">
        <v>1150</v>
      </c>
      <c r="B198" t="s">
        <v>1151</v>
      </c>
      <c r="C198" t="s">
        <v>1066</v>
      </c>
      <c r="D198" t="s">
        <v>1148</v>
      </c>
      <c r="E198" t="s">
        <v>555</v>
      </c>
      <c r="F198" t="s">
        <v>1068</v>
      </c>
      <c r="G198" t="s">
        <v>1083</v>
      </c>
      <c r="H198">
        <v>-1.58936520674431E-3</v>
      </c>
      <c r="I198" t="s">
        <v>1084</v>
      </c>
      <c r="J198">
        <v>2.54</v>
      </c>
    </row>
    <row r="199" spans="1:10" hidden="1">
      <c r="A199" t="s">
        <v>1150</v>
      </c>
      <c r="B199" t="s">
        <v>1151</v>
      </c>
      <c r="C199" t="s">
        <v>1066</v>
      </c>
      <c r="D199" t="s">
        <v>1148</v>
      </c>
      <c r="E199" t="s">
        <v>555</v>
      </c>
      <c r="F199" t="s">
        <v>1068</v>
      </c>
      <c r="G199" t="s">
        <v>1085</v>
      </c>
      <c r="H199">
        <v>-4.4234852501632803E-2</v>
      </c>
      <c r="I199" t="s">
        <v>1086</v>
      </c>
      <c r="J199">
        <v>2.54</v>
      </c>
    </row>
    <row r="200" spans="1:10" hidden="1">
      <c r="A200" t="s">
        <v>1150</v>
      </c>
      <c r="B200" t="s">
        <v>1151</v>
      </c>
      <c r="C200" t="s">
        <v>1066</v>
      </c>
      <c r="D200" t="s">
        <v>1148</v>
      </c>
      <c r="E200" t="s">
        <v>555</v>
      </c>
      <c r="F200" t="s">
        <v>1068</v>
      </c>
      <c r="G200" t="s">
        <v>1087</v>
      </c>
      <c r="H200" s="170">
        <v>-8.01144447173815E-7</v>
      </c>
      <c r="I200" t="s">
        <v>1088</v>
      </c>
      <c r="J200">
        <v>2.54</v>
      </c>
    </row>
    <row r="201" spans="1:10" hidden="1">
      <c r="A201" t="s">
        <v>1150</v>
      </c>
      <c r="B201" t="s">
        <v>1151</v>
      </c>
      <c r="C201" t="s">
        <v>1066</v>
      </c>
      <c r="D201" t="s">
        <v>1148</v>
      </c>
      <c r="E201" t="s">
        <v>555</v>
      </c>
      <c r="F201" t="s">
        <v>1068</v>
      </c>
      <c r="G201" t="s">
        <v>1089</v>
      </c>
      <c r="H201">
        <v>-1.19288258435945E-2</v>
      </c>
      <c r="I201" t="s">
        <v>1090</v>
      </c>
      <c r="J201">
        <v>2.54</v>
      </c>
    </row>
    <row r="202" spans="1:10" hidden="1">
      <c r="A202" t="s">
        <v>1153</v>
      </c>
      <c r="B202" t="s">
        <v>1154</v>
      </c>
      <c r="C202" t="s">
        <v>1066</v>
      </c>
      <c r="D202" t="s">
        <v>1148</v>
      </c>
      <c r="E202" t="s">
        <v>558</v>
      </c>
      <c r="F202" t="s">
        <v>1068</v>
      </c>
      <c r="G202" t="s">
        <v>1069</v>
      </c>
      <c r="H202">
        <v>-0.12584162262015999</v>
      </c>
      <c r="I202" t="s">
        <v>1070</v>
      </c>
      <c r="J202">
        <v>3.92</v>
      </c>
    </row>
    <row r="203" spans="1:10" hidden="1">
      <c r="A203" t="s">
        <v>1153</v>
      </c>
      <c r="B203" t="s">
        <v>1154</v>
      </c>
      <c r="C203" t="s">
        <v>1066</v>
      </c>
      <c r="D203" t="s">
        <v>1148</v>
      </c>
      <c r="E203" t="s">
        <v>558</v>
      </c>
      <c r="F203" t="s">
        <v>1068</v>
      </c>
      <c r="G203" t="s">
        <v>1071</v>
      </c>
      <c r="H203" s="170">
        <v>-3.1797263482236802E-10</v>
      </c>
      <c r="I203" t="s">
        <v>1072</v>
      </c>
      <c r="J203">
        <v>3.92</v>
      </c>
    </row>
    <row r="204" spans="1:10" hidden="1">
      <c r="A204" t="s">
        <v>1153</v>
      </c>
      <c r="B204" t="s">
        <v>1154</v>
      </c>
      <c r="C204" t="s">
        <v>1066</v>
      </c>
      <c r="D204" t="s">
        <v>1148</v>
      </c>
      <c r="E204" t="s">
        <v>558</v>
      </c>
      <c r="F204" t="s">
        <v>1068</v>
      </c>
      <c r="G204" t="s">
        <v>1073</v>
      </c>
      <c r="H204" s="170">
        <v>-6.8996110854585602E-8</v>
      </c>
      <c r="I204" t="s">
        <v>1074</v>
      </c>
      <c r="J204">
        <v>3.92</v>
      </c>
    </row>
    <row r="205" spans="1:10" hidden="1">
      <c r="A205" t="s">
        <v>1153</v>
      </c>
      <c r="B205" t="s">
        <v>1154</v>
      </c>
      <c r="C205" t="s">
        <v>1066</v>
      </c>
      <c r="D205" t="s">
        <v>1148</v>
      </c>
      <c r="E205" t="s">
        <v>558</v>
      </c>
      <c r="F205" t="s">
        <v>1068</v>
      </c>
      <c r="G205" t="s">
        <v>1075</v>
      </c>
      <c r="H205">
        <v>3.4910474463071398E-2</v>
      </c>
      <c r="I205" t="s">
        <v>1077</v>
      </c>
      <c r="J205">
        <v>3.92</v>
      </c>
    </row>
    <row r="206" spans="1:10" hidden="1">
      <c r="A206" t="s">
        <v>1153</v>
      </c>
      <c r="B206" t="s">
        <v>1154</v>
      </c>
      <c r="C206" t="s">
        <v>1066</v>
      </c>
      <c r="D206" t="s">
        <v>1148</v>
      </c>
      <c r="E206" t="s">
        <v>558</v>
      </c>
      <c r="F206" t="s">
        <v>1068</v>
      </c>
      <c r="G206" t="s">
        <v>1078</v>
      </c>
      <c r="H206">
        <v>-2.0226989122499601</v>
      </c>
      <c r="I206" t="s">
        <v>1079</v>
      </c>
      <c r="J206">
        <v>3.92</v>
      </c>
    </row>
    <row r="207" spans="1:10" hidden="1">
      <c r="A207" t="s">
        <v>1153</v>
      </c>
      <c r="B207" t="s">
        <v>1154</v>
      </c>
      <c r="C207" t="s">
        <v>1066</v>
      </c>
      <c r="D207" t="s">
        <v>1148</v>
      </c>
      <c r="E207" t="s">
        <v>558</v>
      </c>
      <c r="F207" t="s">
        <v>1068</v>
      </c>
      <c r="G207" t="s">
        <v>1080</v>
      </c>
      <c r="H207" s="171" t="s">
        <v>1155</v>
      </c>
      <c r="I207" t="s">
        <v>1082</v>
      </c>
      <c r="J207">
        <v>3.92</v>
      </c>
    </row>
    <row r="208" spans="1:10" hidden="1">
      <c r="A208" t="s">
        <v>1153</v>
      </c>
      <c r="B208" t="s">
        <v>1154</v>
      </c>
      <c r="C208" t="s">
        <v>1066</v>
      </c>
      <c r="D208" t="s">
        <v>1148</v>
      </c>
      <c r="E208" t="s">
        <v>558</v>
      </c>
      <c r="F208" t="s">
        <v>1068</v>
      </c>
      <c r="G208" t="s">
        <v>1083</v>
      </c>
      <c r="H208">
        <v>-1.58849616536342E-3</v>
      </c>
      <c r="I208" t="s">
        <v>1084</v>
      </c>
      <c r="J208">
        <v>3.92</v>
      </c>
    </row>
    <row r="209" spans="1:10" hidden="1">
      <c r="A209" t="s">
        <v>1153</v>
      </c>
      <c r="B209" t="s">
        <v>1154</v>
      </c>
      <c r="C209" t="s">
        <v>1066</v>
      </c>
      <c r="D209" t="s">
        <v>1148</v>
      </c>
      <c r="E209" t="s">
        <v>558</v>
      </c>
      <c r="F209" t="s">
        <v>1068</v>
      </c>
      <c r="G209" t="s">
        <v>1085</v>
      </c>
      <c r="H209">
        <v>-4.4225050938383401E-2</v>
      </c>
      <c r="I209" t="s">
        <v>1086</v>
      </c>
      <c r="J209">
        <v>3.92</v>
      </c>
    </row>
    <row r="210" spans="1:10" hidden="1">
      <c r="A210" t="s">
        <v>1153</v>
      </c>
      <c r="B210" t="s">
        <v>1154</v>
      </c>
      <c r="C210" t="s">
        <v>1066</v>
      </c>
      <c r="D210" t="s">
        <v>1148</v>
      </c>
      <c r="E210" t="s">
        <v>558</v>
      </c>
      <c r="F210" t="s">
        <v>1068</v>
      </c>
      <c r="G210" t="s">
        <v>1087</v>
      </c>
      <c r="H210" s="170">
        <v>-7.9659146513584099E-7</v>
      </c>
      <c r="I210" t="s">
        <v>1088</v>
      </c>
      <c r="J210">
        <v>3.92</v>
      </c>
    </row>
    <row r="211" spans="1:10" hidden="1">
      <c r="A211" t="s">
        <v>1153</v>
      </c>
      <c r="B211" t="s">
        <v>1154</v>
      </c>
      <c r="C211" t="s">
        <v>1066</v>
      </c>
      <c r="D211" t="s">
        <v>1148</v>
      </c>
      <c r="E211" t="s">
        <v>558</v>
      </c>
      <c r="F211" t="s">
        <v>1068</v>
      </c>
      <c r="G211" t="s">
        <v>1089</v>
      </c>
      <c r="H211">
        <v>-1.19268002521684E-2</v>
      </c>
      <c r="I211" t="s">
        <v>1090</v>
      </c>
      <c r="J211">
        <v>3.92</v>
      </c>
    </row>
    <row r="212" spans="1:10" hidden="1">
      <c r="A212" t="s">
        <v>1156</v>
      </c>
      <c r="B212" t="s">
        <v>1157</v>
      </c>
      <c r="C212" t="s">
        <v>1066</v>
      </c>
      <c r="D212" t="s">
        <v>1148</v>
      </c>
      <c r="E212" t="s">
        <v>553</v>
      </c>
      <c r="F212" t="s">
        <v>1068</v>
      </c>
      <c r="G212" t="s">
        <v>1069</v>
      </c>
      <c r="H212">
        <v>-0.12538369256818799</v>
      </c>
      <c r="I212" t="s">
        <v>1070</v>
      </c>
      <c r="J212">
        <v>2.5499999999999998</v>
      </c>
    </row>
    <row r="213" spans="1:10" hidden="1">
      <c r="A213" t="s">
        <v>1156</v>
      </c>
      <c r="B213" t="s">
        <v>1157</v>
      </c>
      <c r="C213" t="s">
        <v>1066</v>
      </c>
      <c r="D213" t="s">
        <v>1148</v>
      </c>
      <c r="E213" t="s">
        <v>553</v>
      </c>
      <c r="F213" t="s">
        <v>1068</v>
      </c>
      <c r="G213" t="s">
        <v>1071</v>
      </c>
      <c r="H213" s="170">
        <v>-3.17311567737005E-10</v>
      </c>
      <c r="I213" t="s">
        <v>1072</v>
      </c>
      <c r="J213">
        <v>2.5499999999999998</v>
      </c>
    </row>
    <row r="214" spans="1:10" hidden="1">
      <c r="A214" t="s">
        <v>1156</v>
      </c>
      <c r="B214" t="s">
        <v>1157</v>
      </c>
      <c r="C214" t="s">
        <v>1066</v>
      </c>
      <c r="D214" t="s">
        <v>1148</v>
      </c>
      <c r="E214" t="s">
        <v>553</v>
      </c>
      <c r="F214" t="s">
        <v>1068</v>
      </c>
      <c r="G214" t="s">
        <v>1073</v>
      </c>
      <c r="H214" s="170">
        <v>-6.8833981281654406E-8</v>
      </c>
      <c r="I214" t="s">
        <v>1074</v>
      </c>
      <c r="J214">
        <v>2.5499999999999998</v>
      </c>
    </row>
    <row r="215" spans="1:10" hidden="1">
      <c r="A215" t="s">
        <v>1156</v>
      </c>
      <c r="B215" t="s">
        <v>1157</v>
      </c>
      <c r="C215" t="s">
        <v>1066</v>
      </c>
      <c r="D215" t="s">
        <v>1148</v>
      </c>
      <c r="E215" t="s">
        <v>553</v>
      </c>
      <c r="F215" t="s">
        <v>1068</v>
      </c>
      <c r="G215" t="s">
        <v>1075</v>
      </c>
      <c r="H215">
        <v>3.4928739476163401E-2</v>
      </c>
      <c r="I215" t="s">
        <v>1077</v>
      </c>
      <c r="J215">
        <v>2.5499999999999998</v>
      </c>
    </row>
    <row r="216" spans="1:10" hidden="1">
      <c r="A216" t="s">
        <v>1156</v>
      </c>
      <c r="B216" t="s">
        <v>1157</v>
      </c>
      <c r="C216" t="s">
        <v>1066</v>
      </c>
      <c r="D216" t="s">
        <v>1148</v>
      </c>
      <c r="E216" t="s">
        <v>553</v>
      </c>
      <c r="F216" t="s">
        <v>1068</v>
      </c>
      <c r="G216" t="s">
        <v>1078</v>
      </c>
      <c r="H216">
        <v>-2.0204690680134201</v>
      </c>
      <c r="I216" t="s">
        <v>1079</v>
      </c>
      <c r="J216">
        <v>2.5499999999999998</v>
      </c>
    </row>
    <row r="217" spans="1:10" hidden="1">
      <c r="A217" t="s">
        <v>1156</v>
      </c>
      <c r="B217" t="s">
        <v>1157</v>
      </c>
      <c r="C217" t="s">
        <v>1066</v>
      </c>
      <c r="D217" t="s">
        <v>1148</v>
      </c>
      <c r="E217" t="s">
        <v>553</v>
      </c>
      <c r="F217" t="s">
        <v>1068</v>
      </c>
      <c r="G217" t="s">
        <v>1080</v>
      </c>
      <c r="H217" s="171" t="s">
        <v>1158</v>
      </c>
      <c r="I217" t="s">
        <v>1082</v>
      </c>
      <c r="J217">
        <v>2.5499999999999998</v>
      </c>
    </row>
    <row r="218" spans="1:10" hidden="1">
      <c r="A218" t="s">
        <v>1156</v>
      </c>
      <c r="B218" t="s">
        <v>1157</v>
      </c>
      <c r="C218" t="s">
        <v>1066</v>
      </c>
      <c r="D218" t="s">
        <v>1148</v>
      </c>
      <c r="E218" t="s">
        <v>553</v>
      </c>
      <c r="F218" t="s">
        <v>1068</v>
      </c>
      <c r="G218" t="s">
        <v>1083</v>
      </c>
      <c r="H218">
        <v>-1.5884269326529E-3</v>
      </c>
      <c r="I218" t="s">
        <v>1084</v>
      </c>
      <c r="J218">
        <v>2.5499999999999998</v>
      </c>
    </row>
    <row r="219" spans="1:10" hidden="1">
      <c r="A219" t="s">
        <v>1156</v>
      </c>
      <c r="B219" t="s">
        <v>1157</v>
      </c>
      <c r="C219" t="s">
        <v>1066</v>
      </c>
      <c r="D219" t="s">
        <v>1148</v>
      </c>
      <c r="E219" t="s">
        <v>553</v>
      </c>
      <c r="F219" t="s">
        <v>1068</v>
      </c>
      <c r="G219" t="s">
        <v>1085</v>
      </c>
      <c r="H219">
        <v>-4.4224248100103898E-2</v>
      </c>
      <c r="I219" t="s">
        <v>1086</v>
      </c>
      <c r="J219">
        <v>2.5499999999999998</v>
      </c>
    </row>
    <row r="220" spans="1:10" hidden="1">
      <c r="A220" t="s">
        <v>1156</v>
      </c>
      <c r="B220" t="s">
        <v>1157</v>
      </c>
      <c r="C220" t="s">
        <v>1066</v>
      </c>
      <c r="D220" t="s">
        <v>1148</v>
      </c>
      <c r="E220" t="s">
        <v>553</v>
      </c>
      <c r="F220" t="s">
        <v>1068</v>
      </c>
      <c r="G220" t="s">
        <v>1087</v>
      </c>
      <c r="H220" s="170">
        <v>-7.9602671457611804E-7</v>
      </c>
      <c r="I220" t="s">
        <v>1088</v>
      </c>
      <c r="J220">
        <v>2.5499999999999998</v>
      </c>
    </row>
    <row r="221" spans="1:10" hidden="1">
      <c r="A221" t="s">
        <v>1156</v>
      </c>
      <c r="B221" t="s">
        <v>1157</v>
      </c>
      <c r="C221" t="s">
        <v>1066</v>
      </c>
      <c r="D221" t="s">
        <v>1148</v>
      </c>
      <c r="E221" t="s">
        <v>553</v>
      </c>
      <c r="F221" t="s">
        <v>1068</v>
      </c>
      <c r="G221" t="s">
        <v>1089</v>
      </c>
      <c r="H221">
        <v>-1.19266381765E-2</v>
      </c>
      <c r="I221" t="s">
        <v>1090</v>
      </c>
      <c r="J221">
        <v>2.5499999999999998</v>
      </c>
    </row>
    <row r="222" spans="1:10" hidden="1">
      <c r="A222" t="s">
        <v>1159</v>
      </c>
      <c r="B222" t="s">
        <v>1160</v>
      </c>
      <c r="C222" t="s">
        <v>1066</v>
      </c>
      <c r="D222" t="s">
        <v>1148</v>
      </c>
      <c r="E222" t="s">
        <v>556</v>
      </c>
      <c r="F222" t="s">
        <v>1068</v>
      </c>
      <c r="G222" t="s">
        <v>1069</v>
      </c>
      <c r="H222">
        <v>-0.13097629373408001</v>
      </c>
      <c r="I222" t="s">
        <v>1070</v>
      </c>
      <c r="J222">
        <v>3.05</v>
      </c>
    </row>
    <row r="223" spans="1:10" hidden="1">
      <c r="A223" t="s">
        <v>1159</v>
      </c>
      <c r="B223" t="s">
        <v>1160</v>
      </c>
      <c r="C223" t="s">
        <v>1066</v>
      </c>
      <c r="D223" t="s">
        <v>1148</v>
      </c>
      <c r="E223" t="s">
        <v>556</v>
      </c>
      <c r="F223" t="s">
        <v>1068</v>
      </c>
      <c r="G223" t="s">
        <v>1071</v>
      </c>
      <c r="H223" s="170">
        <v>-3.2528251669379098E-10</v>
      </c>
      <c r="I223" t="s">
        <v>1072</v>
      </c>
      <c r="J223">
        <v>3.05</v>
      </c>
    </row>
    <row r="224" spans="1:10" hidden="1">
      <c r="A224" t="s">
        <v>1159</v>
      </c>
      <c r="B224" t="s">
        <v>1160</v>
      </c>
      <c r="C224" t="s">
        <v>1066</v>
      </c>
      <c r="D224" t="s">
        <v>1148</v>
      </c>
      <c r="E224" t="s">
        <v>556</v>
      </c>
      <c r="F224" t="s">
        <v>1068</v>
      </c>
      <c r="G224" t="s">
        <v>1073</v>
      </c>
      <c r="H224" s="170">
        <v>-7.0819571046054796E-8</v>
      </c>
      <c r="I224" t="s">
        <v>1074</v>
      </c>
      <c r="J224">
        <v>3.05</v>
      </c>
    </row>
    <row r="225" spans="1:10" hidden="1">
      <c r="A225" t="s">
        <v>1159</v>
      </c>
      <c r="B225" t="s">
        <v>1160</v>
      </c>
      <c r="C225" t="s">
        <v>1066</v>
      </c>
      <c r="D225" t="s">
        <v>1148</v>
      </c>
      <c r="E225" t="s">
        <v>556</v>
      </c>
      <c r="F225" t="s">
        <v>1068</v>
      </c>
      <c r="G225" t="s">
        <v>1075</v>
      </c>
      <c r="H225" s="171" t="s">
        <v>1161</v>
      </c>
      <c r="I225" t="s">
        <v>1077</v>
      </c>
      <c r="J225">
        <v>3.05</v>
      </c>
    </row>
    <row r="226" spans="1:10" hidden="1">
      <c r="A226" t="s">
        <v>1159</v>
      </c>
      <c r="B226" t="s">
        <v>1160</v>
      </c>
      <c r="C226" t="s">
        <v>1066</v>
      </c>
      <c r="D226" t="s">
        <v>1148</v>
      </c>
      <c r="E226" t="s">
        <v>556</v>
      </c>
      <c r="F226" t="s">
        <v>1068</v>
      </c>
      <c r="G226" t="s">
        <v>1078</v>
      </c>
      <c r="H226">
        <v>-2.0222494460176099</v>
      </c>
      <c r="I226" t="s">
        <v>1079</v>
      </c>
      <c r="J226">
        <v>3.05</v>
      </c>
    </row>
    <row r="227" spans="1:10" hidden="1">
      <c r="A227" t="s">
        <v>1159</v>
      </c>
      <c r="B227" t="s">
        <v>1160</v>
      </c>
      <c r="C227" t="s">
        <v>1066</v>
      </c>
      <c r="D227" t="s">
        <v>1148</v>
      </c>
      <c r="E227" t="s">
        <v>556</v>
      </c>
      <c r="F227" t="s">
        <v>1068</v>
      </c>
      <c r="G227" t="s">
        <v>1080</v>
      </c>
      <c r="H227" s="171" t="s">
        <v>1162</v>
      </c>
      <c r="I227" t="s">
        <v>1082</v>
      </c>
      <c r="J227">
        <v>3.05</v>
      </c>
    </row>
    <row r="228" spans="1:10" hidden="1">
      <c r="A228" t="s">
        <v>1159</v>
      </c>
      <c r="B228" t="s">
        <v>1160</v>
      </c>
      <c r="C228" t="s">
        <v>1066</v>
      </c>
      <c r="D228" t="s">
        <v>1148</v>
      </c>
      <c r="E228" t="s">
        <v>556</v>
      </c>
      <c r="F228" t="s">
        <v>1068</v>
      </c>
      <c r="G228" t="s">
        <v>1083</v>
      </c>
      <c r="H228">
        <v>-1.58927700747785E-3</v>
      </c>
      <c r="I228" t="s">
        <v>1084</v>
      </c>
      <c r="J228">
        <v>3.05</v>
      </c>
    </row>
    <row r="229" spans="1:10" hidden="1">
      <c r="A229" t="s">
        <v>1159</v>
      </c>
      <c r="B229" t="s">
        <v>1160</v>
      </c>
      <c r="C229" t="s">
        <v>1066</v>
      </c>
      <c r="D229" t="s">
        <v>1148</v>
      </c>
      <c r="E229" t="s">
        <v>556</v>
      </c>
      <c r="F229" t="s">
        <v>1068</v>
      </c>
      <c r="G229" t="s">
        <v>1085</v>
      </c>
      <c r="H229">
        <v>-4.42337817312871E-2</v>
      </c>
      <c r="I229" t="s">
        <v>1086</v>
      </c>
      <c r="J229">
        <v>3.05</v>
      </c>
    </row>
    <row r="230" spans="1:10" hidden="1">
      <c r="A230" t="s">
        <v>1159</v>
      </c>
      <c r="B230" t="s">
        <v>1160</v>
      </c>
      <c r="C230" t="s">
        <v>1066</v>
      </c>
      <c r="D230" t="s">
        <v>1148</v>
      </c>
      <c r="E230" t="s">
        <v>556</v>
      </c>
      <c r="F230" t="s">
        <v>1068</v>
      </c>
      <c r="G230" t="s">
        <v>1087</v>
      </c>
      <c r="H230" s="170">
        <v>-8.0066341998198201E-7</v>
      </c>
      <c r="I230" t="s">
        <v>1088</v>
      </c>
      <c r="J230">
        <v>3.05</v>
      </c>
    </row>
    <row r="231" spans="1:10" hidden="1">
      <c r="A231" t="s">
        <v>1159</v>
      </c>
      <c r="B231" t="s">
        <v>1160</v>
      </c>
      <c r="C231" t="s">
        <v>1066</v>
      </c>
      <c r="D231" t="s">
        <v>1148</v>
      </c>
      <c r="E231" t="s">
        <v>556</v>
      </c>
      <c r="F231" t="s">
        <v>1068</v>
      </c>
      <c r="G231" t="s">
        <v>1089</v>
      </c>
      <c r="H231">
        <v>-1.19286202198463E-2</v>
      </c>
      <c r="I231" t="s">
        <v>1090</v>
      </c>
      <c r="J231">
        <v>3.05</v>
      </c>
    </row>
    <row r="232" spans="1:10" hidden="1">
      <c r="A232" t="s">
        <v>1163</v>
      </c>
      <c r="B232" t="s">
        <v>1164</v>
      </c>
      <c r="C232" t="s">
        <v>1066</v>
      </c>
      <c r="D232" t="s">
        <v>1148</v>
      </c>
      <c r="E232" t="s">
        <v>557</v>
      </c>
      <c r="F232" t="s">
        <v>1068</v>
      </c>
      <c r="G232" t="s">
        <v>1069</v>
      </c>
      <c r="H232">
        <v>-0.12776247783627201</v>
      </c>
      <c r="I232" t="s">
        <v>1070</v>
      </c>
      <c r="J232">
        <v>2.67</v>
      </c>
    </row>
    <row r="233" spans="1:10" hidden="1">
      <c r="A233" t="s">
        <v>1163</v>
      </c>
      <c r="B233" t="s">
        <v>1164</v>
      </c>
      <c r="C233" t="s">
        <v>1066</v>
      </c>
      <c r="D233" t="s">
        <v>1148</v>
      </c>
      <c r="E233" t="s">
        <v>557</v>
      </c>
      <c r="F233" t="s">
        <v>1068</v>
      </c>
      <c r="G233" t="s">
        <v>1071</v>
      </c>
      <c r="H233" s="170">
        <v>-3.2072140048981798E-10</v>
      </c>
      <c r="I233" t="s">
        <v>1072</v>
      </c>
      <c r="J233">
        <v>2.67</v>
      </c>
    </row>
    <row r="234" spans="1:10" hidden="1">
      <c r="A234" t="s">
        <v>1163</v>
      </c>
      <c r="B234" t="s">
        <v>1164</v>
      </c>
      <c r="C234" t="s">
        <v>1066</v>
      </c>
      <c r="D234" t="s">
        <v>1148</v>
      </c>
      <c r="E234" t="s">
        <v>557</v>
      </c>
      <c r="F234" t="s">
        <v>1068</v>
      </c>
      <c r="G234" t="s">
        <v>1073</v>
      </c>
      <c r="H234" s="170">
        <v>-6.9678404705296694E-8</v>
      </c>
      <c r="I234" t="s">
        <v>1074</v>
      </c>
      <c r="J234">
        <v>2.67</v>
      </c>
    </row>
    <row r="235" spans="1:10" hidden="1">
      <c r="A235" t="s">
        <v>1163</v>
      </c>
      <c r="B235" t="s">
        <v>1164</v>
      </c>
      <c r="C235" t="s">
        <v>1066</v>
      </c>
      <c r="D235" t="s">
        <v>1148</v>
      </c>
      <c r="E235" t="s">
        <v>557</v>
      </c>
      <c r="F235" t="s">
        <v>1068</v>
      </c>
      <c r="G235" t="s">
        <v>1075</v>
      </c>
      <c r="H235">
        <v>3.4849754177693697E-2</v>
      </c>
      <c r="I235" t="s">
        <v>1077</v>
      </c>
      <c r="J235">
        <v>2.67</v>
      </c>
    </row>
    <row r="236" spans="1:10" hidden="1">
      <c r="A236" t="s">
        <v>1163</v>
      </c>
      <c r="B236" t="s">
        <v>1164</v>
      </c>
      <c r="C236" t="s">
        <v>1066</v>
      </c>
      <c r="D236" t="s">
        <v>1148</v>
      </c>
      <c r="E236" t="s">
        <v>557</v>
      </c>
      <c r="F236" t="s">
        <v>1068</v>
      </c>
      <c r="G236" t="s">
        <v>1078</v>
      </c>
      <c r="H236">
        <v>-2.0253246916117602</v>
      </c>
      <c r="I236" t="s">
        <v>1079</v>
      </c>
      <c r="J236">
        <v>2.67</v>
      </c>
    </row>
    <row r="237" spans="1:10" hidden="1">
      <c r="A237" t="s">
        <v>1163</v>
      </c>
      <c r="B237" t="s">
        <v>1164</v>
      </c>
      <c r="C237" t="s">
        <v>1066</v>
      </c>
      <c r="D237" t="s">
        <v>1148</v>
      </c>
      <c r="E237" t="s">
        <v>557</v>
      </c>
      <c r="F237" t="s">
        <v>1068</v>
      </c>
      <c r="G237" t="s">
        <v>1080</v>
      </c>
      <c r="H237" s="171" t="s">
        <v>1165</v>
      </c>
      <c r="I237" t="s">
        <v>1082</v>
      </c>
      <c r="J237">
        <v>2.67</v>
      </c>
    </row>
    <row r="238" spans="1:10" hidden="1">
      <c r="A238" t="s">
        <v>1163</v>
      </c>
      <c r="B238" t="s">
        <v>1164</v>
      </c>
      <c r="C238" t="s">
        <v>1066</v>
      </c>
      <c r="D238" t="s">
        <v>1148</v>
      </c>
      <c r="E238" t="s">
        <v>557</v>
      </c>
      <c r="F238" t="s">
        <v>1068</v>
      </c>
      <c r="G238" t="s">
        <v>1083</v>
      </c>
      <c r="H238">
        <v>-1.5887881365999801E-3</v>
      </c>
      <c r="I238" t="s">
        <v>1084</v>
      </c>
      <c r="J238">
        <v>2.67</v>
      </c>
    </row>
    <row r="239" spans="1:10" hidden="1">
      <c r="A239" t="s">
        <v>1163</v>
      </c>
      <c r="B239" t="s">
        <v>1164</v>
      </c>
      <c r="C239" t="s">
        <v>1066</v>
      </c>
      <c r="D239" t="s">
        <v>1148</v>
      </c>
      <c r="E239" t="s">
        <v>557</v>
      </c>
      <c r="F239" t="s">
        <v>1068</v>
      </c>
      <c r="G239" t="s">
        <v>1085</v>
      </c>
      <c r="H239">
        <v>-4.4228350805933403E-2</v>
      </c>
      <c r="I239" t="s">
        <v>1086</v>
      </c>
      <c r="J239">
        <v>2.67</v>
      </c>
    </row>
    <row r="240" spans="1:10" hidden="1">
      <c r="A240" t="s">
        <v>1163</v>
      </c>
      <c r="B240" t="s">
        <v>1164</v>
      </c>
      <c r="C240" t="s">
        <v>1066</v>
      </c>
      <c r="D240" t="s">
        <v>1148</v>
      </c>
      <c r="E240" t="s">
        <v>557</v>
      </c>
      <c r="F240" t="s">
        <v>1068</v>
      </c>
      <c r="G240" t="s">
        <v>1087</v>
      </c>
      <c r="H240" s="170">
        <v>-7.9818399628274003E-7</v>
      </c>
      <c r="I240" t="s">
        <v>1088</v>
      </c>
      <c r="J240">
        <v>2.67</v>
      </c>
    </row>
    <row r="241" spans="1:10" hidden="1">
      <c r="A241" t="s">
        <v>1163</v>
      </c>
      <c r="B241" t="s">
        <v>1164</v>
      </c>
      <c r="C241" t="s">
        <v>1066</v>
      </c>
      <c r="D241" t="s">
        <v>1148</v>
      </c>
      <c r="E241" t="s">
        <v>557</v>
      </c>
      <c r="F241" t="s">
        <v>1068</v>
      </c>
      <c r="G241" t="s">
        <v>1089</v>
      </c>
      <c r="H241">
        <v>-1.1927481008327599E-2</v>
      </c>
      <c r="I241" t="s">
        <v>1090</v>
      </c>
      <c r="J241">
        <v>2.67</v>
      </c>
    </row>
    <row r="242" spans="1:10" hidden="1">
      <c r="A242" t="s">
        <v>1166</v>
      </c>
      <c r="B242" t="s">
        <v>1167</v>
      </c>
      <c r="C242" t="s">
        <v>1066</v>
      </c>
      <c r="D242" t="s">
        <v>1148</v>
      </c>
      <c r="E242" t="s">
        <v>559</v>
      </c>
      <c r="F242" t="s">
        <v>1068</v>
      </c>
      <c r="G242" t="s">
        <v>1069</v>
      </c>
      <c r="H242">
        <v>-0.12931395858668801</v>
      </c>
      <c r="I242" t="s">
        <v>1070</v>
      </c>
      <c r="J242">
        <v>2.5499999999999998</v>
      </c>
    </row>
    <row r="243" spans="1:10" hidden="1">
      <c r="A243" t="s">
        <v>1166</v>
      </c>
      <c r="B243" t="s">
        <v>1167</v>
      </c>
      <c r="C243" t="s">
        <v>1066</v>
      </c>
      <c r="D243" t="s">
        <v>1148</v>
      </c>
      <c r="E243" t="s">
        <v>559</v>
      </c>
      <c r="F243" t="s">
        <v>1068</v>
      </c>
      <c r="G243" t="s">
        <v>1071</v>
      </c>
      <c r="H243" s="170">
        <v>-3.2293582312335201E-10</v>
      </c>
      <c r="I243" t="s">
        <v>1072</v>
      </c>
      <c r="J243">
        <v>2.5499999999999998</v>
      </c>
    </row>
    <row r="244" spans="1:10" hidden="1">
      <c r="A244" t="s">
        <v>1166</v>
      </c>
      <c r="B244" t="s">
        <v>1167</v>
      </c>
      <c r="C244" t="s">
        <v>1066</v>
      </c>
      <c r="D244" t="s">
        <v>1148</v>
      </c>
      <c r="E244" t="s">
        <v>559</v>
      </c>
      <c r="F244" t="s">
        <v>1068</v>
      </c>
      <c r="G244" t="s">
        <v>1073</v>
      </c>
      <c r="H244" s="170">
        <v>-7.0230024207526694E-8</v>
      </c>
      <c r="I244" t="s">
        <v>1074</v>
      </c>
      <c r="J244">
        <v>2.5499999999999998</v>
      </c>
    </row>
    <row r="245" spans="1:10" hidden="1">
      <c r="A245" t="s">
        <v>1166</v>
      </c>
      <c r="B245" t="s">
        <v>1167</v>
      </c>
      <c r="C245" t="s">
        <v>1066</v>
      </c>
      <c r="D245" t="s">
        <v>1148</v>
      </c>
      <c r="E245" t="s">
        <v>559</v>
      </c>
      <c r="F245" t="s">
        <v>1068</v>
      </c>
      <c r="G245" t="s">
        <v>1075</v>
      </c>
      <c r="H245">
        <v>3.4804499568726999E-2</v>
      </c>
      <c r="I245" t="s">
        <v>1077</v>
      </c>
      <c r="J245">
        <v>2.5499999999999998</v>
      </c>
    </row>
    <row r="246" spans="1:10" hidden="1">
      <c r="A246" t="s">
        <v>1166</v>
      </c>
      <c r="B246" t="s">
        <v>1167</v>
      </c>
      <c r="C246" t="s">
        <v>1066</v>
      </c>
      <c r="D246" t="s">
        <v>1148</v>
      </c>
      <c r="E246" t="s">
        <v>559</v>
      </c>
      <c r="F246" t="s">
        <v>1068</v>
      </c>
      <c r="G246" t="s">
        <v>1078</v>
      </c>
      <c r="H246">
        <v>-2.0258416808533699</v>
      </c>
      <c r="I246" t="s">
        <v>1079</v>
      </c>
      <c r="J246">
        <v>2.5499999999999998</v>
      </c>
    </row>
    <row r="247" spans="1:10" hidden="1">
      <c r="A247" t="s">
        <v>1166</v>
      </c>
      <c r="B247" t="s">
        <v>1167</v>
      </c>
      <c r="C247" t="s">
        <v>1066</v>
      </c>
      <c r="D247" t="s">
        <v>1148</v>
      </c>
      <c r="E247" t="s">
        <v>559</v>
      </c>
      <c r="F247" t="s">
        <v>1068</v>
      </c>
      <c r="G247" t="s">
        <v>1080</v>
      </c>
      <c r="H247" s="171" t="s">
        <v>1168</v>
      </c>
      <c r="I247" t="s">
        <v>1082</v>
      </c>
      <c r="J247">
        <v>2.5499999999999998</v>
      </c>
    </row>
    <row r="248" spans="1:10" hidden="1">
      <c r="A248" t="s">
        <v>1166</v>
      </c>
      <c r="B248" t="s">
        <v>1167</v>
      </c>
      <c r="C248" t="s">
        <v>1066</v>
      </c>
      <c r="D248" t="s">
        <v>1148</v>
      </c>
      <c r="E248" t="s">
        <v>559</v>
      </c>
      <c r="F248" t="s">
        <v>1068</v>
      </c>
      <c r="G248" t="s">
        <v>1083</v>
      </c>
      <c r="H248">
        <v>-1.5890243356324501E-3</v>
      </c>
      <c r="I248" t="s">
        <v>1084</v>
      </c>
      <c r="J248">
        <v>2.5499999999999998</v>
      </c>
    </row>
    <row r="249" spans="1:10" hidden="1">
      <c r="A249" t="s">
        <v>1166</v>
      </c>
      <c r="B249" t="s">
        <v>1167</v>
      </c>
      <c r="C249" t="s">
        <v>1066</v>
      </c>
      <c r="D249" t="s">
        <v>1148</v>
      </c>
      <c r="E249" t="s">
        <v>559</v>
      </c>
      <c r="F249" t="s">
        <v>1068</v>
      </c>
      <c r="G249" t="s">
        <v>1085</v>
      </c>
      <c r="H249">
        <v>-4.4230999966245799E-2</v>
      </c>
      <c r="I249" t="s">
        <v>1086</v>
      </c>
      <c r="J249">
        <v>2.5499999999999998</v>
      </c>
    </row>
    <row r="250" spans="1:10" hidden="1">
      <c r="A250" t="s">
        <v>1166</v>
      </c>
      <c r="B250" t="s">
        <v>1167</v>
      </c>
      <c r="C250" t="s">
        <v>1066</v>
      </c>
      <c r="D250" t="s">
        <v>1148</v>
      </c>
      <c r="E250" t="s">
        <v>559</v>
      </c>
      <c r="F250" t="s">
        <v>1068</v>
      </c>
      <c r="G250" t="s">
        <v>1087</v>
      </c>
      <c r="H250" s="170">
        <v>-7.9928519600534795E-7</v>
      </c>
      <c r="I250" t="s">
        <v>1088</v>
      </c>
      <c r="J250">
        <v>2.5499999999999998</v>
      </c>
    </row>
    <row r="251" spans="1:10" hidden="1">
      <c r="A251" t="s">
        <v>1166</v>
      </c>
      <c r="B251" t="s">
        <v>1167</v>
      </c>
      <c r="C251" t="s">
        <v>1066</v>
      </c>
      <c r="D251" t="s">
        <v>1148</v>
      </c>
      <c r="E251" t="s">
        <v>559</v>
      </c>
      <c r="F251" t="s">
        <v>1068</v>
      </c>
      <c r="G251" t="s">
        <v>1089</v>
      </c>
      <c r="H251">
        <v>-1.1928031073152E-2</v>
      </c>
      <c r="I251" t="s">
        <v>1090</v>
      </c>
      <c r="J251">
        <v>2.5499999999999998</v>
      </c>
    </row>
    <row r="252" spans="1:10" hidden="1">
      <c r="A252" t="s">
        <v>1169</v>
      </c>
      <c r="B252" t="s">
        <v>1170</v>
      </c>
      <c r="C252" t="s">
        <v>1066</v>
      </c>
      <c r="D252" t="s">
        <v>1148</v>
      </c>
      <c r="E252" t="s">
        <v>560</v>
      </c>
      <c r="F252" t="s">
        <v>1068</v>
      </c>
      <c r="G252" t="s">
        <v>1069</v>
      </c>
      <c r="H252">
        <v>-0.128786933951858</v>
      </c>
      <c r="I252" t="s">
        <v>1070</v>
      </c>
      <c r="J252">
        <v>2.54</v>
      </c>
    </row>
    <row r="253" spans="1:10" hidden="1">
      <c r="A253" t="s">
        <v>1169</v>
      </c>
      <c r="B253" t="s">
        <v>1170</v>
      </c>
      <c r="C253" t="s">
        <v>1066</v>
      </c>
      <c r="D253" t="s">
        <v>1148</v>
      </c>
      <c r="E253" t="s">
        <v>560</v>
      </c>
      <c r="F253" t="s">
        <v>1068</v>
      </c>
      <c r="G253" t="s">
        <v>1071</v>
      </c>
      <c r="H253" s="170">
        <v>-3.2218740884649503E-10</v>
      </c>
      <c r="I253" t="s">
        <v>1072</v>
      </c>
      <c r="J253">
        <v>2.54</v>
      </c>
    </row>
    <row r="254" spans="1:10" hidden="1">
      <c r="A254" t="s">
        <v>1169</v>
      </c>
      <c r="B254" t="s">
        <v>1170</v>
      </c>
      <c r="C254" t="s">
        <v>1066</v>
      </c>
      <c r="D254" t="s">
        <v>1148</v>
      </c>
      <c r="E254" t="s">
        <v>560</v>
      </c>
      <c r="F254" t="s">
        <v>1068</v>
      </c>
      <c r="G254" t="s">
        <v>1073</v>
      </c>
      <c r="H254" s="170">
        <v>-7.0042294759136901E-8</v>
      </c>
      <c r="I254" t="s">
        <v>1074</v>
      </c>
      <c r="J254">
        <v>2.54</v>
      </c>
    </row>
    <row r="255" spans="1:10" hidden="1">
      <c r="A255" t="s">
        <v>1169</v>
      </c>
      <c r="B255" t="s">
        <v>1170</v>
      </c>
      <c r="C255" t="s">
        <v>1066</v>
      </c>
      <c r="D255" t="s">
        <v>1148</v>
      </c>
      <c r="E255" t="s">
        <v>560</v>
      </c>
      <c r="F255" t="s">
        <v>1068</v>
      </c>
      <c r="G255" t="s">
        <v>1075</v>
      </c>
      <c r="H255" s="171" t="s">
        <v>1171</v>
      </c>
      <c r="I255" t="s">
        <v>1077</v>
      </c>
      <c r="J255">
        <v>2.54</v>
      </c>
    </row>
    <row r="256" spans="1:10" hidden="1">
      <c r="A256" t="s">
        <v>1169</v>
      </c>
      <c r="B256" t="s">
        <v>1170</v>
      </c>
      <c r="C256" t="s">
        <v>1066</v>
      </c>
      <c r="D256" t="s">
        <v>1148</v>
      </c>
      <c r="E256" t="s">
        <v>560</v>
      </c>
      <c r="F256" t="s">
        <v>1068</v>
      </c>
      <c r="G256" t="s">
        <v>1078</v>
      </c>
      <c r="H256">
        <v>-2.0267251072714698</v>
      </c>
      <c r="I256" t="s">
        <v>1079</v>
      </c>
      <c r="J256">
        <v>2.54</v>
      </c>
    </row>
    <row r="257" spans="1:10" hidden="1">
      <c r="A257" t="s">
        <v>1169</v>
      </c>
      <c r="B257" t="s">
        <v>1170</v>
      </c>
      <c r="C257" t="s">
        <v>1066</v>
      </c>
      <c r="D257" t="s">
        <v>1148</v>
      </c>
      <c r="E257" t="s">
        <v>560</v>
      </c>
      <c r="F257" t="s">
        <v>1068</v>
      </c>
      <c r="G257" t="s">
        <v>1080</v>
      </c>
      <c r="H257" s="171" t="s">
        <v>1172</v>
      </c>
      <c r="I257" t="s">
        <v>1082</v>
      </c>
      <c r="J257">
        <v>2.54</v>
      </c>
    </row>
    <row r="258" spans="1:10" hidden="1">
      <c r="A258" t="s">
        <v>1169</v>
      </c>
      <c r="B258" t="s">
        <v>1170</v>
      </c>
      <c r="C258" t="s">
        <v>1066</v>
      </c>
      <c r="D258" t="s">
        <v>1148</v>
      </c>
      <c r="E258" t="s">
        <v>560</v>
      </c>
      <c r="F258" t="s">
        <v>1068</v>
      </c>
      <c r="G258" t="s">
        <v>1083</v>
      </c>
      <c r="H258">
        <v>-1.5889438545928099E-3</v>
      </c>
      <c r="I258" t="s">
        <v>1084</v>
      </c>
      <c r="J258">
        <v>2.54</v>
      </c>
    </row>
    <row r="259" spans="1:10" hidden="1">
      <c r="A259" t="s">
        <v>1169</v>
      </c>
      <c r="B259" t="s">
        <v>1170</v>
      </c>
      <c r="C259" t="s">
        <v>1066</v>
      </c>
      <c r="D259" t="s">
        <v>1148</v>
      </c>
      <c r="E259" t="s">
        <v>560</v>
      </c>
      <c r="F259" t="s">
        <v>1068</v>
      </c>
      <c r="G259" t="s">
        <v>1085</v>
      </c>
      <c r="H259">
        <v>-4.4230110735293503E-2</v>
      </c>
      <c r="I259" t="s">
        <v>1086</v>
      </c>
      <c r="J259">
        <v>2.54</v>
      </c>
    </row>
    <row r="260" spans="1:10" hidden="1">
      <c r="A260" t="s">
        <v>1169</v>
      </c>
      <c r="B260" t="s">
        <v>1170</v>
      </c>
      <c r="C260" t="s">
        <v>1066</v>
      </c>
      <c r="D260" t="s">
        <v>1148</v>
      </c>
      <c r="E260" t="s">
        <v>560</v>
      </c>
      <c r="F260" t="s">
        <v>1068</v>
      </c>
      <c r="G260" t="s">
        <v>1087</v>
      </c>
      <c r="H260" s="170">
        <v>-7.9903334622777398E-7</v>
      </c>
      <c r="I260" t="s">
        <v>1088</v>
      </c>
      <c r="J260">
        <v>2.54</v>
      </c>
    </row>
    <row r="261" spans="1:10" hidden="1">
      <c r="A261" t="s">
        <v>1169</v>
      </c>
      <c r="B261" t="s">
        <v>1170</v>
      </c>
      <c r="C261" t="s">
        <v>1066</v>
      </c>
      <c r="D261" t="s">
        <v>1148</v>
      </c>
      <c r="E261" t="s">
        <v>560</v>
      </c>
      <c r="F261" t="s">
        <v>1068</v>
      </c>
      <c r="G261" t="s">
        <v>1089</v>
      </c>
      <c r="H261">
        <v>-1.1927844078279201E-2</v>
      </c>
      <c r="I261" t="s">
        <v>1090</v>
      </c>
      <c r="J261">
        <v>2.54</v>
      </c>
    </row>
    <row r="262" spans="1:10" hidden="1">
      <c r="A262" t="s">
        <v>1173</v>
      </c>
      <c r="B262" t="s">
        <v>1174</v>
      </c>
      <c r="C262" t="s">
        <v>1066</v>
      </c>
      <c r="D262" t="s">
        <v>1148</v>
      </c>
      <c r="E262" t="s">
        <v>1116</v>
      </c>
      <c r="F262" t="s">
        <v>1068</v>
      </c>
      <c r="G262" t="s">
        <v>1069</v>
      </c>
      <c r="H262">
        <v>-0.12567760661707</v>
      </c>
      <c r="I262" t="s">
        <v>1070</v>
      </c>
      <c r="J262">
        <v>2.54</v>
      </c>
    </row>
    <row r="263" spans="1:10" hidden="1">
      <c r="A263" t="s">
        <v>1173</v>
      </c>
      <c r="B263" t="s">
        <v>1174</v>
      </c>
      <c r="C263" t="s">
        <v>1066</v>
      </c>
      <c r="D263" t="s">
        <v>1148</v>
      </c>
      <c r="E263" t="s">
        <v>1116</v>
      </c>
      <c r="F263" t="s">
        <v>1068</v>
      </c>
      <c r="G263" t="s">
        <v>1071</v>
      </c>
      <c r="H263" s="170">
        <v>-3.1773792605595198E-10</v>
      </c>
      <c r="I263" t="s">
        <v>1072</v>
      </c>
      <c r="J263">
        <v>2.54</v>
      </c>
    </row>
    <row r="264" spans="1:10" hidden="1">
      <c r="A264" t="s">
        <v>1173</v>
      </c>
      <c r="B264" t="s">
        <v>1174</v>
      </c>
      <c r="C264" t="s">
        <v>1066</v>
      </c>
      <c r="D264" t="s">
        <v>1148</v>
      </c>
      <c r="E264" t="s">
        <v>1116</v>
      </c>
      <c r="F264" t="s">
        <v>1068</v>
      </c>
      <c r="G264" t="s">
        <v>1073</v>
      </c>
      <c r="H264" s="170">
        <v>-6.8937851851309505E-8</v>
      </c>
      <c r="I264" t="s">
        <v>1074</v>
      </c>
      <c r="J264">
        <v>2.54</v>
      </c>
    </row>
    <row r="265" spans="1:10" hidden="1">
      <c r="A265" t="s">
        <v>1173</v>
      </c>
      <c r="B265" t="s">
        <v>1174</v>
      </c>
      <c r="C265" t="s">
        <v>1066</v>
      </c>
      <c r="D265" t="s">
        <v>1148</v>
      </c>
      <c r="E265" t="s">
        <v>1116</v>
      </c>
      <c r="F265" t="s">
        <v>1068</v>
      </c>
      <c r="G265" t="s">
        <v>1075</v>
      </c>
      <c r="H265" s="171" t="s">
        <v>1175</v>
      </c>
      <c r="I265" t="s">
        <v>1077</v>
      </c>
      <c r="J265">
        <v>2.54</v>
      </c>
    </row>
    <row r="266" spans="1:10" hidden="1">
      <c r="A266" t="s">
        <v>1173</v>
      </c>
      <c r="B266" t="s">
        <v>1174</v>
      </c>
      <c r="C266" t="s">
        <v>1066</v>
      </c>
      <c r="D266" t="s">
        <v>1148</v>
      </c>
      <c r="E266" t="s">
        <v>1116</v>
      </c>
      <c r="F266" t="s">
        <v>1068</v>
      </c>
      <c r="G266" t="s">
        <v>1078</v>
      </c>
      <c r="H266">
        <v>-2.0224747049113301</v>
      </c>
      <c r="I266" t="s">
        <v>1079</v>
      </c>
      <c r="J266">
        <v>2.54</v>
      </c>
    </row>
    <row r="267" spans="1:10" hidden="1">
      <c r="A267" t="s">
        <v>1173</v>
      </c>
      <c r="B267" t="s">
        <v>1174</v>
      </c>
      <c r="C267" t="s">
        <v>1066</v>
      </c>
      <c r="D267" t="s">
        <v>1148</v>
      </c>
      <c r="E267" t="s">
        <v>1116</v>
      </c>
      <c r="F267" t="s">
        <v>1068</v>
      </c>
      <c r="G267" t="s">
        <v>1080</v>
      </c>
      <c r="H267" s="171" t="s">
        <v>1176</v>
      </c>
      <c r="I267" t="s">
        <v>1082</v>
      </c>
      <c r="J267">
        <v>2.54</v>
      </c>
    </row>
    <row r="268" spans="1:10" hidden="1">
      <c r="A268" t="s">
        <v>1173</v>
      </c>
      <c r="B268" t="s">
        <v>1174</v>
      </c>
      <c r="C268" t="s">
        <v>1066</v>
      </c>
      <c r="D268" t="s">
        <v>1148</v>
      </c>
      <c r="E268" t="s">
        <v>1116</v>
      </c>
      <c r="F268" t="s">
        <v>1068</v>
      </c>
      <c r="G268" t="s">
        <v>1083</v>
      </c>
      <c r="H268">
        <v>-1.5884712348247601E-3</v>
      </c>
      <c r="I268" t="s">
        <v>1084</v>
      </c>
      <c r="J268">
        <v>2.54</v>
      </c>
    </row>
    <row r="269" spans="1:10" hidden="1">
      <c r="A269" t="s">
        <v>1173</v>
      </c>
      <c r="B269" t="s">
        <v>1174</v>
      </c>
      <c r="C269" t="s">
        <v>1066</v>
      </c>
      <c r="D269" t="s">
        <v>1148</v>
      </c>
      <c r="E269" t="s">
        <v>1116</v>
      </c>
      <c r="F269" t="s">
        <v>1068</v>
      </c>
      <c r="G269" t="s">
        <v>1085</v>
      </c>
      <c r="H269">
        <v>-4.4224769172698103E-2</v>
      </c>
      <c r="I269" t="s">
        <v>1086</v>
      </c>
      <c r="J269">
        <v>2.54</v>
      </c>
    </row>
    <row r="270" spans="1:10" hidden="1">
      <c r="A270" t="s">
        <v>1173</v>
      </c>
      <c r="B270" t="s">
        <v>1174</v>
      </c>
      <c r="C270" t="s">
        <v>1066</v>
      </c>
      <c r="D270" t="s">
        <v>1148</v>
      </c>
      <c r="E270" t="s">
        <v>1116</v>
      </c>
      <c r="F270" t="s">
        <v>1068</v>
      </c>
      <c r="G270" t="s">
        <v>1087</v>
      </c>
      <c r="H270" s="170">
        <v>-7.9645548372959299E-7</v>
      </c>
      <c r="I270" t="s">
        <v>1088</v>
      </c>
      <c r="J270">
        <v>2.54</v>
      </c>
    </row>
    <row r="271" spans="1:10" hidden="1">
      <c r="A271" t="s">
        <v>1173</v>
      </c>
      <c r="B271" t="s">
        <v>1174</v>
      </c>
      <c r="C271" t="s">
        <v>1066</v>
      </c>
      <c r="D271" t="s">
        <v>1148</v>
      </c>
      <c r="E271" t="s">
        <v>1116</v>
      </c>
      <c r="F271" t="s">
        <v>1068</v>
      </c>
      <c r="G271" t="s">
        <v>1089</v>
      </c>
      <c r="H271">
        <v>-1.19267421244639E-2</v>
      </c>
      <c r="I271" t="s">
        <v>1090</v>
      </c>
      <c r="J271">
        <v>2.54</v>
      </c>
    </row>
    <row r="272" spans="1:10" hidden="1">
      <c r="A272" t="s">
        <v>1177</v>
      </c>
      <c r="B272" t="s">
        <v>1178</v>
      </c>
      <c r="C272" t="s">
        <v>1066</v>
      </c>
      <c r="D272" t="s">
        <v>1179</v>
      </c>
      <c r="E272" t="s">
        <v>561</v>
      </c>
      <c r="F272" t="s">
        <v>1068</v>
      </c>
      <c r="G272" t="s">
        <v>1069</v>
      </c>
      <c r="H272">
        <v>-0.38401334564266298</v>
      </c>
      <c r="I272" t="s">
        <v>1070</v>
      </c>
      <c r="J272">
        <v>2.59</v>
      </c>
    </row>
    <row r="273" spans="1:10" hidden="1">
      <c r="A273" t="s">
        <v>1177</v>
      </c>
      <c r="B273" t="s">
        <v>1178</v>
      </c>
      <c r="C273" t="s">
        <v>1066</v>
      </c>
      <c r="D273" t="s">
        <v>1179</v>
      </c>
      <c r="E273" t="s">
        <v>561</v>
      </c>
      <c r="F273" t="s">
        <v>1068</v>
      </c>
      <c r="G273" t="s">
        <v>1071</v>
      </c>
      <c r="H273" s="170">
        <v>-7.3618111547138297E-10</v>
      </c>
      <c r="I273" t="s">
        <v>1072</v>
      </c>
      <c r="J273">
        <v>2.59</v>
      </c>
    </row>
    <row r="274" spans="1:10" hidden="1">
      <c r="A274" t="s">
        <v>1177</v>
      </c>
      <c r="B274" t="s">
        <v>1178</v>
      </c>
      <c r="C274" t="s">
        <v>1066</v>
      </c>
      <c r="D274" t="s">
        <v>1179</v>
      </c>
      <c r="E274" t="s">
        <v>561</v>
      </c>
      <c r="F274" t="s">
        <v>1068</v>
      </c>
      <c r="G274" t="s">
        <v>1073</v>
      </c>
      <c r="H274" s="170">
        <v>-1.4676981000356999E-7</v>
      </c>
      <c r="I274" t="s">
        <v>1074</v>
      </c>
      <c r="J274">
        <v>2.59</v>
      </c>
    </row>
    <row r="275" spans="1:10" hidden="1">
      <c r="A275" t="s">
        <v>1177</v>
      </c>
      <c r="B275" t="s">
        <v>1178</v>
      </c>
      <c r="C275" t="s">
        <v>1066</v>
      </c>
      <c r="D275" t="s">
        <v>1179</v>
      </c>
      <c r="E275" t="s">
        <v>561</v>
      </c>
      <c r="F275" t="s">
        <v>1068</v>
      </c>
      <c r="G275" t="s">
        <v>1075</v>
      </c>
      <c r="H275" s="171" t="s">
        <v>1180</v>
      </c>
      <c r="I275" t="s">
        <v>1077</v>
      </c>
      <c r="J275">
        <v>2.59</v>
      </c>
    </row>
    <row r="276" spans="1:10" hidden="1">
      <c r="A276" t="s">
        <v>1177</v>
      </c>
      <c r="B276" t="s">
        <v>1178</v>
      </c>
      <c r="C276" t="s">
        <v>1066</v>
      </c>
      <c r="D276" t="s">
        <v>1179</v>
      </c>
      <c r="E276" t="s">
        <v>561</v>
      </c>
      <c r="F276" t="s">
        <v>1068</v>
      </c>
      <c r="G276" t="s">
        <v>1078</v>
      </c>
      <c r="H276">
        <v>-0.67953847864317696</v>
      </c>
      <c r="I276" t="s">
        <v>1079</v>
      </c>
      <c r="J276">
        <v>2.59</v>
      </c>
    </row>
    <row r="277" spans="1:10" hidden="1">
      <c r="A277" t="s">
        <v>1177</v>
      </c>
      <c r="B277" t="s">
        <v>1178</v>
      </c>
      <c r="C277" t="s">
        <v>1066</v>
      </c>
      <c r="D277" t="s">
        <v>1179</v>
      </c>
      <c r="E277" t="s">
        <v>561</v>
      </c>
      <c r="F277" t="s">
        <v>1068</v>
      </c>
      <c r="G277" t="s">
        <v>1080</v>
      </c>
      <c r="H277" s="171" t="s">
        <v>1181</v>
      </c>
      <c r="I277" t="s">
        <v>1082</v>
      </c>
      <c r="J277">
        <v>2.59</v>
      </c>
    </row>
    <row r="278" spans="1:10" hidden="1">
      <c r="A278" t="s">
        <v>1177</v>
      </c>
      <c r="B278" t="s">
        <v>1178</v>
      </c>
      <c r="C278" t="s">
        <v>1066</v>
      </c>
      <c r="D278" t="s">
        <v>1179</v>
      </c>
      <c r="E278" t="s">
        <v>561</v>
      </c>
      <c r="F278" t="s">
        <v>1068</v>
      </c>
      <c r="G278" t="s">
        <v>1083</v>
      </c>
      <c r="H278">
        <v>-3.2717570238456601E-4</v>
      </c>
      <c r="I278" t="s">
        <v>1084</v>
      </c>
      <c r="J278">
        <v>2.59</v>
      </c>
    </row>
    <row r="279" spans="1:10" hidden="1">
      <c r="A279" t="s">
        <v>1177</v>
      </c>
      <c r="B279" t="s">
        <v>1178</v>
      </c>
      <c r="C279" t="s">
        <v>1066</v>
      </c>
      <c r="D279" t="s">
        <v>1179</v>
      </c>
      <c r="E279" t="s">
        <v>561</v>
      </c>
      <c r="F279" t="s">
        <v>1068</v>
      </c>
      <c r="G279" t="s">
        <v>1085</v>
      </c>
      <c r="H279">
        <v>-8.0633834282564393E-3</v>
      </c>
      <c r="I279" t="s">
        <v>1086</v>
      </c>
      <c r="J279">
        <v>2.59</v>
      </c>
    </row>
    <row r="280" spans="1:10" hidden="1">
      <c r="A280" t="s">
        <v>1177</v>
      </c>
      <c r="B280" t="s">
        <v>1178</v>
      </c>
      <c r="C280" t="s">
        <v>1066</v>
      </c>
      <c r="D280" t="s">
        <v>1179</v>
      </c>
      <c r="E280" t="s">
        <v>561</v>
      </c>
      <c r="F280" t="s">
        <v>1068</v>
      </c>
      <c r="G280" t="s">
        <v>1087</v>
      </c>
      <c r="H280" s="170">
        <v>-2.51806950349521E-5</v>
      </c>
      <c r="I280" t="s">
        <v>1088</v>
      </c>
      <c r="J280">
        <v>2.59</v>
      </c>
    </row>
    <row r="281" spans="1:10" hidden="1">
      <c r="A281" t="s">
        <v>1177</v>
      </c>
      <c r="B281" t="s">
        <v>1178</v>
      </c>
      <c r="C281" t="s">
        <v>1066</v>
      </c>
      <c r="D281" t="s">
        <v>1179</v>
      </c>
      <c r="E281" t="s">
        <v>561</v>
      </c>
      <c r="F281" t="s">
        <v>1068</v>
      </c>
      <c r="G281" t="s">
        <v>1089</v>
      </c>
      <c r="H281">
        <v>-1.92560237794608E-3</v>
      </c>
      <c r="I281" t="s">
        <v>1090</v>
      </c>
      <c r="J281">
        <v>2.59</v>
      </c>
    </row>
    <row r="282" spans="1:10" hidden="1">
      <c r="A282" t="s">
        <v>1182</v>
      </c>
      <c r="B282" t="s">
        <v>1183</v>
      </c>
      <c r="C282" t="s">
        <v>1066</v>
      </c>
      <c r="D282" t="s">
        <v>1179</v>
      </c>
      <c r="E282" t="s">
        <v>555</v>
      </c>
      <c r="F282" t="s">
        <v>1068</v>
      </c>
      <c r="G282" t="s">
        <v>1069</v>
      </c>
      <c r="H282">
        <v>-0.40601682446983201</v>
      </c>
      <c r="I282" t="s">
        <v>1070</v>
      </c>
      <c r="J282">
        <v>2.54</v>
      </c>
    </row>
    <row r="283" spans="1:10" hidden="1">
      <c r="A283" t="s">
        <v>1182</v>
      </c>
      <c r="B283" t="s">
        <v>1183</v>
      </c>
      <c r="C283" t="s">
        <v>1066</v>
      </c>
      <c r="D283" t="s">
        <v>1179</v>
      </c>
      <c r="E283" t="s">
        <v>555</v>
      </c>
      <c r="F283" t="s">
        <v>1068</v>
      </c>
      <c r="G283" t="s">
        <v>1071</v>
      </c>
      <c r="H283" s="170">
        <v>-7.6766546201836199E-10</v>
      </c>
      <c r="I283" t="s">
        <v>1072</v>
      </c>
      <c r="J283">
        <v>2.54</v>
      </c>
    </row>
    <row r="284" spans="1:10" hidden="1">
      <c r="A284" t="s">
        <v>1182</v>
      </c>
      <c r="B284" t="s">
        <v>1183</v>
      </c>
      <c r="C284" t="s">
        <v>1066</v>
      </c>
      <c r="D284" t="s">
        <v>1179</v>
      </c>
      <c r="E284" t="s">
        <v>555</v>
      </c>
      <c r="F284" t="s">
        <v>1068</v>
      </c>
      <c r="G284" t="s">
        <v>1073</v>
      </c>
      <c r="H284" s="170">
        <v>-1.5458577962147199E-7</v>
      </c>
      <c r="I284" t="s">
        <v>1074</v>
      </c>
      <c r="J284">
        <v>2.54</v>
      </c>
    </row>
    <row r="285" spans="1:10" hidden="1">
      <c r="A285" t="s">
        <v>1182</v>
      </c>
      <c r="B285" t="s">
        <v>1183</v>
      </c>
      <c r="C285" t="s">
        <v>1066</v>
      </c>
      <c r="D285" t="s">
        <v>1179</v>
      </c>
      <c r="E285" t="s">
        <v>555</v>
      </c>
      <c r="F285" t="s">
        <v>1068</v>
      </c>
      <c r="G285" t="s">
        <v>1075</v>
      </c>
      <c r="H285">
        <v>3.1092639023419799E-2</v>
      </c>
      <c r="I285" t="s">
        <v>1077</v>
      </c>
      <c r="J285">
        <v>2.54</v>
      </c>
    </row>
    <row r="286" spans="1:10" hidden="1">
      <c r="A286" t="s">
        <v>1182</v>
      </c>
      <c r="B286" t="s">
        <v>1183</v>
      </c>
      <c r="C286" t="s">
        <v>1066</v>
      </c>
      <c r="D286" t="s">
        <v>1179</v>
      </c>
      <c r="E286" t="s">
        <v>555</v>
      </c>
      <c r="F286" t="s">
        <v>1068</v>
      </c>
      <c r="G286" t="s">
        <v>1078</v>
      </c>
      <c r="H286">
        <v>-0.70881496329913196</v>
      </c>
      <c r="I286" t="s">
        <v>1079</v>
      </c>
      <c r="J286">
        <v>2.54</v>
      </c>
    </row>
    <row r="287" spans="1:10" hidden="1">
      <c r="A287" t="s">
        <v>1182</v>
      </c>
      <c r="B287" t="s">
        <v>1183</v>
      </c>
      <c r="C287" t="s">
        <v>1066</v>
      </c>
      <c r="D287" t="s">
        <v>1179</v>
      </c>
      <c r="E287" t="s">
        <v>555</v>
      </c>
      <c r="F287" t="s">
        <v>1068</v>
      </c>
      <c r="G287" t="s">
        <v>1080</v>
      </c>
      <c r="H287" s="171" t="s">
        <v>1184</v>
      </c>
      <c r="I287" t="s">
        <v>1082</v>
      </c>
      <c r="J287">
        <v>2.54</v>
      </c>
    </row>
    <row r="288" spans="1:10" hidden="1">
      <c r="A288" t="s">
        <v>1182</v>
      </c>
      <c r="B288" t="s">
        <v>1183</v>
      </c>
      <c r="C288" t="s">
        <v>1066</v>
      </c>
      <c r="D288" t="s">
        <v>1179</v>
      </c>
      <c r="E288" t="s">
        <v>555</v>
      </c>
      <c r="F288" t="s">
        <v>1068</v>
      </c>
      <c r="G288" t="s">
        <v>1083</v>
      </c>
      <c r="H288">
        <v>-3.3052043188961402E-4</v>
      </c>
      <c r="I288" t="s">
        <v>1084</v>
      </c>
      <c r="J288">
        <v>2.54</v>
      </c>
    </row>
    <row r="289" spans="1:10" hidden="1">
      <c r="A289" t="s">
        <v>1182</v>
      </c>
      <c r="B289" t="s">
        <v>1183</v>
      </c>
      <c r="C289" t="s">
        <v>1066</v>
      </c>
      <c r="D289" t="s">
        <v>1179</v>
      </c>
      <c r="E289" t="s">
        <v>555</v>
      </c>
      <c r="F289" t="s">
        <v>1068</v>
      </c>
      <c r="G289" t="s">
        <v>1085</v>
      </c>
      <c r="H289">
        <v>-8.1011754759678593E-3</v>
      </c>
      <c r="I289" t="s">
        <v>1086</v>
      </c>
      <c r="J289">
        <v>2.54</v>
      </c>
    </row>
    <row r="290" spans="1:10" hidden="1">
      <c r="A290" t="s">
        <v>1182</v>
      </c>
      <c r="B290" t="s">
        <v>1183</v>
      </c>
      <c r="C290" t="s">
        <v>1066</v>
      </c>
      <c r="D290" t="s">
        <v>1179</v>
      </c>
      <c r="E290" t="s">
        <v>555</v>
      </c>
      <c r="F290" t="s">
        <v>1068</v>
      </c>
      <c r="G290" t="s">
        <v>1087</v>
      </c>
      <c r="H290" s="170">
        <v>-2.51988450011665E-5</v>
      </c>
      <c r="I290" t="s">
        <v>1088</v>
      </c>
      <c r="J290">
        <v>2.54</v>
      </c>
    </row>
    <row r="291" spans="1:10" hidden="1">
      <c r="A291" t="s">
        <v>1182</v>
      </c>
      <c r="B291" t="s">
        <v>1183</v>
      </c>
      <c r="C291" t="s">
        <v>1066</v>
      </c>
      <c r="D291" t="s">
        <v>1179</v>
      </c>
      <c r="E291" t="s">
        <v>555</v>
      </c>
      <c r="F291" t="s">
        <v>1068</v>
      </c>
      <c r="G291" t="s">
        <v>1089</v>
      </c>
      <c r="H291">
        <v>-1.93340057690129E-3</v>
      </c>
      <c r="I291" t="s">
        <v>1090</v>
      </c>
      <c r="J291">
        <v>2.54</v>
      </c>
    </row>
    <row r="292" spans="1:10" hidden="1">
      <c r="A292" t="s">
        <v>1185</v>
      </c>
      <c r="B292" t="s">
        <v>1186</v>
      </c>
      <c r="C292" t="s">
        <v>1066</v>
      </c>
      <c r="D292" t="s">
        <v>1179</v>
      </c>
      <c r="E292" t="s">
        <v>558</v>
      </c>
      <c r="F292" t="s">
        <v>1068</v>
      </c>
      <c r="G292" t="s">
        <v>1069</v>
      </c>
      <c r="H292">
        <v>-0.38206501162636902</v>
      </c>
      <c r="I292" t="s">
        <v>1070</v>
      </c>
      <c r="J292">
        <v>2.06</v>
      </c>
    </row>
    <row r="293" spans="1:10" hidden="1">
      <c r="A293" t="s">
        <v>1185</v>
      </c>
      <c r="B293" t="s">
        <v>1186</v>
      </c>
      <c r="C293" t="s">
        <v>1066</v>
      </c>
      <c r="D293" t="s">
        <v>1179</v>
      </c>
      <c r="E293" t="s">
        <v>558</v>
      </c>
      <c r="F293" t="s">
        <v>1068</v>
      </c>
      <c r="G293" t="s">
        <v>1071</v>
      </c>
      <c r="H293" s="170">
        <v>-7.3339302732809303E-10</v>
      </c>
      <c r="I293" t="s">
        <v>1072</v>
      </c>
      <c r="J293">
        <v>2.06</v>
      </c>
    </row>
    <row r="294" spans="1:10" hidden="1">
      <c r="A294" t="s">
        <v>1185</v>
      </c>
      <c r="B294" t="s">
        <v>1186</v>
      </c>
      <c r="C294" t="s">
        <v>1066</v>
      </c>
      <c r="D294" t="s">
        <v>1179</v>
      </c>
      <c r="E294" t="s">
        <v>558</v>
      </c>
      <c r="F294" t="s">
        <v>1068</v>
      </c>
      <c r="G294" t="s">
        <v>1073</v>
      </c>
      <c r="H294" s="170">
        <v>-1.46077755596078E-7</v>
      </c>
      <c r="I294" t="s">
        <v>1074</v>
      </c>
      <c r="J294">
        <v>2.06</v>
      </c>
    </row>
    <row r="295" spans="1:10" hidden="1">
      <c r="A295" t="s">
        <v>1185</v>
      </c>
      <c r="B295" t="s">
        <v>1186</v>
      </c>
      <c r="C295" t="s">
        <v>1066</v>
      </c>
      <c r="D295" t="s">
        <v>1179</v>
      </c>
      <c r="E295" t="s">
        <v>558</v>
      </c>
      <c r="F295" t="s">
        <v>1068</v>
      </c>
      <c r="G295" t="s">
        <v>1075</v>
      </c>
      <c r="H295">
        <v>3.1847886736918102E-2</v>
      </c>
      <c r="I295" t="s">
        <v>1077</v>
      </c>
      <c r="J295">
        <v>2.06</v>
      </c>
    </row>
    <row r="296" spans="1:10" hidden="1">
      <c r="A296" t="s">
        <v>1185</v>
      </c>
      <c r="B296" t="s">
        <v>1186</v>
      </c>
      <c r="C296" t="s">
        <v>1066</v>
      </c>
      <c r="D296" t="s">
        <v>1179</v>
      </c>
      <c r="E296" t="s">
        <v>558</v>
      </c>
      <c r="F296" t="s">
        <v>1068</v>
      </c>
      <c r="G296" t="s">
        <v>1078</v>
      </c>
      <c r="H296">
        <v>-0.67687513618691098</v>
      </c>
      <c r="I296" t="s">
        <v>1079</v>
      </c>
      <c r="J296">
        <v>2.06</v>
      </c>
    </row>
    <row r="297" spans="1:10" hidden="1">
      <c r="A297" t="s">
        <v>1185</v>
      </c>
      <c r="B297" t="s">
        <v>1186</v>
      </c>
      <c r="C297" t="s">
        <v>1066</v>
      </c>
      <c r="D297" t="s">
        <v>1179</v>
      </c>
      <c r="E297" t="s">
        <v>558</v>
      </c>
      <c r="F297" t="s">
        <v>1068</v>
      </c>
      <c r="G297" t="s">
        <v>1080</v>
      </c>
      <c r="H297" s="171" t="s">
        <v>1187</v>
      </c>
      <c r="I297" t="s">
        <v>1082</v>
      </c>
      <c r="J297">
        <v>2.06</v>
      </c>
    </row>
    <row r="298" spans="1:10" hidden="1">
      <c r="A298" t="s">
        <v>1185</v>
      </c>
      <c r="B298" t="s">
        <v>1186</v>
      </c>
      <c r="C298" t="s">
        <v>1066</v>
      </c>
      <c r="D298" t="s">
        <v>1179</v>
      </c>
      <c r="E298" t="s">
        <v>558</v>
      </c>
      <c r="F298" t="s">
        <v>1068</v>
      </c>
      <c r="G298" t="s">
        <v>1083</v>
      </c>
      <c r="H298">
        <v>-3.2687955435262302E-4</v>
      </c>
      <c r="I298" t="s">
        <v>1084</v>
      </c>
      <c r="J298">
        <v>2.06</v>
      </c>
    </row>
    <row r="299" spans="1:10" hidden="1">
      <c r="A299" t="s">
        <v>1185</v>
      </c>
      <c r="B299" t="s">
        <v>1186</v>
      </c>
      <c r="C299" t="s">
        <v>1066</v>
      </c>
      <c r="D299" t="s">
        <v>1179</v>
      </c>
      <c r="E299" t="s">
        <v>558</v>
      </c>
      <c r="F299" t="s">
        <v>1068</v>
      </c>
      <c r="G299" t="s">
        <v>1085</v>
      </c>
      <c r="H299">
        <v>-8.0600363544413908E-3</v>
      </c>
      <c r="I299" t="s">
        <v>1086</v>
      </c>
      <c r="J299">
        <v>2.06</v>
      </c>
    </row>
    <row r="300" spans="1:10" hidden="1">
      <c r="A300" t="s">
        <v>1185</v>
      </c>
      <c r="B300" t="s">
        <v>1186</v>
      </c>
      <c r="C300" t="s">
        <v>1066</v>
      </c>
      <c r="D300" t="s">
        <v>1179</v>
      </c>
      <c r="E300" t="s">
        <v>558</v>
      </c>
      <c r="F300" t="s">
        <v>1068</v>
      </c>
      <c r="G300" t="s">
        <v>1087</v>
      </c>
      <c r="H300" s="170">
        <v>-2.5179079721846099E-5</v>
      </c>
      <c r="I300" t="s">
        <v>1088</v>
      </c>
      <c r="J300">
        <v>2.06</v>
      </c>
    </row>
    <row r="301" spans="1:10" hidden="1">
      <c r="A301" t="s">
        <v>1185</v>
      </c>
      <c r="B301" t="s">
        <v>1186</v>
      </c>
      <c r="C301" t="s">
        <v>1066</v>
      </c>
      <c r="D301" t="s">
        <v>1179</v>
      </c>
      <c r="E301" t="s">
        <v>558</v>
      </c>
      <c r="F301" t="s">
        <v>1068</v>
      </c>
      <c r="G301" t="s">
        <v>1089</v>
      </c>
      <c r="H301">
        <v>-1.92491188322762E-3</v>
      </c>
      <c r="I301" t="s">
        <v>1090</v>
      </c>
      <c r="J301">
        <v>2.06</v>
      </c>
    </row>
    <row r="302" spans="1:10" hidden="1">
      <c r="A302" t="s">
        <v>1188</v>
      </c>
      <c r="B302" t="s">
        <v>1189</v>
      </c>
      <c r="C302" t="s">
        <v>1066</v>
      </c>
      <c r="D302" t="s">
        <v>1179</v>
      </c>
      <c r="E302" t="s">
        <v>553</v>
      </c>
      <c r="F302" t="s">
        <v>1068</v>
      </c>
      <c r="G302" t="s">
        <v>1069</v>
      </c>
      <c r="H302">
        <v>-0.38015561467709003</v>
      </c>
      <c r="I302" t="s">
        <v>1070</v>
      </c>
      <c r="J302">
        <v>2.0299999999999998</v>
      </c>
    </row>
    <row r="303" spans="1:10" hidden="1">
      <c r="A303" t="s">
        <v>1188</v>
      </c>
      <c r="B303" t="s">
        <v>1189</v>
      </c>
      <c r="C303" t="s">
        <v>1066</v>
      </c>
      <c r="D303" t="s">
        <v>1179</v>
      </c>
      <c r="E303" t="s">
        <v>553</v>
      </c>
      <c r="F303" t="s">
        <v>1068</v>
      </c>
      <c r="G303" t="s">
        <v>1071</v>
      </c>
      <c r="H303" s="170">
        <v>-7.3065777658510703E-10</v>
      </c>
      <c r="I303" t="s">
        <v>1072</v>
      </c>
      <c r="J303">
        <v>2.0299999999999998</v>
      </c>
    </row>
    <row r="304" spans="1:10" hidden="1">
      <c r="A304" t="s">
        <v>1188</v>
      </c>
      <c r="B304" t="s">
        <v>1189</v>
      </c>
      <c r="C304" t="s">
        <v>1066</v>
      </c>
      <c r="D304" t="s">
        <v>1179</v>
      </c>
      <c r="E304" t="s">
        <v>553</v>
      </c>
      <c r="F304" t="s">
        <v>1068</v>
      </c>
      <c r="G304" t="s">
        <v>1073</v>
      </c>
      <c r="H304" s="170">
        <v>-1.4539979607324799E-7</v>
      </c>
      <c r="I304" t="s">
        <v>1074</v>
      </c>
      <c r="J304">
        <v>2.0299999999999998</v>
      </c>
    </row>
    <row r="305" spans="1:10" hidden="1">
      <c r="A305" t="s">
        <v>1188</v>
      </c>
      <c r="B305" t="s">
        <v>1189</v>
      </c>
      <c r="C305" t="s">
        <v>1066</v>
      </c>
      <c r="D305" t="s">
        <v>1179</v>
      </c>
      <c r="E305" t="s">
        <v>553</v>
      </c>
      <c r="F305" t="s">
        <v>1068</v>
      </c>
      <c r="G305" t="s">
        <v>1075</v>
      </c>
      <c r="H305">
        <v>3.1910139491713597E-2</v>
      </c>
      <c r="I305" t="s">
        <v>1077</v>
      </c>
      <c r="J305">
        <v>2.0299999999999998</v>
      </c>
    </row>
    <row r="306" spans="1:10" hidden="1">
      <c r="A306" t="s">
        <v>1188</v>
      </c>
      <c r="B306" t="s">
        <v>1189</v>
      </c>
      <c r="C306" t="s">
        <v>1066</v>
      </c>
      <c r="D306" t="s">
        <v>1179</v>
      </c>
      <c r="E306" t="s">
        <v>553</v>
      </c>
      <c r="F306" t="s">
        <v>1068</v>
      </c>
      <c r="G306" t="s">
        <v>1078</v>
      </c>
      <c r="H306">
        <v>-0.67346308962859802</v>
      </c>
      <c r="I306" t="s">
        <v>1079</v>
      </c>
      <c r="J306">
        <v>2.0299999999999998</v>
      </c>
    </row>
    <row r="307" spans="1:10" hidden="1">
      <c r="A307" t="s">
        <v>1188</v>
      </c>
      <c r="B307" t="s">
        <v>1189</v>
      </c>
      <c r="C307" t="s">
        <v>1066</v>
      </c>
      <c r="D307" t="s">
        <v>1179</v>
      </c>
      <c r="E307" t="s">
        <v>553</v>
      </c>
      <c r="F307" t="s">
        <v>1068</v>
      </c>
      <c r="G307" t="s">
        <v>1080</v>
      </c>
      <c r="H307" s="171" t="s">
        <v>1190</v>
      </c>
      <c r="I307" t="s">
        <v>1082</v>
      </c>
      <c r="J307">
        <v>2.0299999999999998</v>
      </c>
    </row>
    <row r="308" spans="1:10" hidden="1">
      <c r="A308" t="s">
        <v>1188</v>
      </c>
      <c r="B308" t="s">
        <v>1189</v>
      </c>
      <c r="C308" t="s">
        <v>1066</v>
      </c>
      <c r="D308" t="s">
        <v>1179</v>
      </c>
      <c r="E308" t="s">
        <v>553</v>
      </c>
      <c r="F308" t="s">
        <v>1068</v>
      </c>
      <c r="G308" t="s">
        <v>1083</v>
      </c>
      <c r="H308">
        <v>-3.2658951125700501E-4</v>
      </c>
      <c r="I308" t="s">
        <v>1084</v>
      </c>
      <c r="J308">
        <v>2.0299999999999998</v>
      </c>
    </row>
    <row r="309" spans="1:10" hidden="1">
      <c r="A309" t="s">
        <v>1188</v>
      </c>
      <c r="B309" t="s">
        <v>1189</v>
      </c>
      <c r="C309" t="s">
        <v>1066</v>
      </c>
      <c r="D309" t="s">
        <v>1179</v>
      </c>
      <c r="E309" t="s">
        <v>553</v>
      </c>
      <c r="F309" t="s">
        <v>1068</v>
      </c>
      <c r="G309" t="s">
        <v>1085</v>
      </c>
      <c r="H309">
        <v>-8.0567480947283908E-3</v>
      </c>
      <c r="I309" t="s">
        <v>1086</v>
      </c>
      <c r="J309">
        <v>2.0299999999999998</v>
      </c>
    </row>
    <row r="310" spans="1:10" hidden="1">
      <c r="A310" t="s">
        <v>1188</v>
      </c>
      <c r="B310" t="s">
        <v>1189</v>
      </c>
      <c r="C310" t="s">
        <v>1066</v>
      </c>
      <c r="D310" t="s">
        <v>1179</v>
      </c>
      <c r="E310" t="s">
        <v>553</v>
      </c>
      <c r="F310" t="s">
        <v>1068</v>
      </c>
      <c r="G310" t="s">
        <v>1087</v>
      </c>
      <c r="H310" s="170">
        <v>-2.5177404144124301E-5</v>
      </c>
      <c r="I310" t="s">
        <v>1088</v>
      </c>
      <c r="J310">
        <v>2.0299999999999998</v>
      </c>
    </row>
    <row r="311" spans="1:10" hidden="1">
      <c r="A311" t="s">
        <v>1188</v>
      </c>
      <c r="B311" t="s">
        <v>1189</v>
      </c>
      <c r="C311" t="s">
        <v>1066</v>
      </c>
      <c r="D311" t="s">
        <v>1179</v>
      </c>
      <c r="E311" t="s">
        <v>553</v>
      </c>
      <c r="F311" t="s">
        <v>1068</v>
      </c>
      <c r="G311" t="s">
        <v>1089</v>
      </c>
      <c r="H311">
        <v>-1.92423529588395E-3</v>
      </c>
      <c r="I311" t="s">
        <v>1090</v>
      </c>
      <c r="J311">
        <v>2.0299999999999998</v>
      </c>
    </row>
    <row r="312" spans="1:10" hidden="1">
      <c r="A312" t="s">
        <v>1191</v>
      </c>
      <c r="B312" t="s">
        <v>1192</v>
      </c>
      <c r="C312" t="s">
        <v>1066</v>
      </c>
      <c r="D312" t="s">
        <v>1179</v>
      </c>
      <c r="E312" t="s">
        <v>556</v>
      </c>
      <c r="F312" t="s">
        <v>1068</v>
      </c>
      <c r="G312" t="s">
        <v>1069</v>
      </c>
      <c r="H312">
        <v>-0.40358605608563902</v>
      </c>
      <c r="I312" t="s">
        <v>1070</v>
      </c>
      <c r="J312">
        <v>2.04</v>
      </c>
    </row>
    <row r="313" spans="1:10" hidden="1">
      <c r="A313" t="s">
        <v>1191</v>
      </c>
      <c r="B313" t="s">
        <v>1192</v>
      </c>
      <c r="C313" t="s">
        <v>1066</v>
      </c>
      <c r="D313" t="s">
        <v>1179</v>
      </c>
      <c r="E313" t="s">
        <v>556</v>
      </c>
      <c r="F313" t="s">
        <v>1068</v>
      </c>
      <c r="G313" t="s">
        <v>1071</v>
      </c>
      <c r="H313" s="170">
        <v>-7.64170941337172E-10</v>
      </c>
      <c r="I313" t="s">
        <v>1072</v>
      </c>
      <c r="J313">
        <v>2.04</v>
      </c>
    </row>
    <row r="314" spans="1:10" hidden="1">
      <c r="A314" t="s">
        <v>1191</v>
      </c>
      <c r="B314" t="s">
        <v>1192</v>
      </c>
      <c r="C314" t="s">
        <v>1066</v>
      </c>
      <c r="D314" t="s">
        <v>1179</v>
      </c>
      <c r="E314" t="s">
        <v>556</v>
      </c>
      <c r="F314" t="s">
        <v>1068</v>
      </c>
      <c r="G314" t="s">
        <v>1073</v>
      </c>
      <c r="H314" s="170">
        <v>-1.5372190306709999E-7</v>
      </c>
      <c r="I314" t="s">
        <v>1074</v>
      </c>
      <c r="J314">
        <v>2.04</v>
      </c>
    </row>
    <row r="315" spans="1:10" hidden="1">
      <c r="A315" t="s">
        <v>1191</v>
      </c>
      <c r="B315" t="s">
        <v>1192</v>
      </c>
      <c r="C315" t="s">
        <v>1066</v>
      </c>
      <c r="D315" t="s">
        <v>1179</v>
      </c>
      <c r="E315" t="s">
        <v>556</v>
      </c>
      <c r="F315" t="s">
        <v>1068</v>
      </c>
      <c r="G315" t="s">
        <v>1075</v>
      </c>
      <c r="H315">
        <v>3.1176507146508201E-2</v>
      </c>
      <c r="I315" t="s">
        <v>1077</v>
      </c>
      <c r="J315">
        <v>2.04</v>
      </c>
    </row>
    <row r="316" spans="1:10" hidden="1">
      <c r="A316" t="s">
        <v>1191</v>
      </c>
      <c r="B316" t="s">
        <v>1192</v>
      </c>
      <c r="C316" t="s">
        <v>1066</v>
      </c>
      <c r="D316" t="s">
        <v>1179</v>
      </c>
      <c r="E316" t="s">
        <v>556</v>
      </c>
      <c r="F316" t="s">
        <v>1068</v>
      </c>
      <c r="G316" t="s">
        <v>1078</v>
      </c>
      <c r="H316">
        <v>-0.70255982989445498</v>
      </c>
      <c r="I316" t="s">
        <v>1079</v>
      </c>
      <c r="J316">
        <v>2.04</v>
      </c>
    </row>
    <row r="317" spans="1:10" hidden="1">
      <c r="A317" t="s">
        <v>1191</v>
      </c>
      <c r="B317" t="s">
        <v>1192</v>
      </c>
      <c r="C317" t="s">
        <v>1066</v>
      </c>
      <c r="D317" t="s">
        <v>1179</v>
      </c>
      <c r="E317" t="s">
        <v>556</v>
      </c>
      <c r="F317" t="s">
        <v>1068</v>
      </c>
      <c r="G317" t="s">
        <v>1080</v>
      </c>
      <c r="H317" s="171" t="s">
        <v>1193</v>
      </c>
      <c r="I317" t="s">
        <v>1082</v>
      </c>
      <c r="J317">
        <v>2.04</v>
      </c>
    </row>
    <row r="318" spans="1:10" hidden="1">
      <c r="A318" t="s">
        <v>1191</v>
      </c>
      <c r="B318" t="s">
        <v>1192</v>
      </c>
      <c r="C318" t="s">
        <v>1066</v>
      </c>
      <c r="D318" t="s">
        <v>1179</v>
      </c>
      <c r="E318" t="s">
        <v>556</v>
      </c>
      <c r="F318" t="s">
        <v>1068</v>
      </c>
      <c r="G318" t="s">
        <v>1083</v>
      </c>
      <c r="H318">
        <v>-3.3015095143474699E-4</v>
      </c>
      <c r="I318" t="s">
        <v>1084</v>
      </c>
      <c r="J318">
        <v>2.04</v>
      </c>
    </row>
    <row r="319" spans="1:10" hidden="1">
      <c r="A319" t="s">
        <v>1191</v>
      </c>
      <c r="B319" t="s">
        <v>1192</v>
      </c>
      <c r="C319" t="s">
        <v>1066</v>
      </c>
      <c r="D319" t="s">
        <v>1179</v>
      </c>
      <c r="E319" t="s">
        <v>556</v>
      </c>
      <c r="F319" t="s">
        <v>1068</v>
      </c>
      <c r="G319" t="s">
        <v>1085</v>
      </c>
      <c r="H319">
        <v>-8.0969626271263397E-3</v>
      </c>
      <c r="I319" t="s">
        <v>1086</v>
      </c>
      <c r="J319">
        <v>2.04</v>
      </c>
    </row>
    <row r="320" spans="1:10" hidden="1">
      <c r="A320" t="s">
        <v>1191</v>
      </c>
      <c r="B320" t="s">
        <v>1192</v>
      </c>
      <c r="C320" t="s">
        <v>1066</v>
      </c>
      <c r="D320" t="s">
        <v>1179</v>
      </c>
      <c r="E320" t="s">
        <v>556</v>
      </c>
      <c r="F320" t="s">
        <v>1068</v>
      </c>
      <c r="G320" t="s">
        <v>1087</v>
      </c>
      <c r="H320" s="170">
        <v>-2.5196829726812699E-5</v>
      </c>
      <c r="I320" t="s">
        <v>1088</v>
      </c>
      <c r="J320">
        <v>2.04</v>
      </c>
    </row>
    <row r="321" spans="1:10" hidden="1">
      <c r="A321" t="s">
        <v>1191</v>
      </c>
      <c r="B321" t="s">
        <v>1192</v>
      </c>
      <c r="C321" t="s">
        <v>1066</v>
      </c>
      <c r="D321" t="s">
        <v>1179</v>
      </c>
      <c r="E321" t="s">
        <v>556</v>
      </c>
      <c r="F321" t="s">
        <v>1068</v>
      </c>
      <c r="G321" t="s">
        <v>1089</v>
      </c>
      <c r="H321">
        <v>-1.9325391115343499E-3</v>
      </c>
      <c r="I321" t="s">
        <v>1090</v>
      </c>
      <c r="J321">
        <v>2.04</v>
      </c>
    </row>
    <row r="322" spans="1:10" hidden="1">
      <c r="A322" t="s">
        <v>1194</v>
      </c>
      <c r="B322" t="s">
        <v>1195</v>
      </c>
      <c r="C322" t="s">
        <v>1066</v>
      </c>
      <c r="D322" t="s">
        <v>1179</v>
      </c>
      <c r="E322" t="s">
        <v>557</v>
      </c>
      <c r="F322" t="s">
        <v>1068</v>
      </c>
      <c r="G322" t="s">
        <v>1069</v>
      </c>
      <c r="H322">
        <v>-0.39011247821539902</v>
      </c>
      <c r="I322" t="s">
        <v>1070</v>
      </c>
      <c r="J322">
        <v>2.54</v>
      </c>
    </row>
    <row r="323" spans="1:10" hidden="1">
      <c r="A323" t="s">
        <v>1194</v>
      </c>
      <c r="B323" t="s">
        <v>1195</v>
      </c>
      <c r="C323" t="s">
        <v>1066</v>
      </c>
      <c r="D323" t="s">
        <v>1179</v>
      </c>
      <c r="E323" t="s">
        <v>557</v>
      </c>
      <c r="F323" t="s">
        <v>1068</v>
      </c>
      <c r="G323" t="s">
        <v>1071</v>
      </c>
      <c r="H323" s="170">
        <v>-7.4490904357209803E-10</v>
      </c>
      <c r="I323" t="s">
        <v>1072</v>
      </c>
      <c r="J323">
        <v>2.54</v>
      </c>
    </row>
    <row r="324" spans="1:10" hidden="1">
      <c r="A324" t="s">
        <v>1194</v>
      </c>
      <c r="B324" t="s">
        <v>1195</v>
      </c>
      <c r="C324" t="s">
        <v>1066</v>
      </c>
      <c r="D324" t="s">
        <v>1179</v>
      </c>
      <c r="E324" t="s">
        <v>557</v>
      </c>
      <c r="F324" t="s">
        <v>1068</v>
      </c>
      <c r="G324" t="s">
        <v>1073</v>
      </c>
      <c r="H324" s="170">
        <v>-1.4893624119223601E-7</v>
      </c>
      <c r="I324" t="s">
        <v>1074</v>
      </c>
      <c r="J324">
        <v>2.54</v>
      </c>
    </row>
    <row r="325" spans="1:10" hidden="1">
      <c r="A325" t="s">
        <v>1194</v>
      </c>
      <c r="B325" t="s">
        <v>1195</v>
      </c>
      <c r="C325" t="s">
        <v>1066</v>
      </c>
      <c r="D325" t="s">
        <v>1179</v>
      </c>
      <c r="E325" t="s">
        <v>557</v>
      </c>
      <c r="F325" t="s">
        <v>1068</v>
      </c>
      <c r="G325" t="s">
        <v>1075</v>
      </c>
      <c r="H325">
        <v>3.1593497721176103E-2</v>
      </c>
      <c r="I325" t="s">
        <v>1077</v>
      </c>
      <c r="J325">
        <v>2.54</v>
      </c>
    </row>
    <row r="326" spans="1:10" hidden="1">
      <c r="A326" t="s">
        <v>1194</v>
      </c>
      <c r="B326" t="s">
        <v>1195</v>
      </c>
      <c r="C326" t="s">
        <v>1066</v>
      </c>
      <c r="D326" t="s">
        <v>1179</v>
      </c>
      <c r="E326" t="s">
        <v>557</v>
      </c>
      <c r="F326" t="s">
        <v>1068</v>
      </c>
      <c r="G326" t="s">
        <v>1078</v>
      </c>
      <c r="H326">
        <v>-0.68787589850627195</v>
      </c>
      <c r="I326" t="s">
        <v>1079</v>
      </c>
      <c r="J326">
        <v>2.54</v>
      </c>
    </row>
    <row r="327" spans="1:10" hidden="1">
      <c r="A327" t="s">
        <v>1194</v>
      </c>
      <c r="B327" t="s">
        <v>1195</v>
      </c>
      <c r="C327" t="s">
        <v>1066</v>
      </c>
      <c r="D327" t="s">
        <v>1179</v>
      </c>
      <c r="E327" t="s">
        <v>557</v>
      </c>
      <c r="F327" t="s">
        <v>1068</v>
      </c>
      <c r="G327" t="s">
        <v>1080</v>
      </c>
      <c r="H327" s="171" t="s">
        <v>1196</v>
      </c>
      <c r="I327" t="s">
        <v>1082</v>
      </c>
      <c r="J327">
        <v>2.54</v>
      </c>
    </row>
    <row r="328" spans="1:10" hidden="1">
      <c r="A328" t="s">
        <v>1194</v>
      </c>
      <c r="B328" t="s">
        <v>1195</v>
      </c>
      <c r="C328" t="s">
        <v>1066</v>
      </c>
      <c r="D328" t="s">
        <v>1179</v>
      </c>
      <c r="E328" t="s">
        <v>557</v>
      </c>
      <c r="F328" t="s">
        <v>1068</v>
      </c>
      <c r="G328" t="s">
        <v>1083</v>
      </c>
      <c r="H328">
        <v>-3.28102774484563E-4</v>
      </c>
      <c r="I328" t="s">
        <v>1084</v>
      </c>
      <c r="J328">
        <v>2.54</v>
      </c>
    </row>
    <row r="329" spans="1:10" hidden="1">
      <c r="A329" t="s">
        <v>1194</v>
      </c>
      <c r="B329" t="s">
        <v>1195</v>
      </c>
      <c r="C329" t="s">
        <v>1066</v>
      </c>
      <c r="D329" t="s">
        <v>1179</v>
      </c>
      <c r="E329" t="s">
        <v>557</v>
      </c>
      <c r="F329" t="s">
        <v>1068</v>
      </c>
      <c r="G329" t="s">
        <v>1085</v>
      </c>
      <c r="H329">
        <v>-8.0738612245470597E-3</v>
      </c>
      <c r="I329" t="s">
        <v>1086</v>
      </c>
      <c r="J329">
        <v>2.54</v>
      </c>
    </row>
    <row r="330" spans="1:10" hidden="1">
      <c r="A330" t="s">
        <v>1194</v>
      </c>
      <c r="B330" t="s">
        <v>1195</v>
      </c>
      <c r="C330" t="s">
        <v>1066</v>
      </c>
      <c r="D330" t="s">
        <v>1179</v>
      </c>
      <c r="E330" t="s">
        <v>557</v>
      </c>
      <c r="F330" t="s">
        <v>1068</v>
      </c>
      <c r="G330" t="s">
        <v>1087</v>
      </c>
      <c r="H330" s="170">
        <v>-2.5185751667283701E-5</v>
      </c>
      <c r="I330" t="s">
        <v>1088</v>
      </c>
      <c r="J330">
        <v>2.54</v>
      </c>
    </row>
    <row r="331" spans="1:10" hidden="1">
      <c r="A331" t="s">
        <v>1194</v>
      </c>
      <c r="B331" t="s">
        <v>1195</v>
      </c>
      <c r="C331" t="s">
        <v>1066</v>
      </c>
      <c r="D331" t="s">
        <v>1179</v>
      </c>
      <c r="E331" t="s">
        <v>557</v>
      </c>
      <c r="F331" t="s">
        <v>1068</v>
      </c>
      <c r="G331" t="s">
        <v>1089</v>
      </c>
      <c r="H331">
        <v>-1.9277639266299499E-3</v>
      </c>
      <c r="I331" t="s">
        <v>1090</v>
      </c>
      <c r="J331">
        <v>2.54</v>
      </c>
    </row>
    <row r="332" spans="1:10" hidden="1">
      <c r="A332" t="s">
        <v>1197</v>
      </c>
      <c r="B332" t="s">
        <v>1198</v>
      </c>
      <c r="C332" t="s">
        <v>1066</v>
      </c>
      <c r="D332" t="s">
        <v>1179</v>
      </c>
      <c r="E332" t="s">
        <v>559</v>
      </c>
      <c r="F332" t="s">
        <v>1068</v>
      </c>
      <c r="G332" t="s">
        <v>1069</v>
      </c>
      <c r="H332">
        <v>-0.396621553496321</v>
      </c>
      <c r="I332" t="s">
        <v>1070</v>
      </c>
      <c r="J332">
        <v>2.04</v>
      </c>
    </row>
    <row r="333" spans="1:10" hidden="1">
      <c r="A333" t="s">
        <v>1197</v>
      </c>
      <c r="B333" t="s">
        <v>1198</v>
      </c>
      <c r="C333" t="s">
        <v>1066</v>
      </c>
      <c r="D333" t="s">
        <v>1179</v>
      </c>
      <c r="E333" t="s">
        <v>559</v>
      </c>
      <c r="F333" t="s">
        <v>1068</v>
      </c>
      <c r="G333" t="s">
        <v>1071</v>
      </c>
      <c r="H333" s="170">
        <v>-7.54220722366322E-10</v>
      </c>
      <c r="I333" t="s">
        <v>1072</v>
      </c>
      <c r="J333">
        <v>2.04</v>
      </c>
    </row>
    <row r="334" spans="1:10" hidden="1">
      <c r="A334" t="s">
        <v>1197</v>
      </c>
      <c r="B334" t="s">
        <v>1198</v>
      </c>
      <c r="C334" t="s">
        <v>1066</v>
      </c>
      <c r="D334" t="s">
        <v>1179</v>
      </c>
      <c r="E334" t="s">
        <v>559</v>
      </c>
      <c r="F334" t="s">
        <v>1068</v>
      </c>
      <c r="G334" t="s">
        <v>1073</v>
      </c>
      <c r="H334" s="170">
        <v>-1.5124854964323199E-7</v>
      </c>
      <c r="I334" t="s">
        <v>1074</v>
      </c>
      <c r="J334">
        <v>2.04</v>
      </c>
    </row>
    <row r="335" spans="1:10" hidden="1">
      <c r="A335" t="s">
        <v>1197</v>
      </c>
      <c r="B335" t="s">
        <v>1198</v>
      </c>
      <c r="C335" t="s">
        <v>1066</v>
      </c>
      <c r="D335" t="s">
        <v>1179</v>
      </c>
      <c r="E335" t="s">
        <v>559</v>
      </c>
      <c r="F335" t="s">
        <v>1068</v>
      </c>
      <c r="G335" t="s">
        <v>1075</v>
      </c>
      <c r="H335" s="171" t="s">
        <v>1199</v>
      </c>
      <c r="I335" t="s">
        <v>1077</v>
      </c>
      <c r="J335">
        <v>2.04</v>
      </c>
    </row>
    <row r="336" spans="1:10" hidden="1">
      <c r="A336" t="s">
        <v>1197</v>
      </c>
      <c r="B336" t="s">
        <v>1198</v>
      </c>
      <c r="C336" t="s">
        <v>1066</v>
      </c>
      <c r="D336" t="s">
        <v>1179</v>
      </c>
      <c r="E336" t="s">
        <v>559</v>
      </c>
      <c r="F336" t="s">
        <v>1068</v>
      </c>
      <c r="G336" t="s">
        <v>1078</v>
      </c>
      <c r="H336">
        <v>-0.69597177323902804</v>
      </c>
      <c r="I336" t="s">
        <v>1079</v>
      </c>
      <c r="J336">
        <v>2.04</v>
      </c>
    </row>
    <row r="337" spans="1:10" hidden="1">
      <c r="A337" t="s">
        <v>1197</v>
      </c>
      <c r="B337" t="s">
        <v>1198</v>
      </c>
      <c r="C337" t="s">
        <v>1066</v>
      </c>
      <c r="D337" t="s">
        <v>1179</v>
      </c>
      <c r="E337" t="s">
        <v>559</v>
      </c>
      <c r="F337" t="s">
        <v>1068</v>
      </c>
      <c r="G337" t="s">
        <v>1080</v>
      </c>
      <c r="H337" s="171" t="s">
        <v>1200</v>
      </c>
      <c r="I337" t="s">
        <v>1082</v>
      </c>
      <c r="J337">
        <v>2.04</v>
      </c>
    </row>
    <row r="338" spans="1:10" hidden="1">
      <c r="A338" t="s">
        <v>1197</v>
      </c>
      <c r="B338" t="s">
        <v>1198</v>
      </c>
      <c r="C338" t="s">
        <v>1066</v>
      </c>
      <c r="D338" t="s">
        <v>1179</v>
      </c>
      <c r="E338" t="s">
        <v>559</v>
      </c>
      <c r="F338" t="s">
        <v>1068</v>
      </c>
      <c r="G338" t="s">
        <v>1083</v>
      </c>
      <c r="H338">
        <v>-3.29092344618589E-4</v>
      </c>
      <c r="I338" t="s">
        <v>1084</v>
      </c>
      <c r="J338">
        <v>2.04</v>
      </c>
    </row>
    <row r="339" spans="1:10" hidden="1">
      <c r="A339" t="s">
        <v>1197</v>
      </c>
      <c r="B339" t="s">
        <v>1198</v>
      </c>
      <c r="C339" t="s">
        <v>1066</v>
      </c>
      <c r="D339" t="s">
        <v>1179</v>
      </c>
      <c r="E339" t="s">
        <v>559</v>
      </c>
      <c r="F339" t="s">
        <v>1068</v>
      </c>
      <c r="G339" t="s">
        <v>1085</v>
      </c>
      <c r="H339">
        <v>-8.0850351913976902E-3</v>
      </c>
      <c r="I339" t="s">
        <v>1086</v>
      </c>
      <c r="J339">
        <v>2.04</v>
      </c>
    </row>
    <row r="340" spans="1:10" hidden="1">
      <c r="A340" t="s">
        <v>1197</v>
      </c>
      <c r="B340" t="s">
        <v>1198</v>
      </c>
      <c r="C340" t="s">
        <v>1066</v>
      </c>
      <c r="D340" t="s">
        <v>1179</v>
      </c>
      <c r="E340" t="s">
        <v>559</v>
      </c>
      <c r="F340" t="s">
        <v>1068</v>
      </c>
      <c r="G340" t="s">
        <v>1087</v>
      </c>
      <c r="H340" s="170">
        <v>-2.5191055626136201E-5</v>
      </c>
      <c r="I340" t="s">
        <v>1088</v>
      </c>
      <c r="J340">
        <v>2.04</v>
      </c>
    </row>
    <row r="341" spans="1:10" hidden="1">
      <c r="A341" t="s">
        <v>1197</v>
      </c>
      <c r="B341" t="s">
        <v>1198</v>
      </c>
      <c r="C341" t="s">
        <v>1066</v>
      </c>
      <c r="D341" t="s">
        <v>1179</v>
      </c>
      <c r="E341" t="s">
        <v>559</v>
      </c>
      <c r="F341" t="s">
        <v>1068</v>
      </c>
      <c r="G341" t="s">
        <v>1089</v>
      </c>
      <c r="H341">
        <v>-1.9300708680672701E-3</v>
      </c>
      <c r="I341" t="s">
        <v>1090</v>
      </c>
      <c r="J341">
        <v>2.04</v>
      </c>
    </row>
    <row r="342" spans="1:10" hidden="1">
      <c r="A342" t="s">
        <v>1201</v>
      </c>
      <c r="B342" t="s">
        <v>1202</v>
      </c>
      <c r="C342" t="s">
        <v>1066</v>
      </c>
      <c r="D342" t="s">
        <v>1179</v>
      </c>
      <c r="E342" t="s">
        <v>560</v>
      </c>
      <c r="F342" t="s">
        <v>1068</v>
      </c>
      <c r="G342" t="s">
        <v>1069</v>
      </c>
      <c r="H342">
        <v>-0.39440446039621102</v>
      </c>
      <c r="I342" t="s">
        <v>1070</v>
      </c>
      <c r="J342">
        <v>2.0499999999999998</v>
      </c>
    </row>
    <row r="343" spans="1:10" hidden="1">
      <c r="A343" t="s">
        <v>1201</v>
      </c>
      <c r="B343" t="s">
        <v>1202</v>
      </c>
      <c r="C343" t="s">
        <v>1066</v>
      </c>
      <c r="D343" t="s">
        <v>1179</v>
      </c>
      <c r="E343" t="s">
        <v>560</v>
      </c>
      <c r="F343" t="s">
        <v>1068</v>
      </c>
      <c r="G343" t="s">
        <v>1071</v>
      </c>
      <c r="H343" s="170">
        <v>-7.5105091890222397E-10</v>
      </c>
      <c r="I343" t="s">
        <v>1072</v>
      </c>
      <c r="J343">
        <v>2.0499999999999998</v>
      </c>
    </row>
    <row r="344" spans="1:10" hidden="1">
      <c r="A344" t="s">
        <v>1201</v>
      </c>
      <c r="B344" t="s">
        <v>1202</v>
      </c>
      <c r="C344" t="s">
        <v>1066</v>
      </c>
      <c r="D344" t="s">
        <v>1179</v>
      </c>
      <c r="E344" t="s">
        <v>560</v>
      </c>
      <c r="F344" t="s">
        <v>1068</v>
      </c>
      <c r="G344" t="s">
        <v>1073</v>
      </c>
      <c r="H344" s="170">
        <v>-1.5046076684351899E-7</v>
      </c>
      <c r="I344" t="s">
        <v>1074</v>
      </c>
      <c r="J344">
        <v>2.0499999999999998</v>
      </c>
    </row>
    <row r="345" spans="1:10" hidden="1">
      <c r="A345" t="s">
        <v>1201</v>
      </c>
      <c r="B345" t="s">
        <v>1202</v>
      </c>
      <c r="C345" t="s">
        <v>1066</v>
      </c>
      <c r="D345" t="s">
        <v>1179</v>
      </c>
      <c r="E345" t="s">
        <v>560</v>
      </c>
      <c r="F345" t="s">
        <v>1068</v>
      </c>
      <c r="G345" t="s">
        <v>1075</v>
      </c>
      <c r="H345">
        <v>3.1457823579447097E-2</v>
      </c>
      <c r="I345" t="s">
        <v>1077</v>
      </c>
      <c r="J345">
        <v>2.0499999999999998</v>
      </c>
    </row>
    <row r="346" spans="1:10" hidden="1">
      <c r="A346" t="s">
        <v>1201</v>
      </c>
      <c r="B346" t="s">
        <v>1202</v>
      </c>
      <c r="C346" t="s">
        <v>1066</v>
      </c>
      <c r="D346" t="s">
        <v>1179</v>
      </c>
      <c r="E346" t="s">
        <v>560</v>
      </c>
      <c r="F346" t="s">
        <v>1068</v>
      </c>
      <c r="G346" t="s">
        <v>1078</v>
      </c>
      <c r="H346">
        <v>-0.69374297174326505</v>
      </c>
      <c r="I346" t="s">
        <v>1079</v>
      </c>
      <c r="J346">
        <v>2.0499999999999998</v>
      </c>
    </row>
    <row r="347" spans="1:10" hidden="1">
      <c r="A347" t="s">
        <v>1201</v>
      </c>
      <c r="B347" t="s">
        <v>1202</v>
      </c>
      <c r="C347" t="s">
        <v>1066</v>
      </c>
      <c r="D347" t="s">
        <v>1179</v>
      </c>
      <c r="E347" t="s">
        <v>560</v>
      </c>
      <c r="F347" t="s">
        <v>1068</v>
      </c>
      <c r="G347" t="s">
        <v>1080</v>
      </c>
      <c r="H347" s="171" t="s">
        <v>1203</v>
      </c>
      <c r="I347" t="s">
        <v>1082</v>
      </c>
      <c r="J347">
        <v>2.0499999999999998</v>
      </c>
    </row>
    <row r="348" spans="1:10" hidden="1">
      <c r="A348" t="s">
        <v>1201</v>
      </c>
      <c r="B348" t="s">
        <v>1202</v>
      </c>
      <c r="C348" t="s">
        <v>1066</v>
      </c>
      <c r="D348" t="s">
        <v>1179</v>
      </c>
      <c r="E348" t="s">
        <v>560</v>
      </c>
      <c r="F348" t="s">
        <v>1068</v>
      </c>
      <c r="G348" t="s">
        <v>1083</v>
      </c>
      <c r="H348">
        <v>-3.2875515855493098E-4</v>
      </c>
      <c r="I348" t="s">
        <v>1084</v>
      </c>
      <c r="J348">
        <v>2.0499999999999998</v>
      </c>
    </row>
    <row r="349" spans="1:10" hidden="1">
      <c r="A349" t="s">
        <v>1201</v>
      </c>
      <c r="B349" t="s">
        <v>1202</v>
      </c>
      <c r="C349" t="s">
        <v>1066</v>
      </c>
      <c r="D349" t="s">
        <v>1179</v>
      </c>
      <c r="E349" t="s">
        <v>560</v>
      </c>
      <c r="F349" t="s">
        <v>1068</v>
      </c>
      <c r="G349" t="s">
        <v>1085</v>
      </c>
      <c r="H349">
        <v>-8.0812344886034108E-3</v>
      </c>
      <c r="I349" t="s">
        <v>1086</v>
      </c>
      <c r="J349">
        <v>2.0499999999999998</v>
      </c>
    </row>
    <row r="350" spans="1:10" hidden="1">
      <c r="A350" t="s">
        <v>1201</v>
      </c>
      <c r="B350" t="s">
        <v>1202</v>
      </c>
      <c r="C350" t="s">
        <v>1066</v>
      </c>
      <c r="D350" t="s">
        <v>1179</v>
      </c>
      <c r="E350" t="s">
        <v>560</v>
      </c>
      <c r="F350" t="s">
        <v>1068</v>
      </c>
      <c r="G350" t="s">
        <v>1087</v>
      </c>
      <c r="H350" s="170">
        <v>-2.51893100381837E-5</v>
      </c>
      <c r="I350" t="s">
        <v>1088</v>
      </c>
      <c r="J350">
        <v>2.0499999999999998</v>
      </c>
    </row>
    <row r="351" spans="1:10" hidden="1">
      <c r="A351" t="s">
        <v>1201</v>
      </c>
      <c r="B351" t="s">
        <v>1202</v>
      </c>
      <c r="C351" t="s">
        <v>1066</v>
      </c>
      <c r="D351" t="s">
        <v>1179</v>
      </c>
      <c r="E351" t="s">
        <v>560</v>
      </c>
      <c r="F351" t="s">
        <v>1068</v>
      </c>
      <c r="G351" t="s">
        <v>1089</v>
      </c>
      <c r="H351">
        <v>-1.92928501644452E-3</v>
      </c>
      <c r="I351" t="s">
        <v>1090</v>
      </c>
      <c r="J351">
        <v>2.0499999999999998</v>
      </c>
    </row>
    <row r="352" spans="1:10" hidden="1">
      <c r="A352" t="s">
        <v>1204</v>
      </c>
      <c r="B352" t="s">
        <v>1205</v>
      </c>
      <c r="C352" t="s">
        <v>1066</v>
      </c>
      <c r="D352" t="s">
        <v>1179</v>
      </c>
      <c r="E352" t="s">
        <v>1116</v>
      </c>
      <c r="F352" t="s">
        <v>1068</v>
      </c>
      <c r="G352" t="s">
        <v>1069</v>
      </c>
      <c r="H352">
        <v>-0.38137786285327002</v>
      </c>
      <c r="I352" t="s">
        <v>1070</v>
      </c>
      <c r="J352">
        <v>2.0499999999999998</v>
      </c>
    </row>
    <row r="353" spans="1:10" hidden="1">
      <c r="A353" t="s">
        <v>1204</v>
      </c>
      <c r="B353" t="s">
        <v>1205</v>
      </c>
      <c r="C353" t="s">
        <v>1066</v>
      </c>
      <c r="D353" t="s">
        <v>1179</v>
      </c>
      <c r="E353" t="s">
        <v>1116</v>
      </c>
      <c r="F353" t="s">
        <v>1068</v>
      </c>
      <c r="G353" t="s">
        <v>1071</v>
      </c>
      <c r="H353" s="170">
        <v>-7.3240970961608005E-10</v>
      </c>
      <c r="I353" t="s">
        <v>1072</v>
      </c>
      <c r="J353">
        <v>2.0499999999999998</v>
      </c>
    </row>
    <row r="354" spans="1:10" hidden="1">
      <c r="A354" t="s">
        <v>1204</v>
      </c>
      <c r="B354" t="s">
        <v>1205</v>
      </c>
      <c r="C354" t="s">
        <v>1066</v>
      </c>
      <c r="D354" t="s">
        <v>1179</v>
      </c>
      <c r="E354" t="s">
        <v>1116</v>
      </c>
      <c r="F354" t="s">
        <v>1068</v>
      </c>
      <c r="G354" t="s">
        <v>1073</v>
      </c>
      <c r="H354" s="170">
        <v>-1.4583367817759701E-7</v>
      </c>
      <c r="I354" t="s">
        <v>1074</v>
      </c>
      <c r="J354">
        <v>2.0499999999999998</v>
      </c>
    </row>
    <row r="355" spans="1:10" hidden="1">
      <c r="A355" t="s">
        <v>1204</v>
      </c>
      <c r="B355" t="s">
        <v>1205</v>
      </c>
      <c r="C355" t="s">
        <v>1066</v>
      </c>
      <c r="D355" t="s">
        <v>1179</v>
      </c>
      <c r="E355" t="s">
        <v>1116</v>
      </c>
      <c r="F355" t="s">
        <v>1068</v>
      </c>
      <c r="G355" t="s">
        <v>1075</v>
      </c>
      <c r="H355" s="171" t="s">
        <v>1206</v>
      </c>
      <c r="I355" t="s">
        <v>1077</v>
      </c>
      <c r="J355">
        <v>2.0499999999999998</v>
      </c>
    </row>
    <row r="356" spans="1:10" hidden="1">
      <c r="A356" t="s">
        <v>1204</v>
      </c>
      <c r="B356" t="s">
        <v>1205</v>
      </c>
      <c r="C356" t="s">
        <v>1066</v>
      </c>
      <c r="D356" t="s">
        <v>1179</v>
      </c>
      <c r="E356" t="s">
        <v>1116</v>
      </c>
      <c r="F356" t="s">
        <v>1068</v>
      </c>
      <c r="G356" t="s">
        <v>1078</v>
      </c>
      <c r="H356">
        <v>-0.67593581444561202</v>
      </c>
      <c r="I356" t="s">
        <v>1079</v>
      </c>
      <c r="J356">
        <v>2.0499999999999998</v>
      </c>
    </row>
    <row r="357" spans="1:10" hidden="1">
      <c r="A357" t="s">
        <v>1204</v>
      </c>
      <c r="B357" t="s">
        <v>1205</v>
      </c>
      <c r="C357" t="s">
        <v>1066</v>
      </c>
      <c r="D357" t="s">
        <v>1179</v>
      </c>
      <c r="E357" t="s">
        <v>1116</v>
      </c>
      <c r="F357" t="s">
        <v>1068</v>
      </c>
      <c r="G357" t="s">
        <v>1080</v>
      </c>
      <c r="H357" s="171" t="s">
        <v>1207</v>
      </c>
      <c r="I357" t="s">
        <v>1082</v>
      </c>
      <c r="J357">
        <v>2.0499999999999998</v>
      </c>
    </row>
    <row r="358" spans="1:10" hidden="1">
      <c r="A358" t="s">
        <v>1204</v>
      </c>
      <c r="B358" t="s">
        <v>1205</v>
      </c>
      <c r="C358" t="s">
        <v>1066</v>
      </c>
      <c r="D358" t="s">
        <v>1179</v>
      </c>
      <c r="E358" t="s">
        <v>1116</v>
      </c>
      <c r="F358" t="s">
        <v>1068</v>
      </c>
      <c r="G358" t="s">
        <v>1083</v>
      </c>
      <c r="H358">
        <v>-3.2677510729423102E-4</v>
      </c>
      <c r="I358" t="s">
        <v>1084</v>
      </c>
      <c r="J358">
        <v>2.0499999999999998</v>
      </c>
    </row>
    <row r="359" spans="1:10" hidden="1">
      <c r="A359" t="s">
        <v>1204</v>
      </c>
      <c r="B359" t="s">
        <v>1205</v>
      </c>
      <c r="C359" t="s">
        <v>1066</v>
      </c>
      <c r="D359" t="s">
        <v>1179</v>
      </c>
      <c r="E359" t="s">
        <v>1116</v>
      </c>
      <c r="F359" t="s">
        <v>1068</v>
      </c>
      <c r="G359" t="s">
        <v>1085</v>
      </c>
      <c r="H359">
        <v>-8.0588558906986192E-3</v>
      </c>
      <c r="I359" t="s">
        <v>1086</v>
      </c>
      <c r="J359">
        <v>2.0499999999999998</v>
      </c>
    </row>
    <row r="360" spans="1:10" hidden="1">
      <c r="A360" t="s">
        <v>1204</v>
      </c>
      <c r="B360" t="s">
        <v>1205</v>
      </c>
      <c r="C360" t="s">
        <v>1066</v>
      </c>
      <c r="D360" t="s">
        <v>1179</v>
      </c>
      <c r="E360" t="s">
        <v>1116</v>
      </c>
      <c r="F360" t="s">
        <v>1068</v>
      </c>
      <c r="G360" t="s">
        <v>1087</v>
      </c>
      <c r="H360" s="170">
        <v>-2.51785100246539E-5</v>
      </c>
      <c r="I360" t="s">
        <v>1088</v>
      </c>
      <c r="J360">
        <v>2.0499999999999998</v>
      </c>
    </row>
    <row r="361" spans="1:10" hidden="1">
      <c r="A361" t="s">
        <v>1204</v>
      </c>
      <c r="B361" t="s">
        <v>1205</v>
      </c>
      <c r="C361" t="s">
        <v>1066</v>
      </c>
      <c r="D361" t="s">
        <v>1179</v>
      </c>
      <c r="E361" t="s">
        <v>1116</v>
      </c>
      <c r="F361" t="s">
        <v>1068</v>
      </c>
      <c r="G361" t="s">
        <v>1089</v>
      </c>
      <c r="H361">
        <v>-1.9246683558885899E-3</v>
      </c>
      <c r="I361" t="s">
        <v>1090</v>
      </c>
      <c r="J361">
        <v>2.0499999999999998</v>
      </c>
    </row>
    <row r="362" spans="1:10" hidden="1">
      <c r="A362" t="s">
        <v>1208</v>
      </c>
      <c r="B362" t="s">
        <v>1209</v>
      </c>
      <c r="C362" t="s">
        <v>1066</v>
      </c>
      <c r="D362" t="s">
        <v>1210</v>
      </c>
      <c r="E362" t="s">
        <v>561</v>
      </c>
      <c r="F362" t="s">
        <v>1068</v>
      </c>
      <c r="G362" t="s">
        <v>1069</v>
      </c>
      <c r="H362">
        <v>-0.356871692838438</v>
      </c>
      <c r="I362" t="s">
        <v>1070</v>
      </c>
      <c r="J362">
        <v>2.04</v>
      </c>
    </row>
    <row r="363" spans="1:10" hidden="1">
      <c r="A363" t="s">
        <v>1208</v>
      </c>
      <c r="B363" t="s">
        <v>1209</v>
      </c>
      <c r="C363" t="s">
        <v>1066</v>
      </c>
      <c r="D363" t="s">
        <v>1210</v>
      </c>
      <c r="E363" t="s">
        <v>561</v>
      </c>
      <c r="F363" t="s">
        <v>1068</v>
      </c>
      <c r="G363" t="s">
        <v>1071</v>
      </c>
      <c r="H363" s="170">
        <v>-6.7809761417435597E-10</v>
      </c>
      <c r="I363" t="s">
        <v>1072</v>
      </c>
      <c r="J363">
        <v>2.04</v>
      </c>
    </row>
    <row r="364" spans="1:10" hidden="1">
      <c r="A364" t="s">
        <v>1208</v>
      </c>
      <c r="B364" t="s">
        <v>1209</v>
      </c>
      <c r="C364" t="s">
        <v>1066</v>
      </c>
      <c r="D364" t="s">
        <v>1210</v>
      </c>
      <c r="E364" t="s">
        <v>561</v>
      </c>
      <c r="F364" t="s">
        <v>1068</v>
      </c>
      <c r="G364" t="s">
        <v>1073</v>
      </c>
      <c r="H364" s="170">
        <v>-1.3543733886292501E-7</v>
      </c>
      <c r="I364" t="s">
        <v>1074</v>
      </c>
      <c r="J364">
        <v>2.04</v>
      </c>
    </row>
    <row r="365" spans="1:10" hidden="1">
      <c r="A365" t="s">
        <v>1208</v>
      </c>
      <c r="B365" t="s">
        <v>1209</v>
      </c>
      <c r="C365" t="s">
        <v>1066</v>
      </c>
      <c r="D365" t="s">
        <v>1210</v>
      </c>
      <c r="E365" t="s">
        <v>561</v>
      </c>
      <c r="F365" t="s">
        <v>1068</v>
      </c>
      <c r="G365" t="s">
        <v>1075</v>
      </c>
      <c r="H365" s="171" t="s">
        <v>1211</v>
      </c>
      <c r="I365" t="s">
        <v>1077</v>
      </c>
      <c r="J365">
        <v>2.04</v>
      </c>
    </row>
    <row r="366" spans="1:10" hidden="1">
      <c r="A366" t="s">
        <v>1208</v>
      </c>
      <c r="B366" t="s">
        <v>1209</v>
      </c>
      <c r="C366" t="s">
        <v>1066</v>
      </c>
      <c r="D366" t="s">
        <v>1210</v>
      </c>
      <c r="E366" t="s">
        <v>561</v>
      </c>
      <c r="F366" t="s">
        <v>1068</v>
      </c>
      <c r="G366" t="s">
        <v>1078</v>
      </c>
      <c r="H366">
        <v>-0.49950497126607302</v>
      </c>
      <c r="I366" t="s">
        <v>1079</v>
      </c>
      <c r="J366">
        <v>2.04</v>
      </c>
    </row>
    <row r="367" spans="1:10" hidden="1">
      <c r="A367" t="s">
        <v>1208</v>
      </c>
      <c r="B367" t="s">
        <v>1209</v>
      </c>
      <c r="C367" t="s">
        <v>1066</v>
      </c>
      <c r="D367" t="s">
        <v>1210</v>
      </c>
      <c r="E367" t="s">
        <v>561</v>
      </c>
      <c r="F367" t="s">
        <v>1068</v>
      </c>
      <c r="G367" t="s">
        <v>1080</v>
      </c>
      <c r="H367" s="171" t="s">
        <v>1212</v>
      </c>
      <c r="I367" t="s">
        <v>1082</v>
      </c>
      <c r="J367">
        <v>2.04</v>
      </c>
    </row>
    <row r="368" spans="1:10" hidden="1">
      <c r="A368" t="s">
        <v>1208</v>
      </c>
      <c r="B368" t="s">
        <v>1209</v>
      </c>
      <c r="C368" t="s">
        <v>1066</v>
      </c>
      <c r="D368" t="s">
        <v>1210</v>
      </c>
      <c r="E368" t="s">
        <v>561</v>
      </c>
      <c r="F368" t="s">
        <v>1068</v>
      </c>
      <c r="G368" t="s">
        <v>1083</v>
      </c>
      <c r="H368">
        <v>-2.0199192050118599E-4</v>
      </c>
      <c r="I368" t="s">
        <v>1084</v>
      </c>
      <c r="J368">
        <v>2.04</v>
      </c>
    </row>
    <row r="369" spans="1:10" hidden="1">
      <c r="A369" t="s">
        <v>1208</v>
      </c>
      <c r="B369" t="s">
        <v>1209</v>
      </c>
      <c r="C369" t="s">
        <v>1066</v>
      </c>
      <c r="D369" t="s">
        <v>1210</v>
      </c>
      <c r="E369" t="s">
        <v>561</v>
      </c>
      <c r="F369" t="s">
        <v>1068</v>
      </c>
      <c r="G369" t="s">
        <v>1085</v>
      </c>
      <c r="H369">
        <v>-4.7070125012046602E-3</v>
      </c>
      <c r="I369" t="s">
        <v>1086</v>
      </c>
      <c r="J369">
        <v>2.04</v>
      </c>
    </row>
    <row r="370" spans="1:10" hidden="1">
      <c r="A370" t="s">
        <v>1208</v>
      </c>
      <c r="B370" t="s">
        <v>1209</v>
      </c>
      <c r="C370" t="s">
        <v>1066</v>
      </c>
      <c r="D370" t="s">
        <v>1210</v>
      </c>
      <c r="E370" t="s">
        <v>561</v>
      </c>
      <c r="F370" t="s">
        <v>1068</v>
      </c>
      <c r="G370" t="s">
        <v>1087</v>
      </c>
      <c r="H370" s="170">
        <v>-4.43496822228874E-6</v>
      </c>
      <c r="I370" t="s">
        <v>1088</v>
      </c>
      <c r="J370">
        <v>2.04</v>
      </c>
    </row>
    <row r="371" spans="1:10" hidden="1">
      <c r="A371" t="s">
        <v>1208</v>
      </c>
      <c r="B371" t="s">
        <v>1209</v>
      </c>
      <c r="C371" t="s">
        <v>1066</v>
      </c>
      <c r="D371" t="s">
        <v>1210</v>
      </c>
      <c r="E371" t="s">
        <v>561</v>
      </c>
      <c r="F371" t="s">
        <v>1068</v>
      </c>
      <c r="G371" t="s">
        <v>1089</v>
      </c>
      <c r="H371">
        <v>-1.1226235883193699E-3</v>
      </c>
      <c r="I371" t="s">
        <v>1090</v>
      </c>
      <c r="J371">
        <v>2.04</v>
      </c>
    </row>
    <row r="372" spans="1:10" hidden="1">
      <c r="A372" t="s">
        <v>1213</v>
      </c>
      <c r="B372" t="s">
        <v>1214</v>
      </c>
      <c r="C372" t="s">
        <v>1066</v>
      </c>
      <c r="D372" t="s">
        <v>1210</v>
      </c>
      <c r="E372" t="s">
        <v>555</v>
      </c>
      <c r="F372" t="s">
        <v>1068</v>
      </c>
      <c r="G372" t="s">
        <v>1069</v>
      </c>
      <c r="H372">
        <v>-0.37615587223756702</v>
      </c>
      <c r="I372" t="s">
        <v>1070</v>
      </c>
      <c r="J372">
        <v>7.24</v>
      </c>
    </row>
    <row r="373" spans="1:10" hidden="1">
      <c r="A373" t="s">
        <v>1213</v>
      </c>
      <c r="B373" t="s">
        <v>1214</v>
      </c>
      <c r="C373" t="s">
        <v>1066</v>
      </c>
      <c r="D373" t="s">
        <v>1210</v>
      </c>
      <c r="E373" t="s">
        <v>555</v>
      </c>
      <c r="F373" t="s">
        <v>1068</v>
      </c>
      <c r="G373" t="s">
        <v>1071</v>
      </c>
      <c r="H373" s="170">
        <v>-7.0569061230266796E-10</v>
      </c>
      <c r="I373" t="s">
        <v>1072</v>
      </c>
      <c r="J373">
        <v>7.24</v>
      </c>
    </row>
    <row r="374" spans="1:10" hidden="1">
      <c r="A374" t="s">
        <v>1213</v>
      </c>
      <c r="B374" t="s">
        <v>1214</v>
      </c>
      <c r="C374" t="s">
        <v>1066</v>
      </c>
      <c r="D374" t="s">
        <v>1210</v>
      </c>
      <c r="E374" t="s">
        <v>555</v>
      </c>
      <c r="F374" t="s">
        <v>1068</v>
      </c>
      <c r="G374" t="s">
        <v>1073</v>
      </c>
      <c r="H374" s="170">
        <v>-1.4228740471960099E-7</v>
      </c>
      <c r="I374" t="s">
        <v>1074</v>
      </c>
      <c r="J374">
        <v>7.24</v>
      </c>
    </row>
    <row r="375" spans="1:10" hidden="1">
      <c r="A375" t="s">
        <v>1213</v>
      </c>
      <c r="B375" t="s">
        <v>1214</v>
      </c>
      <c r="C375" t="s">
        <v>1066</v>
      </c>
      <c r="D375" t="s">
        <v>1210</v>
      </c>
      <c r="E375" t="s">
        <v>555</v>
      </c>
      <c r="F375" t="s">
        <v>1068</v>
      </c>
      <c r="G375" t="s">
        <v>1075</v>
      </c>
      <c r="H375" s="171" t="s">
        <v>1215</v>
      </c>
      <c r="I375" t="s">
        <v>1077</v>
      </c>
      <c r="J375">
        <v>7.24</v>
      </c>
    </row>
    <row r="376" spans="1:10" hidden="1">
      <c r="A376" t="s">
        <v>1213</v>
      </c>
      <c r="B376" t="s">
        <v>1214</v>
      </c>
      <c r="C376" t="s">
        <v>1066</v>
      </c>
      <c r="D376" t="s">
        <v>1210</v>
      </c>
      <c r="E376" t="s">
        <v>555</v>
      </c>
      <c r="F376" t="s">
        <v>1068</v>
      </c>
      <c r="G376" t="s">
        <v>1078</v>
      </c>
      <c r="H376">
        <v>-0.52506421567601302</v>
      </c>
      <c r="I376" t="s">
        <v>1079</v>
      </c>
      <c r="J376">
        <v>7.24</v>
      </c>
    </row>
    <row r="377" spans="1:10" hidden="1">
      <c r="A377" t="s">
        <v>1213</v>
      </c>
      <c r="B377" t="s">
        <v>1214</v>
      </c>
      <c r="C377" t="s">
        <v>1066</v>
      </c>
      <c r="D377" t="s">
        <v>1210</v>
      </c>
      <c r="E377" t="s">
        <v>555</v>
      </c>
      <c r="F377" t="s">
        <v>1068</v>
      </c>
      <c r="G377" t="s">
        <v>1080</v>
      </c>
      <c r="H377" s="171" t="s">
        <v>1216</v>
      </c>
      <c r="I377" t="s">
        <v>1082</v>
      </c>
      <c r="J377">
        <v>7.24</v>
      </c>
    </row>
    <row r="378" spans="1:10" hidden="1">
      <c r="A378" t="s">
        <v>1213</v>
      </c>
      <c r="B378" t="s">
        <v>1214</v>
      </c>
      <c r="C378" t="s">
        <v>1066</v>
      </c>
      <c r="D378" t="s">
        <v>1210</v>
      </c>
      <c r="E378" t="s">
        <v>555</v>
      </c>
      <c r="F378" t="s">
        <v>1068</v>
      </c>
      <c r="G378" t="s">
        <v>1083</v>
      </c>
      <c r="H378">
        <v>-2.0492331473253401E-4</v>
      </c>
      <c r="I378" t="s">
        <v>1084</v>
      </c>
      <c r="J378">
        <v>7.24</v>
      </c>
    </row>
    <row r="379" spans="1:10" hidden="1">
      <c r="A379" t="s">
        <v>1213</v>
      </c>
      <c r="B379" t="s">
        <v>1214</v>
      </c>
      <c r="C379" t="s">
        <v>1066</v>
      </c>
      <c r="D379" t="s">
        <v>1210</v>
      </c>
      <c r="E379" t="s">
        <v>555</v>
      </c>
      <c r="F379" t="s">
        <v>1068</v>
      </c>
      <c r="G379" t="s">
        <v>1085</v>
      </c>
      <c r="H379">
        <v>-4.74013302142907E-3</v>
      </c>
      <c r="I379" t="s">
        <v>1086</v>
      </c>
      <c r="J379">
        <v>7.24</v>
      </c>
    </row>
    <row r="380" spans="1:10" hidden="1">
      <c r="A380" t="s">
        <v>1213</v>
      </c>
      <c r="B380" t="s">
        <v>1214</v>
      </c>
      <c r="C380" t="s">
        <v>1066</v>
      </c>
      <c r="D380" t="s">
        <v>1210</v>
      </c>
      <c r="E380" t="s">
        <v>555</v>
      </c>
      <c r="F380" t="s">
        <v>1068</v>
      </c>
      <c r="G380" t="s">
        <v>1087</v>
      </c>
      <c r="H380" s="170">
        <v>-4.4508636880076898E-6</v>
      </c>
      <c r="I380" t="s">
        <v>1088</v>
      </c>
      <c r="J380">
        <v>7.24</v>
      </c>
    </row>
    <row r="381" spans="1:10" hidden="1">
      <c r="A381" t="s">
        <v>1213</v>
      </c>
      <c r="B381" t="s">
        <v>1214</v>
      </c>
      <c r="C381" t="s">
        <v>1066</v>
      </c>
      <c r="D381" t="s">
        <v>1210</v>
      </c>
      <c r="E381" t="s">
        <v>555</v>
      </c>
      <c r="F381" t="s">
        <v>1068</v>
      </c>
      <c r="G381" t="s">
        <v>1089</v>
      </c>
      <c r="H381">
        <v>-1.1294580603790499E-3</v>
      </c>
      <c r="I381" t="s">
        <v>1090</v>
      </c>
      <c r="J381">
        <v>7.24</v>
      </c>
    </row>
    <row r="382" spans="1:10" hidden="1">
      <c r="A382" t="s">
        <v>1217</v>
      </c>
      <c r="B382" t="s">
        <v>1218</v>
      </c>
      <c r="C382" t="s">
        <v>1066</v>
      </c>
      <c r="D382" t="s">
        <v>1210</v>
      </c>
      <c r="E382" t="s">
        <v>558</v>
      </c>
      <c r="F382" t="s">
        <v>1068</v>
      </c>
      <c r="G382" t="s">
        <v>1069</v>
      </c>
      <c r="H382">
        <v>-0.35516413012568399</v>
      </c>
      <c r="I382" t="s">
        <v>1070</v>
      </c>
      <c r="J382">
        <v>6.59</v>
      </c>
    </row>
    <row r="383" spans="1:10" hidden="1">
      <c r="A383" t="s">
        <v>1217</v>
      </c>
      <c r="B383" t="s">
        <v>1218</v>
      </c>
      <c r="C383" t="s">
        <v>1066</v>
      </c>
      <c r="D383" t="s">
        <v>1210</v>
      </c>
      <c r="E383" t="s">
        <v>558</v>
      </c>
      <c r="F383" t="s">
        <v>1068</v>
      </c>
      <c r="G383" t="s">
        <v>1071</v>
      </c>
      <c r="H383" s="170">
        <v>-6.7565407250566602E-10</v>
      </c>
      <c r="I383" t="s">
        <v>1072</v>
      </c>
      <c r="J383">
        <v>6.59</v>
      </c>
    </row>
    <row r="384" spans="1:10" hidden="1">
      <c r="A384" t="s">
        <v>1217</v>
      </c>
      <c r="B384" t="s">
        <v>1218</v>
      </c>
      <c r="C384" t="s">
        <v>1066</v>
      </c>
      <c r="D384" t="s">
        <v>1210</v>
      </c>
      <c r="E384" t="s">
        <v>558</v>
      </c>
      <c r="F384" t="s">
        <v>1068</v>
      </c>
      <c r="G384" t="s">
        <v>1073</v>
      </c>
      <c r="H384" s="170">
        <v>-1.34830807184298E-7</v>
      </c>
      <c r="I384" t="s">
        <v>1074</v>
      </c>
      <c r="J384">
        <v>6.59</v>
      </c>
    </row>
    <row r="385" spans="1:10" hidden="1">
      <c r="A385" t="s">
        <v>1217</v>
      </c>
      <c r="B385" t="s">
        <v>1218</v>
      </c>
      <c r="C385" t="s">
        <v>1066</v>
      </c>
      <c r="D385" t="s">
        <v>1210</v>
      </c>
      <c r="E385" t="s">
        <v>558</v>
      </c>
      <c r="F385" t="s">
        <v>1068</v>
      </c>
      <c r="G385" t="s">
        <v>1075</v>
      </c>
      <c r="H385">
        <v>2.55231969844428E-2</v>
      </c>
      <c r="I385" t="s">
        <v>1077</v>
      </c>
      <c r="J385">
        <v>6.59</v>
      </c>
    </row>
    <row r="386" spans="1:10" hidden="1">
      <c r="A386" t="s">
        <v>1217</v>
      </c>
      <c r="B386" t="s">
        <v>1218</v>
      </c>
      <c r="C386" t="s">
        <v>1066</v>
      </c>
      <c r="D386" t="s">
        <v>1210</v>
      </c>
      <c r="E386" t="s">
        <v>558</v>
      </c>
      <c r="F386" t="s">
        <v>1068</v>
      </c>
      <c r="G386" t="s">
        <v>1078</v>
      </c>
      <c r="H386">
        <v>-0.49717075945658501</v>
      </c>
      <c r="I386" t="s">
        <v>1079</v>
      </c>
      <c r="J386">
        <v>6.59</v>
      </c>
    </row>
    <row r="387" spans="1:10" hidden="1">
      <c r="A387" t="s">
        <v>1217</v>
      </c>
      <c r="B387" t="s">
        <v>1218</v>
      </c>
      <c r="C387" t="s">
        <v>1066</v>
      </c>
      <c r="D387" t="s">
        <v>1210</v>
      </c>
      <c r="E387" t="s">
        <v>558</v>
      </c>
      <c r="F387" t="s">
        <v>1068</v>
      </c>
      <c r="G387" t="s">
        <v>1080</v>
      </c>
      <c r="H387" s="171" t="s">
        <v>1219</v>
      </c>
      <c r="I387" t="s">
        <v>1082</v>
      </c>
      <c r="J387">
        <v>6.59</v>
      </c>
    </row>
    <row r="388" spans="1:10" hidden="1">
      <c r="A388" t="s">
        <v>1217</v>
      </c>
      <c r="B388" t="s">
        <v>1218</v>
      </c>
      <c r="C388" t="s">
        <v>1066</v>
      </c>
      <c r="D388" t="s">
        <v>1210</v>
      </c>
      <c r="E388" t="s">
        <v>558</v>
      </c>
      <c r="F388" t="s">
        <v>1068</v>
      </c>
      <c r="G388" t="s">
        <v>1083</v>
      </c>
      <c r="H388">
        <v>-2.0173236986326801E-4</v>
      </c>
      <c r="I388" t="s">
        <v>1084</v>
      </c>
      <c r="J388">
        <v>6.59</v>
      </c>
    </row>
    <row r="389" spans="1:10" hidden="1">
      <c r="A389" t="s">
        <v>1217</v>
      </c>
      <c r="B389" t="s">
        <v>1218</v>
      </c>
      <c r="C389" t="s">
        <v>1066</v>
      </c>
      <c r="D389" t="s">
        <v>1210</v>
      </c>
      <c r="E389" t="s">
        <v>558</v>
      </c>
      <c r="F389" t="s">
        <v>1068</v>
      </c>
      <c r="G389" t="s">
        <v>1085</v>
      </c>
      <c r="H389">
        <v>-4.7040790522191699E-3</v>
      </c>
      <c r="I389" t="s">
        <v>1086</v>
      </c>
      <c r="J389">
        <v>6.59</v>
      </c>
    </row>
    <row r="390" spans="1:10" hidden="1">
      <c r="A390" t="s">
        <v>1217</v>
      </c>
      <c r="B390" t="s">
        <v>1218</v>
      </c>
      <c r="C390" t="s">
        <v>1066</v>
      </c>
      <c r="D390" t="s">
        <v>1210</v>
      </c>
      <c r="E390" t="s">
        <v>558</v>
      </c>
      <c r="F390" t="s">
        <v>1068</v>
      </c>
      <c r="G390" t="s">
        <v>1087</v>
      </c>
      <c r="H390" s="170">
        <v>-4.4335525264141696E-6</v>
      </c>
      <c r="I390" t="s">
        <v>1088</v>
      </c>
      <c r="J390">
        <v>6.59</v>
      </c>
    </row>
    <row r="391" spans="1:10" hidden="1">
      <c r="A391" t="s">
        <v>1217</v>
      </c>
      <c r="B391" t="s">
        <v>1218</v>
      </c>
      <c r="C391" t="s">
        <v>1066</v>
      </c>
      <c r="D391" t="s">
        <v>1210</v>
      </c>
      <c r="E391" t="s">
        <v>558</v>
      </c>
      <c r="F391" t="s">
        <v>1068</v>
      </c>
      <c r="G391" t="s">
        <v>1089</v>
      </c>
      <c r="H391">
        <v>-1.12201842358645E-3</v>
      </c>
      <c r="I391" t="s">
        <v>1090</v>
      </c>
      <c r="J391">
        <v>6.59</v>
      </c>
    </row>
    <row r="392" spans="1:10" hidden="1">
      <c r="A392" t="s">
        <v>1220</v>
      </c>
      <c r="B392" t="s">
        <v>1221</v>
      </c>
      <c r="C392" t="s">
        <v>1066</v>
      </c>
      <c r="D392" t="s">
        <v>1210</v>
      </c>
      <c r="E392" t="s">
        <v>553</v>
      </c>
      <c r="F392" t="s">
        <v>1068</v>
      </c>
      <c r="G392" t="s">
        <v>1069</v>
      </c>
      <c r="H392">
        <v>-0.35349054012300801</v>
      </c>
      <c r="I392" t="s">
        <v>1070</v>
      </c>
      <c r="J392">
        <v>3.58</v>
      </c>
    </row>
    <row r="393" spans="1:10" hidden="1">
      <c r="A393" t="s">
        <v>1220</v>
      </c>
      <c r="B393" t="s">
        <v>1221</v>
      </c>
      <c r="C393" t="s">
        <v>1066</v>
      </c>
      <c r="D393" t="s">
        <v>1210</v>
      </c>
      <c r="E393" t="s">
        <v>553</v>
      </c>
      <c r="F393" t="s">
        <v>1068</v>
      </c>
      <c r="G393" t="s">
        <v>1071</v>
      </c>
      <c r="H393" s="170">
        <v>-6.7325626418590695E-10</v>
      </c>
      <c r="I393" t="s">
        <v>1072</v>
      </c>
      <c r="J393">
        <v>3.58</v>
      </c>
    </row>
    <row r="394" spans="1:10" hidden="1">
      <c r="A394" t="s">
        <v>1220</v>
      </c>
      <c r="B394" t="s">
        <v>1221</v>
      </c>
      <c r="C394" t="s">
        <v>1066</v>
      </c>
      <c r="D394" t="s">
        <v>1210</v>
      </c>
      <c r="E394" t="s">
        <v>553</v>
      </c>
      <c r="F394" t="s">
        <v>1068</v>
      </c>
      <c r="G394" t="s">
        <v>1073</v>
      </c>
      <c r="H394" s="170">
        <v>-1.3423660703503399E-7</v>
      </c>
      <c r="I394" t="s">
        <v>1074</v>
      </c>
      <c r="J394">
        <v>3.58</v>
      </c>
    </row>
    <row r="395" spans="1:10" hidden="1">
      <c r="A395" t="s">
        <v>1220</v>
      </c>
      <c r="B395" t="s">
        <v>1221</v>
      </c>
      <c r="C395" t="s">
        <v>1066</v>
      </c>
      <c r="D395" t="s">
        <v>1210</v>
      </c>
      <c r="E395" t="s">
        <v>553</v>
      </c>
      <c r="F395" t="s">
        <v>1068</v>
      </c>
      <c r="G395" t="s">
        <v>1075</v>
      </c>
      <c r="H395" s="171" t="s">
        <v>1222</v>
      </c>
      <c r="I395" t="s">
        <v>1077</v>
      </c>
      <c r="J395">
        <v>3.58</v>
      </c>
    </row>
    <row r="396" spans="1:10" hidden="1">
      <c r="A396" t="s">
        <v>1220</v>
      </c>
      <c r="B396" t="s">
        <v>1221</v>
      </c>
      <c r="C396" t="s">
        <v>1066</v>
      </c>
      <c r="D396" t="s">
        <v>1210</v>
      </c>
      <c r="E396" t="s">
        <v>553</v>
      </c>
      <c r="F396" t="s">
        <v>1068</v>
      </c>
      <c r="G396" t="s">
        <v>1078</v>
      </c>
      <c r="H396">
        <v>-0.49408105734615099</v>
      </c>
      <c r="I396" t="s">
        <v>1079</v>
      </c>
      <c r="J396">
        <v>3.58</v>
      </c>
    </row>
    <row r="397" spans="1:10" hidden="1">
      <c r="A397" t="s">
        <v>1220</v>
      </c>
      <c r="B397" t="s">
        <v>1221</v>
      </c>
      <c r="C397" t="s">
        <v>1066</v>
      </c>
      <c r="D397" t="s">
        <v>1210</v>
      </c>
      <c r="E397" t="s">
        <v>553</v>
      </c>
      <c r="F397" t="s">
        <v>1068</v>
      </c>
      <c r="G397" t="s">
        <v>1080</v>
      </c>
      <c r="H397" s="171" t="s">
        <v>1223</v>
      </c>
      <c r="I397" t="s">
        <v>1082</v>
      </c>
      <c r="J397">
        <v>3.58</v>
      </c>
    </row>
    <row r="398" spans="1:10" hidden="1">
      <c r="A398" t="s">
        <v>1220</v>
      </c>
      <c r="B398" t="s">
        <v>1221</v>
      </c>
      <c r="C398" t="s">
        <v>1066</v>
      </c>
      <c r="D398" t="s">
        <v>1210</v>
      </c>
      <c r="E398" t="s">
        <v>553</v>
      </c>
      <c r="F398" t="s">
        <v>1068</v>
      </c>
      <c r="G398" t="s">
        <v>1083</v>
      </c>
      <c r="H398">
        <v>-2.0147816957623101E-4</v>
      </c>
      <c r="I398" t="s">
        <v>1084</v>
      </c>
      <c r="J398">
        <v>3.58</v>
      </c>
    </row>
    <row r="399" spans="1:10" hidden="1">
      <c r="A399" t="s">
        <v>1220</v>
      </c>
      <c r="B399" t="s">
        <v>1221</v>
      </c>
      <c r="C399" t="s">
        <v>1066</v>
      </c>
      <c r="D399" t="s">
        <v>1210</v>
      </c>
      <c r="E399" t="s">
        <v>553</v>
      </c>
      <c r="F399" t="s">
        <v>1068</v>
      </c>
      <c r="G399" t="s">
        <v>1085</v>
      </c>
      <c r="H399">
        <v>-4.7011958889887299E-3</v>
      </c>
      <c r="I399" t="s">
        <v>1086</v>
      </c>
      <c r="J399">
        <v>3.58</v>
      </c>
    </row>
    <row r="400" spans="1:10" hidden="1">
      <c r="A400" t="s">
        <v>1220</v>
      </c>
      <c r="B400" t="s">
        <v>1221</v>
      </c>
      <c r="C400" t="s">
        <v>1066</v>
      </c>
      <c r="D400" t="s">
        <v>1210</v>
      </c>
      <c r="E400" t="s">
        <v>553</v>
      </c>
      <c r="F400" t="s">
        <v>1068</v>
      </c>
      <c r="G400" t="s">
        <v>1087</v>
      </c>
      <c r="H400" s="170">
        <v>-4.4320724501044503E-6</v>
      </c>
      <c r="I400" t="s">
        <v>1088</v>
      </c>
      <c r="J400">
        <v>3.58</v>
      </c>
    </row>
    <row r="401" spans="1:10" hidden="1">
      <c r="A401" t="s">
        <v>1220</v>
      </c>
      <c r="B401" t="s">
        <v>1221</v>
      </c>
      <c r="C401" t="s">
        <v>1066</v>
      </c>
      <c r="D401" t="s">
        <v>1210</v>
      </c>
      <c r="E401" t="s">
        <v>553</v>
      </c>
      <c r="F401" t="s">
        <v>1068</v>
      </c>
      <c r="G401" t="s">
        <v>1089</v>
      </c>
      <c r="H401">
        <v>-1.12142540684717E-3</v>
      </c>
      <c r="I401" t="s">
        <v>1090</v>
      </c>
      <c r="J401">
        <v>3.58</v>
      </c>
    </row>
    <row r="402" spans="1:10" hidden="1">
      <c r="A402" t="s">
        <v>1224</v>
      </c>
      <c r="B402" t="s">
        <v>1225</v>
      </c>
      <c r="C402" t="s">
        <v>1066</v>
      </c>
      <c r="D402" t="s">
        <v>1210</v>
      </c>
      <c r="E402" t="s">
        <v>556</v>
      </c>
      <c r="F402" t="s">
        <v>1068</v>
      </c>
      <c r="G402" t="s">
        <v>1069</v>
      </c>
      <c r="H402">
        <v>-0.374025491580951</v>
      </c>
      <c r="I402" t="s">
        <v>1070</v>
      </c>
      <c r="J402">
        <v>3.05</v>
      </c>
    </row>
    <row r="403" spans="1:10" hidden="1">
      <c r="A403" t="s">
        <v>1224</v>
      </c>
      <c r="B403" t="s">
        <v>1225</v>
      </c>
      <c r="C403" t="s">
        <v>1066</v>
      </c>
      <c r="D403" t="s">
        <v>1210</v>
      </c>
      <c r="E403" t="s">
        <v>556</v>
      </c>
      <c r="F403" t="s">
        <v>1068</v>
      </c>
      <c r="G403" t="s">
        <v>1071</v>
      </c>
      <c r="H403" s="170">
        <v>-7.0262594987717095E-10</v>
      </c>
      <c r="I403" t="s">
        <v>1072</v>
      </c>
      <c r="J403">
        <v>3.05</v>
      </c>
    </row>
    <row r="404" spans="1:10" hidden="1">
      <c r="A404" t="s">
        <v>1224</v>
      </c>
      <c r="B404" t="s">
        <v>1225</v>
      </c>
      <c r="C404" t="s">
        <v>1066</v>
      </c>
      <c r="D404" t="s">
        <v>1210</v>
      </c>
      <c r="E404" t="s">
        <v>556</v>
      </c>
      <c r="F404" t="s">
        <v>1068</v>
      </c>
      <c r="G404" t="s">
        <v>1073</v>
      </c>
      <c r="H404" s="170">
        <v>-1.41530226836552E-7</v>
      </c>
      <c r="I404" t="s">
        <v>1074</v>
      </c>
      <c r="J404">
        <v>3.05</v>
      </c>
    </row>
    <row r="405" spans="1:10" hidden="1">
      <c r="A405" t="s">
        <v>1224</v>
      </c>
      <c r="B405" t="s">
        <v>1225</v>
      </c>
      <c r="C405" t="s">
        <v>1066</v>
      </c>
      <c r="D405" t="s">
        <v>1210</v>
      </c>
      <c r="E405" t="s">
        <v>556</v>
      </c>
      <c r="F405" t="s">
        <v>1068</v>
      </c>
      <c r="G405" t="s">
        <v>1075</v>
      </c>
      <c r="H405" s="171" t="s">
        <v>1226</v>
      </c>
      <c r="I405" t="s">
        <v>1077</v>
      </c>
      <c r="J405">
        <v>3.05</v>
      </c>
    </row>
    <row r="406" spans="1:10" hidden="1">
      <c r="A406" t="s">
        <v>1224</v>
      </c>
      <c r="B406" t="s">
        <v>1225</v>
      </c>
      <c r="C406" t="s">
        <v>1066</v>
      </c>
      <c r="D406" t="s">
        <v>1210</v>
      </c>
      <c r="E406" t="s">
        <v>556</v>
      </c>
      <c r="F406" t="s">
        <v>1068</v>
      </c>
      <c r="G406" t="s">
        <v>1078</v>
      </c>
      <c r="H406">
        <v>-0.51921970764736303</v>
      </c>
      <c r="I406" t="s">
        <v>1079</v>
      </c>
      <c r="J406">
        <v>3.05</v>
      </c>
    </row>
    <row r="407" spans="1:10" hidden="1">
      <c r="A407" t="s">
        <v>1224</v>
      </c>
      <c r="B407" t="s">
        <v>1225</v>
      </c>
      <c r="C407" t="s">
        <v>1066</v>
      </c>
      <c r="D407" t="s">
        <v>1210</v>
      </c>
      <c r="E407" t="s">
        <v>556</v>
      </c>
      <c r="F407" t="s">
        <v>1068</v>
      </c>
      <c r="G407" t="s">
        <v>1080</v>
      </c>
      <c r="H407" s="171" t="s">
        <v>1227</v>
      </c>
      <c r="I407" t="s">
        <v>1082</v>
      </c>
      <c r="J407">
        <v>3.05</v>
      </c>
    </row>
    <row r="408" spans="1:10" hidden="1">
      <c r="A408" t="s">
        <v>1224</v>
      </c>
      <c r="B408" t="s">
        <v>1225</v>
      </c>
      <c r="C408" t="s">
        <v>1066</v>
      </c>
      <c r="D408" t="s">
        <v>1210</v>
      </c>
      <c r="E408" t="s">
        <v>556</v>
      </c>
      <c r="F408" t="s">
        <v>1068</v>
      </c>
      <c r="G408" t="s">
        <v>1083</v>
      </c>
      <c r="H408">
        <v>-2.0459949340674E-4</v>
      </c>
      <c r="I408" t="s">
        <v>1084</v>
      </c>
      <c r="J408">
        <v>3.05</v>
      </c>
    </row>
    <row r="409" spans="1:10" hidden="1">
      <c r="A409" t="s">
        <v>1224</v>
      </c>
      <c r="B409" t="s">
        <v>1225</v>
      </c>
      <c r="C409" t="s">
        <v>1066</v>
      </c>
      <c r="D409" t="s">
        <v>1210</v>
      </c>
      <c r="E409" t="s">
        <v>556</v>
      </c>
      <c r="F409" t="s">
        <v>1068</v>
      </c>
      <c r="G409" t="s">
        <v>1085</v>
      </c>
      <c r="H409">
        <v>-4.7364362134146402E-3</v>
      </c>
      <c r="I409" t="s">
        <v>1086</v>
      </c>
      <c r="J409">
        <v>3.05</v>
      </c>
    </row>
    <row r="410" spans="1:10" hidden="1">
      <c r="A410" t="s">
        <v>1224</v>
      </c>
      <c r="B410" t="s">
        <v>1225</v>
      </c>
      <c r="C410" t="s">
        <v>1066</v>
      </c>
      <c r="D410" t="s">
        <v>1210</v>
      </c>
      <c r="E410" t="s">
        <v>556</v>
      </c>
      <c r="F410" t="s">
        <v>1068</v>
      </c>
      <c r="G410" t="s">
        <v>1087</v>
      </c>
      <c r="H410" s="170">
        <v>-4.4490974573133097E-6</v>
      </c>
      <c r="I410" t="s">
        <v>1088</v>
      </c>
      <c r="J410">
        <v>3.05</v>
      </c>
    </row>
    <row r="411" spans="1:10" hidden="1">
      <c r="A411" t="s">
        <v>1224</v>
      </c>
      <c r="B411" t="s">
        <v>1225</v>
      </c>
      <c r="C411" t="s">
        <v>1066</v>
      </c>
      <c r="D411" t="s">
        <v>1210</v>
      </c>
      <c r="E411" t="s">
        <v>556</v>
      </c>
      <c r="F411" t="s">
        <v>1068</v>
      </c>
      <c r="G411" t="s">
        <v>1089</v>
      </c>
      <c r="H411">
        <v>-1.1287030532156901E-3</v>
      </c>
      <c r="I411" t="s">
        <v>1090</v>
      </c>
      <c r="J411">
        <v>3.05</v>
      </c>
    </row>
    <row r="412" spans="1:10" hidden="1">
      <c r="A412" t="s">
        <v>1228</v>
      </c>
      <c r="B412" t="s">
        <v>1229</v>
      </c>
      <c r="C412" t="s">
        <v>1066</v>
      </c>
      <c r="D412" t="s">
        <v>1210</v>
      </c>
      <c r="E412" t="s">
        <v>557</v>
      </c>
      <c r="F412" t="s">
        <v>1068</v>
      </c>
      <c r="G412" t="s">
        <v>1069</v>
      </c>
      <c r="H412">
        <v>-0.36221710654798001</v>
      </c>
      <c r="I412" t="s">
        <v>1070</v>
      </c>
      <c r="J412">
        <v>2.54</v>
      </c>
    </row>
    <row r="413" spans="1:10" hidden="1">
      <c r="A413" t="s">
        <v>1228</v>
      </c>
      <c r="B413" t="s">
        <v>1229</v>
      </c>
      <c r="C413" t="s">
        <v>1066</v>
      </c>
      <c r="D413" t="s">
        <v>1210</v>
      </c>
      <c r="E413" t="s">
        <v>557</v>
      </c>
      <c r="F413" t="s">
        <v>1068</v>
      </c>
      <c r="G413" t="s">
        <v>1071</v>
      </c>
      <c r="H413" s="170">
        <v>-6.8574696200687896E-10</v>
      </c>
      <c r="I413" t="s">
        <v>1072</v>
      </c>
      <c r="J413">
        <v>2.54</v>
      </c>
    </row>
    <row r="414" spans="1:10" hidden="1">
      <c r="A414" t="s">
        <v>1228</v>
      </c>
      <c r="B414" t="s">
        <v>1229</v>
      </c>
      <c r="C414" t="s">
        <v>1066</v>
      </c>
      <c r="D414" t="s">
        <v>1210</v>
      </c>
      <c r="E414" t="s">
        <v>557</v>
      </c>
      <c r="F414" t="s">
        <v>1068</v>
      </c>
      <c r="G414" t="s">
        <v>1073</v>
      </c>
      <c r="H414" s="170">
        <v>-1.3733604672647399E-7</v>
      </c>
      <c r="I414" t="s">
        <v>1074</v>
      </c>
      <c r="J414">
        <v>2.54</v>
      </c>
    </row>
    <row r="415" spans="1:10" hidden="1">
      <c r="A415" t="s">
        <v>1228</v>
      </c>
      <c r="B415" t="s">
        <v>1229</v>
      </c>
      <c r="C415" t="s">
        <v>1066</v>
      </c>
      <c r="D415" t="s">
        <v>1210</v>
      </c>
      <c r="E415" t="s">
        <v>557</v>
      </c>
      <c r="F415" t="s">
        <v>1068</v>
      </c>
      <c r="G415" t="s">
        <v>1075</v>
      </c>
      <c r="H415" s="171" t="s">
        <v>1230</v>
      </c>
      <c r="I415" t="s">
        <v>1077</v>
      </c>
      <c r="J415">
        <v>2.54</v>
      </c>
    </row>
    <row r="416" spans="1:10" hidden="1">
      <c r="A416" t="s">
        <v>1228</v>
      </c>
      <c r="B416" t="s">
        <v>1229</v>
      </c>
      <c r="C416" t="s">
        <v>1066</v>
      </c>
      <c r="D416" t="s">
        <v>1210</v>
      </c>
      <c r="E416" t="s">
        <v>557</v>
      </c>
      <c r="F416" t="s">
        <v>1068</v>
      </c>
      <c r="G416" t="s">
        <v>1078</v>
      </c>
      <c r="H416">
        <v>-0.50681206910446297</v>
      </c>
      <c r="I416" t="s">
        <v>1079</v>
      </c>
      <c r="J416">
        <v>2.54</v>
      </c>
    </row>
    <row r="417" spans="1:10" hidden="1">
      <c r="A417" t="s">
        <v>1228</v>
      </c>
      <c r="B417" t="s">
        <v>1229</v>
      </c>
      <c r="C417" t="s">
        <v>1066</v>
      </c>
      <c r="D417" t="s">
        <v>1210</v>
      </c>
      <c r="E417" t="s">
        <v>557</v>
      </c>
      <c r="F417" t="s">
        <v>1068</v>
      </c>
      <c r="G417" t="s">
        <v>1080</v>
      </c>
      <c r="H417" s="171" t="s">
        <v>1231</v>
      </c>
      <c r="I417" t="s">
        <v>1082</v>
      </c>
      <c r="J417">
        <v>2.54</v>
      </c>
    </row>
    <row r="418" spans="1:10" hidden="1">
      <c r="A418" t="s">
        <v>1228</v>
      </c>
      <c r="B418" t="s">
        <v>1229</v>
      </c>
      <c r="C418" t="s">
        <v>1066</v>
      </c>
      <c r="D418" t="s">
        <v>1210</v>
      </c>
      <c r="E418" t="s">
        <v>557</v>
      </c>
      <c r="F418" t="s">
        <v>1068</v>
      </c>
      <c r="G418" t="s">
        <v>1083</v>
      </c>
      <c r="H418">
        <v>-2.0280442684597299E-4</v>
      </c>
      <c r="I418" t="s">
        <v>1084</v>
      </c>
      <c r="J418">
        <v>2.54</v>
      </c>
    </row>
    <row r="419" spans="1:10" hidden="1">
      <c r="A419" t="s">
        <v>1228</v>
      </c>
      <c r="B419" t="s">
        <v>1229</v>
      </c>
      <c r="C419" t="s">
        <v>1066</v>
      </c>
      <c r="D419" t="s">
        <v>1210</v>
      </c>
      <c r="E419" t="s">
        <v>557</v>
      </c>
      <c r="F419" t="s">
        <v>1068</v>
      </c>
      <c r="G419" t="s">
        <v>1085</v>
      </c>
      <c r="H419">
        <v>-4.7161954719418097E-3</v>
      </c>
      <c r="I419" t="s">
        <v>1086</v>
      </c>
      <c r="J419">
        <v>2.54</v>
      </c>
    </row>
    <row r="420" spans="1:10" hidden="1">
      <c r="A420" t="s">
        <v>1228</v>
      </c>
      <c r="B420" t="s">
        <v>1229</v>
      </c>
      <c r="C420" t="s">
        <v>1066</v>
      </c>
      <c r="D420" t="s">
        <v>1210</v>
      </c>
      <c r="E420" t="s">
        <v>557</v>
      </c>
      <c r="F420" t="s">
        <v>1068</v>
      </c>
      <c r="G420" t="s">
        <v>1087</v>
      </c>
      <c r="H420" s="170">
        <v>-4.4393999658960702E-6</v>
      </c>
      <c r="I420" t="s">
        <v>1088</v>
      </c>
      <c r="J420">
        <v>2.54</v>
      </c>
    </row>
    <row r="421" spans="1:10" hidden="1">
      <c r="A421" t="s">
        <v>1228</v>
      </c>
      <c r="B421" t="s">
        <v>1229</v>
      </c>
      <c r="C421" t="s">
        <v>1066</v>
      </c>
      <c r="D421" t="s">
        <v>1210</v>
      </c>
      <c r="E421" t="s">
        <v>557</v>
      </c>
      <c r="F421" t="s">
        <v>1068</v>
      </c>
      <c r="G421" t="s">
        <v>1089</v>
      </c>
      <c r="H421">
        <v>-1.1245180170484999E-3</v>
      </c>
      <c r="I421" t="s">
        <v>1090</v>
      </c>
      <c r="J421">
        <v>2.54</v>
      </c>
    </row>
    <row r="422" spans="1:10" hidden="1">
      <c r="A422" t="s">
        <v>1232</v>
      </c>
      <c r="B422" t="s">
        <v>1233</v>
      </c>
      <c r="C422" t="s">
        <v>1066</v>
      </c>
      <c r="D422" t="s">
        <v>1210</v>
      </c>
      <c r="E422" t="s">
        <v>559</v>
      </c>
      <c r="F422" t="s">
        <v>1068</v>
      </c>
      <c r="G422" t="s">
        <v>1069</v>
      </c>
      <c r="H422">
        <v>-0.36792165045810399</v>
      </c>
      <c r="I422" t="s">
        <v>1070</v>
      </c>
      <c r="J422">
        <v>2.64</v>
      </c>
    </row>
    <row r="423" spans="1:10" hidden="1">
      <c r="A423" t="s">
        <v>1232</v>
      </c>
      <c r="B423" t="s">
        <v>1233</v>
      </c>
      <c r="C423" t="s">
        <v>1066</v>
      </c>
      <c r="D423" t="s">
        <v>1210</v>
      </c>
      <c r="E423" t="s">
        <v>559</v>
      </c>
      <c r="F423" t="s">
        <v>1068</v>
      </c>
      <c r="G423" t="s">
        <v>1071</v>
      </c>
      <c r="H423" s="170">
        <v>-6.9390734725646496E-10</v>
      </c>
      <c r="I423" t="s">
        <v>1072</v>
      </c>
      <c r="J423">
        <v>2.64</v>
      </c>
    </row>
    <row r="424" spans="1:10" hidden="1">
      <c r="A424" t="s">
        <v>1232</v>
      </c>
      <c r="B424" t="s">
        <v>1233</v>
      </c>
      <c r="C424" t="s">
        <v>1066</v>
      </c>
      <c r="D424" t="s">
        <v>1210</v>
      </c>
      <c r="E424" t="s">
        <v>559</v>
      </c>
      <c r="F424" t="s">
        <v>1068</v>
      </c>
      <c r="G424" t="s">
        <v>1073</v>
      </c>
      <c r="H424" s="170">
        <v>-1.3936258308887199E-7</v>
      </c>
      <c r="I424" t="s">
        <v>1074</v>
      </c>
      <c r="J424">
        <v>2.64</v>
      </c>
    </row>
    <row r="425" spans="1:10" hidden="1">
      <c r="A425" t="s">
        <v>1232</v>
      </c>
      <c r="B425" t="s">
        <v>1233</v>
      </c>
      <c r="C425" t="s">
        <v>1066</v>
      </c>
      <c r="D425" t="s">
        <v>1210</v>
      </c>
      <c r="E425" t="s">
        <v>559</v>
      </c>
      <c r="F425" t="s">
        <v>1068</v>
      </c>
      <c r="G425" t="s">
        <v>1075</v>
      </c>
      <c r="H425">
        <v>2.5121812815739199E-2</v>
      </c>
      <c r="I425" t="s">
        <v>1077</v>
      </c>
      <c r="J425">
        <v>2.64</v>
      </c>
    </row>
    <row r="426" spans="1:10" hidden="1">
      <c r="A426" t="s">
        <v>1232</v>
      </c>
      <c r="B426" t="s">
        <v>1233</v>
      </c>
      <c r="C426" t="s">
        <v>1066</v>
      </c>
      <c r="D426" t="s">
        <v>1210</v>
      </c>
      <c r="E426" t="s">
        <v>559</v>
      </c>
      <c r="F426" t="s">
        <v>1068</v>
      </c>
      <c r="G426" t="s">
        <v>1078</v>
      </c>
      <c r="H426">
        <v>-0.51380816190073997</v>
      </c>
      <c r="I426" t="s">
        <v>1079</v>
      </c>
      <c r="J426">
        <v>2.64</v>
      </c>
    </row>
    <row r="427" spans="1:10" hidden="1">
      <c r="A427" t="s">
        <v>1232</v>
      </c>
      <c r="B427" t="s">
        <v>1233</v>
      </c>
      <c r="C427" t="s">
        <v>1066</v>
      </c>
      <c r="D427" t="s">
        <v>1210</v>
      </c>
      <c r="E427" t="s">
        <v>559</v>
      </c>
      <c r="F427" t="s">
        <v>1068</v>
      </c>
      <c r="G427" t="s">
        <v>1080</v>
      </c>
      <c r="H427" s="171" t="s">
        <v>1234</v>
      </c>
      <c r="I427" t="s">
        <v>1082</v>
      </c>
      <c r="J427">
        <v>2.64</v>
      </c>
    </row>
    <row r="428" spans="1:10" hidden="1">
      <c r="A428" t="s">
        <v>1232</v>
      </c>
      <c r="B428" t="s">
        <v>1233</v>
      </c>
      <c r="C428" t="s">
        <v>1066</v>
      </c>
      <c r="D428" t="s">
        <v>1210</v>
      </c>
      <c r="E428" t="s">
        <v>559</v>
      </c>
      <c r="F428" t="s">
        <v>1068</v>
      </c>
      <c r="G428" t="s">
        <v>1083</v>
      </c>
      <c r="H428">
        <v>-2.0367170769072999E-4</v>
      </c>
      <c r="I428" t="s">
        <v>1084</v>
      </c>
      <c r="J428">
        <v>2.64</v>
      </c>
    </row>
    <row r="429" spans="1:10" hidden="1">
      <c r="A429" t="s">
        <v>1232</v>
      </c>
      <c r="B429" t="s">
        <v>1233</v>
      </c>
      <c r="C429" t="s">
        <v>1066</v>
      </c>
      <c r="D429" t="s">
        <v>1210</v>
      </c>
      <c r="E429" t="s">
        <v>559</v>
      </c>
      <c r="F429" t="s">
        <v>1068</v>
      </c>
      <c r="G429" t="s">
        <v>1085</v>
      </c>
      <c r="H429">
        <v>-4.7259873216286396E-3</v>
      </c>
      <c r="I429" t="s">
        <v>1086</v>
      </c>
      <c r="J429">
        <v>2.64</v>
      </c>
    </row>
    <row r="430" spans="1:10" hidden="1">
      <c r="A430" t="s">
        <v>1232</v>
      </c>
      <c r="B430" t="s">
        <v>1233</v>
      </c>
      <c r="C430" t="s">
        <v>1066</v>
      </c>
      <c r="D430" t="s">
        <v>1210</v>
      </c>
      <c r="E430" t="s">
        <v>559</v>
      </c>
      <c r="F430" t="s">
        <v>1068</v>
      </c>
      <c r="G430" t="s">
        <v>1087</v>
      </c>
      <c r="H430" s="170">
        <v>-4.4440369086945304E-6</v>
      </c>
      <c r="I430" t="s">
        <v>1088</v>
      </c>
      <c r="J430">
        <v>2.64</v>
      </c>
    </row>
    <row r="431" spans="1:10" hidden="1">
      <c r="A431" t="s">
        <v>1232</v>
      </c>
      <c r="B431" t="s">
        <v>1233</v>
      </c>
      <c r="C431" t="s">
        <v>1066</v>
      </c>
      <c r="D431" t="s">
        <v>1210</v>
      </c>
      <c r="E431" t="s">
        <v>559</v>
      </c>
      <c r="F431" t="s">
        <v>1068</v>
      </c>
      <c r="G431" t="s">
        <v>1089</v>
      </c>
      <c r="H431">
        <v>-1.12653983044425E-3</v>
      </c>
      <c r="I431" t="s">
        <v>1090</v>
      </c>
      <c r="J431">
        <v>2.64</v>
      </c>
    </row>
    <row r="432" spans="1:10" hidden="1">
      <c r="A432" t="s">
        <v>1235</v>
      </c>
      <c r="B432" t="s">
        <v>1236</v>
      </c>
      <c r="C432" t="s">
        <v>1066</v>
      </c>
      <c r="D432" t="s">
        <v>1210</v>
      </c>
      <c r="E432" t="s">
        <v>560</v>
      </c>
      <c r="F432" t="s">
        <v>1068</v>
      </c>
      <c r="G432" t="s">
        <v>1069</v>
      </c>
      <c r="H432">
        <v>-0.36597869397319899</v>
      </c>
      <c r="I432" t="s">
        <v>1070</v>
      </c>
      <c r="J432">
        <v>3.05</v>
      </c>
    </row>
    <row r="433" spans="1:10" hidden="1">
      <c r="A433" t="s">
        <v>1235</v>
      </c>
      <c r="B433" t="s">
        <v>1236</v>
      </c>
      <c r="C433" t="s">
        <v>1066</v>
      </c>
      <c r="D433" t="s">
        <v>1210</v>
      </c>
      <c r="E433" t="s">
        <v>560</v>
      </c>
      <c r="F433" t="s">
        <v>1068</v>
      </c>
      <c r="G433" t="s">
        <v>1071</v>
      </c>
      <c r="H433" s="170">
        <v>-6.9112983640751405E-10</v>
      </c>
      <c r="I433" t="s">
        <v>1072</v>
      </c>
      <c r="J433">
        <v>3.05</v>
      </c>
    </row>
    <row r="434" spans="1:10" hidden="1">
      <c r="A434" t="s">
        <v>1235</v>
      </c>
      <c r="B434" t="s">
        <v>1236</v>
      </c>
      <c r="C434" t="s">
        <v>1066</v>
      </c>
      <c r="D434" t="s">
        <v>1210</v>
      </c>
      <c r="E434" t="s">
        <v>560</v>
      </c>
      <c r="F434" t="s">
        <v>1068</v>
      </c>
      <c r="G434" t="s">
        <v>1073</v>
      </c>
      <c r="H434" s="170">
        <v>-1.3867217448229901E-7</v>
      </c>
      <c r="I434" t="s">
        <v>1074</v>
      </c>
      <c r="J434">
        <v>3.05</v>
      </c>
    </row>
    <row r="435" spans="1:10" hidden="1">
      <c r="A435" t="s">
        <v>1235</v>
      </c>
      <c r="B435" t="s">
        <v>1236</v>
      </c>
      <c r="C435" t="s">
        <v>1066</v>
      </c>
      <c r="D435" t="s">
        <v>1210</v>
      </c>
      <c r="E435" t="s">
        <v>560</v>
      </c>
      <c r="F435" t="s">
        <v>1068</v>
      </c>
      <c r="G435" t="s">
        <v>1075</v>
      </c>
      <c r="H435" s="171" t="s">
        <v>1237</v>
      </c>
      <c r="I435" t="s">
        <v>1077</v>
      </c>
      <c r="J435">
        <v>3.05</v>
      </c>
    </row>
    <row r="436" spans="1:10" hidden="1">
      <c r="A436" t="s">
        <v>1235</v>
      </c>
      <c r="B436" t="s">
        <v>1236</v>
      </c>
      <c r="C436" t="s">
        <v>1066</v>
      </c>
      <c r="D436" t="s">
        <v>1210</v>
      </c>
      <c r="E436" t="s">
        <v>560</v>
      </c>
      <c r="F436" t="s">
        <v>1068</v>
      </c>
      <c r="G436" t="s">
        <v>1078</v>
      </c>
      <c r="H436">
        <v>-0.51195410091665805</v>
      </c>
      <c r="I436" t="s">
        <v>1079</v>
      </c>
      <c r="J436">
        <v>3.05</v>
      </c>
    </row>
    <row r="437" spans="1:10" hidden="1">
      <c r="A437" t="s">
        <v>1235</v>
      </c>
      <c r="B437" t="s">
        <v>1236</v>
      </c>
      <c r="C437" t="s">
        <v>1066</v>
      </c>
      <c r="D437" t="s">
        <v>1210</v>
      </c>
      <c r="E437" t="s">
        <v>560</v>
      </c>
      <c r="F437" t="s">
        <v>1068</v>
      </c>
      <c r="G437" t="s">
        <v>1080</v>
      </c>
      <c r="H437" s="171" t="s">
        <v>1238</v>
      </c>
      <c r="I437" t="s">
        <v>1082</v>
      </c>
      <c r="J437">
        <v>3.05</v>
      </c>
    </row>
    <row r="438" spans="1:10" hidden="1">
      <c r="A438" t="s">
        <v>1235</v>
      </c>
      <c r="B438" t="s">
        <v>1236</v>
      </c>
      <c r="C438" t="s">
        <v>1066</v>
      </c>
      <c r="D438" t="s">
        <v>1210</v>
      </c>
      <c r="E438" t="s">
        <v>560</v>
      </c>
      <c r="F438" t="s">
        <v>1068</v>
      </c>
      <c r="G438" t="s">
        <v>1083</v>
      </c>
      <c r="H438">
        <v>-2.03376190570082E-4</v>
      </c>
      <c r="I438" t="s">
        <v>1084</v>
      </c>
      <c r="J438">
        <v>3.05</v>
      </c>
    </row>
    <row r="439" spans="1:10" hidden="1">
      <c r="A439" t="s">
        <v>1235</v>
      </c>
      <c r="B439" t="s">
        <v>1236</v>
      </c>
      <c r="C439" t="s">
        <v>1066</v>
      </c>
      <c r="D439" t="s">
        <v>1210</v>
      </c>
      <c r="E439" t="s">
        <v>560</v>
      </c>
      <c r="F439" t="s">
        <v>1068</v>
      </c>
      <c r="G439" t="s">
        <v>1085</v>
      </c>
      <c r="H439">
        <v>-4.7226575624605398E-3</v>
      </c>
      <c r="I439" t="s">
        <v>1086</v>
      </c>
      <c r="J439">
        <v>3.05</v>
      </c>
    </row>
    <row r="440" spans="1:10" hidden="1">
      <c r="A440" t="s">
        <v>1235</v>
      </c>
      <c r="B440" t="s">
        <v>1236</v>
      </c>
      <c r="C440" t="s">
        <v>1066</v>
      </c>
      <c r="D440" t="s">
        <v>1210</v>
      </c>
      <c r="E440" t="s">
        <v>560</v>
      </c>
      <c r="F440" t="s">
        <v>1068</v>
      </c>
      <c r="G440" t="s">
        <v>1087</v>
      </c>
      <c r="H440" s="170">
        <v>-4.4425186002864097E-6</v>
      </c>
      <c r="I440" t="s">
        <v>1088</v>
      </c>
      <c r="J440">
        <v>3.05</v>
      </c>
    </row>
    <row r="441" spans="1:10" hidden="1">
      <c r="A441" t="s">
        <v>1235</v>
      </c>
      <c r="B441" t="s">
        <v>1236</v>
      </c>
      <c r="C441" t="s">
        <v>1066</v>
      </c>
      <c r="D441" t="s">
        <v>1210</v>
      </c>
      <c r="E441" t="s">
        <v>560</v>
      </c>
      <c r="F441" t="s">
        <v>1068</v>
      </c>
      <c r="G441" t="s">
        <v>1089</v>
      </c>
      <c r="H441">
        <v>-1.1258511335615899E-3</v>
      </c>
      <c r="I441" t="s">
        <v>1090</v>
      </c>
      <c r="J441">
        <v>3.05</v>
      </c>
    </row>
    <row r="442" spans="1:10" hidden="1">
      <c r="A442" t="s">
        <v>1239</v>
      </c>
      <c r="B442" t="s">
        <v>1240</v>
      </c>
      <c r="C442" t="s">
        <v>1066</v>
      </c>
      <c r="D442" t="s">
        <v>1210</v>
      </c>
      <c r="E442" t="s">
        <v>1116</v>
      </c>
      <c r="F442" t="s">
        <v>1068</v>
      </c>
      <c r="G442" t="s">
        <v>1069</v>
      </c>
      <c r="H442">
        <v>-0.35456189785286402</v>
      </c>
      <c r="I442" t="s">
        <v>1070</v>
      </c>
      <c r="J442">
        <v>2.54</v>
      </c>
    </row>
    <row r="443" spans="1:10" hidden="1">
      <c r="A443" t="s">
        <v>1239</v>
      </c>
      <c r="B443" t="s">
        <v>1240</v>
      </c>
      <c r="C443" t="s">
        <v>1066</v>
      </c>
      <c r="D443" t="s">
        <v>1210</v>
      </c>
      <c r="E443" t="s">
        <v>1116</v>
      </c>
      <c r="F443" t="s">
        <v>1068</v>
      </c>
      <c r="G443" t="s">
        <v>1071</v>
      </c>
      <c r="H443" s="170">
        <v>-6.7479227127173196E-10</v>
      </c>
      <c r="I443" t="s">
        <v>1072</v>
      </c>
      <c r="J443">
        <v>2.54</v>
      </c>
    </row>
    <row r="444" spans="1:10" hidden="1">
      <c r="A444" t="s">
        <v>1239</v>
      </c>
      <c r="B444" t="s">
        <v>1240</v>
      </c>
      <c r="C444" t="s">
        <v>1066</v>
      </c>
      <c r="D444" t="s">
        <v>1210</v>
      </c>
      <c r="E444" t="s">
        <v>1116</v>
      </c>
      <c r="F444" t="s">
        <v>1068</v>
      </c>
      <c r="G444" t="s">
        <v>1073</v>
      </c>
      <c r="H444" s="170">
        <v>-1.34616892375413E-7</v>
      </c>
      <c r="I444" t="s">
        <v>1074</v>
      </c>
      <c r="J444">
        <v>2.54</v>
      </c>
    </row>
    <row r="445" spans="1:10" hidden="1">
      <c r="A445" t="s">
        <v>1239</v>
      </c>
      <c r="B445" t="s">
        <v>1240</v>
      </c>
      <c r="C445" t="s">
        <v>1066</v>
      </c>
      <c r="D445" t="s">
        <v>1210</v>
      </c>
      <c r="E445" t="s">
        <v>1116</v>
      </c>
      <c r="F445" t="s">
        <v>1068</v>
      </c>
      <c r="G445" t="s">
        <v>1075</v>
      </c>
      <c r="H445" s="171" t="s">
        <v>1241</v>
      </c>
      <c r="I445" t="s">
        <v>1077</v>
      </c>
      <c r="J445">
        <v>2.54</v>
      </c>
    </row>
    <row r="446" spans="1:10" hidden="1">
      <c r="A446" t="s">
        <v>1239</v>
      </c>
      <c r="B446" t="s">
        <v>1240</v>
      </c>
      <c r="C446" t="s">
        <v>1066</v>
      </c>
      <c r="D446" t="s">
        <v>1210</v>
      </c>
      <c r="E446" t="s">
        <v>1116</v>
      </c>
      <c r="F446" t="s">
        <v>1068</v>
      </c>
      <c r="G446" t="s">
        <v>1078</v>
      </c>
      <c r="H446">
        <v>-0.49634751725721299</v>
      </c>
      <c r="I446" t="s">
        <v>1079</v>
      </c>
      <c r="J446">
        <v>2.54</v>
      </c>
    </row>
    <row r="447" spans="1:10" hidden="1">
      <c r="A447" t="s">
        <v>1239</v>
      </c>
      <c r="B447" t="s">
        <v>1240</v>
      </c>
      <c r="C447" t="s">
        <v>1066</v>
      </c>
      <c r="D447" t="s">
        <v>1210</v>
      </c>
      <c r="E447" t="s">
        <v>1116</v>
      </c>
      <c r="F447" t="s">
        <v>1068</v>
      </c>
      <c r="G447" t="s">
        <v>1080</v>
      </c>
      <c r="H447" s="171" t="s">
        <v>1242</v>
      </c>
      <c r="I447" t="s">
        <v>1082</v>
      </c>
      <c r="J447">
        <v>2.54</v>
      </c>
    </row>
    <row r="448" spans="1:10" hidden="1">
      <c r="A448" t="s">
        <v>1239</v>
      </c>
      <c r="B448" t="s">
        <v>1240</v>
      </c>
      <c r="C448" t="s">
        <v>1066</v>
      </c>
      <c r="D448" t="s">
        <v>1210</v>
      </c>
      <c r="E448" t="s">
        <v>1116</v>
      </c>
      <c r="F448" t="s">
        <v>1068</v>
      </c>
      <c r="G448" t="s">
        <v>1083</v>
      </c>
      <c r="H448">
        <v>-2.01640830167881E-4</v>
      </c>
      <c r="I448" t="s">
        <v>1084</v>
      </c>
      <c r="J448">
        <v>2.54</v>
      </c>
    </row>
    <row r="449" spans="1:10" hidden="1">
      <c r="A449" t="s">
        <v>1239</v>
      </c>
      <c r="B449" t="s">
        <v>1240</v>
      </c>
      <c r="C449" t="s">
        <v>1066</v>
      </c>
      <c r="D449" t="s">
        <v>1210</v>
      </c>
      <c r="E449" t="s">
        <v>1116</v>
      </c>
      <c r="F449" t="s">
        <v>1068</v>
      </c>
      <c r="G449" t="s">
        <v>1085</v>
      </c>
      <c r="H449">
        <v>-4.7030444678747901E-3</v>
      </c>
      <c r="I449" t="s">
        <v>1086</v>
      </c>
      <c r="J449">
        <v>2.54</v>
      </c>
    </row>
    <row r="450" spans="1:10" hidden="1">
      <c r="A450" t="s">
        <v>1239</v>
      </c>
      <c r="B450" t="s">
        <v>1240</v>
      </c>
      <c r="C450" t="s">
        <v>1066</v>
      </c>
      <c r="D450" t="s">
        <v>1210</v>
      </c>
      <c r="E450" t="s">
        <v>1116</v>
      </c>
      <c r="F450" t="s">
        <v>1068</v>
      </c>
      <c r="G450" t="s">
        <v>1087</v>
      </c>
      <c r="H450" s="170">
        <v>-4.4330532312856401E-6</v>
      </c>
      <c r="I450" t="s">
        <v>1088</v>
      </c>
      <c r="J450">
        <v>2.54</v>
      </c>
    </row>
    <row r="451" spans="1:10" hidden="1">
      <c r="A451" t="s">
        <v>1239</v>
      </c>
      <c r="B451" t="s">
        <v>1240</v>
      </c>
      <c r="C451" t="s">
        <v>1066</v>
      </c>
      <c r="D451" t="s">
        <v>1210</v>
      </c>
      <c r="E451" t="s">
        <v>1116</v>
      </c>
      <c r="F451" t="s">
        <v>1068</v>
      </c>
      <c r="G451" t="s">
        <v>1089</v>
      </c>
      <c r="H451">
        <v>-1.1218049908792401E-3</v>
      </c>
      <c r="I451" t="s">
        <v>1090</v>
      </c>
      <c r="J451">
        <v>2.54</v>
      </c>
    </row>
    <row r="452" spans="1:10" hidden="1">
      <c r="A452" t="s">
        <v>1243</v>
      </c>
      <c r="B452" t="s">
        <v>1244</v>
      </c>
      <c r="C452" t="s">
        <v>1066</v>
      </c>
      <c r="D452" t="s">
        <v>271</v>
      </c>
      <c r="E452" t="s">
        <v>561</v>
      </c>
      <c r="F452" t="s">
        <v>1068</v>
      </c>
      <c r="G452" t="s">
        <v>1069</v>
      </c>
      <c r="H452">
        <v>-0.19852493150606701</v>
      </c>
      <c r="I452" t="s">
        <v>1070</v>
      </c>
      <c r="J452">
        <v>2.54</v>
      </c>
    </row>
    <row r="453" spans="1:10" hidden="1">
      <c r="A453" t="s">
        <v>1243</v>
      </c>
      <c r="B453" t="s">
        <v>1244</v>
      </c>
      <c r="C453" t="s">
        <v>1066</v>
      </c>
      <c r="D453" t="s">
        <v>271</v>
      </c>
      <c r="E453" t="s">
        <v>561</v>
      </c>
      <c r="F453" t="s">
        <v>1068</v>
      </c>
      <c r="G453" t="s">
        <v>1071</v>
      </c>
      <c r="H453" s="170">
        <v>-4.1739199444497798E-10</v>
      </c>
      <c r="I453" t="s">
        <v>1072</v>
      </c>
      <c r="J453">
        <v>2.54</v>
      </c>
    </row>
    <row r="454" spans="1:10" hidden="1">
      <c r="A454" t="s">
        <v>1243</v>
      </c>
      <c r="B454" t="s">
        <v>1244</v>
      </c>
      <c r="C454" t="s">
        <v>1066</v>
      </c>
      <c r="D454" t="s">
        <v>271</v>
      </c>
      <c r="E454" t="s">
        <v>561</v>
      </c>
      <c r="F454" t="s">
        <v>1068</v>
      </c>
      <c r="G454" t="s">
        <v>1073</v>
      </c>
      <c r="H454" s="170">
        <v>-9.5231205867660003E-8</v>
      </c>
      <c r="I454" t="s">
        <v>1074</v>
      </c>
      <c r="J454">
        <v>2.54</v>
      </c>
    </row>
    <row r="455" spans="1:10" hidden="1">
      <c r="A455" t="s">
        <v>1243</v>
      </c>
      <c r="B455" t="s">
        <v>1244</v>
      </c>
      <c r="C455" t="s">
        <v>1066</v>
      </c>
      <c r="D455" t="s">
        <v>271</v>
      </c>
      <c r="E455" t="s">
        <v>561</v>
      </c>
      <c r="F455" t="s">
        <v>1068</v>
      </c>
      <c r="G455" t="s">
        <v>1075</v>
      </c>
      <c r="H455">
        <v>4.9397200763216603E-2</v>
      </c>
      <c r="I455" t="s">
        <v>1077</v>
      </c>
      <c r="J455">
        <v>2.54</v>
      </c>
    </row>
    <row r="456" spans="1:10" hidden="1">
      <c r="A456" t="s">
        <v>1243</v>
      </c>
      <c r="B456" t="s">
        <v>1244</v>
      </c>
      <c r="C456" t="s">
        <v>1066</v>
      </c>
      <c r="D456" t="s">
        <v>271</v>
      </c>
      <c r="E456" t="s">
        <v>561</v>
      </c>
      <c r="F456" t="s">
        <v>1068</v>
      </c>
      <c r="G456" t="s">
        <v>1078</v>
      </c>
      <c r="H456">
        <v>-2.5962094989069802</v>
      </c>
      <c r="I456" t="s">
        <v>1079</v>
      </c>
      <c r="J456">
        <v>2.54</v>
      </c>
    </row>
    <row r="457" spans="1:10" hidden="1">
      <c r="A457" t="s">
        <v>1243</v>
      </c>
      <c r="B457" t="s">
        <v>1244</v>
      </c>
      <c r="C457" t="s">
        <v>1066</v>
      </c>
      <c r="D457" t="s">
        <v>271</v>
      </c>
      <c r="E457" t="s">
        <v>561</v>
      </c>
      <c r="F457" t="s">
        <v>1068</v>
      </c>
      <c r="G457" t="s">
        <v>1080</v>
      </c>
      <c r="H457" s="171" t="s">
        <v>1245</v>
      </c>
      <c r="I457" t="s">
        <v>1082</v>
      </c>
      <c r="J457">
        <v>2.54</v>
      </c>
    </row>
    <row r="458" spans="1:10" hidden="1">
      <c r="A458" t="s">
        <v>1243</v>
      </c>
      <c r="B458" t="s">
        <v>1244</v>
      </c>
      <c r="C458" t="s">
        <v>1066</v>
      </c>
      <c r="D458" t="s">
        <v>271</v>
      </c>
      <c r="E458" t="s">
        <v>561</v>
      </c>
      <c r="F458" t="s">
        <v>1068</v>
      </c>
      <c r="G458" t="s">
        <v>1083</v>
      </c>
      <c r="H458">
        <v>-2.02966383218735E-3</v>
      </c>
      <c r="I458" t="s">
        <v>1084</v>
      </c>
      <c r="J458">
        <v>2.54</v>
      </c>
    </row>
    <row r="459" spans="1:10" hidden="1">
      <c r="A459" t="s">
        <v>1243</v>
      </c>
      <c r="B459" t="s">
        <v>1244</v>
      </c>
      <c r="C459" t="s">
        <v>1066</v>
      </c>
      <c r="D459" t="s">
        <v>271</v>
      </c>
      <c r="E459" t="s">
        <v>561</v>
      </c>
      <c r="F459" t="s">
        <v>1068</v>
      </c>
      <c r="G459" t="s">
        <v>1085</v>
      </c>
      <c r="H459">
        <v>-5.6314506508436397E-2</v>
      </c>
      <c r="I459" t="s">
        <v>1086</v>
      </c>
      <c r="J459">
        <v>2.54</v>
      </c>
    </row>
    <row r="460" spans="1:10" hidden="1">
      <c r="A460" t="s">
        <v>1243</v>
      </c>
      <c r="B460" t="s">
        <v>1244</v>
      </c>
      <c r="C460" t="s">
        <v>1066</v>
      </c>
      <c r="D460" t="s">
        <v>271</v>
      </c>
      <c r="E460" t="s">
        <v>561</v>
      </c>
      <c r="F460" t="s">
        <v>1068</v>
      </c>
      <c r="G460" t="s">
        <v>1087</v>
      </c>
      <c r="H460" s="170">
        <v>-1.4202464794696001E-6</v>
      </c>
      <c r="I460" t="s">
        <v>1088</v>
      </c>
      <c r="J460">
        <v>2.54</v>
      </c>
    </row>
    <row r="461" spans="1:10" hidden="1">
      <c r="A461" t="s">
        <v>1243</v>
      </c>
      <c r="B461" t="s">
        <v>1244</v>
      </c>
      <c r="C461" t="s">
        <v>1066</v>
      </c>
      <c r="D461" t="s">
        <v>271</v>
      </c>
      <c r="E461" t="s">
        <v>561</v>
      </c>
      <c r="F461" t="s">
        <v>1068</v>
      </c>
      <c r="G461" t="s">
        <v>1089</v>
      </c>
      <c r="H461">
        <v>-1.5180778002565299E-2</v>
      </c>
      <c r="I461" t="s">
        <v>1090</v>
      </c>
      <c r="J461">
        <v>2.54</v>
      </c>
    </row>
    <row r="462" spans="1:10" hidden="1">
      <c r="A462" t="s">
        <v>1246</v>
      </c>
      <c r="B462" t="s">
        <v>1247</v>
      </c>
      <c r="C462" t="s">
        <v>1066</v>
      </c>
      <c r="D462" t="s">
        <v>271</v>
      </c>
      <c r="E462" t="s">
        <v>555</v>
      </c>
      <c r="F462" t="s">
        <v>1068</v>
      </c>
      <c r="G462" t="s">
        <v>1069</v>
      </c>
      <c r="H462">
        <v>-0.21018950976817399</v>
      </c>
      <c r="I462" t="s">
        <v>1070</v>
      </c>
      <c r="J462">
        <v>2.54</v>
      </c>
    </row>
    <row r="463" spans="1:10" hidden="1">
      <c r="A463" t="s">
        <v>1246</v>
      </c>
      <c r="B463" t="s">
        <v>1247</v>
      </c>
      <c r="C463" t="s">
        <v>1066</v>
      </c>
      <c r="D463" t="s">
        <v>271</v>
      </c>
      <c r="E463" t="s">
        <v>555</v>
      </c>
      <c r="F463" t="s">
        <v>1068</v>
      </c>
      <c r="G463" t="s">
        <v>1071</v>
      </c>
      <c r="H463" s="170">
        <v>-4.3407837467312698E-10</v>
      </c>
      <c r="I463" t="s">
        <v>1072</v>
      </c>
      <c r="J463">
        <v>2.54</v>
      </c>
    </row>
    <row r="464" spans="1:10" hidden="1">
      <c r="A464" t="s">
        <v>1246</v>
      </c>
      <c r="B464" t="s">
        <v>1247</v>
      </c>
      <c r="C464" t="s">
        <v>1066</v>
      </c>
      <c r="D464" t="s">
        <v>271</v>
      </c>
      <c r="E464" t="s">
        <v>555</v>
      </c>
      <c r="F464" t="s">
        <v>1068</v>
      </c>
      <c r="G464" t="s">
        <v>1073</v>
      </c>
      <c r="H464" s="170">
        <v>-9.9375029605823998E-8</v>
      </c>
      <c r="I464" t="s">
        <v>1074</v>
      </c>
      <c r="J464">
        <v>2.54</v>
      </c>
    </row>
    <row r="465" spans="1:10" hidden="1">
      <c r="A465" t="s">
        <v>1246</v>
      </c>
      <c r="B465" t="s">
        <v>1247</v>
      </c>
      <c r="C465" t="s">
        <v>1066</v>
      </c>
      <c r="D465" t="s">
        <v>271</v>
      </c>
      <c r="E465" t="s">
        <v>555</v>
      </c>
      <c r="F465" t="s">
        <v>1068</v>
      </c>
      <c r="G465" t="s">
        <v>1075</v>
      </c>
      <c r="H465">
        <v>4.9032260338386001E-2</v>
      </c>
      <c r="I465" t="s">
        <v>1077</v>
      </c>
      <c r="J465">
        <v>2.54</v>
      </c>
    </row>
    <row r="466" spans="1:10" hidden="1">
      <c r="A466" t="s">
        <v>1246</v>
      </c>
      <c r="B466" t="s">
        <v>1247</v>
      </c>
      <c r="C466" t="s">
        <v>1066</v>
      </c>
      <c r="D466" t="s">
        <v>271</v>
      </c>
      <c r="E466" t="s">
        <v>555</v>
      </c>
      <c r="F466" t="s">
        <v>1068</v>
      </c>
      <c r="G466" t="s">
        <v>1078</v>
      </c>
      <c r="H466">
        <v>-2.6105509359807</v>
      </c>
      <c r="I466" t="s">
        <v>1079</v>
      </c>
      <c r="J466">
        <v>2.54</v>
      </c>
    </row>
    <row r="467" spans="1:10" hidden="1">
      <c r="A467" t="s">
        <v>1246</v>
      </c>
      <c r="B467" t="s">
        <v>1247</v>
      </c>
      <c r="C467" t="s">
        <v>1066</v>
      </c>
      <c r="D467" t="s">
        <v>271</v>
      </c>
      <c r="E467" t="s">
        <v>555</v>
      </c>
      <c r="F467" t="s">
        <v>1068</v>
      </c>
      <c r="G467" t="s">
        <v>1080</v>
      </c>
      <c r="H467" s="171" t="s">
        <v>1248</v>
      </c>
      <c r="I467" t="s">
        <v>1082</v>
      </c>
      <c r="J467">
        <v>2.54</v>
      </c>
    </row>
    <row r="468" spans="1:10" hidden="1">
      <c r="A468" t="s">
        <v>1246</v>
      </c>
      <c r="B468" t="s">
        <v>1247</v>
      </c>
      <c r="C468" t="s">
        <v>1066</v>
      </c>
      <c r="D468" t="s">
        <v>271</v>
      </c>
      <c r="E468" t="s">
        <v>555</v>
      </c>
      <c r="F468" t="s">
        <v>1068</v>
      </c>
      <c r="G468" t="s">
        <v>1083</v>
      </c>
      <c r="H468">
        <v>-2.03143722858944E-3</v>
      </c>
      <c r="I468" t="s">
        <v>1084</v>
      </c>
      <c r="J468">
        <v>2.54</v>
      </c>
    </row>
    <row r="469" spans="1:10" hidden="1">
      <c r="A469" t="s">
        <v>1246</v>
      </c>
      <c r="B469" t="s">
        <v>1247</v>
      </c>
      <c r="C469" t="s">
        <v>1066</v>
      </c>
      <c r="D469" t="s">
        <v>271</v>
      </c>
      <c r="E469" t="s">
        <v>555</v>
      </c>
      <c r="F469" t="s">
        <v>1068</v>
      </c>
      <c r="G469" t="s">
        <v>1085</v>
      </c>
      <c r="H469">
        <v>-5.6334529118880101E-2</v>
      </c>
      <c r="I469" t="s">
        <v>1086</v>
      </c>
      <c r="J469">
        <v>2.54</v>
      </c>
    </row>
    <row r="470" spans="1:10" hidden="1">
      <c r="A470" t="s">
        <v>1246</v>
      </c>
      <c r="B470" t="s">
        <v>1247</v>
      </c>
      <c r="C470" t="s">
        <v>1066</v>
      </c>
      <c r="D470" t="s">
        <v>271</v>
      </c>
      <c r="E470" t="s">
        <v>555</v>
      </c>
      <c r="F470" t="s">
        <v>1068</v>
      </c>
      <c r="G470" t="s">
        <v>1087</v>
      </c>
      <c r="H470" s="170">
        <v>-1.42973218555301E-6</v>
      </c>
      <c r="I470" t="s">
        <v>1088</v>
      </c>
      <c r="J470">
        <v>2.54</v>
      </c>
    </row>
    <row r="471" spans="1:10" hidden="1">
      <c r="A471" t="s">
        <v>1246</v>
      </c>
      <c r="B471" t="s">
        <v>1247</v>
      </c>
      <c r="C471" t="s">
        <v>1066</v>
      </c>
      <c r="D471" t="s">
        <v>271</v>
      </c>
      <c r="E471" t="s">
        <v>555</v>
      </c>
      <c r="F471" t="s">
        <v>1068</v>
      </c>
      <c r="G471" t="s">
        <v>1089</v>
      </c>
      <c r="H471">
        <v>-1.51849121758438E-2</v>
      </c>
      <c r="I471" t="s">
        <v>1090</v>
      </c>
      <c r="J471">
        <v>2.54</v>
      </c>
    </row>
    <row r="472" spans="1:10" hidden="1">
      <c r="A472" t="s">
        <v>1249</v>
      </c>
      <c r="B472" t="s">
        <v>1250</v>
      </c>
      <c r="C472" t="s">
        <v>1066</v>
      </c>
      <c r="D472" t="s">
        <v>271</v>
      </c>
      <c r="E472" t="s">
        <v>558</v>
      </c>
      <c r="F472" t="s">
        <v>1068</v>
      </c>
      <c r="G472" t="s">
        <v>1069</v>
      </c>
      <c r="H472">
        <v>-0.197491911648838</v>
      </c>
      <c r="I472" t="s">
        <v>1070</v>
      </c>
      <c r="J472">
        <v>2.04</v>
      </c>
    </row>
    <row r="473" spans="1:10" hidden="1">
      <c r="A473" t="s">
        <v>1249</v>
      </c>
      <c r="B473" t="s">
        <v>1250</v>
      </c>
      <c r="C473" t="s">
        <v>1066</v>
      </c>
      <c r="D473" t="s">
        <v>271</v>
      </c>
      <c r="E473" t="s">
        <v>558</v>
      </c>
      <c r="F473" t="s">
        <v>1068</v>
      </c>
      <c r="G473" t="s">
        <v>1071</v>
      </c>
      <c r="H473" s="170">
        <v>-4.1591373127673801E-10</v>
      </c>
      <c r="I473" t="s">
        <v>1072</v>
      </c>
      <c r="J473">
        <v>2.04</v>
      </c>
    </row>
    <row r="474" spans="1:10" hidden="1">
      <c r="A474" t="s">
        <v>1249</v>
      </c>
      <c r="B474" t="s">
        <v>1250</v>
      </c>
      <c r="C474" t="s">
        <v>1066</v>
      </c>
      <c r="D474" t="s">
        <v>271</v>
      </c>
      <c r="E474" t="s">
        <v>558</v>
      </c>
      <c r="F474" t="s">
        <v>1068</v>
      </c>
      <c r="G474" t="s">
        <v>1073</v>
      </c>
      <c r="H474" s="170">
        <v>-9.4864273945698898E-8</v>
      </c>
      <c r="I474" t="s">
        <v>1074</v>
      </c>
      <c r="J474">
        <v>2.04</v>
      </c>
    </row>
    <row r="475" spans="1:10" hidden="1">
      <c r="A475" t="s">
        <v>1249</v>
      </c>
      <c r="B475" t="s">
        <v>1250</v>
      </c>
      <c r="C475" t="s">
        <v>1066</v>
      </c>
      <c r="D475" t="s">
        <v>271</v>
      </c>
      <c r="E475" t="s">
        <v>558</v>
      </c>
      <c r="F475" t="s">
        <v>1068</v>
      </c>
      <c r="G475" t="s">
        <v>1075</v>
      </c>
      <c r="H475" s="171" t="s">
        <v>1251</v>
      </c>
      <c r="I475" t="s">
        <v>1077</v>
      </c>
      <c r="J475">
        <v>2.04</v>
      </c>
    </row>
    <row r="476" spans="1:10" hidden="1">
      <c r="A476" t="s">
        <v>1249</v>
      </c>
      <c r="B476" t="s">
        <v>1250</v>
      </c>
      <c r="C476" t="s">
        <v>1066</v>
      </c>
      <c r="D476" t="s">
        <v>271</v>
      </c>
      <c r="E476" t="s">
        <v>558</v>
      </c>
      <c r="F476" t="s">
        <v>1068</v>
      </c>
      <c r="G476" t="s">
        <v>1078</v>
      </c>
      <c r="H476">
        <v>-2.5947973767447099</v>
      </c>
      <c r="I476" t="s">
        <v>1079</v>
      </c>
      <c r="J476">
        <v>2.04</v>
      </c>
    </row>
    <row r="477" spans="1:10" hidden="1">
      <c r="A477" t="s">
        <v>1249</v>
      </c>
      <c r="B477" t="s">
        <v>1250</v>
      </c>
      <c r="C477" t="s">
        <v>1066</v>
      </c>
      <c r="D477" t="s">
        <v>271</v>
      </c>
      <c r="E477" t="s">
        <v>558</v>
      </c>
      <c r="F477" t="s">
        <v>1068</v>
      </c>
      <c r="G477" t="s">
        <v>1080</v>
      </c>
      <c r="H477" s="171" t="s">
        <v>1252</v>
      </c>
      <c r="I477" t="s">
        <v>1082</v>
      </c>
      <c r="J477">
        <v>2.04</v>
      </c>
    </row>
    <row r="478" spans="1:10" hidden="1">
      <c r="A478" t="s">
        <v>1249</v>
      </c>
      <c r="B478" t="s">
        <v>1250</v>
      </c>
      <c r="C478" t="s">
        <v>1066</v>
      </c>
      <c r="D478" t="s">
        <v>271</v>
      </c>
      <c r="E478" t="s">
        <v>558</v>
      </c>
      <c r="F478" t="s">
        <v>1068</v>
      </c>
      <c r="G478" t="s">
        <v>1083</v>
      </c>
      <c r="H478">
        <v>-2.0295068125002098E-3</v>
      </c>
      <c r="I478" t="s">
        <v>1084</v>
      </c>
      <c r="J478">
        <v>2.04</v>
      </c>
    </row>
    <row r="479" spans="1:10" hidden="1">
      <c r="A479" t="s">
        <v>1249</v>
      </c>
      <c r="B479" t="s">
        <v>1250</v>
      </c>
      <c r="C479" t="s">
        <v>1066</v>
      </c>
      <c r="D479" t="s">
        <v>271</v>
      </c>
      <c r="E479" t="s">
        <v>558</v>
      </c>
      <c r="F479" t="s">
        <v>1068</v>
      </c>
      <c r="G479" t="s">
        <v>1085</v>
      </c>
      <c r="H479">
        <v>-5.6312731867288801E-2</v>
      </c>
      <c r="I479" t="s">
        <v>1086</v>
      </c>
      <c r="J479">
        <v>2.04</v>
      </c>
    </row>
    <row r="480" spans="1:10" hidden="1">
      <c r="A480" t="s">
        <v>1249</v>
      </c>
      <c r="B480" t="s">
        <v>1250</v>
      </c>
      <c r="C480" t="s">
        <v>1066</v>
      </c>
      <c r="D480" t="s">
        <v>271</v>
      </c>
      <c r="E480" t="s">
        <v>558</v>
      </c>
      <c r="F480" t="s">
        <v>1068</v>
      </c>
      <c r="G480" t="s">
        <v>1087</v>
      </c>
      <c r="H480" s="170">
        <v>-1.41939002954873E-6</v>
      </c>
      <c r="I480" t="s">
        <v>1088</v>
      </c>
      <c r="J480">
        <v>2.04</v>
      </c>
    </row>
    <row r="481" spans="1:10" hidden="1">
      <c r="A481" t="s">
        <v>1249</v>
      </c>
      <c r="B481" t="s">
        <v>1250</v>
      </c>
      <c r="C481" t="s">
        <v>1066</v>
      </c>
      <c r="D481" t="s">
        <v>271</v>
      </c>
      <c r="E481" t="s">
        <v>558</v>
      </c>
      <c r="F481" t="s">
        <v>1068</v>
      </c>
      <c r="G481" t="s">
        <v>1089</v>
      </c>
      <c r="H481">
        <v>-1.5180411897601E-2</v>
      </c>
      <c r="I481" t="s">
        <v>1090</v>
      </c>
      <c r="J481">
        <v>2.04</v>
      </c>
    </row>
    <row r="482" spans="1:10" hidden="1">
      <c r="A482" t="s">
        <v>1253</v>
      </c>
      <c r="B482" t="s">
        <v>1254</v>
      </c>
      <c r="C482" t="s">
        <v>1066</v>
      </c>
      <c r="D482" t="s">
        <v>271</v>
      </c>
      <c r="E482" t="s">
        <v>553</v>
      </c>
      <c r="F482" t="s">
        <v>1068</v>
      </c>
      <c r="G482" t="s">
        <v>1069</v>
      </c>
      <c r="H482">
        <v>-0.196477721633421</v>
      </c>
      <c r="I482" t="s">
        <v>1070</v>
      </c>
      <c r="J482">
        <v>2.56</v>
      </c>
    </row>
    <row r="483" spans="1:10" hidden="1">
      <c r="A483" t="s">
        <v>1253</v>
      </c>
      <c r="B483" t="s">
        <v>1254</v>
      </c>
      <c r="C483" t="s">
        <v>1066</v>
      </c>
      <c r="D483" t="s">
        <v>271</v>
      </c>
      <c r="E483" t="s">
        <v>553</v>
      </c>
      <c r="F483" t="s">
        <v>1068</v>
      </c>
      <c r="G483" t="s">
        <v>1071</v>
      </c>
      <c r="H483" s="170">
        <v>-4.1445664985528899E-10</v>
      </c>
      <c r="I483" t="s">
        <v>1072</v>
      </c>
      <c r="J483">
        <v>2.56</v>
      </c>
    </row>
    <row r="484" spans="1:10" hidden="1">
      <c r="A484" t="s">
        <v>1253</v>
      </c>
      <c r="B484" t="s">
        <v>1254</v>
      </c>
      <c r="C484" t="s">
        <v>1066</v>
      </c>
      <c r="D484" t="s">
        <v>271</v>
      </c>
      <c r="E484" t="s">
        <v>553</v>
      </c>
      <c r="F484" t="s">
        <v>1068</v>
      </c>
      <c r="G484" t="s">
        <v>1073</v>
      </c>
      <c r="H484" s="170">
        <v>-9.4504559073641097E-8</v>
      </c>
      <c r="I484" t="s">
        <v>1074</v>
      </c>
      <c r="J484">
        <v>2.56</v>
      </c>
    </row>
    <row r="485" spans="1:10" hidden="1">
      <c r="A485" t="s">
        <v>1253</v>
      </c>
      <c r="B485" t="s">
        <v>1254</v>
      </c>
      <c r="C485" t="s">
        <v>1066</v>
      </c>
      <c r="D485" t="s">
        <v>271</v>
      </c>
      <c r="E485" t="s">
        <v>553</v>
      </c>
      <c r="F485" t="s">
        <v>1068</v>
      </c>
      <c r="G485" t="s">
        <v>1075</v>
      </c>
      <c r="H485">
        <v>4.9465704609215802E-2</v>
      </c>
      <c r="I485" t="s">
        <v>1077</v>
      </c>
      <c r="J485">
        <v>2.56</v>
      </c>
    </row>
    <row r="486" spans="1:10" hidden="1">
      <c r="A486" t="s">
        <v>1253</v>
      </c>
      <c r="B486" t="s">
        <v>1254</v>
      </c>
      <c r="C486" t="s">
        <v>1066</v>
      </c>
      <c r="D486" t="s">
        <v>271</v>
      </c>
      <c r="E486" t="s">
        <v>553</v>
      </c>
      <c r="F486" t="s">
        <v>1068</v>
      </c>
      <c r="G486" t="s">
        <v>1078</v>
      </c>
      <c r="H486">
        <v>-2.5918071337444002</v>
      </c>
      <c r="I486" t="s">
        <v>1079</v>
      </c>
      <c r="J486">
        <v>2.56</v>
      </c>
    </row>
    <row r="487" spans="1:10" hidden="1">
      <c r="A487" t="s">
        <v>1253</v>
      </c>
      <c r="B487" t="s">
        <v>1254</v>
      </c>
      <c r="C487" t="s">
        <v>1066</v>
      </c>
      <c r="D487" t="s">
        <v>271</v>
      </c>
      <c r="E487" t="s">
        <v>553</v>
      </c>
      <c r="F487" t="s">
        <v>1068</v>
      </c>
      <c r="G487" t="s">
        <v>1080</v>
      </c>
      <c r="H487" s="171" t="s">
        <v>1255</v>
      </c>
      <c r="I487" t="s">
        <v>1082</v>
      </c>
      <c r="J487">
        <v>2.56</v>
      </c>
    </row>
    <row r="488" spans="1:10" hidden="1">
      <c r="A488" t="s">
        <v>1253</v>
      </c>
      <c r="B488" t="s">
        <v>1254</v>
      </c>
      <c r="C488" t="s">
        <v>1066</v>
      </c>
      <c r="D488" t="s">
        <v>271</v>
      </c>
      <c r="E488" t="s">
        <v>553</v>
      </c>
      <c r="F488" t="s">
        <v>1068</v>
      </c>
      <c r="G488" t="s">
        <v>1083</v>
      </c>
      <c r="H488">
        <v>-2.0293530279150802E-3</v>
      </c>
      <c r="I488" t="s">
        <v>1084</v>
      </c>
      <c r="J488">
        <v>2.56</v>
      </c>
    </row>
    <row r="489" spans="1:10" hidden="1">
      <c r="A489" t="s">
        <v>1253</v>
      </c>
      <c r="B489" t="s">
        <v>1254</v>
      </c>
      <c r="C489" t="s">
        <v>1066</v>
      </c>
      <c r="D489" t="s">
        <v>271</v>
      </c>
      <c r="E489" t="s">
        <v>553</v>
      </c>
      <c r="F489" t="s">
        <v>1068</v>
      </c>
      <c r="G489" t="s">
        <v>1085</v>
      </c>
      <c r="H489">
        <v>-5.6310973421222099E-2</v>
      </c>
      <c r="I489" t="s">
        <v>1086</v>
      </c>
      <c r="J489">
        <v>2.56</v>
      </c>
    </row>
    <row r="490" spans="1:10" hidden="1">
      <c r="A490" t="s">
        <v>1253</v>
      </c>
      <c r="B490" t="s">
        <v>1254</v>
      </c>
      <c r="C490" t="s">
        <v>1066</v>
      </c>
      <c r="D490" t="s">
        <v>271</v>
      </c>
      <c r="E490" t="s">
        <v>553</v>
      </c>
      <c r="F490" t="s">
        <v>1068</v>
      </c>
      <c r="G490" t="s">
        <v>1087</v>
      </c>
      <c r="H490" s="170">
        <v>-1.4183640983075399E-6</v>
      </c>
      <c r="I490" t="s">
        <v>1088</v>
      </c>
      <c r="J490">
        <v>2.56</v>
      </c>
    </row>
    <row r="491" spans="1:10" hidden="1">
      <c r="A491" t="s">
        <v>1253</v>
      </c>
      <c r="B491" t="s">
        <v>1254</v>
      </c>
      <c r="C491" t="s">
        <v>1066</v>
      </c>
      <c r="D491" t="s">
        <v>271</v>
      </c>
      <c r="E491" t="s">
        <v>553</v>
      </c>
      <c r="F491" t="s">
        <v>1068</v>
      </c>
      <c r="G491" t="s">
        <v>1089</v>
      </c>
      <c r="H491">
        <v>-1.51800526819332E-2</v>
      </c>
      <c r="I491" t="s">
        <v>1090</v>
      </c>
      <c r="J491">
        <v>2.56</v>
      </c>
    </row>
    <row r="492" spans="1:10" hidden="1">
      <c r="A492" t="s">
        <v>1256</v>
      </c>
      <c r="B492" t="s">
        <v>1257</v>
      </c>
      <c r="C492" t="s">
        <v>1066</v>
      </c>
      <c r="D492" t="s">
        <v>271</v>
      </c>
      <c r="E492" t="s">
        <v>556</v>
      </c>
      <c r="F492" t="s">
        <v>1068</v>
      </c>
      <c r="G492" t="s">
        <v>1069</v>
      </c>
      <c r="H492">
        <v>-0.20890067770009199</v>
      </c>
      <c r="I492" t="s">
        <v>1070</v>
      </c>
      <c r="J492">
        <v>2.54</v>
      </c>
    </row>
    <row r="493" spans="1:10" hidden="1">
      <c r="A493" t="s">
        <v>1256</v>
      </c>
      <c r="B493" t="s">
        <v>1257</v>
      </c>
      <c r="C493" t="s">
        <v>1066</v>
      </c>
      <c r="D493" t="s">
        <v>271</v>
      </c>
      <c r="E493" t="s">
        <v>556</v>
      </c>
      <c r="F493" t="s">
        <v>1068</v>
      </c>
      <c r="G493" t="s">
        <v>1071</v>
      </c>
      <c r="H493" s="170">
        <v>-4.3220191438313101E-10</v>
      </c>
      <c r="I493" t="s">
        <v>1072</v>
      </c>
      <c r="J493">
        <v>2.54</v>
      </c>
    </row>
    <row r="494" spans="1:10" hidden="1">
      <c r="A494" t="s">
        <v>1256</v>
      </c>
      <c r="B494" t="s">
        <v>1257</v>
      </c>
      <c r="C494" t="s">
        <v>1066</v>
      </c>
      <c r="D494" t="s">
        <v>271</v>
      </c>
      <c r="E494" t="s">
        <v>556</v>
      </c>
      <c r="F494" t="s">
        <v>1068</v>
      </c>
      <c r="G494" t="s">
        <v>1073</v>
      </c>
      <c r="H494" s="170">
        <v>-9.8916312511353596E-8</v>
      </c>
      <c r="I494" t="s">
        <v>1074</v>
      </c>
      <c r="J494">
        <v>2.54</v>
      </c>
    </row>
    <row r="495" spans="1:10" hidden="1">
      <c r="A495" t="s">
        <v>1256</v>
      </c>
      <c r="B495" t="s">
        <v>1257</v>
      </c>
      <c r="C495" t="s">
        <v>1066</v>
      </c>
      <c r="D495" t="s">
        <v>271</v>
      </c>
      <c r="E495" t="s">
        <v>556</v>
      </c>
      <c r="F495" t="s">
        <v>1068</v>
      </c>
      <c r="G495" t="s">
        <v>1075</v>
      </c>
      <c r="H495">
        <v>4.9087059572374803E-2</v>
      </c>
      <c r="I495" t="s">
        <v>1077</v>
      </c>
      <c r="J495">
        <v>2.54</v>
      </c>
    </row>
    <row r="496" spans="1:10" hidden="1">
      <c r="A496" t="s">
        <v>1256</v>
      </c>
      <c r="B496" t="s">
        <v>1257</v>
      </c>
      <c r="C496" t="s">
        <v>1066</v>
      </c>
      <c r="D496" t="s">
        <v>271</v>
      </c>
      <c r="E496" t="s">
        <v>556</v>
      </c>
      <c r="F496" t="s">
        <v>1068</v>
      </c>
      <c r="G496" t="s">
        <v>1078</v>
      </c>
      <c r="H496">
        <v>-2.6029245012209099</v>
      </c>
      <c r="I496" t="s">
        <v>1079</v>
      </c>
      <c r="J496">
        <v>2.54</v>
      </c>
    </row>
    <row r="497" spans="1:10" hidden="1">
      <c r="A497" t="s">
        <v>1256</v>
      </c>
      <c r="B497" t="s">
        <v>1257</v>
      </c>
      <c r="C497" t="s">
        <v>1066</v>
      </c>
      <c r="D497" t="s">
        <v>271</v>
      </c>
      <c r="E497" t="s">
        <v>556</v>
      </c>
      <c r="F497" t="s">
        <v>1068</v>
      </c>
      <c r="G497" t="s">
        <v>1080</v>
      </c>
      <c r="H497" s="171" t="s">
        <v>1258</v>
      </c>
      <c r="I497" t="s">
        <v>1082</v>
      </c>
      <c r="J497">
        <v>2.54</v>
      </c>
    </row>
    <row r="498" spans="1:10" hidden="1">
      <c r="A498" t="s">
        <v>1256</v>
      </c>
      <c r="B498" t="s">
        <v>1257</v>
      </c>
      <c r="C498" t="s">
        <v>1066</v>
      </c>
      <c r="D498" t="s">
        <v>271</v>
      </c>
      <c r="E498" t="s">
        <v>556</v>
      </c>
      <c r="F498" t="s">
        <v>1068</v>
      </c>
      <c r="G498" t="s">
        <v>1083</v>
      </c>
      <c r="H498">
        <v>-2.03124132110734E-3</v>
      </c>
      <c r="I498" t="s">
        <v>1084</v>
      </c>
      <c r="J498">
        <v>2.54</v>
      </c>
    </row>
    <row r="499" spans="1:10" hidden="1">
      <c r="A499" t="s">
        <v>1256</v>
      </c>
      <c r="B499" t="s">
        <v>1257</v>
      </c>
      <c r="C499" t="s">
        <v>1066</v>
      </c>
      <c r="D499" t="s">
        <v>271</v>
      </c>
      <c r="E499" t="s">
        <v>556</v>
      </c>
      <c r="F499" t="s">
        <v>1068</v>
      </c>
      <c r="G499" t="s">
        <v>1085</v>
      </c>
      <c r="H499">
        <v>-5.6332241027095997E-2</v>
      </c>
      <c r="I499" t="s">
        <v>1086</v>
      </c>
      <c r="J499">
        <v>2.54</v>
      </c>
    </row>
    <row r="500" spans="1:10" hidden="1">
      <c r="A500" t="s">
        <v>1256</v>
      </c>
      <c r="B500" t="s">
        <v>1257</v>
      </c>
      <c r="C500" t="s">
        <v>1066</v>
      </c>
      <c r="D500" t="s">
        <v>271</v>
      </c>
      <c r="E500" t="s">
        <v>556</v>
      </c>
      <c r="F500" t="s">
        <v>1068</v>
      </c>
      <c r="G500" t="s">
        <v>1087</v>
      </c>
      <c r="H500" s="170">
        <v>-1.4286636734766401E-6</v>
      </c>
      <c r="I500" t="s">
        <v>1088</v>
      </c>
      <c r="J500">
        <v>2.54</v>
      </c>
    </row>
    <row r="501" spans="1:10" hidden="1">
      <c r="A501" t="s">
        <v>1256</v>
      </c>
      <c r="B501" t="s">
        <v>1257</v>
      </c>
      <c r="C501" t="s">
        <v>1066</v>
      </c>
      <c r="D501" t="s">
        <v>271</v>
      </c>
      <c r="E501" t="s">
        <v>556</v>
      </c>
      <c r="F501" t="s">
        <v>1068</v>
      </c>
      <c r="G501" t="s">
        <v>1089</v>
      </c>
      <c r="H501">
        <v>-1.51844554210867E-2</v>
      </c>
      <c r="I501" t="s">
        <v>1090</v>
      </c>
      <c r="J501">
        <v>2.54</v>
      </c>
    </row>
    <row r="502" spans="1:10" hidden="1">
      <c r="A502" t="s">
        <v>1259</v>
      </c>
      <c r="B502" t="s">
        <v>1260</v>
      </c>
      <c r="C502" t="s">
        <v>1066</v>
      </c>
      <c r="D502" t="s">
        <v>271</v>
      </c>
      <c r="E502" t="s">
        <v>557</v>
      </c>
      <c r="F502" t="s">
        <v>1068</v>
      </c>
      <c r="G502" t="s">
        <v>1069</v>
      </c>
      <c r="H502">
        <v>-0.201758732797402</v>
      </c>
      <c r="I502" t="s">
        <v>1070</v>
      </c>
      <c r="J502">
        <v>3.04</v>
      </c>
    </row>
    <row r="503" spans="1:10" hidden="1">
      <c r="A503" t="s">
        <v>1259</v>
      </c>
      <c r="B503" t="s">
        <v>1260</v>
      </c>
      <c r="C503" t="s">
        <v>1066</v>
      </c>
      <c r="D503" t="s">
        <v>271</v>
      </c>
      <c r="E503" t="s">
        <v>557</v>
      </c>
      <c r="F503" t="s">
        <v>1068</v>
      </c>
      <c r="G503" t="s">
        <v>1071</v>
      </c>
      <c r="H503" s="170">
        <v>-4.22019600882865E-10</v>
      </c>
      <c r="I503" t="s">
        <v>1072</v>
      </c>
      <c r="J503">
        <v>3.04</v>
      </c>
    </row>
    <row r="504" spans="1:10" hidden="1">
      <c r="A504" t="s">
        <v>1259</v>
      </c>
      <c r="B504" t="s">
        <v>1260</v>
      </c>
      <c r="C504" t="s">
        <v>1066</v>
      </c>
      <c r="D504" t="s">
        <v>271</v>
      </c>
      <c r="E504" t="s">
        <v>557</v>
      </c>
      <c r="F504" t="s">
        <v>1068</v>
      </c>
      <c r="G504" t="s">
        <v>1073</v>
      </c>
      <c r="H504" s="170">
        <v>-9.6379862318681094E-8</v>
      </c>
      <c r="I504" t="s">
        <v>1074</v>
      </c>
      <c r="J504">
        <v>3.04</v>
      </c>
    </row>
    <row r="505" spans="1:10" hidden="1">
      <c r="A505" t="s">
        <v>1259</v>
      </c>
      <c r="B505" t="s">
        <v>1260</v>
      </c>
      <c r="C505" t="s">
        <v>1066</v>
      </c>
      <c r="D505" t="s">
        <v>271</v>
      </c>
      <c r="E505" t="s">
        <v>557</v>
      </c>
      <c r="F505" t="s">
        <v>1068</v>
      </c>
      <c r="G505" t="s">
        <v>1075</v>
      </c>
      <c r="H505">
        <v>4.9294976849802198E-2</v>
      </c>
      <c r="I505" t="s">
        <v>1077</v>
      </c>
      <c r="J505">
        <v>3.04</v>
      </c>
    </row>
    <row r="506" spans="1:10" hidden="1">
      <c r="A506" t="s">
        <v>1259</v>
      </c>
      <c r="B506" t="s">
        <v>1260</v>
      </c>
      <c r="C506" t="s">
        <v>1066</v>
      </c>
      <c r="D506" t="s">
        <v>271</v>
      </c>
      <c r="E506" t="s">
        <v>557</v>
      </c>
      <c r="F506" t="s">
        <v>1068</v>
      </c>
      <c r="G506" t="s">
        <v>1078</v>
      </c>
      <c r="H506">
        <v>-2.6006300552409898</v>
      </c>
      <c r="I506" t="s">
        <v>1079</v>
      </c>
      <c r="J506">
        <v>3.04</v>
      </c>
    </row>
    <row r="507" spans="1:10" hidden="1">
      <c r="A507" t="s">
        <v>1259</v>
      </c>
      <c r="B507" t="s">
        <v>1260</v>
      </c>
      <c r="C507" t="s">
        <v>1066</v>
      </c>
      <c r="D507" t="s">
        <v>271</v>
      </c>
      <c r="E507" t="s">
        <v>557</v>
      </c>
      <c r="F507" t="s">
        <v>1068</v>
      </c>
      <c r="G507" t="s">
        <v>1080</v>
      </c>
      <c r="H507" s="171" t="s">
        <v>1261</v>
      </c>
      <c r="I507" t="s">
        <v>1082</v>
      </c>
      <c r="J507">
        <v>3.04</v>
      </c>
    </row>
    <row r="508" spans="1:10" hidden="1">
      <c r="A508" t="s">
        <v>1259</v>
      </c>
      <c r="B508" t="s">
        <v>1260</v>
      </c>
      <c r="C508" t="s">
        <v>1066</v>
      </c>
      <c r="D508" t="s">
        <v>271</v>
      </c>
      <c r="E508" t="s">
        <v>557</v>
      </c>
      <c r="F508" t="s">
        <v>1068</v>
      </c>
      <c r="G508" t="s">
        <v>1083</v>
      </c>
      <c r="H508">
        <v>-2.0301553720775099E-3</v>
      </c>
      <c r="I508" t="s">
        <v>1084</v>
      </c>
      <c r="J508">
        <v>3.04</v>
      </c>
    </row>
    <row r="509" spans="1:10" hidden="1">
      <c r="A509" t="s">
        <v>1259</v>
      </c>
      <c r="B509" t="s">
        <v>1260</v>
      </c>
      <c r="C509" t="s">
        <v>1066</v>
      </c>
      <c r="D509" t="s">
        <v>271</v>
      </c>
      <c r="E509" t="s">
        <v>557</v>
      </c>
      <c r="F509" t="s">
        <v>1068</v>
      </c>
      <c r="G509" t="s">
        <v>1085</v>
      </c>
      <c r="H509">
        <v>-5.6320061906811401E-2</v>
      </c>
      <c r="I509" t="s">
        <v>1086</v>
      </c>
      <c r="J509">
        <v>3.04</v>
      </c>
    </row>
    <row r="510" spans="1:10" hidden="1">
      <c r="A510" t="s">
        <v>1259</v>
      </c>
      <c r="B510" t="s">
        <v>1260</v>
      </c>
      <c r="C510" t="s">
        <v>1066</v>
      </c>
      <c r="D510" t="s">
        <v>271</v>
      </c>
      <c r="E510" t="s">
        <v>557</v>
      </c>
      <c r="F510" t="s">
        <v>1068</v>
      </c>
      <c r="G510" t="s">
        <v>1087</v>
      </c>
      <c r="H510" s="170">
        <v>-1.42292754009142E-6</v>
      </c>
      <c r="I510" t="s">
        <v>1088</v>
      </c>
      <c r="J510">
        <v>3.04</v>
      </c>
    </row>
    <row r="511" spans="1:10" hidden="1">
      <c r="A511" t="s">
        <v>1259</v>
      </c>
      <c r="B511" t="s">
        <v>1260</v>
      </c>
      <c r="C511" t="s">
        <v>1066</v>
      </c>
      <c r="D511" t="s">
        <v>271</v>
      </c>
      <c r="E511" t="s">
        <v>557</v>
      </c>
      <c r="F511" t="s">
        <v>1068</v>
      </c>
      <c r="G511" t="s">
        <v>1089</v>
      </c>
      <c r="H511">
        <v>-1.5181924070279599E-2</v>
      </c>
      <c r="I511" t="s">
        <v>1090</v>
      </c>
      <c r="J511">
        <v>3.04</v>
      </c>
    </row>
    <row r="512" spans="1:10" hidden="1">
      <c r="A512" t="s">
        <v>1262</v>
      </c>
      <c r="B512" t="s">
        <v>1263</v>
      </c>
      <c r="C512" t="s">
        <v>1066</v>
      </c>
      <c r="D512" t="s">
        <v>271</v>
      </c>
      <c r="E512" t="s">
        <v>559</v>
      </c>
      <c r="F512" t="s">
        <v>1068</v>
      </c>
      <c r="G512" t="s">
        <v>1069</v>
      </c>
      <c r="H512">
        <v>-0.205208073629154</v>
      </c>
      <c r="I512" t="s">
        <v>1070</v>
      </c>
      <c r="J512">
        <v>2.54</v>
      </c>
    </row>
    <row r="513" spans="1:10" hidden="1">
      <c r="A513" t="s">
        <v>1262</v>
      </c>
      <c r="B513" t="s">
        <v>1263</v>
      </c>
      <c r="C513" t="s">
        <v>1066</v>
      </c>
      <c r="D513" t="s">
        <v>271</v>
      </c>
      <c r="E513" t="s">
        <v>559</v>
      </c>
      <c r="F513" t="s">
        <v>1068</v>
      </c>
      <c r="G513" t="s">
        <v>1071</v>
      </c>
      <c r="H513" s="170">
        <v>-4.2694988288496298E-10</v>
      </c>
      <c r="I513" t="s">
        <v>1072</v>
      </c>
      <c r="J513">
        <v>2.54</v>
      </c>
    </row>
    <row r="514" spans="1:10" hidden="1">
      <c r="A514" t="s">
        <v>1262</v>
      </c>
      <c r="B514" t="s">
        <v>1263</v>
      </c>
      <c r="C514" t="s">
        <v>1066</v>
      </c>
      <c r="D514" t="s">
        <v>271</v>
      </c>
      <c r="E514" t="s">
        <v>559</v>
      </c>
      <c r="F514" t="s">
        <v>1068</v>
      </c>
      <c r="G514" t="s">
        <v>1073</v>
      </c>
      <c r="H514" s="170">
        <v>-9.7605607727020301E-8</v>
      </c>
      <c r="I514" t="s">
        <v>1074</v>
      </c>
      <c r="J514">
        <v>2.54</v>
      </c>
    </row>
    <row r="515" spans="1:10" hidden="1">
      <c r="A515" t="s">
        <v>1262</v>
      </c>
      <c r="B515" t="s">
        <v>1263</v>
      </c>
      <c r="C515" t="s">
        <v>1066</v>
      </c>
      <c r="D515" t="s">
        <v>271</v>
      </c>
      <c r="E515" t="s">
        <v>559</v>
      </c>
      <c r="F515" t="s">
        <v>1068</v>
      </c>
      <c r="G515" t="s">
        <v>1075</v>
      </c>
      <c r="H515">
        <v>4.9189728856256401E-2</v>
      </c>
      <c r="I515" t="s">
        <v>1077</v>
      </c>
      <c r="J515">
        <v>2.54</v>
      </c>
    </row>
    <row r="516" spans="1:10" hidden="1">
      <c r="A516" t="s">
        <v>1262</v>
      </c>
      <c r="B516" t="s">
        <v>1263</v>
      </c>
      <c r="C516" t="s">
        <v>1066</v>
      </c>
      <c r="D516" t="s">
        <v>271</v>
      </c>
      <c r="E516" t="s">
        <v>559</v>
      </c>
      <c r="F516" t="s">
        <v>1068</v>
      </c>
      <c r="G516" t="s">
        <v>1078</v>
      </c>
      <c r="H516">
        <v>-2.60374138984985</v>
      </c>
      <c r="I516" t="s">
        <v>1079</v>
      </c>
      <c r="J516">
        <v>2.54</v>
      </c>
    </row>
    <row r="517" spans="1:10" hidden="1">
      <c r="A517" t="s">
        <v>1262</v>
      </c>
      <c r="B517" t="s">
        <v>1263</v>
      </c>
      <c r="C517" t="s">
        <v>1066</v>
      </c>
      <c r="D517" t="s">
        <v>271</v>
      </c>
      <c r="E517" t="s">
        <v>559</v>
      </c>
      <c r="F517" t="s">
        <v>1068</v>
      </c>
      <c r="G517" t="s">
        <v>1080</v>
      </c>
      <c r="H517" s="171" t="s">
        <v>1264</v>
      </c>
      <c r="I517" t="s">
        <v>1082</v>
      </c>
      <c r="J517">
        <v>2.54</v>
      </c>
    </row>
    <row r="518" spans="1:10" hidden="1">
      <c r="A518" t="s">
        <v>1262</v>
      </c>
      <c r="B518" t="s">
        <v>1263</v>
      </c>
      <c r="C518" t="s">
        <v>1066</v>
      </c>
      <c r="D518" t="s">
        <v>271</v>
      </c>
      <c r="E518" t="s">
        <v>559</v>
      </c>
      <c r="F518" t="s">
        <v>1068</v>
      </c>
      <c r="G518" t="s">
        <v>1083</v>
      </c>
      <c r="H518">
        <v>-2.0306800470710402E-3</v>
      </c>
      <c r="I518" t="s">
        <v>1084</v>
      </c>
      <c r="J518">
        <v>2.54</v>
      </c>
    </row>
    <row r="519" spans="1:10" hidden="1">
      <c r="A519" t="s">
        <v>1262</v>
      </c>
      <c r="B519" t="s">
        <v>1263</v>
      </c>
      <c r="C519" t="s">
        <v>1066</v>
      </c>
      <c r="D519" t="s">
        <v>271</v>
      </c>
      <c r="E519" t="s">
        <v>559</v>
      </c>
      <c r="F519" t="s">
        <v>1068</v>
      </c>
      <c r="G519" t="s">
        <v>1085</v>
      </c>
      <c r="H519">
        <v>-5.6325971430966799E-2</v>
      </c>
      <c r="I519" t="s">
        <v>1086</v>
      </c>
      <c r="J519">
        <v>2.54</v>
      </c>
    </row>
    <row r="520" spans="1:10" hidden="1">
      <c r="A520" t="s">
        <v>1262</v>
      </c>
      <c r="B520" t="s">
        <v>1263</v>
      </c>
      <c r="C520" t="s">
        <v>1066</v>
      </c>
      <c r="D520" t="s">
        <v>271</v>
      </c>
      <c r="E520" t="s">
        <v>559</v>
      </c>
      <c r="F520" t="s">
        <v>1068</v>
      </c>
      <c r="G520" t="s">
        <v>1087</v>
      </c>
      <c r="H520" s="170">
        <v>-1.4256022062915201E-6</v>
      </c>
      <c r="I520" t="s">
        <v>1088</v>
      </c>
      <c r="J520">
        <v>2.54</v>
      </c>
    </row>
    <row r="521" spans="1:10" hidden="1">
      <c r="A521" t="s">
        <v>1262</v>
      </c>
      <c r="B521" t="s">
        <v>1263</v>
      </c>
      <c r="C521" t="s">
        <v>1066</v>
      </c>
      <c r="D521" t="s">
        <v>271</v>
      </c>
      <c r="E521" t="s">
        <v>559</v>
      </c>
      <c r="F521" t="s">
        <v>1068</v>
      </c>
      <c r="G521" t="s">
        <v>1089</v>
      </c>
      <c r="H521">
        <v>-1.5183146741726401E-2</v>
      </c>
      <c r="I521" t="s">
        <v>1090</v>
      </c>
      <c r="J521">
        <v>2.54</v>
      </c>
    </row>
    <row r="522" spans="1:10" hidden="1">
      <c r="A522" t="s">
        <v>1265</v>
      </c>
      <c r="B522" t="s">
        <v>1266</v>
      </c>
      <c r="C522" t="s">
        <v>1066</v>
      </c>
      <c r="D522" t="s">
        <v>271</v>
      </c>
      <c r="E522" t="s">
        <v>560</v>
      </c>
      <c r="F522" t="s">
        <v>1068</v>
      </c>
      <c r="G522" t="s">
        <v>1069</v>
      </c>
      <c r="H522">
        <v>-0.20403437074421801</v>
      </c>
      <c r="I522" t="s">
        <v>1070</v>
      </c>
      <c r="J522">
        <v>2.0299999999999998</v>
      </c>
    </row>
    <row r="523" spans="1:10" hidden="1">
      <c r="A523" t="s">
        <v>1265</v>
      </c>
      <c r="B523" t="s">
        <v>1266</v>
      </c>
      <c r="C523" t="s">
        <v>1066</v>
      </c>
      <c r="D523" t="s">
        <v>271</v>
      </c>
      <c r="E523" t="s">
        <v>560</v>
      </c>
      <c r="F523" t="s">
        <v>1068</v>
      </c>
      <c r="G523" t="s">
        <v>1071</v>
      </c>
      <c r="H523" s="170">
        <v>-4.2527606467471402E-10</v>
      </c>
      <c r="I523" t="s">
        <v>1072</v>
      </c>
      <c r="J523">
        <v>2.0299999999999998</v>
      </c>
    </row>
    <row r="524" spans="1:10" hidden="1">
      <c r="A524" t="s">
        <v>1265</v>
      </c>
      <c r="B524" t="s">
        <v>1266</v>
      </c>
      <c r="C524" t="s">
        <v>1066</v>
      </c>
      <c r="D524" t="s">
        <v>271</v>
      </c>
      <c r="E524" t="s">
        <v>560</v>
      </c>
      <c r="F524" t="s">
        <v>1068</v>
      </c>
      <c r="G524" t="s">
        <v>1073</v>
      </c>
      <c r="H524" s="170">
        <v>-9.7188176117965206E-8</v>
      </c>
      <c r="I524" t="s">
        <v>1074</v>
      </c>
      <c r="J524">
        <v>2.0299999999999998</v>
      </c>
    </row>
    <row r="525" spans="1:10" hidden="1">
      <c r="A525" t="s">
        <v>1265</v>
      </c>
      <c r="B525" t="s">
        <v>1266</v>
      </c>
      <c r="C525" t="s">
        <v>1066</v>
      </c>
      <c r="D525" t="s">
        <v>271</v>
      </c>
      <c r="E525" t="s">
        <v>560</v>
      </c>
      <c r="F525" t="s">
        <v>1068</v>
      </c>
      <c r="G525" t="s">
        <v>1075</v>
      </c>
      <c r="H525">
        <v>4.9223041503327701E-2</v>
      </c>
      <c r="I525" t="s">
        <v>1077</v>
      </c>
      <c r="J525">
        <v>2.0299999999999998</v>
      </c>
    </row>
    <row r="526" spans="1:10" hidden="1">
      <c r="A526" t="s">
        <v>1265</v>
      </c>
      <c r="B526" t="s">
        <v>1266</v>
      </c>
      <c r="C526" t="s">
        <v>1066</v>
      </c>
      <c r="D526" t="s">
        <v>271</v>
      </c>
      <c r="E526" t="s">
        <v>560</v>
      </c>
      <c r="F526" t="s">
        <v>1068</v>
      </c>
      <c r="G526" t="s">
        <v>1078</v>
      </c>
      <c r="H526">
        <v>-2.6037408171057099</v>
      </c>
      <c r="I526" t="s">
        <v>1079</v>
      </c>
      <c r="J526">
        <v>2.0299999999999998</v>
      </c>
    </row>
    <row r="527" spans="1:10" hidden="1">
      <c r="A527" t="s">
        <v>1265</v>
      </c>
      <c r="B527" t="s">
        <v>1266</v>
      </c>
      <c r="C527" t="s">
        <v>1066</v>
      </c>
      <c r="D527" t="s">
        <v>271</v>
      </c>
      <c r="E527" t="s">
        <v>560</v>
      </c>
      <c r="F527" t="s">
        <v>1068</v>
      </c>
      <c r="G527" t="s">
        <v>1080</v>
      </c>
      <c r="H527" s="171" t="s">
        <v>1267</v>
      </c>
      <c r="I527" t="s">
        <v>1082</v>
      </c>
      <c r="J527">
        <v>2.0299999999999998</v>
      </c>
    </row>
    <row r="528" spans="1:10" hidden="1">
      <c r="A528" t="s">
        <v>1265</v>
      </c>
      <c r="B528" t="s">
        <v>1266</v>
      </c>
      <c r="C528" t="s">
        <v>1066</v>
      </c>
      <c r="D528" t="s">
        <v>271</v>
      </c>
      <c r="E528" t="s">
        <v>560</v>
      </c>
      <c r="F528" t="s">
        <v>1068</v>
      </c>
      <c r="G528" t="s">
        <v>1083</v>
      </c>
      <c r="H528">
        <v>-2.0305012705187399E-3</v>
      </c>
      <c r="I528" t="s">
        <v>1084</v>
      </c>
      <c r="J528">
        <v>2.0299999999999998</v>
      </c>
    </row>
    <row r="529" spans="1:10" hidden="1">
      <c r="A529" t="s">
        <v>1265</v>
      </c>
      <c r="B529" t="s">
        <v>1266</v>
      </c>
      <c r="C529" t="s">
        <v>1066</v>
      </c>
      <c r="D529" t="s">
        <v>271</v>
      </c>
      <c r="E529" t="s">
        <v>560</v>
      </c>
      <c r="F529" t="s">
        <v>1068</v>
      </c>
      <c r="G529" t="s">
        <v>1085</v>
      </c>
      <c r="H529">
        <v>-5.6323971261223398E-2</v>
      </c>
      <c r="I529" t="s">
        <v>1086</v>
      </c>
      <c r="J529">
        <v>2.0299999999999998</v>
      </c>
    </row>
    <row r="530" spans="1:10" hidden="1">
      <c r="A530" t="s">
        <v>1265</v>
      </c>
      <c r="B530" t="s">
        <v>1266</v>
      </c>
      <c r="C530" t="s">
        <v>1066</v>
      </c>
      <c r="D530" t="s">
        <v>271</v>
      </c>
      <c r="E530" t="s">
        <v>560</v>
      </c>
      <c r="F530" t="s">
        <v>1068</v>
      </c>
      <c r="G530" t="s">
        <v>1087</v>
      </c>
      <c r="H530" s="170">
        <v>-1.42481421238087E-6</v>
      </c>
      <c r="I530" t="s">
        <v>1088</v>
      </c>
      <c r="J530">
        <v>2.0299999999999998</v>
      </c>
    </row>
    <row r="531" spans="1:10" hidden="1">
      <c r="A531" t="s">
        <v>1265</v>
      </c>
      <c r="B531" t="s">
        <v>1266</v>
      </c>
      <c r="C531" t="s">
        <v>1066</v>
      </c>
      <c r="D531" t="s">
        <v>271</v>
      </c>
      <c r="E531" t="s">
        <v>560</v>
      </c>
      <c r="F531" t="s">
        <v>1068</v>
      </c>
      <c r="G531" t="s">
        <v>1089</v>
      </c>
      <c r="H531">
        <v>-1.51827305623748E-2</v>
      </c>
      <c r="I531" t="s">
        <v>1090</v>
      </c>
      <c r="J531">
        <v>2.0299999999999998</v>
      </c>
    </row>
    <row r="532" spans="1:10" hidden="1">
      <c r="A532" t="s">
        <v>1268</v>
      </c>
      <c r="B532" t="s">
        <v>1269</v>
      </c>
      <c r="C532" t="s">
        <v>1066</v>
      </c>
      <c r="D532" t="s">
        <v>271</v>
      </c>
      <c r="E532" t="s">
        <v>1116</v>
      </c>
      <c r="F532" t="s">
        <v>1068</v>
      </c>
      <c r="G532" t="s">
        <v>1069</v>
      </c>
      <c r="H532">
        <v>-0.197127580727436</v>
      </c>
      <c r="I532" t="s">
        <v>1070</v>
      </c>
      <c r="J532">
        <v>2.54</v>
      </c>
    </row>
    <row r="533" spans="1:10" hidden="1">
      <c r="A533" t="s">
        <v>1268</v>
      </c>
      <c r="B533" t="s">
        <v>1269</v>
      </c>
      <c r="C533" t="s">
        <v>1066</v>
      </c>
      <c r="D533" t="s">
        <v>271</v>
      </c>
      <c r="E533" t="s">
        <v>1116</v>
      </c>
      <c r="F533" t="s">
        <v>1068</v>
      </c>
      <c r="G533" t="s">
        <v>1071</v>
      </c>
      <c r="H533" s="170">
        <v>-4.1539236958325101E-10</v>
      </c>
      <c r="I533" t="s">
        <v>1072</v>
      </c>
      <c r="J533">
        <v>2.54</v>
      </c>
    </row>
    <row r="534" spans="1:10" hidden="1">
      <c r="A534" t="s">
        <v>1268</v>
      </c>
      <c r="B534" t="s">
        <v>1269</v>
      </c>
      <c r="C534" t="s">
        <v>1066</v>
      </c>
      <c r="D534" t="s">
        <v>271</v>
      </c>
      <c r="E534" t="s">
        <v>1116</v>
      </c>
      <c r="F534" t="s">
        <v>1068</v>
      </c>
      <c r="G534" t="s">
        <v>1073</v>
      </c>
      <c r="H534" s="170">
        <v>-9.4734862449603206E-8</v>
      </c>
      <c r="I534" t="s">
        <v>1074</v>
      </c>
      <c r="J534">
        <v>2.54</v>
      </c>
    </row>
    <row r="535" spans="1:10" hidden="1">
      <c r="A535" t="s">
        <v>1268</v>
      </c>
      <c r="B535" t="s">
        <v>1269</v>
      </c>
      <c r="C535" t="s">
        <v>1066</v>
      </c>
      <c r="D535" t="s">
        <v>271</v>
      </c>
      <c r="E535" t="s">
        <v>1116</v>
      </c>
      <c r="F535" t="s">
        <v>1068</v>
      </c>
      <c r="G535" t="s">
        <v>1075</v>
      </c>
      <c r="H535">
        <v>4.9441372514076001E-2</v>
      </c>
      <c r="I535" t="s">
        <v>1077</v>
      </c>
      <c r="J535">
        <v>2.54</v>
      </c>
    </row>
    <row r="536" spans="1:10" hidden="1">
      <c r="A536" t="s">
        <v>1268</v>
      </c>
      <c r="B536" t="s">
        <v>1269</v>
      </c>
      <c r="C536" t="s">
        <v>1066</v>
      </c>
      <c r="D536" t="s">
        <v>271</v>
      </c>
      <c r="E536" t="s">
        <v>1116</v>
      </c>
      <c r="F536" t="s">
        <v>1068</v>
      </c>
      <c r="G536" t="s">
        <v>1078</v>
      </c>
      <c r="H536">
        <v>-2.5942993420119702</v>
      </c>
      <c r="I536" t="s">
        <v>1079</v>
      </c>
      <c r="J536">
        <v>2.54</v>
      </c>
    </row>
    <row r="537" spans="1:10" hidden="1">
      <c r="A537" t="s">
        <v>1268</v>
      </c>
      <c r="B537" t="s">
        <v>1269</v>
      </c>
      <c r="C537" t="s">
        <v>1066</v>
      </c>
      <c r="D537" t="s">
        <v>271</v>
      </c>
      <c r="E537" t="s">
        <v>1116</v>
      </c>
      <c r="F537" t="s">
        <v>1068</v>
      </c>
      <c r="G537" t="s">
        <v>1080</v>
      </c>
      <c r="H537" s="171" t="s">
        <v>1270</v>
      </c>
      <c r="I537" t="s">
        <v>1082</v>
      </c>
      <c r="J537">
        <v>2.54</v>
      </c>
    </row>
    <row r="538" spans="1:10" hidden="1">
      <c r="A538" t="s">
        <v>1268</v>
      </c>
      <c r="B538" t="s">
        <v>1269</v>
      </c>
      <c r="C538" t="s">
        <v>1066</v>
      </c>
      <c r="D538" t="s">
        <v>271</v>
      </c>
      <c r="E538" t="s">
        <v>1116</v>
      </c>
      <c r="F538" t="s">
        <v>1068</v>
      </c>
      <c r="G538" t="s">
        <v>1083</v>
      </c>
      <c r="H538">
        <v>-2.0294514339642702E-3</v>
      </c>
      <c r="I538" t="s">
        <v>1084</v>
      </c>
      <c r="J538">
        <v>2.54</v>
      </c>
    </row>
    <row r="539" spans="1:10" hidden="1">
      <c r="A539" t="s">
        <v>1268</v>
      </c>
      <c r="B539" t="s">
        <v>1269</v>
      </c>
      <c r="C539" t="s">
        <v>1066</v>
      </c>
      <c r="D539" t="s">
        <v>271</v>
      </c>
      <c r="E539" t="s">
        <v>1116</v>
      </c>
      <c r="F539" t="s">
        <v>1068</v>
      </c>
      <c r="G539" t="s">
        <v>1085</v>
      </c>
      <c r="H539">
        <v>-5.6312105977437799E-2</v>
      </c>
      <c r="I539" t="s">
        <v>1086</v>
      </c>
      <c r="J539">
        <v>2.54</v>
      </c>
    </row>
    <row r="540" spans="1:10" hidden="1">
      <c r="A540" t="s">
        <v>1268</v>
      </c>
      <c r="B540" t="s">
        <v>1269</v>
      </c>
      <c r="C540" t="s">
        <v>1066</v>
      </c>
      <c r="D540" t="s">
        <v>271</v>
      </c>
      <c r="E540" t="s">
        <v>1116</v>
      </c>
      <c r="F540" t="s">
        <v>1068</v>
      </c>
      <c r="G540" t="s">
        <v>1087</v>
      </c>
      <c r="H540" s="170">
        <v>-1.4190879722488499E-6</v>
      </c>
      <c r="I540" t="s">
        <v>1088</v>
      </c>
      <c r="J540">
        <v>2.54</v>
      </c>
    </row>
    <row r="541" spans="1:10" hidden="1">
      <c r="A541" t="s">
        <v>1268</v>
      </c>
      <c r="B541" t="s">
        <v>1269</v>
      </c>
      <c r="C541" t="s">
        <v>1066</v>
      </c>
      <c r="D541" t="s">
        <v>271</v>
      </c>
      <c r="E541" t="s">
        <v>1116</v>
      </c>
      <c r="F541" t="s">
        <v>1068</v>
      </c>
      <c r="G541" t="s">
        <v>1089</v>
      </c>
      <c r="H541">
        <v>-1.5180282777760699E-2</v>
      </c>
      <c r="I541" t="s">
        <v>1090</v>
      </c>
      <c r="J541">
        <v>2.54</v>
      </c>
    </row>
    <row r="542" spans="1:10" hidden="1">
      <c r="A542" t="s">
        <v>1271</v>
      </c>
      <c r="B542" t="s">
        <v>1272</v>
      </c>
      <c r="C542" t="s">
        <v>1066</v>
      </c>
      <c r="D542" t="s">
        <v>1273</v>
      </c>
      <c r="E542" t="s">
        <v>561</v>
      </c>
      <c r="F542" t="s">
        <v>1068</v>
      </c>
      <c r="G542" t="s">
        <v>1069</v>
      </c>
      <c r="H542">
        <v>-0.12564597128284299</v>
      </c>
      <c r="I542" t="s">
        <v>1070</v>
      </c>
      <c r="J542">
        <v>2.04</v>
      </c>
    </row>
    <row r="543" spans="1:10" hidden="1">
      <c r="A543" t="s">
        <v>1271</v>
      </c>
      <c r="B543" t="s">
        <v>1272</v>
      </c>
      <c r="C543" t="s">
        <v>1066</v>
      </c>
      <c r="D543" t="s">
        <v>1273</v>
      </c>
      <c r="E543" t="s">
        <v>561</v>
      </c>
      <c r="F543" t="s">
        <v>1068</v>
      </c>
      <c r="G543" t="s">
        <v>1071</v>
      </c>
      <c r="H543" s="170">
        <v>-3.1364788073442101E-10</v>
      </c>
      <c r="I543" t="s">
        <v>1072</v>
      </c>
      <c r="J543">
        <v>2.04</v>
      </c>
    </row>
    <row r="544" spans="1:10" hidden="1">
      <c r="A544" t="s">
        <v>1271</v>
      </c>
      <c r="B544" t="s">
        <v>1272</v>
      </c>
      <c r="C544" t="s">
        <v>1066</v>
      </c>
      <c r="D544" t="s">
        <v>1273</v>
      </c>
      <c r="E544" t="s">
        <v>561</v>
      </c>
      <c r="F544" t="s">
        <v>1068</v>
      </c>
      <c r="G544" t="s">
        <v>1073</v>
      </c>
      <c r="H544" s="170">
        <v>-6.0022998075758998E-8</v>
      </c>
      <c r="I544" t="s">
        <v>1074</v>
      </c>
      <c r="J544">
        <v>2.04</v>
      </c>
    </row>
    <row r="545" spans="1:10" hidden="1">
      <c r="A545" t="s">
        <v>1271</v>
      </c>
      <c r="B545" t="s">
        <v>1272</v>
      </c>
      <c r="C545" t="s">
        <v>1066</v>
      </c>
      <c r="D545" t="s">
        <v>1273</v>
      </c>
      <c r="E545" t="s">
        <v>561</v>
      </c>
      <c r="F545" t="s">
        <v>1068</v>
      </c>
      <c r="G545" t="s">
        <v>1075</v>
      </c>
      <c r="H545" s="171" t="s">
        <v>1274</v>
      </c>
      <c r="I545" t="s">
        <v>1077</v>
      </c>
      <c r="J545">
        <v>2.04</v>
      </c>
    </row>
    <row r="546" spans="1:10" hidden="1">
      <c r="A546" t="s">
        <v>1271</v>
      </c>
      <c r="B546" t="s">
        <v>1272</v>
      </c>
      <c r="C546" t="s">
        <v>1066</v>
      </c>
      <c r="D546" t="s">
        <v>1273</v>
      </c>
      <c r="E546" t="s">
        <v>561</v>
      </c>
      <c r="F546" t="s">
        <v>1068</v>
      </c>
      <c r="G546" t="s">
        <v>1078</v>
      </c>
      <c r="H546">
        <v>-0.86540544060248603</v>
      </c>
      <c r="I546" t="s">
        <v>1079</v>
      </c>
      <c r="J546">
        <v>2.04</v>
      </c>
    </row>
    <row r="547" spans="1:10" hidden="1">
      <c r="A547" t="s">
        <v>1271</v>
      </c>
      <c r="B547" t="s">
        <v>1272</v>
      </c>
      <c r="C547" t="s">
        <v>1066</v>
      </c>
      <c r="D547" t="s">
        <v>1273</v>
      </c>
      <c r="E547" t="s">
        <v>561</v>
      </c>
      <c r="F547" t="s">
        <v>1068</v>
      </c>
      <c r="G547" t="s">
        <v>1080</v>
      </c>
      <c r="H547" s="171" t="s">
        <v>1275</v>
      </c>
      <c r="I547" t="s">
        <v>1082</v>
      </c>
      <c r="J547">
        <v>2.04</v>
      </c>
    </row>
    <row r="548" spans="1:10" hidden="1">
      <c r="A548" t="s">
        <v>1271</v>
      </c>
      <c r="B548" t="s">
        <v>1272</v>
      </c>
      <c r="C548" t="s">
        <v>1066</v>
      </c>
      <c r="D548" t="s">
        <v>1273</v>
      </c>
      <c r="E548" t="s">
        <v>561</v>
      </c>
      <c r="F548" t="s">
        <v>1068</v>
      </c>
      <c r="G548" t="s">
        <v>1083</v>
      </c>
      <c r="H548">
        <v>-6.8732854025969003E-4</v>
      </c>
      <c r="I548" t="s">
        <v>1084</v>
      </c>
      <c r="J548">
        <v>2.04</v>
      </c>
    </row>
    <row r="549" spans="1:10" hidden="1">
      <c r="A549" t="s">
        <v>1271</v>
      </c>
      <c r="B549" t="s">
        <v>1272</v>
      </c>
      <c r="C549" t="s">
        <v>1066</v>
      </c>
      <c r="D549" t="s">
        <v>1273</v>
      </c>
      <c r="E549" t="s">
        <v>561</v>
      </c>
      <c r="F549" t="s">
        <v>1068</v>
      </c>
      <c r="G549" t="s">
        <v>1085</v>
      </c>
      <c r="H549">
        <v>-1.9062384655753301E-2</v>
      </c>
      <c r="I549" t="s">
        <v>1086</v>
      </c>
      <c r="J549">
        <v>2.04</v>
      </c>
    </row>
    <row r="550" spans="1:10" hidden="1">
      <c r="A550" t="s">
        <v>1271</v>
      </c>
      <c r="B550" t="s">
        <v>1272</v>
      </c>
      <c r="C550" t="s">
        <v>1066</v>
      </c>
      <c r="D550" t="s">
        <v>1273</v>
      </c>
      <c r="E550" t="s">
        <v>561</v>
      </c>
      <c r="F550" t="s">
        <v>1068</v>
      </c>
      <c r="G550" t="s">
        <v>1087</v>
      </c>
      <c r="H550" s="170">
        <v>-3.71713264380881E-6</v>
      </c>
      <c r="I550" t="s">
        <v>1088</v>
      </c>
      <c r="J550">
        <v>2.04</v>
      </c>
    </row>
    <row r="551" spans="1:10" hidden="1">
      <c r="A551" t="s">
        <v>1271</v>
      </c>
      <c r="B551" t="s">
        <v>1272</v>
      </c>
      <c r="C551" t="s">
        <v>1066</v>
      </c>
      <c r="D551" t="s">
        <v>1273</v>
      </c>
      <c r="E551" t="s">
        <v>561</v>
      </c>
      <c r="F551" t="s">
        <v>1068</v>
      </c>
      <c r="G551" t="s">
        <v>1089</v>
      </c>
      <c r="H551">
        <v>-5.0180578772900403E-3</v>
      </c>
      <c r="I551" t="s">
        <v>1090</v>
      </c>
      <c r="J551">
        <v>2.04</v>
      </c>
    </row>
    <row r="552" spans="1:10" hidden="1">
      <c r="A552" t="s">
        <v>1276</v>
      </c>
      <c r="B552" t="s">
        <v>1277</v>
      </c>
      <c r="C552" t="s">
        <v>1066</v>
      </c>
      <c r="D552" t="s">
        <v>1273</v>
      </c>
      <c r="E552" t="s">
        <v>555</v>
      </c>
      <c r="F552" t="s">
        <v>1068</v>
      </c>
      <c r="G552" t="s">
        <v>1069</v>
      </c>
      <c r="H552">
        <v>-0.128136677573883</v>
      </c>
      <c r="I552" t="s">
        <v>1070</v>
      </c>
      <c r="J552">
        <v>2.04</v>
      </c>
    </row>
    <row r="553" spans="1:10" hidden="1">
      <c r="A553" t="s">
        <v>1276</v>
      </c>
      <c r="B553" t="s">
        <v>1277</v>
      </c>
      <c r="C553" t="s">
        <v>1066</v>
      </c>
      <c r="D553" t="s">
        <v>1273</v>
      </c>
      <c r="E553" t="s">
        <v>555</v>
      </c>
      <c r="F553" t="s">
        <v>1068</v>
      </c>
      <c r="G553" t="s">
        <v>1071</v>
      </c>
      <c r="H553" s="170">
        <v>-3.1720922778759401E-10</v>
      </c>
      <c r="I553" t="s">
        <v>1072</v>
      </c>
      <c r="J553">
        <v>2.04</v>
      </c>
    </row>
    <row r="554" spans="1:10" hidden="1">
      <c r="A554" t="s">
        <v>1276</v>
      </c>
      <c r="B554" t="s">
        <v>1277</v>
      </c>
      <c r="C554" t="s">
        <v>1066</v>
      </c>
      <c r="D554" t="s">
        <v>1273</v>
      </c>
      <c r="E554" t="s">
        <v>555</v>
      </c>
      <c r="F554" t="s">
        <v>1068</v>
      </c>
      <c r="G554" t="s">
        <v>1073</v>
      </c>
      <c r="H554" s="170">
        <v>-6.0907969146654198E-8</v>
      </c>
      <c r="I554" t="s">
        <v>1074</v>
      </c>
      <c r="J554">
        <v>2.04</v>
      </c>
    </row>
    <row r="555" spans="1:10" hidden="1">
      <c r="A555" t="s">
        <v>1276</v>
      </c>
      <c r="B555" t="s">
        <v>1277</v>
      </c>
      <c r="C555" t="s">
        <v>1066</v>
      </c>
      <c r="D555" t="s">
        <v>1273</v>
      </c>
      <c r="E555" t="s">
        <v>555</v>
      </c>
      <c r="F555" t="s">
        <v>1068</v>
      </c>
      <c r="G555" t="s">
        <v>1075</v>
      </c>
      <c r="H555" s="171" t="s">
        <v>1278</v>
      </c>
      <c r="I555" t="s">
        <v>1077</v>
      </c>
      <c r="J555">
        <v>2.04</v>
      </c>
    </row>
    <row r="556" spans="1:10" hidden="1">
      <c r="A556" t="s">
        <v>1276</v>
      </c>
      <c r="B556" t="s">
        <v>1277</v>
      </c>
      <c r="C556" t="s">
        <v>1066</v>
      </c>
      <c r="D556" t="s">
        <v>1273</v>
      </c>
      <c r="E556" t="s">
        <v>555</v>
      </c>
      <c r="F556" t="s">
        <v>1068</v>
      </c>
      <c r="G556" t="s">
        <v>1078</v>
      </c>
      <c r="H556">
        <v>-0.86800826709700496</v>
      </c>
      <c r="I556" t="s">
        <v>1079</v>
      </c>
      <c r="J556">
        <v>2.04</v>
      </c>
    </row>
    <row r="557" spans="1:10" hidden="1">
      <c r="A557" t="s">
        <v>1276</v>
      </c>
      <c r="B557" t="s">
        <v>1277</v>
      </c>
      <c r="C557" t="s">
        <v>1066</v>
      </c>
      <c r="D557" t="s">
        <v>1273</v>
      </c>
      <c r="E557" t="s">
        <v>555</v>
      </c>
      <c r="F557" t="s">
        <v>1068</v>
      </c>
      <c r="G557" t="s">
        <v>1080</v>
      </c>
      <c r="H557" s="171" t="s">
        <v>1279</v>
      </c>
      <c r="I557" t="s">
        <v>1082</v>
      </c>
      <c r="J557">
        <v>2.04</v>
      </c>
    </row>
    <row r="558" spans="1:10" hidden="1">
      <c r="A558" t="s">
        <v>1276</v>
      </c>
      <c r="B558" t="s">
        <v>1277</v>
      </c>
      <c r="C558" t="s">
        <v>1066</v>
      </c>
      <c r="D558" t="s">
        <v>1273</v>
      </c>
      <c r="E558" t="s">
        <v>555</v>
      </c>
      <c r="F558" t="s">
        <v>1068</v>
      </c>
      <c r="G558" t="s">
        <v>1083</v>
      </c>
      <c r="H558">
        <v>-6.8770731570552397E-4</v>
      </c>
      <c r="I558" t="s">
        <v>1084</v>
      </c>
      <c r="J558">
        <v>2.04</v>
      </c>
    </row>
    <row r="559" spans="1:10" hidden="1">
      <c r="A559" t="s">
        <v>1276</v>
      </c>
      <c r="B559" t="s">
        <v>1277</v>
      </c>
      <c r="C559" t="s">
        <v>1066</v>
      </c>
      <c r="D559" t="s">
        <v>1273</v>
      </c>
      <c r="E559" t="s">
        <v>555</v>
      </c>
      <c r="F559" t="s">
        <v>1068</v>
      </c>
      <c r="G559" t="s">
        <v>1085</v>
      </c>
      <c r="H559">
        <v>-1.9066655402974898E-2</v>
      </c>
      <c r="I559" t="s">
        <v>1086</v>
      </c>
      <c r="J559">
        <v>2.04</v>
      </c>
    </row>
    <row r="560" spans="1:10" hidden="1">
      <c r="A560" t="s">
        <v>1276</v>
      </c>
      <c r="B560" t="s">
        <v>1277</v>
      </c>
      <c r="C560" t="s">
        <v>1066</v>
      </c>
      <c r="D560" t="s">
        <v>1273</v>
      </c>
      <c r="E560" t="s">
        <v>555</v>
      </c>
      <c r="F560" t="s">
        <v>1068</v>
      </c>
      <c r="G560" t="s">
        <v>1087</v>
      </c>
      <c r="H560" s="170">
        <v>-3.7191050773480998E-6</v>
      </c>
      <c r="I560" t="s">
        <v>1088</v>
      </c>
      <c r="J560">
        <v>2.04</v>
      </c>
    </row>
    <row r="561" spans="1:10" hidden="1">
      <c r="A561" t="s">
        <v>1276</v>
      </c>
      <c r="B561" t="s">
        <v>1277</v>
      </c>
      <c r="C561" t="s">
        <v>1066</v>
      </c>
      <c r="D561" t="s">
        <v>1273</v>
      </c>
      <c r="E561" t="s">
        <v>555</v>
      </c>
      <c r="F561" t="s">
        <v>1068</v>
      </c>
      <c r="G561" t="s">
        <v>1089</v>
      </c>
      <c r="H561">
        <v>-5.0189406981499202E-3</v>
      </c>
      <c r="I561" t="s">
        <v>1090</v>
      </c>
      <c r="J561">
        <v>2.04</v>
      </c>
    </row>
    <row r="562" spans="1:10" hidden="1">
      <c r="A562" t="s">
        <v>1280</v>
      </c>
      <c r="B562" t="s">
        <v>1281</v>
      </c>
      <c r="C562" t="s">
        <v>1066</v>
      </c>
      <c r="D562" t="s">
        <v>1273</v>
      </c>
      <c r="E562" t="s">
        <v>558</v>
      </c>
      <c r="F562" t="s">
        <v>1068</v>
      </c>
      <c r="G562" t="s">
        <v>1069</v>
      </c>
      <c r="H562">
        <v>-0.12542533066818301</v>
      </c>
      <c r="I562" t="s">
        <v>1070</v>
      </c>
      <c r="J562">
        <v>2.5499999999999998</v>
      </c>
    </row>
    <row r="563" spans="1:10" hidden="1">
      <c r="A563" t="s">
        <v>1280</v>
      </c>
      <c r="B563" t="s">
        <v>1281</v>
      </c>
      <c r="C563" t="s">
        <v>1066</v>
      </c>
      <c r="D563" t="s">
        <v>1273</v>
      </c>
      <c r="E563" t="s">
        <v>558</v>
      </c>
      <c r="F563" t="s">
        <v>1068</v>
      </c>
      <c r="G563" t="s">
        <v>1071</v>
      </c>
      <c r="H563" s="170">
        <v>-3.1333214150463901E-10</v>
      </c>
      <c r="I563" t="s">
        <v>1072</v>
      </c>
      <c r="J563">
        <v>2.5499999999999998</v>
      </c>
    </row>
    <row r="564" spans="1:10" hidden="1">
      <c r="A564" t="s">
        <v>1280</v>
      </c>
      <c r="B564" t="s">
        <v>1281</v>
      </c>
      <c r="C564" t="s">
        <v>1066</v>
      </c>
      <c r="D564" t="s">
        <v>1273</v>
      </c>
      <c r="E564" t="s">
        <v>558</v>
      </c>
      <c r="F564" t="s">
        <v>1068</v>
      </c>
      <c r="G564" t="s">
        <v>1073</v>
      </c>
      <c r="H564" s="170">
        <v>-5.9944625831282199E-8</v>
      </c>
      <c r="I564" t="s">
        <v>1074</v>
      </c>
      <c r="J564">
        <v>2.5499999999999998</v>
      </c>
    </row>
    <row r="565" spans="1:10" hidden="1">
      <c r="A565" t="s">
        <v>1280</v>
      </c>
      <c r="B565" t="s">
        <v>1281</v>
      </c>
      <c r="C565" t="s">
        <v>1066</v>
      </c>
      <c r="D565" t="s">
        <v>1273</v>
      </c>
      <c r="E565" t="s">
        <v>558</v>
      </c>
      <c r="F565" t="s">
        <v>1068</v>
      </c>
      <c r="G565" t="s">
        <v>1075</v>
      </c>
      <c r="H565" s="171" t="s">
        <v>1282</v>
      </c>
      <c r="I565" t="s">
        <v>1077</v>
      </c>
      <c r="J565">
        <v>2.5499999999999998</v>
      </c>
    </row>
    <row r="566" spans="1:10" hidden="1">
      <c r="A566" t="s">
        <v>1280</v>
      </c>
      <c r="B566" t="s">
        <v>1281</v>
      </c>
      <c r="C566" t="s">
        <v>1066</v>
      </c>
      <c r="D566" t="s">
        <v>1273</v>
      </c>
      <c r="E566" t="s">
        <v>558</v>
      </c>
      <c r="F566" t="s">
        <v>1068</v>
      </c>
      <c r="G566" t="s">
        <v>1078</v>
      </c>
      <c r="H566">
        <v>-0.86510382829593002</v>
      </c>
      <c r="I566" t="s">
        <v>1079</v>
      </c>
      <c r="J566">
        <v>2.5499999999999998</v>
      </c>
    </row>
    <row r="567" spans="1:10" hidden="1">
      <c r="A567" t="s">
        <v>1280</v>
      </c>
      <c r="B567" t="s">
        <v>1281</v>
      </c>
      <c r="C567" t="s">
        <v>1066</v>
      </c>
      <c r="D567" t="s">
        <v>1273</v>
      </c>
      <c r="E567" t="s">
        <v>558</v>
      </c>
      <c r="F567" t="s">
        <v>1068</v>
      </c>
      <c r="G567" t="s">
        <v>1080</v>
      </c>
      <c r="H567" s="171" t="s">
        <v>1283</v>
      </c>
      <c r="I567" t="s">
        <v>1082</v>
      </c>
      <c r="J567">
        <v>2.5499999999999998</v>
      </c>
    </row>
    <row r="568" spans="1:10" hidden="1">
      <c r="A568" t="s">
        <v>1280</v>
      </c>
      <c r="B568" t="s">
        <v>1281</v>
      </c>
      <c r="C568" t="s">
        <v>1066</v>
      </c>
      <c r="D568" t="s">
        <v>1273</v>
      </c>
      <c r="E568" t="s">
        <v>558</v>
      </c>
      <c r="F568" t="s">
        <v>1068</v>
      </c>
      <c r="G568" t="s">
        <v>1083</v>
      </c>
      <c r="H568">
        <v>-6.8729500274340596E-4</v>
      </c>
      <c r="I568" t="s">
        <v>1084</v>
      </c>
      <c r="J568">
        <v>2.5499999999999998</v>
      </c>
    </row>
    <row r="569" spans="1:10" hidden="1">
      <c r="A569" t="s">
        <v>1280</v>
      </c>
      <c r="B569" t="s">
        <v>1281</v>
      </c>
      <c r="C569" t="s">
        <v>1066</v>
      </c>
      <c r="D569" t="s">
        <v>1273</v>
      </c>
      <c r="E569" t="s">
        <v>558</v>
      </c>
      <c r="F569" t="s">
        <v>1068</v>
      </c>
      <c r="G569" t="s">
        <v>1085</v>
      </c>
      <c r="H569">
        <v>-1.90620056137525E-2</v>
      </c>
      <c r="I569" t="s">
        <v>1086</v>
      </c>
      <c r="J569">
        <v>2.5499999999999998</v>
      </c>
    </row>
    <row r="570" spans="1:10" hidden="1">
      <c r="A570" t="s">
        <v>1280</v>
      </c>
      <c r="B570" t="s">
        <v>1281</v>
      </c>
      <c r="C570" t="s">
        <v>1066</v>
      </c>
      <c r="D570" t="s">
        <v>1273</v>
      </c>
      <c r="E570" t="s">
        <v>558</v>
      </c>
      <c r="F570" t="s">
        <v>1068</v>
      </c>
      <c r="G570" t="s">
        <v>1087</v>
      </c>
      <c r="H570" s="170">
        <v>-3.71694971640849E-6</v>
      </c>
      <c r="I570" t="s">
        <v>1088</v>
      </c>
      <c r="J570">
        <v>2.5499999999999998</v>
      </c>
    </row>
    <row r="571" spans="1:10" hidden="1">
      <c r="A571" t="s">
        <v>1280</v>
      </c>
      <c r="B571" t="s">
        <v>1281</v>
      </c>
      <c r="C571" t="s">
        <v>1066</v>
      </c>
      <c r="D571" t="s">
        <v>1273</v>
      </c>
      <c r="E571" t="s">
        <v>558</v>
      </c>
      <c r="F571" t="s">
        <v>1068</v>
      </c>
      <c r="G571" t="s">
        <v>1089</v>
      </c>
      <c r="H571">
        <v>-5.0179796816737796E-3</v>
      </c>
      <c r="I571" t="s">
        <v>1090</v>
      </c>
      <c r="J571">
        <v>2.5499999999999998</v>
      </c>
    </row>
    <row r="572" spans="1:10" hidden="1">
      <c r="A572" t="s">
        <v>1284</v>
      </c>
      <c r="B572" t="s">
        <v>1285</v>
      </c>
      <c r="C572" t="s">
        <v>1066</v>
      </c>
      <c r="D572" t="s">
        <v>1273</v>
      </c>
      <c r="E572" t="s">
        <v>553</v>
      </c>
      <c r="F572" t="s">
        <v>1068</v>
      </c>
      <c r="G572" t="s">
        <v>1069</v>
      </c>
      <c r="H572">
        <v>-0.12520800457613901</v>
      </c>
      <c r="I572" t="s">
        <v>1070</v>
      </c>
      <c r="J572">
        <v>3.06</v>
      </c>
    </row>
    <row r="573" spans="1:10" hidden="1">
      <c r="A573" t="s">
        <v>1284</v>
      </c>
      <c r="B573" t="s">
        <v>1285</v>
      </c>
      <c r="C573" t="s">
        <v>1066</v>
      </c>
      <c r="D573" t="s">
        <v>1273</v>
      </c>
      <c r="E573" t="s">
        <v>553</v>
      </c>
      <c r="F573" t="s">
        <v>1068</v>
      </c>
      <c r="G573" t="s">
        <v>1071</v>
      </c>
      <c r="H573" s="170">
        <v>-3.13018263408841E-10</v>
      </c>
      <c r="I573" t="s">
        <v>1072</v>
      </c>
      <c r="J573">
        <v>3.06</v>
      </c>
    </row>
    <row r="574" spans="1:10" hidden="1">
      <c r="A574" t="s">
        <v>1284</v>
      </c>
      <c r="B574" t="s">
        <v>1285</v>
      </c>
      <c r="C574" t="s">
        <v>1066</v>
      </c>
      <c r="D574" t="s">
        <v>1273</v>
      </c>
      <c r="E574" t="s">
        <v>553</v>
      </c>
      <c r="F574" t="s">
        <v>1068</v>
      </c>
      <c r="G574" t="s">
        <v>1073</v>
      </c>
      <c r="H574" s="170">
        <v>-5.9867695230979303E-8</v>
      </c>
      <c r="I574" t="s">
        <v>1074</v>
      </c>
      <c r="J574">
        <v>3.06</v>
      </c>
    </row>
    <row r="575" spans="1:10" hidden="1">
      <c r="A575" t="s">
        <v>1284</v>
      </c>
      <c r="B575" t="s">
        <v>1285</v>
      </c>
      <c r="C575" t="s">
        <v>1066</v>
      </c>
      <c r="D575" t="s">
        <v>1273</v>
      </c>
      <c r="E575" t="s">
        <v>553</v>
      </c>
      <c r="F575" t="s">
        <v>1068</v>
      </c>
      <c r="G575" t="s">
        <v>1075</v>
      </c>
      <c r="H575" s="171" t="s">
        <v>1286</v>
      </c>
      <c r="I575" t="s">
        <v>1077</v>
      </c>
      <c r="J575">
        <v>3.06</v>
      </c>
    </row>
    <row r="576" spans="1:10" hidden="1">
      <c r="A576" t="s">
        <v>1284</v>
      </c>
      <c r="B576" t="s">
        <v>1285</v>
      </c>
      <c r="C576" t="s">
        <v>1066</v>
      </c>
      <c r="D576" t="s">
        <v>1273</v>
      </c>
      <c r="E576" t="s">
        <v>553</v>
      </c>
      <c r="F576" t="s">
        <v>1068</v>
      </c>
      <c r="G576" t="s">
        <v>1078</v>
      </c>
      <c r="H576">
        <v>-0.86400481642034499</v>
      </c>
      <c r="I576" t="s">
        <v>1079</v>
      </c>
      <c r="J576">
        <v>3.06</v>
      </c>
    </row>
    <row r="577" spans="1:10" hidden="1">
      <c r="A577" t="s">
        <v>1284</v>
      </c>
      <c r="B577" t="s">
        <v>1285</v>
      </c>
      <c r="C577" t="s">
        <v>1066</v>
      </c>
      <c r="D577" t="s">
        <v>1273</v>
      </c>
      <c r="E577" t="s">
        <v>553</v>
      </c>
      <c r="F577" t="s">
        <v>1068</v>
      </c>
      <c r="G577" t="s">
        <v>1080</v>
      </c>
      <c r="H577" s="171" t="s">
        <v>1287</v>
      </c>
      <c r="I577" t="s">
        <v>1082</v>
      </c>
      <c r="J577">
        <v>3.06</v>
      </c>
    </row>
    <row r="578" spans="1:10" hidden="1">
      <c r="A578" t="s">
        <v>1284</v>
      </c>
      <c r="B578" t="s">
        <v>1285</v>
      </c>
      <c r="C578" t="s">
        <v>1066</v>
      </c>
      <c r="D578" t="s">
        <v>1273</v>
      </c>
      <c r="E578" t="s">
        <v>553</v>
      </c>
      <c r="F578" t="s">
        <v>1068</v>
      </c>
      <c r="G578" t="s">
        <v>1083</v>
      </c>
      <c r="H578">
        <v>-6.8726215551364201E-4</v>
      </c>
      <c r="I578" t="s">
        <v>1084</v>
      </c>
      <c r="J578">
        <v>3.06</v>
      </c>
    </row>
    <row r="579" spans="1:10" hidden="1">
      <c r="A579" t="s">
        <v>1284</v>
      </c>
      <c r="B579" t="s">
        <v>1285</v>
      </c>
      <c r="C579" t="s">
        <v>1066</v>
      </c>
      <c r="D579" t="s">
        <v>1273</v>
      </c>
      <c r="E579" t="s">
        <v>553</v>
      </c>
      <c r="F579" t="s">
        <v>1068</v>
      </c>
      <c r="G579" t="s">
        <v>1085</v>
      </c>
      <c r="H579">
        <v>-1.9061624189321402E-2</v>
      </c>
      <c r="I579" t="s">
        <v>1086</v>
      </c>
      <c r="J579">
        <v>3.06</v>
      </c>
    </row>
    <row r="580" spans="1:10" hidden="1">
      <c r="A580" t="s">
        <v>1284</v>
      </c>
      <c r="B580" t="s">
        <v>1285</v>
      </c>
      <c r="C580" t="s">
        <v>1066</v>
      </c>
      <c r="D580" t="s">
        <v>1273</v>
      </c>
      <c r="E580" t="s">
        <v>553</v>
      </c>
      <c r="F580" t="s">
        <v>1068</v>
      </c>
      <c r="G580" t="s">
        <v>1087</v>
      </c>
      <c r="H580" s="170">
        <v>-3.7166769906663402E-6</v>
      </c>
      <c r="I580" t="s">
        <v>1088</v>
      </c>
      <c r="J580">
        <v>3.06</v>
      </c>
    </row>
    <row r="581" spans="1:10" hidden="1">
      <c r="A581" t="s">
        <v>1284</v>
      </c>
      <c r="B581" t="s">
        <v>1285</v>
      </c>
      <c r="C581" t="s">
        <v>1066</v>
      </c>
      <c r="D581" t="s">
        <v>1273</v>
      </c>
      <c r="E581" t="s">
        <v>553</v>
      </c>
      <c r="F581" t="s">
        <v>1068</v>
      </c>
      <c r="G581" t="s">
        <v>1089</v>
      </c>
      <c r="H581">
        <v>-5.0179027687085502E-3</v>
      </c>
      <c r="I581" t="s">
        <v>1090</v>
      </c>
      <c r="J581">
        <v>3.06</v>
      </c>
    </row>
    <row r="582" spans="1:10" hidden="1">
      <c r="A582" t="s">
        <v>1288</v>
      </c>
      <c r="B582" t="s">
        <v>1289</v>
      </c>
      <c r="C582" t="s">
        <v>1066</v>
      </c>
      <c r="D582" t="s">
        <v>1273</v>
      </c>
      <c r="E582" t="s">
        <v>556</v>
      </c>
      <c r="F582" t="s">
        <v>1068</v>
      </c>
      <c r="G582" t="s">
        <v>1069</v>
      </c>
      <c r="H582">
        <v>-0.12786138987687501</v>
      </c>
      <c r="I582" t="s">
        <v>1070</v>
      </c>
      <c r="J582">
        <v>2.5499999999999998</v>
      </c>
    </row>
    <row r="583" spans="1:10" hidden="1">
      <c r="A583" t="s">
        <v>1288</v>
      </c>
      <c r="B583" t="s">
        <v>1289</v>
      </c>
      <c r="C583" t="s">
        <v>1066</v>
      </c>
      <c r="D583" t="s">
        <v>1273</v>
      </c>
      <c r="E583" t="s">
        <v>556</v>
      </c>
      <c r="F583" t="s">
        <v>1068</v>
      </c>
      <c r="G583" t="s">
        <v>1071</v>
      </c>
      <c r="H583" s="170">
        <v>-3.1679922449246601E-10</v>
      </c>
      <c r="I583" t="s">
        <v>1072</v>
      </c>
      <c r="J583">
        <v>2.5499999999999998</v>
      </c>
    </row>
    <row r="584" spans="1:10" hidden="1">
      <c r="A584" t="s">
        <v>1288</v>
      </c>
      <c r="B584" t="s">
        <v>1289</v>
      </c>
      <c r="C584" t="s">
        <v>1066</v>
      </c>
      <c r="D584" t="s">
        <v>1273</v>
      </c>
      <c r="E584" t="s">
        <v>556</v>
      </c>
      <c r="F584" t="s">
        <v>1068</v>
      </c>
      <c r="G584" t="s">
        <v>1073</v>
      </c>
      <c r="H584" s="170">
        <v>-6.0809726152728602E-8</v>
      </c>
      <c r="I584" t="s">
        <v>1074</v>
      </c>
      <c r="J584">
        <v>2.5499999999999998</v>
      </c>
    </row>
    <row r="585" spans="1:10" hidden="1">
      <c r="A585" t="s">
        <v>1288</v>
      </c>
      <c r="B585" t="s">
        <v>1289</v>
      </c>
      <c r="C585" t="s">
        <v>1066</v>
      </c>
      <c r="D585" t="s">
        <v>1273</v>
      </c>
      <c r="E585" t="s">
        <v>556</v>
      </c>
      <c r="F585" t="s">
        <v>1068</v>
      </c>
      <c r="G585" t="s">
        <v>1075</v>
      </c>
      <c r="H585" s="171" t="s">
        <v>1290</v>
      </c>
      <c r="I585" t="s">
        <v>1077</v>
      </c>
      <c r="J585">
        <v>2.5499999999999998</v>
      </c>
    </row>
    <row r="586" spans="1:10" hidden="1">
      <c r="A586" t="s">
        <v>1288</v>
      </c>
      <c r="B586" t="s">
        <v>1289</v>
      </c>
      <c r="C586" t="s">
        <v>1066</v>
      </c>
      <c r="D586" t="s">
        <v>1273</v>
      </c>
      <c r="E586" t="s">
        <v>556</v>
      </c>
      <c r="F586" t="s">
        <v>1068</v>
      </c>
      <c r="G586" t="s">
        <v>1078</v>
      </c>
      <c r="H586">
        <v>-0.86469964244274</v>
      </c>
      <c r="I586" t="s">
        <v>1079</v>
      </c>
      <c r="J586">
        <v>2.5499999999999998</v>
      </c>
    </row>
    <row r="587" spans="1:10" hidden="1">
      <c r="A587" t="s">
        <v>1288</v>
      </c>
      <c r="B587" t="s">
        <v>1289</v>
      </c>
      <c r="C587" t="s">
        <v>1066</v>
      </c>
      <c r="D587" t="s">
        <v>1273</v>
      </c>
      <c r="E587" t="s">
        <v>556</v>
      </c>
      <c r="F587" t="s">
        <v>1068</v>
      </c>
      <c r="G587" t="s">
        <v>1080</v>
      </c>
      <c r="H587" s="171" t="s">
        <v>1291</v>
      </c>
      <c r="I587" t="s">
        <v>1082</v>
      </c>
      <c r="J587">
        <v>2.5499999999999998</v>
      </c>
    </row>
    <row r="588" spans="1:10" hidden="1">
      <c r="A588" t="s">
        <v>1288</v>
      </c>
      <c r="B588" t="s">
        <v>1289</v>
      </c>
      <c r="C588" t="s">
        <v>1066</v>
      </c>
      <c r="D588" t="s">
        <v>1273</v>
      </c>
      <c r="E588" t="s">
        <v>556</v>
      </c>
      <c r="F588" t="s">
        <v>1068</v>
      </c>
      <c r="G588" t="s">
        <v>1083</v>
      </c>
      <c r="H588">
        <v>-6.8766546971068805E-4</v>
      </c>
      <c r="I588" t="s">
        <v>1084</v>
      </c>
      <c r="J588">
        <v>2.5499999999999998</v>
      </c>
    </row>
    <row r="589" spans="1:10" hidden="1">
      <c r="A589" t="s">
        <v>1288</v>
      </c>
      <c r="B589" t="s">
        <v>1289</v>
      </c>
      <c r="C589" t="s">
        <v>1066</v>
      </c>
      <c r="D589" t="s">
        <v>1273</v>
      </c>
      <c r="E589" t="s">
        <v>556</v>
      </c>
      <c r="F589" t="s">
        <v>1068</v>
      </c>
      <c r="G589" t="s">
        <v>1085</v>
      </c>
      <c r="H589">
        <v>-1.90661454884898E-2</v>
      </c>
      <c r="I589" t="s">
        <v>1086</v>
      </c>
      <c r="J589">
        <v>2.5499999999999998</v>
      </c>
    </row>
    <row r="590" spans="1:10" hidden="1">
      <c r="A590" t="s">
        <v>1288</v>
      </c>
      <c r="B590" t="s">
        <v>1289</v>
      </c>
      <c r="C590" t="s">
        <v>1066</v>
      </c>
      <c r="D590" t="s">
        <v>1273</v>
      </c>
      <c r="E590" t="s">
        <v>556</v>
      </c>
      <c r="F590" t="s">
        <v>1068</v>
      </c>
      <c r="G590" t="s">
        <v>1087</v>
      </c>
      <c r="H590" s="170">
        <v>-3.7188768560224002E-6</v>
      </c>
      <c r="I590" t="s">
        <v>1088</v>
      </c>
      <c r="J590">
        <v>2.5499999999999998</v>
      </c>
    </row>
    <row r="591" spans="1:10" hidden="1">
      <c r="A591" t="s">
        <v>1288</v>
      </c>
      <c r="B591" t="s">
        <v>1289</v>
      </c>
      <c r="C591" t="s">
        <v>1066</v>
      </c>
      <c r="D591" t="s">
        <v>1273</v>
      </c>
      <c r="E591" t="s">
        <v>556</v>
      </c>
      <c r="F591" t="s">
        <v>1068</v>
      </c>
      <c r="G591" t="s">
        <v>1089</v>
      </c>
      <c r="H591">
        <v>-5.0188431408284004E-3</v>
      </c>
      <c r="I591" t="s">
        <v>1090</v>
      </c>
      <c r="J591">
        <v>2.5499999999999998</v>
      </c>
    </row>
    <row r="592" spans="1:10" hidden="1">
      <c r="A592" t="s">
        <v>1292</v>
      </c>
      <c r="B592" t="s">
        <v>1293</v>
      </c>
      <c r="C592" t="s">
        <v>1066</v>
      </c>
      <c r="D592" t="s">
        <v>1273</v>
      </c>
      <c r="E592" t="s">
        <v>557</v>
      </c>
      <c r="F592" t="s">
        <v>1068</v>
      </c>
      <c r="G592" t="s">
        <v>1069</v>
      </c>
      <c r="H592">
        <v>-0.126336672337478</v>
      </c>
      <c r="I592" t="s">
        <v>1070</v>
      </c>
      <c r="J592">
        <v>2.54</v>
      </c>
    </row>
    <row r="593" spans="1:10" hidden="1">
      <c r="A593" t="s">
        <v>1292</v>
      </c>
      <c r="B593" t="s">
        <v>1293</v>
      </c>
      <c r="C593" t="s">
        <v>1066</v>
      </c>
      <c r="D593" t="s">
        <v>1273</v>
      </c>
      <c r="E593" t="s">
        <v>557</v>
      </c>
      <c r="F593" t="s">
        <v>1068</v>
      </c>
      <c r="G593" t="s">
        <v>1071</v>
      </c>
      <c r="H593" s="170">
        <v>-3.1463628180167401E-10</v>
      </c>
      <c r="I593" t="s">
        <v>1072</v>
      </c>
      <c r="J593">
        <v>2.54</v>
      </c>
    </row>
    <row r="594" spans="1:10" hidden="1">
      <c r="A594" t="s">
        <v>1292</v>
      </c>
      <c r="B594" t="s">
        <v>1293</v>
      </c>
      <c r="C594" t="s">
        <v>1066</v>
      </c>
      <c r="D594" t="s">
        <v>1273</v>
      </c>
      <c r="E594" t="s">
        <v>557</v>
      </c>
      <c r="F594" t="s">
        <v>1068</v>
      </c>
      <c r="G594" t="s">
        <v>1073</v>
      </c>
      <c r="H594" s="170">
        <v>-6.0268337275878603E-8</v>
      </c>
      <c r="I594" t="s">
        <v>1074</v>
      </c>
      <c r="J594">
        <v>2.54</v>
      </c>
    </row>
    <row r="595" spans="1:10" hidden="1">
      <c r="A595" t="s">
        <v>1292</v>
      </c>
      <c r="B595" t="s">
        <v>1293</v>
      </c>
      <c r="C595" t="s">
        <v>1066</v>
      </c>
      <c r="D595" t="s">
        <v>1273</v>
      </c>
      <c r="E595" t="s">
        <v>557</v>
      </c>
      <c r="F595" t="s">
        <v>1068</v>
      </c>
      <c r="G595" t="s">
        <v>1075</v>
      </c>
      <c r="H595" s="171" t="s">
        <v>1294</v>
      </c>
      <c r="I595" t="s">
        <v>1077</v>
      </c>
      <c r="J595">
        <v>2.54</v>
      </c>
    </row>
    <row r="596" spans="1:10" hidden="1">
      <c r="A596" t="s">
        <v>1292</v>
      </c>
      <c r="B596" t="s">
        <v>1293</v>
      </c>
      <c r="C596" t="s">
        <v>1066</v>
      </c>
      <c r="D596" t="s">
        <v>1273</v>
      </c>
      <c r="E596" t="s">
        <v>557</v>
      </c>
      <c r="F596" t="s">
        <v>1068</v>
      </c>
      <c r="G596" t="s">
        <v>1078</v>
      </c>
      <c r="H596">
        <v>-0.86634961825781198</v>
      </c>
      <c r="I596" t="s">
        <v>1079</v>
      </c>
      <c r="J596">
        <v>2.54</v>
      </c>
    </row>
    <row r="597" spans="1:10" hidden="1">
      <c r="A597" t="s">
        <v>1292</v>
      </c>
      <c r="B597" t="s">
        <v>1293</v>
      </c>
      <c r="C597" t="s">
        <v>1066</v>
      </c>
      <c r="D597" t="s">
        <v>1273</v>
      </c>
      <c r="E597" t="s">
        <v>557</v>
      </c>
      <c r="F597" t="s">
        <v>1068</v>
      </c>
      <c r="G597" t="s">
        <v>1080</v>
      </c>
      <c r="H597" s="171" t="s">
        <v>1295</v>
      </c>
      <c r="I597" t="s">
        <v>1082</v>
      </c>
      <c r="J597">
        <v>2.54</v>
      </c>
    </row>
    <row r="598" spans="1:10" hidden="1">
      <c r="A598" t="s">
        <v>1292</v>
      </c>
      <c r="B598" t="s">
        <v>1293</v>
      </c>
      <c r="C598" t="s">
        <v>1066</v>
      </c>
      <c r="D598" t="s">
        <v>1273</v>
      </c>
      <c r="E598" t="s">
        <v>557</v>
      </c>
      <c r="F598" t="s">
        <v>1068</v>
      </c>
      <c r="G598" t="s">
        <v>1083</v>
      </c>
      <c r="H598">
        <v>-6.8743352726718899E-4</v>
      </c>
      <c r="I598" t="s">
        <v>1084</v>
      </c>
      <c r="J598">
        <v>2.54</v>
      </c>
    </row>
    <row r="599" spans="1:10" hidden="1">
      <c r="A599" t="s">
        <v>1292</v>
      </c>
      <c r="B599" t="s">
        <v>1293</v>
      </c>
      <c r="C599" t="s">
        <v>1066</v>
      </c>
      <c r="D599" t="s">
        <v>1273</v>
      </c>
      <c r="E599" t="s">
        <v>557</v>
      </c>
      <c r="F599" t="s">
        <v>1068</v>
      </c>
      <c r="G599" t="s">
        <v>1085</v>
      </c>
      <c r="H599">
        <v>-1.9063571222016899E-2</v>
      </c>
      <c r="I599" t="s">
        <v>1086</v>
      </c>
      <c r="J599">
        <v>2.54</v>
      </c>
    </row>
    <row r="600" spans="1:10" hidden="1">
      <c r="A600" t="s">
        <v>1292</v>
      </c>
      <c r="B600" t="s">
        <v>1293</v>
      </c>
      <c r="C600" t="s">
        <v>1066</v>
      </c>
      <c r="D600" t="s">
        <v>1273</v>
      </c>
      <c r="E600" t="s">
        <v>557</v>
      </c>
      <c r="F600" t="s">
        <v>1068</v>
      </c>
      <c r="G600" t="s">
        <v>1087</v>
      </c>
      <c r="H600" s="170">
        <v>-3.7177052861054801E-6</v>
      </c>
      <c r="I600" t="s">
        <v>1088</v>
      </c>
      <c r="J600">
        <v>2.54</v>
      </c>
    </row>
    <row r="601" spans="1:10" hidden="1">
      <c r="A601" t="s">
        <v>1292</v>
      </c>
      <c r="B601" t="s">
        <v>1293</v>
      </c>
      <c r="C601" t="s">
        <v>1066</v>
      </c>
      <c r="D601" t="s">
        <v>1273</v>
      </c>
      <c r="E601" t="s">
        <v>557</v>
      </c>
      <c r="F601" t="s">
        <v>1068</v>
      </c>
      <c r="G601" t="s">
        <v>1089</v>
      </c>
      <c r="H601">
        <v>-5.0183026635670603E-3</v>
      </c>
      <c r="I601" t="s">
        <v>1090</v>
      </c>
      <c r="J601">
        <v>2.54</v>
      </c>
    </row>
    <row r="602" spans="1:10" hidden="1">
      <c r="A602" t="s">
        <v>1296</v>
      </c>
      <c r="B602" t="s">
        <v>1297</v>
      </c>
      <c r="C602" t="s">
        <v>1066</v>
      </c>
      <c r="D602" t="s">
        <v>1273</v>
      </c>
      <c r="E602" t="s">
        <v>559</v>
      </c>
      <c r="F602" t="s">
        <v>1068</v>
      </c>
      <c r="G602" t="s">
        <v>1069</v>
      </c>
      <c r="H602">
        <v>-0.12707270273947299</v>
      </c>
      <c r="I602" t="s">
        <v>1070</v>
      </c>
      <c r="J602">
        <v>2.0299999999999998</v>
      </c>
    </row>
    <row r="603" spans="1:10" hidden="1">
      <c r="A603" t="s">
        <v>1296</v>
      </c>
      <c r="B603" t="s">
        <v>1297</v>
      </c>
      <c r="C603" t="s">
        <v>1066</v>
      </c>
      <c r="D603" t="s">
        <v>1273</v>
      </c>
      <c r="E603" t="s">
        <v>559</v>
      </c>
      <c r="F603" t="s">
        <v>1068</v>
      </c>
      <c r="G603" t="s">
        <v>1071</v>
      </c>
      <c r="H603" s="170">
        <v>-3.1568666769487798E-10</v>
      </c>
      <c r="I603" t="s">
        <v>1072</v>
      </c>
      <c r="J603">
        <v>2.0299999999999998</v>
      </c>
    </row>
    <row r="604" spans="1:10" hidden="1">
      <c r="A604" t="s">
        <v>1296</v>
      </c>
      <c r="B604" t="s">
        <v>1297</v>
      </c>
      <c r="C604" t="s">
        <v>1066</v>
      </c>
      <c r="D604" t="s">
        <v>1273</v>
      </c>
      <c r="E604" t="s">
        <v>559</v>
      </c>
      <c r="F604" t="s">
        <v>1068</v>
      </c>
      <c r="G604" t="s">
        <v>1073</v>
      </c>
      <c r="H604" s="170">
        <v>-6.0530041918852503E-8</v>
      </c>
      <c r="I604" t="s">
        <v>1074</v>
      </c>
      <c r="J604">
        <v>2.0299999999999998</v>
      </c>
    </row>
    <row r="605" spans="1:10" hidden="1">
      <c r="A605" t="s">
        <v>1296</v>
      </c>
      <c r="B605" t="s">
        <v>1297</v>
      </c>
      <c r="C605" t="s">
        <v>1066</v>
      </c>
      <c r="D605" t="s">
        <v>1273</v>
      </c>
      <c r="E605" t="s">
        <v>559</v>
      </c>
      <c r="F605" t="s">
        <v>1068</v>
      </c>
      <c r="G605" t="s">
        <v>1075</v>
      </c>
      <c r="H605">
        <v>1.65822764652837E-2</v>
      </c>
      <c r="I605" t="s">
        <v>1077</v>
      </c>
      <c r="J605">
        <v>2.0299999999999998</v>
      </c>
    </row>
    <row r="606" spans="1:10" hidden="1">
      <c r="A606" t="s">
        <v>1296</v>
      </c>
      <c r="B606" t="s">
        <v>1297</v>
      </c>
      <c r="C606" t="s">
        <v>1066</v>
      </c>
      <c r="D606" t="s">
        <v>1273</v>
      </c>
      <c r="E606" t="s">
        <v>559</v>
      </c>
      <c r="F606" t="s">
        <v>1068</v>
      </c>
      <c r="G606" t="s">
        <v>1078</v>
      </c>
      <c r="H606">
        <v>-0.86655382995978603</v>
      </c>
      <c r="I606" t="s">
        <v>1079</v>
      </c>
      <c r="J606">
        <v>2.0299999999999998</v>
      </c>
    </row>
    <row r="607" spans="1:10" hidden="1">
      <c r="A607" t="s">
        <v>1296</v>
      </c>
      <c r="B607" t="s">
        <v>1297</v>
      </c>
      <c r="C607" t="s">
        <v>1066</v>
      </c>
      <c r="D607" t="s">
        <v>1273</v>
      </c>
      <c r="E607" t="s">
        <v>559</v>
      </c>
      <c r="F607" t="s">
        <v>1068</v>
      </c>
      <c r="G607" t="s">
        <v>1080</v>
      </c>
      <c r="H607" s="171" t="s">
        <v>1298</v>
      </c>
      <c r="I607" t="s">
        <v>1082</v>
      </c>
      <c r="J607">
        <v>2.0299999999999998</v>
      </c>
    </row>
    <row r="608" spans="1:10" hidden="1">
      <c r="A608" t="s">
        <v>1296</v>
      </c>
      <c r="B608" t="s">
        <v>1297</v>
      </c>
      <c r="C608" t="s">
        <v>1066</v>
      </c>
      <c r="D608" t="s">
        <v>1273</v>
      </c>
      <c r="E608" t="s">
        <v>559</v>
      </c>
      <c r="F608" t="s">
        <v>1068</v>
      </c>
      <c r="G608" t="s">
        <v>1083</v>
      </c>
      <c r="H608">
        <v>-6.8754559084180497E-4</v>
      </c>
      <c r="I608" t="s">
        <v>1084</v>
      </c>
      <c r="J608">
        <v>2.0299999999999998</v>
      </c>
    </row>
    <row r="609" spans="1:10" hidden="1">
      <c r="A609" t="s">
        <v>1296</v>
      </c>
      <c r="B609" t="s">
        <v>1297</v>
      </c>
      <c r="C609" t="s">
        <v>1066</v>
      </c>
      <c r="D609" t="s">
        <v>1273</v>
      </c>
      <c r="E609" t="s">
        <v>559</v>
      </c>
      <c r="F609" t="s">
        <v>1068</v>
      </c>
      <c r="G609" t="s">
        <v>1085</v>
      </c>
      <c r="H609">
        <v>-1.90648275837824E-2</v>
      </c>
      <c r="I609" t="s">
        <v>1086</v>
      </c>
      <c r="J609">
        <v>2.0299999999999998</v>
      </c>
    </row>
    <row r="610" spans="1:10" hidden="1">
      <c r="A610" t="s">
        <v>1296</v>
      </c>
      <c r="B610" t="s">
        <v>1297</v>
      </c>
      <c r="C610" t="s">
        <v>1066</v>
      </c>
      <c r="D610" t="s">
        <v>1273</v>
      </c>
      <c r="E610" t="s">
        <v>559</v>
      </c>
      <c r="F610" t="s">
        <v>1068</v>
      </c>
      <c r="G610" t="s">
        <v>1087</v>
      </c>
      <c r="H610" s="170">
        <v>-3.71822296345997E-6</v>
      </c>
      <c r="I610" t="s">
        <v>1088</v>
      </c>
      <c r="J610">
        <v>2.0299999999999998</v>
      </c>
    </row>
    <row r="611" spans="1:10" hidden="1">
      <c r="A611" t="s">
        <v>1296</v>
      </c>
      <c r="B611" t="s">
        <v>1297</v>
      </c>
      <c r="C611" t="s">
        <v>1066</v>
      </c>
      <c r="D611" t="s">
        <v>1273</v>
      </c>
      <c r="E611" t="s">
        <v>559</v>
      </c>
      <c r="F611" t="s">
        <v>1068</v>
      </c>
      <c r="G611" t="s">
        <v>1089</v>
      </c>
      <c r="H611">
        <v>-5.0185636226599802E-3</v>
      </c>
      <c r="I611" t="s">
        <v>1090</v>
      </c>
      <c r="J611">
        <v>2.0299999999999998</v>
      </c>
    </row>
    <row r="612" spans="1:10" hidden="1">
      <c r="A612" t="s">
        <v>1299</v>
      </c>
      <c r="B612" t="s">
        <v>1300</v>
      </c>
      <c r="C612" t="s">
        <v>1066</v>
      </c>
      <c r="D612" t="s">
        <v>1273</v>
      </c>
      <c r="E612" t="s">
        <v>560</v>
      </c>
      <c r="F612" t="s">
        <v>1068</v>
      </c>
      <c r="G612" t="s">
        <v>1069</v>
      </c>
      <c r="H612">
        <v>-0.126822721227692</v>
      </c>
      <c r="I612" t="s">
        <v>1070</v>
      </c>
      <c r="J612">
        <v>2.54</v>
      </c>
    </row>
    <row r="613" spans="1:10" hidden="1">
      <c r="A613" t="s">
        <v>1299</v>
      </c>
      <c r="B613" t="s">
        <v>1300</v>
      </c>
      <c r="C613" t="s">
        <v>1066</v>
      </c>
      <c r="D613" t="s">
        <v>1273</v>
      </c>
      <c r="E613" t="s">
        <v>560</v>
      </c>
      <c r="F613" t="s">
        <v>1068</v>
      </c>
      <c r="G613" t="s">
        <v>1071</v>
      </c>
      <c r="H613" s="170">
        <v>-3.1533182329325001E-10</v>
      </c>
      <c r="I613" t="s">
        <v>1072</v>
      </c>
      <c r="J613">
        <v>2.54</v>
      </c>
    </row>
    <row r="614" spans="1:10" hidden="1">
      <c r="A614" t="s">
        <v>1299</v>
      </c>
      <c r="B614" t="s">
        <v>1300</v>
      </c>
      <c r="C614" t="s">
        <v>1066</v>
      </c>
      <c r="D614" t="s">
        <v>1273</v>
      </c>
      <c r="E614" t="s">
        <v>560</v>
      </c>
      <c r="F614" t="s">
        <v>1068</v>
      </c>
      <c r="G614" t="s">
        <v>1073</v>
      </c>
      <c r="H614" s="170">
        <v>-6.0440983379632897E-8</v>
      </c>
      <c r="I614" t="s">
        <v>1074</v>
      </c>
      <c r="J614">
        <v>2.54</v>
      </c>
    </row>
    <row r="615" spans="1:10" hidden="1">
      <c r="A615" t="s">
        <v>1299</v>
      </c>
      <c r="B615" t="s">
        <v>1300</v>
      </c>
      <c r="C615" t="s">
        <v>1066</v>
      </c>
      <c r="D615" t="s">
        <v>1273</v>
      </c>
      <c r="E615" t="s">
        <v>560</v>
      </c>
      <c r="F615" t="s">
        <v>1068</v>
      </c>
      <c r="G615" t="s">
        <v>1075</v>
      </c>
      <c r="H615">
        <v>1.65882839704448E-2</v>
      </c>
      <c r="I615" t="s">
        <v>1077</v>
      </c>
      <c r="J615">
        <v>2.54</v>
      </c>
    </row>
    <row r="616" spans="1:10" hidden="1">
      <c r="A616" t="s">
        <v>1299</v>
      </c>
      <c r="B616" t="s">
        <v>1300</v>
      </c>
      <c r="C616" t="s">
        <v>1066</v>
      </c>
      <c r="D616" t="s">
        <v>1273</v>
      </c>
      <c r="E616" t="s">
        <v>560</v>
      </c>
      <c r="F616" t="s">
        <v>1068</v>
      </c>
      <c r="G616" t="s">
        <v>1078</v>
      </c>
      <c r="H616">
        <v>-0.86701403957079604</v>
      </c>
      <c r="I616" t="s">
        <v>1079</v>
      </c>
      <c r="J616">
        <v>2.54</v>
      </c>
    </row>
    <row r="617" spans="1:10" hidden="1">
      <c r="A617" t="s">
        <v>1299</v>
      </c>
      <c r="B617" t="s">
        <v>1300</v>
      </c>
      <c r="C617" t="s">
        <v>1066</v>
      </c>
      <c r="D617" t="s">
        <v>1273</v>
      </c>
      <c r="E617" t="s">
        <v>560</v>
      </c>
      <c r="F617" t="s">
        <v>1068</v>
      </c>
      <c r="G617" t="s">
        <v>1080</v>
      </c>
      <c r="H617" s="171" t="s">
        <v>1301</v>
      </c>
      <c r="I617" t="s">
        <v>1082</v>
      </c>
      <c r="J617">
        <v>2.54</v>
      </c>
    </row>
    <row r="618" spans="1:10" hidden="1">
      <c r="A618" t="s">
        <v>1299</v>
      </c>
      <c r="B618" t="s">
        <v>1300</v>
      </c>
      <c r="C618" t="s">
        <v>1066</v>
      </c>
      <c r="D618" t="s">
        <v>1273</v>
      </c>
      <c r="E618" t="s">
        <v>560</v>
      </c>
      <c r="F618" t="s">
        <v>1068</v>
      </c>
      <c r="G618" t="s">
        <v>1083</v>
      </c>
      <c r="H618">
        <v>-6.87507407013205E-4</v>
      </c>
      <c r="I618" t="s">
        <v>1084</v>
      </c>
      <c r="J618">
        <v>2.54</v>
      </c>
    </row>
    <row r="619" spans="1:10" hidden="1">
      <c r="A619" t="s">
        <v>1299</v>
      </c>
      <c r="B619" t="s">
        <v>1300</v>
      </c>
      <c r="C619" t="s">
        <v>1066</v>
      </c>
      <c r="D619" t="s">
        <v>1273</v>
      </c>
      <c r="E619" t="s">
        <v>560</v>
      </c>
      <c r="F619" t="s">
        <v>1068</v>
      </c>
      <c r="G619" t="s">
        <v>1085</v>
      </c>
      <c r="H619">
        <v>-1.90644062130912E-2</v>
      </c>
      <c r="I619" t="s">
        <v>1086</v>
      </c>
      <c r="J619">
        <v>2.54</v>
      </c>
    </row>
    <row r="620" spans="1:10" hidden="1">
      <c r="A620" t="s">
        <v>1299</v>
      </c>
      <c r="B620" t="s">
        <v>1300</v>
      </c>
      <c r="C620" t="s">
        <v>1066</v>
      </c>
      <c r="D620" t="s">
        <v>1273</v>
      </c>
      <c r="E620" t="s">
        <v>560</v>
      </c>
      <c r="F620" t="s">
        <v>1068</v>
      </c>
      <c r="G620" t="s">
        <v>1087</v>
      </c>
      <c r="H620" s="170">
        <v>-3.71810825661054E-6</v>
      </c>
      <c r="I620" t="s">
        <v>1088</v>
      </c>
      <c r="J620">
        <v>2.54</v>
      </c>
    </row>
    <row r="621" spans="1:10" hidden="1">
      <c r="A621" t="s">
        <v>1299</v>
      </c>
      <c r="B621" t="s">
        <v>1300</v>
      </c>
      <c r="C621" t="s">
        <v>1066</v>
      </c>
      <c r="D621" t="s">
        <v>1273</v>
      </c>
      <c r="E621" t="s">
        <v>560</v>
      </c>
      <c r="F621" t="s">
        <v>1068</v>
      </c>
      <c r="G621" t="s">
        <v>1089</v>
      </c>
      <c r="H621">
        <v>-5.0184749205767999E-3</v>
      </c>
      <c r="I621" t="s">
        <v>1090</v>
      </c>
      <c r="J621">
        <v>2.54</v>
      </c>
    </row>
    <row r="622" spans="1:10" hidden="1">
      <c r="A622" t="s">
        <v>1302</v>
      </c>
      <c r="B622" t="s">
        <v>1303</v>
      </c>
      <c r="C622" t="s">
        <v>1066</v>
      </c>
      <c r="D622" t="s">
        <v>1273</v>
      </c>
      <c r="E622" t="s">
        <v>1116</v>
      </c>
      <c r="F622" t="s">
        <v>1068</v>
      </c>
      <c r="G622" t="s">
        <v>1069</v>
      </c>
      <c r="H622">
        <v>-0.12534751396584101</v>
      </c>
      <c r="I622" t="s">
        <v>1070</v>
      </c>
      <c r="J622">
        <v>2.54</v>
      </c>
    </row>
    <row r="623" spans="1:10" hidden="1">
      <c r="A623" t="s">
        <v>1302</v>
      </c>
      <c r="B623" t="s">
        <v>1303</v>
      </c>
      <c r="C623" t="s">
        <v>1066</v>
      </c>
      <c r="D623" t="s">
        <v>1273</v>
      </c>
      <c r="E623" t="s">
        <v>1116</v>
      </c>
      <c r="F623" t="s">
        <v>1068</v>
      </c>
      <c r="G623" t="s">
        <v>1071</v>
      </c>
      <c r="H623" s="170">
        <v>-3.1322078491806901E-10</v>
      </c>
      <c r="I623" t="s">
        <v>1072</v>
      </c>
      <c r="J623">
        <v>2.54</v>
      </c>
    </row>
    <row r="624" spans="1:10" hidden="1">
      <c r="A624" t="s">
        <v>1302</v>
      </c>
      <c r="B624" t="s">
        <v>1303</v>
      </c>
      <c r="C624" t="s">
        <v>1066</v>
      </c>
      <c r="D624" t="s">
        <v>1273</v>
      </c>
      <c r="E624" t="s">
        <v>1116</v>
      </c>
      <c r="F624" t="s">
        <v>1068</v>
      </c>
      <c r="G624" t="s">
        <v>1073</v>
      </c>
      <c r="H624" s="170">
        <v>-5.9916985092372402E-8</v>
      </c>
      <c r="I624" t="s">
        <v>1074</v>
      </c>
      <c r="J624">
        <v>2.54</v>
      </c>
    </row>
    <row r="625" spans="1:10" hidden="1">
      <c r="A625" t="s">
        <v>1302</v>
      </c>
      <c r="B625" t="s">
        <v>1303</v>
      </c>
      <c r="C625" t="s">
        <v>1066</v>
      </c>
      <c r="D625" t="s">
        <v>1273</v>
      </c>
      <c r="E625" t="s">
        <v>1116</v>
      </c>
      <c r="F625" t="s">
        <v>1068</v>
      </c>
      <c r="G625" t="s">
        <v>1075</v>
      </c>
      <c r="H625">
        <v>1.6634916847902401E-2</v>
      </c>
      <c r="I625" t="s">
        <v>1077</v>
      </c>
      <c r="J625">
        <v>2.54</v>
      </c>
    </row>
    <row r="626" spans="1:10" hidden="1">
      <c r="A626" t="s">
        <v>1302</v>
      </c>
      <c r="B626" t="s">
        <v>1303</v>
      </c>
      <c r="C626" t="s">
        <v>1066</v>
      </c>
      <c r="D626" t="s">
        <v>1273</v>
      </c>
      <c r="E626" t="s">
        <v>1116</v>
      </c>
      <c r="F626" t="s">
        <v>1068</v>
      </c>
      <c r="G626" t="s">
        <v>1078</v>
      </c>
      <c r="H626">
        <v>-0.86499745406816497</v>
      </c>
      <c r="I626" t="s">
        <v>1079</v>
      </c>
      <c r="J626">
        <v>2.54</v>
      </c>
    </row>
    <row r="627" spans="1:10" hidden="1">
      <c r="A627" t="s">
        <v>1302</v>
      </c>
      <c r="B627" t="s">
        <v>1303</v>
      </c>
      <c r="C627" t="s">
        <v>1066</v>
      </c>
      <c r="D627" t="s">
        <v>1273</v>
      </c>
      <c r="E627" t="s">
        <v>1116</v>
      </c>
      <c r="F627" t="s">
        <v>1068</v>
      </c>
      <c r="G627" t="s">
        <v>1080</v>
      </c>
      <c r="H627" s="171" t="s">
        <v>1304</v>
      </c>
      <c r="I627" t="s">
        <v>1082</v>
      </c>
      <c r="J627">
        <v>2.54</v>
      </c>
    </row>
    <row r="628" spans="1:10" hidden="1">
      <c r="A628" t="s">
        <v>1302</v>
      </c>
      <c r="B628" t="s">
        <v>1303</v>
      </c>
      <c r="C628" t="s">
        <v>1066</v>
      </c>
      <c r="D628" t="s">
        <v>1273</v>
      </c>
      <c r="E628" t="s">
        <v>1116</v>
      </c>
      <c r="F628" t="s">
        <v>1068</v>
      </c>
      <c r="G628" t="s">
        <v>1083</v>
      </c>
      <c r="H628">
        <v>-6.8728317455430895E-4</v>
      </c>
      <c r="I628" t="s">
        <v>1084</v>
      </c>
      <c r="J628">
        <v>2.54</v>
      </c>
    </row>
    <row r="629" spans="1:10" hidden="1">
      <c r="A629" t="s">
        <v>1302</v>
      </c>
      <c r="B629" t="s">
        <v>1303</v>
      </c>
      <c r="C629" t="s">
        <v>1066</v>
      </c>
      <c r="D629" t="s">
        <v>1273</v>
      </c>
      <c r="E629" t="s">
        <v>1116</v>
      </c>
      <c r="F629" t="s">
        <v>1068</v>
      </c>
      <c r="G629" t="s">
        <v>1085</v>
      </c>
      <c r="H629">
        <v>-1.9061871931209499E-2</v>
      </c>
      <c r="I629" t="s">
        <v>1086</v>
      </c>
      <c r="J629">
        <v>2.54</v>
      </c>
    </row>
    <row r="630" spans="1:10" hidden="1">
      <c r="A630" t="s">
        <v>1302</v>
      </c>
      <c r="B630" t="s">
        <v>1303</v>
      </c>
      <c r="C630" t="s">
        <v>1066</v>
      </c>
      <c r="D630" t="s">
        <v>1273</v>
      </c>
      <c r="E630" t="s">
        <v>1116</v>
      </c>
      <c r="F630" t="s">
        <v>1068</v>
      </c>
      <c r="G630" t="s">
        <v>1087</v>
      </c>
      <c r="H630" s="170">
        <v>-3.7168852006028698E-6</v>
      </c>
      <c r="I630" t="s">
        <v>1088</v>
      </c>
      <c r="J630">
        <v>2.54</v>
      </c>
    </row>
    <row r="631" spans="1:10" hidden="1">
      <c r="A631" t="s">
        <v>1302</v>
      </c>
      <c r="B631" t="s">
        <v>1303</v>
      </c>
      <c r="C631" t="s">
        <v>1066</v>
      </c>
      <c r="D631" t="s">
        <v>1273</v>
      </c>
      <c r="E631" t="s">
        <v>1116</v>
      </c>
      <c r="F631" t="s">
        <v>1068</v>
      </c>
      <c r="G631" t="s">
        <v>1089</v>
      </c>
      <c r="H631">
        <v>-5.0179521032291501E-3</v>
      </c>
      <c r="I631" t="s">
        <v>1090</v>
      </c>
      <c r="J631">
        <v>2.54</v>
      </c>
    </row>
    <row r="632" spans="1:10" hidden="1">
      <c r="A632" t="s">
        <v>1305</v>
      </c>
      <c r="B632" t="s">
        <v>1306</v>
      </c>
      <c r="C632" t="s">
        <v>1066</v>
      </c>
      <c r="D632" t="s">
        <v>1307</v>
      </c>
      <c r="E632" t="s">
        <v>561</v>
      </c>
      <c r="F632" t="s">
        <v>1068</v>
      </c>
      <c r="G632" t="s">
        <v>1069</v>
      </c>
      <c r="H632">
        <v>-0.10317074668019</v>
      </c>
      <c r="I632" t="s">
        <v>1070</v>
      </c>
      <c r="J632">
        <v>2.5499999999999998</v>
      </c>
    </row>
    <row r="633" spans="1:10" hidden="1">
      <c r="A633" t="s">
        <v>1305</v>
      </c>
      <c r="B633" t="s">
        <v>1306</v>
      </c>
      <c r="C633" t="s">
        <v>1066</v>
      </c>
      <c r="D633" t="s">
        <v>1307</v>
      </c>
      <c r="E633" t="s">
        <v>561</v>
      </c>
      <c r="F633" t="s">
        <v>1068</v>
      </c>
      <c r="G633" t="s">
        <v>1071</v>
      </c>
      <c r="H633" s="170">
        <v>-2.96339009879355E-10</v>
      </c>
      <c r="I633" t="s">
        <v>1072</v>
      </c>
      <c r="J633">
        <v>2.5499999999999998</v>
      </c>
    </row>
    <row r="634" spans="1:10" hidden="1">
      <c r="A634" t="s">
        <v>1305</v>
      </c>
      <c r="B634" t="s">
        <v>1306</v>
      </c>
      <c r="C634" t="s">
        <v>1066</v>
      </c>
      <c r="D634" t="s">
        <v>1307</v>
      </c>
      <c r="E634" t="s">
        <v>561</v>
      </c>
      <c r="F634" t="s">
        <v>1068</v>
      </c>
      <c r="G634" t="s">
        <v>1073</v>
      </c>
      <c r="H634" s="170">
        <v>-6.8466274182552396E-8</v>
      </c>
      <c r="I634" t="s">
        <v>1074</v>
      </c>
      <c r="J634">
        <v>2.5499999999999998</v>
      </c>
    </row>
    <row r="635" spans="1:10" hidden="1">
      <c r="A635" t="s">
        <v>1305</v>
      </c>
      <c r="B635" t="s">
        <v>1306</v>
      </c>
      <c r="C635" t="s">
        <v>1066</v>
      </c>
      <c r="D635" t="s">
        <v>1307</v>
      </c>
      <c r="E635" t="s">
        <v>561</v>
      </c>
      <c r="F635" t="s">
        <v>1068</v>
      </c>
      <c r="G635" t="s">
        <v>1075</v>
      </c>
      <c r="H635" s="171" t="s">
        <v>1308</v>
      </c>
      <c r="I635" t="s">
        <v>1077</v>
      </c>
      <c r="J635">
        <v>2.5499999999999998</v>
      </c>
    </row>
    <row r="636" spans="1:10" hidden="1">
      <c r="A636" t="s">
        <v>1305</v>
      </c>
      <c r="B636" t="s">
        <v>1306</v>
      </c>
      <c r="C636" t="s">
        <v>1066</v>
      </c>
      <c r="D636" t="s">
        <v>1307</v>
      </c>
      <c r="E636" t="s">
        <v>561</v>
      </c>
      <c r="F636" t="s">
        <v>1068</v>
      </c>
      <c r="G636" t="s">
        <v>1078</v>
      </c>
      <c r="H636">
        <v>-2.38875601138436</v>
      </c>
      <c r="I636" t="s">
        <v>1079</v>
      </c>
      <c r="J636">
        <v>2.5499999999999998</v>
      </c>
    </row>
    <row r="637" spans="1:10" hidden="1">
      <c r="A637" t="s">
        <v>1305</v>
      </c>
      <c r="B637" t="s">
        <v>1306</v>
      </c>
      <c r="C637" t="s">
        <v>1066</v>
      </c>
      <c r="D637" t="s">
        <v>1307</v>
      </c>
      <c r="E637" t="s">
        <v>561</v>
      </c>
      <c r="F637" t="s">
        <v>1068</v>
      </c>
      <c r="G637" t="s">
        <v>1080</v>
      </c>
      <c r="H637" s="171" t="s">
        <v>1309</v>
      </c>
      <c r="I637" t="s">
        <v>1082</v>
      </c>
      <c r="J637">
        <v>2.5499999999999998</v>
      </c>
    </row>
    <row r="638" spans="1:10" hidden="1">
      <c r="A638" t="s">
        <v>1305</v>
      </c>
      <c r="B638" t="s">
        <v>1306</v>
      </c>
      <c r="C638" t="s">
        <v>1066</v>
      </c>
      <c r="D638" t="s">
        <v>1307</v>
      </c>
      <c r="E638" t="s">
        <v>561</v>
      </c>
      <c r="F638" t="s">
        <v>1068</v>
      </c>
      <c r="G638" t="s">
        <v>1083</v>
      </c>
      <c r="H638">
        <v>-1.87673352709056E-3</v>
      </c>
      <c r="I638" t="s">
        <v>1084</v>
      </c>
      <c r="J638">
        <v>2.5499999999999998</v>
      </c>
    </row>
    <row r="639" spans="1:10" hidden="1">
      <c r="A639" t="s">
        <v>1305</v>
      </c>
      <c r="B639" t="s">
        <v>1306</v>
      </c>
      <c r="C639" t="s">
        <v>1066</v>
      </c>
      <c r="D639" t="s">
        <v>1307</v>
      </c>
      <c r="E639" t="s">
        <v>561</v>
      </c>
      <c r="F639" t="s">
        <v>1068</v>
      </c>
      <c r="G639" t="s">
        <v>1085</v>
      </c>
      <c r="H639">
        <v>-5.21989898604528E-2</v>
      </c>
      <c r="I639" t="s">
        <v>1086</v>
      </c>
      <c r="J639">
        <v>2.5499999999999998</v>
      </c>
    </row>
    <row r="640" spans="1:10" hidden="1">
      <c r="A640" t="s">
        <v>1305</v>
      </c>
      <c r="B640" t="s">
        <v>1306</v>
      </c>
      <c r="C640" t="s">
        <v>1066</v>
      </c>
      <c r="D640" t="s">
        <v>1307</v>
      </c>
      <c r="E640" t="s">
        <v>561</v>
      </c>
      <c r="F640" t="s">
        <v>1068</v>
      </c>
      <c r="G640" t="s">
        <v>1087</v>
      </c>
      <c r="H640" s="170">
        <v>-1.89616480114255E-6</v>
      </c>
      <c r="I640" t="s">
        <v>1088</v>
      </c>
      <c r="J640">
        <v>2.5499999999999998</v>
      </c>
    </row>
    <row r="641" spans="1:10" hidden="1">
      <c r="A641" t="s">
        <v>1305</v>
      </c>
      <c r="B641" t="s">
        <v>1306</v>
      </c>
      <c r="C641" t="s">
        <v>1066</v>
      </c>
      <c r="D641" t="s">
        <v>1307</v>
      </c>
      <c r="E641" t="s">
        <v>561</v>
      </c>
      <c r="F641" t="s">
        <v>1068</v>
      </c>
      <c r="G641" t="s">
        <v>1089</v>
      </c>
      <c r="H641">
        <v>-1.40600784746028E-2</v>
      </c>
      <c r="I641" t="s">
        <v>1090</v>
      </c>
      <c r="J641">
        <v>2.5499999999999998</v>
      </c>
    </row>
    <row r="642" spans="1:10" hidden="1">
      <c r="A642" t="s">
        <v>1310</v>
      </c>
      <c r="B642" t="s">
        <v>1311</v>
      </c>
      <c r="C642" t="s">
        <v>1066</v>
      </c>
      <c r="D642" t="s">
        <v>1307</v>
      </c>
      <c r="E642" t="s">
        <v>555</v>
      </c>
      <c r="F642" t="s">
        <v>1068</v>
      </c>
      <c r="G642" t="s">
        <v>1069</v>
      </c>
      <c r="H642">
        <v>-0.11054404494306901</v>
      </c>
      <c r="I642" t="s">
        <v>1070</v>
      </c>
      <c r="J642">
        <v>2.0299999999999998</v>
      </c>
    </row>
    <row r="643" spans="1:10" hidden="1">
      <c r="A643" t="s">
        <v>1310</v>
      </c>
      <c r="B643" t="s">
        <v>1311</v>
      </c>
      <c r="C643" t="s">
        <v>1066</v>
      </c>
      <c r="D643" t="s">
        <v>1307</v>
      </c>
      <c r="E643" t="s">
        <v>555</v>
      </c>
      <c r="F643" t="s">
        <v>1068</v>
      </c>
      <c r="G643" t="s">
        <v>1071</v>
      </c>
      <c r="H643" s="170">
        <v>-3.0688451960722099E-10</v>
      </c>
      <c r="I643" t="s">
        <v>1072</v>
      </c>
      <c r="J643">
        <v>2.0299999999999998</v>
      </c>
    </row>
    <row r="644" spans="1:10" hidden="1">
      <c r="A644" t="s">
        <v>1310</v>
      </c>
      <c r="B644" t="s">
        <v>1311</v>
      </c>
      <c r="C644" t="s">
        <v>1066</v>
      </c>
      <c r="D644" t="s">
        <v>1307</v>
      </c>
      <c r="E644" t="s">
        <v>555</v>
      </c>
      <c r="F644" t="s">
        <v>1068</v>
      </c>
      <c r="G644" t="s">
        <v>1073</v>
      </c>
      <c r="H644" s="170">
        <v>-7.1085821686554394E-8</v>
      </c>
      <c r="I644" t="s">
        <v>1074</v>
      </c>
      <c r="J644">
        <v>2.0299999999999998</v>
      </c>
    </row>
    <row r="645" spans="1:10" hidden="1">
      <c r="A645" t="s">
        <v>1310</v>
      </c>
      <c r="B645" t="s">
        <v>1311</v>
      </c>
      <c r="C645" t="s">
        <v>1066</v>
      </c>
      <c r="D645" t="s">
        <v>1307</v>
      </c>
      <c r="E645" t="s">
        <v>555</v>
      </c>
      <c r="F645" t="s">
        <v>1068</v>
      </c>
      <c r="G645" t="s">
        <v>1075</v>
      </c>
      <c r="H645">
        <v>4.37882359588797E-2</v>
      </c>
      <c r="I645" t="s">
        <v>1077</v>
      </c>
      <c r="J645">
        <v>2.0299999999999998</v>
      </c>
    </row>
    <row r="646" spans="1:10" hidden="1">
      <c r="A646" t="s">
        <v>1310</v>
      </c>
      <c r="B646" t="s">
        <v>1311</v>
      </c>
      <c r="C646" t="s">
        <v>1066</v>
      </c>
      <c r="D646" t="s">
        <v>1307</v>
      </c>
      <c r="E646" t="s">
        <v>555</v>
      </c>
      <c r="F646" t="s">
        <v>1068</v>
      </c>
      <c r="G646" t="s">
        <v>1078</v>
      </c>
      <c r="H646">
        <v>-2.3972313350924299</v>
      </c>
      <c r="I646" t="s">
        <v>1079</v>
      </c>
      <c r="J646">
        <v>2.0299999999999998</v>
      </c>
    </row>
    <row r="647" spans="1:10" hidden="1">
      <c r="A647" t="s">
        <v>1310</v>
      </c>
      <c r="B647" t="s">
        <v>1311</v>
      </c>
      <c r="C647" t="s">
        <v>1066</v>
      </c>
      <c r="D647" t="s">
        <v>1307</v>
      </c>
      <c r="E647" t="s">
        <v>555</v>
      </c>
      <c r="F647" t="s">
        <v>1068</v>
      </c>
      <c r="G647" t="s">
        <v>1080</v>
      </c>
      <c r="H647" s="171" t="s">
        <v>1312</v>
      </c>
      <c r="I647" t="s">
        <v>1082</v>
      </c>
      <c r="J647">
        <v>2.0299999999999998</v>
      </c>
    </row>
    <row r="648" spans="1:10" hidden="1">
      <c r="A648" t="s">
        <v>1310</v>
      </c>
      <c r="B648" t="s">
        <v>1311</v>
      </c>
      <c r="C648" t="s">
        <v>1066</v>
      </c>
      <c r="D648" t="s">
        <v>1307</v>
      </c>
      <c r="E648" t="s">
        <v>555</v>
      </c>
      <c r="F648" t="s">
        <v>1068</v>
      </c>
      <c r="G648" t="s">
        <v>1083</v>
      </c>
      <c r="H648">
        <v>-1.8778546461543501E-3</v>
      </c>
      <c r="I648" t="s">
        <v>1084</v>
      </c>
      <c r="J648">
        <v>2.0299999999999998</v>
      </c>
    </row>
    <row r="649" spans="1:10" hidden="1">
      <c r="A649" t="s">
        <v>1310</v>
      </c>
      <c r="B649" t="s">
        <v>1311</v>
      </c>
      <c r="C649" t="s">
        <v>1066</v>
      </c>
      <c r="D649" t="s">
        <v>1307</v>
      </c>
      <c r="E649" t="s">
        <v>555</v>
      </c>
      <c r="F649" t="s">
        <v>1068</v>
      </c>
      <c r="G649" t="s">
        <v>1085</v>
      </c>
      <c r="H649">
        <v>-5.2211640413129E-2</v>
      </c>
      <c r="I649" t="s">
        <v>1086</v>
      </c>
      <c r="J649">
        <v>2.0299999999999998</v>
      </c>
    </row>
    <row r="650" spans="1:10" hidden="1">
      <c r="A650" t="s">
        <v>1310</v>
      </c>
      <c r="B650" t="s">
        <v>1311</v>
      </c>
      <c r="C650" t="s">
        <v>1066</v>
      </c>
      <c r="D650" t="s">
        <v>1307</v>
      </c>
      <c r="E650" t="s">
        <v>555</v>
      </c>
      <c r="F650" t="s">
        <v>1068</v>
      </c>
      <c r="G650" t="s">
        <v>1087</v>
      </c>
      <c r="H650" s="170">
        <v>-1.90209271848644E-6</v>
      </c>
      <c r="I650" t="s">
        <v>1088</v>
      </c>
      <c r="J650">
        <v>2.0299999999999998</v>
      </c>
    </row>
    <row r="651" spans="1:10" hidden="1">
      <c r="A651" t="s">
        <v>1310</v>
      </c>
      <c r="B651" t="s">
        <v>1311</v>
      </c>
      <c r="C651" t="s">
        <v>1066</v>
      </c>
      <c r="D651" t="s">
        <v>1307</v>
      </c>
      <c r="E651" t="s">
        <v>555</v>
      </c>
      <c r="F651" t="s">
        <v>1068</v>
      </c>
      <c r="G651" t="s">
        <v>1089</v>
      </c>
      <c r="H651">
        <v>-1.40626918069217E-2</v>
      </c>
      <c r="I651" t="s">
        <v>1090</v>
      </c>
      <c r="J651">
        <v>2.0299999999999998</v>
      </c>
    </row>
    <row r="652" spans="1:10" hidden="1">
      <c r="A652" t="s">
        <v>1313</v>
      </c>
      <c r="B652" t="s">
        <v>1314</v>
      </c>
      <c r="C652" t="s">
        <v>1066</v>
      </c>
      <c r="D652" t="s">
        <v>1307</v>
      </c>
      <c r="E652" t="s">
        <v>558</v>
      </c>
      <c r="F652" t="s">
        <v>1068</v>
      </c>
      <c r="G652" t="s">
        <v>1069</v>
      </c>
      <c r="H652">
        <v>-0.10251768390622901</v>
      </c>
      <c r="I652" t="s">
        <v>1070</v>
      </c>
      <c r="J652">
        <v>2.04</v>
      </c>
    </row>
    <row r="653" spans="1:10" hidden="1">
      <c r="A653" t="s">
        <v>1313</v>
      </c>
      <c r="B653" t="s">
        <v>1314</v>
      </c>
      <c r="C653" t="s">
        <v>1066</v>
      </c>
      <c r="D653" t="s">
        <v>1307</v>
      </c>
      <c r="E653" t="s">
        <v>558</v>
      </c>
      <c r="F653" t="s">
        <v>1068</v>
      </c>
      <c r="G653" t="s">
        <v>1071</v>
      </c>
      <c r="H653" s="170">
        <v>-2.9540446961997698E-10</v>
      </c>
      <c r="I653" t="s">
        <v>1072</v>
      </c>
      <c r="J653">
        <v>2.04</v>
      </c>
    </row>
    <row r="654" spans="1:10" hidden="1">
      <c r="A654" t="s">
        <v>1313</v>
      </c>
      <c r="B654" t="s">
        <v>1314</v>
      </c>
      <c r="C654" t="s">
        <v>1066</v>
      </c>
      <c r="D654" t="s">
        <v>1307</v>
      </c>
      <c r="E654" t="s">
        <v>558</v>
      </c>
      <c r="F654" t="s">
        <v>1068</v>
      </c>
      <c r="G654" t="s">
        <v>1073</v>
      </c>
      <c r="H654" s="170">
        <v>-6.8234304218826599E-8</v>
      </c>
      <c r="I654" t="s">
        <v>1074</v>
      </c>
      <c r="J654">
        <v>2.04</v>
      </c>
    </row>
    <row r="655" spans="1:10" hidden="1">
      <c r="A655" t="s">
        <v>1313</v>
      </c>
      <c r="B655" t="s">
        <v>1314</v>
      </c>
      <c r="C655" t="s">
        <v>1066</v>
      </c>
      <c r="D655" t="s">
        <v>1307</v>
      </c>
      <c r="E655" t="s">
        <v>558</v>
      </c>
      <c r="F655" t="s">
        <v>1068</v>
      </c>
      <c r="G655" t="s">
        <v>1075</v>
      </c>
      <c r="H655">
        <v>4.40381684506264E-2</v>
      </c>
      <c r="I655" t="s">
        <v>1077</v>
      </c>
      <c r="J655">
        <v>2.04</v>
      </c>
    </row>
    <row r="656" spans="1:10" hidden="1">
      <c r="A656" t="s">
        <v>1313</v>
      </c>
      <c r="B656" t="s">
        <v>1314</v>
      </c>
      <c r="C656" t="s">
        <v>1066</v>
      </c>
      <c r="D656" t="s">
        <v>1307</v>
      </c>
      <c r="E656" t="s">
        <v>558</v>
      </c>
      <c r="F656" t="s">
        <v>1068</v>
      </c>
      <c r="G656" t="s">
        <v>1078</v>
      </c>
      <c r="H656">
        <v>-2.38786328467627</v>
      </c>
      <c r="I656" t="s">
        <v>1079</v>
      </c>
      <c r="J656">
        <v>2.04</v>
      </c>
    </row>
    <row r="657" spans="1:10" hidden="1">
      <c r="A657" t="s">
        <v>1313</v>
      </c>
      <c r="B657" t="s">
        <v>1314</v>
      </c>
      <c r="C657" t="s">
        <v>1066</v>
      </c>
      <c r="D657" t="s">
        <v>1307</v>
      </c>
      <c r="E657" t="s">
        <v>558</v>
      </c>
      <c r="F657" t="s">
        <v>1068</v>
      </c>
      <c r="G657" t="s">
        <v>1080</v>
      </c>
      <c r="H657" s="171" t="s">
        <v>1315</v>
      </c>
      <c r="I657" t="s">
        <v>1082</v>
      </c>
      <c r="J657">
        <v>2.04</v>
      </c>
    </row>
    <row r="658" spans="1:10" hidden="1">
      <c r="A658" t="s">
        <v>1313</v>
      </c>
      <c r="B658" t="s">
        <v>1314</v>
      </c>
      <c r="C658" t="s">
        <v>1066</v>
      </c>
      <c r="D658" t="s">
        <v>1307</v>
      </c>
      <c r="E658" t="s">
        <v>558</v>
      </c>
      <c r="F658" t="s">
        <v>1068</v>
      </c>
      <c r="G658" t="s">
        <v>1083</v>
      </c>
      <c r="H658">
        <v>-1.87663426112609E-3</v>
      </c>
      <c r="I658" t="s">
        <v>1084</v>
      </c>
      <c r="J658">
        <v>2.04</v>
      </c>
    </row>
    <row r="659" spans="1:10" hidden="1">
      <c r="A659" t="s">
        <v>1313</v>
      </c>
      <c r="B659" t="s">
        <v>1314</v>
      </c>
      <c r="C659" t="s">
        <v>1066</v>
      </c>
      <c r="D659" t="s">
        <v>1307</v>
      </c>
      <c r="E659" t="s">
        <v>558</v>
      </c>
      <c r="F659" t="s">
        <v>1068</v>
      </c>
      <c r="G659" t="s">
        <v>1085</v>
      </c>
      <c r="H659">
        <v>-5.2197867953586698E-2</v>
      </c>
      <c r="I659" t="s">
        <v>1086</v>
      </c>
      <c r="J659">
        <v>2.04</v>
      </c>
    </row>
    <row r="660" spans="1:10" hidden="1">
      <c r="A660" t="s">
        <v>1313</v>
      </c>
      <c r="B660" t="s">
        <v>1314</v>
      </c>
      <c r="C660" t="s">
        <v>1066</v>
      </c>
      <c r="D660" t="s">
        <v>1307</v>
      </c>
      <c r="E660" t="s">
        <v>558</v>
      </c>
      <c r="F660" t="s">
        <v>1068</v>
      </c>
      <c r="G660" t="s">
        <v>1087</v>
      </c>
      <c r="H660" s="170">
        <v>-1.8956233637663201E-6</v>
      </c>
      <c r="I660" t="s">
        <v>1088</v>
      </c>
      <c r="J660">
        <v>2.04</v>
      </c>
    </row>
    <row r="661" spans="1:10" hidden="1">
      <c r="A661" t="s">
        <v>1313</v>
      </c>
      <c r="B661" t="s">
        <v>1314</v>
      </c>
      <c r="C661" t="s">
        <v>1066</v>
      </c>
      <c r="D661" t="s">
        <v>1307</v>
      </c>
      <c r="E661" t="s">
        <v>558</v>
      </c>
      <c r="F661" t="s">
        <v>1068</v>
      </c>
      <c r="G661" t="s">
        <v>1089</v>
      </c>
      <c r="H661">
        <v>-1.40598470274318E-2</v>
      </c>
      <c r="I661" t="s">
        <v>1090</v>
      </c>
      <c r="J661">
        <v>2.04</v>
      </c>
    </row>
    <row r="662" spans="1:10" hidden="1">
      <c r="A662" t="s">
        <v>1316</v>
      </c>
      <c r="B662" t="s">
        <v>1317</v>
      </c>
      <c r="C662" t="s">
        <v>1066</v>
      </c>
      <c r="D662" t="s">
        <v>1307</v>
      </c>
      <c r="E662" t="s">
        <v>553</v>
      </c>
      <c r="F662" t="s">
        <v>1068</v>
      </c>
      <c r="G662" t="s">
        <v>1069</v>
      </c>
      <c r="H662">
        <v>-0.10187561680738701</v>
      </c>
      <c r="I662" t="s">
        <v>1070</v>
      </c>
      <c r="J662">
        <v>2.04</v>
      </c>
    </row>
    <row r="663" spans="1:10" hidden="1">
      <c r="A663" t="s">
        <v>1316</v>
      </c>
      <c r="B663" t="s">
        <v>1317</v>
      </c>
      <c r="C663" t="s">
        <v>1066</v>
      </c>
      <c r="D663" t="s">
        <v>1307</v>
      </c>
      <c r="E663" t="s">
        <v>553</v>
      </c>
      <c r="F663" t="s">
        <v>1068</v>
      </c>
      <c r="G663" t="s">
        <v>1071</v>
      </c>
      <c r="H663" s="170">
        <v>-2.9447990032574798E-10</v>
      </c>
      <c r="I663" t="s">
        <v>1072</v>
      </c>
      <c r="J663">
        <v>2.04</v>
      </c>
    </row>
    <row r="664" spans="1:10" hidden="1">
      <c r="A664" t="s">
        <v>1316</v>
      </c>
      <c r="B664" t="s">
        <v>1317</v>
      </c>
      <c r="C664" t="s">
        <v>1066</v>
      </c>
      <c r="D664" t="s">
        <v>1307</v>
      </c>
      <c r="E664" t="s">
        <v>553</v>
      </c>
      <c r="F664" t="s">
        <v>1068</v>
      </c>
      <c r="G664" t="s">
        <v>1073</v>
      </c>
      <c r="H664" s="170">
        <v>-6.8006768584202806E-8</v>
      </c>
      <c r="I664" t="s">
        <v>1074</v>
      </c>
      <c r="J664">
        <v>2.04</v>
      </c>
    </row>
    <row r="665" spans="1:10" hidden="1">
      <c r="A665" t="s">
        <v>1316</v>
      </c>
      <c r="B665" t="s">
        <v>1317</v>
      </c>
      <c r="C665" t="s">
        <v>1066</v>
      </c>
      <c r="D665" t="s">
        <v>1307</v>
      </c>
      <c r="E665" t="s">
        <v>553</v>
      </c>
      <c r="F665" t="s">
        <v>1068</v>
      </c>
      <c r="G665" t="s">
        <v>1075</v>
      </c>
      <c r="H665">
        <v>4.4062254232471003E-2</v>
      </c>
      <c r="I665" t="s">
        <v>1077</v>
      </c>
      <c r="J665">
        <v>2.04</v>
      </c>
    </row>
    <row r="666" spans="1:10" hidden="1">
      <c r="A666" t="s">
        <v>1316</v>
      </c>
      <c r="B666" t="s">
        <v>1317</v>
      </c>
      <c r="C666" t="s">
        <v>1066</v>
      </c>
      <c r="D666" t="s">
        <v>1307</v>
      </c>
      <c r="E666" t="s">
        <v>553</v>
      </c>
      <c r="F666" t="s">
        <v>1068</v>
      </c>
      <c r="G666" t="s">
        <v>1078</v>
      </c>
      <c r="H666">
        <v>-2.3853817279456502</v>
      </c>
      <c r="I666" t="s">
        <v>1079</v>
      </c>
      <c r="J666">
        <v>2.04</v>
      </c>
    </row>
    <row r="667" spans="1:10" hidden="1">
      <c r="A667" t="s">
        <v>1316</v>
      </c>
      <c r="B667" t="s">
        <v>1317</v>
      </c>
      <c r="C667" t="s">
        <v>1066</v>
      </c>
      <c r="D667" t="s">
        <v>1307</v>
      </c>
      <c r="E667" t="s">
        <v>553</v>
      </c>
      <c r="F667" t="s">
        <v>1068</v>
      </c>
      <c r="G667" t="s">
        <v>1080</v>
      </c>
      <c r="H667" s="171" t="s">
        <v>1318</v>
      </c>
      <c r="I667" t="s">
        <v>1082</v>
      </c>
      <c r="J667">
        <v>2.04</v>
      </c>
    </row>
    <row r="668" spans="1:10" hidden="1">
      <c r="A668" t="s">
        <v>1316</v>
      </c>
      <c r="B668" t="s">
        <v>1317</v>
      </c>
      <c r="C668" t="s">
        <v>1066</v>
      </c>
      <c r="D668" t="s">
        <v>1307</v>
      </c>
      <c r="E668" t="s">
        <v>553</v>
      </c>
      <c r="F668" t="s">
        <v>1068</v>
      </c>
      <c r="G668" t="s">
        <v>1083</v>
      </c>
      <c r="H668">
        <v>-1.8765370394652099E-3</v>
      </c>
      <c r="I668" t="s">
        <v>1084</v>
      </c>
      <c r="J668">
        <v>2.04</v>
      </c>
    </row>
    <row r="669" spans="1:10" hidden="1">
      <c r="A669" t="s">
        <v>1316</v>
      </c>
      <c r="B669" t="s">
        <v>1317</v>
      </c>
      <c r="C669" t="s">
        <v>1066</v>
      </c>
      <c r="D669" t="s">
        <v>1307</v>
      </c>
      <c r="E669" t="s">
        <v>553</v>
      </c>
      <c r="F669" t="s">
        <v>1068</v>
      </c>
      <c r="G669" t="s">
        <v>1085</v>
      </c>
      <c r="H669">
        <v>-5.2196748783362702E-2</v>
      </c>
      <c r="I669" t="s">
        <v>1086</v>
      </c>
      <c r="J669">
        <v>2.04</v>
      </c>
    </row>
    <row r="670" spans="1:10" hidden="1">
      <c r="A670" t="s">
        <v>1316</v>
      </c>
      <c r="B670" t="s">
        <v>1317</v>
      </c>
      <c r="C670" t="s">
        <v>1066</v>
      </c>
      <c r="D670" t="s">
        <v>1307</v>
      </c>
      <c r="E670" t="s">
        <v>553</v>
      </c>
      <c r="F670" t="s">
        <v>1068</v>
      </c>
      <c r="G670" t="s">
        <v>1087</v>
      </c>
      <c r="H670" s="170">
        <v>-1.89490594996577E-6</v>
      </c>
      <c r="I670" t="s">
        <v>1088</v>
      </c>
      <c r="J670">
        <v>2.04</v>
      </c>
    </row>
    <row r="671" spans="1:10" hidden="1">
      <c r="A671" t="s">
        <v>1316</v>
      </c>
      <c r="B671" t="s">
        <v>1317</v>
      </c>
      <c r="C671" t="s">
        <v>1066</v>
      </c>
      <c r="D671" t="s">
        <v>1307</v>
      </c>
      <c r="E671" t="s">
        <v>553</v>
      </c>
      <c r="F671" t="s">
        <v>1068</v>
      </c>
      <c r="G671" t="s">
        <v>1089</v>
      </c>
      <c r="H671">
        <v>-1.4059619693108E-2</v>
      </c>
      <c r="I671" t="s">
        <v>1090</v>
      </c>
      <c r="J671">
        <v>2.04</v>
      </c>
    </row>
    <row r="672" spans="1:10" hidden="1">
      <c r="A672" t="s">
        <v>1319</v>
      </c>
      <c r="B672" t="s">
        <v>1320</v>
      </c>
      <c r="C672" t="s">
        <v>1066</v>
      </c>
      <c r="D672" t="s">
        <v>1307</v>
      </c>
      <c r="E672" t="s">
        <v>556</v>
      </c>
      <c r="F672" t="s">
        <v>1068</v>
      </c>
      <c r="G672" t="s">
        <v>1069</v>
      </c>
      <c r="H672">
        <v>-0.109729249619463</v>
      </c>
      <c r="I672" t="s">
        <v>1070</v>
      </c>
      <c r="J672">
        <v>2.04</v>
      </c>
    </row>
    <row r="673" spans="1:10" hidden="1">
      <c r="A673" t="s">
        <v>1319</v>
      </c>
      <c r="B673" t="s">
        <v>1320</v>
      </c>
      <c r="C673" t="s">
        <v>1066</v>
      </c>
      <c r="D673" t="s">
        <v>1307</v>
      </c>
      <c r="E673" t="s">
        <v>556</v>
      </c>
      <c r="F673" t="s">
        <v>1068</v>
      </c>
      <c r="G673" t="s">
        <v>1071</v>
      </c>
      <c r="H673" s="170">
        <v>-3.0568641129196801E-10</v>
      </c>
      <c r="I673" t="s">
        <v>1072</v>
      </c>
      <c r="J673">
        <v>2.04</v>
      </c>
    </row>
    <row r="674" spans="1:10" hidden="1">
      <c r="A674" t="s">
        <v>1319</v>
      </c>
      <c r="B674" t="s">
        <v>1320</v>
      </c>
      <c r="C674" t="s">
        <v>1066</v>
      </c>
      <c r="D674" t="s">
        <v>1307</v>
      </c>
      <c r="E674" t="s">
        <v>556</v>
      </c>
      <c r="F674" t="s">
        <v>1068</v>
      </c>
      <c r="G674" t="s">
        <v>1073</v>
      </c>
      <c r="H674" s="170">
        <v>-7.0795483943683097E-8</v>
      </c>
      <c r="I674" t="s">
        <v>1074</v>
      </c>
      <c r="J674">
        <v>2.04</v>
      </c>
    </row>
    <row r="675" spans="1:10" hidden="1">
      <c r="A675" t="s">
        <v>1319</v>
      </c>
      <c r="B675" t="s">
        <v>1320</v>
      </c>
      <c r="C675" t="s">
        <v>1066</v>
      </c>
      <c r="D675" t="s">
        <v>1307</v>
      </c>
      <c r="E675" t="s">
        <v>556</v>
      </c>
      <c r="F675" t="s">
        <v>1068</v>
      </c>
      <c r="G675" t="s">
        <v>1075</v>
      </c>
      <c r="H675" s="171" t="s">
        <v>1321</v>
      </c>
      <c r="I675" t="s">
        <v>1077</v>
      </c>
      <c r="J675">
        <v>2.0499999999999998</v>
      </c>
    </row>
    <row r="676" spans="1:10" hidden="1">
      <c r="A676" t="s">
        <v>1319</v>
      </c>
      <c r="B676" t="s">
        <v>1320</v>
      </c>
      <c r="C676" t="s">
        <v>1066</v>
      </c>
      <c r="D676" t="s">
        <v>1307</v>
      </c>
      <c r="E676" t="s">
        <v>556</v>
      </c>
      <c r="F676" t="s">
        <v>1068</v>
      </c>
      <c r="G676" t="s">
        <v>1078</v>
      </c>
      <c r="H676">
        <v>-2.39025290122775</v>
      </c>
      <c r="I676" t="s">
        <v>1079</v>
      </c>
      <c r="J676">
        <v>2.0499999999999998</v>
      </c>
    </row>
    <row r="677" spans="1:10" hidden="1">
      <c r="A677" t="s">
        <v>1319</v>
      </c>
      <c r="B677" t="s">
        <v>1320</v>
      </c>
      <c r="C677" t="s">
        <v>1066</v>
      </c>
      <c r="D677" t="s">
        <v>1307</v>
      </c>
      <c r="E677" t="s">
        <v>556</v>
      </c>
      <c r="F677" t="s">
        <v>1068</v>
      </c>
      <c r="G677" t="s">
        <v>1080</v>
      </c>
      <c r="H677" s="171" t="s">
        <v>1322</v>
      </c>
      <c r="I677" t="s">
        <v>1082</v>
      </c>
      <c r="J677">
        <v>2.0499999999999998</v>
      </c>
    </row>
    <row r="678" spans="1:10" hidden="1">
      <c r="A678" t="s">
        <v>1319</v>
      </c>
      <c r="B678" t="s">
        <v>1320</v>
      </c>
      <c r="C678" t="s">
        <v>1066</v>
      </c>
      <c r="D678" t="s">
        <v>1307</v>
      </c>
      <c r="E678" t="s">
        <v>556</v>
      </c>
      <c r="F678" t="s">
        <v>1068</v>
      </c>
      <c r="G678" t="s">
        <v>1083</v>
      </c>
      <c r="H678">
        <v>-1.8777307925642701E-3</v>
      </c>
      <c r="I678" t="s">
        <v>1084</v>
      </c>
      <c r="J678">
        <v>2.0499999999999998</v>
      </c>
    </row>
    <row r="679" spans="1:10" hidden="1">
      <c r="A679" t="s">
        <v>1319</v>
      </c>
      <c r="B679" t="s">
        <v>1320</v>
      </c>
      <c r="C679" t="s">
        <v>1066</v>
      </c>
      <c r="D679" t="s">
        <v>1307</v>
      </c>
      <c r="E679" t="s">
        <v>556</v>
      </c>
      <c r="F679" t="s">
        <v>1068</v>
      </c>
      <c r="G679" t="s">
        <v>1085</v>
      </c>
      <c r="H679">
        <v>-5.2210166676563502E-2</v>
      </c>
      <c r="I679" t="s">
        <v>1086</v>
      </c>
      <c r="J679">
        <v>2.0499999999999998</v>
      </c>
    </row>
    <row r="680" spans="1:10" hidden="1">
      <c r="A680" t="s">
        <v>1319</v>
      </c>
      <c r="B680" t="s">
        <v>1320</v>
      </c>
      <c r="C680" t="s">
        <v>1066</v>
      </c>
      <c r="D680" t="s">
        <v>1307</v>
      </c>
      <c r="E680" t="s">
        <v>556</v>
      </c>
      <c r="F680" t="s">
        <v>1068</v>
      </c>
      <c r="G680" t="s">
        <v>1087</v>
      </c>
      <c r="H680" s="170">
        <v>-1.90141721795693E-6</v>
      </c>
      <c r="I680" t="s">
        <v>1088</v>
      </c>
      <c r="J680">
        <v>2.0499999999999998</v>
      </c>
    </row>
    <row r="681" spans="1:10" hidden="1">
      <c r="A681" t="s">
        <v>1319</v>
      </c>
      <c r="B681" t="s">
        <v>1320</v>
      </c>
      <c r="C681" t="s">
        <v>1066</v>
      </c>
      <c r="D681" t="s">
        <v>1307</v>
      </c>
      <c r="E681" t="s">
        <v>556</v>
      </c>
      <c r="F681" t="s">
        <v>1068</v>
      </c>
      <c r="G681" t="s">
        <v>1089</v>
      </c>
      <c r="H681">
        <v>-1.4062403052038101E-2</v>
      </c>
      <c r="I681" t="s">
        <v>1090</v>
      </c>
      <c r="J681">
        <v>2.0499999999999998</v>
      </c>
    </row>
    <row r="682" spans="1:10" hidden="1">
      <c r="A682" t="s">
        <v>1323</v>
      </c>
      <c r="B682" t="s">
        <v>1324</v>
      </c>
      <c r="C682" t="s">
        <v>1066</v>
      </c>
      <c r="D682" t="s">
        <v>1307</v>
      </c>
      <c r="E682" t="s">
        <v>557</v>
      </c>
      <c r="F682" t="s">
        <v>1068</v>
      </c>
      <c r="G682" t="s">
        <v>1069</v>
      </c>
      <c r="H682">
        <v>-0.105215117103026</v>
      </c>
      <c r="I682" t="s">
        <v>1070</v>
      </c>
      <c r="J682">
        <v>2.5499999999999998</v>
      </c>
    </row>
    <row r="683" spans="1:10" hidden="1">
      <c r="A683" t="s">
        <v>1323</v>
      </c>
      <c r="B683" t="s">
        <v>1324</v>
      </c>
      <c r="C683" t="s">
        <v>1066</v>
      </c>
      <c r="D683" t="s">
        <v>1307</v>
      </c>
      <c r="E683" t="s">
        <v>557</v>
      </c>
      <c r="F683" t="s">
        <v>1068</v>
      </c>
      <c r="G683" t="s">
        <v>1071</v>
      </c>
      <c r="H683" s="170">
        <v>-2.9926452721300102E-10</v>
      </c>
      <c r="I683" t="s">
        <v>1072</v>
      </c>
      <c r="J683">
        <v>2.5499999999999998</v>
      </c>
    </row>
    <row r="684" spans="1:10" hidden="1">
      <c r="A684" t="s">
        <v>1323</v>
      </c>
      <c r="B684" t="s">
        <v>1324</v>
      </c>
      <c r="C684" t="s">
        <v>1066</v>
      </c>
      <c r="D684" t="s">
        <v>1307</v>
      </c>
      <c r="E684" t="s">
        <v>557</v>
      </c>
      <c r="F684" t="s">
        <v>1068</v>
      </c>
      <c r="G684" t="s">
        <v>1073</v>
      </c>
      <c r="H684" s="170">
        <v>-6.9192441025525894E-8</v>
      </c>
      <c r="I684" t="s">
        <v>1074</v>
      </c>
      <c r="J684">
        <v>2.5499999999999998</v>
      </c>
    </row>
    <row r="685" spans="1:10" hidden="1">
      <c r="A685" t="s">
        <v>1323</v>
      </c>
      <c r="B685" t="s">
        <v>1324</v>
      </c>
      <c r="C685" t="s">
        <v>1066</v>
      </c>
      <c r="D685" t="s">
        <v>1307</v>
      </c>
      <c r="E685" t="s">
        <v>557</v>
      </c>
      <c r="F685" t="s">
        <v>1068</v>
      </c>
      <c r="G685" t="s">
        <v>1075</v>
      </c>
      <c r="H685">
        <v>4.39528997056867E-2</v>
      </c>
      <c r="I685" t="s">
        <v>1077</v>
      </c>
      <c r="J685">
        <v>2.5499999999999998</v>
      </c>
    </row>
    <row r="686" spans="1:10" hidden="1">
      <c r="A686" t="s">
        <v>1323</v>
      </c>
      <c r="B686" t="s">
        <v>1324</v>
      </c>
      <c r="C686" t="s">
        <v>1066</v>
      </c>
      <c r="D686" t="s">
        <v>1307</v>
      </c>
      <c r="E686" t="s">
        <v>557</v>
      </c>
      <c r="F686" t="s">
        <v>1068</v>
      </c>
      <c r="G686" t="s">
        <v>1078</v>
      </c>
      <c r="H686">
        <v>-2.3915506341225301</v>
      </c>
      <c r="I686" t="s">
        <v>1079</v>
      </c>
      <c r="J686">
        <v>2.5499999999999998</v>
      </c>
    </row>
    <row r="687" spans="1:10" hidden="1">
      <c r="A687" t="s">
        <v>1323</v>
      </c>
      <c r="B687" t="s">
        <v>1324</v>
      </c>
      <c r="C687" t="s">
        <v>1066</v>
      </c>
      <c r="D687" t="s">
        <v>1307</v>
      </c>
      <c r="E687" t="s">
        <v>557</v>
      </c>
      <c r="F687" t="s">
        <v>1068</v>
      </c>
      <c r="G687" t="s">
        <v>1080</v>
      </c>
      <c r="H687" s="171" t="s">
        <v>1325</v>
      </c>
      <c r="I687" t="s">
        <v>1082</v>
      </c>
      <c r="J687">
        <v>2.5499999999999998</v>
      </c>
    </row>
    <row r="688" spans="1:10" hidden="1">
      <c r="A688" t="s">
        <v>1323</v>
      </c>
      <c r="B688" t="s">
        <v>1324</v>
      </c>
      <c r="C688" t="s">
        <v>1066</v>
      </c>
      <c r="D688" t="s">
        <v>1307</v>
      </c>
      <c r="E688" t="s">
        <v>557</v>
      </c>
      <c r="F688" t="s">
        <v>1068</v>
      </c>
      <c r="G688" t="s">
        <v>1083</v>
      </c>
      <c r="H688">
        <v>-1.87704427271848E-3</v>
      </c>
      <c r="I688" t="s">
        <v>1084</v>
      </c>
      <c r="J688">
        <v>2.5499999999999998</v>
      </c>
    </row>
    <row r="689" spans="1:10" hidden="1">
      <c r="A689" t="s">
        <v>1323</v>
      </c>
      <c r="B689" t="s">
        <v>1324</v>
      </c>
      <c r="C689" t="s">
        <v>1066</v>
      </c>
      <c r="D689" t="s">
        <v>1307</v>
      </c>
      <c r="E689" t="s">
        <v>557</v>
      </c>
      <c r="F689" t="s">
        <v>1068</v>
      </c>
      <c r="G689" t="s">
        <v>1085</v>
      </c>
      <c r="H689">
        <v>-5.2202501916729302E-2</v>
      </c>
      <c r="I689" t="s">
        <v>1086</v>
      </c>
      <c r="J689">
        <v>2.5499999999999998</v>
      </c>
    </row>
    <row r="690" spans="1:10" hidden="1">
      <c r="A690" t="s">
        <v>1323</v>
      </c>
      <c r="B690" t="s">
        <v>1324</v>
      </c>
      <c r="C690" t="s">
        <v>1066</v>
      </c>
      <c r="D690" t="s">
        <v>1307</v>
      </c>
      <c r="E690" t="s">
        <v>557</v>
      </c>
      <c r="F690" t="s">
        <v>1068</v>
      </c>
      <c r="G690" t="s">
        <v>1087</v>
      </c>
      <c r="H690" s="170">
        <v>-1.8978597355376701E-6</v>
      </c>
      <c r="I690" t="s">
        <v>1088</v>
      </c>
      <c r="J690">
        <v>2.5499999999999998</v>
      </c>
    </row>
    <row r="691" spans="1:10" hidden="1">
      <c r="A691" t="s">
        <v>1323</v>
      </c>
      <c r="B691" t="s">
        <v>1324</v>
      </c>
      <c r="C691" t="s">
        <v>1066</v>
      </c>
      <c r="D691" t="s">
        <v>1307</v>
      </c>
      <c r="E691" t="s">
        <v>557</v>
      </c>
      <c r="F691" t="s">
        <v>1068</v>
      </c>
      <c r="G691" t="s">
        <v>1089</v>
      </c>
      <c r="H691">
        <v>-1.40608030048772E-2</v>
      </c>
      <c r="I691" t="s">
        <v>1090</v>
      </c>
      <c r="J691">
        <v>2.5499999999999998</v>
      </c>
    </row>
    <row r="692" spans="1:10" hidden="1">
      <c r="A692" t="s">
        <v>1326</v>
      </c>
      <c r="B692" t="s">
        <v>1327</v>
      </c>
      <c r="C692" t="s">
        <v>1066</v>
      </c>
      <c r="D692" t="s">
        <v>1307</v>
      </c>
      <c r="E692" t="s">
        <v>559</v>
      </c>
      <c r="F692" t="s">
        <v>1068</v>
      </c>
      <c r="G692" t="s">
        <v>1069</v>
      </c>
      <c r="H692">
        <v>-0.107394840714314</v>
      </c>
      <c r="I692" t="s">
        <v>1070</v>
      </c>
      <c r="J692">
        <v>2.04</v>
      </c>
    </row>
    <row r="693" spans="1:10" hidden="1">
      <c r="A693" t="s">
        <v>1326</v>
      </c>
      <c r="B693" t="s">
        <v>1327</v>
      </c>
      <c r="C693" t="s">
        <v>1066</v>
      </c>
      <c r="D693" t="s">
        <v>1307</v>
      </c>
      <c r="E693" t="s">
        <v>559</v>
      </c>
      <c r="F693" t="s">
        <v>1068</v>
      </c>
      <c r="G693" t="s">
        <v>1071</v>
      </c>
      <c r="H693" s="170">
        <v>-3.0237797252815098E-10</v>
      </c>
      <c r="I693" t="s">
        <v>1072</v>
      </c>
      <c r="J693">
        <v>2.04</v>
      </c>
    </row>
    <row r="694" spans="1:10" hidden="1">
      <c r="A694" t="s">
        <v>1326</v>
      </c>
      <c r="B694" t="s">
        <v>1327</v>
      </c>
      <c r="C694" t="s">
        <v>1066</v>
      </c>
      <c r="D694" t="s">
        <v>1307</v>
      </c>
      <c r="E694" t="s">
        <v>559</v>
      </c>
      <c r="F694" t="s">
        <v>1068</v>
      </c>
      <c r="G694" t="s">
        <v>1073</v>
      </c>
      <c r="H694" s="170">
        <v>-6.9967214379834299E-8</v>
      </c>
      <c r="I694" t="s">
        <v>1074</v>
      </c>
      <c r="J694">
        <v>2.04</v>
      </c>
    </row>
    <row r="695" spans="1:10" hidden="1">
      <c r="A695" t="s">
        <v>1326</v>
      </c>
      <c r="B695" t="s">
        <v>1327</v>
      </c>
      <c r="C695" t="s">
        <v>1066</v>
      </c>
      <c r="D695" t="s">
        <v>1307</v>
      </c>
      <c r="E695" t="s">
        <v>559</v>
      </c>
      <c r="F695" t="s">
        <v>1068</v>
      </c>
      <c r="G695" t="s">
        <v>1075</v>
      </c>
      <c r="H695" s="171" t="s">
        <v>1328</v>
      </c>
      <c r="I695" t="s">
        <v>1077</v>
      </c>
      <c r="J695">
        <v>2.04</v>
      </c>
    </row>
    <row r="696" spans="1:10" hidden="1">
      <c r="A696" t="s">
        <v>1326</v>
      </c>
      <c r="B696" t="s">
        <v>1327</v>
      </c>
      <c r="C696" t="s">
        <v>1066</v>
      </c>
      <c r="D696" t="s">
        <v>1307</v>
      </c>
      <c r="E696" t="s">
        <v>559</v>
      </c>
      <c r="F696" t="s">
        <v>1068</v>
      </c>
      <c r="G696" t="s">
        <v>1078</v>
      </c>
      <c r="H696">
        <v>-2.39292642163465</v>
      </c>
      <c r="I696" t="s">
        <v>1079</v>
      </c>
      <c r="J696">
        <v>2.04</v>
      </c>
    </row>
    <row r="697" spans="1:10" hidden="1">
      <c r="A697" t="s">
        <v>1326</v>
      </c>
      <c r="B697" t="s">
        <v>1327</v>
      </c>
      <c r="C697" t="s">
        <v>1066</v>
      </c>
      <c r="D697" t="s">
        <v>1307</v>
      </c>
      <c r="E697" t="s">
        <v>559</v>
      </c>
      <c r="F697" t="s">
        <v>1068</v>
      </c>
      <c r="G697" t="s">
        <v>1080</v>
      </c>
      <c r="H697" s="171" t="s">
        <v>1329</v>
      </c>
      <c r="I697" t="s">
        <v>1082</v>
      </c>
      <c r="J697">
        <v>2.04</v>
      </c>
    </row>
    <row r="698" spans="1:10" hidden="1">
      <c r="A698" t="s">
        <v>1326</v>
      </c>
      <c r="B698" t="s">
        <v>1327</v>
      </c>
      <c r="C698" t="s">
        <v>1066</v>
      </c>
      <c r="D698" t="s">
        <v>1307</v>
      </c>
      <c r="E698" t="s">
        <v>559</v>
      </c>
      <c r="F698" t="s">
        <v>1068</v>
      </c>
      <c r="G698" t="s">
        <v>1083</v>
      </c>
      <c r="H698">
        <v>-1.8773759650725301E-3</v>
      </c>
      <c r="I698" t="s">
        <v>1084</v>
      </c>
      <c r="J698">
        <v>2.04</v>
      </c>
    </row>
    <row r="699" spans="1:10" hidden="1">
      <c r="A699" t="s">
        <v>1326</v>
      </c>
      <c r="B699" t="s">
        <v>1327</v>
      </c>
      <c r="C699" t="s">
        <v>1066</v>
      </c>
      <c r="D699" t="s">
        <v>1307</v>
      </c>
      <c r="E699" t="s">
        <v>559</v>
      </c>
      <c r="F699" t="s">
        <v>1068</v>
      </c>
      <c r="G699" t="s">
        <v>1085</v>
      </c>
      <c r="H699">
        <v>-5.2206230345386302E-2</v>
      </c>
      <c r="I699" t="s">
        <v>1086</v>
      </c>
      <c r="J699">
        <v>2.04</v>
      </c>
    </row>
    <row r="700" spans="1:10" hidden="1">
      <c r="A700" t="s">
        <v>1326</v>
      </c>
      <c r="B700" t="s">
        <v>1327</v>
      </c>
      <c r="C700" t="s">
        <v>1066</v>
      </c>
      <c r="D700" t="s">
        <v>1307</v>
      </c>
      <c r="E700" t="s">
        <v>559</v>
      </c>
      <c r="F700" t="s">
        <v>1068</v>
      </c>
      <c r="G700" t="s">
        <v>1087</v>
      </c>
      <c r="H700" s="170">
        <v>-1.89948179509132E-6</v>
      </c>
      <c r="I700" t="s">
        <v>1088</v>
      </c>
      <c r="J700">
        <v>2.04</v>
      </c>
    </row>
    <row r="701" spans="1:10" hidden="1">
      <c r="A701" t="s">
        <v>1326</v>
      </c>
      <c r="B701" t="s">
        <v>1327</v>
      </c>
      <c r="C701" t="s">
        <v>1066</v>
      </c>
      <c r="D701" t="s">
        <v>1307</v>
      </c>
      <c r="E701" t="s">
        <v>559</v>
      </c>
      <c r="F701" t="s">
        <v>1068</v>
      </c>
      <c r="G701" t="s">
        <v>1089</v>
      </c>
      <c r="H701">
        <v>-1.4061575720629899E-2</v>
      </c>
      <c r="I701" t="s">
        <v>1090</v>
      </c>
      <c r="J701">
        <v>2.04</v>
      </c>
    </row>
    <row r="702" spans="1:10" hidden="1">
      <c r="A702" t="s">
        <v>1330</v>
      </c>
      <c r="B702" t="s">
        <v>1331</v>
      </c>
      <c r="C702" t="s">
        <v>1066</v>
      </c>
      <c r="D702" t="s">
        <v>1307</v>
      </c>
      <c r="E702" t="s">
        <v>560</v>
      </c>
      <c r="F702" t="s">
        <v>1068</v>
      </c>
      <c r="G702" t="s">
        <v>1069</v>
      </c>
      <c r="H702">
        <v>-0.10665374814131801</v>
      </c>
      <c r="I702" t="s">
        <v>1070</v>
      </c>
      <c r="J702">
        <v>2.04</v>
      </c>
    </row>
    <row r="703" spans="1:10" hidden="1">
      <c r="A703" t="s">
        <v>1330</v>
      </c>
      <c r="B703" t="s">
        <v>1331</v>
      </c>
      <c r="C703" t="s">
        <v>1066</v>
      </c>
      <c r="D703" t="s">
        <v>1307</v>
      </c>
      <c r="E703" t="s">
        <v>560</v>
      </c>
      <c r="F703" t="s">
        <v>1068</v>
      </c>
      <c r="G703" t="s">
        <v>1071</v>
      </c>
      <c r="H703" s="170">
        <v>-3.0132322459593602E-10</v>
      </c>
      <c r="I703" t="s">
        <v>1072</v>
      </c>
      <c r="J703">
        <v>2.04</v>
      </c>
    </row>
    <row r="704" spans="1:10" hidden="1">
      <c r="A704" t="s">
        <v>1330</v>
      </c>
      <c r="B704" t="s">
        <v>1331</v>
      </c>
      <c r="C704" t="s">
        <v>1066</v>
      </c>
      <c r="D704" t="s">
        <v>1307</v>
      </c>
      <c r="E704" t="s">
        <v>560</v>
      </c>
      <c r="F704" t="s">
        <v>1068</v>
      </c>
      <c r="G704" t="s">
        <v>1073</v>
      </c>
      <c r="H704" s="170">
        <v>-6.9703447322432997E-8</v>
      </c>
      <c r="I704" t="s">
        <v>1074</v>
      </c>
      <c r="J704">
        <v>2.04</v>
      </c>
    </row>
    <row r="705" spans="1:10" hidden="1">
      <c r="A705" t="s">
        <v>1330</v>
      </c>
      <c r="B705" t="s">
        <v>1331</v>
      </c>
      <c r="C705" t="s">
        <v>1066</v>
      </c>
      <c r="D705" t="s">
        <v>1307</v>
      </c>
      <c r="E705" t="s">
        <v>560</v>
      </c>
      <c r="F705" t="s">
        <v>1068</v>
      </c>
      <c r="G705" t="s">
        <v>1075</v>
      </c>
      <c r="H705">
        <v>4.39074230417206E-2</v>
      </c>
      <c r="I705" t="s">
        <v>1077</v>
      </c>
      <c r="J705">
        <v>2.04</v>
      </c>
    </row>
    <row r="706" spans="1:10" hidden="1">
      <c r="A706" t="s">
        <v>1330</v>
      </c>
      <c r="B706" t="s">
        <v>1331</v>
      </c>
      <c r="C706" t="s">
        <v>1066</v>
      </c>
      <c r="D706" t="s">
        <v>1307</v>
      </c>
      <c r="E706" t="s">
        <v>560</v>
      </c>
      <c r="F706" t="s">
        <v>1068</v>
      </c>
      <c r="G706" t="s">
        <v>1078</v>
      </c>
      <c r="H706">
        <v>-2.39351722049383</v>
      </c>
      <c r="I706" t="s">
        <v>1079</v>
      </c>
      <c r="J706">
        <v>2.04</v>
      </c>
    </row>
    <row r="707" spans="1:10" hidden="1">
      <c r="A707" t="s">
        <v>1330</v>
      </c>
      <c r="B707" t="s">
        <v>1331</v>
      </c>
      <c r="C707" t="s">
        <v>1066</v>
      </c>
      <c r="D707" t="s">
        <v>1307</v>
      </c>
      <c r="E707" t="s">
        <v>560</v>
      </c>
      <c r="F707" t="s">
        <v>1068</v>
      </c>
      <c r="G707" t="s">
        <v>1080</v>
      </c>
      <c r="H707" s="171" t="s">
        <v>1332</v>
      </c>
      <c r="I707" t="s">
        <v>1082</v>
      </c>
      <c r="J707">
        <v>2.04</v>
      </c>
    </row>
    <row r="708" spans="1:10" hidden="1">
      <c r="A708" t="s">
        <v>1330</v>
      </c>
      <c r="B708" t="s">
        <v>1331</v>
      </c>
      <c r="C708" t="s">
        <v>1066</v>
      </c>
      <c r="D708" t="s">
        <v>1307</v>
      </c>
      <c r="E708" t="s">
        <v>560</v>
      </c>
      <c r="F708" t="s">
        <v>1068</v>
      </c>
      <c r="G708" t="s">
        <v>1083</v>
      </c>
      <c r="H708">
        <v>-1.8772629455677599E-3</v>
      </c>
      <c r="I708" t="s">
        <v>1084</v>
      </c>
      <c r="J708">
        <v>2.04</v>
      </c>
    </row>
    <row r="709" spans="1:10" hidden="1">
      <c r="A709" t="s">
        <v>1330</v>
      </c>
      <c r="B709" t="s">
        <v>1331</v>
      </c>
      <c r="C709" t="s">
        <v>1066</v>
      </c>
      <c r="D709" t="s">
        <v>1307</v>
      </c>
      <c r="E709" t="s">
        <v>560</v>
      </c>
      <c r="F709" t="s">
        <v>1068</v>
      </c>
      <c r="G709" t="s">
        <v>1085</v>
      </c>
      <c r="H709">
        <v>-5.2204973363738597E-2</v>
      </c>
      <c r="I709" t="s">
        <v>1086</v>
      </c>
      <c r="J709">
        <v>2.04</v>
      </c>
    </row>
    <row r="710" spans="1:10" hidden="1">
      <c r="A710" t="s">
        <v>1330</v>
      </c>
      <c r="B710" t="s">
        <v>1331</v>
      </c>
      <c r="C710" t="s">
        <v>1066</v>
      </c>
      <c r="D710" t="s">
        <v>1307</v>
      </c>
      <c r="E710" t="s">
        <v>560</v>
      </c>
      <c r="F710" t="s">
        <v>1068</v>
      </c>
      <c r="G710" t="s">
        <v>1087</v>
      </c>
      <c r="H710" s="170">
        <v>-1.8990524671490501E-6</v>
      </c>
      <c r="I710" t="s">
        <v>1088</v>
      </c>
      <c r="J710">
        <v>2.04</v>
      </c>
    </row>
    <row r="711" spans="1:10" hidden="1">
      <c r="A711" t="s">
        <v>1330</v>
      </c>
      <c r="B711" t="s">
        <v>1331</v>
      </c>
      <c r="C711" t="s">
        <v>1066</v>
      </c>
      <c r="D711" t="s">
        <v>1307</v>
      </c>
      <c r="E711" t="s">
        <v>560</v>
      </c>
      <c r="F711" t="s">
        <v>1068</v>
      </c>
      <c r="G711" t="s">
        <v>1089</v>
      </c>
      <c r="H711">
        <v>-1.4061312859514801E-2</v>
      </c>
      <c r="I711" t="s">
        <v>1090</v>
      </c>
      <c r="J711">
        <v>2.04</v>
      </c>
    </row>
    <row r="712" spans="1:10" hidden="1">
      <c r="A712" t="s">
        <v>1333</v>
      </c>
      <c r="B712" t="s">
        <v>1334</v>
      </c>
      <c r="C712" t="s">
        <v>1066</v>
      </c>
      <c r="D712" t="s">
        <v>1307</v>
      </c>
      <c r="E712" t="s">
        <v>1116</v>
      </c>
      <c r="F712" t="s">
        <v>1068</v>
      </c>
      <c r="G712" t="s">
        <v>1069</v>
      </c>
      <c r="H712">
        <v>-0.102287358263889</v>
      </c>
      <c r="I712" t="s">
        <v>1070</v>
      </c>
      <c r="J712">
        <v>2.54</v>
      </c>
    </row>
    <row r="713" spans="1:10" hidden="1">
      <c r="A713" t="s">
        <v>1333</v>
      </c>
      <c r="B713" t="s">
        <v>1334</v>
      </c>
      <c r="C713" t="s">
        <v>1066</v>
      </c>
      <c r="D713" t="s">
        <v>1307</v>
      </c>
      <c r="E713" t="s">
        <v>1116</v>
      </c>
      <c r="F713" t="s">
        <v>1068</v>
      </c>
      <c r="G713" t="s">
        <v>1071</v>
      </c>
      <c r="H713" s="170">
        <v>-2.9507487100542302E-10</v>
      </c>
      <c r="I713" t="s">
        <v>1072</v>
      </c>
      <c r="J713">
        <v>2.54</v>
      </c>
    </row>
    <row r="714" spans="1:10" hidden="1">
      <c r="A714" t="s">
        <v>1333</v>
      </c>
      <c r="B714" t="s">
        <v>1334</v>
      </c>
      <c r="C714" t="s">
        <v>1066</v>
      </c>
      <c r="D714" t="s">
        <v>1307</v>
      </c>
      <c r="E714" t="s">
        <v>1116</v>
      </c>
      <c r="F714" t="s">
        <v>1068</v>
      </c>
      <c r="G714" t="s">
        <v>1073</v>
      </c>
      <c r="H714" s="170">
        <v>-6.8152491821871299E-8</v>
      </c>
      <c r="I714" t="s">
        <v>1074</v>
      </c>
      <c r="J714">
        <v>2.54</v>
      </c>
    </row>
    <row r="715" spans="1:10" hidden="1">
      <c r="A715" t="s">
        <v>1333</v>
      </c>
      <c r="B715" t="s">
        <v>1334</v>
      </c>
      <c r="C715" t="s">
        <v>1066</v>
      </c>
      <c r="D715" t="s">
        <v>1307</v>
      </c>
      <c r="E715" t="s">
        <v>1116</v>
      </c>
      <c r="F715" t="s">
        <v>1068</v>
      </c>
      <c r="G715" t="s">
        <v>1075</v>
      </c>
      <c r="H715">
        <v>4.40454492902271E-2</v>
      </c>
      <c r="I715" t="s">
        <v>1077</v>
      </c>
      <c r="J715">
        <v>2.54</v>
      </c>
    </row>
    <row r="716" spans="1:10" hidden="1">
      <c r="A716" t="s">
        <v>1333</v>
      </c>
      <c r="B716" t="s">
        <v>1334</v>
      </c>
      <c r="C716" t="s">
        <v>1066</v>
      </c>
      <c r="D716" t="s">
        <v>1307</v>
      </c>
      <c r="E716" t="s">
        <v>1116</v>
      </c>
      <c r="F716" t="s">
        <v>1068</v>
      </c>
      <c r="G716" t="s">
        <v>1078</v>
      </c>
      <c r="H716">
        <v>-2.38754843308678</v>
      </c>
      <c r="I716" t="s">
        <v>1079</v>
      </c>
      <c r="J716">
        <v>2.54</v>
      </c>
    </row>
    <row r="717" spans="1:10" hidden="1">
      <c r="A717" t="s">
        <v>1333</v>
      </c>
      <c r="B717" t="s">
        <v>1334</v>
      </c>
      <c r="C717" t="s">
        <v>1066</v>
      </c>
      <c r="D717" t="s">
        <v>1307</v>
      </c>
      <c r="E717" t="s">
        <v>1116</v>
      </c>
      <c r="F717" t="s">
        <v>1068</v>
      </c>
      <c r="G717" t="s">
        <v>1080</v>
      </c>
      <c r="H717" s="171" t="s">
        <v>1335</v>
      </c>
      <c r="I717" t="s">
        <v>1082</v>
      </c>
      <c r="J717">
        <v>2.54</v>
      </c>
    </row>
    <row r="718" spans="1:10" hidden="1">
      <c r="A718" t="s">
        <v>1333</v>
      </c>
      <c r="B718" t="s">
        <v>1334</v>
      </c>
      <c r="C718" t="s">
        <v>1066</v>
      </c>
      <c r="D718" t="s">
        <v>1307</v>
      </c>
      <c r="E718" t="s">
        <v>1116</v>
      </c>
      <c r="F718" t="s">
        <v>1068</v>
      </c>
      <c r="G718" t="s">
        <v>1083</v>
      </c>
      <c r="H718">
        <v>-1.87659925147933E-3</v>
      </c>
      <c r="I718" t="s">
        <v>1084</v>
      </c>
      <c r="J718">
        <v>2.54</v>
      </c>
    </row>
    <row r="719" spans="1:10" hidden="1">
      <c r="A719" t="s">
        <v>1333</v>
      </c>
      <c r="B719" t="s">
        <v>1334</v>
      </c>
      <c r="C719" t="s">
        <v>1066</v>
      </c>
      <c r="D719" t="s">
        <v>1307</v>
      </c>
      <c r="E719" t="s">
        <v>1116</v>
      </c>
      <c r="F719" t="s">
        <v>1068</v>
      </c>
      <c r="G719" t="s">
        <v>1085</v>
      </c>
      <c r="H719">
        <v>-5.2197472273523698E-2</v>
      </c>
      <c r="I719" t="s">
        <v>1086</v>
      </c>
      <c r="J719">
        <v>2.54</v>
      </c>
    </row>
    <row r="720" spans="1:10" hidden="1">
      <c r="A720" t="s">
        <v>1333</v>
      </c>
      <c r="B720" t="s">
        <v>1334</v>
      </c>
      <c r="C720" t="s">
        <v>1066</v>
      </c>
      <c r="D720" t="s">
        <v>1307</v>
      </c>
      <c r="E720" t="s">
        <v>1116</v>
      </c>
      <c r="F720" t="s">
        <v>1068</v>
      </c>
      <c r="G720" t="s">
        <v>1087</v>
      </c>
      <c r="H720" s="170">
        <v>-1.89543240676122E-6</v>
      </c>
      <c r="I720" t="s">
        <v>1088</v>
      </c>
      <c r="J720">
        <v>2.54</v>
      </c>
    </row>
    <row r="721" spans="1:10" hidden="1">
      <c r="A721" t="s">
        <v>1333</v>
      </c>
      <c r="B721" t="s">
        <v>1334</v>
      </c>
      <c r="C721" t="s">
        <v>1066</v>
      </c>
      <c r="D721" t="s">
        <v>1307</v>
      </c>
      <c r="E721" t="s">
        <v>1116</v>
      </c>
      <c r="F721" t="s">
        <v>1068</v>
      </c>
      <c r="G721" t="s">
        <v>1089</v>
      </c>
      <c r="H721">
        <v>-1.4059765399416099E-2</v>
      </c>
      <c r="I721" t="s">
        <v>1090</v>
      </c>
      <c r="J721">
        <v>2.54</v>
      </c>
    </row>
    <row r="722" spans="1:10" hidden="1">
      <c r="A722" t="s">
        <v>1336</v>
      </c>
      <c r="B722" t="s">
        <v>1337</v>
      </c>
      <c r="C722" t="s">
        <v>1066</v>
      </c>
      <c r="D722" t="s">
        <v>324</v>
      </c>
      <c r="E722" t="s">
        <v>561</v>
      </c>
      <c r="F722" t="s">
        <v>1068</v>
      </c>
      <c r="G722" t="s">
        <v>1069</v>
      </c>
      <c r="H722">
        <v>-2.63787604265029E-2</v>
      </c>
      <c r="I722" t="s">
        <v>1070</v>
      </c>
      <c r="J722">
        <v>4.5599999999999996</v>
      </c>
    </row>
    <row r="723" spans="1:10" hidden="1">
      <c r="A723" t="s">
        <v>1336</v>
      </c>
      <c r="B723" t="s">
        <v>1337</v>
      </c>
      <c r="C723" t="s">
        <v>1066</v>
      </c>
      <c r="D723" t="s">
        <v>324</v>
      </c>
      <c r="E723" t="s">
        <v>561</v>
      </c>
      <c r="F723" t="s">
        <v>1068</v>
      </c>
      <c r="G723" t="s">
        <v>1071</v>
      </c>
      <c r="H723" s="170">
        <v>-1.5428127714223499E-10</v>
      </c>
      <c r="I723" t="s">
        <v>1072</v>
      </c>
      <c r="J723">
        <v>4.5599999999999996</v>
      </c>
    </row>
    <row r="724" spans="1:10" hidden="1">
      <c r="A724" t="s">
        <v>1336</v>
      </c>
      <c r="B724" t="s">
        <v>1337</v>
      </c>
      <c r="C724" t="s">
        <v>1066</v>
      </c>
      <c r="D724" t="s">
        <v>324</v>
      </c>
      <c r="E724" t="s">
        <v>561</v>
      </c>
      <c r="F724" t="s">
        <v>1068</v>
      </c>
      <c r="G724" t="s">
        <v>1073</v>
      </c>
      <c r="H724" s="170">
        <v>-3.8258922013663899E-8</v>
      </c>
      <c r="I724" t="s">
        <v>1074</v>
      </c>
      <c r="J724">
        <v>4.5599999999999996</v>
      </c>
    </row>
    <row r="725" spans="1:10" hidden="1">
      <c r="A725" t="s">
        <v>1336</v>
      </c>
      <c r="B725" t="s">
        <v>1337</v>
      </c>
      <c r="C725" t="s">
        <v>1066</v>
      </c>
      <c r="D725" t="s">
        <v>324</v>
      </c>
      <c r="E725" t="s">
        <v>561</v>
      </c>
      <c r="F725" t="s">
        <v>1068</v>
      </c>
      <c r="G725" t="s">
        <v>1075</v>
      </c>
      <c r="H725" s="171" t="s">
        <v>1338</v>
      </c>
      <c r="I725" t="s">
        <v>1077</v>
      </c>
      <c r="J725">
        <v>4.5599999999999996</v>
      </c>
    </row>
    <row r="726" spans="1:10" hidden="1">
      <c r="A726" t="s">
        <v>1336</v>
      </c>
      <c r="B726" t="s">
        <v>1337</v>
      </c>
      <c r="C726" t="s">
        <v>1066</v>
      </c>
      <c r="D726" t="s">
        <v>324</v>
      </c>
      <c r="E726" t="s">
        <v>561</v>
      </c>
      <c r="F726" t="s">
        <v>1068</v>
      </c>
      <c r="G726" t="s">
        <v>1078</v>
      </c>
      <c r="H726">
        <v>-2.2425496041953599</v>
      </c>
      <c r="I726" t="s">
        <v>1079</v>
      </c>
      <c r="J726">
        <v>4.5599999999999996</v>
      </c>
    </row>
    <row r="727" spans="1:10" hidden="1">
      <c r="A727" t="s">
        <v>1336</v>
      </c>
      <c r="B727" t="s">
        <v>1337</v>
      </c>
      <c r="C727" t="s">
        <v>1066</v>
      </c>
      <c r="D727" t="s">
        <v>324</v>
      </c>
      <c r="E727" t="s">
        <v>561</v>
      </c>
      <c r="F727" t="s">
        <v>1068</v>
      </c>
      <c r="G727" t="s">
        <v>1080</v>
      </c>
      <c r="H727" s="171" t="s">
        <v>1339</v>
      </c>
      <c r="I727" t="s">
        <v>1082</v>
      </c>
      <c r="J727">
        <v>4.5599999999999996</v>
      </c>
    </row>
    <row r="728" spans="1:10" hidden="1">
      <c r="A728" t="s">
        <v>1336</v>
      </c>
      <c r="B728" t="s">
        <v>1337</v>
      </c>
      <c r="C728" t="s">
        <v>1066</v>
      </c>
      <c r="D728" t="s">
        <v>324</v>
      </c>
      <c r="E728" t="s">
        <v>561</v>
      </c>
      <c r="F728" t="s">
        <v>1068</v>
      </c>
      <c r="G728" t="s">
        <v>1083</v>
      </c>
      <c r="H728">
        <v>-1.78935797344458E-3</v>
      </c>
      <c r="I728" t="s">
        <v>1084</v>
      </c>
      <c r="J728">
        <v>4.5599999999999996</v>
      </c>
    </row>
    <row r="729" spans="1:10" hidden="1">
      <c r="A729" t="s">
        <v>1336</v>
      </c>
      <c r="B729" t="s">
        <v>1337</v>
      </c>
      <c r="C729" t="s">
        <v>1066</v>
      </c>
      <c r="D729" t="s">
        <v>324</v>
      </c>
      <c r="E729" t="s">
        <v>561</v>
      </c>
      <c r="F729" t="s">
        <v>1068</v>
      </c>
      <c r="G729" t="s">
        <v>1085</v>
      </c>
      <c r="H729">
        <v>-5.0086912639139697E-2</v>
      </c>
      <c r="I729" t="s">
        <v>1086</v>
      </c>
      <c r="J729">
        <v>4.5599999999999996</v>
      </c>
    </row>
    <row r="730" spans="1:10" hidden="1">
      <c r="A730" t="s">
        <v>1336</v>
      </c>
      <c r="B730" t="s">
        <v>1337</v>
      </c>
      <c r="C730" t="s">
        <v>1066</v>
      </c>
      <c r="D730" t="s">
        <v>324</v>
      </c>
      <c r="E730" t="s">
        <v>561</v>
      </c>
      <c r="F730" t="s">
        <v>1068</v>
      </c>
      <c r="G730" t="s">
        <v>1087</v>
      </c>
      <c r="H730" s="170">
        <v>-4.8648100890916795E-7</v>
      </c>
      <c r="I730" t="s">
        <v>1088</v>
      </c>
      <c r="J730">
        <v>4.5599999999999996</v>
      </c>
    </row>
    <row r="731" spans="1:10" hidden="1">
      <c r="A731" t="s">
        <v>1336</v>
      </c>
      <c r="B731" t="s">
        <v>1337</v>
      </c>
      <c r="C731" t="s">
        <v>1066</v>
      </c>
      <c r="D731" t="s">
        <v>324</v>
      </c>
      <c r="E731" t="s">
        <v>561</v>
      </c>
      <c r="F731" t="s">
        <v>1068</v>
      </c>
      <c r="G731" t="s">
        <v>1089</v>
      </c>
      <c r="H731">
        <v>-1.35474837000111E-2</v>
      </c>
      <c r="I731" t="s">
        <v>1090</v>
      </c>
      <c r="J731">
        <v>4.5599999999999996</v>
      </c>
    </row>
    <row r="732" spans="1:10" hidden="1">
      <c r="A732" t="s">
        <v>1340</v>
      </c>
      <c r="B732" t="s">
        <v>1341</v>
      </c>
      <c r="C732" t="s">
        <v>1066</v>
      </c>
      <c r="D732" t="s">
        <v>324</v>
      </c>
      <c r="E732" t="s">
        <v>555</v>
      </c>
      <c r="F732" t="s">
        <v>1068</v>
      </c>
      <c r="G732" t="s">
        <v>1069</v>
      </c>
      <c r="H732">
        <v>-2.78994396286452E-2</v>
      </c>
      <c r="I732" t="s">
        <v>1070</v>
      </c>
      <c r="J732">
        <v>3.05</v>
      </c>
    </row>
    <row r="733" spans="1:10" hidden="1">
      <c r="A733" t="s">
        <v>1340</v>
      </c>
      <c r="B733" t="s">
        <v>1341</v>
      </c>
      <c r="C733" t="s">
        <v>1066</v>
      </c>
      <c r="D733" t="s">
        <v>324</v>
      </c>
      <c r="E733" t="s">
        <v>555</v>
      </c>
      <c r="F733" t="s">
        <v>1068</v>
      </c>
      <c r="G733" t="s">
        <v>1071</v>
      </c>
      <c r="H733" s="170">
        <v>-1.5645162240960599E-10</v>
      </c>
      <c r="I733" t="s">
        <v>1072</v>
      </c>
      <c r="J733">
        <v>3.05</v>
      </c>
    </row>
    <row r="734" spans="1:10" hidden="1">
      <c r="A734" t="s">
        <v>1340</v>
      </c>
      <c r="B734" t="s">
        <v>1341</v>
      </c>
      <c r="C734" t="s">
        <v>1066</v>
      </c>
      <c r="D734" t="s">
        <v>324</v>
      </c>
      <c r="E734" t="s">
        <v>555</v>
      </c>
      <c r="F734" t="s">
        <v>1068</v>
      </c>
      <c r="G734" t="s">
        <v>1073</v>
      </c>
      <c r="H734" s="170">
        <v>-3.8799600708477397E-8</v>
      </c>
      <c r="I734" t="s">
        <v>1074</v>
      </c>
      <c r="J734">
        <v>3.05</v>
      </c>
    </row>
    <row r="735" spans="1:10" hidden="1">
      <c r="A735" t="s">
        <v>1340</v>
      </c>
      <c r="B735" t="s">
        <v>1341</v>
      </c>
      <c r="C735" t="s">
        <v>1066</v>
      </c>
      <c r="D735" t="s">
        <v>324</v>
      </c>
      <c r="E735" t="s">
        <v>555</v>
      </c>
      <c r="F735" t="s">
        <v>1068</v>
      </c>
      <c r="G735" t="s">
        <v>1075</v>
      </c>
      <c r="H735">
        <v>3.16605566209213E-2</v>
      </c>
      <c r="I735" t="s">
        <v>1077</v>
      </c>
      <c r="J735">
        <v>3.05</v>
      </c>
    </row>
    <row r="736" spans="1:10" hidden="1">
      <c r="A736" t="s">
        <v>1340</v>
      </c>
      <c r="B736" t="s">
        <v>1341</v>
      </c>
      <c r="C736" t="s">
        <v>1066</v>
      </c>
      <c r="D736" t="s">
        <v>324</v>
      </c>
      <c r="E736" t="s">
        <v>555</v>
      </c>
      <c r="F736" t="s">
        <v>1068</v>
      </c>
      <c r="G736" t="s">
        <v>1078</v>
      </c>
      <c r="H736">
        <v>-2.2430244881972801</v>
      </c>
      <c r="I736" t="s">
        <v>1079</v>
      </c>
      <c r="J736">
        <v>3.05</v>
      </c>
    </row>
    <row r="737" spans="1:10" hidden="1">
      <c r="A737" t="s">
        <v>1340</v>
      </c>
      <c r="B737" t="s">
        <v>1341</v>
      </c>
      <c r="C737" t="s">
        <v>1066</v>
      </c>
      <c r="D737" t="s">
        <v>324</v>
      </c>
      <c r="E737" t="s">
        <v>555</v>
      </c>
      <c r="F737" t="s">
        <v>1068</v>
      </c>
      <c r="G737" t="s">
        <v>1080</v>
      </c>
      <c r="H737" s="171" t="s">
        <v>1342</v>
      </c>
      <c r="I737" t="s">
        <v>1082</v>
      </c>
      <c r="J737">
        <v>3.05</v>
      </c>
    </row>
    <row r="738" spans="1:10" hidden="1">
      <c r="A738" t="s">
        <v>1340</v>
      </c>
      <c r="B738" t="s">
        <v>1341</v>
      </c>
      <c r="C738" t="s">
        <v>1066</v>
      </c>
      <c r="D738" t="s">
        <v>324</v>
      </c>
      <c r="E738" t="s">
        <v>555</v>
      </c>
      <c r="F738" t="s">
        <v>1068</v>
      </c>
      <c r="G738" t="s">
        <v>1083</v>
      </c>
      <c r="H738">
        <v>-1.7895894906218E-3</v>
      </c>
      <c r="I738" t="s">
        <v>1084</v>
      </c>
      <c r="J738">
        <v>3.05</v>
      </c>
    </row>
    <row r="739" spans="1:10" hidden="1">
      <c r="A739" t="s">
        <v>1340</v>
      </c>
      <c r="B739" t="s">
        <v>1341</v>
      </c>
      <c r="C739" t="s">
        <v>1066</v>
      </c>
      <c r="D739" t="s">
        <v>324</v>
      </c>
      <c r="E739" t="s">
        <v>555</v>
      </c>
      <c r="F739" t="s">
        <v>1068</v>
      </c>
      <c r="G739" t="s">
        <v>1085</v>
      </c>
      <c r="H739">
        <v>-5.0089508884985597E-2</v>
      </c>
      <c r="I739" t="s">
        <v>1086</v>
      </c>
      <c r="J739">
        <v>3.05</v>
      </c>
    </row>
    <row r="740" spans="1:10" hidden="1">
      <c r="A740" t="s">
        <v>1340</v>
      </c>
      <c r="B740" t="s">
        <v>1341</v>
      </c>
      <c r="C740" t="s">
        <v>1066</v>
      </c>
      <c r="D740" t="s">
        <v>324</v>
      </c>
      <c r="E740" t="s">
        <v>555</v>
      </c>
      <c r="F740" t="s">
        <v>1068</v>
      </c>
      <c r="G740" t="s">
        <v>1087</v>
      </c>
      <c r="H740" s="170">
        <v>-4.8755667186864102E-7</v>
      </c>
      <c r="I740" t="s">
        <v>1088</v>
      </c>
      <c r="J740">
        <v>3.05</v>
      </c>
    </row>
    <row r="741" spans="1:10" hidden="1">
      <c r="A741" t="s">
        <v>1340</v>
      </c>
      <c r="B741" t="s">
        <v>1341</v>
      </c>
      <c r="C741" t="s">
        <v>1066</v>
      </c>
      <c r="D741" t="s">
        <v>324</v>
      </c>
      <c r="E741" t="s">
        <v>555</v>
      </c>
      <c r="F741" t="s">
        <v>1068</v>
      </c>
      <c r="G741" t="s">
        <v>1089</v>
      </c>
      <c r="H741">
        <v>-1.3548022848685601E-2</v>
      </c>
      <c r="I741" t="s">
        <v>1090</v>
      </c>
      <c r="J741">
        <v>3.05</v>
      </c>
    </row>
    <row r="742" spans="1:10" hidden="1">
      <c r="A742" t="s">
        <v>1343</v>
      </c>
      <c r="B742" t="s">
        <v>1344</v>
      </c>
      <c r="C742" t="s">
        <v>1066</v>
      </c>
      <c r="D742" t="s">
        <v>324</v>
      </c>
      <c r="E742" t="s">
        <v>558</v>
      </c>
      <c r="F742" t="s">
        <v>1068</v>
      </c>
      <c r="G742" t="s">
        <v>1069</v>
      </c>
      <c r="H742">
        <v>-2.62438982985434E-2</v>
      </c>
      <c r="I742" t="s">
        <v>1070</v>
      </c>
      <c r="J742">
        <v>3.66</v>
      </c>
    </row>
    <row r="743" spans="1:10" hidden="1">
      <c r="A743" t="s">
        <v>1343</v>
      </c>
      <c r="B743" t="s">
        <v>1344</v>
      </c>
      <c r="C743" t="s">
        <v>1066</v>
      </c>
      <c r="D743" t="s">
        <v>324</v>
      </c>
      <c r="E743" t="s">
        <v>558</v>
      </c>
      <c r="F743" t="s">
        <v>1068</v>
      </c>
      <c r="G743" t="s">
        <v>1071</v>
      </c>
      <c r="H743" s="170">
        <v>-1.5408828790281701E-10</v>
      </c>
      <c r="I743" t="s">
        <v>1072</v>
      </c>
      <c r="J743">
        <v>3.66</v>
      </c>
    </row>
    <row r="744" spans="1:10" hidden="1">
      <c r="A744" t="s">
        <v>1343</v>
      </c>
      <c r="B744" t="s">
        <v>1344</v>
      </c>
      <c r="C744" t="s">
        <v>1066</v>
      </c>
      <c r="D744" t="s">
        <v>324</v>
      </c>
      <c r="E744" t="s">
        <v>558</v>
      </c>
      <c r="F744" t="s">
        <v>1068</v>
      </c>
      <c r="G744" t="s">
        <v>1073</v>
      </c>
      <c r="H744" s="170">
        <v>-3.82110185590832E-8</v>
      </c>
      <c r="I744" t="s">
        <v>1074</v>
      </c>
      <c r="J744">
        <v>3.66</v>
      </c>
    </row>
    <row r="745" spans="1:10" hidden="1">
      <c r="A745" t="s">
        <v>1343</v>
      </c>
      <c r="B745" t="s">
        <v>1344</v>
      </c>
      <c r="C745" t="s">
        <v>1066</v>
      </c>
      <c r="D745" t="s">
        <v>324</v>
      </c>
      <c r="E745" t="s">
        <v>558</v>
      </c>
      <c r="F745" t="s">
        <v>1068</v>
      </c>
      <c r="G745" t="s">
        <v>1075</v>
      </c>
      <c r="H745">
        <v>3.1709100695982102E-2</v>
      </c>
      <c r="I745" t="s">
        <v>1077</v>
      </c>
      <c r="J745">
        <v>3.66</v>
      </c>
    </row>
    <row r="746" spans="1:10" hidden="1">
      <c r="A746" t="s">
        <v>1343</v>
      </c>
      <c r="B746" t="s">
        <v>1344</v>
      </c>
      <c r="C746" t="s">
        <v>1066</v>
      </c>
      <c r="D746" t="s">
        <v>324</v>
      </c>
      <c r="E746" t="s">
        <v>558</v>
      </c>
      <c r="F746" t="s">
        <v>1068</v>
      </c>
      <c r="G746" t="s">
        <v>1078</v>
      </c>
      <c r="H746">
        <v>-2.2423652497529898</v>
      </c>
      <c r="I746" t="s">
        <v>1079</v>
      </c>
      <c r="J746">
        <v>3.66</v>
      </c>
    </row>
    <row r="747" spans="1:10" hidden="1">
      <c r="A747" t="s">
        <v>1343</v>
      </c>
      <c r="B747" t="s">
        <v>1344</v>
      </c>
      <c r="C747" t="s">
        <v>1066</v>
      </c>
      <c r="D747" t="s">
        <v>324</v>
      </c>
      <c r="E747" t="s">
        <v>558</v>
      </c>
      <c r="F747" t="s">
        <v>1068</v>
      </c>
      <c r="G747" t="s">
        <v>1080</v>
      </c>
      <c r="H747" s="171" t="s">
        <v>1345</v>
      </c>
      <c r="I747" t="s">
        <v>1082</v>
      </c>
      <c r="J747">
        <v>3.66</v>
      </c>
    </row>
    <row r="748" spans="1:10" hidden="1">
      <c r="A748" t="s">
        <v>1343</v>
      </c>
      <c r="B748" t="s">
        <v>1344</v>
      </c>
      <c r="C748" t="s">
        <v>1066</v>
      </c>
      <c r="D748" t="s">
        <v>324</v>
      </c>
      <c r="E748" t="s">
        <v>558</v>
      </c>
      <c r="F748" t="s">
        <v>1068</v>
      </c>
      <c r="G748" t="s">
        <v>1083</v>
      </c>
      <c r="H748">
        <v>-1.78933747431381E-3</v>
      </c>
      <c r="I748" t="s">
        <v>1084</v>
      </c>
      <c r="J748">
        <v>3.66</v>
      </c>
    </row>
    <row r="749" spans="1:10" hidden="1">
      <c r="A749" t="s">
        <v>1343</v>
      </c>
      <c r="B749" t="s">
        <v>1344</v>
      </c>
      <c r="C749" t="s">
        <v>1066</v>
      </c>
      <c r="D749" t="s">
        <v>324</v>
      </c>
      <c r="E749" t="s">
        <v>558</v>
      </c>
      <c r="F749" t="s">
        <v>1068</v>
      </c>
      <c r="G749" t="s">
        <v>1085</v>
      </c>
      <c r="H749">
        <v>-5.0086680957357597E-2</v>
      </c>
      <c r="I749" t="s">
        <v>1086</v>
      </c>
      <c r="J749">
        <v>3.66</v>
      </c>
    </row>
    <row r="750" spans="1:10" hidden="1">
      <c r="A750" t="s">
        <v>1343</v>
      </c>
      <c r="B750" t="s">
        <v>1344</v>
      </c>
      <c r="C750" t="s">
        <v>1066</v>
      </c>
      <c r="D750" t="s">
        <v>324</v>
      </c>
      <c r="E750" t="s">
        <v>558</v>
      </c>
      <c r="F750" t="s">
        <v>1068</v>
      </c>
      <c r="G750" t="s">
        <v>1087</v>
      </c>
      <c r="H750" s="170">
        <v>-4.8636919822323499E-7</v>
      </c>
      <c r="I750" t="s">
        <v>1088</v>
      </c>
      <c r="J750">
        <v>3.66</v>
      </c>
    </row>
    <row r="751" spans="1:10" hidden="1">
      <c r="A751" t="s">
        <v>1343</v>
      </c>
      <c r="B751" t="s">
        <v>1344</v>
      </c>
      <c r="C751" t="s">
        <v>1066</v>
      </c>
      <c r="D751" t="s">
        <v>324</v>
      </c>
      <c r="E751" t="s">
        <v>558</v>
      </c>
      <c r="F751" t="s">
        <v>1068</v>
      </c>
      <c r="G751" t="s">
        <v>1089</v>
      </c>
      <c r="H751">
        <v>-1.3547435904517E-2</v>
      </c>
      <c r="I751" t="s">
        <v>1090</v>
      </c>
      <c r="J751">
        <v>3.66</v>
      </c>
    </row>
    <row r="752" spans="1:10" hidden="1">
      <c r="A752" t="s">
        <v>1346</v>
      </c>
      <c r="B752" s="170" t="s">
        <v>1347</v>
      </c>
      <c r="C752" t="s">
        <v>1066</v>
      </c>
      <c r="D752" t="s">
        <v>324</v>
      </c>
      <c r="E752" t="s">
        <v>553</v>
      </c>
      <c r="F752" t="s">
        <v>1068</v>
      </c>
      <c r="G752" t="s">
        <v>1069</v>
      </c>
      <c r="H752">
        <v>-2.6109347296272199E-2</v>
      </c>
      <c r="I752" t="s">
        <v>1070</v>
      </c>
      <c r="J752">
        <v>2.0499999999999998</v>
      </c>
    </row>
    <row r="753" spans="1:10" hidden="1">
      <c r="A753" t="s">
        <v>1346</v>
      </c>
      <c r="B753" s="170" t="s">
        <v>1347</v>
      </c>
      <c r="C753" t="s">
        <v>1066</v>
      </c>
      <c r="D753" t="s">
        <v>324</v>
      </c>
      <c r="E753" t="s">
        <v>553</v>
      </c>
      <c r="F753" t="s">
        <v>1068</v>
      </c>
      <c r="G753" t="s">
        <v>1071</v>
      </c>
      <c r="H753" s="170">
        <v>-1.53889979916681E-10</v>
      </c>
      <c r="I753" t="s">
        <v>1072</v>
      </c>
      <c r="J753">
        <v>2.0499999999999998</v>
      </c>
    </row>
    <row r="754" spans="1:10" hidden="1">
      <c r="A754" t="s">
        <v>1346</v>
      </c>
      <c r="B754" s="170" t="s">
        <v>1347</v>
      </c>
      <c r="C754" t="s">
        <v>1066</v>
      </c>
      <c r="D754" t="s">
        <v>324</v>
      </c>
      <c r="E754" t="s">
        <v>553</v>
      </c>
      <c r="F754" t="s">
        <v>1068</v>
      </c>
      <c r="G754" t="s">
        <v>1073</v>
      </c>
      <c r="H754" s="170">
        <v>-3.8163754247839701E-8</v>
      </c>
      <c r="I754" t="s">
        <v>1074</v>
      </c>
      <c r="J754">
        <v>2.0499999999999998</v>
      </c>
    </row>
    <row r="755" spans="1:10" hidden="1">
      <c r="A755" t="s">
        <v>1346</v>
      </c>
      <c r="B755" s="170" t="s">
        <v>1347</v>
      </c>
      <c r="C755" t="s">
        <v>1066</v>
      </c>
      <c r="D755" t="s">
        <v>324</v>
      </c>
      <c r="E755" t="s">
        <v>553</v>
      </c>
      <c r="F755" t="s">
        <v>1068</v>
      </c>
      <c r="G755" t="s">
        <v>1075</v>
      </c>
      <c r="H755">
        <v>3.1717143351853501E-2</v>
      </c>
      <c r="I755" t="s">
        <v>1077</v>
      </c>
      <c r="J755">
        <v>2.0499999999999998</v>
      </c>
    </row>
    <row r="756" spans="1:10" hidden="1">
      <c r="A756" t="s">
        <v>1346</v>
      </c>
      <c r="B756" s="170" t="s">
        <v>1347</v>
      </c>
      <c r="C756" t="s">
        <v>1066</v>
      </c>
      <c r="D756" t="s">
        <v>324</v>
      </c>
      <c r="E756" t="s">
        <v>553</v>
      </c>
      <c r="F756" t="s">
        <v>1068</v>
      </c>
      <c r="G756" t="s">
        <v>1078</v>
      </c>
      <c r="H756">
        <v>-2.2405774596742201</v>
      </c>
      <c r="I756" t="s">
        <v>1079</v>
      </c>
      <c r="J756">
        <v>2.0499999999999998</v>
      </c>
    </row>
    <row r="757" spans="1:10" hidden="1">
      <c r="A757" t="s">
        <v>1346</v>
      </c>
      <c r="B757" s="170" t="s">
        <v>1347</v>
      </c>
      <c r="C757" t="s">
        <v>1066</v>
      </c>
      <c r="D757" t="s">
        <v>324</v>
      </c>
      <c r="E757" t="s">
        <v>553</v>
      </c>
      <c r="F757" t="s">
        <v>1068</v>
      </c>
      <c r="G757" t="s">
        <v>1080</v>
      </c>
      <c r="H757" s="171" t="s">
        <v>1348</v>
      </c>
      <c r="I757" t="s">
        <v>1082</v>
      </c>
      <c r="J757">
        <v>2.0499999999999998</v>
      </c>
    </row>
    <row r="758" spans="1:10" hidden="1">
      <c r="A758" t="s">
        <v>1346</v>
      </c>
      <c r="B758" s="170" t="s">
        <v>1347</v>
      </c>
      <c r="C758" t="s">
        <v>1066</v>
      </c>
      <c r="D758" t="s">
        <v>324</v>
      </c>
      <c r="E758" t="s">
        <v>553</v>
      </c>
      <c r="F758" t="s">
        <v>1068</v>
      </c>
      <c r="G758" t="s">
        <v>1083</v>
      </c>
      <c r="H758">
        <v>-1.78931739542821E-3</v>
      </c>
      <c r="I758" t="s">
        <v>1084</v>
      </c>
      <c r="J758">
        <v>2.0499999999999998</v>
      </c>
    </row>
    <row r="759" spans="1:10" hidden="1">
      <c r="A759" t="s">
        <v>1346</v>
      </c>
      <c r="B759" s="170" t="s">
        <v>1347</v>
      </c>
      <c r="C759" t="s">
        <v>1066</v>
      </c>
      <c r="D759" t="s">
        <v>324</v>
      </c>
      <c r="E759" t="s">
        <v>553</v>
      </c>
      <c r="F759" t="s">
        <v>1068</v>
      </c>
      <c r="G759" t="s">
        <v>1085</v>
      </c>
      <c r="H759">
        <v>-5.00864336570611E-2</v>
      </c>
      <c r="I759" t="s">
        <v>1086</v>
      </c>
      <c r="J759">
        <v>2.0499999999999998</v>
      </c>
    </row>
    <row r="760" spans="1:10" hidden="1">
      <c r="A760" t="s">
        <v>1346</v>
      </c>
      <c r="B760" s="170" t="s">
        <v>1347</v>
      </c>
      <c r="C760" t="s">
        <v>1066</v>
      </c>
      <c r="D760" t="s">
        <v>324</v>
      </c>
      <c r="E760" t="s">
        <v>553</v>
      </c>
      <c r="F760" t="s">
        <v>1068</v>
      </c>
      <c r="G760" t="s">
        <v>1087</v>
      </c>
      <c r="H760" s="170">
        <v>-4.8607255283068304E-7</v>
      </c>
      <c r="I760" t="s">
        <v>1088</v>
      </c>
      <c r="J760">
        <v>2.0499999999999998</v>
      </c>
    </row>
    <row r="761" spans="1:10" hidden="1">
      <c r="A761" t="s">
        <v>1346</v>
      </c>
      <c r="B761" s="170" t="s">
        <v>1347</v>
      </c>
      <c r="C761" t="s">
        <v>1066</v>
      </c>
      <c r="D761" t="s">
        <v>324</v>
      </c>
      <c r="E761" t="s">
        <v>553</v>
      </c>
      <c r="F761" t="s">
        <v>1068</v>
      </c>
      <c r="G761" t="s">
        <v>1089</v>
      </c>
      <c r="H761">
        <v>-1.3547388435237499E-2</v>
      </c>
      <c r="I761" t="s">
        <v>1090</v>
      </c>
      <c r="J761">
        <v>2.0499999999999998</v>
      </c>
    </row>
    <row r="762" spans="1:10" hidden="1">
      <c r="A762" t="s">
        <v>1349</v>
      </c>
      <c r="B762" t="s">
        <v>1350</v>
      </c>
      <c r="C762" t="s">
        <v>1066</v>
      </c>
      <c r="D762" t="s">
        <v>324</v>
      </c>
      <c r="E762" t="s">
        <v>556</v>
      </c>
      <c r="F762" t="s">
        <v>1068</v>
      </c>
      <c r="G762" t="s">
        <v>1069</v>
      </c>
      <c r="H762">
        <v>-2.7731154549590901E-2</v>
      </c>
      <c r="I762" t="s">
        <v>1070</v>
      </c>
      <c r="J762">
        <v>2.54</v>
      </c>
    </row>
    <row r="763" spans="1:10" hidden="1">
      <c r="A763" t="s">
        <v>1349</v>
      </c>
      <c r="B763" t="s">
        <v>1350</v>
      </c>
      <c r="C763" t="s">
        <v>1066</v>
      </c>
      <c r="D763" t="s">
        <v>324</v>
      </c>
      <c r="E763" t="s">
        <v>556</v>
      </c>
      <c r="F763" t="s">
        <v>1068</v>
      </c>
      <c r="G763" t="s">
        <v>1071</v>
      </c>
      <c r="H763" s="170">
        <v>-1.5617867760912699E-10</v>
      </c>
      <c r="I763" t="s">
        <v>1072</v>
      </c>
      <c r="J763">
        <v>2.54</v>
      </c>
    </row>
    <row r="764" spans="1:10" hidden="1">
      <c r="A764" t="s">
        <v>1349</v>
      </c>
      <c r="B764" t="s">
        <v>1350</v>
      </c>
      <c r="C764" t="s">
        <v>1066</v>
      </c>
      <c r="D764" t="s">
        <v>324</v>
      </c>
      <c r="E764" t="s">
        <v>556</v>
      </c>
      <c r="F764" t="s">
        <v>1068</v>
      </c>
      <c r="G764" t="s">
        <v>1073</v>
      </c>
      <c r="H764" s="170">
        <v>-3.8738905450130798E-8</v>
      </c>
      <c r="I764" t="s">
        <v>1074</v>
      </c>
      <c r="J764">
        <v>2.54</v>
      </c>
    </row>
    <row r="765" spans="1:10" hidden="1">
      <c r="A765" t="s">
        <v>1349</v>
      </c>
      <c r="B765" t="s">
        <v>1350</v>
      </c>
      <c r="C765" t="s">
        <v>1066</v>
      </c>
      <c r="D765" t="s">
        <v>324</v>
      </c>
      <c r="E765" t="s">
        <v>556</v>
      </c>
      <c r="F765" t="s">
        <v>1068</v>
      </c>
      <c r="G765" t="s">
        <v>1075</v>
      </c>
      <c r="H765">
        <v>3.1679934167537602E-2</v>
      </c>
      <c r="I765" t="s">
        <v>1077</v>
      </c>
      <c r="J765">
        <v>2.54</v>
      </c>
    </row>
    <row r="766" spans="1:10" hidden="1">
      <c r="A766" t="s">
        <v>1349</v>
      </c>
      <c r="B766" t="s">
        <v>1350</v>
      </c>
      <c r="C766" t="s">
        <v>1066</v>
      </c>
      <c r="D766" t="s">
        <v>324</v>
      </c>
      <c r="E766" t="s">
        <v>556</v>
      </c>
      <c r="F766" t="s">
        <v>1068</v>
      </c>
      <c r="G766" t="s">
        <v>1078</v>
      </c>
      <c r="H766">
        <v>-2.2369298238349402</v>
      </c>
      <c r="I766" t="s">
        <v>1079</v>
      </c>
      <c r="J766">
        <v>2.54</v>
      </c>
    </row>
    <row r="767" spans="1:10" hidden="1">
      <c r="A767" t="s">
        <v>1349</v>
      </c>
      <c r="B767" t="s">
        <v>1350</v>
      </c>
      <c r="C767" t="s">
        <v>1066</v>
      </c>
      <c r="D767" t="s">
        <v>324</v>
      </c>
      <c r="E767" t="s">
        <v>556</v>
      </c>
      <c r="F767" t="s">
        <v>1068</v>
      </c>
      <c r="G767" t="s">
        <v>1080</v>
      </c>
      <c r="H767" s="171" t="s">
        <v>1351</v>
      </c>
      <c r="I767" t="s">
        <v>1082</v>
      </c>
      <c r="J767">
        <v>2.54</v>
      </c>
    </row>
    <row r="768" spans="1:10" hidden="1">
      <c r="A768" t="s">
        <v>1349</v>
      </c>
      <c r="B768" t="s">
        <v>1350</v>
      </c>
      <c r="C768" t="s">
        <v>1066</v>
      </c>
      <c r="D768" t="s">
        <v>324</v>
      </c>
      <c r="E768" t="s">
        <v>556</v>
      </c>
      <c r="F768" t="s">
        <v>1068</v>
      </c>
      <c r="G768" t="s">
        <v>1083</v>
      </c>
      <c r="H768">
        <v>-1.7895639070075501E-3</v>
      </c>
      <c r="I768" t="s">
        <v>1084</v>
      </c>
      <c r="J768">
        <v>2.54</v>
      </c>
    </row>
    <row r="769" spans="1:10" hidden="1">
      <c r="A769" t="s">
        <v>1349</v>
      </c>
      <c r="B769" t="s">
        <v>1350</v>
      </c>
      <c r="C769" t="s">
        <v>1066</v>
      </c>
      <c r="D769" t="s">
        <v>324</v>
      </c>
      <c r="E769" t="s">
        <v>556</v>
      </c>
      <c r="F769" t="s">
        <v>1068</v>
      </c>
      <c r="G769" t="s">
        <v>1085</v>
      </c>
      <c r="H769">
        <v>-5.0089145798593103E-2</v>
      </c>
      <c r="I769" t="s">
        <v>1086</v>
      </c>
      <c r="J769">
        <v>2.54</v>
      </c>
    </row>
    <row r="770" spans="1:10" hidden="1">
      <c r="A770" t="s">
        <v>1349</v>
      </c>
      <c r="B770" t="s">
        <v>1350</v>
      </c>
      <c r="C770" t="s">
        <v>1066</v>
      </c>
      <c r="D770" t="s">
        <v>324</v>
      </c>
      <c r="E770" t="s">
        <v>556</v>
      </c>
      <c r="F770" t="s">
        <v>1068</v>
      </c>
      <c r="G770" t="s">
        <v>1087</v>
      </c>
      <c r="H770" s="170">
        <v>-4.8741717618386399E-7</v>
      </c>
      <c r="I770" t="s">
        <v>1088</v>
      </c>
      <c r="J770">
        <v>2.54</v>
      </c>
    </row>
    <row r="771" spans="1:10" hidden="1">
      <c r="A771" t="s">
        <v>1349</v>
      </c>
      <c r="B771" t="s">
        <v>1350</v>
      </c>
      <c r="C771" t="s">
        <v>1066</v>
      </c>
      <c r="D771" t="s">
        <v>324</v>
      </c>
      <c r="E771" t="s">
        <v>556</v>
      </c>
      <c r="F771" t="s">
        <v>1068</v>
      </c>
      <c r="G771" t="s">
        <v>1089</v>
      </c>
      <c r="H771">
        <v>-1.35479632187394E-2</v>
      </c>
      <c r="I771" t="s">
        <v>1090</v>
      </c>
      <c r="J771">
        <v>2.54</v>
      </c>
    </row>
    <row r="772" spans="1:10" hidden="1">
      <c r="A772" t="s">
        <v>1352</v>
      </c>
      <c r="B772" t="s">
        <v>1353</v>
      </c>
      <c r="C772" t="s">
        <v>1066</v>
      </c>
      <c r="D772" t="s">
        <v>324</v>
      </c>
      <c r="E772" t="s">
        <v>557</v>
      </c>
      <c r="F772" t="s">
        <v>1068</v>
      </c>
      <c r="G772" t="s">
        <v>1069</v>
      </c>
      <c r="H772">
        <v>-2.6800937522715298E-2</v>
      </c>
      <c r="I772" t="s">
        <v>1070</v>
      </c>
      <c r="J772">
        <v>2.0499999999999998</v>
      </c>
    </row>
    <row r="773" spans="1:10" hidden="1">
      <c r="A773" t="s">
        <v>1352</v>
      </c>
      <c r="B773" t="s">
        <v>1353</v>
      </c>
      <c r="C773" t="s">
        <v>1066</v>
      </c>
      <c r="D773" t="s">
        <v>324</v>
      </c>
      <c r="E773" t="s">
        <v>557</v>
      </c>
      <c r="F773" t="s">
        <v>1068</v>
      </c>
      <c r="G773" t="s">
        <v>1071</v>
      </c>
      <c r="H773" s="170">
        <v>-1.5488541736996599E-10</v>
      </c>
      <c r="I773" t="s">
        <v>1072</v>
      </c>
      <c r="J773">
        <v>2.0499999999999998</v>
      </c>
    </row>
    <row r="774" spans="1:10" hidden="1">
      <c r="A774" t="s">
        <v>1352</v>
      </c>
      <c r="B774" t="s">
        <v>1353</v>
      </c>
      <c r="C774" t="s">
        <v>1066</v>
      </c>
      <c r="D774" t="s">
        <v>324</v>
      </c>
      <c r="E774" t="s">
        <v>557</v>
      </c>
      <c r="F774" t="s">
        <v>1068</v>
      </c>
      <c r="G774" t="s">
        <v>1073</v>
      </c>
      <c r="H774" s="170">
        <v>-3.84088806540878E-8</v>
      </c>
      <c r="I774" t="s">
        <v>1074</v>
      </c>
      <c r="J774">
        <v>2.0499999999999998</v>
      </c>
    </row>
    <row r="775" spans="1:10" hidden="1">
      <c r="A775" t="s">
        <v>1352</v>
      </c>
      <c r="B775" t="s">
        <v>1353</v>
      </c>
      <c r="C775" t="s">
        <v>1066</v>
      </c>
      <c r="D775" t="s">
        <v>324</v>
      </c>
      <c r="E775" t="s">
        <v>557</v>
      </c>
      <c r="F775" t="s">
        <v>1068</v>
      </c>
      <c r="G775" t="s">
        <v>1075</v>
      </c>
      <c r="H775" s="171" t="s">
        <v>1354</v>
      </c>
      <c r="I775" t="s">
        <v>1077</v>
      </c>
      <c r="J775">
        <v>2.0499999999999998</v>
      </c>
    </row>
    <row r="776" spans="1:10" hidden="1">
      <c r="A776" t="s">
        <v>1352</v>
      </c>
      <c r="B776" t="s">
        <v>1353</v>
      </c>
      <c r="C776" t="s">
        <v>1066</v>
      </c>
      <c r="D776" t="s">
        <v>324</v>
      </c>
      <c r="E776" t="s">
        <v>557</v>
      </c>
      <c r="F776" t="s">
        <v>1068</v>
      </c>
      <c r="G776" t="s">
        <v>1078</v>
      </c>
      <c r="H776">
        <v>-2.2431267137541102</v>
      </c>
      <c r="I776" t="s">
        <v>1079</v>
      </c>
      <c r="J776">
        <v>2.0499999999999998</v>
      </c>
    </row>
    <row r="777" spans="1:10" hidden="1">
      <c r="A777" t="s">
        <v>1352</v>
      </c>
      <c r="B777" t="s">
        <v>1353</v>
      </c>
      <c r="C777" t="s">
        <v>1066</v>
      </c>
      <c r="D777" t="s">
        <v>324</v>
      </c>
      <c r="E777" t="s">
        <v>557</v>
      </c>
      <c r="F777" t="s">
        <v>1068</v>
      </c>
      <c r="G777" t="s">
        <v>1080</v>
      </c>
      <c r="H777" s="171" t="s">
        <v>1355</v>
      </c>
      <c r="I777" t="s">
        <v>1082</v>
      </c>
      <c r="J777">
        <v>2.0499999999999998</v>
      </c>
    </row>
    <row r="778" spans="1:10" hidden="1">
      <c r="A778" t="s">
        <v>1352</v>
      </c>
      <c r="B778" t="s">
        <v>1353</v>
      </c>
      <c r="C778" t="s">
        <v>1066</v>
      </c>
      <c r="D778" t="s">
        <v>324</v>
      </c>
      <c r="E778" t="s">
        <v>557</v>
      </c>
      <c r="F778" t="s">
        <v>1068</v>
      </c>
      <c r="G778" t="s">
        <v>1083</v>
      </c>
      <c r="H778">
        <v>-1.7894221446365401E-3</v>
      </c>
      <c r="I778" t="s">
        <v>1084</v>
      </c>
      <c r="J778">
        <v>2.0499999999999998</v>
      </c>
    </row>
    <row r="779" spans="1:10" hidden="1">
      <c r="A779" t="s">
        <v>1352</v>
      </c>
      <c r="B779" t="s">
        <v>1353</v>
      </c>
      <c r="C779" t="s">
        <v>1066</v>
      </c>
      <c r="D779" t="s">
        <v>324</v>
      </c>
      <c r="E779" t="s">
        <v>557</v>
      </c>
      <c r="F779" t="s">
        <v>1068</v>
      </c>
      <c r="G779" t="s">
        <v>1085</v>
      </c>
      <c r="H779">
        <v>-5.0087637903849097E-2</v>
      </c>
      <c r="I779" t="s">
        <v>1086</v>
      </c>
      <c r="J779">
        <v>2.0499999999999998</v>
      </c>
    </row>
    <row r="780" spans="1:10" hidden="1">
      <c r="A780" t="s">
        <v>1352</v>
      </c>
      <c r="B780" t="s">
        <v>1353</v>
      </c>
      <c r="C780" t="s">
        <v>1066</v>
      </c>
      <c r="D780" t="s">
        <v>324</v>
      </c>
      <c r="E780" t="s">
        <v>557</v>
      </c>
      <c r="F780" t="s">
        <v>1068</v>
      </c>
      <c r="G780" t="s">
        <v>1087</v>
      </c>
      <c r="H780" s="170">
        <v>-4.8683102496947901E-7</v>
      </c>
      <c r="I780" t="s">
        <v>1088</v>
      </c>
      <c r="J780">
        <v>2.0499999999999998</v>
      </c>
    </row>
    <row r="781" spans="1:10" hidden="1">
      <c r="A781" t="s">
        <v>1352</v>
      </c>
      <c r="B781" t="s">
        <v>1353</v>
      </c>
      <c r="C781" t="s">
        <v>1066</v>
      </c>
      <c r="D781" t="s">
        <v>324</v>
      </c>
      <c r="E781" t="s">
        <v>557</v>
      </c>
      <c r="F781" t="s">
        <v>1068</v>
      </c>
      <c r="G781" t="s">
        <v>1089</v>
      </c>
      <c r="H781">
        <v>-1.3547633320688399E-2</v>
      </c>
      <c r="I781" t="s">
        <v>1090</v>
      </c>
      <c r="J781">
        <v>2.0499999999999998</v>
      </c>
    </row>
    <row r="782" spans="1:10" hidden="1">
      <c r="A782" t="s">
        <v>1356</v>
      </c>
      <c r="B782" t="s">
        <v>1357</v>
      </c>
      <c r="C782" t="s">
        <v>1066</v>
      </c>
      <c r="D782" t="s">
        <v>324</v>
      </c>
      <c r="E782" t="s">
        <v>559</v>
      </c>
      <c r="F782" t="s">
        <v>1068</v>
      </c>
      <c r="G782" t="s">
        <v>1069</v>
      </c>
      <c r="H782">
        <v>-2.7249106459049301E-2</v>
      </c>
      <c r="I782" t="s">
        <v>1070</v>
      </c>
      <c r="J782">
        <v>2.54</v>
      </c>
    </row>
    <row r="783" spans="1:10" hidden="1">
      <c r="A783" t="s">
        <v>1356</v>
      </c>
      <c r="B783" t="s">
        <v>1357</v>
      </c>
      <c r="C783" t="s">
        <v>1066</v>
      </c>
      <c r="D783" t="s">
        <v>324</v>
      </c>
      <c r="E783" t="s">
        <v>559</v>
      </c>
      <c r="F783" t="s">
        <v>1068</v>
      </c>
      <c r="G783" t="s">
        <v>1071</v>
      </c>
      <c r="H783" s="170">
        <v>-1.5552098824514699E-10</v>
      </c>
      <c r="I783" t="s">
        <v>1072</v>
      </c>
      <c r="J783">
        <v>2.54</v>
      </c>
    </row>
    <row r="784" spans="1:10" hidden="1">
      <c r="A784" t="s">
        <v>1356</v>
      </c>
      <c r="B784" t="s">
        <v>1357</v>
      </c>
      <c r="C784" t="s">
        <v>1066</v>
      </c>
      <c r="D784" t="s">
        <v>324</v>
      </c>
      <c r="E784" t="s">
        <v>559</v>
      </c>
      <c r="F784" t="s">
        <v>1068</v>
      </c>
      <c r="G784" t="s">
        <v>1073</v>
      </c>
      <c r="H784" s="170">
        <v>-3.8568600308857499E-8</v>
      </c>
      <c r="I784" t="s">
        <v>1074</v>
      </c>
      <c r="J784">
        <v>2.54</v>
      </c>
    </row>
    <row r="785" spans="1:10" hidden="1">
      <c r="A785" t="s">
        <v>1356</v>
      </c>
      <c r="B785" t="s">
        <v>1357</v>
      </c>
      <c r="C785" t="s">
        <v>1066</v>
      </c>
      <c r="D785" t="s">
        <v>324</v>
      </c>
      <c r="E785" t="s">
        <v>559</v>
      </c>
      <c r="F785" t="s">
        <v>1068</v>
      </c>
      <c r="G785" t="s">
        <v>1075</v>
      </c>
      <c r="H785">
        <v>3.1681114347143199E-2</v>
      </c>
      <c r="I785" t="s">
        <v>1077</v>
      </c>
      <c r="J785">
        <v>2.54</v>
      </c>
    </row>
    <row r="786" spans="1:10" hidden="1">
      <c r="A786" t="s">
        <v>1356</v>
      </c>
      <c r="B786" t="s">
        <v>1357</v>
      </c>
      <c r="C786" t="s">
        <v>1066</v>
      </c>
      <c r="D786" t="s">
        <v>324</v>
      </c>
      <c r="E786" t="s">
        <v>559</v>
      </c>
      <c r="F786" t="s">
        <v>1068</v>
      </c>
      <c r="G786" t="s">
        <v>1078</v>
      </c>
      <c r="H786">
        <v>-2.2421354928161898</v>
      </c>
      <c r="I786" t="s">
        <v>1079</v>
      </c>
      <c r="J786">
        <v>2.54</v>
      </c>
    </row>
    <row r="787" spans="1:10" hidden="1">
      <c r="A787" t="s">
        <v>1356</v>
      </c>
      <c r="B787" t="s">
        <v>1357</v>
      </c>
      <c r="C787" t="s">
        <v>1066</v>
      </c>
      <c r="D787" t="s">
        <v>324</v>
      </c>
      <c r="E787" t="s">
        <v>559</v>
      </c>
      <c r="F787" t="s">
        <v>1068</v>
      </c>
      <c r="G787" t="s">
        <v>1080</v>
      </c>
      <c r="H787" s="171" t="s">
        <v>1358</v>
      </c>
      <c r="I787" t="s">
        <v>1082</v>
      </c>
      <c r="J787">
        <v>2.54</v>
      </c>
    </row>
    <row r="788" spans="1:10" hidden="1">
      <c r="A788" t="s">
        <v>1356</v>
      </c>
      <c r="B788" t="s">
        <v>1357</v>
      </c>
      <c r="C788" t="s">
        <v>1066</v>
      </c>
      <c r="D788" t="s">
        <v>324</v>
      </c>
      <c r="E788" t="s">
        <v>559</v>
      </c>
      <c r="F788" t="s">
        <v>1068</v>
      </c>
      <c r="G788" t="s">
        <v>1083</v>
      </c>
      <c r="H788">
        <v>-1.78949063955895E-3</v>
      </c>
      <c r="I788" t="s">
        <v>1084</v>
      </c>
      <c r="J788">
        <v>2.54</v>
      </c>
    </row>
    <row r="789" spans="1:10" hidden="1">
      <c r="A789" t="s">
        <v>1356</v>
      </c>
      <c r="B789" t="s">
        <v>1357</v>
      </c>
      <c r="C789" t="s">
        <v>1066</v>
      </c>
      <c r="D789" t="s">
        <v>324</v>
      </c>
      <c r="E789" t="s">
        <v>559</v>
      </c>
      <c r="F789" t="s">
        <v>1068</v>
      </c>
      <c r="G789" t="s">
        <v>1085</v>
      </c>
      <c r="H789">
        <v>-5.0088391667350102E-2</v>
      </c>
      <c r="I789" t="s">
        <v>1086</v>
      </c>
      <c r="J789">
        <v>2.54</v>
      </c>
    </row>
    <row r="790" spans="1:10" hidden="1">
      <c r="A790" t="s">
        <v>1356</v>
      </c>
      <c r="B790" t="s">
        <v>1357</v>
      </c>
      <c r="C790" t="s">
        <v>1066</v>
      </c>
      <c r="D790" t="s">
        <v>324</v>
      </c>
      <c r="E790" t="s">
        <v>559</v>
      </c>
      <c r="F790" t="s">
        <v>1068</v>
      </c>
      <c r="G790" t="s">
        <v>1087</v>
      </c>
      <c r="H790" s="170">
        <v>-4.8701749753647605E-7</v>
      </c>
      <c r="I790" t="s">
        <v>1088</v>
      </c>
      <c r="J790">
        <v>2.54</v>
      </c>
    </row>
    <row r="791" spans="1:10" hidden="1">
      <c r="A791" t="s">
        <v>1356</v>
      </c>
      <c r="B791" t="s">
        <v>1357</v>
      </c>
      <c r="C791" t="s">
        <v>1066</v>
      </c>
      <c r="D791" t="s">
        <v>324</v>
      </c>
      <c r="E791" t="s">
        <v>559</v>
      </c>
      <c r="F791" t="s">
        <v>1068</v>
      </c>
      <c r="G791" t="s">
        <v>1089</v>
      </c>
      <c r="H791">
        <v>-1.35477923688935E-2</v>
      </c>
      <c r="I791" t="s">
        <v>1090</v>
      </c>
      <c r="J791">
        <v>2.54</v>
      </c>
    </row>
    <row r="792" spans="1:10" hidden="1">
      <c r="A792" t="s">
        <v>1359</v>
      </c>
      <c r="B792" t="s">
        <v>1360</v>
      </c>
      <c r="C792" t="s">
        <v>1066</v>
      </c>
      <c r="D792" t="s">
        <v>324</v>
      </c>
      <c r="E792" t="s">
        <v>560</v>
      </c>
      <c r="F792" t="s">
        <v>1068</v>
      </c>
      <c r="G792" t="s">
        <v>1069</v>
      </c>
      <c r="H792">
        <v>-2.7098025108706202E-2</v>
      </c>
      <c r="I792" t="s">
        <v>1070</v>
      </c>
      <c r="J792">
        <v>2.54</v>
      </c>
    </row>
    <row r="793" spans="1:10" hidden="1">
      <c r="A793" t="s">
        <v>1359</v>
      </c>
      <c r="B793" t="s">
        <v>1360</v>
      </c>
      <c r="C793" t="s">
        <v>1066</v>
      </c>
      <c r="D793" t="s">
        <v>324</v>
      </c>
      <c r="E793" t="s">
        <v>560</v>
      </c>
      <c r="F793" t="s">
        <v>1068</v>
      </c>
      <c r="G793" t="s">
        <v>1071</v>
      </c>
      <c r="H793" s="170">
        <v>-1.5531055308528199E-10</v>
      </c>
      <c r="I793" t="s">
        <v>1072</v>
      </c>
      <c r="J793">
        <v>2.54</v>
      </c>
    </row>
    <row r="794" spans="1:10" hidden="1">
      <c r="A794" t="s">
        <v>1359</v>
      </c>
      <c r="B794" t="s">
        <v>1360</v>
      </c>
      <c r="C794" t="s">
        <v>1066</v>
      </c>
      <c r="D794" t="s">
        <v>324</v>
      </c>
      <c r="E794" t="s">
        <v>560</v>
      </c>
      <c r="F794" t="s">
        <v>1068</v>
      </c>
      <c r="G794" t="s">
        <v>1073</v>
      </c>
      <c r="H794" s="170">
        <v>-3.8514407104665701E-8</v>
      </c>
      <c r="I794" t="s">
        <v>1074</v>
      </c>
      <c r="J794">
        <v>2.54</v>
      </c>
    </row>
    <row r="795" spans="1:10" hidden="1">
      <c r="A795" t="s">
        <v>1359</v>
      </c>
      <c r="B795" t="s">
        <v>1360</v>
      </c>
      <c r="C795" t="s">
        <v>1066</v>
      </c>
      <c r="D795" t="s">
        <v>324</v>
      </c>
      <c r="E795" t="s">
        <v>560</v>
      </c>
      <c r="F795" t="s">
        <v>1068</v>
      </c>
      <c r="G795" t="s">
        <v>1075</v>
      </c>
      <c r="H795">
        <v>3.1682100835068401E-2</v>
      </c>
      <c r="I795" t="s">
        <v>1077</v>
      </c>
      <c r="J795">
        <v>2.54</v>
      </c>
    </row>
    <row r="796" spans="1:10" hidden="1">
      <c r="A796" t="s">
        <v>1359</v>
      </c>
      <c r="B796" t="s">
        <v>1360</v>
      </c>
      <c r="C796" t="s">
        <v>1066</v>
      </c>
      <c r="D796" t="s">
        <v>324</v>
      </c>
      <c r="E796" t="s">
        <v>560</v>
      </c>
      <c r="F796" t="s">
        <v>1068</v>
      </c>
      <c r="G796" t="s">
        <v>1078</v>
      </c>
      <c r="H796">
        <v>-2.2435328278880098</v>
      </c>
      <c r="I796" t="s">
        <v>1079</v>
      </c>
      <c r="J796">
        <v>2.54</v>
      </c>
    </row>
    <row r="797" spans="1:10" hidden="1">
      <c r="A797" t="s">
        <v>1359</v>
      </c>
      <c r="B797" t="s">
        <v>1360</v>
      </c>
      <c r="C797" t="s">
        <v>1066</v>
      </c>
      <c r="D797" t="s">
        <v>324</v>
      </c>
      <c r="E797" t="s">
        <v>560</v>
      </c>
      <c r="F797" t="s">
        <v>1068</v>
      </c>
      <c r="G797" t="s">
        <v>1080</v>
      </c>
      <c r="H797" s="171" t="s">
        <v>1361</v>
      </c>
      <c r="I797" t="s">
        <v>1082</v>
      </c>
      <c r="J797">
        <v>2.54</v>
      </c>
    </row>
    <row r="798" spans="1:10" hidden="1">
      <c r="A798" t="s">
        <v>1359</v>
      </c>
      <c r="B798" t="s">
        <v>1360</v>
      </c>
      <c r="C798" t="s">
        <v>1066</v>
      </c>
      <c r="D798" t="s">
        <v>324</v>
      </c>
      <c r="E798" t="s">
        <v>560</v>
      </c>
      <c r="F798" t="s">
        <v>1068</v>
      </c>
      <c r="G798" t="s">
        <v>1083</v>
      </c>
      <c r="H798">
        <v>-1.7894673021420001E-3</v>
      </c>
      <c r="I798" t="s">
        <v>1084</v>
      </c>
      <c r="J798">
        <v>2.54</v>
      </c>
    </row>
    <row r="799" spans="1:10" hidden="1">
      <c r="A799" t="s">
        <v>1359</v>
      </c>
      <c r="B799" t="s">
        <v>1360</v>
      </c>
      <c r="C799" t="s">
        <v>1066</v>
      </c>
      <c r="D799" t="s">
        <v>324</v>
      </c>
      <c r="E799" t="s">
        <v>560</v>
      </c>
      <c r="F799" t="s">
        <v>1068</v>
      </c>
      <c r="G799" t="s">
        <v>1085</v>
      </c>
      <c r="H799">
        <v>-5.0088148275311203E-2</v>
      </c>
      <c r="I799" t="s">
        <v>1086</v>
      </c>
      <c r="J799">
        <v>2.54</v>
      </c>
    </row>
    <row r="800" spans="1:10" hidden="1">
      <c r="A800" t="s">
        <v>1359</v>
      </c>
      <c r="B800" t="s">
        <v>1360</v>
      </c>
      <c r="C800" t="s">
        <v>1066</v>
      </c>
      <c r="D800" t="s">
        <v>324</v>
      </c>
      <c r="E800" t="s">
        <v>560</v>
      </c>
      <c r="F800" t="s">
        <v>1068</v>
      </c>
      <c r="G800" t="s">
        <v>1087</v>
      </c>
      <c r="H800" s="170">
        <v>-4.8707733256745998E-7</v>
      </c>
      <c r="I800" t="s">
        <v>1088</v>
      </c>
      <c r="J800">
        <v>2.54</v>
      </c>
    </row>
    <row r="801" spans="1:10" hidden="1">
      <c r="A801" t="s">
        <v>1359</v>
      </c>
      <c r="B801" t="s">
        <v>1360</v>
      </c>
      <c r="C801" t="s">
        <v>1066</v>
      </c>
      <c r="D801" t="s">
        <v>324</v>
      </c>
      <c r="E801" t="s">
        <v>560</v>
      </c>
      <c r="F801" t="s">
        <v>1068</v>
      </c>
      <c r="G801" t="s">
        <v>1089</v>
      </c>
      <c r="H801">
        <v>-1.3547738609313201E-2</v>
      </c>
      <c r="I801" t="s">
        <v>1090</v>
      </c>
      <c r="J801">
        <v>2.54</v>
      </c>
    </row>
    <row r="802" spans="1:10" hidden="1">
      <c r="A802" t="s">
        <v>1362</v>
      </c>
      <c r="B802" t="s">
        <v>1363</v>
      </c>
      <c r="C802" t="s">
        <v>1066</v>
      </c>
      <c r="D802" t="s">
        <v>324</v>
      </c>
      <c r="E802" t="s">
        <v>1116</v>
      </c>
      <c r="F802" t="s">
        <v>1068</v>
      </c>
      <c r="G802" t="s">
        <v>1069</v>
      </c>
      <c r="H802">
        <v>-2.6196334408066499E-2</v>
      </c>
      <c r="I802" t="s">
        <v>1070</v>
      </c>
      <c r="J802">
        <v>2.54</v>
      </c>
    </row>
    <row r="803" spans="1:10" hidden="1">
      <c r="A803" t="s">
        <v>1362</v>
      </c>
      <c r="B803" t="s">
        <v>1363</v>
      </c>
      <c r="C803" t="s">
        <v>1066</v>
      </c>
      <c r="D803" t="s">
        <v>324</v>
      </c>
      <c r="E803" t="s">
        <v>1116</v>
      </c>
      <c r="F803" t="s">
        <v>1068</v>
      </c>
      <c r="G803" t="s">
        <v>1071</v>
      </c>
      <c r="H803" s="170">
        <v>-1.54020223434405E-10</v>
      </c>
      <c r="I803" t="s">
        <v>1072</v>
      </c>
      <c r="J803">
        <v>2.54</v>
      </c>
    </row>
    <row r="804" spans="1:10" hidden="1">
      <c r="A804" t="s">
        <v>1362</v>
      </c>
      <c r="B804" t="s">
        <v>1363</v>
      </c>
      <c r="C804" t="s">
        <v>1066</v>
      </c>
      <c r="D804" t="s">
        <v>324</v>
      </c>
      <c r="E804" t="s">
        <v>1116</v>
      </c>
      <c r="F804" t="s">
        <v>1068</v>
      </c>
      <c r="G804" t="s">
        <v>1073</v>
      </c>
      <c r="H804" s="170">
        <v>-3.8194123714683898E-8</v>
      </c>
      <c r="I804" t="s">
        <v>1074</v>
      </c>
      <c r="J804">
        <v>2.54</v>
      </c>
    </row>
    <row r="805" spans="1:10" hidden="1">
      <c r="A805" t="s">
        <v>1362</v>
      </c>
      <c r="B805" t="s">
        <v>1363</v>
      </c>
      <c r="C805" t="s">
        <v>1066</v>
      </c>
      <c r="D805" t="s">
        <v>324</v>
      </c>
      <c r="E805" t="s">
        <v>1116</v>
      </c>
      <c r="F805" t="s">
        <v>1068</v>
      </c>
      <c r="G805" t="s">
        <v>1075</v>
      </c>
      <c r="H805" s="171" t="s">
        <v>1364</v>
      </c>
      <c r="I805" t="s">
        <v>1077</v>
      </c>
      <c r="J805">
        <v>2.54</v>
      </c>
    </row>
    <row r="806" spans="1:10" hidden="1">
      <c r="A806" t="s">
        <v>1362</v>
      </c>
      <c r="B806" t="s">
        <v>1363</v>
      </c>
      <c r="C806" t="s">
        <v>1066</v>
      </c>
      <c r="D806" t="s">
        <v>324</v>
      </c>
      <c r="E806" t="s">
        <v>1116</v>
      </c>
      <c r="F806" t="s">
        <v>1068</v>
      </c>
      <c r="G806" t="s">
        <v>1078</v>
      </c>
      <c r="H806">
        <v>-2.2423002306506099</v>
      </c>
      <c r="I806" t="s">
        <v>1079</v>
      </c>
      <c r="J806">
        <v>2.54</v>
      </c>
    </row>
    <row r="807" spans="1:10" hidden="1">
      <c r="A807" t="s">
        <v>1362</v>
      </c>
      <c r="B807" t="s">
        <v>1363</v>
      </c>
      <c r="C807" t="s">
        <v>1066</v>
      </c>
      <c r="D807" t="s">
        <v>324</v>
      </c>
      <c r="E807" t="s">
        <v>1116</v>
      </c>
      <c r="F807" t="s">
        <v>1068</v>
      </c>
      <c r="G807" t="s">
        <v>1080</v>
      </c>
      <c r="H807" s="171" t="s">
        <v>1365</v>
      </c>
      <c r="I807" t="s">
        <v>1082</v>
      </c>
      <c r="J807">
        <v>2.54</v>
      </c>
    </row>
    <row r="808" spans="1:10" hidden="1">
      <c r="A808" t="s">
        <v>1362</v>
      </c>
      <c r="B808" t="s">
        <v>1363</v>
      </c>
      <c r="C808" t="s">
        <v>1066</v>
      </c>
      <c r="D808" t="s">
        <v>324</v>
      </c>
      <c r="E808" t="s">
        <v>1116</v>
      </c>
      <c r="F808" t="s">
        <v>1068</v>
      </c>
      <c r="G808" t="s">
        <v>1083</v>
      </c>
      <c r="H808">
        <v>-1.78933024457166E-3</v>
      </c>
      <c r="I808" t="s">
        <v>1084</v>
      </c>
      <c r="J808">
        <v>2.54</v>
      </c>
    </row>
    <row r="809" spans="1:10" hidden="1">
      <c r="A809" t="s">
        <v>1362</v>
      </c>
      <c r="B809" t="s">
        <v>1363</v>
      </c>
      <c r="C809" t="s">
        <v>1066</v>
      </c>
      <c r="D809" t="s">
        <v>324</v>
      </c>
      <c r="E809" t="s">
        <v>1116</v>
      </c>
      <c r="F809" t="s">
        <v>1068</v>
      </c>
      <c r="G809" t="s">
        <v>1085</v>
      </c>
      <c r="H809">
        <v>-5.0086599246598001E-2</v>
      </c>
      <c r="I809" t="s">
        <v>1086</v>
      </c>
      <c r="J809">
        <v>2.54</v>
      </c>
    </row>
    <row r="810" spans="1:10" hidden="1">
      <c r="A810" t="s">
        <v>1362</v>
      </c>
      <c r="B810" t="s">
        <v>1363</v>
      </c>
      <c r="C810" t="s">
        <v>1066</v>
      </c>
      <c r="D810" t="s">
        <v>324</v>
      </c>
      <c r="E810" t="s">
        <v>1116</v>
      </c>
      <c r="F810" t="s">
        <v>1068</v>
      </c>
      <c r="G810" t="s">
        <v>1087</v>
      </c>
      <c r="H810" s="170">
        <v>-4.8632976423758298E-7</v>
      </c>
      <c r="I810" t="s">
        <v>1088</v>
      </c>
      <c r="J810">
        <v>2.54</v>
      </c>
    </row>
    <row r="811" spans="1:10" hidden="1">
      <c r="A811" t="s">
        <v>1362</v>
      </c>
      <c r="B811" t="s">
        <v>1363</v>
      </c>
      <c r="C811" t="s">
        <v>1066</v>
      </c>
      <c r="D811" t="s">
        <v>324</v>
      </c>
      <c r="E811" t="s">
        <v>1116</v>
      </c>
      <c r="F811" t="s">
        <v>1068</v>
      </c>
      <c r="G811" t="s">
        <v>1089</v>
      </c>
      <c r="H811">
        <v>-1.35474190477486E-2</v>
      </c>
      <c r="I811" t="s">
        <v>1090</v>
      </c>
      <c r="J811">
        <v>2.54</v>
      </c>
    </row>
    <row r="812" spans="1:10" hidden="1">
      <c r="A812" t="s">
        <v>1366</v>
      </c>
      <c r="B812" t="s">
        <v>1367</v>
      </c>
      <c r="C812" t="s">
        <v>1066</v>
      </c>
      <c r="D812" t="s">
        <v>1368</v>
      </c>
      <c r="E812" t="s">
        <v>561</v>
      </c>
      <c r="F812" t="s">
        <v>1068</v>
      </c>
      <c r="G812" t="s">
        <v>1069</v>
      </c>
      <c r="H812">
        <v>-0.393318013960688</v>
      </c>
      <c r="I812" t="s">
        <v>1070</v>
      </c>
      <c r="J812">
        <v>2.0299999999999998</v>
      </c>
    </row>
    <row r="813" spans="1:10" hidden="1">
      <c r="A813" t="s">
        <v>1366</v>
      </c>
      <c r="B813" t="s">
        <v>1367</v>
      </c>
      <c r="C813" t="s">
        <v>1066</v>
      </c>
      <c r="D813" t="s">
        <v>1368</v>
      </c>
      <c r="E813" t="s">
        <v>561</v>
      </c>
      <c r="F813" t="s">
        <v>1068</v>
      </c>
      <c r="G813" t="s">
        <v>1071</v>
      </c>
      <c r="H813" s="170">
        <v>-7.1334474656449403E-10</v>
      </c>
      <c r="I813" t="s">
        <v>1072</v>
      </c>
      <c r="J813">
        <v>2.0299999999999998</v>
      </c>
    </row>
    <row r="814" spans="1:10" hidden="1">
      <c r="A814" t="s">
        <v>1366</v>
      </c>
      <c r="B814" t="s">
        <v>1367</v>
      </c>
      <c r="C814" t="s">
        <v>1066</v>
      </c>
      <c r="D814" t="s">
        <v>1368</v>
      </c>
      <c r="E814" t="s">
        <v>561</v>
      </c>
      <c r="F814" t="s">
        <v>1068</v>
      </c>
      <c r="G814" t="s">
        <v>1073</v>
      </c>
      <c r="H814" s="170">
        <v>-1.6065187540853601E-7</v>
      </c>
      <c r="I814" t="s">
        <v>1074</v>
      </c>
      <c r="J814">
        <v>2.0299999999999998</v>
      </c>
    </row>
    <row r="815" spans="1:10" hidden="1">
      <c r="A815" t="s">
        <v>1366</v>
      </c>
      <c r="B815" t="s">
        <v>1367</v>
      </c>
      <c r="C815" t="s">
        <v>1066</v>
      </c>
      <c r="D815" t="s">
        <v>1368</v>
      </c>
      <c r="E815" t="s">
        <v>561</v>
      </c>
      <c r="F815" t="s">
        <v>1068</v>
      </c>
      <c r="G815" t="s">
        <v>1075</v>
      </c>
      <c r="H815">
        <v>6.6554793189132794E-2</v>
      </c>
      <c r="I815" t="s">
        <v>1077</v>
      </c>
      <c r="J815">
        <v>2.0299999999999998</v>
      </c>
    </row>
    <row r="816" spans="1:10" hidden="1">
      <c r="A816" t="s">
        <v>1366</v>
      </c>
      <c r="B816" t="s">
        <v>1367</v>
      </c>
      <c r="C816" t="s">
        <v>1066</v>
      </c>
      <c r="D816" t="s">
        <v>1368</v>
      </c>
      <c r="E816" t="s">
        <v>561</v>
      </c>
      <c r="F816" t="s">
        <v>1068</v>
      </c>
      <c r="G816" t="s">
        <v>1078</v>
      </c>
      <c r="H816">
        <v>-2.4921425072357501</v>
      </c>
      <c r="I816" t="s">
        <v>1079</v>
      </c>
      <c r="J816">
        <v>2.0299999999999998</v>
      </c>
    </row>
    <row r="817" spans="1:10" hidden="1">
      <c r="A817" t="s">
        <v>1366</v>
      </c>
      <c r="B817" t="s">
        <v>1367</v>
      </c>
      <c r="C817" t="s">
        <v>1066</v>
      </c>
      <c r="D817" t="s">
        <v>1368</v>
      </c>
      <c r="E817" t="s">
        <v>561</v>
      </c>
      <c r="F817" t="s">
        <v>1068</v>
      </c>
      <c r="G817" t="s">
        <v>1080</v>
      </c>
      <c r="H817" s="171" t="s">
        <v>1369</v>
      </c>
      <c r="I817" t="s">
        <v>1082</v>
      </c>
      <c r="J817">
        <v>2.0299999999999998</v>
      </c>
    </row>
    <row r="818" spans="1:10" hidden="1">
      <c r="A818" t="s">
        <v>1366</v>
      </c>
      <c r="B818" t="s">
        <v>1367</v>
      </c>
      <c r="C818" t="s">
        <v>1066</v>
      </c>
      <c r="D818" t="s">
        <v>1368</v>
      </c>
      <c r="E818" t="s">
        <v>561</v>
      </c>
      <c r="F818" t="s">
        <v>1068</v>
      </c>
      <c r="G818" t="s">
        <v>1083</v>
      </c>
      <c r="H818">
        <v>-1.81265041028271E-3</v>
      </c>
      <c r="I818" t="s">
        <v>1084</v>
      </c>
      <c r="J818">
        <v>2.0299999999999998</v>
      </c>
    </row>
    <row r="819" spans="1:10" hidden="1">
      <c r="A819" t="s">
        <v>1366</v>
      </c>
      <c r="B819" t="s">
        <v>1367</v>
      </c>
      <c r="C819" t="s">
        <v>1066</v>
      </c>
      <c r="D819" t="s">
        <v>1368</v>
      </c>
      <c r="E819" t="s">
        <v>561</v>
      </c>
      <c r="F819" t="s">
        <v>1068</v>
      </c>
      <c r="G819" t="s">
        <v>1085</v>
      </c>
      <c r="H819">
        <v>-4.9448369805028501E-2</v>
      </c>
      <c r="I819" t="s">
        <v>1086</v>
      </c>
      <c r="J819">
        <v>2.0299999999999998</v>
      </c>
    </row>
    <row r="820" spans="1:10" hidden="1">
      <c r="A820" t="s">
        <v>1366</v>
      </c>
      <c r="B820" t="s">
        <v>1367</v>
      </c>
      <c r="C820" t="s">
        <v>1066</v>
      </c>
      <c r="D820" t="s">
        <v>1368</v>
      </c>
      <c r="E820" t="s">
        <v>561</v>
      </c>
      <c r="F820" t="s">
        <v>1068</v>
      </c>
      <c r="G820" t="s">
        <v>1087</v>
      </c>
      <c r="H820" s="170">
        <v>-4.6362581976142E-7</v>
      </c>
      <c r="I820" t="s">
        <v>1088</v>
      </c>
      <c r="J820">
        <v>2.0299999999999998</v>
      </c>
    </row>
    <row r="821" spans="1:10" hidden="1">
      <c r="A821" t="s">
        <v>1366</v>
      </c>
      <c r="B821" t="s">
        <v>1367</v>
      </c>
      <c r="C821" t="s">
        <v>1066</v>
      </c>
      <c r="D821" t="s">
        <v>1368</v>
      </c>
      <c r="E821" t="s">
        <v>561</v>
      </c>
      <c r="F821" t="s">
        <v>1068</v>
      </c>
      <c r="G821" t="s">
        <v>1089</v>
      </c>
      <c r="H821">
        <v>-1.32416643396744E-2</v>
      </c>
      <c r="I821" t="s">
        <v>1090</v>
      </c>
      <c r="J821">
        <v>2.0299999999999998</v>
      </c>
    </row>
    <row r="822" spans="1:10" hidden="1">
      <c r="A822" t="s">
        <v>1370</v>
      </c>
      <c r="B822" t="s">
        <v>1371</v>
      </c>
      <c r="C822" t="s">
        <v>1066</v>
      </c>
      <c r="D822" t="s">
        <v>1368</v>
      </c>
      <c r="E822" t="s">
        <v>555</v>
      </c>
      <c r="F822" t="s">
        <v>1068</v>
      </c>
      <c r="G822" t="s">
        <v>1069</v>
      </c>
      <c r="H822">
        <v>-0.42172806616373398</v>
      </c>
      <c r="I822" t="s">
        <v>1070</v>
      </c>
      <c r="J822">
        <v>2.5299999999999998</v>
      </c>
    </row>
    <row r="823" spans="1:10" hidden="1">
      <c r="A823" t="s">
        <v>1370</v>
      </c>
      <c r="B823" t="s">
        <v>1371</v>
      </c>
      <c r="C823" t="s">
        <v>1066</v>
      </c>
      <c r="D823" t="s">
        <v>1368</v>
      </c>
      <c r="E823" t="s">
        <v>555</v>
      </c>
      <c r="F823" t="s">
        <v>1068</v>
      </c>
      <c r="G823" t="s">
        <v>1071</v>
      </c>
      <c r="H823" s="170">
        <v>-7.5399409051402401E-10</v>
      </c>
      <c r="I823" t="s">
        <v>1072</v>
      </c>
      <c r="J823">
        <v>2.5299999999999998</v>
      </c>
    </row>
    <row r="824" spans="1:10" hidden="1">
      <c r="A824" t="s">
        <v>1370</v>
      </c>
      <c r="B824" t="s">
        <v>1371</v>
      </c>
      <c r="C824" t="s">
        <v>1066</v>
      </c>
      <c r="D824" t="s">
        <v>1368</v>
      </c>
      <c r="E824" t="s">
        <v>555</v>
      </c>
      <c r="F824" t="s">
        <v>1068</v>
      </c>
      <c r="G824" t="s">
        <v>1073</v>
      </c>
      <c r="H824" s="170">
        <v>-1.70743744476458E-7</v>
      </c>
      <c r="I824" t="s">
        <v>1074</v>
      </c>
      <c r="J824">
        <v>2.5299999999999998</v>
      </c>
    </row>
    <row r="825" spans="1:10" hidden="1">
      <c r="A825" t="s">
        <v>1370</v>
      </c>
      <c r="B825" t="s">
        <v>1371</v>
      </c>
      <c r="C825" t="s">
        <v>1066</v>
      </c>
      <c r="D825" t="s">
        <v>1368</v>
      </c>
      <c r="E825" t="s">
        <v>555</v>
      </c>
      <c r="F825" t="s">
        <v>1068</v>
      </c>
      <c r="G825" t="s">
        <v>1075</v>
      </c>
      <c r="H825">
        <v>6.5660510444371101E-2</v>
      </c>
      <c r="I825" t="s">
        <v>1077</v>
      </c>
      <c r="J825">
        <v>2.5299999999999998</v>
      </c>
    </row>
    <row r="826" spans="1:10" hidden="1">
      <c r="A826" t="s">
        <v>1370</v>
      </c>
      <c r="B826" t="s">
        <v>1371</v>
      </c>
      <c r="C826" t="s">
        <v>1066</v>
      </c>
      <c r="D826" t="s">
        <v>1368</v>
      </c>
      <c r="E826" t="s">
        <v>555</v>
      </c>
      <c r="F826" t="s">
        <v>1068</v>
      </c>
      <c r="G826" t="s">
        <v>1078</v>
      </c>
      <c r="H826">
        <v>-2.529374748105</v>
      </c>
      <c r="I826" t="s">
        <v>1079</v>
      </c>
      <c r="J826">
        <v>2.5299999999999998</v>
      </c>
    </row>
    <row r="827" spans="1:10" hidden="1">
      <c r="A827" t="s">
        <v>1370</v>
      </c>
      <c r="B827" t="s">
        <v>1371</v>
      </c>
      <c r="C827" t="s">
        <v>1066</v>
      </c>
      <c r="D827" t="s">
        <v>1368</v>
      </c>
      <c r="E827" t="s">
        <v>555</v>
      </c>
      <c r="F827" t="s">
        <v>1068</v>
      </c>
      <c r="G827" t="s">
        <v>1080</v>
      </c>
      <c r="H827" s="171" t="s">
        <v>1372</v>
      </c>
      <c r="I827" t="s">
        <v>1082</v>
      </c>
      <c r="J827">
        <v>2.5299999999999998</v>
      </c>
    </row>
    <row r="828" spans="1:10" hidden="1">
      <c r="A828" t="s">
        <v>1370</v>
      </c>
      <c r="B828" t="s">
        <v>1371</v>
      </c>
      <c r="C828" t="s">
        <v>1066</v>
      </c>
      <c r="D828" t="s">
        <v>1368</v>
      </c>
      <c r="E828" t="s">
        <v>555</v>
      </c>
      <c r="F828" t="s">
        <v>1068</v>
      </c>
      <c r="G828" t="s">
        <v>1083</v>
      </c>
      <c r="H828">
        <v>-1.81696912956573E-3</v>
      </c>
      <c r="I828" t="s">
        <v>1084</v>
      </c>
      <c r="J828">
        <v>2.5299999999999998</v>
      </c>
    </row>
    <row r="829" spans="1:10" hidden="1">
      <c r="A829" t="s">
        <v>1370</v>
      </c>
      <c r="B829" t="s">
        <v>1371</v>
      </c>
      <c r="C829" t="s">
        <v>1066</v>
      </c>
      <c r="D829" t="s">
        <v>1368</v>
      </c>
      <c r="E829" t="s">
        <v>555</v>
      </c>
      <c r="F829" t="s">
        <v>1068</v>
      </c>
      <c r="G829" t="s">
        <v>1085</v>
      </c>
      <c r="H829">
        <v>-4.94971597299457E-2</v>
      </c>
      <c r="I829" t="s">
        <v>1086</v>
      </c>
      <c r="J829">
        <v>2.5299999999999998</v>
      </c>
    </row>
    <row r="830" spans="1:10" hidden="1">
      <c r="A830" t="s">
        <v>1370</v>
      </c>
      <c r="B830" t="s">
        <v>1371</v>
      </c>
      <c r="C830" t="s">
        <v>1066</v>
      </c>
      <c r="D830" t="s">
        <v>1368</v>
      </c>
      <c r="E830" t="s">
        <v>555</v>
      </c>
      <c r="F830" t="s">
        <v>1068</v>
      </c>
      <c r="G830" t="s">
        <v>1087</v>
      </c>
      <c r="H830" s="170">
        <v>-4.8699476316174096E-7</v>
      </c>
      <c r="I830" t="s">
        <v>1088</v>
      </c>
      <c r="J830">
        <v>2.5299999999999998</v>
      </c>
    </row>
    <row r="831" spans="1:10" hidden="1">
      <c r="A831" t="s">
        <v>1370</v>
      </c>
      <c r="B831" t="s">
        <v>1371</v>
      </c>
      <c r="C831" t="s">
        <v>1066</v>
      </c>
      <c r="D831" t="s">
        <v>1368</v>
      </c>
      <c r="E831" t="s">
        <v>555</v>
      </c>
      <c r="F831" t="s">
        <v>1068</v>
      </c>
      <c r="G831" t="s">
        <v>1089</v>
      </c>
      <c r="H831">
        <v>-1.3251733153121E-2</v>
      </c>
      <c r="I831" t="s">
        <v>1090</v>
      </c>
      <c r="J831">
        <v>2.5299999999999998</v>
      </c>
    </row>
    <row r="832" spans="1:10" hidden="1">
      <c r="A832" t="s">
        <v>1373</v>
      </c>
      <c r="B832" t="s">
        <v>1374</v>
      </c>
      <c r="C832" t="s">
        <v>1066</v>
      </c>
      <c r="D832" t="s">
        <v>1368</v>
      </c>
      <c r="E832" t="s">
        <v>558</v>
      </c>
      <c r="F832" t="s">
        <v>1068</v>
      </c>
      <c r="G832" t="s">
        <v>1069</v>
      </c>
      <c r="H832">
        <v>-0.39080232193167802</v>
      </c>
      <c r="I832" t="s">
        <v>1070</v>
      </c>
      <c r="J832">
        <v>2.7</v>
      </c>
    </row>
    <row r="833" spans="1:10" hidden="1">
      <c r="A833" t="s">
        <v>1373</v>
      </c>
      <c r="B833" t="s">
        <v>1374</v>
      </c>
      <c r="C833" t="s">
        <v>1066</v>
      </c>
      <c r="D833" t="s">
        <v>1368</v>
      </c>
      <c r="E833" t="s">
        <v>558</v>
      </c>
      <c r="F833" t="s">
        <v>1068</v>
      </c>
      <c r="G833" t="s">
        <v>1071</v>
      </c>
      <c r="H833" s="170">
        <v>-7.0974476265024396E-10</v>
      </c>
      <c r="I833" t="s">
        <v>1072</v>
      </c>
      <c r="J833">
        <v>2.7</v>
      </c>
    </row>
    <row r="834" spans="1:10" hidden="1">
      <c r="A834" t="s">
        <v>1373</v>
      </c>
      <c r="B834" t="s">
        <v>1374</v>
      </c>
      <c r="C834" t="s">
        <v>1066</v>
      </c>
      <c r="D834" t="s">
        <v>1368</v>
      </c>
      <c r="E834" t="s">
        <v>558</v>
      </c>
      <c r="F834" t="s">
        <v>1068</v>
      </c>
      <c r="G834" t="s">
        <v>1073</v>
      </c>
      <c r="H834" s="170">
        <v>-1.5975829363969799E-7</v>
      </c>
      <c r="I834" t="s">
        <v>1074</v>
      </c>
      <c r="J834">
        <v>2.7</v>
      </c>
    </row>
    <row r="835" spans="1:10" hidden="1">
      <c r="A835" t="s">
        <v>1373</v>
      </c>
      <c r="B835" t="s">
        <v>1374</v>
      </c>
      <c r="C835" t="s">
        <v>1066</v>
      </c>
      <c r="D835" t="s">
        <v>1368</v>
      </c>
      <c r="E835" t="s">
        <v>558</v>
      </c>
      <c r="F835" t="s">
        <v>1068</v>
      </c>
      <c r="G835" t="s">
        <v>1075</v>
      </c>
      <c r="H835">
        <v>6.6634316901606302E-2</v>
      </c>
      <c r="I835" t="s">
        <v>1077</v>
      </c>
      <c r="J835">
        <v>2.7</v>
      </c>
    </row>
    <row r="836" spans="1:10" hidden="1">
      <c r="A836" t="s">
        <v>1373</v>
      </c>
      <c r="B836" t="s">
        <v>1374</v>
      </c>
      <c r="C836" t="s">
        <v>1066</v>
      </c>
      <c r="D836" t="s">
        <v>1368</v>
      </c>
      <c r="E836" t="s">
        <v>558</v>
      </c>
      <c r="F836" t="s">
        <v>1068</v>
      </c>
      <c r="G836" t="s">
        <v>1078</v>
      </c>
      <c r="H836">
        <v>-2.4887035951540901</v>
      </c>
      <c r="I836" t="s">
        <v>1079</v>
      </c>
      <c r="J836">
        <v>2.7</v>
      </c>
    </row>
    <row r="837" spans="1:10" hidden="1">
      <c r="A837" t="s">
        <v>1373</v>
      </c>
      <c r="B837" t="s">
        <v>1374</v>
      </c>
      <c r="C837" t="s">
        <v>1066</v>
      </c>
      <c r="D837" t="s">
        <v>1368</v>
      </c>
      <c r="E837" t="s">
        <v>558</v>
      </c>
      <c r="F837" t="s">
        <v>1068</v>
      </c>
      <c r="G837" t="s">
        <v>1080</v>
      </c>
      <c r="H837" s="171" t="s">
        <v>1375</v>
      </c>
      <c r="I837" t="s">
        <v>1082</v>
      </c>
      <c r="J837">
        <v>2.7</v>
      </c>
    </row>
    <row r="838" spans="1:10" hidden="1">
      <c r="A838" t="s">
        <v>1373</v>
      </c>
      <c r="B838" t="s">
        <v>1374</v>
      </c>
      <c r="C838" t="s">
        <v>1066</v>
      </c>
      <c r="D838" t="s">
        <v>1368</v>
      </c>
      <c r="E838" t="s">
        <v>558</v>
      </c>
      <c r="F838" t="s">
        <v>1068</v>
      </c>
      <c r="G838" t="s">
        <v>1083</v>
      </c>
      <c r="H838">
        <v>-1.8122680234654901E-3</v>
      </c>
      <c r="I838" t="s">
        <v>1084</v>
      </c>
      <c r="J838">
        <v>2.7</v>
      </c>
    </row>
    <row r="839" spans="1:10" hidden="1">
      <c r="A839" t="s">
        <v>1373</v>
      </c>
      <c r="B839" t="s">
        <v>1374</v>
      </c>
      <c r="C839" t="s">
        <v>1066</v>
      </c>
      <c r="D839" t="s">
        <v>1368</v>
      </c>
      <c r="E839" t="s">
        <v>558</v>
      </c>
      <c r="F839" t="s">
        <v>1068</v>
      </c>
      <c r="G839" t="s">
        <v>1085</v>
      </c>
      <c r="H839">
        <v>-4.9444048057911902E-2</v>
      </c>
      <c r="I839" t="s">
        <v>1086</v>
      </c>
      <c r="J839">
        <v>2.7</v>
      </c>
    </row>
    <row r="840" spans="1:10" hidden="1">
      <c r="A840" t="s">
        <v>1373</v>
      </c>
      <c r="B840" t="s">
        <v>1374</v>
      </c>
      <c r="C840" t="s">
        <v>1066</v>
      </c>
      <c r="D840" t="s">
        <v>1368</v>
      </c>
      <c r="E840" t="s">
        <v>558</v>
      </c>
      <c r="F840" t="s">
        <v>1068</v>
      </c>
      <c r="G840" t="s">
        <v>1087</v>
      </c>
      <c r="H840" s="170">
        <v>-4.6154012486979401E-7</v>
      </c>
      <c r="I840" t="s">
        <v>1088</v>
      </c>
      <c r="J840">
        <v>2.7</v>
      </c>
    </row>
    <row r="841" spans="1:10" hidden="1">
      <c r="A841" t="s">
        <v>1373</v>
      </c>
      <c r="B841" t="s">
        <v>1374</v>
      </c>
      <c r="C841" t="s">
        <v>1066</v>
      </c>
      <c r="D841" t="s">
        <v>1368</v>
      </c>
      <c r="E841" t="s">
        <v>558</v>
      </c>
      <c r="F841" t="s">
        <v>1068</v>
      </c>
      <c r="G841" t="s">
        <v>1089</v>
      </c>
      <c r="H841">
        <v>-1.3240772771778601E-2</v>
      </c>
      <c r="I841" t="s">
        <v>1090</v>
      </c>
      <c r="J841">
        <v>2.7</v>
      </c>
    </row>
    <row r="842" spans="1:10" hidden="1">
      <c r="A842" t="s">
        <v>1376</v>
      </c>
      <c r="B842" t="s">
        <v>1377</v>
      </c>
      <c r="C842" t="s">
        <v>1066</v>
      </c>
      <c r="D842" t="s">
        <v>1368</v>
      </c>
      <c r="E842" t="s">
        <v>553</v>
      </c>
      <c r="F842" t="s">
        <v>1068</v>
      </c>
      <c r="G842" t="s">
        <v>1069</v>
      </c>
      <c r="H842">
        <v>-0.38833603030490998</v>
      </c>
      <c r="I842" t="s">
        <v>1070</v>
      </c>
      <c r="J842">
        <v>2.04</v>
      </c>
    </row>
    <row r="843" spans="1:10" hidden="1">
      <c r="A843" t="s">
        <v>1376</v>
      </c>
      <c r="B843" t="s">
        <v>1377</v>
      </c>
      <c r="C843" t="s">
        <v>1066</v>
      </c>
      <c r="D843" t="s">
        <v>1368</v>
      </c>
      <c r="E843" t="s">
        <v>553</v>
      </c>
      <c r="F843" t="s">
        <v>1068</v>
      </c>
      <c r="G843" t="s">
        <v>1071</v>
      </c>
      <c r="H843" s="170">
        <v>-7.0620970730273497E-10</v>
      </c>
      <c r="I843" t="s">
        <v>1072</v>
      </c>
      <c r="J843">
        <v>2.04</v>
      </c>
    </row>
    <row r="844" spans="1:10" hidden="1">
      <c r="A844" t="s">
        <v>1376</v>
      </c>
      <c r="B844" t="s">
        <v>1377</v>
      </c>
      <c r="C844" t="s">
        <v>1066</v>
      </c>
      <c r="D844" t="s">
        <v>1368</v>
      </c>
      <c r="E844" t="s">
        <v>553</v>
      </c>
      <c r="F844" t="s">
        <v>1068</v>
      </c>
      <c r="G844" t="s">
        <v>1073</v>
      </c>
      <c r="H844" s="170">
        <v>-1.5888278768056699E-7</v>
      </c>
      <c r="I844" t="s">
        <v>1074</v>
      </c>
      <c r="J844">
        <v>2.04</v>
      </c>
    </row>
    <row r="845" spans="1:10" hidden="1">
      <c r="A845" t="s">
        <v>1376</v>
      </c>
      <c r="B845" t="s">
        <v>1377</v>
      </c>
      <c r="C845" t="s">
        <v>1066</v>
      </c>
      <c r="D845" t="s">
        <v>1368</v>
      </c>
      <c r="E845" t="s">
        <v>553</v>
      </c>
      <c r="F845" t="s">
        <v>1068</v>
      </c>
      <c r="G845" t="s">
        <v>1075</v>
      </c>
      <c r="H845">
        <v>6.6716068369547604E-2</v>
      </c>
      <c r="I845" t="s">
        <v>1077</v>
      </c>
      <c r="J845">
        <v>2.04</v>
      </c>
    </row>
    <row r="846" spans="1:10" hidden="1">
      <c r="A846" t="s">
        <v>1376</v>
      </c>
      <c r="B846" t="s">
        <v>1377</v>
      </c>
      <c r="C846" t="s">
        <v>1066</v>
      </c>
      <c r="D846" t="s">
        <v>1368</v>
      </c>
      <c r="E846" t="s">
        <v>553</v>
      </c>
      <c r="F846" t="s">
        <v>1068</v>
      </c>
      <c r="G846" t="s">
        <v>1078</v>
      </c>
      <c r="H846">
        <v>-2.4837283517173199</v>
      </c>
      <c r="I846" t="s">
        <v>1079</v>
      </c>
      <c r="J846">
        <v>2.04</v>
      </c>
    </row>
    <row r="847" spans="1:10" hidden="1">
      <c r="A847" t="s">
        <v>1376</v>
      </c>
      <c r="B847" t="s">
        <v>1377</v>
      </c>
      <c r="C847" t="s">
        <v>1066</v>
      </c>
      <c r="D847" t="s">
        <v>1368</v>
      </c>
      <c r="E847" t="s">
        <v>553</v>
      </c>
      <c r="F847" t="s">
        <v>1068</v>
      </c>
      <c r="G847" t="s">
        <v>1080</v>
      </c>
      <c r="H847" s="171" t="s">
        <v>1378</v>
      </c>
      <c r="I847" t="s">
        <v>1082</v>
      </c>
      <c r="J847">
        <v>2.04</v>
      </c>
    </row>
    <row r="848" spans="1:10" hidden="1">
      <c r="A848" t="s">
        <v>1376</v>
      </c>
      <c r="B848" t="s">
        <v>1377</v>
      </c>
      <c r="C848" t="s">
        <v>1066</v>
      </c>
      <c r="D848" t="s">
        <v>1368</v>
      </c>
      <c r="E848" t="s">
        <v>553</v>
      </c>
      <c r="F848" t="s">
        <v>1068</v>
      </c>
      <c r="G848" t="s">
        <v>1083</v>
      </c>
      <c r="H848">
        <v>-1.81189351849524E-3</v>
      </c>
      <c r="I848" t="s">
        <v>1084</v>
      </c>
      <c r="J848">
        <v>2.04</v>
      </c>
    </row>
    <row r="849" spans="1:10" hidden="1">
      <c r="A849" t="s">
        <v>1376</v>
      </c>
      <c r="B849" t="s">
        <v>1377</v>
      </c>
      <c r="C849" t="s">
        <v>1066</v>
      </c>
      <c r="D849" t="s">
        <v>1368</v>
      </c>
      <c r="E849" t="s">
        <v>553</v>
      </c>
      <c r="F849" t="s">
        <v>1068</v>
      </c>
      <c r="G849" t="s">
        <v>1085</v>
      </c>
      <c r="H849">
        <v>-4.9439795023525197E-2</v>
      </c>
      <c r="I849" t="s">
        <v>1086</v>
      </c>
      <c r="J849">
        <v>2.04</v>
      </c>
    </row>
    <row r="850" spans="1:10" hidden="1">
      <c r="A850" t="s">
        <v>1376</v>
      </c>
      <c r="B850" t="s">
        <v>1377</v>
      </c>
      <c r="C850" t="s">
        <v>1066</v>
      </c>
      <c r="D850" t="s">
        <v>1368</v>
      </c>
      <c r="E850" t="s">
        <v>553</v>
      </c>
      <c r="F850" t="s">
        <v>1068</v>
      </c>
      <c r="G850" t="s">
        <v>1087</v>
      </c>
      <c r="H850" s="170">
        <v>-4.5931029391499602E-7</v>
      </c>
      <c r="I850" t="s">
        <v>1088</v>
      </c>
      <c r="J850">
        <v>2.04</v>
      </c>
    </row>
    <row r="851" spans="1:10" hidden="1">
      <c r="A851" t="s">
        <v>1376</v>
      </c>
      <c r="B851" t="s">
        <v>1377</v>
      </c>
      <c r="C851" t="s">
        <v>1066</v>
      </c>
      <c r="D851" t="s">
        <v>1368</v>
      </c>
      <c r="E851" t="s">
        <v>553</v>
      </c>
      <c r="F851" t="s">
        <v>1068</v>
      </c>
      <c r="G851" t="s">
        <v>1089</v>
      </c>
      <c r="H851">
        <v>-1.32398989274666E-2</v>
      </c>
      <c r="I851" t="s">
        <v>1090</v>
      </c>
      <c r="J851">
        <v>2.04</v>
      </c>
    </row>
    <row r="852" spans="1:10" hidden="1">
      <c r="A852" t="s">
        <v>1379</v>
      </c>
      <c r="B852" t="s">
        <v>1380</v>
      </c>
      <c r="C852" t="s">
        <v>1066</v>
      </c>
      <c r="D852" t="s">
        <v>1368</v>
      </c>
      <c r="E852" t="s">
        <v>556</v>
      </c>
      <c r="F852" t="s">
        <v>1068</v>
      </c>
      <c r="G852" t="s">
        <v>1069</v>
      </c>
      <c r="H852">
        <v>-0.41858944336891102</v>
      </c>
      <c r="I852" t="s">
        <v>1070</v>
      </c>
      <c r="J852">
        <v>2.5499999999999998</v>
      </c>
    </row>
    <row r="853" spans="1:10" hidden="1">
      <c r="A853" t="s">
        <v>1379</v>
      </c>
      <c r="B853" t="s">
        <v>1380</v>
      </c>
      <c r="C853" t="s">
        <v>1066</v>
      </c>
      <c r="D853" t="s">
        <v>1368</v>
      </c>
      <c r="E853" t="s">
        <v>556</v>
      </c>
      <c r="F853" t="s">
        <v>1068</v>
      </c>
      <c r="G853" t="s">
        <v>1071</v>
      </c>
      <c r="H853" s="170">
        <v>-7.4947055864864104E-10</v>
      </c>
      <c r="I853" t="s">
        <v>1072</v>
      </c>
      <c r="J853">
        <v>2.5499999999999998</v>
      </c>
    </row>
    <row r="854" spans="1:10" hidden="1">
      <c r="A854" t="s">
        <v>1379</v>
      </c>
      <c r="B854" t="s">
        <v>1380</v>
      </c>
      <c r="C854" t="s">
        <v>1066</v>
      </c>
      <c r="D854" t="s">
        <v>1368</v>
      </c>
      <c r="E854" t="s">
        <v>556</v>
      </c>
      <c r="F854" t="s">
        <v>1068</v>
      </c>
      <c r="G854" t="s">
        <v>1073</v>
      </c>
      <c r="H854" s="170">
        <v>-1.69627975862725E-7</v>
      </c>
      <c r="I854" t="s">
        <v>1074</v>
      </c>
      <c r="J854">
        <v>2.5499999999999998</v>
      </c>
    </row>
    <row r="855" spans="1:10" hidden="1">
      <c r="A855" t="s">
        <v>1379</v>
      </c>
      <c r="B855" t="s">
        <v>1380</v>
      </c>
      <c r="C855" t="s">
        <v>1066</v>
      </c>
      <c r="D855" t="s">
        <v>1368</v>
      </c>
      <c r="E855" t="s">
        <v>556</v>
      </c>
      <c r="F855" t="s">
        <v>1068</v>
      </c>
      <c r="G855" t="s">
        <v>1075</v>
      </c>
      <c r="H855">
        <v>6.5773783539286798E-2</v>
      </c>
      <c r="I855" t="s">
        <v>1077</v>
      </c>
      <c r="J855">
        <v>2.5499999999999998</v>
      </c>
    </row>
    <row r="856" spans="1:10" hidden="1">
      <c r="A856" t="s">
        <v>1379</v>
      </c>
      <c r="B856" t="s">
        <v>1380</v>
      </c>
      <c r="C856" t="s">
        <v>1066</v>
      </c>
      <c r="D856" t="s">
        <v>1368</v>
      </c>
      <c r="E856" t="s">
        <v>556</v>
      </c>
      <c r="F856" t="s">
        <v>1068</v>
      </c>
      <c r="G856" t="s">
        <v>1078</v>
      </c>
      <c r="H856">
        <v>-2.5192196780422198</v>
      </c>
      <c r="I856" t="s">
        <v>1079</v>
      </c>
      <c r="J856">
        <v>2.5499999999999998</v>
      </c>
    </row>
    <row r="857" spans="1:10" hidden="1">
      <c r="A857" t="s">
        <v>1379</v>
      </c>
      <c r="B857" t="s">
        <v>1380</v>
      </c>
      <c r="C857" t="s">
        <v>1066</v>
      </c>
      <c r="D857" t="s">
        <v>1368</v>
      </c>
      <c r="E857" t="s">
        <v>556</v>
      </c>
      <c r="F857" t="s">
        <v>1068</v>
      </c>
      <c r="G857" t="s">
        <v>1080</v>
      </c>
      <c r="H857" s="171" t="s">
        <v>1381</v>
      </c>
      <c r="I857" t="s">
        <v>1082</v>
      </c>
      <c r="J857">
        <v>2.5499999999999998</v>
      </c>
    </row>
    <row r="858" spans="1:10" hidden="1">
      <c r="A858" t="s">
        <v>1379</v>
      </c>
      <c r="B858" t="s">
        <v>1380</v>
      </c>
      <c r="C858" t="s">
        <v>1066</v>
      </c>
      <c r="D858" t="s">
        <v>1368</v>
      </c>
      <c r="E858" t="s">
        <v>556</v>
      </c>
      <c r="F858" t="s">
        <v>1068</v>
      </c>
      <c r="G858" t="s">
        <v>1083</v>
      </c>
      <c r="H858">
        <v>-1.8164920526956101E-3</v>
      </c>
      <c r="I858" t="s">
        <v>1084</v>
      </c>
      <c r="J858">
        <v>2.5499999999999998</v>
      </c>
    </row>
    <row r="859" spans="1:10" hidden="1">
      <c r="A859" t="s">
        <v>1379</v>
      </c>
      <c r="B859" t="s">
        <v>1380</v>
      </c>
      <c r="C859" t="s">
        <v>1066</v>
      </c>
      <c r="D859" t="s">
        <v>1368</v>
      </c>
      <c r="E859" t="s">
        <v>556</v>
      </c>
      <c r="F859" t="s">
        <v>1068</v>
      </c>
      <c r="G859" t="s">
        <v>1085</v>
      </c>
      <c r="H859">
        <v>-4.9491693853423099E-2</v>
      </c>
      <c r="I859" t="s">
        <v>1086</v>
      </c>
      <c r="J859">
        <v>2.5499999999999998</v>
      </c>
    </row>
    <row r="860" spans="1:10" hidden="1">
      <c r="A860" t="s">
        <v>1379</v>
      </c>
      <c r="B860" t="s">
        <v>1380</v>
      </c>
      <c r="C860" t="s">
        <v>1066</v>
      </c>
      <c r="D860" t="s">
        <v>1368</v>
      </c>
      <c r="E860" t="s">
        <v>556</v>
      </c>
      <c r="F860" t="s">
        <v>1068</v>
      </c>
      <c r="G860" t="s">
        <v>1087</v>
      </c>
      <c r="H860" s="170">
        <v>-4.8439263766075097E-7</v>
      </c>
      <c r="I860" t="s">
        <v>1088</v>
      </c>
      <c r="J860">
        <v>2.5499999999999998</v>
      </c>
    </row>
    <row r="861" spans="1:10" hidden="1">
      <c r="A861" t="s">
        <v>1379</v>
      </c>
      <c r="B861" t="s">
        <v>1380</v>
      </c>
      <c r="C861" t="s">
        <v>1066</v>
      </c>
      <c r="D861" t="s">
        <v>1368</v>
      </c>
      <c r="E861" t="s">
        <v>556</v>
      </c>
      <c r="F861" t="s">
        <v>1068</v>
      </c>
      <c r="G861" t="s">
        <v>1089</v>
      </c>
      <c r="H861">
        <v>-1.3250620827647599E-2</v>
      </c>
      <c r="I861" t="s">
        <v>1090</v>
      </c>
      <c r="J861">
        <v>2.5499999999999998</v>
      </c>
    </row>
    <row r="862" spans="1:10" hidden="1">
      <c r="A862" t="s">
        <v>1382</v>
      </c>
      <c r="B862" t="s">
        <v>1383</v>
      </c>
      <c r="C862" t="s">
        <v>1066</v>
      </c>
      <c r="D862" t="s">
        <v>1368</v>
      </c>
      <c r="E862" t="s">
        <v>557</v>
      </c>
      <c r="F862" t="s">
        <v>1068</v>
      </c>
      <c r="G862" t="s">
        <v>1069</v>
      </c>
      <c r="H862">
        <v>-0.40119322379063299</v>
      </c>
      <c r="I862" t="s">
        <v>1070</v>
      </c>
      <c r="J862">
        <v>2.5499999999999998</v>
      </c>
    </row>
    <row r="863" spans="1:10" hidden="1">
      <c r="A863" t="s">
        <v>1382</v>
      </c>
      <c r="B863" t="s">
        <v>1383</v>
      </c>
      <c r="C863" t="s">
        <v>1066</v>
      </c>
      <c r="D863" t="s">
        <v>1368</v>
      </c>
      <c r="E863" t="s">
        <v>557</v>
      </c>
      <c r="F863" t="s">
        <v>1068</v>
      </c>
      <c r="G863" t="s">
        <v>1071</v>
      </c>
      <c r="H863" s="170">
        <v>-7.2461426142649902E-10</v>
      </c>
      <c r="I863" t="s">
        <v>1072</v>
      </c>
      <c r="J863">
        <v>2.56</v>
      </c>
    </row>
    <row r="864" spans="1:10" hidden="1">
      <c r="A864" t="s">
        <v>1382</v>
      </c>
      <c r="B864" t="s">
        <v>1383</v>
      </c>
      <c r="C864" t="s">
        <v>1066</v>
      </c>
      <c r="D864" t="s">
        <v>1368</v>
      </c>
      <c r="E864" t="s">
        <v>557</v>
      </c>
      <c r="F864" t="s">
        <v>1068</v>
      </c>
      <c r="G864" t="s">
        <v>1073</v>
      </c>
      <c r="H864" s="170">
        <v>-1.63449174858814E-7</v>
      </c>
      <c r="I864" t="s">
        <v>1074</v>
      </c>
      <c r="J864">
        <v>2.56</v>
      </c>
    </row>
    <row r="865" spans="1:10" hidden="1">
      <c r="A865" t="s">
        <v>1382</v>
      </c>
      <c r="B865" t="s">
        <v>1383</v>
      </c>
      <c r="C865" t="s">
        <v>1066</v>
      </c>
      <c r="D865" t="s">
        <v>1368</v>
      </c>
      <c r="E865" t="s">
        <v>557</v>
      </c>
      <c r="F865" t="s">
        <v>1068</v>
      </c>
      <c r="G865" t="s">
        <v>1075</v>
      </c>
      <c r="H865">
        <v>6.6305849393561794E-2</v>
      </c>
      <c r="I865" t="s">
        <v>1077</v>
      </c>
      <c r="J865">
        <v>2.56</v>
      </c>
    </row>
    <row r="866" spans="1:10" hidden="1">
      <c r="A866" t="s">
        <v>1382</v>
      </c>
      <c r="B866" t="s">
        <v>1383</v>
      </c>
      <c r="C866" t="s">
        <v>1066</v>
      </c>
      <c r="D866" t="s">
        <v>1368</v>
      </c>
      <c r="E866" t="s">
        <v>557</v>
      </c>
      <c r="F866" t="s">
        <v>1068</v>
      </c>
      <c r="G866" t="s">
        <v>1078</v>
      </c>
      <c r="H866">
        <v>-2.5029077972305598</v>
      </c>
      <c r="I866" t="s">
        <v>1079</v>
      </c>
      <c r="J866">
        <v>2.56</v>
      </c>
    </row>
    <row r="867" spans="1:10" hidden="1">
      <c r="A867" t="s">
        <v>1382</v>
      </c>
      <c r="B867" t="s">
        <v>1383</v>
      </c>
      <c r="C867" t="s">
        <v>1066</v>
      </c>
      <c r="D867" t="s">
        <v>1368</v>
      </c>
      <c r="E867" t="s">
        <v>557</v>
      </c>
      <c r="F867" t="s">
        <v>1068</v>
      </c>
      <c r="G867" t="s">
        <v>1080</v>
      </c>
      <c r="H867" s="171" t="s">
        <v>1384</v>
      </c>
      <c r="I867" t="s">
        <v>1082</v>
      </c>
      <c r="J867">
        <v>2.56</v>
      </c>
    </row>
    <row r="868" spans="1:10" hidden="1">
      <c r="A868" t="s">
        <v>1382</v>
      </c>
      <c r="B868" t="s">
        <v>1383</v>
      </c>
      <c r="C868" t="s">
        <v>1066</v>
      </c>
      <c r="D868" t="s">
        <v>1368</v>
      </c>
      <c r="E868" t="s">
        <v>557</v>
      </c>
      <c r="F868" t="s">
        <v>1068</v>
      </c>
      <c r="G868" t="s">
        <v>1083</v>
      </c>
      <c r="H868">
        <v>-1.81384744727574E-3</v>
      </c>
      <c r="I868" t="s">
        <v>1084</v>
      </c>
      <c r="J868">
        <v>2.56</v>
      </c>
    </row>
    <row r="869" spans="1:10" hidden="1">
      <c r="A869" t="s">
        <v>1382</v>
      </c>
      <c r="B869" t="s">
        <v>1383</v>
      </c>
      <c r="C869" t="s">
        <v>1066</v>
      </c>
      <c r="D869" t="s">
        <v>1368</v>
      </c>
      <c r="E869" t="s">
        <v>557</v>
      </c>
      <c r="F869" t="s">
        <v>1068</v>
      </c>
      <c r="G869" t="s">
        <v>1085</v>
      </c>
      <c r="H869">
        <v>-4.9461898752523902E-2</v>
      </c>
      <c r="I869" t="s">
        <v>1086</v>
      </c>
      <c r="J869">
        <v>2.56</v>
      </c>
    </row>
    <row r="870" spans="1:10" hidden="1">
      <c r="A870" t="s">
        <v>1382</v>
      </c>
      <c r="B870" t="s">
        <v>1383</v>
      </c>
      <c r="C870" t="s">
        <v>1066</v>
      </c>
      <c r="D870" t="s">
        <v>1368</v>
      </c>
      <c r="E870" t="s">
        <v>557</v>
      </c>
      <c r="F870" t="s">
        <v>1068</v>
      </c>
      <c r="G870" t="s">
        <v>1087</v>
      </c>
      <c r="H870" s="170">
        <v>-4.70154951596074E-7</v>
      </c>
      <c r="I870" t="s">
        <v>1088</v>
      </c>
      <c r="J870">
        <v>2.56</v>
      </c>
    </row>
    <row r="871" spans="1:10" hidden="1">
      <c r="A871" t="s">
        <v>1382</v>
      </c>
      <c r="B871" t="s">
        <v>1383</v>
      </c>
      <c r="C871" t="s">
        <v>1066</v>
      </c>
      <c r="D871" t="s">
        <v>1368</v>
      </c>
      <c r="E871" t="s">
        <v>557</v>
      </c>
      <c r="F871" t="s">
        <v>1068</v>
      </c>
      <c r="G871" t="s">
        <v>1089</v>
      </c>
      <c r="H871">
        <v>-1.3244455334826599E-2</v>
      </c>
      <c r="I871" t="s">
        <v>1090</v>
      </c>
      <c r="J871">
        <v>2.56</v>
      </c>
    </row>
    <row r="872" spans="1:10" hidden="1">
      <c r="A872" t="s">
        <v>1385</v>
      </c>
      <c r="B872" t="s">
        <v>1386</v>
      </c>
      <c r="C872" t="s">
        <v>1066</v>
      </c>
      <c r="D872" t="s">
        <v>1368</v>
      </c>
      <c r="E872" t="s">
        <v>559</v>
      </c>
      <c r="F872" t="s">
        <v>1068</v>
      </c>
      <c r="G872" t="s">
        <v>1069</v>
      </c>
      <c r="H872">
        <v>-0.40959687710565901</v>
      </c>
      <c r="I872" t="s">
        <v>1070</v>
      </c>
      <c r="J872">
        <v>2.0699999999999998</v>
      </c>
    </row>
    <row r="873" spans="1:10" hidden="1">
      <c r="A873" t="s">
        <v>1385</v>
      </c>
      <c r="B873" t="s">
        <v>1386</v>
      </c>
      <c r="C873" t="s">
        <v>1066</v>
      </c>
      <c r="D873" t="s">
        <v>1368</v>
      </c>
      <c r="E873" t="s">
        <v>559</v>
      </c>
      <c r="F873" t="s">
        <v>1068</v>
      </c>
      <c r="G873" t="s">
        <v>1071</v>
      </c>
      <c r="H873" s="170">
        <v>-7.3663422095621402E-10</v>
      </c>
      <c r="I873" t="s">
        <v>1072</v>
      </c>
      <c r="J873">
        <v>2.0699999999999998</v>
      </c>
    </row>
    <row r="874" spans="1:10" hidden="1">
      <c r="A874" t="s">
        <v>1385</v>
      </c>
      <c r="B874" t="s">
        <v>1386</v>
      </c>
      <c r="C874" t="s">
        <v>1066</v>
      </c>
      <c r="D874" t="s">
        <v>1368</v>
      </c>
      <c r="E874" t="s">
        <v>559</v>
      </c>
      <c r="F874" t="s">
        <v>1068</v>
      </c>
      <c r="G874" t="s">
        <v>1073</v>
      </c>
      <c r="H874" s="170">
        <v>-1.6643470773758E-7</v>
      </c>
      <c r="I874" t="s">
        <v>1074</v>
      </c>
      <c r="J874">
        <v>2.0699999999999998</v>
      </c>
    </row>
    <row r="875" spans="1:10" hidden="1">
      <c r="A875" t="s">
        <v>1385</v>
      </c>
      <c r="B875" t="s">
        <v>1386</v>
      </c>
      <c r="C875" t="s">
        <v>1066</v>
      </c>
      <c r="D875" t="s">
        <v>1368</v>
      </c>
      <c r="E875" t="s">
        <v>559</v>
      </c>
      <c r="F875" t="s">
        <v>1068</v>
      </c>
      <c r="G875" t="s">
        <v>1075</v>
      </c>
      <c r="H875">
        <v>6.6043990289855303E-2</v>
      </c>
      <c r="I875" t="s">
        <v>1077</v>
      </c>
      <c r="J875">
        <v>2.0699999999999998</v>
      </c>
    </row>
    <row r="876" spans="1:10" hidden="1">
      <c r="A876" t="s">
        <v>1385</v>
      </c>
      <c r="B876" t="s">
        <v>1386</v>
      </c>
      <c r="C876" t="s">
        <v>1066</v>
      </c>
      <c r="D876" t="s">
        <v>1368</v>
      </c>
      <c r="E876" t="s">
        <v>559</v>
      </c>
      <c r="F876" t="s">
        <v>1068</v>
      </c>
      <c r="G876" t="s">
        <v>1078</v>
      </c>
      <c r="H876">
        <v>-2.5127916003536002</v>
      </c>
      <c r="I876" t="s">
        <v>1079</v>
      </c>
      <c r="J876">
        <v>2.0699999999999998</v>
      </c>
    </row>
    <row r="877" spans="1:10" hidden="1">
      <c r="A877" t="s">
        <v>1385</v>
      </c>
      <c r="B877" t="s">
        <v>1386</v>
      </c>
      <c r="C877" t="s">
        <v>1066</v>
      </c>
      <c r="D877" t="s">
        <v>1368</v>
      </c>
      <c r="E877" t="s">
        <v>559</v>
      </c>
      <c r="F877" t="s">
        <v>1068</v>
      </c>
      <c r="G877" t="s">
        <v>1080</v>
      </c>
      <c r="H877" s="171" t="s">
        <v>1387</v>
      </c>
      <c r="I877" t="s">
        <v>1082</v>
      </c>
      <c r="J877">
        <v>2.0699999999999998</v>
      </c>
    </row>
    <row r="878" spans="1:10" hidden="1">
      <c r="A878" t="s">
        <v>1385</v>
      </c>
      <c r="B878" t="s">
        <v>1386</v>
      </c>
      <c r="C878" t="s">
        <v>1066</v>
      </c>
      <c r="D878" t="s">
        <v>1368</v>
      </c>
      <c r="E878" t="s">
        <v>559</v>
      </c>
      <c r="F878" t="s">
        <v>1068</v>
      </c>
      <c r="G878" t="s">
        <v>1083</v>
      </c>
      <c r="H878">
        <v>-1.8151251809745601E-3</v>
      </c>
      <c r="I878" t="s">
        <v>1084</v>
      </c>
      <c r="J878">
        <v>2.0699999999999998</v>
      </c>
    </row>
    <row r="879" spans="1:10" hidden="1">
      <c r="A879" t="s">
        <v>1385</v>
      </c>
      <c r="B879" t="s">
        <v>1386</v>
      </c>
      <c r="C879" t="s">
        <v>1066</v>
      </c>
      <c r="D879" t="s">
        <v>1368</v>
      </c>
      <c r="E879" t="s">
        <v>559</v>
      </c>
      <c r="F879" t="s">
        <v>1068</v>
      </c>
      <c r="G879" t="s">
        <v>1085</v>
      </c>
      <c r="H879">
        <v>-4.9476319368436897E-2</v>
      </c>
      <c r="I879" t="s">
        <v>1086</v>
      </c>
      <c r="J879">
        <v>2.0699999999999998</v>
      </c>
    </row>
    <row r="880" spans="1:10" hidden="1">
      <c r="A880" t="s">
        <v>1385</v>
      </c>
      <c r="B880" t="s">
        <v>1386</v>
      </c>
      <c r="C880" t="s">
        <v>1066</v>
      </c>
      <c r="D880" t="s">
        <v>1368</v>
      </c>
      <c r="E880" t="s">
        <v>559</v>
      </c>
      <c r="F880" t="s">
        <v>1068</v>
      </c>
      <c r="G880" t="s">
        <v>1087</v>
      </c>
      <c r="H880" s="170">
        <v>-4.7693710954017597E-7</v>
      </c>
      <c r="I880" t="s">
        <v>1088</v>
      </c>
      <c r="J880">
        <v>2.0699999999999998</v>
      </c>
    </row>
    <row r="881" spans="1:10" hidden="1">
      <c r="A881" t="s">
        <v>1385</v>
      </c>
      <c r="B881" t="s">
        <v>1386</v>
      </c>
      <c r="C881" t="s">
        <v>1066</v>
      </c>
      <c r="D881" t="s">
        <v>1368</v>
      </c>
      <c r="E881" t="s">
        <v>559</v>
      </c>
      <c r="F881" t="s">
        <v>1068</v>
      </c>
      <c r="G881" t="s">
        <v>1089</v>
      </c>
      <c r="H881">
        <v>-1.3247433827695901E-2</v>
      </c>
      <c r="I881" t="s">
        <v>1090</v>
      </c>
      <c r="J881">
        <v>2.0699999999999998</v>
      </c>
    </row>
    <row r="882" spans="1:10" hidden="1">
      <c r="A882" t="s">
        <v>1388</v>
      </c>
      <c r="B882" s="170" t="s">
        <v>1389</v>
      </c>
      <c r="C882" t="s">
        <v>1066</v>
      </c>
      <c r="D882" t="s">
        <v>1368</v>
      </c>
      <c r="E882" t="s">
        <v>560</v>
      </c>
      <c r="F882" t="s">
        <v>1068</v>
      </c>
      <c r="G882" t="s">
        <v>1069</v>
      </c>
      <c r="H882">
        <v>-0.406735038115418</v>
      </c>
      <c r="I882" t="s">
        <v>1070</v>
      </c>
      <c r="J882">
        <v>2.13</v>
      </c>
    </row>
    <row r="883" spans="1:10" hidden="1">
      <c r="A883" t="s">
        <v>1388</v>
      </c>
      <c r="B883" s="170" t="s">
        <v>1389</v>
      </c>
      <c r="C883" t="s">
        <v>1066</v>
      </c>
      <c r="D883" t="s">
        <v>1368</v>
      </c>
      <c r="E883" t="s">
        <v>560</v>
      </c>
      <c r="F883" t="s">
        <v>1068</v>
      </c>
      <c r="G883" t="s">
        <v>1071</v>
      </c>
      <c r="H883" s="170">
        <v>-7.3254466077385498E-10</v>
      </c>
      <c r="I883" t="s">
        <v>1072</v>
      </c>
      <c r="J883">
        <v>2.13</v>
      </c>
    </row>
    <row r="884" spans="1:10" hidden="1">
      <c r="A884" t="s">
        <v>1388</v>
      </c>
      <c r="B884" s="170" t="s">
        <v>1389</v>
      </c>
      <c r="C884" t="s">
        <v>1066</v>
      </c>
      <c r="D884" t="s">
        <v>1368</v>
      </c>
      <c r="E884" t="s">
        <v>560</v>
      </c>
      <c r="F884" t="s">
        <v>1068</v>
      </c>
      <c r="G884" t="s">
        <v>1073</v>
      </c>
      <c r="H884" s="170">
        <v>-1.6541764484234601E-7</v>
      </c>
      <c r="I884" t="s">
        <v>1074</v>
      </c>
      <c r="J884">
        <v>2.13</v>
      </c>
    </row>
    <row r="885" spans="1:10" hidden="1">
      <c r="A885" t="s">
        <v>1388</v>
      </c>
      <c r="B885" s="170" t="s">
        <v>1389</v>
      </c>
      <c r="C885" t="s">
        <v>1066</v>
      </c>
      <c r="D885" t="s">
        <v>1368</v>
      </c>
      <c r="E885" t="s">
        <v>560</v>
      </c>
      <c r="F885" t="s">
        <v>1068</v>
      </c>
      <c r="G885" t="s">
        <v>1075</v>
      </c>
      <c r="H885">
        <v>6.6130666722604606E-2</v>
      </c>
      <c r="I885" t="s">
        <v>1077</v>
      </c>
      <c r="J885">
        <v>2.13</v>
      </c>
    </row>
    <row r="886" spans="1:10" hidden="1">
      <c r="A886" t="s">
        <v>1388</v>
      </c>
      <c r="B886" s="170" t="s">
        <v>1389</v>
      </c>
      <c r="C886" t="s">
        <v>1066</v>
      </c>
      <c r="D886" t="s">
        <v>1368</v>
      </c>
      <c r="E886" t="s">
        <v>560</v>
      </c>
      <c r="F886" t="s">
        <v>1068</v>
      </c>
      <c r="G886" t="s">
        <v>1078</v>
      </c>
      <c r="H886">
        <v>-2.5104833716713402</v>
      </c>
      <c r="I886" t="s">
        <v>1079</v>
      </c>
      <c r="J886">
        <v>2.13</v>
      </c>
    </row>
    <row r="887" spans="1:10" hidden="1">
      <c r="A887" t="s">
        <v>1388</v>
      </c>
      <c r="B887" s="170" t="s">
        <v>1389</v>
      </c>
      <c r="C887" t="s">
        <v>1066</v>
      </c>
      <c r="D887" t="s">
        <v>1368</v>
      </c>
      <c r="E887" t="s">
        <v>560</v>
      </c>
      <c r="F887" t="s">
        <v>1068</v>
      </c>
      <c r="G887" t="s">
        <v>1080</v>
      </c>
      <c r="H887" s="171" t="s">
        <v>1390</v>
      </c>
      <c r="I887" t="s">
        <v>1082</v>
      </c>
      <c r="J887">
        <v>2.13</v>
      </c>
    </row>
    <row r="888" spans="1:10" hidden="1">
      <c r="A888" t="s">
        <v>1388</v>
      </c>
      <c r="B888" s="170" t="s">
        <v>1389</v>
      </c>
      <c r="C888" t="s">
        <v>1066</v>
      </c>
      <c r="D888" t="s">
        <v>1368</v>
      </c>
      <c r="E888" t="s">
        <v>560</v>
      </c>
      <c r="F888" t="s">
        <v>1068</v>
      </c>
      <c r="G888" t="s">
        <v>1083</v>
      </c>
      <c r="H888">
        <v>-1.81468980664121E-3</v>
      </c>
      <c r="I888" t="s">
        <v>1084</v>
      </c>
      <c r="J888">
        <v>2.13</v>
      </c>
    </row>
    <row r="889" spans="1:10" hidden="1">
      <c r="A889" t="s">
        <v>1388</v>
      </c>
      <c r="B889" s="170" t="s">
        <v>1389</v>
      </c>
      <c r="C889" t="s">
        <v>1066</v>
      </c>
      <c r="D889" t="s">
        <v>1368</v>
      </c>
      <c r="E889" t="s">
        <v>560</v>
      </c>
      <c r="F889" t="s">
        <v>1068</v>
      </c>
      <c r="G889" t="s">
        <v>1085</v>
      </c>
      <c r="H889">
        <v>-4.9471419122983598E-2</v>
      </c>
      <c r="I889" t="s">
        <v>1086</v>
      </c>
      <c r="J889">
        <v>2.13</v>
      </c>
    </row>
    <row r="890" spans="1:10" hidden="1">
      <c r="A890" t="s">
        <v>1388</v>
      </c>
      <c r="B890" s="170" t="s">
        <v>1389</v>
      </c>
      <c r="C890" t="s">
        <v>1066</v>
      </c>
      <c r="D890" t="s">
        <v>1368</v>
      </c>
      <c r="E890" t="s">
        <v>560</v>
      </c>
      <c r="F890" t="s">
        <v>1068</v>
      </c>
      <c r="G890" t="s">
        <v>1087</v>
      </c>
      <c r="H890" s="170">
        <v>-4.74749525850089E-7</v>
      </c>
      <c r="I890" t="s">
        <v>1088</v>
      </c>
      <c r="J890">
        <v>2.13</v>
      </c>
    </row>
    <row r="891" spans="1:10" hidden="1">
      <c r="A891" t="s">
        <v>1388</v>
      </c>
      <c r="B891" s="170" t="s">
        <v>1389</v>
      </c>
      <c r="C891" t="s">
        <v>1066</v>
      </c>
      <c r="D891" t="s">
        <v>1368</v>
      </c>
      <c r="E891" t="s">
        <v>560</v>
      </c>
      <c r="F891" t="s">
        <v>1068</v>
      </c>
      <c r="G891" t="s">
        <v>1089</v>
      </c>
      <c r="H891">
        <v>-1.3246419368452301E-2</v>
      </c>
      <c r="I891" t="s">
        <v>1090</v>
      </c>
      <c r="J891">
        <v>2.13</v>
      </c>
    </row>
    <row r="892" spans="1:10" hidden="1">
      <c r="A892" t="s">
        <v>1391</v>
      </c>
      <c r="B892" t="s">
        <v>1392</v>
      </c>
      <c r="C892" t="s">
        <v>1066</v>
      </c>
      <c r="D892" t="s">
        <v>1368</v>
      </c>
      <c r="E892" t="s">
        <v>1116</v>
      </c>
      <c r="F892" t="s">
        <v>1068</v>
      </c>
      <c r="G892" t="s">
        <v>1069</v>
      </c>
      <c r="H892">
        <v>-0.38991507432607198</v>
      </c>
      <c r="I892" t="s">
        <v>1070</v>
      </c>
      <c r="J892">
        <v>3.05</v>
      </c>
    </row>
    <row r="893" spans="1:10" hidden="1">
      <c r="A893" t="s">
        <v>1391</v>
      </c>
      <c r="B893" t="s">
        <v>1392</v>
      </c>
      <c r="C893" t="s">
        <v>1066</v>
      </c>
      <c r="D893" t="s">
        <v>1368</v>
      </c>
      <c r="E893" t="s">
        <v>1116</v>
      </c>
      <c r="F893" t="s">
        <v>1068</v>
      </c>
      <c r="G893" t="s">
        <v>1071</v>
      </c>
      <c r="H893" s="170">
        <v>-7.0847510123250698E-10</v>
      </c>
      <c r="I893" t="s">
        <v>1072</v>
      </c>
      <c r="J893">
        <v>3.05</v>
      </c>
    </row>
    <row r="894" spans="1:10" hidden="1">
      <c r="A894" t="s">
        <v>1391</v>
      </c>
      <c r="B894" t="s">
        <v>1392</v>
      </c>
      <c r="C894" t="s">
        <v>1066</v>
      </c>
      <c r="D894" t="s">
        <v>1368</v>
      </c>
      <c r="E894" t="s">
        <v>1116</v>
      </c>
      <c r="F894" t="s">
        <v>1068</v>
      </c>
      <c r="G894" t="s">
        <v>1073</v>
      </c>
      <c r="H894" s="170">
        <v>-1.5944314048276401E-7</v>
      </c>
      <c r="I894" t="s">
        <v>1074</v>
      </c>
      <c r="J894">
        <v>3.05</v>
      </c>
    </row>
    <row r="895" spans="1:10" hidden="1">
      <c r="A895" t="s">
        <v>1391</v>
      </c>
      <c r="B895" t="s">
        <v>1392</v>
      </c>
      <c r="C895" t="s">
        <v>1066</v>
      </c>
      <c r="D895" t="s">
        <v>1368</v>
      </c>
      <c r="E895" t="s">
        <v>1116</v>
      </c>
      <c r="F895" t="s">
        <v>1068</v>
      </c>
      <c r="G895" t="s">
        <v>1075</v>
      </c>
      <c r="H895">
        <v>6.6662363746239503E-2</v>
      </c>
      <c r="I895" t="s">
        <v>1077</v>
      </c>
      <c r="J895">
        <v>3.05</v>
      </c>
    </row>
    <row r="896" spans="1:10" hidden="1">
      <c r="A896" t="s">
        <v>1391</v>
      </c>
      <c r="B896" t="s">
        <v>1392</v>
      </c>
      <c r="C896" t="s">
        <v>1066</v>
      </c>
      <c r="D896" t="s">
        <v>1368</v>
      </c>
      <c r="E896" t="s">
        <v>1116</v>
      </c>
      <c r="F896" t="s">
        <v>1068</v>
      </c>
      <c r="G896" t="s">
        <v>1078</v>
      </c>
      <c r="H896">
        <v>-2.4874907414044301</v>
      </c>
      <c r="I896" t="s">
        <v>1079</v>
      </c>
      <c r="J896">
        <v>3.05</v>
      </c>
    </row>
    <row r="897" spans="1:10" hidden="1">
      <c r="A897" t="s">
        <v>1391</v>
      </c>
      <c r="B897" t="s">
        <v>1392</v>
      </c>
      <c r="C897" t="s">
        <v>1066</v>
      </c>
      <c r="D897" t="s">
        <v>1368</v>
      </c>
      <c r="E897" t="s">
        <v>1116</v>
      </c>
      <c r="F897" t="s">
        <v>1068</v>
      </c>
      <c r="G897" t="s">
        <v>1080</v>
      </c>
      <c r="H897" s="171" t="s">
        <v>1393</v>
      </c>
      <c r="I897" t="s">
        <v>1082</v>
      </c>
      <c r="J897">
        <v>3.05</v>
      </c>
    </row>
    <row r="898" spans="1:10" hidden="1">
      <c r="A898" t="s">
        <v>1391</v>
      </c>
      <c r="B898" t="s">
        <v>1392</v>
      </c>
      <c r="C898" t="s">
        <v>1066</v>
      </c>
      <c r="D898" t="s">
        <v>1368</v>
      </c>
      <c r="E898" t="s">
        <v>1116</v>
      </c>
      <c r="F898" t="s">
        <v>1068</v>
      </c>
      <c r="G898" t="s">
        <v>1083</v>
      </c>
      <c r="H898">
        <v>-1.8121331612549799E-3</v>
      </c>
      <c r="I898" t="s">
        <v>1084</v>
      </c>
      <c r="J898">
        <v>3.05</v>
      </c>
    </row>
    <row r="899" spans="1:10" hidden="1">
      <c r="A899" t="s">
        <v>1391</v>
      </c>
      <c r="B899" t="s">
        <v>1392</v>
      </c>
      <c r="C899" t="s">
        <v>1066</v>
      </c>
      <c r="D899" t="s">
        <v>1368</v>
      </c>
      <c r="E899" t="s">
        <v>1116</v>
      </c>
      <c r="F899" t="s">
        <v>1068</v>
      </c>
      <c r="G899" t="s">
        <v>1085</v>
      </c>
      <c r="H899">
        <v>-4.9442523841220401E-2</v>
      </c>
      <c r="I899" t="s">
        <v>1086</v>
      </c>
      <c r="J899">
        <v>3.05</v>
      </c>
    </row>
    <row r="900" spans="1:10" hidden="1">
      <c r="A900" t="s">
        <v>1391</v>
      </c>
      <c r="B900" t="s">
        <v>1392</v>
      </c>
      <c r="C900" t="s">
        <v>1066</v>
      </c>
      <c r="D900" t="s">
        <v>1368</v>
      </c>
      <c r="E900" t="s">
        <v>1116</v>
      </c>
      <c r="F900" t="s">
        <v>1068</v>
      </c>
      <c r="G900" t="s">
        <v>1087</v>
      </c>
      <c r="H900" s="170">
        <v>-4.6080453093489199E-7</v>
      </c>
      <c r="I900" t="s">
        <v>1088</v>
      </c>
      <c r="J900">
        <v>3.05</v>
      </c>
    </row>
    <row r="901" spans="1:10" hidden="1">
      <c r="A901" t="s">
        <v>1391</v>
      </c>
      <c r="B901" t="s">
        <v>1392</v>
      </c>
      <c r="C901" t="s">
        <v>1066</v>
      </c>
      <c r="D901" t="s">
        <v>1368</v>
      </c>
      <c r="E901" t="s">
        <v>1116</v>
      </c>
      <c r="F901" t="s">
        <v>1068</v>
      </c>
      <c r="G901" t="s">
        <v>1089</v>
      </c>
      <c r="H901">
        <v>-1.32404583288851E-2</v>
      </c>
      <c r="I901" t="s">
        <v>1090</v>
      </c>
      <c r="J901">
        <v>3.05</v>
      </c>
    </row>
    <row r="902" spans="1:10" hidden="1">
      <c r="A902" t="s">
        <v>1394</v>
      </c>
      <c r="B902" t="s">
        <v>1395</v>
      </c>
      <c r="C902" t="s">
        <v>1066</v>
      </c>
      <c r="D902" t="s">
        <v>1396</v>
      </c>
      <c r="E902" t="s">
        <v>561</v>
      </c>
      <c r="F902" t="s">
        <v>1068</v>
      </c>
      <c r="G902" t="s">
        <v>1069</v>
      </c>
      <c r="H902">
        <v>-0.12391477738444399</v>
      </c>
      <c r="I902" t="s">
        <v>1070</v>
      </c>
      <c r="J902">
        <v>3.04</v>
      </c>
    </row>
    <row r="903" spans="1:10" hidden="1">
      <c r="A903" t="s">
        <v>1394</v>
      </c>
      <c r="B903" t="s">
        <v>1395</v>
      </c>
      <c r="C903" t="s">
        <v>1066</v>
      </c>
      <c r="D903" t="s">
        <v>1396</v>
      </c>
      <c r="E903" t="s">
        <v>561</v>
      </c>
      <c r="F903" t="s">
        <v>1068</v>
      </c>
      <c r="G903" t="s">
        <v>1071</v>
      </c>
      <c r="H903" s="170">
        <v>-3.7401244360004998E-10</v>
      </c>
      <c r="I903" t="s">
        <v>1072</v>
      </c>
      <c r="J903">
        <v>3.04</v>
      </c>
    </row>
    <row r="904" spans="1:10" hidden="1">
      <c r="A904" t="s">
        <v>1394</v>
      </c>
      <c r="B904" t="s">
        <v>1395</v>
      </c>
      <c r="C904" t="s">
        <v>1066</v>
      </c>
      <c r="D904" t="s">
        <v>1396</v>
      </c>
      <c r="E904" t="s">
        <v>561</v>
      </c>
      <c r="F904" t="s">
        <v>1068</v>
      </c>
      <c r="G904" t="s">
        <v>1073</v>
      </c>
      <c r="H904" s="170">
        <v>-8.6552892099044502E-8</v>
      </c>
      <c r="I904" t="s">
        <v>1074</v>
      </c>
      <c r="J904">
        <v>3.04</v>
      </c>
    </row>
    <row r="905" spans="1:10" hidden="1">
      <c r="A905" t="s">
        <v>1394</v>
      </c>
      <c r="B905" t="s">
        <v>1395</v>
      </c>
      <c r="C905" t="s">
        <v>1066</v>
      </c>
      <c r="D905" t="s">
        <v>1396</v>
      </c>
      <c r="E905" t="s">
        <v>561</v>
      </c>
      <c r="F905" t="s">
        <v>1068</v>
      </c>
      <c r="G905" t="s">
        <v>1075</v>
      </c>
      <c r="H905">
        <v>5.2447685327443601E-2</v>
      </c>
      <c r="I905" t="s">
        <v>1077</v>
      </c>
      <c r="J905">
        <v>3.04</v>
      </c>
    </row>
    <row r="906" spans="1:10" hidden="1">
      <c r="A906" t="s">
        <v>1394</v>
      </c>
      <c r="B906" t="s">
        <v>1395</v>
      </c>
      <c r="C906" t="s">
        <v>1066</v>
      </c>
      <c r="D906" t="s">
        <v>1396</v>
      </c>
      <c r="E906" t="s">
        <v>561</v>
      </c>
      <c r="F906" t="s">
        <v>1068</v>
      </c>
      <c r="G906" t="s">
        <v>1078</v>
      </c>
      <c r="H906">
        <v>-2.4863795929514398</v>
      </c>
      <c r="I906" t="s">
        <v>1079</v>
      </c>
      <c r="J906">
        <v>3.04</v>
      </c>
    </row>
    <row r="907" spans="1:10" hidden="1">
      <c r="A907" t="s">
        <v>1394</v>
      </c>
      <c r="B907" t="s">
        <v>1395</v>
      </c>
      <c r="C907" t="s">
        <v>1066</v>
      </c>
      <c r="D907" t="s">
        <v>1396</v>
      </c>
      <c r="E907" t="s">
        <v>561</v>
      </c>
      <c r="F907" t="s">
        <v>1068</v>
      </c>
      <c r="G907" t="s">
        <v>1080</v>
      </c>
      <c r="H907" s="171" t="s">
        <v>1397</v>
      </c>
      <c r="I907" t="s">
        <v>1082</v>
      </c>
      <c r="J907">
        <v>3.04</v>
      </c>
    </row>
    <row r="908" spans="1:10" hidden="1">
      <c r="A908" t="s">
        <v>1394</v>
      </c>
      <c r="B908" t="s">
        <v>1395</v>
      </c>
      <c r="C908" t="s">
        <v>1066</v>
      </c>
      <c r="D908" t="s">
        <v>1396</v>
      </c>
      <c r="E908" t="s">
        <v>561</v>
      </c>
      <c r="F908" t="s">
        <v>1068</v>
      </c>
      <c r="G908" t="s">
        <v>1083</v>
      </c>
      <c r="H908">
        <v>-1.9138996316645301E-3</v>
      </c>
      <c r="I908" t="s">
        <v>1084</v>
      </c>
      <c r="J908">
        <v>3.04</v>
      </c>
    </row>
    <row r="909" spans="1:10" hidden="1">
      <c r="A909" t="s">
        <v>1394</v>
      </c>
      <c r="B909" t="s">
        <v>1395</v>
      </c>
      <c r="C909" t="s">
        <v>1066</v>
      </c>
      <c r="D909" t="s">
        <v>1396</v>
      </c>
      <c r="E909" t="s">
        <v>561</v>
      </c>
      <c r="F909" t="s">
        <v>1068</v>
      </c>
      <c r="G909" t="s">
        <v>1085</v>
      </c>
      <c r="H909">
        <v>-5.2963174162208297E-2</v>
      </c>
      <c r="I909" t="s">
        <v>1086</v>
      </c>
      <c r="J909">
        <v>3.04</v>
      </c>
    </row>
    <row r="910" spans="1:10" hidden="1">
      <c r="A910" t="s">
        <v>1394</v>
      </c>
      <c r="B910" t="s">
        <v>1395</v>
      </c>
      <c r="C910" t="s">
        <v>1066</v>
      </c>
      <c r="D910" t="s">
        <v>1396</v>
      </c>
      <c r="E910" t="s">
        <v>561</v>
      </c>
      <c r="F910" t="s">
        <v>1068</v>
      </c>
      <c r="G910" t="s">
        <v>1087</v>
      </c>
      <c r="H910" s="170">
        <v>-1.0468225159763E-6</v>
      </c>
      <c r="I910" t="s">
        <v>1088</v>
      </c>
      <c r="J910">
        <v>3.04</v>
      </c>
    </row>
    <row r="911" spans="1:10" hidden="1">
      <c r="A911" t="s">
        <v>1394</v>
      </c>
      <c r="B911" t="s">
        <v>1395</v>
      </c>
      <c r="C911" t="s">
        <v>1066</v>
      </c>
      <c r="D911" t="s">
        <v>1396</v>
      </c>
      <c r="E911" t="s">
        <v>561</v>
      </c>
      <c r="F911" t="s">
        <v>1068</v>
      </c>
      <c r="G911" t="s">
        <v>1089</v>
      </c>
      <c r="H911">
        <v>-1.42732245901636E-2</v>
      </c>
      <c r="I911" t="s">
        <v>1090</v>
      </c>
      <c r="J911">
        <v>3.04</v>
      </c>
    </row>
    <row r="912" spans="1:10" hidden="1">
      <c r="A912" t="s">
        <v>1398</v>
      </c>
      <c r="B912" t="s">
        <v>1399</v>
      </c>
      <c r="C912" t="s">
        <v>1066</v>
      </c>
      <c r="D912" t="s">
        <v>1396</v>
      </c>
      <c r="E912" t="s">
        <v>555</v>
      </c>
      <c r="F912" t="s">
        <v>1068</v>
      </c>
      <c r="G912" t="s">
        <v>1069</v>
      </c>
      <c r="H912">
        <v>-0.13730142760650099</v>
      </c>
      <c r="I912" t="s">
        <v>1070</v>
      </c>
      <c r="J912">
        <v>2.0299999999999998</v>
      </c>
    </row>
    <row r="913" spans="1:10" hidden="1">
      <c r="A913" t="s">
        <v>1398</v>
      </c>
      <c r="B913" t="s">
        <v>1399</v>
      </c>
      <c r="C913" t="s">
        <v>1066</v>
      </c>
      <c r="D913" t="s">
        <v>1396</v>
      </c>
      <c r="E913" t="s">
        <v>555</v>
      </c>
      <c r="F913" t="s">
        <v>1068</v>
      </c>
      <c r="G913" t="s">
        <v>1071</v>
      </c>
      <c r="H913" s="170">
        <v>-3.9316312839471199E-10</v>
      </c>
      <c r="I913" t="s">
        <v>1072</v>
      </c>
      <c r="J913">
        <v>2.0299999999999998</v>
      </c>
    </row>
    <row r="914" spans="1:10" hidden="1">
      <c r="A914" t="s">
        <v>1398</v>
      </c>
      <c r="B914" t="s">
        <v>1399</v>
      </c>
      <c r="C914" t="s">
        <v>1066</v>
      </c>
      <c r="D914" t="s">
        <v>1396</v>
      </c>
      <c r="E914" t="s">
        <v>555</v>
      </c>
      <c r="F914" t="s">
        <v>1068</v>
      </c>
      <c r="G914" t="s">
        <v>1073</v>
      </c>
      <c r="H914" s="170">
        <v>-9.1308401246350703E-8</v>
      </c>
      <c r="I914" t="s">
        <v>1074</v>
      </c>
      <c r="J914">
        <v>2.0299999999999998</v>
      </c>
    </row>
    <row r="915" spans="1:10" hidden="1">
      <c r="A915" t="s">
        <v>1398</v>
      </c>
      <c r="B915" t="s">
        <v>1399</v>
      </c>
      <c r="C915" t="s">
        <v>1066</v>
      </c>
      <c r="D915" t="s">
        <v>1396</v>
      </c>
      <c r="E915" t="s">
        <v>555</v>
      </c>
      <c r="F915" t="s">
        <v>1068</v>
      </c>
      <c r="G915" t="s">
        <v>1075</v>
      </c>
      <c r="H915">
        <v>5.2028308368322299E-2</v>
      </c>
      <c r="I915" t="s">
        <v>1077</v>
      </c>
      <c r="J915">
        <v>2.0299999999999998</v>
      </c>
    </row>
    <row r="916" spans="1:10" hidden="1">
      <c r="A916" t="s">
        <v>1398</v>
      </c>
      <c r="B916" t="s">
        <v>1399</v>
      </c>
      <c r="C916" t="s">
        <v>1066</v>
      </c>
      <c r="D916" t="s">
        <v>1396</v>
      </c>
      <c r="E916" t="s">
        <v>555</v>
      </c>
      <c r="F916" t="s">
        <v>1068</v>
      </c>
      <c r="G916" t="s">
        <v>1078</v>
      </c>
      <c r="H916">
        <v>-2.5030750757510498</v>
      </c>
      <c r="I916" t="s">
        <v>1079</v>
      </c>
      <c r="J916">
        <v>2.0299999999999998</v>
      </c>
    </row>
    <row r="917" spans="1:10" hidden="1">
      <c r="A917" t="s">
        <v>1398</v>
      </c>
      <c r="B917" t="s">
        <v>1399</v>
      </c>
      <c r="C917" t="s">
        <v>1066</v>
      </c>
      <c r="D917" t="s">
        <v>1396</v>
      </c>
      <c r="E917" t="s">
        <v>555</v>
      </c>
      <c r="F917" t="s">
        <v>1068</v>
      </c>
      <c r="G917" t="s">
        <v>1080</v>
      </c>
      <c r="H917" s="171" t="s">
        <v>1400</v>
      </c>
      <c r="I917" t="s">
        <v>1082</v>
      </c>
      <c r="J917">
        <v>2.0299999999999998</v>
      </c>
    </row>
    <row r="918" spans="1:10" hidden="1">
      <c r="A918" t="s">
        <v>1398</v>
      </c>
      <c r="B918" t="s">
        <v>1399</v>
      </c>
      <c r="C918" t="s">
        <v>1066</v>
      </c>
      <c r="D918" t="s">
        <v>1396</v>
      </c>
      <c r="E918" t="s">
        <v>555</v>
      </c>
      <c r="F918" t="s">
        <v>1068</v>
      </c>
      <c r="G918" t="s">
        <v>1083</v>
      </c>
      <c r="H918">
        <v>-1.91593478411951E-3</v>
      </c>
      <c r="I918" t="s">
        <v>1084</v>
      </c>
      <c r="J918">
        <v>2.0299999999999998</v>
      </c>
    </row>
    <row r="919" spans="1:10" hidden="1">
      <c r="A919" t="s">
        <v>1398</v>
      </c>
      <c r="B919" t="s">
        <v>1399</v>
      </c>
      <c r="C919" t="s">
        <v>1066</v>
      </c>
      <c r="D919" t="s">
        <v>1396</v>
      </c>
      <c r="E919" t="s">
        <v>555</v>
      </c>
      <c r="F919" t="s">
        <v>1068</v>
      </c>
      <c r="G919" t="s">
        <v>1085</v>
      </c>
      <c r="H919">
        <v>-5.2986155147302698E-2</v>
      </c>
      <c r="I919" t="s">
        <v>1086</v>
      </c>
      <c r="J919">
        <v>2.0299999999999998</v>
      </c>
    </row>
    <row r="920" spans="1:10" hidden="1">
      <c r="A920" t="s">
        <v>1398</v>
      </c>
      <c r="B920" t="s">
        <v>1399</v>
      </c>
      <c r="C920" t="s">
        <v>1066</v>
      </c>
      <c r="D920" t="s">
        <v>1396</v>
      </c>
      <c r="E920" t="s">
        <v>555</v>
      </c>
      <c r="F920" t="s">
        <v>1068</v>
      </c>
      <c r="G920" t="s">
        <v>1087</v>
      </c>
      <c r="H920" s="170">
        <v>-1.0577359471740999E-6</v>
      </c>
      <c r="I920" t="s">
        <v>1088</v>
      </c>
      <c r="J920">
        <v>2.0299999999999998</v>
      </c>
    </row>
    <row r="921" spans="1:10" hidden="1">
      <c r="A921" t="s">
        <v>1398</v>
      </c>
      <c r="B921" t="s">
        <v>1399</v>
      </c>
      <c r="C921" t="s">
        <v>1066</v>
      </c>
      <c r="D921" t="s">
        <v>1396</v>
      </c>
      <c r="E921" t="s">
        <v>555</v>
      </c>
      <c r="F921" t="s">
        <v>1068</v>
      </c>
      <c r="G921" t="s">
        <v>1089</v>
      </c>
      <c r="H921">
        <v>-1.4277969070290501E-2</v>
      </c>
      <c r="I921" t="s">
        <v>1090</v>
      </c>
      <c r="J921">
        <v>2.0299999999999998</v>
      </c>
    </row>
    <row r="922" spans="1:10" hidden="1">
      <c r="A922" t="s">
        <v>1401</v>
      </c>
      <c r="B922" t="s">
        <v>1402</v>
      </c>
      <c r="C922" t="s">
        <v>1066</v>
      </c>
      <c r="D922" t="s">
        <v>1396</v>
      </c>
      <c r="E922" t="s">
        <v>558</v>
      </c>
      <c r="F922" t="s">
        <v>1068</v>
      </c>
      <c r="G922" t="s">
        <v>1069</v>
      </c>
      <c r="H922">
        <v>-0.122729282405764</v>
      </c>
      <c r="I922" t="s">
        <v>1070</v>
      </c>
      <c r="J922">
        <v>2.56</v>
      </c>
    </row>
    <row r="923" spans="1:10" hidden="1">
      <c r="A923" t="s">
        <v>1401</v>
      </c>
      <c r="B923" t="s">
        <v>1402</v>
      </c>
      <c r="C923" t="s">
        <v>1066</v>
      </c>
      <c r="D923" t="s">
        <v>1396</v>
      </c>
      <c r="E923" t="s">
        <v>558</v>
      </c>
      <c r="F923" t="s">
        <v>1068</v>
      </c>
      <c r="G923" t="s">
        <v>1071</v>
      </c>
      <c r="H923" s="170">
        <v>-3.7231598679830002E-10</v>
      </c>
      <c r="I923" t="s">
        <v>1072</v>
      </c>
      <c r="J923">
        <v>2.56</v>
      </c>
    </row>
    <row r="924" spans="1:10" hidden="1">
      <c r="A924" t="s">
        <v>1401</v>
      </c>
      <c r="B924" t="s">
        <v>1402</v>
      </c>
      <c r="C924" t="s">
        <v>1066</v>
      </c>
      <c r="D924" t="s">
        <v>1396</v>
      </c>
      <c r="E924" t="s">
        <v>558</v>
      </c>
      <c r="F924" t="s">
        <v>1068</v>
      </c>
      <c r="G924" t="s">
        <v>1073</v>
      </c>
      <c r="H924" s="170">
        <v>-8.6131800531484596E-8</v>
      </c>
      <c r="I924" t="s">
        <v>1074</v>
      </c>
      <c r="J924">
        <v>2.56</v>
      </c>
    </row>
    <row r="925" spans="1:10" hidden="1">
      <c r="A925" t="s">
        <v>1401</v>
      </c>
      <c r="B925" t="s">
        <v>1402</v>
      </c>
      <c r="C925" t="s">
        <v>1066</v>
      </c>
      <c r="D925" t="s">
        <v>1396</v>
      </c>
      <c r="E925" t="s">
        <v>558</v>
      </c>
      <c r="F925" t="s">
        <v>1068</v>
      </c>
      <c r="G925" t="s">
        <v>1075</v>
      </c>
      <c r="H925" s="171" t="s">
        <v>1403</v>
      </c>
      <c r="I925" t="s">
        <v>1077</v>
      </c>
      <c r="J925">
        <v>2.56</v>
      </c>
    </row>
    <row r="926" spans="1:10" hidden="1">
      <c r="A926" t="s">
        <v>1401</v>
      </c>
      <c r="B926" t="s">
        <v>1402</v>
      </c>
      <c r="C926" t="s">
        <v>1066</v>
      </c>
      <c r="D926" t="s">
        <v>1396</v>
      </c>
      <c r="E926" t="s">
        <v>558</v>
      </c>
      <c r="F926" t="s">
        <v>1068</v>
      </c>
      <c r="G926" t="s">
        <v>1078</v>
      </c>
      <c r="H926">
        <v>-2.48475903965713</v>
      </c>
      <c r="I926" t="s">
        <v>1079</v>
      </c>
      <c r="J926">
        <v>2.56</v>
      </c>
    </row>
    <row r="927" spans="1:10" hidden="1">
      <c r="A927" t="s">
        <v>1401</v>
      </c>
      <c r="B927" t="s">
        <v>1402</v>
      </c>
      <c r="C927" t="s">
        <v>1066</v>
      </c>
      <c r="D927" t="s">
        <v>1396</v>
      </c>
      <c r="E927" t="s">
        <v>558</v>
      </c>
      <c r="F927" t="s">
        <v>1068</v>
      </c>
      <c r="G927" t="s">
        <v>1080</v>
      </c>
      <c r="H927" s="171" t="s">
        <v>1404</v>
      </c>
      <c r="I927" t="s">
        <v>1082</v>
      </c>
      <c r="J927">
        <v>2.56</v>
      </c>
    </row>
    <row r="928" spans="1:10" hidden="1">
      <c r="A928" t="s">
        <v>1401</v>
      </c>
      <c r="B928" t="s">
        <v>1402</v>
      </c>
      <c r="C928" t="s">
        <v>1066</v>
      </c>
      <c r="D928" t="s">
        <v>1396</v>
      </c>
      <c r="E928" t="s">
        <v>558</v>
      </c>
      <c r="F928" t="s">
        <v>1068</v>
      </c>
      <c r="G928" t="s">
        <v>1083</v>
      </c>
      <c r="H928">
        <v>-1.9137194356601999E-3</v>
      </c>
      <c r="I928" t="s">
        <v>1084</v>
      </c>
      <c r="J928">
        <v>2.56</v>
      </c>
    </row>
    <row r="929" spans="1:10" hidden="1">
      <c r="A929" t="s">
        <v>1401</v>
      </c>
      <c r="B929" t="s">
        <v>1402</v>
      </c>
      <c r="C929" t="s">
        <v>1066</v>
      </c>
      <c r="D929" t="s">
        <v>1396</v>
      </c>
      <c r="E929" t="s">
        <v>558</v>
      </c>
      <c r="F929" t="s">
        <v>1068</v>
      </c>
      <c r="G929" t="s">
        <v>1085</v>
      </c>
      <c r="H929">
        <v>-5.29611375816385E-2</v>
      </c>
      <c r="I929" t="s">
        <v>1086</v>
      </c>
      <c r="J929">
        <v>2.56</v>
      </c>
    </row>
    <row r="930" spans="1:10" hidden="1">
      <c r="A930" t="s">
        <v>1401</v>
      </c>
      <c r="B930" t="s">
        <v>1402</v>
      </c>
      <c r="C930" t="s">
        <v>1066</v>
      </c>
      <c r="D930" t="s">
        <v>1396</v>
      </c>
      <c r="E930" t="s">
        <v>558</v>
      </c>
      <c r="F930" t="s">
        <v>1068</v>
      </c>
      <c r="G930" t="s">
        <v>1087</v>
      </c>
      <c r="H930" s="170">
        <v>-1.04583965289426E-6</v>
      </c>
      <c r="I930" t="s">
        <v>1088</v>
      </c>
      <c r="J930">
        <v>2.56</v>
      </c>
    </row>
    <row r="931" spans="1:10" hidden="1">
      <c r="A931" t="s">
        <v>1401</v>
      </c>
      <c r="B931" t="s">
        <v>1402</v>
      </c>
      <c r="C931" t="s">
        <v>1066</v>
      </c>
      <c r="D931" t="s">
        <v>1396</v>
      </c>
      <c r="E931" t="s">
        <v>558</v>
      </c>
      <c r="F931" t="s">
        <v>1068</v>
      </c>
      <c r="G931" t="s">
        <v>1089</v>
      </c>
      <c r="H931">
        <v>-1.42728044476137E-2</v>
      </c>
      <c r="I931" t="s">
        <v>1090</v>
      </c>
      <c r="J931">
        <v>2.56</v>
      </c>
    </row>
    <row r="932" spans="1:10" hidden="1">
      <c r="A932" t="s">
        <v>1405</v>
      </c>
      <c r="B932" t="s">
        <v>1406</v>
      </c>
      <c r="C932" t="s">
        <v>1066</v>
      </c>
      <c r="D932" t="s">
        <v>1396</v>
      </c>
      <c r="E932" t="s">
        <v>553</v>
      </c>
      <c r="F932" t="s">
        <v>1068</v>
      </c>
      <c r="G932" t="s">
        <v>1069</v>
      </c>
      <c r="H932">
        <v>-0.121565761085812</v>
      </c>
      <c r="I932" t="s">
        <v>1070</v>
      </c>
      <c r="J932">
        <v>2.54</v>
      </c>
    </row>
    <row r="933" spans="1:10" hidden="1">
      <c r="A933" t="s">
        <v>1405</v>
      </c>
      <c r="B933" t="s">
        <v>1406</v>
      </c>
      <c r="C933" t="s">
        <v>1066</v>
      </c>
      <c r="D933" t="s">
        <v>1396</v>
      </c>
      <c r="E933" t="s">
        <v>553</v>
      </c>
      <c r="F933" t="s">
        <v>1068</v>
      </c>
      <c r="G933" t="s">
        <v>1071</v>
      </c>
      <c r="H933" s="170">
        <v>-3.70645210581143E-10</v>
      </c>
      <c r="I933" t="s">
        <v>1072</v>
      </c>
      <c r="J933">
        <v>2.54</v>
      </c>
    </row>
    <row r="934" spans="1:10" hidden="1">
      <c r="A934" t="s">
        <v>1405</v>
      </c>
      <c r="B934" t="s">
        <v>1406</v>
      </c>
      <c r="C934" t="s">
        <v>1066</v>
      </c>
      <c r="D934" t="s">
        <v>1396</v>
      </c>
      <c r="E934" t="s">
        <v>553</v>
      </c>
      <c r="F934" t="s">
        <v>1068</v>
      </c>
      <c r="G934" t="s">
        <v>1073</v>
      </c>
      <c r="H934" s="170">
        <v>-8.5719042707540896E-8</v>
      </c>
      <c r="I934" t="s">
        <v>1074</v>
      </c>
      <c r="J934">
        <v>2.54</v>
      </c>
    </row>
    <row r="935" spans="1:10" hidden="1">
      <c r="A935" t="s">
        <v>1405</v>
      </c>
      <c r="B935" t="s">
        <v>1406</v>
      </c>
      <c r="C935" t="s">
        <v>1066</v>
      </c>
      <c r="D935" t="s">
        <v>1396</v>
      </c>
      <c r="E935" t="s">
        <v>553</v>
      </c>
      <c r="F935" t="s">
        <v>1068</v>
      </c>
      <c r="G935" t="s">
        <v>1075</v>
      </c>
      <c r="H935">
        <v>5.25257295969788E-2</v>
      </c>
      <c r="I935" t="s">
        <v>1077</v>
      </c>
      <c r="J935">
        <v>2.54</v>
      </c>
    </row>
    <row r="936" spans="1:10" hidden="1">
      <c r="A936" t="s">
        <v>1405</v>
      </c>
      <c r="B936" t="s">
        <v>1406</v>
      </c>
      <c r="C936" t="s">
        <v>1066</v>
      </c>
      <c r="D936" t="s">
        <v>1396</v>
      </c>
      <c r="E936" t="s">
        <v>553</v>
      </c>
      <c r="F936" t="s">
        <v>1068</v>
      </c>
      <c r="G936" t="s">
        <v>1078</v>
      </c>
      <c r="H936">
        <v>-2.48156466307401</v>
      </c>
      <c r="I936" t="s">
        <v>1079</v>
      </c>
      <c r="J936">
        <v>2.54</v>
      </c>
    </row>
    <row r="937" spans="1:10" hidden="1">
      <c r="A937" t="s">
        <v>1405</v>
      </c>
      <c r="B937" t="s">
        <v>1406</v>
      </c>
      <c r="C937" t="s">
        <v>1066</v>
      </c>
      <c r="D937" t="s">
        <v>1396</v>
      </c>
      <c r="E937" t="s">
        <v>553</v>
      </c>
      <c r="F937" t="s">
        <v>1068</v>
      </c>
      <c r="G937" t="s">
        <v>1080</v>
      </c>
      <c r="H937" s="171" t="s">
        <v>1407</v>
      </c>
      <c r="I937" t="s">
        <v>1082</v>
      </c>
      <c r="J937">
        <v>2.54</v>
      </c>
    </row>
    <row r="938" spans="1:10" hidden="1">
      <c r="A938" t="s">
        <v>1405</v>
      </c>
      <c r="B938" t="s">
        <v>1406</v>
      </c>
      <c r="C938" t="s">
        <v>1066</v>
      </c>
      <c r="D938" t="s">
        <v>1396</v>
      </c>
      <c r="E938" t="s">
        <v>553</v>
      </c>
      <c r="F938" t="s">
        <v>1068</v>
      </c>
      <c r="G938" t="s">
        <v>1083</v>
      </c>
      <c r="H938">
        <v>-1.9135429526201001E-3</v>
      </c>
      <c r="I938" t="s">
        <v>1084</v>
      </c>
      <c r="J938">
        <v>2.54</v>
      </c>
    </row>
    <row r="939" spans="1:10" hidden="1">
      <c r="A939" t="s">
        <v>1405</v>
      </c>
      <c r="B939" t="s">
        <v>1406</v>
      </c>
      <c r="C939" t="s">
        <v>1066</v>
      </c>
      <c r="D939" t="s">
        <v>1396</v>
      </c>
      <c r="E939" t="s">
        <v>553</v>
      </c>
      <c r="F939" t="s">
        <v>1068</v>
      </c>
      <c r="G939" t="s">
        <v>1085</v>
      </c>
      <c r="H939">
        <v>-5.2959122596962498E-2</v>
      </c>
      <c r="I939" t="s">
        <v>1086</v>
      </c>
      <c r="J939">
        <v>2.54</v>
      </c>
    </row>
    <row r="940" spans="1:10" hidden="1">
      <c r="A940" t="s">
        <v>1405</v>
      </c>
      <c r="B940" t="s">
        <v>1406</v>
      </c>
      <c r="C940" t="s">
        <v>1066</v>
      </c>
      <c r="D940" t="s">
        <v>1396</v>
      </c>
      <c r="E940" t="s">
        <v>553</v>
      </c>
      <c r="F940" t="s">
        <v>1068</v>
      </c>
      <c r="G940" t="s">
        <v>1087</v>
      </c>
      <c r="H940" s="170">
        <v>-1.0446899149488399E-6</v>
      </c>
      <c r="I940" t="s">
        <v>1088</v>
      </c>
      <c r="J940">
        <v>2.54</v>
      </c>
    </row>
    <row r="941" spans="1:10" hidden="1">
      <c r="A941" t="s">
        <v>1405</v>
      </c>
      <c r="B941" t="s">
        <v>1406</v>
      </c>
      <c r="C941" t="s">
        <v>1066</v>
      </c>
      <c r="D941" t="s">
        <v>1396</v>
      </c>
      <c r="E941" t="s">
        <v>553</v>
      </c>
      <c r="F941" t="s">
        <v>1068</v>
      </c>
      <c r="G941" t="s">
        <v>1089</v>
      </c>
      <c r="H941">
        <v>-1.4272392308537499E-2</v>
      </c>
      <c r="I941" t="s">
        <v>1090</v>
      </c>
      <c r="J941">
        <v>2.54</v>
      </c>
    </row>
    <row r="942" spans="1:10" hidden="1">
      <c r="A942" t="s">
        <v>1408</v>
      </c>
      <c r="B942" t="s">
        <v>1409</v>
      </c>
      <c r="C942" t="s">
        <v>1066</v>
      </c>
      <c r="D942" t="s">
        <v>1396</v>
      </c>
      <c r="E942" t="s">
        <v>556</v>
      </c>
      <c r="F942" t="s">
        <v>1068</v>
      </c>
      <c r="G942" t="s">
        <v>1069</v>
      </c>
      <c r="H942">
        <v>-0.13582236665960301</v>
      </c>
      <c r="I942" t="s">
        <v>1070</v>
      </c>
      <c r="J942">
        <v>2.04</v>
      </c>
    </row>
    <row r="943" spans="1:10" hidden="1">
      <c r="A943" t="s">
        <v>1408</v>
      </c>
      <c r="B943" t="s">
        <v>1409</v>
      </c>
      <c r="C943" t="s">
        <v>1066</v>
      </c>
      <c r="D943" t="s">
        <v>1396</v>
      </c>
      <c r="E943" t="s">
        <v>556</v>
      </c>
      <c r="F943" t="s">
        <v>1068</v>
      </c>
      <c r="G943" t="s">
        <v>1071</v>
      </c>
      <c r="H943" s="170">
        <v>-3.9101444841532502E-10</v>
      </c>
      <c r="I943" t="s">
        <v>1072</v>
      </c>
      <c r="J943">
        <v>2.04</v>
      </c>
    </row>
    <row r="944" spans="1:10" hidden="1">
      <c r="A944" t="s">
        <v>1408</v>
      </c>
      <c r="B944" t="s">
        <v>1409</v>
      </c>
      <c r="C944" t="s">
        <v>1066</v>
      </c>
      <c r="D944" t="s">
        <v>1396</v>
      </c>
      <c r="E944" t="s">
        <v>556</v>
      </c>
      <c r="F944" t="s">
        <v>1068</v>
      </c>
      <c r="G944" t="s">
        <v>1073</v>
      </c>
      <c r="H944" s="170">
        <v>-9.0782114252226005E-8</v>
      </c>
      <c r="I944" t="s">
        <v>1074</v>
      </c>
      <c r="J944">
        <v>2.04</v>
      </c>
    </row>
    <row r="945" spans="1:10" hidden="1">
      <c r="A945" t="s">
        <v>1408</v>
      </c>
      <c r="B945" t="s">
        <v>1409</v>
      </c>
      <c r="C945" t="s">
        <v>1066</v>
      </c>
      <c r="D945" t="s">
        <v>1396</v>
      </c>
      <c r="E945" t="s">
        <v>556</v>
      </c>
      <c r="F945" t="s">
        <v>1068</v>
      </c>
      <c r="G945" t="s">
        <v>1075</v>
      </c>
      <c r="H945">
        <v>5.2089120940395202E-2</v>
      </c>
      <c r="I945" t="s">
        <v>1077</v>
      </c>
      <c r="J945">
        <v>2.04</v>
      </c>
    </row>
    <row r="946" spans="1:10" hidden="1">
      <c r="A946" t="s">
        <v>1408</v>
      </c>
      <c r="B946" t="s">
        <v>1409</v>
      </c>
      <c r="C946" t="s">
        <v>1066</v>
      </c>
      <c r="D946" t="s">
        <v>1396</v>
      </c>
      <c r="E946" t="s">
        <v>556</v>
      </c>
      <c r="F946" t="s">
        <v>1068</v>
      </c>
      <c r="G946" t="s">
        <v>1078</v>
      </c>
      <c r="H946">
        <v>-2.4951886010564799</v>
      </c>
      <c r="I946" t="s">
        <v>1079</v>
      </c>
      <c r="J946">
        <v>2.04</v>
      </c>
    </row>
    <row r="947" spans="1:10" hidden="1">
      <c r="A947" t="s">
        <v>1408</v>
      </c>
      <c r="B947" t="s">
        <v>1409</v>
      </c>
      <c r="C947" t="s">
        <v>1066</v>
      </c>
      <c r="D947" t="s">
        <v>1396</v>
      </c>
      <c r="E947" t="s">
        <v>556</v>
      </c>
      <c r="F947" t="s">
        <v>1068</v>
      </c>
      <c r="G947" t="s">
        <v>1080</v>
      </c>
      <c r="H947" s="171" t="s">
        <v>1410</v>
      </c>
      <c r="I947" t="s">
        <v>1082</v>
      </c>
      <c r="J947">
        <v>2.04</v>
      </c>
    </row>
    <row r="948" spans="1:10" hidden="1">
      <c r="A948" t="s">
        <v>1408</v>
      </c>
      <c r="B948" t="s">
        <v>1409</v>
      </c>
      <c r="C948" t="s">
        <v>1066</v>
      </c>
      <c r="D948" t="s">
        <v>1396</v>
      </c>
      <c r="E948" t="s">
        <v>556</v>
      </c>
      <c r="F948" t="s">
        <v>1068</v>
      </c>
      <c r="G948" t="s">
        <v>1083</v>
      </c>
      <c r="H948">
        <v>-1.91570996172459E-3</v>
      </c>
      <c r="I948" t="s">
        <v>1084</v>
      </c>
      <c r="J948">
        <v>2.04</v>
      </c>
    </row>
    <row r="949" spans="1:10" hidden="1">
      <c r="A949" t="s">
        <v>1408</v>
      </c>
      <c r="B949" t="s">
        <v>1409</v>
      </c>
      <c r="C949" t="s">
        <v>1066</v>
      </c>
      <c r="D949" t="s">
        <v>1396</v>
      </c>
      <c r="E949" t="s">
        <v>556</v>
      </c>
      <c r="F949" t="s">
        <v>1068</v>
      </c>
      <c r="G949" t="s">
        <v>1085</v>
      </c>
      <c r="H949">
        <v>-5.2983540258318897E-2</v>
      </c>
      <c r="I949" t="s">
        <v>1086</v>
      </c>
      <c r="J949">
        <v>2.04</v>
      </c>
    </row>
    <row r="950" spans="1:10" hidden="1">
      <c r="A950" t="s">
        <v>1408</v>
      </c>
      <c r="B950" t="s">
        <v>1409</v>
      </c>
      <c r="C950" t="s">
        <v>1066</v>
      </c>
      <c r="D950" t="s">
        <v>1396</v>
      </c>
      <c r="E950" t="s">
        <v>556</v>
      </c>
      <c r="F950" t="s">
        <v>1068</v>
      </c>
      <c r="G950" t="s">
        <v>1087</v>
      </c>
      <c r="H950" s="170">
        <v>-1.05650972127701E-6</v>
      </c>
      <c r="I950" t="s">
        <v>1088</v>
      </c>
      <c r="J950">
        <v>2.04</v>
      </c>
    </row>
    <row r="951" spans="1:10" hidden="1">
      <c r="A951" t="s">
        <v>1408</v>
      </c>
      <c r="B951" t="s">
        <v>1409</v>
      </c>
      <c r="C951" t="s">
        <v>1066</v>
      </c>
      <c r="D951" t="s">
        <v>1396</v>
      </c>
      <c r="E951" t="s">
        <v>556</v>
      </c>
      <c r="F951" t="s">
        <v>1068</v>
      </c>
      <c r="G951" t="s">
        <v>1089</v>
      </c>
      <c r="H951">
        <v>-1.42774448979165E-2</v>
      </c>
      <c r="I951" t="s">
        <v>1090</v>
      </c>
      <c r="J951">
        <v>2.04</v>
      </c>
    </row>
    <row r="952" spans="1:10" hidden="1">
      <c r="A952" t="s">
        <v>1411</v>
      </c>
      <c r="B952" t="s">
        <v>1412</v>
      </c>
      <c r="C952" t="s">
        <v>1066</v>
      </c>
      <c r="D952" t="s">
        <v>1396</v>
      </c>
      <c r="E952" t="s">
        <v>557</v>
      </c>
      <c r="F952" t="s">
        <v>1068</v>
      </c>
      <c r="G952" t="s">
        <v>1069</v>
      </c>
      <c r="H952">
        <v>-0.127625892100313</v>
      </c>
      <c r="I952" t="s">
        <v>1070</v>
      </c>
      <c r="J952">
        <v>2.04</v>
      </c>
    </row>
    <row r="953" spans="1:10" hidden="1">
      <c r="A953" t="s">
        <v>1411</v>
      </c>
      <c r="B953" t="s">
        <v>1412</v>
      </c>
      <c r="C953" t="s">
        <v>1066</v>
      </c>
      <c r="D953" t="s">
        <v>1396</v>
      </c>
      <c r="E953" t="s">
        <v>557</v>
      </c>
      <c r="F953" t="s">
        <v>1068</v>
      </c>
      <c r="G953" t="s">
        <v>1071</v>
      </c>
      <c r="H953" s="170">
        <v>-3.7932309097938402E-10</v>
      </c>
      <c r="I953" t="s">
        <v>1072</v>
      </c>
      <c r="J953">
        <v>2.04</v>
      </c>
    </row>
    <row r="954" spans="1:10" hidden="1">
      <c r="A954" t="s">
        <v>1411</v>
      </c>
      <c r="B954" t="s">
        <v>1412</v>
      </c>
      <c r="C954" t="s">
        <v>1066</v>
      </c>
      <c r="D954" t="s">
        <v>1396</v>
      </c>
      <c r="E954" t="s">
        <v>557</v>
      </c>
      <c r="F954" t="s">
        <v>1068</v>
      </c>
      <c r="G954" t="s">
        <v>1073</v>
      </c>
      <c r="H954" s="170">
        <v>-8.7871091788803501E-8</v>
      </c>
      <c r="I954" t="s">
        <v>1074</v>
      </c>
      <c r="J954">
        <v>2.04</v>
      </c>
    </row>
    <row r="955" spans="1:10" hidden="1">
      <c r="A955" t="s">
        <v>1411</v>
      </c>
      <c r="B955" t="s">
        <v>1412</v>
      </c>
      <c r="C955" t="s">
        <v>1066</v>
      </c>
      <c r="D955" t="s">
        <v>1396</v>
      </c>
      <c r="E955" t="s">
        <v>557</v>
      </c>
      <c r="F955" t="s">
        <v>1068</v>
      </c>
      <c r="G955" t="s">
        <v>1075</v>
      </c>
      <c r="H955">
        <v>5.2330373026804301E-2</v>
      </c>
      <c r="I955" t="s">
        <v>1077</v>
      </c>
      <c r="J955">
        <v>2.04</v>
      </c>
    </row>
    <row r="956" spans="1:10" hidden="1">
      <c r="A956" t="s">
        <v>1411</v>
      </c>
      <c r="B956" t="s">
        <v>1412</v>
      </c>
      <c r="C956" t="s">
        <v>1066</v>
      </c>
      <c r="D956" t="s">
        <v>1396</v>
      </c>
      <c r="E956" t="s">
        <v>557</v>
      </c>
      <c r="F956" t="s">
        <v>1068</v>
      </c>
      <c r="G956" t="s">
        <v>1078</v>
      </c>
      <c r="H956">
        <v>-2.4914526293508499</v>
      </c>
      <c r="I956" t="s">
        <v>1079</v>
      </c>
      <c r="J956">
        <v>2.04</v>
      </c>
    </row>
    <row r="957" spans="1:10" hidden="1">
      <c r="A957" t="s">
        <v>1411</v>
      </c>
      <c r="B957" t="s">
        <v>1412</v>
      </c>
      <c r="C957" t="s">
        <v>1066</v>
      </c>
      <c r="D957" t="s">
        <v>1396</v>
      </c>
      <c r="E957" t="s">
        <v>557</v>
      </c>
      <c r="F957" t="s">
        <v>1068</v>
      </c>
      <c r="G957" t="s">
        <v>1080</v>
      </c>
      <c r="H957" s="171" t="s">
        <v>1413</v>
      </c>
      <c r="I957" t="s">
        <v>1082</v>
      </c>
      <c r="J957">
        <v>2.04</v>
      </c>
    </row>
    <row r="958" spans="1:10" hidden="1">
      <c r="A958" t="s">
        <v>1411</v>
      </c>
      <c r="B958" t="s">
        <v>1412</v>
      </c>
      <c r="C958" t="s">
        <v>1066</v>
      </c>
      <c r="D958" t="s">
        <v>1396</v>
      </c>
      <c r="E958" t="s">
        <v>557</v>
      </c>
      <c r="F958" t="s">
        <v>1068</v>
      </c>
      <c r="G958" t="s">
        <v>1083</v>
      </c>
      <c r="H958">
        <v>-1.91446372350413E-3</v>
      </c>
      <c r="I958" t="s">
        <v>1084</v>
      </c>
      <c r="J958">
        <v>2.04</v>
      </c>
    </row>
    <row r="959" spans="1:10" hidden="1">
      <c r="A959" t="s">
        <v>1411</v>
      </c>
      <c r="B959" t="s">
        <v>1412</v>
      </c>
      <c r="C959" t="s">
        <v>1066</v>
      </c>
      <c r="D959" t="s">
        <v>1396</v>
      </c>
      <c r="E959" t="s">
        <v>557</v>
      </c>
      <c r="F959" t="s">
        <v>1068</v>
      </c>
      <c r="G959" t="s">
        <v>1085</v>
      </c>
      <c r="H959">
        <v>-5.2969549544861501E-2</v>
      </c>
      <c r="I959" t="s">
        <v>1086</v>
      </c>
      <c r="J959">
        <v>2.04</v>
      </c>
    </row>
    <row r="960" spans="1:10" hidden="1">
      <c r="A960" t="s">
        <v>1411</v>
      </c>
      <c r="B960" t="s">
        <v>1412</v>
      </c>
      <c r="C960" t="s">
        <v>1066</v>
      </c>
      <c r="D960" t="s">
        <v>1396</v>
      </c>
      <c r="E960" t="s">
        <v>557</v>
      </c>
      <c r="F960" t="s">
        <v>1068</v>
      </c>
      <c r="G960" t="s">
        <v>1087</v>
      </c>
      <c r="H960" s="170">
        <v>-1.0498993047548401E-6</v>
      </c>
      <c r="I960" t="s">
        <v>1088</v>
      </c>
      <c r="J960">
        <v>2.04</v>
      </c>
    </row>
    <row r="961" spans="1:10" hidden="1">
      <c r="A961" t="s">
        <v>1411</v>
      </c>
      <c r="B961" t="s">
        <v>1412</v>
      </c>
      <c r="C961" t="s">
        <v>1066</v>
      </c>
      <c r="D961" t="s">
        <v>1396</v>
      </c>
      <c r="E961" t="s">
        <v>557</v>
      </c>
      <c r="F961" t="s">
        <v>1068</v>
      </c>
      <c r="G961" t="s">
        <v>1089</v>
      </c>
      <c r="H961">
        <v>-1.42745398190152E-2</v>
      </c>
      <c r="I961" t="s">
        <v>1090</v>
      </c>
      <c r="J961">
        <v>2.04</v>
      </c>
    </row>
    <row r="962" spans="1:10" hidden="1">
      <c r="A962" t="s">
        <v>1414</v>
      </c>
      <c r="B962" t="s">
        <v>1415</v>
      </c>
      <c r="C962" t="s">
        <v>1066</v>
      </c>
      <c r="D962" t="s">
        <v>1396</v>
      </c>
      <c r="E962" t="s">
        <v>559</v>
      </c>
      <c r="F962" t="s">
        <v>1068</v>
      </c>
      <c r="G962" t="s">
        <v>1069</v>
      </c>
      <c r="H962">
        <v>-0.13158472478844099</v>
      </c>
      <c r="I962" t="s">
        <v>1070</v>
      </c>
      <c r="J962">
        <v>2.04</v>
      </c>
    </row>
    <row r="963" spans="1:10" hidden="1">
      <c r="A963" t="s">
        <v>1414</v>
      </c>
      <c r="B963" t="s">
        <v>1415</v>
      </c>
      <c r="C963" t="s">
        <v>1066</v>
      </c>
      <c r="D963" t="s">
        <v>1396</v>
      </c>
      <c r="E963" t="s">
        <v>559</v>
      </c>
      <c r="F963" t="s">
        <v>1068</v>
      </c>
      <c r="G963" t="s">
        <v>1071</v>
      </c>
      <c r="H963" s="170">
        <v>-3.8498246162421602E-10</v>
      </c>
      <c r="I963" t="s">
        <v>1072</v>
      </c>
      <c r="J963">
        <v>2.04</v>
      </c>
    </row>
    <row r="964" spans="1:10" hidden="1">
      <c r="A964" t="s">
        <v>1414</v>
      </c>
      <c r="B964" t="s">
        <v>1415</v>
      </c>
      <c r="C964" t="s">
        <v>1066</v>
      </c>
      <c r="D964" t="s">
        <v>1396</v>
      </c>
      <c r="E964" t="s">
        <v>559</v>
      </c>
      <c r="F964" t="s">
        <v>1068</v>
      </c>
      <c r="G964" t="s">
        <v>1073</v>
      </c>
      <c r="H964" s="170">
        <v>-8.9277810316649397E-8</v>
      </c>
      <c r="I964" t="s">
        <v>1074</v>
      </c>
      <c r="J964">
        <v>2.04</v>
      </c>
    </row>
    <row r="965" spans="1:10" hidden="1">
      <c r="A965" t="s">
        <v>1414</v>
      </c>
      <c r="B965" t="s">
        <v>1415</v>
      </c>
      <c r="C965" t="s">
        <v>1066</v>
      </c>
      <c r="D965" t="s">
        <v>1396</v>
      </c>
      <c r="E965" t="s">
        <v>559</v>
      </c>
      <c r="F965" t="s">
        <v>1068</v>
      </c>
      <c r="G965" t="s">
        <v>1075</v>
      </c>
      <c r="H965" s="171" t="s">
        <v>1416</v>
      </c>
      <c r="I965" t="s">
        <v>1077</v>
      </c>
      <c r="J965">
        <v>2.04</v>
      </c>
    </row>
    <row r="966" spans="1:10" hidden="1">
      <c r="A966" t="s">
        <v>1414</v>
      </c>
      <c r="B966" t="s">
        <v>1415</v>
      </c>
      <c r="C966" t="s">
        <v>1066</v>
      </c>
      <c r="D966" t="s">
        <v>1396</v>
      </c>
      <c r="E966" t="s">
        <v>559</v>
      </c>
      <c r="F966" t="s">
        <v>1068</v>
      </c>
      <c r="G966" t="s">
        <v>1078</v>
      </c>
      <c r="H966">
        <v>-2.4952604314451898</v>
      </c>
      <c r="I966" t="s">
        <v>1079</v>
      </c>
      <c r="J966">
        <v>2.04</v>
      </c>
    </row>
    <row r="967" spans="1:10" hidden="1">
      <c r="A967" t="s">
        <v>1414</v>
      </c>
      <c r="B967" t="s">
        <v>1415</v>
      </c>
      <c r="C967" t="s">
        <v>1066</v>
      </c>
      <c r="D967" t="s">
        <v>1396</v>
      </c>
      <c r="E967" t="s">
        <v>559</v>
      </c>
      <c r="F967" t="s">
        <v>1068</v>
      </c>
      <c r="G967" t="s">
        <v>1080</v>
      </c>
      <c r="H967" s="171" t="s">
        <v>1417</v>
      </c>
      <c r="I967" t="s">
        <v>1082</v>
      </c>
      <c r="J967">
        <v>2.04</v>
      </c>
    </row>
    <row r="968" spans="1:10" hidden="1">
      <c r="A968" t="s">
        <v>1414</v>
      </c>
      <c r="B968" t="s">
        <v>1415</v>
      </c>
      <c r="C968" t="s">
        <v>1066</v>
      </c>
      <c r="D968" t="s">
        <v>1396</v>
      </c>
      <c r="E968" t="s">
        <v>559</v>
      </c>
      <c r="F968" t="s">
        <v>1068</v>
      </c>
      <c r="G968" t="s">
        <v>1083</v>
      </c>
      <c r="H968">
        <v>-1.91506584158977E-3</v>
      </c>
      <c r="I968" t="s">
        <v>1084</v>
      </c>
      <c r="J968">
        <v>2.04</v>
      </c>
    </row>
    <row r="969" spans="1:10" hidden="1">
      <c r="A969" t="s">
        <v>1414</v>
      </c>
      <c r="B969" t="s">
        <v>1415</v>
      </c>
      <c r="C969" t="s">
        <v>1066</v>
      </c>
      <c r="D969" t="s">
        <v>1396</v>
      </c>
      <c r="E969" t="s">
        <v>559</v>
      </c>
      <c r="F969" t="s">
        <v>1068</v>
      </c>
      <c r="G969" t="s">
        <v>1085</v>
      </c>
      <c r="H969">
        <v>-5.2976334333134201E-2</v>
      </c>
      <c r="I969" t="s">
        <v>1086</v>
      </c>
      <c r="J969">
        <v>2.04</v>
      </c>
    </row>
    <row r="970" spans="1:10" hidden="1">
      <c r="A970" t="s">
        <v>1414</v>
      </c>
      <c r="B970" t="s">
        <v>1415</v>
      </c>
      <c r="C970" t="s">
        <v>1066</v>
      </c>
      <c r="D970" t="s">
        <v>1396</v>
      </c>
      <c r="E970" t="s">
        <v>559</v>
      </c>
      <c r="F970" t="s">
        <v>1068</v>
      </c>
      <c r="G970" t="s">
        <v>1087</v>
      </c>
      <c r="H970" s="170">
        <v>-1.0529963774143899E-6</v>
      </c>
      <c r="I970" t="s">
        <v>1088</v>
      </c>
      <c r="J970">
        <v>2.04</v>
      </c>
    </row>
    <row r="971" spans="1:10" hidden="1">
      <c r="A971" t="s">
        <v>1414</v>
      </c>
      <c r="B971" t="s">
        <v>1415</v>
      </c>
      <c r="C971" t="s">
        <v>1066</v>
      </c>
      <c r="D971" t="s">
        <v>1396</v>
      </c>
      <c r="E971" t="s">
        <v>559</v>
      </c>
      <c r="F971" t="s">
        <v>1068</v>
      </c>
      <c r="G971" t="s">
        <v>1089</v>
      </c>
      <c r="H971">
        <v>-1.4275943055721101E-2</v>
      </c>
      <c r="I971" t="s">
        <v>1090</v>
      </c>
      <c r="J971">
        <v>2.04</v>
      </c>
    </row>
    <row r="972" spans="1:10" hidden="1">
      <c r="A972" t="s">
        <v>1418</v>
      </c>
      <c r="B972" t="s">
        <v>1419</v>
      </c>
      <c r="C972" t="s">
        <v>1066</v>
      </c>
      <c r="D972" t="s">
        <v>1396</v>
      </c>
      <c r="E972" t="s">
        <v>560</v>
      </c>
      <c r="F972" t="s">
        <v>1068</v>
      </c>
      <c r="G972" t="s">
        <v>1069</v>
      </c>
      <c r="H972">
        <v>-0.13023741727074001</v>
      </c>
      <c r="I972" t="s">
        <v>1070</v>
      </c>
      <c r="J972">
        <v>2.0499999999999998</v>
      </c>
    </row>
    <row r="973" spans="1:10" hidden="1">
      <c r="A973" t="s">
        <v>1418</v>
      </c>
      <c r="B973" t="s">
        <v>1419</v>
      </c>
      <c r="C973" t="s">
        <v>1066</v>
      </c>
      <c r="D973" t="s">
        <v>1396</v>
      </c>
      <c r="E973" t="s">
        <v>560</v>
      </c>
      <c r="F973" t="s">
        <v>1068</v>
      </c>
      <c r="G973" t="s">
        <v>1071</v>
      </c>
      <c r="H973" s="170">
        <v>-3.8306021320928399E-10</v>
      </c>
      <c r="I973" t="s">
        <v>1072</v>
      </c>
      <c r="J973">
        <v>2.0499999999999998</v>
      </c>
    </row>
    <row r="974" spans="1:10" hidden="1">
      <c r="A974" t="s">
        <v>1418</v>
      </c>
      <c r="B974" t="s">
        <v>1419</v>
      </c>
      <c r="C974" t="s">
        <v>1066</v>
      </c>
      <c r="D974" t="s">
        <v>1396</v>
      </c>
      <c r="E974" t="s">
        <v>560</v>
      </c>
      <c r="F974" t="s">
        <v>1068</v>
      </c>
      <c r="G974" t="s">
        <v>1073</v>
      </c>
      <c r="H974" s="170">
        <v>-8.8798713792707594E-8</v>
      </c>
      <c r="I974" t="s">
        <v>1074</v>
      </c>
      <c r="J974">
        <v>2.0499999999999998</v>
      </c>
    </row>
    <row r="975" spans="1:10" hidden="1">
      <c r="A975" t="s">
        <v>1418</v>
      </c>
      <c r="B975" t="s">
        <v>1419</v>
      </c>
      <c r="C975" t="s">
        <v>1066</v>
      </c>
      <c r="D975" t="s">
        <v>1396</v>
      </c>
      <c r="E975" t="s">
        <v>560</v>
      </c>
      <c r="F975" t="s">
        <v>1068</v>
      </c>
      <c r="G975" t="s">
        <v>1075</v>
      </c>
      <c r="H975" s="171" t="s">
        <v>1420</v>
      </c>
      <c r="I975" t="s">
        <v>1077</v>
      </c>
      <c r="J975">
        <v>2.0499999999999998</v>
      </c>
    </row>
    <row r="976" spans="1:10" hidden="1">
      <c r="A976" t="s">
        <v>1418</v>
      </c>
      <c r="B976" t="s">
        <v>1419</v>
      </c>
      <c r="C976" t="s">
        <v>1066</v>
      </c>
      <c r="D976" t="s">
        <v>1396</v>
      </c>
      <c r="E976" t="s">
        <v>560</v>
      </c>
      <c r="F976" t="s">
        <v>1068</v>
      </c>
      <c r="G976" t="s">
        <v>1078</v>
      </c>
      <c r="H976">
        <v>-2.49502254385414</v>
      </c>
      <c r="I976" t="s">
        <v>1079</v>
      </c>
      <c r="J976">
        <v>2.0499999999999998</v>
      </c>
    </row>
    <row r="977" spans="1:10" hidden="1">
      <c r="A977" t="s">
        <v>1418</v>
      </c>
      <c r="B977" t="s">
        <v>1419</v>
      </c>
      <c r="C977" t="s">
        <v>1066</v>
      </c>
      <c r="D977" t="s">
        <v>1396</v>
      </c>
      <c r="E977" t="s">
        <v>560</v>
      </c>
      <c r="F977" t="s">
        <v>1068</v>
      </c>
      <c r="G977" t="s">
        <v>1080</v>
      </c>
      <c r="H977" s="171" t="s">
        <v>1421</v>
      </c>
      <c r="I977" t="s">
        <v>1082</v>
      </c>
      <c r="J977">
        <v>2.0499999999999998</v>
      </c>
    </row>
    <row r="978" spans="1:10" hidden="1">
      <c r="A978" t="s">
        <v>1418</v>
      </c>
      <c r="B978" t="s">
        <v>1419</v>
      </c>
      <c r="C978" t="s">
        <v>1066</v>
      </c>
      <c r="D978" t="s">
        <v>1396</v>
      </c>
      <c r="E978" t="s">
        <v>560</v>
      </c>
      <c r="F978" t="s">
        <v>1068</v>
      </c>
      <c r="G978" t="s">
        <v>1083</v>
      </c>
      <c r="H978">
        <v>-1.9148606770209001E-3</v>
      </c>
      <c r="I978" t="s">
        <v>1084</v>
      </c>
      <c r="J978">
        <v>2.0499999999999998</v>
      </c>
    </row>
    <row r="979" spans="1:10" hidden="1">
      <c r="A979" t="s">
        <v>1418</v>
      </c>
      <c r="B979" t="s">
        <v>1419</v>
      </c>
      <c r="C979" t="s">
        <v>1066</v>
      </c>
      <c r="D979" t="s">
        <v>1396</v>
      </c>
      <c r="E979" t="s">
        <v>560</v>
      </c>
      <c r="F979" t="s">
        <v>1068</v>
      </c>
      <c r="G979" t="s">
        <v>1085</v>
      </c>
      <c r="H979">
        <v>-5.2974035925247097E-2</v>
      </c>
      <c r="I979" t="s">
        <v>1086</v>
      </c>
      <c r="J979">
        <v>2.0499999999999998</v>
      </c>
    </row>
    <row r="980" spans="1:10" hidden="1">
      <c r="A980" t="s">
        <v>1418</v>
      </c>
      <c r="B980" t="s">
        <v>1419</v>
      </c>
      <c r="C980" t="s">
        <v>1066</v>
      </c>
      <c r="D980" t="s">
        <v>1396</v>
      </c>
      <c r="E980" t="s">
        <v>560</v>
      </c>
      <c r="F980" t="s">
        <v>1068</v>
      </c>
      <c r="G980" t="s">
        <v>1087</v>
      </c>
      <c r="H980" s="170">
        <v>-1.0520644524138199E-6</v>
      </c>
      <c r="I980" t="s">
        <v>1088</v>
      </c>
      <c r="J980">
        <v>2.0499999999999998</v>
      </c>
    </row>
    <row r="981" spans="1:10" hidden="1">
      <c r="A981" t="s">
        <v>1418</v>
      </c>
      <c r="B981" t="s">
        <v>1419</v>
      </c>
      <c r="C981" t="s">
        <v>1066</v>
      </c>
      <c r="D981" t="s">
        <v>1396</v>
      </c>
      <c r="E981" t="s">
        <v>560</v>
      </c>
      <c r="F981" t="s">
        <v>1068</v>
      </c>
      <c r="G981" t="s">
        <v>1089</v>
      </c>
      <c r="H981">
        <v>-1.42754653504294E-2</v>
      </c>
      <c r="I981" t="s">
        <v>1090</v>
      </c>
      <c r="J981">
        <v>2.0499999999999998</v>
      </c>
    </row>
    <row r="982" spans="1:10" hidden="1">
      <c r="A982" t="s">
        <v>1422</v>
      </c>
      <c r="B982" t="s">
        <v>1423</v>
      </c>
      <c r="C982" t="s">
        <v>1066</v>
      </c>
      <c r="D982" t="s">
        <v>1396</v>
      </c>
      <c r="E982" t="s">
        <v>1116</v>
      </c>
      <c r="F982" t="s">
        <v>1068</v>
      </c>
      <c r="G982" t="s">
        <v>1069</v>
      </c>
      <c r="H982">
        <v>-0.122311175749954</v>
      </c>
      <c r="I982" t="s">
        <v>1070</v>
      </c>
      <c r="J982">
        <v>2.6</v>
      </c>
    </row>
    <row r="983" spans="1:10" hidden="1">
      <c r="A983" t="s">
        <v>1422</v>
      </c>
      <c r="B983" t="s">
        <v>1423</v>
      </c>
      <c r="C983" t="s">
        <v>1066</v>
      </c>
      <c r="D983" t="s">
        <v>1396</v>
      </c>
      <c r="E983" t="s">
        <v>1116</v>
      </c>
      <c r="F983" t="s">
        <v>1068</v>
      </c>
      <c r="G983" t="s">
        <v>1071</v>
      </c>
      <c r="H983" s="170">
        <v>-3.7171767141710799E-10</v>
      </c>
      <c r="I983" t="s">
        <v>1072</v>
      </c>
      <c r="J983">
        <v>2.6</v>
      </c>
    </row>
    <row r="984" spans="1:10" hidden="1">
      <c r="A984" t="s">
        <v>1422</v>
      </c>
      <c r="B984" t="s">
        <v>1423</v>
      </c>
      <c r="C984" t="s">
        <v>1066</v>
      </c>
      <c r="D984" t="s">
        <v>1396</v>
      </c>
      <c r="E984" t="s">
        <v>1116</v>
      </c>
      <c r="F984" t="s">
        <v>1068</v>
      </c>
      <c r="G984" t="s">
        <v>1073</v>
      </c>
      <c r="H984" s="170">
        <v>-8.59832877243694E-8</v>
      </c>
      <c r="I984" t="s">
        <v>1074</v>
      </c>
      <c r="J984">
        <v>2.6</v>
      </c>
    </row>
    <row r="985" spans="1:10" hidden="1">
      <c r="A985" t="s">
        <v>1422</v>
      </c>
      <c r="B985" t="s">
        <v>1423</v>
      </c>
      <c r="C985" t="s">
        <v>1066</v>
      </c>
      <c r="D985" t="s">
        <v>1396</v>
      </c>
      <c r="E985" t="s">
        <v>1116</v>
      </c>
      <c r="F985" t="s">
        <v>1068</v>
      </c>
      <c r="G985" t="s">
        <v>1075</v>
      </c>
      <c r="H985">
        <v>5.2498376888188397E-2</v>
      </c>
      <c r="I985" t="s">
        <v>1077</v>
      </c>
      <c r="J985">
        <v>2.6</v>
      </c>
    </row>
    <row r="986" spans="1:10" hidden="1">
      <c r="A986" t="s">
        <v>1422</v>
      </c>
      <c r="B986" t="s">
        <v>1423</v>
      </c>
      <c r="C986" t="s">
        <v>1066</v>
      </c>
      <c r="D986" t="s">
        <v>1396</v>
      </c>
      <c r="E986" t="s">
        <v>1116</v>
      </c>
      <c r="F986" t="s">
        <v>1068</v>
      </c>
      <c r="G986" t="s">
        <v>1078</v>
      </c>
      <c r="H986">
        <v>-2.48418749432751</v>
      </c>
      <c r="I986" t="s">
        <v>1079</v>
      </c>
      <c r="J986">
        <v>2.6</v>
      </c>
    </row>
    <row r="987" spans="1:10" hidden="1">
      <c r="A987" t="s">
        <v>1422</v>
      </c>
      <c r="B987" t="s">
        <v>1423</v>
      </c>
      <c r="C987" t="s">
        <v>1066</v>
      </c>
      <c r="D987" t="s">
        <v>1396</v>
      </c>
      <c r="E987" t="s">
        <v>1116</v>
      </c>
      <c r="F987" t="s">
        <v>1068</v>
      </c>
      <c r="G987" t="s">
        <v>1080</v>
      </c>
      <c r="H987" s="171" t="s">
        <v>1424</v>
      </c>
      <c r="I987" t="s">
        <v>1082</v>
      </c>
      <c r="J987">
        <v>2.6</v>
      </c>
    </row>
    <row r="988" spans="1:10" hidden="1">
      <c r="A988" t="s">
        <v>1422</v>
      </c>
      <c r="B988" t="s">
        <v>1423</v>
      </c>
      <c r="C988" t="s">
        <v>1066</v>
      </c>
      <c r="D988" t="s">
        <v>1396</v>
      </c>
      <c r="E988" t="s">
        <v>1116</v>
      </c>
      <c r="F988" t="s">
        <v>1068</v>
      </c>
      <c r="G988" t="s">
        <v>1083</v>
      </c>
      <c r="H988">
        <v>-1.9136558831778199E-3</v>
      </c>
      <c r="I988" t="s">
        <v>1084</v>
      </c>
      <c r="J988">
        <v>2.6</v>
      </c>
    </row>
    <row r="989" spans="1:10" hidden="1">
      <c r="A989" t="s">
        <v>1422</v>
      </c>
      <c r="B989" t="s">
        <v>1423</v>
      </c>
      <c r="C989" t="s">
        <v>1066</v>
      </c>
      <c r="D989" t="s">
        <v>1396</v>
      </c>
      <c r="E989" t="s">
        <v>1116</v>
      </c>
      <c r="F989" t="s">
        <v>1068</v>
      </c>
      <c r="G989" t="s">
        <v>1085</v>
      </c>
      <c r="H989">
        <v>-5.2960419309603102E-2</v>
      </c>
      <c r="I989" t="s">
        <v>1086</v>
      </c>
      <c r="J989">
        <v>2.6</v>
      </c>
    </row>
    <row r="990" spans="1:10" hidden="1">
      <c r="A990" t="s">
        <v>1422</v>
      </c>
      <c r="B990" t="s">
        <v>1423</v>
      </c>
      <c r="C990" t="s">
        <v>1066</v>
      </c>
      <c r="D990" t="s">
        <v>1396</v>
      </c>
      <c r="E990" t="s">
        <v>1116</v>
      </c>
      <c r="F990" t="s">
        <v>1068</v>
      </c>
      <c r="G990" t="s">
        <v>1087</v>
      </c>
      <c r="H990" s="170">
        <v>-1.04549301153033E-6</v>
      </c>
      <c r="I990" t="s">
        <v>1088</v>
      </c>
      <c r="J990">
        <v>2.6</v>
      </c>
    </row>
    <row r="991" spans="1:10" hidden="1">
      <c r="A991" t="s">
        <v>1422</v>
      </c>
      <c r="B991" t="s">
        <v>1423</v>
      </c>
      <c r="C991" t="s">
        <v>1066</v>
      </c>
      <c r="D991" t="s">
        <v>1396</v>
      </c>
      <c r="E991" t="s">
        <v>1116</v>
      </c>
      <c r="F991" t="s">
        <v>1068</v>
      </c>
      <c r="G991" t="s">
        <v>1089</v>
      </c>
      <c r="H991">
        <v>-1.42726562695112E-2</v>
      </c>
      <c r="I991" t="s">
        <v>1090</v>
      </c>
      <c r="J991">
        <v>2.6</v>
      </c>
    </row>
    <row r="992" spans="1:10" hidden="1">
      <c r="A992" t="s">
        <v>1425</v>
      </c>
      <c r="B992" t="s">
        <v>1426</v>
      </c>
      <c r="C992" t="s">
        <v>1066</v>
      </c>
      <c r="D992" t="s">
        <v>1427</v>
      </c>
      <c r="E992" t="s">
        <v>561</v>
      </c>
      <c r="F992" t="s">
        <v>1068</v>
      </c>
      <c r="G992" t="s">
        <v>1069</v>
      </c>
      <c r="H992">
        <v>-0.316136172734724</v>
      </c>
      <c r="I992" t="s">
        <v>1070</v>
      </c>
      <c r="J992">
        <v>2.54</v>
      </c>
    </row>
    <row r="993" spans="1:10" hidden="1">
      <c r="A993" t="s">
        <v>1425</v>
      </c>
      <c r="B993" t="s">
        <v>1426</v>
      </c>
      <c r="C993" t="s">
        <v>1066</v>
      </c>
      <c r="D993" t="s">
        <v>1427</v>
      </c>
      <c r="E993" t="s">
        <v>561</v>
      </c>
      <c r="F993" t="s">
        <v>1068</v>
      </c>
      <c r="G993" t="s">
        <v>1071</v>
      </c>
      <c r="H993" s="170">
        <v>-6.6676872741535898E-10</v>
      </c>
      <c r="I993" t="s">
        <v>1072</v>
      </c>
      <c r="J993">
        <v>2.54</v>
      </c>
    </row>
    <row r="994" spans="1:10" hidden="1">
      <c r="A994" t="s">
        <v>1425</v>
      </c>
      <c r="B994" t="s">
        <v>1426</v>
      </c>
      <c r="C994" t="s">
        <v>1066</v>
      </c>
      <c r="D994" t="s">
        <v>1427</v>
      </c>
      <c r="E994" t="s">
        <v>561</v>
      </c>
      <c r="F994" t="s">
        <v>1068</v>
      </c>
      <c r="G994" t="s">
        <v>1073</v>
      </c>
      <c r="H994" s="170">
        <v>-1.5148545086714601E-7</v>
      </c>
      <c r="I994" t="s">
        <v>1074</v>
      </c>
      <c r="J994">
        <v>2.54</v>
      </c>
    </row>
    <row r="995" spans="1:10" hidden="1">
      <c r="A995" t="s">
        <v>1425</v>
      </c>
      <c r="B995" t="s">
        <v>1426</v>
      </c>
      <c r="C995" t="s">
        <v>1066</v>
      </c>
      <c r="D995" t="s">
        <v>1427</v>
      </c>
      <c r="E995" t="s">
        <v>561</v>
      </c>
      <c r="F995" t="s">
        <v>1068</v>
      </c>
      <c r="G995" t="s">
        <v>1075</v>
      </c>
      <c r="H995">
        <v>6.8935141796491198E-2</v>
      </c>
      <c r="I995" t="s">
        <v>1077</v>
      </c>
      <c r="J995">
        <v>2.54</v>
      </c>
    </row>
    <row r="996" spans="1:10" hidden="1">
      <c r="A996" t="s">
        <v>1425</v>
      </c>
      <c r="B996" t="s">
        <v>1426</v>
      </c>
      <c r="C996" t="s">
        <v>1066</v>
      </c>
      <c r="D996" t="s">
        <v>1427</v>
      </c>
      <c r="E996" t="s">
        <v>561</v>
      </c>
      <c r="F996" t="s">
        <v>1068</v>
      </c>
      <c r="G996" t="s">
        <v>1078</v>
      </c>
      <c r="H996">
        <v>-2.5576650575192899</v>
      </c>
      <c r="I996" t="s">
        <v>1079</v>
      </c>
      <c r="J996">
        <v>2.54</v>
      </c>
    </row>
    <row r="997" spans="1:10" hidden="1">
      <c r="A997" t="s">
        <v>1425</v>
      </c>
      <c r="B997" t="s">
        <v>1426</v>
      </c>
      <c r="C997" t="s">
        <v>1066</v>
      </c>
      <c r="D997" t="s">
        <v>1427</v>
      </c>
      <c r="E997" t="s">
        <v>561</v>
      </c>
      <c r="F997" t="s">
        <v>1068</v>
      </c>
      <c r="G997" t="s">
        <v>1080</v>
      </c>
      <c r="H997" s="171" t="s">
        <v>1428</v>
      </c>
      <c r="I997" t="s">
        <v>1082</v>
      </c>
      <c r="J997">
        <v>2.54</v>
      </c>
    </row>
    <row r="998" spans="1:10" hidden="1">
      <c r="A998" t="s">
        <v>1425</v>
      </c>
      <c r="B998" t="s">
        <v>1426</v>
      </c>
      <c r="C998" t="s">
        <v>1066</v>
      </c>
      <c r="D998" t="s">
        <v>1427</v>
      </c>
      <c r="E998" t="s">
        <v>561</v>
      </c>
      <c r="F998" t="s">
        <v>1068</v>
      </c>
      <c r="G998" t="s">
        <v>1083</v>
      </c>
      <c r="H998">
        <v>-1.80579684912709E-3</v>
      </c>
      <c r="I998" t="s">
        <v>1084</v>
      </c>
      <c r="J998">
        <v>2.54</v>
      </c>
    </row>
    <row r="999" spans="1:10" hidden="1">
      <c r="A999" t="s">
        <v>1425</v>
      </c>
      <c r="B999" t="s">
        <v>1426</v>
      </c>
      <c r="C999" t="s">
        <v>1066</v>
      </c>
      <c r="D999" t="s">
        <v>1427</v>
      </c>
      <c r="E999" t="s">
        <v>561</v>
      </c>
      <c r="F999" t="s">
        <v>1068</v>
      </c>
      <c r="G999" t="s">
        <v>1085</v>
      </c>
      <c r="H999">
        <v>-4.91961542040186E-2</v>
      </c>
      <c r="I999" t="s">
        <v>1086</v>
      </c>
      <c r="J999">
        <v>2.54</v>
      </c>
    </row>
    <row r="1000" spans="1:10" hidden="1">
      <c r="A1000" t="s">
        <v>1425</v>
      </c>
      <c r="B1000" t="s">
        <v>1426</v>
      </c>
      <c r="C1000" t="s">
        <v>1066</v>
      </c>
      <c r="D1000" t="s">
        <v>1427</v>
      </c>
      <c r="E1000" t="s">
        <v>561</v>
      </c>
      <c r="F1000" t="s">
        <v>1068</v>
      </c>
      <c r="G1000" t="s">
        <v>1087</v>
      </c>
      <c r="H1000" s="170">
        <v>-4.5355631657158398E-6</v>
      </c>
      <c r="I1000" t="s">
        <v>1088</v>
      </c>
      <c r="J1000">
        <v>2.54</v>
      </c>
    </row>
    <row r="1001" spans="1:10" hidden="1">
      <c r="A1001" t="s">
        <v>1425</v>
      </c>
      <c r="B1001" t="s">
        <v>1426</v>
      </c>
      <c r="C1001" t="s">
        <v>1066</v>
      </c>
      <c r="D1001" t="s">
        <v>1427</v>
      </c>
      <c r="E1001" t="s">
        <v>561</v>
      </c>
      <c r="F1001" t="s">
        <v>1068</v>
      </c>
      <c r="G1001" t="s">
        <v>1089</v>
      </c>
      <c r="H1001">
        <v>-1.31513330920264E-2</v>
      </c>
      <c r="I1001" t="s">
        <v>1090</v>
      </c>
      <c r="J1001">
        <v>2.54</v>
      </c>
    </row>
    <row r="1002" spans="1:10" hidden="1">
      <c r="A1002" t="s">
        <v>1429</v>
      </c>
      <c r="B1002" t="s">
        <v>1430</v>
      </c>
      <c r="C1002" t="s">
        <v>1066</v>
      </c>
      <c r="D1002" t="s">
        <v>1427</v>
      </c>
      <c r="E1002" t="s">
        <v>555</v>
      </c>
      <c r="F1002" t="s">
        <v>1068</v>
      </c>
      <c r="G1002" t="s">
        <v>1069</v>
      </c>
      <c r="H1002">
        <v>-0.34592077007498701</v>
      </c>
      <c r="I1002" t="s">
        <v>1070</v>
      </c>
      <c r="J1002">
        <v>2.04</v>
      </c>
    </row>
    <row r="1003" spans="1:10" hidden="1">
      <c r="A1003" t="s">
        <v>1429</v>
      </c>
      <c r="B1003" t="s">
        <v>1430</v>
      </c>
      <c r="C1003" t="s">
        <v>1066</v>
      </c>
      <c r="D1003" t="s">
        <v>1427</v>
      </c>
      <c r="E1003" t="s">
        <v>555</v>
      </c>
      <c r="F1003" t="s">
        <v>1068</v>
      </c>
      <c r="G1003" t="s">
        <v>1071</v>
      </c>
      <c r="H1003" s="170">
        <v>-7.0938506109371804E-10</v>
      </c>
      <c r="I1003" t="s">
        <v>1072</v>
      </c>
      <c r="J1003">
        <v>2.04</v>
      </c>
    </row>
    <row r="1004" spans="1:10" hidden="1">
      <c r="A1004" t="s">
        <v>1429</v>
      </c>
      <c r="B1004" t="s">
        <v>1430</v>
      </c>
      <c r="C1004" t="s">
        <v>1066</v>
      </c>
      <c r="D1004" t="s">
        <v>1427</v>
      </c>
      <c r="E1004" t="s">
        <v>555</v>
      </c>
      <c r="F1004" t="s">
        <v>1068</v>
      </c>
      <c r="G1004" t="s">
        <v>1073</v>
      </c>
      <c r="H1004" s="170">
        <v>-1.6206556271710301E-7</v>
      </c>
      <c r="I1004" t="s">
        <v>1074</v>
      </c>
      <c r="J1004">
        <v>2.04</v>
      </c>
    </row>
    <row r="1005" spans="1:10" hidden="1">
      <c r="A1005" t="s">
        <v>1429</v>
      </c>
      <c r="B1005" t="s">
        <v>1430</v>
      </c>
      <c r="C1005" t="s">
        <v>1066</v>
      </c>
      <c r="D1005" t="s">
        <v>1427</v>
      </c>
      <c r="E1005" t="s">
        <v>555</v>
      </c>
      <c r="F1005" t="s">
        <v>1068</v>
      </c>
      <c r="G1005" t="s">
        <v>1075</v>
      </c>
      <c r="H1005">
        <v>6.7997408211537103E-2</v>
      </c>
      <c r="I1005" t="s">
        <v>1077</v>
      </c>
      <c r="J1005">
        <v>2.04</v>
      </c>
    </row>
    <row r="1006" spans="1:10" hidden="1">
      <c r="A1006" t="s">
        <v>1429</v>
      </c>
      <c r="B1006" t="s">
        <v>1430</v>
      </c>
      <c r="C1006" t="s">
        <v>1066</v>
      </c>
      <c r="D1006" t="s">
        <v>1427</v>
      </c>
      <c r="E1006" t="s">
        <v>555</v>
      </c>
      <c r="F1006" t="s">
        <v>1068</v>
      </c>
      <c r="G1006" t="s">
        <v>1078</v>
      </c>
      <c r="H1006">
        <v>-2.59677628032569</v>
      </c>
      <c r="I1006" t="s">
        <v>1079</v>
      </c>
      <c r="J1006">
        <v>2.04</v>
      </c>
    </row>
    <row r="1007" spans="1:10" hidden="1">
      <c r="A1007" t="s">
        <v>1429</v>
      </c>
      <c r="B1007" t="s">
        <v>1430</v>
      </c>
      <c r="C1007" t="s">
        <v>1066</v>
      </c>
      <c r="D1007" t="s">
        <v>1427</v>
      </c>
      <c r="E1007" t="s">
        <v>555</v>
      </c>
      <c r="F1007" t="s">
        <v>1068</v>
      </c>
      <c r="G1007" t="s">
        <v>1080</v>
      </c>
      <c r="H1007" s="171" t="s">
        <v>1431</v>
      </c>
      <c r="I1007" t="s">
        <v>1082</v>
      </c>
      <c r="J1007">
        <v>2.04</v>
      </c>
    </row>
    <row r="1008" spans="1:10" hidden="1">
      <c r="A1008" t="s">
        <v>1429</v>
      </c>
      <c r="B1008" t="s">
        <v>1430</v>
      </c>
      <c r="C1008" t="s">
        <v>1066</v>
      </c>
      <c r="D1008" t="s">
        <v>1427</v>
      </c>
      <c r="E1008" t="s">
        <v>555</v>
      </c>
      <c r="F1008" t="s">
        <v>1068</v>
      </c>
      <c r="G1008" t="s">
        <v>1083</v>
      </c>
      <c r="H1008">
        <v>-1.8103245001610401E-3</v>
      </c>
      <c r="I1008" t="s">
        <v>1084</v>
      </c>
      <c r="J1008">
        <v>2.04</v>
      </c>
    </row>
    <row r="1009" spans="1:10" hidden="1">
      <c r="A1009" t="s">
        <v>1429</v>
      </c>
      <c r="B1009" t="s">
        <v>1430</v>
      </c>
      <c r="C1009" t="s">
        <v>1066</v>
      </c>
      <c r="D1009" t="s">
        <v>1427</v>
      </c>
      <c r="E1009" t="s">
        <v>555</v>
      </c>
      <c r="F1009" t="s">
        <v>1068</v>
      </c>
      <c r="G1009" t="s">
        <v>1085</v>
      </c>
      <c r="H1009">
        <v>-4.9247305481763599E-2</v>
      </c>
      <c r="I1009" t="s">
        <v>1086</v>
      </c>
      <c r="J1009">
        <v>2.04</v>
      </c>
    </row>
    <row r="1010" spans="1:10" hidden="1">
      <c r="A1010" t="s">
        <v>1429</v>
      </c>
      <c r="B1010" t="s">
        <v>1430</v>
      </c>
      <c r="C1010" t="s">
        <v>1066</v>
      </c>
      <c r="D1010" t="s">
        <v>1427</v>
      </c>
      <c r="E1010" t="s">
        <v>555</v>
      </c>
      <c r="F1010" t="s">
        <v>1068</v>
      </c>
      <c r="G1010" t="s">
        <v>1087</v>
      </c>
      <c r="H1010" s="170">
        <v>-4.5600717087727897E-6</v>
      </c>
      <c r="I1010" t="s">
        <v>1088</v>
      </c>
      <c r="J1010">
        <v>2.04</v>
      </c>
    </row>
    <row r="1011" spans="1:10" hidden="1">
      <c r="A1011" t="s">
        <v>1429</v>
      </c>
      <c r="B1011" t="s">
        <v>1430</v>
      </c>
      <c r="C1011" t="s">
        <v>1066</v>
      </c>
      <c r="D1011" t="s">
        <v>1427</v>
      </c>
      <c r="E1011" t="s">
        <v>555</v>
      </c>
      <c r="F1011" t="s">
        <v>1068</v>
      </c>
      <c r="G1011" t="s">
        <v>1089</v>
      </c>
      <c r="H1011">
        <v>-1.3161889047898201E-2</v>
      </c>
      <c r="I1011" t="s">
        <v>1090</v>
      </c>
      <c r="J1011">
        <v>2.04</v>
      </c>
    </row>
    <row r="1012" spans="1:10" hidden="1">
      <c r="A1012" t="s">
        <v>1432</v>
      </c>
      <c r="B1012" t="s">
        <v>1433</v>
      </c>
      <c r="C1012" t="s">
        <v>1066</v>
      </c>
      <c r="D1012" t="s">
        <v>1427</v>
      </c>
      <c r="E1012" t="s">
        <v>558</v>
      </c>
      <c r="F1012" t="s">
        <v>1068</v>
      </c>
      <c r="G1012" t="s">
        <v>1069</v>
      </c>
      <c r="H1012">
        <v>-0.31349877618828398</v>
      </c>
      <c r="I1012" t="s">
        <v>1070</v>
      </c>
      <c r="J1012">
        <v>2.54</v>
      </c>
    </row>
    <row r="1013" spans="1:10" hidden="1">
      <c r="A1013" t="s">
        <v>1432</v>
      </c>
      <c r="B1013" t="s">
        <v>1433</v>
      </c>
      <c r="C1013" t="s">
        <v>1066</v>
      </c>
      <c r="D1013" t="s">
        <v>1427</v>
      </c>
      <c r="E1013" t="s">
        <v>558</v>
      </c>
      <c r="F1013" t="s">
        <v>1068</v>
      </c>
      <c r="G1013" t="s">
        <v>1071</v>
      </c>
      <c r="H1013" s="170">
        <v>-6.6299458295204996E-10</v>
      </c>
      <c r="I1013" t="s">
        <v>1072</v>
      </c>
      <c r="J1013">
        <v>2.54</v>
      </c>
    </row>
    <row r="1014" spans="1:10" hidden="1">
      <c r="A1014" t="s">
        <v>1432</v>
      </c>
      <c r="B1014" t="s">
        <v>1433</v>
      </c>
      <c r="C1014" t="s">
        <v>1066</v>
      </c>
      <c r="D1014" t="s">
        <v>1427</v>
      </c>
      <c r="E1014" t="s">
        <v>558</v>
      </c>
      <c r="F1014" t="s">
        <v>1068</v>
      </c>
      <c r="G1014" t="s">
        <v>1073</v>
      </c>
      <c r="H1014" s="170">
        <v>-1.5054863926862E-7</v>
      </c>
      <c r="I1014" t="s">
        <v>1074</v>
      </c>
      <c r="J1014">
        <v>2.54</v>
      </c>
    </row>
    <row r="1015" spans="1:10" hidden="1">
      <c r="A1015" t="s">
        <v>1432</v>
      </c>
      <c r="B1015" t="s">
        <v>1433</v>
      </c>
      <c r="C1015" t="s">
        <v>1066</v>
      </c>
      <c r="D1015" t="s">
        <v>1427</v>
      </c>
      <c r="E1015" t="s">
        <v>558</v>
      </c>
      <c r="F1015" t="s">
        <v>1068</v>
      </c>
      <c r="G1015" t="s">
        <v>1075</v>
      </c>
      <c r="H1015">
        <v>6.9018512718773906E-2</v>
      </c>
      <c r="I1015" t="s">
        <v>1077</v>
      </c>
      <c r="J1015">
        <v>2.54</v>
      </c>
    </row>
    <row r="1016" spans="1:10" hidden="1">
      <c r="A1016" t="s">
        <v>1432</v>
      </c>
      <c r="B1016" t="s">
        <v>1433</v>
      </c>
      <c r="C1016" t="s">
        <v>1066</v>
      </c>
      <c r="D1016" t="s">
        <v>1427</v>
      </c>
      <c r="E1016" t="s">
        <v>558</v>
      </c>
      <c r="F1016" t="s">
        <v>1068</v>
      </c>
      <c r="G1016" t="s">
        <v>1078</v>
      </c>
      <c r="H1016">
        <v>-2.55405977724527</v>
      </c>
      <c r="I1016" t="s">
        <v>1079</v>
      </c>
      <c r="J1016">
        <v>2.54</v>
      </c>
    </row>
    <row r="1017" spans="1:10" hidden="1">
      <c r="A1017" t="s">
        <v>1432</v>
      </c>
      <c r="B1017" t="s">
        <v>1433</v>
      </c>
      <c r="C1017" t="s">
        <v>1066</v>
      </c>
      <c r="D1017" t="s">
        <v>1427</v>
      </c>
      <c r="E1017" t="s">
        <v>558</v>
      </c>
      <c r="F1017" t="s">
        <v>1068</v>
      </c>
      <c r="G1017" t="s">
        <v>1080</v>
      </c>
      <c r="H1017" s="171" t="s">
        <v>1434</v>
      </c>
      <c r="I1017" t="s">
        <v>1082</v>
      </c>
      <c r="J1017">
        <v>2.54</v>
      </c>
    </row>
    <row r="1018" spans="1:10" hidden="1">
      <c r="A1018" t="s">
        <v>1432</v>
      </c>
      <c r="B1018" t="s">
        <v>1433</v>
      </c>
      <c r="C1018" t="s">
        <v>1066</v>
      </c>
      <c r="D1018" t="s">
        <v>1427</v>
      </c>
      <c r="E1018" t="s">
        <v>558</v>
      </c>
      <c r="F1018" t="s">
        <v>1068</v>
      </c>
      <c r="G1018" t="s">
        <v>1083</v>
      </c>
      <c r="H1018">
        <v>-1.8053959631444199E-3</v>
      </c>
      <c r="I1018" t="s">
        <v>1084</v>
      </c>
      <c r="J1018">
        <v>2.54</v>
      </c>
    </row>
    <row r="1019" spans="1:10" hidden="1">
      <c r="A1019" t="s">
        <v>1432</v>
      </c>
      <c r="B1019" t="s">
        <v>1433</v>
      </c>
      <c r="C1019" t="s">
        <v>1066</v>
      </c>
      <c r="D1019" t="s">
        <v>1427</v>
      </c>
      <c r="E1019" t="s">
        <v>558</v>
      </c>
      <c r="F1019" t="s">
        <v>1068</v>
      </c>
      <c r="G1019" t="s">
        <v>1085</v>
      </c>
      <c r="H1019">
        <v>-4.9191623378786999E-2</v>
      </c>
      <c r="I1019" t="s">
        <v>1086</v>
      </c>
      <c r="J1019">
        <v>2.54</v>
      </c>
    </row>
    <row r="1020" spans="1:10" hidden="1">
      <c r="A1020" t="s">
        <v>1432</v>
      </c>
      <c r="B1020" t="s">
        <v>1433</v>
      </c>
      <c r="C1020" t="s">
        <v>1066</v>
      </c>
      <c r="D1020" t="s">
        <v>1427</v>
      </c>
      <c r="E1020" t="s">
        <v>558</v>
      </c>
      <c r="F1020" t="s">
        <v>1068</v>
      </c>
      <c r="G1020" t="s">
        <v>1087</v>
      </c>
      <c r="H1020" s="170">
        <v>-4.5333765687712796E-6</v>
      </c>
      <c r="I1020" t="s">
        <v>1088</v>
      </c>
      <c r="J1020">
        <v>2.54</v>
      </c>
    </row>
    <row r="1021" spans="1:10" hidden="1">
      <c r="A1021" t="s">
        <v>1432</v>
      </c>
      <c r="B1021" t="s">
        <v>1433</v>
      </c>
      <c r="C1021" t="s">
        <v>1066</v>
      </c>
      <c r="D1021" t="s">
        <v>1427</v>
      </c>
      <c r="E1021" t="s">
        <v>558</v>
      </c>
      <c r="F1021" t="s">
        <v>1068</v>
      </c>
      <c r="G1021" t="s">
        <v>1089</v>
      </c>
      <c r="H1021">
        <v>-1.31503983917283E-2</v>
      </c>
      <c r="I1021" t="s">
        <v>1090</v>
      </c>
      <c r="J1021">
        <v>2.54</v>
      </c>
    </row>
    <row r="1022" spans="1:10" hidden="1">
      <c r="A1022" t="s">
        <v>1435</v>
      </c>
      <c r="B1022" t="s">
        <v>1436</v>
      </c>
      <c r="C1022" t="s">
        <v>1066</v>
      </c>
      <c r="D1022" t="s">
        <v>1427</v>
      </c>
      <c r="E1022" t="s">
        <v>553</v>
      </c>
      <c r="F1022" t="s">
        <v>1068</v>
      </c>
      <c r="G1022" t="s">
        <v>1069</v>
      </c>
      <c r="H1022">
        <v>-0.31091328941534302</v>
      </c>
      <c r="I1022" t="s">
        <v>1070</v>
      </c>
      <c r="J1022">
        <v>2.54</v>
      </c>
    </row>
    <row r="1023" spans="1:10" hidden="1">
      <c r="A1023" t="s">
        <v>1435</v>
      </c>
      <c r="B1023" t="s">
        <v>1436</v>
      </c>
      <c r="C1023" t="s">
        <v>1066</v>
      </c>
      <c r="D1023" t="s">
        <v>1427</v>
      </c>
      <c r="E1023" t="s">
        <v>553</v>
      </c>
      <c r="F1023" t="s">
        <v>1068</v>
      </c>
      <c r="G1023" t="s">
        <v>1071</v>
      </c>
      <c r="H1023" s="170">
        <v>-6.5928895799407598E-10</v>
      </c>
      <c r="I1023" t="s">
        <v>1072</v>
      </c>
      <c r="J1023">
        <v>2.54</v>
      </c>
    </row>
    <row r="1024" spans="1:10" hidden="1">
      <c r="A1024" t="s">
        <v>1435</v>
      </c>
      <c r="B1024" t="s">
        <v>1436</v>
      </c>
      <c r="C1024" t="s">
        <v>1066</v>
      </c>
      <c r="D1024" t="s">
        <v>1427</v>
      </c>
      <c r="E1024" t="s">
        <v>553</v>
      </c>
      <c r="F1024" t="s">
        <v>1068</v>
      </c>
      <c r="G1024" t="s">
        <v>1073</v>
      </c>
      <c r="H1024" s="170">
        <v>-1.49630794816402E-7</v>
      </c>
      <c r="I1024" t="s">
        <v>1074</v>
      </c>
      <c r="J1024">
        <v>2.54</v>
      </c>
    </row>
    <row r="1025" spans="1:10" hidden="1">
      <c r="A1025" t="s">
        <v>1435</v>
      </c>
      <c r="B1025" t="s">
        <v>1436</v>
      </c>
      <c r="C1025" t="s">
        <v>1066</v>
      </c>
      <c r="D1025" t="s">
        <v>1427</v>
      </c>
      <c r="E1025" t="s">
        <v>553</v>
      </c>
      <c r="F1025" t="s">
        <v>1068</v>
      </c>
      <c r="G1025" t="s">
        <v>1075</v>
      </c>
      <c r="H1025">
        <v>6.9104032072616298E-2</v>
      </c>
      <c r="I1025" t="s">
        <v>1077</v>
      </c>
      <c r="J1025">
        <v>2.54</v>
      </c>
    </row>
    <row r="1026" spans="1:10" hidden="1">
      <c r="A1026" t="s">
        <v>1435</v>
      </c>
      <c r="B1026" t="s">
        <v>1436</v>
      </c>
      <c r="C1026" t="s">
        <v>1066</v>
      </c>
      <c r="D1026" t="s">
        <v>1427</v>
      </c>
      <c r="E1026" t="s">
        <v>553</v>
      </c>
      <c r="F1026" t="s">
        <v>1068</v>
      </c>
      <c r="G1026" t="s">
        <v>1078</v>
      </c>
      <c r="H1026">
        <v>-2.5489215958880802</v>
      </c>
      <c r="I1026" t="s">
        <v>1079</v>
      </c>
      <c r="J1026">
        <v>2.54</v>
      </c>
    </row>
    <row r="1027" spans="1:10" hidden="1">
      <c r="A1027" t="s">
        <v>1435</v>
      </c>
      <c r="B1027" t="s">
        <v>1436</v>
      </c>
      <c r="C1027" t="s">
        <v>1066</v>
      </c>
      <c r="D1027" t="s">
        <v>1427</v>
      </c>
      <c r="E1027" t="s">
        <v>553</v>
      </c>
      <c r="F1027" t="s">
        <v>1068</v>
      </c>
      <c r="G1027" t="s">
        <v>1080</v>
      </c>
      <c r="H1027" s="171" t="s">
        <v>1437</v>
      </c>
      <c r="I1027" t="s">
        <v>1082</v>
      </c>
      <c r="J1027">
        <v>2.54</v>
      </c>
    </row>
    <row r="1028" spans="1:10" hidden="1">
      <c r="A1028" t="s">
        <v>1435</v>
      </c>
      <c r="B1028" t="s">
        <v>1436</v>
      </c>
      <c r="C1028" t="s">
        <v>1066</v>
      </c>
      <c r="D1028" t="s">
        <v>1427</v>
      </c>
      <c r="E1028" t="s">
        <v>553</v>
      </c>
      <c r="F1028" t="s">
        <v>1068</v>
      </c>
      <c r="G1028" t="s">
        <v>1083</v>
      </c>
      <c r="H1028">
        <v>-1.8050033404348E-3</v>
      </c>
      <c r="I1028" t="s">
        <v>1084</v>
      </c>
      <c r="J1028">
        <v>2.54</v>
      </c>
    </row>
    <row r="1029" spans="1:10" hidden="1">
      <c r="A1029" t="s">
        <v>1435</v>
      </c>
      <c r="B1029" t="s">
        <v>1436</v>
      </c>
      <c r="C1029" t="s">
        <v>1066</v>
      </c>
      <c r="D1029" t="s">
        <v>1427</v>
      </c>
      <c r="E1029" t="s">
        <v>553</v>
      </c>
      <c r="F1029" t="s">
        <v>1068</v>
      </c>
      <c r="G1029" t="s">
        <v>1085</v>
      </c>
      <c r="H1029">
        <v>-4.9187165577174202E-2</v>
      </c>
      <c r="I1029" t="s">
        <v>1086</v>
      </c>
      <c r="J1029">
        <v>2.54</v>
      </c>
    </row>
    <row r="1030" spans="1:10" hidden="1">
      <c r="A1030" t="s">
        <v>1435</v>
      </c>
      <c r="B1030" t="s">
        <v>1436</v>
      </c>
      <c r="C1030" t="s">
        <v>1066</v>
      </c>
      <c r="D1030" t="s">
        <v>1427</v>
      </c>
      <c r="E1030" t="s">
        <v>553</v>
      </c>
      <c r="F1030" t="s">
        <v>1068</v>
      </c>
      <c r="G1030" t="s">
        <v>1087</v>
      </c>
      <c r="H1030" s="170">
        <v>-4.5310479162182102E-6</v>
      </c>
      <c r="I1030" t="s">
        <v>1088</v>
      </c>
      <c r="J1030">
        <v>2.54</v>
      </c>
    </row>
    <row r="1031" spans="1:10" hidden="1">
      <c r="A1031" t="s">
        <v>1435</v>
      </c>
      <c r="B1031" t="s">
        <v>1436</v>
      </c>
      <c r="C1031" t="s">
        <v>1066</v>
      </c>
      <c r="D1031" t="s">
        <v>1427</v>
      </c>
      <c r="E1031" t="s">
        <v>553</v>
      </c>
      <c r="F1031" t="s">
        <v>1068</v>
      </c>
      <c r="G1031" t="s">
        <v>1089</v>
      </c>
      <c r="H1031">
        <v>-1.3149482304341899E-2</v>
      </c>
      <c r="I1031" t="s">
        <v>1090</v>
      </c>
      <c r="J1031">
        <v>2.54</v>
      </c>
    </row>
    <row r="1032" spans="1:10" hidden="1">
      <c r="A1032" t="s">
        <v>1438</v>
      </c>
      <c r="B1032" t="s">
        <v>1439</v>
      </c>
      <c r="C1032" t="s">
        <v>1066</v>
      </c>
      <c r="D1032" t="s">
        <v>1427</v>
      </c>
      <c r="E1032" t="s">
        <v>556</v>
      </c>
      <c r="F1032" t="s">
        <v>1068</v>
      </c>
      <c r="G1032" t="s">
        <v>1069</v>
      </c>
      <c r="H1032">
        <v>-0.34263030799210797</v>
      </c>
      <c r="I1032" t="s">
        <v>1070</v>
      </c>
      <c r="J1032">
        <v>2.56</v>
      </c>
    </row>
    <row r="1033" spans="1:10" hidden="1">
      <c r="A1033" t="s">
        <v>1438</v>
      </c>
      <c r="B1033" t="s">
        <v>1439</v>
      </c>
      <c r="C1033" t="s">
        <v>1066</v>
      </c>
      <c r="D1033" t="s">
        <v>1427</v>
      </c>
      <c r="E1033" t="s">
        <v>556</v>
      </c>
      <c r="F1033" t="s">
        <v>1068</v>
      </c>
      <c r="G1033" t="s">
        <v>1071</v>
      </c>
      <c r="H1033" s="170">
        <v>-7.0464424547989705E-10</v>
      </c>
      <c r="I1033" t="s">
        <v>1072</v>
      </c>
      <c r="J1033">
        <v>2.56</v>
      </c>
    </row>
    <row r="1034" spans="1:10" hidden="1">
      <c r="A1034" t="s">
        <v>1438</v>
      </c>
      <c r="B1034" t="s">
        <v>1439</v>
      </c>
      <c r="C1034" t="s">
        <v>1066</v>
      </c>
      <c r="D1034" t="s">
        <v>1427</v>
      </c>
      <c r="E1034" t="s">
        <v>556</v>
      </c>
      <c r="F1034" t="s">
        <v>1068</v>
      </c>
      <c r="G1034" t="s">
        <v>1073</v>
      </c>
      <c r="H1034" s="170">
        <v>-1.60895860307817E-7</v>
      </c>
      <c r="I1034" t="s">
        <v>1074</v>
      </c>
      <c r="J1034">
        <v>2.56</v>
      </c>
    </row>
    <row r="1035" spans="1:10" hidden="1">
      <c r="A1035" t="s">
        <v>1438</v>
      </c>
      <c r="B1035" t="s">
        <v>1439</v>
      </c>
      <c r="C1035" t="s">
        <v>1066</v>
      </c>
      <c r="D1035" t="s">
        <v>1427</v>
      </c>
      <c r="E1035" t="s">
        <v>556</v>
      </c>
      <c r="F1035" t="s">
        <v>1068</v>
      </c>
      <c r="G1035" t="s">
        <v>1075</v>
      </c>
      <c r="H1035">
        <v>6.8115481108572198E-2</v>
      </c>
      <c r="I1035" t="s">
        <v>1077</v>
      </c>
      <c r="J1035">
        <v>2.56</v>
      </c>
    </row>
    <row r="1036" spans="1:10" hidden="1">
      <c r="A1036" t="s">
        <v>1438</v>
      </c>
      <c r="B1036" t="s">
        <v>1439</v>
      </c>
      <c r="C1036" t="s">
        <v>1066</v>
      </c>
      <c r="D1036" t="s">
        <v>1427</v>
      </c>
      <c r="E1036" t="s">
        <v>556</v>
      </c>
      <c r="F1036" t="s">
        <v>1068</v>
      </c>
      <c r="G1036" t="s">
        <v>1078</v>
      </c>
      <c r="H1036">
        <v>-2.5864136483045601</v>
      </c>
      <c r="I1036" t="s">
        <v>1079</v>
      </c>
      <c r="J1036">
        <v>2.56</v>
      </c>
    </row>
    <row r="1037" spans="1:10" hidden="1">
      <c r="A1037" t="s">
        <v>1438</v>
      </c>
      <c r="B1037" t="s">
        <v>1439</v>
      </c>
      <c r="C1037" t="s">
        <v>1066</v>
      </c>
      <c r="D1037" t="s">
        <v>1427</v>
      </c>
      <c r="E1037" t="s">
        <v>556</v>
      </c>
      <c r="F1037" t="s">
        <v>1068</v>
      </c>
      <c r="G1037" t="s">
        <v>1080</v>
      </c>
      <c r="H1037" s="171" t="s">
        <v>1440</v>
      </c>
      <c r="I1037" t="s">
        <v>1082</v>
      </c>
      <c r="J1037">
        <v>2.56</v>
      </c>
    </row>
    <row r="1038" spans="1:10" hidden="1">
      <c r="A1038" t="s">
        <v>1438</v>
      </c>
      <c r="B1038" t="s">
        <v>1439</v>
      </c>
      <c r="C1038" t="s">
        <v>1066</v>
      </c>
      <c r="D1038" t="s">
        <v>1427</v>
      </c>
      <c r="E1038" t="s">
        <v>556</v>
      </c>
      <c r="F1038" t="s">
        <v>1068</v>
      </c>
      <c r="G1038" t="s">
        <v>1083</v>
      </c>
      <c r="H1038">
        <v>-1.8098243436207499E-3</v>
      </c>
      <c r="I1038" t="s">
        <v>1084</v>
      </c>
      <c r="J1038">
        <v>2.56</v>
      </c>
    </row>
    <row r="1039" spans="1:10" hidden="1">
      <c r="A1039" t="s">
        <v>1438</v>
      </c>
      <c r="B1039" t="s">
        <v>1439</v>
      </c>
      <c r="C1039" t="s">
        <v>1066</v>
      </c>
      <c r="D1039" t="s">
        <v>1427</v>
      </c>
      <c r="E1039" t="s">
        <v>556</v>
      </c>
      <c r="F1039" t="s">
        <v>1068</v>
      </c>
      <c r="G1039" t="s">
        <v>1085</v>
      </c>
      <c r="H1039">
        <v>-4.9241578758126098E-2</v>
      </c>
      <c r="I1039" t="s">
        <v>1086</v>
      </c>
      <c r="J1039">
        <v>2.56</v>
      </c>
    </row>
    <row r="1040" spans="1:10" hidden="1">
      <c r="A1040" t="s">
        <v>1438</v>
      </c>
      <c r="B1040" t="s">
        <v>1439</v>
      </c>
      <c r="C1040" t="s">
        <v>1066</v>
      </c>
      <c r="D1040" t="s">
        <v>1427</v>
      </c>
      <c r="E1040" t="s">
        <v>556</v>
      </c>
      <c r="F1040" t="s">
        <v>1068</v>
      </c>
      <c r="G1040" t="s">
        <v>1087</v>
      </c>
      <c r="H1040" s="170">
        <v>-4.5573436972632104E-6</v>
      </c>
      <c r="I1040" t="s">
        <v>1088</v>
      </c>
      <c r="J1040">
        <v>2.56</v>
      </c>
    </row>
    <row r="1041" spans="1:10" hidden="1">
      <c r="A1041" t="s">
        <v>1438</v>
      </c>
      <c r="B1041" t="s">
        <v>1439</v>
      </c>
      <c r="C1041" t="s">
        <v>1066</v>
      </c>
      <c r="D1041" t="s">
        <v>1427</v>
      </c>
      <c r="E1041" t="s">
        <v>556</v>
      </c>
      <c r="F1041" t="s">
        <v>1068</v>
      </c>
      <c r="G1041" t="s">
        <v>1089</v>
      </c>
      <c r="H1041">
        <v>-1.31607229101802E-2</v>
      </c>
      <c r="I1041" t="s">
        <v>1090</v>
      </c>
      <c r="J1041">
        <v>2.56</v>
      </c>
    </row>
    <row r="1042" spans="1:10" hidden="1">
      <c r="A1042" t="s">
        <v>1441</v>
      </c>
      <c r="B1042" t="s">
        <v>1442</v>
      </c>
      <c r="C1042" t="s">
        <v>1066</v>
      </c>
      <c r="D1042" t="s">
        <v>1427</v>
      </c>
      <c r="E1042" t="s">
        <v>557</v>
      </c>
      <c r="F1042" t="s">
        <v>1068</v>
      </c>
      <c r="G1042" t="s">
        <v>1069</v>
      </c>
      <c r="H1042">
        <v>-0.32439237061922299</v>
      </c>
      <c r="I1042" t="s">
        <v>1070</v>
      </c>
      <c r="J1042">
        <v>2.57</v>
      </c>
    </row>
    <row r="1043" spans="1:10" hidden="1">
      <c r="A1043" t="s">
        <v>1441</v>
      </c>
      <c r="B1043" t="s">
        <v>1442</v>
      </c>
      <c r="C1043" t="s">
        <v>1066</v>
      </c>
      <c r="D1043" t="s">
        <v>1427</v>
      </c>
      <c r="E1043" t="s">
        <v>557</v>
      </c>
      <c r="F1043" t="s">
        <v>1068</v>
      </c>
      <c r="G1043" t="s">
        <v>1071</v>
      </c>
      <c r="H1043" s="170">
        <v>-6.7858344051788203E-10</v>
      </c>
      <c r="I1043" t="s">
        <v>1072</v>
      </c>
      <c r="J1043">
        <v>2.57</v>
      </c>
    </row>
    <row r="1044" spans="1:10" hidden="1">
      <c r="A1044" t="s">
        <v>1441</v>
      </c>
      <c r="B1044" t="s">
        <v>1442</v>
      </c>
      <c r="C1044" t="s">
        <v>1066</v>
      </c>
      <c r="D1044" t="s">
        <v>1427</v>
      </c>
      <c r="E1044" t="s">
        <v>557</v>
      </c>
      <c r="F1044" t="s">
        <v>1068</v>
      </c>
      <c r="G1044" t="s">
        <v>1073</v>
      </c>
      <c r="H1044" s="170">
        <v>-1.54418078479921E-7</v>
      </c>
      <c r="I1044" t="s">
        <v>1074</v>
      </c>
      <c r="J1044">
        <v>2.57</v>
      </c>
    </row>
    <row r="1045" spans="1:10" hidden="1">
      <c r="A1045" t="s">
        <v>1441</v>
      </c>
      <c r="B1045" t="s">
        <v>1442</v>
      </c>
      <c r="C1045" t="s">
        <v>1066</v>
      </c>
      <c r="D1045" t="s">
        <v>1427</v>
      </c>
      <c r="E1045" t="s">
        <v>557</v>
      </c>
      <c r="F1045" t="s">
        <v>1068</v>
      </c>
      <c r="G1045" t="s">
        <v>1075</v>
      </c>
      <c r="H1045">
        <v>6.8674154561517903E-2</v>
      </c>
      <c r="I1045" t="s">
        <v>1077</v>
      </c>
      <c r="J1045">
        <v>2.57</v>
      </c>
    </row>
    <row r="1046" spans="1:10" hidden="1">
      <c r="A1046" t="s">
        <v>1441</v>
      </c>
      <c r="B1046" t="s">
        <v>1442</v>
      </c>
      <c r="C1046" t="s">
        <v>1066</v>
      </c>
      <c r="D1046" t="s">
        <v>1427</v>
      </c>
      <c r="E1046" t="s">
        <v>557</v>
      </c>
      <c r="F1046" t="s">
        <v>1068</v>
      </c>
      <c r="G1046" t="s">
        <v>1078</v>
      </c>
      <c r="H1046">
        <v>-2.56895115229015</v>
      </c>
      <c r="I1046" t="s">
        <v>1079</v>
      </c>
      <c r="J1046">
        <v>2.57</v>
      </c>
    </row>
    <row r="1047" spans="1:10" hidden="1">
      <c r="A1047" t="s">
        <v>1441</v>
      </c>
      <c r="B1047" t="s">
        <v>1442</v>
      </c>
      <c r="C1047" t="s">
        <v>1066</v>
      </c>
      <c r="D1047" t="s">
        <v>1427</v>
      </c>
      <c r="E1047" t="s">
        <v>557</v>
      </c>
      <c r="F1047" t="s">
        <v>1068</v>
      </c>
      <c r="G1047" t="s">
        <v>1080</v>
      </c>
      <c r="H1047" s="171" t="s">
        <v>1443</v>
      </c>
      <c r="I1047" t="s">
        <v>1082</v>
      </c>
      <c r="J1047">
        <v>2.57</v>
      </c>
    </row>
    <row r="1048" spans="1:10" hidden="1">
      <c r="A1048" t="s">
        <v>1441</v>
      </c>
      <c r="B1048" t="s">
        <v>1442</v>
      </c>
      <c r="C1048" t="s">
        <v>1066</v>
      </c>
      <c r="D1048" t="s">
        <v>1427</v>
      </c>
      <c r="E1048" t="s">
        <v>557</v>
      </c>
      <c r="F1048" t="s">
        <v>1068</v>
      </c>
      <c r="G1048" t="s">
        <v>1083</v>
      </c>
      <c r="H1048">
        <v>-1.8070517965510799E-3</v>
      </c>
      <c r="I1048" t="s">
        <v>1084</v>
      </c>
      <c r="J1048">
        <v>2.57</v>
      </c>
    </row>
    <row r="1049" spans="1:10" hidden="1">
      <c r="A1049" t="s">
        <v>1441</v>
      </c>
      <c r="B1049" t="s">
        <v>1442</v>
      </c>
      <c r="C1049" t="s">
        <v>1066</v>
      </c>
      <c r="D1049" t="s">
        <v>1427</v>
      </c>
      <c r="E1049" t="s">
        <v>557</v>
      </c>
      <c r="F1049" t="s">
        <v>1068</v>
      </c>
      <c r="G1049" t="s">
        <v>1085</v>
      </c>
      <c r="H1049">
        <v>-4.9210337656917402E-2</v>
      </c>
      <c r="I1049" t="s">
        <v>1086</v>
      </c>
      <c r="J1049">
        <v>2.57</v>
      </c>
    </row>
    <row r="1050" spans="1:10" hidden="1">
      <c r="A1050" t="s">
        <v>1441</v>
      </c>
      <c r="B1050" t="s">
        <v>1442</v>
      </c>
      <c r="C1050" t="s">
        <v>1066</v>
      </c>
      <c r="D1050" t="s">
        <v>1427</v>
      </c>
      <c r="E1050" t="s">
        <v>557</v>
      </c>
      <c r="F1050" t="s">
        <v>1068</v>
      </c>
      <c r="G1050" t="s">
        <v>1087</v>
      </c>
      <c r="H1050" s="170">
        <v>-4.5424081648466504E-6</v>
      </c>
      <c r="I1050" t="s">
        <v>1088</v>
      </c>
      <c r="J1050">
        <v>2.57</v>
      </c>
    </row>
    <row r="1051" spans="1:10" hidden="1">
      <c r="A1051" t="s">
        <v>1441</v>
      </c>
      <c r="B1051" t="s">
        <v>1442</v>
      </c>
      <c r="C1051" t="s">
        <v>1066</v>
      </c>
      <c r="D1051" t="s">
        <v>1427</v>
      </c>
      <c r="E1051" t="s">
        <v>557</v>
      </c>
      <c r="F1051" t="s">
        <v>1068</v>
      </c>
      <c r="G1051" t="s">
        <v>1089</v>
      </c>
      <c r="H1051">
        <v>-1.3154259110350799E-2</v>
      </c>
      <c r="I1051" t="s">
        <v>1090</v>
      </c>
      <c r="J1051">
        <v>2.57</v>
      </c>
    </row>
    <row r="1052" spans="1:10" hidden="1">
      <c r="A1052" t="s">
        <v>1444</v>
      </c>
      <c r="B1052" t="s">
        <v>1445</v>
      </c>
      <c r="C1052" t="s">
        <v>1066</v>
      </c>
      <c r="D1052" t="s">
        <v>1427</v>
      </c>
      <c r="E1052" t="s">
        <v>559</v>
      </c>
      <c r="F1052" t="s">
        <v>1068</v>
      </c>
      <c r="G1052" t="s">
        <v>1069</v>
      </c>
      <c r="H1052">
        <v>-0.333202696576756</v>
      </c>
      <c r="I1052" t="s">
        <v>1070</v>
      </c>
      <c r="J1052">
        <v>2.04</v>
      </c>
    </row>
    <row r="1053" spans="1:10" hidden="1">
      <c r="A1053" t="s">
        <v>1444</v>
      </c>
      <c r="B1053" t="s">
        <v>1445</v>
      </c>
      <c r="C1053" t="s">
        <v>1066</v>
      </c>
      <c r="D1053" t="s">
        <v>1427</v>
      </c>
      <c r="E1053" t="s">
        <v>559</v>
      </c>
      <c r="F1053" t="s">
        <v>1068</v>
      </c>
      <c r="G1053" t="s">
        <v>1071</v>
      </c>
      <c r="H1053" s="170">
        <v>-6.9118535322569403E-10</v>
      </c>
      <c r="I1053" t="s">
        <v>1072</v>
      </c>
      <c r="J1053">
        <v>2.04</v>
      </c>
    </row>
    <row r="1054" spans="1:10" hidden="1">
      <c r="A1054" t="s">
        <v>1444</v>
      </c>
      <c r="B1054" t="s">
        <v>1445</v>
      </c>
      <c r="C1054" t="s">
        <v>1066</v>
      </c>
      <c r="D1054" t="s">
        <v>1427</v>
      </c>
      <c r="E1054" t="s">
        <v>559</v>
      </c>
      <c r="F1054" t="s">
        <v>1068</v>
      </c>
      <c r="G1054" t="s">
        <v>1073</v>
      </c>
      <c r="H1054" s="170">
        <v>-1.57548062768096E-7</v>
      </c>
      <c r="I1054" t="s">
        <v>1074</v>
      </c>
      <c r="J1054">
        <v>2.04</v>
      </c>
    </row>
    <row r="1055" spans="1:10" hidden="1">
      <c r="A1055" t="s">
        <v>1444</v>
      </c>
      <c r="B1055" t="s">
        <v>1445</v>
      </c>
      <c r="C1055" t="s">
        <v>1066</v>
      </c>
      <c r="D1055" t="s">
        <v>1427</v>
      </c>
      <c r="E1055" t="s">
        <v>559</v>
      </c>
      <c r="F1055" t="s">
        <v>1068</v>
      </c>
      <c r="G1055" t="s">
        <v>1075</v>
      </c>
      <c r="H1055">
        <v>6.8399440101145695E-2</v>
      </c>
      <c r="I1055" t="s">
        <v>1077</v>
      </c>
      <c r="J1055">
        <v>2.04</v>
      </c>
    </row>
    <row r="1056" spans="1:10" hidden="1">
      <c r="A1056" t="s">
        <v>1444</v>
      </c>
      <c r="B1056" t="s">
        <v>1445</v>
      </c>
      <c r="C1056" t="s">
        <v>1066</v>
      </c>
      <c r="D1056" t="s">
        <v>1427</v>
      </c>
      <c r="E1056" t="s">
        <v>559</v>
      </c>
      <c r="F1056" t="s">
        <v>1068</v>
      </c>
      <c r="G1056" t="s">
        <v>1078</v>
      </c>
      <c r="H1056">
        <v>-2.57939087062358</v>
      </c>
      <c r="I1056" t="s">
        <v>1079</v>
      </c>
      <c r="J1056">
        <v>2.04</v>
      </c>
    </row>
    <row r="1057" spans="1:10" hidden="1">
      <c r="A1057" t="s">
        <v>1444</v>
      </c>
      <c r="B1057" t="s">
        <v>1445</v>
      </c>
      <c r="C1057" t="s">
        <v>1066</v>
      </c>
      <c r="D1057" t="s">
        <v>1427</v>
      </c>
      <c r="E1057" t="s">
        <v>559</v>
      </c>
      <c r="F1057" t="s">
        <v>1068</v>
      </c>
      <c r="G1057" t="s">
        <v>1080</v>
      </c>
      <c r="H1057" s="171" t="s">
        <v>1446</v>
      </c>
      <c r="I1057" t="s">
        <v>1082</v>
      </c>
      <c r="J1057">
        <v>2.04</v>
      </c>
    </row>
    <row r="1058" spans="1:10" hidden="1">
      <c r="A1058" t="s">
        <v>1444</v>
      </c>
      <c r="B1058" t="s">
        <v>1445</v>
      </c>
      <c r="C1058" t="s">
        <v>1066</v>
      </c>
      <c r="D1058" t="s">
        <v>1427</v>
      </c>
      <c r="E1058" t="s">
        <v>559</v>
      </c>
      <c r="F1058" t="s">
        <v>1068</v>
      </c>
      <c r="G1058" t="s">
        <v>1083</v>
      </c>
      <c r="H1058">
        <v>-1.80839134475487E-3</v>
      </c>
      <c r="I1058" t="s">
        <v>1084</v>
      </c>
      <c r="J1058">
        <v>2.04</v>
      </c>
    </row>
    <row r="1059" spans="1:10" hidden="1">
      <c r="A1059" t="s">
        <v>1444</v>
      </c>
      <c r="B1059" t="s">
        <v>1445</v>
      </c>
      <c r="C1059" t="s">
        <v>1066</v>
      </c>
      <c r="D1059" t="s">
        <v>1427</v>
      </c>
      <c r="E1059" t="s">
        <v>559</v>
      </c>
      <c r="F1059" t="s">
        <v>1068</v>
      </c>
      <c r="G1059" t="s">
        <v>1085</v>
      </c>
      <c r="H1059">
        <v>-4.9225456902193598E-2</v>
      </c>
      <c r="I1059" t="s">
        <v>1086</v>
      </c>
      <c r="J1059">
        <v>2.04</v>
      </c>
    </row>
    <row r="1060" spans="1:10" hidden="1">
      <c r="A1060" t="s">
        <v>1444</v>
      </c>
      <c r="B1060" t="s">
        <v>1445</v>
      </c>
      <c r="C1060" t="s">
        <v>1066</v>
      </c>
      <c r="D1060" t="s">
        <v>1427</v>
      </c>
      <c r="E1060" t="s">
        <v>559</v>
      </c>
      <c r="F1060" t="s">
        <v>1068</v>
      </c>
      <c r="G1060" t="s">
        <v>1087</v>
      </c>
      <c r="H1060" s="170">
        <v>-4.5495274845113703E-6</v>
      </c>
      <c r="I1060" t="s">
        <v>1088</v>
      </c>
      <c r="J1060">
        <v>2.04</v>
      </c>
    </row>
    <row r="1061" spans="1:10" hidden="1">
      <c r="A1061" t="s">
        <v>1444</v>
      </c>
      <c r="B1061" t="s">
        <v>1445</v>
      </c>
      <c r="C1061" t="s">
        <v>1066</v>
      </c>
      <c r="D1061" t="s">
        <v>1427</v>
      </c>
      <c r="E1061" t="s">
        <v>559</v>
      </c>
      <c r="F1061" t="s">
        <v>1068</v>
      </c>
      <c r="G1061" t="s">
        <v>1089</v>
      </c>
      <c r="H1061">
        <v>-1.3157381729078099E-2</v>
      </c>
      <c r="I1061" t="s">
        <v>1090</v>
      </c>
      <c r="J1061">
        <v>2.04</v>
      </c>
    </row>
    <row r="1062" spans="1:10" hidden="1">
      <c r="A1062" t="s">
        <v>1447</v>
      </c>
      <c r="B1062" t="s">
        <v>1448</v>
      </c>
      <c r="C1062" t="s">
        <v>1066</v>
      </c>
      <c r="D1062" t="s">
        <v>1427</v>
      </c>
      <c r="E1062" t="s">
        <v>560</v>
      </c>
      <c r="F1062" t="s">
        <v>1068</v>
      </c>
      <c r="G1062" t="s">
        <v>1069</v>
      </c>
      <c r="H1062">
        <v>-0.33020228764890402</v>
      </c>
      <c r="I1062" t="s">
        <v>1070</v>
      </c>
      <c r="J1062">
        <v>2.54</v>
      </c>
    </row>
    <row r="1063" spans="1:10" hidden="1">
      <c r="A1063" t="s">
        <v>1447</v>
      </c>
      <c r="B1063" t="s">
        <v>1448</v>
      </c>
      <c r="C1063" t="s">
        <v>1066</v>
      </c>
      <c r="D1063" t="s">
        <v>1427</v>
      </c>
      <c r="E1063" t="s">
        <v>560</v>
      </c>
      <c r="F1063" t="s">
        <v>1068</v>
      </c>
      <c r="G1063" t="s">
        <v>1071</v>
      </c>
      <c r="H1063" s="170">
        <v>-6.8689749788599602E-10</v>
      </c>
      <c r="I1063" t="s">
        <v>1072</v>
      </c>
      <c r="J1063">
        <v>2.54</v>
      </c>
    </row>
    <row r="1064" spans="1:10" hidden="1">
      <c r="A1064" t="s">
        <v>1447</v>
      </c>
      <c r="B1064" t="s">
        <v>1448</v>
      </c>
      <c r="C1064" t="s">
        <v>1066</v>
      </c>
      <c r="D1064" t="s">
        <v>1427</v>
      </c>
      <c r="E1064" t="s">
        <v>560</v>
      </c>
      <c r="F1064" t="s">
        <v>1068</v>
      </c>
      <c r="G1064" t="s">
        <v>1073</v>
      </c>
      <c r="H1064" s="170">
        <v>-1.5648177939255499E-7</v>
      </c>
      <c r="I1064" t="s">
        <v>1074</v>
      </c>
      <c r="J1064">
        <v>2.54</v>
      </c>
    </row>
    <row r="1065" spans="1:10" hidden="1">
      <c r="A1065" t="s">
        <v>1447</v>
      </c>
      <c r="B1065" t="s">
        <v>1448</v>
      </c>
      <c r="C1065" t="s">
        <v>1066</v>
      </c>
      <c r="D1065" t="s">
        <v>1427</v>
      </c>
      <c r="E1065" t="s">
        <v>560</v>
      </c>
      <c r="F1065" t="s">
        <v>1068</v>
      </c>
      <c r="G1065" t="s">
        <v>1075</v>
      </c>
      <c r="H1065">
        <v>6.8490496877649507E-2</v>
      </c>
      <c r="I1065" t="s">
        <v>1077</v>
      </c>
      <c r="J1065">
        <v>2.54</v>
      </c>
    </row>
    <row r="1066" spans="1:10" hidden="1">
      <c r="A1066" t="s">
        <v>1447</v>
      </c>
      <c r="B1066" t="s">
        <v>1448</v>
      </c>
      <c r="C1066" t="s">
        <v>1066</v>
      </c>
      <c r="D1066" t="s">
        <v>1427</v>
      </c>
      <c r="E1066" t="s">
        <v>560</v>
      </c>
      <c r="F1066" t="s">
        <v>1068</v>
      </c>
      <c r="G1066" t="s">
        <v>1078</v>
      </c>
      <c r="H1066">
        <v>-2.5768932189807301</v>
      </c>
      <c r="I1066" t="s">
        <v>1079</v>
      </c>
      <c r="J1066">
        <v>2.54</v>
      </c>
    </row>
    <row r="1067" spans="1:10" hidden="1">
      <c r="A1067" t="s">
        <v>1447</v>
      </c>
      <c r="B1067" t="s">
        <v>1448</v>
      </c>
      <c r="C1067" t="s">
        <v>1066</v>
      </c>
      <c r="D1067" t="s">
        <v>1427</v>
      </c>
      <c r="E1067" t="s">
        <v>560</v>
      </c>
      <c r="F1067" t="s">
        <v>1068</v>
      </c>
      <c r="G1067" t="s">
        <v>1080</v>
      </c>
      <c r="H1067" s="171" t="s">
        <v>1449</v>
      </c>
      <c r="I1067" t="s">
        <v>1082</v>
      </c>
      <c r="J1067">
        <v>2.54</v>
      </c>
    </row>
    <row r="1068" spans="1:10" hidden="1">
      <c r="A1068" t="s">
        <v>1447</v>
      </c>
      <c r="B1068" t="s">
        <v>1448</v>
      </c>
      <c r="C1068" t="s">
        <v>1066</v>
      </c>
      <c r="D1068" t="s">
        <v>1427</v>
      </c>
      <c r="E1068" t="s">
        <v>560</v>
      </c>
      <c r="F1068" t="s">
        <v>1068</v>
      </c>
      <c r="G1068" t="s">
        <v>1083</v>
      </c>
      <c r="H1068">
        <v>-1.8079349077012999E-3</v>
      </c>
      <c r="I1068" t="s">
        <v>1084</v>
      </c>
      <c r="J1068">
        <v>2.54</v>
      </c>
    </row>
    <row r="1069" spans="1:10" hidden="1">
      <c r="A1069" t="s">
        <v>1447</v>
      </c>
      <c r="B1069" t="s">
        <v>1448</v>
      </c>
      <c r="C1069" t="s">
        <v>1066</v>
      </c>
      <c r="D1069" t="s">
        <v>1427</v>
      </c>
      <c r="E1069" t="s">
        <v>560</v>
      </c>
      <c r="F1069" t="s">
        <v>1068</v>
      </c>
      <c r="G1069" t="s">
        <v>1085</v>
      </c>
      <c r="H1069">
        <v>-4.9220318605253499E-2</v>
      </c>
      <c r="I1069" t="s">
        <v>1086</v>
      </c>
      <c r="J1069">
        <v>2.54</v>
      </c>
    </row>
    <row r="1070" spans="1:10" hidden="1">
      <c r="A1070" t="s">
        <v>1447</v>
      </c>
      <c r="B1070" t="s">
        <v>1448</v>
      </c>
      <c r="C1070" t="s">
        <v>1066</v>
      </c>
      <c r="D1070" t="s">
        <v>1427</v>
      </c>
      <c r="E1070" t="s">
        <v>560</v>
      </c>
      <c r="F1070" t="s">
        <v>1068</v>
      </c>
      <c r="G1070" t="s">
        <v>1087</v>
      </c>
      <c r="H1070" s="170">
        <v>-4.5472250160868399E-6</v>
      </c>
      <c r="I1070" t="s">
        <v>1088</v>
      </c>
      <c r="J1070">
        <v>2.54</v>
      </c>
    </row>
    <row r="1071" spans="1:10" hidden="1">
      <c r="A1071" t="s">
        <v>1447</v>
      </c>
      <c r="B1071" t="s">
        <v>1448</v>
      </c>
      <c r="C1071" t="s">
        <v>1066</v>
      </c>
      <c r="D1071" t="s">
        <v>1427</v>
      </c>
      <c r="E1071" t="s">
        <v>560</v>
      </c>
      <c r="F1071" t="s">
        <v>1068</v>
      </c>
      <c r="G1071" t="s">
        <v>1089</v>
      </c>
      <c r="H1071">
        <v>-1.3156318160282799E-2</v>
      </c>
      <c r="I1071" t="s">
        <v>1090</v>
      </c>
      <c r="J1071">
        <v>2.54</v>
      </c>
    </row>
    <row r="1072" spans="1:10" hidden="1">
      <c r="A1072" t="s">
        <v>1450</v>
      </c>
      <c r="B1072" t="s">
        <v>1451</v>
      </c>
      <c r="C1072" t="s">
        <v>1066</v>
      </c>
      <c r="D1072" t="s">
        <v>1427</v>
      </c>
      <c r="E1072" t="s">
        <v>1116</v>
      </c>
      <c r="F1072" t="s">
        <v>1068</v>
      </c>
      <c r="G1072" t="s">
        <v>1069</v>
      </c>
      <c r="H1072">
        <v>-0.31256860518806301</v>
      </c>
      <c r="I1072" t="s">
        <v>1070</v>
      </c>
      <c r="J1072">
        <v>2.0499999999999998</v>
      </c>
    </row>
    <row r="1073" spans="1:10" hidden="1">
      <c r="A1073" t="s">
        <v>1450</v>
      </c>
      <c r="B1073" t="s">
        <v>1451</v>
      </c>
      <c r="C1073" t="s">
        <v>1066</v>
      </c>
      <c r="D1073" t="s">
        <v>1427</v>
      </c>
      <c r="E1073" t="s">
        <v>1116</v>
      </c>
      <c r="F1073" t="s">
        <v>1068</v>
      </c>
      <c r="G1073" t="s">
        <v>1071</v>
      </c>
      <c r="H1073" s="170">
        <v>-6.6166349766827799E-10</v>
      </c>
      <c r="I1073" t="s">
        <v>1072</v>
      </c>
      <c r="J1073">
        <v>2.0499999999999998</v>
      </c>
    </row>
    <row r="1074" spans="1:10" hidden="1">
      <c r="A1074" t="s">
        <v>1450</v>
      </c>
      <c r="B1074" t="s">
        <v>1451</v>
      </c>
      <c r="C1074" t="s">
        <v>1066</v>
      </c>
      <c r="D1074" t="s">
        <v>1427</v>
      </c>
      <c r="E1074" t="s">
        <v>1116</v>
      </c>
      <c r="F1074" t="s">
        <v>1068</v>
      </c>
      <c r="G1074" t="s">
        <v>1073</v>
      </c>
      <c r="H1074" s="170">
        <v>-1.50218239586101E-7</v>
      </c>
      <c r="I1074" t="s">
        <v>1074</v>
      </c>
      <c r="J1074">
        <v>2.0499999999999998</v>
      </c>
    </row>
    <row r="1075" spans="1:10" hidden="1">
      <c r="A1075" t="s">
        <v>1450</v>
      </c>
      <c r="B1075" t="s">
        <v>1451</v>
      </c>
      <c r="C1075" t="s">
        <v>1066</v>
      </c>
      <c r="D1075" t="s">
        <v>1427</v>
      </c>
      <c r="E1075" t="s">
        <v>1116</v>
      </c>
      <c r="F1075" t="s">
        <v>1068</v>
      </c>
      <c r="G1075" t="s">
        <v>1075</v>
      </c>
      <c r="H1075">
        <v>6.9047916417764602E-2</v>
      </c>
      <c r="I1075" t="s">
        <v>1077</v>
      </c>
      <c r="J1075">
        <v>2.0499999999999998</v>
      </c>
    </row>
    <row r="1076" spans="1:10" hidden="1">
      <c r="A1076" t="s">
        <v>1450</v>
      </c>
      <c r="B1076" t="s">
        <v>1451</v>
      </c>
      <c r="C1076" t="s">
        <v>1066</v>
      </c>
      <c r="D1076" t="s">
        <v>1427</v>
      </c>
      <c r="E1076" t="s">
        <v>1116</v>
      </c>
      <c r="F1076" t="s">
        <v>1068</v>
      </c>
      <c r="G1076" t="s">
        <v>1078</v>
      </c>
      <c r="H1076">
        <v>-2.5527882478792798</v>
      </c>
      <c r="I1076" t="s">
        <v>1079</v>
      </c>
      <c r="J1076">
        <v>2.0499999999999998</v>
      </c>
    </row>
    <row r="1077" spans="1:10" hidden="1">
      <c r="A1077" t="s">
        <v>1450</v>
      </c>
      <c r="B1077" t="s">
        <v>1451</v>
      </c>
      <c r="C1077" t="s">
        <v>1066</v>
      </c>
      <c r="D1077" t="s">
        <v>1427</v>
      </c>
      <c r="E1077" t="s">
        <v>1116</v>
      </c>
      <c r="F1077" t="s">
        <v>1068</v>
      </c>
      <c r="G1077" t="s">
        <v>1080</v>
      </c>
      <c r="H1077" s="171" t="s">
        <v>1452</v>
      </c>
      <c r="I1077" t="s">
        <v>1082</v>
      </c>
      <c r="J1077">
        <v>2.0499999999999998</v>
      </c>
    </row>
    <row r="1078" spans="1:10" hidden="1">
      <c r="A1078" t="s">
        <v>1450</v>
      </c>
      <c r="B1078" t="s">
        <v>1451</v>
      </c>
      <c r="C1078" t="s">
        <v>1066</v>
      </c>
      <c r="D1078" t="s">
        <v>1427</v>
      </c>
      <c r="E1078" t="s">
        <v>1116</v>
      </c>
      <c r="F1078" t="s">
        <v>1068</v>
      </c>
      <c r="G1078" t="s">
        <v>1083</v>
      </c>
      <c r="H1078">
        <v>-1.8052545765501399E-3</v>
      </c>
      <c r="I1078" t="s">
        <v>1084</v>
      </c>
      <c r="J1078">
        <v>2.0499999999999998</v>
      </c>
    </row>
    <row r="1079" spans="1:10" hidden="1">
      <c r="A1079" t="s">
        <v>1450</v>
      </c>
      <c r="B1079" t="s">
        <v>1451</v>
      </c>
      <c r="C1079" t="s">
        <v>1066</v>
      </c>
      <c r="D1079" t="s">
        <v>1427</v>
      </c>
      <c r="E1079" t="s">
        <v>1116</v>
      </c>
      <c r="F1079" t="s">
        <v>1068</v>
      </c>
      <c r="G1079" t="s">
        <v>1085</v>
      </c>
      <c r="H1079">
        <v>-4.9190025423317199E-2</v>
      </c>
      <c r="I1079" t="s">
        <v>1086</v>
      </c>
      <c r="J1079">
        <v>2.0499999999999998</v>
      </c>
    </row>
    <row r="1080" spans="1:10" hidden="1">
      <c r="A1080" t="s">
        <v>1450</v>
      </c>
      <c r="B1080" t="s">
        <v>1451</v>
      </c>
      <c r="C1080" t="s">
        <v>1066</v>
      </c>
      <c r="D1080" t="s">
        <v>1427</v>
      </c>
      <c r="E1080" t="s">
        <v>1116</v>
      </c>
      <c r="F1080" t="s">
        <v>1068</v>
      </c>
      <c r="G1080" t="s">
        <v>1087</v>
      </c>
      <c r="H1080" s="170">
        <v>-4.5326053881652503E-6</v>
      </c>
      <c r="I1080" t="s">
        <v>1088</v>
      </c>
      <c r="J1080">
        <v>2.0499999999999998</v>
      </c>
    </row>
    <row r="1081" spans="1:10" hidden="1">
      <c r="A1081" t="s">
        <v>1450</v>
      </c>
      <c r="B1081" t="s">
        <v>1451</v>
      </c>
      <c r="C1081" t="s">
        <v>1066</v>
      </c>
      <c r="D1081" t="s">
        <v>1427</v>
      </c>
      <c r="E1081" t="s">
        <v>1116</v>
      </c>
      <c r="F1081" t="s">
        <v>1068</v>
      </c>
      <c r="G1081" t="s">
        <v>1089</v>
      </c>
      <c r="H1081">
        <v>-1.3150068736670399E-2</v>
      </c>
      <c r="I1081" t="s">
        <v>1090</v>
      </c>
      <c r="J1081">
        <v>2.0499999999999998</v>
      </c>
    </row>
    <row r="1082" spans="1:10" hidden="1">
      <c r="A1082" t="s">
        <v>1453</v>
      </c>
      <c r="B1082" t="s">
        <v>1454</v>
      </c>
      <c r="C1082" t="s">
        <v>1066</v>
      </c>
      <c r="D1082" t="s">
        <v>1455</v>
      </c>
      <c r="E1082" t="s">
        <v>561</v>
      </c>
      <c r="F1082" t="s">
        <v>1068</v>
      </c>
      <c r="G1082" t="s">
        <v>1069</v>
      </c>
      <c r="H1082" s="171" t="s">
        <v>1456</v>
      </c>
      <c r="I1082" t="s">
        <v>1070</v>
      </c>
      <c r="J1082">
        <v>2.54</v>
      </c>
    </row>
    <row r="1083" spans="1:10" hidden="1">
      <c r="A1083" t="s">
        <v>1453</v>
      </c>
      <c r="B1083" t="s">
        <v>1454</v>
      </c>
      <c r="C1083" t="s">
        <v>1066</v>
      </c>
      <c r="D1083" t="s">
        <v>1455</v>
      </c>
      <c r="E1083" t="s">
        <v>561</v>
      </c>
      <c r="F1083" t="s">
        <v>1068</v>
      </c>
      <c r="G1083" t="s">
        <v>1071</v>
      </c>
      <c r="H1083" s="170">
        <v>-5.0443464686066803E-10</v>
      </c>
      <c r="I1083" t="s">
        <v>1072</v>
      </c>
      <c r="J1083">
        <v>2.54</v>
      </c>
    </row>
    <row r="1084" spans="1:10" hidden="1">
      <c r="A1084" t="s">
        <v>1453</v>
      </c>
      <c r="B1084" t="s">
        <v>1454</v>
      </c>
      <c r="C1084" t="s">
        <v>1066</v>
      </c>
      <c r="D1084" t="s">
        <v>1455</v>
      </c>
      <c r="E1084" t="s">
        <v>561</v>
      </c>
      <c r="F1084" t="s">
        <v>1068</v>
      </c>
      <c r="G1084" t="s">
        <v>1073</v>
      </c>
      <c r="H1084" s="171" t="s">
        <v>1457</v>
      </c>
      <c r="I1084" t="s">
        <v>1074</v>
      </c>
      <c r="J1084">
        <v>2.54</v>
      </c>
    </row>
    <row r="1085" spans="1:10" hidden="1">
      <c r="A1085" t="s">
        <v>1453</v>
      </c>
      <c r="B1085" t="s">
        <v>1454</v>
      </c>
      <c r="C1085" t="s">
        <v>1066</v>
      </c>
      <c r="D1085" t="s">
        <v>1455</v>
      </c>
      <c r="E1085" t="s">
        <v>561</v>
      </c>
      <c r="F1085" t="s">
        <v>1068</v>
      </c>
      <c r="G1085" t="s">
        <v>1075</v>
      </c>
      <c r="H1085" s="171" t="s">
        <v>1458</v>
      </c>
      <c r="I1085" t="s">
        <v>1077</v>
      </c>
      <c r="J1085">
        <v>2.54</v>
      </c>
    </row>
    <row r="1086" spans="1:10" hidden="1">
      <c r="A1086" t="s">
        <v>1453</v>
      </c>
      <c r="B1086" t="s">
        <v>1454</v>
      </c>
      <c r="C1086" t="s">
        <v>1066</v>
      </c>
      <c r="D1086" t="s">
        <v>1455</v>
      </c>
      <c r="E1086" t="s">
        <v>561</v>
      </c>
      <c r="F1086" t="s">
        <v>1068</v>
      </c>
      <c r="G1086" t="s">
        <v>1078</v>
      </c>
      <c r="H1086">
        <v>-3.7771259933506598</v>
      </c>
      <c r="I1086" t="s">
        <v>1079</v>
      </c>
      <c r="J1086">
        <v>2.54</v>
      </c>
    </row>
    <row r="1087" spans="1:10" hidden="1">
      <c r="A1087" t="s">
        <v>1453</v>
      </c>
      <c r="B1087" t="s">
        <v>1454</v>
      </c>
      <c r="C1087" t="s">
        <v>1066</v>
      </c>
      <c r="D1087" t="s">
        <v>1455</v>
      </c>
      <c r="E1087" t="s">
        <v>561</v>
      </c>
      <c r="F1087" t="s">
        <v>1068</v>
      </c>
      <c r="G1087" t="s">
        <v>1080</v>
      </c>
      <c r="H1087" s="171" t="s">
        <v>1459</v>
      </c>
      <c r="I1087" t="s">
        <v>1082</v>
      </c>
      <c r="J1087">
        <v>2.54</v>
      </c>
    </row>
    <row r="1088" spans="1:10" hidden="1">
      <c r="A1088" t="s">
        <v>1453</v>
      </c>
      <c r="B1088" t="s">
        <v>1454</v>
      </c>
      <c r="C1088" t="s">
        <v>1066</v>
      </c>
      <c r="D1088" t="s">
        <v>1455</v>
      </c>
      <c r="E1088" t="s">
        <v>561</v>
      </c>
      <c r="F1088" t="s">
        <v>1068</v>
      </c>
      <c r="G1088" t="s">
        <v>1083</v>
      </c>
      <c r="H1088">
        <v>-2.4687177311881001E-3</v>
      </c>
      <c r="I1088" t="s">
        <v>1084</v>
      </c>
      <c r="J1088">
        <v>2.54</v>
      </c>
    </row>
    <row r="1089" spans="1:10" hidden="1">
      <c r="A1089" t="s">
        <v>1453</v>
      </c>
      <c r="B1089" t="s">
        <v>1454</v>
      </c>
      <c r="C1089" t="s">
        <v>1066</v>
      </c>
      <c r="D1089" t="s">
        <v>1455</v>
      </c>
      <c r="E1089" t="s">
        <v>561</v>
      </c>
      <c r="F1089" t="s">
        <v>1068</v>
      </c>
      <c r="G1089" t="s">
        <v>1085</v>
      </c>
      <c r="H1089">
        <v>-6.9219613180018E-2</v>
      </c>
      <c r="I1089" t="s">
        <v>1086</v>
      </c>
      <c r="J1089">
        <v>2.54</v>
      </c>
    </row>
    <row r="1090" spans="1:10" hidden="1">
      <c r="A1090" t="s">
        <v>1453</v>
      </c>
      <c r="B1090" t="s">
        <v>1454</v>
      </c>
      <c r="C1090" t="s">
        <v>1066</v>
      </c>
      <c r="D1090" t="s">
        <v>1455</v>
      </c>
      <c r="E1090" t="s">
        <v>561</v>
      </c>
      <c r="F1090" t="s">
        <v>1068</v>
      </c>
      <c r="G1090" t="s">
        <v>1087</v>
      </c>
      <c r="H1090" s="170">
        <v>-4.8710474318909999E-8</v>
      </c>
      <c r="I1090" t="s">
        <v>1088</v>
      </c>
      <c r="J1090">
        <v>2.54</v>
      </c>
    </row>
    <row r="1091" spans="1:10" hidden="1">
      <c r="A1091" t="s">
        <v>1453</v>
      </c>
      <c r="B1091" t="s">
        <v>1454</v>
      </c>
      <c r="C1091" t="s">
        <v>1066</v>
      </c>
      <c r="D1091" t="s">
        <v>1455</v>
      </c>
      <c r="E1091" t="s">
        <v>561</v>
      </c>
      <c r="F1091" t="s">
        <v>1068</v>
      </c>
      <c r="G1091" t="s">
        <v>1089</v>
      </c>
      <c r="H1091">
        <v>-1.87878812592705E-2</v>
      </c>
      <c r="I1091" t="s">
        <v>1090</v>
      </c>
      <c r="J1091">
        <v>2.54</v>
      </c>
    </row>
    <row r="1092" spans="1:10" hidden="1">
      <c r="A1092" t="s">
        <v>1460</v>
      </c>
      <c r="B1092" t="s">
        <v>1461</v>
      </c>
      <c r="C1092" t="s">
        <v>1066</v>
      </c>
      <c r="D1092" t="s">
        <v>1455</v>
      </c>
      <c r="E1092" t="s">
        <v>555</v>
      </c>
      <c r="F1092" t="s">
        <v>1068</v>
      </c>
      <c r="G1092" t="s">
        <v>1069</v>
      </c>
      <c r="H1092" s="171" t="s">
        <v>1462</v>
      </c>
      <c r="I1092" t="s">
        <v>1070</v>
      </c>
      <c r="J1092">
        <v>3.04</v>
      </c>
    </row>
    <row r="1093" spans="1:10" hidden="1">
      <c r="A1093" t="s">
        <v>1460</v>
      </c>
      <c r="B1093" t="s">
        <v>1461</v>
      </c>
      <c r="C1093" t="s">
        <v>1066</v>
      </c>
      <c r="D1093" t="s">
        <v>1455</v>
      </c>
      <c r="E1093" t="s">
        <v>555</v>
      </c>
      <c r="F1093" t="s">
        <v>1068</v>
      </c>
      <c r="G1093" t="s">
        <v>1071</v>
      </c>
      <c r="H1093" s="170">
        <v>-5.1997397921658496E-10</v>
      </c>
      <c r="I1093" t="s">
        <v>1072</v>
      </c>
      <c r="J1093">
        <v>3.04</v>
      </c>
    </row>
    <row r="1094" spans="1:10" hidden="1">
      <c r="A1094" t="s">
        <v>1460</v>
      </c>
      <c r="B1094" t="s">
        <v>1461</v>
      </c>
      <c r="C1094" t="s">
        <v>1066</v>
      </c>
      <c r="D1094" t="s">
        <v>1455</v>
      </c>
      <c r="E1094" t="s">
        <v>555</v>
      </c>
      <c r="F1094" t="s">
        <v>1068</v>
      </c>
      <c r="G1094" t="s">
        <v>1073</v>
      </c>
      <c r="H1094" s="171" t="s">
        <v>1463</v>
      </c>
      <c r="I1094" t="s">
        <v>1074</v>
      </c>
      <c r="J1094">
        <v>3.04</v>
      </c>
    </row>
    <row r="1095" spans="1:10" hidden="1">
      <c r="A1095" t="s">
        <v>1460</v>
      </c>
      <c r="B1095" t="s">
        <v>1461</v>
      </c>
      <c r="C1095" t="s">
        <v>1066</v>
      </c>
      <c r="D1095" t="s">
        <v>1455</v>
      </c>
      <c r="E1095" t="s">
        <v>555</v>
      </c>
      <c r="F1095" t="s">
        <v>1068</v>
      </c>
      <c r="G1095" t="s">
        <v>1075</v>
      </c>
      <c r="H1095">
        <v>1.7567433837490501E-2</v>
      </c>
      <c r="I1095" t="s">
        <v>1077</v>
      </c>
      <c r="J1095">
        <v>3.04</v>
      </c>
    </row>
    <row r="1096" spans="1:10" hidden="1">
      <c r="A1096" t="s">
        <v>1460</v>
      </c>
      <c r="B1096" t="s">
        <v>1461</v>
      </c>
      <c r="C1096" t="s">
        <v>1066</v>
      </c>
      <c r="D1096" t="s">
        <v>1455</v>
      </c>
      <c r="E1096" t="s">
        <v>555</v>
      </c>
      <c r="F1096" t="s">
        <v>1068</v>
      </c>
      <c r="G1096" t="s">
        <v>1078</v>
      </c>
      <c r="H1096">
        <v>-3.7903717041976499</v>
      </c>
      <c r="I1096" t="s">
        <v>1079</v>
      </c>
      <c r="J1096">
        <v>3.04</v>
      </c>
    </row>
    <row r="1097" spans="1:10" hidden="1">
      <c r="A1097" t="s">
        <v>1460</v>
      </c>
      <c r="B1097" t="s">
        <v>1461</v>
      </c>
      <c r="C1097" t="s">
        <v>1066</v>
      </c>
      <c r="D1097" t="s">
        <v>1455</v>
      </c>
      <c r="E1097" t="s">
        <v>555</v>
      </c>
      <c r="F1097" t="s">
        <v>1068</v>
      </c>
      <c r="G1097" t="s">
        <v>1080</v>
      </c>
      <c r="H1097" s="171" t="s">
        <v>1464</v>
      </c>
      <c r="I1097" t="s">
        <v>1082</v>
      </c>
      <c r="J1097">
        <v>3.04</v>
      </c>
    </row>
    <row r="1098" spans="1:10" hidden="1">
      <c r="A1098" t="s">
        <v>1460</v>
      </c>
      <c r="B1098" t="s">
        <v>1461</v>
      </c>
      <c r="C1098" t="s">
        <v>1066</v>
      </c>
      <c r="D1098" t="s">
        <v>1455</v>
      </c>
      <c r="E1098" t="s">
        <v>555</v>
      </c>
      <c r="F1098" t="s">
        <v>1068</v>
      </c>
      <c r="G1098" t="s">
        <v>1083</v>
      </c>
      <c r="H1098">
        <v>-2.47036928927202E-3</v>
      </c>
      <c r="I1098" t="s">
        <v>1084</v>
      </c>
      <c r="J1098">
        <v>3.04</v>
      </c>
    </row>
    <row r="1099" spans="1:10" hidden="1">
      <c r="A1099" t="s">
        <v>1460</v>
      </c>
      <c r="B1099" t="s">
        <v>1461</v>
      </c>
      <c r="C1099" t="s">
        <v>1066</v>
      </c>
      <c r="D1099" t="s">
        <v>1455</v>
      </c>
      <c r="E1099" t="s">
        <v>555</v>
      </c>
      <c r="F1099" t="s">
        <v>1068</v>
      </c>
      <c r="G1099" t="s">
        <v>1085</v>
      </c>
      <c r="H1099">
        <v>-6.9238258770186606E-2</v>
      </c>
      <c r="I1099" t="s">
        <v>1086</v>
      </c>
      <c r="J1099">
        <v>3.04</v>
      </c>
    </row>
    <row r="1100" spans="1:10" hidden="1">
      <c r="A1100" t="s">
        <v>1460</v>
      </c>
      <c r="B1100" t="s">
        <v>1461</v>
      </c>
      <c r="C1100" t="s">
        <v>1066</v>
      </c>
      <c r="D1100" t="s">
        <v>1455</v>
      </c>
      <c r="E1100" t="s">
        <v>555</v>
      </c>
      <c r="F1100" t="s">
        <v>1068</v>
      </c>
      <c r="G1100" t="s">
        <v>1087</v>
      </c>
      <c r="H1100" s="170">
        <v>-5.7531624130074503E-8</v>
      </c>
      <c r="I1100" t="s">
        <v>1088</v>
      </c>
      <c r="J1100">
        <v>3.04</v>
      </c>
    </row>
    <row r="1101" spans="1:10" hidden="1">
      <c r="A1101" t="s">
        <v>1460</v>
      </c>
      <c r="B1101" t="s">
        <v>1461</v>
      </c>
      <c r="C1101" t="s">
        <v>1066</v>
      </c>
      <c r="D1101" t="s">
        <v>1455</v>
      </c>
      <c r="E1101" t="s">
        <v>555</v>
      </c>
      <c r="F1101" t="s">
        <v>1068</v>
      </c>
      <c r="G1101" t="s">
        <v>1089</v>
      </c>
      <c r="H1101">
        <v>-1.8791731355985501E-2</v>
      </c>
      <c r="I1101" t="s">
        <v>1090</v>
      </c>
      <c r="J1101">
        <v>3.04</v>
      </c>
    </row>
    <row r="1102" spans="1:10" hidden="1">
      <c r="A1102" t="s">
        <v>1465</v>
      </c>
      <c r="B1102" t="s">
        <v>1466</v>
      </c>
      <c r="C1102" t="s">
        <v>1066</v>
      </c>
      <c r="D1102" t="s">
        <v>1455</v>
      </c>
      <c r="E1102" t="s">
        <v>558</v>
      </c>
      <c r="F1102" t="s">
        <v>1068</v>
      </c>
      <c r="G1102" t="s">
        <v>1069</v>
      </c>
      <c r="H1102" s="171" t="s">
        <v>1467</v>
      </c>
      <c r="I1102" t="s">
        <v>1070</v>
      </c>
      <c r="J1102">
        <v>4.0599999999999996</v>
      </c>
    </row>
    <row r="1103" spans="1:10" hidden="1">
      <c r="A1103" t="s">
        <v>1465</v>
      </c>
      <c r="B1103" t="s">
        <v>1466</v>
      </c>
      <c r="C1103" t="s">
        <v>1066</v>
      </c>
      <c r="D1103" t="s">
        <v>1455</v>
      </c>
      <c r="E1103" t="s">
        <v>558</v>
      </c>
      <c r="F1103" t="s">
        <v>1068</v>
      </c>
      <c r="G1103" t="s">
        <v>1071</v>
      </c>
      <c r="H1103" s="170">
        <v>-5.0305794522289701E-10</v>
      </c>
      <c r="I1103" t="s">
        <v>1072</v>
      </c>
      <c r="J1103">
        <v>4.0599999999999996</v>
      </c>
    </row>
    <row r="1104" spans="1:10" hidden="1">
      <c r="A1104" t="s">
        <v>1465</v>
      </c>
      <c r="B1104" t="s">
        <v>1466</v>
      </c>
      <c r="C1104" t="s">
        <v>1066</v>
      </c>
      <c r="D1104" t="s">
        <v>1455</v>
      </c>
      <c r="E1104" t="s">
        <v>558</v>
      </c>
      <c r="F1104" t="s">
        <v>1068</v>
      </c>
      <c r="G1104" t="s">
        <v>1073</v>
      </c>
      <c r="H1104" s="171" t="s">
        <v>1468</v>
      </c>
      <c r="I1104" t="s">
        <v>1074</v>
      </c>
      <c r="J1104">
        <v>4.0599999999999996</v>
      </c>
    </row>
    <row r="1105" spans="1:10" hidden="1">
      <c r="A1105" t="s">
        <v>1465</v>
      </c>
      <c r="B1105" t="s">
        <v>1466</v>
      </c>
      <c r="C1105" t="s">
        <v>1066</v>
      </c>
      <c r="D1105" t="s">
        <v>1455</v>
      </c>
      <c r="E1105" t="s">
        <v>558</v>
      </c>
      <c r="F1105" t="s">
        <v>1068</v>
      </c>
      <c r="G1105" t="s">
        <v>1075</v>
      </c>
      <c r="H1105" s="171" t="s">
        <v>1469</v>
      </c>
      <c r="I1105" t="s">
        <v>1077</v>
      </c>
      <c r="J1105">
        <v>4.0599999999999996</v>
      </c>
    </row>
    <row r="1106" spans="1:10" hidden="1">
      <c r="A1106" t="s">
        <v>1465</v>
      </c>
      <c r="B1106" t="s">
        <v>1466</v>
      </c>
      <c r="C1106" t="s">
        <v>1066</v>
      </c>
      <c r="D1106" t="s">
        <v>1455</v>
      </c>
      <c r="E1106" t="s">
        <v>558</v>
      </c>
      <c r="F1106" t="s">
        <v>1068</v>
      </c>
      <c r="G1106" t="s">
        <v>1078</v>
      </c>
      <c r="H1106">
        <v>-3.7758108886147101</v>
      </c>
      <c r="I1106" t="s">
        <v>1079</v>
      </c>
      <c r="J1106">
        <v>4.0599999999999996</v>
      </c>
    </row>
    <row r="1107" spans="1:10" hidden="1">
      <c r="A1107" t="s">
        <v>1465</v>
      </c>
      <c r="B1107" t="s">
        <v>1466</v>
      </c>
      <c r="C1107" t="s">
        <v>1066</v>
      </c>
      <c r="D1107" t="s">
        <v>1455</v>
      </c>
      <c r="E1107" t="s">
        <v>558</v>
      </c>
      <c r="F1107" t="s">
        <v>1068</v>
      </c>
      <c r="G1107" t="s">
        <v>1080</v>
      </c>
      <c r="H1107" s="171" t="s">
        <v>1470</v>
      </c>
      <c r="I1107" t="s">
        <v>1082</v>
      </c>
      <c r="J1107">
        <v>4.0599999999999996</v>
      </c>
    </row>
    <row r="1108" spans="1:10" hidden="1">
      <c r="A1108" t="s">
        <v>1465</v>
      </c>
      <c r="B1108" t="s">
        <v>1466</v>
      </c>
      <c r="C1108" t="s">
        <v>1066</v>
      </c>
      <c r="D1108" t="s">
        <v>1455</v>
      </c>
      <c r="E1108" t="s">
        <v>558</v>
      </c>
      <c r="F1108" t="s">
        <v>1068</v>
      </c>
      <c r="G1108" t="s">
        <v>1083</v>
      </c>
      <c r="H1108">
        <v>-2.4685714992687198E-3</v>
      </c>
      <c r="I1108" t="s">
        <v>1084</v>
      </c>
      <c r="J1108">
        <v>4.0599999999999996</v>
      </c>
    </row>
    <row r="1109" spans="1:10" hidden="1">
      <c r="A1109" t="s">
        <v>1465</v>
      </c>
      <c r="B1109" t="s">
        <v>1466</v>
      </c>
      <c r="C1109" t="s">
        <v>1066</v>
      </c>
      <c r="D1109" t="s">
        <v>1455</v>
      </c>
      <c r="E1109" t="s">
        <v>558</v>
      </c>
      <c r="F1109" t="s">
        <v>1068</v>
      </c>
      <c r="G1109" t="s">
        <v>1085</v>
      </c>
      <c r="H1109">
        <v>-6.9217960462540598E-2</v>
      </c>
      <c r="I1109" t="s">
        <v>1086</v>
      </c>
      <c r="J1109">
        <v>4.0599999999999996</v>
      </c>
    </row>
    <row r="1110" spans="1:10" hidden="1">
      <c r="A1110" t="s">
        <v>1465</v>
      </c>
      <c r="B1110" t="s">
        <v>1466</v>
      </c>
      <c r="C1110" t="s">
        <v>1066</v>
      </c>
      <c r="D1110" t="s">
        <v>1455</v>
      </c>
      <c r="E1110" t="s">
        <v>558</v>
      </c>
      <c r="F1110" t="s">
        <v>1068</v>
      </c>
      <c r="G1110" t="s">
        <v>1087</v>
      </c>
      <c r="H1110" s="170">
        <v>-4.7912865317983203E-8</v>
      </c>
      <c r="I1110" t="s">
        <v>1088</v>
      </c>
      <c r="J1110">
        <v>4.0599999999999996</v>
      </c>
    </row>
    <row r="1111" spans="1:10" hidden="1">
      <c r="A1111" t="s">
        <v>1465</v>
      </c>
      <c r="B1111" t="s">
        <v>1466</v>
      </c>
      <c r="C1111" t="s">
        <v>1066</v>
      </c>
      <c r="D1111" t="s">
        <v>1455</v>
      </c>
      <c r="E1111" t="s">
        <v>558</v>
      </c>
      <c r="F1111" t="s">
        <v>1068</v>
      </c>
      <c r="G1111" t="s">
        <v>1089</v>
      </c>
      <c r="H1111">
        <v>-1.87875403069186E-2</v>
      </c>
      <c r="I1111" t="s">
        <v>1090</v>
      </c>
      <c r="J1111">
        <v>4.0599999999999996</v>
      </c>
    </row>
    <row r="1112" spans="1:10" hidden="1">
      <c r="A1112" t="s">
        <v>1471</v>
      </c>
      <c r="B1112" t="s">
        <v>1472</v>
      </c>
      <c r="C1112" t="s">
        <v>1066</v>
      </c>
      <c r="D1112" t="s">
        <v>1455</v>
      </c>
      <c r="E1112" t="s">
        <v>553</v>
      </c>
      <c r="F1112" t="s">
        <v>1068</v>
      </c>
      <c r="G1112" t="s">
        <v>1069</v>
      </c>
      <c r="H1112">
        <v>3.7571858141857399</v>
      </c>
      <c r="I1112" t="s">
        <v>1070</v>
      </c>
      <c r="J1112">
        <v>2.54</v>
      </c>
    </row>
    <row r="1113" spans="1:10" hidden="1">
      <c r="A1113" t="s">
        <v>1471</v>
      </c>
      <c r="B1113" t="s">
        <v>1472</v>
      </c>
      <c r="C1113" t="s">
        <v>1066</v>
      </c>
      <c r="D1113" t="s">
        <v>1455</v>
      </c>
      <c r="E1113" t="s">
        <v>553</v>
      </c>
      <c r="F1113" t="s">
        <v>1068</v>
      </c>
      <c r="G1113" t="s">
        <v>1071</v>
      </c>
      <c r="H1113" s="170">
        <v>-5.0170033127998802E-10</v>
      </c>
      <c r="I1113" t="s">
        <v>1072</v>
      </c>
      <c r="J1113">
        <v>2.54</v>
      </c>
    </row>
    <row r="1114" spans="1:10" hidden="1">
      <c r="A1114" t="s">
        <v>1471</v>
      </c>
      <c r="B1114" t="s">
        <v>1472</v>
      </c>
      <c r="C1114" t="s">
        <v>1066</v>
      </c>
      <c r="D1114" t="s">
        <v>1455</v>
      </c>
      <c r="E1114" t="s">
        <v>553</v>
      </c>
      <c r="F1114" t="s">
        <v>1068</v>
      </c>
      <c r="G1114" t="s">
        <v>1073</v>
      </c>
      <c r="H1114" s="171" t="s">
        <v>1473</v>
      </c>
      <c r="I1114" t="s">
        <v>1074</v>
      </c>
      <c r="J1114">
        <v>2.54</v>
      </c>
    </row>
    <row r="1115" spans="1:10" hidden="1">
      <c r="A1115" t="s">
        <v>1471</v>
      </c>
      <c r="B1115" t="s">
        <v>1472</v>
      </c>
      <c r="C1115" t="s">
        <v>1066</v>
      </c>
      <c r="D1115" t="s">
        <v>1455</v>
      </c>
      <c r="E1115" t="s">
        <v>553</v>
      </c>
      <c r="F1115" t="s">
        <v>1068</v>
      </c>
      <c r="G1115" t="s">
        <v>1075</v>
      </c>
      <c r="H1115">
        <v>1.7971099064594698E-2</v>
      </c>
      <c r="I1115" t="s">
        <v>1077</v>
      </c>
      <c r="J1115">
        <v>2.54</v>
      </c>
    </row>
    <row r="1116" spans="1:10" hidden="1">
      <c r="A1116" t="s">
        <v>1471</v>
      </c>
      <c r="B1116" t="s">
        <v>1472</v>
      </c>
      <c r="C1116" t="s">
        <v>1066</v>
      </c>
      <c r="D1116" t="s">
        <v>1455</v>
      </c>
      <c r="E1116" t="s">
        <v>553</v>
      </c>
      <c r="F1116" t="s">
        <v>1068</v>
      </c>
      <c r="G1116" t="s">
        <v>1078</v>
      </c>
      <c r="H1116">
        <v>-3.77291566268145</v>
      </c>
      <c r="I1116" t="s">
        <v>1079</v>
      </c>
      <c r="J1116">
        <v>2.54</v>
      </c>
    </row>
    <row r="1117" spans="1:10" hidden="1">
      <c r="A1117" t="s">
        <v>1471</v>
      </c>
      <c r="B1117" t="s">
        <v>1472</v>
      </c>
      <c r="C1117" t="s">
        <v>1066</v>
      </c>
      <c r="D1117" t="s">
        <v>1455</v>
      </c>
      <c r="E1117" t="s">
        <v>553</v>
      </c>
      <c r="F1117" t="s">
        <v>1068</v>
      </c>
      <c r="G1117" t="s">
        <v>1080</v>
      </c>
      <c r="H1117" s="171" t="s">
        <v>1474</v>
      </c>
      <c r="I1117" t="s">
        <v>1082</v>
      </c>
      <c r="J1117">
        <v>2.54</v>
      </c>
    </row>
    <row r="1118" spans="1:10" hidden="1">
      <c r="A1118" t="s">
        <v>1471</v>
      </c>
      <c r="B1118" t="s">
        <v>1472</v>
      </c>
      <c r="C1118" t="s">
        <v>1066</v>
      </c>
      <c r="D1118" t="s">
        <v>1455</v>
      </c>
      <c r="E1118" t="s">
        <v>553</v>
      </c>
      <c r="F1118" t="s">
        <v>1068</v>
      </c>
      <c r="G1118" t="s">
        <v>1083</v>
      </c>
      <c r="H1118">
        <v>-2.46842828002315E-3</v>
      </c>
      <c r="I1118" t="s">
        <v>1084</v>
      </c>
      <c r="J1118">
        <v>2.54</v>
      </c>
    </row>
    <row r="1119" spans="1:10" hidden="1">
      <c r="A1119" t="s">
        <v>1471</v>
      </c>
      <c r="B1119" t="s">
        <v>1472</v>
      </c>
      <c r="C1119" t="s">
        <v>1066</v>
      </c>
      <c r="D1119" t="s">
        <v>1455</v>
      </c>
      <c r="E1119" t="s">
        <v>553</v>
      </c>
      <c r="F1119" t="s">
        <v>1068</v>
      </c>
      <c r="G1119" t="s">
        <v>1085</v>
      </c>
      <c r="H1119">
        <v>-6.9216321426254002E-2</v>
      </c>
      <c r="I1119" t="s">
        <v>1086</v>
      </c>
      <c r="J1119">
        <v>2.54</v>
      </c>
    </row>
    <row r="1120" spans="1:10" hidden="1">
      <c r="A1120" t="s">
        <v>1471</v>
      </c>
      <c r="B1120" t="s">
        <v>1472</v>
      </c>
      <c r="C1120" t="s">
        <v>1066</v>
      </c>
      <c r="D1120" t="s">
        <v>1455</v>
      </c>
      <c r="E1120" t="s">
        <v>553</v>
      </c>
      <c r="F1120" t="s">
        <v>1068</v>
      </c>
      <c r="G1120" t="s">
        <v>1087</v>
      </c>
      <c r="H1120" s="170">
        <v>-4.6944561781902801E-8</v>
      </c>
      <c r="I1120" t="s">
        <v>1088</v>
      </c>
      <c r="J1120">
        <v>2.54</v>
      </c>
    </row>
    <row r="1121" spans="1:10" hidden="1">
      <c r="A1121" t="s">
        <v>1471</v>
      </c>
      <c r="B1121" t="s">
        <v>1472</v>
      </c>
      <c r="C1121" t="s">
        <v>1066</v>
      </c>
      <c r="D1121" t="s">
        <v>1455</v>
      </c>
      <c r="E1121" t="s">
        <v>553</v>
      </c>
      <c r="F1121" t="s">
        <v>1068</v>
      </c>
      <c r="G1121" t="s">
        <v>1089</v>
      </c>
      <c r="H1121">
        <v>-1.8787205725252699E-2</v>
      </c>
      <c r="I1121" t="s">
        <v>1090</v>
      </c>
      <c r="J1121">
        <v>2.54</v>
      </c>
    </row>
    <row r="1122" spans="1:10" hidden="1">
      <c r="A1122" t="s">
        <v>1475</v>
      </c>
      <c r="B1122" t="s">
        <v>1476</v>
      </c>
      <c r="C1122" t="s">
        <v>1066</v>
      </c>
      <c r="D1122" t="s">
        <v>1455</v>
      </c>
      <c r="E1122" t="s">
        <v>556</v>
      </c>
      <c r="F1122" t="s">
        <v>1068</v>
      </c>
      <c r="G1122" t="s">
        <v>1069</v>
      </c>
      <c r="H1122" s="171" t="s">
        <v>1477</v>
      </c>
      <c r="I1122" t="s">
        <v>1070</v>
      </c>
      <c r="J1122">
        <v>2.06</v>
      </c>
    </row>
    <row r="1123" spans="1:10" hidden="1">
      <c r="A1123" t="s">
        <v>1475</v>
      </c>
      <c r="B1123" t="s">
        <v>1476</v>
      </c>
      <c r="C1123" t="s">
        <v>1066</v>
      </c>
      <c r="D1123" t="s">
        <v>1455</v>
      </c>
      <c r="E1123" t="s">
        <v>556</v>
      </c>
      <c r="F1123" t="s">
        <v>1068</v>
      </c>
      <c r="G1123" t="s">
        <v>1071</v>
      </c>
      <c r="H1123" s="170">
        <v>-5.1822422770072495E-10</v>
      </c>
      <c r="I1123" t="s">
        <v>1072</v>
      </c>
      <c r="J1123">
        <v>2.06</v>
      </c>
    </row>
    <row r="1124" spans="1:10" hidden="1">
      <c r="A1124" t="s">
        <v>1475</v>
      </c>
      <c r="B1124" t="s">
        <v>1476</v>
      </c>
      <c r="C1124" t="s">
        <v>1066</v>
      </c>
      <c r="D1124" t="s">
        <v>1455</v>
      </c>
      <c r="E1124" t="s">
        <v>556</v>
      </c>
      <c r="F1124" t="s">
        <v>1068</v>
      </c>
      <c r="G1124" t="s">
        <v>1073</v>
      </c>
      <c r="H1124" s="171" t="s">
        <v>1478</v>
      </c>
      <c r="I1124" t="s">
        <v>1074</v>
      </c>
      <c r="J1124">
        <v>2.06</v>
      </c>
    </row>
    <row r="1125" spans="1:10" hidden="1">
      <c r="A1125" t="s">
        <v>1475</v>
      </c>
      <c r="B1125" t="s">
        <v>1476</v>
      </c>
      <c r="C1125" t="s">
        <v>1066</v>
      </c>
      <c r="D1125" t="s">
        <v>1455</v>
      </c>
      <c r="E1125" t="s">
        <v>556</v>
      </c>
      <c r="F1125" t="s">
        <v>1068</v>
      </c>
      <c r="G1125" t="s">
        <v>1075</v>
      </c>
      <c r="H1125">
        <v>1.7619434072212999E-2</v>
      </c>
      <c r="I1125" t="s">
        <v>1077</v>
      </c>
      <c r="J1125">
        <v>2.06</v>
      </c>
    </row>
    <row r="1126" spans="1:10" hidden="1">
      <c r="A1126" t="s">
        <v>1475</v>
      </c>
      <c r="B1126" t="s">
        <v>1476</v>
      </c>
      <c r="C1126" t="s">
        <v>1066</v>
      </c>
      <c r="D1126" t="s">
        <v>1455</v>
      </c>
      <c r="E1126" t="s">
        <v>556</v>
      </c>
      <c r="F1126" t="s">
        <v>1068</v>
      </c>
      <c r="G1126" t="s">
        <v>1078</v>
      </c>
      <c r="H1126">
        <v>-3.7828663089628898</v>
      </c>
      <c r="I1126" t="s">
        <v>1079</v>
      </c>
      <c r="J1126">
        <v>2.06</v>
      </c>
    </row>
    <row r="1127" spans="1:10" hidden="1">
      <c r="A1127" t="s">
        <v>1475</v>
      </c>
      <c r="B1127" t="s">
        <v>1476</v>
      </c>
      <c r="C1127" t="s">
        <v>1066</v>
      </c>
      <c r="D1127" t="s">
        <v>1455</v>
      </c>
      <c r="E1127" t="s">
        <v>556</v>
      </c>
      <c r="F1127" t="s">
        <v>1068</v>
      </c>
      <c r="G1127" t="s">
        <v>1080</v>
      </c>
      <c r="H1127" s="171" t="s">
        <v>1479</v>
      </c>
      <c r="I1127" t="s">
        <v>1082</v>
      </c>
      <c r="J1127">
        <v>2.06</v>
      </c>
    </row>
    <row r="1128" spans="1:10" hidden="1">
      <c r="A1128" t="s">
        <v>1475</v>
      </c>
      <c r="B1128" t="s">
        <v>1476</v>
      </c>
      <c r="C1128" t="s">
        <v>1066</v>
      </c>
      <c r="D1128" t="s">
        <v>1455</v>
      </c>
      <c r="E1128" t="s">
        <v>556</v>
      </c>
      <c r="F1128" t="s">
        <v>1068</v>
      </c>
      <c r="G1128" t="s">
        <v>1083</v>
      </c>
      <c r="H1128">
        <v>-2.4701868406739099E-3</v>
      </c>
      <c r="I1128" t="s">
        <v>1084</v>
      </c>
      <c r="J1128">
        <v>2.06</v>
      </c>
    </row>
    <row r="1129" spans="1:10" hidden="1">
      <c r="A1129" t="s">
        <v>1475</v>
      </c>
      <c r="B1129" t="s">
        <v>1476</v>
      </c>
      <c r="C1129" t="s">
        <v>1066</v>
      </c>
      <c r="D1129" t="s">
        <v>1455</v>
      </c>
      <c r="E1129" t="s">
        <v>556</v>
      </c>
      <c r="F1129" t="s">
        <v>1068</v>
      </c>
      <c r="G1129" t="s">
        <v>1085</v>
      </c>
      <c r="H1129">
        <v>-6.9236122791107302E-2</v>
      </c>
      <c r="I1129" t="s">
        <v>1086</v>
      </c>
      <c r="J1129">
        <v>2.06</v>
      </c>
    </row>
    <row r="1130" spans="1:10" hidden="1">
      <c r="A1130" t="s">
        <v>1475</v>
      </c>
      <c r="B1130" t="s">
        <v>1476</v>
      </c>
      <c r="C1130" t="s">
        <v>1066</v>
      </c>
      <c r="D1130" t="s">
        <v>1455</v>
      </c>
      <c r="E1130" t="s">
        <v>556</v>
      </c>
      <c r="F1130" t="s">
        <v>1068</v>
      </c>
      <c r="G1130" t="s">
        <v>1087</v>
      </c>
      <c r="H1130" s="170">
        <v>-5.6536522339601203E-8</v>
      </c>
      <c r="I1130" t="s">
        <v>1088</v>
      </c>
      <c r="J1130">
        <v>2.06</v>
      </c>
    </row>
    <row r="1131" spans="1:10" hidden="1">
      <c r="A1131" t="s">
        <v>1475</v>
      </c>
      <c r="B1131" t="s">
        <v>1476</v>
      </c>
      <c r="C1131" t="s">
        <v>1066</v>
      </c>
      <c r="D1131" t="s">
        <v>1455</v>
      </c>
      <c r="E1131" t="s">
        <v>556</v>
      </c>
      <c r="F1131" t="s">
        <v>1068</v>
      </c>
      <c r="G1131" t="s">
        <v>1089</v>
      </c>
      <c r="H1131">
        <v>-1.8791305981779E-2</v>
      </c>
      <c r="I1131" t="s">
        <v>1090</v>
      </c>
      <c r="J1131">
        <v>2.06</v>
      </c>
    </row>
    <row r="1132" spans="1:10" hidden="1">
      <c r="A1132" t="s">
        <v>1480</v>
      </c>
      <c r="B1132" s="170" t="s">
        <v>1481</v>
      </c>
      <c r="C1132" t="s">
        <v>1066</v>
      </c>
      <c r="D1132" t="s">
        <v>1455</v>
      </c>
      <c r="E1132" t="s">
        <v>557</v>
      </c>
      <c r="F1132" t="s">
        <v>1068</v>
      </c>
      <c r="G1132" t="s">
        <v>1069</v>
      </c>
      <c r="H1132" s="171" t="s">
        <v>1482</v>
      </c>
      <c r="I1132" t="s">
        <v>1070</v>
      </c>
      <c r="J1132">
        <v>2.02</v>
      </c>
    </row>
    <row r="1133" spans="1:10" hidden="1">
      <c r="A1133" t="s">
        <v>1480</v>
      </c>
      <c r="B1133" s="170" t="s">
        <v>1481</v>
      </c>
      <c r="C1133" t="s">
        <v>1066</v>
      </c>
      <c r="D1133" t="s">
        <v>1455</v>
      </c>
      <c r="E1133" t="s">
        <v>557</v>
      </c>
      <c r="F1133" t="s">
        <v>1068</v>
      </c>
      <c r="G1133" t="s">
        <v>1071</v>
      </c>
      <c r="H1133" s="170">
        <v>-5.0874432155283603E-10</v>
      </c>
      <c r="I1133" t="s">
        <v>1072</v>
      </c>
      <c r="J1133">
        <v>2.02</v>
      </c>
    </row>
    <row r="1134" spans="1:10" hidden="1">
      <c r="A1134" t="s">
        <v>1480</v>
      </c>
      <c r="B1134" s="170" t="s">
        <v>1481</v>
      </c>
      <c r="C1134" t="s">
        <v>1066</v>
      </c>
      <c r="D1134" t="s">
        <v>1455</v>
      </c>
      <c r="E1134" t="s">
        <v>557</v>
      </c>
      <c r="F1134" t="s">
        <v>1068</v>
      </c>
      <c r="G1134" t="s">
        <v>1073</v>
      </c>
      <c r="H1134" s="171" t="s">
        <v>1483</v>
      </c>
      <c r="I1134" t="s">
        <v>1074</v>
      </c>
      <c r="J1134">
        <v>2.02</v>
      </c>
    </row>
    <row r="1135" spans="1:10" hidden="1">
      <c r="A1135" t="s">
        <v>1480</v>
      </c>
      <c r="B1135" s="170" t="s">
        <v>1481</v>
      </c>
      <c r="C1135" t="s">
        <v>1066</v>
      </c>
      <c r="D1135" t="s">
        <v>1455</v>
      </c>
      <c r="E1135" t="s">
        <v>557</v>
      </c>
      <c r="F1135" t="s">
        <v>1068</v>
      </c>
      <c r="G1135" t="s">
        <v>1075</v>
      </c>
      <c r="H1135" s="171" t="s">
        <v>1484</v>
      </c>
      <c r="I1135" t="s">
        <v>1077</v>
      </c>
      <c r="J1135">
        <v>2.02</v>
      </c>
    </row>
    <row r="1136" spans="1:10" hidden="1">
      <c r="A1136" t="s">
        <v>1480</v>
      </c>
      <c r="B1136" s="170" t="s">
        <v>1481</v>
      </c>
      <c r="C1136" t="s">
        <v>1066</v>
      </c>
      <c r="D1136" t="s">
        <v>1455</v>
      </c>
      <c r="E1136" t="s">
        <v>557</v>
      </c>
      <c r="F1136" t="s">
        <v>1068</v>
      </c>
      <c r="G1136" t="s">
        <v>1078</v>
      </c>
      <c r="H1136">
        <v>-3.7812428429588798</v>
      </c>
      <c r="I1136" t="s">
        <v>1079</v>
      </c>
      <c r="J1136">
        <v>2.02</v>
      </c>
    </row>
    <row r="1137" spans="1:10" hidden="1">
      <c r="A1137" t="s">
        <v>1480</v>
      </c>
      <c r="B1137" s="170" t="s">
        <v>1481</v>
      </c>
      <c r="C1137" t="s">
        <v>1066</v>
      </c>
      <c r="D1137" t="s">
        <v>1455</v>
      </c>
      <c r="E1137" t="s">
        <v>557</v>
      </c>
      <c r="F1137" t="s">
        <v>1068</v>
      </c>
      <c r="G1137" t="s">
        <v>1080</v>
      </c>
      <c r="H1137" s="171" t="s">
        <v>1485</v>
      </c>
      <c r="I1137" t="s">
        <v>1082</v>
      </c>
      <c r="J1137">
        <v>2.02</v>
      </c>
    </row>
    <row r="1138" spans="1:10" hidden="1">
      <c r="A1138" t="s">
        <v>1480</v>
      </c>
      <c r="B1138" s="170" t="s">
        <v>1481</v>
      </c>
      <c r="C1138" t="s">
        <v>1066</v>
      </c>
      <c r="D1138" t="s">
        <v>1455</v>
      </c>
      <c r="E1138" t="s">
        <v>557</v>
      </c>
      <c r="F1138" t="s">
        <v>1068</v>
      </c>
      <c r="G1138" t="s">
        <v>1083</v>
      </c>
      <c r="H1138">
        <v>-2.4691755006748702E-3</v>
      </c>
      <c r="I1138" t="s">
        <v>1084</v>
      </c>
      <c r="J1138">
        <v>2.02</v>
      </c>
    </row>
    <row r="1139" spans="1:10" hidden="1">
      <c r="A1139" t="s">
        <v>1480</v>
      </c>
      <c r="B1139" s="170" t="s">
        <v>1481</v>
      </c>
      <c r="C1139" t="s">
        <v>1066</v>
      </c>
      <c r="D1139" t="s">
        <v>1455</v>
      </c>
      <c r="E1139" t="s">
        <v>557</v>
      </c>
      <c r="F1139" t="s">
        <v>1068</v>
      </c>
      <c r="G1139" t="s">
        <v>1085</v>
      </c>
      <c r="H1139">
        <v>-6.9224786904294996E-2</v>
      </c>
      <c r="I1139" t="s">
        <v>1086</v>
      </c>
      <c r="J1139">
        <v>2.02</v>
      </c>
    </row>
    <row r="1140" spans="1:10" hidden="1">
      <c r="A1140" t="s">
        <v>1480</v>
      </c>
      <c r="B1140" s="170" t="s">
        <v>1481</v>
      </c>
      <c r="C1140" t="s">
        <v>1066</v>
      </c>
      <c r="D1140" t="s">
        <v>1455</v>
      </c>
      <c r="E1140" t="s">
        <v>557</v>
      </c>
      <c r="F1140" t="s">
        <v>1068</v>
      </c>
      <c r="G1140" t="s">
        <v>1087</v>
      </c>
      <c r="H1140" s="170">
        <v>-5.1207337278334803E-8</v>
      </c>
      <c r="I1140" t="s">
        <v>1088</v>
      </c>
      <c r="J1140">
        <v>2.02</v>
      </c>
    </row>
    <row r="1141" spans="1:10" hidden="1">
      <c r="A1141" t="s">
        <v>1480</v>
      </c>
      <c r="B1141" s="170" t="s">
        <v>1481</v>
      </c>
      <c r="C1141" t="s">
        <v>1066</v>
      </c>
      <c r="D1141" t="s">
        <v>1455</v>
      </c>
      <c r="E1141" t="s">
        <v>557</v>
      </c>
      <c r="F1141" t="s">
        <v>1068</v>
      </c>
      <c r="G1141" t="s">
        <v>1089</v>
      </c>
      <c r="H1141">
        <v>-1.8788948588372101E-2</v>
      </c>
      <c r="I1141" t="s">
        <v>1090</v>
      </c>
      <c r="J1141">
        <v>2.02</v>
      </c>
    </row>
    <row r="1142" spans="1:10" hidden="1">
      <c r="A1142" t="s">
        <v>1486</v>
      </c>
      <c r="B1142" t="s">
        <v>1487</v>
      </c>
      <c r="C1142" t="s">
        <v>1066</v>
      </c>
      <c r="D1142" t="s">
        <v>1455</v>
      </c>
      <c r="E1142" t="s">
        <v>559</v>
      </c>
      <c r="F1142" t="s">
        <v>1068</v>
      </c>
      <c r="G1142" t="s">
        <v>1069</v>
      </c>
      <c r="H1142" s="171" t="s">
        <v>1488</v>
      </c>
      <c r="I1142" t="s">
        <v>1070</v>
      </c>
      <c r="J1142">
        <v>2.5299999999999998</v>
      </c>
    </row>
    <row r="1143" spans="1:10" hidden="1">
      <c r="A1143" t="s">
        <v>1486</v>
      </c>
      <c r="B1143" t="s">
        <v>1487</v>
      </c>
      <c r="C1143" t="s">
        <v>1066</v>
      </c>
      <c r="D1143" t="s">
        <v>1455</v>
      </c>
      <c r="E1143" t="s">
        <v>559</v>
      </c>
      <c r="F1143" t="s">
        <v>1068</v>
      </c>
      <c r="G1143" t="s">
        <v>1071</v>
      </c>
      <c r="H1143" s="170">
        <v>-5.1333523820609702E-10</v>
      </c>
      <c r="I1143" t="s">
        <v>1072</v>
      </c>
      <c r="J1143">
        <v>2.5299999999999998</v>
      </c>
    </row>
    <row r="1144" spans="1:10" hidden="1">
      <c r="A1144" t="s">
        <v>1486</v>
      </c>
      <c r="B1144" t="s">
        <v>1487</v>
      </c>
      <c r="C1144" t="s">
        <v>1066</v>
      </c>
      <c r="D1144" t="s">
        <v>1455</v>
      </c>
      <c r="E1144" t="s">
        <v>559</v>
      </c>
      <c r="F1144" t="s">
        <v>1068</v>
      </c>
      <c r="G1144" t="s">
        <v>1073</v>
      </c>
      <c r="H1144" s="171" t="s">
        <v>1489</v>
      </c>
      <c r="I1144" t="s">
        <v>1074</v>
      </c>
      <c r="J1144">
        <v>2.5299999999999998</v>
      </c>
    </row>
    <row r="1145" spans="1:10" hidden="1">
      <c r="A1145" t="s">
        <v>1486</v>
      </c>
      <c r="B1145" t="s">
        <v>1487</v>
      </c>
      <c r="C1145" t="s">
        <v>1066</v>
      </c>
      <c r="D1145" t="s">
        <v>1455</v>
      </c>
      <c r="E1145" t="s">
        <v>559</v>
      </c>
      <c r="F1145" t="s">
        <v>1068</v>
      </c>
      <c r="G1145" t="s">
        <v>1075</v>
      </c>
      <c r="H1145" s="171" t="s">
        <v>1490</v>
      </c>
      <c r="I1145" t="s">
        <v>1077</v>
      </c>
      <c r="J1145">
        <v>2.5299999999999998</v>
      </c>
    </row>
    <row r="1146" spans="1:10" hidden="1">
      <c r="A1146" t="s">
        <v>1486</v>
      </c>
      <c r="B1146" t="s">
        <v>1487</v>
      </c>
      <c r="C1146" t="s">
        <v>1066</v>
      </c>
      <c r="D1146" t="s">
        <v>1455</v>
      </c>
      <c r="E1146" t="s">
        <v>559</v>
      </c>
      <c r="F1146" t="s">
        <v>1068</v>
      </c>
      <c r="G1146" t="s">
        <v>1078</v>
      </c>
      <c r="H1146">
        <v>-3.7840299962312298</v>
      </c>
      <c r="I1146" t="s">
        <v>1079</v>
      </c>
      <c r="J1146">
        <v>2.5299999999999998</v>
      </c>
    </row>
    <row r="1147" spans="1:10" hidden="1">
      <c r="A1147" t="s">
        <v>1486</v>
      </c>
      <c r="B1147" t="s">
        <v>1487</v>
      </c>
      <c r="C1147" t="s">
        <v>1066</v>
      </c>
      <c r="D1147" t="s">
        <v>1455</v>
      </c>
      <c r="E1147" t="s">
        <v>559</v>
      </c>
      <c r="F1147" t="s">
        <v>1068</v>
      </c>
      <c r="G1147" t="s">
        <v>1080</v>
      </c>
      <c r="H1147" s="171" t="s">
        <v>1491</v>
      </c>
      <c r="I1147" t="s">
        <v>1082</v>
      </c>
      <c r="J1147">
        <v>2.5299999999999998</v>
      </c>
    </row>
    <row r="1148" spans="1:10" hidden="1">
      <c r="A1148" t="s">
        <v>1486</v>
      </c>
      <c r="B1148" t="s">
        <v>1487</v>
      </c>
      <c r="C1148" t="s">
        <v>1066</v>
      </c>
      <c r="D1148" t="s">
        <v>1455</v>
      </c>
      <c r="E1148" t="s">
        <v>559</v>
      </c>
      <c r="F1148" t="s">
        <v>1068</v>
      </c>
      <c r="G1148" t="s">
        <v>1083</v>
      </c>
      <c r="H1148">
        <v>-2.4696641286085898E-3</v>
      </c>
      <c r="I1148" t="s">
        <v>1084</v>
      </c>
      <c r="J1148">
        <v>2.5299999999999998</v>
      </c>
    </row>
    <row r="1149" spans="1:10" hidden="1">
      <c r="A1149" t="s">
        <v>1486</v>
      </c>
      <c r="B1149" t="s">
        <v>1487</v>
      </c>
      <c r="C1149" t="s">
        <v>1066</v>
      </c>
      <c r="D1149" t="s">
        <v>1455</v>
      </c>
      <c r="E1149" t="s">
        <v>559</v>
      </c>
      <c r="F1149" t="s">
        <v>1068</v>
      </c>
      <c r="G1149" t="s">
        <v>1085</v>
      </c>
      <c r="H1149">
        <v>-6.9230289023514593E-2</v>
      </c>
      <c r="I1149" t="s">
        <v>1086</v>
      </c>
      <c r="J1149">
        <v>2.5299999999999998</v>
      </c>
    </row>
    <row r="1150" spans="1:10" hidden="1">
      <c r="A1150" t="s">
        <v>1486</v>
      </c>
      <c r="B1150" t="s">
        <v>1487</v>
      </c>
      <c r="C1150" t="s">
        <v>1066</v>
      </c>
      <c r="D1150" t="s">
        <v>1455</v>
      </c>
      <c r="E1150" t="s">
        <v>559</v>
      </c>
      <c r="F1150" t="s">
        <v>1068</v>
      </c>
      <c r="G1150" t="s">
        <v>1087</v>
      </c>
      <c r="H1150" s="170">
        <v>-5.3685387996137899E-8</v>
      </c>
      <c r="I1150" t="s">
        <v>1088</v>
      </c>
      <c r="J1150">
        <v>2.5299999999999998</v>
      </c>
    </row>
    <row r="1151" spans="1:10" hidden="1">
      <c r="A1151" t="s">
        <v>1486</v>
      </c>
      <c r="B1151" t="s">
        <v>1487</v>
      </c>
      <c r="C1151" t="s">
        <v>1066</v>
      </c>
      <c r="D1151" t="s">
        <v>1455</v>
      </c>
      <c r="E1151" t="s">
        <v>559</v>
      </c>
      <c r="F1151" t="s">
        <v>1068</v>
      </c>
      <c r="G1151" t="s">
        <v>1089</v>
      </c>
      <c r="H1151">
        <v>-1.8790087212985199E-2</v>
      </c>
      <c r="I1151" t="s">
        <v>1090</v>
      </c>
      <c r="J1151">
        <v>2.5299999999999998</v>
      </c>
    </row>
    <row r="1152" spans="1:10" hidden="1">
      <c r="A1152" t="s">
        <v>1492</v>
      </c>
      <c r="B1152" t="s">
        <v>1493</v>
      </c>
      <c r="C1152" t="s">
        <v>1066</v>
      </c>
      <c r="D1152" t="s">
        <v>1455</v>
      </c>
      <c r="E1152" t="s">
        <v>560</v>
      </c>
      <c r="F1152" t="s">
        <v>1068</v>
      </c>
      <c r="G1152" t="s">
        <v>1069</v>
      </c>
      <c r="H1152" s="171" t="s">
        <v>1494</v>
      </c>
      <c r="I1152" t="s">
        <v>1070</v>
      </c>
      <c r="J1152">
        <v>2.5499999999999998</v>
      </c>
    </row>
    <row r="1153" spans="1:10" hidden="1">
      <c r="A1153" t="s">
        <v>1492</v>
      </c>
      <c r="B1153" t="s">
        <v>1493</v>
      </c>
      <c r="C1153" t="s">
        <v>1066</v>
      </c>
      <c r="D1153" t="s">
        <v>1455</v>
      </c>
      <c r="E1153" t="s">
        <v>560</v>
      </c>
      <c r="F1153" t="s">
        <v>1068</v>
      </c>
      <c r="G1153" t="s">
        <v>1071</v>
      </c>
      <c r="H1153" s="170">
        <v>-5.1177705559547096E-10</v>
      </c>
      <c r="I1153" t="s">
        <v>1072</v>
      </c>
      <c r="J1153">
        <v>2.5499999999999998</v>
      </c>
    </row>
    <row r="1154" spans="1:10" hidden="1">
      <c r="A1154" t="s">
        <v>1492</v>
      </c>
      <c r="B1154" t="s">
        <v>1493</v>
      </c>
      <c r="C1154" t="s">
        <v>1066</v>
      </c>
      <c r="D1154" t="s">
        <v>1455</v>
      </c>
      <c r="E1154" t="s">
        <v>560</v>
      </c>
      <c r="F1154" t="s">
        <v>1068</v>
      </c>
      <c r="G1154" t="s">
        <v>1073</v>
      </c>
      <c r="H1154" s="171" t="s">
        <v>1495</v>
      </c>
      <c r="I1154" t="s">
        <v>1074</v>
      </c>
      <c r="J1154">
        <v>2.5499999999999998</v>
      </c>
    </row>
    <row r="1155" spans="1:10" hidden="1">
      <c r="A1155" t="s">
        <v>1492</v>
      </c>
      <c r="B1155" t="s">
        <v>1493</v>
      </c>
      <c r="C1155" t="s">
        <v>1066</v>
      </c>
      <c r="D1155" t="s">
        <v>1455</v>
      </c>
      <c r="E1155" t="s">
        <v>560</v>
      </c>
      <c r="F1155" t="s">
        <v>1068</v>
      </c>
      <c r="G1155" t="s">
        <v>1075</v>
      </c>
      <c r="H1155" s="171" t="s">
        <v>1496</v>
      </c>
      <c r="I1155" t="s">
        <v>1077</v>
      </c>
      <c r="J1155">
        <v>2.5499999999999998</v>
      </c>
    </row>
    <row r="1156" spans="1:10" hidden="1">
      <c r="A1156" t="s">
        <v>1492</v>
      </c>
      <c r="B1156" t="s">
        <v>1493</v>
      </c>
      <c r="C1156" t="s">
        <v>1066</v>
      </c>
      <c r="D1156" t="s">
        <v>1455</v>
      </c>
      <c r="E1156" t="s">
        <v>560</v>
      </c>
      <c r="F1156" t="s">
        <v>1068</v>
      </c>
      <c r="G1156" t="s">
        <v>1078</v>
      </c>
      <c r="H1156">
        <v>-3.7841398852757702</v>
      </c>
      <c r="I1156" t="s">
        <v>1079</v>
      </c>
      <c r="J1156">
        <v>2.5499999999999998</v>
      </c>
    </row>
    <row r="1157" spans="1:10" hidden="1">
      <c r="A1157" t="s">
        <v>1492</v>
      </c>
      <c r="B1157" t="s">
        <v>1493</v>
      </c>
      <c r="C1157" t="s">
        <v>1066</v>
      </c>
      <c r="D1157" t="s">
        <v>1455</v>
      </c>
      <c r="E1157" t="s">
        <v>560</v>
      </c>
      <c r="F1157" t="s">
        <v>1068</v>
      </c>
      <c r="G1157" t="s">
        <v>1080</v>
      </c>
      <c r="H1157" s="171" t="s">
        <v>1497</v>
      </c>
      <c r="I1157" t="s">
        <v>1082</v>
      </c>
      <c r="J1157">
        <v>2.5499999999999998</v>
      </c>
    </row>
    <row r="1158" spans="1:10" hidden="1">
      <c r="A1158" t="s">
        <v>1492</v>
      </c>
      <c r="B1158" t="s">
        <v>1493</v>
      </c>
      <c r="C1158" t="s">
        <v>1066</v>
      </c>
      <c r="D1158" t="s">
        <v>1455</v>
      </c>
      <c r="E1158" t="s">
        <v>560</v>
      </c>
      <c r="F1158" t="s">
        <v>1068</v>
      </c>
      <c r="G1158" t="s">
        <v>1083</v>
      </c>
      <c r="H1158">
        <v>-2.4694976347581399E-3</v>
      </c>
      <c r="I1158" t="s">
        <v>1084</v>
      </c>
      <c r="J1158">
        <v>2.5499999999999998</v>
      </c>
    </row>
    <row r="1159" spans="1:10" hidden="1">
      <c r="A1159" t="s">
        <v>1492</v>
      </c>
      <c r="B1159" t="s">
        <v>1493</v>
      </c>
      <c r="C1159" t="s">
        <v>1066</v>
      </c>
      <c r="D1159" t="s">
        <v>1455</v>
      </c>
      <c r="E1159" t="s">
        <v>560</v>
      </c>
      <c r="F1159" t="s">
        <v>1068</v>
      </c>
      <c r="G1159" t="s">
        <v>1085</v>
      </c>
      <c r="H1159">
        <v>-6.92284276732308E-2</v>
      </c>
      <c r="I1159" t="s">
        <v>1086</v>
      </c>
      <c r="J1159">
        <v>2.5499999999999998</v>
      </c>
    </row>
    <row r="1160" spans="1:10" hidden="1">
      <c r="A1160" t="s">
        <v>1492</v>
      </c>
      <c r="B1160" t="s">
        <v>1493</v>
      </c>
      <c r="C1160" t="s">
        <v>1066</v>
      </c>
      <c r="D1160" t="s">
        <v>1455</v>
      </c>
      <c r="E1160" t="s">
        <v>560</v>
      </c>
      <c r="F1160" t="s">
        <v>1068</v>
      </c>
      <c r="G1160" t="s">
        <v>1087</v>
      </c>
      <c r="H1160" s="170">
        <v>-5.29643889905226E-8</v>
      </c>
      <c r="I1160" t="s">
        <v>1088</v>
      </c>
      <c r="J1160">
        <v>2.5499999999999998</v>
      </c>
    </row>
    <row r="1161" spans="1:10" hidden="1">
      <c r="A1161" t="s">
        <v>1492</v>
      </c>
      <c r="B1161" t="s">
        <v>1493</v>
      </c>
      <c r="C1161" t="s">
        <v>1066</v>
      </c>
      <c r="D1161" t="s">
        <v>1455</v>
      </c>
      <c r="E1161" t="s">
        <v>560</v>
      </c>
      <c r="F1161" t="s">
        <v>1068</v>
      </c>
      <c r="G1161" t="s">
        <v>1089</v>
      </c>
      <c r="H1161">
        <v>-1.8789699671814E-2</v>
      </c>
      <c r="I1161" t="s">
        <v>1090</v>
      </c>
      <c r="J1161">
        <v>2.5499999999999998</v>
      </c>
    </row>
    <row r="1162" spans="1:10" hidden="1">
      <c r="A1162" t="s">
        <v>1498</v>
      </c>
      <c r="B1162" t="s">
        <v>1499</v>
      </c>
      <c r="C1162" t="s">
        <v>1066</v>
      </c>
      <c r="D1162" t="s">
        <v>1455</v>
      </c>
      <c r="E1162" t="s">
        <v>1116</v>
      </c>
      <c r="F1162" t="s">
        <v>1068</v>
      </c>
      <c r="G1162" t="s">
        <v>1069</v>
      </c>
      <c r="H1162" s="171" t="s">
        <v>1500</v>
      </c>
      <c r="I1162" t="s">
        <v>1070</v>
      </c>
      <c r="J1162">
        <v>2.54</v>
      </c>
    </row>
    <row r="1163" spans="1:10" hidden="1">
      <c r="A1163" t="s">
        <v>1498</v>
      </c>
      <c r="B1163" t="s">
        <v>1499</v>
      </c>
      <c r="C1163" t="s">
        <v>1066</v>
      </c>
      <c r="D1163" t="s">
        <v>1455</v>
      </c>
      <c r="E1163" t="s">
        <v>1116</v>
      </c>
      <c r="F1163" t="s">
        <v>1068</v>
      </c>
      <c r="G1163" t="s">
        <v>1071</v>
      </c>
      <c r="H1163" s="170">
        <v>-5.0257240278897302E-10</v>
      </c>
      <c r="I1163" t="s">
        <v>1072</v>
      </c>
      <c r="J1163">
        <v>2.54</v>
      </c>
    </row>
    <row r="1164" spans="1:10" hidden="1">
      <c r="A1164" t="s">
        <v>1498</v>
      </c>
      <c r="B1164" t="s">
        <v>1499</v>
      </c>
      <c r="C1164" t="s">
        <v>1066</v>
      </c>
      <c r="D1164" t="s">
        <v>1455</v>
      </c>
      <c r="E1164" t="s">
        <v>1116</v>
      </c>
      <c r="F1164" t="s">
        <v>1068</v>
      </c>
      <c r="G1164" t="s">
        <v>1073</v>
      </c>
      <c r="H1164" s="171" t="s">
        <v>1501</v>
      </c>
      <c r="I1164" t="s">
        <v>1074</v>
      </c>
      <c r="J1164">
        <v>2.54</v>
      </c>
    </row>
    <row r="1165" spans="1:10" hidden="1">
      <c r="A1165" t="s">
        <v>1498</v>
      </c>
      <c r="B1165" t="s">
        <v>1499</v>
      </c>
      <c r="C1165" t="s">
        <v>1066</v>
      </c>
      <c r="D1165" t="s">
        <v>1455</v>
      </c>
      <c r="E1165" t="s">
        <v>1116</v>
      </c>
      <c r="F1165" t="s">
        <v>1068</v>
      </c>
      <c r="G1165" t="s">
        <v>1075</v>
      </c>
      <c r="H1165" s="171" t="s">
        <v>1502</v>
      </c>
      <c r="I1165" t="s">
        <v>1077</v>
      </c>
      <c r="J1165">
        <v>2.54</v>
      </c>
    </row>
    <row r="1166" spans="1:10" hidden="1">
      <c r="A1166" t="s">
        <v>1498</v>
      </c>
      <c r="B1166" t="s">
        <v>1499</v>
      </c>
      <c r="C1166" t="s">
        <v>1066</v>
      </c>
      <c r="D1166" t="s">
        <v>1455</v>
      </c>
      <c r="E1166" t="s">
        <v>1116</v>
      </c>
      <c r="F1166" t="s">
        <v>1068</v>
      </c>
      <c r="G1166" t="s">
        <v>1078</v>
      </c>
      <c r="H1166">
        <v>-3.7753470705024998</v>
      </c>
      <c r="I1166" t="s">
        <v>1079</v>
      </c>
      <c r="J1166">
        <v>2.54</v>
      </c>
    </row>
    <row r="1167" spans="1:10" hidden="1">
      <c r="A1167" t="s">
        <v>1498</v>
      </c>
      <c r="B1167" t="s">
        <v>1499</v>
      </c>
      <c r="C1167" t="s">
        <v>1066</v>
      </c>
      <c r="D1167" t="s">
        <v>1455</v>
      </c>
      <c r="E1167" t="s">
        <v>1116</v>
      </c>
      <c r="F1167" t="s">
        <v>1068</v>
      </c>
      <c r="G1167" t="s">
        <v>1080</v>
      </c>
      <c r="H1167" s="171" t="s">
        <v>1503</v>
      </c>
      <c r="I1167" t="s">
        <v>1082</v>
      </c>
      <c r="J1167">
        <v>2.54</v>
      </c>
    </row>
    <row r="1168" spans="1:10" hidden="1">
      <c r="A1168" t="s">
        <v>1498</v>
      </c>
      <c r="B1168" t="s">
        <v>1499</v>
      </c>
      <c r="C1168" t="s">
        <v>1066</v>
      </c>
      <c r="D1168" t="s">
        <v>1455</v>
      </c>
      <c r="E1168" t="s">
        <v>1116</v>
      </c>
      <c r="F1168" t="s">
        <v>1068</v>
      </c>
      <c r="G1168" t="s">
        <v>1083</v>
      </c>
      <c r="H1168">
        <v>-2.4685199254199401E-3</v>
      </c>
      <c r="I1168" t="s">
        <v>1084</v>
      </c>
      <c r="J1168">
        <v>2.54</v>
      </c>
    </row>
    <row r="1169" spans="1:10" hidden="1">
      <c r="A1169" t="s">
        <v>1498</v>
      </c>
      <c r="B1169" t="s">
        <v>1499</v>
      </c>
      <c r="C1169" t="s">
        <v>1066</v>
      </c>
      <c r="D1169" t="s">
        <v>1455</v>
      </c>
      <c r="E1169" t="s">
        <v>1116</v>
      </c>
      <c r="F1169" t="s">
        <v>1068</v>
      </c>
      <c r="G1169" t="s">
        <v>1085</v>
      </c>
      <c r="H1169">
        <v>-6.9217377573376496E-2</v>
      </c>
      <c r="I1169" t="s">
        <v>1086</v>
      </c>
      <c r="J1169">
        <v>2.54</v>
      </c>
    </row>
    <row r="1170" spans="1:10" hidden="1">
      <c r="A1170" t="s">
        <v>1498</v>
      </c>
      <c r="B1170" t="s">
        <v>1499</v>
      </c>
      <c r="C1170" t="s">
        <v>1066</v>
      </c>
      <c r="D1170" t="s">
        <v>1455</v>
      </c>
      <c r="E1170" t="s">
        <v>1116</v>
      </c>
      <c r="F1170" t="s">
        <v>1068</v>
      </c>
      <c r="G1170" t="s">
        <v>1087</v>
      </c>
      <c r="H1170" s="170">
        <v>-4.7631560345840698E-8</v>
      </c>
      <c r="I1170" t="s">
        <v>1088</v>
      </c>
      <c r="J1170">
        <v>2.54</v>
      </c>
    </row>
    <row r="1171" spans="1:10" hidden="1">
      <c r="A1171" t="s">
        <v>1498</v>
      </c>
      <c r="B1171" t="s">
        <v>1499</v>
      </c>
      <c r="C1171" t="s">
        <v>1066</v>
      </c>
      <c r="D1171" t="s">
        <v>1455</v>
      </c>
      <c r="E1171" t="s">
        <v>1116</v>
      </c>
      <c r="F1171" t="s">
        <v>1068</v>
      </c>
      <c r="G1171" t="s">
        <v>1089</v>
      </c>
      <c r="H1171">
        <v>-1.87874200580351E-2</v>
      </c>
      <c r="I1171" t="s">
        <v>1090</v>
      </c>
      <c r="J1171">
        <v>2.54</v>
      </c>
    </row>
    <row r="1172" spans="1:10" hidden="1">
      <c r="A1172" t="s">
        <v>1504</v>
      </c>
      <c r="B1172" t="s">
        <v>1505</v>
      </c>
      <c r="C1172" t="s">
        <v>1066</v>
      </c>
      <c r="D1172" t="s">
        <v>544</v>
      </c>
      <c r="E1172" t="s">
        <v>561</v>
      </c>
      <c r="F1172" t="s">
        <v>1068</v>
      </c>
      <c r="G1172" t="s">
        <v>1069</v>
      </c>
      <c r="H1172">
        <v>-0.16559256905110201</v>
      </c>
      <c r="I1172" t="s">
        <v>1070</v>
      </c>
      <c r="J1172">
        <v>2.04</v>
      </c>
    </row>
    <row r="1173" spans="1:10" hidden="1">
      <c r="A1173" t="s">
        <v>1504</v>
      </c>
      <c r="B1173" t="s">
        <v>1505</v>
      </c>
      <c r="C1173" t="s">
        <v>1066</v>
      </c>
      <c r="D1173" t="s">
        <v>544</v>
      </c>
      <c r="E1173" t="s">
        <v>561</v>
      </c>
      <c r="F1173" t="s">
        <v>1068</v>
      </c>
      <c r="G1173" t="s">
        <v>1071</v>
      </c>
      <c r="H1173" s="170">
        <v>-6.2615816299329202E-10</v>
      </c>
      <c r="I1173" t="s">
        <v>1072</v>
      </c>
      <c r="J1173">
        <v>2.04</v>
      </c>
    </row>
    <row r="1174" spans="1:10" hidden="1">
      <c r="A1174" t="s">
        <v>1504</v>
      </c>
      <c r="B1174" t="s">
        <v>1505</v>
      </c>
      <c r="C1174" t="s">
        <v>1066</v>
      </c>
      <c r="D1174" t="s">
        <v>544</v>
      </c>
      <c r="E1174" t="s">
        <v>561</v>
      </c>
      <c r="F1174" t="s">
        <v>1068</v>
      </c>
      <c r="G1174" t="s">
        <v>1073</v>
      </c>
      <c r="H1174" s="170">
        <v>-1.2741257451931701E-7</v>
      </c>
      <c r="I1174" t="s">
        <v>1074</v>
      </c>
      <c r="J1174">
        <v>2.04</v>
      </c>
    </row>
    <row r="1175" spans="1:10" hidden="1">
      <c r="A1175" t="s">
        <v>1504</v>
      </c>
      <c r="B1175" t="s">
        <v>1505</v>
      </c>
      <c r="C1175" t="s">
        <v>1066</v>
      </c>
      <c r="D1175" t="s">
        <v>544</v>
      </c>
      <c r="E1175" t="s">
        <v>561</v>
      </c>
      <c r="F1175" t="s">
        <v>1068</v>
      </c>
      <c r="G1175" t="s">
        <v>1075</v>
      </c>
      <c r="H1175">
        <v>4.81707791486327E-2</v>
      </c>
      <c r="I1175" t="s">
        <v>1077</v>
      </c>
      <c r="J1175">
        <v>2.04</v>
      </c>
    </row>
    <row r="1176" spans="1:10" hidden="1">
      <c r="A1176" t="s">
        <v>1504</v>
      </c>
      <c r="B1176" t="s">
        <v>1505</v>
      </c>
      <c r="C1176" t="s">
        <v>1066</v>
      </c>
      <c r="D1176" t="s">
        <v>544</v>
      </c>
      <c r="E1176" t="s">
        <v>561</v>
      </c>
      <c r="F1176" t="s">
        <v>1068</v>
      </c>
      <c r="G1176" t="s">
        <v>1078</v>
      </c>
      <c r="H1176">
        <v>-2.25507761389321</v>
      </c>
      <c r="I1176" t="s">
        <v>1079</v>
      </c>
      <c r="J1176">
        <v>2.04</v>
      </c>
    </row>
    <row r="1177" spans="1:10" hidden="1">
      <c r="A1177" t="s">
        <v>1504</v>
      </c>
      <c r="B1177" t="s">
        <v>1505</v>
      </c>
      <c r="C1177" t="s">
        <v>1066</v>
      </c>
      <c r="D1177" t="s">
        <v>544</v>
      </c>
      <c r="E1177" t="s">
        <v>561</v>
      </c>
      <c r="F1177" t="s">
        <v>1068</v>
      </c>
      <c r="G1177" t="s">
        <v>1080</v>
      </c>
      <c r="H1177" s="171" t="s">
        <v>1506</v>
      </c>
      <c r="I1177" t="s">
        <v>1082</v>
      </c>
      <c r="J1177">
        <v>2.04</v>
      </c>
    </row>
    <row r="1178" spans="1:10" hidden="1">
      <c r="A1178" t="s">
        <v>1504</v>
      </c>
      <c r="B1178" t="s">
        <v>1505</v>
      </c>
      <c r="C1178" t="s">
        <v>1066</v>
      </c>
      <c r="D1178" t="s">
        <v>544</v>
      </c>
      <c r="E1178" t="s">
        <v>561</v>
      </c>
      <c r="F1178" t="s">
        <v>1068</v>
      </c>
      <c r="G1178" t="s">
        <v>1083</v>
      </c>
      <c r="H1178">
        <v>-1.69103940006401E-3</v>
      </c>
      <c r="I1178" t="s">
        <v>1084</v>
      </c>
      <c r="J1178">
        <v>2.04</v>
      </c>
    </row>
    <row r="1179" spans="1:10" hidden="1">
      <c r="A1179" t="s">
        <v>1504</v>
      </c>
      <c r="B1179" t="s">
        <v>1505</v>
      </c>
      <c r="C1179" t="s">
        <v>1066</v>
      </c>
      <c r="D1179" t="s">
        <v>544</v>
      </c>
      <c r="E1179" t="s">
        <v>561</v>
      </c>
      <c r="F1179" t="s">
        <v>1068</v>
      </c>
      <c r="G1179" t="s">
        <v>1085</v>
      </c>
      <c r="H1179">
        <v>-4.6578955911234898E-2</v>
      </c>
      <c r="I1179" t="s">
        <v>1086</v>
      </c>
      <c r="J1179">
        <v>2.04</v>
      </c>
    </row>
    <row r="1180" spans="1:10" hidden="1">
      <c r="A1180" t="s">
        <v>1504</v>
      </c>
      <c r="B1180" t="s">
        <v>1505</v>
      </c>
      <c r="C1180" t="s">
        <v>1066</v>
      </c>
      <c r="D1180" t="s">
        <v>544</v>
      </c>
      <c r="E1180" t="s">
        <v>561</v>
      </c>
      <c r="F1180" t="s">
        <v>1068</v>
      </c>
      <c r="G1180" t="s">
        <v>1087</v>
      </c>
      <c r="H1180" s="170">
        <v>-1.4970865423117801E-5</v>
      </c>
      <c r="I1180" t="s">
        <v>1088</v>
      </c>
      <c r="J1180">
        <v>2.04</v>
      </c>
    </row>
    <row r="1181" spans="1:10" hidden="1">
      <c r="A1181" t="s">
        <v>1504</v>
      </c>
      <c r="B1181" t="s">
        <v>1505</v>
      </c>
      <c r="C1181" t="s">
        <v>1066</v>
      </c>
      <c r="D1181" t="s">
        <v>544</v>
      </c>
      <c r="E1181" t="s">
        <v>561</v>
      </c>
      <c r="F1181" t="s">
        <v>1068</v>
      </c>
      <c r="G1181" t="s">
        <v>1089</v>
      </c>
      <c r="H1181">
        <v>-1.23150514154257E-2</v>
      </c>
      <c r="I1181" t="s">
        <v>1090</v>
      </c>
      <c r="J1181">
        <v>2.04</v>
      </c>
    </row>
    <row r="1182" spans="1:10" hidden="1">
      <c r="A1182" t="s">
        <v>1507</v>
      </c>
      <c r="B1182" t="s">
        <v>1508</v>
      </c>
      <c r="C1182" t="s">
        <v>1066</v>
      </c>
      <c r="D1182" t="s">
        <v>544</v>
      </c>
      <c r="E1182" t="s">
        <v>555</v>
      </c>
      <c r="F1182" t="s">
        <v>1068</v>
      </c>
      <c r="G1182" t="s">
        <v>1069</v>
      </c>
      <c r="H1182">
        <v>-0.18205546643679801</v>
      </c>
      <c r="I1182" t="s">
        <v>1070</v>
      </c>
      <c r="J1182">
        <v>2.04</v>
      </c>
    </row>
    <row r="1183" spans="1:10" hidden="1">
      <c r="A1183" t="s">
        <v>1507</v>
      </c>
      <c r="B1183" t="s">
        <v>1508</v>
      </c>
      <c r="C1183" t="s">
        <v>1066</v>
      </c>
      <c r="D1183" t="s">
        <v>544</v>
      </c>
      <c r="E1183" t="s">
        <v>555</v>
      </c>
      <c r="F1183" t="s">
        <v>1068</v>
      </c>
      <c r="G1183" t="s">
        <v>1071</v>
      </c>
      <c r="H1183" s="170">
        <v>-6.4971099247749805E-10</v>
      </c>
      <c r="I1183" t="s">
        <v>1072</v>
      </c>
      <c r="J1183">
        <v>2.04</v>
      </c>
    </row>
    <row r="1184" spans="1:10" hidden="1">
      <c r="A1184" t="s">
        <v>1507</v>
      </c>
      <c r="B1184" t="s">
        <v>1508</v>
      </c>
      <c r="C1184" t="s">
        <v>1066</v>
      </c>
      <c r="D1184" t="s">
        <v>544</v>
      </c>
      <c r="E1184" t="s">
        <v>555</v>
      </c>
      <c r="F1184" t="s">
        <v>1068</v>
      </c>
      <c r="G1184" t="s">
        <v>1073</v>
      </c>
      <c r="H1184" s="170">
        <v>-1.3326077639299801E-7</v>
      </c>
      <c r="I1184" t="s">
        <v>1074</v>
      </c>
      <c r="J1184">
        <v>2.04</v>
      </c>
    </row>
    <row r="1185" spans="1:10" hidden="1">
      <c r="A1185" t="s">
        <v>1507</v>
      </c>
      <c r="B1185" t="s">
        <v>1508</v>
      </c>
      <c r="C1185" t="s">
        <v>1066</v>
      </c>
      <c r="D1185" t="s">
        <v>544</v>
      </c>
      <c r="E1185" t="s">
        <v>555</v>
      </c>
      <c r="F1185" t="s">
        <v>1068</v>
      </c>
      <c r="G1185" t="s">
        <v>1075</v>
      </c>
      <c r="H1185">
        <v>4.7654158730411601E-2</v>
      </c>
      <c r="I1185" t="s">
        <v>1077</v>
      </c>
      <c r="J1185">
        <v>2.04</v>
      </c>
    </row>
    <row r="1186" spans="1:10" hidden="1">
      <c r="A1186" t="s">
        <v>1507</v>
      </c>
      <c r="B1186" t="s">
        <v>1508</v>
      </c>
      <c r="C1186" t="s">
        <v>1066</v>
      </c>
      <c r="D1186" t="s">
        <v>544</v>
      </c>
      <c r="E1186" t="s">
        <v>555</v>
      </c>
      <c r="F1186" t="s">
        <v>1068</v>
      </c>
      <c r="G1186" t="s">
        <v>1078</v>
      </c>
      <c r="H1186">
        <v>-2.2759782789704102</v>
      </c>
      <c r="I1186" t="s">
        <v>1079</v>
      </c>
      <c r="J1186">
        <v>2.04</v>
      </c>
    </row>
    <row r="1187" spans="1:10" hidden="1">
      <c r="A1187" t="s">
        <v>1507</v>
      </c>
      <c r="B1187" t="s">
        <v>1508</v>
      </c>
      <c r="C1187" t="s">
        <v>1066</v>
      </c>
      <c r="D1187" t="s">
        <v>544</v>
      </c>
      <c r="E1187" t="s">
        <v>555</v>
      </c>
      <c r="F1187" t="s">
        <v>1068</v>
      </c>
      <c r="G1187" t="s">
        <v>1080</v>
      </c>
      <c r="H1187" s="171" t="s">
        <v>1509</v>
      </c>
      <c r="I1187" t="s">
        <v>1082</v>
      </c>
      <c r="J1187">
        <v>2.04</v>
      </c>
    </row>
    <row r="1188" spans="1:10" hidden="1">
      <c r="A1188" t="s">
        <v>1507</v>
      </c>
      <c r="B1188" t="s">
        <v>1508</v>
      </c>
      <c r="C1188" t="s">
        <v>1066</v>
      </c>
      <c r="D1188" t="s">
        <v>544</v>
      </c>
      <c r="E1188" t="s">
        <v>555</v>
      </c>
      <c r="F1188" t="s">
        <v>1068</v>
      </c>
      <c r="G1188" t="s">
        <v>1083</v>
      </c>
      <c r="H1188">
        <v>-1.6935421440795601E-3</v>
      </c>
      <c r="I1188" t="s">
        <v>1084</v>
      </c>
      <c r="J1188">
        <v>2.04</v>
      </c>
    </row>
    <row r="1189" spans="1:10" hidden="1">
      <c r="A1189" t="s">
        <v>1507</v>
      </c>
      <c r="B1189" t="s">
        <v>1508</v>
      </c>
      <c r="C1189" t="s">
        <v>1066</v>
      </c>
      <c r="D1189" t="s">
        <v>544</v>
      </c>
      <c r="E1189" t="s">
        <v>555</v>
      </c>
      <c r="F1189" t="s">
        <v>1068</v>
      </c>
      <c r="G1189" t="s">
        <v>1085</v>
      </c>
      <c r="H1189">
        <v>-4.6607221629975097E-2</v>
      </c>
      <c r="I1189" t="s">
        <v>1086</v>
      </c>
      <c r="J1189">
        <v>2.04</v>
      </c>
    </row>
    <row r="1190" spans="1:10" hidden="1">
      <c r="A1190" t="s">
        <v>1507</v>
      </c>
      <c r="B1190" t="s">
        <v>1508</v>
      </c>
      <c r="C1190" t="s">
        <v>1066</v>
      </c>
      <c r="D1190" t="s">
        <v>544</v>
      </c>
      <c r="E1190" t="s">
        <v>555</v>
      </c>
      <c r="F1190" t="s">
        <v>1068</v>
      </c>
      <c r="G1190" t="s">
        <v>1087</v>
      </c>
      <c r="H1190" s="170">
        <v>-1.4984329290903201E-5</v>
      </c>
      <c r="I1190" t="s">
        <v>1088</v>
      </c>
      <c r="J1190">
        <v>2.04</v>
      </c>
    </row>
    <row r="1191" spans="1:10" hidden="1">
      <c r="A1191" t="s">
        <v>1507</v>
      </c>
      <c r="B1191" t="s">
        <v>1508</v>
      </c>
      <c r="C1191" t="s">
        <v>1066</v>
      </c>
      <c r="D1191" t="s">
        <v>544</v>
      </c>
      <c r="E1191" t="s">
        <v>555</v>
      </c>
      <c r="F1191" t="s">
        <v>1068</v>
      </c>
      <c r="G1191" t="s">
        <v>1089</v>
      </c>
      <c r="H1191">
        <v>-1.23208861256678E-2</v>
      </c>
      <c r="I1191" t="s">
        <v>1090</v>
      </c>
      <c r="J1191">
        <v>2.04</v>
      </c>
    </row>
    <row r="1192" spans="1:10" hidden="1">
      <c r="A1192" t="s">
        <v>1510</v>
      </c>
      <c r="B1192" t="s">
        <v>1511</v>
      </c>
      <c r="C1192" t="s">
        <v>1066</v>
      </c>
      <c r="D1192" t="s">
        <v>544</v>
      </c>
      <c r="E1192" t="s">
        <v>558</v>
      </c>
      <c r="F1192" t="s">
        <v>1068</v>
      </c>
      <c r="G1192" t="s">
        <v>1069</v>
      </c>
      <c r="H1192">
        <v>-0.16413469802184599</v>
      </c>
      <c r="I1192" t="s">
        <v>1070</v>
      </c>
      <c r="J1192">
        <v>2.04</v>
      </c>
    </row>
    <row r="1193" spans="1:10" hidden="1">
      <c r="A1193" t="s">
        <v>1510</v>
      </c>
      <c r="B1193" t="s">
        <v>1511</v>
      </c>
      <c r="C1193" t="s">
        <v>1066</v>
      </c>
      <c r="D1193" t="s">
        <v>544</v>
      </c>
      <c r="E1193" t="s">
        <v>558</v>
      </c>
      <c r="F1193" t="s">
        <v>1068</v>
      </c>
      <c r="G1193" t="s">
        <v>1071</v>
      </c>
      <c r="H1193" s="170">
        <v>-6.2407193296467302E-10</v>
      </c>
      <c r="I1193" t="s">
        <v>1072</v>
      </c>
      <c r="J1193">
        <v>2.04</v>
      </c>
    </row>
    <row r="1194" spans="1:10" hidden="1">
      <c r="A1194" t="s">
        <v>1510</v>
      </c>
      <c r="B1194" t="s">
        <v>1511</v>
      </c>
      <c r="C1194" t="s">
        <v>1066</v>
      </c>
      <c r="D1194" t="s">
        <v>544</v>
      </c>
      <c r="E1194" t="s">
        <v>558</v>
      </c>
      <c r="F1194" t="s">
        <v>1068</v>
      </c>
      <c r="G1194" t="s">
        <v>1073</v>
      </c>
      <c r="H1194" s="170">
        <v>-1.26894734116753E-7</v>
      </c>
      <c r="I1194" t="s">
        <v>1074</v>
      </c>
      <c r="J1194">
        <v>2.04</v>
      </c>
    </row>
    <row r="1195" spans="1:10" hidden="1">
      <c r="A1195" t="s">
        <v>1510</v>
      </c>
      <c r="B1195" t="s">
        <v>1511</v>
      </c>
      <c r="C1195" t="s">
        <v>1066</v>
      </c>
      <c r="D1195" t="s">
        <v>544</v>
      </c>
      <c r="E1195" t="s">
        <v>558</v>
      </c>
      <c r="F1195" t="s">
        <v>1068</v>
      </c>
      <c r="G1195" t="s">
        <v>1075</v>
      </c>
      <c r="H1195">
        <v>4.8216864009270097E-2</v>
      </c>
      <c r="I1195" t="s">
        <v>1077</v>
      </c>
      <c r="J1195">
        <v>2.04</v>
      </c>
    </row>
    <row r="1196" spans="1:10" hidden="1">
      <c r="A1196" t="s">
        <v>1510</v>
      </c>
      <c r="B1196" t="s">
        <v>1511</v>
      </c>
      <c r="C1196" t="s">
        <v>1066</v>
      </c>
      <c r="D1196" t="s">
        <v>544</v>
      </c>
      <c r="E1196" t="s">
        <v>558</v>
      </c>
      <c r="F1196" t="s">
        <v>1068</v>
      </c>
      <c r="G1196" t="s">
        <v>1078</v>
      </c>
      <c r="H1196">
        <v>-2.2530847267515401</v>
      </c>
      <c r="I1196" t="s">
        <v>1079</v>
      </c>
      <c r="J1196">
        <v>2.04</v>
      </c>
    </row>
    <row r="1197" spans="1:10" hidden="1">
      <c r="A1197" t="s">
        <v>1510</v>
      </c>
      <c r="B1197" t="s">
        <v>1511</v>
      </c>
      <c r="C1197" t="s">
        <v>1066</v>
      </c>
      <c r="D1197" t="s">
        <v>544</v>
      </c>
      <c r="E1197" t="s">
        <v>558</v>
      </c>
      <c r="F1197" t="s">
        <v>1068</v>
      </c>
      <c r="G1197" t="s">
        <v>1080</v>
      </c>
      <c r="H1197" s="171" t="s">
        <v>1512</v>
      </c>
      <c r="I1197" t="s">
        <v>1082</v>
      </c>
      <c r="J1197">
        <v>2.04</v>
      </c>
    </row>
    <row r="1198" spans="1:10" hidden="1">
      <c r="A1198" t="s">
        <v>1510</v>
      </c>
      <c r="B1198" t="s">
        <v>1511</v>
      </c>
      <c r="C1198" t="s">
        <v>1066</v>
      </c>
      <c r="D1198" t="s">
        <v>544</v>
      </c>
      <c r="E1198" t="s">
        <v>558</v>
      </c>
      <c r="F1198" t="s">
        <v>1068</v>
      </c>
      <c r="G1198" t="s">
        <v>1083</v>
      </c>
      <c r="H1198">
        <v>-1.6908178027236101E-3</v>
      </c>
      <c r="I1198" t="s">
        <v>1084</v>
      </c>
      <c r="J1198">
        <v>2.04</v>
      </c>
    </row>
    <row r="1199" spans="1:10" hidden="1">
      <c r="A1199" t="s">
        <v>1510</v>
      </c>
      <c r="B1199" t="s">
        <v>1511</v>
      </c>
      <c r="C1199" t="s">
        <v>1066</v>
      </c>
      <c r="D1199" t="s">
        <v>544</v>
      </c>
      <c r="E1199" t="s">
        <v>558</v>
      </c>
      <c r="F1199" t="s">
        <v>1068</v>
      </c>
      <c r="G1199" t="s">
        <v>1085</v>
      </c>
      <c r="H1199">
        <v>-4.6576451411540397E-2</v>
      </c>
      <c r="I1199" t="s">
        <v>1086</v>
      </c>
      <c r="J1199">
        <v>2.04</v>
      </c>
    </row>
    <row r="1200" spans="1:10" hidden="1">
      <c r="A1200" t="s">
        <v>1510</v>
      </c>
      <c r="B1200" t="s">
        <v>1511</v>
      </c>
      <c r="C1200" t="s">
        <v>1066</v>
      </c>
      <c r="D1200" t="s">
        <v>544</v>
      </c>
      <c r="E1200" t="s">
        <v>558</v>
      </c>
      <c r="F1200" t="s">
        <v>1068</v>
      </c>
      <c r="G1200" t="s">
        <v>1087</v>
      </c>
      <c r="H1200" s="170">
        <v>-1.49696567401296E-5</v>
      </c>
      <c r="I1200" t="s">
        <v>1088</v>
      </c>
      <c r="J1200">
        <v>2.04</v>
      </c>
    </row>
    <row r="1201" spans="1:10" hidden="1">
      <c r="A1201" t="s">
        <v>1510</v>
      </c>
      <c r="B1201" t="s">
        <v>1511</v>
      </c>
      <c r="C1201" t="s">
        <v>1066</v>
      </c>
      <c r="D1201" t="s">
        <v>544</v>
      </c>
      <c r="E1201" t="s">
        <v>558</v>
      </c>
      <c r="F1201" t="s">
        <v>1068</v>
      </c>
      <c r="G1201" t="s">
        <v>1089</v>
      </c>
      <c r="H1201">
        <v>-1.2314534742084399E-2</v>
      </c>
      <c r="I1201" t="s">
        <v>1090</v>
      </c>
      <c r="J1201">
        <v>2.04</v>
      </c>
    </row>
    <row r="1202" spans="1:10" hidden="1">
      <c r="A1202" t="s">
        <v>1513</v>
      </c>
      <c r="B1202" t="s">
        <v>1514</v>
      </c>
      <c r="C1202" t="s">
        <v>1066</v>
      </c>
      <c r="D1202" t="s">
        <v>544</v>
      </c>
      <c r="E1202" t="s">
        <v>553</v>
      </c>
      <c r="F1202" t="s">
        <v>1068</v>
      </c>
      <c r="G1202" t="s">
        <v>1069</v>
      </c>
      <c r="H1202">
        <v>-0.16270441665197799</v>
      </c>
      <c r="I1202" t="s">
        <v>1070</v>
      </c>
      <c r="J1202">
        <v>2.0299999999999998</v>
      </c>
    </row>
    <row r="1203" spans="1:10" hidden="1">
      <c r="A1203" t="s">
        <v>1513</v>
      </c>
      <c r="B1203" t="s">
        <v>1514</v>
      </c>
      <c r="C1203" t="s">
        <v>1066</v>
      </c>
      <c r="D1203" t="s">
        <v>544</v>
      </c>
      <c r="E1203" t="s">
        <v>553</v>
      </c>
      <c r="F1203" t="s">
        <v>1068</v>
      </c>
      <c r="G1203" t="s">
        <v>1071</v>
      </c>
      <c r="H1203" s="170">
        <v>-6.2201942008112097E-10</v>
      </c>
      <c r="I1203" t="s">
        <v>1072</v>
      </c>
      <c r="J1203">
        <v>2.0299999999999998</v>
      </c>
    </row>
    <row r="1204" spans="1:10" hidden="1">
      <c r="A1204" t="s">
        <v>1513</v>
      </c>
      <c r="B1204" t="s">
        <v>1514</v>
      </c>
      <c r="C1204" t="s">
        <v>1066</v>
      </c>
      <c r="D1204" t="s">
        <v>544</v>
      </c>
      <c r="E1204" t="s">
        <v>553</v>
      </c>
      <c r="F1204" t="s">
        <v>1068</v>
      </c>
      <c r="G1204" t="s">
        <v>1073</v>
      </c>
      <c r="H1204" s="170">
        <v>-1.2638722227899801E-7</v>
      </c>
      <c r="I1204" t="s">
        <v>1074</v>
      </c>
      <c r="J1204">
        <v>2.0299999999999998</v>
      </c>
    </row>
    <row r="1205" spans="1:10" hidden="1">
      <c r="A1205" t="s">
        <v>1513</v>
      </c>
      <c r="B1205" t="s">
        <v>1514</v>
      </c>
      <c r="C1205" t="s">
        <v>1066</v>
      </c>
      <c r="D1205" t="s">
        <v>544</v>
      </c>
      <c r="E1205" t="s">
        <v>553</v>
      </c>
      <c r="F1205" t="s">
        <v>1068</v>
      </c>
      <c r="G1205" t="s">
        <v>1075</v>
      </c>
      <c r="H1205">
        <v>4.8265866086250303E-2</v>
      </c>
      <c r="I1205" t="s">
        <v>1077</v>
      </c>
      <c r="J1205">
        <v>2.0299999999999998</v>
      </c>
    </row>
    <row r="1206" spans="1:10" hidden="1">
      <c r="A1206" t="s">
        <v>1513</v>
      </c>
      <c r="B1206" t="s">
        <v>1514</v>
      </c>
      <c r="C1206" t="s">
        <v>1066</v>
      </c>
      <c r="D1206" t="s">
        <v>544</v>
      </c>
      <c r="E1206" t="s">
        <v>553</v>
      </c>
      <c r="F1206" t="s">
        <v>1068</v>
      </c>
      <c r="G1206" t="s">
        <v>1078</v>
      </c>
      <c r="H1206">
        <v>-2.2495256933074002</v>
      </c>
      <c r="I1206" t="s">
        <v>1079</v>
      </c>
      <c r="J1206">
        <v>2.0299999999999998</v>
      </c>
    </row>
    <row r="1207" spans="1:10" hidden="1">
      <c r="A1207" t="s">
        <v>1513</v>
      </c>
      <c r="B1207" t="s">
        <v>1514</v>
      </c>
      <c r="C1207" t="s">
        <v>1066</v>
      </c>
      <c r="D1207" t="s">
        <v>544</v>
      </c>
      <c r="E1207" t="s">
        <v>553</v>
      </c>
      <c r="F1207" t="s">
        <v>1068</v>
      </c>
      <c r="G1207" t="s">
        <v>1080</v>
      </c>
      <c r="H1207" s="171" t="s">
        <v>1515</v>
      </c>
      <c r="I1207" t="s">
        <v>1082</v>
      </c>
      <c r="J1207">
        <v>2.0299999999999998</v>
      </c>
    </row>
    <row r="1208" spans="1:10" hidden="1">
      <c r="A1208" t="s">
        <v>1513</v>
      </c>
      <c r="B1208" t="s">
        <v>1514</v>
      </c>
      <c r="C1208" t="s">
        <v>1066</v>
      </c>
      <c r="D1208" t="s">
        <v>544</v>
      </c>
      <c r="E1208" t="s">
        <v>553</v>
      </c>
      <c r="F1208" t="s">
        <v>1068</v>
      </c>
      <c r="G1208" t="s">
        <v>1083</v>
      </c>
      <c r="H1208">
        <v>-1.6906007719832E-3</v>
      </c>
      <c r="I1208" t="s">
        <v>1084</v>
      </c>
      <c r="J1208">
        <v>2.0299999999999998</v>
      </c>
    </row>
    <row r="1209" spans="1:10" hidden="1">
      <c r="A1209" t="s">
        <v>1513</v>
      </c>
      <c r="B1209" t="s">
        <v>1514</v>
      </c>
      <c r="C1209" t="s">
        <v>1066</v>
      </c>
      <c r="D1209" t="s">
        <v>544</v>
      </c>
      <c r="E1209" t="s">
        <v>553</v>
      </c>
      <c r="F1209" t="s">
        <v>1068</v>
      </c>
      <c r="G1209" t="s">
        <v>1085</v>
      </c>
      <c r="H1209">
        <v>-4.6573978155556403E-2</v>
      </c>
      <c r="I1209" t="s">
        <v>1086</v>
      </c>
      <c r="J1209">
        <v>2.0299999999999998</v>
      </c>
    </row>
    <row r="1210" spans="1:10" hidden="1">
      <c r="A1210" t="s">
        <v>1513</v>
      </c>
      <c r="B1210" t="s">
        <v>1514</v>
      </c>
      <c r="C1210" t="s">
        <v>1066</v>
      </c>
      <c r="D1210" t="s">
        <v>544</v>
      </c>
      <c r="E1210" t="s">
        <v>553</v>
      </c>
      <c r="F1210" t="s">
        <v>1068</v>
      </c>
      <c r="G1210" t="s">
        <v>1087</v>
      </c>
      <c r="H1210" s="170">
        <v>-1.4968285838358501E-5</v>
      </c>
      <c r="I1210" t="s">
        <v>1088</v>
      </c>
      <c r="J1210">
        <v>2.0299999999999998</v>
      </c>
    </row>
    <row r="1211" spans="1:10" hidden="1">
      <c r="A1211" t="s">
        <v>1513</v>
      </c>
      <c r="B1211" t="s">
        <v>1514</v>
      </c>
      <c r="C1211" t="s">
        <v>1066</v>
      </c>
      <c r="D1211" t="s">
        <v>544</v>
      </c>
      <c r="E1211" t="s">
        <v>553</v>
      </c>
      <c r="F1211" t="s">
        <v>1068</v>
      </c>
      <c r="G1211" t="s">
        <v>1089</v>
      </c>
      <c r="H1211">
        <v>-1.2314028062542301E-2</v>
      </c>
      <c r="I1211" t="s">
        <v>1090</v>
      </c>
      <c r="J1211">
        <v>2.0299999999999998</v>
      </c>
    </row>
    <row r="1212" spans="1:10" hidden="1">
      <c r="A1212" t="s">
        <v>1516</v>
      </c>
      <c r="B1212" t="s">
        <v>1517</v>
      </c>
      <c r="C1212" t="s">
        <v>1066</v>
      </c>
      <c r="D1212" t="s">
        <v>544</v>
      </c>
      <c r="E1212" t="s">
        <v>556</v>
      </c>
      <c r="F1212" t="s">
        <v>1068</v>
      </c>
      <c r="G1212" t="s">
        <v>1069</v>
      </c>
      <c r="H1212">
        <v>-0.18023658748883101</v>
      </c>
      <c r="I1212" t="s">
        <v>1070</v>
      </c>
      <c r="J1212">
        <v>2.54</v>
      </c>
    </row>
    <row r="1213" spans="1:10" hidden="1">
      <c r="A1213" t="s">
        <v>1516</v>
      </c>
      <c r="B1213" t="s">
        <v>1517</v>
      </c>
      <c r="C1213" t="s">
        <v>1066</v>
      </c>
      <c r="D1213" t="s">
        <v>544</v>
      </c>
      <c r="E1213" t="s">
        <v>556</v>
      </c>
      <c r="F1213" t="s">
        <v>1068</v>
      </c>
      <c r="G1213" t="s">
        <v>1071</v>
      </c>
      <c r="H1213" s="170">
        <v>-6.4707602907211097E-10</v>
      </c>
      <c r="I1213" t="s">
        <v>1072</v>
      </c>
      <c r="J1213">
        <v>2.54</v>
      </c>
    </row>
    <row r="1214" spans="1:10" hidden="1">
      <c r="A1214" t="s">
        <v>1516</v>
      </c>
      <c r="B1214" t="s">
        <v>1517</v>
      </c>
      <c r="C1214" t="s">
        <v>1066</v>
      </c>
      <c r="D1214" t="s">
        <v>544</v>
      </c>
      <c r="E1214" t="s">
        <v>556</v>
      </c>
      <c r="F1214" t="s">
        <v>1068</v>
      </c>
      <c r="G1214" t="s">
        <v>1073</v>
      </c>
      <c r="H1214" s="170">
        <v>-1.32613784969622E-7</v>
      </c>
      <c r="I1214" t="s">
        <v>1074</v>
      </c>
      <c r="J1214">
        <v>2.54</v>
      </c>
    </row>
    <row r="1215" spans="1:10" hidden="1">
      <c r="A1215" t="s">
        <v>1516</v>
      </c>
      <c r="B1215" t="s">
        <v>1517</v>
      </c>
      <c r="C1215" t="s">
        <v>1066</v>
      </c>
      <c r="D1215" t="s">
        <v>544</v>
      </c>
      <c r="E1215" t="s">
        <v>556</v>
      </c>
      <c r="F1215" t="s">
        <v>1068</v>
      </c>
      <c r="G1215" t="s">
        <v>1075</v>
      </c>
      <c r="H1215" s="171" t="s">
        <v>1518</v>
      </c>
      <c r="I1215" t="s">
        <v>1077</v>
      </c>
      <c r="J1215">
        <v>2.54</v>
      </c>
    </row>
    <row r="1216" spans="1:10" hidden="1">
      <c r="A1216" t="s">
        <v>1516</v>
      </c>
      <c r="B1216" t="s">
        <v>1517</v>
      </c>
      <c r="C1216" t="s">
        <v>1066</v>
      </c>
      <c r="D1216" t="s">
        <v>544</v>
      </c>
      <c r="E1216" t="s">
        <v>556</v>
      </c>
      <c r="F1216" t="s">
        <v>1068</v>
      </c>
      <c r="G1216" t="s">
        <v>1078</v>
      </c>
      <c r="H1216">
        <v>-2.2676272783265299</v>
      </c>
      <c r="I1216" t="s">
        <v>1079</v>
      </c>
      <c r="J1216">
        <v>2.54</v>
      </c>
    </row>
    <row r="1217" spans="1:10" hidden="1">
      <c r="A1217" t="s">
        <v>1516</v>
      </c>
      <c r="B1217" t="s">
        <v>1517</v>
      </c>
      <c r="C1217" t="s">
        <v>1066</v>
      </c>
      <c r="D1217" t="s">
        <v>544</v>
      </c>
      <c r="E1217" t="s">
        <v>556</v>
      </c>
      <c r="F1217" t="s">
        <v>1068</v>
      </c>
      <c r="G1217" t="s">
        <v>1080</v>
      </c>
      <c r="H1217" s="171" t="s">
        <v>1519</v>
      </c>
      <c r="I1217" t="s">
        <v>1082</v>
      </c>
      <c r="J1217">
        <v>2.54</v>
      </c>
    </row>
    <row r="1218" spans="1:10" hidden="1">
      <c r="A1218" t="s">
        <v>1516</v>
      </c>
      <c r="B1218" t="s">
        <v>1517</v>
      </c>
      <c r="C1218" t="s">
        <v>1066</v>
      </c>
      <c r="D1218" t="s">
        <v>544</v>
      </c>
      <c r="E1218" t="s">
        <v>556</v>
      </c>
      <c r="F1218" t="s">
        <v>1068</v>
      </c>
      <c r="G1218" t="s">
        <v>1083</v>
      </c>
      <c r="H1218">
        <v>-1.6932656691285299E-3</v>
      </c>
      <c r="I1218" t="s">
        <v>1084</v>
      </c>
      <c r="J1218">
        <v>2.54</v>
      </c>
    </row>
    <row r="1219" spans="1:10" hidden="1">
      <c r="A1219" t="s">
        <v>1516</v>
      </c>
      <c r="B1219" t="s">
        <v>1517</v>
      </c>
      <c r="C1219" t="s">
        <v>1066</v>
      </c>
      <c r="D1219" t="s">
        <v>544</v>
      </c>
      <c r="E1219" t="s">
        <v>556</v>
      </c>
      <c r="F1219" t="s">
        <v>1068</v>
      </c>
      <c r="G1219" t="s">
        <v>1085</v>
      </c>
      <c r="H1219">
        <v>-4.6604022962274498E-2</v>
      </c>
      <c r="I1219" t="s">
        <v>1086</v>
      </c>
      <c r="J1219">
        <v>2.54</v>
      </c>
    </row>
    <row r="1220" spans="1:10" hidden="1">
      <c r="A1220" t="s">
        <v>1516</v>
      </c>
      <c r="B1220" t="s">
        <v>1517</v>
      </c>
      <c r="C1220" t="s">
        <v>1066</v>
      </c>
      <c r="D1220" t="s">
        <v>544</v>
      </c>
      <c r="E1220" t="s">
        <v>556</v>
      </c>
      <c r="F1220" t="s">
        <v>1068</v>
      </c>
      <c r="G1220" t="s">
        <v>1087</v>
      </c>
      <c r="H1220" s="170">
        <v>-1.4982821330731899E-5</v>
      </c>
      <c r="I1220" t="s">
        <v>1088</v>
      </c>
      <c r="J1220">
        <v>2.54</v>
      </c>
    </row>
    <row r="1221" spans="1:10" hidden="1">
      <c r="A1221" t="s">
        <v>1516</v>
      </c>
      <c r="B1221" t="s">
        <v>1517</v>
      </c>
      <c r="C1221" t="s">
        <v>1066</v>
      </c>
      <c r="D1221" t="s">
        <v>544</v>
      </c>
      <c r="E1221" t="s">
        <v>556</v>
      </c>
      <c r="F1221" t="s">
        <v>1068</v>
      </c>
      <c r="G1221" t="s">
        <v>1089</v>
      </c>
      <c r="H1221">
        <v>-1.23202415208973E-2</v>
      </c>
      <c r="I1221" t="s">
        <v>1090</v>
      </c>
      <c r="J1221">
        <v>2.54</v>
      </c>
    </row>
    <row r="1222" spans="1:10" hidden="1">
      <c r="A1222" t="s">
        <v>1520</v>
      </c>
      <c r="B1222" t="s">
        <v>1521</v>
      </c>
      <c r="C1222" t="s">
        <v>1066</v>
      </c>
      <c r="D1222" t="s">
        <v>544</v>
      </c>
      <c r="E1222" t="s">
        <v>557</v>
      </c>
      <c r="F1222" t="s">
        <v>1068</v>
      </c>
      <c r="G1222" t="s">
        <v>1069</v>
      </c>
      <c r="H1222">
        <v>-0.170156339231048</v>
      </c>
      <c r="I1222" t="s">
        <v>1070</v>
      </c>
      <c r="J1222">
        <v>3.05</v>
      </c>
    </row>
    <row r="1223" spans="1:10" hidden="1">
      <c r="A1223" t="s">
        <v>1520</v>
      </c>
      <c r="B1223" t="s">
        <v>1521</v>
      </c>
      <c r="C1223" t="s">
        <v>1066</v>
      </c>
      <c r="D1223" t="s">
        <v>544</v>
      </c>
      <c r="E1223" t="s">
        <v>557</v>
      </c>
      <c r="F1223" t="s">
        <v>1068</v>
      </c>
      <c r="G1223" t="s">
        <v>1071</v>
      </c>
      <c r="H1223" s="170">
        <v>-6.3268897004255004E-10</v>
      </c>
      <c r="I1223" t="s">
        <v>1072</v>
      </c>
      <c r="J1223">
        <v>3.05</v>
      </c>
    </row>
    <row r="1224" spans="1:10" hidden="1">
      <c r="A1224" t="s">
        <v>1520</v>
      </c>
      <c r="B1224" t="s">
        <v>1521</v>
      </c>
      <c r="C1224" t="s">
        <v>1066</v>
      </c>
      <c r="D1224" t="s">
        <v>544</v>
      </c>
      <c r="E1224" t="s">
        <v>557</v>
      </c>
      <c r="F1224" t="s">
        <v>1068</v>
      </c>
      <c r="G1224" t="s">
        <v>1073</v>
      </c>
      <c r="H1224" s="170">
        <v>-1.2903364012789399E-7</v>
      </c>
      <c r="I1224" t="s">
        <v>1074</v>
      </c>
      <c r="J1224">
        <v>3.05</v>
      </c>
    </row>
    <row r="1225" spans="1:10" hidden="1">
      <c r="A1225" t="s">
        <v>1520</v>
      </c>
      <c r="B1225" t="s">
        <v>1521</v>
      </c>
      <c r="C1225" t="s">
        <v>1066</v>
      </c>
      <c r="D1225" t="s">
        <v>544</v>
      </c>
      <c r="E1225" t="s">
        <v>557</v>
      </c>
      <c r="F1225" t="s">
        <v>1068</v>
      </c>
      <c r="G1225" t="s">
        <v>1075</v>
      </c>
      <c r="H1225">
        <v>4.8026513497912003E-2</v>
      </c>
      <c r="I1225" t="s">
        <v>1077</v>
      </c>
      <c r="J1225">
        <v>3.05</v>
      </c>
    </row>
    <row r="1226" spans="1:10" hidden="1">
      <c r="A1226" t="s">
        <v>1520</v>
      </c>
      <c r="B1226" t="s">
        <v>1521</v>
      </c>
      <c r="C1226" t="s">
        <v>1066</v>
      </c>
      <c r="D1226" t="s">
        <v>544</v>
      </c>
      <c r="E1226" t="s">
        <v>557</v>
      </c>
      <c r="F1226" t="s">
        <v>1068</v>
      </c>
      <c r="G1226" t="s">
        <v>1078</v>
      </c>
      <c r="H1226">
        <v>-2.2613162171196102</v>
      </c>
      <c r="I1226" t="s">
        <v>1079</v>
      </c>
      <c r="J1226">
        <v>3.05</v>
      </c>
    </row>
    <row r="1227" spans="1:10" hidden="1">
      <c r="A1227" t="s">
        <v>1520</v>
      </c>
      <c r="B1227" t="s">
        <v>1521</v>
      </c>
      <c r="C1227" t="s">
        <v>1066</v>
      </c>
      <c r="D1227" t="s">
        <v>544</v>
      </c>
      <c r="E1227" t="s">
        <v>557</v>
      </c>
      <c r="F1227" t="s">
        <v>1068</v>
      </c>
      <c r="G1227" t="s">
        <v>1080</v>
      </c>
      <c r="H1227" s="171" t="s">
        <v>1522</v>
      </c>
      <c r="I1227" t="s">
        <v>1082</v>
      </c>
      <c r="J1227">
        <v>3.05</v>
      </c>
    </row>
    <row r="1228" spans="1:10" hidden="1">
      <c r="A1228" t="s">
        <v>1520</v>
      </c>
      <c r="B1228" t="s">
        <v>1521</v>
      </c>
      <c r="C1228" t="s">
        <v>1066</v>
      </c>
      <c r="D1228" t="s">
        <v>544</v>
      </c>
      <c r="E1228" t="s">
        <v>557</v>
      </c>
      <c r="F1228" t="s">
        <v>1068</v>
      </c>
      <c r="G1228" t="s">
        <v>1083</v>
      </c>
      <c r="H1228">
        <v>-1.69173309608617E-3</v>
      </c>
      <c r="I1228" t="s">
        <v>1084</v>
      </c>
      <c r="J1228">
        <v>3.05</v>
      </c>
    </row>
    <row r="1229" spans="1:10" hidden="1">
      <c r="A1229" t="s">
        <v>1520</v>
      </c>
      <c r="B1229" t="s">
        <v>1521</v>
      </c>
      <c r="C1229" t="s">
        <v>1066</v>
      </c>
      <c r="D1229" t="s">
        <v>544</v>
      </c>
      <c r="E1229" t="s">
        <v>557</v>
      </c>
      <c r="F1229" t="s">
        <v>1068</v>
      </c>
      <c r="G1229" t="s">
        <v>1085</v>
      </c>
      <c r="H1229">
        <v>-4.6586796084192202E-2</v>
      </c>
      <c r="I1229" t="s">
        <v>1086</v>
      </c>
      <c r="J1229">
        <v>3.05</v>
      </c>
    </row>
    <row r="1230" spans="1:10" hidden="1">
      <c r="A1230" t="s">
        <v>1520</v>
      </c>
      <c r="B1230" t="s">
        <v>1521</v>
      </c>
      <c r="C1230" t="s">
        <v>1066</v>
      </c>
      <c r="D1230" t="s">
        <v>544</v>
      </c>
      <c r="E1230" t="s">
        <v>557</v>
      </c>
      <c r="F1230" t="s">
        <v>1068</v>
      </c>
      <c r="G1230" t="s">
        <v>1087</v>
      </c>
      <c r="H1230" s="170">
        <v>-1.4974649126385299E-5</v>
      </c>
      <c r="I1230" t="s">
        <v>1088</v>
      </c>
      <c r="J1230">
        <v>3.05</v>
      </c>
    </row>
    <row r="1231" spans="1:10" hidden="1">
      <c r="A1231" t="s">
        <v>1520</v>
      </c>
      <c r="B1231" t="s">
        <v>1521</v>
      </c>
      <c r="C1231" t="s">
        <v>1066</v>
      </c>
      <c r="D1231" t="s">
        <v>544</v>
      </c>
      <c r="E1231" t="s">
        <v>557</v>
      </c>
      <c r="F1231" t="s">
        <v>1068</v>
      </c>
      <c r="G1231" t="s">
        <v>1089</v>
      </c>
      <c r="H1231">
        <v>-1.23166688276245E-2</v>
      </c>
      <c r="I1231" t="s">
        <v>1090</v>
      </c>
      <c r="J1231">
        <v>3.05</v>
      </c>
    </row>
    <row r="1232" spans="1:10" hidden="1">
      <c r="A1232" t="s">
        <v>1523</v>
      </c>
      <c r="B1232" t="s">
        <v>1524</v>
      </c>
      <c r="C1232" t="s">
        <v>1066</v>
      </c>
      <c r="D1232" t="s">
        <v>544</v>
      </c>
      <c r="E1232" t="s">
        <v>559</v>
      </c>
      <c r="F1232" t="s">
        <v>1068</v>
      </c>
      <c r="G1232" t="s">
        <v>1069</v>
      </c>
      <c r="H1232">
        <v>-0.175025309773677</v>
      </c>
      <c r="I1232" t="s">
        <v>1070</v>
      </c>
      <c r="J1232">
        <v>2.5499999999999998</v>
      </c>
    </row>
    <row r="1233" spans="1:10" hidden="1">
      <c r="A1233" t="s">
        <v>1523</v>
      </c>
      <c r="B1233" t="s">
        <v>1524</v>
      </c>
      <c r="C1233" t="s">
        <v>1066</v>
      </c>
      <c r="D1233" t="s">
        <v>544</v>
      </c>
      <c r="E1233" t="s">
        <v>559</v>
      </c>
      <c r="F1233" t="s">
        <v>1068</v>
      </c>
      <c r="G1233" t="s">
        <v>1071</v>
      </c>
      <c r="H1233" s="170">
        <v>-6.3965075831157303E-10</v>
      </c>
      <c r="I1233" t="s">
        <v>1072</v>
      </c>
      <c r="J1233">
        <v>2.5499999999999998</v>
      </c>
    </row>
    <row r="1234" spans="1:10" hidden="1">
      <c r="A1234" t="s">
        <v>1523</v>
      </c>
      <c r="B1234" t="s">
        <v>1524</v>
      </c>
      <c r="C1234" t="s">
        <v>1066</v>
      </c>
      <c r="D1234" t="s">
        <v>544</v>
      </c>
      <c r="E1234" t="s">
        <v>559</v>
      </c>
      <c r="F1234" t="s">
        <v>1068</v>
      </c>
      <c r="G1234" t="s">
        <v>1073</v>
      </c>
      <c r="H1234" s="170">
        <v>-1.3076364250150199E-7</v>
      </c>
      <c r="I1234" t="s">
        <v>1074</v>
      </c>
      <c r="J1234">
        <v>2.5499999999999998</v>
      </c>
    </row>
    <row r="1235" spans="1:10" hidden="1">
      <c r="A1235" t="s">
        <v>1523</v>
      </c>
      <c r="B1235" t="s">
        <v>1524</v>
      </c>
      <c r="C1235" t="s">
        <v>1066</v>
      </c>
      <c r="D1235" t="s">
        <v>544</v>
      </c>
      <c r="E1235" t="s">
        <v>559</v>
      </c>
      <c r="F1235" t="s">
        <v>1068</v>
      </c>
      <c r="G1235" t="s">
        <v>1075</v>
      </c>
      <c r="H1235">
        <v>4.7876389492647997E-2</v>
      </c>
      <c r="I1235" t="s">
        <v>1077</v>
      </c>
      <c r="J1235">
        <v>2.5499999999999998</v>
      </c>
    </row>
    <row r="1236" spans="1:10" hidden="1">
      <c r="A1236" t="s">
        <v>1523</v>
      </c>
      <c r="B1236" t="s">
        <v>1524</v>
      </c>
      <c r="C1236" t="s">
        <v>1066</v>
      </c>
      <c r="D1236" t="s">
        <v>544</v>
      </c>
      <c r="E1236" t="s">
        <v>559</v>
      </c>
      <c r="F1236" t="s">
        <v>1068</v>
      </c>
      <c r="G1236" t="s">
        <v>1078</v>
      </c>
      <c r="H1236">
        <v>-2.2663681635796702</v>
      </c>
      <c r="I1236" t="s">
        <v>1079</v>
      </c>
      <c r="J1236">
        <v>2.5499999999999998</v>
      </c>
    </row>
    <row r="1237" spans="1:10" hidden="1">
      <c r="A1237" t="s">
        <v>1523</v>
      </c>
      <c r="B1237" t="s">
        <v>1524</v>
      </c>
      <c r="C1237" t="s">
        <v>1066</v>
      </c>
      <c r="D1237" t="s">
        <v>544</v>
      </c>
      <c r="E1237" t="s">
        <v>559</v>
      </c>
      <c r="F1237" t="s">
        <v>1068</v>
      </c>
      <c r="G1237" t="s">
        <v>1080</v>
      </c>
      <c r="H1237" s="171" t="s">
        <v>1525</v>
      </c>
      <c r="I1237" t="s">
        <v>1082</v>
      </c>
      <c r="J1237">
        <v>2.5499999999999998</v>
      </c>
    </row>
    <row r="1238" spans="1:10" hidden="1">
      <c r="A1238" t="s">
        <v>1523</v>
      </c>
      <c r="B1238" t="s">
        <v>1524</v>
      </c>
      <c r="C1238" t="s">
        <v>1066</v>
      </c>
      <c r="D1238" t="s">
        <v>544</v>
      </c>
      <c r="E1238" t="s">
        <v>559</v>
      </c>
      <c r="F1238" t="s">
        <v>1068</v>
      </c>
      <c r="G1238" t="s">
        <v>1083</v>
      </c>
      <c r="H1238">
        <v>-1.6924735557149601E-3</v>
      </c>
      <c r="I1238" t="s">
        <v>1084</v>
      </c>
      <c r="J1238">
        <v>2.5499999999999998</v>
      </c>
    </row>
    <row r="1239" spans="1:10" hidden="1">
      <c r="A1239" t="s">
        <v>1523</v>
      </c>
      <c r="B1239" t="s">
        <v>1524</v>
      </c>
      <c r="C1239" t="s">
        <v>1066</v>
      </c>
      <c r="D1239" t="s">
        <v>544</v>
      </c>
      <c r="E1239" t="s">
        <v>559</v>
      </c>
      <c r="F1239" t="s">
        <v>1068</v>
      </c>
      <c r="G1239" t="s">
        <v>1085</v>
      </c>
      <c r="H1239">
        <v>-4.6595144412676898E-2</v>
      </c>
      <c r="I1239" t="s">
        <v>1086</v>
      </c>
      <c r="J1239">
        <v>2.5499999999999998</v>
      </c>
    </row>
    <row r="1240" spans="1:10" hidden="1">
      <c r="A1240" t="s">
        <v>1523</v>
      </c>
      <c r="B1240" t="s">
        <v>1524</v>
      </c>
      <c r="C1240" t="s">
        <v>1066</v>
      </c>
      <c r="D1240" t="s">
        <v>544</v>
      </c>
      <c r="E1240" t="s">
        <v>559</v>
      </c>
      <c r="F1240" t="s">
        <v>1068</v>
      </c>
      <c r="G1240" t="s">
        <v>1087</v>
      </c>
      <c r="H1240" s="170">
        <v>-1.49785007706903E-5</v>
      </c>
      <c r="I1240" t="s">
        <v>1088</v>
      </c>
      <c r="J1240">
        <v>2.5499999999999998</v>
      </c>
    </row>
    <row r="1241" spans="1:10" hidden="1">
      <c r="A1241" t="s">
        <v>1523</v>
      </c>
      <c r="B1241" t="s">
        <v>1524</v>
      </c>
      <c r="C1241" t="s">
        <v>1066</v>
      </c>
      <c r="D1241" t="s">
        <v>544</v>
      </c>
      <c r="E1241" t="s">
        <v>559</v>
      </c>
      <c r="F1241" t="s">
        <v>1068</v>
      </c>
      <c r="G1241" t="s">
        <v>1089</v>
      </c>
      <c r="H1241">
        <v>-1.23183946195885E-2</v>
      </c>
      <c r="I1241" t="s">
        <v>1090</v>
      </c>
      <c r="J1241">
        <v>2.5499999999999998</v>
      </c>
    </row>
    <row r="1242" spans="1:10" hidden="1">
      <c r="A1242" t="s">
        <v>1526</v>
      </c>
      <c r="B1242" t="s">
        <v>1527</v>
      </c>
      <c r="C1242" t="s">
        <v>1066</v>
      </c>
      <c r="D1242" t="s">
        <v>544</v>
      </c>
      <c r="E1242" t="s">
        <v>560</v>
      </c>
      <c r="F1242" t="s">
        <v>1068</v>
      </c>
      <c r="G1242" t="s">
        <v>1069</v>
      </c>
      <c r="H1242">
        <v>-0.173367881209294</v>
      </c>
      <c r="I1242" t="s">
        <v>1070</v>
      </c>
      <c r="J1242">
        <v>2.54</v>
      </c>
    </row>
    <row r="1243" spans="1:10" hidden="1">
      <c r="A1243" t="s">
        <v>1526</v>
      </c>
      <c r="B1243" t="s">
        <v>1527</v>
      </c>
      <c r="C1243" t="s">
        <v>1066</v>
      </c>
      <c r="D1243" t="s">
        <v>544</v>
      </c>
      <c r="E1243" t="s">
        <v>560</v>
      </c>
      <c r="F1243" t="s">
        <v>1068</v>
      </c>
      <c r="G1243" t="s">
        <v>1071</v>
      </c>
      <c r="H1243" s="170">
        <v>-6.37284723150762E-10</v>
      </c>
      <c r="I1243" t="s">
        <v>1072</v>
      </c>
      <c r="J1243">
        <v>2.54</v>
      </c>
    </row>
    <row r="1244" spans="1:10" hidden="1">
      <c r="A1244" t="s">
        <v>1526</v>
      </c>
      <c r="B1244" t="s">
        <v>1527</v>
      </c>
      <c r="C1244" t="s">
        <v>1066</v>
      </c>
      <c r="D1244" t="s">
        <v>544</v>
      </c>
      <c r="E1244" t="s">
        <v>560</v>
      </c>
      <c r="F1244" t="s">
        <v>1068</v>
      </c>
      <c r="G1244" t="s">
        <v>1073</v>
      </c>
      <c r="H1244" s="170">
        <v>-1.3017439000050401E-7</v>
      </c>
      <c r="I1244" t="s">
        <v>1074</v>
      </c>
      <c r="J1244">
        <v>2.54</v>
      </c>
    </row>
    <row r="1245" spans="1:10" hidden="1">
      <c r="A1245" t="s">
        <v>1526</v>
      </c>
      <c r="B1245" t="s">
        <v>1527</v>
      </c>
      <c r="C1245" t="s">
        <v>1066</v>
      </c>
      <c r="D1245" t="s">
        <v>544</v>
      </c>
      <c r="E1245" t="s">
        <v>560</v>
      </c>
      <c r="F1245" t="s">
        <v>1068</v>
      </c>
      <c r="G1245" t="s">
        <v>1075</v>
      </c>
      <c r="H1245" s="171" t="s">
        <v>1528</v>
      </c>
      <c r="I1245" t="s">
        <v>1077</v>
      </c>
      <c r="J1245">
        <v>2.54</v>
      </c>
    </row>
    <row r="1246" spans="1:10" hidden="1">
      <c r="A1246" t="s">
        <v>1526</v>
      </c>
      <c r="B1246" t="s">
        <v>1527</v>
      </c>
      <c r="C1246" t="s">
        <v>1066</v>
      </c>
      <c r="D1246" t="s">
        <v>544</v>
      </c>
      <c r="E1246" t="s">
        <v>560</v>
      </c>
      <c r="F1246" t="s">
        <v>1068</v>
      </c>
      <c r="G1246" t="s">
        <v>1078</v>
      </c>
      <c r="H1246">
        <v>-2.2657063453159201</v>
      </c>
      <c r="I1246" t="s">
        <v>1079</v>
      </c>
      <c r="J1246">
        <v>2.54</v>
      </c>
    </row>
    <row r="1247" spans="1:10" hidden="1">
      <c r="A1247" t="s">
        <v>1526</v>
      </c>
      <c r="B1247" t="s">
        <v>1527</v>
      </c>
      <c r="C1247" t="s">
        <v>1066</v>
      </c>
      <c r="D1247" t="s">
        <v>544</v>
      </c>
      <c r="E1247" t="s">
        <v>560</v>
      </c>
      <c r="F1247" t="s">
        <v>1068</v>
      </c>
      <c r="G1247" t="s">
        <v>1080</v>
      </c>
      <c r="H1247" s="171" t="s">
        <v>1529</v>
      </c>
      <c r="I1247" t="s">
        <v>1082</v>
      </c>
      <c r="J1247">
        <v>2.5499999999999998</v>
      </c>
    </row>
    <row r="1248" spans="1:10" hidden="1">
      <c r="A1248" t="s">
        <v>1526</v>
      </c>
      <c r="B1248" t="s">
        <v>1527</v>
      </c>
      <c r="C1248" t="s">
        <v>1066</v>
      </c>
      <c r="D1248" t="s">
        <v>544</v>
      </c>
      <c r="E1248" t="s">
        <v>560</v>
      </c>
      <c r="F1248" t="s">
        <v>1068</v>
      </c>
      <c r="G1248" t="s">
        <v>1083</v>
      </c>
      <c r="H1248">
        <v>-1.6922212525462099E-3</v>
      </c>
      <c r="I1248" t="s">
        <v>1084</v>
      </c>
      <c r="J1248">
        <v>2.5499999999999998</v>
      </c>
    </row>
    <row r="1249" spans="1:10" hidden="1">
      <c r="A1249" t="s">
        <v>1526</v>
      </c>
      <c r="B1249" t="s">
        <v>1527</v>
      </c>
      <c r="C1249" t="s">
        <v>1066</v>
      </c>
      <c r="D1249" t="s">
        <v>544</v>
      </c>
      <c r="E1249" t="s">
        <v>560</v>
      </c>
      <c r="F1249" t="s">
        <v>1068</v>
      </c>
      <c r="G1249" t="s">
        <v>1085</v>
      </c>
      <c r="H1249">
        <v>-4.6592313242939901E-2</v>
      </c>
      <c r="I1249" t="s">
        <v>1086</v>
      </c>
      <c r="J1249">
        <v>2.5499999999999998</v>
      </c>
    </row>
    <row r="1250" spans="1:10" hidden="1">
      <c r="A1250" t="s">
        <v>1526</v>
      </c>
      <c r="B1250" t="s">
        <v>1527</v>
      </c>
      <c r="C1250" t="s">
        <v>1066</v>
      </c>
      <c r="D1250" t="s">
        <v>544</v>
      </c>
      <c r="E1250" t="s">
        <v>560</v>
      </c>
      <c r="F1250" t="s">
        <v>1068</v>
      </c>
      <c r="G1250" t="s">
        <v>1087</v>
      </c>
      <c r="H1250" s="170">
        <v>-1.49773117323884E-5</v>
      </c>
      <c r="I1250" t="s">
        <v>1088</v>
      </c>
      <c r="J1250">
        <v>2.5499999999999998</v>
      </c>
    </row>
    <row r="1251" spans="1:10" hidden="1">
      <c r="A1251" t="s">
        <v>1526</v>
      </c>
      <c r="B1251" t="s">
        <v>1527</v>
      </c>
      <c r="C1251" t="s">
        <v>1066</v>
      </c>
      <c r="D1251" t="s">
        <v>544</v>
      </c>
      <c r="E1251" t="s">
        <v>560</v>
      </c>
      <c r="F1251" t="s">
        <v>1068</v>
      </c>
      <c r="G1251" t="s">
        <v>1089</v>
      </c>
      <c r="H1251">
        <v>-1.2317807006579201E-2</v>
      </c>
      <c r="I1251" t="s">
        <v>1090</v>
      </c>
      <c r="J1251">
        <v>2.5499999999999998</v>
      </c>
    </row>
    <row r="1252" spans="1:10" hidden="1">
      <c r="A1252" t="s">
        <v>1530</v>
      </c>
      <c r="B1252" t="s">
        <v>1531</v>
      </c>
      <c r="C1252" t="s">
        <v>1066</v>
      </c>
      <c r="D1252" t="s">
        <v>544</v>
      </c>
      <c r="E1252" t="s">
        <v>1116</v>
      </c>
      <c r="F1252" t="s">
        <v>1068</v>
      </c>
      <c r="G1252" t="s">
        <v>1069</v>
      </c>
      <c r="H1252">
        <v>-0.16362052833597299</v>
      </c>
      <c r="I1252" t="s">
        <v>1070</v>
      </c>
      <c r="J1252">
        <v>2.04</v>
      </c>
    </row>
    <row r="1253" spans="1:10" hidden="1">
      <c r="A1253" t="s">
        <v>1530</v>
      </c>
      <c r="B1253" t="s">
        <v>1531</v>
      </c>
      <c r="C1253" t="s">
        <v>1066</v>
      </c>
      <c r="D1253" t="s">
        <v>544</v>
      </c>
      <c r="E1253" t="s">
        <v>1116</v>
      </c>
      <c r="F1253" t="s">
        <v>1068</v>
      </c>
      <c r="G1253" t="s">
        <v>1071</v>
      </c>
      <c r="H1253" s="170">
        <v>-6.2333615029453198E-10</v>
      </c>
      <c r="I1253" t="s">
        <v>1072</v>
      </c>
      <c r="J1253">
        <v>2.04</v>
      </c>
    </row>
    <row r="1254" spans="1:10" hidden="1">
      <c r="A1254" t="s">
        <v>1530</v>
      </c>
      <c r="B1254" t="s">
        <v>1531</v>
      </c>
      <c r="C1254" t="s">
        <v>1066</v>
      </c>
      <c r="D1254" t="s">
        <v>544</v>
      </c>
      <c r="E1254" t="s">
        <v>1116</v>
      </c>
      <c r="F1254" t="s">
        <v>1068</v>
      </c>
      <c r="G1254" t="s">
        <v>1073</v>
      </c>
      <c r="H1254" s="170">
        <v>-1.26712099417398E-7</v>
      </c>
      <c r="I1254" t="s">
        <v>1074</v>
      </c>
      <c r="J1254">
        <v>2.04</v>
      </c>
    </row>
    <row r="1255" spans="1:10" hidden="1">
      <c r="A1255" t="s">
        <v>1530</v>
      </c>
      <c r="B1255" t="s">
        <v>1531</v>
      </c>
      <c r="C1255" t="s">
        <v>1066</v>
      </c>
      <c r="D1255" t="s">
        <v>544</v>
      </c>
      <c r="E1255" t="s">
        <v>1116</v>
      </c>
      <c r="F1255" t="s">
        <v>1068</v>
      </c>
      <c r="G1255" t="s">
        <v>1075</v>
      </c>
      <c r="H1255">
        <v>4.8233117462312597E-2</v>
      </c>
      <c r="I1255" t="s">
        <v>1077</v>
      </c>
      <c r="J1255">
        <v>2.04</v>
      </c>
    </row>
    <row r="1256" spans="1:10" hidden="1">
      <c r="A1256" t="s">
        <v>1530</v>
      </c>
      <c r="B1256" t="s">
        <v>1531</v>
      </c>
      <c r="C1256" t="s">
        <v>1066</v>
      </c>
      <c r="D1256" t="s">
        <v>544</v>
      </c>
      <c r="E1256" t="s">
        <v>1116</v>
      </c>
      <c r="F1256" t="s">
        <v>1068</v>
      </c>
      <c r="G1256" t="s">
        <v>1078</v>
      </c>
      <c r="H1256">
        <v>-2.2523818647460199</v>
      </c>
      <c r="I1256" t="s">
        <v>1079</v>
      </c>
      <c r="J1256">
        <v>2.04</v>
      </c>
    </row>
    <row r="1257" spans="1:10" hidden="1">
      <c r="A1257" t="s">
        <v>1530</v>
      </c>
      <c r="B1257" t="s">
        <v>1531</v>
      </c>
      <c r="C1257" t="s">
        <v>1066</v>
      </c>
      <c r="D1257" t="s">
        <v>544</v>
      </c>
      <c r="E1257" t="s">
        <v>1116</v>
      </c>
      <c r="F1257" t="s">
        <v>1068</v>
      </c>
      <c r="G1257" t="s">
        <v>1080</v>
      </c>
      <c r="H1257" s="171" t="s">
        <v>1532</v>
      </c>
      <c r="I1257" t="s">
        <v>1082</v>
      </c>
      <c r="J1257">
        <v>2.04</v>
      </c>
    </row>
    <row r="1258" spans="1:10" hidden="1">
      <c r="A1258" t="s">
        <v>1530</v>
      </c>
      <c r="B1258" t="s">
        <v>1531</v>
      </c>
      <c r="C1258" t="s">
        <v>1066</v>
      </c>
      <c r="D1258" t="s">
        <v>544</v>
      </c>
      <c r="E1258" t="s">
        <v>1116</v>
      </c>
      <c r="F1258" t="s">
        <v>1068</v>
      </c>
      <c r="G1258" t="s">
        <v>1083</v>
      </c>
      <c r="H1258">
        <v>-1.69073964859845E-3</v>
      </c>
      <c r="I1258" t="s">
        <v>1084</v>
      </c>
      <c r="J1258">
        <v>2.04</v>
      </c>
    </row>
    <row r="1259" spans="1:10" hidden="1">
      <c r="A1259" t="s">
        <v>1530</v>
      </c>
      <c r="B1259" t="s">
        <v>1531</v>
      </c>
      <c r="C1259" t="s">
        <v>1066</v>
      </c>
      <c r="D1259" t="s">
        <v>544</v>
      </c>
      <c r="E1259" t="s">
        <v>1116</v>
      </c>
      <c r="F1259" t="s">
        <v>1068</v>
      </c>
      <c r="G1259" t="s">
        <v>1085</v>
      </c>
      <c r="H1259">
        <v>-4.6575568111306601E-2</v>
      </c>
      <c r="I1259" t="s">
        <v>1086</v>
      </c>
      <c r="J1259">
        <v>2.04</v>
      </c>
    </row>
    <row r="1260" spans="1:10" hidden="1">
      <c r="A1260" t="s">
        <v>1530</v>
      </c>
      <c r="B1260" t="s">
        <v>1531</v>
      </c>
      <c r="C1260" t="s">
        <v>1066</v>
      </c>
      <c r="D1260" t="s">
        <v>544</v>
      </c>
      <c r="E1260" t="s">
        <v>1116</v>
      </c>
      <c r="F1260" t="s">
        <v>1068</v>
      </c>
      <c r="G1260" t="s">
        <v>1087</v>
      </c>
      <c r="H1260" s="170">
        <v>-1.4969230455403601E-5</v>
      </c>
      <c r="I1260" t="s">
        <v>1088</v>
      </c>
      <c r="J1260">
        <v>2.04</v>
      </c>
    </row>
    <row r="1261" spans="1:10" hidden="1">
      <c r="A1261" t="s">
        <v>1530</v>
      </c>
      <c r="B1261" t="s">
        <v>1531</v>
      </c>
      <c r="C1261" t="s">
        <v>1066</v>
      </c>
      <c r="D1261" t="s">
        <v>544</v>
      </c>
      <c r="E1261" t="s">
        <v>1116</v>
      </c>
      <c r="F1261" t="s">
        <v>1068</v>
      </c>
      <c r="G1261" t="s">
        <v>1089</v>
      </c>
      <c r="H1261">
        <v>-1.2314352518990501E-2</v>
      </c>
      <c r="I1261" t="s">
        <v>1090</v>
      </c>
      <c r="J1261">
        <v>2.04</v>
      </c>
    </row>
    <row r="1262" spans="1:10" hidden="1">
      <c r="A1262" t="s">
        <v>1533</v>
      </c>
      <c r="B1262" t="s">
        <v>1534</v>
      </c>
      <c r="C1262" t="s">
        <v>1066</v>
      </c>
      <c r="D1262" t="s">
        <v>1535</v>
      </c>
      <c r="E1262" t="s">
        <v>561</v>
      </c>
      <c r="F1262" t="s">
        <v>1068</v>
      </c>
      <c r="G1262" t="s">
        <v>1069</v>
      </c>
      <c r="H1262">
        <v>-0.13824297418871201</v>
      </c>
      <c r="I1262" t="s">
        <v>1070</v>
      </c>
      <c r="J1262">
        <v>2.04</v>
      </c>
    </row>
    <row r="1263" spans="1:10" hidden="1">
      <c r="A1263" t="s">
        <v>1533</v>
      </c>
      <c r="B1263" t="s">
        <v>1534</v>
      </c>
      <c r="C1263" t="s">
        <v>1066</v>
      </c>
      <c r="D1263" t="s">
        <v>1535</v>
      </c>
      <c r="E1263" t="s">
        <v>561</v>
      </c>
      <c r="F1263" t="s">
        <v>1068</v>
      </c>
      <c r="G1263" t="s">
        <v>1071</v>
      </c>
      <c r="H1263" s="170">
        <v>-3.4979077735663899E-10</v>
      </c>
      <c r="I1263" t="s">
        <v>1072</v>
      </c>
      <c r="J1263">
        <v>2.04</v>
      </c>
    </row>
    <row r="1264" spans="1:10" hidden="1">
      <c r="A1264" t="s">
        <v>1533</v>
      </c>
      <c r="B1264" t="s">
        <v>1534</v>
      </c>
      <c r="C1264" t="s">
        <v>1066</v>
      </c>
      <c r="D1264" t="s">
        <v>1535</v>
      </c>
      <c r="E1264" t="s">
        <v>561</v>
      </c>
      <c r="F1264" t="s">
        <v>1068</v>
      </c>
      <c r="G1264" t="s">
        <v>1073</v>
      </c>
      <c r="H1264" s="170">
        <v>-8.0983336503159599E-8</v>
      </c>
      <c r="I1264" t="s">
        <v>1074</v>
      </c>
      <c r="J1264">
        <v>2.04</v>
      </c>
    </row>
    <row r="1265" spans="1:10" hidden="1">
      <c r="A1265" t="s">
        <v>1533</v>
      </c>
      <c r="B1265" t="s">
        <v>1534</v>
      </c>
      <c r="C1265" t="s">
        <v>1066</v>
      </c>
      <c r="D1265" t="s">
        <v>1535</v>
      </c>
      <c r="E1265" t="s">
        <v>561</v>
      </c>
      <c r="F1265" t="s">
        <v>1068</v>
      </c>
      <c r="G1265" t="s">
        <v>1075</v>
      </c>
      <c r="H1265">
        <v>4.8193092172267499E-2</v>
      </c>
      <c r="I1265" t="s">
        <v>1077</v>
      </c>
      <c r="J1265">
        <v>2.04</v>
      </c>
    </row>
    <row r="1266" spans="1:10" hidden="1">
      <c r="A1266" t="s">
        <v>1533</v>
      </c>
      <c r="B1266" t="s">
        <v>1534</v>
      </c>
      <c r="C1266" t="s">
        <v>1066</v>
      </c>
      <c r="D1266" t="s">
        <v>1535</v>
      </c>
      <c r="E1266" t="s">
        <v>561</v>
      </c>
      <c r="F1266" t="s">
        <v>1068</v>
      </c>
      <c r="G1266" t="s">
        <v>1078</v>
      </c>
      <c r="H1266">
        <v>-2.60426474388799</v>
      </c>
      <c r="I1266" t="s">
        <v>1079</v>
      </c>
      <c r="J1266">
        <v>2.04</v>
      </c>
    </row>
    <row r="1267" spans="1:10" hidden="1">
      <c r="A1267" t="s">
        <v>1533</v>
      </c>
      <c r="B1267" t="s">
        <v>1534</v>
      </c>
      <c r="C1267" t="s">
        <v>1066</v>
      </c>
      <c r="D1267" t="s">
        <v>1535</v>
      </c>
      <c r="E1267" t="s">
        <v>561</v>
      </c>
      <c r="F1267" t="s">
        <v>1068</v>
      </c>
      <c r="G1267" t="s">
        <v>1080</v>
      </c>
      <c r="H1267" s="171" t="s">
        <v>1536</v>
      </c>
      <c r="I1267" t="s">
        <v>1082</v>
      </c>
      <c r="J1267">
        <v>2.04</v>
      </c>
    </row>
    <row r="1268" spans="1:10" hidden="1">
      <c r="A1268" t="s">
        <v>1533</v>
      </c>
      <c r="B1268" t="s">
        <v>1534</v>
      </c>
      <c r="C1268" t="s">
        <v>1066</v>
      </c>
      <c r="D1268" t="s">
        <v>1535</v>
      </c>
      <c r="E1268" t="s">
        <v>561</v>
      </c>
      <c r="F1268" t="s">
        <v>1068</v>
      </c>
      <c r="G1268" t="s">
        <v>1083</v>
      </c>
      <c r="H1268">
        <v>-2.0428079881002698E-3</v>
      </c>
      <c r="I1268" t="s">
        <v>1084</v>
      </c>
      <c r="J1268">
        <v>2.04</v>
      </c>
    </row>
    <row r="1269" spans="1:10" hidden="1">
      <c r="A1269" t="s">
        <v>1533</v>
      </c>
      <c r="B1269" t="s">
        <v>1534</v>
      </c>
      <c r="C1269" t="s">
        <v>1066</v>
      </c>
      <c r="D1269" t="s">
        <v>1535</v>
      </c>
      <c r="E1269" t="s">
        <v>561</v>
      </c>
      <c r="F1269" t="s">
        <v>1068</v>
      </c>
      <c r="G1269" t="s">
        <v>1085</v>
      </c>
      <c r="H1269">
        <v>-5.6770217141825299E-2</v>
      </c>
      <c r="I1269" t="s">
        <v>1086</v>
      </c>
      <c r="J1269">
        <v>2.04</v>
      </c>
    </row>
    <row r="1270" spans="1:10" hidden="1">
      <c r="A1270" t="s">
        <v>1533</v>
      </c>
      <c r="B1270" t="s">
        <v>1534</v>
      </c>
      <c r="C1270" t="s">
        <v>1066</v>
      </c>
      <c r="D1270" t="s">
        <v>1535</v>
      </c>
      <c r="E1270" t="s">
        <v>561</v>
      </c>
      <c r="F1270" t="s">
        <v>1068</v>
      </c>
      <c r="G1270" t="s">
        <v>1087</v>
      </c>
      <c r="H1270" s="170">
        <v>-1.23360035031429E-6</v>
      </c>
      <c r="I1270" t="s">
        <v>1088</v>
      </c>
      <c r="J1270">
        <v>2.04</v>
      </c>
    </row>
    <row r="1271" spans="1:10" hidden="1">
      <c r="A1271" t="s">
        <v>1533</v>
      </c>
      <c r="B1271" t="s">
        <v>1534</v>
      </c>
      <c r="C1271" t="s">
        <v>1066</v>
      </c>
      <c r="D1271" t="s">
        <v>1535</v>
      </c>
      <c r="E1271" t="s">
        <v>561</v>
      </c>
      <c r="F1271" t="s">
        <v>1068</v>
      </c>
      <c r="G1271" t="s">
        <v>1089</v>
      </c>
      <c r="H1271">
        <v>-1.5300997761110101E-2</v>
      </c>
      <c r="I1271" t="s">
        <v>1090</v>
      </c>
      <c r="J1271">
        <v>2.04</v>
      </c>
    </row>
    <row r="1272" spans="1:10" hidden="1">
      <c r="A1272" t="s">
        <v>1537</v>
      </c>
      <c r="B1272" t="s">
        <v>1538</v>
      </c>
      <c r="C1272" t="s">
        <v>1066</v>
      </c>
      <c r="D1272" t="s">
        <v>1535</v>
      </c>
      <c r="E1272" t="s">
        <v>555</v>
      </c>
      <c r="F1272" t="s">
        <v>1068</v>
      </c>
      <c r="G1272" t="s">
        <v>1069</v>
      </c>
      <c r="H1272">
        <v>-0.14785730677335901</v>
      </c>
      <c r="I1272" t="s">
        <v>1070</v>
      </c>
      <c r="J1272">
        <v>2.5299999999999998</v>
      </c>
    </row>
    <row r="1273" spans="1:10" hidden="1">
      <c r="A1273" t="s">
        <v>1537</v>
      </c>
      <c r="B1273" t="s">
        <v>1538</v>
      </c>
      <c r="C1273" t="s">
        <v>1066</v>
      </c>
      <c r="D1273" t="s">
        <v>1535</v>
      </c>
      <c r="E1273" t="s">
        <v>555</v>
      </c>
      <c r="F1273" t="s">
        <v>1068</v>
      </c>
      <c r="G1273" t="s">
        <v>1071</v>
      </c>
      <c r="H1273" s="170">
        <v>-3.6354323269434701E-10</v>
      </c>
      <c r="I1273" t="s">
        <v>1072</v>
      </c>
      <c r="J1273">
        <v>2.5299999999999998</v>
      </c>
    </row>
    <row r="1274" spans="1:10" hidden="1">
      <c r="A1274" t="s">
        <v>1537</v>
      </c>
      <c r="B1274" t="s">
        <v>1538</v>
      </c>
      <c r="C1274" t="s">
        <v>1066</v>
      </c>
      <c r="D1274" t="s">
        <v>1535</v>
      </c>
      <c r="E1274" t="s">
        <v>555</v>
      </c>
      <c r="F1274" t="s">
        <v>1068</v>
      </c>
      <c r="G1274" t="s">
        <v>1073</v>
      </c>
      <c r="H1274" s="170">
        <v>-8.4398906489286296E-8</v>
      </c>
      <c r="I1274" t="s">
        <v>1074</v>
      </c>
      <c r="J1274">
        <v>2.5299999999999998</v>
      </c>
    </row>
    <row r="1275" spans="1:10" hidden="1">
      <c r="A1275" t="s">
        <v>1537</v>
      </c>
      <c r="B1275" t="s">
        <v>1538</v>
      </c>
      <c r="C1275" t="s">
        <v>1066</v>
      </c>
      <c r="D1275" t="s">
        <v>1535</v>
      </c>
      <c r="E1275" t="s">
        <v>555</v>
      </c>
      <c r="F1275" t="s">
        <v>1068</v>
      </c>
      <c r="G1275" t="s">
        <v>1075</v>
      </c>
      <c r="H1275">
        <v>4.7892962203492699E-2</v>
      </c>
      <c r="I1275" t="s">
        <v>1077</v>
      </c>
      <c r="J1275">
        <v>2.5299999999999998</v>
      </c>
    </row>
    <row r="1276" spans="1:10" hidden="1">
      <c r="A1276" t="s">
        <v>1537</v>
      </c>
      <c r="B1276" t="s">
        <v>1538</v>
      </c>
      <c r="C1276" t="s">
        <v>1066</v>
      </c>
      <c r="D1276" t="s">
        <v>1535</v>
      </c>
      <c r="E1276" t="s">
        <v>555</v>
      </c>
      <c r="F1276" t="s">
        <v>1068</v>
      </c>
      <c r="G1276" t="s">
        <v>1078</v>
      </c>
      <c r="H1276">
        <v>-2.6158035268424502</v>
      </c>
      <c r="I1276" t="s">
        <v>1079</v>
      </c>
      <c r="J1276">
        <v>2.5299999999999998</v>
      </c>
    </row>
    <row r="1277" spans="1:10" hidden="1">
      <c r="A1277" t="s">
        <v>1537</v>
      </c>
      <c r="B1277" t="s">
        <v>1538</v>
      </c>
      <c r="C1277" t="s">
        <v>1066</v>
      </c>
      <c r="D1277" t="s">
        <v>1535</v>
      </c>
      <c r="E1277" t="s">
        <v>555</v>
      </c>
      <c r="F1277" t="s">
        <v>1068</v>
      </c>
      <c r="G1277" t="s">
        <v>1080</v>
      </c>
      <c r="H1277" s="171" t="s">
        <v>1539</v>
      </c>
      <c r="I1277" t="s">
        <v>1082</v>
      </c>
      <c r="J1277">
        <v>2.5299999999999998</v>
      </c>
    </row>
    <row r="1278" spans="1:10" hidden="1">
      <c r="A1278" t="s">
        <v>1537</v>
      </c>
      <c r="B1278" t="s">
        <v>1538</v>
      </c>
      <c r="C1278" t="s">
        <v>1066</v>
      </c>
      <c r="D1278" t="s">
        <v>1535</v>
      </c>
      <c r="E1278" t="s">
        <v>555</v>
      </c>
      <c r="F1278" t="s">
        <v>1068</v>
      </c>
      <c r="G1278" t="s">
        <v>1083</v>
      </c>
      <c r="H1278">
        <v>-2.0442697458320602E-3</v>
      </c>
      <c r="I1278" t="s">
        <v>1084</v>
      </c>
      <c r="J1278">
        <v>2.5299999999999998</v>
      </c>
    </row>
    <row r="1279" spans="1:10" hidden="1">
      <c r="A1279" t="s">
        <v>1537</v>
      </c>
      <c r="B1279" t="s">
        <v>1538</v>
      </c>
      <c r="C1279" t="s">
        <v>1066</v>
      </c>
      <c r="D1279" t="s">
        <v>1535</v>
      </c>
      <c r="E1279" t="s">
        <v>555</v>
      </c>
      <c r="F1279" t="s">
        <v>1068</v>
      </c>
      <c r="G1279" t="s">
        <v>1085</v>
      </c>
      <c r="H1279">
        <v>-5.6786717602801101E-2</v>
      </c>
      <c r="I1279" t="s">
        <v>1086</v>
      </c>
      <c r="J1279">
        <v>2.5299999999999998</v>
      </c>
    </row>
    <row r="1280" spans="1:10" hidden="1">
      <c r="A1280" t="s">
        <v>1537</v>
      </c>
      <c r="B1280" t="s">
        <v>1538</v>
      </c>
      <c r="C1280" t="s">
        <v>1066</v>
      </c>
      <c r="D1280" t="s">
        <v>1535</v>
      </c>
      <c r="E1280" t="s">
        <v>555</v>
      </c>
      <c r="F1280" t="s">
        <v>1068</v>
      </c>
      <c r="G1280" t="s">
        <v>1087</v>
      </c>
      <c r="H1280" s="170">
        <v>-1.2413862509823299E-6</v>
      </c>
      <c r="I1280" t="s">
        <v>1088</v>
      </c>
      <c r="J1280">
        <v>2.5299999999999998</v>
      </c>
    </row>
    <row r="1281" spans="1:10" hidden="1">
      <c r="A1281" t="s">
        <v>1537</v>
      </c>
      <c r="B1281" t="s">
        <v>1538</v>
      </c>
      <c r="C1281" t="s">
        <v>1066</v>
      </c>
      <c r="D1281" t="s">
        <v>1535</v>
      </c>
      <c r="E1281" t="s">
        <v>555</v>
      </c>
      <c r="F1281" t="s">
        <v>1068</v>
      </c>
      <c r="G1281" t="s">
        <v>1089</v>
      </c>
      <c r="H1281">
        <v>-1.5304405321908699E-2</v>
      </c>
      <c r="I1281" t="s">
        <v>1090</v>
      </c>
      <c r="J1281">
        <v>2.5299999999999998</v>
      </c>
    </row>
    <row r="1282" spans="1:10" hidden="1">
      <c r="A1282" t="s">
        <v>1540</v>
      </c>
      <c r="B1282" t="s">
        <v>1541</v>
      </c>
      <c r="C1282" t="s">
        <v>1066</v>
      </c>
      <c r="D1282" t="s">
        <v>1535</v>
      </c>
      <c r="E1282" t="s">
        <v>558</v>
      </c>
      <c r="F1282" t="s">
        <v>1068</v>
      </c>
      <c r="G1282" t="s">
        <v>1069</v>
      </c>
      <c r="H1282">
        <v>-0.13739148650076999</v>
      </c>
      <c r="I1282" t="s">
        <v>1070</v>
      </c>
      <c r="J1282">
        <v>2.5499999999999998</v>
      </c>
    </row>
    <row r="1283" spans="1:10" hidden="1">
      <c r="A1283" t="s">
        <v>1540</v>
      </c>
      <c r="B1283" t="s">
        <v>1541</v>
      </c>
      <c r="C1283" t="s">
        <v>1066</v>
      </c>
      <c r="D1283" t="s">
        <v>1535</v>
      </c>
      <c r="E1283" t="s">
        <v>558</v>
      </c>
      <c r="F1283" t="s">
        <v>1068</v>
      </c>
      <c r="G1283" t="s">
        <v>1071</v>
      </c>
      <c r="H1283" s="170">
        <v>-3.4857228878791801E-10</v>
      </c>
      <c r="I1283" t="s">
        <v>1072</v>
      </c>
      <c r="J1283">
        <v>2.5499999999999998</v>
      </c>
    </row>
    <row r="1284" spans="1:10" hidden="1">
      <c r="A1284" t="s">
        <v>1540</v>
      </c>
      <c r="B1284" t="s">
        <v>1541</v>
      </c>
      <c r="C1284" t="s">
        <v>1066</v>
      </c>
      <c r="D1284" t="s">
        <v>1535</v>
      </c>
      <c r="E1284" t="s">
        <v>558</v>
      </c>
      <c r="F1284" t="s">
        <v>1068</v>
      </c>
      <c r="G1284" t="s">
        <v>1073</v>
      </c>
      <c r="H1284" s="170">
        <v>-8.0680885382131899E-8</v>
      </c>
      <c r="I1284" t="s">
        <v>1074</v>
      </c>
      <c r="J1284">
        <v>2.5499999999999998</v>
      </c>
    </row>
    <row r="1285" spans="1:10" hidden="1">
      <c r="A1285" t="s">
        <v>1540</v>
      </c>
      <c r="B1285" t="s">
        <v>1541</v>
      </c>
      <c r="C1285" t="s">
        <v>1066</v>
      </c>
      <c r="D1285" t="s">
        <v>1535</v>
      </c>
      <c r="E1285" t="s">
        <v>558</v>
      </c>
      <c r="F1285" t="s">
        <v>1068</v>
      </c>
      <c r="G1285" t="s">
        <v>1075</v>
      </c>
      <c r="H1285">
        <v>4.8220008607701197E-2</v>
      </c>
      <c r="I1285" t="s">
        <v>1077</v>
      </c>
      <c r="J1285">
        <v>2.5499999999999998</v>
      </c>
    </row>
    <row r="1286" spans="1:10" hidden="1">
      <c r="A1286" t="s">
        <v>1540</v>
      </c>
      <c r="B1286" t="s">
        <v>1541</v>
      </c>
      <c r="C1286" t="s">
        <v>1066</v>
      </c>
      <c r="D1286" t="s">
        <v>1535</v>
      </c>
      <c r="E1286" t="s">
        <v>558</v>
      </c>
      <c r="F1286" t="s">
        <v>1068</v>
      </c>
      <c r="G1286" t="s">
        <v>1078</v>
      </c>
      <c r="H1286">
        <v>-2.60310077339253</v>
      </c>
      <c r="I1286" t="s">
        <v>1079</v>
      </c>
      <c r="J1286">
        <v>2.5499999999999998</v>
      </c>
    </row>
    <row r="1287" spans="1:10" hidden="1">
      <c r="A1287" t="s">
        <v>1540</v>
      </c>
      <c r="B1287" t="s">
        <v>1541</v>
      </c>
      <c r="C1287" t="s">
        <v>1066</v>
      </c>
      <c r="D1287" t="s">
        <v>1535</v>
      </c>
      <c r="E1287" t="s">
        <v>558</v>
      </c>
      <c r="F1287" t="s">
        <v>1068</v>
      </c>
      <c r="G1287" t="s">
        <v>1080</v>
      </c>
      <c r="H1287" s="171" t="s">
        <v>1542</v>
      </c>
      <c r="I1287" t="s">
        <v>1082</v>
      </c>
      <c r="J1287">
        <v>2.5499999999999998</v>
      </c>
    </row>
    <row r="1288" spans="1:10" hidden="1">
      <c r="A1288" t="s">
        <v>1540</v>
      </c>
      <c r="B1288" t="s">
        <v>1541</v>
      </c>
      <c r="C1288" t="s">
        <v>1066</v>
      </c>
      <c r="D1288" t="s">
        <v>1535</v>
      </c>
      <c r="E1288" t="s">
        <v>558</v>
      </c>
      <c r="F1288" t="s">
        <v>1068</v>
      </c>
      <c r="G1288" t="s">
        <v>1083</v>
      </c>
      <c r="H1288">
        <v>-2.0426785614204002E-3</v>
      </c>
      <c r="I1288" t="s">
        <v>1084</v>
      </c>
      <c r="J1288">
        <v>2.5499999999999998</v>
      </c>
    </row>
    <row r="1289" spans="1:10" hidden="1">
      <c r="A1289" t="s">
        <v>1540</v>
      </c>
      <c r="B1289" t="s">
        <v>1541</v>
      </c>
      <c r="C1289" t="s">
        <v>1066</v>
      </c>
      <c r="D1289" t="s">
        <v>1535</v>
      </c>
      <c r="E1289" t="s">
        <v>558</v>
      </c>
      <c r="F1289" t="s">
        <v>1068</v>
      </c>
      <c r="G1289" t="s">
        <v>1085</v>
      </c>
      <c r="H1289">
        <v>-5.6768754357661801E-2</v>
      </c>
      <c r="I1289" t="s">
        <v>1086</v>
      </c>
      <c r="J1289">
        <v>2.5499999999999998</v>
      </c>
    </row>
    <row r="1290" spans="1:10" hidden="1">
      <c r="A1290" t="s">
        <v>1540</v>
      </c>
      <c r="B1290" t="s">
        <v>1541</v>
      </c>
      <c r="C1290" t="s">
        <v>1066</v>
      </c>
      <c r="D1290" t="s">
        <v>1535</v>
      </c>
      <c r="E1290" t="s">
        <v>558</v>
      </c>
      <c r="F1290" t="s">
        <v>1068</v>
      </c>
      <c r="G1290" t="s">
        <v>1087</v>
      </c>
      <c r="H1290" s="170">
        <v>-1.2328944039979101E-6</v>
      </c>
      <c r="I1290" t="s">
        <v>1088</v>
      </c>
      <c r="J1290">
        <v>2.5499999999999998</v>
      </c>
    </row>
    <row r="1291" spans="1:10" hidden="1">
      <c r="A1291" t="s">
        <v>1540</v>
      </c>
      <c r="B1291" t="s">
        <v>1541</v>
      </c>
      <c r="C1291" t="s">
        <v>1066</v>
      </c>
      <c r="D1291" t="s">
        <v>1535</v>
      </c>
      <c r="E1291" t="s">
        <v>558</v>
      </c>
      <c r="F1291" t="s">
        <v>1068</v>
      </c>
      <c r="G1291" t="s">
        <v>1089</v>
      </c>
      <c r="H1291">
        <v>-1.53006959916258E-2</v>
      </c>
      <c r="I1291" t="s">
        <v>1090</v>
      </c>
      <c r="J1291">
        <v>2.5499999999999998</v>
      </c>
    </row>
    <row r="1292" spans="1:10" hidden="1">
      <c r="A1292" t="s">
        <v>1543</v>
      </c>
      <c r="B1292" t="s">
        <v>1544</v>
      </c>
      <c r="C1292" t="s">
        <v>1066</v>
      </c>
      <c r="D1292" t="s">
        <v>1535</v>
      </c>
      <c r="E1292" t="s">
        <v>553</v>
      </c>
      <c r="F1292" t="s">
        <v>1068</v>
      </c>
      <c r="G1292" t="s">
        <v>1069</v>
      </c>
      <c r="H1292">
        <v>-0.13655508572335201</v>
      </c>
      <c r="I1292" t="s">
        <v>1070</v>
      </c>
      <c r="J1292">
        <v>2.61</v>
      </c>
    </row>
    <row r="1293" spans="1:10" hidden="1">
      <c r="A1293" t="s">
        <v>1543</v>
      </c>
      <c r="B1293" t="s">
        <v>1544</v>
      </c>
      <c r="C1293" t="s">
        <v>1066</v>
      </c>
      <c r="D1293" t="s">
        <v>1535</v>
      </c>
      <c r="E1293" t="s">
        <v>553</v>
      </c>
      <c r="F1293" t="s">
        <v>1068</v>
      </c>
      <c r="G1293" t="s">
        <v>1071</v>
      </c>
      <c r="H1293" s="170">
        <v>-3.4736962578870999E-10</v>
      </c>
      <c r="I1293" t="s">
        <v>1072</v>
      </c>
      <c r="J1293">
        <v>2.61</v>
      </c>
    </row>
    <row r="1294" spans="1:10" hidden="1">
      <c r="A1294" t="s">
        <v>1543</v>
      </c>
      <c r="B1294" t="s">
        <v>1544</v>
      </c>
      <c r="C1294" t="s">
        <v>1066</v>
      </c>
      <c r="D1294" t="s">
        <v>1535</v>
      </c>
      <c r="E1294" t="s">
        <v>553</v>
      </c>
      <c r="F1294" t="s">
        <v>1068</v>
      </c>
      <c r="G1294" t="s">
        <v>1073</v>
      </c>
      <c r="H1294" s="170">
        <v>-8.0384321809973006E-8</v>
      </c>
      <c r="I1294" t="s">
        <v>1074</v>
      </c>
      <c r="J1294">
        <v>2.61</v>
      </c>
    </row>
    <row r="1295" spans="1:10" hidden="1">
      <c r="A1295" t="s">
        <v>1543</v>
      </c>
      <c r="B1295" t="s">
        <v>1544</v>
      </c>
      <c r="C1295" t="s">
        <v>1066</v>
      </c>
      <c r="D1295" t="s">
        <v>1535</v>
      </c>
      <c r="E1295" t="s">
        <v>553</v>
      </c>
      <c r="F1295" t="s">
        <v>1068</v>
      </c>
      <c r="G1295" t="s">
        <v>1075</v>
      </c>
      <c r="H1295">
        <v>4.8250237484735801E-2</v>
      </c>
      <c r="I1295" t="s">
        <v>1077</v>
      </c>
      <c r="J1295">
        <v>2.61</v>
      </c>
    </row>
    <row r="1296" spans="1:10" hidden="1">
      <c r="A1296" t="s">
        <v>1543</v>
      </c>
      <c r="B1296" t="s">
        <v>1544</v>
      </c>
      <c r="C1296" t="s">
        <v>1066</v>
      </c>
      <c r="D1296" t="s">
        <v>1535</v>
      </c>
      <c r="E1296" t="s">
        <v>553</v>
      </c>
      <c r="F1296" t="s">
        <v>1068</v>
      </c>
      <c r="G1296" t="s">
        <v>1078</v>
      </c>
      <c r="H1296">
        <v>-2.6003535655297401</v>
      </c>
      <c r="I1296" t="s">
        <v>1079</v>
      </c>
      <c r="J1296">
        <v>2.61</v>
      </c>
    </row>
    <row r="1297" spans="1:10" hidden="1">
      <c r="A1297" t="s">
        <v>1543</v>
      </c>
      <c r="B1297" t="s">
        <v>1544</v>
      </c>
      <c r="C1297" t="s">
        <v>1066</v>
      </c>
      <c r="D1297" t="s">
        <v>1535</v>
      </c>
      <c r="E1297" t="s">
        <v>553</v>
      </c>
      <c r="F1297" t="s">
        <v>1068</v>
      </c>
      <c r="G1297" t="s">
        <v>1080</v>
      </c>
      <c r="H1297" s="171" t="s">
        <v>1545</v>
      </c>
      <c r="I1297" t="s">
        <v>1082</v>
      </c>
      <c r="J1297">
        <v>2.61</v>
      </c>
    </row>
    <row r="1298" spans="1:10" hidden="1">
      <c r="A1298" t="s">
        <v>1543</v>
      </c>
      <c r="B1298" t="s">
        <v>1544</v>
      </c>
      <c r="C1298" t="s">
        <v>1066</v>
      </c>
      <c r="D1298" t="s">
        <v>1535</v>
      </c>
      <c r="E1298" t="s">
        <v>553</v>
      </c>
      <c r="F1298" t="s">
        <v>1068</v>
      </c>
      <c r="G1298" t="s">
        <v>1083</v>
      </c>
      <c r="H1298">
        <v>-2.0425518009145401E-3</v>
      </c>
      <c r="I1298" t="s">
        <v>1084</v>
      </c>
      <c r="J1298">
        <v>2.61</v>
      </c>
    </row>
    <row r="1299" spans="1:10" hidden="1">
      <c r="A1299" t="s">
        <v>1543</v>
      </c>
      <c r="B1299" t="s">
        <v>1544</v>
      </c>
      <c r="C1299" t="s">
        <v>1066</v>
      </c>
      <c r="D1299" t="s">
        <v>1535</v>
      </c>
      <c r="E1299" t="s">
        <v>553</v>
      </c>
      <c r="F1299" t="s">
        <v>1068</v>
      </c>
      <c r="G1299" t="s">
        <v>1085</v>
      </c>
      <c r="H1299">
        <v>-5.6767301338538301E-2</v>
      </c>
      <c r="I1299" t="s">
        <v>1086</v>
      </c>
      <c r="J1299">
        <v>2.61</v>
      </c>
    </row>
    <row r="1300" spans="1:10" hidden="1">
      <c r="A1300" t="s">
        <v>1543</v>
      </c>
      <c r="B1300" t="s">
        <v>1544</v>
      </c>
      <c r="C1300" t="s">
        <v>1066</v>
      </c>
      <c r="D1300" t="s">
        <v>1535</v>
      </c>
      <c r="E1300" t="s">
        <v>553</v>
      </c>
      <c r="F1300" t="s">
        <v>1068</v>
      </c>
      <c r="G1300" t="s">
        <v>1087</v>
      </c>
      <c r="H1300" s="170">
        <v>-1.23201587319411E-6</v>
      </c>
      <c r="I1300" t="s">
        <v>1088</v>
      </c>
      <c r="J1300">
        <v>2.61</v>
      </c>
    </row>
    <row r="1301" spans="1:10" hidden="1">
      <c r="A1301" t="s">
        <v>1543</v>
      </c>
      <c r="B1301" t="s">
        <v>1544</v>
      </c>
      <c r="C1301" t="s">
        <v>1066</v>
      </c>
      <c r="D1301" t="s">
        <v>1535</v>
      </c>
      <c r="E1301" t="s">
        <v>553</v>
      </c>
      <c r="F1301" t="s">
        <v>1068</v>
      </c>
      <c r="G1301" t="s">
        <v>1089</v>
      </c>
      <c r="H1301">
        <v>-1.53003997849333E-2</v>
      </c>
      <c r="I1301" t="s">
        <v>1090</v>
      </c>
      <c r="J1301">
        <v>2.61</v>
      </c>
    </row>
    <row r="1302" spans="1:10" hidden="1">
      <c r="A1302" t="s">
        <v>1546</v>
      </c>
      <c r="B1302" t="s">
        <v>1547</v>
      </c>
      <c r="C1302" t="s">
        <v>1066</v>
      </c>
      <c r="D1302" t="s">
        <v>1535</v>
      </c>
      <c r="E1302" t="s">
        <v>556</v>
      </c>
      <c r="F1302" t="s">
        <v>1068</v>
      </c>
      <c r="G1302" t="s">
        <v>1069</v>
      </c>
      <c r="H1302">
        <v>-0.146794955333198</v>
      </c>
      <c r="I1302" t="s">
        <v>1070</v>
      </c>
      <c r="J1302">
        <v>2.04</v>
      </c>
    </row>
    <row r="1303" spans="1:10" hidden="1">
      <c r="A1303" t="s">
        <v>1546</v>
      </c>
      <c r="B1303" t="s">
        <v>1547</v>
      </c>
      <c r="C1303" t="s">
        <v>1066</v>
      </c>
      <c r="D1303" t="s">
        <v>1535</v>
      </c>
      <c r="E1303" t="s">
        <v>556</v>
      </c>
      <c r="F1303" t="s">
        <v>1068</v>
      </c>
      <c r="G1303" t="s">
        <v>1071</v>
      </c>
      <c r="H1303" s="170">
        <v>-3.6199086876014302E-10</v>
      </c>
      <c r="I1303" t="s">
        <v>1072</v>
      </c>
      <c r="J1303">
        <v>2.04</v>
      </c>
    </row>
    <row r="1304" spans="1:10" hidden="1">
      <c r="A1304" t="s">
        <v>1546</v>
      </c>
      <c r="B1304" t="s">
        <v>1547</v>
      </c>
      <c r="C1304" t="s">
        <v>1066</v>
      </c>
      <c r="D1304" t="s">
        <v>1535</v>
      </c>
      <c r="E1304" t="s">
        <v>556</v>
      </c>
      <c r="F1304" t="s">
        <v>1068</v>
      </c>
      <c r="G1304" t="s">
        <v>1073</v>
      </c>
      <c r="H1304" s="170">
        <v>-8.4020636030513195E-8</v>
      </c>
      <c r="I1304" t="s">
        <v>1074</v>
      </c>
      <c r="J1304">
        <v>2.04</v>
      </c>
    </row>
    <row r="1305" spans="1:10" hidden="1">
      <c r="A1305" t="s">
        <v>1546</v>
      </c>
      <c r="B1305" t="s">
        <v>1547</v>
      </c>
      <c r="C1305" t="s">
        <v>1066</v>
      </c>
      <c r="D1305" t="s">
        <v>1535</v>
      </c>
      <c r="E1305" t="s">
        <v>556</v>
      </c>
      <c r="F1305" t="s">
        <v>1068</v>
      </c>
      <c r="G1305" t="s">
        <v>1075</v>
      </c>
      <c r="H1305" s="171" t="s">
        <v>1548</v>
      </c>
      <c r="I1305" t="s">
        <v>1077</v>
      </c>
      <c r="J1305">
        <v>2.04</v>
      </c>
    </row>
    <row r="1306" spans="1:10" hidden="1">
      <c r="A1306" t="s">
        <v>1546</v>
      </c>
      <c r="B1306" t="s">
        <v>1547</v>
      </c>
      <c r="C1306" t="s">
        <v>1066</v>
      </c>
      <c r="D1306" t="s">
        <v>1535</v>
      </c>
      <c r="E1306" t="s">
        <v>556</v>
      </c>
      <c r="F1306" t="s">
        <v>1068</v>
      </c>
      <c r="G1306" t="s">
        <v>1078</v>
      </c>
      <c r="H1306">
        <v>-2.6084866875958999</v>
      </c>
      <c r="I1306" t="s">
        <v>1079</v>
      </c>
      <c r="J1306">
        <v>2.04</v>
      </c>
    </row>
    <row r="1307" spans="1:10" hidden="1">
      <c r="A1307" t="s">
        <v>1546</v>
      </c>
      <c r="B1307" t="s">
        <v>1547</v>
      </c>
      <c r="C1307" t="s">
        <v>1066</v>
      </c>
      <c r="D1307" t="s">
        <v>1535</v>
      </c>
      <c r="E1307" t="s">
        <v>556</v>
      </c>
      <c r="F1307" t="s">
        <v>1068</v>
      </c>
      <c r="G1307" t="s">
        <v>1080</v>
      </c>
      <c r="H1307" s="171" t="s">
        <v>1549</v>
      </c>
      <c r="I1307" t="s">
        <v>1082</v>
      </c>
      <c r="J1307">
        <v>2.04</v>
      </c>
    </row>
    <row r="1308" spans="1:10" hidden="1">
      <c r="A1308" t="s">
        <v>1546</v>
      </c>
      <c r="B1308" t="s">
        <v>1547</v>
      </c>
      <c r="C1308" t="s">
        <v>1066</v>
      </c>
      <c r="D1308" t="s">
        <v>1535</v>
      </c>
      <c r="E1308" t="s">
        <v>556</v>
      </c>
      <c r="F1308" t="s">
        <v>1068</v>
      </c>
      <c r="G1308" t="s">
        <v>1083</v>
      </c>
      <c r="H1308">
        <v>-2.0441082635519101E-3</v>
      </c>
      <c r="I1308" t="s">
        <v>1084</v>
      </c>
      <c r="J1308">
        <v>2.04</v>
      </c>
    </row>
    <row r="1309" spans="1:10" hidden="1">
      <c r="A1309" t="s">
        <v>1546</v>
      </c>
      <c r="B1309" t="s">
        <v>1547</v>
      </c>
      <c r="C1309" t="s">
        <v>1066</v>
      </c>
      <c r="D1309" t="s">
        <v>1535</v>
      </c>
      <c r="E1309" t="s">
        <v>556</v>
      </c>
      <c r="F1309" t="s">
        <v>1068</v>
      </c>
      <c r="G1309" t="s">
        <v>1085</v>
      </c>
      <c r="H1309">
        <v>-5.6784818585667501E-2</v>
      </c>
      <c r="I1309" t="s">
        <v>1086</v>
      </c>
      <c r="J1309">
        <v>2.04</v>
      </c>
    </row>
    <row r="1310" spans="1:10" hidden="1">
      <c r="A1310" t="s">
        <v>1546</v>
      </c>
      <c r="B1310" t="s">
        <v>1547</v>
      </c>
      <c r="C1310" t="s">
        <v>1066</v>
      </c>
      <c r="D1310" t="s">
        <v>1535</v>
      </c>
      <c r="E1310" t="s">
        <v>556</v>
      </c>
      <c r="F1310" t="s">
        <v>1068</v>
      </c>
      <c r="G1310" t="s">
        <v>1087</v>
      </c>
      <c r="H1310" s="170">
        <v>-1.2405055081088301E-6</v>
      </c>
      <c r="I1310" t="s">
        <v>1088</v>
      </c>
      <c r="J1310">
        <v>2.04</v>
      </c>
    </row>
    <row r="1311" spans="1:10" hidden="1">
      <c r="A1311" t="s">
        <v>1546</v>
      </c>
      <c r="B1311" t="s">
        <v>1547</v>
      </c>
      <c r="C1311" t="s">
        <v>1066</v>
      </c>
      <c r="D1311" t="s">
        <v>1535</v>
      </c>
      <c r="E1311" t="s">
        <v>556</v>
      </c>
      <c r="F1311" t="s">
        <v>1068</v>
      </c>
      <c r="G1311" t="s">
        <v>1089</v>
      </c>
      <c r="H1311">
        <v>-1.5304028832483701E-2</v>
      </c>
      <c r="I1311" t="s">
        <v>1090</v>
      </c>
      <c r="J1311">
        <v>2.04</v>
      </c>
    </row>
    <row r="1312" spans="1:10" hidden="1">
      <c r="A1312" t="s">
        <v>1550</v>
      </c>
      <c r="B1312" t="s">
        <v>1551</v>
      </c>
      <c r="C1312" t="s">
        <v>1066</v>
      </c>
      <c r="D1312" t="s">
        <v>1535</v>
      </c>
      <c r="E1312" t="s">
        <v>557</v>
      </c>
      <c r="F1312" t="s">
        <v>1068</v>
      </c>
      <c r="G1312" t="s">
        <v>1069</v>
      </c>
      <c r="H1312">
        <v>-0.14090850086477699</v>
      </c>
      <c r="I1312" t="s">
        <v>1070</v>
      </c>
      <c r="J1312">
        <v>2.0299999999999998</v>
      </c>
    </row>
    <row r="1313" spans="1:10" hidden="1">
      <c r="A1313" t="s">
        <v>1550</v>
      </c>
      <c r="B1313" t="s">
        <v>1551</v>
      </c>
      <c r="C1313" t="s">
        <v>1066</v>
      </c>
      <c r="D1313" t="s">
        <v>1535</v>
      </c>
      <c r="E1313" t="s">
        <v>557</v>
      </c>
      <c r="F1313" t="s">
        <v>1068</v>
      </c>
      <c r="G1313" t="s">
        <v>1071</v>
      </c>
      <c r="H1313" s="170">
        <v>-3.5360517635615397E-10</v>
      </c>
      <c r="I1313" t="s">
        <v>1072</v>
      </c>
      <c r="J1313">
        <v>2.0299999999999998</v>
      </c>
    </row>
    <row r="1314" spans="1:10" hidden="1">
      <c r="A1314" t="s">
        <v>1550</v>
      </c>
      <c r="B1314" t="s">
        <v>1551</v>
      </c>
      <c r="C1314" t="s">
        <v>1066</v>
      </c>
      <c r="D1314" t="s">
        <v>1535</v>
      </c>
      <c r="E1314" t="s">
        <v>557</v>
      </c>
      <c r="F1314" t="s">
        <v>1068</v>
      </c>
      <c r="G1314" t="s">
        <v>1073</v>
      </c>
      <c r="H1314" s="170">
        <v>-8.1930140012770806E-8</v>
      </c>
      <c r="I1314" t="s">
        <v>1074</v>
      </c>
      <c r="J1314">
        <v>2.0299999999999998</v>
      </c>
    </row>
    <row r="1315" spans="1:10" hidden="1">
      <c r="A1315" t="s">
        <v>1550</v>
      </c>
      <c r="B1315" t="s">
        <v>1551</v>
      </c>
      <c r="C1315" t="s">
        <v>1066</v>
      </c>
      <c r="D1315" t="s">
        <v>1535</v>
      </c>
      <c r="E1315" t="s">
        <v>557</v>
      </c>
      <c r="F1315" t="s">
        <v>1068</v>
      </c>
      <c r="G1315" t="s">
        <v>1075</v>
      </c>
      <c r="H1315">
        <v>4.8108832026541801E-2</v>
      </c>
      <c r="I1315" t="s">
        <v>1077</v>
      </c>
      <c r="J1315">
        <v>2.0299999999999998</v>
      </c>
    </row>
    <row r="1316" spans="1:10" hidden="1">
      <c r="A1316" t="s">
        <v>1550</v>
      </c>
      <c r="B1316" t="s">
        <v>1551</v>
      </c>
      <c r="C1316" t="s">
        <v>1066</v>
      </c>
      <c r="D1316" t="s">
        <v>1535</v>
      </c>
      <c r="E1316" t="s">
        <v>557</v>
      </c>
      <c r="F1316" t="s">
        <v>1068</v>
      </c>
      <c r="G1316" t="s">
        <v>1078</v>
      </c>
      <c r="H1316">
        <v>-2.60790847761321</v>
      </c>
      <c r="I1316" t="s">
        <v>1079</v>
      </c>
      <c r="J1316">
        <v>2.0299999999999998</v>
      </c>
    </row>
    <row r="1317" spans="1:10" hidden="1">
      <c r="A1317" t="s">
        <v>1550</v>
      </c>
      <c r="B1317" t="s">
        <v>1551</v>
      </c>
      <c r="C1317" t="s">
        <v>1066</v>
      </c>
      <c r="D1317" t="s">
        <v>1535</v>
      </c>
      <c r="E1317" t="s">
        <v>557</v>
      </c>
      <c r="F1317" t="s">
        <v>1068</v>
      </c>
      <c r="G1317" t="s">
        <v>1080</v>
      </c>
      <c r="H1317" s="171" t="s">
        <v>1552</v>
      </c>
      <c r="I1317" t="s">
        <v>1082</v>
      </c>
      <c r="J1317">
        <v>2.0299999999999998</v>
      </c>
    </row>
    <row r="1318" spans="1:10" hidden="1">
      <c r="A1318" t="s">
        <v>1550</v>
      </c>
      <c r="B1318" t="s">
        <v>1551</v>
      </c>
      <c r="C1318" t="s">
        <v>1066</v>
      </c>
      <c r="D1318" t="s">
        <v>1535</v>
      </c>
      <c r="E1318" t="s">
        <v>557</v>
      </c>
      <c r="F1318" t="s">
        <v>1068</v>
      </c>
      <c r="G1318" t="s">
        <v>1083</v>
      </c>
      <c r="H1318">
        <v>-2.04321314988076E-3</v>
      </c>
      <c r="I1318" t="s">
        <v>1084</v>
      </c>
      <c r="J1318">
        <v>2.0299999999999998</v>
      </c>
    </row>
    <row r="1319" spans="1:10" hidden="1">
      <c r="A1319" t="s">
        <v>1550</v>
      </c>
      <c r="B1319" t="s">
        <v>1551</v>
      </c>
      <c r="C1319" t="s">
        <v>1066</v>
      </c>
      <c r="D1319" t="s">
        <v>1535</v>
      </c>
      <c r="E1319" t="s">
        <v>557</v>
      </c>
      <c r="F1319" t="s">
        <v>1068</v>
      </c>
      <c r="G1319" t="s">
        <v>1085</v>
      </c>
      <c r="H1319">
        <v>-5.6774796292250497E-2</v>
      </c>
      <c r="I1319" t="s">
        <v>1086</v>
      </c>
      <c r="J1319">
        <v>2.0299999999999998</v>
      </c>
    </row>
    <row r="1320" spans="1:10" hidden="1">
      <c r="A1320" t="s">
        <v>1550</v>
      </c>
      <c r="B1320" t="s">
        <v>1551</v>
      </c>
      <c r="C1320" t="s">
        <v>1066</v>
      </c>
      <c r="D1320" t="s">
        <v>1535</v>
      </c>
      <c r="E1320" t="s">
        <v>557</v>
      </c>
      <c r="F1320" t="s">
        <v>1068</v>
      </c>
      <c r="G1320" t="s">
        <v>1087</v>
      </c>
      <c r="H1320" s="170">
        <v>-1.23581026921783E-6</v>
      </c>
      <c r="I1320" t="s">
        <v>1088</v>
      </c>
      <c r="J1320">
        <v>2.0299999999999998</v>
      </c>
    </row>
    <row r="1321" spans="1:10" hidden="1">
      <c r="A1321" t="s">
        <v>1550</v>
      </c>
      <c r="B1321" t="s">
        <v>1551</v>
      </c>
      <c r="C1321" t="s">
        <v>1066</v>
      </c>
      <c r="D1321" t="s">
        <v>1535</v>
      </c>
      <c r="E1321" t="s">
        <v>557</v>
      </c>
      <c r="F1321" t="s">
        <v>1068</v>
      </c>
      <c r="G1321" t="s">
        <v>1089</v>
      </c>
      <c r="H1321">
        <v>-1.53019424308002E-2</v>
      </c>
      <c r="I1321" t="s">
        <v>1090</v>
      </c>
      <c r="J1321">
        <v>2.0299999999999998</v>
      </c>
    </row>
    <row r="1322" spans="1:10" hidden="1">
      <c r="A1322" t="s">
        <v>1553</v>
      </c>
      <c r="B1322" t="s">
        <v>1554</v>
      </c>
      <c r="C1322" t="s">
        <v>1066</v>
      </c>
      <c r="D1322" t="s">
        <v>1535</v>
      </c>
      <c r="E1322" t="s">
        <v>559</v>
      </c>
      <c r="F1322" t="s">
        <v>1068</v>
      </c>
      <c r="G1322" t="s">
        <v>1069</v>
      </c>
      <c r="H1322">
        <v>-0.14375125642970199</v>
      </c>
      <c r="I1322" t="s">
        <v>1070</v>
      </c>
      <c r="J1322">
        <v>3.55</v>
      </c>
    </row>
    <row r="1323" spans="1:10" hidden="1">
      <c r="A1323" t="s">
        <v>1553</v>
      </c>
      <c r="B1323" t="s">
        <v>1554</v>
      </c>
      <c r="C1323" t="s">
        <v>1066</v>
      </c>
      <c r="D1323" t="s">
        <v>1535</v>
      </c>
      <c r="E1323" t="s">
        <v>559</v>
      </c>
      <c r="F1323" t="s">
        <v>1068</v>
      </c>
      <c r="G1323" t="s">
        <v>1071</v>
      </c>
      <c r="H1323" s="170">
        <v>-3.57667427939104E-10</v>
      </c>
      <c r="I1323" t="s">
        <v>1072</v>
      </c>
      <c r="J1323">
        <v>3.55</v>
      </c>
    </row>
    <row r="1324" spans="1:10" hidden="1">
      <c r="A1324" t="s">
        <v>1553</v>
      </c>
      <c r="B1324" t="s">
        <v>1554</v>
      </c>
      <c r="C1324" t="s">
        <v>1066</v>
      </c>
      <c r="D1324" t="s">
        <v>1535</v>
      </c>
      <c r="E1324" t="s">
        <v>559</v>
      </c>
      <c r="F1324" t="s">
        <v>1068</v>
      </c>
      <c r="G1324" t="s">
        <v>1073</v>
      </c>
      <c r="H1324" s="170">
        <v>-8.2940424414916498E-8</v>
      </c>
      <c r="I1324" t="s">
        <v>1074</v>
      </c>
      <c r="J1324">
        <v>3.55</v>
      </c>
    </row>
    <row r="1325" spans="1:10" hidden="1">
      <c r="A1325" t="s">
        <v>1553</v>
      </c>
      <c r="B1325" t="s">
        <v>1554</v>
      </c>
      <c r="C1325" t="s">
        <v>1066</v>
      </c>
      <c r="D1325" t="s">
        <v>1535</v>
      </c>
      <c r="E1325" t="s">
        <v>559</v>
      </c>
      <c r="F1325" t="s">
        <v>1068</v>
      </c>
      <c r="G1325" t="s">
        <v>1075</v>
      </c>
      <c r="H1325">
        <v>4.8022758841247799E-2</v>
      </c>
      <c r="I1325" t="s">
        <v>1077</v>
      </c>
      <c r="J1325">
        <v>3.55</v>
      </c>
    </row>
    <row r="1326" spans="1:10" hidden="1">
      <c r="A1326" t="s">
        <v>1553</v>
      </c>
      <c r="B1326" t="s">
        <v>1554</v>
      </c>
      <c r="C1326" t="s">
        <v>1066</v>
      </c>
      <c r="D1326" t="s">
        <v>1535</v>
      </c>
      <c r="E1326" t="s">
        <v>559</v>
      </c>
      <c r="F1326" t="s">
        <v>1068</v>
      </c>
      <c r="G1326" t="s">
        <v>1078</v>
      </c>
      <c r="H1326">
        <v>-2.6101906195490798</v>
      </c>
      <c r="I1326" t="s">
        <v>1079</v>
      </c>
      <c r="J1326">
        <v>3.55</v>
      </c>
    </row>
    <row r="1327" spans="1:10" hidden="1">
      <c r="A1327" t="s">
        <v>1553</v>
      </c>
      <c r="B1327" t="s">
        <v>1554</v>
      </c>
      <c r="C1327" t="s">
        <v>1066</v>
      </c>
      <c r="D1327" t="s">
        <v>1535</v>
      </c>
      <c r="E1327" t="s">
        <v>559</v>
      </c>
      <c r="F1327" t="s">
        <v>1068</v>
      </c>
      <c r="G1327" t="s">
        <v>1080</v>
      </c>
      <c r="H1327" s="171" t="s">
        <v>1555</v>
      </c>
      <c r="I1327" t="s">
        <v>1082</v>
      </c>
      <c r="J1327">
        <v>3.55</v>
      </c>
    </row>
    <row r="1328" spans="1:10" hidden="1">
      <c r="A1328" t="s">
        <v>1553</v>
      </c>
      <c r="B1328" t="s">
        <v>1554</v>
      </c>
      <c r="C1328" t="s">
        <v>1066</v>
      </c>
      <c r="D1328" t="s">
        <v>1535</v>
      </c>
      <c r="E1328" t="s">
        <v>559</v>
      </c>
      <c r="F1328" t="s">
        <v>1068</v>
      </c>
      <c r="G1328" t="s">
        <v>1083</v>
      </c>
      <c r="H1328">
        <v>-2.0436456235212001E-3</v>
      </c>
      <c r="I1328" t="s">
        <v>1084</v>
      </c>
      <c r="J1328">
        <v>3.55</v>
      </c>
    </row>
    <row r="1329" spans="1:10" hidden="1">
      <c r="A1329" t="s">
        <v>1553</v>
      </c>
      <c r="B1329" t="s">
        <v>1554</v>
      </c>
      <c r="C1329" t="s">
        <v>1066</v>
      </c>
      <c r="D1329" t="s">
        <v>1535</v>
      </c>
      <c r="E1329" t="s">
        <v>559</v>
      </c>
      <c r="F1329" t="s">
        <v>1068</v>
      </c>
      <c r="G1329" t="s">
        <v>1085</v>
      </c>
      <c r="H1329">
        <v>-5.6779663753986499E-2</v>
      </c>
      <c r="I1329" t="s">
        <v>1086</v>
      </c>
      <c r="J1329">
        <v>3.55</v>
      </c>
    </row>
    <row r="1330" spans="1:10" hidden="1">
      <c r="A1330" t="s">
        <v>1553</v>
      </c>
      <c r="B1330" t="s">
        <v>1554</v>
      </c>
      <c r="C1330" t="s">
        <v>1066</v>
      </c>
      <c r="D1330" t="s">
        <v>1535</v>
      </c>
      <c r="E1330" t="s">
        <v>559</v>
      </c>
      <c r="F1330" t="s">
        <v>1068</v>
      </c>
      <c r="G1330" t="s">
        <v>1087</v>
      </c>
      <c r="H1330" s="170">
        <v>-1.2379820313364E-6</v>
      </c>
      <c r="I1330" t="s">
        <v>1088</v>
      </c>
      <c r="J1330">
        <v>3.55</v>
      </c>
    </row>
    <row r="1331" spans="1:10" hidden="1">
      <c r="A1331" t="s">
        <v>1553</v>
      </c>
      <c r="B1331" t="s">
        <v>1554</v>
      </c>
      <c r="C1331" t="s">
        <v>1066</v>
      </c>
      <c r="D1331" t="s">
        <v>1535</v>
      </c>
      <c r="E1331" t="s">
        <v>559</v>
      </c>
      <c r="F1331" t="s">
        <v>1068</v>
      </c>
      <c r="G1331" t="s">
        <v>1089</v>
      </c>
      <c r="H1331">
        <v>-1.53029501268277E-2</v>
      </c>
      <c r="I1331" t="s">
        <v>1090</v>
      </c>
      <c r="J1331">
        <v>3.55</v>
      </c>
    </row>
    <row r="1332" spans="1:10" hidden="1">
      <c r="A1332" t="s">
        <v>1556</v>
      </c>
      <c r="B1332" t="s">
        <v>1557</v>
      </c>
      <c r="C1332" t="s">
        <v>1066</v>
      </c>
      <c r="D1332" t="s">
        <v>1535</v>
      </c>
      <c r="E1332" t="s">
        <v>560</v>
      </c>
      <c r="F1332" t="s">
        <v>1068</v>
      </c>
      <c r="G1332" t="s">
        <v>1069</v>
      </c>
      <c r="H1332">
        <v>-0.14278424185775601</v>
      </c>
      <c r="I1332" t="s">
        <v>1070</v>
      </c>
      <c r="J1332">
        <v>6.07</v>
      </c>
    </row>
    <row r="1333" spans="1:10" hidden="1">
      <c r="A1333" t="s">
        <v>1556</v>
      </c>
      <c r="B1333" t="s">
        <v>1557</v>
      </c>
      <c r="C1333" t="s">
        <v>1066</v>
      </c>
      <c r="D1333" t="s">
        <v>1535</v>
      </c>
      <c r="E1333" t="s">
        <v>560</v>
      </c>
      <c r="F1333" t="s">
        <v>1068</v>
      </c>
      <c r="G1333" t="s">
        <v>1071</v>
      </c>
      <c r="H1333" s="170">
        <v>-3.56289383056525E-10</v>
      </c>
      <c r="I1333" t="s">
        <v>1072</v>
      </c>
      <c r="J1333">
        <v>6.07</v>
      </c>
    </row>
    <row r="1334" spans="1:10" hidden="1">
      <c r="A1334" t="s">
        <v>1556</v>
      </c>
      <c r="B1334" t="s">
        <v>1557</v>
      </c>
      <c r="C1334" t="s">
        <v>1066</v>
      </c>
      <c r="D1334" t="s">
        <v>1535</v>
      </c>
      <c r="E1334" t="s">
        <v>560</v>
      </c>
      <c r="F1334" t="s">
        <v>1068</v>
      </c>
      <c r="G1334" t="s">
        <v>1073</v>
      </c>
      <c r="H1334" s="170">
        <v>-8.2596409148650003E-8</v>
      </c>
      <c r="I1334" t="s">
        <v>1074</v>
      </c>
      <c r="J1334">
        <v>6.07</v>
      </c>
    </row>
    <row r="1335" spans="1:10" hidden="1">
      <c r="A1335" t="s">
        <v>1556</v>
      </c>
      <c r="B1335" t="s">
        <v>1557</v>
      </c>
      <c r="C1335" t="s">
        <v>1066</v>
      </c>
      <c r="D1335" t="s">
        <v>1535</v>
      </c>
      <c r="E1335" t="s">
        <v>560</v>
      </c>
      <c r="F1335" t="s">
        <v>1068</v>
      </c>
      <c r="G1335" t="s">
        <v>1075</v>
      </c>
      <c r="H1335">
        <v>4.80495378499518E-2</v>
      </c>
      <c r="I1335" t="s">
        <v>1077</v>
      </c>
      <c r="J1335">
        <v>6.07</v>
      </c>
    </row>
    <row r="1336" spans="1:10" hidden="1">
      <c r="A1336" t="s">
        <v>1556</v>
      </c>
      <c r="B1336" t="s">
        <v>1557</v>
      </c>
      <c r="C1336" t="s">
        <v>1066</v>
      </c>
      <c r="D1336" t="s">
        <v>1535</v>
      </c>
      <c r="E1336" t="s">
        <v>560</v>
      </c>
      <c r="F1336" t="s">
        <v>1068</v>
      </c>
      <c r="G1336" t="s">
        <v>1078</v>
      </c>
      <c r="H1336">
        <v>-2.6104725865305101</v>
      </c>
      <c r="I1336" t="s">
        <v>1079</v>
      </c>
      <c r="J1336">
        <v>6.07</v>
      </c>
    </row>
    <row r="1337" spans="1:10" hidden="1">
      <c r="A1337" t="s">
        <v>1556</v>
      </c>
      <c r="B1337" t="s">
        <v>1557</v>
      </c>
      <c r="C1337" t="s">
        <v>1066</v>
      </c>
      <c r="D1337" t="s">
        <v>1535</v>
      </c>
      <c r="E1337" t="s">
        <v>560</v>
      </c>
      <c r="F1337" t="s">
        <v>1068</v>
      </c>
      <c r="G1337" t="s">
        <v>1080</v>
      </c>
      <c r="H1337" s="171" t="s">
        <v>1558</v>
      </c>
      <c r="I1337" t="s">
        <v>1082</v>
      </c>
      <c r="J1337">
        <v>6.07</v>
      </c>
    </row>
    <row r="1338" spans="1:10" hidden="1">
      <c r="A1338" t="s">
        <v>1556</v>
      </c>
      <c r="B1338" t="s">
        <v>1557</v>
      </c>
      <c r="C1338" t="s">
        <v>1066</v>
      </c>
      <c r="D1338" t="s">
        <v>1535</v>
      </c>
      <c r="E1338" t="s">
        <v>560</v>
      </c>
      <c r="F1338" t="s">
        <v>1068</v>
      </c>
      <c r="G1338" t="s">
        <v>1083</v>
      </c>
      <c r="H1338">
        <v>-2.04349826372625E-3</v>
      </c>
      <c r="I1338" t="s">
        <v>1084</v>
      </c>
      <c r="J1338">
        <v>6.07</v>
      </c>
    </row>
    <row r="1339" spans="1:10" hidden="1">
      <c r="A1339" t="s">
        <v>1556</v>
      </c>
      <c r="B1339" t="s">
        <v>1557</v>
      </c>
      <c r="C1339" t="s">
        <v>1066</v>
      </c>
      <c r="D1339" t="s">
        <v>1535</v>
      </c>
      <c r="E1339" t="s">
        <v>560</v>
      </c>
      <c r="F1339" t="s">
        <v>1068</v>
      </c>
      <c r="G1339" t="s">
        <v>1085</v>
      </c>
      <c r="H1339">
        <v>-5.6778018657363698E-2</v>
      </c>
      <c r="I1339" t="s">
        <v>1086</v>
      </c>
      <c r="J1339">
        <v>6.07</v>
      </c>
    </row>
    <row r="1340" spans="1:10" hidden="1">
      <c r="A1340" t="s">
        <v>1556</v>
      </c>
      <c r="B1340" t="s">
        <v>1557</v>
      </c>
      <c r="C1340" t="s">
        <v>1066</v>
      </c>
      <c r="D1340" t="s">
        <v>1535</v>
      </c>
      <c r="E1340" t="s">
        <v>560</v>
      </c>
      <c r="F1340" t="s">
        <v>1068</v>
      </c>
      <c r="G1340" t="s">
        <v>1087</v>
      </c>
      <c r="H1340" s="170">
        <v>-1.2373653973349801E-6</v>
      </c>
      <c r="I1340" t="s">
        <v>1088</v>
      </c>
      <c r="J1340">
        <v>6.07</v>
      </c>
    </row>
    <row r="1341" spans="1:10" hidden="1">
      <c r="A1341" t="s">
        <v>1556</v>
      </c>
      <c r="B1341" t="s">
        <v>1557</v>
      </c>
      <c r="C1341" t="s">
        <v>1066</v>
      </c>
      <c r="D1341" t="s">
        <v>1535</v>
      </c>
      <c r="E1341" t="s">
        <v>560</v>
      </c>
      <c r="F1341" t="s">
        <v>1068</v>
      </c>
      <c r="G1341" t="s">
        <v>1089</v>
      </c>
      <c r="H1341">
        <v>-1.53026071983597E-2</v>
      </c>
      <c r="I1341" t="s">
        <v>1090</v>
      </c>
      <c r="J1341">
        <v>6.07</v>
      </c>
    </row>
    <row r="1342" spans="1:10" hidden="1">
      <c r="A1342" t="s">
        <v>1559</v>
      </c>
      <c r="B1342" t="s">
        <v>1560</v>
      </c>
      <c r="C1342" t="s">
        <v>1066</v>
      </c>
      <c r="D1342" t="s">
        <v>1535</v>
      </c>
      <c r="E1342" t="s">
        <v>1116</v>
      </c>
      <c r="F1342" t="s">
        <v>1068</v>
      </c>
      <c r="G1342" t="s">
        <v>1069</v>
      </c>
      <c r="H1342">
        <v>-0.137091179307512</v>
      </c>
      <c r="I1342" t="s">
        <v>1070</v>
      </c>
      <c r="J1342">
        <v>6.12</v>
      </c>
    </row>
    <row r="1343" spans="1:10" hidden="1">
      <c r="A1343" t="s">
        <v>1559</v>
      </c>
      <c r="B1343" t="s">
        <v>1560</v>
      </c>
      <c r="C1343" t="s">
        <v>1066</v>
      </c>
      <c r="D1343" t="s">
        <v>1535</v>
      </c>
      <c r="E1343" t="s">
        <v>1116</v>
      </c>
      <c r="F1343" t="s">
        <v>1068</v>
      </c>
      <c r="G1343" t="s">
        <v>1071</v>
      </c>
      <c r="H1343" s="170">
        <v>-3.4814254577780099E-10</v>
      </c>
      <c r="I1343" t="s">
        <v>1072</v>
      </c>
      <c r="J1343">
        <v>6.12</v>
      </c>
    </row>
    <row r="1344" spans="1:10" hidden="1">
      <c r="A1344" t="s">
        <v>1559</v>
      </c>
      <c r="B1344" t="s">
        <v>1560</v>
      </c>
      <c r="C1344" t="s">
        <v>1066</v>
      </c>
      <c r="D1344" t="s">
        <v>1535</v>
      </c>
      <c r="E1344" t="s">
        <v>1116</v>
      </c>
      <c r="F1344" t="s">
        <v>1068</v>
      </c>
      <c r="G1344" t="s">
        <v>1073</v>
      </c>
      <c r="H1344" s="170">
        <v>-8.0574215316856301E-8</v>
      </c>
      <c r="I1344" t="s">
        <v>1074</v>
      </c>
      <c r="J1344">
        <v>6.12</v>
      </c>
    </row>
    <row r="1345" spans="1:10" hidden="1">
      <c r="A1345" t="s">
        <v>1559</v>
      </c>
      <c r="B1345" t="s">
        <v>1560</v>
      </c>
      <c r="C1345" t="s">
        <v>1066</v>
      </c>
      <c r="D1345" t="s">
        <v>1535</v>
      </c>
      <c r="E1345" t="s">
        <v>1116</v>
      </c>
      <c r="F1345" t="s">
        <v>1068</v>
      </c>
      <c r="G1345" t="s">
        <v>1075</v>
      </c>
      <c r="H1345">
        <v>4.8229501638889699E-2</v>
      </c>
      <c r="I1345" t="s">
        <v>1077</v>
      </c>
      <c r="J1345">
        <v>6.12</v>
      </c>
    </row>
    <row r="1346" spans="1:10" hidden="1">
      <c r="A1346" t="s">
        <v>1559</v>
      </c>
      <c r="B1346" t="s">
        <v>1560</v>
      </c>
      <c r="C1346" t="s">
        <v>1066</v>
      </c>
      <c r="D1346" t="s">
        <v>1535</v>
      </c>
      <c r="E1346" t="s">
        <v>1116</v>
      </c>
      <c r="F1346" t="s">
        <v>1068</v>
      </c>
      <c r="G1346" t="s">
        <v>1078</v>
      </c>
      <c r="H1346">
        <v>-2.6026902581055902</v>
      </c>
      <c r="I1346" t="s">
        <v>1079</v>
      </c>
      <c r="J1346">
        <v>6.12</v>
      </c>
    </row>
    <row r="1347" spans="1:10" hidden="1">
      <c r="A1347" t="s">
        <v>1559</v>
      </c>
      <c r="B1347" t="s">
        <v>1560</v>
      </c>
      <c r="C1347" t="s">
        <v>1066</v>
      </c>
      <c r="D1347" t="s">
        <v>1535</v>
      </c>
      <c r="E1347" t="s">
        <v>1116</v>
      </c>
      <c r="F1347" t="s">
        <v>1068</v>
      </c>
      <c r="G1347" t="s">
        <v>1080</v>
      </c>
      <c r="H1347" s="171" t="s">
        <v>1561</v>
      </c>
      <c r="I1347" t="s">
        <v>1082</v>
      </c>
      <c r="J1347">
        <v>6.12</v>
      </c>
    </row>
    <row r="1348" spans="1:10" hidden="1">
      <c r="A1348" t="s">
        <v>1559</v>
      </c>
      <c r="B1348" t="s">
        <v>1560</v>
      </c>
      <c r="C1348" t="s">
        <v>1066</v>
      </c>
      <c r="D1348" t="s">
        <v>1535</v>
      </c>
      <c r="E1348" t="s">
        <v>1116</v>
      </c>
      <c r="F1348" t="s">
        <v>1068</v>
      </c>
      <c r="G1348" t="s">
        <v>1083</v>
      </c>
      <c r="H1348">
        <v>-2.0426329145325898E-3</v>
      </c>
      <c r="I1348" t="s">
        <v>1084</v>
      </c>
      <c r="J1348">
        <v>6.12</v>
      </c>
    </row>
    <row r="1349" spans="1:10" hidden="1">
      <c r="A1349" t="s">
        <v>1559</v>
      </c>
      <c r="B1349" t="s">
        <v>1560</v>
      </c>
      <c r="C1349" t="s">
        <v>1066</v>
      </c>
      <c r="D1349" t="s">
        <v>1535</v>
      </c>
      <c r="E1349" t="s">
        <v>1116</v>
      </c>
      <c r="F1349" t="s">
        <v>1068</v>
      </c>
      <c r="G1349" t="s">
        <v>1085</v>
      </c>
      <c r="H1349">
        <v>-5.6768238455185797E-2</v>
      </c>
      <c r="I1349" t="s">
        <v>1086</v>
      </c>
      <c r="J1349">
        <v>6.12</v>
      </c>
    </row>
    <row r="1350" spans="1:10" hidden="1">
      <c r="A1350" t="s">
        <v>1559</v>
      </c>
      <c r="B1350" t="s">
        <v>1560</v>
      </c>
      <c r="C1350" t="s">
        <v>1066</v>
      </c>
      <c r="D1350" t="s">
        <v>1535</v>
      </c>
      <c r="E1350" t="s">
        <v>1116</v>
      </c>
      <c r="F1350" t="s">
        <v>1068</v>
      </c>
      <c r="G1350" t="s">
        <v>1087</v>
      </c>
      <c r="H1350" s="170">
        <v>-1.23264542710739E-6</v>
      </c>
      <c r="I1350" t="s">
        <v>1088</v>
      </c>
      <c r="J1350">
        <v>6.12</v>
      </c>
    </row>
    <row r="1351" spans="1:10" hidden="1">
      <c r="A1351" t="s">
        <v>1559</v>
      </c>
      <c r="B1351" t="s">
        <v>1560</v>
      </c>
      <c r="C1351" t="s">
        <v>1066</v>
      </c>
      <c r="D1351" t="s">
        <v>1535</v>
      </c>
      <c r="E1351" t="s">
        <v>1116</v>
      </c>
      <c r="F1351" t="s">
        <v>1068</v>
      </c>
      <c r="G1351" t="s">
        <v>1089</v>
      </c>
      <c r="H1351">
        <v>-1.53005895619638E-2</v>
      </c>
      <c r="I1351" t="s">
        <v>1090</v>
      </c>
      <c r="J1351">
        <v>6.12</v>
      </c>
    </row>
    <row r="1352" spans="1:10" hidden="1">
      <c r="A1352" t="s">
        <v>1562</v>
      </c>
      <c r="B1352" t="s">
        <v>1563</v>
      </c>
      <c r="C1352" t="s">
        <v>1066</v>
      </c>
      <c r="D1352" t="s">
        <v>330</v>
      </c>
      <c r="E1352" t="s">
        <v>561</v>
      </c>
      <c r="F1352" t="s">
        <v>1068</v>
      </c>
      <c r="G1352" t="s">
        <v>1069</v>
      </c>
      <c r="H1352" s="171" t="s">
        <v>1564</v>
      </c>
      <c r="I1352" t="s">
        <v>1070</v>
      </c>
      <c r="J1352">
        <v>5.64</v>
      </c>
    </row>
    <row r="1353" spans="1:10" hidden="1">
      <c r="A1353" t="s">
        <v>1562</v>
      </c>
      <c r="B1353" t="s">
        <v>1563</v>
      </c>
      <c r="C1353" t="s">
        <v>1066</v>
      </c>
      <c r="D1353" t="s">
        <v>330</v>
      </c>
      <c r="E1353" t="s">
        <v>561</v>
      </c>
      <c r="F1353" t="s">
        <v>1068</v>
      </c>
      <c r="G1353" t="s">
        <v>1071</v>
      </c>
      <c r="H1353" s="170">
        <v>-4.9372176265999304E-10</v>
      </c>
      <c r="I1353" t="s">
        <v>1072</v>
      </c>
      <c r="J1353">
        <v>5.64</v>
      </c>
    </row>
    <row r="1354" spans="1:10" hidden="1">
      <c r="A1354" t="s">
        <v>1562</v>
      </c>
      <c r="B1354" t="s">
        <v>1563</v>
      </c>
      <c r="C1354" t="s">
        <v>1066</v>
      </c>
      <c r="D1354" t="s">
        <v>330</v>
      </c>
      <c r="E1354" t="s">
        <v>561</v>
      </c>
      <c r="F1354" t="s">
        <v>1068</v>
      </c>
      <c r="G1354" t="s">
        <v>1073</v>
      </c>
      <c r="H1354" s="170">
        <v>-9.6030394094758496E-8</v>
      </c>
      <c r="I1354" t="s">
        <v>1074</v>
      </c>
      <c r="J1354">
        <v>5.64</v>
      </c>
    </row>
    <row r="1355" spans="1:10" hidden="1">
      <c r="A1355" t="s">
        <v>1562</v>
      </c>
      <c r="B1355" t="s">
        <v>1563</v>
      </c>
      <c r="C1355" t="s">
        <v>1066</v>
      </c>
      <c r="D1355" t="s">
        <v>330</v>
      </c>
      <c r="E1355" t="s">
        <v>561</v>
      </c>
      <c r="F1355" t="s">
        <v>1068</v>
      </c>
      <c r="G1355" t="s">
        <v>1075</v>
      </c>
      <c r="H1355">
        <v>1.9197836110097399E-2</v>
      </c>
      <c r="I1355" t="s">
        <v>1077</v>
      </c>
      <c r="J1355">
        <v>5.64</v>
      </c>
    </row>
    <row r="1356" spans="1:10" hidden="1">
      <c r="A1356" t="s">
        <v>1562</v>
      </c>
      <c r="B1356" t="s">
        <v>1563</v>
      </c>
      <c r="C1356" t="s">
        <v>1066</v>
      </c>
      <c r="D1356" t="s">
        <v>330</v>
      </c>
      <c r="E1356" t="s">
        <v>561</v>
      </c>
      <c r="F1356" t="s">
        <v>1068</v>
      </c>
      <c r="G1356" t="s">
        <v>1078</v>
      </c>
      <c r="H1356">
        <v>-3.0265934570785502</v>
      </c>
      <c r="I1356" t="s">
        <v>1079</v>
      </c>
      <c r="J1356">
        <v>5.64</v>
      </c>
    </row>
    <row r="1357" spans="1:10" hidden="1">
      <c r="A1357" t="s">
        <v>1562</v>
      </c>
      <c r="B1357" t="s">
        <v>1563</v>
      </c>
      <c r="C1357" t="s">
        <v>1066</v>
      </c>
      <c r="D1357" t="s">
        <v>330</v>
      </c>
      <c r="E1357" t="s">
        <v>561</v>
      </c>
      <c r="F1357" t="s">
        <v>1068</v>
      </c>
      <c r="G1357" t="s">
        <v>1080</v>
      </c>
      <c r="H1357" s="171" t="s">
        <v>1565</v>
      </c>
      <c r="I1357" t="s">
        <v>1082</v>
      </c>
      <c r="J1357">
        <v>5.64</v>
      </c>
    </row>
    <row r="1358" spans="1:10" hidden="1">
      <c r="A1358" t="s">
        <v>1562</v>
      </c>
      <c r="B1358" t="s">
        <v>1563</v>
      </c>
      <c r="C1358" t="s">
        <v>1066</v>
      </c>
      <c r="D1358" t="s">
        <v>330</v>
      </c>
      <c r="E1358" t="s">
        <v>561</v>
      </c>
      <c r="F1358" t="s">
        <v>1068</v>
      </c>
      <c r="G1358" t="s">
        <v>1083</v>
      </c>
      <c r="H1358">
        <v>-2.2508232320469701E-3</v>
      </c>
      <c r="I1358" t="s">
        <v>1084</v>
      </c>
      <c r="J1358">
        <v>5.64</v>
      </c>
    </row>
    <row r="1359" spans="1:10" hidden="1">
      <c r="A1359" t="s">
        <v>1562</v>
      </c>
      <c r="B1359" t="s">
        <v>1563</v>
      </c>
      <c r="C1359" t="s">
        <v>1066</v>
      </c>
      <c r="D1359" t="s">
        <v>330</v>
      </c>
      <c r="E1359" t="s">
        <v>561</v>
      </c>
      <c r="F1359" t="s">
        <v>1068</v>
      </c>
      <c r="G1359" t="s">
        <v>1085</v>
      </c>
      <c r="H1359">
        <v>-6.3093269397682103E-2</v>
      </c>
      <c r="I1359" t="s">
        <v>1086</v>
      </c>
      <c r="J1359">
        <v>5.64</v>
      </c>
    </row>
    <row r="1360" spans="1:10" hidden="1">
      <c r="A1360" t="s">
        <v>1562</v>
      </c>
      <c r="B1360" t="s">
        <v>1563</v>
      </c>
      <c r="C1360" t="s">
        <v>1066</v>
      </c>
      <c r="D1360" t="s">
        <v>330</v>
      </c>
      <c r="E1360" t="s">
        <v>561</v>
      </c>
      <c r="F1360" t="s">
        <v>1068</v>
      </c>
      <c r="G1360" t="s">
        <v>1087</v>
      </c>
      <c r="H1360" s="170">
        <v>-1.8997616694489601E-6</v>
      </c>
      <c r="I1360" t="s">
        <v>1088</v>
      </c>
      <c r="J1360">
        <v>5.64</v>
      </c>
    </row>
    <row r="1361" spans="1:10" hidden="1">
      <c r="A1361" t="s">
        <v>1562</v>
      </c>
      <c r="B1361" t="s">
        <v>1563</v>
      </c>
      <c r="C1361" t="s">
        <v>1066</v>
      </c>
      <c r="D1361" t="s">
        <v>330</v>
      </c>
      <c r="E1361" t="s">
        <v>561</v>
      </c>
      <c r="F1361" t="s">
        <v>1068</v>
      </c>
      <c r="G1361" t="s">
        <v>1089</v>
      </c>
      <c r="H1361">
        <v>-1.70143225061197E-2</v>
      </c>
      <c r="I1361" t="s">
        <v>1090</v>
      </c>
      <c r="J1361">
        <v>5.64</v>
      </c>
    </row>
    <row r="1362" spans="1:10" hidden="1">
      <c r="A1362" t="s">
        <v>1566</v>
      </c>
      <c r="B1362" t="s">
        <v>1567</v>
      </c>
      <c r="C1362" t="s">
        <v>1066</v>
      </c>
      <c r="D1362" t="s">
        <v>330</v>
      </c>
      <c r="E1362" t="s">
        <v>555</v>
      </c>
      <c r="F1362" t="s">
        <v>1068</v>
      </c>
      <c r="G1362" t="s">
        <v>1069</v>
      </c>
      <c r="H1362">
        <v>9.5044071146221598E-2</v>
      </c>
      <c r="I1362" t="s">
        <v>1070</v>
      </c>
      <c r="J1362">
        <v>2.54</v>
      </c>
    </row>
    <row r="1363" spans="1:10" hidden="1">
      <c r="A1363" t="s">
        <v>1566</v>
      </c>
      <c r="B1363" t="s">
        <v>1567</v>
      </c>
      <c r="C1363" t="s">
        <v>1066</v>
      </c>
      <c r="D1363" t="s">
        <v>330</v>
      </c>
      <c r="E1363" t="s">
        <v>555</v>
      </c>
      <c r="F1363" t="s">
        <v>1068</v>
      </c>
      <c r="G1363" t="s">
        <v>1071</v>
      </c>
      <c r="H1363" s="170">
        <v>-5.0574870475600897E-10</v>
      </c>
      <c r="I1363" t="s">
        <v>1072</v>
      </c>
      <c r="J1363">
        <v>2.54</v>
      </c>
    </row>
    <row r="1364" spans="1:10" hidden="1">
      <c r="A1364" t="s">
        <v>1566</v>
      </c>
      <c r="B1364" t="s">
        <v>1567</v>
      </c>
      <c r="C1364" t="s">
        <v>1066</v>
      </c>
      <c r="D1364" t="s">
        <v>330</v>
      </c>
      <c r="E1364" t="s">
        <v>555</v>
      </c>
      <c r="F1364" t="s">
        <v>1068</v>
      </c>
      <c r="G1364" t="s">
        <v>1073</v>
      </c>
      <c r="H1364" s="170">
        <v>-9.90176601740306E-8</v>
      </c>
      <c r="I1364" t="s">
        <v>1074</v>
      </c>
      <c r="J1364">
        <v>2.54</v>
      </c>
    </row>
    <row r="1365" spans="1:10" hidden="1">
      <c r="A1365" t="s">
        <v>1566</v>
      </c>
      <c r="B1365" t="s">
        <v>1567</v>
      </c>
      <c r="C1365" t="s">
        <v>1066</v>
      </c>
      <c r="D1365" t="s">
        <v>330</v>
      </c>
      <c r="E1365" t="s">
        <v>555</v>
      </c>
      <c r="F1365" t="s">
        <v>1068</v>
      </c>
      <c r="G1365" t="s">
        <v>1075</v>
      </c>
      <c r="H1365" s="171" t="s">
        <v>1568</v>
      </c>
      <c r="I1365" t="s">
        <v>1077</v>
      </c>
      <c r="J1365">
        <v>2.54</v>
      </c>
    </row>
    <row r="1366" spans="1:10" hidden="1">
      <c r="A1366" t="s">
        <v>1566</v>
      </c>
      <c r="B1366" t="s">
        <v>1567</v>
      </c>
      <c r="C1366" t="s">
        <v>1066</v>
      </c>
      <c r="D1366" t="s">
        <v>330</v>
      </c>
      <c r="E1366" t="s">
        <v>555</v>
      </c>
      <c r="F1366" t="s">
        <v>1068</v>
      </c>
      <c r="G1366" t="s">
        <v>1078</v>
      </c>
      <c r="H1366">
        <v>-3.0364839303512801</v>
      </c>
      <c r="I1366" t="s">
        <v>1079</v>
      </c>
      <c r="J1366">
        <v>2.54</v>
      </c>
    </row>
    <row r="1367" spans="1:10" hidden="1">
      <c r="A1367" t="s">
        <v>1566</v>
      </c>
      <c r="B1367" t="s">
        <v>1567</v>
      </c>
      <c r="C1367" t="s">
        <v>1066</v>
      </c>
      <c r="D1367" t="s">
        <v>330</v>
      </c>
      <c r="E1367" t="s">
        <v>555</v>
      </c>
      <c r="F1367" t="s">
        <v>1068</v>
      </c>
      <c r="G1367" t="s">
        <v>1080</v>
      </c>
      <c r="H1367" s="171" t="s">
        <v>1569</v>
      </c>
      <c r="I1367" t="s">
        <v>1082</v>
      </c>
      <c r="J1367">
        <v>2.54</v>
      </c>
    </row>
    <row r="1368" spans="1:10" hidden="1">
      <c r="A1368" t="s">
        <v>1566</v>
      </c>
      <c r="B1368" t="s">
        <v>1567</v>
      </c>
      <c r="C1368" t="s">
        <v>1066</v>
      </c>
      <c r="D1368" t="s">
        <v>330</v>
      </c>
      <c r="E1368" t="s">
        <v>555</v>
      </c>
      <c r="F1368" t="s">
        <v>1068</v>
      </c>
      <c r="G1368" t="s">
        <v>1083</v>
      </c>
      <c r="H1368">
        <v>-2.2521017074272499E-3</v>
      </c>
      <c r="I1368" t="s">
        <v>1084</v>
      </c>
      <c r="J1368">
        <v>2.54</v>
      </c>
    </row>
    <row r="1369" spans="1:10" hidden="1">
      <c r="A1369" t="s">
        <v>1566</v>
      </c>
      <c r="B1369" t="s">
        <v>1567</v>
      </c>
      <c r="C1369" t="s">
        <v>1066</v>
      </c>
      <c r="D1369" t="s">
        <v>330</v>
      </c>
      <c r="E1369" t="s">
        <v>555</v>
      </c>
      <c r="F1369" t="s">
        <v>1068</v>
      </c>
      <c r="G1369" t="s">
        <v>1085</v>
      </c>
      <c r="H1369">
        <v>-6.3107698396100906E-2</v>
      </c>
      <c r="I1369" t="s">
        <v>1086</v>
      </c>
      <c r="J1369">
        <v>2.54</v>
      </c>
    </row>
    <row r="1370" spans="1:10" hidden="1">
      <c r="A1370" t="s">
        <v>1566</v>
      </c>
      <c r="B1370" t="s">
        <v>1567</v>
      </c>
      <c r="C1370" t="s">
        <v>1066</v>
      </c>
      <c r="D1370" t="s">
        <v>330</v>
      </c>
      <c r="E1370" t="s">
        <v>555</v>
      </c>
      <c r="F1370" t="s">
        <v>1068</v>
      </c>
      <c r="G1370" t="s">
        <v>1087</v>
      </c>
      <c r="H1370" s="170">
        <v>-1.9065478728285999E-6</v>
      </c>
      <c r="I1370" t="s">
        <v>1088</v>
      </c>
      <c r="J1370">
        <v>2.54</v>
      </c>
    </row>
    <row r="1371" spans="1:10" hidden="1">
      <c r="A1371" t="s">
        <v>1566</v>
      </c>
      <c r="B1371" t="s">
        <v>1567</v>
      </c>
      <c r="C1371" t="s">
        <v>1066</v>
      </c>
      <c r="D1371" t="s">
        <v>330</v>
      </c>
      <c r="E1371" t="s">
        <v>555</v>
      </c>
      <c r="F1371" t="s">
        <v>1068</v>
      </c>
      <c r="G1371" t="s">
        <v>1089</v>
      </c>
      <c r="H1371">
        <v>-1.70173027282833E-2</v>
      </c>
      <c r="I1371" t="s">
        <v>1090</v>
      </c>
      <c r="J1371">
        <v>2.54</v>
      </c>
    </row>
    <row r="1372" spans="1:10" hidden="1">
      <c r="A1372" t="s">
        <v>1570</v>
      </c>
      <c r="B1372" t="s">
        <v>1571</v>
      </c>
      <c r="C1372" t="s">
        <v>1066</v>
      </c>
      <c r="D1372" t="s">
        <v>330</v>
      </c>
      <c r="E1372" t="s">
        <v>558</v>
      </c>
      <c r="F1372" t="s">
        <v>1068</v>
      </c>
      <c r="G1372" t="s">
        <v>1069</v>
      </c>
      <c r="H1372" s="171" t="s">
        <v>1572</v>
      </c>
      <c r="I1372" t="s">
        <v>1070</v>
      </c>
      <c r="J1372">
        <v>2.0299999999999998</v>
      </c>
    </row>
    <row r="1373" spans="1:10" hidden="1">
      <c r="A1373" t="s">
        <v>1570</v>
      </c>
      <c r="B1373" t="s">
        <v>1571</v>
      </c>
      <c r="C1373" t="s">
        <v>1066</v>
      </c>
      <c r="D1373" t="s">
        <v>330</v>
      </c>
      <c r="E1373" t="s">
        <v>558</v>
      </c>
      <c r="F1373" t="s">
        <v>1068</v>
      </c>
      <c r="G1373" t="s">
        <v>1071</v>
      </c>
      <c r="H1373" s="170">
        <v>-4.9265605390970702E-10</v>
      </c>
      <c r="I1373" t="s">
        <v>1072</v>
      </c>
      <c r="J1373">
        <v>2.0299999999999998</v>
      </c>
    </row>
    <row r="1374" spans="1:10" hidden="1">
      <c r="A1374" t="s">
        <v>1570</v>
      </c>
      <c r="B1374" t="s">
        <v>1571</v>
      </c>
      <c r="C1374" t="s">
        <v>1066</v>
      </c>
      <c r="D1374" t="s">
        <v>330</v>
      </c>
      <c r="E1374" t="s">
        <v>558</v>
      </c>
      <c r="F1374" t="s">
        <v>1068</v>
      </c>
      <c r="G1374" t="s">
        <v>1073</v>
      </c>
      <c r="H1374" s="170">
        <v>-9.5765865715512605E-8</v>
      </c>
      <c r="I1374" t="s">
        <v>1074</v>
      </c>
      <c r="J1374">
        <v>2.0299999999999998</v>
      </c>
    </row>
    <row r="1375" spans="1:10" hidden="1">
      <c r="A1375" t="s">
        <v>1570</v>
      </c>
      <c r="B1375" t="s">
        <v>1571</v>
      </c>
      <c r="C1375" t="s">
        <v>1066</v>
      </c>
      <c r="D1375" t="s">
        <v>330</v>
      </c>
      <c r="E1375" t="s">
        <v>558</v>
      </c>
      <c r="F1375" t="s">
        <v>1068</v>
      </c>
      <c r="G1375" t="s">
        <v>1075</v>
      </c>
      <c r="H1375" s="171" t="s">
        <v>1573</v>
      </c>
      <c r="I1375" t="s">
        <v>1077</v>
      </c>
      <c r="J1375">
        <v>2.0299999999999998</v>
      </c>
    </row>
    <row r="1376" spans="1:10" hidden="1">
      <c r="A1376" t="s">
        <v>1570</v>
      </c>
      <c r="B1376" t="s">
        <v>1571</v>
      </c>
      <c r="C1376" t="s">
        <v>1066</v>
      </c>
      <c r="D1376" t="s">
        <v>330</v>
      </c>
      <c r="E1376" t="s">
        <v>558</v>
      </c>
      <c r="F1376" t="s">
        <v>1068</v>
      </c>
      <c r="G1376" t="s">
        <v>1078</v>
      </c>
      <c r="H1376">
        <v>-3.0255754306694902</v>
      </c>
      <c r="I1376" t="s">
        <v>1079</v>
      </c>
      <c r="J1376">
        <v>2.0299999999999998</v>
      </c>
    </row>
    <row r="1377" spans="1:10" hidden="1">
      <c r="A1377" t="s">
        <v>1570</v>
      </c>
      <c r="B1377" t="s">
        <v>1571</v>
      </c>
      <c r="C1377" t="s">
        <v>1066</v>
      </c>
      <c r="D1377" t="s">
        <v>330</v>
      </c>
      <c r="E1377" t="s">
        <v>558</v>
      </c>
      <c r="F1377" t="s">
        <v>1068</v>
      </c>
      <c r="G1377" t="s">
        <v>1080</v>
      </c>
      <c r="H1377" s="171" t="s">
        <v>1574</v>
      </c>
      <c r="I1377" t="s">
        <v>1082</v>
      </c>
      <c r="J1377">
        <v>2.0299999999999998</v>
      </c>
    </row>
    <row r="1378" spans="1:10" hidden="1">
      <c r="A1378" t="s">
        <v>1570</v>
      </c>
      <c r="B1378" t="s">
        <v>1571</v>
      </c>
      <c r="C1378" t="s">
        <v>1066</v>
      </c>
      <c r="D1378" t="s">
        <v>330</v>
      </c>
      <c r="E1378" t="s">
        <v>558</v>
      </c>
      <c r="F1378" t="s">
        <v>1068</v>
      </c>
      <c r="G1378" t="s">
        <v>1083</v>
      </c>
      <c r="H1378">
        <v>-2.25071003349197E-3</v>
      </c>
      <c r="I1378" t="s">
        <v>1084</v>
      </c>
      <c r="J1378">
        <v>2.0299999999999998</v>
      </c>
    </row>
    <row r="1379" spans="1:10" hidden="1">
      <c r="A1379" t="s">
        <v>1570</v>
      </c>
      <c r="B1379" t="s">
        <v>1571</v>
      </c>
      <c r="C1379" t="s">
        <v>1066</v>
      </c>
      <c r="D1379" t="s">
        <v>330</v>
      </c>
      <c r="E1379" t="s">
        <v>558</v>
      </c>
      <c r="F1379" t="s">
        <v>1068</v>
      </c>
      <c r="G1379" t="s">
        <v>1085</v>
      </c>
      <c r="H1379">
        <v>-6.3091990024265895E-2</v>
      </c>
      <c r="I1379" t="s">
        <v>1086</v>
      </c>
      <c r="J1379">
        <v>2.0299999999999998</v>
      </c>
    </row>
    <row r="1380" spans="1:10" hidden="1">
      <c r="A1380" t="s">
        <v>1570</v>
      </c>
      <c r="B1380" t="s">
        <v>1571</v>
      </c>
      <c r="C1380" t="s">
        <v>1066</v>
      </c>
      <c r="D1380" t="s">
        <v>330</v>
      </c>
      <c r="E1380" t="s">
        <v>558</v>
      </c>
      <c r="F1380" t="s">
        <v>1068</v>
      </c>
      <c r="G1380" t="s">
        <v>1087</v>
      </c>
      <c r="H1380" s="170">
        <v>-1.8991442379966601E-6</v>
      </c>
      <c r="I1380" t="s">
        <v>1088</v>
      </c>
      <c r="J1380">
        <v>2.0299999999999998</v>
      </c>
    </row>
    <row r="1381" spans="1:10" hidden="1">
      <c r="A1381" t="s">
        <v>1570</v>
      </c>
      <c r="B1381" t="s">
        <v>1571</v>
      </c>
      <c r="C1381" t="s">
        <v>1066</v>
      </c>
      <c r="D1381" t="s">
        <v>330</v>
      </c>
      <c r="E1381" t="s">
        <v>558</v>
      </c>
      <c r="F1381" t="s">
        <v>1068</v>
      </c>
      <c r="G1381" t="s">
        <v>1089</v>
      </c>
      <c r="H1381">
        <v>-1.70140585739103E-2</v>
      </c>
      <c r="I1381" t="s">
        <v>1090</v>
      </c>
      <c r="J1381">
        <v>2.0299999999999998</v>
      </c>
    </row>
    <row r="1382" spans="1:10" hidden="1">
      <c r="A1382" t="s">
        <v>1575</v>
      </c>
      <c r="B1382" t="s">
        <v>1576</v>
      </c>
      <c r="C1382" t="s">
        <v>1066</v>
      </c>
      <c r="D1382" t="s">
        <v>330</v>
      </c>
      <c r="E1382" t="s">
        <v>553</v>
      </c>
      <c r="F1382" t="s">
        <v>1068</v>
      </c>
      <c r="G1382" t="s">
        <v>1069</v>
      </c>
      <c r="H1382" s="171" t="s">
        <v>1577</v>
      </c>
      <c r="I1382" t="s">
        <v>1070</v>
      </c>
      <c r="J1382">
        <v>2.5299999999999998</v>
      </c>
    </row>
    <row r="1383" spans="1:10" hidden="1">
      <c r="A1383" t="s">
        <v>1575</v>
      </c>
      <c r="B1383" t="s">
        <v>1576</v>
      </c>
      <c r="C1383" t="s">
        <v>1066</v>
      </c>
      <c r="D1383" t="s">
        <v>330</v>
      </c>
      <c r="E1383" t="s">
        <v>553</v>
      </c>
      <c r="F1383" t="s">
        <v>1068</v>
      </c>
      <c r="G1383" t="s">
        <v>1071</v>
      </c>
      <c r="H1383" s="170">
        <v>-4.9160302063139601E-10</v>
      </c>
      <c r="I1383" t="s">
        <v>1072</v>
      </c>
      <c r="J1383">
        <v>2.5299999999999998</v>
      </c>
    </row>
    <row r="1384" spans="1:10" hidden="1">
      <c r="A1384" t="s">
        <v>1575</v>
      </c>
      <c r="B1384" t="s">
        <v>1576</v>
      </c>
      <c r="C1384" t="s">
        <v>1066</v>
      </c>
      <c r="D1384" t="s">
        <v>330</v>
      </c>
      <c r="E1384" t="s">
        <v>553</v>
      </c>
      <c r="F1384" t="s">
        <v>1068</v>
      </c>
      <c r="G1384" t="s">
        <v>1073</v>
      </c>
      <c r="H1384" s="170">
        <v>-9.5506442973254604E-8</v>
      </c>
      <c r="I1384" t="s">
        <v>1074</v>
      </c>
      <c r="J1384">
        <v>2.5299999999999998</v>
      </c>
    </row>
    <row r="1385" spans="1:10" hidden="1">
      <c r="A1385" t="s">
        <v>1575</v>
      </c>
      <c r="B1385" t="s">
        <v>1576</v>
      </c>
      <c r="C1385" t="s">
        <v>1066</v>
      </c>
      <c r="D1385" t="s">
        <v>330</v>
      </c>
      <c r="E1385" t="s">
        <v>553</v>
      </c>
      <c r="F1385" t="s">
        <v>1068</v>
      </c>
      <c r="G1385" t="s">
        <v>1075</v>
      </c>
      <c r="H1385">
        <v>1.92483011901778E-2</v>
      </c>
      <c r="I1385" t="s">
        <v>1077</v>
      </c>
      <c r="J1385">
        <v>2.5299999999999998</v>
      </c>
    </row>
    <row r="1386" spans="1:10" hidden="1">
      <c r="A1386" t="s">
        <v>1575</v>
      </c>
      <c r="B1386" t="s">
        <v>1576</v>
      </c>
      <c r="C1386" t="s">
        <v>1066</v>
      </c>
      <c r="D1386" t="s">
        <v>330</v>
      </c>
      <c r="E1386" t="s">
        <v>553</v>
      </c>
      <c r="F1386" t="s">
        <v>1068</v>
      </c>
      <c r="G1386" t="s">
        <v>1078</v>
      </c>
      <c r="H1386">
        <v>-3.0229711577368001</v>
      </c>
      <c r="I1386" t="s">
        <v>1079</v>
      </c>
      <c r="J1386">
        <v>2.5299999999999998</v>
      </c>
    </row>
    <row r="1387" spans="1:10" hidden="1">
      <c r="A1387" t="s">
        <v>1575</v>
      </c>
      <c r="B1387" t="s">
        <v>1576</v>
      </c>
      <c r="C1387" t="s">
        <v>1066</v>
      </c>
      <c r="D1387" t="s">
        <v>330</v>
      </c>
      <c r="E1387" t="s">
        <v>553</v>
      </c>
      <c r="F1387" t="s">
        <v>1068</v>
      </c>
      <c r="G1387" t="s">
        <v>1080</v>
      </c>
      <c r="H1387" s="171" t="s">
        <v>1578</v>
      </c>
      <c r="I1387" t="s">
        <v>1082</v>
      </c>
      <c r="J1387">
        <v>2.5299999999999998</v>
      </c>
    </row>
    <row r="1388" spans="1:10" hidden="1">
      <c r="A1388" t="s">
        <v>1575</v>
      </c>
      <c r="B1388" t="s">
        <v>1576</v>
      </c>
      <c r="C1388" t="s">
        <v>1066</v>
      </c>
      <c r="D1388" t="s">
        <v>330</v>
      </c>
      <c r="E1388" t="s">
        <v>553</v>
      </c>
      <c r="F1388" t="s">
        <v>1068</v>
      </c>
      <c r="G1388" t="s">
        <v>1083</v>
      </c>
      <c r="H1388">
        <v>-2.2505991665104901E-3</v>
      </c>
      <c r="I1388" t="s">
        <v>1084</v>
      </c>
      <c r="J1388">
        <v>2.5299999999999998</v>
      </c>
    </row>
    <row r="1389" spans="1:10" hidden="1">
      <c r="A1389" t="s">
        <v>1575</v>
      </c>
      <c r="B1389" t="s">
        <v>1576</v>
      </c>
      <c r="C1389" t="s">
        <v>1066</v>
      </c>
      <c r="D1389" t="s">
        <v>330</v>
      </c>
      <c r="E1389" t="s">
        <v>553</v>
      </c>
      <c r="F1389" t="s">
        <v>1068</v>
      </c>
      <c r="G1389" t="s">
        <v>1085</v>
      </c>
      <c r="H1389">
        <v>-6.30907166342249E-2</v>
      </c>
      <c r="I1389" t="s">
        <v>1086</v>
      </c>
      <c r="J1389">
        <v>2.5299999999999998</v>
      </c>
    </row>
    <row r="1390" spans="1:10" hidden="1">
      <c r="A1390" t="s">
        <v>1575</v>
      </c>
      <c r="B1390" t="s">
        <v>1576</v>
      </c>
      <c r="C1390" t="s">
        <v>1066</v>
      </c>
      <c r="D1390" t="s">
        <v>330</v>
      </c>
      <c r="E1390" t="s">
        <v>553</v>
      </c>
      <c r="F1390" t="s">
        <v>1068</v>
      </c>
      <c r="G1390" t="s">
        <v>1087</v>
      </c>
      <c r="H1390" s="170">
        <v>-1.89835239700821E-6</v>
      </c>
      <c r="I1390" t="s">
        <v>1088</v>
      </c>
      <c r="J1390">
        <v>2.5299999999999998</v>
      </c>
    </row>
    <row r="1391" spans="1:10" hidden="1">
      <c r="A1391" t="s">
        <v>1575</v>
      </c>
      <c r="B1391" t="s">
        <v>1576</v>
      </c>
      <c r="C1391" t="s">
        <v>1066</v>
      </c>
      <c r="D1391" t="s">
        <v>330</v>
      </c>
      <c r="E1391" t="s">
        <v>553</v>
      </c>
      <c r="F1391" t="s">
        <v>1068</v>
      </c>
      <c r="G1391" t="s">
        <v>1089</v>
      </c>
      <c r="H1391">
        <v>-1.70137994243428E-2</v>
      </c>
      <c r="I1391" t="s">
        <v>1090</v>
      </c>
      <c r="J1391">
        <v>2.5299999999999998</v>
      </c>
    </row>
    <row r="1392" spans="1:10" hidden="1">
      <c r="A1392" t="s">
        <v>1579</v>
      </c>
      <c r="B1392" t="s">
        <v>1580</v>
      </c>
      <c r="C1392" t="s">
        <v>1066</v>
      </c>
      <c r="D1392" t="s">
        <v>330</v>
      </c>
      <c r="E1392" t="s">
        <v>556</v>
      </c>
      <c r="F1392" t="s">
        <v>1068</v>
      </c>
      <c r="G1392" t="s">
        <v>1069</v>
      </c>
      <c r="H1392">
        <v>9.5973223771234101E-2</v>
      </c>
      <c r="I1392" t="s">
        <v>1070</v>
      </c>
      <c r="J1392">
        <v>2.0299999999999998</v>
      </c>
    </row>
    <row r="1393" spans="1:10" hidden="1">
      <c r="A1393" t="s">
        <v>1579</v>
      </c>
      <c r="B1393" t="s">
        <v>1580</v>
      </c>
      <c r="C1393" t="s">
        <v>1066</v>
      </c>
      <c r="D1393" t="s">
        <v>330</v>
      </c>
      <c r="E1393" t="s">
        <v>556</v>
      </c>
      <c r="F1393" t="s">
        <v>1068</v>
      </c>
      <c r="G1393" t="s">
        <v>1071</v>
      </c>
      <c r="H1393" s="170">
        <v>-5.0438694984107504E-10</v>
      </c>
      <c r="I1393" t="s">
        <v>1072</v>
      </c>
      <c r="J1393">
        <v>2.0299999999999998</v>
      </c>
    </row>
    <row r="1394" spans="1:10" hidden="1">
      <c r="A1394" t="s">
        <v>1579</v>
      </c>
      <c r="B1394" t="s">
        <v>1580</v>
      </c>
      <c r="C1394" t="s">
        <v>1066</v>
      </c>
      <c r="D1394" t="s">
        <v>330</v>
      </c>
      <c r="E1394" t="s">
        <v>556</v>
      </c>
      <c r="F1394" t="s">
        <v>1068</v>
      </c>
      <c r="G1394" t="s">
        <v>1073</v>
      </c>
      <c r="H1394" s="170">
        <v>-9.8686702355833796E-8</v>
      </c>
      <c r="I1394" t="s">
        <v>1074</v>
      </c>
      <c r="J1394">
        <v>2.0299999999999998</v>
      </c>
    </row>
    <row r="1395" spans="1:10" hidden="1">
      <c r="A1395" t="s">
        <v>1579</v>
      </c>
      <c r="B1395" t="s">
        <v>1580</v>
      </c>
      <c r="C1395" t="s">
        <v>1066</v>
      </c>
      <c r="D1395" t="s">
        <v>330</v>
      </c>
      <c r="E1395" t="s">
        <v>556</v>
      </c>
      <c r="F1395" t="s">
        <v>1068</v>
      </c>
      <c r="G1395" t="s">
        <v>1075</v>
      </c>
      <c r="H1395">
        <v>1.8979252143928701E-2</v>
      </c>
      <c r="I1395" t="s">
        <v>1077</v>
      </c>
      <c r="J1395">
        <v>2.0299999999999998</v>
      </c>
    </row>
    <row r="1396" spans="1:10" hidden="1">
      <c r="A1396" t="s">
        <v>1579</v>
      </c>
      <c r="B1396" t="s">
        <v>1580</v>
      </c>
      <c r="C1396" t="s">
        <v>1066</v>
      </c>
      <c r="D1396" t="s">
        <v>330</v>
      </c>
      <c r="E1396" t="s">
        <v>556</v>
      </c>
      <c r="F1396" t="s">
        <v>1068</v>
      </c>
      <c r="G1396" t="s">
        <v>1078</v>
      </c>
      <c r="H1396">
        <v>-3.02934917182532</v>
      </c>
      <c r="I1396" t="s">
        <v>1079</v>
      </c>
      <c r="J1396">
        <v>2.0299999999999998</v>
      </c>
    </row>
    <row r="1397" spans="1:10" hidden="1">
      <c r="A1397" t="s">
        <v>1579</v>
      </c>
      <c r="B1397" t="s">
        <v>1580</v>
      </c>
      <c r="C1397" t="s">
        <v>1066</v>
      </c>
      <c r="D1397" t="s">
        <v>330</v>
      </c>
      <c r="E1397" t="s">
        <v>556</v>
      </c>
      <c r="F1397" t="s">
        <v>1068</v>
      </c>
      <c r="G1397" t="s">
        <v>1080</v>
      </c>
      <c r="H1397" s="171" t="s">
        <v>1581</v>
      </c>
      <c r="I1397" t="s">
        <v>1082</v>
      </c>
      <c r="J1397">
        <v>2.0299999999999998</v>
      </c>
    </row>
    <row r="1398" spans="1:10" hidden="1">
      <c r="A1398" t="s">
        <v>1579</v>
      </c>
      <c r="B1398" t="s">
        <v>1580</v>
      </c>
      <c r="C1398" t="s">
        <v>1066</v>
      </c>
      <c r="D1398" t="s">
        <v>330</v>
      </c>
      <c r="E1398" t="s">
        <v>556</v>
      </c>
      <c r="F1398" t="s">
        <v>1068</v>
      </c>
      <c r="G1398" t="s">
        <v>1083</v>
      </c>
      <c r="H1398">
        <v>-2.2519604714533602E-3</v>
      </c>
      <c r="I1398" t="s">
        <v>1084</v>
      </c>
      <c r="J1398">
        <v>2.0299999999999998</v>
      </c>
    </row>
    <row r="1399" spans="1:10" hidden="1">
      <c r="A1399" t="s">
        <v>1579</v>
      </c>
      <c r="B1399" t="s">
        <v>1580</v>
      </c>
      <c r="C1399" t="s">
        <v>1066</v>
      </c>
      <c r="D1399" t="s">
        <v>330</v>
      </c>
      <c r="E1399" t="s">
        <v>556</v>
      </c>
      <c r="F1399" t="s">
        <v>1068</v>
      </c>
      <c r="G1399" t="s">
        <v>1085</v>
      </c>
      <c r="H1399">
        <v>-6.3106028203319495E-2</v>
      </c>
      <c r="I1399" t="s">
        <v>1086</v>
      </c>
      <c r="J1399">
        <v>2.0299999999999998</v>
      </c>
    </row>
    <row r="1400" spans="1:10" hidden="1">
      <c r="A1400" t="s">
        <v>1579</v>
      </c>
      <c r="B1400" t="s">
        <v>1580</v>
      </c>
      <c r="C1400" t="s">
        <v>1066</v>
      </c>
      <c r="D1400" t="s">
        <v>330</v>
      </c>
      <c r="E1400" t="s">
        <v>556</v>
      </c>
      <c r="F1400" t="s">
        <v>1068</v>
      </c>
      <c r="G1400" t="s">
        <v>1087</v>
      </c>
      <c r="H1400" s="170">
        <v>-1.90577756163229E-6</v>
      </c>
      <c r="I1400" t="s">
        <v>1088</v>
      </c>
      <c r="J1400">
        <v>2.0299999999999998</v>
      </c>
    </row>
    <row r="1401" spans="1:10" hidden="1">
      <c r="A1401" t="s">
        <v>1579</v>
      </c>
      <c r="B1401" t="s">
        <v>1580</v>
      </c>
      <c r="C1401" t="s">
        <v>1066</v>
      </c>
      <c r="D1401" t="s">
        <v>330</v>
      </c>
      <c r="E1401" t="s">
        <v>556</v>
      </c>
      <c r="F1401" t="s">
        <v>1068</v>
      </c>
      <c r="G1401" t="s">
        <v>1089</v>
      </c>
      <c r="H1401">
        <v>-1.7016973444870302E-2</v>
      </c>
      <c r="I1401" t="s">
        <v>1090</v>
      </c>
      <c r="J1401">
        <v>2.0299999999999998</v>
      </c>
    </row>
    <row r="1402" spans="1:10" hidden="1">
      <c r="A1402" t="s">
        <v>1582</v>
      </c>
      <c r="B1402" t="s">
        <v>1583</v>
      </c>
      <c r="C1402" t="s">
        <v>1066</v>
      </c>
      <c r="D1402" t="s">
        <v>330</v>
      </c>
      <c r="E1402" t="s">
        <v>557</v>
      </c>
      <c r="F1402" t="s">
        <v>1068</v>
      </c>
      <c r="G1402" t="s">
        <v>1069</v>
      </c>
      <c r="H1402" s="171" t="s">
        <v>1584</v>
      </c>
      <c r="I1402" t="s">
        <v>1070</v>
      </c>
      <c r="J1402">
        <v>2.54</v>
      </c>
    </row>
    <row r="1403" spans="1:10" hidden="1">
      <c r="A1403" t="s">
        <v>1582</v>
      </c>
      <c r="B1403" t="s">
        <v>1583</v>
      </c>
      <c r="C1403" t="s">
        <v>1066</v>
      </c>
      <c r="D1403" t="s">
        <v>330</v>
      </c>
      <c r="E1403" t="s">
        <v>557</v>
      </c>
      <c r="F1403" t="s">
        <v>1068</v>
      </c>
      <c r="G1403" t="s">
        <v>1071</v>
      </c>
      <c r="H1403" s="170">
        <v>-4.9705789440000503E-10</v>
      </c>
      <c r="I1403" t="s">
        <v>1072</v>
      </c>
      <c r="J1403">
        <v>2.54</v>
      </c>
    </row>
    <row r="1404" spans="1:10" hidden="1">
      <c r="A1404" t="s">
        <v>1582</v>
      </c>
      <c r="B1404" t="s">
        <v>1583</v>
      </c>
      <c r="C1404" t="s">
        <v>1066</v>
      </c>
      <c r="D1404" t="s">
        <v>330</v>
      </c>
      <c r="E1404" t="s">
        <v>557</v>
      </c>
      <c r="F1404" t="s">
        <v>1068</v>
      </c>
      <c r="G1404" t="s">
        <v>1073</v>
      </c>
      <c r="H1404" s="170">
        <v>-9.6858482934133697E-8</v>
      </c>
      <c r="I1404" t="s">
        <v>1074</v>
      </c>
      <c r="J1404">
        <v>2.54</v>
      </c>
    </row>
    <row r="1405" spans="1:10" hidden="1">
      <c r="A1405" t="s">
        <v>1582</v>
      </c>
      <c r="B1405" t="s">
        <v>1583</v>
      </c>
      <c r="C1405" t="s">
        <v>1066</v>
      </c>
      <c r="D1405" t="s">
        <v>330</v>
      </c>
      <c r="E1405" t="s">
        <v>557</v>
      </c>
      <c r="F1405" t="s">
        <v>1068</v>
      </c>
      <c r="G1405" t="s">
        <v>1075</v>
      </c>
      <c r="H1405" s="171" t="s">
        <v>1585</v>
      </c>
      <c r="I1405" t="s">
        <v>1077</v>
      </c>
      <c r="J1405">
        <v>2.54</v>
      </c>
    </row>
    <row r="1406" spans="1:10" hidden="1">
      <c r="A1406" t="s">
        <v>1582</v>
      </c>
      <c r="B1406" t="s">
        <v>1583</v>
      </c>
      <c r="C1406" t="s">
        <v>1066</v>
      </c>
      <c r="D1406" t="s">
        <v>330</v>
      </c>
      <c r="E1406" t="s">
        <v>557</v>
      </c>
      <c r="F1406" t="s">
        <v>1068</v>
      </c>
      <c r="G1406" t="s">
        <v>1078</v>
      </c>
      <c r="H1406">
        <v>-3.0297803223590898</v>
      </c>
      <c r="I1406" t="s">
        <v>1079</v>
      </c>
      <c r="J1406">
        <v>2.54</v>
      </c>
    </row>
    <row r="1407" spans="1:10" hidden="1">
      <c r="A1407" t="s">
        <v>1582</v>
      </c>
      <c r="B1407" t="s">
        <v>1583</v>
      </c>
      <c r="C1407" t="s">
        <v>1066</v>
      </c>
      <c r="D1407" t="s">
        <v>330</v>
      </c>
      <c r="E1407" t="s">
        <v>557</v>
      </c>
      <c r="F1407" t="s">
        <v>1068</v>
      </c>
      <c r="G1407" t="s">
        <v>1080</v>
      </c>
      <c r="H1407" s="171" t="s">
        <v>1586</v>
      </c>
      <c r="I1407" t="s">
        <v>1082</v>
      </c>
      <c r="J1407">
        <v>2.54</v>
      </c>
    </row>
    <row r="1408" spans="1:10" hidden="1">
      <c r="A1408" t="s">
        <v>1582</v>
      </c>
      <c r="B1408" t="s">
        <v>1583</v>
      </c>
      <c r="C1408" t="s">
        <v>1066</v>
      </c>
      <c r="D1408" t="s">
        <v>330</v>
      </c>
      <c r="E1408" t="s">
        <v>557</v>
      </c>
      <c r="F1408" t="s">
        <v>1068</v>
      </c>
      <c r="G1408" t="s">
        <v>1083</v>
      </c>
      <c r="H1408">
        <v>-2.2511775927408699E-3</v>
      </c>
      <c r="I1408" t="s">
        <v>1084</v>
      </c>
      <c r="J1408">
        <v>2.54</v>
      </c>
    </row>
    <row r="1409" spans="1:10" hidden="1">
      <c r="A1409" t="s">
        <v>1582</v>
      </c>
      <c r="B1409" t="s">
        <v>1583</v>
      </c>
      <c r="C1409" t="s">
        <v>1066</v>
      </c>
      <c r="D1409" t="s">
        <v>330</v>
      </c>
      <c r="E1409" t="s">
        <v>557</v>
      </c>
      <c r="F1409" t="s">
        <v>1068</v>
      </c>
      <c r="G1409" t="s">
        <v>1085</v>
      </c>
      <c r="H1409">
        <v>-6.3097274392724195E-2</v>
      </c>
      <c r="I1409" t="s">
        <v>1086</v>
      </c>
      <c r="J1409">
        <v>2.54</v>
      </c>
    </row>
    <row r="1410" spans="1:10" hidden="1">
      <c r="A1410" t="s">
        <v>1582</v>
      </c>
      <c r="B1410" t="s">
        <v>1583</v>
      </c>
      <c r="C1410" t="s">
        <v>1066</v>
      </c>
      <c r="D1410" t="s">
        <v>330</v>
      </c>
      <c r="E1410" t="s">
        <v>557</v>
      </c>
      <c r="F1410" t="s">
        <v>1068</v>
      </c>
      <c r="G1410" t="s">
        <v>1087</v>
      </c>
      <c r="H1410" s="170">
        <v>-1.90169449834312E-6</v>
      </c>
      <c r="I1410" t="s">
        <v>1088</v>
      </c>
      <c r="J1410">
        <v>2.54</v>
      </c>
    </row>
    <row r="1411" spans="1:10" hidden="1">
      <c r="A1411" t="s">
        <v>1582</v>
      </c>
      <c r="B1411" t="s">
        <v>1583</v>
      </c>
      <c r="C1411" t="s">
        <v>1066</v>
      </c>
      <c r="D1411" t="s">
        <v>330</v>
      </c>
      <c r="E1411" t="s">
        <v>557</v>
      </c>
      <c r="F1411" t="s">
        <v>1068</v>
      </c>
      <c r="G1411" t="s">
        <v>1089</v>
      </c>
      <c r="H1411">
        <v>-1.7015148728688E-2</v>
      </c>
      <c r="I1411" t="s">
        <v>1090</v>
      </c>
      <c r="J1411">
        <v>2.54</v>
      </c>
    </row>
    <row r="1412" spans="1:10" hidden="1">
      <c r="A1412" t="s">
        <v>1587</v>
      </c>
      <c r="B1412" t="s">
        <v>1588</v>
      </c>
      <c r="C1412" t="s">
        <v>1066</v>
      </c>
      <c r="D1412" t="s">
        <v>330</v>
      </c>
      <c r="E1412" t="s">
        <v>559</v>
      </c>
      <c r="F1412" t="s">
        <v>1068</v>
      </c>
      <c r="G1412" t="s">
        <v>1069</v>
      </c>
      <c r="H1412">
        <v>9.8635285618301594E-2</v>
      </c>
      <c r="I1412" t="s">
        <v>1070</v>
      </c>
      <c r="J1412">
        <v>2.54</v>
      </c>
    </row>
    <row r="1413" spans="1:10" hidden="1">
      <c r="A1413" t="s">
        <v>1587</v>
      </c>
      <c r="B1413" t="s">
        <v>1588</v>
      </c>
      <c r="C1413" t="s">
        <v>1066</v>
      </c>
      <c r="D1413" t="s">
        <v>330</v>
      </c>
      <c r="E1413" t="s">
        <v>559</v>
      </c>
      <c r="F1413" t="s">
        <v>1068</v>
      </c>
      <c r="G1413" t="s">
        <v>1071</v>
      </c>
      <c r="H1413" s="170">
        <v>-5.0060963598918395E-10</v>
      </c>
      <c r="I1413" t="s">
        <v>1072</v>
      </c>
      <c r="J1413">
        <v>2.54</v>
      </c>
    </row>
    <row r="1414" spans="1:10" hidden="1">
      <c r="A1414" t="s">
        <v>1587</v>
      </c>
      <c r="B1414" t="s">
        <v>1588</v>
      </c>
      <c r="C1414" t="s">
        <v>1066</v>
      </c>
      <c r="D1414" t="s">
        <v>330</v>
      </c>
      <c r="E1414" t="s">
        <v>559</v>
      </c>
      <c r="F1414" t="s">
        <v>1068</v>
      </c>
      <c r="G1414" t="s">
        <v>1073</v>
      </c>
      <c r="H1414" s="170">
        <v>-9.7742049430229906E-8</v>
      </c>
      <c r="I1414" t="s">
        <v>1074</v>
      </c>
      <c r="J1414">
        <v>2.54</v>
      </c>
    </row>
    <row r="1415" spans="1:10" hidden="1">
      <c r="A1415" t="s">
        <v>1587</v>
      </c>
      <c r="B1415" t="s">
        <v>1588</v>
      </c>
      <c r="C1415" t="s">
        <v>1066</v>
      </c>
      <c r="D1415" t="s">
        <v>330</v>
      </c>
      <c r="E1415" t="s">
        <v>559</v>
      </c>
      <c r="F1415" t="s">
        <v>1068</v>
      </c>
      <c r="G1415" t="s">
        <v>1075</v>
      </c>
      <c r="H1415">
        <v>1.9049344887196399E-2</v>
      </c>
      <c r="I1415" t="s">
        <v>1077</v>
      </c>
      <c r="J1415">
        <v>2.54</v>
      </c>
    </row>
    <row r="1416" spans="1:10" hidden="1">
      <c r="A1416" t="s">
        <v>1587</v>
      </c>
      <c r="B1416" t="s">
        <v>1588</v>
      </c>
      <c r="C1416" t="s">
        <v>1066</v>
      </c>
      <c r="D1416" t="s">
        <v>330</v>
      </c>
      <c r="E1416" t="s">
        <v>559</v>
      </c>
      <c r="F1416" t="s">
        <v>1068</v>
      </c>
      <c r="G1416" t="s">
        <v>1078</v>
      </c>
      <c r="H1416">
        <v>-3.0315747957308798</v>
      </c>
      <c r="I1416" t="s">
        <v>1079</v>
      </c>
      <c r="J1416">
        <v>2.54</v>
      </c>
    </row>
    <row r="1417" spans="1:10" hidden="1">
      <c r="A1417" t="s">
        <v>1587</v>
      </c>
      <c r="B1417" t="s">
        <v>1588</v>
      </c>
      <c r="C1417" t="s">
        <v>1066</v>
      </c>
      <c r="D1417" t="s">
        <v>330</v>
      </c>
      <c r="E1417" t="s">
        <v>559</v>
      </c>
      <c r="F1417" t="s">
        <v>1068</v>
      </c>
      <c r="G1417" t="s">
        <v>1080</v>
      </c>
      <c r="H1417" s="171" t="s">
        <v>1589</v>
      </c>
      <c r="I1417" t="s">
        <v>1082</v>
      </c>
      <c r="J1417">
        <v>2.54</v>
      </c>
    </row>
    <row r="1418" spans="1:10" hidden="1">
      <c r="A1418" t="s">
        <v>1587</v>
      </c>
      <c r="B1418" t="s">
        <v>1588</v>
      </c>
      <c r="C1418" t="s">
        <v>1066</v>
      </c>
      <c r="D1418" t="s">
        <v>330</v>
      </c>
      <c r="E1418" t="s">
        <v>559</v>
      </c>
      <c r="F1418" t="s">
        <v>1068</v>
      </c>
      <c r="G1418" t="s">
        <v>1083</v>
      </c>
      <c r="H1418">
        <v>-2.25155584050242E-3</v>
      </c>
      <c r="I1418" t="s">
        <v>1084</v>
      </c>
      <c r="J1418">
        <v>2.54</v>
      </c>
    </row>
    <row r="1419" spans="1:10" hidden="1">
      <c r="A1419" t="s">
        <v>1587</v>
      </c>
      <c r="B1419" t="s">
        <v>1588</v>
      </c>
      <c r="C1419" t="s">
        <v>1066</v>
      </c>
      <c r="D1419" t="s">
        <v>330</v>
      </c>
      <c r="E1419" t="s">
        <v>559</v>
      </c>
      <c r="F1419" t="s">
        <v>1068</v>
      </c>
      <c r="G1419" t="s">
        <v>1085</v>
      </c>
      <c r="H1419">
        <v>-6.3101528991973604E-2</v>
      </c>
      <c r="I1419" t="s">
        <v>1086</v>
      </c>
      <c r="J1419">
        <v>2.54</v>
      </c>
    </row>
    <row r="1420" spans="1:10" hidden="1">
      <c r="A1420" t="s">
        <v>1587</v>
      </c>
      <c r="B1420" t="s">
        <v>1588</v>
      </c>
      <c r="C1420" t="s">
        <v>1066</v>
      </c>
      <c r="D1420" t="s">
        <v>330</v>
      </c>
      <c r="E1420" t="s">
        <v>559</v>
      </c>
      <c r="F1420" t="s">
        <v>1068</v>
      </c>
      <c r="G1420" t="s">
        <v>1087</v>
      </c>
      <c r="H1420" s="170">
        <v>-1.90357049022717E-6</v>
      </c>
      <c r="I1420" t="s">
        <v>1088</v>
      </c>
      <c r="J1420">
        <v>2.54</v>
      </c>
    </row>
    <row r="1421" spans="1:10" hidden="1">
      <c r="A1421" t="s">
        <v>1587</v>
      </c>
      <c r="B1421" t="s">
        <v>1588</v>
      </c>
      <c r="C1421" t="s">
        <v>1066</v>
      </c>
      <c r="D1421" t="s">
        <v>330</v>
      </c>
      <c r="E1421" t="s">
        <v>559</v>
      </c>
      <c r="F1421" t="s">
        <v>1068</v>
      </c>
      <c r="G1421" t="s">
        <v>1089</v>
      </c>
      <c r="H1421">
        <v>-1.70160299923948E-2</v>
      </c>
      <c r="I1421" t="s">
        <v>1090</v>
      </c>
      <c r="J1421">
        <v>2.54</v>
      </c>
    </row>
    <row r="1422" spans="1:10" hidden="1">
      <c r="A1422" t="s">
        <v>1590</v>
      </c>
      <c r="B1422" t="s">
        <v>1591</v>
      </c>
      <c r="C1422" t="s">
        <v>1066</v>
      </c>
      <c r="D1422" t="s">
        <v>330</v>
      </c>
      <c r="E1422" t="s">
        <v>560</v>
      </c>
      <c r="F1422" t="s">
        <v>1068</v>
      </c>
      <c r="G1422" t="s">
        <v>1069</v>
      </c>
      <c r="H1422">
        <v>9.9480741719569707E-2</v>
      </c>
      <c r="I1422" t="s">
        <v>1070</v>
      </c>
      <c r="J1422">
        <v>2.54</v>
      </c>
    </row>
    <row r="1423" spans="1:10" hidden="1">
      <c r="A1423" t="s">
        <v>1590</v>
      </c>
      <c r="B1423" t="s">
        <v>1591</v>
      </c>
      <c r="C1423" t="s">
        <v>1066</v>
      </c>
      <c r="D1423" t="s">
        <v>330</v>
      </c>
      <c r="E1423" t="s">
        <v>560</v>
      </c>
      <c r="F1423" t="s">
        <v>1068</v>
      </c>
      <c r="G1423" t="s">
        <v>1071</v>
      </c>
      <c r="H1423" s="170">
        <v>-4.9940554266153305E-10</v>
      </c>
      <c r="I1423" t="s">
        <v>1072</v>
      </c>
      <c r="J1423">
        <v>2.54</v>
      </c>
    </row>
    <row r="1424" spans="1:10" hidden="1">
      <c r="A1424" t="s">
        <v>1590</v>
      </c>
      <c r="B1424" t="s">
        <v>1591</v>
      </c>
      <c r="C1424" t="s">
        <v>1066</v>
      </c>
      <c r="D1424" t="s">
        <v>330</v>
      </c>
      <c r="E1424" t="s">
        <v>560</v>
      </c>
      <c r="F1424" t="s">
        <v>1068</v>
      </c>
      <c r="G1424" t="s">
        <v>1073</v>
      </c>
      <c r="H1424" s="170">
        <v>-9.7441212117405801E-8</v>
      </c>
      <c r="I1424" t="s">
        <v>1074</v>
      </c>
      <c r="J1424">
        <v>2.54</v>
      </c>
    </row>
    <row r="1425" spans="1:10" hidden="1">
      <c r="A1425" t="s">
        <v>1590</v>
      </c>
      <c r="B1425" t="s">
        <v>1591</v>
      </c>
      <c r="C1425" t="s">
        <v>1066</v>
      </c>
      <c r="D1425" t="s">
        <v>330</v>
      </c>
      <c r="E1425" t="s">
        <v>560</v>
      </c>
      <c r="F1425" t="s">
        <v>1068</v>
      </c>
      <c r="G1425" t="s">
        <v>1075</v>
      </c>
      <c r="H1425" s="171" t="s">
        <v>1592</v>
      </c>
      <c r="I1425" t="s">
        <v>1077</v>
      </c>
      <c r="J1425">
        <v>2.54</v>
      </c>
    </row>
    <row r="1426" spans="1:10" hidden="1">
      <c r="A1426" t="s">
        <v>1590</v>
      </c>
      <c r="B1426" t="s">
        <v>1591</v>
      </c>
      <c r="C1426" t="s">
        <v>1066</v>
      </c>
      <c r="D1426" t="s">
        <v>330</v>
      </c>
      <c r="E1426" t="s">
        <v>560</v>
      </c>
      <c r="F1426" t="s">
        <v>1068</v>
      </c>
      <c r="G1426" t="s">
        <v>1078</v>
      </c>
      <c r="H1426">
        <v>-3.03202293126022</v>
      </c>
      <c r="I1426" t="s">
        <v>1079</v>
      </c>
      <c r="J1426">
        <v>2.54</v>
      </c>
    </row>
    <row r="1427" spans="1:10" hidden="1">
      <c r="A1427" t="s">
        <v>1590</v>
      </c>
      <c r="B1427" t="s">
        <v>1591</v>
      </c>
      <c r="C1427" t="s">
        <v>1066</v>
      </c>
      <c r="D1427" t="s">
        <v>330</v>
      </c>
      <c r="E1427" t="s">
        <v>560</v>
      </c>
      <c r="F1427" t="s">
        <v>1068</v>
      </c>
      <c r="G1427" t="s">
        <v>1080</v>
      </c>
      <c r="H1427" s="171" t="s">
        <v>1593</v>
      </c>
      <c r="I1427" t="s">
        <v>1082</v>
      </c>
      <c r="J1427">
        <v>2.54</v>
      </c>
    </row>
    <row r="1428" spans="1:10" hidden="1">
      <c r="A1428" t="s">
        <v>1590</v>
      </c>
      <c r="B1428" t="s">
        <v>1591</v>
      </c>
      <c r="C1428" t="s">
        <v>1066</v>
      </c>
      <c r="D1428" t="s">
        <v>330</v>
      </c>
      <c r="E1428" t="s">
        <v>560</v>
      </c>
      <c r="F1428" t="s">
        <v>1068</v>
      </c>
      <c r="G1428" t="s">
        <v>1083</v>
      </c>
      <c r="H1428">
        <v>-2.25142695767362E-3</v>
      </c>
      <c r="I1428" t="s">
        <v>1084</v>
      </c>
      <c r="J1428">
        <v>2.54</v>
      </c>
    </row>
    <row r="1429" spans="1:10" hidden="1">
      <c r="A1429" t="s">
        <v>1590</v>
      </c>
      <c r="B1429" t="s">
        <v>1591</v>
      </c>
      <c r="C1429" t="s">
        <v>1066</v>
      </c>
      <c r="D1429" t="s">
        <v>330</v>
      </c>
      <c r="E1429" t="s">
        <v>560</v>
      </c>
      <c r="F1429" t="s">
        <v>1068</v>
      </c>
      <c r="G1429" t="s">
        <v>1085</v>
      </c>
      <c r="H1429">
        <v>-6.3100092722568599E-2</v>
      </c>
      <c r="I1429" t="s">
        <v>1086</v>
      </c>
      <c r="J1429">
        <v>2.54</v>
      </c>
    </row>
    <row r="1430" spans="1:10" hidden="1">
      <c r="A1430" t="s">
        <v>1590</v>
      </c>
      <c r="B1430" t="s">
        <v>1591</v>
      </c>
      <c r="C1430" t="s">
        <v>1066</v>
      </c>
      <c r="D1430" t="s">
        <v>330</v>
      </c>
      <c r="E1430" t="s">
        <v>560</v>
      </c>
      <c r="F1430" t="s">
        <v>1068</v>
      </c>
      <c r="G1430" t="s">
        <v>1087</v>
      </c>
      <c r="H1430" s="170">
        <v>-1.9030546371945699E-6</v>
      </c>
      <c r="I1430" t="s">
        <v>1088</v>
      </c>
      <c r="J1430">
        <v>2.54</v>
      </c>
    </row>
    <row r="1431" spans="1:10" hidden="1">
      <c r="A1431" t="s">
        <v>1590</v>
      </c>
      <c r="B1431" t="s">
        <v>1591</v>
      </c>
      <c r="C1431" t="s">
        <v>1066</v>
      </c>
      <c r="D1431" t="s">
        <v>330</v>
      </c>
      <c r="E1431" t="s">
        <v>560</v>
      </c>
      <c r="F1431" t="s">
        <v>1068</v>
      </c>
      <c r="G1431" t="s">
        <v>1089</v>
      </c>
      <c r="H1431">
        <v>-1.7015730144569498E-2</v>
      </c>
      <c r="I1431" t="s">
        <v>1090</v>
      </c>
      <c r="J1431">
        <v>2.54</v>
      </c>
    </row>
    <row r="1432" spans="1:10" hidden="1">
      <c r="A1432" t="s">
        <v>1594</v>
      </c>
      <c r="B1432" t="s">
        <v>1595</v>
      </c>
      <c r="C1432" t="s">
        <v>1066</v>
      </c>
      <c r="D1432" t="s">
        <v>330</v>
      </c>
      <c r="E1432" t="s">
        <v>1116</v>
      </c>
      <c r="F1432" t="s">
        <v>1068</v>
      </c>
      <c r="G1432" t="s">
        <v>1069</v>
      </c>
      <c r="H1432" s="171" t="s">
        <v>1596</v>
      </c>
      <c r="I1432" t="s">
        <v>1070</v>
      </c>
      <c r="J1432">
        <v>2.04</v>
      </c>
    </row>
    <row r="1433" spans="1:10" hidden="1">
      <c r="A1433" t="s">
        <v>1594</v>
      </c>
      <c r="B1433" t="s">
        <v>1595</v>
      </c>
      <c r="C1433" t="s">
        <v>1066</v>
      </c>
      <c r="D1433" t="s">
        <v>330</v>
      </c>
      <c r="E1433" t="s">
        <v>1116</v>
      </c>
      <c r="F1433" t="s">
        <v>1068</v>
      </c>
      <c r="G1433" t="s">
        <v>1071</v>
      </c>
      <c r="H1433" s="170">
        <v>-4.9228019409415401E-10</v>
      </c>
      <c r="I1433" t="s">
        <v>1072</v>
      </c>
      <c r="J1433">
        <v>2.04</v>
      </c>
    </row>
    <row r="1434" spans="1:10" hidden="1">
      <c r="A1434" t="s">
        <v>1594</v>
      </c>
      <c r="B1434" t="s">
        <v>1595</v>
      </c>
      <c r="C1434" t="s">
        <v>1066</v>
      </c>
      <c r="D1434" t="s">
        <v>330</v>
      </c>
      <c r="E1434" t="s">
        <v>1116</v>
      </c>
      <c r="F1434" t="s">
        <v>1068</v>
      </c>
      <c r="G1434" t="s">
        <v>1073</v>
      </c>
      <c r="H1434" s="170">
        <v>-9.5672570443546104E-8</v>
      </c>
      <c r="I1434" t="s">
        <v>1074</v>
      </c>
      <c r="J1434">
        <v>2.04</v>
      </c>
    </row>
    <row r="1435" spans="1:10" hidden="1">
      <c r="A1435" t="s">
        <v>1594</v>
      </c>
      <c r="B1435" t="s">
        <v>1595</v>
      </c>
      <c r="C1435" t="s">
        <v>1066</v>
      </c>
      <c r="D1435" t="s">
        <v>330</v>
      </c>
      <c r="E1435" t="s">
        <v>1116</v>
      </c>
      <c r="F1435" t="s">
        <v>1068</v>
      </c>
      <c r="G1435" t="s">
        <v>1075</v>
      </c>
      <c r="H1435" s="171" t="s">
        <v>1597</v>
      </c>
      <c r="I1435" t="s">
        <v>1077</v>
      </c>
      <c r="J1435">
        <v>2.04</v>
      </c>
    </row>
    <row r="1436" spans="1:10" hidden="1">
      <c r="A1436" t="s">
        <v>1594</v>
      </c>
      <c r="B1436" t="s">
        <v>1595</v>
      </c>
      <c r="C1436" t="s">
        <v>1066</v>
      </c>
      <c r="D1436" t="s">
        <v>330</v>
      </c>
      <c r="E1436" t="s">
        <v>1116</v>
      </c>
      <c r="F1436" t="s">
        <v>1068</v>
      </c>
      <c r="G1436" t="s">
        <v>1078</v>
      </c>
      <c r="H1436">
        <v>-3.0252163877168199</v>
      </c>
      <c r="I1436" t="s">
        <v>1079</v>
      </c>
      <c r="J1436">
        <v>2.04</v>
      </c>
    </row>
    <row r="1437" spans="1:10" hidden="1">
      <c r="A1437" t="s">
        <v>1594</v>
      </c>
      <c r="B1437" t="s">
        <v>1595</v>
      </c>
      <c r="C1437" t="s">
        <v>1066</v>
      </c>
      <c r="D1437" t="s">
        <v>330</v>
      </c>
      <c r="E1437" t="s">
        <v>1116</v>
      </c>
      <c r="F1437" t="s">
        <v>1068</v>
      </c>
      <c r="G1437" t="s">
        <v>1080</v>
      </c>
      <c r="H1437" s="171" t="s">
        <v>1598</v>
      </c>
      <c r="I1437" t="s">
        <v>1082</v>
      </c>
      <c r="J1437">
        <v>2.04</v>
      </c>
    </row>
    <row r="1438" spans="1:10" hidden="1">
      <c r="A1438" t="s">
        <v>1594</v>
      </c>
      <c r="B1438" t="s">
        <v>1595</v>
      </c>
      <c r="C1438" t="s">
        <v>1066</v>
      </c>
      <c r="D1438" t="s">
        <v>330</v>
      </c>
      <c r="E1438" t="s">
        <v>1116</v>
      </c>
      <c r="F1438" t="s">
        <v>1068</v>
      </c>
      <c r="G1438" t="s">
        <v>1083</v>
      </c>
      <c r="H1438">
        <v>-2.2506701100252898E-3</v>
      </c>
      <c r="I1438" t="s">
        <v>1084</v>
      </c>
      <c r="J1438">
        <v>2.04</v>
      </c>
    </row>
    <row r="1439" spans="1:10" hidden="1">
      <c r="A1439" t="s">
        <v>1594</v>
      </c>
      <c r="B1439" t="s">
        <v>1595</v>
      </c>
      <c r="C1439" t="s">
        <v>1066</v>
      </c>
      <c r="D1439" t="s">
        <v>330</v>
      </c>
      <c r="E1439" t="s">
        <v>1116</v>
      </c>
      <c r="F1439" t="s">
        <v>1068</v>
      </c>
      <c r="G1439" t="s">
        <v>1085</v>
      </c>
      <c r="H1439">
        <v>-6.3091538808064895E-2</v>
      </c>
      <c r="I1439" t="s">
        <v>1086</v>
      </c>
      <c r="J1439">
        <v>2.04</v>
      </c>
    </row>
    <row r="1440" spans="1:10" hidden="1">
      <c r="A1440" t="s">
        <v>1594</v>
      </c>
      <c r="B1440" t="s">
        <v>1595</v>
      </c>
      <c r="C1440" t="s">
        <v>1066</v>
      </c>
      <c r="D1440" t="s">
        <v>330</v>
      </c>
      <c r="E1440" t="s">
        <v>1116</v>
      </c>
      <c r="F1440" t="s">
        <v>1068</v>
      </c>
      <c r="G1440" t="s">
        <v>1087</v>
      </c>
      <c r="H1440" s="170">
        <v>-1.8989264789977801E-6</v>
      </c>
      <c r="I1440" t="s">
        <v>1088</v>
      </c>
      <c r="J1440">
        <v>2.04</v>
      </c>
    </row>
    <row r="1441" spans="1:10" hidden="1">
      <c r="A1441" t="s">
        <v>1594</v>
      </c>
      <c r="B1441" t="s">
        <v>1595</v>
      </c>
      <c r="C1441" t="s">
        <v>1066</v>
      </c>
      <c r="D1441" t="s">
        <v>330</v>
      </c>
      <c r="E1441" t="s">
        <v>1116</v>
      </c>
      <c r="F1441" t="s">
        <v>1068</v>
      </c>
      <c r="G1441" t="s">
        <v>1089</v>
      </c>
      <c r="H1441">
        <v>-1.7013965488899101E-2</v>
      </c>
      <c r="I1441" t="s">
        <v>1090</v>
      </c>
      <c r="J1441">
        <v>2.04</v>
      </c>
    </row>
    <row r="1442" spans="1:10" hidden="1">
      <c r="A1442" t="s">
        <v>1599</v>
      </c>
      <c r="B1442" t="s">
        <v>1600</v>
      </c>
      <c r="C1442" t="s">
        <v>1066</v>
      </c>
      <c r="D1442" t="s">
        <v>1601</v>
      </c>
      <c r="E1442" t="s">
        <v>561</v>
      </c>
      <c r="F1442" t="s">
        <v>1068</v>
      </c>
      <c r="G1442" t="s">
        <v>1069</v>
      </c>
      <c r="H1442">
        <v>-3.6101766339759297E-2</v>
      </c>
      <c r="I1442" t="s">
        <v>1070</v>
      </c>
      <c r="J1442">
        <v>2.04</v>
      </c>
    </row>
    <row r="1443" spans="1:10" hidden="1">
      <c r="A1443" t="s">
        <v>1599</v>
      </c>
      <c r="B1443" t="s">
        <v>1600</v>
      </c>
      <c r="C1443" t="s">
        <v>1066</v>
      </c>
      <c r="D1443" t="s">
        <v>1601</v>
      </c>
      <c r="E1443" t="s">
        <v>561</v>
      </c>
      <c r="F1443" t="s">
        <v>1068</v>
      </c>
      <c r="G1443" t="s">
        <v>1071</v>
      </c>
      <c r="H1443" s="170">
        <v>-4.99371100720631E-10</v>
      </c>
      <c r="I1443" t="s">
        <v>1072</v>
      </c>
      <c r="J1443">
        <v>2.04</v>
      </c>
    </row>
    <row r="1444" spans="1:10" hidden="1">
      <c r="A1444" t="s">
        <v>1599</v>
      </c>
      <c r="B1444" t="s">
        <v>1600</v>
      </c>
      <c r="C1444" t="s">
        <v>1066</v>
      </c>
      <c r="D1444" t="s">
        <v>1601</v>
      </c>
      <c r="E1444" t="s">
        <v>561</v>
      </c>
      <c r="F1444" t="s">
        <v>1068</v>
      </c>
      <c r="G1444" t="s">
        <v>1073</v>
      </c>
      <c r="H1444" s="170">
        <v>-9.8933942809920906E-8</v>
      </c>
      <c r="I1444" t="s">
        <v>1074</v>
      </c>
      <c r="J1444">
        <v>2.04</v>
      </c>
    </row>
    <row r="1445" spans="1:10" hidden="1">
      <c r="A1445" t="s">
        <v>1599</v>
      </c>
      <c r="B1445" t="s">
        <v>1600</v>
      </c>
      <c r="C1445" t="s">
        <v>1066</v>
      </c>
      <c r="D1445" t="s">
        <v>1601</v>
      </c>
      <c r="E1445" t="s">
        <v>561</v>
      </c>
      <c r="F1445" t="s">
        <v>1068</v>
      </c>
      <c r="G1445" t="s">
        <v>1075</v>
      </c>
      <c r="H1445" s="171" t="s">
        <v>1602</v>
      </c>
      <c r="I1445" t="s">
        <v>1077</v>
      </c>
      <c r="J1445">
        <v>2.04</v>
      </c>
    </row>
    <row r="1446" spans="1:10" hidden="1">
      <c r="A1446" t="s">
        <v>1599</v>
      </c>
      <c r="B1446" t="s">
        <v>1600</v>
      </c>
      <c r="C1446" t="s">
        <v>1066</v>
      </c>
      <c r="D1446" t="s">
        <v>1601</v>
      </c>
      <c r="E1446" t="s">
        <v>561</v>
      </c>
      <c r="F1446" t="s">
        <v>1068</v>
      </c>
      <c r="G1446" t="s">
        <v>1078</v>
      </c>
      <c r="H1446">
        <v>-2.6245446893481601</v>
      </c>
      <c r="I1446" t="s">
        <v>1079</v>
      </c>
      <c r="J1446">
        <v>2.04</v>
      </c>
    </row>
    <row r="1447" spans="1:10" hidden="1">
      <c r="A1447" t="s">
        <v>1599</v>
      </c>
      <c r="B1447" t="s">
        <v>1600</v>
      </c>
      <c r="C1447" t="s">
        <v>1066</v>
      </c>
      <c r="D1447" t="s">
        <v>1601</v>
      </c>
      <c r="E1447" t="s">
        <v>561</v>
      </c>
      <c r="F1447" t="s">
        <v>1068</v>
      </c>
      <c r="G1447" t="s">
        <v>1080</v>
      </c>
      <c r="H1447" s="171" t="s">
        <v>1603</v>
      </c>
      <c r="I1447" t="s">
        <v>1082</v>
      </c>
      <c r="J1447">
        <v>2.04</v>
      </c>
    </row>
    <row r="1448" spans="1:10" hidden="1">
      <c r="A1448" t="s">
        <v>1599</v>
      </c>
      <c r="B1448" t="s">
        <v>1600</v>
      </c>
      <c r="C1448" t="s">
        <v>1066</v>
      </c>
      <c r="D1448" t="s">
        <v>1601</v>
      </c>
      <c r="E1448" t="s">
        <v>561</v>
      </c>
      <c r="F1448" t="s">
        <v>1068</v>
      </c>
      <c r="G1448" t="s">
        <v>1083</v>
      </c>
      <c r="H1448">
        <v>-1.9130971218902599E-3</v>
      </c>
      <c r="I1448" t="s">
        <v>1084</v>
      </c>
      <c r="J1448">
        <v>2.04</v>
      </c>
    </row>
    <row r="1449" spans="1:10" hidden="1">
      <c r="A1449" t="s">
        <v>1599</v>
      </c>
      <c r="B1449" t="s">
        <v>1600</v>
      </c>
      <c r="C1449" t="s">
        <v>1066</v>
      </c>
      <c r="D1449" t="s">
        <v>1601</v>
      </c>
      <c r="E1449" t="s">
        <v>561</v>
      </c>
      <c r="F1449" t="s">
        <v>1068</v>
      </c>
      <c r="G1449" t="s">
        <v>1085</v>
      </c>
      <c r="H1449">
        <v>-5.3615522337707403E-2</v>
      </c>
      <c r="I1449" t="s">
        <v>1086</v>
      </c>
      <c r="J1449">
        <v>2.04</v>
      </c>
    </row>
    <row r="1450" spans="1:10" hidden="1">
      <c r="A1450" t="s">
        <v>1599</v>
      </c>
      <c r="B1450" t="s">
        <v>1600</v>
      </c>
      <c r="C1450" t="s">
        <v>1066</v>
      </c>
      <c r="D1450" t="s">
        <v>1601</v>
      </c>
      <c r="E1450" t="s">
        <v>561</v>
      </c>
      <c r="F1450" t="s">
        <v>1068</v>
      </c>
      <c r="G1450" t="s">
        <v>1087</v>
      </c>
      <c r="H1450" s="170">
        <v>-1.62868180389025E-6</v>
      </c>
      <c r="I1450" t="s">
        <v>1088</v>
      </c>
      <c r="J1450">
        <v>2.04</v>
      </c>
    </row>
    <row r="1451" spans="1:10" hidden="1">
      <c r="A1451" t="s">
        <v>1599</v>
      </c>
      <c r="B1451" t="s">
        <v>1600</v>
      </c>
      <c r="C1451" t="s">
        <v>1066</v>
      </c>
      <c r="D1451" t="s">
        <v>1601</v>
      </c>
      <c r="E1451" t="s">
        <v>561</v>
      </c>
      <c r="F1451" t="s">
        <v>1068</v>
      </c>
      <c r="G1451" t="s">
        <v>1089</v>
      </c>
      <c r="H1451">
        <v>-1.44041002783104E-2</v>
      </c>
      <c r="I1451" t="s">
        <v>1090</v>
      </c>
      <c r="J1451">
        <v>2.04</v>
      </c>
    </row>
    <row r="1452" spans="1:10" hidden="1">
      <c r="A1452" t="s">
        <v>1604</v>
      </c>
      <c r="B1452" t="s">
        <v>1605</v>
      </c>
      <c r="C1452" t="s">
        <v>1066</v>
      </c>
      <c r="D1452" t="s">
        <v>1601</v>
      </c>
      <c r="E1452" t="s">
        <v>555</v>
      </c>
      <c r="F1452" t="s">
        <v>1068</v>
      </c>
      <c r="G1452" t="s">
        <v>1069</v>
      </c>
      <c r="H1452">
        <v>-4.3926083821621303E-2</v>
      </c>
      <c r="I1452" t="s">
        <v>1070</v>
      </c>
      <c r="J1452">
        <v>2.5499999999999998</v>
      </c>
    </row>
    <row r="1453" spans="1:10" hidden="1">
      <c r="A1453" t="s">
        <v>1604</v>
      </c>
      <c r="B1453" t="s">
        <v>1605</v>
      </c>
      <c r="C1453" t="s">
        <v>1066</v>
      </c>
      <c r="D1453" t="s">
        <v>1601</v>
      </c>
      <c r="E1453" t="s">
        <v>555</v>
      </c>
      <c r="F1453" t="s">
        <v>1068</v>
      </c>
      <c r="G1453" t="s">
        <v>1071</v>
      </c>
      <c r="H1453" s="170">
        <v>-5.1056202408223904E-10</v>
      </c>
      <c r="I1453" t="s">
        <v>1072</v>
      </c>
      <c r="J1453">
        <v>2.5499999999999998</v>
      </c>
    </row>
    <row r="1454" spans="1:10" hidden="1">
      <c r="A1454" t="s">
        <v>1604</v>
      </c>
      <c r="B1454" t="s">
        <v>1605</v>
      </c>
      <c r="C1454" t="s">
        <v>1066</v>
      </c>
      <c r="D1454" t="s">
        <v>1601</v>
      </c>
      <c r="E1454" t="s">
        <v>555</v>
      </c>
      <c r="F1454" t="s">
        <v>1068</v>
      </c>
      <c r="G1454" t="s">
        <v>1073</v>
      </c>
      <c r="H1454" s="170">
        <v>-1.01713693767626E-7</v>
      </c>
      <c r="I1454" t="s">
        <v>1074</v>
      </c>
      <c r="J1454">
        <v>2.5499999999999998</v>
      </c>
    </row>
    <row r="1455" spans="1:10" hidden="1">
      <c r="A1455" t="s">
        <v>1604</v>
      </c>
      <c r="B1455" t="s">
        <v>1605</v>
      </c>
      <c r="C1455" t="s">
        <v>1066</v>
      </c>
      <c r="D1455" t="s">
        <v>1601</v>
      </c>
      <c r="E1455" t="s">
        <v>555</v>
      </c>
      <c r="F1455" t="s">
        <v>1068</v>
      </c>
      <c r="G1455" t="s">
        <v>1075</v>
      </c>
      <c r="H1455">
        <v>1.45281019233836E-2</v>
      </c>
      <c r="I1455" t="s">
        <v>1077</v>
      </c>
      <c r="J1455">
        <v>2.5499999999999998</v>
      </c>
    </row>
    <row r="1456" spans="1:10" hidden="1">
      <c r="A1456" t="s">
        <v>1604</v>
      </c>
      <c r="B1456" t="s">
        <v>1605</v>
      </c>
      <c r="C1456" t="s">
        <v>1066</v>
      </c>
      <c r="D1456" t="s">
        <v>1601</v>
      </c>
      <c r="E1456" t="s">
        <v>555</v>
      </c>
      <c r="F1456" t="s">
        <v>1068</v>
      </c>
      <c r="G1456" t="s">
        <v>1078</v>
      </c>
      <c r="H1456">
        <v>-2.6336365493502698</v>
      </c>
      <c r="I1456" t="s">
        <v>1079</v>
      </c>
      <c r="J1456">
        <v>2.5499999999999998</v>
      </c>
    </row>
    <row r="1457" spans="1:10" hidden="1">
      <c r="A1457" t="s">
        <v>1604</v>
      </c>
      <c r="B1457" t="s">
        <v>1605</v>
      </c>
      <c r="C1457" t="s">
        <v>1066</v>
      </c>
      <c r="D1457" t="s">
        <v>1601</v>
      </c>
      <c r="E1457" t="s">
        <v>555</v>
      </c>
      <c r="F1457" t="s">
        <v>1068</v>
      </c>
      <c r="G1457" t="s">
        <v>1080</v>
      </c>
      <c r="H1457" s="171" t="s">
        <v>1606</v>
      </c>
      <c r="I1457" t="s">
        <v>1082</v>
      </c>
      <c r="J1457">
        <v>2.5499999999999998</v>
      </c>
    </row>
    <row r="1458" spans="1:10" hidden="1">
      <c r="A1458" t="s">
        <v>1604</v>
      </c>
      <c r="B1458" t="s">
        <v>1605</v>
      </c>
      <c r="C1458" t="s">
        <v>1066</v>
      </c>
      <c r="D1458" t="s">
        <v>1601</v>
      </c>
      <c r="E1458" t="s">
        <v>555</v>
      </c>
      <c r="F1458" t="s">
        <v>1068</v>
      </c>
      <c r="G1458" t="s">
        <v>1083</v>
      </c>
      <c r="H1458">
        <v>-1.9142867961673101E-3</v>
      </c>
      <c r="I1458" t="s">
        <v>1084</v>
      </c>
      <c r="J1458">
        <v>2.5499999999999998</v>
      </c>
    </row>
    <row r="1459" spans="1:10" hidden="1">
      <c r="A1459" t="s">
        <v>1604</v>
      </c>
      <c r="B1459" t="s">
        <v>1605</v>
      </c>
      <c r="C1459" t="s">
        <v>1066</v>
      </c>
      <c r="D1459" t="s">
        <v>1601</v>
      </c>
      <c r="E1459" t="s">
        <v>555</v>
      </c>
      <c r="F1459" t="s">
        <v>1068</v>
      </c>
      <c r="G1459" t="s">
        <v>1085</v>
      </c>
      <c r="H1459">
        <v>-5.3628947703431303E-2</v>
      </c>
      <c r="I1459" t="s">
        <v>1086</v>
      </c>
      <c r="J1459">
        <v>2.5499999999999998</v>
      </c>
    </row>
    <row r="1460" spans="1:10" hidden="1">
      <c r="A1460" t="s">
        <v>1604</v>
      </c>
      <c r="B1460" t="s">
        <v>1605</v>
      </c>
      <c r="C1460" t="s">
        <v>1066</v>
      </c>
      <c r="D1460" t="s">
        <v>1601</v>
      </c>
      <c r="E1460" t="s">
        <v>555</v>
      </c>
      <c r="F1460" t="s">
        <v>1068</v>
      </c>
      <c r="G1460" t="s">
        <v>1087</v>
      </c>
      <c r="H1460" s="170">
        <v>-1.6349836495487701E-6</v>
      </c>
      <c r="I1460" t="s">
        <v>1088</v>
      </c>
      <c r="J1460">
        <v>2.5499999999999998</v>
      </c>
    </row>
    <row r="1461" spans="1:10" hidden="1">
      <c r="A1461" t="s">
        <v>1604</v>
      </c>
      <c r="B1461" t="s">
        <v>1605</v>
      </c>
      <c r="C1461" t="s">
        <v>1066</v>
      </c>
      <c r="D1461" t="s">
        <v>1601</v>
      </c>
      <c r="E1461" t="s">
        <v>555</v>
      </c>
      <c r="F1461" t="s">
        <v>1068</v>
      </c>
      <c r="G1461" t="s">
        <v>1089</v>
      </c>
      <c r="H1461">
        <v>-1.4406873453031099E-2</v>
      </c>
      <c r="I1461" t="s">
        <v>1090</v>
      </c>
      <c r="J1461">
        <v>2.5499999999999998</v>
      </c>
    </row>
    <row r="1462" spans="1:10" hidden="1">
      <c r="A1462" t="s">
        <v>1607</v>
      </c>
      <c r="B1462" t="s">
        <v>1608</v>
      </c>
      <c r="C1462" t="s">
        <v>1066</v>
      </c>
      <c r="D1462" t="s">
        <v>1601</v>
      </c>
      <c r="E1462" t="s">
        <v>558</v>
      </c>
      <c r="F1462" t="s">
        <v>1068</v>
      </c>
      <c r="G1462" t="s">
        <v>1069</v>
      </c>
      <c r="H1462">
        <v>-3.5408769572955301E-2</v>
      </c>
      <c r="I1462" t="s">
        <v>1070</v>
      </c>
      <c r="J1462">
        <v>2.58</v>
      </c>
    </row>
    <row r="1463" spans="1:10" hidden="1">
      <c r="A1463" t="s">
        <v>1607</v>
      </c>
      <c r="B1463" t="s">
        <v>1608</v>
      </c>
      <c r="C1463" t="s">
        <v>1066</v>
      </c>
      <c r="D1463" t="s">
        <v>1601</v>
      </c>
      <c r="E1463" t="s">
        <v>558</v>
      </c>
      <c r="F1463" t="s">
        <v>1068</v>
      </c>
      <c r="G1463" t="s">
        <v>1071</v>
      </c>
      <c r="H1463" s="170">
        <v>-4.9837941446351296E-10</v>
      </c>
      <c r="I1463" t="s">
        <v>1072</v>
      </c>
      <c r="J1463">
        <v>2.58</v>
      </c>
    </row>
    <row r="1464" spans="1:10" hidden="1">
      <c r="A1464" t="s">
        <v>1607</v>
      </c>
      <c r="B1464" t="s">
        <v>1608</v>
      </c>
      <c r="C1464" t="s">
        <v>1066</v>
      </c>
      <c r="D1464" t="s">
        <v>1601</v>
      </c>
      <c r="E1464" t="s">
        <v>558</v>
      </c>
      <c r="F1464" t="s">
        <v>1068</v>
      </c>
      <c r="G1464" t="s">
        <v>1073</v>
      </c>
      <c r="H1464" s="170">
        <v>-9.8687788165595499E-8</v>
      </c>
      <c r="I1464" t="s">
        <v>1074</v>
      </c>
      <c r="J1464">
        <v>2.58</v>
      </c>
    </row>
    <row r="1465" spans="1:10" hidden="1">
      <c r="A1465" t="s">
        <v>1607</v>
      </c>
      <c r="B1465" t="s">
        <v>1608</v>
      </c>
      <c r="C1465" t="s">
        <v>1066</v>
      </c>
      <c r="D1465" t="s">
        <v>1601</v>
      </c>
      <c r="E1465" t="s">
        <v>558</v>
      </c>
      <c r="F1465" t="s">
        <v>1068</v>
      </c>
      <c r="G1465" t="s">
        <v>1075</v>
      </c>
      <c r="H1465" s="171" t="s">
        <v>1609</v>
      </c>
      <c r="I1465" t="s">
        <v>1077</v>
      </c>
      <c r="J1465">
        <v>2.58</v>
      </c>
    </row>
    <row r="1466" spans="1:10" hidden="1">
      <c r="A1466" t="s">
        <v>1607</v>
      </c>
      <c r="B1466" t="s">
        <v>1608</v>
      </c>
      <c r="C1466" t="s">
        <v>1066</v>
      </c>
      <c r="D1466" t="s">
        <v>1601</v>
      </c>
      <c r="E1466" t="s">
        <v>558</v>
      </c>
      <c r="F1466" t="s">
        <v>1068</v>
      </c>
      <c r="G1466" t="s">
        <v>1078</v>
      </c>
      <c r="H1466">
        <v>-2.6235973734891198</v>
      </c>
      <c r="I1466" t="s">
        <v>1079</v>
      </c>
      <c r="J1466">
        <v>2.58</v>
      </c>
    </row>
    <row r="1467" spans="1:10" hidden="1">
      <c r="A1467" t="s">
        <v>1607</v>
      </c>
      <c r="B1467" t="s">
        <v>1608</v>
      </c>
      <c r="C1467" t="s">
        <v>1066</v>
      </c>
      <c r="D1467" t="s">
        <v>1601</v>
      </c>
      <c r="E1467" t="s">
        <v>558</v>
      </c>
      <c r="F1467" t="s">
        <v>1068</v>
      </c>
      <c r="G1467" t="s">
        <v>1080</v>
      </c>
      <c r="H1467" s="171" t="s">
        <v>1610</v>
      </c>
      <c r="I1467" t="s">
        <v>1082</v>
      </c>
      <c r="J1467">
        <v>2.58</v>
      </c>
    </row>
    <row r="1468" spans="1:10" hidden="1">
      <c r="A1468" t="s">
        <v>1607</v>
      </c>
      <c r="B1468" t="s">
        <v>1608</v>
      </c>
      <c r="C1468" t="s">
        <v>1066</v>
      </c>
      <c r="D1468" t="s">
        <v>1601</v>
      </c>
      <c r="E1468" t="s">
        <v>558</v>
      </c>
      <c r="F1468" t="s">
        <v>1068</v>
      </c>
      <c r="G1468" t="s">
        <v>1083</v>
      </c>
      <c r="H1468">
        <v>-1.91299178593295E-3</v>
      </c>
      <c r="I1468" t="s">
        <v>1084</v>
      </c>
      <c r="J1468">
        <v>2.58</v>
      </c>
    </row>
    <row r="1469" spans="1:10" hidden="1">
      <c r="A1469" t="s">
        <v>1607</v>
      </c>
      <c r="B1469" t="s">
        <v>1608</v>
      </c>
      <c r="C1469" t="s">
        <v>1066</v>
      </c>
      <c r="D1469" t="s">
        <v>1601</v>
      </c>
      <c r="E1469" t="s">
        <v>558</v>
      </c>
      <c r="F1469" t="s">
        <v>1068</v>
      </c>
      <c r="G1469" t="s">
        <v>1085</v>
      </c>
      <c r="H1469">
        <v>-5.3614331827602703E-2</v>
      </c>
      <c r="I1469" t="s">
        <v>1086</v>
      </c>
      <c r="J1469">
        <v>2.58</v>
      </c>
    </row>
    <row r="1470" spans="1:10" hidden="1">
      <c r="A1470" t="s">
        <v>1607</v>
      </c>
      <c r="B1470" t="s">
        <v>1608</v>
      </c>
      <c r="C1470" t="s">
        <v>1066</v>
      </c>
      <c r="D1470" t="s">
        <v>1601</v>
      </c>
      <c r="E1470" t="s">
        <v>558</v>
      </c>
      <c r="F1470" t="s">
        <v>1068</v>
      </c>
      <c r="G1470" t="s">
        <v>1087</v>
      </c>
      <c r="H1470" s="170">
        <v>-1.6281072582778501E-6</v>
      </c>
      <c r="I1470" t="s">
        <v>1088</v>
      </c>
      <c r="J1470">
        <v>2.58</v>
      </c>
    </row>
    <row r="1471" spans="1:10" hidden="1">
      <c r="A1471" t="s">
        <v>1607</v>
      </c>
      <c r="B1471" t="s">
        <v>1608</v>
      </c>
      <c r="C1471" t="s">
        <v>1066</v>
      </c>
      <c r="D1471" t="s">
        <v>1601</v>
      </c>
      <c r="E1471" t="s">
        <v>558</v>
      </c>
      <c r="F1471" t="s">
        <v>1068</v>
      </c>
      <c r="G1471" t="s">
        <v>1089</v>
      </c>
      <c r="H1471">
        <v>-1.44038546784268E-2</v>
      </c>
      <c r="I1471" t="s">
        <v>1090</v>
      </c>
      <c r="J1471">
        <v>2.58</v>
      </c>
    </row>
    <row r="1472" spans="1:10" hidden="1">
      <c r="A1472" t="s">
        <v>1611</v>
      </c>
      <c r="B1472" t="s">
        <v>1612</v>
      </c>
      <c r="C1472" t="s">
        <v>1066</v>
      </c>
      <c r="D1472" t="s">
        <v>1601</v>
      </c>
      <c r="E1472" t="s">
        <v>553</v>
      </c>
      <c r="F1472" t="s">
        <v>1068</v>
      </c>
      <c r="G1472" t="s">
        <v>1069</v>
      </c>
      <c r="H1472">
        <v>-3.4727591861882401E-2</v>
      </c>
      <c r="I1472" t="s">
        <v>1070</v>
      </c>
      <c r="J1472">
        <v>2.0299999999999998</v>
      </c>
    </row>
    <row r="1473" spans="1:10" hidden="1">
      <c r="A1473" t="s">
        <v>1611</v>
      </c>
      <c r="B1473" t="s">
        <v>1612</v>
      </c>
      <c r="C1473" t="s">
        <v>1066</v>
      </c>
      <c r="D1473" t="s">
        <v>1601</v>
      </c>
      <c r="E1473" t="s">
        <v>553</v>
      </c>
      <c r="F1473" t="s">
        <v>1068</v>
      </c>
      <c r="G1473" t="s">
        <v>1071</v>
      </c>
      <c r="H1473" s="170">
        <v>-4.9739887743807403E-10</v>
      </c>
      <c r="I1473" t="s">
        <v>1072</v>
      </c>
      <c r="J1473">
        <v>2.0299999999999998</v>
      </c>
    </row>
    <row r="1474" spans="1:10" hidden="1">
      <c r="A1474" t="s">
        <v>1611</v>
      </c>
      <c r="B1474" t="s">
        <v>1612</v>
      </c>
      <c r="C1474" t="s">
        <v>1066</v>
      </c>
      <c r="D1474" t="s">
        <v>1601</v>
      </c>
      <c r="E1474" t="s">
        <v>553</v>
      </c>
      <c r="F1474" t="s">
        <v>1068</v>
      </c>
      <c r="G1474" t="s">
        <v>1073</v>
      </c>
      <c r="H1474" s="170">
        <v>-9.8446360317746003E-8</v>
      </c>
      <c r="I1474" t="s">
        <v>1074</v>
      </c>
      <c r="J1474">
        <v>2.0299999999999998</v>
      </c>
    </row>
    <row r="1475" spans="1:10" hidden="1">
      <c r="A1475" t="s">
        <v>1611</v>
      </c>
      <c r="B1475" t="s">
        <v>1612</v>
      </c>
      <c r="C1475" t="s">
        <v>1066</v>
      </c>
      <c r="D1475" t="s">
        <v>1601</v>
      </c>
      <c r="E1475" t="s">
        <v>553</v>
      </c>
      <c r="F1475" t="s">
        <v>1068</v>
      </c>
      <c r="G1475" t="s">
        <v>1075</v>
      </c>
      <c r="H1475">
        <v>1.48188760807044E-2</v>
      </c>
      <c r="I1475" t="s">
        <v>1077</v>
      </c>
      <c r="J1475">
        <v>2.0299999999999998</v>
      </c>
    </row>
    <row r="1476" spans="1:10" hidden="1">
      <c r="A1476" t="s">
        <v>1611</v>
      </c>
      <c r="B1476" t="s">
        <v>1612</v>
      </c>
      <c r="C1476" t="s">
        <v>1066</v>
      </c>
      <c r="D1476" t="s">
        <v>1601</v>
      </c>
      <c r="E1476" t="s">
        <v>553</v>
      </c>
      <c r="F1476" t="s">
        <v>1068</v>
      </c>
      <c r="G1476" t="s">
        <v>1078</v>
      </c>
      <c r="H1476">
        <v>-2.6210623531569701</v>
      </c>
      <c r="I1476" t="s">
        <v>1079</v>
      </c>
      <c r="J1476">
        <v>2.0299999999999998</v>
      </c>
    </row>
    <row r="1477" spans="1:10" hidden="1">
      <c r="A1477" t="s">
        <v>1611</v>
      </c>
      <c r="B1477" t="s">
        <v>1612</v>
      </c>
      <c r="C1477" t="s">
        <v>1066</v>
      </c>
      <c r="D1477" t="s">
        <v>1601</v>
      </c>
      <c r="E1477" t="s">
        <v>553</v>
      </c>
      <c r="F1477" t="s">
        <v>1068</v>
      </c>
      <c r="G1477" t="s">
        <v>1080</v>
      </c>
      <c r="H1477" s="171" t="s">
        <v>1613</v>
      </c>
      <c r="I1477" t="s">
        <v>1082</v>
      </c>
      <c r="J1477">
        <v>2.0299999999999998</v>
      </c>
    </row>
    <row r="1478" spans="1:10" hidden="1">
      <c r="A1478" t="s">
        <v>1611</v>
      </c>
      <c r="B1478" t="s">
        <v>1612</v>
      </c>
      <c r="C1478" t="s">
        <v>1066</v>
      </c>
      <c r="D1478" t="s">
        <v>1601</v>
      </c>
      <c r="E1478" t="s">
        <v>553</v>
      </c>
      <c r="F1478" t="s">
        <v>1068</v>
      </c>
      <c r="G1478" t="s">
        <v>1083</v>
      </c>
      <c r="H1478">
        <v>-1.91288861943372E-3</v>
      </c>
      <c r="I1478" t="s">
        <v>1084</v>
      </c>
      <c r="J1478">
        <v>2.0299999999999998</v>
      </c>
    </row>
    <row r="1479" spans="1:10" hidden="1">
      <c r="A1479" t="s">
        <v>1611</v>
      </c>
      <c r="B1479" t="s">
        <v>1612</v>
      </c>
      <c r="C1479" t="s">
        <v>1066</v>
      </c>
      <c r="D1479" t="s">
        <v>1601</v>
      </c>
      <c r="E1479" t="s">
        <v>553</v>
      </c>
      <c r="F1479" t="s">
        <v>1068</v>
      </c>
      <c r="G1479" t="s">
        <v>1085</v>
      </c>
      <c r="H1479">
        <v>-5.3613145468639899E-2</v>
      </c>
      <c r="I1479" t="s">
        <v>1086</v>
      </c>
      <c r="J1479">
        <v>2.0299999999999998</v>
      </c>
    </row>
    <row r="1480" spans="1:10" hidden="1">
      <c r="A1480" t="s">
        <v>1611</v>
      </c>
      <c r="B1480" t="s">
        <v>1612</v>
      </c>
      <c r="C1480" t="s">
        <v>1066</v>
      </c>
      <c r="D1480" t="s">
        <v>1601</v>
      </c>
      <c r="E1480" t="s">
        <v>553</v>
      </c>
      <c r="F1480" t="s">
        <v>1068</v>
      </c>
      <c r="G1480" t="s">
        <v>1087</v>
      </c>
      <c r="H1480" s="170">
        <v>-1.6273574188851501E-6</v>
      </c>
      <c r="I1480" t="s">
        <v>1088</v>
      </c>
      <c r="J1480">
        <v>2.0299999999999998</v>
      </c>
    </row>
    <row r="1481" spans="1:10" hidden="1">
      <c r="A1481" t="s">
        <v>1611</v>
      </c>
      <c r="B1481" t="s">
        <v>1612</v>
      </c>
      <c r="C1481" t="s">
        <v>1066</v>
      </c>
      <c r="D1481" t="s">
        <v>1601</v>
      </c>
      <c r="E1481" t="s">
        <v>553</v>
      </c>
      <c r="F1481" t="s">
        <v>1068</v>
      </c>
      <c r="G1481" t="s">
        <v>1089</v>
      </c>
      <c r="H1481">
        <v>-1.44036134831989E-2</v>
      </c>
      <c r="I1481" t="s">
        <v>1090</v>
      </c>
      <c r="J1481">
        <v>2.0299999999999998</v>
      </c>
    </row>
    <row r="1482" spans="1:10" hidden="1">
      <c r="A1482" t="s">
        <v>1614</v>
      </c>
      <c r="B1482" t="s">
        <v>1615</v>
      </c>
      <c r="C1482" t="s">
        <v>1066</v>
      </c>
      <c r="D1482" t="s">
        <v>1601</v>
      </c>
      <c r="E1482" t="s">
        <v>556</v>
      </c>
      <c r="F1482" t="s">
        <v>1068</v>
      </c>
      <c r="G1482" t="s">
        <v>1069</v>
      </c>
      <c r="H1482">
        <v>-4.3061466607592497E-2</v>
      </c>
      <c r="I1482" t="s">
        <v>1070</v>
      </c>
      <c r="J1482">
        <v>2.0299999999999998</v>
      </c>
    </row>
    <row r="1483" spans="1:10" hidden="1">
      <c r="A1483" t="s">
        <v>1614</v>
      </c>
      <c r="B1483" t="s">
        <v>1615</v>
      </c>
      <c r="C1483" t="s">
        <v>1066</v>
      </c>
      <c r="D1483" t="s">
        <v>1601</v>
      </c>
      <c r="E1483" t="s">
        <v>556</v>
      </c>
      <c r="F1483" t="s">
        <v>1068</v>
      </c>
      <c r="G1483" t="s">
        <v>1071</v>
      </c>
      <c r="H1483" s="170">
        <v>-5.0929262007499002E-10</v>
      </c>
      <c r="I1483" t="s">
        <v>1072</v>
      </c>
      <c r="J1483">
        <v>2.0299999999999998</v>
      </c>
    </row>
    <row r="1484" spans="1:10" hidden="1">
      <c r="A1484" t="s">
        <v>1614</v>
      </c>
      <c r="B1484" t="s">
        <v>1615</v>
      </c>
      <c r="C1484" t="s">
        <v>1066</v>
      </c>
      <c r="D1484" t="s">
        <v>1601</v>
      </c>
      <c r="E1484" t="s">
        <v>556</v>
      </c>
      <c r="F1484" t="s">
        <v>1068</v>
      </c>
      <c r="G1484" t="s">
        <v>1073</v>
      </c>
      <c r="H1484" s="170">
        <v>-1.0140565913163101E-7</v>
      </c>
      <c r="I1484" t="s">
        <v>1074</v>
      </c>
      <c r="J1484">
        <v>2.0299999999999998</v>
      </c>
    </row>
    <row r="1485" spans="1:10" hidden="1">
      <c r="A1485" t="s">
        <v>1614</v>
      </c>
      <c r="B1485" t="s">
        <v>1615</v>
      </c>
      <c r="C1485" t="s">
        <v>1066</v>
      </c>
      <c r="D1485" t="s">
        <v>1601</v>
      </c>
      <c r="E1485" t="s">
        <v>556</v>
      </c>
      <c r="F1485" t="s">
        <v>1068</v>
      </c>
      <c r="G1485" t="s">
        <v>1075</v>
      </c>
      <c r="H1485">
        <v>1.4569491272665901E-2</v>
      </c>
      <c r="I1485" t="s">
        <v>1077</v>
      </c>
      <c r="J1485">
        <v>2.0299999999999998</v>
      </c>
    </row>
    <row r="1486" spans="1:10" hidden="1">
      <c r="A1486" t="s">
        <v>1614</v>
      </c>
      <c r="B1486" t="s">
        <v>1615</v>
      </c>
      <c r="C1486" t="s">
        <v>1066</v>
      </c>
      <c r="D1486" t="s">
        <v>1601</v>
      </c>
      <c r="E1486" t="s">
        <v>556</v>
      </c>
      <c r="F1486" t="s">
        <v>1068</v>
      </c>
      <c r="G1486" t="s">
        <v>1078</v>
      </c>
      <c r="H1486">
        <v>-2.6265900097321899</v>
      </c>
      <c r="I1486" t="s">
        <v>1079</v>
      </c>
      <c r="J1486">
        <v>2.0299999999999998</v>
      </c>
    </row>
    <row r="1487" spans="1:10" hidden="1">
      <c r="A1487" t="s">
        <v>1614</v>
      </c>
      <c r="B1487" t="s">
        <v>1615</v>
      </c>
      <c r="C1487" t="s">
        <v>1066</v>
      </c>
      <c r="D1487" t="s">
        <v>1601</v>
      </c>
      <c r="E1487" t="s">
        <v>556</v>
      </c>
      <c r="F1487" t="s">
        <v>1068</v>
      </c>
      <c r="G1487" t="s">
        <v>1080</v>
      </c>
      <c r="H1487" s="171" t="s">
        <v>1616</v>
      </c>
      <c r="I1487" t="s">
        <v>1082</v>
      </c>
      <c r="J1487">
        <v>2.0299999999999998</v>
      </c>
    </row>
    <row r="1488" spans="1:10" hidden="1">
      <c r="A1488" t="s">
        <v>1614</v>
      </c>
      <c r="B1488" t="s">
        <v>1615</v>
      </c>
      <c r="C1488" t="s">
        <v>1066</v>
      </c>
      <c r="D1488" t="s">
        <v>1601</v>
      </c>
      <c r="E1488" t="s">
        <v>556</v>
      </c>
      <c r="F1488" t="s">
        <v>1068</v>
      </c>
      <c r="G1488" t="s">
        <v>1083</v>
      </c>
      <c r="H1488">
        <v>-1.91415536961763E-3</v>
      </c>
      <c r="I1488" t="s">
        <v>1084</v>
      </c>
      <c r="J1488">
        <v>2.0299999999999998</v>
      </c>
    </row>
    <row r="1489" spans="1:10" hidden="1">
      <c r="A1489" t="s">
        <v>1614</v>
      </c>
      <c r="B1489" t="s">
        <v>1615</v>
      </c>
      <c r="C1489" t="s">
        <v>1066</v>
      </c>
      <c r="D1489" t="s">
        <v>1601</v>
      </c>
      <c r="E1489" t="s">
        <v>556</v>
      </c>
      <c r="F1489" t="s">
        <v>1068</v>
      </c>
      <c r="G1489" t="s">
        <v>1085</v>
      </c>
      <c r="H1489">
        <v>-5.3627388377052401E-2</v>
      </c>
      <c r="I1489" t="s">
        <v>1086</v>
      </c>
      <c r="J1489">
        <v>2.0299999999999998</v>
      </c>
    </row>
    <row r="1490" spans="1:10" hidden="1">
      <c r="A1490" t="s">
        <v>1614</v>
      </c>
      <c r="B1490" t="s">
        <v>1615</v>
      </c>
      <c r="C1490" t="s">
        <v>1066</v>
      </c>
      <c r="D1490" t="s">
        <v>1601</v>
      </c>
      <c r="E1490" t="s">
        <v>556</v>
      </c>
      <c r="F1490" t="s">
        <v>1068</v>
      </c>
      <c r="G1490" t="s">
        <v>1087</v>
      </c>
      <c r="H1490" s="170">
        <v>-1.63426684298451E-6</v>
      </c>
      <c r="I1490" t="s">
        <v>1088</v>
      </c>
      <c r="J1490">
        <v>2.0299999999999998</v>
      </c>
    </row>
    <row r="1491" spans="1:10" hidden="1">
      <c r="A1491" t="s">
        <v>1614</v>
      </c>
      <c r="B1491" t="s">
        <v>1615</v>
      </c>
      <c r="C1491" t="s">
        <v>1066</v>
      </c>
      <c r="D1491" t="s">
        <v>1601</v>
      </c>
      <c r="E1491" t="s">
        <v>556</v>
      </c>
      <c r="F1491" t="s">
        <v>1068</v>
      </c>
      <c r="G1491" t="s">
        <v>1089</v>
      </c>
      <c r="H1491">
        <v>-1.4406567041138E-2</v>
      </c>
      <c r="I1491" t="s">
        <v>1090</v>
      </c>
      <c r="J1491">
        <v>2.0299999999999998</v>
      </c>
    </row>
    <row r="1492" spans="1:10" hidden="1">
      <c r="A1492" t="s">
        <v>1617</v>
      </c>
      <c r="B1492" t="s">
        <v>1618</v>
      </c>
      <c r="C1492" t="s">
        <v>1066</v>
      </c>
      <c r="D1492" t="s">
        <v>1601</v>
      </c>
      <c r="E1492" t="s">
        <v>557</v>
      </c>
      <c r="F1492" t="s">
        <v>1068</v>
      </c>
      <c r="G1492" t="s">
        <v>1069</v>
      </c>
      <c r="H1492">
        <v>-3.8271147524565299E-2</v>
      </c>
      <c r="I1492" t="s">
        <v>1070</v>
      </c>
      <c r="J1492">
        <v>2.0499999999999998</v>
      </c>
    </row>
    <row r="1493" spans="1:10" hidden="1">
      <c r="A1493" t="s">
        <v>1617</v>
      </c>
      <c r="B1493" t="s">
        <v>1618</v>
      </c>
      <c r="C1493" t="s">
        <v>1066</v>
      </c>
      <c r="D1493" t="s">
        <v>1601</v>
      </c>
      <c r="E1493" t="s">
        <v>557</v>
      </c>
      <c r="F1493" t="s">
        <v>1068</v>
      </c>
      <c r="G1493" t="s">
        <v>1071</v>
      </c>
      <c r="H1493" s="170">
        <v>-5.02475509877071E-10</v>
      </c>
      <c r="I1493" t="s">
        <v>1072</v>
      </c>
      <c r="J1493">
        <v>2.0499999999999998</v>
      </c>
    </row>
    <row r="1494" spans="1:10" hidden="1">
      <c r="A1494" t="s">
        <v>1617</v>
      </c>
      <c r="B1494" t="s">
        <v>1618</v>
      </c>
      <c r="C1494" t="s">
        <v>1066</v>
      </c>
      <c r="D1494" t="s">
        <v>1601</v>
      </c>
      <c r="E1494" t="s">
        <v>557</v>
      </c>
      <c r="F1494" t="s">
        <v>1068</v>
      </c>
      <c r="G1494" t="s">
        <v>1073</v>
      </c>
      <c r="H1494" s="170">
        <v>-9.97045138711131E-8</v>
      </c>
      <c r="I1494" t="s">
        <v>1074</v>
      </c>
      <c r="J1494">
        <v>2.0499999999999998</v>
      </c>
    </row>
    <row r="1495" spans="1:10" hidden="1">
      <c r="A1495" t="s">
        <v>1617</v>
      </c>
      <c r="B1495" t="s">
        <v>1618</v>
      </c>
      <c r="C1495" t="s">
        <v>1066</v>
      </c>
      <c r="D1495" t="s">
        <v>1601</v>
      </c>
      <c r="E1495" t="s">
        <v>557</v>
      </c>
      <c r="F1495" t="s">
        <v>1068</v>
      </c>
      <c r="G1495" t="s">
        <v>1075</v>
      </c>
      <c r="H1495">
        <v>1.47030711457816E-2</v>
      </c>
      <c r="I1495" t="s">
        <v>1077</v>
      </c>
      <c r="J1495">
        <v>2.0499999999999998</v>
      </c>
    </row>
    <row r="1496" spans="1:10" hidden="1">
      <c r="A1496" t="s">
        <v>1617</v>
      </c>
      <c r="B1496" t="s">
        <v>1618</v>
      </c>
      <c r="C1496" t="s">
        <v>1066</v>
      </c>
      <c r="D1496" t="s">
        <v>1601</v>
      </c>
      <c r="E1496" t="s">
        <v>557</v>
      </c>
      <c r="F1496" t="s">
        <v>1068</v>
      </c>
      <c r="G1496" t="s">
        <v>1078</v>
      </c>
      <c r="H1496">
        <v>-2.6275101998635302</v>
      </c>
      <c r="I1496" t="s">
        <v>1079</v>
      </c>
      <c r="J1496">
        <v>2.0499999999999998</v>
      </c>
    </row>
    <row r="1497" spans="1:10" hidden="1">
      <c r="A1497" t="s">
        <v>1617</v>
      </c>
      <c r="B1497" t="s">
        <v>1618</v>
      </c>
      <c r="C1497" t="s">
        <v>1066</v>
      </c>
      <c r="D1497" t="s">
        <v>1601</v>
      </c>
      <c r="E1497" t="s">
        <v>557</v>
      </c>
      <c r="F1497" t="s">
        <v>1068</v>
      </c>
      <c r="G1497" t="s">
        <v>1080</v>
      </c>
      <c r="H1497" s="171" t="s">
        <v>1619</v>
      </c>
      <c r="I1497" t="s">
        <v>1082</v>
      </c>
      <c r="J1497">
        <v>2.0499999999999998</v>
      </c>
    </row>
    <row r="1498" spans="1:10" hidden="1">
      <c r="A1498" t="s">
        <v>1617</v>
      </c>
      <c r="B1498" t="s">
        <v>1618</v>
      </c>
      <c r="C1498" t="s">
        <v>1066</v>
      </c>
      <c r="D1498" t="s">
        <v>1601</v>
      </c>
      <c r="E1498" t="s">
        <v>557</v>
      </c>
      <c r="F1498" t="s">
        <v>1068</v>
      </c>
      <c r="G1498" t="s">
        <v>1083</v>
      </c>
      <c r="H1498">
        <v>-1.9134268692349E-3</v>
      </c>
      <c r="I1498" t="s">
        <v>1084</v>
      </c>
      <c r="J1498">
        <v>2.0499999999999998</v>
      </c>
    </row>
    <row r="1499" spans="1:10" hidden="1">
      <c r="A1499" t="s">
        <v>1617</v>
      </c>
      <c r="B1499" t="s">
        <v>1618</v>
      </c>
      <c r="C1499" t="s">
        <v>1066</v>
      </c>
      <c r="D1499" t="s">
        <v>1601</v>
      </c>
      <c r="E1499" t="s">
        <v>557</v>
      </c>
      <c r="F1499" t="s">
        <v>1068</v>
      </c>
      <c r="G1499" t="s">
        <v>1085</v>
      </c>
      <c r="H1499">
        <v>-5.3619249151948198E-2</v>
      </c>
      <c r="I1499" t="s">
        <v>1086</v>
      </c>
      <c r="J1499">
        <v>2.0499999999999998</v>
      </c>
    </row>
    <row r="1500" spans="1:10" hidden="1">
      <c r="A1500" t="s">
        <v>1617</v>
      </c>
      <c r="B1500" t="s">
        <v>1618</v>
      </c>
      <c r="C1500" t="s">
        <v>1066</v>
      </c>
      <c r="D1500" t="s">
        <v>1601</v>
      </c>
      <c r="E1500" t="s">
        <v>557</v>
      </c>
      <c r="F1500" t="s">
        <v>1068</v>
      </c>
      <c r="G1500" t="s">
        <v>1087</v>
      </c>
      <c r="H1500" s="170">
        <v>-1.6304803814595501E-6</v>
      </c>
      <c r="I1500" t="s">
        <v>1088</v>
      </c>
      <c r="J1500">
        <v>2.0499999999999998</v>
      </c>
    </row>
    <row r="1501" spans="1:10" hidden="1">
      <c r="A1501" t="s">
        <v>1617</v>
      </c>
      <c r="B1501" t="s">
        <v>1618</v>
      </c>
      <c r="C1501" t="s">
        <v>1066</v>
      </c>
      <c r="D1501" t="s">
        <v>1601</v>
      </c>
      <c r="E1501" t="s">
        <v>557</v>
      </c>
      <c r="F1501" t="s">
        <v>1068</v>
      </c>
      <c r="G1501" t="s">
        <v>1089</v>
      </c>
      <c r="H1501">
        <v>-1.4404869112728799E-2</v>
      </c>
      <c r="I1501" t="s">
        <v>1090</v>
      </c>
      <c r="J1501">
        <v>2.0499999999999998</v>
      </c>
    </row>
    <row r="1502" spans="1:10" hidden="1">
      <c r="A1502" t="s">
        <v>1620</v>
      </c>
      <c r="B1502" t="s">
        <v>1621</v>
      </c>
      <c r="C1502" t="s">
        <v>1066</v>
      </c>
      <c r="D1502" t="s">
        <v>1601</v>
      </c>
      <c r="E1502" t="s">
        <v>559</v>
      </c>
      <c r="F1502" t="s">
        <v>1068</v>
      </c>
      <c r="G1502" t="s">
        <v>1069</v>
      </c>
      <c r="H1502">
        <v>-4.0584309588887299E-2</v>
      </c>
      <c r="I1502" t="s">
        <v>1070</v>
      </c>
      <c r="J1502">
        <v>2.04</v>
      </c>
    </row>
    <row r="1503" spans="1:10" hidden="1">
      <c r="A1503" t="s">
        <v>1620</v>
      </c>
      <c r="B1503" t="s">
        <v>1621</v>
      </c>
      <c r="C1503" t="s">
        <v>1066</v>
      </c>
      <c r="D1503" t="s">
        <v>1601</v>
      </c>
      <c r="E1503" t="s">
        <v>559</v>
      </c>
      <c r="F1503" t="s">
        <v>1068</v>
      </c>
      <c r="G1503" t="s">
        <v>1071</v>
      </c>
      <c r="H1503" s="170">
        <v>-5.0577990713621397E-10</v>
      </c>
      <c r="I1503" t="s">
        <v>1072</v>
      </c>
      <c r="J1503">
        <v>2.04</v>
      </c>
    </row>
    <row r="1504" spans="1:10" hidden="1">
      <c r="A1504" t="s">
        <v>1620</v>
      </c>
      <c r="B1504" t="s">
        <v>1621</v>
      </c>
      <c r="C1504" t="s">
        <v>1066</v>
      </c>
      <c r="D1504" t="s">
        <v>1601</v>
      </c>
      <c r="E1504" t="s">
        <v>559</v>
      </c>
      <c r="F1504" t="s">
        <v>1068</v>
      </c>
      <c r="G1504" t="s">
        <v>1073</v>
      </c>
      <c r="H1504" s="170">
        <v>-1.00526684986141E-7</v>
      </c>
      <c r="I1504" t="s">
        <v>1074</v>
      </c>
      <c r="J1504">
        <v>2.04</v>
      </c>
    </row>
    <row r="1505" spans="1:10" hidden="1">
      <c r="A1505" t="s">
        <v>1620</v>
      </c>
      <c r="B1505" t="s">
        <v>1621</v>
      </c>
      <c r="C1505" t="s">
        <v>1066</v>
      </c>
      <c r="D1505" t="s">
        <v>1601</v>
      </c>
      <c r="E1505" t="s">
        <v>559</v>
      </c>
      <c r="F1505" t="s">
        <v>1068</v>
      </c>
      <c r="G1505" t="s">
        <v>1075</v>
      </c>
      <c r="H1505">
        <v>1.46337389767956E-2</v>
      </c>
      <c r="I1505" t="s">
        <v>1077</v>
      </c>
      <c r="J1505">
        <v>2.04</v>
      </c>
    </row>
    <row r="1506" spans="1:10" hidden="1">
      <c r="A1506" t="s">
        <v>1620</v>
      </c>
      <c r="B1506" t="s">
        <v>1621</v>
      </c>
      <c r="C1506" t="s">
        <v>1066</v>
      </c>
      <c r="D1506" t="s">
        <v>1601</v>
      </c>
      <c r="E1506" t="s">
        <v>559</v>
      </c>
      <c r="F1506" t="s">
        <v>1068</v>
      </c>
      <c r="G1506" t="s">
        <v>1078</v>
      </c>
      <c r="H1506">
        <v>-2.62906839567699</v>
      </c>
      <c r="I1506" t="s">
        <v>1079</v>
      </c>
      <c r="J1506">
        <v>2.04</v>
      </c>
    </row>
    <row r="1507" spans="1:10" hidden="1">
      <c r="A1507" t="s">
        <v>1620</v>
      </c>
      <c r="B1507" t="s">
        <v>1621</v>
      </c>
      <c r="C1507" t="s">
        <v>1066</v>
      </c>
      <c r="D1507" t="s">
        <v>1601</v>
      </c>
      <c r="E1507" t="s">
        <v>559</v>
      </c>
      <c r="F1507" t="s">
        <v>1068</v>
      </c>
      <c r="G1507" t="s">
        <v>1080</v>
      </c>
      <c r="H1507" s="171" t="s">
        <v>1622</v>
      </c>
      <c r="I1507" t="s">
        <v>1082</v>
      </c>
      <c r="J1507">
        <v>2.04</v>
      </c>
    </row>
    <row r="1508" spans="1:10" hidden="1">
      <c r="A1508" t="s">
        <v>1620</v>
      </c>
      <c r="B1508" t="s">
        <v>1621</v>
      </c>
      <c r="C1508" t="s">
        <v>1066</v>
      </c>
      <c r="D1508" t="s">
        <v>1601</v>
      </c>
      <c r="E1508" t="s">
        <v>559</v>
      </c>
      <c r="F1508" t="s">
        <v>1068</v>
      </c>
      <c r="G1508" t="s">
        <v>1083</v>
      </c>
      <c r="H1508">
        <v>-1.91377884432027E-3</v>
      </c>
      <c r="I1508" t="s">
        <v>1084</v>
      </c>
      <c r="J1508">
        <v>2.04</v>
      </c>
    </row>
    <row r="1509" spans="1:10" hidden="1">
      <c r="A1509" t="s">
        <v>1620</v>
      </c>
      <c r="B1509" t="s">
        <v>1621</v>
      </c>
      <c r="C1509" t="s">
        <v>1066</v>
      </c>
      <c r="D1509" t="s">
        <v>1601</v>
      </c>
      <c r="E1509" t="s">
        <v>559</v>
      </c>
      <c r="F1509" t="s">
        <v>1068</v>
      </c>
      <c r="G1509" t="s">
        <v>1085</v>
      </c>
      <c r="H1509">
        <v>-5.3623206816634301E-2</v>
      </c>
      <c r="I1509" t="s">
        <v>1086</v>
      </c>
      <c r="J1509">
        <v>2.04</v>
      </c>
    </row>
    <row r="1510" spans="1:10" hidden="1">
      <c r="A1510" t="s">
        <v>1620</v>
      </c>
      <c r="B1510" t="s">
        <v>1621</v>
      </c>
      <c r="C1510" t="s">
        <v>1066</v>
      </c>
      <c r="D1510" t="s">
        <v>1601</v>
      </c>
      <c r="E1510" t="s">
        <v>559</v>
      </c>
      <c r="F1510" t="s">
        <v>1068</v>
      </c>
      <c r="G1510" t="s">
        <v>1087</v>
      </c>
      <c r="H1510" s="170">
        <v>-1.63221307136758E-6</v>
      </c>
      <c r="I1510" t="s">
        <v>1088</v>
      </c>
      <c r="J1510">
        <v>2.04</v>
      </c>
    </row>
    <row r="1511" spans="1:10" hidden="1">
      <c r="A1511" t="s">
        <v>1620</v>
      </c>
      <c r="B1511" t="s">
        <v>1621</v>
      </c>
      <c r="C1511" t="s">
        <v>1066</v>
      </c>
      <c r="D1511" t="s">
        <v>1601</v>
      </c>
      <c r="E1511" t="s">
        <v>559</v>
      </c>
      <c r="F1511" t="s">
        <v>1068</v>
      </c>
      <c r="G1511" t="s">
        <v>1089</v>
      </c>
      <c r="H1511">
        <v>-1.44056891194216E-2</v>
      </c>
      <c r="I1511" t="s">
        <v>1090</v>
      </c>
      <c r="J1511">
        <v>2.04</v>
      </c>
    </row>
    <row r="1512" spans="1:10" hidden="1">
      <c r="A1512" t="s">
        <v>1623</v>
      </c>
      <c r="B1512" t="s">
        <v>1624</v>
      </c>
      <c r="C1512" t="s">
        <v>1066</v>
      </c>
      <c r="D1512" t="s">
        <v>1601</v>
      </c>
      <c r="E1512" t="s">
        <v>560</v>
      </c>
      <c r="F1512" t="s">
        <v>1068</v>
      </c>
      <c r="G1512" t="s">
        <v>1069</v>
      </c>
      <c r="H1512">
        <v>-3.9797749098877198E-2</v>
      </c>
      <c r="I1512" t="s">
        <v>1070</v>
      </c>
      <c r="J1512">
        <v>2.54</v>
      </c>
    </row>
    <row r="1513" spans="1:10" hidden="1">
      <c r="A1513" t="s">
        <v>1623</v>
      </c>
      <c r="B1513" t="s">
        <v>1624</v>
      </c>
      <c r="C1513" t="s">
        <v>1066</v>
      </c>
      <c r="D1513" t="s">
        <v>1601</v>
      </c>
      <c r="E1513" t="s">
        <v>560</v>
      </c>
      <c r="F1513" t="s">
        <v>1068</v>
      </c>
      <c r="G1513" t="s">
        <v>1071</v>
      </c>
      <c r="H1513" s="170">
        <v>-5.04660094097882E-10</v>
      </c>
      <c r="I1513" t="s">
        <v>1072</v>
      </c>
      <c r="J1513">
        <v>2.54</v>
      </c>
    </row>
    <row r="1514" spans="1:10" hidden="1">
      <c r="A1514" t="s">
        <v>1623</v>
      </c>
      <c r="B1514" t="s">
        <v>1624</v>
      </c>
      <c r="C1514" t="s">
        <v>1066</v>
      </c>
      <c r="D1514" t="s">
        <v>1601</v>
      </c>
      <c r="E1514" t="s">
        <v>560</v>
      </c>
      <c r="F1514" t="s">
        <v>1068</v>
      </c>
      <c r="G1514" t="s">
        <v>1073</v>
      </c>
      <c r="H1514" s="170">
        <v>-1.0024676758077001E-7</v>
      </c>
      <c r="I1514" t="s">
        <v>1074</v>
      </c>
      <c r="J1514">
        <v>2.54</v>
      </c>
    </row>
    <row r="1515" spans="1:10" hidden="1">
      <c r="A1515" t="s">
        <v>1623</v>
      </c>
      <c r="B1515" t="s">
        <v>1624</v>
      </c>
      <c r="C1515" t="s">
        <v>1066</v>
      </c>
      <c r="D1515" t="s">
        <v>1601</v>
      </c>
      <c r="E1515" t="s">
        <v>560</v>
      </c>
      <c r="F1515" t="s">
        <v>1068</v>
      </c>
      <c r="G1515" t="s">
        <v>1075</v>
      </c>
      <c r="H1515" s="171" t="s">
        <v>1625</v>
      </c>
      <c r="I1515" t="s">
        <v>1077</v>
      </c>
      <c r="J1515">
        <v>2.54</v>
      </c>
    </row>
    <row r="1516" spans="1:10" hidden="1">
      <c r="A1516" t="s">
        <v>1623</v>
      </c>
      <c r="B1516" t="s">
        <v>1624</v>
      </c>
      <c r="C1516" t="s">
        <v>1066</v>
      </c>
      <c r="D1516" t="s">
        <v>1601</v>
      </c>
      <c r="E1516" t="s">
        <v>560</v>
      </c>
      <c r="F1516" t="s">
        <v>1068</v>
      </c>
      <c r="G1516" t="s">
        <v>1078</v>
      </c>
      <c r="H1516">
        <v>-2.6295970405965199</v>
      </c>
      <c r="I1516" t="s">
        <v>1079</v>
      </c>
      <c r="J1516">
        <v>2.54</v>
      </c>
    </row>
    <row r="1517" spans="1:10" hidden="1">
      <c r="A1517" t="s">
        <v>1623</v>
      </c>
      <c r="B1517" t="s">
        <v>1624</v>
      </c>
      <c r="C1517" t="s">
        <v>1066</v>
      </c>
      <c r="D1517" t="s">
        <v>1601</v>
      </c>
      <c r="E1517" t="s">
        <v>560</v>
      </c>
      <c r="F1517" t="s">
        <v>1068</v>
      </c>
      <c r="G1517" t="s">
        <v>1080</v>
      </c>
      <c r="H1517" s="171" t="s">
        <v>1626</v>
      </c>
      <c r="I1517" t="s">
        <v>1082</v>
      </c>
      <c r="J1517">
        <v>2.54</v>
      </c>
    </row>
    <row r="1518" spans="1:10" hidden="1">
      <c r="A1518" t="s">
        <v>1623</v>
      </c>
      <c r="B1518" t="s">
        <v>1624</v>
      </c>
      <c r="C1518" t="s">
        <v>1066</v>
      </c>
      <c r="D1518" t="s">
        <v>1601</v>
      </c>
      <c r="E1518" t="s">
        <v>560</v>
      </c>
      <c r="F1518" t="s">
        <v>1068</v>
      </c>
      <c r="G1518" t="s">
        <v>1083</v>
      </c>
      <c r="H1518">
        <v>-1.9136589136626099E-3</v>
      </c>
      <c r="I1518" t="s">
        <v>1084</v>
      </c>
      <c r="J1518">
        <v>2.54</v>
      </c>
    </row>
    <row r="1519" spans="1:10" hidden="1">
      <c r="A1519" t="s">
        <v>1623</v>
      </c>
      <c r="B1519" t="s">
        <v>1624</v>
      </c>
      <c r="C1519" t="s">
        <v>1066</v>
      </c>
      <c r="D1519" t="s">
        <v>1601</v>
      </c>
      <c r="E1519" t="s">
        <v>560</v>
      </c>
      <c r="F1519" t="s">
        <v>1068</v>
      </c>
      <c r="G1519" t="s">
        <v>1085</v>
      </c>
      <c r="H1519">
        <v>-5.36218717249324E-2</v>
      </c>
      <c r="I1519" t="s">
        <v>1086</v>
      </c>
      <c r="J1519">
        <v>2.54</v>
      </c>
    </row>
    <row r="1520" spans="1:10" hidden="1">
      <c r="A1520" t="s">
        <v>1623</v>
      </c>
      <c r="B1520" t="s">
        <v>1624</v>
      </c>
      <c r="C1520" t="s">
        <v>1066</v>
      </c>
      <c r="D1520" t="s">
        <v>1601</v>
      </c>
      <c r="E1520" t="s">
        <v>560</v>
      </c>
      <c r="F1520" t="s">
        <v>1068</v>
      </c>
      <c r="G1520" t="s">
        <v>1087</v>
      </c>
      <c r="H1520" s="170">
        <v>-1.63174604715645E-6</v>
      </c>
      <c r="I1520" t="s">
        <v>1088</v>
      </c>
      <c r="J1520">
        <v>2.54</v>
      </c>
    </row>
    <row r="1521" spans="1:10" hidden="1">
      <c r="A1521" t="s">
        <v>1623</v>
      </c>
      <c r="B1521" t="s">
        <v>1624</v>
      </c>
      <c r="C1521" t="s">
        <v>1066</v>
      </c>
      <c r="D1521" t="s">
        <v>1601</v>
      </c>
      <c r="E1521" t="s">
        <v>560</v>
      </c>
      <c r="F1521" t="s">
        <v>1068</v>
      </c>
      <c r="G1521" t="s">
        <v>1089</v>
      </c>
      <c r="H1521">
        <v>-1.44054101443566E-2</v>
      </c>
      <c r="I1521" t="s">
        <v>1090</v>
      </c>
      <c r="J1521">
        <v>2.54</v>
      </c>
    </row>
    <row r="1522" spans="1:10" hidden="1">
      <c r="A1522" t="s">
        <v>1627</v>
      </c>
      <c r="B1522" t="s">
        <v>1628</v>
      </c>
      <c r="C1522" t="s">
        <v>1066</v>
      </c>
      <c r="D1522" t="s">
        <v>1601</v>
      </c>
      <c r="E1522" t="s">
        <v>1116</v>
      </c>
      <c r="F1522" t="s">
        <v>1068</v>
      </c>
      <c r="G1522" t="s">
        <v>1069</v>
      </c>
      <c r="H1522">
        <v>-3.5164359798326703E-2</v>
      </c>
      <c r="I1522" t="s">
        <v>1070</v>
      </c>
      <c r="J1522">
        <v>2.56</v>
      </c>
    </row>
    <row r="1523" spans="1:10" hidden="1">
      <c r="A1523" t="s">
        <v>1627</v>
      </c>
      <c r="B1523" t="s">
        <v>1628</v>
      </c>
      <c r="C1523" t="s">
        <v>1066</v>
      </c>
      <c r="D1523" t="s">
        <v>1601</v>
      </c>
      <c r="E1523" t="s">
        <v>1116</v>
      </c>
      <c r="F1523" t="s">
        <v>1068</v>
      </c>
      <c r="G1523" t="s">
        <v>1071</v>
      </c>
      <c r="H1523" s="170">
        <v>-4.9802966129560299E-10</v>
      </c>
      <c r="I1523" t="s">
        <v>1072</v>
      </c>
      <c r="J1523">
        <v>2.56</v>
      </c>
    </row>
    <row r="1524" spans="1:10" hidden="1">
      <c r="A1524" t="s">
        <v>1627</v>
      </c>
      <c r="B1524" t="s">
        <v>1628</v>
      </c>
      <c r="C1524" t="s">
        <v>1066</v>
      </c>
      <c r="D1524" t="s">
        <v>1601</v>
      </c>
      <c r="E1524" t="s">
        <v>1116</v>
      </c>
      <c r="F1524" t="s">
        <v>1068</v>
      </c>
      <c r="G1524" t="s">
        <v>1073</v>
      </c>
      <c r="H1524" s="170">
        <v>-9.8600973040295202E-8</v>
      </c>
      <c r="I1524" t="s">
        <v>1074</v>
      </c>
      <c r="J1524">
        <v>2.56</v>
      </c>
    </row>
    <row r="1525" spans="1:10" hidden="1">
      <c r="A1525" t="s">
        <v>1627</v>
      </c>
      <c r="B1525" t="s">
        <v>1628</v>
      </c>
      <c r="C1525" t="s">
        <v>1066</v>
      </c>
      <c r="D1525" t="s">
        <v>1601</v>
      </c>
      <c r="E1525" t="s">
        <v>1116</v>
      </c>
      <c r="F1525" t="s">
        <v>1068</v>
      </c>
      <c r="G1525" t="s">
        <v>1075</v>
      </c>
      <c r="H1525" s="171" t="s">
        <v>1629</v>
      </c>
      <c r="I1525" t="s">
        <v>1077</v>
      </c>
      <c r="J1525">
        <v>2.56</v>
      </c>
    </row>
    <row r="1526" spans="1:10" hidden="1">
      <c r="A1526" t="s">
        <v>1627</v>
      </c>
      <c r="B1526" t="s">
        <v>1628</v>
      </c>
      <c r="C1526" t="s">
        <v>1066</v>
      </c>
      <c r="D1526" t="s">
        <v>1601</v>
      </c>
      <c r="E1526" t="s">
        <v>1116</v>
      </c>
      <c r="F1526" t="s">
        <v>1068</v>
      </c>
      <c r="G1526" t="s">
        <v>1078</v>
      </c>
      <c r="H1526">
        <v>-2.6232632691083699</v>
      </c>
      <c r="I1526" t="s">
        <v>1079</v>
      </c>
      <c r="J1526">
        <v>2.56</v>
      </c>
    </row>
    <row r="1527" spans="1:10" hidden="1">
      <c r="A1527" t="s">
        <v>1627</v>
      </c>
      <c r="B1527" t="s">
        <v>1628</v>
      </c>
      <c r="C1527" t="s">
        <v>1066</v>
      </c>
      <c r="D1527" t="s">
        <v>1601</v>
      </c>
      <c r="E1527" t="s">
        <v>1116</v>
      </c>
      <c r="F1527" t="s">
        <v>1068</v>
      </c>
      <c r="G1527" t="s">
        <v>1080</v>
      </c>
      <c r="H1527" s="171" t="s">
        <v>1630</v>
      </c>
      <c r="I1527" t="s">
        <v>1082</v>
      </c>
      <c r="J1527">
        <v>2.56</v>
      </c>
    </row>
    <row r="1528" spans="1:10" hidden="1">
      <c r="A1528" t="s">
        <v>1627</v>
      </c>
      <c r="B1528" t="s">
        <v>1628</v>
      </c>
      <c r="C1528" t="s">
        <v>1066</v>
      </c>
      <c r="D1528" t="s">
        <v>1601</v>
      </c>
      <c r="E1528" t="s">
        <v>1116</v>
      </c>
      <c r="F1528" t="s">
        <v>1068</v>
      </c>
      <c r="G1528" t="s">
        <v>1083</v>
      </c>
      <c r="H1528">
        <v>-1.9129546354889301E-3</v>
      </c>
      <c r="I1528" t="s">
        <v>1084</v>
      </c>
      <c r="J1528">
        <v>2.56</v>
      </c>
    </row>
    <row r="1529" spans="1:10" hidden="1">
      <c r="A1529" t="s">
        <v>1627</v>
      </c>
      <c r="B1529" t="s">
        <v>1628</v>
      </c>
      <c r="C1529" t="s">
        <v>1066</v>
      </c>
      <c r="D1529" t="s">
        <v>1601</v>
      </c>
      <c r="E1529" t="s">
        <v>1116</v>
      </c>
      <c r="F1529" t="s">
        <v>1068</v>
      </c>
      <c r="G1529" t="s">
        <v>1085</v>
      </c>
      <c r="H1529">
        <v>-5.3613911952185699E-2</v>
      </c>
      <c r="I1529" t="s">
        <v>1086</v>
      </c>
      <c r="J1529">
        <v>2.56</v>
      </c>
    </row>
    <row r="1530" spans="1:10" hidden="1">
      <c r="A1530" t="s">
        <v>1627</v>
      </c>
      <c r="B1530" t="s">
        <v>1628</v>
      </c>
      <c r="C1530" t="s">
        <v>1066</v>
      </c>
      <c r="D1530" t="s">
        <v>1601</v>
      </c>
      <c r="E1530" t="s">
        <v>1116</v>
      </c>
      <c r="F1530" t="s">
        <v>1068</v>
      </c>
      <c r="G1530" t="s">
        <v>1087</v>
      </c>
      <c r="H1530" s="170">
        <v>-1.6279046244844501E-6</v>
      </c>
      <c r="I1530" t="s">
        <v>1088</v>
      </c>
      <c r="J1530">
        <v>2.56</v>
      </c>
    </row>
    <row r="1531" spans="1:10" hidden="1">
      <c r="A1531" t="s">
        <v>1627</v>
      </c>
      <c r="B1531" t="s">
        <v>1628</v>
      </c>
      <c r="C1531" t="s">
        <v>1066</v>
      </c>
      <c r="D1531" t="s">
        <v>1601</v>
      </c>
      <c r="E1531" t="s">
        <v>1116</v>
      </c>
      <c r="F1531" t="s">
        <v>1068</v>
      </c>
      <c r="G1531" t="s">
        <v>1089</v>
      </c>
      <c r="H1531">
        <v>-1.4403768058957401E-2</v>
      </c>
      <c r="I1531" t="s">
        <v>1090</v>
      </c>
      <c r="J1531">
        <v>2.56</v>
      </c>
    </row>
    <row r="1532" spans="1:10" hidden="1">
      <c r="A1532" t="s">
        <v>1631</v>
      </c>
      <c r="B1532" t="s">
        <v>1632</v>
      </c>
      <c r="C1532" t="s">
        <v>1066</v>
      </c>
      <c r="D1532" t="s">
        <v>1633</v>
      </c>
      <c r="E1532" t="s">
        <v>561</v>
      </c>
      <c r="F1532" t="s">
        <v>1068</v>
      </c>
      <c r="G1532" t="s">
        <v>1069</v>
      </c>
      <c r="H1532" s="171" t="s">
        <v>1634</v>
      </c>
      <c r="I1532" t="s">
        <v>1070</v>
      </c>
      <c r="J1532">
        <v>2.0299999999999998</v>
      </c>
    </row>
    <row r="1533" spans="1:10" hidden="1">
      <c r="A1533" t="s">
        <v>1631</v>
      </c>
      <c r="B1533" t="s">
        <v>1632</v>
      </c>
      <c r="C1533" t="s">
        <v>1066</v>
      </c>
      <c r="D1533" t="s">
        <v>1633</v>
      </c>
      <c r="E1533" t="s">
        <v>561</v>
      </c>
      <c r="F1533" t="s">
        <v>1068</v>
      </c>
      <c r="G1533" t="s">
        <v>1071</v>
      </c>
      <c r="H1533" s="170">
        <v>-7.3805359618618296E-11</v>
      </c>
      <c r="I1533" t="s">
        <v>1072</v>
      </c>
      <c r="J1533">
        <v>2.0299999999999998</v>
      </c>
    </row>
    <row r="1534" spans="1:10" hidden="1">
      <c r="A1534" t="s">
        <v>1631</v>
      </c>
      <c r="B1534" t="s">
        <v>1632</v>
      </c>
      <c r="C1534" t="s">
        <v>1066</v>
      </c>
      <c r="D1534" t="s">
        <v>1633</v>
      </c>
      <c r="E1534" t="s">
        <v>561</v>
      </c>
      <c r="F1534" t="s">
        <v>1068</v>
      </c>
      <c r="G1534" t="s">
        <v>1073</v>
      </c>
      <c r="H1534" s="170">
        <v>-1.70127875948773E-8</v>
      </c>
      <c r="I1534" t="s">
        <v>1074</v>
      </c>
      <c r="J1534">
        <v>2.0299999999999998</v>
      </c>
    </row>
    <row r="1535" spans="1:10" hidden="1">
      <c r="A1535" t="s">
        <v>1631</v>
      </c>
      <c r="B1535" t="s">
        <v>1632</v>
      </c>
      <c r="C1535" t="s">
        <v>1066</v>
      </c>
      <c r="D1535" t="s">
        <v>1633</v>
      </c>
      <c r="E1535" t="s">
        <v>561</v>
      </c>
      <c r="F1535" t="s">
        <v>1068</v>
      </c>
      <c r="G1535" t="s">
        <v>1075</v>
      </c>
      <c r="H1535" s="171" t="s">
        <v>1635</v>
      </c>
      <c r="I1535" t="s">
        <v>1077</v>
      </c>
      <c r="J1535">
        <v>2.0299999999999998</v>
      </c>
    </row>
    <row r="1536" spans="1:10" hidden="1">
      <c r="A1536" t="s">
        <v>1631</v>
      </c>
      <c r="B1536" t="s">
        <v>1632</v>
      </c>
      <c r="C1536" t="s">
        <v>1066</v>
      </c>
      <c r="D1536" t="s">
        <v>1633</v>
      </c>
      <c r="E1536" t="s">
        <v>561</v>
      </c>
      <c r="F1536" t="s">
        <v>1068</v>
      </c>
      <c r="G1536" t="s">
        <v>1078</v>
      </c>
      <c r="H1536">
        <v>-2.1003113644548699</v>
      </c>
      <c r="I1536" t="s">
        <v>1079</v>
      </c>
      <c r="J1536">
        <v>2.0299999999999998</v>
      </c>
    </row>
    <row r="1537" spans="1:10" hidden="1">
      <c r="A1537" t="s">
        <v>1631</v>
      </c>
      <c r="B1537" t="s">
        <v>1632</v>
      </c>
      <c r="C1537" t="s">
        <v>1066</v>
      </c>
      <c r="D1537" t="s">
        <v>1633</v>
      </c>
      <c r="E1537" t="s">
        <v>561</v>
      </c>
      <c r="F1537" t="s">
        <v>1068</v>
      </c>
      <c r="G1537" t="s">
        <v>1080</v>
      </c>
      <c r="H1537" s="171" t="s">
        <v>1636</v>
      </c>
      <c r="I1537" t="s">
        <v>1082</v>
      </c>
      <c r="J1537">
        <v>2.0299999999999998</v>
      </c>
    </row>
    <row r="1538" spans="1:10" hidden="1">
      <c r="A1538" t="s">
        <v>1631</v>
      </c>
      <c r="B1538" t="s">
        <v>1632</v>
      </c>
      <c r="C1538" t="s">
        <v>1066</v>
      </c>
      <c r="D1538" t="s">
        <v>1633</v>
      </c>
      <c r="E1538" t="s">
        <v>561</v>
      </c>
      <c r="F1538" t="s">
        <v>1068</v>
      </c>
      <c r="G1538" t="s">
        <v>1083</v>
      </c>
      <c r="H1538">
        <v>-1.7290380570773799E-3</v>
      </c>
      <c r="I1538" t="s">
        <v>1084</v>
      </c>
      <c r="J1538">
        <v>2.0299999999999998</v>
      </c>
    </row>
    <row r="1539" spans="1:10" hidden="1">
      <c r="A1539" t="s">
        <v>1631</v>
      </c>
      <c r="B1539" t="s">
        <v>1632</v>
      </c>
      <c r="C1539" t="s">
        <v>1066</v>
      </c>
      <c r="D1539" t="s">
        <v>1633</v>
      </c>
      <c r="E1539" t="s">
        <v>561</v>
      </c>
      <c r="F1539" t="s">
        <v>1068</v>
      </c>
      <c r="G1539" t="s">
        <v>1085</v>
      </c>
      <c r="H1539">
        <v>-4.8277051325838302E-2</v>
      </c>
      <c r="I1539" t="s">
        <v>1086</v>
      </c>
      <c r="J1539">
        <v>2.0299999999999998</v>
      </c>
    </row>
    <row r="1540" spans="1:10" hidden="1">
      <c r="A1540" t="s">
        <v>1631</v>
      </c>
      <c r="B1540" t="s">
        <v>1632</v>
      </c>
      <c r="C1540" t="s">
        <v>1066</v>
      </c>
      <c r="D1540" t="s">
        <v>1633</v>
      </c>
      <c r="E1540" t="s">
        <v>561</v>
      </c>
      <c r="F1540" t="s">
        <v>1068</v>
      </c>
      <c r="G1540" t="s">
        <v>1087</v>
      </c>
      <c r="H1540" s="170">
        <v>-1.46431345542954E-5</v>
      </c>
      <c r="I1540" t="s">
        <v>1088</v>
      </c>
      <c r="J1540">
        <v>2.0299999999999998</v>
      </c>
    </row>
    <row r="1541" spans="1:10" hidden="1">
      <c r="A1541" t="s">
        <v>1631</v>
      </c>
      <c r="B1541" t="s">
        <v>1632</v>
      </c>
      <c r="C1541" t="s">
        <v>1066</v>
      </c>
      <c r="D1541" t="s">
        <v>1633</v>
      </c>
      <c r="E1541" t="s">
        <v>561</v>
      </c>
      <c r="F1541" t="s">
        <v>1068</v>
      </c>
      <c r="G1541" t="s">
        <v>1089</v>
      </c>
      <c r="H1541">
        <v>-1.29263715564885E-2</v>
      </c>
      <c r="I1541" t="s">
        <v>1090</v>
      </c>
      <c r="J1541">
        <v>2.0299999999999998</v>
      </c>
    </row>
    <row r="1542" spans="1:10" hidden="1">
      <c r="A1542" t="s">
        <v>1637</v>
      </c>
      <c r="B1542" t="s">
        <v>1638</v>
      </c>
      <c r="C1542" t="s">
        <v>1066</v>
      </c>
      <c r="D1542" t="s">
        <v>1633</v>
      </c>
      <c r="E1542" t="s">
        <v>555</v>
      </c>
      <c r="F1542" t="s">
        <v>1068</v>
      </c>
      <c r="G1542" t="s">
        <v>1069</v>
      </c>
      <c r="H1542" s="171" t="s">
        <v>1639</v>
      </c>
      <c r="I1542" t="s">
        <v>1070</v>
      </c>
      <c r="J1542">
        <v>2.04</v>
      </c>
    </row>
    <row r="1543" spans="1:10" hidden="1">
      <c r="A1543" t="s">
        <v>1637</v>
      </c>
      <c r="B1543" t="s">
        <v>1638</v>
      </c>
      <c r="C1543" t="s">
        <v>1066</v>
      </c>
      <c r="D1543" t="s">
        <v>1633</v>
      </c>
      <c r="E1543" t="s">
        <v>555</v>
      </c>
      <c r="F1543" t="s">
        <v>1068</v>
      </c>
      <c r="G1543" t="s">
        <v>1071</v>
      </c>
      <c r="H1543" s="170">
        <v>-7.5892574219943301E-11</v>
      </c>
      <c r="I1543" t="s">
        <v>1072</v>
      </c>
      <c r="J1543">
        <v>2.04</v>
      </c>
    </row>
    <row r="1544" spans="1:10" hidden="1">
      <c r="A1544" t="s">
        <v>1637</v>
      </c>
      <c r="B1544" t="s">
        <v>1638</v>
      </c>
      <c r="C1544" t="s">
        <v>1066</v>
      </c>
      <c r="D1544" t="s">
        <v>1633</v>
      </c>
      <c r="E1544" t="s">
        <v>555</v>
      </c>
      <c r="F1544" t="s">
        <v>1068</v>
      </c>
      <c r="G1544" t="s">
        <v>1073</v>
      </c>
      <c r="H1544" s="170">
        <v>-1.75328317398207E-8</v>
      </c>
      <c r="I1544" t="s">
        <v>1074</v>
      </c>
      <c r="J1544">
        <v>2.04</v>
      </c>
    </row>
    <row r="1545" spans="1:10" hidden="1">
      <c r="A1545" t="s">
        <v>1637</v>
      </c>
      <c r="B1545" t="s">
        <v>1638</v>
      </c>
      <c r="C1545" t="s">
        <v>1066</v>
      </c>
      <c r="D1545" t="s">
        <v>1633</v>
      </c>
      <c r="E1545" t="s">
        <v>555</v>
      </c>
      <c r="F1545" t="s">
        <v>1068</v>
      </c>
      <c r="G1545" t="s">
        <v>1075</v>
      </c>
      <c r="H1545">
        <v>3.9261022235690501E-2</v>
      </c>
      <c r="I1545" t="s">
        <v>1077</v>
      </c>
      <c r="J1545">
        <v>2.04</v>
      </c>
    </row>
    <row r="1546" spans="1:10" hidden="1">
      <c r="A1546" t="s">
        <v>1637</v>
      </c>
      <c r="B1546" t="s">
        <v>1638</v>
      </c>
      <c r="C1546" t="s">
        <v>1066</v>
      </c>
      <c r="D1546" t="s">
        <v>1633</v>
      </c>
      <c r="E1546" t="s">
        <v>555</v>
      </c>
      <c r="F1546" t="s">
        <v>1068</v>
      </c>
      <c r="G1546" t="s">
        <v>1078</v>
      </c>
      <c r="H1546">
        <v>-2.1007068372542301</v>
      </c>
      <c r="I1546" t="s">
        <v>1079</v>
      </c>
      <c r="J1546">
        <v>2.04</v>
      </c>
    </row>
    <row r="1547" spans="1:10" hidden="1">
      <c r="A1547" t="s">
        <v>1637</v>
      </c>
      <c r="B1547" t="s">
        <v>1638</v>
      </c>
      <c r="C1547" t="s">
        <v>1066</v>
      </c>
      <c r="D1547" t="s">
        <v>1633</v>
      </c>
      <c r="E1547" t="s">
        <v>555</v>
      </c>
      <c r="F1547" t="s">
        <v>1068</v>
      </c>
      <c r="G1547" t="s">
        <v>1080</v>
      </c>
      <c r="H1547" s="171" t="s">
        <v>1640</v>
      </c>
      <c r="I1547" t="s">
        <v>1082</v>
      </c>
      <c r="J1547">
        <v>2.04</v>
      </c>
    </row>
    <row r="1548" spans="1:10" hidden="1">
      <c r="A1548" t="s">
        <v>1637</v>
      </c>
      <c r="B1548" t="s">
        <v>1638</v>
      </c>
      <c r="C1548" t="s">
        <v>1066</v>
      </c>
      <c r="D1548" t="s">
        <v>1633</v>
      </c>
      <c r="E1548" t="s">
        <v>555</v>
      </c>
      <c r="F1548" t="s">
        <v>1068</v>
      </c>
      <c r="G1548" t="s">
        <v>1083</v>
      </c>
      <c r="H1548">
        <v>-1.72926074419548E-3</v>
      </c>
      <c r="I1548" t="s">
        <v>1084</v>
      </c>
      <c r="J1548">
        <v>2.04</v>
      </c>
    </row>
    <row r="1549" spans="1:10" hidden="1">
      <c r="A1549" t="s">
        <v>1637</v>
      </c>
      <c r="B1549" t="s">
        <v>1638</v>
      </c>
      <c r="C1549" t="s">
        <v>1066</v>
      </c>
      <c r="D1549" t="s">
        <v>1633</v>
      </c>
      <c r="E1549" t="s">
        <v>555</v>
      </c>
      <c r="F1549" t="s">
        <v>1068</v>
      </c>
      <c r="G1549" t="s">
        <v>1085</v>
      </c>
      <c r="H1549">
        <v>-4.8279547774094898E-2</v>
      </c>
      <c r="I1549" t="s">
        <v>1086</v>
      </c>
      <c r="J1549">
        <v>2.04</v>
      </c>
    </row>
    <row r="1550" spans="1:10" hidden="1">
      <c r="A1550" t="s">
        <v>1637</v>
      </c>
      <c r="B1550" t="s">
        <v>1638</v>
      </c>
      <c r="C1550" t="s">
        <v>1066</v>
      </c>
      <c r="D1550" t="s">
        <v>1633</v>
      </c>
      <c r="E1550" t="s">
        <v>555</v>
      </c>
      <c r="F1550" t="s">
        <v>1068</v>
      </c>
      <c r="G1550" t="s">
        <v>1087</v>
      </c>
      <c r="H1550" s="170">
        <v>-1.46441620544825E-5</v>
      </c>
      <c r="I1550" t="s">
        <v>1088</v>
      </c>
      <c r="J1550">
        <v>2.04</v>
      </c>
    </row>
    <row r="1551" spans="1:10" hidden="1">
      <c r="A1551" t="s">
        <v>1637</v>
      </c>
      <c r="B1551" t="s">
        <v>1638</v>
      </c>
      <c r="C1551" t="s">
        <v>1066</v>
      </c>
      <c r="D1551" t="s">
        <v>1633</v>
      </c>
      <c r="E1551" t="s">
        <v>555</v>
      </c>
      <c r="F1551" t="s">
        <v>1068</v>
      </c>
      <c r="G1551" t="s">
        <v>1089</v>
      </c>
      <c r="H1551">
        <v>-1.2926890117117401E-2</v>
      </c>
      <c r="I1551" t="s">
        <v>1090</v>
      </c>
      <c r="J1551">
        <v>2.04</v>
      </c>
    </row>
    <row r="1552" spans="1:10" hidden="1">
      <c r="A1552" t="s">
        <v>1641</v>
      </c>
      <c r="B1552" t="s">
        <v>1642</v>
      </c>
      <c r="C1552" t="s">
        <v>1066</v>
      </c>
      <c r="D1552" t="s">
        <v>1633</v>
      </c>
      <c r="E1552" t="s">
        <v>558</v>
      </c>
      <c r="F1552" t="s">
        <v>1068</v>
      </c>
      <c r="G1552" t="s">
        <v>1069</v>
      </c>
      <c r="H1552" s="171" t="s">
        <v>1643</v>
      </c>
      <c r="I1552" t="s">
        <v>1070</v>
      </c>
      <c r="J1552">
        <v>2.5499999999999998</v>
      </c>
    </row>
    <row r="1553" spans="1:10" hidden="1">
      <c r="A1553" t="s">
        <v>1641</v>
      </c>
      <c r="B1553" t="s">
        <v>1642</v>
      </c>
      <c r="C1553" t="s">
        <v>1066</v>
      </c>
      <c r="D1553" t="s">
        <v>1633</v>
      </c>
      <c r="E1553" t="s">
        <v>558</v>
      </c>
      <c r="F1553" t="s">
        <v>1068</v>
      </c>
      <c r="G1553" t="s">
        <v>1071</v>
      </c>
      <c r="H1553" s="170">
        <v>-7.3619730906923498E-11</v>
      </c>
      <c r="I1553" t="s">
        <v>1072</v>
      </c>
      <c r="J1553">
        <v>2.5499999999999998</v>
      </c>
    </row>
    <row r="1554" spans="1:10" hidden="1">
      <c r="A1554" t="s">
        <v>1641</v>
      </c>
      <c r="B1554" t="s">
        <v>1642</v>
      </c>
      <c r="C1554" t="s">
        <v>1066</v>
      </c>
      <c r="D1554" t="s">
        <v>1633</v>
      </c>
      <c r="E1554" t="s">
        <v>558</v>
      </c>
      <c r="F1554" t="s">
        <v>1068</v>
      </c>
      <c r="G1554" t="s">
        <v>1073</v>
      </c>
      <c r="H1554" s="170">
        <v>-1.6966711157733201E-8</v>
      </c>
      <c r="I1554" t="s">
        <v>1074</v>
      </c>
      <c r="J1554">
        <v>2.5499999999999998</v>
      </c>
    </row>
    <row r="1555" spans="1:10" hidden="1">
      <c r="A1555" t="s">
        <v>1641</v>
      </c>
      <c r="B1555" t="s">
        <v>1642</v>
      </c>
      <c r="C1555" t="s">
        <v>1066</v>
      </c>
      <c r="D1555" t="s">
        <v>1633</v>
      </c>
      <c r="E1555" t="s">
        <v>558</v>
      </c>
      <c r="F1555" t="s">
        <v>1068</v>
      </c>
      <c r="G1555" t="s">
        <v>1075</v>
      </c>
      <c r="H1555">
        <v>3.9307567358576503E-2</v>
      </c>
      <c r="I1555" t="s">
        <v>1077</v>
      </c>
      <c r="J1555">
        <v>2.5499999999999998</v>
      </c>
    </row>
    <row r="1556" spans="1:10" hidden="1">
      <c r="A1556" t="s">
        <v>1641</v>
      </c>
      <c r="B1556" t="s">
        <v>1642</v>
      </c>
      <c r="C1556" t="s">
        <v>1066</v>
      </c>
      <c r="D1556" t="s">
        <v>1633</v>
      </c>
      <c r="E1556" t="s">
        <v>558</v>
      </c>
      <c r="F1556" t="s">
        <v>1068</v>
      </c>
      <c r="G1556" t="s">
        <v>1078</v>
      </c>
      <c r="H1556">
        <v>-2.1001340412127298</v>
      </c>
      <c r="I1556" t="s">
        <v>1079</v>
      </c>
      <c r="J1556">
        <v>2.5499999999999998</v>
      </c>
    </row>
    <row r="1557" spans="1:10" hidden="1">
      <c r="A1557" t="s">
        <v>1641</v>
      </c>
      <c r="B1557" t="s">
        <v>1642</v>
      </c>
      <c r="C1557" t="s">
        <v>1066</v>
      </c>
      <c r="D1557" t="s">
        <v>1633</v>
      </c>
      <c r="E1557" t="s">
        <v>558</v>
      </c>
      <c r="F1557" t="s">
        <v>1068</v>
      </c>
      <c r="G1557" t="s">
        <v>1080</v>
      </c>
      <c r="H1557" s="171" t="s">
        <v>1644</v>
      </c>
      <c r="I1557" t="s">
        <v>1082</v>
      </c>
      <c r="J1557">
        <v>2.5499999999999998</v>
      </c>
    </row>
    <row r="1558" spans="1:10" hidden="1">
      <c r="A1558" t="s">
        <v>1641</v>
      </c>
      <c r="B1558" t="s">
        <v>1642</v>
      </c>
      <c r="C1558" t="s">
        <v>1066</v>
      </c>
      <c r="D1558" t="s">
        <v>1633</v>
      </c>
      <c r="E1558" t="s">
        <v>558</v>
      </c>
      <c r="F1558" t="s">
        <v>1068</v>
      </c>
      <c r="G1558" t="s">
        <v>1083</v>
      </c>
      <c r="H1558">
        <v>-1.7290183397747701E-3</v>
      </c>
      <c r="I1558" t="s">
        <v>1084</v>
      </c>
      <c r="J1558">
        <v>2.5499999999999998</v>
      </c>
    </row>
    <row r="1559" spans="1:10" hidden="1">
      <c r="A1559" t="s">
        <v>1641</v>
      </c>
      <c r="B1559" t="s">
        <v>1642</v>
      </c>
      <c r="C1559" t="s">
        <v>1066</v>
      </c>
      <c r="D1559" t="s">
        <v>1633</v>
      </c>
      <c r="E1559" t="s">
        <v>558</v>
      </c>
      <c r="F1559" t="s">
        <v>1068</v>
      </c>
      <c r="G1559" t="s">
        <v>1085</v>
      </c>
      <c r="H1559">
        <v>-4.8276828480301098E-2</v>
      </c>
      <c r="I1559" t="s">
        <v>1086</v>
      </c>
      <c r="J1559">
        <v>2.5499999999999998</v>
      </c>
    </row>
    <row r="1560" spans="1:10" hidden="1">
      <c r="A1560" t="s">
        <v>1641</v>
      </c>
      <c r="B1560" t="s">
        <v>1642</v>
      </c>
      <c r="C1560" t="s">
        <v>1066</v>
      </c>
      <c r="D1560" t="s">
        <v>1633</v>
      </c>
      <c r="E1560" t="s">
        <v>558</v>
      </c>
      <c r="F1560" t="s">
        <v>1068</v>
      </c>
      <c r="G1560" t="s">
        <v>1087</v>
      </c>
      <c r="H1560" s="170">
        <v>-1.4643027008021599E-5</v>
      </c>
      <c r="I1560" t="s">
        <v>1088</v>
      </c>
      <c r="J1560">
        <v>2.5499999999999998</v>
      </c>
    </row>
    <row r="1561" spans="1:10" hidden="1">
      <c r="A1561" t="s">
        <v>1641</v>
      </c>
      <c r="B1561" t="s">
        <v>1642</v>
      </c>
      <c r="C1561" t="s">
        <v>1066</v>
      </c>
      <c r="D1561" t="s">
        <v>1633</v>
      </c>
      <c r="E1561" t="s">
        <v>558</v>
      </c>
      <c r="F1561" t="s">
        <v>1068</v>
      </c>
      <c r="G1561" t="s">
        <v>1089</v>
      </c>
      <c r="H1561">
        <v>-1.29263255838943E-2</v>
      </c>
      <c r="I1561" t="s">
        <v>1090</v>
      </c>
      <c r="J1561">
        <v>2.5499999999999998</v>
      </c>
    </row>
    <row r="1562" spans="1:10" hidden="1">
      <c r="A1562" t="s">
        <v>1645</v>
      </c>
      <c r="B1562" t="s">
        <v>1646</v>
      </c>
      <c r="C1562" t="s">
        <v>1066</v>
      </c>
      <c r="D1562" t="s">
        <v>1633</v>
      </c>
      <c r="E1562" t="s">
        <v>553</v>
      </c>
      <c r="F1562" t="s">
        <v>1068</v>
      </c>
      <c r="G1562" t="s">
        <v>1069</v>
      </c>
      <c r="H1562" s="171" t="s">
        <v>1647</v>
      </c>
      <c r="I1562" t="s">
        <v>1070</v>
      </c>
      <c r="J1562">
        <v>2.04</v>
      </c>
    </row>
    <row r="1563" spans="1:10" hidden="1">
      <c r="A1563" t="s">
        <v>1645</v>
      </c>
      <c r="B1563" t="s">
        <v>1646</v>
      </c>
      <c r="C1563" t="s">
        <v>1066</v>
      </c>
      <c r="D1563" t="s">
        <v>1633</v>
      </c>
      <c r="E1563" t="s">
        <v>553</v>
      </c>
      <c r="F1563" t="s">
        <v>1068</v>
      </c>
      <c r="G1563" t="s">
        <v>1071</v>
      </c>
      <c r="H1563" s="170">
        <v>-7.34286316850364E-11</v>
      </c>
      <c r="I1563" t="s">
        <v>1072</v>
      </c>
      <c r="J1563">
        <v>2.04</v>
      </c>
    </row>
    <row r="1564" spans="1:10" hidden="1">
      <c r="A1564" t="s">
        <v>1645</v>
      </c>
      <c r="B1564" t="s">
        <v>1646</v>
      </c>
      <c r="C1564" t="s">
        <v>1066</v>
      </c>
      <c r="D1564" t="s">
        <v>1633</v>
      </c>
      <c r="E1564" t="s">
        <v>553</v>
      </c>
      <c r="F1564" t="s">
        <v>1068</v>
      </c>
      <c r="G1564" t="s">
        <v>1073</v>
      </c>
      <c r="H1564" s="170">
        <v>-1.69212361934606E-8</v>
      </c>
      <c r="I1564" t="s">
        <v>1074</v>
      </c>
      <c r="J1564">
        <v>2.04</v>
      </c>
    </row>
    <row r="1565" spans="1:10" hidden="1">
      <c r="A1565" t="s">
        <v>1645</v>
      </c>
      <c r="B1565" t="s">
        <v>1646</v>
      </c>
      <c r="C1565" t="s">
        <v>1066</v>
      </c>
      <c r="D1565" t="s">
        <v>1633</v>
      </c>
      <c r="E1565" t="s">
        <v>553</v>
      </c>
      <c r="F1565" t="s">
        <v>1068</v>
      </c>
      <c r="G1565" t="s">
        <v>1075</v>
      </c>
      <c r="H1565">
        <v>3.9315450772709697E-2</v>
      </c>
      <c r="I1565" t="s">
        <v>1077</v>
      </c>
      <c r="J1565">
        <v>2.04</v>
      </c>
    </row>
    <row r="1566" spans="1:10" hidden="1">
      <c r="A1566" t="s">
        <v>1645</v>
      </c>
      <c r="B1566" t="s">
        <v>1646</v>
      </c>
      <c r="C1566" t="s">
        <v>1066</v>
      </c>
      <c r="D1566" t="s">
        <v>1633</v>
      </c>
      <c r="E1566" t="s">
        <v>553</v>
      </c>
      <c r="F1566" t="s">
        <v>1068</v>
      </c>
      <c r="G1566" t="s">
        <v>1078</v>
      </c>
      <c r="H1566">
        <v>-2.0983531373609798</v>
      </c>
      <c r="I1566" t="s">
        <v>1079</v>
      </c>
      <c r="J1566">
        <v>2.04</v>
      </c>
    </row>
    <row r="1567" spans="1:10" hidden="1">
      <c r="A1567" t="s">
        <v>1645</v>
      </c>
      <c r="B1567" t="s">
        <v>1646</v>
      </c>
      <c r="C1567" t="s">
        <v>1066</v>
      </c>
      <c r="D1567" t="s">
        <v>1633</v>
      </c>
      <c r="E1567" t="s">
        <v>553</v>
      </c>
      <c r="F1567" t="s">
        <v>1068</v>
      </c>
      <c r="G1567" t="s">
        <v>1080</v>
      </c>
      <c r="H1567" s="171" t="s">
        <v>1648</v>
      </c>
      <c r="I1567" t="s">
        <v>1082</v>
      </c>
      <c r="J1567">
        <v>2.04</v>
      </c>
    </row>
    <row r="1568" spans="1:10" hidden="1">
      <c r="A1568" t="s">
        <v>1645</v>
      </c>
      <c r="B1568" t="s">
        <v>1646</v>
      </c>
      <c r="C1568" t="s">
        <v>1066</v>
      </c>
      <c r="D1568" t="s">
        <v>1633</v>
      </c>
      <c r="E1568" t="s">
        <v>553</v>
      </c>
      <c r="F1568" t="s">
        <v>1068</v>
      </c>
      <c r="G1568" t="s">
        <v>1083</v>
      </c>
      <c r="H1568">
        <v>-1.72899902659716E-3</v>
      </c>
      <c r="I1568" t="s">
        <v>1084</v>
      </c>
      <c r="J1568">
        <v>2.04</v>
      </c>
    </row>
    <row r="1569" spans="1:10" hidden="1">
      <c r="A1569" t="s">
        <v>1645</v>
      </c>
      <c r="B1569" t="s">
        <v>1646</v>
      </c>
      <c r="C1569" t="s">
        <v>1066</v>
      </c>
      <c r="D1569" t="s">
        <v>1633</v>
      </c>
      <c r="E1569" t="s">
        <v>553</v>
      </c>
      <c r="F1569" t="s">
        <v>1068</v>
      </c>
      <c r="G1569" t="s">
        <v>1085</v>
      </c>
      <c r="H1569">
        <v>-4.82765898340589E-2</v>
      </c>
      <c r="I1569" t="s">
        <v>1086</v>
      </c>
      <c r="J1569">
        <v>2.04</v>
      </c>
    </row>
    <row r="1570" spans="1:10" hidden="1">
      <c r="A1570" t="s">
        <v>1645</v>
      </c>
      <c r="B1570" t="s">
        <v>1646</v>
      </c>
      <c r="C1570" t="s">
        <v>1066</v>
      </c>
      <c r="D1570" t="s">
        <v>1633</v>
      </c>
      <c r="E1570" t="s">
        <v>553</v>
      </c>
      <c r="F1570" t="s">
        <v>1068</v>
      </c>
      <c r="G1570" t="s">
        <v>1087</v>
      </c>
      <c r="H1570" s="170">
        <v>-1.46427345391151E-5</v>
      </c>
      <c r="I1570" t="s">
        <v>1088</v>
      </c>
      <c r="J1570">
        <v>2.04</v>
      </c>
    </row>
    <row r="1571" spans="1:10" hidden="1">
      <c r="A1571" t="s">
        <v>1645</v>
      </c>
      <c r="B1571" t="s">
        <v>1646</v>
      </c>
      <c r="C1571" t="s">
        <v>1066</v>
      </c>
      <c r="D1571" t="s">
        <v>1633</v>
      </c>
      <c r="E1571" t="s">
        <v>553</v>
      </c>
      <c r="F1571" t="s">
        <v>1068</v>
      </c>
      <c r="G1571" t="s">
        <v>1089</v>
      </c>
      <c r="H1571">
        <v>-1.2926279899929101E-2</v>
      </c>
      <c r="I1571" t="s">
        <v>1090</v>
      </c>
      <c r="J1571">
        <v>2.04</v>
      </c>
    </row>
    <row r="1572" spans="1:10" hidden="1">
      <c r="A1572" t="s">
        <v>1649</v>
      </c>
      <c r="B1572" t="s">
        <v>1650</v>
      </c>
      <c r="C1572" t="s">
        <v>1066</v>
      </c>
      <c r="D1572" t="s">
        <v>1633</v>
      </c>
      <c r="E1572" t="s">
        <v>556</v>
      </c>
      <c r="F1572" t="s">
        <v>1068</v>
      </c>
      <c r="G1572" t="s">
        <v>1069</v>
      </c>
      <c r="H1572" s="171" t="s">
        <v>1651</v>
      </c>
      <c r="I1572" t="s">
        <v>1070</v>
      </c>
      <c r="J1572">
        <v>2.0499999999999998</v>
      </c>
    </row>
    <row r="1573" spans="1:10" hidden="1">
      <c r="A1573" t="s">
        <v>1649</v>
      </c>
      <c r="B1573" t="s">
        <v>1650</v>
      </c>
      <c r="C1573" t="s">
        <v>1066</v>
      </c>
      <c r="D1573" t="s">
        <v>1633</v>
      </c>
      <c r="E1573" t="s">
        <v>556</v>
      </c>
      <c r="F1573" t="s">
        <v>1068</v>
      </c>
      <c r="G1573" t="s">
        <v>1071</v>
      </c>
      <c r="H1573" s="170">
        <v>-7.5628812458494194E-11</v>
      </c>
      <c r="I1573" t="s">
        <v>1072</v>
      </c>
      <c r="J1573">
        <v>2.0499999999999998</v>
      </c>
    </row>
    <row r="1574" spans="1:10" hidden="1">
      <c r="A1574" t="s">
        <v>1649</v>
      </c>
      <c r="B1574" t="s">
        <v>1650</v>
      </c>
      <c r="C1574" t="s">
        <v>1066</v>
      </c>
      <c r="D1574" t="s">
        <v>1633</v>
      </c>
      <c r="E1574" t="s">
        <v>556</v>
      </c>
      <c r="F1574" t="s">
        <v>1068</v>
      </c>
      <c r="G1574" t="s">
        <v>1073</v>
      </c>
      <c r="H1574" s="170">
        <v>-1.74744158794856E-8</v>
      </c>
      <c r="I1574" t="s">
        <v>1074</v>
      </c>
      <c r="J1574">
        <v>2.0499999999999998</v>
      </c>
    </row>
    <row r="1575" spans="1:10" hidden="1">
      <c r="A1575" t="s">
        <v>1649</v>
      </c>
      <c r="B1575" t="s">
        <v>1650</v>
      </c>
      <c r="C1575" t="s">
        <v>1066</v>
      </c>
      <c r="D1575" t="s">
        <v>1633</v>
      </c>
      <c r="E1575" t="s">
        <v>556</v>
      </c>
      <c r="F1575" t="s">
        <v>1068</v>
      </c>
      <c r="G1575" t="s">
        <v>1075</v>
      </c>
      <c r="H1575">
        <v>3.92801969288075E-2</v>
      </c>
      <c r="I1575" t="s">
        <v>1077</v>
      </c>
      <c r="J1575">
        <v>2.0499999999999998</v>
      </c>
    </row>
    <row r="1576" spans="1:10" hidden="1">
      <c r="A1576" t="s">
        <v>1649</v>
      </c>
      <c r="B1576" t="s">
        <v>1650</v>
      </c>
      <c r="C1576" t="s">
        <v>1066</v>
      </c>
      <c r="D1576" t="s">
        <v>1633</v>
      </c>
      <c r="E1576" t="s">
        <v>556</v>
      </c>
      <c r="F1576" t="s">
        <v>1068</v>
      </c>
      <c r="G1576" t="s">
        <v>1078</v>
      </c>
      <c r="H1576">
        <v>-2.0946209450596398</v>
      </c>
      <c r="I1576" t="s">
        <v>1079</v>
      </c>
      <c r="J1576">
        <v>2.0499999999999998</v>
      </c>
    </row>
    <row r="1577" spans="1:10" hidden="1">
      <c r="A1577" t="s">
        <v>1649</v>
      </c>
      <c r="B1577" t="s">
        <v>1650</v>
      </c>
      <c r="C1577" t="s">
        <v>1066</v>
      </c>
      <c r="D1577" t="s">
        <v>1633</v>
      </c>
      <c r="E1577" t="s">
        <v>556</v>
      </c>
      <c r="F1577" t="s">
        <v>1068</v>
      </c>
      <c r="G1577" t="s">
        <v>1080</v>
      </c>
      <c r="H1577" s="171" t="s">
        <v>1652</v>
      </c>
      <c r="I1577" t="s">
        <v>1082</v>
      </c>
      <c r="J1577">
        <v>2.0499999999999998</v>
      </c>
    </row>
    <row r="1578" spans="1:10" hidden="1">
      <c r="A1578" t="s">
        <v>1649</v>
      </c>
      <c r="B1578" t="s">
        <v>1650</v>
      </c>
      <c r="C1578" t="s">
        <v>1066</v>
      </c>
      <c r="D1578" t="s">
        <v>1633</v>
      </c>
      <c r="E1578" t="s">
        <v>556</v>
      </c>
      <c r="F1578" t="s">
        <v>1068</v>
      </c>
      <c r="G1578" t="s">
        <v>1083</v>
      </c>
      <c r="H1578">
        <v>-1.7292361359947501E-3</v>
      </c>
      <c r="I1578" t="s">
        <v>1084</v>
      </c>
      <c r="J1578">
        <v>2.0499999999999998</v>
      </c>
    </row>
    <row r="1579" spans="1:10" hidden="1">
      <c r="A1579" t="s">
        <v>1649</v>
      </c>
      <c r="B1579" t="s">
        <v>1650</v>
      </c>
      <c r="C1579" t="s">
        <v>1066</v>
      </c>
      <c r="D1579" t="s">
        <v>1633</v>
      </c>
      <c r="E1579" t="s">
        <v>556</v>
      </c>
      <c r="F1579" t="s">
        <v>1068</v>
      </c>
      <c r="G1579" t="s">
        <v>1085</v>
      </c>
      <c r="H1579">
        <v>-4.8279195711854697E-2</v>
      </c>
      <c r="I1579" t="s">
        <v>1086</v>
      </c>
      <c r="J1579">
        <v>2.0499999999999998</v>
      </c>
    </row>
    <row r="1580" spans="1:10" hidden="1">
      <c r="A1580" t="s">
        <v>1649</v>
      </c>
      <c r="B1580" t="s">
        <v>1650</v>
      </c>
      <c r="C1580" t="s">
        <v>1066</v>
      </c>
      <c r="D1580" t="s">
        <v>1633</v>
      </c>
      <c r="E1580" t="s">
        <v>556</v>
      </c>
      <c r="F1580" t="s">
        <v>1068</v>
      </c>
      <c r="G1580" t="s">
        <v>1087</v>
      </c>
      <c r="H1580" s="170">
        <v>-1.4644027879103999E-5</v>
      </c>
      <c r="I1580" t="s">
        <v>1088</v>
      </c>
      <c r="J1580">
        <v>2.0499999999999998</v>
      </c>
    </row>
    <row r="1581" spans="1:10" hidden="1">
      <c r="A1581" t="s">
        <v>1649</v>
      </c>
      <c r="B1581" t="s">
        <v>1650</v>
      </c>
      <c r="C1581" t="s">
        <v>1066</v>
      </c>
      <c r="D1581" t="s">
        <v>1633</v>
      </c>
      <c r="E1581" t="s">
        <v>556</v>
      </c>
      <c r="F1581" t="s">
        <v>1068</v>
      </c>
      <c r="G1581" t="s">
        <v>1089</v>
      </c>
      <c r="H1581">
        <v>-1.2926832761432E-2</v>
      </c>
      <c r="I1581" t="s">
        <v>1090</v>
      </c>
      <c r="J1581">
        <v>2.0499999999999998</v>
      </c>
    </row>
    <row r="1582" spans="1:10" hidden="1">
      <c r="A1582" t="s">
        <v>1653</v>
      </c>
      <c r="B1582" t="s">
        <v>1654</v>
      </c>
      <c r="C1582" t="s">
        <v>1066</v>
      </c>
      <c r="D1582" t="s">
        <v>1633</v>
      </c>
      <c r="E1582" t="s">
        <v>557</v>
      </c>
      <c r="F1582" t="s">
        <v>1068</v>
      </c>
      <c r="G1582" t="s">
        <v>1069</v>
      </c>
      <c r="H1582" s="171" t="s">
        <v>1655</v>
      </c>
      <c r="I1582" t="s">
        <v>1070</v>
      </c>
      <c r="J1582">
        <v>2.54</v>
      </c>
    </row>
    <row r="1583" spans="1:10" hidden="1">
      <c r="A1583" t="s">
        <v>1653</v>
      </c>
      <c r="B1583" t="s">
        <v>1654</v>
      </c>
      <c r="C1583" t="s">
        <v>1066</v>
      </c>
      <c r="D1583" t="s">
        <v>1633</v>
      </c>
      <c r="E1583" t="s">
        <v>557</v>
      </c>
      <c r="F1583" t="s">
        <v>1068</v>
      </c>
      <c r="G1583" t="s">
        <v>1071</v>
      </c>
      <c r="H1583" s="170">
        <v>-7.4386458193988199E-11</v>
      </c>
      <c r="I1583" t="s">
        <v>1072</v>
      </c>
      <c r="J1583">
        <v>2.54</v>
      </c>
    </row>
    <row r="1584" spans="1:10" hidden="1">
      <c r="A1584" t="s">
        <v>1653</v>
      </c>
      <c r="B1584" t="s">
        <v>1654</v>
      </c>
      <c r="C1584" t="s">
        <v>1066</v>
      </c>
      <c r="D1584" t="s">
        <v>1633</v>
      </c>
      <c r="E1584" t="s">
        <v>557</v>
      </c>
      <c r="F1584" t="s">
        <v>1068</v>
      </c>
      <c r="G1584" t="s">
        <v>1073</v>
      </c>
      <c r="H1584" s="170">
        <v>-1.7157026876305299E-8</v>
      </c>
      <c r="I1584" t="s">
        <v>1074</v>
      </c>
      <c r="J1584">
        <v>2.54</v>
      </c>
    </row>
    <row r="1585" spans="1:10" hidden="1">
      <c r="A1585" t="s">
        <v>1653</v>
      </c>
      <c r="B1585" t="s">
        <v>1654</v>
      </c>
      <c r="C1585" t="s">
        <v>1066</v>
      </c>
      <c r="D1585" t="s">
        <v>1633</v>
      </c>
      <c r="E1585" t="s">
        <v>557</v>
      </c>
      <c r="F1585" t="s">
        <v>1068</v>
      </c>
      <c r="G1585" t="s">
        <v>1075</v>
      </c>
      <c r="H1585" s="171" t="s">
        <v>1656</v>
      </c>
      <c r="I1585" t="s">
        <v>1077</v>
      </c>
      <c r="J1585">
        <v>2.54</v>
      </c>
    </row>
    <row r="1586" spans="1:10" hidden="1">
      <c r="A1586" t="s">
        <v>1653</v>
      </c>
      <c r="B1586" t="s">
        <v>1654</v>
      </c>
      <c r="C1586" t="s">
        <v>1066</v>
      </c>
      <c r="D1586" t="s">
        <v>1633</v>
      </c>
      <c r="E1586" t="s">
        <v>557</v>
      </c>
      <c r="F1586" t="s">
        <v>1068</v>
      </c>
      <c r="G1586" t="s">
        <v>1078</v>
      </c>
      <c r="H1586">
        <v>-2.1008664632998002</v>
      </c>
      <c r="I1586" t="s">
        <v>1079</v>
      </c>
      <c r="J1586">
        <v>2.54</v>
      </c>
    </row>
    <row r="1587" spans="1:10" hidden="1">
      <c r="A1587" t="s">
        <v>1653</v>
      </c>
      <c r="B1587" t="s">
        <v>1654</v>
      </c>
      <c r="C1587" t="s">
        <v>1066</v>
      </c>
      <c r="D1587" t="s">
        <v>1633</v>
      </c>
      <c r="E1587" t="s">
        <v>557</v>
      </c>
      <c r="F1587" t="s">
        <v>1068</v>
      </c>
      <c r="G1587" t="s">
        <v>1080</v>
      </c>
      <c r="H1587" s="171" t="s">
        <v>1657</v>
      </c>
      <c r="I1587" t="s">
        <v>1082</v>
      </c>
      <c r="J1587">
        <v>2.54</v>
      </c>
    </row>
    <row r="1588" spans="1:10" hidden="1">
      <c r="A1588" t="s">
        <v>1653</v>
      </c>
      <c r="B1588" t="s">
        <v>1654</v>
      </c>
      <c r="C1588" t="s">
        <v>1066</v>
      </c>
      <c r="D1588" t="s">
        <v>1633</v>
      </c>
      <c r="E1588" t="s">
        <v>557</v>
      </c>
      <c r="F1588" t="s">
        <v>1068</v>
      </c>
      <c r="G1588" t="s">
        <v>1083</v>
      </c>
      <c r="H1588">
        <v>-1.7290997808073101E-3</v>
      </c>
      <c r="I1588" t="s">
        <v>1084</v>
      </c>
      <c r="J1588">
        <v>2.54</v>
      </c>
    </row>
    <row r="1589" spans="1:10" hidden="1">
      <c r="A1589" t="s">
        <v>1653</v>
      </c>
      <c r="B1589" t="s">
        <v>1654</v>
      </c>
      <c r="C1589" t="s">
        <v>1066</v>
      </c>
      <c r="D1589" t="s">
        <v>1633</v>
      </c>
      <c r="E1589" t="s">
        <v>557</v>
      </c>
      <c r="F1589" t="s">
        <v>1068</v>
      </c>
      <c r="G1589" t="s">
        <v>1085</v>
      </c>
      <c r="H1589">
        <v>-4.8277748929259401E-2</v>
      </c>
      <c r="I1589" t="s">
        <v>1086</v>
      </c>
      <c r="J1589">
        <v>2.54</v>
      </c>
    </row>
    <row r="1590" spans="1:10" hidden="1">
      <c r="A1590" t="s">
        <v>1653</v>
      </c>
      <c r="B1590" t="s">
        <v>1654</v>
      </c>
      <c r="C1590" t="s">
        <v>1066</v>
      </c>
      <c r="D1590" t="s">
        <v>1633</v>
      </c>
      <c r="E1590" t="s">
        <v>557</v>
      </c>
      <c r="F1590" t="s">
        <v>1068</v>
      </c>
      <c r="G1590" t="s">
        <v>1087</v>
      </c>
      <c r="H1590" s="170">
        <v>-1.46434712208916E-5</v>
      </c>
      <c r="I1590" t="s">
        <v>1088</v>
      </c>
      <c r="J1590">
        <v>2.54</v>
      </c>
    </row>
    <row r="1591" spans="1:10" hidden="1">
      <c r="A1591" t="s">
        <v>1653</v>
      </c>
      <c r="B1591" t="s">
        <v>1654</v>
      </c>
      <c r="C1591" t="s">
        <v>1066</v>
      </c>
      <c r="D1591" t="s">
        <v>1633</v>
      </c>
      <c r="E1591" t="s">
        <v>557</v>
      </c>
      <c r="F1591" t="s">
        <v>1068</v>
      </c>
      <c r="G1591" t="s">
        <v>1089</v>
      </c>
      <c r="H1591">
        <v>-1.29265154706967E-2</v>
      </c>
      <c r="I1591" t="s">
        <v>1090</v>
      </c>
      <c r="J1591">
        <v>2.54</v>
      </c>
    </row>
    <row r="1592" spans="1:10" hidden="1">
      <c r="A1592" t="s">
        <v>1658</v>
      </c>
      <c r="B1592" t="s">
        <v>1659</v>
      </c>
      <c r="C1592" t="s">
        <v>1066</v>
      </c>
      <c r="D1592" t="s">
        <v>1633</v>
      </c>
      <c r="E1592" t="s">
        <v>559</v>
      </c>
      <c r="F1592" t="s">
        <v>1068</v>
      </c>
      <c r="G1592" t="s">
        <v>1069</v>
      </c>
      <c r="H1592" s="171" t="s">
        <v>1660</v>
      </c>
      <c r="I1592" t="s">
        <v>1070</v>
      </c>
      <c r="J1592">
        <v>2.04</v>
      </c>
    </row>
    <row r="1593" spans="1:10" hidden="1">
      <c r="A1593" t="s">
        <v>1658</v>
      </c>
      <c r="B1593" t="s">
        <v>1659</v>
      </c>
      <c r="C1593" t="s">
        <v>1066</v>
      </c>
      <c r="D1593" t="s">
        <v>1633</v>
      </c>
      <c r="E1593" t="s">
        <v>559</v>
      </c>
      <c r="F1593" t="s">
        <v>1068</v>
      </c>
      <c r="G1593" t="s">
        <v>1071</v>
      </c>
      <c r="H1593" s="170">
        <v>-7.4997434047729696E-11</v>
      </c>
      <c r="I1593" t="s">
        <v>1072</v>
      </c>
      <c r="J1593">
        <v>2.04</v>
      </c>
    </row>
    <row r="1594" spans="1:10" hidden="1">
      <c r="A1594" t="s">
        <v>1658</v>
      </c>
      <c r="B1594" t="s">
        <v>1659</v>
      </c>
      <c r="C1594" t="s">
        <v>1066</v>
      </c>
      <c r="D1594" t="s">
        <v>1633</v>
      </c>
      <c r="E1594" t="s">
        <v>559</v>
      </c>
      <c r="F1594" t="s">
        <v>1068</v>
      </c>
      <c r="G1594" t="s">
        <v>1073</v>
      </c>
      <c r="H1594" s="170">
        <v>-1.73106415974488E-8</v>
      </c>
      <c r="I1594" t="s">
        <v>1074</v>
      </c>
      <c r="J1594">
        <v>2.04</v>
      </c>
    </row>
    <row r="1595" spans="1:10" hidden="1">
      <c r="A1595" t="s">
        <v>1658</v>
      </c>
      <c r="B1595" t="s">
        <v>1659</v>
      </c>
      <c r="C1595" t="s">
        <v>1066</v>
      </c>
      <c r="D1595" t="s">
        <v>1633</v>
      </c>
      <c r="E1595" t="s">
        <v>559</v>
      </c>
      <c r="F1595" t="s">
        <v>1068</v>
      </c>
      <c r="G1595" t="s">
        <v>1075</v>
      </c>
      <c r="H1595" s="171" t="s">
        <v>1661</v>
      </c>
      <c r="I1595" t="s">
        <v>1077</v>
      </c>
      <c r="J1595">
        <v>2.04</v>
      </c>
    </row>
    <row r="1596" spans="1:10" hidden="1">
      <c r="A1596" t="s">
        <v>1658</v>
      </c>
      <c r="B1596" t="s">
        <v>1659</v>
      </c>
      <c r="C1596" t="s">
        <v>1066</v>
      </c>
      <c r="D1596" t="s">
        <v>1633</v>
      </c>
      <c r="E1596" t="s">
        <v>559</v>
      </c>
      <c r="F1596" t="s">
        <v>1068</v>
      </c>
      <c r="G1596" t="s">
        <v>1078</v>
      </c>
      <c r="H1596">
        <v>-2.0998517477798599</v>
      </c>
      <c r="I1596" t="s">
        <v>1079</v>
      </c>
      <c r="J1596">
        <v>2.04</v>
      </c>
    </row>
    <row r="1597" spans="1:10" hidden="1">
      <c r="A1597" t="s">
        <v>1658</v>
      </c>
      <c r="B1597" t="s">
        <v>1659</v>
      </c>
      <c r="C1597" t="s">
        <v>1066</v>
      </c>
      <c r="D1597" t="s">
        <v>1633</v>
      </c>
      <c r="E1597" t="s">
        <v>559</v>
      </c>
      <c r="F1597" t="s">
        <v>1068</v>
      </c>
      <c r="G1597" t="s">
        <v>1080</v>
      </c>
      <c r="H1597" s="171" t="s">
        <v>1662</v>
      </c>
      <c r="I1597" t="s">
        <v>1082</v>
      </c>
      <c r="J1597">
        <v>2.04</v>
      </c>
    </row>
    <row r="1598" spans="1:10" hidden="1">
      <c r="A1598" t="s">
        <v>1658</v>
      </c>
      <c r="B1598" t="s">
        <v>1659</v>
      </c>
      <c r="C1598" t="s">
        <v>1066</v>
      </c>
      <c r="D1598" t="s">
        <v>1633</v>
      </c>
      <c r="E1598" t="s">
        <v>559</v>
      </c>
      <c r="F1598" t="s">
        <v>1068</v>
      </c>
      <c r="G1598" t="s">
        <v>1083</v>
      </c>
      <c r="H1598">
        <v>-1.7291656632702399E-3</v>
      </c>
      <c r="I1598" t="s">
        <v>1084</v>
      </c>
      <c r="J1598">
        <v>2.04</v>
      </c>
    </row>
    <row r="1599" spans="1:10" hidden="1">
      <c r="A1599" t="s">
        <v>1658</v>
      </c>
      <c r="B1599" t="s">
        <v>1659</v>
      </c>
      <c r="C1599" t="s">
        <v>1066</v>
      </c>
      <c r="D1599" t="s">
        <v>1633</v>
      </c>
      <c r="E1599" t="s">
        <v>559</v>
      </c>
      <c r="F1599" t="s">
        <v>1068</v>
      </c>
      <c r="G1599" t="s">
        <v>1085</v>
      </c>
      <c r="H1599">
        <v>-4.8278473166666003E-2</v>
      </c>
      <c r="I1599" t="s">
        <v>1086</v>
      </c>
      <c r="J1599">
        <v>2.04</v>
      </c>
    </row>
    <row r="1600" spans="1:10" hidden="1">
      <c r="A1600" t="s">
        <v>1658</v>
      </c>
      <c r="B1600" t="s">
        <v>1659</v>
      </c>
      <c r="C1600" t="s">
        <v>1066</v>
      </c>
      <c r="D1600" t="s">
        <v>1633</v>
      </c>
      <c r="E1600" t="s">
        <v>559</v>
      </c>
      <c r="F1600" t="s">
        <v>1068</v>
      </c>
      <c r="G1600" t="s">
        <v>1087</v>
      </c>
      <c r="H1600" s="170">
        <v>-1.4643643444030699E-5</v>
      </c>
      <c r="I1600" t="s">
        <v>1088</v>
      </c>
      <c r="J1600">
        <v>2.04</v>
      </c>
    </row>
    <row r="1601" spans="1:10" hidden="1">
      <c r="A1601" t="s">
        <v>1658</v>
      </c>
      <c r="B1601" t="s">
        <v>1659</v>
      </c>
      <c r="C1601" t="s">
        <v>1066</v>
      </c>
      <c r="D1601" t="s">
        <v>1633</v>
      </c>
      <c r="E1601" t="s">
        <v>559</v>
      </c>
      <c r="F1601" t="s">
        <v>1068</v>
      </c>
      <c r="G1601" t="s">
        <v>1089</v>
      </c>
      <c r="H1601">
        <v>-1.29266684277269E-2</v>
      </c>
      <c r="I1601" t="s">
        <v>1090</v>
      </c>
      <c r="J1601">
        <v>2.04</v>
      </c>
    </row>
    <row r="1602" spans="1:10" hidden="1">
      <c r="A1602" t="s">
        <v>1663</v>
      </c>
      <c r="B1602" t="s">
        <v>1664</v>
      </c>
      <c r="C1602" t="s">
        <v>1066</v>
      </c>
      <c r="D1602" t="s">
        <v>1633</v>
      </c>
      <c r="E1602" t="s">
        <v>560</v>
      </c>
      <c r="F1602" t="s">
        <v>1068</v>
      </c>
      <c r="G1602" t="s">
        <v>1069</v>
      </c>
      <c r="H1602" s="171" t="s">
        <v>1665</v>
      </c>
      <c r="I1602" t="s">
        <v>1070</v>
      </c>
      <c r="J1602">
        <v>2.04</v>
      </c>
    </row>
    <row r="1603" spans="1:10" hidden="1">
      <c r="A1603" t="s">
        <v>1663</v>
      </c>
      <c r="B1603" t="s">
        <v>1664</v>
      </c>
      <c r="C1603" t="s">
        <v>1066</v>
      </c>
      <c r="D1603" t="s">
        <v>1633</v>
      </c>
      <c r="E1603" t="s">
        <v>560</v>
      </c>
      <c r="F1603" t="s">
        <v>1068</v>
      </c>
      <c r="G1603" t="s">
        <v>1071</v>
      </c>
      <c r="H1603" s="170">
        <v>-7.4795379413512594E-11</v>
      </c>
      <c r="I1603" t="s">
        <v>1072</v>
      </c>
      <c r="J1603">
        <v>2.04</v>
      </c>
    </row>
    <row r="1604" spans="1:10" hidden="1">
      <c r="A1604" t="s">
        <v>1663</v>
      </c>
      <c r="B1604" t="s">
        <v>1664</v>
      </c>
      <c r="C1604" t="s">
        <v>1066</v>
      </c>
      <c r="D1604" t="s">
        <v>1633</v>
      </c>
      <c r="E1604" t="s">
        <v>560</v>
      </c>
      <c r="F1604" t="s">
        <v>1068</v>
      </c>
      <c r="G1604" t="s">
        <v>1073</v>
      </c>
      <c r="H1604" s="170">
        <v>-1.7258528592835899E-8</v>
      </c>
      <c r="I1604" t="s">
        <v>1074</v>
      </c>
      <c r="J1604">
        <v>2.04</v>
      </c>
    </row>
    <row r="1605" spans="1:10" hidden="1">
      <c r="A1605" t="s">
        <v>1663</v>
      </c>
      <c r="B1605" t="s">
        <v>1664</v>
      </c>
      <c r="C1605" t="s">
        <v>1066</v>
      </c>
      <c r="D1605" t="s">
        <v>1633</v>
      </c>
      <c r="E1605" t="s">
        <v>560</v>
      </c>
      <c r="F1605" t="s">
        <v>1068</v>
      </c>
      <c r="G1605" t="s">
        <v>1075</v>
      </c>
      <c r="H1605">
        <v>3.9281597260910399E-2</v>
      </c>
      <c r="I1605" t="s">
        <v>1077</v>
      </c>
      <c r="J1605">
        <v>2.04</v>
      </c>
    </row>
    <row r="1606" spans="1:10" hidden="1">
      <c r="A1606" t="s">
        <v>1663</v>
      </c>
      <c r="B1606" t="s">
        <v>1664</v>
      </c>
      <c r="C1606" t="s">
        <v>1066</v>
      </c>
      <c r="D1606" t="s">
        <v>1633</v>
      </c>
      <c r="E1606" t="s">
        <v>560</v>
      </c>
      <c r="F1606" t="s">
        <v>1068</v>
      </c>
      <c r="G1606" t="s">
        <v>1078</v>
      </c>
      <c r="H1606">
        <v>-2.10125708841294</v>
      </c>
      <c r="I1606" t="s">
        <v>1079</v>
      </c>
      <c r="J1606">
        <v>2.04</v>
      </c>
    </row>
    <row r="1607" spans="1:10" hidden="1">
      <c r="A1607" t="s">
        <v>1663</v>
      </c>
      <c r="B1607" t="s">
        <v>1664</v>
      </c>
      <c r="C1607" t="s">
        <v>1066</v>
      </c>
      <c r="D1607" t="s">
        <v>1633</v>
      </c>
      <c r="E1607" t="s">
        <v>560</v>
      </c>
      <c r="F1607" t="s">
        <v>1068</v>
      </c>
      <c r="G1607" t="s">
        <v>1080</v>
      </c>
      <c r="H1607" s="171" t="s">
        <v>1666</v>
      </c>
      <c r="I1607" t="s">
        <v>1082</v>
      </c>
      <c r="J1607">
        <v>2.04</v>
      </c>
    </row>
    <row r="1608" spans="1:10" hidden="1">
      <c r="A1608" t="s">
        <v>1663</v>
      </c>
      <c r="B1608" t="s">
        <v>1664</v>
      </c>
      <c r="C1608" t="s">
        <v>1066</v>
      </c>
      <c r="D1608" t="s">
        <v>1633</v>
      </c>
      <c r="E1608" t="s">
        <v>560</v>
      </c>
      <c r="F1608" t="s">
        <v>1068</v>
      </c>
      <c r="G1608" t="s">
        <v>1083</v>
      </c>
      <c r="H1608">
        <v>-1.72914321602467E-3</v>
      </c>
      <c r="I1608" t="s">
        <v>1084</v>
      </c>
      <c r="J1608">
        <v>2.04</v>
      </c>
    </row>
    <row r="1609" spans="1:10" hidden="1">
      <c r="A1609" t="s">
        <v>1663</v>
      </c>
      <c r="B1609" t="s">
        <v>1664</v>
      </c>
      <c r="C1609" t="s">
        <v>1066</v>
      </c>
      <c r="D1609" t="s">
        <v>1633</v>
      </c>
      <c r="E1609" t="s">
        <v>560</v>
      </c>
      <c r="F1609" t="s">
        <v>1068</v>
      </c>
      <c r="G1609" t="s">
        <v>1085</v>
      </c>
      <c r="H1609">
        <v>-4.8278239835370301E-2</v>
      </c>
      <c r="I1609" t="s">
        <v>1086</v>
      </c>
      <c r="J1609">
        <v>2.04</v>
      </c>
    </row>
    <row r="1610" spans="1:10" hidden="1">
      <c r="A1610" t="s">
        <v>1663</v>
      </c>
      <c r="B1610" t="s">
        <v>1664</v>
      </c>
      <c r="C1610" t="s">
        <v>1066</v>
      </c>
      <c r="D1610" t="s">
        <v>1633</v>
      </c>
      <c r="E1610" t="s">
        <v>560</v>
      </c>
      <c r="F1610" t="s">
        <v>1068</v>
      </c>
      <c r="G1610" t="s">
        <v>1087</v>
      </c>
      <c r="H1610" s="170">
        <v>-1.4643708134422299E-5</v>
      </c>
      <c r="I1610" t="s">
        <v>1088</v>
      </c>
      <c r="J1610">
        <v>2.04</v>
      </c>
    </row>
    <row r="1611" spans="1:10" hidden="1">
      <c r="A1611" t="s">
        <v>1663</v>
      </c>
      <c r="B1611" t="s">
        <v>1664</v>
      </c>
      <c r="C1611" t="s">
        <v>1066</v>
      </c>
      <c r="D1611" t="s">
        <v>1633</v>
      </c>
      <c r="E1611" t="s">
        <v>560</v>
      </c>
      <c r="F1611" t="s">
        <v>1068</v>
      </c>
      <c r="G1611" t="s">
        <v>1089</v>
      </c>
      <c r="H1611">
        <v>-1.2926616743658E-2</v>
      </c>
      <c r="I1611" t="s">
        <v>1090</v>
      </c>
      <c r="J1611">
        <v>2.04</v>
      </c>
    </row>
    <row r="1612" spans="1:10" hidden="1">
      <c r="A1612" t="s">
        <v>1667</v>
      </c>
      <c r="B1612" t="s">
        <v>1668</v>
      </c>
      <c r="C1612" t="s">
        <v>1066</v>
      </c>
      <c r="D1612" t="s">
        <v>1633</v>
      </c>
      <c r="E1612" t="s">
        <v>1116</v>
      </c>
      <c r="F1612" t="s">
        <v>1068</v>
      </c>
      <c r="G1612" t="s">
        <v>1069</v>
      </c>
      <c r="H1612" s="171" t="s">
        <v>1669</v>
      </c>
      <c r="I1612" t="s">
        <v>1070</v>
      </c>
      <c r="J1612">
        <v>2.0499999999999998</v>
      </c>
    </row>
    <row r="1613" spans="1:10" hidden="1">
      <c r="A1613" t="s">
        <v>1667</v>
      </c>
      <c r="B1613" t="s">
        <v>1668</v>
      </c>
      <c r="C1613" t="s">
        <v>1066</v>
      </c>
      <c r="D1613" t="s">
        <v>1633</v>
      </c>
      <c r="E1613" t="s">
        <v>1116</v>
      </c>
      <c r="F1613" t="s">
        <v>1068</v>
      </c>
      <c r="G1613" t="s">
        <v>1071</v>
      </c>
      <c r="H1613" s="170">
        <v>-7.3554262388462006E-11</v>
      </c>
      <c r="I1613" t="s">
        <v>1072</v>
      </c>
      <c r="J1613">
        <v>2.0499999999999998</v>
      </c>
    </row>
    <row r="1614" spans="1:10" hidden="1">
      <c r="A1614" t="s">
        <v>1667</v>
      </c>
      <c r="B1614" t="s">
        <v>1668</v>
      </c>
      <c r="C1614" t="s">
        <v>1066</v>
      </c>
      <c r="D1614" t="s">
        <v>1633</v>
      </c>
      <c r="E1614" t="s">
        <v>1116</v>
      </c>
      <c r="F1614" t="s">
        <v>1068</v>
      </c>
      <c r="G1614" t="s">
        <v>1073</v>
      </c>
      <c r="H1614" s="170">
        <v>-1.6950460675532E-8</v>
      </c>
      <c r="I1614" t="s">
        <v>1074</v>
      </c>
      <c r="J1614">
        <v>2.0499999999999998</v>
      </c>
    </row>
    <row r="1615" spans="1:10" hidden="1">
      <c r="A1615" t="s">
        <v>1667</v>
      </c>
      <c r="B1615" t="s">
        <v>1668</v>
      </c>
      <c r="C1615" t="s">
        <v>1066</v>
      </c>
      <c r="D1615" t="s">
        <v>1633</v>
      </c>
      <c r="E1615" t="s">
        <v>1116</v>
      </c>
      <c r="F1615" t="s">
        <v>1068</v>
      </c>
      <c r="G1615" t="s">
        <v>1075</v>
      </c>
      <c r="H1615">
        <v>3.9309013559382502E-2</v>
      </c>
      <c r="I1615" t="s">
        <v>1077</v>
      </c>
      <c r="J1615">
        <v>2.0499999999999998</v>
      </c>
    </row>
    <row r="1616" spans="1:10" hidden="1">
      <c r="A1616" t="s">
        <v>1667</v>
      </c>
      <c r="B1616" t="s">
        <v>1668</v>
      </c>
      <c r="C1616" t="s">
        <v>1066</v>
      </c>
      <c r="D1616" t="s">
        <v>1633</v>
      </c>
      <c r="E1616" t="s">
        <v>1116</v>
      </c>
      <c r="F1616" t="s">
        <v>1068</v>
      </c>
      <c r="G1616" t="s">
        <v>1078</v>
      </c>
      <c r="H1616">
        <v>-2.1000715019113301</v>
      </c>
      <c r="I1616" t="s">
        <v>1079</v>
      </c>
      <c r="J1616">
        <v>2.0499999999999998</v>
      </c>
    </row>
    <row r="1617" spans="1:10" hidden="1">
      <c r="A1617" t="s">
        <v>1667</v>
      </c>
      <c r="B1617" t="s">
        <v>1668</v>
      </c>
      <c r="C1617" t="s">
        <v>1066</v>
      </c>
      <c r="D1617" t="s">
        <v>1633</v>
      </c>
      <c r="E1617" t="s">
        <v>1116</v>
      </c>
      <c r="F1617" t="s">
        <v>1068</v>
      </c>
      <c r="G1617" t="s">
        <v>1080</v>
      </c>
      <c r="H1617" s="171" t="s">
        <v>1670</v>
      </c>
      <c r="I1617" t="s">
        <v>1082</v>
      </c>
      <c r="J1617">
        <v>2.0499999999999998</v>
      </c>
    </row>
    <row r="1618" spans="1:10" hidden="1">
      <c r="A1618" t="s">
        <v>1667</v>
      </c>
      <c r="B1618" t="s">
        <v>1668</v>
      </c>
      <c r="C1618" t="s">
        <v>1066</v>
      </c>
      <c r="D1618" t="s">
        <v>1633</v>
      </c>
      <c r="E1618" t="s">
        <v>1116</v>
      </c>
      <c r="F1618" t="s">
        <v>1068</v>
      </c>
      <c r="G1618" t="s">
        <v>1083</v>
      </c>
      <c r="H1618">
        <v>-1.72901138577192E-3</v>
      </c>
      <c r="I1618" t="s">
        <v>1084</v>
      </c>
      <c r="J1618">
        <v>2.0499999999999998</v>
      </c>
    </row>
    <row r="1619" spans="1:10" hidden="1">
      <c r="A1619" t="s">
        <v>1667</v>
      </c>
      <c r="B1619" t="s">
        <v>1668</v>
      </c>
      <c r="C1619" t="s">
        <v>1066</v>
      </c>
      <c r="D1619" t="s">
        <v>1633</v>
      </c>
      <c r="E1619" t="s">
        <v>1116</v>
      </c>
      <c r="F1619" t="s">
        <v>1068</v>
      </c>
      <c r="G1619" t="s">
        <v>1085</v>
      </c>
      <c r="H1619">
        <v>-4.8276749885955199E-2</v>
      </c>
      <c r="I1619" t="s">
        <v>1086</v>
      </c>
      <c r="J1619">
        <v>2.0499999999999998</v>
      </c>
    </row>
    <row r="1620" spans="1:10" hidden="1">
      <c r="A1620" t="s">
        <v>1667</v>
      </c>
      <c r="B1620" t="s">
        <v>1668</v>
      </c>
      <c r="C1620" t="s">
        <v>1066</v>
      </c>
      <c r="D1620" t="s">
        <v>1633</v>
      </c>
      <c r="E1620" t="s">
        <v>1116</v>
      </c>
      <c r="F1620" t="s">
        <v>1068</v>
      </c>
      <c r="G1620" t="s">
        <v>1087</v>
      </c>
      <c r="H1620" s="170">
        <v>-1.4642989078031399E-5</v>
      </c>
      <c r="I1620" t="s">
        <v>1088</v>
      </c>
      <c r="J1620">
        <v>2.0499999999999998</v>
      </c>
    </row>
    <row r="1621" spans="1:10" hidden="1">
      <c r="A1621" t="s">
        <v>1667</v>
      </c>
      <c r="B1621" t="s">
        <v>1668</v>
      </c>
      <c r="C1621" t="s">
        <v>1066</v>
      </c>
      <c r="D1621" t="s">
        <v>1633</v>
      </c>
      <c r="E1621" t="s">
        <v>1116</v>
      </c>
      <c r="F1621" t="s">
        <v>1068</v>
      </c>
      <c r="G1621" t="s">
        <v>1089</v>
      </c>
      <c r="H1621">
        <v>-1.29263093700359E-2</v>
      </c>
      <c r="I1621" t="s">
        <v>1090</v>
      </c>
      <c r="J1621">
        <v>2.0499999999999998</v>
      </c>
    </row>
    <row r="1622" spans="1:10" hidden="1">
      <c r="A1622" t="s">
        <v>1671</v>
      </c>
      <c r="B1622" t="s">
        <v>1672</v>
      </c>
      <c r="C1622" t="s">
        <v>1066</v>
      </c>
      <c r="D1622" t="s">
        <v>1673</v>
      </c>
      <c r="E1622" t="s">
        <v>561</v>
      </c>
      <c r="F1622" t="s">
        <v>1068</v>
      </c>
      <c r="G1622" t="s">
        <v>1069</v>
      </c>
      <c r="H1622">
        <v>-0.26170677945937598</v>
      </c>
      <c r="I1622" t="s">
        <v>1070</v>
      </c>
      <c r="J1622">
        <v>2.04</v>
      </c>
    </row>
    <row r="1623" spans="1:10" hidden="1">
      <c r="A1623" t="s">
        <v>1671</v>
      </c>
      <c r="B1623" t="s">
        <v>1672</v>
      </c>
      <c r="C1623" t="s">
        <v>1066</v>
      </c>
      <c r="D1623" t="s">
        <v>1673</v>
      </c>
      <c r="E1623" t="s">
        <v>561</v>
      </c>
      <c r="F1623" t="s">
        <v>1068</v>
      </c>
      <c r="G1623" t="s">
        <v>1071</v>
      </c>
      <c r="H1623" s="170">
        <v>-5.3265044904995097E-10</v>
      </c>
      <c r="I1623" t="s">
        <v>1072</v>
      </c>
      <c r="J1623">
        <v>2.04</v>
      </c>
    </row>
    <row r="1624" spans="1:10" hidden="1">
      <c r="A1624" t="s">
        <v>1671</v>
      </c>
      <c r="B1624" t="s">
        <v>1672</v>
      </c>
      <c r="C1624" t="s">
        <v>1066</v>
      </c>
      <c r="D1624" t="s">
        <v>1673</v>
      </c>
      <c r="E1624" t="s">
        <v>561</v>
      </c>
      <c r="F1624" t="s">
        <v>1068</v>
      </c>
      <c r="G1624" t="s">
        <v>1073</v>
      </c>
      <c r="H1624" s="170">
        <v>-1.0456083327170301E-7</v>
      </c>
      <c r="I1624" t="s">
        <v>1074</v>
      </c>
      <c r="J1624">
        <v>2.04</v>
      </c>
    </row>
    <row r="1625" spans="1:10" hidden="1">
      <c r="A1625" t="s">
        <v>1671</v>
      </c>
      <c r="B1625" t="s">
        <v>1672</v>
      </c>
      <c r="C1625" t="s">
        <v>1066</v>
      </c>
      <c r="D1625" t="s">
        <v>1673</v>
      </c>
      <c r="E1625" t="s">
        <v>561</v>
      </c>
      <c r="F1625" t="s">
        <v>1068</v>
      </c>
      <c r="G1625" t="s">
        <v>1075</v>
      </c>
      <c r="H1625">
        <v>2.1103267995561701E-2</v>
      </c>
      <c r="I1625" t="s">
        <v>1077</v>
      </c>
      <c r="J1625">
        <v>2.04</v>
      </c>
    </row>
    <row r="1626" spans="1:10" hidden="1">
      <c r="A1626" t="s">
        <v>1671</v>
      </c>
      <c r="B1626" t="s">
        <v>1672</v>
      </c>
      <c r="C1626" t="s">
        <v>1066</v>
      </c>
      <c r="D1626" t="s">
        <v>1673</v>
      </c>
      <c r="E1626" t="s">
        <v>561</v>
      </c>
      <c r="F1626" t="s">
        <v>1068</v>
      </c>
      <c r="G1626" t="s">
        <v>1078</v>
      </c>
      <c r="H1626">
        <v>-0.74020312188889104</v>
      </c>
      <c r="I1626" t="s">
        <v>1079</v>
      </c>
      <c r="J1626">
        <v>2.04</v>
      </c>
    </row>
    <row r="1627" spans="1:10" hidden="1">
      <c r="A1627" t="s">
        <v>1671</v>
      </c>
      <c r="B1627" t="s">
        <v>1672</v>
      </c>
      <c r="C1627" t="s">
        <v>1066</v>
      </c>
      <c r="D1627" t="s">
        <v>1673</v>
      </c>
      <c r="E1627" t="s">
        <v>561</v>
      </c>
      <c r="F1627" t="s">
        <v>1068</v>
      </c>
      <c r="G1627" t="s">
        <v>1080</v>
      </c>
      <c r="H1627" s="171" t="s">
        <v>1674</v>
      </c>
      <c r="I1627" t="s">
        <v>1082</v>
      </c>
      <c r="J1627">
        <v>2.04</v>
      </c>
    </row>
    <row r="1628" spans="1:10" hidden="1">
      <c r="A1628" t="s">
        <v>1671</v>
      </c>
      <c r="B1628" t="s">
        <v>1672</v>
      </c>
      <c r="C1628" t="s">
        <v>1066</v>
      </c>
      <c r="D1628" t="s">
        <v>1673</v>
      </c>
      <c r="E1628" t="s">
        <v>561</v>
      </c>
      <c r="F1628" t="s">
        <v>1068</v>
      </c>
      <c r="G1628" t="s">
        <v>1083</v>
      </c>
      <c r="H1628">
        <v>-4.6875935530866602E-4</v>
      </c>
      <c r="I1628" t="s">
        <v>1084</v>
      </c>
      <c r="J1628">
        <v>2.04</v>
      </c>
    </row>
    <row r="1629" spans="1:10" hidden="1">
      <c r="A1629" t="s">
        <v>1671</v>
      </c>
      <c r="B1629" t="s">
        <v>1672</v>
      </c>
      <c r="C1629" t="s">
        <v>1066</v>
      </c>
      <c r="D1629" t="s">
        <v>1673</v>
      </c>
      <c r="E1629" t="s">
        <v>561</v>
      </c>
      <c r="F1629" t="s">
        <v>1068</v>
      </c>
      <c r="G1629" t="s">
        <v>1085</v>
      </c>
      <c r="H1629">
        <v>-1.2552027252354599E-2</v>
      </c>
      <c r="I1629" t="s">
        <v>1086</v>
      </c>
      <c r="J1629">
        <v>2.04</v>
      </c>
    </row>
    <row r="1630" spans="1:10" hidden="1">
      <c r="A1630" t="s">
        <v>1671</v>
      </c>
      <c r="B1630" t="s">
        <v>1672</v>
      </c>
      <c r="C1630" t="s">
        <v>1066</v>
      </c>
      <c r="D1630" t="s">
        <v>1673</v>
      </c>
      <c r="E1630" t="s">
        <v>561</v>
      </c>
      <c r="F1630" t="s">
        <v>1068</v>
      </c>
      <c r="G1630" t="s">
        <v>1087</v>
      </c>
      <c r="H1630" s="170">
        <v>-5.1449241969709401E-6</v>
      </c>
      <c r="I1630" t="s">
        <v>1088</v>
      </c>
      <c r="J1630">
        <v>2.04</v>
      </c>
    </row>
    <row r="1631" spans="1:10" hidden="1">
      <c r="A1631" t="s">
        <v>1671</v>
      </c>
      <c r="B1631" t="s">
        <v>1672</v>
      </c>
      <c r="C1631" t="s">
        <v>1066</v>
      </c>
      <c r="D1631" t="s">
        <v>1673</v>
      </c>
      <c r="E1631" t="s">
        <v>561</v>
      </c>
      <c r="F1631" t="s">
        <v>1068</v>
      </c>
      <c r="G1631" t="s">
        <v>1089</v>
      </c>
      <c r="H1631">
        <v>-3.1804844021109499E-3</v>
      </c>
      <c r="I1631" t="s">
        <v>1090</v>
      </c>
      <c r="J1631">
        <v>2.04</v>
      </c>
    </row>
    <row r="1632" spans="1:10" hidden="1">
      <c r="A1632" t="s">
        <v>1675</v>
      </c>
      <c r="B1632" t="s">
        <v>1676</v>
      </c>
      <c r="C1632" t="s">
        <v>1066</v>
      </c>
      <c r="D1632" t="s">
        <v>1673</v>
      </c>
      <c r="E1632" t="s">
        <v>555</v>
      </c>
      <c r="F1632" t="s">
        <v>1068</v>
      </c>
      <c r="G1632" t="s">
        <v>1069</v>
      </c>
      <c r="H1632">
        <v>-0.27281707662674798</v>
      </c>
      <c r="I1632" t="s">
        <v>1070</v>
      </c>
      <c r="J1632">
        <v>2.04</v>
      </c>
    </row>
    <row r="1633" spans="1:10" hidden="1">
      <c r="A1633" t="s">
        <v>1675</v>
      </c>
      <c r="B1633" t="s">
        <v>1676</v>
      </c>
      <c r="C1633" t="s">
        <v>1066</v>
      </c>
      <c r="D1633" t="s">
        <v>1673</v>
      </c>
      <c r="E1633" t="s">
        <v>555</v>
      </c>
      <c r="F1633" t="s">
        <v>1068</v>
      </c>
      <c r="G1633" t="s">
        <v>1071</v>
      </c>
      <c r="H1633" s="170">
        <v>-5.4854652871126003E-10</v>
      </c>
      <c r="I1633" t="s">
        <v>1072</v>
      </c>
      <c r="J1633">
        <v>2.04</v>
      </c>
    </row>
    <row r="1634" spans="1:10" hidden="1">
      <c r="A1634" t="s">
        <v>1675</v>
      </c>
      <c r="B1634" t="s">
        <v>1676</v>
      </c>
      <c r="C1634" t="s">
        <v>1066</v>
      </c>
      <c r="D1634" t="s">
        <v>1673</v>
      </c>
      <c r="E1634" t="s">
        <v>555</v>
      </c>
      <c r="F1634" t="s">
        <v>1068</v>
      </c>
      <c r="G1634" t="s">
        <v>1073</v>
      </c>
      <c r="H1634" s="170">
        <v>-1.08507510295918E-7</v>
      </c>
      <c r="I1634" t="s">
        <v>1074</v>
      </c>
      <c r="J1634">
        <v>2.04</v>
      </c>
    </row>
    <row r="1635" spans="1:10" hidden="1">
      <c r="A1635" t="s">
        <v>1675</v>
      </c>
      <c r="B1635" t="s">
        <v>1676</v>
      </c>
      <c r="C1635" t="s">
        <v>1066</v>
      </c>
      <c r="D1635" t="s">
        <v>1673</v>
      </c>
      <c r="E1635" t="s">
        <v>555</v>
      </c>
      <c r="F1635" t="s">
        <v>1068</v>
      </c>
      <c r="G1635" t="s">
        <v>1075</v>
      </c>
      <c r="H1635" s="171" t="s">
        <v>1677</v>
      </c>
      <c r="I1635" t="s">
        <v>1077</v>
      </c>
      <c r="J1635">
        <v>2.04</v>
      </c>
    </row>
    <row r="1636" spans="1:10" hidden="1">
      <c r="A1636" t="s">
        <v>1675</v>
      </c>
      <c r="B1636" t="s">
        <v>1676</v>
      </c>
      <c r="C1636" t="s">
        <v>1066</v>
      </c>
      <c r="D1636" t="s">
        <v>1673</v>
      </c>
      <c r="E1636" t="s">
        <v>555</v>
      </c>
      <c r="F1636" t="s">
        <v>1068</v>
      </c>
      <c r="G1636" t="s">
        <v>1078</v>
      </c>
      <c r="H1636">
        <v>-0.75458879575177795</v>
      </c>
      <c r="I1636" t="s">
        <v>1079</v>
      </c>
      <c r="J1636">
        <v>2.04</v>
      </c>
    </row>
    <row r="1637" spans="1:10" hidden="1">
      <c r="A1637" t="s">
        <v>1675</v>
      </c>
      <c r="B1637" t="s">
        <v>1676</v>
      </c>
      <c r="C1637" t="s">
        <v>1066</v>
      </c>
      <c r="D1637" t="s">
        <v>1673</v>
      </c>
      <c r="E1637" t="s">
        <v>555</v>
      </c>
      <c r="F1637" t="s">
        <v>1068</v>
      </c>
      <c r="G1637" t="s">
        <v>1080</v>
      </c>
      <c r="H1637" s="171" t="s">
        <v>1678</v>
      </c>
      <c r="I1637" t="s">
        <v>1082</v>
      </c>
      <c r="J1637">
        <v>2.04</v>
      </c>
    </row>
    <row r="1638" spans="1:10" hidden="1">
      <c r="A1638" t="s">
        <v>1675</v>
      </c>
      <c r="B1638" t="s">
        <v>1676</v>
      </c>
      <c r="C1638" t="s">
        <v>1066</v>
      </c>
      <c r="D1638" t="s">
        <v>1673</v>
      </c>
      <c r="E1638" t="s">
        <v>555</v>
      </c>
      <c r="F1638" t="s">
        <v>1068</v>
      </c>
      <c r="G1638" t="s">
        <v>1083</v>
      </c>
      <c r="H1638">
        <v>-4.7044831414853698E-4</v>
      </c>
      <c r="I1638" t="s">
        <v>1084</v>
      </c>
      <c r="J1638">
        <v>2.04</v>
      </c>
    </row>
    <row r="1639" spans="1:10" hidden="1">
      <c r="A1639" t="s">
        <v>1675</v>
      </c>
      <c r="B1639" t="s">
        <v>1676</v>
      </c>
      <c r="C1639" t="s">
        <v>1066</v>
      </c>
      <c r="D1639" t="s">
        <v>1673</v>
      </c>
      <c r="E1639" t="s">
        <v>555</v>
      </c>
      <c r="F1639" t="s">
        <v>1068</v>
      </c>
      <c r="G1639" t="s">
        <v>1085</v>
      </c>
      <c r="H1639">
        <v>-1.25711057310419E-2</v>
      </c>
      <c r="I1639" t="s">
        <v>1086</v>
      </c>
      <c r="J1639">
        <v>2.04</v>
      </c>
    </row>
    <row r="1640" spans="1:10" hidden="1">
      <c r="A1640" t="s">
        <v>1675</v>
      </c>
      <c r="B1640" t="s">
        <v>1676</v>
      </c>
      <c r="C1640" t="s">
        <v>1066</v>
      </c>
      <c r="D1640" t="s">
        <v>1673</v>
      </c>
      <c r="E1640" t="s">
        <v>555</v>
      </c>
      <c r="F1640" t="s">
        <v>1068</v>
      </c>
      <c r="G1640" t="s">
        <v>1087</v>
      </c>
      <c r="H1640" s="170">
        <v>-5.1540429093278702E-6</v>
      </c>
      <c r="I1640" t="s">
        <v>1088</v>
      </c>
      <c r="J1640">
        <v>2.04</v>
      </c>
    </row>
    <row r="1641" spans="1:10" hidden="1">
      <c r="A1641" t="s">
        <v>1675</v>
      </c>
      <c r="B1641" t="s">
        <v>1676</v>
      </c>
      <c r="C1641" t="s">
        <v>1066</v>
      </c>
      <c r="D1641" t="s">
        <v>1673</v>
      </c>
      <c r="E1641" t="s">
        <v>555</v>
      </c>
      <c r="F1641" t="s">
        <v>1068</v>
      </c>
      <c r="G1641" t="s">
        <v>1089</v>
      </c>
      <c r="H1641">
        <v>-3.1844220287308299E-3</v>
      </c>
      <c r="I1641" t="s">
        <v>1090</v>
      </c>
      <c r="J1641">
        <v>2.04</v>
      </c>
    </row>
    <row r="1642" spans="1:10" hidden="1">
      <c r="A1642" t="s">
        <v>1679</v>
      </c>
      <c r="B1642" t="s">
        <v>1680</v>
      </c>
      <c r="C1642" t="s">
        <v>1066</v>
      </c>
      <c r="D1642" t="s">
        <v>1673</v>
      </c>
      <c r="E1642" t="s">
        <v>558</v>
      </c>
      <c r="F1642" t="s">
        <v>1068</v>
      </c>
      <c r="G1642" t="s">
        <v>1069</v>
      </c>
      <c r="H1642">
        <v>-0.26072294590254003</v>
      </c>
      <c r="I1642" t="s">
        <v>1070</v>
      </c>
      <c r="J1642">
        <v>2.59</v>
      </c>
    </row>
    <row r="1643" spans="1:10" hidden="1">
      <c r="A1643" t="s">
        <v>1679</v>
      </c>
      <c r="B1643" t="s">
        <v>1680</v>
      </c>
      <c r="C1643" t="s">
        <v>1066</v>
      </c>
      <c r="D1643" t="s">
        <v>1673</v>
      </c>
      <c r="E1643" t="s">
        <v>558</v>
      </c>
      <c r="F1643" t="s">
        <v>1068</v>
      </c>
      <c r="G1643" t="s">
        <v>1071</v>
      </c>
      <c r="H1643" s="170">
        <v>-5.3124257203715703E-10</v>
      </c>
      <c r="I1643" t="s">
        <v>1072</v>
      </c>
      <c r="J1643">
        <v>2.59</v>
      </c>
    </row>
    <row r="1644" spans="1:10" hidden="1">
      <c r="A1644" t="s">
        <v>1679</v>
      </c>
      <c r="B1644" t="s">
        <v>1680</v>
      </c>
      <c r="C1644" t="s">
        <v>1066</v>
      </c>
      <c r="D1644" t="s">
        <v>1673</v>
      </c>
      <c r="E1644" t="s">
        <v>558</v>
      </c>
      <c r="F1644" t="s">
        <v>1068</v>
      </c>
      <c r="G1644" t="s">
        <v>1073</v>
      </c>
      <c r="H1644" s="170">
        <v>-1.04211372479276E-7</v>
      </c>
      <c r="I1644" t="s">
        <v>1074</v>
      </c>
      <c r="J1644">
        <v>2.59</v>
      </c>
    </row>
    <row r="1645" spans="1:10" hidden="1">
      <c r="A1645" t="s">
        <v>1679</v>
      </c>
      <c r="B1645" t="s">
        <v>1680</v>
      </c>
      <c r="C1645" t="s">
        <v>1066</v>
      </c>
      <c r="D1645" t="s">
        <v>1673</v>
      </c>
      <c r="E1645" t="s">
        <v>558</v>
      </c>
      <c r="F1645" t="s">
        <v>1068</v>
      </c>
      <c r="G1645" t="s">
        <v>1075</v>
      </c>
      <c r="H1645" s="171" t="s">
        <v>1681</v>
      </c>
      <c r="I1645" t="s">
        <v>1077</v>
      </c>
      <c r="J1645">
        <v>2.59</v>
      </c>
    </row>
    <row r="1646" spans="1:10" hidden="1">
      <c r="A1646" t="s">
        <v>1679</v>
      </c>
      <c r="B1646" t="s">
        <v>1680</v>
      </c>
      <c r="C1646" t="s">
        <v>1066</v>
      </c>
      <c r="D1646" t="s">
        <v>1673</v>
      </c>
      <c r="E1646" t="s">
        <v>558</v>
      </c>
      <c r="F1646" t="s">
        <v>1068</v>
      </c>
      <c r="G1646" t="s">
        <v>1078</v>
      </c>
      <c r="H1646">
        <v>-0.73885823663826</v>
      </c>
      <c r="I1646" t="s">
        <v>1079</v>
      </c>
      <c r="J1646">
        <v>2.59</v>
      </c>
    </row>
    <row r="1647" spans="1:10" hidden="1">
      <c r="A1647" t="s">
        <v>1679</v>
      </c>
      <c r="B1647" t="s">
        <v>1680</v>
      </c>
      <c r="C1647" t="s">
        <v>1066</v>
      </c>
      <c r="D1647" t="s">
        <v>1673</v>
      </c>
      <c r="E1647" t="s">
        <v>558</v>
      </c>
      <c r="F1647" t="s">
        <v>1068</v>
      </c>
      <c r="G1647" t="s">
        <v>1080</v>
      </c>
      <c r="H1647" s="171" t="s">
        <v>1682</v>
      </c>
      <c r="I1647" t="s">
        <v>1082</v>
      </c>
      <c r="J1647">
        <v>2.59</v>
      </c>
    </row>
    <row r="1648" spans="1:10" hidden="1">
      <c r="A1648" t="s">
        <v>1679</v>
      </c>
      <c r="B1648" t="s">
        <v>1680</v>
      </c>
      <c r="C1648" t="s">
        <v>1066</v>
      </c>
      <c r="D1648" t="s">
        <v>1673</v>
      </c>
      <c r="E1648" t="s">
        <v>558</v>
      </c>
      <c r="F1648" t="s">
        <v>1068</v>
      </c>
      <c r="G1648" t="s">
        <v>1083</v>
      </c>
      <c r="H1648">
        <v>-4.6860981197103499E-4</v>
      </c>
      <c r="I1648" t="s">
        <v>1084</v>
      </c>
      <c r="J1648">
        <v>2.59</v>
      </c>
    </row>
    <row r="1649" spans="1:10" hidden="1">
      <c r="A1649" t="s">
        <v>1679</v>
      </c>
      <c r="B1649" t="s">
        <v>1680</v>
      </c>
      <c r="C1649" t="s">
        <v>1066</v>
      </c>
      <c r="D1649" t="s">
        <v>1673</v>
      </c>
      <c r="E1649" t="s">
        <v>558</v>
      </c>
      <c r="F1649" t="s">
        <v>1068</v>
      </c>
      <c r="G1649" t="s">
        <v>1085</v>
      </c>
      <c r="H1649">
        <v>-1.25503371091303E-2</v>
      </c>
      <c r="I1649" t="s">
        <v>1086</v>
      </c>
      <c r="J1649">
        <v>2.59</v>
      </c>
    </row>
    <row r="1650" spans="1:10" hidden="1">
      <c r="A1650" t="s">
        <v>1679</v>
      </c>
      <c r="B1650" t="s">
        <v>1680</v>
      </c>
      <c r="C1650" t="s">
        <v>1066</v>
      </c>
      <c r="D1650" t="s">
        <v>1673</v>
      </c>
      <c r="E1650" t="s">
        <v>558</v>
      </c>
      <c r="F1650" t="s">
        <v>1068</v>
      </c>
      <c r="G1650" t="s">
        <v>1087</v>
      </c>
      <c r="H1650" s="170">
        <v>-5.1441085261336298E-6</v>
      </c>
      <c r="I1650" t="s">
        <v>1088</v>
      </c>
      <c r="J1650">
        <v>2.59</v>
      </c>
    </row>
    <row r="1651" spans="1:10" hidden="1">
      <c r="A1651" t="s">
        <v>1679</v>
      </c>
      <c r="B1651" t="s">
        <v>1680</v>
      </c>
      <c r="C1651" t="s">
        <v>1066</v>
      </c>
      <c r="D1651" t="s">
        <v>1673</v>
      </c>
      <c r="E1651" t="s">
        <v>558</v>
      </c>
      <c r="F1651" t="s">
        <v>1068</v>
      </c>
      <c r="G1651" t="s">
        <v>1089</v>
      </c>
      <c r="H1651">
        <v>-3.18013572890135E-3</v>
      </c>
      <c r="I1651" t="s">
        <v>1090</v>
      </c>
      <c r="J1651">
        <v>2.59</v>
      </c>
    </row>
    <row r="1652" spans="1:10" hidden="1">
      <c r="A1652" t="s">
        <v>1683</v>
      </c>
      <c r="B1652" t="s">
        <v>1684</v>
      </c>
      <c r="C1652" t="s">
        <v>1066</v>
      </c>
      <c r="D1652" t="s">
        <v>1673</v>
      </c>
      <c r="E1652" t="s">
        <v>553</v>
      </c>
      <c r="F1652" t="s">
        <v>1068</v>
      </c>
      <c r="G1652" t="s">
        <v>1069</v>
      </c>
      <c r="H1652">
        <v>-0.25975816280522301</v>
      </c>
      <c r="I1652" t="s">
        <v>1070</v>
      </c>
      <c r="J1652">
        <v>2.0299999999999998</v>
      </c>
    </row>
    <row r="1653" spans="1:10" hidden="1">
      <c r="A1653" t="s">
        <v>1683</v>
      </c>
      <c r="B1653" t="s">
        <v>1684</v>
      </c>
      <c r="C1653" t="s">
        <v>1066</v>
      </c>
      <c r="D1653" t="s">
        <v>1673</v>
      </c>
      <c r="E1653" t="s">
        <v>553</v>
      </c>
      <c r="F1653" t="s">
        <v>1068</v>
      </c>
      <c r="G1653" t="s">
        <v>1071</v>
      </c>
      <c r="H1653" s="170">
        <v>-5.2985907446303703E-10</v>
      </c>
      <c r="I1653" t="s">
        <v>1072</v>
      </c>
      <c r="J1653">
        <v>2.0299999999999998</v>
      </c>
    </row>
    <row r="1654" spans="1:10" hidden="1">
      <c r="A1654" t="s">
        <v>1683</v>
      </c>
      <c r="B1654" t="s">
        <v>1684</v>
      </c>
      <c r="C1654" t="s">
        <v>1066</v>
      </c>
      <c r="D1654" t="s">
        <v>1673</v>
      </c>
      <c r="E1654" t="s">
        <v>553</v>
      </c>
      <c r="F1654" t="s">
        <v>1068</v>
      </c>
      <c r="G1654" t="s">
        <v>1073</v>
      </c>
      <c r="H1654" s="170">
        <v>-1.0386894278559999E-7</v>
      </c>
      <c r="I1654" t="s">
        <v>1074</v>
      </c>
      <c r="J1654">
        <v>2.0299999999999998</v>
      </c>
    </row>
    <row r="1655" spans="1:10" hidden="1">
      <c r="A1655" t="s">
        <v>1683</v>
      </c>
      <c r="B1655" t="s">
        <v>1684</v>
      </c>
      <c r="C1655" t="s">
        <v>1066</v>
      </c>
      <c r="D1655" t="s">
        <v>1673</v>
      </c>
      <c r="E1655" t="s">
        <v>553</v>
      </c>
      <c r="F1655" t="s">
        <v>1068</v>
      </c>
      <c r="G1655" t="s">
        <v>1075</v>
      </c>
      <c r="H1655">
        <v>2.1166760527122401E-2</v>
      </c>
      <c r="I1655" t="s">
        <v>1077</v>
      </c>
      <c r="J1655">
        <v>2.0299999999999998</v>
      </c>
    </row>
    <row r="1656" spans="1:10" hidden="1">
      <c r="A1656" t="s">
        <v>1683</v>
      </c>
      <c r="B1656" t="s">
        <v>1684</v>
      </c>
      <c r="C1656" t="s">
        <v>1066</v>
      </c>
      <c r="D1656" t="s">
        <v>1673</v>
      </c>
      <c r="E1656" t="s">
        <v>553</v>
      </c>
      <c r="F1656" t="s">
        <v>1068</v>
      </c>
      <c r="G1656" t="s">
        <v>1078</v>
      </c>
      <c r="H1656">
        <v>-0.73673746260093798</v>
      </c>
      <c r="I1656" t="s">
        <v>1079</v>
      </c>
      <c r="J1656">
        <v>2.0299999999999998</v>
      </c>
    </row>
    <row r="1657" spans="1:10" hidden="1">
      <c r="A1657" t="s">
        <v>1683</v>
      </c>
      <c r="B1657" t="s">
        <v>1684</v>
      </c>
      <c r="C1657" t="s">
        <v>1066</v>
      </c>
      <c r="D1657" t="s">
        <v>1673</v>
      </c>
      <c r="E1657" t="s">
        <v>553</v>
      </c>
      <c r="F1657" t="s">
        <v>1068</v>
      </c>
      <c r="G1657" t="s">
        <v>1080</v>
      </c>
      <c r="H1657" s="171" t="s">
        <v>1685</v>
      </c>
      <c r="I1657" t="s">
        <v>1082</v>
      </c>
      <c r="J1657">
        <v>2.0299999999999998</v>
      </c>
    </row>
    <row r="1658" spans="1:10" hidden="1">
      <c r="A1658" t="s">
        <v>1683</v>
      </c>
      <c r="B1658" t="s">
        <v>1684</v>
      </c>
      <c r="C1658" t="s">
        <v>1066</v>
      </c>
      <c r="D1658" t="s">
        <v>1673</v>
      </c>
      <c r="E1658" t="s">
        <v>553</v>
      </c>
      <c r="F1658" t="s">
        <v>1068</v>
      </c>
      <c r="G1658" t="s">
        <v>1083</v>
      </c>
      <c r="H1658">
        <v>-4.6846335079252802E-4</v>
      </c>
      <c r="I1658" t="s">
        <v>1084</v>
      </c>
      <c r="J1658">
        <v>2.0299999999999998</v>
      </c>
    </row>
    <row r="1659" spans="1:10" hidden="1">
      <c r="A1659" t="s">
        <v>1683</v>
      </c>
      <c r="B1659" t="s">
        <v>1684</v>
      </c>
      <c r="C1659" t="s">
        <v>1066</v>
      </c>
      <c r="D1659" t="s">
        <v>1673</v>
      </c>
      <c r="E1659" t="s">
        <v>553</v>
      </c>
      <c r="F1659" t="s">
        <v>1068</v>
      </c>
      <c r="G1659" t="s">
        <v>1085</v>
      </c>
      <c r="H1659">
        <v>-1.2548671616490601E-2</v>
      </c>
      <c r="I1659" t="s">
        <v>1086</v>
      </c>
      <c r="J1659">
        <v>2.0299999999999998</v>
      </c>
    </row>
    <row r="1660" spans="1:10" hidden="1">
      <c r="A1660" t="s">
        <v>1683</v>
      </c>
      <c r="B1660" t="s">
        <v>1684</v>
      </c>
      <c r="C1660" t="s">
        <v>1066</v>
      </c>
      <c r="D1660" t="s">
        <v>1673</v>
      </c>
      <c r="E1660" t="s">
        <v>553</v>
      </c>
      <c r="F1660" t="s">
        <v>1068</v>
      </c>
      <c r="G1660" t="s">
        <v>1087</v>
      </c>
      <c r="H1660" s="170">
        <v>-5.1432161032109296E-6</v>
      </c>
      <c r="I1660" t="s">
        <v>1088</v>
      </c>
      <c r="J1660">
        <v>2.0299999999999998</v>
      </c>
    </row>
    <row r="1661" spans="1:10" hidden="1">
      <c r="A1661" t="s">
        <v>1683</v>
      </c>
      <c r="B1661" t="s">
        <v>1684</v>
      </c>
      <c r="C1661" t="s">
        <v>1066</v>
      </c>
      <c r="D1661" t="s">
        <v>1673</v>
      </c>
      <c r="E1661" t="s">
        <v>553</v>
      </c>
      <c r="F1661" t="s">
        <v>1068</v>
      </c>
      <c r="G1661" t="s">
        <v>1089</v>
      </c>
      <c r="H1661">
        <v>-3.1797939152003701E-3</v>
      </c>
      <c r="I1661" t="s">
        <v>1090</v>
      </c>
      <c r="J1661">
        <v>2.0299999999999998</v>
      </c>
    </row>
    <row r="1662" spans="1:10" hidden="1">
      <c r="A1662" t="s">
        <v>1686</v>
      </c>
      <c r="B1662" t="s">
        <v>1687</v>
      </c>
      <c r="C1662" t="s">
        <v>1066</v>
      </c>
      <c r="D1662" t="s">
        <v>1673</v>
      </c>
      <c r="E1662" t="s">
        <v>556</v>
      </c>
      <c r="F1662" t="s">
        <v>1068</v>
      </c>
      <c r="G1662" t="s">
        <v>1069</v>
      </c>
      <c r="H1662">
        <v>-0.27158962482129201</v>
      </c>
      <c r="I1662" t="s">
        <v>1070</v>
      </c>
      <c r="J1662">
        <v>2.54</v>
      </c>
    </row>
    <row r="1663" spans="1:10" hidden="1">
      <c r="A1663" t="s">
        <v>1686</v>
      </c>
      <c r="B1663" t="s">
        <v>1687</v>
      </c>
      <c r="C1663" t="s">
        <v>1066</v>
      </c>
      <c r="D1663" t="s">
        <v>1673</v>
      </c>
      <c r="E1663" t="s">
        <v>556</v>
      </c>
      <c r="F1663" t="s">
        <v>1068</v>
      </c>
      <c r="G1663" t="s">
        <v>1071</v>
      </c>
      <c r="H1663" s="170">
        <v>-5.4677396774426696E-10</v>
      </c>
      <c r="I1663" t="s">
        <v>1072</v>
      </c>
      <c r="J1663">
        <v>2.54</v>
      </c>
    </row>
    <row r="1664" spans="1:10" hidden="1">
      <c r="A1664" t="s">
        <v>1686</v>
      </c>
      <c r="B1664" t="s">
        <v>1687</v>
      </c>
      <c r="C1664" t="s">
        <v>1066</v>
      </c>
      <c r="D1664" t="s">
        <v>1673</v>
      </c>
      <c r="E1664" t="s">
        <v>556</v>
      </c>
      <c r="F1664" t="s">
        <v>1068</v>
      </c>
      <c r="G1664" t="s">
        <v>1073</v>
      </c>
      <c r="H1664" s="170">
        <v>-1.0807105559784E-7</v>
      </c>
      <c r="I1664" t="s">
        <v>1074</v>
      </c>
      <c r="J1664">
        <v>2.54</v>
      </c>
    </row>
    <row r="1665" spans="1:10" hidden="1">
      <c r="A1665" t="s">
        <v>1686</v>
      </c>
      <c r="B1665" t="s">
        <v>1687</v>
      </c>
      <c r="C1665" t="s">
        <v>1066</v>
      </c>
      <c r="D1665" t="s">
        <v>1673</v>
      </c>
      <c r="E1665" t="s">
        <v>556</v>
      </c>
      <c r="F1665" t="s">
        <v>1068</v>
      </c>
      <c r="G1665" t="s">
        <v>1075</v>
      </c>
      <c r="H1665" s="171" t="s">
        <v>1688</v>
      </c>
      <c r="I1665" t="s">
        <v>1077</v>
      </c>
      <c r="J1665">
        <v>2.54</v>
      </c>
    </row>
    <row r="1666" spans="1:10" hidden="1">
      <c r="A1666" t="s">
        <v>1686</v>
      </c>
      <c r="B1666" t="s">
        <v>1687</v>
      </c>
      <c r="C1666" t="s">
        <v>1066</v>
      </c>
      <c r="D1666" t="s">
        <v>1673</v>
      </c>
      <c r="E1666" t="s">
        <v>556</v>
      </c>
      <c r="F1666" t="s">
        <v>1068</v>
      </c>
      <c r="G1666" t="s">
        <v>1078</v>
      </c>
      <c r="H1666">
        <v>-0.74997857749286201</v>
      </c>
      <c r="I1666" t="s">
        <v>1079</v>
      </c>
      <c r="J1666">
        <v>2.54</v>
      </c>
    </row>
    <row r="1667" spans="1:10" hidden="1">
      <c r="A1667" t="s">
        <v>1686</v>
      </c>
      <c r="B1667" t="s">
        <v>1687</v>
      </c>
      <c r="C1667" t="s">
        <v>1066</v>
      </c>
      <c r="D1667" t="s">
        <v>1673</v>
      </c>
      <c r="E1667" t="s">
        <v>556</v>
      </c>
      <c r="F1667" t="s">
        <v>1068</v>
      </c>
      <c r="G1667" t="s">
        <v>1080</v>
      </c>
      <c r="H1667" s="171" t="s">
        <v>1689</v>
      </c>
      <c r="I1667" t="s">
        <v>1082</v>
      </c>
      <c r="J1667">
        <v>2.54</v>
      </c>
    </row>
    <row r="1668" spans="1:10" hidden="1">
      <c r="A1668" t="s">
        <v>1686</v>
      </c>
      <c r="B1668" t="s">
        <v>1687</v>
      </c>
      <c r="C1668" t="s">
        <v>1066</v>
      </c>
      <c r="D1668" t="s">
        <v>1673</v>
      </c>
      <c r="E1668" t="s">
        <v>556</v>
      </c>
      <c r="F1668" t="s">
        <v>1068</v>
      </c>
      <c r="G1668" t="s">
        <v>1083</v>
      </c>
      <c r="H1668">
        <v>-4.70261738592731E-4</v>
      </c>
      <c r="I1668" t="s">
        <v>1084</v>
      </c>
      <c r="J1668">
        <v>2.54</v>
      </c>
    </row>
    <row r="1669" spans="1:10" hidden="1">
      <c r="A1669" t="s">
        <v>1686</v>
      </c>
      <c r="B1669" t="s">
        <v>1687</v>
      </c>
      <c r="C1669" t="s">
        <v>1066</v>
      </c>
      <c r="D1669" t="s">
        <v>1673</v>
      </c>
      <c r="E1669" t="s">
        <v>556</v>
      </c>
      <c r="F1669" t="s">
        <v>1068</v>
      </c>
      <c r="G1669" t="s">
        <v>1085</v>
      </c>
      <c r="H1669">
        <v>-1.2568960078778601E-2</v>
      </c>
      <c r="I1669" t="s">
        <v>1086</v>
      </c>
      <c r="J1669">
        <v>2.54</v>
      </c>
    </row>
    <row r="1670" spans="1:10" hidden="1">
      <c r="A1670" t="s">
        <v>1686</v>
      </c>
      <c r="B1670" t="s">
        <v>1687</v>
      </c>
      <c r="C1670" t="s">
        <v>1066</v>
      </c>
      <c r="D1670" t="s">
        <v>1673</v>
      </c>
      <c r="E1670" t="s">
        <v>556</v>
      </c>
      <c r="F1670" t="s">
        <v>1068</v>
      </c>
      <c r="G1670" t="s">
        <v>1087</v>
      </c>
      <c r="H1670" s="170">
        <v>-5.1530252734816104E-6</v>
      </c>
      <c r="I1670" t="s">
        <v>1088</v>
      </c>
      <c r="J1670">
        <v>2.54</v>
      </c>
    </row>
    <row r="1671" spans="1:10" hidden="1">
      <c r="A1671" t="s">
        <v>1686</v>
      </c>
      <c r="B1671" t="s">
        <v>1687</v>
      </c>
      <c r="C1671" t="s">
        <v>1066</v>
      </c>
      <c r="D1671" t="s">
        <v>1673</v>
      </c>
      <c r="E1671" t="s">
        <v>556</v>
      </c>
      <c r="F1671" t="s">
        <v>1068</v>
      </c>
      <c r="G1671" t="s">
        <v>1089</v>
      </c>
      <c r="H1671">
        <v>-3.18398702193582E-3</v>
      </c>
      <c r="I1671" t="s">
        <v>1090</v>
      </c>
      <c r="J1671">
        <v>2.54</v>
      </c>
    </row>
    <row r="1672" spans="1:10" hidden="1">
      <c r="A1672" t="s">
        <v>1690</v>
      </c>
      <c r="B1672" t="s">
        <v>1691</v>
      </c>
      <c r="C1672" t="s">
        <v>1066</v>
      </c>
      <c r="D1672" t="s">
        <v>1673</v>
      </c>
      <c r="E1672" t="s">
        <v>557</v>
      </c>
      <c r="F1672" t="s">
        <v>1068</v>
      </c>
      <c r="G1672" t="s">
        <v>1069</v>
      </c>
      <c r="H1672">
        <v>-0.26478660624598599</v>
      </c>
      <c r="I1672" t="s">
        <v>1070</v>
      </c>
      <c r="J1672">
        <v>2.04</v>
      </c>
    </row>
    <row r="1673" spans="1:10" hidden="1">
      <c r="A1673" t="s">
        <v>1690</v>
      </c>
      <c r="B1673" t="s">
        <v>1691</v>
      </c>
      <c r="C1673" t="s">
        <v>1066</v>
      </c>
      <c r="D1673" t="s">
        <v>1673</v>
      </c>
      <c r="E1673" t="s">
        <v>557</v>
      </c>
      <c r="F1673" t="s">
        <v>1068</v>
      </c>
      <c r="G1673" t="s">
        <v>1071</v>
      </c>
      <c r="H1673" s="170">
        <v>-5.3705771622042596E-10</v>
      </c>
      <c r="I1673" t="s">
        <v>1072</v>
      </c>
      <c r="J1673">
        <v>2.04</v>
      </c>
    </row>
    <row r="1674" spans="1:10" hidden="1">
      <c r="A1674" t="s">
        <v>1690</v>
      </c>
      <c r="B1674" t="s">
        <v>1691</v>
      </c>
      <c r="C1674" t="s">
        <v>1066</v>
      </c>
      <c r="D1674" t="s">
        <v>1673</v>
      </c>
      <c r="E1674" t="s">
        <v>557</v>
      </c>
      <c r="F1674" t="s">
        <v>1068</v>
      </c>
      <c r="G1674" t="s">
        <v>1073</v>
      </c>
      <c r="H1674" s="170">
        <v>-1.05654797491472E-7</v>
      </c>
      <c r="I1674" t="s">
        <v>1074</v>
      </c>
      <c r="J1674">
        <v>2.04</v>
      </c>
    </row>
    <row r="1675" spans="1:10" hidden="1">
      <c r="A1675" t="s">
        <v>1690</v>
      </c>
      <c r="B1675" t="s">
        <v>1691</v>
      </c>
      <c r="C1675" t="s">
        <v>1066</v>
      </c>
      <c r="D1675" t="s">
        <v>1673</v>
      </c>
      <c r="E1675" t="s">
        <v>557</v>
      </c>
      <c r="F1675" t="s">
        <v>1068</v>
      </c>
      <c r="G1675" t="s">
        <v>1075</v>
      </c>
      <c r="H1675" s="171" t="s">
        <v>1692</v>
      </c>
      <c r="I1675" t="s">
        <v>1077</v>
      </c>
      <c r="J1675">
        <v>2.04</v>
      </c>
    </row>
    <row r="1676" spans="1:10" hidden="1">
      <c r="A1676" t="s">
        <v>1690</v>
      </c>
      <c r="B1676" t="s">
        <v>1691</v>
      </c>
      <c r="C1676" t="s">
        <v>1066</v>
      </c>
      <c r="D1676" t="s">
        <v>1673</v>
      </c>
      <c r="E1676" t="s">
        <v>557</v>
      </c>
      <c r="F1676" t="s">
        <v>1068</v>
      </c>
      <c r="G1676" t="s">
        <v>1078</v>
      </c>
      <c r="H1676">
        <v>-0.74441319745608603</v>
      </c>
      <c r="I1676" t="s">
        <v>1079</v>
      </c>
      <c r="J1676">
        <v>2.04</v>
      </c>
    </row>
    <row r="1677" spans="1:10" hidden="1">
      <c r="A1677" t="s">
        <v>1690</v>
      </c>
      <c r="B1677" t="s">
        <v>1691</v>
      </c>
      <c r="C1677" t="s">
        <v>1066</v>
      </c>
      <c r="D1677" t="s">
        <v>1673</v>
      </c>
      <c r="E1677" t="s">
        <v>557</v>
      </c>
      <c r="F1677" t="s">
        <v>1068</v>
      </c>
      <c r="G1677" t="s">
        <v>1080</v>
      </c>
      <c r="H1677" s="171" t="s">
        <v>1693</v>
      </c>
      <c r="I1677" t="s">
        <v>1082</v>
      </c>
      <c r="J1677">
        <v>2.04</v>
      </c>
    </row>
    <row r="1678" spans="1:10" hidden="1">
      <c r="A1678" t="s">
        <v>1690</v>
      </c>
      <c r="B1678" t="s">
        <v>1691</v>
      </c>
      <c r="C1678" t="s">
        <v>1066</v>
      </c>
      <c r="D1678" t="s">
        <v>1673</v>
      </c>
      <c r="E1678" t="s">
        <v>557</v>
      </c>
      <c r="F1678" t="s">
        <v>1068</v>
      </c>
      <c r="G1678" t="s">
        <v>1083</v>
      </c>
      <c r="H1678">
        <v>-4.69227490974294E-4</v>
      </c>
      <c r="I1678" t="s">
        <v>1084</v>
      </c>
      <c r="J1678">
        <v>2.04</v>
      </c>
    </row>
    <row r="1679" spans="1:10" hidden="1">
      <c r="A1679" t="s">
        <v>1690</v>
      </c>
      <c r="B1679" t="s">
        <v>1691</v>
      </c>
      <c r="C1679" t="s">
        <v>1066</v>
      </c>
      <c r="D1679" t="s">
        <v>1673</v>
      </c>
      <c r="E1679" t="s">
        <v>557</v>
      </c>
      <c r="F1679" t="s">
        <v>1068</v>
      </c>
      <c r="G1679" t="s">
        <v>1085</v>
      </c>
      <c r="H1679">
        <v>-1.25573181354918E-2</v>
      </c>
      <c r="I1679" t="s">
        <v>1086</v>
      </c>
      <c r="J1679">
        <v>2.04</v>
      </c>
    </row>
    <row r="1680" spans="1:10" hidden="1">
      <c r="A1680" t="s">
        <v>1690</v>
      </c>
      <c r="B1680" t="s">
        <v>1691</v>
      </c>
      <c r="C1680" t="s">
        <v>1066</v>
      </c>
      <c r="D1680" t="s">
        <v>1673</v>
      </c>
      <c r="E1680" t="s">
        <v>557</v>
      </c>
      <c r="F1680" t="s">
        <v>1068</v>
      </c>
      <c r="G1680" t="s">
        <v>1087</v>
      </c>
      <c r="H1680" s="170">
        <v>-5.1474776013311897E-6</v>
      </c>
      <c r="I1680" t="s">
        <v>1088</v>
      </c>
      <c r="J1680">
        <v>2.04</v>
      </c>
    </row>
    <row r="1681" spans="1:10" hidden="1">
      <c r="A1681" t="s">
        <v>1690</v>
      </c>
      <c r="B1681" t="s">
        <v>1691</v>
      </c>
      <c r="C1681" t="s">
        <v>1066</v>
      </c>
      <c r="D1681" t="s">
        <v>1673</v>
      </c>
      <c r="E1681" t="s">
        <v>557</v>
      </c>
      <c r="F1681" t="s">
        <v>1068</v>
      </c>
      <c r="G1681" t="s">
        <v>1089</v>
      </c>
      <c r="H1681">
        <v>-3.1815759008540501E-3</v>
      </c>
      <c r="I1681" t="s">
        <v>1090</v>
      </c>
      <c r="J1681">
        <v>2.04</v>
      </c>
    </row>
    <row r="1682" spans="1:10" hidden="1">
      <c r="A1682" t="s">
        <v>1694</v>
      </c>
      <c r="B1682" t="s">
        <v>1695</v>
      </c>
      <c r="C1682" t="s">
        <v>1066</v>
      </c>
      <c r="D1682" t="s">
        <v>1673</v>
      </c>
      <c r="E1682" t="s">
        <v>559</v>
      </c>
      <c r="F1682" t="s">
        <v>1068</v>
      </c>
      <c r="G1682" t="s">
        <v>1069</v>
      </c>
      <c r="H1682">
        <v>-0.26807282703614099</v>
      </c>
      <c r="I1682" t="s">
        <v>1070</v>
      </c>
      <c r="J1682">
        <v>2.0299999999999998</v>
      </c>
    </row>
    <row r="1683" spans="1:10" hidden="1">
      <c r="A1683" t="s">
        <v>1694</v>
      </c>
      <c r="B1683" t="s">
        <v>1695</v>
      </c>
      <c r="C1683" t="s">
        <v>1066</v>
      </c>
      <c r="D1683" t="s">
        <v>1673</v>
      </c>
      <c r="E1683" t="s">
        <v>559</v>
      </c>
      <c r="F1683" t="s">
        <v>1068</v>
      </c>
      <c r="G1683" t="s">
        <v>1071</v>
      </c>
      <c r="H1683" s="170">
        <v>-5.4175745357235102E-10</v>
      </c>
      <c r="I1683" t="s">
        <v>1072</v>
      </c>
      <c r="J1683">
        <v>2.0299999999999998</v>
      </c>
    </row>
    <row r="1684" spans="1:10" hidden="1">
      <c r="A1684" t="s">
        <v>1694</v>
      </c>
      <c r="B1684" t="s">
        <v>1695</v>
      </c>
      <c r="C1684" t="s">
        <v>1066</v>
      </c>
      <c r="D1684" t="s">
        <v>1673</v>
      </c>
      <c r="E1684" t="s">
        <v>559</v>
      </c>
      <c r="F1684" t="s">
        <v>1068</v>
      </c>
      <c r="G1684" t="s">
        <v>1073</v>
      </c>
      <c r="H1684" s="170">
        <v>-1.06822337829616E-7</v>
      </c>
      <c r="I1684" t="s">
        <v>1074</v>
      </c>
      <c r="J1684">
        <v>2.0299999999999998</v>
      </c>
    </row>
    <row r="1685" spans="1:10" hidden="1">
      <c r="A1685" t="s">
        <v>1694</v>
      </c>
      <c r="B1685" t="s">
        <v>1695</v>
      </c>
      <c r="C1685" t="s">
        <v>1066</v>
      </c>
      <c r="D1685" t="s">
        <v>1673</v>
      </c>
      <c r="E1685" t="s">
        <v>559</v>
      </c>
      <c r="F1685" t="s">
        <v>1068</v>
      </c>
      <c r="G1685" t="s">
        <v>1075</v>
      </c>
      <c r="H1685" s="171" t="s">
        <v>1696</v>
      </c>
      <c r="I1685" t="s">
        <v>1077</v>
      </c>
      <c r="J1685">
        <v>2.0299999999999998</v>
      </c>
    </row>
    <row r="1686" spans="1:10" hidden="1">
      <c r="A1686" t="s">
        <v>1694</v>
      </c>
      <c r="B1686" t="s">
        <v>1695</v>
      </c>
      <c r="C1686" t="s">
        <v>1066</v>
      </c>
      <c r="D1686" t="s">
        <v>1673</v>
      </c>
      <c r="E1686" t="s">
        <v>559</v>
      </c>
      <c r="F1686" t="s">
        <v>1068</v>
      </c>
      <c r="G1686" t="s">
        <v>1078</v>
      </c>
      <c r="H1686">
        <v>-0.74810347996289295</v>
      </c>
      <c r="I1686" t="s">
        <v>1079</v>
      </c>
      <c r="J1686">
        <v>2.0299999999999998</v>
      </c>
    </row>
    <row r="1687" spans="1:10" hidden="1">
      <c r="A1687" t="s">
        <v>1694</v>
      </c>
      <c r="B1687" t="s">
        <v>1695</v>
      </c>
      <c r="C1687" t="s">
        <v>1066</v>
      </c>
      <c r="D1687" t="s">
        <v>1673</v>
      </c>
      <c r="E1687" t="s">
        <v>559</v>
      </c>
      <c r="F1687" t="s">
        <v>1068</v>
      </c>
      <c r="G1687" t="s">
        <v>1080</v>
      </c>
      <c r="H1687" s="171" t="s">
        <v>1697</v>
      </c>
      <c r="I1687" t="s">
        <v>1082</v>
      </c>
      <c r="J1687">
        <v>2.0299999999999998</v>
      </c>
    </row>
    <row r="1688" spans="1:10" hidden="1">
      <c r="A1688" t="s">
        <v>1694</v>
      </c>
      <c r="B1688" t="s">
        <v>1695</v>
      </c>
      <c r="C1688" t="s">
        <v>1066</v>
      </c>
      <c r="D1688" t="s">
        <v>1673</v>
      </c>
      <c r="E1688" t="s">
        <v>559</v>
      </c>
      <c r="F1688" t="s">
        <v>1068</v>
      </c>
      <c r="G1688" t="s">
        <v>1083</v>
      </c>
      <c r="H1688">
        <v>-4.6972718513905E-4</v>
      </c>
      <c r="I1688" t="s">
        <v>1084</v>
      </c>
      <c r="J1688">
        <v>2.0299999999999998</v>
      </c>
    </row>
    <row r="1689" spans="1:10" hidden="1">
      <c r="A1689" t="s">
        <v>1694</v>
      </c>
      <c r="B1689" t="s">
        <v>1695</v>
      </c>
      <c r="C1689" t="s">
        <v>1066</v>
      </c>
      <c r="D1689" t="s">
        <v>1673</v>
      </c>
      <c r="E1689" t="s">
        <v>559</v>
      </c>
      <c r="F1689" t="s">
        <v>1068</v>
      </c>
      <c r="G1689" t="s">
        <v>1085</v>
      </c>
      <c r="H1689">
        <v>-1.25629555096506E-2</v>
      </c>
      <c r="I1689" t="s">
        <v>1086</v>
      </c>
      <c r="J1689">
        <v>2.0299999999999998</v>
      </c>
    </row>
    <row r="1690" spans="1:10" hidden="1">
      <c r="A1690" t="s">
        <v>1694</v>
      </c>
      <c r="B1690" t="s">
        <v>1695</v>
      </c>
      <c r="C1690" t="s">
        <v>1066</v>
      </c>
      <c r="D1690" t="s">
        <v>1673</v>
      </c>
      <c r="E1690" t="s">
        <v>559</v>
      </c>
      <c r="F1690" t="s">
        <v>1068</v>
      </c>
      <c r="G1690" t="s">
        <v>1087</v>
      </c>
      <c r="H1690" s="170">
        <v>-5.1501095752703997E-6</v>
      </c>
      <c r="I1690" t="s">
        <v>1088</v>
      </c>
      <c r="J1690">
        <v>2.0299999999999998</v>
      </c>
    </row>
    <row r="1691" spans="1:10" hidden="1">
      <c r="A1691" t="s">
        <v>1694</v>
      </c>
      <c r="B1691" t="s">
        <v>1695</v>
      </c>
      <c r="C1691" t="s">
        <v>1066</v>
      </c>
      <c r="D1691" t="s">
        <v>1673</v>
      </c>
      <c r="E1691" t="s">
        <v>559</v>
      </c>
      <c r="F1691" t="s">
        <v>1068</v>
      </c>
      <c r="G1691" t="s">
        <v>1089</v>
      </c>
      <c r="H1691">
        <v>-3.1827406541523398E-3</v>
      </c>
      <c r="I1691" t="s">
        <v>1090</v>
      </c>
      <c r="J1691">
        <v>2.0299999999999998</v>
      </c>
    </row>
    <row r="1692" spans="1:10" hidden="1">
      <c r="A1692" t="s">
        <v>1698</v>
      </c>
      <c r="B1692" t="s">
        <v>1699</v>
      </c>
      <c r="C1692" t="s">
        <v>1066</v>
      </c>
      <c r="D1692" t="s">
        <v>1673</v>
      </c>
      <c r="E1692" t="s">
        <v>560</v>
      </c>
      <c r="F1692" t="s">
        <v>1068</v>
      </c>
      <c r="G1692" t="s">
        <v>1069</v>
      </c>
      <c r="H1692">
        <v>-0.26695389176248402</v>
      </c>
      <c r="I1692" t="s">
        <v>1070</v>
      </c>
      <c r="J1692">
        <v>2.04</v>
      </c>
    </row>
    <row r="1693" spans="1:10" hidden="1">
      <c r="A1693" t="s">
        <v>1698</v>
      </c>
      <c r="B1693" t="s">
        <v>1699</v>
      </c>
      <c r="C1693" t="s">
        <v>1066</v>
      </c>
      <c r="D1693" t="s">
        <v>1673</v>
      </c>
      <c r="E1693" t="s">
        <v>560</v>
      </c>
      <c r="F1693" t="s">
        <v>1068</v>
      </c>
      <c r="G1693" t="s">
        <v>1071</v>
      </c>
      <c r="H1693" s="170">
        <v>-5.40159126451491E-10</v>
      </c>
      <c r="I1693" t="s">
        <v>1072</v>
      </c>
      <c r="J1693">
        <v>2.04</v>
      </c>
    </row>
    <row r="1694" spans="1:10" hidden="1">
      <c r="A1694" t="s">
        <v>1698</v>
      </c>
      <c r="B1694" t="s">
        <v>1699</v>
      </c>
      <c r="C1694" t="s">
        <v>1066</v>
      </c>
      <c r="D1694" t="s">
        <v>1673</v>
      </c>
      <c r="E1694" t="s">
        <v>560</v>
      </c>
      <c r="F1694" t="s">
        <v>1068</v>
      </c>
      <c r="G1694" t="s">
        <v>1073</v>
      </c>
      <c r="H1694" s="170">
        <v>-1.06424624164641E-7</v>
      </c>
      <c r="I1694" t="s">
        <v>1074</v>
      </c>
      <c r="J1694">
        <v>2.04</v>
      </c>
    </row>
    <row r="1695" spans="1:10" hidden="1">
      <c r="A1695" t="s">
        <v>1698</v>
      </c>
      <c r="B1695" t="s">
        <v>1699</v>
      </c>
      <c r="C1695" t="s">
        <v>1066</v>
      </c>
      <c r="D1695" t="s">
        <v>1673</v>
      </c>
      <c r="E1695" t="s">
        <v>560</v>
      </c>
      <c r="F1695" t="s">
        <v>1068</v>
      </c>
      <c r="G1695" t="s">
        <v>1075</v>
      </c>
      <c r="H1695" s="171" t="s">
        <v>1700</v>
      </c>
      <c r="I1695" t="s">
        <v>1077</v>
      </c>
      <c r="J1695">
        <v>2.04</v>
      </c>
    </row>
    <row r="1696" spans="1:10" hidden="1">
      <c r="A1696" t="s">
        <v>1698</v>
      </c>
      <c r="B1696" t="s">
        <v>1699</v>
      </c>
      <c r="C1696" t="s">
        <v>1066</v>
      </c>
      <c r="D1696" t="s">
        <v>1673</v>
      </c>
      <c r="E1696" t="s">
        <v>560</v>
      </c>
      <c r="F1696" t="s">
        <v>1068</v>
      </c>
      <c r="G1696" t="s">
        <v>1078</v>
      </c>
      <c r="H1696">
        <v>-0.74737584322559403</v>
      </c>
      <c r="I1696" t="s">
        <v>1079</v>
      </c>
      <c r="J1696">
        <v>2.04</v>
      </c>
    </row>
    <row r="1697" spans="1:10" hidden="1">
      <c r="A1697" t="s">
        <v>1698</v>
      </c>
      <c r="B1697" t="s">
        <v>1699</v>
      </c>
      <c r="C1697" t="s">
        <v>1066</v>
      </c>
      <c r="D1697" t="s">
        <v>1673</v>
      </c>
      <c r="E1697" t="s">
        <v>560</v>
      </c>
      <c r="F1697" t="s">
        <v>1068</v>
      </c>
      <c r="G1697" t="s">
        <v>1080</v>
      </c>
      <c r="H1697" s="171" t="s">
        <v>1701</v>
      </c>
      <c r="I1697" t="s">
        <v>1082</v>
      </c>
      <c r="J1697">
        <v>2.04</v>
      </c>
    </row>
    <row r="1698" spans="1:10" hidden="1">
      <c r="A1698" t="s">
        <v>1698</v>
      </c>
      <c r="B1698" t="s">
        <v>1699</v>
      </c>
      <c r="C1698" t="s">
        <v>1066</v>
      </c>
      <c r="D1698" t="s">
        <v>1673</v>
      </c>
      <c r="E1698" t="s">
        <v>560</v>
      </c>
      <c r="F1698" t="s">
        <v>1068</v>
      </c>
      <c r="G1698" t="s">
        <v>1083</v>
      </c>
      <c r="H1698">
        <v>-4.6955691977603202E-4</v>
      </c>
      <c r="I1698" t="s">
        <v>1084</v>
      </c>
      <c r="J1698">
        <v>2.04</v>
      </c>
    </row>
    <row r="1699" spans="1:10" hidden="1">
      <c r="A1699" t="s">
        <v>1698</v>
      </c>
      <c r="B1699" t="s">
        <v>1699</v>
      </c>
      <c r="C1699" t="s">
        <v>1066</v>
      </c>
      <c r="D1699" t="s">
        <v>1673</v>
      </c>
      <c r="E1699" t="s">
        <v>560</v>
      </c>
      <c r="F1699" t="s">
        <v>1068</v>
      </c>
      <c r="G1699" t="s">
        <v>1085</v>
      </c>
      <c r="H1699">
        <v>-1.25610413495513E-2</v>
      </c>
      <c r="I1699" t="s">
        <v>1086</v>
      </c>
      <c r="J1699">
        <v>2.04</v>
      </c>
    </row>
    <row r="1700" spans="1:10" hidden="1">
      <c r="A1700" t="s">
        <v>1698</v>
      </c>
      <c r="B1700" t="s">
        <v>1699</v>
      </c>
      <c r="C1700" t="s">
        <v>1066</v>
      </c>
      <c r="D1700" t="s">
        <v>1673</v>
      </c>
      <c r="E1700" t="s">
        <v>560</v>
      </c>
      <c r="F1700" t="s">
        <v>1068</v>
      </c>
      <c r="G1700" t="s">
        <v>1087</v>
      </c>
      <c r="H1700" s="170">
        <v>-5.1492744414365497E-6</v>
      </c>
      <c r="I1700" t="s">
        <v>1088</v>
      </c>
      <c r="J1700">
        <v>2.04</v>
      </c>
    </row>
    <row r="1701" spans="1:10" hidden="1">
      <c r="A1701" t="s">
        <v>1698</v>
      </c>
      <c r="B1701" t="s">
        <v>1699</v>
      </c>
      <c r="C1701" t="s">
        <v>1066</v>
      </c>
      <c r="D1701" t="s">
        <v>1673</v>
      </c>
      <c r="E1701" t="s">
        <v>560</v>
      </c>
      <c r="F1701" t="s">
        <v>1068</v>
      </c>
      <c r="G1701" t="s">
        <v>1089</v>
      </c>
      <c r="H1701">
        <v>-3.1823439925621599E-3</v>
      </c>
      <c r="I1701" t="s">
        <v>1090</v>
      </c>
      <c r="J1701">
        <v>2.04</v>
      </c>
    </row>
    <row r="1702" spans="1:10" hidden="1">
      <c r="A1702" t="s">
        <v>1702</v>
      </c>
      <c r="B1702" t="s">
        <v>1703</v>
      </c>
      <c r="C1702" t="s">
        <v>1066</v>
      </c>
      <c r="D1702" t="s">
        <v>1673</v>
      </c>
      <c r="E1702" t="s">
        <v>1116</v>
      </c>
      <c r="F1702" t="s">
        <v>1068</v>
      </c>
      <c r="G1702" t="s">
        <v>1069</v>
      </c>
      <c r="H1702">
        <v>-0.26037596226641002</v>
      </c>
      <c r="I1702" t="s">
        <v>1070</v>
      </c>
      <c r="J1702">
        <v>2.54</v>
      </c>
    </row>
    <row r="1703" spans="1:10" hidden="1">
      <c r="A1703" t="s">
        <v>1702</v>
      </c>
      <c r="B1703" t="s">
        <v>1703</v>
      </c>
      <c r="C1703" t="s">
        <v>1066</v>
      </c>
      <c r="D1703" t="s">
        <v>1673</v>
      </c>
      <c r="E1703" t="s">
        <v>1116</v>
      </c>
      <c r="F1703" t="s">
        <v>1068</v>
      </c>
      <c r="G1703" t="s">
        <v>1071</v>
      </c>
      <c r="H1703" s="170">
        <v>-5.3074603450626403E-10</v>
      </c>
      <c r="I1703" t="s">
        <v>1072</v>
      </c>
      <c r="J1703">
        <v>2.54</v>
      </c>
    </row>
    <row r="1704" spans="1:10" hidden="1">
      <c r="A1704" t="s">
        <v>1702</v>
      </c>
      <c r="B1704" t="s">
        <v>1703</v>
      </c>
      <c r="C1704" t="s">
        <v>1066</v>
      </c>
      <c r="D1704" t="s">
        <v>1673</v>
      </c>
      <c r="E1704" t="s">
        <v>1116</v>
      </c>
      <c r="F1704" t="s">
        <v>1068</v>
      </c>
      <c r="G1704" t="s">
        <v>1073</v>
      </c>
      <c r="H1704" s="170">
        <v>-1.04088122793799E-7</v>
      </c>
      <c r="I1704" t="s">
        <v>1074</v>
      </c>
      <c r="J1704">
        <v>2.54</v>
      </c>
    </row>
    <row r="1705" spans="1:10" hidden="1">
      <c r="A1705" t="s">
        <v>1702</v>
      </c>
      <c r="B1705" t="s">
        <v>1703</v>
      </c>
      <c r="C1705" t="s">
        <v>1066</v>
      </c>
      <c r="D1705" t="s">
        <v>1673</v>
      </c>
      <c r="E1705" t="s">
        <v>1116</v>
      </c>
      <c r="F1705" t="s">
        <v>1068</v>
      </c>
      <c r="G1705" t="s">
        <v>1075</v>
      </c>
      <c r="H1705">
        <v>2.1145336548702699E-2</v>
      </c>
      <c r="I1705" t="s">
        <v>1077</v>
      </c>
      <c r="J1705">
        <v>2.54</v>
      </c>
    </row>
    <row r="1706" spans="1:10" hidden="1">
      <c r="A1706" t="s">
        <v>1702</v>
      </c>
      <c r="B1706" t="s">
        <v>1703</v>
      </c>
      <c r="C1706" t="s">
        <v>1066</v>
      </c>
      <c r="D1706" t="s">
        <v>1673</v>
      </c>
      <c r="E1706" t="s">
        <v>1116</v>
      </c>
      <c r="F1706" t="s">
        <v>1068</v>
      </c>
      <c r="G1706" t="s">
        <v>1078</v>
      </c>
      <c r="H1706">
        <v>-0.73838391537608605</v>
      </c>
      <c r="I1706" t="s">
        <v>1079</v>
      </c>
      <c r="J1706">
        <v>2.54</v>
      </c>
    </row>
    <row r="1707" spans="1:10" hidden="1">
      <c r="A1707" t="s">
        <v>1702</v>
      </c>
      <c r="B1707" t="s">
        <v>1703</v>
      </c>
      <c r="C1707" t="s">
        <v>1066</v>
      </c>
      <c r="D1707" t="s">
        <v>1673</v>
      </c>
      <c r="E1707" t="s">
        <v>1116</v>
      </c>
      <c r="F1707" t="s">
        <v>1068</v>
      </c>
      <c r="G1707" t="s">
        <v>1080</v>
      </c>
      <c r="H1707" s="171" t="s">
        <v>1704</v>
      </c>
      <c r="I1707" t="s">
        <v>1082</v>
      </c>
      <c r="J1707">
        <v>2.54</v>
      </c>
    </row>
    <row r="1708" spans="1:10" hidden="1">
      <c r="A1708" t="s">
        <v>1702</v>
      </c>
      <c r="B1708" t="s">
        <v>1703</v>
      </c>
      <c r="C1708" t="s">
        <v>1066</v>
      </c>
      <c r="D1708" t="s">
        <v>1673</v>
      </c>
      <c r="E1708" t="s">
        <v>1116</v>
      </c>
      <c r="F1708" t="s">
        <v>1068</v>
      </c>
      <c r="G1708" t="s">
        <v>1083</v>
      </c>
      <c r="H1708">
        <v>-4.68557070233685E-4</v>
      </c>
      <c r="I1708" t="s">
        <v>1084</v>
      </c>
      <c r="J1708">
        <v>2.54</v>
      </c>
    </row>
    <row r="1709" spans="1:10" hidden="1">
      <c r="A1709" t="s">
        <v>1702</v>
      </c>
      <c r="B1709" t="s">
        <v>1703</v>
      </c>
      <c r="C1709" t="s">
        <v>1066</v>
      </c>
      <c r="D1709" t="s">
        <v>1673</v>
      </c>
      <c r="E1709" t="s">
        <v>1116</v>
      </c>
      <c r="F1709" t="s">
        <v>1068</v>
      </c>
      <c r="G1709" t="s">
        <v>1085</v>
      </c>
      <c r="H1709">
        <v>-1.2549741020455E-2</v>
      </c>
      <c r="I1709" t="s">
        <v>1086</v>
      </c>
      <c r="J1709">
        <v>2.54</v>
      </c>
    </row>
    <row r="1710" spans="1:10" hidden="1">
      <c r="A1710" t="s">
        <v>1702</v>
      </c>
      <c r="B1710" t="s">
        <v>1703</v>
      </c>
      <c r="C1710" t="s">
        <v>1066</v>
      </c>
      <c r="D1710" t="s">
        <v>1673</v>
      </c>
      <c r="E1710" t="s">
        <v>1116</v>
      </c>
      <c r="F1710" t="s">
        <v>1068</v>
      </c>
      <c r="G1710" t="s">
        <v>1087</v>
      </c>
      <c r="H1710" s="170">
        <v>-5.1438208510172E-6</v>
      </c>
      <c r="I1710" t="s">
        <v>1088</v>
      </c>
      <c r="J1710">
        <v>2.54</v>
      </c>
    </row>
    <row r="1711" spans="1:10" hidden="1">
      <c r="A1711" t="s">
        <v>1702</v>
      </c>
      <c r="B1711" t="s">
        <v>1703</v>
      </c>
      <c r="C1711" t="s">
        <v>1066</v>
      </c>
      <c r="D1711" t="s">
        <v>1673</v>
      </c>
      <c r="E1711" t="s">
        <v>1116</v>
      </c>
      <c r="F1711" t="s">
        <v>1068</v>
      </c>
      <c r="G1711" t="s">
        <v>1089</v>
      </c>
      <c r="H1711">
        <v>-3.1800127569847599E-3</v>
      </c>
      <c r="I1711" t="s">
        <v>1090</v>
      </c>
      <c r="J1711">
        <v>2.54</v>
      </c>
    </row>
    <row r="1712" spans="1:10" hidden="1">
      <c r="A1712" t="s">
        <v>1705</v>
      </c>
      <c r="B1712" t="s">
        <v>1706</v>
      </c>
      <c r="C1712" t="s">
        <v>1066</v>
      </c>
      <c r="D1712" t="s">
        <v>1707</v>
      </c>
      <c r="E1712" t="s">
        <v>561</v>
      </c>
      <c r="F1712" t="s">
        <v>1068</v>
      </c>
      <c r="G1712" t="s">
        <v>1069</v>
      </c>
      <c r="H1712" s="171" t="s">
        <v>1708</v>
      </c>
      <c r="I1712" t="s">
        <v>1070</v>
      </c>
      <c r="J1712">
        <v>2.5499999999999998</v>
      </c>
    </row>
    <row r="1713" spans="1:10" hidden="1">
      <c r="A1713" t="s">
        <v>1705</v>
      </c>
      <c r="B1713" t="s">
        <v>1706</v>
      </c>
      <c r="C1713" t="s">
        <v>1066</v>
      </c>
      <c r="D1713" t="s">
        <v>1707</v>
      </c>
      <c r="E1713" t="s">
        <v>561</v>
      </c>
      <c r="F1713" t="s">
        <v>1068</v>
      </c>
      <c r="G1713" t="s">
        <v>1071</v>
      </c>
      <c r="H1713" s="170">
        <v>-1.5074136551187799E-10</v>
      </c>
      <c r="I1713" t="s">
        <v>1072</v>
      </c>
      <c r="J1713">
        <v>2.5499999999999998</v>
      </c>
    </row>
    <row r="1714" spans="1:10" hidden="1">
      <c r="A1714" t="s">
        <v>1705</v>
      </c>
      <c r="B1714" t="s">
        <v>1706</v>
      </c>
      <c r="C1714" t="s">
        <v>1066</v>
      </c>
      <c r="D1714" t="s">
        <v>1707</v>
      </c>
      <c r="E1714" t="s">
        <v>561</v>
      </c>
      <c r="F1714" t="s">
        <v>1068</v>
      </c>
      <c r="G1714" t="s">
        <v>1073</v>
      </c>
      <c r="H1714" s="170">
        <v>-3.4137347366722403E-8</v>
      </c>
      <c r="I1714" t="s">
        <v>1074</v>
      </c>
      <c r="J1714">
        <v>2.5499999999999998</v>
      </c>
    </row>
    <row r="1715" spans="1:10" hidden="1">
      <c r="A1715" t="s">
        <v>1705</v>
      </c>
      <c r="B1715" t="s">
        <v>1706</v>
      </c>
      <c r="C1715" t="s">
        <v>1066</v>
      </c>
      <c r="D1715" t="s">
        <v>1707</v>
      </c>
      <c r="E1715" t="s">
        <v>561</v>
      </c>
      <c r="F1715" t="s">
        <v>1068</v>
      </c>
      <c r="G1715" t="s">
        <v>1075</v>
      </c>
      <c r="H1715">
        <v>4.5950317548073799E-2</v>
      </c>
      <c r="I1715" t="s">
        <v>1077</v>
      </c>
      <c r="J1715">
        <v>2.5499999999999998</v>
      </c>
    </row>
    <row r="1716" spans="1:10" hidden="1">
      <c r="A1716" t="s">
        <v>1705</v>
      </c>
      <c r="B1716" t="s">
        <v>1706</v>
      </c>
      <c r="C1716" t="s">
        <v>1066</v>
      </c>
      <c r="D1716" t="s">
        <v>1707</v>
      </c>
      <c r="E1716" t="s">
        <v>561</v>
      </c>
      <c r="F1716" t="s">
        <v>1068</v>
      </c>
      <c r="G1716" t="s">
        <v>1078</v>
      </c>
      <c r="H1716">
        <v>-2.1472669608911699</v>
      </c>
      <c r="I1716" t="s">
        <v>1079</v>
      </c>
      <c r="J1716">
        <v>2.5499999999999998</v>
      </c>
    </row>
    <row r="1717" spans="1:10" hidden="1">
      <c r="A1717" t="s">
        <v>1705</v>
      </c>
      <c r="B1717" t="s">
        <v>1706</v>
      </c>
      <c r="C1717" t="s">
        <v>1066</v>
      </c>
      <c r="D1717" t="s">
        <v>1707</v>
      </c>
      <c r="E1717" t="s">
        <v>561</v>
      </c>
      <c r="F1717" t="s">
        <v>1068</v>
      </c>
      <c r="G1717" t="s">
        <v>1080</v>
      </c>
      <c r="H1717" s="171" t="s">
        <v>1709</v>
      </c>
      <c r="I1717" t="s">
        <v>1082</v>
      </c>
      <c r="J1717">
        <v>2.5499999999999998</v>
      </c>
    </row>
    <row r="1718" spans="1:10" hidden="1">
      <c r="A1718" t="s">
        <v>1705</v>
      </c>
      <c r="B1718" t="s">
        <v>1706</v>
      </c>
      <c r="C1718" t="s">
        <v>1066</v>
      </c>
      <c r="D1718" t="s">
        <v>1707</v>
      </c>
      <c r="E1718" t="s">
        <v>561</v>
      </c>
      <c r="F1718" t="s">
        <v>1068</v>
      </c>
      <c r="G1718" t="s">
        <v>1083</v>
      </c>
      <c r="H1718">
        <v>-1.7688663943398E-3</v>
      </c>
      <c r="I1718" t="s">
        <v>1084</v>
      </c>
      <c r="J1718">
        <v>2.5499999999999998</v>
      </c>
    </row>
    <row r="1719" spans="1:10" hidden="1">
      <c r="A1719" t="s">
        <v>1705</v>
      </c>
      <c r="B1719" t="s">
        <v>1706</v>
      </c>
      <c r="C1719" t="s">
        <v>1066</v>
      </c>
      <c r="D1719" t="s">
        <v>1707</v>
      </c>
      <c r="E1719" t="s">
        <v>561</v>
      </c>
      <c r="F1719" t="s">
        <v>1068</v>
      </c>
      <c r="G1719" t="s">
        <v>1085</v>
      </c>
      <c r="H1719">
        <v>-4.9174601609766E-2</v>
      </c>
      <c r="I1719" t="s">
        <v>1086</v>
      </c>
      <c r="J1719">
        <v>2.5499999999999998</v>
      </c>
    </row>
    <row r="1720" spans="1:10" hidden="1">
      <c r="A1720" t="s">
        <v>1705</v>
      </c>
      <c r="B1720" t="s">
        <v>1706</v>
      </c>
      <c r="C1720" t="s">
        <v>1066</v>
      </c>
      <c r="D1720" t="s">
        <v>1707</v>
      </c>
      <c r="E1720" t="s">
        <v>561</v>
      </c>
      <c r="F1720" t="s">
        <v>1068</v>
      </c>
      <c r="G1720" t="s">
        <v>1087</v>
      </c>
      <c r="H1720" s="170">
        <v>-1.5461112641359402E-5</v>
      </c>
      <c r="I1720" t="s">
        <v>1088</v>
      </c>
      <c r="J1720">
        <v>2.5499999999999998</v>
      </c>
    </row>
    <row r="1721" spans="1:10" hidden="1">
      <c r="A1721" t="s">
        <v>1705</v>
      </c>
      <c r="B1721" t="s">
        <v>1706</v>
      </c>
      <c r="C1721" t="s">
        <v>1066</v>
      </c>
      <c r="D1721" t="s">
        <v>1707</v>
      </c>
      <c r="E1721" t="s">
        <v>561</v>
      </c>
      <c r="F1721" t="s">
        <v>1068</v>
      </c>
      <c r="G1721" t="s">
        <v>1089</v>
      </c>
      <c r="H1721">
        <v>-1.2987287572093E-2</v>
      </c>
      <c r="I1721" t="s">
        <v>1090</v>
      </c>
      <c r="J1721">
        <v>2.5499999999999998</v>
      </c>
    </row>
    <row r="1722" spans="1:10" hidden="1">
      <c r="A1722" t="s">
        <v>1710</v>
      </c>
      <c r="B1722" t="s">
        <v>1711</v>
      </c>
      <c r="C1722" t="s">
        <v>1066</v>
      </c>
      <c r="D1722" t="s">
        <v>1707</v>
      </c>
      <c r="E1722" t="s">
        <v>555</v>
      </c>
      <c r="F1722" t="s">
        <v>1068</v>
      </c>
      <c r="G1722" t="s">
        <v>1069</v>
      </c>
      <c r="H1722" s="171" t="s">
        <v>1712</v>
      </c>
      <c r="I1722" t="s">
        <v>1070</v>
      </c>
      <c r="J1722">
        <v>2.5299999999999998</v>
      </c>
    </row>
    <row r="1723" spans="1:10" hidden="1">
      <c r="A1723" t="s">
        <v>1710</v>
      </c>
      <c r="B1723" t="s">
        <v>1711</v>
      </c>
      <c r="C1723" t="s">
        <v>1066</v>
      </c>
      <c r="D1723" t="s">
        <v>1707</v>
      </c>
      <c r="E1723" t="s">
        <v>555</v>
      </c>
      <c r="F1723" t="s">
        <v>1068</v>
      </c>
      <c r="G1723" t="s">
        <v>1071</v>
      </c>
      <c r="H1723" s="170">
        <v>-1.5975083439723301E-10</v>
      </c>
      <c r="I1723" t="s">
        <v>1072</v>
      </c>
      <c r="J1723">
        <v>2.5299999999999998</v>
      </c>
    </row>
    <row r="1724" spans="1:10" hidden="1">
      <c r="A1724" t="s">
        <v>1710</v>
      </c>
      <c r="B1724" t="s">
        <v>1711</v>
      </c>
      <c r="C1724" t="s">
        <v>1066</v>
      </c>
      <c r="D1724" t="s">
        <v>1707</v>
      </c>
      <c r="E1724" t="s">
        <v>555</v>
      </c>
      <c r="F1724" t="s">
        <v>1068</v>
      </c>
      <c r="G1724" t="s">
        <v>1073</v>
      </c>
      <c r="H1724" s="170">
        <v>-3.6374641797824503E-8</v>
      </c>
      <c r="I1724" t="s">
        <v>1074</v>
      </c>
      <c r="J1724">
        <v>2.5299999999999998</v>
      </c>
    </row>
    <row r="1725" spans="1:10" hidden="1">
      <c r="A1725" t="s">
        <v>1710</v>
      </c>
      <c r="B1725" t="s">
        <v>1711</v>
      </c>
      <c r="C1725" t="s">
        <v>1066</v>
      </c>
      <c r="D1725" t="s">
        <v>1707</v>
      </c>
      <c r="E1725" t="s">
        <v>555</v>
      </c>
      <c r="F1725" t="s">
        <v>1068</v>
      </c>
      <c r="G1725" t="s">
        <v>1075</v>
      </c>
      <c r="H1725">
        <v>4.5753129225051703E-2</v>
      </c>
      <c r="I1725" t="s">
        <v>1077</v>
      </c>
      <c r="J1725">
        <v>2.5299999999999998</v>
      </c>
    </row>
    <row r="1726" spans="1:10" hidden="1">
      <c r="A1726" t="s">
        <v>1710</v>
      </c>
      <c r="B1726" t="s">
        <v>1711</v>
      </c>
      <c r="C1726" t="s">
        <v>1066</v>
      </c>
      <c r="D1726" t="s">
        <v>1707</v>
      </c>
      <c r="E1726" t="s">
        <v>555</v>
      </c>
      <c r="F1726" t="s">
        <v>1068</v>
      </c>
      <c r="G1726" t="s">
        <v>1078</v>
      </c>
      <c r="H1726">
        <v>-2.1550741473042199</v>
      </c>
      <c r="I1726" t="s">
        <v>1079</v>
      </c>
      <c r="J1726">
        <v>2.5299999999999998</v>
      </c>
    </row>
    <row r="1727" spans="1:10" hidden="1">
      <c r="A1727" t="s">
        <v>1710</v>
      </c>
      <c r="B1727" t="s">
        <v>1711</v>
      </c>
      <c r="C1727" t="s">
        <v>1066</v>
      </c>
      <c r="D1727" t="s">
        <v>1707</v>
      </c>
      <c r="E1727" t="s">
        <v>555</v>
      </c>
      <c r="F1727" t="s">
        <v>1068</v>
      </c>
      <c r="G1727" t="s">
        <v>1080</v>
      </c>
      <c r="H1727" s="171" t="s">
        <v>1713</v>
      </c>
      <c r="I1727" t="s">
        <v>1082</v>
      </c>
      <c r="J1727">
        <v>2.5299999999999998</v>
      </c>
    </row>
    <row r="1728" spans="1:10" hidden="1">
      <c r="A1728" t="s">
        <v>1710</v>
      </c>
      <c r="B1728" t="s">
        <v>1711</v>
      </c>
      <c r="C1728" t="s">
        <v>1066</v>
      </c>
      <c r="D1728" t="s">
        <v>1707</v>
      </c>
      <c r="E1728" t="s">
        <v>555</v>
      </c>
      <c r="F1728" t="s">
        <v>1068</v>
      </c>
      <c r="G1728" t="s">
        <v>1083</v>
      </c>
      <c r="H1728">
        <v>-1.76982386402894E-3</v>
      </c>
      <c r="I1728" t="s">
        <v>1084</v>
      </c>
      <c r="J1728">
        <v>2.5299999999999998</v>
      </c>
    </row>
    <row r="1729" spans="1:10" hidden="1">
      <c r="A1729" t="s">
        <v>1710</v>
      </c>
      <c r="B1729" t="s">
        <v>1711</v>
      </c>
      <c r="C1729" t="s">
        <v>1066</v>
      </c>
      <c r="D1729" t="s">
        <v>1707</v>
      </c>
      <c r="E1729" t="s">
        <v>555</v>
      </c>
      <c r="F1729" t="s">
        <v>1068</v>
      </c>
      <c r="G1729" t="s">
        <v>1085</v>
      </c>
      <c r="H1729">
        <v>-4.9185412776439202E-2</v>
      </c>
      <c r="I1729" t="s">
        <v>1086</v>
      </c>
      <c r="J1729">
        <v>2.5299999999999998</v>
      </c>
    </row>
    <row r="1730" spans="1:10" hidden="1">
      <c r="A1730" t="s">
        <v>1710</v>
      </c>
      <c r="B1730" t="s">
        <v>1711</v>
      </c>
      <c r="C1730" t="s">
        <v>1066</v>
      </c>
      <c r="D1730" t="s">
        <v>1707</v>
      </c>
      <c r="E1730" t="s">
        <v>555</v>
      </c>
      <c r="F1730" t="s">
        <v>1068</v>
      </c>
      <c r="G1730" t="s">
        <v>1087</v>
      </c>
      <c r="H1730" s="170">
        <v>-1.5466241511189801E-5</v>
      </c>
      <c r="I1730" t="s">
        <v>1088</v>
      </c>
      <c r="J1730">
        <v>2.5299999999999998</v>
      </c>
    </row>
    <row r="1731" spans="1:10" hidden="1">
      <c r="A1731" t="s">
        <v>1710</v>
      </c>
      <c r="B1731" t="s">
        <v>1711</v>
      </c>
      <c r="C1731" t="s">
        <v>1066</v>
      </c>
      <c r="D1731" t="s">
        <v>1707</v>
      </c>
      <c r="E1731" t="s">
        <v>555</v>
      </c>
      <c r="F1731" t="s">
        <v>1068</v>
      </c>
      <c r="G1731" t="s">
        <v>1089</v>
      </c>
      <c r="H1731">
        <v>-1.2989519668570201E-2</v>
      </c>
      <c r="I1731" t="s">
        <v>1090</v>
      </c>
      <c r="J1731">
        <v>2.5299999999999998</v>
      </c>
    </row>
    <row r="1732" spans="1:10" hidden="1">
      <c r="A1732" t="s">
        <v>1714</v>
      </c>
      <c r="B1732" t="s">
        <v>1715</v>
      </c>
      <c r="C1732" t="s">
        <v>1066</v>
      </c>
      <c r="D1732" t="s">
        <v>1707</v>
      </c>
      <c r="E1732" t="s">
        <v>558</v>
      </c>
      <c r="F1732" t="s">
        <v>1068</v>
      </c>
      <c r="G1732" t="s">
        <v>1069</v>
      </c>
      <c r="H1732" s="171" t="s">
        <v>1716</v>
      </c>
      <c r="I1732" t="s">
        <v>1070</v>
      </c>
      <c r="J1732">
        <v>2.54</v>
      </c>
    </row>
    <row r="1733" spans="1:10" hidden="1">
      <c r="A1733" t="s">
        <v>1714</v>
      </c>
      <c r="B1733" t="s">
        <v>1715</v>
      </c>
      <c r="C1733" t="s">
        <v>1066</v>
      </c>
      <c r="D1733" t="s">
        <v>1707</v>
      </c>
      <c r="E1733" t="s">
        <v>558</v>
      </c>
      <c r="F1733" t="s">
        <v>1068</v>
      </c>
      <c r="G1733" t="s">
        <v>1071</v>
      </c>
      <c r="H1733" s="170">
        <v>-1.49943240494872E-10</v>
      </c>
      <c r="I1733" t="s">
        <v>1072</v>
      </c>
      <c r="J1733">
        <v>2.54</v>
      </c>
    </row>
    <row r="1734" spans="1:10" hidden="1">
      <c r="A1734" t="s">
        <v>1714</v>
      </c>
      <c r="B1734" t="s">
        <v>1715</v>
      </c>
      <c r="C1734" t="s">
        <v>1066</v>
      </c>
      <c r="D1734" t="s">
        <v>1707</v>
      </c>
      <c r="E1734" t="s">
        <v>558</v>
      </c>
      <c r="F1734" t="s">
        <v>1068</v>
      </c>
      <c r="G1734" t="s">
        <v>1073</v>
      </c>
      <c r="H1734" s="170">
        <v>-3.3939238158065798E-8</v>
      </c>
      <c r="I1734" t="s">
        <v>1074</v>
      </c>
      <c r="J1734">
        <v>2.54</v>
      </c>
    </row>
    <row r="1735" spans="1:10" hidden="1">
      <c r="A1735" t="s">
        <v>1714</v>
      </c>
      <c r="B1735" t="s">
        <v>1715</v>
      </c>
      <c r="C1735" t="s">
        <v>1066</v>
      </c>
      <c r="D1735" t="s">
        <v>1707</v>
      </c>
      <c r="E1735" t="s">
        <v>558</v>
      </c>
      <c r="F1735" t="s">
        <v>1068</v>
      </c>
      <c r="G1735" t="s">
        <v>1075</v>
      </c>
      <c r="H1735" s="171" t="s">
        <v>1717</v>
      </c>
      <c r="I1735" t="s">
        <v>1077</v>
      </c>
      <c r="J1735">
        <v>2.54</v>
      </c>
    </row>
    <row r="1736" spans="1:10" hidden="1">
      <c r="A1736" t="s">
        <v>1714</v>
      </c>
      <c r="B1736" t="s">
        <v>1715</v>
      </c>
      <c r="C1736" t="s">
        <v>1066</v>
      </c>
      <c r="D1736" t="s">
        <v>1707</v>
      </c>
      <c r="E1736" t="s">
        <v>558</v>
      </c>
      <c r="F1736" t="s">
        <v>1068</v>
      </c>
      <c r="G1736" t="s">
        <v>1078</v>
      </c>
      <c r="H1736">
        <v>-2.14650454588344</v>
      </c>
      <c r="I1736" t="s">
        <v>1079</v>
      </c>
      <c r="J1736">
        <v>2.54</v>
      </c>
    </row>
    <row r="1737" spans="1:10" hidden="1">
      <c r="A1737" t="s">
        <v>1714</v>
      </c>
      <c r="B1737" t="s">
        <v>1715</v>
      </c>
      <c r="C1737" t="s">
        <v>1066</v>
      </c>
      <c r="D1737" t="s">
        <v>1707</v>
      </c>
      <c r="E1737" t="s">
        <v>558</v>
      </c>
      <c r="F1737" t="s">
        <v>1068</v>
      </c>
      <c r="G1737" t="s">
        <v>1080</v>
      </c>
      <c r="H1737" s="171" t="s">
        <v>1718</v>
      </c>
      <c r="I1737" t="s">
        <v>1082</v>
      </c>
      <c r="J1737">
        <v>2.54</v>
      </c>
    </row>
    <row r="1738" spans="1:10" hidden="1">
      <c r="A1738" t="s">
        <v>1714</v>
      </c>
      <c r="B1738" t="s">
        <v>1715</v>
      </c>
      <c r="C1738" t="s">
        <v>1066</v>
      </c>
      <c r="D1738" t="s">
        <v>1707</v>
      </c>
      <c r="E1738" t="s">
        <v>558</v>
      </c>
      <c r="F1738" t="s">
        <v>1068</v>
      </c>
      <c r="G1738" t="s">
        <v>1083</v>
      </c>
      <c r="H1738">
        <v>-1.7687816182707201E-3</v>
      </c>
      <c r="I1738" t="s">
        <v>1084</v>
      </c>
      <c r="J1738">
        <v>2.54</v>
      </c>
    </row>
    <row r="1739" spans="1:10" hidden="1">
      <c r="A1739" t="s">
        <v>1714</v>
      </c>
      <c r="B1739" t="s">
        <v>1715</v>
      </c>
      <c r="C1739" t="s">
        <v>1066</v>
      </c>
      <c r="D1739" t="s">
        <v>1707</v>
      </c>
      <c r="E1739" t="s">
        <v>558</v>
      </c>
      <c r="F1739" t="s">
        <v>1068</v>
      </c>
      <c r="G1739" t="s">
        <v>1085</v>
      </c>
      <c r="H1739">
        <v>-4.9173643468126103E-2</v>
      </c>
      <c r="I1739" t="s">
        <v>1086</v>
      </c>
      <c r="J1739">
        <v>2.54</v>
      </c>
    </row>
    <row r="1740" spans="1:10" hidden="1">
      <c r="A1740" t="s">
        <v>1714</v>
      </c>
      <c r="B1740" t="s">
        <v>1715</v>
      </c>
      <c r="C1740" t="s">
        <v>1066</v>
      </c>
      <c r="D1740" t="s">
        <v>1707</v>
      </c>
      <c r="E1740" t="s">
        <v>558</v>
      </c>
      <c r="F1740" t="s">
        <v>1068</v>
      </c>
      <c r="G1740" t="s">
        <v>1087</v>
      </c>
      <c r="H1740" s="170">
        <v>-1.5460650237829199E-5</v>
      </c>
      <c r="I1740" t="s">
        <v>1088</v>
      </c>
      <c r="J1740">
        <v>2.54</v>
      </c>
    </row>
    <row r="1741" spans="1:10" hidden="1">
      <c r="A1741" t="s">
        <v>1714</v>
      </c>
      <c r="B1741" t="s">
        <v>1715</v>
      </c>
      <c r="C1741" t="s">
        <v>1066</v>
      </c>
      <c r="D1741" t="s">
        <v>1707</v>
      </c>
      <c r="E1741" t="s">
        <v>558</v>
      </c>
      <c r="F1741" t="s">
        <v>1068</v>
      </c>
      <c r="G1741" t="s">
        <v>1089</v>
      </c>
      <c r="H1741">
        <v>-1.2987089909364801E-2</v>
      </c>
      <c r="I1741" t="s">
        <v>1090</v>
      </c>
      <c r="J1741">
        <v>2.54</v>
      </c>
    </row>
    <row r="1742" spans="1:10" hidden="1">
      <c r="A1742" t="s">
        <v>1719</v>
      </c>
      <c r="B1742" t="s">
        <v>1720</v>
      </c>
      <c r="C1742" t="s">
        <v>1066</v>
      </c>
      <c r="D1742" t="s">
        <v>1707</v>
      </c>
      <c r="E1742" t="s">
        <v>553</v>
      </c>
      <c r="F1742" t="s">
        <v>1068</v>
      </c>
      <c r="G1742" t="s">
        <v>1069</v>
      </c>
      <c r="H1742" s="171" t="s">
        <v>1721</v>
      </c>
      <c r="I1742" t="s">
        <v>1070</v>
      </c>
      <c r="J1742">
        <v>2.54</v>
      </c>
    </row>
    <row r="1743" spans="1:10" hidden="1">
      <c r="A1743" t="s">
        <v>1719</v>
      </c>
      <c r="B1743" t="s">
        <v>1720</v>
      </c>
      <c r="C1743" t="s">
        <v>1066</v>
      </c>
      <c r="D1743" t="s">
        <v>1707</v>
      </c>
      <c r="E1743" t="s">
        <v>553</v>
      </c>
      <c r="F1743" t="s">
        <v>1068</v>
      </c>
      <c r="G1743" t="s">
        <v>1071</v>
      </c>
      <c r="H1743" s="170">
        <v>-1.4915692271119901E-10</v>
      </c>
      <c r="I1743" t="s">
        <v>1072</v>
      </c>
      <c r="J1743">
        <v>2.54</v>
      </c>
    </row>
    <row r="1744" spans="1:10" hidden="1">
      <c r="A1744" t="s">
        <v>1719</v>
      </c>
      <c r="B1744" t="s">
        <v>1720</v>
      </c>
      <c r="C1744" t="s">
        <v>1066</v>
      </c>
      <c r="D1744" t="s">
        <v>1707</v>
      </c>
      <c r="E1744" t="s">
        <v>553</v>
      </c>
      <c r="F1744" t="s">
        <v>1068</v>
      </c>
      <c r="G1744" t="s">
        <v>1073</v>
      </c>
      <c r="H1744" s="170">
        <v>-3.3745039397068999E-8</v>
      </c>
      <c r="I1744" t="s">
        <v>1074</v>
      </c>
      <c r="J1744">
        <v>2.54</v>
      </c>
    </row>
    <row r="1745" spans="1:10" hidden="1">
      <c r="A1745" t="s">
        <v>1719</v>
      </c>
      <c r="B1745" t="s">
        <v>1720</v>
      </c>
      <c r="C1745" t="s">
        <v>1066</v>
      </c>
      <c r="D1745" t="s">
        <v>1707</v>
      </c>
      <c r="E1745" t="s">
        <v>553</v>
      </c>
      <c r="F1745" t="s">
        <v>1068</v>
      </c>
      <c r="G1745" t="s">
        <v>1075</v>
      </c>
      <c r="H1745">
        <v>4.5987148933753101E-2</v>
      </c>
      <c r="I1745" t="s">
        <v>1077</v>
      </c>
      <c r="J1745">
        <v>2.54</v>
      </c>
    </row>
    <row r="1746" spans="1:10" hidden="1">
      <c r="A1746" t="s">
        <v>1719</v>
      </c>
      <c r="B1746" t="s">
        <v>1720</v>
      </c>
      <c r="C1746" t="s">
        <v>1066</v>
      </c>
      <c r="D1746" t="s">
        <v>1707</v>
      </c>
      <c r="E1746" t="s">
        <v>553</v>
      </c>
      <c r="F1746" t="s">
        <v>1068</v>
      </c>
      <c r="G1746" t="s">
        <v>1078</v>
      </c>
      <c r="H1746">
        <v>-2.1449542323934998</v>
      </c>
      <c r="I1746" t="s">
        <v>1079</v>
      </c>
      <c r="J1746">
        <v>2.54</v>
      </c>
    </row>
    <row r="1747" spans="1:10" hidden="1">
      <c r="A1747" t="s">
        <v>1719</v>
      </c>
      <c r="B1747" t="s">
        <v>1720</v>
      </c>
      <c r="C1747" t="s">
        <v>1066</v>
      </c>
      <c r="D1747" t="s">
        <v>1707</v>
      </c>
      <c r="E1747" t="s">
        <v>553</v>
      </c>
      <c r="F1747" t="s">
        <v>1068</v>
      </c>
      <c r="G1747" t="s">
        <v>1080</v>
      </c>
      <c r="H1747" s="171" t="s">
        <v>1722</v>
      </c>
      <c r="I1747" t="s">
        <v>1082</v>
      </c>
      <c r="J1747">
        <v>2.54</v>
      </c>
    </row>
    <row r="1748" spans="1:10" hidden="1">
      <c r="A1748" t="s">
        <v>1719</v>
      </c>
      <c r="B1748" t="s">
        <v>1720</v>
      </c>
      <c r="C1748" t="s">
        <v>1066</v>
      </c>
      <c r="D1748" t="s">
        <v>1707</v>
      </c>
      <c r="E1748" t="s">
        <v>553</v>
      </c>
      <c r="F1748" t="s">
        <v>1068</v>
      </c>
      <c r="G1748" t="s">
        <v>1083</v>
      </c>
      <c r="H1748">
        <v>-1.76869858895318E-3</v>
      </c>
      <c r="I1748" t="s">
        <v>1084</v>
      </c>
      <c r="J1748">
        <v>2.54</v>
      </c>
    </row>
    <row r="1749" spans="1:10" hidden="1">
      <c r="A1749" t="s">
        <v>1719</v>
      </c>
      <c r="B1749" t="s">
        <v>1720</v>
      </c>
      <c r="C1749" t="s">
        <v>1066</v>
      </c>
      <c r="D1749" t="s">
        <v>1707</v>
      </c>
      <c r="E1749" t="s">
        <v>553</v>
      </c>
      <c r="F1749" t="s">
        <v>1068</v>
      </c>
      <c r="G1749" t="s">
        <v>1085</v>
      </c>
      <c r="H1749">
        <v>-4.9172694884255103E-2</v>
      </c>
      <c r="I1749" t="s">
        <v>1086</v>
      </c>
      <c r="J1749">
        <v>2.54</v>
      </c>
    </row>
    <row r="1750" spans="1:10" hidden="1">
      <c r="A1750" t="s">
        <v>1719</v>
      </c>
      <c r="B1750" t="s">
        <v>1720</v>
      </c>
      <c r="C1750" t="s">
        <v>1066</v>
      </c>
      <c r="D1750" t="s">
        <v>1707</v>
      </c>
      <c r="E1750" t="s">
        <v>553</v>
      </c>
      <c r="F1750" t="s">
        <v>1068</v>
      </c>
      <c r="G1750" t="s">
        <v>1087</v>
      </c>
      <c r="H1750" s="170">
        <v>-1.5460103798351598E-5</v>
      </c>
      <c r="I1750" t="s">
        <v>1088</v>
      </c>
      <c r="J1750">
        <v>2.54</v>
      </c>
    </row>
    <row r="1751" spans="1:10" hidden="1">
      <c r="A1751" t="s">
        <v>1719</v>
      </c>
      <c r="B1751" t="s">
        <v>1720</v>
      </c>
      <c r="C1751" t="s">
        <v>1066</v>
      </c>
      <c r="D1751" t="s">
        <v>1707</v>
      </c>
      <c r="E1751" t="s">
        <v>553</v>
      </c>
      <c r="F1751" t="s">
        <v>1068</v>
      </c>
      <c r="G1751" t="s">
        <v>1089</v>
      </c>
      <c r="H1751">
        <v>-1.29868959925271E-2</v>
      </c>
      <c r="I1751" t="s">
        <v>1090</v>
      </c>
      <c r="J1751">
        <v>2.54</v>
      </c>
    </row>
    <row r="1752" spans="1:10" hidden="1">
      <c r="A1752" t="s">
        <v>1723</v>
      </c>
      <c r="B1752" t="s">
        <v>1724</v>
      </c>
      <c r="C1752" t="s">
        <v>1066</v>
      </c>
      <c r="D1752" t="s">
        <v>1707</v>
      </c>
      <c r="E1752" t="s">
        <v>556</v>
      </c>
      <c r="F1752" t="s">
        <v>1068</v>
      </c>
      <c r="G1752" t="s">
        <v>1069</v>
      </c>
      <c r="H1752" s="171" t="s">
        <v>1725</v>
      </c>
      <c r="I1752" t="s">
        <v>1070</v>
      </c>
      <c r="J1752">
        <v>2.0299999999999998</v>
      </c>
    </row>
    <row r="1753" spans="1:10" hidden="1">
      <c r="A1753" t="s">
        <v>1723</v>
      </c>
      <c r="B1753" t="s">
        <v>1724</v>
      </c>
      <c r="C1753" t="s">
        <v>1066</v>
      </c>
      <c r="D1753" t="s">
        <v>1707</v>
      </c>
      <c r="E1753" t="s">
        <v>556</v>
      </c>
      <c r="F1753" t="s">
        <v>1068</v>
      </c>
      <c r="G1753" t="s">
        <v>1071</v>
      </c>
      <c r="H1753" s="170">
        <v>-1.58739003688621E-10</v>
      </c>
      <c r="I1753" t="s">
        <v>1072</v>
      </c>
      <c r="J1753">
        <v>2.0299999999999998</v>
      </c>
    </row>
    <row r="1754" spans="1:10" hidden="1">
      <c r="A1754" t="s">
        <v>1723</v>
      </c>
      <c r="B1754" t="s">
        <v>1724</v>
      </c>
      <c r="C1754" t="s">
        <v>1066</v>
      </c>
      <c r="D1754" t="s">
        <v>1707</v>
      </c>
      <c r="E1754" t="s">
        <v>556</v>
      </c>
      <c r="F1754" t="s">
        <v>1068</v>
      </c>
      <c r="G1754" t="s">
        <v>1073</v>
      </c>
      <c r="H1754" s="170">
        <v>-3.61270142463416E-8</v>
      </c>
      <c r="I1754" t="s">
        <v>1074</v>
      </c>
      <c r="J1754">
        <v>2.0299999999999998</v>
      </c>
    </row>
    <row r="1755" spans="1:10" hidden="1">
      <c r="A1755" t="s">
        <v>1723</v>
      </c>
      <c r="B1755" t="s">
        <v>1724</v>
      </c>
      <c r="C1755" t="s">
        <v>1066</v>
      </c>
      <c r="D1755" t="s">
        <v>1707</v>
      </c>
      <c r="E1755" t="s">
        <v>556</v>
      </c>
      <c r="F1755" t="s">
        <v>1068</v>
      </c>
      <c r="G1755" t="s">
        <v>1075</v>
      </c>
      <c r="H1755">
        <v>4.5782154679851E-2</v>
      </c>
      <c r="I1755" t="s">
        <v>1077</v>
      </c>
      <c r="J1755">
        <v>2.0299999999999998</v>
      </c>
    </row>
    <row r="1756" spans="1:10" hidden="1">
      <c r="A1756" t="s">
        <v>1723</v>
      </c>
      <c r="B1756" t="s">
        <v>1724</v>
      </c>
      <c r="C1756" t="s">
        <v>1066</v>
      </c>
      <c r="D1756" t="s">
        <v>1707</v>
      </c>
      <c r="E1756" t="s">
        <v>556</v>
      </c>
      <c r="F1756" t="s">
        <v>1068</v>
      </c>
      <c r="G1756" t="s">
        <v>1078</v>
      </c>
      <c r="H1756">
        <v>-2.15119062242628</v>
      </c>
      <c r="I1756" t="s">
        <v>1079</v>
      </c>
      <c r="J1756">
        <v>2.0299999999999998</v>
      </c>
    </row>
    <row r="1757" spans="1:10" hidden="1">
      <c r="A1757" t="s">
        <v>1723</v>
      </c>
      <c r="B1757" t="s">
        <v>1724</v>
      </c>
      <c r="C1757" t="s">
        <v>1066</v>
      </c>
      <c r="D1757" t="s">
        <v>1707</v>
      </c>
      <c r="E1757" t="s">
        <v>556</v>
      </c>
      <c r="F1757" t="s">
        <v>1068</v>
      </c>
      <c r="G1757" t="s">
        <v>1080</v>
      </c>
      <c r="H1757" s="171" t="s">
        <v>1726</v>
      </c>
      <c r="I1757" t="s">
        <v>1082</v>
      </c>
      <c r="J1757">
        <v>2.0299999999999998</v>
      </c>
    </row>
    <row r="1758" spans="1:10" hidden="1">
      <c r="A1758" t="s">
        <v>1723</v>
      </c>
      <c r="B1758" t="s">
        <v>1724</v>
      </c>
      <c r="C1758" t="s">
        <v>1066</v>
      </c>
      <c r="D1758" t="s">
        <v>1707</v>
      </c>
      <c r="E1758" t="s">
        <v>556</v>
      </c>
      <c r="F1758" t="s">
        <v>1068</v>
      </c>
      <c r="G1758" t="s">
        <v>1083</v>
      </c>
      <c r="H1758">
        <v>-1.76971809250722E-3</v>
      </c>
      <c r="I1758" t="s">
        <v>1084</v>
      </c>
      <c r="J1758">
        <v>2.0299999999999998</v>
      </c>
    </row>
    <row r="1759" spans="1:10" hidden="1">
      <c r="A1759" t="s">
        <v>1723</v>
      </c>
      <c r="B1759" t="s">
        <v>1724</v>
      </c>
      <c r="C1759" t="s">
        <v>1066</v>
      </c>
      <c r="D1759" t="s">
        <v>1707</v>
      </c>
      <c r="E1759" t="s">
        <v>556</v>
      </c>
      <c r="F1759" t="s">
        <v>1068</v>
      </c>
      <c r="G1759" t="s">
        <v>1085</v>
      </c>
      <c r="H1759">
        <v>-4.9184180373758803E-2</v>
      </c>
      <c r="I1759" t="s">
        <v>1086</v>
      </c>
      <c r="J1759">
        <v>2.0299999999999998</v>
      </c>
    </row>
    <row r="1760" spans="1:10" hidden="1">
      <c r="A1760" t="s">
        <v>1723</v>
      </c>
      <c r="B1760" t="s">
        <v>1724</v>
      </c>
      <c r="C1760" t="s">
        <v>1066</v>
      </c>
      <c r="D1760" t="s">
        <v>1707</v>
      </c>
      <c r="E1760" t="s">
        <v>556</v>
      </c>
      <c r="F1760" t="s">
        <v>1068</v>
      </c>
      <c r="G1760" t="s">
        <v>1087</v>
      </c>
      <c r="H1760" s="170">
        <v>-1.5465664613762101E-5</v>
      </c>
      <c r="I1760" t="s">
        <v>1088</v>
      </c>
      <c r="J1760">
        <v>2.0299999999999998</v>
      </c>
    </row>
    <row r="1761" spans="1:10" hidden="1">
      <c r="A1761" t="s">
        <v>1723</v>
      </c>
      <c r="B1761" t="s">
        <v>1724</v>
      </c>
      <c r="C1761" t="s">
        <v>1066</v>
      </c>
      <c r="D1761" t="s">
        <v>1707</v>
      </c>
      <c r="E1761" t="s">
        <v>556</v>
      </c>
      <c r="F1761" t="s">
        <v>1068</v>
      </c>
      <c r="G1761" t="s">
        <v>1089</v>
      </c>
      <c r="H1761">
        <v>-1.2989273063360699E-2</v>
      </c>
      <c r="I1761" t="s">
        <v>1090</v>
      </c>
      <c r="J1761">
        <v>2.0299999999999998</v>
      </c>
    </row>
    <row r="1762" spans="1:10" hidden="1">
      <c r="A1762" t="s">
        <v>1727</v>
      </c>
      <c r="B1762" t="s">
        <v>1728</v>
      </c>
      <c r="C1762" t="s">
        <v>1066</v>
      </c>
      <c r="D1762" t="s">
        <v>1707</v>
      </c>
      <c r="E1762" t="s">
        <v>557</v>
      </c>
      <c r="F1762" t="s">
        <v>1068</v>
      </c>
      <c r="G1762" t="s">
        <v>1069</v>
      </c>
      <c r="H1762" s="171" t="s">
        <v>1729</v>
      </c>
      <c r="I1762" t="s">
        <v>1070</v>
      </c>
      <c r="J1762">
        <v>2.54</v>
      </c>
    </row>
    <row r="1763" spans="1:10" hidden="1">
      <c r="A1763" t="s">
        <v>1727</v>
      </c>
      <c r="B1763" t="s">
        <v>1728</v>
      </c>
      <c r="C1763" t="s">
        <v>1066</v>
      </c>
      <c r="D1763" t="s">
        <v>1707</v>
      </c>
      <c r="E1763" t="s">
        <v>557</v>
      </c>
      <c r="F1763" t="s">
        <v>1068</v>
      </c>
      <c r="G1763" t="s">
        <v>1071</v>
      </c>
      <c r="H1763" s="170">
        <v>-1.53239843825937E-10</v>
      </c>
      <c r="I1763" t="s">
        <v>1072</v>
      </c>
      <c r="J1763">
        <v>2.54</v>
      </c>
    </row>
    <row r="1764" spans="1:10" hidden="1">
      <c r="A1764" t="s">
        <v>1727</v>
      </c>
      <c r="B1764" t="s">
        <v>1728</v>
      </c>
      <c r="C1764" t="s">
        <v>1066</v>
      </c>
      <c r="D1764" t="s">
        <v>1707</v>
      </c>
      <c r="E1764" t="s">
        <v>557</v>
      </c>
      <c r="F1764" t="s">
        <v>1068</v>
      </c>
      <c r="G1764" t="s">
        <v>1073</v>
      </c>
      <c r="H1764" s="170">
        <v>-3.4757515324263403E-8</v>
      </c>
      <c r="I1764" t="s">
        <v>1074</v>
      </c>
      <c r="J1764">
        <v>2.54</v>
      </c>
    </row>
    <row r="1765" spans="1:10" hidden="1">
      <c r="A1765" t="s">
        <v>1727</v>
      </c>
      <c r="B1765" t="s">
        <v>1728</v>
      </c>
      <c r="C1765" t="s">
        <v>1066</v>
      </c>
      <c r="D1765" t="s">
        <v>1707</v>
      </c>
      <c r="E1765" t="s">
        <v>557</v>
      </c>
      <c r="F1765" t="s">
        <v>1068</v>
      </c>
      <c r="G1765" t="s">
        <v>1075</v>
      </c>
      <c r="H1765" s="171" t="s">
        <v>1730</v>
      </c>
      <c r="I1765" t="s">
        <v>1077</v>
      </c>
      <c r="J1765">
        <v>2.54</v>
      </c>
    </row>
    <row r="1766" spans="1:10" hidden="1">
      <c r="A1766" t="s">
        <v>1727</v>
      </c>
      <c r="B1766" t="s">
        <v>1728</v>
      </c>
      <c r="C1766" t="s">
        <v>1066</v>
      </c>
      <c r="D1766" t="s">
        <v>1707</v>
      </c>
      <c r="E1766" t="s">
        <v>557</v>
      </c>
      <c r="F1766" t="s">
        <v>1068</v>
      </c>
      <c r="G1766" t="s">
        <v>1078</v>
      </c>
      <c r="H1766">
        <v>-2.14965365134998</v>
      </c>
      <c r="I1766" t="s">
        <v>1079</v>
      </c>
      <c r="J1766">
        <v>2.54</v>
      </c>
    </row>
    <row r="1767" spans="1:10" hidden="1">
      <c r="A1767" t="s">
        <v>1727</v>
      </c>
      <c r="B1767" t="s">
        <v>1728</v>
      </c>
      <c r="C1767" t="s">
        <v>1066</v>
      </c>
      <c r="D1767" t="s">
        <v>1707</v>
      </c>
      <c r="E1767" t="s">
        <v>557</v>
      </c>
      <c r="F1767" t="s">
        <v>1068</v>
      </c>
      <c r="G1767" t="s">
        <v>1080</v>
      </c>
      <c r="H1767" s="171" t="s">
        <v>1731</v>
      </c>
      <c r="I1767" t="s">
        <v>1082</v>
      </c>
      <c r="J1767">
        <v>2.54</v>
      </c>
    </row>
    <row r="1768" spans="1:10" hidden="1">
      <c r="A1768" t="s">
        <v>1727</v>
      </c>
      <c r="B1768" t="s">
        <v>1728</v>
      </c>
      <c r="C1768" t="s">
        <v>1066</v>
      </c>
      <c r="D1768" t="s">
        <v>1707</v>
      </c>
      <c r="E1768" t="s">
        <v>557</v>
      </c>
      <c r="F1768" t="s">
        <v>1068</v>
      </c>
      <c r="G1768" t="s">
        <v>1083</v>
      </c>
      <c r="H1768">
        <v>-1.76913178029517E-3</v>
      </c>
      <c r="I1768" t="s">
        <v>1084</v>
      </c>
      <c r="J1768">
        <v>2.54</v>
      </c>
    </row>
    <row r="1769" spans="1:10" hidden="1">
      <c r="A1769" t="s">
        <v>1727</v>
      </c>
      <c r="B1769" t="s">
        <v>1728</v>
      </c>
      <c r="C1769" t="s">
        <v>1066</v>
      </c>
      <c r="D1769" t="s">
        <v>1707</v>
      </c>
      <c r="E1769" t="s">
        <v>557</v>
      </c>
      <c r="F1769" t="s">
        <v>1068</v>
      </c>
      <c r="G1769" t="s">
        <v>1085</v>
      </c>
      <c r="H1769">
        <v>-4.9177601009681902E-2</v>
      </c>
      <c r="I1769" t="s">
        <v>1086</v>
      </c>
      <c r="J1769">
        <v>2.54</v>
      </c>
    </row>
    <row r="1770" spans="1:10" hidden="1">
      <c r="A1770" t="s">
        <v>1727</v>
      </c>
      <c r="B1770" t="s">
        <v>1728</v>
      </c>
      <c r="C1770" t="s">
        <v>1066</v>
      </c>
      <c r="D1770" t="s">
        <v>1707</v>
      </c>
      <c r="E1770" t="s">
        <v>557</v>
      </c>
      <c r="F1770" t="s">
        <v>1068</v>
      </c>
      <c r="G1770" t="s">
        <v>1087</v>
      </c>
      <c r="H1770" s="170">
        <v>-1.5462560165454199E-5</v>
      </c>
      <c r="I1770" t="s">
        <v>1088</v>
      </c>
      <c r="J1770">
        <v>2.54</v>
      </c>
    </row>
    <row r="1771" spans="1:10" hidden="1">
      <c r="A1771" t="s">
        <v>1727</v>
      </c>
      <c r="B1771" t="s">
        <v>1728</v>
      </c>
      <c r="C1771" t="s">
        <v>1066</v>
      </c>
      <c r="D1771" t="s">
        <v>1707</v>
      </c>
      <c r="E1771" t="s">
        <v>557</v>
      </c>
      <c r="F1771" t="s">
        <v>1068</v>
      </c>
      <c r="G1771" t="s">
        <v>1089</v>
      </c>
      <c r="H1771">
        <v>-1.2987906342372599E-2</v>
      </c>
      <c r="I1771" t="s">
        <v>1090</v>
      </c>
      <c r="J1771">
        <v>2.54</v>
      </c>
    </row>
    <row r="1772" spans="1:10" hidden="1">
      <c r="A1772" t="s">
        <v>1732</v>
      </c>
      <c r="B1772" t="s">
        <v>1733</v>
      </c>
      <c r="C1772" t="s">
        <v>1066</v>
      </c>
      <c r="D1772" t="s">
        <v>1707</v>
      </c>
      <c r="E1772" t="s">
        <v>559</v>
      </c>
      <c r="F1772" t="s">
        <v>1068</v>
      </c>
      <c r="G1772" t="s">
        <v>1069</v>
      </c>
      <c r="H1772" s="171" t="s">
        <v>1734</v>
      </c>
      <c r="I1772" t="s">
        <v>1070</v>
      </c>
      <c r="J1772">
        <v>2.54</v>
      </c>
    </row>
    <row r="1773" spans="1:10" hidden="1">
      <c r="A1773" t="s">
        <v>1732</v>
      </c>
      <c r="B1773" t="s">
        <v>1733</v>
      </c>
      <c r="C1773" t="s">
        <v>1066</v>
      </c>
      <c r="D1773" t="s">
        <v>1707</v>
      </c>
      <c r="E1773" t="s">
        <v>559</v>
      </c>
      <c r="F1773" t="s">
        <v>1068</v>
      </c>
      <c r="G1773" t="s">
        <v>1071</v>
      </c>
      <c r="H1773" s="170">
        <v>-1.5590210992769499E-10</v>
      </c>
      <c r="I1773" t="s">
        <v>1072</v>
      </c>
      <c r="J1773">
        <v>2.54</v>
      </c>
    </row>
    <row r="1774" spans="1:10" hidden="1">
      <c r="A1774" t="s">
        <v>1732</v>
      </c>
      <c r="B1774" t="s">
        <v>1733</v>
      </c>
      <c r="C1774" t="s">
        <v>1066</v>
      </c>
      <c r="D1774" t="s">
        <v>1707</v>
      </c>
      <c r="E1774" t="s">
        <v>559</v>
      </c>
      <c r="F1774" t="s">
        <v>1068</v>
      </c>
      <c r="G1774" t="s">
        <v>1073</v>
      </c>
      <c r="H1774" s="170">
        <v>-3.5419318079316598E-8</v>
      </c>
      <c r="I1774" t="s">
        <v>1074</v>
      </c>
      <c r="J1774">
        <v>2.54</v>
      </c>
    </row>
    <row r="1775" spans="1:10" hidden="1">
      <c r="A1775" t="s">
        <v>1732</v>
      </c>
      <c r="B1775" t="s">
        <v>1733</v>
      </c>
      <c r="C1775" t="s">
        <v>1066</v>
      </c>
      <c r="D1775" t="s">
        <v>1707</v>
      </c>
      <c r="E1775" t="s">
        <v>559</v>
      </c>
      <c r="F1775" t="s">
        <v>1068</v>
      </c>
      <c r="G1775" t="s">
        <v>1075</v>
      </c>
      <c r="H1775">
        <v>4.58381476210942E-2</v>
      </c>
      <c r="I1775" t="s">
        <v>1077</v>
      </c>
      <c r="J1775">
        <v>2.54</v>
      </c>
    </row>
    <row r="1776" spans="1:10" hidden="1">
      <c r="A1776" t="s">
        <v>1732</v>
      </c>
      <c r="B1776" t="s">
        <v>1733</v>
      </c>
      <c r="C1776" t="s">
        <v>1066</v>
      </c>
      <c r="D1776" t="s">
        <v>1707</v>
      </c>
      <c r="E1776" t="s">
        <v>559</v>
      </c>
      <c r="F1776" t="s">
        <v>1068</v>
      </c>
      <c r="G1776" t="s">
        <v>1078</v>
      </c>
      <c r="H1776">
        <v>-2.1513976239097201</v>
      </c>
      <c r="I1776" t="s">
        <v>1079</v>
      </c>
      <c r="J1776">
        <v>2.54</v>
      </c>
    </row>
    <row r="1777" spans="1:10" hidden="1">
      <c r="A1777" t="s">
        <v>1732</v>
      </c>
      <c r="B1777" t="s">
        <v>1733</v>
      </c>
      <c r="C1777" t="s">
        <v>1066</v>
      </c>
      <c r="D1777" t="s">
        <v>1707</v>
      </c>
      <c r="E1777" t="s">
        <v>559</v>
      </c>
      <c r="F1777" t="s">
        <v>1068</v>
      </c>
      <c r="G1777" t="s">
        <v>1080</v>
      </c>
      <c r="H1777" s="171" t="s">
        <v>1735</v>
      </c>
      <c r="I1777" t="s">
        <v>1082</v>
      </c>
      <c r="J1777">
        <v>2.54</v>
      </c>
    </row>
    <row r="1778" spans="1:10" hidden="1">
      <c r="A1778" t="s">
        <v>1732</v>
      </c>
      <c r="B1778" t="s">
        <v>1733</v>
      </c>
      <c r="C1778" t="s">
        <v>1066</v>
      </c>
      <c r="D1778" t="s">
        <v>1707</v>
      </c>
      <c r="E1778" t="s">
        <v>559</v>
      </c>
      <c r="F1778" t="s">
        <v>1068</v>
      </c>
      <c r="G1778" t="s">
        <v>1083</v>
      </c>
      <c r="H1778">
        <v>-1.76941505622989E-3</v>
      </c>
      <c r="I1778" t="s">
        <v>1084</v>
      </c>
      <c r="J1778">
        <v>2.54</v>
      </c>
    </row>
    <row r="1779" spans="1:10" hidden="1">
      <c r="A1779" t="s">
        <v>1732</v>
      </c>
      <c r="B1779" t="s">
        <v>1733</v>
      </c>
      <c r="C1779" t="s">
        <v>1066</v>
      </c>
      <c r="D1779" t="s">
        <v>1707</v>
      </c>
      <c r="E1779" t="s">
        <v>559</v>
      </c>
      <c r="F1779" t="s">
        <v>1068</v>
      </c>
      <c r="G1779" t="s">
        <v>1085</v>
      </c>
      <c r="H1779">
        <v>-4.9180792418604603E-2</v>
      </c>
      <c r="I1779" t="s">
        <v>1086</v>
      </c>
      <c r="J1779">
        <v>2.54</v>
      </c>
    </row>
    <row r="1780" spans="1:10" hidden="1">
      <c r="A1780" t="s">
        <v>1732</v>
      </c>
      <c r="B1780" t="s">
        <v>1733</v>
      </c>
      <c r="C1780" t="s">
        <v>1066</v>
      </c>
      <c r="D1780" t="s">
        <v>1707</v>
      </c>
      <c r="E1780" t="s">
        <v>559</v>
      </c>
      <c r="F1780" t="s">
        <v>1068</v>
      </c>
      <c r="G1780" t="s">
        <v>1087</v>
      </c>
      <c r="H1780" s="170">
        <v>-1.5464011705402099E-5</v>
      </c>
      <c r="I1780" t="s">
        <v>1088</v>
      </c>
      <c r="J1780">
        <v>2.54</v>
      </c>
    </row>
    <row r="1781" spans="1:10" hidden="1">
      <c r="A1781" t="s">
        <v>1732</v>
      </c>
      <c r="B1781" t="s">
        <v>1733</v>
      </c>
      <c r="C1781" t="s">
        <v>1066</v>
      </c>
      <c r="D1781" t="s">
        <v>1707</v>
      </c>
      <c r="E1781" t="s">
        <v>559</v>
      </c>
      <c r="F1781" t="s">
        <v>1068</v>
      </c>
      <c r="G1781" t="s">
        <v>1089</v>
      </c>
      <c r="H1781">
        <v>-1.2988566497872899E-2</v>
      </c>
      <c r="I1781" t="s">
        <v>1090</v>
      </c>
      <c r="J1781">
        <v>2.54</v>
      </c>
    </row>
    <row r="1782" spans="1:10" hidden="1">
      <c r="A1782" t="s">
        <v>1736</v>
      </c>
      <c r="B1782" t="s">
        <v>1737</v>
      </c>
      <c r="C1782" t="s">
        <v>1066</v>
      </c>
      <c r="D1782" t="s">
        <v>1707</v>
      </c>
      <c r="E1782" t="s">
        <v>560</v>
      </c>
      <c r="F1782" t="s">
        <v>1068</v>
      </c>
      <c r="G1782" t="s">
        <v>1069</v>
      </c>
      <c r="H1782" s="171" t="s">
        <v>1738</v>
      </c>
      <c r="I1782" t="s">
        <v>1070</v>
      </c>
      <c r="J1782">
        <v>2.54</v>
      </c>
    </row>
    <row r="1783" spans="1:10" hidden="1">
      <c r="A1783" t="s">
        <v>1736</v>
      </c>
      <c r="B1783" t="s">
        <v>1737</v>
      </c>
      <c r="C1783" t="s">
        <v>1066</v>
      </c>
      <c r="D1783" t="s">
        <v>1707</v>
      </c>
      <c r="E1783" t="s">
        <v>560</v>
      </c>
      <c r="F1783" t="s">
        <v>1068</v>
      </c>
      <c r="G1783" t="s">
        <v>1071</v>
      </c>
      <c r="H1783" s="170">
        <v>-1.54998032269162E-10</v>
      </c>
      <c r="I1783" t="s">
        <v>1072</v>
      </c>
      <c r="J1783">
        <v>2.54</v>
      </c>
    </row>
    <row r="1784" spans="1:10" hidden="1">
      <c r="A1784" t="s">
        <v>1736</v>
      </c>
      <c r="B1784" t="s">
        <v>1737</v>
      </c>
      <c r="C1784" t="s">
        <v>1066</v>
      </c>
      <c r="D1784" t="s">
        <v>1707</v>
      </c>
      <c r="E1784" t="s">
        <v>560</v>
      </c>
      <c r="F1784" t="s">
        <v>1068</v>
      </c>
      <c r="G1784" t="s">
        <v>1073</v>
      </c>
      <c r="H1784" s="170">
        <v>-3.5193929812903103E-8</v>
      </c>
      <c r="I1784" t="s">
        <v>1074</v>
      </c>
      <c r="J1784">
        <v>2.54</v>
      </c>
    </row>
    <row r="1785" spans="1:10" hidden="1">
      <c r="A1785" t="s">
        <v>1736</v>
      </c>
      <c r="B1785" t="s">
        <v>1737</v>
      </c>
      <c r="C1785" t="s">
        <v>1066</v>
      </c>
      <c r="D1785" t="s">
        <v>1707</v>
      </c>
      <c r="E1785" t="s">
        <v>560</v>
      </c>
      <c r="F1785" t="s">
        <v>1068</v>
      </c>
      <c r="G1785" t="s">
        <v>1075</v>
      </c>
      <c r="H1785">
        <v>4.5856287699228102E-2</v>
      </c>
      <c r="I1785" t="s">
        <v>1077</v>
      </c>
      <c r="J1785">
        <v>2.54</v>
      </c>
    </row>
    <row r="1786" spans="1:10" hidden="1">
      <c r="A1786" t="s">
        <v>1736</v>
      </c>
      <c r="B1786" t="s">
        <v>1737</v>
      </c>
      <c r="C1786" t="s">
        <v>1066</v>
      </c>
      <c r="D1786" t="s">
        <v>1707</v>
      </c>
      <c r="E1786" t="s">
        <v>560</v>
      </c>
      <c r="F1786" t="s">
        <v>1068</v>
      </c>
      <c r="G1786" t="s">
        <v>1078</v>
      </c>
      <c r="H1786">
        <v>-2.15133317426544</v>
      </c>
      <c r="I1786" t="s">
        <v>1079</v>
      </c>
      <c r="J1786">
        <v>2.54</v>
      </c>
    </row>
    <row r="1787" spans="1:10" hidden="1">
      <c r="A1787" t="s">
        <v>1736</v>
      </c>
      <c r="B1787" t="s">
        <v>1737</v>
      </c>
      <c r="C1787" t="s">
        <v>1066</v>
      </c>
      <c r="D1787" t="s">
        <v>1707</v>
      </c>
      <c r="E1787" t="s">
        <v>560</v>
      </c>
      <c r="F1787" t="s">
        <v>1068</v>
      </c>
      <c r="G1787" t="s">
        <v>1080</v>
      </c>
      <c r="H1787" s="171" t="s">
        <v>1739</v>
      </c>
      <c r="I1787" t="s">
        <v>1082</v>
      </c>
      <c r="J1787">
        <v>2.54</v>
      </c>
    </row>
    <row r="1788" spans="1:10" hidden="1">
      <c r="A1788" t="s">
        <v>1736</v>
      </c>
      <c r="B1788" t="s">
        <v>1737</v>
      </c>
      <c r="C1788" t="s">
        <v>1066</v>
      </c>
      <c r="D1788" t="s">
        <v>1707</v>
      </c>
      <c r="E1788" t="s">
        <v>560</v>
      </c>
      <c r="F1788" t="s">
        <v>1068</v>
      </c>
      <c r="G1788" t="s">
        <v>1083</v>
      </c>
      <c r="H1788">
        <v>-1.76931853337488E-3</v>
      </c>
      <c r="I1788" t="s">
        <v>1084</v>
      </c>
      <c r="J1788">
        <v>2.54</v>
      </c>
    </row>
    <row r="1789" spans="1:10" hidden="1">
      <c r="A1789" t="s">
        <v>1736</v>
      </c>
      <c r="B1789" t="s">
        <v>1737</v>
      </c>
      <c r="C1789" t="s">
        <v>1066</v>
      </c>
      <c r="D1789" t="s">
        <v>1707</v>
      </c>
      <c r="E1789" t="s">
        <v>560</v>
      </c>
      <c r="F1789" t="s">
        <v>1068</v>
      </c>
      <c r="G1789" t="s">
        <v>1085</v>
      </c>
      <c r="H1789">
        <v>-4.9179711698511597E-2</v>
      </c>
      <c r="I1789" t="s">
        <v>1086</v>
      </c>
      <c r="J1789">
        <v>2.54</v>
      </c>
    </row>
    <row r="1790" spans="1:10" hidden="1">
      <c r="A1790" t="s">
        <v>1736</v>
      </c>
      <c r="B1790" t="s">
        <v>1737</v>
      </c>
      <c r="C1790" t="s">
        <v>1066</v>
      </c>
      <c r="D1790" t="s">
        <v>1707</v>
      </c>
      <c r="E1790" t="s">
        <v>560</v>
      </c>
      <c r="F1790" t="s">
        <v>1068</v>
      </c>
      <c r="G1790" t="s">
        <v>1087</v>
      </c>
      <c r="H1790" s="170">
        <v>-1.5463578793520799E-5</v>
      </c>
      <c r="I1790" t="s">
        <v>1088</v>
      </c>
      <c r="J1790">
        <v>2.54</v>
      </c>
    </row>
    <row r="1791" spans="1:10" hidden="1">
      <c r="A1791" t="s">
        <v>1736</v>
      </c>
      <c r="B1791" t="s">
        <v>1737</v>
      </c>
      <c r="C1791" t="s">
        <v>1066</v>
      </c>
      <c r="D1791" t="s">
        <v>1707</v>
      </c>
      <c r="E1791" t="s">
        <v>560</v>
      </c>
      <c r="F1791" t="s">
        <v>1068</v>
      </c>
      <c r="G1791" t="s">
        <v>1089</v>
      </c>
      <c r="H1791">
        <v>-1.2988341773310199E-2</v>
      </c>
      <c r="I1791" t="s">
        <v>1090</v>
      </c>
      <c r="J1791">
        <v>2.54</v>
      </c>
    </row>
    <row r="1792" spans="1:10" hidden="1">
      <c r="A1792" t="s">
        <v>1740</v>
      </c>
      <c r="B1792" t="s">
        <v>1741</v>
      </c>
      <c r="C1792" t="s">
        <v>1066</v>
      </c>
      <c r="D1792" t="s">
        <v>1707</v>
      </c>
      <c r="E1792" t="s">
        <v>1116</v>
      </c>
      <c r="F1792" t="s">
        <v>1068</v>
      </c>
      <c r="G1792" t="s">
        <v>1069</v>
      </c>
      <c r="H1792" s="171" t="s">
        <v>1742</v>
      </c>
      <c r="I1792" t="s">
        <v>1070</v>
      </c>
      <c r="J1792">
        <v>2.54</v>
      </c>
    </row>
    <row r="1793" spans="1:10" hidden="1">
      <c r="A1793" t="s">
        <v>1740</v>
      </c>
      <c r="B1793" t="s">
        <v>1741</v>
      </c>
      <c r="C1793" t="s">
        <v>1066</v>
      </c>
      <c r="D1793" t="s">
        <v>1707</v>
      </c>
      <c r="E1793" t="s">
        <v>1116</v>
      </c>
      <c r="F1793" t="s">
        <v>1068</v>
      </c>
      <c r="G1793" t="s">
        <v>1071</v>
      </c>
      <c r="H1793" s="170">
        <v>-1.4966175353140799E-10</v>
      </c>
      <c r="I1793" t="s">
        <v>1072</v>
      </c>
      <c r="J1793">
        <v>2.54</v>
      </c>
    </row>
    <row r="1794" spans="1:10" hidden="1">
      <c r="A1794" t="s">
        <v>1740</v>
      </c>
      <c r="B1794" t="s">
        <v>1741</v>
      </c>
      <c r="C1794" t="s">
        <v>1066</v>
      </c>
      <c r="D1794" t="s">
        <v>1707</v>
      </c>
      <c r="E1794" t="s">
        <v>1116</v>
      </c>
      <c r="F1794" t="s">
        <v>1068</v>
      </c>
      <c r="G1794" t="s">
        <v>1073</v>
      </c>
      <c r="H1794" s="170">
        <v>-3.3869367951772699E-8</v>
      </c>
      <c r="I1794" t="s">
        <v>1074</v>
      </c>
      <c r="J1794">
        <v>2.54</v>
      </c>
    </row>
    <row r="1795" spans="1:10" hidden="1">
      <c r="A1795" t="s">
        <v>1740</v>
      </c>
      <c r="B1795" t="s">
        <v>1741</v>
      </c>
      <c r="C1795" t="s">
        <v>1066</v>
      </c>
      <c r="D1795" t="s">
        <v>1707</v>
      </c>
      <c r="E1795" t="s">
        <v>1116</v>
      </c>
      <c r="F1795" t="s">
        <v>1068</v>
      </c>
      <c r="G1795" t="s">
        <v>1075</v>
      </c>
      <c r="H1795">
        <v>4.5974166197057603E-2</v>
      </c>
      <c r="I1795" t="s">
        <v>1077</v>
      </c>
      <c r="J1795">
        <v>2.54</v>
      </c>
    </row>
    <row r="1796" spans="1:10" hidden="1">
      <c r="A1796" t="s">
        <v>1740</v>
      </c>
      <c r="B1796" t="s">
        <v>1741</v>
      </c>
      <c r="C1796" t="s">
        <v>1066</v>
      </c>
      <c r="D1796" t="s">
        <v>1707</v>
      </c>
      <c r="E1796" t="s">
        <v>1116</v>
      </c>
      <c r="F1796" t="s">
        <v>1068</v>
      </c>
      <c r="G1796" t="s">
        <v>1078</v>
      </c>
      <c r="H1796">
        <v>-2.1462356533154701</v>
      </c>
      <c r="I1796" t="s">
        <v>1079</v>
      </c>
      <c r="J1796">
        <v>2.54</v>
      </c>
    </row>
    <row r="1797" spans="1:10" hidden="1">
      <c r="A1797" t="s">
        <v>1740</v>
      </c>
      <c r="B1797" t="s">
        <v>1741</v>
      </c>
      <c r="C1797" t="s">
        <v>1066</v>
      </c>
      <c r="D1797" t="s">
        <v>1707</v>
      </c>
      <c r="E1797" t="s">
        <v>1116</v>
      </c>
      <c r="F1797" t="s">
        <v>1068</v>
      </c>
      <c r="G1797" t="s">
        <v>1080</v>
      </c>
      <c r="H1797" s="171" t="s">
        <v>1743</v>
      </c>
      <c r="I1797" t="s">
        <v>1082</v>
      </c>
      <c r="J1797">
        <v>2.54</v>
      </c>
    </row>
    <row r="1798" spans="1:10" hidden="1">
      <c r="A1798" t="s">
        <v>1740</v>
      </c>
      <c r="B1798" t="s">
        <v>1741</v>
      </c>
      <c r="C1798" t="s">
        <v>1066</v>
      </c>
      <c r="D1798" t="s">
        <v>1707</v>
      </c>
      <c r="E1798" t="s">
        <v>1116</v>
      </c>
      <c r="F1798" t="s">
        <v>1068</v>
      </c>
      <c r="G1798" t="s">
        <v>1083</v>
      </c>
      <c r="H1798">
        <v>-1.7687517189971099E-3</v>
      </c>
      <c r="I1798" t="s">
        <v>1084</v>
      </c>
      <c r="J1798">
        <v>2.54</v>
      </c>
    </row>
    <row r="1799" spans="1:10" hidden="1">
      <c r="A1799" t="s">
        <v>1740</v>
      </c>
      <c r="B1799" t="s">
        <v>1741</v>
      </c>
      <c r="C1799" t="s">
        <v>1066</v>
      </c>
      <c r="D1799" t="s">
        <v>1707</v>
      </c>
      <c r="E1799" t="s">
        <v>1116</v>
      </c>
      <c r="F1799" t="s">
        <v>1068</v>
      </c>
      <c r="G1799" t="s">
        <v>1085</v>
      </c>
      <c r="H1799">
        <v>-4.9173305545651601E-2</v>
      </c>
      <c r="I1799" t="s">
        <v>1086</v>
      </c>
      <c r="J1799">
        <v>2.54</v>
      </c>
    </row>
    <row r="1800" spans="1:10" hidden="1">
      <c r="A1800" t="s">
        <v>1740</v>
      </c>
      <c r="B1800" t="s">
        <v>1741</v>
      </c>
      <c r="C1800" t="s">
        <v>1066</v>
      </c>
      <c r="D1800" t="s">
        <v>1707</v>
      </c>
      <c r="E1800" t="s">
        <v>1116</v>
      </c>
      <c r="F1800" t="s">
        <v>1068</v>
      </c>
      <c r="G1800" t="s">
        <v>1087</v>
      </c>
      <c r="H1800" s="170">
        <v>-1.5460487154900002E-5</v>
      </c>
      <c r="I1800" t="s">
        <v>1088</v>
      </c>
      <c r="J1800">
        <v>2.54</v>
      </c>
    </row>
    <row r="1801" spans="1:10" hidden="1">
      <c r="A1801" t="s">
        <v>1740</v>
      </c>
      <c r="B1801" t="s">
        <v>1741</v>
      </c>
      <c r="C1801" t="s">
        <v>1066</v>
      </c>
      <c r="D1801" t="s">
        <v>1707</v>
      </c>
      <c r="E1801" t="s">
        <v>1116</v>
      </c>
      <c r="F1801" t="s">
        <v>1068</v>
      </c>
      <c r="G1801" t="s">
        <v>1089</v>
      </c>
      <c r="H1801">
        <v>-1.29870201966256E-2</v>
      </c>
      <c r="I1801" t="s">
        <v>1090</v>
      </c>
      <c r="J1801">
        <v>2.54</v>
      </c>
    </row>
    <row r="1802" spans="1:10" hidden="1">
      <c r="A1802" t="s">
        <v>1744</v>
      </c>
      <c r="B1802" t="s">
        <v>1745</v>
      </c>
      <c r="C1802" t="s">
        <v>241</v>
      </c>
      <c r="D1802" t="s">
        <v>1067</v>
      </c>
      <c r="E1802" t="s">
        <v>561</v>
      </c>
      <c r="F1802" t="s">
        <v>1068</v>
      </c>
      <c r="G1802" t="s">
        <v>1069</v>
      </c>
      <c r="H1802">
        <v>-6.0309114802419898E-2</v>
      </c>
      <c r="I1802" t="s">
        <v>1070</v>
      </c>
      <c r="J1802">
        <v>2.5499999999999998</v>
      </c>
    </row>
    <row r="1803" spans="1:10" hidden="1">
      <c r="A1803" t="s">
        <v>1744</v>
      </c>
      <c r="B1803" t="s">
        <v>1745</v>
      </c>
      <c r="C1803" t="s">
        <v>241</v>
      </c>
      <c r="D1803" t="s">
        <v>1067</v>
      </c>
      <c r="E1803" t="s">
        <v>561</v>
      </c>
      <c r="F1803" t="s">
        <v>1068</v>
      </c>
      <c r="G1803" t="s">
        <v>1071</v>
      </c>
      <c r="H1803" s="170">
        <v>-1.26759273041909E-10</v>
      </c>
      <c r="I1803" t="s">
        <v>1072</v>
      </c>
      <c r="J1803">
        <v>2.5499999999999998</v>
      </c>
    </row>
    <row r="1804" spans="1:10" hidden="1">
      <c r="A1804" t="s">
        <v>1744</v>
      </c>
      <c r="B1804" t="s">
        <v>1745</v>
      </c>
      <c r="C1804" t="s">
        <v>241</v>
      </c>
      <c r="D1804" t="s">
        <v>1067</v>
      </c>
      <c r="E1804" t="s">
        <v>561</v>
      </c>
      <c r="F1804" t="s">
        <v>1068</v>
      </c>
      <c r="G1804" t="s">
        <v>1073</v>
      </c>
      <c r="H1804" s="170">
        <v>-2.4453520086297799E-8</v>
      </c>
      <c r="I1804" t="s">
        <v>1074</v>
      </c>
      <c r="J1804">
        <v>2.5499999999999998</v>
      </c>
    </row>
    <row r="1805" spans="1:10" hidden="1">
      <c r="A1805" t="s">
        <v>1744</v>
      </c>
      <c r="B1805" t="s">
        <v>1745</v>
      </c>
      <c r="C1805" t="s">
        <v>241</v>
      </c>
      <c r="D1805" t="s">
        <v>1067</v>
      </c>
      <c r="E1805" t="s">
        <v>561</v>
      </c>
      <c r="F1805" t="s">
        <v>1068</v>
      </c>
      <c r="G1805" t="s">
        <v>1075</v>
      </c>
      <c r="H1805">
        <v>2.3016654115733401E-3</v>
      </c>
      <c r="I1805" t="s">
        <v>1077</v>
      </c>
      <c r="J1805">
        <v>2.5499999999999998</v>
      </c>
    </row>
    <row r="1806" spans="1:10" hidden="1">
      <c r="A1806" t="s">
        <v>1744</v>
      </c>
      <c r="B1806" t="s">
        <v>1745</v>
      </c>
      <c r="C1806" t="s">
        <v>241</v>
      </c>
      <c r="D1806" t="s">
        <v>1067</v>
      </c>
      <c r="E1806" t="s">
        <v>561</v>
      </c>
      <c r="F1806" t="s">
        <v>1068</v>
      </c>
      <c r="G1806" t="s">
        <v>1078</v>
      </c>
      <c r="H1806">
        <v>-1.47896134305996</v>
      </c>
      <c r="I1806" t="s">
        <v>1079</v>
      </c>
      <c r="J1806">
        <v>2.5499999999999998</v>
      </c>
    </row>
    <row r="1807" spans="1:10" hidden="1">
      <c r="A1807" t="s">
        <v>1744</v>
      </c>
      <c r="B1807" t="s">
        <v>1745</v>
      </c>
      <c r="C1807" t="s">
        <v>241</v>
      </c>
      <c r="D1807" t="s">
        <v>1067</v>
      </c>
      <c r="E1807" t="s">
        <v>561</v>
      </c>
      <c r="F1807" t="s">
        <v>1068</v>
      </c>
      <c r="G1807" t="s">
        <v>1080</v>
      </c>
      <c r="H1807" s="171" t="s">
        <v>1746</v>
      </c>
      <c r="I1807" t="s">
        <v>1082</v>
      </c>
      <c r="J1807">
        <v>2.5499999999999998</v>
      </c>
    </row>
    <row r="1808" spans="1:10" hidden="1">
      <c r="A1808" t="s">
        <v>1744</v>
      </c>
      <c r="B1808" t="s">
        <v>1745</v>
      </c>
      <c r="C1808" t="s">
        <v>241</v>
      </c>
      <c r="D1808" t="s">
        <v>1067</v>
      </c>
      <c r="E1808" t="s">
        <v>561</v>
      </c>
      <c r="F1808" t="s">
        <v>1068</v>
      </c>
      <c r="G1808" t="s">
        <v>1083</v>
      </c>
      <c r="H1808">
        <v>-3.77226488063828E-4</v>
      </c>
      <c r="I1808" t="s">
        <v>1084</v>
      </c>
      <c r="J1808">
        <v>2.5499999999999998</v>
      </c>
    </row>
    <row r="1809" spans="1:10" hidden="1">
      <c r="A1809" t="s">
        <v>1744</v>
      </c>
      <c r="B1809" t="s">
        <v>1745</v>
      </c>
      <c r="C1809" t="s">
        <v>241</v>
      </c>
      <c r="D1809" t="s">
        <v>1067</v>
      </c>
      <c r="E1809" t="s">
        <v>561</v>
      </c>
      <c r="F1809" t="s">
        <v>1068</v>
      </c>
      <c r="G1809" t="s">
        <v>1085</v>
      </c>
      <c r="H1809">
        <v>-1.0615541379605299E-2</v>
      </c>
      <c r="I1809" t="s">
        <v>1086</v>
      </c>
      <c r="J1809">
        <v>2.5499999999999998</v>
      </c>
    </row>
    <row r="1810" spans="1:10" hidden="1">
      <c r="A1810" t="s">
        <v>1744</v>
      </c>
      <c r="B1810" t="s">
        <v>1745</v>
      </c>
      <c r="C1810" t="s">
        <v>241</v>
      </c>
      <c r="D1810" t="s">
        <v>1067</v>
      </c>
      <c r="E1810" t="s">
        <v>561</v>
      </c>
      <c r="F1810" t="s">
        <v>1068</v>
      </c>
      <c r="G1810" t="s">
        <v>1087</v>
      </c>
      <c r="H1810" s="170">
        <v>-1.0940744613123701E-7</v>
      </c>
      <c r="I1810" t="s">
        <v>1088</v>
      </c>
      <c r="J1810">
        <v>2.5499999999999998</v>
      </c>
    </row>
    <row r="1811" spans="1:10" hidden="1">
      <c r="A1811" t="s">
        <v>1744</v>
      </c>
      <c r="B1811" t="s">
        <v>1745</v>
      </c>
      <c r="C1811" t="s">
        <v>241</v>
      </c>
      <c r="D1811" t="s">
        <v>1067</v>
      </c>
      <c r="E1811" t="s">
        <v>561</v>
      </c>
      <c r="F1811" t="s">
        <v>1068</v>
      </c>
      <c r="G1811" t="s">
        <v>1089</v>
      </c>
      <c r="H1811">
        <v>-2.8828325889429999E-3</v>
      </c>
      <c r="I1811" t="s">
        <v>1090</v>
      </c>
      <c r="J1811">
        <v>2.5499999999999998</v>
      </c>
    </row>
    <row r="1812" spans="1:10" hidden="1">
      <c r="A1812" t="s">
        <v>1747</v>
      </c>
      <c r="B1812" t="s">
        <v>1748</v>
      </c>
      <c r="C1812" t="s">
        <v>241</v>
      </c>
      <c r="D1812" t="s">
        <v>1067</v>
      </c>
      <c r="E1812" t="s">
        <v>555</v>
      </c>
      <c r="F1812" t="s">
        <v>1068</v>
      </c>
      <c r="G1812" t="s">
        <v>1069</v>
      </c>
      <c r="H1812">
        <v>-6.0112695283875001E-2</v>
      </c>
      <c r="I1812" t="s">
        <v>1070</v>
      </c>
      <c r="J1812">
        <v>2.54</v>
      </c>
    </row>
    <row r="1813" spans="1:10" hidden="1">
      <c r="A1813" t="s">
        <v>1747</v>
      </c>
      <c r="B1813" t="s">
        <v>1748</v>
      </c>
      <c r="C1813" t="s">
        <v>241</v>
      </c>
      <c r="D1813" t="s">
        <v>1067</v>
      </c>
      <c r="E1813" t="s">
        <v>555</v>
      </c>
      <c r="F1813" t="s">
        <v>1068</v>
      </c>
      <c r="G1813" t="s">
        <v>1071</v>
      </c>
      <c r="H1813" s="170">
        <v>-1.26432792521961E-10</v>
      </c>
      <c r="I1813" t="s">
        <v>1072</v>
      </c>
      <c r="J1813">
        <v>2.54</v>
      </c>
    </row>
    <row r="1814" spans="1:10" hidden="1">
      <c r="A1814" t="s">
        <v>1747</v>
      </c>
      <c r="B1814" t="s">
        <v>1748</v>
      </c>
      <c r="C1814" t="s">
        <v>241</v>
      </c>
      <c r="D1814" t="s">
        <v>1067</v>
      </c>
      <c r="E1814" t="s">
        <v>555</v>
      </c>
      <c r="F1814" t="s">
        <v>1068</v>
      </c>
      <c r="G1814" t="s">
        <v>1073</v>
      </c>
      <c r="H1814" s="170">
        <v>-2.43879151963252E-8</v>
      </c>
      <c r="I1814" t="s">
        <v>1074</v>
      </c>
      <c r="J1814">
        <v>2.54</v>
      </c>
    </row>
    <row r="1815" spans="1:10" hidden="1">
      <c r="A1815" t="s">
        <v>1747</v>
      </c>
      <c r="B1815" t="s">
        <v>1748</v>
      </c>
      <c r="C1815" t="s">
        <v>241</v>
      </c>
      <c r="D1815" t="s">
        <v>1067</v>
      </c>
      <c r="E1815" t="s">
        <v>555</v>
      </c>
      <c r="F1815" t="s">
        <v>1068</v>
      </c>
      <c r="G1815" t="s">
        <v>1075</v>
      </c>
      <c r="H1815">
        <v>2.3377226331920999E-3</v>
      </c>
      <c r="I1815" t="s">
        <v>1077</v>
      </c>
      <c r="J1815">
        <v>2.54</v>
      </c>
    </row>
    <row r="1816" spans="1:10" hidden="1">
      <c r="A1816" t="s">
        <v>1747</v>
      </c>
      <c r="B1816" t="s">
        <v>1748</v>
      </c>
      <c r="C1816" t="s">
        <v>241</v>
      </c>
      <c r="D1816" t="s">
        <v>1067</v>
      </c>
      <c r="E1816" t="s">
        <v>555</v>
      </c>
      <c r="F1816" t="s">
        <v>1068</v>
      </c>
      <c r="G1816" t="s">
        <v>1078</v>
      </c>
      <c r="H1816">
        <v>-1.46605946421915</v>
      </c>
      <c r="I1816" t="s">
        <v>1079</v>
      </c>
      <c r="J1816">
        <v>2.54</v>
      </c>
    </row>
    <row r="1817" spans="1:10" hidden="1">
      <c r="A1817" t="s">
        <v>1747</v>
      </c>
      <c r="B1817" t="s">
        <v>1748</v>
      </c>
      <c r="C1817" t="s">
        <v>241</v>
      </c>
      <c r="D1817" t="s">
        <v>1067</v>
      </c>
      <c r="E1817" t="s">
        <v>555</v>
      </c>
      <c r="F1817" t="s">
        <v>1068</v>
      </c>
      <c r="G1817" t="s">
        <v>1080</v>
      </c>
      <c r="H1817" s="171" t="s">
        <v>1749</v>
      </c>
      <c r="I1817" t="s">
        <v>1082</v>
      </c>
      <c r="J1817">
        <v>2.54</v>
      </c>
    </row>
    <row r="1818" spans="1:10" hidden="1">
      <c r="A1818" t="s">
        <v>1747</v>
      </c>
      <c r="B1818" t="s">
        <v>1748</v>
      </c>
      <c r="C1818" t="s">
        <v>241</v>
      </c>
      <c r="D1818" t="s">
        <v>1067</v>
      </c>
      <c r="E1818" t="s">
        <v>555</v>
      </c>
      <c r="F1818" t="s">
        <v>1068</v>
      </c>
      <c r="G1818" t="s">
        <v>1083</v>
      </c>
      <c r="H1818">
        <v>-3.77199569872864E-4</v>
      </c>
      <c r="I1818" t="s">
        <v>1084</v>
      </c>
      <c r="J1818">
        <v>2.54</v>
      </c>
    </row>
    <row r="1819" spans="1:10" hidden="1">
      <c r="A1819" t="s">
        <v>1747</v>
      </c>
      <c r="B1819" t="s">
        <v>1748</v>
      </c>
      <c r="C1819" t="s">
        <v>241</v>
      </c>
      <c r="D1819" t="s">
        <v>1067</v>
      </c>
      <c r="E1819" t="s">
        <v>555</v>
      </c>
      <c r="F1819" t="s">
        <v>1068</v>
      </c>
      <c r="G1819" t="s">
        <v>1085</v>
      </c>
      <c r="H1819">
        <v>-1.0615076712594399E-2</v>
      </c>
      <c r="I1819" t="s">
        <v>1086</v>
      </c>
      <c r="J1819">
        <v>2.54</v>
      </c>
    </row>
    <row r="1820" spans="1:10" hidden="1">
      <c r="A1820" t="s">
        <v>1747</v>
      </c>
      <c r="B1820" t="s">
        <v>1748</v>
      </c>
      <c r="C1820" t="s">
        <v>241</v>
      </c>
      <c r="D1820" t="s">
        <v>1067</v>
      </c>
      <c r="E1820" t="s">
        <v>555</v>
      </c>
      <c r="F1820" t="s">
        <v>1068</v>
      </c>
      <c r="G1820" t="s">
        <v>1087</v>
      </c>
      <c r="H1820" s="170">
        <v>-1.0778665224953199E-7</v>
      </c>
      <c r="I1820" t="s">
        <v>1088</v>
      </c>
      <c r="J1820">
        <v>2.54</v>
      </c>
    </row>
    <row r="1821" spans="1:10" hidden="1">
      <c r="A1821" t="s">
        <v>1747</v>
      </c>
      <c r="B1821" t="s">
        <v>1748</v>
      </c>
      <c r="C1821" t="s">
        <v>241</v>
      </c>
      <c r="D1821" t="s">
        <v>1067</v>
      </c>
      <c r="E1821" t="s">
        <v>555</v>
      </c>
      <c r="F1821" t="s">
        <v>1068</v>
      </c>
      <c r="G1821" t="s">
        <v>1089</v>
      </c>
      <c r="H1821">
        <v>-2.8827646783615001E-3</v>
      </c>
      <c r="I1821" t="s">
        <v>1090</v>
      </c>
      <c r="J1821">
        <v>2.54</v>
      </c>
    </row>
    <row r="1822" spans="1:10" hidden="1">
      <c r="A1822" t="s">
        <v>1750</v>
      </c>
      <c r="B1822" t="s">
        <v>1751</v>
      </c>
      <c r="C1822" t="s">
        <v>241</v>
      </c>
      <c r="D1822" t="s">
        <v>1067</v>
      </c>
      <c r="E1822" t="s">
        <v>558</v>
      </c>
      <c r="F1822" t="s">
        <v>1068</v>
      </c>
      <c r="G1822" t="s">
        <v>1069</v>
      </c>
      <c r="H1822">
        <v>-6.0324783785648498E-2</v>
      </c>
      <c r="I1822" t="s">
        <v>1070</v>
      </c>
      <c r="J1822">
        <v>2.5299999999999998</v>
      </c>
    </row>
    <row r="1823" spans="1:10" hidden="1">
      <c r="A1823" t="s">
        <v>1750</v>
      </c>
      <c r="B1823" t="s">
        <v>1751</v>
      </c>
      <c r="C1823" t="s">
        <v>241</v>
      </c>
      <c r="D1823" t="s">
        <v>1067</v>
      </c>
      <c r="E1823" t="s">
        <v>558</v>
      </c>
      <c r="F1823" t="s">
        <v>1068</v>
      </c>
      <c r="G1823" t="s">
        <v>1071</v>
      </c>
      <c r="H1823" s="170">
        <v>-1.2678169553528199E-10</v>
      </c>
      <c r="I1823" t="s">
        <v>1072</v>
      </c>
      <c r="J1823">
        <v>2.5299999999999998</v>
      </c>
    </row>
    <row r="1824" spans="1:10" hidden="1">
      <c r="A1824" t="s">
        <v>1750</v>
      </c>
      <c r="B1824" t="s">
        <v>1751</v>
      </c>
      <c r="C1824" t="s">
        <v>241</v>
      </c>
      <c r="D1824" t="s">
        <v>1067</v>
      </c>
      <c r="E1824" t="s">
        <v>558</v>
      </c>
      <c r="F1824" t="s">
        <v>1068</v>
      </c>
      <c r="G1824" t="s">
        <v>1073</v>
      </c>
      <c r="H1824" s="170">
        <v>-2.4459085758726101E-8</v>
      </c>
      <c r="I1824" t="s">
        <v>1074</v>
      </c>
      <c r="J1824">
        <v>2.5299999999999998</v>
      </c>
    </row>
    <row r="1825" spans="1:10" hidden="1">
      <c r="A1825" t="s">
        <v>1750</v>
      </c>
      <c r="B1825" t="s">
        <v>1751</v>
      </c>
      <c r="C1825" t="s">
        <v>241</v>
      </c>
      <c r="D1825" t="s">
        <v>1067</v>
      </c>
      <c r="E1825" t="s">
        <v>558</v>
      </c>
      <c r="F1825" t="s">
        <v>1068</v>
      </c>
      <c r="G1825" t="s">
        <v>1075</v>
      </c>
      <c r="H1825">
        <v>2.3011700982791001E-3</v>
      </c>
      <c r="I1825" t="s">
        <v>1077</v>
      </c>
      <c r="J1825">
        <v>2.5299999999999998</v>
      </c>
    </row>
    <row r="1826" spans="1:10" hidden="1">
      <c r="A1826" t="s">
        <v>1750</v>
      </c>
      <c r="B1826" t="s">
        <v>1751</v>
      </c>
      <c r="C1826" t="s">
        <v>241</v>
      </c>
      <c r="D1826" t="s">
        <v>1067</v>
      </c>
      <c r="E1826" t="s">
        <v>558</v>
      </c>
      <c r="F1826" t="s">
        <v>1068</v>
      </c>
      <c r="G1826" t="s">
        <v>1078</v>
      </c>
      <c r="H1826">
        <v>-1.4789827623174101</v>
      </c>
      <c r="I1826" t="s">
        <v>1079</v>
      </c>
      <c r="J1826">
        <v>2.5299999999999998</v>
      </c>
    </row>
    <row r="1827" spans="1:10" hidden="1">
      <c r="A1827" t="s">
        <v>1750</v>
      </c>
      <c r="B1827" t="s">
        <v>1751</v>
      </c>
      <c r="C1827" t="s">
        <v>241</v>
      </c>
      <c r="D1827" t="s">
        <v>1067</v>
      </c>
      <c r="E1827" t="s">
        <v>558</v>
      </c>
      <c r="F1827" t="s">
        <v>1068</v>
      </c>
      <c r="G1827" t="s">
        <v>1080</v>
      </c>
      <c r="H1827" s="171" t="s">
        <v>1752</v>
      </c>
      <c r="I1827" t="s">
        <v>1082</v>
      </c>
      <c r="J1827">
        <v>2.5299999999999998</v>
      </c>
    </row>
    <row r="1828" spans="1:10" hidden="1">
      <c r="A1828" t="s">
        <v>1750</v>
      </c>
      <c r="B1828" t="s">
        <v>1751</v>
      </c>
      <c r="C1828" t="s">
        <v>241</v>
      </c>
      <c r="D1828" t="s">
        <v>1067</v>
      </c>
      <c r="E1828" t="s">
        <v>558</v>
      </c>
      <c r="F1828" t="s">
        <v>1068</v>
      </c>
      <c r="G1828" t="s">
        <v>1083</v>
      </c>
      <c r="H1828">
        <v>-3.7722886975940102E-4</v>
      </c>
      <c r="I1828" t="s">
        <v>1084</v>
      </c>
      <c r="J1828">
        <v>2.5299999999999998</v>
      </c>
    </row>
    <row r="1829" spans="1:10" hidden="1">
      <c r="A1829" t="s">
        <v>1750</v>
      </c>
      <c r="B1829" t="s">
        <v>1751</v>
      </c>
      <c r="C1829" t="s">
        <v>241</v>
      </c>
      <c r="D1829" t="s">
        <v>1067</v>
      </c>
      <c r="E1829" t="s">
        <v>558</v>
      </c>
      <c r="F1829" t="s">
        <v>1068</v>
      </c>
      <c r="G1829" t="s">
        <v>1085</v>
      </c>
      <c r="H1829">
        <v>-1.06155682975991E-2</v>
      </c>
      <c r="I1829" t="s">
        <v>1086</v>
      </c>
      <c r="J1829">
        <v>2.5299999999999998</v>
      </c>
    </row>
    <row r="1830" spans="1:10" hidden="1">
      <c r="A1830" t="s">
        <v>1750</v>
      </c>
      <c r="B1830" t="s">
        <v>1751</v>
      </c>
      <c r="C1830" t="s">
        <v>241</v>
      </c>
      <c r="D1830" t="s">
        <v>1067</v>
      </c>
      <c r="E1830" t="s">
        <v>558</v>
      </c>
      <c r="F1830" t="s">
        <v>1068</v>
      </c>
      <c r="G1830" t="s">
        <v>1087</v>
      </c>
      <c r="H1830" s="170">
        <v>-1.0942043687795E-7</v>
      </c>
      <c r="I1830" t="s">
        <v>1088</v>
      </c>
      <c r="J1830">
        <v>2.5299999999999998</v>
      </c>
    </row>
    <row r="1831" spans="1:10" hidden="1">
      <c r="A1831" t="s">
        <v>1750</v>
      </c>
      <c r="B1831" t="s">
        <v>1751</v>
      </c>
      <c r="C1831" t="s">
        <v>241</v>
      </c>
      <c r="D1831" t="s">
        <v>1067</v>
      </c>
      <c r="E1831" t="s">
        <v>558</v>
      </c>
      <c r="F1831" t="s">
        <v>1068</v>
      </c>
      <c r="G1831" t="s">
        <v>1089</v>
      </c>
      <c r="H1831">
        <v>-2.8828381420719701E-3</v>
      </c>
      <c r="I1831" t="s">
        <v>1090</v>
      </c>
      <c r="J1831">
        <v>2.5299999999999998</v>
      </c>
    </row>
    <row r="1832" spans="1:10" hidden="1">
      <c r="A1832" t="s">
        <v>1753</v>
      </c>
      <c r="B1832" t="s">
        <v>1754</v>
      </c>
      <c r="C1832" t="s">
        <v>241</v>
      </c>
      <c r="D1832" t="s">
        <v>1067</v>
      </c>
      <c r="E1832" t="s">
        <v>553</v>
      </c>
      <c r="F1832" t="s">
        <v>1068</v>
      </c>
      <c r="G1832" t="s">
        <v>1069</v>
      </c>
      <c r="H1832">
        <v>-6.0320677516523799E-2</v>
      </c>
      <c r="I1832" t="s">
        <v>1070</v>
      </c>
      <c r="J1832">
        <v>2.54</v>
      </c>
    </row>
    <row r="1833" spans="1:10" hidden="1">
      <c r="A1833" t="s">
        <v>1753</v>
      </c>
      <c r="B1833" t="s">
        <v>1754</v>
      </c>
      <c r="C1833" t="s">
        <v>241</v>
      </c>
      <c r="D1833" t="s">
        <v>1067</v>
      </c>
      <c r="E1833" t="s">
        <v>553</v>
      </c>
      <c r="F1833" t="s">
        <v>1068</v>
      </c>
      <c r="G1833" t="s">
        <v>1071</v>
      </c>
      <c r="H1833" s="170">
        <v>-1.2673041746314999E-10</v>
      </c>
      <c r="I1833" t="s">
        <v>1072</v>
      </c>
      <c r="J1833">
        <v>2.54</v>
      </c>
    </row>
    <row r="1834" spans="1:10" hidden="1">
      <c r="A1834" t="s">
        <v>1753</v>
      </c>
      <c r="B1834" t="s">
        <v>1754</v>
      </c>
      <c r="C1834" t="s">
        <v>241</v>
      </c>
      <c r="D1834" t="s">
        <v>1067</v>
      </c>
      <c r="E1834" t="s">
        <v>553</v>
      </c>
      <c r="F1834" t="s">
        <v>1068</v>
      </c>
      <c r="G1834" t="s">
        <v>1073</v>
      </c>
      <c r="H1834" s="170">
        <v>-2.4461791143461799E-8</v>
      </c>
      <c r="I1834" t="s">
        <v>1074</v>
      </c>
      <c r="J1834">
        <v>2.54</v>
      </c>
    </row>
    <row r="1835" spans="1:10" hidden="1">
      <c r="A1835" t="s">
        <v>1753</v>
      </c>
      <c r="B1835" t="s">
        <v>1754</v>
      </c>
      <c r="C1835" t="s">
        <v>241</v>
      </c>
      <c r="D1835" t="s">
        <v>1067</v>
      </c>
      <c r="E1835" t="s">
        <v>553</v>
      </c>
      <c r="F1835" t="s">
        <v>1068</v>
      </c>
      <c r="G1835" t="s">
        <v>1075</v>
      </c>
      <c r="H1835">
        <v>2.3311480926380399E-3</v>
      </c>
      <c r="I1835" t="s">
        <v>1077</v>
      </c>
      <c r="J1835">
        <v>2.54</v>
      </c>
    </row>
    <row r="1836" spans="1:10" hidden="1">
      <c r="A1836" t="s">
        <v>1753</v>
      </c>
      <c r="B1836" t="s">
        <v>1754</v>
      </c>
      <c r="C1836" t="s">
        <v>241</v>
      </c>
      <c r="D1836" t="s">
        <v>1067</v>
      </c>
      <c r="E1836" t="s">
        <v>553</v>
      </c>
      <c r="F1836" t="s">
        <v>1068</v>
      </c>
      <c r="G1836" t="s">
        <v>1078</v>
      </c>
      <c r="H1836">
        <v>-1.46634377271326</v>
      </c>
      <c r="I1836" t="s">
        <v>1079</v>
      </c>
      <c r="J1836">
        <v>2.54</v>
      </c>
    </row>
    <row r="1837" spans="1:10" hidden="1">
      <c r="A1837" t="s">
        <v>1753</v>
      </c>
      <c r="B1837" t="s">
        <v>1754</v>
      </c>
      <c r="C1837" t="s">
        <v>241</v>
      </c>
      <c r="D1837" t="s">
        <v>1067</v>
      </c>
      <c r="E1837" t="s">
        <v>553</v>
      </c>
      <c r="F1837" t="s">
        <v>1068</v>
      </c>
      <c r="G1837" t="s">
        <v>1080</v>
      </c>
      <c r="H1837" s="171" t="s">
        <v>1755</v>
      </c>
      <c r="I1837" t="s">
        <v>1082</v>
      </c>
      <c r="J1837">
        <v>2.54</v>
      </c>
    </row>
    <row r="1838" spans="1:10" hidden="1">
      <c r="A1838" t="s">
        <v>1753</v>
      </c>
      <c r="B1838" t="s">
        <v>1754</v>
      </c>
      <c r="C1838" t="s">
        <v>241</v>
      </c>
      <c r="D1838" t="s">
        <v>1067</v>
      </c>
      <c r="E1838" t="s">
        <v>553</v>
      </c>
      <c r="F1838" t="s">
        <v>1068</v>
      </c>
      <c r="G1838" t="s">
        <v>1083</v>
      </c>
      <c r="H1838">
        <v>-3.7723118330687598E-4</v>
      </c>
      <c r="I1838" t="s">
        <v>1084</v>
      </c>
      <c r="J1838">
        <v>2.54</v>
      </c>
    </row>
    <row r="1839" spans="1:10" hidden="1">
      <c r="A1839" t="s">
        <v>1753</v>
      </c>
      <c r="B1839" t="s">
        <v>1754</v>
      </c>
      <c r="C1839" t="s">
        <v>241</v>
      </c>
      <c r="D1839" t="s">
        <v>1067</v>
      </c>
      <c r="E1839" t="s">
        <v>553</v>
      </c>
      <c r="F1839" t="s">
        <v>1068</v>
      </c>
      <c r="G1839" t="s">
        <v>1085</v>
      </c>
      <c r="H1839">
        <v>-1.06154340085605E-2</v>
      </c>
      <c r="I1839" t="s">
        <v>1086</v>
      </c>
      <c r="J1839">
        <v>2.54</v>
      </c>
    </row>
    <row r="1840" spans="1:10" hidden="1">
      <c r="A1840" t="s">
        <v>1753</v>
      </c>
      <c r="B1840" t="s">
        <v>1754</v>
      </c>
      <c r="C1840" t="s">
        <v>241</v>
      </c>
      <c r="D1840" t="s">
        <v>1067</v>
      </c>
      <c r="E1840" t="s">
        <v>553</v>
      </c>
      <c r="F1840" t="s">
        <v>1068</v>
      </c>
      <c r="G1840" t="s">
        <v>1087</v>
      </c>
      <c r="H1840" s="170">
        <v>-1.07959084914195E-7</v>
      </c>
      <c r="I1840" t="s">
        <v>1088</v>
      </c>
      <c r="J1840">
        <v>2.54</v>
      </c>
    </row>
    <row r="1841" spans="1:10" hidden="1">
      <c r="A1841" t="s">
        <v>1753</v>
      </c>
      <c r="B1841" t="s">
        <v>1754</v>
      </c>
      <c r="C1841" t="s">
        <v>241</v>
      </c>
      <c r="D1841" t="s">
        <v>1067</v>
      </c>
      <c r="E1841" t="s">
        <v>553</v>
      </c>
      <c r="F1841" t="s">
        <v>1068</v>
      </c>
      <c r="G1841" t="s">
        <v>1089</v>
      </c>
      <c r="H1841">
        <v>-2.8828383878137498E-3</v>
      </c>
      <c r="I1841" t="s">
        <v>1090</v>
      </c>
      <c r="J1841">
        <v>2.54</v>
      </c>
    </row>
    <row r="1842" spans="1:10" hidden="1">
      <c r="A1842" t="s">
        <v>1756</v>
      </c>
      <c r="B1842" t="s">
        <v>1757</v>
      </c>
      <c r="C1842" t="s">
        <v>241</v>
      </c>
      <c r="D1842" t="s">
        <v>1067</v>
      </c>
      <c r="E1842" t="s">
        <v>556</v>
      </c>
      <c r="F1842" t="s">
        <v>1068</v>
      </c>
      <c r="G1842" t="s">
        <v>1069</v>
      </c>
      <c r="H1842">
        <v>-6.0132005519576003E-2</v>
      </c>
      <c r="I1842" t="s">
        <v>1070</v>
      </c>
      <c r="J1842">
        <v>2.5499999999999998</v>
      </c>
    </row>
    <row r="1843" spans="1:10" hidden="1">
      <c r="A1843" t="s">
        <v>1756</v>
      </c>
      <c r="B1843" t="s">
        <v>1757</v>
      </c>
      <c r="C1843" t="s">
        <v>241</v>
      </c>
      <c r="D1843" t="s">
        <v>1067</v>
      </c>
      <c r="E1843" t="s">
        <v>556</v>
      </c>
      <c r="F1843" t="s">
        <v>1068</v>
      </c>
      <c r="G1843" t="s">
        <v>1071</v>
      </c>
      <c r="H1843" s="170">
        <v>-1.2620736653278201E-10</v>
      </c>
      <c r="I1843" t="s">
        <v>1072</v>
      </c>
      <c r="J1843">
        <v>2.5499999999999998</v>
      </c>
    </row>
    <row r="1844" spans="1:10" hidden="1">
      <c r="A1844" t="s">
        <v>1756</v>
      </c>
      <c r="B1844" t="s">
        <v>1757</v>
      </c>
      <c r="C1844" t="s">
        <v>241</v>
      </c>
      <c r="D1844" t="s">
        <v>1067</v>
      </c>
      <c r="E1844" t="s">
        <v>556</v>
      </c>
      <c r="F1844" t="s">
        <v>1068</v>
      </c>
      <c r="G1844" t="s">
        <v>1073</v>
      </c>
      <c r="H1844" s="170">
        <v>-2.4387528605928399E-8</v>
      </c>
      <c r="I1844" t="s">
        <v>1074</v>
      </c>
      <c r="J1844">
        <v>2.5499999999999998</v>
      </c>
    </row>
    <row r="1845" spans="1:10" hidden="1">
      <c r="A1845" t="s">
        <v>1756</v>
      </c>
      <c r="B1845" t="s">
        <v>1757</v>
      </c>
      <c r="C1845" t="s">
        <v>241</v>
      </c>
      <c r="D1845" t="s">
        <v>1067</v>
      </c>
      <c r="E1845" t="s">
        <v>556</v>
      </c>
      <c r="F1845" t="s">
        <v>1068</v>
      </c>
      <c r="G1845" t="s">
        <v>1075</v>
      </c>
      <c r="H1845">
        <v>2.4478440307733398E-3</v>
      </c>
      <c r="I1845" t="s">
        <v>1077</v>
      </c>
      <c r="J1845">
        <v>2.5499999999999998</v>
      </c>
    </row>
    <row r="1846" spans="1:10" hidden="1">
      <c r="A1846" t="s">
        <v>1756</v>
      </c>
      <c r="B1846" t="s">
        <v>1757</v>
      </c>
      <c r="C1846" t="s">
        <v>241</v>
      </c>
      <c r="D1846" t="s">
        <v>1067</v>
      </c>
      <c r="E1846" t="s">
        <v>556</v>
      </c>
      <c r="F1846" t="s">
        <v>1068</v>
      </c>
      <c r="G1846" t="s">
        <v>1078</v>
      </c>
      <c r="H1846">
        <v>-1.4198911030999699</v>
      </c>
      <c r="I1846" t="s">
        <v>1079</v>
      </c>
      <c r="J1846">
        <v>2.5499999999999998</v>
      </c>
    </row>
    <row r="1847" spans="1:10" hidden="1">
      <c r="A1847" t="s">
        <v>1756</v>
      </c>
      <c r="B1847" t="s">
        <v>1757</v>
      </c>
      <c r="C1847" t="s">
        <v>241</v>
      </c>
      <c r="D1847" t="s">
        <v>1067</v>
      </c>
      <c r="E1847" t="s">
        <v>556</v>
      </c>
      <c r="F1847" t="s">
        <v>1068</v>
      </c>
      <c r="G1847" t="s">
        <v>1080</v>
      </c>
      <c r="H1847" s="171" t="s">
        <v>1758</v>
      </c>
      <c r="I1847" t="s">
        <v>1082</v>
      </c>
      <c r="J1847">
        <v>2.5499999999999998</v>
      </c>
    </row>
    <row r="1848" spans="1:10" hidden="1">
      <c r="A1848" t="s">
        <v>1756</v>
      </c>
      <c r="B1848" t="s">
        <v>1757</v>
      </c>
      <c r="C1848" t="s">
        <v>241</v>
      </c>
      <c r="D1848" t="s">
        <v>1067</v>
      </c>
      <c r="E1848" t="s">
        <v>556</v>
      </c>
      <c r="F1848" t="s">
        <v>1068</v>
      </c>
      <c r="G1848" t="s">
        <v>1083</v>
      </c>
      <c r="H1848">
        <v>-3.7720247216878398E-4</v>
      </c>
      <c r="I1848" t="s">
        <v>1084</v>
      </c>
      <c r="J1848">
        <v>2.5499999999999998</v>
      </c>
    </row>
    <row r="1849" spans="1:10" hidden="1">
      <c r="A1849" t="s">
        <v>1756</v>
      </c>
      <c r="B1849" t="s">
        <v>1757</v>
      </c>
      <c r="C1849" t="s">
        <v>241</v>
      </c>
      <c r="D1849" t="s">
        <v>1067</v>
      </c>
      <c r="E1849" t="s">
        <v>556</v>
      </c>
      <c r="F1849" t="s">
        <v>1068</v>
      </c>
      <c r="G1849" t="s">
        <v>1085</v>
      </c>
      <c r="H1849">
        <v>-1.0614527102870801E-2</v>
      </c>
      <c r="I1849" t="s">
        <v>1086</v>
      </c>
      <c r="J1849">
        <v>2.5499999999999998</v>
      </c>
    </row>
    <row r="1850" spans="1:10" hidden="1">
      <c r="A1850" t="s">
        <v>1756</v>
      </c>
      <c r="B1850" t="s">
        <v>1757</v>
      </c>
      <c r="C1850" t="s">
        <v>241</v>
      </c>
      <c r="D1850" t="s">
        <v>1067</v>
      </c>
      <c r="E1850" t="s">
        <v>556</v>
      </c>
      <c r="F1850" t="s">
        <v>1068</v>
      </c>
      <c r="G1850" t="s">
        <v>1087</v>
      </c>
      <c r="H1850" s="170">
        <v>-1.07802859583333E-7</v>
      </c>
      <c r="I1850" t="s">
        <v>1088</v>
      </c>
      <c r="J1850">
        <v>2.5499999999999998</v>
      </c>
    </row>
    <row r="1851" spans="1:10" hidden="1">
      <c r="A1851" t="s">
        <v>1756</v>
      </c>
      <c r="B1851" t="s">
        <v>1757</v>
      </c>
      <c r="C1851" t="s">
        <v>241</v>
      </c>
      <c r="D1851" t="s">
        <v>1067</v>
      </c>
      <c r="E1851" t="s">
        <v>556</v>
      </c>
      <c r="F1851" t="s">
        <v>1068</v>
      </c>
      <c r="G1851" t="s">
        <v>1089</v>
      </c>
      <c r="H1851">
        <v>-2.88277160647863E-3</v>
      </c>
      <c r="I1851" t="s">
        <v>1090</v>
      </c>
      <c r="J1851">
        <v>2.5499999999999998</v>
      </c>
    </row>
    <row r="1852" spans="1:10" hidden="1">
      <c r="A1852" t="s">
        <v>1759</v>
      </c>
      <c r="B1852" t="s">
        <v>1760</v>
      </c>
      <c r="C1852" t="s">
        <v>241</v>
      </c>
      <c r="D1852" t="s">
        <v>1067</v>
      </c>
      <c r="E1852" t="s">
        <v>557</v>
      </c>
      <c r="F1852" t="s">
        <v>1068</v>
      </c>
      <c r="G1852" t="s">
        <v>1069</v>
      </c>
      <c r="H1852">
        <v>-6.0260064072958003E-2</v>
      </c>
      <c r="I1852" t="s">
        <v>1070</v>
      </c>
      <c r="J1852">
        <v>2.54</v>
      </c>
    </row>
    <row r="1853" spans="1:10" hidden="1">
      <c r="A1853" t="s">
        <v>1759</v>
      </c>
      <c r="B1853" t="s">
        <v>1760</v>
      </c>
      <c r="C1853" t="s">
        <v>241</v>
      </c>
      <c r="D1853" t="s">
        <v>1067</v>
      </c>
      <c r="E1853" t="s">
        <v>557</v>
      </c>
      <c r="F1853" t="s">
        <v>1068</v>
      </c>
      <c r="G1853" t="s">
        <v>1071</v>
      </c>
      <c r="H1853" s="170">
        <v>-1.2668908089011299E-10</v>
      </c>
      <c r="I1853" t="s">
        <v>1072</v>
      </c>
      <c r="J1853">
        <v>2.54</v>
      </c>
    </row>
    <row r="1854" spans="1:10" hidden="1">
      <c r="A1854" t="s">
        <v>1759</v>
      </c>
      <c r="B1854" t="s">
        <v>1760</v>
      </c>
      <c r="C1854" t="s">
        <v>241</v>
      </c>
      <c r="D1854" t="s">
        <v>1067</v>
      </c>
      <c r="E1854" t="s">
        <v>557</v>
      </c>
      <c r="F1854" t="s">
        <v>1068</v>
      </c>
      <c r="G1854" t="s">
        <v>1073</v>
      </c>
      <c r="H1854" s="170">
        <v>-2.4436097111992799E-8</v>
      </c>
      <c r="I1854" t="s">
        <v>1074</v>
      </c>
      <c r="J1854">
        <v>2.54</v>
      </c>
    </row>
    <row r="1855" spans="1:10" hidden="1">
      <c r="A1855" t="s">
        <v>1759</v>
      </c>
      <c r="B1855" t="s">
        <v>1760</v>
      </c>
      <c r="C1855" t="s">
        <v>241</v>
      </c>
      <c r="D1855" t="s">
        <v>1067</v>
      </c>
      <c r="E1855" t="s">
        <v>557</v>
      </c>
      <c r="F1855" t="s">
        <v>1068</v>
      </c>
      <c r="G1855" t="s">
        <v>1075</v>
      </c>
      <c r="H1855">
        <v>2.3032159575354298E-3</v>
      </c>
      <c r="I1855" t="s">
        <v>1077</v>
      </c>
      <c r="J1855">
        <v>2.54</v>
      </c>
    </row>
    <row r="1856" spans="1:10" hidden="1">
      <c r="A1856" t="s">
        <v>1759</v>
      </c>
      <c r="B1856" t="s">
        <v>1760</v>
      </c>
      <c r="C1856" t="s">
        <v>241</v>
      </c>
      <c r="D1856" t="s">
        <v>1067</v>
      </c>
      <c r="E1856" t="s">
        <v>557</v>
      </c>
      <c r="F1856" t="s">
        <v>1068</v>
      </c>
      <c r="G1856" t="s">
        <v>1078</v>
      </c>
      <c r="H1856">
        <v>-1.47889429147148</v>
      </c>
      <c r="I1856" t="s">
        <v>1079</v>
      </c>
      <c r="J1856">
        <v>2.54</v>
      </c>
    </row>
    <row r="1857" spans="1:10" hidden="1">
      <c r="A1857" t="s">
        <v>1759</v>
      </c>
      <c r="B1857" t="s">
        <v>1760</v>
      </c>
      <c r="C1857" t="s">
        <v>241</v>
      </c>
      <c r="D1857" t="s">
        <v>1067</v>
      </c>
      <c r="E1857" t="s">
        <v>557</v>
      </c>
      <c r="F1857" t="s">
        <v>1068</v>
      </c>
      <c r="G1857" t="s">
        <v>1080</v>
      </c>
      <c r="H1857" s="171" t="s">
        <v>1761</v>
      </c>
      <c r="I1857" t="s">
        <v>1082</v>
      </c>
      <c r="J1857">
        <v>2.54</v>
      </c>
    </row>
    <row r="1858" spans="1:10" hidden="1">
      <c r="A1858" t="s">
        <v>1759</v>
      </c>
      <c r="B1858" t="s">
        <v>1760</v>
      </c>
      <c r="C1858" t="s">
        <v>241</v>
      </c>
      <c r="D1858" t="s">
        <v>1067</v>
      </c>
      <c r="E1858" t="s">
        <v>557</v>
      </c>
      <c r="F1858" t="s">
        <v>1068</v>
      </c>
      <c r="G1858" t="s">
        <v>1083</v>
      </c>
      <c r="H1858">
        <v>-3.77219032321169E-4</v>
      </c>
      <c r="I1858" t="s">
        <v>1084</v>
      </c>
      <c r="J1858">
        <v>2.54</v>
      </c>
    </row>
    <row r="1859" spans="1:10" hidden="1">
      <c r="A1859" t="s">
        <v>1759</v>
      </c>
      <c r="B1859" t="s">
        <v>1760</v>
      </c>
      <c r="C1859" t="s">
        <v>241</v>
      </c>
      <c r="D1859" t="s">
        <v>1067</v>
      </c>
      <c r="E1859" t="s">
        <v>557</v>
      </c>
      <c r="F1859" t="s">
        <v>1068</v>
      </c>
      <c r="G1859" t="s">
        <v>1085</v>
      </c>
      <c r="H1859">
        <v>-1.0615457114581299E-2</v>
      </c>
      <c r="I1859" t="s">
        <v>1086</v>
      </c>
      <c r="J1859">
        <v>2.54</v>
      </c>
    </row>
    <row r="1860" spans="1:10" hidden="1">
      <c r="A1860" t="s">
        <v>1759</v>
      </c>
      <c r="B1860" t="s">
        <v>1760</v>
      </c>
      <c r="C1860" t="s">
        <v>241</v>
      </c>
      <c r="D1860" t="s">
        <v>1067</v>
      </c>
      <c r="E1860" t="s">
        <v>557</v>
      </c>
      <c r="F1860" t="s">
        <v>1068</v>
      </c>
      <c r="G1860" t="s">
        <v>1087</v>
      </c>
      <c r="H1860" s="170">
        <v>-1.09366779445884E-7</v>
      </c>
      <c r="I1860" t="s">
        <v>1088</v>
      </c>
      <c r="J1860">
        <v>2.54</v>
      </c>
    </row>
    <row r="1861" spans="1:10" hidden="1">
      <c r="A1861" t="s">
        <v>1759</v>
      </c>
      <c r="B1861" t="s">
        <v>1760</v>
      </c>
      <c r="C1861" t="s">
        <v>241</v>
      </c>
      <c r="D1861" t="s">
        <v>1067</v>
      </c>
      <c r="E1861" t="s">
        <v>557</v>
      </c>
      <c r="F1861" t="s">
        <v>1068</v>
      </c>
      <c r="G1861" t="s">
        <v>1089</v>
      </c>
      <c r="H1861">
        <v>-2.8828152052349501E-3</v>
      </c>
      <c r="I1861" t="s">
        <v>1090</v>
      </c>
      <c r="J1861">
        <v>2.54</v>
      </c>
    </row>
    <row r="1862" spans="1:10" hidden="1">
      <c r="A1862" t="s">
        <v>1762</v>
      </c>
      <c r="B1862" t="s">
        <v>1763</v>
      </c>
      <c r="C1862" t="s">
        <v>241</v>
      </c>
      <c r="D1862" t="s">
        <v>1067</v>
      </c>
      <c r="E1862" t="s">
        <v>559</v>
      </c>
      <c r="F1862" t="s">
        <v>1068</v>
      </c>
      <c r="G1862" t="s">
        <v>1069</v>
      </c>
      <c r="H1862">
        <v>-6.0188254372107702E-2</v>
      </c>
      <c r="I1862" t="s">
        <v>1070</v>
      </c>
      <c r="J1862">
        <v>2.5299999999999998</v>
      </c>
    </row>
    <row r="1863" spans="1:10" hidden="1">
      <c r="A1863" t="s">
        <v>1762</v>
      </c>
      <c r="B1863" t="s">
        <v>1763</v>
      </c>
      <c r="C1863" t="s">
        <v>241</v>
      </c>
      <c r="D1863" t="s">
        <v>1067</v>
      </c>
      <c r="E1863" t="s">
        <v>559</v>
      </c>
      <c r="F1863" t="s">
        <v>1068</v>
      </c>
      <c r="G1863" t="s">
        <v>1071</v>
      </c>
      <c r="H1863" s="170">
        <v>-1.2654091843684901E-10</v>
      </c>
      <c r="I1863" t="s">
        <v>1072</v>
      </c>
      <c r="J1863">
        <v>2.5299999999999998</v>
      </c>
    </row>
    <row r="1864" spans="1:10" hidden="1">
      <c r="A1864" t="s">
        <v>1762</v>
      </c>
      <c r="B1864" t="s">
        <v>1763</v>
      </c>
      <c r="C1864" t="s">
        <v>241</v>
      </c>
      <c r="D1864" t="s">
        <v>1067</v>
      </c>
      <c r="E1864" t="s">
        <v>559</v>
      </c>
      <c r="F1864" t="s">
        <v>1068</v>
      </c>
      <c r="G1864" t="s">
        <v>1073</v>
      </c>
      <c r="H1864" s="170">
        <v>-2.4414754023549E-8</v>
      </c>
      <c r="I1864" t="s">
        <v>1074</v>
      </c>
      <c r="J1864">
        <v>2.5299999999999998</v>
      </c>
    </row>
    <row r="1865" spans="1:10" hidden="1">
      <c r="A1865" t="s">
        <v>1762</v>
      </c>
      <c r="B1865" t="s">
        <v>1763</v>
      </c>
      <c r="C1865" t="s">
        <v>241</v>
      </c>
      <c r="D1865" t="s">
        <v>1067</v>
      </c>
      <c r="E1865" t="s">
        <v>559</v>
      </c>
      <c r="F1865" t="s">
        <v>1068</v>
      </c>
      <c r="G1865" t="s">
        <v>1075</v>
      </c>
      <c r="H1865">
        <v>2.3353341296955799E-3</v>
      </c>
      <c r="I1865" t="s">
        <v>1077</v>
      </c>
      <c r="J1865">
        <v>2.5299999999999998</v>
      </c>
    </row>
    <row r="1866" spans="1:10" hidden="1">
      <c r="A1866" t="s">
        <v>1762</v>
      </c>
      <c r="B1866" t="s">
        <v>1763</v>
      </c>
      <c r="C1866" t="s">
        <v>241</v>
      </c>
      <c r="D1866" t="s">
        <v>1067</v>
      </c>
      <c r="E1866" t="s">
        <v>559</v>
      </c>
      <c r="F1866" t="s">
        <v>1068</v>
      </c>
      <c r="G1866" t="s">
        <v>1078</v>
      </c>
      <c r="H1866">
        <v>-1.4661627523237399</v>
      </c>
      <c r="I1866" t="s">
        <v>1079</v>
      </c>
      <c r="J1866">
        <v>2.5299999999999998</v>
      </c>
    </row>
    <row r="1867" spans="1:10" hidden="1">
      <c r="A1867" t="s">
        <v>1762</v>
      </c>
      <c r="B1867" t="s">
        <v>1763</v>
      </c>
      <c r="C1867" t="s">
        <v>241</v>
      </c>
      <c r="D1867" t="s">
        <v>1067</v>
      </c>
      <c r="E1867" t="s">
        <v>559</v>
      </c>
      <c r="F1867" t="s">
        <v>1068</v>
      </c>
      <c r="G1867" t="s">
        <v>1080</v>
      </c>
      <c r="H1867" s="171" t="s">
        <v>1764</v>
      </c>
      <c r="I1867" t="s">
        <v>1082</v>
      </c>
      <c r="J1867">
        <v>2.5299999999999998</v>
      </c>
    </row>
    <row r="1868" spans="1:10" hidden="1">
      <c r="A1868" t="s">
        <v>1762</v>
      </c>
      <c r="B1868" t="s">
        <v>1763</v>
      </c>
      <c r="C1868" t="s">
        <v>241</v>
      </c>
      <c r="D1868" t="s">
        <v>1067</v>
      </c>
      <c r="E1868" t="s">
        <v>559</v>
      </c>
      <c r="F1868" t="s">
        <v>1068</v>
      </c>
      <c r="G1868" t="s">
        <v>1083</v>
      </c>
      <c r="H1868">
        <v>-3.7721105490319702E-4</v>
      </c>
      <c r="I1868" t="s">
        <v>1084</v>
      </c>
      <c r="J1868">
        <v>2.5299999999999998</v>
      </c>
    </row>
    <row r="1869" spans="1:10" hidden="1">
      <c r="A1869" t="s">
        <v>1762</v>
      </c>
      <c r="B1869" t="s">
        <v>1763</v>
      </c>
      <c r="C1869" t="s">
        <v>241</v>
      </c>
      <c r="D1869" t="s">
        <v>1067</v>
      </c>
      <c r="E1869" t="s">
        <v>559</v>
      </c>
      <c r="F1869" t="s">
        <v>1068</v>
      </c>
      <c r="G1869" t="s">
        <v>1085</v>
      </c>
      <c r="H1869">
        <v>-1.0615206516746901E-2</v>
      </c>
      <c r="I1869" t="s">
        <v>1086</v>
      </c>
      <c r="J1869">
        <v>2.5299999999999998</v>
      </c>
    </row>
    <row r="1870" spans="1:10" hidden="1">
      <c r="A1870" t="s">
        <v>1762</v>
      </c>
      <c r="B1870" t="s">
        <v>1763</v>
      </c>
      <c r="C1870" t="s">
        <v>241</v>
      </c>
      <c r="D1870" t="s">
        <v>1067</v>
      </c>
      <c r="E1870" t="s">
        <v>559</v>
      </c>
      <c r="F1870" t="s">
        <v>1068</v>
      </c>
      <c r="G1870" t="s">
        <v>1087</v>
      </c>
      <c r="H1870" s="170">
        <v>-1.07849296326202E-7</v>
      </c>
      <c r="I1870" t="s">
        <v>1088</v>
      </c>
      <c r="J1870">
        <v>2.5299999999999998</v>
      </c>
    </row>
    <row r="1871" spans="1:10" hidden="1">
      <c r="A1871" t="s">
        <v>1762</v>
      </c>
      <c r="B1871" t="s">
        <v>1763</v>
      </c>
      <c r="C1871" t="s">
        <v>241</v>
      </c>
      <c r="D1871" t="s">
        <v>1067</v>
      </c>
      <c r="E1871" t="s">
        <v>559</v>
      </c>
      <c r="F1871" t="s">
        <v>1068</v>
      </c>
      <c r="G1871" t="s">
        <v>1089</v>
      </c>
      <c r="H1871">
        <v>-2.88279145670182E-3</v>
      </c>
      <c r="I1871" t="s">
        <v>1090</v>
      </c>
      <c r="J1871">
        <v>2.5299999999999998</v>
      </c>
    </row>
    <row r="1872" spans="1:10" hidden="1">
      <c r="A1872" t="s">
        <v>1765</v>
      </c>
      <c r="B1872" t="s">
        <v>1766</v>
      </c>
      <c r="C1872" t="s">
        <v>241</v>
      </c>
      <c r="D1872" t="s">
        <v>1067</v>
      </c>
      <c r="E1872" t="s">
        <v>560</v>
      </c>
      <c r="F1872" t="s">
        <v>1068</v>
      </c>
      <c r="G1872" t="s">
        <v>1069</v>
      </c>
      <c r="H1872">
        <v>-6.0225546892856197E-2</v>
      </c>
      <c r="I1872" t="s">
        <v>1070</v>
      </c>
      <c r="J1872">
        <v>2.54</v>
      </c>
    </row>
    <row r="1873" spans="1:10" hidden="1">
      <c r="A1873" t="s">
        <v>1765</v>
      </c>
      <c r="B1873" t="s">
        <v>1766</v>
      </c>
      <c r="C1873" t="s">
        <v>241</v>
      </c>
      <c r="D1873" t="s">
        <v>1067</v>
      </c>
      <c r="E1873" t="s">
        <v>560</v>
      </c>
      <c r="F1873" t="s">
        <v>1068</v>
      </c>
      <c r="G1873" t="s">
        <v>1071</v>
      </c>
      <c r="H1873" s="170">
        <v>-1.2663968641269E-10</v>
      </c>
      <c r="I1873" t="s">
        <v>1072</v>
      </c>
      <c r="J1873">
        <v>2.54</v>
      </c>
    </row>
    <row r="1874" spans="1:10" hidden="1">
      <c r="A1874" t="s">
        <v>1765</v>
      </c>
      <c r="B1874" t="s">
        <v>1766</v>
      </c>
      <c r="C1874" t="s">
        <v>241</v>
      </c>
      <c r="D1874" t="s">
        <v>1067</v>
      </c>
      <c r="E1874" t="s">
        <v>560</v>
      </c>
      <c r="F1874" t="s">
        <v>1068</v>
      </c>
      <c r="G1874" t="s">
        <v>1073</v>
      </c>
      <c r="H1874" s="170">
        <v>-2.44238365004016E-8</v>
      </c>
      <c r="I1874" t="s">
        <v>1074</v>
      </c>
      <c r="J1874">
        <v>2.54</v>
      </c>
    </row>
    <row r="1875" spans="1:10" hidden="1">
      <c r="A1875" t="s">
        <v>1765</v>
      </c>
      <c r="B1875" t="s">
        <v>1766</v>
      </c>
      <c r="C1875" t="s">
        <v>241</v>
      </c>
      <c r="D1875" t="s">
        <v>1067</v>
      </c>
      <c r="E1875" t="s">
        <v>560</v>
      </c>
      <c r="F1875" t="s">
        <v>1068</v>
      </c>
      <c r="G1875" t="s">
        <v>1075</v>
      </c>
      <c r="H1875">
        <v>2.3043070824720802E-3</v>
      </c>
      <c r="I1875" t="s">
        <v>1077</v>
      </c>
      <c r="J1875">
        <v>2.54</v>
      </c>
    </row>
    <row r="1876" spans="1:10" hidden="1">
      <c r="A1876" t="s">
        <v>1765</v>
      </c>
      <c r="B1876" t="s">
        <v>1766</v>
      </c>
      <c r="C1876" t="s">
        <v>241</v>
      </c>
      <c r="D1876" t="s">
        <v>1067</v>
      </c>
      <c r="E1876" t="s">
        <v>560</v>
      </c>
      <c r="F1876" t="s">
        <v>1068</v>
      </c>
      <c r="G1876" t="s">
        <v>1078</v>
      </c>
      <c r="H1876">
        <v>-1.47884710702032</v>
      </c>
      <c r="I1876" t="s">
        <v>1079</v>
      </c>
      <c r="J1876">
        <v>2.54</v>
      </c>
    </row>
    <row r="1877" spans="1:10" hidden="1">
      <c r="A1877" t="s">
        <v>1765</v>
      </c>
      <c r="B1877" t="s">
        <v>1766</v>
      </c>
      <c r="C1877" t="s">
        <v>241</v>
      </c>
      <c r="D1877" t="s">
        <v>1067</v>
      </c>
      <c r="E1877" t="s">
        <v>560</v>
      </c>
      <c r="F1877" t="s">
        <v>1068</v>
      </c>
      <c r="G1877" t="s">
        <v>1080</v>
      </c>
      <c r="H1877" s="171" t="s">
        <v>1767</v>
      </c>
      <c r="I1877" t="s">
        <v>1082</v>
      </c>
      <c r="J1877">
        <v>2.54</v>
      </c>
    </row>
    <row r="1878" spans="1:10" hidden="1">
      <c r="A1878" t="s">
        <v>1765</v>
      </c>
      <c r="B1878" t="s">
        <v>1766</v>
      </c>
      <c r="C1878" t="s">
        <v>241</v>
      </c>
      <c r="D1878" t="s">
        <v>1067</v>
      </c>
      <c r="E1878" t="s">
        <v>560</v>
      </c>
      <c r="F1878" t="s">
        <v>1068</v>
      </c>
      <c r="G1878" t="s">
        <v>1083</v>
      </c>
      <c r="H1878">
        <v>-3.77213785687445E-4</v>
      </c>
      <c r="I1878" t="s">
        <v>1084</v>
      </c>
      <c r="J1878">
        <v>2.54</v>
      </c>
    </row>
    <row r="1879" spans="1:10" hidden="1">
      <c r="A1879" t="s">
        <v>1765</v>
      </c>
      <c r="B1879" t="s">
        <v>1766</v>
      </c>
      <c r="C1879" t="s">
        <v>241</v>
      </c>
      <c r="D1879" t="s">
        <v>1067</v>
      </c>
      <c r="E1879" t="s">
        <v>560</v>
      </c>
      <c r="F1879" t="s">
        <v>1068</v>
      </c>
      <c r="G1879" t="s">
        <v>1085</v>
      </c>
      <c r="H1879">
        <v>-1.06153978169718E-2</v>
      </c>
      <c r="I1879" t="s">
        <v>1086</v>
      </c>
      <c r="J1879">
        <v>2.54</v>
      </c>
    </row>
    <row r="1880" spans="1:10" hidden="1">
      <c r="A1880" t="s">
        <v>1765</v>
      </c>
      <c r="B1880" t="s">
        <v>1766</v>
      </c>
      <c r="C1880" t="s">
        <v>241</v>
      </c>
      <c r="D1880" t="s">
        <v>1067</v>
      </c>
      <c r="E1880" t="s">
        <v>560</v>
      </c>
      <c r="F1880" t="s">
        <v>1068</v>
      </c>
      <c r="G1880" t="s">
        <v>1087</v>
      </c>
      <c r="H1880" s="170">
        <v>-1.09338162148782E-7</v>
      </c>
      <c r="I1880" t="s">
        <v>1088</v>
      </c>
      <c r="J1880">
        <v>2.54</v>
      </c>
    </row>
    <row r="1881" spans="1:10" hidden="1">
      <c r="A1881" t="s">
        <v>1765</v>
      </c>
      <c r="B1881" t="s">
        <v>1766</v>
      </c>
      <c r="C1881" t="s">
        <v>241</v>
      </c>
      <c r="D1881" t="s">
        <v>1067</v>
      </c>
      <c r="E1881" t="s">
        <v>560</v>
      </c>
      <c r="F1881" t="s">
        <v>1068</v>
      </c>
      <c r="G1881" t="s">
        <v>1089</v>
      </c>
      <c r="H1881">
        <v>-2.8828029722551998E-3</v>
      </c>
      <c r="I1881" t="s">
        <v>1090</v>
      </c>
      <c r="J1881">
        <v>2.54</v>
      </c>
    </row>
    <row r="1882" spans="1:10" hidden="1">
      <c r="A1882" t="s">
        <v>1768</v>
      </c>
      <c r="B1882" t="s">
        <v>1769</v>
      </c>
      <c r="C1882" t="s">
        <v>241</v>
      </c>
      <c r="D1882" t="s">
        <v>1067</v>
      </c>
      <c r="E1882" t="s">
        <v>1116</v>
      </c>
      <c r="F1882" t="s">
        <v>1068</v>
      </c>
      <c r="G1882" t="s">
        <v>1069</v>
      </c>
      <c r="H1882">
        <v>-6.0330310005770903E-2</v>
      </c>
      <c r="I1882" t="s">
        <v>1070</v>
      </c>
      <c r="J1882">
        <v>3.04</v>
      </c>
    </row>
    <row r="1883" spans="1:10" hidden="1">
      <c r="A1883" t="s">
        <v>1768</v>
      </c>
      <c r="B1883" t="s">
        <v>1769</v>
      </c>
      <c r="C1883" t="s">
        <v>241</v>
      </c>
      <c r="D1883" t="s">
        <v>1067</v>
      </c>
      <c r="E1883" t="s">
        <v>1116</v>
      </c>
      <c r="F1883" t="s">
        <v>1068</v>
      </c>
      <c r="G1883" t="s">
        <v>1071</v>
      </c>
      <c r="H1883" s="170">
        <v>-1.26789603619219E-10</v>
      </c>
      <c r="I1883" t="s">
        <v>1072</v>
      </c>
      <c r="J1883">
        <v>3.04</v>
      </c>
    </row>
    <row r="1884" spans="1:10" hidden="1">
      <c r="A1884" t="s">
        <v>1768</v>
      </c>
      <c r="B1884" t="s">
        <v>1769</v>
      </c>
      <c r="C1884" t="s">
        <v>241</v>
      </c>
      <c r="D1884" t="s">
        <v>1067</v>
      </c>
      <c r="E1884" t="s">
        <v>1116</v>
      </c>
      <c r="F1884" t="s">
        <v>1068</v>
      </c>
      <c r="G1884" t="s">
        <v>1073</v>
      </c>
      <c r="H1884" s="170">
        <v>-2.44610486896033E-8</v>
      </c>
      <c r="I1884" t="s">
        <v>1074</v>
      </c>
      <c r="J1884">
        <v>3.04</v>
      </c>
    </row>
    <row r="1885" spans="1:10" hidden="1">
      <c r="A1885" t="s">
        <v>1768</v>
      </c>
      <c r="B1885" t="s">
        <v>1769</v>
      </c>
      <c r="C1885" t="s">
        <v>241</v>
      </c>
      <c r="D1885" t="s">
        <v>1067</v>
      </c>
      <c r="E1885" t="s">
        <v>1116</v>
      </c>
      <c r="F1885" t="s">
        <v>1068</v>
      </c>
      <c r="G1885" t="s">
        <v>1075</v>
      </c>
      <c r="H1885">
        <v>2.3009954085587599E-3</v>
      </c>
      <c r="I1885" t="s">
        <v>1077</v>
      </c>
      <c r="J1885">
        <v>3.04</v>
      </c>
    </row>
    <row r="1886" spans="1:10" hidden="1">
      <c r="A1886" t="s">
        <v>1768</v>
      </c>
      <c r="B1886" t="s">
        <v>1769</v>
      </c>
      <c r="C1886" t="s">
        <v>241</v>
      </c>
      <c r="D1886" t="s">
        <v>1067</v>
      </c>
      <c r="E1886" t="s">
        <v>1116</v>
      </c>
      <c r="F1886" t="s">
        <v>1068</v>
      </c>
      <c r="G1886" t="s">
        <v>1078</v>
      </c>
      <c r="H1886">
        <v>-1.47899031657472</v>
      </c>
      <c r="I1886" t="s">
        <v>1079</v>
      </c>
      <c r="J1886">
        <v>3.04</v>
      </c>
    </row>
    <row r="1887" spans="1:10" hidden="1">
      <c r="A1887" t="s">
        <v>1768</v>
      </c>
      <c r="B1887" t="s">
        <v>1769</v>
      </c>
      <c r="C1887" t="s">
        <v>241</v>
      </c>
      <c r="D1887" t="s">
        <v>1067</v>
      </c>
      <c r="E1887" t="s">
        <v>1116</v>
      </c>
      <c r="F1887" t="s">
        <v>1068</v>
      </c>
      <c r="G1887" t="s">
        <v>1080</v>
      </c>
      <c r="H1887" s="171" t="s">
        <v>1770</v>
      </c>
      <c r="I1887" t="s">
        <v>1082</v>
      </c>
      <c r="J1887">
        <v>3.04</v>
      </c>
    </row>
    <row r="1888" spans="1:10" hidden="1">
      <c r="A1888" t="s">
        <v>1768</v>
      </c>
      <c r="B1888" t="s">
        <v>1769</v>
      </c>
      <c r="C1888" t="s">
        <v>241</v>
      </c>
      <c r="D1888" t="s">
        <v>1067</v>
      </c>
      <c r="E1888" t="s">
        <v>1116</v>
      </c>
      <c r="F1888" t="s">
        <v>1068</v>
      </c>
      <c r="G1888" t="s">
        <v>1083</v>
      </c>
      <c r="H1888">
        <v>-3.7722970974842797E-4</v>
      </c>
      <c r="I1888" t="s">
        <v>1084</v>
      </c>
      <c r="J1888">
        <v>3.04</v>
      </c>
    </row>
    <row r="1889" spans="1:10" hidden="1">
      <c r="A1889" t="s">
        <v>1768</v>
      </c>
      <c r="B1889" t="s">
        <v>1769</v>
      </c>
      <c r="C1889" t="s">
        <v>241</v>
      </c>
      <c r="D1889" t="s">
        <v>1067</v>
      </c>
      <c r="E1889" t="s">
        <v>1116</v>
      </c>
      <c r="F1889" t="s">
        <v>1068</v>
      </c>
      <c r="G1889" t="s">
        <v>1085</v>
      </c>
      <c r="H1889">
        <v>-1.0615577791179999E-2</v>
      </c>
      <c r="I1889" t="s">
        <v>1086</v>
      </c>
      <c r="J1889">
        <v>3.04</v>
      </c>
    </row>
    <row r="1890" spans="1:10" hidden="1">
      <c r="A1890" t="s">
        <v>1768</v>
      </c>
      <c r="B1890" t="s">
        <v>1769</v>
      </c>
      <c r="C1890" t="s">
        <v>241</v>
      </c>
      <c r="D1890" t="s">
        <v>1067</v>
      </c>
      <c r="E1890" t="s">
        <v>1116</v>
      </c>
      <c r="F1890" t="s">
        <v>1068</v>
      </c>
      <c r="G1890" t="s">
        <v>1087</v>
      </c>
      <c r="H1890" s="170">
        <v>-1.09425018523402E-7</v>
      </c>
      <c r="I1890" t="s">
        <v>1088</v>
      </c>
      <c r="J1890">
        <v>3.04</v>
      </c>
    </row>
    <row r="1891" spans="1:10" hidden="1">
      <c r="A1891" t="s">
        <v>1768</v>
      </c>
      <c r="B1891" t="s">
        <v>1769</v>
      </c>
      <c r="C1891" t="s">
        <v>241</v>
      </c>
      <c r="D1891" t="s">
        <v>1067</v>
      </c>
      <c r="E1891" t="s">
        <v>1116</v>
      </c>
      <c r="F1891" t="s">
        <v>1068</v>
      </c>
      <c r="G1891" t="s">
        <v>1089</v>
      </c>
      <c r="H1891">
        <v>-2.8828401005789499E-3</v>
      </c>
      <c r="I1891" t="s">
        <v>1090</v>
      </c>
      <c r="J1891">
        <v>3.04</v>
      </c>
    </row>
    <row r="1892" spans="1:10" hidden="1">
      <c r="A1892" t="s">
        <v>1771</v>
      </c>
      <c r="B1892" t="s">
        <v>1772</v>
      </c>
      <c r="C1892" t="s">
        <v>241</v>
      </c>
      <c r="D1892" t="s">
        <v>1120</v>
      </c>
      <c r="E1892" t="s">
        <v>561</v>
      </c>
      <c r="F1892" t="s">
        <v>1068</v>
      </c>
      <c r="G1892" t="s">
        <v>1069</v>
      </c>
      <c r="H1892">
        <v>-0.35035129753484401</v>
      </c>
      <c r="I1892" t="s">
        <v>1070</v>
      </c>
      <c r="J1892">
        <v>2.54</v>
      </c>
    </row>
    <row r="1893" spans="1:10" hidden="1">
      <c r="A1893" t="s">
        <v>1771</v>
      </c>
      <c r="B1893" t="s">
        <v>1772</v>
      </c>
      <c r="C1893" t="s">
        <v>241</v>
      </c>
      <c r="D1893" t="s">
        <v>1120</v>
      </c>
      <c r="E1893" t="s">
        <v>561</v>
      </c>
      <c r="F1893" t="s">
        <v>1068</v>
      </c>
      <c r="G1893" t="s">
        <v>1071</v>
      </c>
      <c r="H1893" s="170">
        <v>-7.4608936567198604E-10</v>
      </c>
      <c r="I1893" t="s">
        <v>1072</v>
      </c>
      <c r="J1893">
        <v>2.54</v>
      </c>
    </row>
    <row r="1894" spans="1:10" hidden="1">
      <c r="A1894" t="s">
        <v>1771</v>
      </c>
      <c r="B1894" t="s">
        <v>1772</v>
      </c>
      <c r="C1894" t="s">
        <v>241</v>
      </c>
      <c r="D1894" t="s">
        <v>1120</v>
      </c>
      <c r="E1894" t="s">
        <v>561</v>
      </c>
      <c r="F1894" t="s">
        <v>1068</v>
      </c>
      <c r="G1894" t="s">
        <v>1073</v>
      </c>
      <c r="H1894" s="170">
        <v>-1.39732154045551E-7</v>
      </c>
      <c r="I1894" t="s">
        <v>1074</v>
      </c>
      <c r="J1894">
        <v>2.54</v>
      </c>
    </row>
    <row r="1895" spans="1:10" hidden="1">
      <c r="A1895" t="s">
        <v>1771</v>
      </c>
      <c r="B1895" t="s">
        <v>1772</v>
      </c>
      <c r="C1895" t="s">
        <v>241</v>
      </c>
      <c r="D1895" t="s">
        <v>1120</v>
      </c>
      <c r="E1895" t="s">
        <v>561</v>
      </c>
      <c r="F1895" t="s">
        <v>1068</v>
      </c>
      <c r="G1895" t="s">
        <v>1075</v>
      </c>
      <c r="H1895">
        <v>3.1580953329119598E-3</v>
      </c>
      <c r="I1895" t="s">
        <v>1077</v>
      </c>
      <c r="J1895">
        <v>2.54</v>
      </c>
    </row>
    <row r="1896" spans="1:10" hidden="1">
      <c r="A1896" t="s">
        <v>1771</v>
      </c>
      <c r="B1896" t="s">
        <v>1772</v>
      </c>
      <c r="C1896" t="s">
        <v>241</v>
      </c>
      <c r="D1896" t="s">
        <v>1120</v>
      </c>
      <c r="E1896" t="s">
        <v>561</v>
      </c>
      <c r="F1896" t="s">
        <v>1068</v>
      </c>
      <c r="G1896" t="s">
        <v>1078</v>
      </c>
      <c r="H1896">
        <v>-2.97373270202108</v>
      </c>
      <c r="I1896" t="s">
        <v>1079</v>
      </c>
      <c r="J1896">
        <v>2.54</v>
      </c>
    </row>
    <row r="1897" spans="1:10" hidden="1">
      <c r="A1897" t="s">
        <v>1771</v>
      </c>
      <c r="B1897" t="s">
        <v>1772</v>
      </c>
      <c r="C1897" t="s">
        <v>241</v>
      </c>
      <c r="D1897" t="s">
        <v>1120</v>
      </c>
      <c r="E1897" t="s">
        <v>561</v>
      </c>
      <c r="F1897" t="s">
        <v>1068</v>
      </c>
      <c r="G1897" t="s">
        <v>1080</v>
      </c>
      <c r="H1897" s="171" t="s">
        <v>1773</v>
      </c>
      <c r="I1897" t="s">
        <v>1082</v>
      </c>
      <c r="J1897">
        <v>2.54</v>
      </c>
    </row>
    <row r="1898" spans="1:10" hidden="1">
      <c r="A1898" t="s">
        <v>1771</v>
      </c>
      <c r="B1898" t="s">
        <v>1772</v>
      </c>
      <c r="C1898" t="s">
        <v>241</v>
      </c>
      <c r="D1898" t="s">
        <v>1120</v>
      </c>
      <c r="E1898" t="s">
        <v>561</v>
      </c>
      <c r="F1898" t="s">
        <v>1068</v>
      </c>
      <c r="G1898" t="s">
        <v>1083</v>
      </c>
      <c r="H1898">
        <v>-1.6440378766186599E-3</v>
      </c>
      <c r="I1898" t="s">
        <v>1084</v>
      </c>
      <c r="J1898">
        <v>2.54</v>
      </c>
    </row>
    <row r="1899" spans="1:10" hidden="1">
      <c r="A1899" t="s">
        <v>1771</v>
      </c>
      <c r="B1899" t="s">
        <v>1772</v>
      </c>
      <c r="C1899" t="s">
        <v>241</v>
      </c>
      <c r="D1899" t="s">
        <v>1120</v>
      </c>
      <c r="E1899" t="s">
        <v>561</v>
      </c>
      <c r="F1899" t="s">
        <v>1068</v>
      </c>
      <c r="G1899" t="s">
        <v>1085</v>
      </c>
      <c r="H1899">
        <v>-4.6291373976038101E-2</v>
      </c>
      <c r="I1899" t="s">
        <v>1086</v>
      </c>
      <c r="J1899">
        <v>2.54</v>
      </c>
    </row>
    <row r="1900" spans="1:10" hidden="1">
      <c r="A1900" t="s">
        <v>1771</v>
      </c>
      <c r="B1900" t="s">
        <v>1772</v>
      </c>
      <c r="C1900" t="s">
        <v>241</v>
      </c>
      <c r="D1900" t="s">
        <v>1120</v>
      </c>
      <c r="E1900" t="s">
        <v>561</v>
      </c>
      <c r="F1900" t="s">
        <v>1068</v>
      </c>
      <c r="G1900" t="s">
        <v>1087</v>
      </c>
      <c r="H1900" s="170">
        <v>-2.0729822732925E-8</v>
      </c>
      <c r="I1900" t="s">
        <v>1088</v>
      </c>
      <c r="J1900">
        <v>2.54</v>
      </c>
    </row>
    <row r="1901" spans="1:10" hidden="1">
      <c r="A1901" t="s">
        <v>1771</v>
      </c>
      <c r="B1901" t="s">
        <v>1772</v>
      </c>
      <c r="C1901" t="s">
        <v>241</v>
      </c>
      <c r="D1901" t="s">
        <v>1120</v>
      </c>
      <c r="E1901" t="s">
        <v>561</v>
      </c>
      <c r="F1901" t="s">
        <v>1068</v>
      </c>
      <c r="G1901" t="s">
        <v>1089</v>
      </c>
      <c r="H1901">
        <v>-1.2593127577211901E-2</v>
      </c>
      <c r="I1901" t="s">
        <v>1090</v>
      </c>
      <c r="J1901">
        <v>2.54</v>
      </c>
    </row>
    <row r="1902" spans="1:10" hidden="1">
      <c r="A1902" t="s">
        <v>1774</v>
      </c>
      <c r="B1902" t="s">
        <v>1775</v>
      </c>
      <c r="C1902" t="s">
        <v>241</v>
      </c>
      <c r="D1902" t="s">
        <v>1120</v>
      </c>
      <c r="E1902" t="s">
        <v>555</v>
      </c>
      <c r="F1902" t="s">
        <v>1068</v>
      </c>
      <c r="G1902" t="s">
        <v>1069</v>
      </c>
      <c r="H1902">
        <v>-0.35011026829091801</v>
      </c>
      <c r="I1902" t="s">
        <v>1070</v>
      </c>
      <c r="J1902">
        <v>3.05</v>
      </c>
    </row>
    <row r="1903" spans="1:10" hidden="1">
      <c r="A1903" t="s">
        <v>1774</v>
      </c>
      <c r="B1903" t="s">
        <v>1775</v>
      </c>
      <c r="C1903" t="s">
        <v>241</v>
      </c>
      <c r="D1903" t="s">
        <v>1120</v>
      </c>
      <c r="E1903" t="s">
        <v>555</v>
      </c>
      <c r="F1903" t="s">
        <v>1068</v>
      </c>
      <c r="G1903" t="s">
        <v>1071</v>
      </c>
      <c r="H1903" s="170">
        <v>-7.4574382180887495E-10</v>
      </c>
      <c r="I1903" t="s">
        <v>1072</v>
      </c>
      <c r="J1903">
        <v>3.05</v>
      </c>
    </row>
    <row r="1904" spans="1:10" hidden="1">
      <c r="A1904" t="s">
        <v>1774</v>
      </c>
      <c r="B1904" t="s">
        <v>1775</v>
      </c>
      <c r="C1904" t="s">
        <v>241</v>
      </c>
      <c r="D1904" t="s">
        <v>1120</v>
      </c>
      <c r="E1904" t="s">
        <v>555</v>
      </c>
      <c r="F1904" t="s">
        <v>1068</v>
      </c>
      <c r="G1904" t="s">
        <v>1073</v>
      </c>
      <c r="H1904" s="170">
        <v>-1.39646597316169E-7</v>
      </c>
      <c r="I1904" t="s">
        <v>1074</v>
      </c>
      <c r="J1904">
        <v>3.05</v>
      </c>
    </row>
    <row r="1905" spans="1:10" hidden="1">
      <c r="A1905" t="s">
        <v>1774</v>
      </c>
      <c r="B1905" t="s">
        <v>1775</v>
      </c>
      <c r="C1905" t="s">
        <v>241</v>
      </c>
      <c r="D1905" t="s">
        <v>1120</v>
      </c>
      <c r="E1905" t="s">
        <v>555</v>
      </c>
      <c r="F1905" t="s">
        <v>1068</v>
      </c>
      <c r="G1905" t="s">
        <v>1075</v>
      </c>
      <c r="H1905">
        <v>3.16612756448598E-3</v>
      </c>
      <c r="I1905" t="s">
        <v>1077</v>
      </c>
      <c r="J1905">
        <v>3.05</v>
      </c>
    </row>
    <row r="1906" spans="1:10" hidden="1">
      <c r="A1906" t="s">
        <v>1774</v>
      </c>
      <c r="B1906" t="s">
        <v>1775</v>
      </c>
      <c r="C1906" t="s">
        <v>241</v>
      </c>
      <c r="D1906" t="s">
        <v>1120</v>
      </c>
      <c r="E1906" t="s">
        <v>555</v>
      </c>
      <c r="F1906" t="s">
        <v>1068</v>
      </c>
      <c r="G1906" t="s">
        <v>1078</v>
      </c>
      <c r="H1906">
        <v>-2.9732283979313001</v>
      </c>
      <c r="I1906" t="s">
        <v>1079</v>
      </c>
      <c r="J1906">
        <v>3.05</v>
      </c>
    </row>
    <row r="1907" spans="1:10" hidden="1">
      <c r="A1907" t="s">
        <v>1774</v>
      </c>
      <c r="B1907" t="s">
        <v>1775</v>
      </c>
      <c r="C1907" t="s">
        <v>241</v>
      </c>
      <c r="D1907" t="s">
        <v>1120</v>
      </c>
      <c r="E1907" t="s">
        <v>555</v>
      </c>
      <c r="F1907" t="s">
        <v>1068</v>
      </c>
      <c r="G1907" t="s">
        <v>1080</v>
      </c>
      <c r="H1907" s="171" t="s">
        <v>1776</v>
      </c>
      <c r="I1907" t="s">
        <v>1082</v>
      </c>
      <c r="J1907">
        <v>3.05</v>
      </c>
    </row>
    <row r="1908" spans="1:10" hidden="1">
      <c r="A1908" t="s">
        <v>1774</v>
      </c>
      <c r="B1908" t="s">
        <v>1775</v>
      </c>
      <c r="C1908" t="s">
        <v>241</v>
      </c>
      <c r="D1908" t="s">
        <v>1120</v>
      </c>
      <c r="E1908" t="s">
        <v>555</v>
      </c>
      <c r="F1908" t="s">
        <v>1068</v>
      </c>
      <c r="G1908" t="s">
        <v>1083</v>
      </c>
      <c r="H1908">
        <v>-1.6440012806695E-3</v>
      </c>
      <c r="I1908" t="s">
        <v>1084</v>
      </c>
      <c r="J1908">
        <v>3.05</v>
      </c>
    </row>
    <row r="1909" spans="1:10" hidden="1">
      <c r="A1909" t="s">
        <v>1774</v>
      </c>
      <c r="B1909" t="s">
        <v>1775</v>
      </c>
      <c r="C1909" t="s">
        <v>241</v>
      </c>
      <c r="D1909" t="s">
        <v>1120</v>
      </c>
      <c r="E1909" t="s">
        <v>555</v>
      </c>
      <c r="F1909" t="s">
        <v>1068</v>
      </c>
      <c r="G1909" t="s">
        <v>1085</v>
      </c>
      <c r="H1909">
        <v>-4.6290958147411403E-2</v>
      </c>
      <c r="I1909" t="s">
        <v>1086</v>
      </c>
      <c r="J1909">
        <v>3.05</v>
      </c>
    </row>
    <row r="1910" spans="1:10" hidden="1">
      <c r="A1910" t="s">
        <v>1774</v>
      </c>
      <c r="B1910" t="s">
        <v>1775</v>
      </c>
      <c r="C1910" t="s">
        <v>241</v>
      </c>
      <c r="D1910" t="s">
        <v>1120</v>
      </c>
      <c r="E1910" t="s">
        <v>555</v>
      </c>
      <c r="F1910" t="s">
        <v>1068</v>
      </c>
      <c r="G1910" t="s">
        <v>1087</v>
      </c>
      <c r="H1910" s="170">
        <v>-2.05098165507403E-8</v>
      </c>
      <c r="I1910" t="s">
        <v>1088</v>
      </c>
      <c r="J1910">
        <v>3.05</v>
      </c>
    </row>
    <row r="1911" spans="1:10" hidden="1">
      <c r="A1911" t="s">
        <v>1774</v>
      </c>
      <c r="B1911" t="s">
        <v>1775</v>
      </c>
      <c r="C1911" t="s">
        <v>241</v>
      </c>
      <c r="D1911" t="s">
        <v>1120</v>
      </c>
      <c r="E1911" t="s">
        <v>555</v>
      </c>
      <c r="F1911" t="s">
        <v>1068</v>
      </c>
      <c r="G1911" t="s">
        <v>1089</v>
      </c>
      <c r="H1911">
        <v>-1.25930421793502E-2</v>
      </c>
      <c r="I1911" t="s">
        <v>1090</v>
      </c>
      <c r="J1911">
        <v>3.05</v>
      </c>
    </row>
    <row r="1912" spans="1:10" hidden="1">
      <c r="A1912" t="s">
        <v>1777</v>
      </c>
      <c r="B1912" t="s">
        <v>1778</v>
      </c>
      <c r="C1912" t="s">
        <v>241</v>
      </c>
      <c r="D1912" t="s">
        <v>1120</v>
      </c>
      <c r="E1912" t="s">
        <v>558</v>
      </c>
      <c r="F1912" t="s">
        <v>1068</v>
      </c>
      <c r="G1912" t="s">
        <v>1069</v>
      </c>
      <c r="H1912">
        <v>-0.35037261483221399</v>
      </c>
      <c r="I1912" t="s">
        <v>1070</v>
      </c>
      <c r="J1912">
        <v>2.54</v>
      </c>
    </row>
    <row r="1913" spans="1:10" hidden="1">
      <c r="A1913" t="s">
        <v>1777</v>
      </c>
      <c r="B1913" t="s">
        <v>1778</v>
      </c>
      <c r="C1913" t="s">
        <v>241</v>
      </c>
      <c r="D1913" t="s">
        <v>1120</v>
      </c>
      <c r="E1913" t="s">
        <v>558</v>
      </c>
      <c r="F1913" t="s">
        <v>1068</v>
      </c>
      <c r="G1913" t="s">
        <v>1071</v>
      </c>
      <c r="H1913" s="170">
        <v>-7.4611987096705204E-10</v>
      </c>
      <c r="I1913" t="s">
        <v>1072</v>
      </c>
      <c r="J1913">
        <v>2.54</v>
      </c>
    </row>
    <row r="1914" spans="1:10" hidden="1">
      <c r="A1914" t="s">
        <v>1777</v>
      </c>
      <c r="B1914" t="s">
        <v>1778</v>
      </c>
      <c r="C1914" t="s">
        <v>241</v>
      </c>
      <c r="D1914" t="s">
        <v>1120</v>
      </c>
      <c r="E1914" t="s">
        <v>558</v>
      </c>
      <c r="F1914" t="s">
        <v>1068</v>
      </c>
      <c r="G1914" t="s">
        <v>1073</v>
      </c>
      <c r="H1914" s="170">
        <v>-1.3973972601703001E-7</v>
      </c>
      <c r="I1914" t="s">
        <v>1074</v>
      </c>
      <c r="J1914">
        <v>2.54</v>
      </c>
    </row>
    <row r="1915" spans="1:10" hidden="1">
      <c r="A1915" t="s">
        <v>1777</v>
      </c>
      <c r="B1915" t="s">
        <v>1778</v>
      </c>
      <c r="C1915" t="s">
        <v>241</v>
      </c>
      <c r="D1915" t="s">
        <v>1120</v>
      </c>
      <c r="E1915" t="s">
        <v>558</v>
      </c>
      <c r="F1915" t="s">
        <v>1068</v>
      </c>
      <c r="G1915" t="s">
        <v>1075</v>
      </c>
      <c r="H1915">
        <v>3.1574214703692098E-3</v>
      </c>
      <c r="I1915" t="s">
        <v>1077</v>
      </c>
      <c r="J1915">
        <v>2.54</v>
      </c>
    </row>
    <row r="1916" spans="1:10" hidden="1">
      <c r="A1916" t="s">
        <v>1777</v>
      </c>
      <c r="B1916" t="s">
        <v>1778</v>
      </c>
      <c r="C1916" t="s">
        <v>241</v>
      </c>
      <c r="D1916" t="s">
        <v>1120</v>
      </c>
      <c r="E1916" t="s">
        <v>558</v>
      </c>
      <c r="F1916" t="s">
        <v>1068</v>
      </c>
      <c r="G1916" t="s">
        <v>1078</v>
      </c>
      <c r="H1916">
        <v>-2.9737618424367702</v>
      </c>
      <c r="I1916" t="s">
        <v>1079</v>
      </c>
      <c r="J1916">
        <v>2.54</v>
      </c>
    </row>
    <row r="1917" spans="1:10" hidden="1">
      <c r="A1917" t="s">
        <v>1777</v>
      </c>
      <c r="B1917" t="s">
        <v>1778</v>
      </c>
      <c r="C1917" t="s">
        <v>241</v>
      </c>
      <c r="D1917" t="s">
        <v>1120</v>
      </c>
      <c r="E1917" t="s">
        <v>558</v>
      </c>
      <c r="F1917" t="s">
        <v>1068</v>
      </c>
      <c r="G1917" t="s">
        <v>1080</v>
      </c>
      <c r="H1917" s="171" t="s">
        <v>1779</v>
      </c>
      <c r="I1917" t="s">
        <v>1082</v>
      </c>
      <c r="J1917">
        <v>2.54</v>
      </c>
    </row>
    <row r="1918" spans="1:10" hidden="1">
      <c r="A1918" t="s">
        <v>1777</v>
      </c>
      <c r="B1918" t="s">
        <v>1778</v>
      </c>
      <c r="C1918" t="s">
        <v>241</v>
      </c>
      <c r="D1918" t="s">
        <v>1120</v>
      </c>
      <c r="E1918" t="s">
        <v>558</v>
      </c>
      <c r="F1918" t="s">
        <v>1068</v>
      </c>
      <c r="G1918" t="s">
        <v>1083</v>
      </c>
      <c r="H1918">
        <v>-1.6440411168616601E-3</v>
      </c>
      <c r="I1918" t="s">
        <v>1084</v>
      </c>
      <c r="J1918">
        <v>2.54</v>
      </c>
    </row>
    <row r="1919" spans="1:10" hidden="1">
      <c r="A1919" t="s">
        <v>1777</v>
      </c>
      <c r="B1919" t="s">
        <v>1778</v>
      </c>
      <c r="C1919" t="s">
        <v>241</v>
      </c>
      <c r="D1919" t="s">
        <v>1120</v>
      </c>
      <c r="E1919" t="s">
        <v>558</v>
      </c>
      <c r="F1919" t="s">
        <v>1068</v>
      </c>
      <c r="G1919" t="s">
        <v>1085</v>
      </c>
      <c r="H1919">
        <v>-4.6291410597360298E-2</v>
      </c>
      <c r="I1919" t="s">
        <v>1086</v>
      </c>
      <c r="J1919">
        <v>2.54</v>
      </c>
    </row>
    <row r="1920" spans="1:10" hidden="1">
      <c r="A1920" t="s">
        <v>1777</v>
      </c>
      <c r="B1920" t="s">
        <v>1778</v>
      </c>
      <c r="C1920" t="s">
        <v>241</v>
      </c>
      <c r="D1920" t="s">
        <v>1120</v>
      </c>
      <c r="E1920" t="s">
        <v>558</v>
      </c>
      <c r="F1920" t="s">
        <v>1068</v>
      </c>
      <c r="G1920" t="s">
        <v>1087</v>
      </c>
      <c r="H1920" s="170">
        <v>-2.0747496350246899E-8</v>
      </c>
      <c r="I1920" t="s">
        <v>1088</v>
      </c>
      <c r="J1920">
        <v>2.54</v>
      </c>
    </row>
    <row r="1921" spans="1:10" hidden="1">
      <c r="A1921" t="s">
        <v>1777</v>
      </c>
      <c r="B1921" t="s">
        <v>1778</v>
      </c>
      <c r="C1921" t="s">
        <v>241</v>
      </c>
      <c r="D1921" t="s">
        <v>1120</v>
      </c>
      <c r="E1921" t="s">
        <v>558</v>
      </c>
      <c r="F1921" t="s">
        <v>1068</v>
      </c>
      <c r="G1921" t="s">
        <v>1089</v>
      </c>
      <c r="H1921">
        <v>-1.2593135132118301E-2</v>
      </c>
      <c r="I1921" t="s">
        <v>1090</v>
      </c>
      <c r="J1921">
        <v>2.54</v>
      </c>
    </row>
    <row r="1922" spans="1:10" hidden="1">
      <c r="A1922" t="s">
        <v>1780</v>
      </c>
      <c r="B1922" t="s">
        <v>1781</v>
      </c>
      <c r="C1922" t="s">
        <v>241</v>
      </c>
      <c r="D1922" t="s">
        <v>1120</v>
      </c>
      <c r="E1922" t="s">
        <v>553</v>
      </c>
      <c r="F1922" t="s">
        <v>1068</v>
      </c>
      <c r="G1922" t="s">
        <v>1069</v>
      </c>
      <c r="H1922">
        <v>-0.35039322341852802</v>
      </c>
      <c r="I1922" t="s">
        <v>1070</v>
      </c>
      <c r="J1922">
        <v>2.0299999999999998</v>
      </c>
    </row>
    <row r="1923" spans="1:10" hidden="1">
      <c r="A1923" t="s">
        <v>1780</v>
      </c>
      <c r="B1923" t="s">
        <v>1781</v>
      </c>
      <c r="C1923" t="s">
        <v>241</v>
      </c>
      <c r="D1923" t="s">
        <v>1120</v>
      </c>
      <c r="E1923" t="s">
        <v>553</v>
      </c>
      <c r="F1923" t="s">
        <v>1068</v>
      </c>
      <c r="G1923" t="s">
        <v>1071</v>
      </c>
      <c r="H1923" s="170">
        <v>-7.4614873381594297E-10</v>
      </c>
      <c r="I1923" t="s">
        <v>1072</v>
      </c>
      <c r="J1923">
        <v>2.0299999999999998</v>
      </c>
    </row>
    <row r="1924" spans="1:10" hidden="1">
      <c r="A1924" t="s">
        <v>1780</v>
      </c>
      <c r="B1924" t="s">
        <v>1781</v>
      </c>
      <c r="C1924" t="s">
        <v>241</v>
      </c>
      <c r="D1924" t="s">
        <v>1120</v>
      </c>
      <c r="E1924" t="s">
        <v>553</v>
      </c>
      <c r="F1924" t="s">
        <v>1068</v>
      </c>
      <c r="G1924" t="s">
        <v>1073</v>
      </c>
      <c r="H1924" s="170">
        <v>-1.3974710387283899E-7</v>
      </c>
      <c r="I1924" t="s">
        <v>1074</v>
      </c>
      <c r="J1924">
        <v>2.0299999999999998</v>
      </c>
    </row>
    <row r="1925" spans="1:10" hidden="1">
      <c r="A1925" t="s">
        <v>1780</v>
      </c>
      <c r="B1925" t="s">
        <v>1781</v>
      </c>
      <c r="C1925" t="s">
        <v>241</v>
      </c>
      <c r="D1925" t="s">
        <v>1120</v>
      </c>
      <c r="E1925" t="s">
        <v>553</v>
      </c>
      <c r="F1925" t="s">
        <v>1068</v>
      </c>
      <c r="G1925" t="s">
        <v>1075</v>
      </c>
      <c r="H1925">
        <v>3.1571830506383599E-3</v>
      </c>
      <c r="I1925" t="s">
        <v>1077</v>
      </c>
      <c r="J1925">
        <v>2.0299999999999998</v>
      </c>
    </row>
    <row r="1926" spans="1:10" hidden="1">
      <c r="A1926" t="s">
        <v>1780</v>
      </c>
      <c r="B1926" t="s">
        <v>1781</v>
      </c>
      <c r="C1926" t="s">
        <v>241</v>
      </c>
      <c r="D1926" t="s">
        <v>1120</v>
      </c>
      <c r="E1926" t="s">
        <v>553</v>
      </c>
      <c r="F1926" t="s">
        <v>1068</v>
      </c>
      <c r="G1926" t="s">
        <v>1078</v>
      </c>
      <c r="H1926">
        <v>-2.9736151932124701</v>
      </c>
      <c r="I1926" t="s">
        <v>1079</v>
      </c>
      <c r="J1926">
        <v>2.0299999999999998</v>
      </c>
    </row>
    <row r="1927" spans="1:10" hidden="1">
      <c r="A1927" t="s">
        <v>1780</v>
      </c>
      <c r="B1927" t="s">
        <v>1781</v>
      </c>
      <c r="C1927" t="s">
        <v>241</v>
      </c>
      <c r="D1927" t="s">
        <v>1120</v>
      </c>
      <c r="E1927" t="s">
        <v>553</v>
      </c>
      <c r="F1927" t="s">
        <v>1068</v>
      </c>
      <c r="G1927" t="s">
        <v>1080</v>
      </c>
      <c r="H1927" s="171" t="s">
        <v>1782</v>
      </c>
      <c r="I1927" t="s">
        <v>1082</v>
      </c>
      <c r="J1927">
        <v>2.0299999999999998</v>
      </c>
    </row>
    <row r="1928" spans="1:10" hidden="1">
      <c r="A1928" t="s">
        <v>1780</v>
      </c>
      <c r="B1928" t="s">
        <v>1781</v>
      </c>
      <c r="C1928" t="s">
        <v>241</v>
      </c>
      <c r="D1928" t="s">
        <v>1120</v>
      </c>
      <c r="E1928" t="s">
        <v>553</v>
      </c>
      <c r="F1928" t="s">
        <v>1068</v>
      </c>
      <c r="G1928" t="s">
        <v>1083</v>
      </c>
      <c r="H1928">
        <v>-1.6440442900320499E-3</v>
      </c>
      <c r="I1928" t="s">
        <v>1084</v>
      </c>
      <c r="J1928">
        <v>2.0299999999999998</v>
      </c>
    </row>
    <row r="1929" spans="1:10" hidden="1">
      <c r="A1929" t="s">
        <v>1780</v>
      </c>
      <c r="B1929" t="s">
        <v>1781</v>
      </c>
      <c r="C1929" t="s">
        <v>241</v>
      </c>
      <c r="D1929" t="s">
        <v>1120</v>
      </c>
      <c r="E1929" t="s">
        <v>553</v>
      </c>
      <c r="F1929" t="s">
        <v>1068</v>
      </c>
      <c r="G1929" t="s">
        <v>1085</v>
      </c>
      <c r="H1929">
        <v>-4.62914442404989E-2</v>
      </c>
      <c r="I1929" t="s">
        <v>1086</v>
      </c>
      <c r="J1929">
        <v>2.0299999999999998</v>
      </c>
    </row>
    <row r="1930" spans="1:10" hidden="1">
      <c r="A1930" t="s">
        <v>1780</v>
      </c>
      <c r="B1930" t="s">
        <v>1781</v>
      </c>
      <c r="C1930" t="s">
        <v>241</v>
      </c>
      <c r="D1930" t="s">
        <v>1120</v>
      </c>
      <c r="E1930" t="s">
        <v>553</v>
      </c>
      <c r="F1930" t="s">
        <v>1068</v>
      </c>
      <c r="G1930" t="s">
        <v>1087</v>
      </c>
      <c r="H1930" s="170">
        <v>-2.07444072942516E-8</v>
      </c>
      <c r="I1930" t="s">
        <v>1088</v>
      </c>
      <c r="J1930">
        <v>2.0299999999999998</v>
      </c>
    </row>
    <row r="1931" spans="1:10" hidden="1">
      <c r="A1931" t="s">
        <v>1780</v>
      </c>
      <c r="B1931" t="s">
        <v>1781</v>
      </c>
      <c r="C1931" t="s">
        <v>241</v>
      </c>
      <c r="D1931" t="s">
        <v>1120</v>
      </c>
      <c r="E1931" t="s">
        <v>553</v>
      </c>
      <c r="F1931" t="s">
        <v>1068</v>
      </c>
      <c r="G1931" t="s">
        <v>1089</v>
      </c>
      <c r="H1931">
        <v>-1.25931424593943E-2</v>
      </c>
      <c r="I1931" t="s">
        <v>1090</v>
      </c>
      <c r="J1931">
        <v>2.0299999999999998</v>
      </c>
    </row>
    <row r="1932" spans="1:10" hidden="1">
      <c r="A1932" t="s">
        <v>1783</v>
      </c>
      <c r="B1932" t="s">
        <v>1784</v>
      </c>
      <c r="C1932" t="s">
        <v>241</v>
      </c>
      <c r="D1932" t="s">
        <v>1120</v>
      </c>
      <c r="E1932" t="s">
        <v>556</v>
      </c>
      <c r="F1932" t="s">
        <v>1068</v>
      </c>
      <c r="G1932" t="s">
        <v>1069</v>
      </c>
      <c r="H1932">
        <v>-0.35013686057930699</v>
      </c>
      <c r="I1932" t="s">
        <v>1070</v>
      </c>
      <c r="J1932">
        <v>2.54</v>
      </c>
    </row>
    <row r="1933" spans="1:10" hidden="1">
      <c r="A1933" t="s">
        <v>1783</v>
      </c>
      <c r="B1933" t="s">
        <v>1784</v>
      </c>
      <c r="C1933" t="s">
        <v>241</v>
      </c>
      <c r="D1933" t="s">
        <v>1120</v>
      </c>
      <c r="E1933" t="s">
        <v>556</v>
      </c>
      <c r="F1933" t="s">
        <v>1068</v>
      </c>
      <c r="G1933" t="s">
        <v>1071</v>
      </c>
      <c r="H1933" s="170">
        <v>-7.4577837383989003E-10</v>
      </c>
      <c r="I1933" t="s">
        <v>1072</v>
      </c>
      <c r="J1933">
        <v>2.54</v>
      </c>
    </row>
    <row r="1934" spans="1:10" hidden="1">
      <c r="A1934" t="s">
        <v>1783</v>
      </c>
      <c r="B1934" t="s">
        <v>1784</v>
      </c>
      <c r="C1934" t="s">
        <v>241</v>
      </c>
      <c r="D1934" t="s">
        <v>1120</v>
      </c>
      <c r="E1934" t="s">
        <v>556</v>
      </c>
      <c r="F1934" t="s">
        <v>1068</v>
      </c>
      <c r="G1934" t="s">
        <v>1073</v>
      </c>
      <c r="H1934" s="170">
        <v>-1.3965594271577899E-7</v>
      </c>
      <c r="I1934" t="s">
        <v>1074</v>
      </c>
      <c r="J1934">
        <v>2.54</v>
      </c>
    </row>
    <row r="1935" spans="1:10" hidden="1">
      <c r="A1935" t="s">
        <v>1783</v>
      </c>
      <c r="B1935" t="s">
        <v>1784</v>
      </c>
      <c r="C1935" t="s">
        <v>241</v>
      </c>
      <c r="D1935" t="s">
        <v>1120</v>
      </c>
      <c r="E1935" t="s">
        <v>556</v>
      </c>
      <c r="F1935" t="s">
        <v>1068</v>
      </c>
      <c r="G1935" t="s">
        <v>1075</v>
      </c>
      <c r="H1935">
        <v>3.1668192622713999E-3</v>
      </c>
      <c r="I1935" t="s">
        <v>1077</v>
      </c>
      <c r="J1935">
        <v>2.54</v>
      </c>
    </row>
    <row r="1936" spans="1:10" hidden="1">
      <c r="A1936" t="s">
        <v>1783</v>
      </c>
      <c r="B1936" t="s">
        <v>1784</v>
      </c>
      <c r="C1936" t="s">
        <v>241</v>
      </c>
      <c r="D1936" t="s">
        <v>1120</v>
      </c>
      <c r="E1936" t="s">
        <v>556</v>
      </c>
      <c r="F1936" t="s">
        <v>1068</v>
      </c>
      <c r="G1936" t="s">
        <v>1078</v>
      </c>
      <c r="H1936">
        <v>-2.97262550546042</v>
      </c>
      <c r="I1936" t="s">
        <v>1079</v>
      </c>
      <c r="J1936">
        <v>2.54</v>
      </c>
    </row>
    <row r="1937" spans="1:10" hidden="1">
      <c r="A1937" t="s">
        <v>1783</v>
      </c>
      <c r="B1937" t="s">
        <v>1784</v>
      </c>
      <c r="C1937" t="s">
        <v>241</v>
      </c>
      <c r="D1937" t="s">
        <v>1120</v>
      </c>
      <c r="E1937" t="s">
        <v>556</v>
      </c>
      <c r="F1937" t="s">
        <v>1068</v>
      </c>
      <c r="G1937" t="s">
        <v>1080</v>
      </c>
      <c r="H1937" s="171" t="s">
        <v>1785</v>
      </c>
      <c r="I1937" t="s">
        <v>1082</v>
      </c>
      <c r="J1937">
        <v>2.54</v>
      </c>
    </row>
    <row r="1938" spans="1:10" hidden="1">
      <c r="A1938" t="s">
        <v>1783</v>
      </c>
      <c r="B1938" t="s">
        <v>1784</v>
      </c>
      <c r="C1938" t="s">
        <v>241</v>
      </c>
      <c r="D1938" t="s">
        <v>1120</v>
      </c>
      <c r="E1938" t="s">
        <v>556</v>
      </c>
      <c r="F1938" t="s">
        <v>1068</v>
      </c>
      <c r="G1938" t="s">
        <v>1083</v>
      </c>
      <c r="H1938">
        <v>-1.6440053222596699E-3</v>
      </c>
      <c r="I1938" t="s">
        <v>1084</v>
      </c>
      <c r="J1938">
        <v>2.54</v>
      </c>
    </row>
    <row r="1939" spans="1:10" hidden="1">
      <c r="A1939" t="s">
        <v>1783</v>
      </c>
      <c r="B1939" t="s">
        <v>1784</v>
      </c>
      <c r="C1939" t="s">
        <v>241</v>
      </c>
      <c r="D1939" t="s">
        <v>1120</v>
      </c>
      <c r="E1939" t="s">
        <v>556</v>
      </c>
      <c r="F1939" t="s">
        <v>1068</v>
      </c>
      <c r="G1939" t="s">
        <v>1085</v>
      </c>
      <c r="H1939">
        <v>-4.6290995766163599E-2</v>
      </c>
      <c r="I1939" t="s">
        <v>1086</v>
      </c>
      <c r="J1939">
        <v>2.54</v>
      </c>
    </row>
    <row r="1940" spans="1:10" hidden="1">
      <c r="A1940" t="s">
        <v>1783</v>
      </c>
      <c r="B1940" t="s">
        <v>1784</v>
      </c>
      <c r="C1940" t="s">
        <v>241</v>
      </c>
      <c r="D1940" t="s">
        <v>1120</v>
      </c>
      <c r="E1940" t="s">
        <v>556</v>
      </c>
      <c r="F1940" t="s">
        <v>1068</v>
      </c>
      <c r="G1940" t="s">
        <v>1087</v>
      </c>
      <c r="H1940" s="170">
        <v>-2.0531866262091501E-8</v>
      </c>
      <c r="I1940" t="s">
        <v>1088</v>
      </c>
      <c r="J1940">
        <v>2.54</v>
      </c>
    </row>
    <row r="1941" spans="1:10" hidden="1">
      <c r="A1941" t="s">
        <v>1783</v>
      </c>
      <c r="B1941" t="s">
        <v>1784</v>
      </c>
      <c r="C1941" t="s">
        <v>241</v>
      </c>
      <c r="D1941" t="s">
        <v>1120</v>
      </c>
      <c r="E1941" t="s">
        <v>556</v>
      </c>
      <c r="F1941" t="s">
        <v>1068</v>
      </c>
      <c r="G1941" t="s">
        <v>1089</v>
      </c>
      <c r="H1941">
        <v>-1.2593051604897E-2</v>
      </c>
      <c r="I1941" t="s">
        <v>1090</v>
      </c>
      <c r="J1941">
        <v>2.54</v>
      </c>
    </row>
    <row r="1942" spans="1:10" hidden="1">
      <c r="A1942" t="s">
        <v>1786</v>
      </c>
      <c r="B1942" t="s">
        <v>1787</v>
      </c>
      <c r="C1942" t="s">
        <v>241</v>
      </c>
      <c r="D1942" t="s">
        <v>1120</v>
      </c>
      <c r="E1942" t="s">
        <v>557</v>
      </c>
      <c r="F1942" t="s">
        <v>1068</v>
      </c>
      <c r="G1942" t="s">
        <v>1069</v>
      </c>
      <c r="H1942">
        <v>-0.350284565125697</v>
      </c>
      <c r="I1942" t="s">
        <v>1070</v>
      </c>
      <c r="J1942">
        <v>3.04</v>
      </c>
    </row>
    <row r="1943" spans="1:10" hidden="1">
      <c r="A1943" t="s">
        <v>1786</v>
      </c>
      <c r="B1943" t="s">
        <v>1787</v>
      </c>
      <c r="C1943" t="s">
        <v>241</v>
      </c>
      <c r="D1943" t="s">
        <v>1120</v>
      </c>
      <c r="E1943" t="s">
        <v>557</v>
      </c>
      <c r="F1943" t="s">
        <v>1068</v>
      </c>
      <c r="G1943" t="s">
        <v>1071</v>
      </c>
      <c r="H1943" s="170">
        <v>-7.4599387083528905E-10</v>
      </c>
      <c r="I1943" t="s">
        <v>1072</v>
      </c>
      <c r="J1943">
        <v>3.04</v>
      </c>
    </row>
    <row r="1944" spans="1:10" hidden="1">
      <c r="A1944" t="s">
        <v>1786</v>
      </c>
      <c r="B1944" t="s">
        <v>1787</v>
      </c>
      <c r="C1944" t="s">
        <v>241</v>
      </c>
      <c r="D1944" t="s">
        <v>1120</v>
      </c>
      <c r="E1944" t="s">
        <v>557</v>
      </c>
      <c r="F1944" t="s">
        <v>1068</v>
      </c>
      <c r="G1944" t="s">
        <v>1073</v>
      </c>
      <c r="H1944" s="170">
        <v>-1.39708450482668E-7</v>
      </c>
      <c r="I1944" t="s">
        <v>1074</v>
      </c>
      <c r="J1944">
        <v>3.04</v>
      </c>
    </row>
    <row r="1945" spans="1:10" hidden="1">
      <c r="A1945" t="s">
        <v>1786</v>
      </c>
      <c r="B1945" t="s">
        <v>1787</v>
      </c>
      <c r="C1945" t="s">
        <v>241</v>
      </c>
      <c r="D1945" t="s">
        <v>1120</v>
      </c>
      <c r="E1945" t="s">
        <v>557</v>
      </c>
      <c r="F1945" t="s">
        <v>1068</v>
      </c>
      <c r="G1945" t="s">
        <v>1075</v>
      </c>
      <c r="H1945">
        <v>3.1602048156533199E-3</v>
      </c>
      <c r="I1945" t="s">
        <v>1077</v>
      </c>
      <c r="J1945">
        <v>3.04</v>
      </c>
    </row>
    <row r="1946" spans="1:10" hidden="1">
      <c r="A1946" t="s">
        <v>1786</v>
      </c>
      <c r="B1946" t="s">
        <v>1787</v>
      </c>
      <c r="C1946" t="s">
        <v>241</v>
      </c>
      <c r="D1946" t="s">
        <v>1120</v>
      </c>
      <c r="E1946" t="s">
        <v>557</v>
      </c>
      <c r="F1946" t="s">
        <v>1068</v>
      </c>
      <c r="G1946" t="s">
        <v>1078</v>
      </c>
      <c r="H1946">
        <v>-2.9736414798502402</v>
      </c>
      <c r="I1946" t="s">
        <v>1079</v>
      </c>
      <c r="J1946">
        <v>3.04</v>
      </c>
    </row>
    <row r="1947" spans="1:10" hidden="1">
      <c r="A1947" t="s">
        <v>1786</v>
      </c>
      <c r="B1947" t="s">
        <v>1787</v>
      </c>
      <c r="C1947" t="s">
        <v>241</v>
      </c>
      <c r="D1947" t="s">
        <v>1120</v>
      </c>
      <c r="E1947" t="s">
        <v>557</v>
      </c>
      <c r="F1947" t="s">
        <v>1068</v>
      </c>
      <c r="G1947" t="s">
        <v>1080</v>
      </c>
      <c r="H1947" s="171" t="s">
        <v>1788</v>
      </c>
      <c r="I1947" t="s">
        <v>1082</v>
      </c>
      <c r="J1947">
        <v>3.04</v>
      </c>
    </row>
    <row r="1948" spans="1:10" hidden="1">
      <c r="A1948" t="s">
        <v>1786</v>
      </c>
      <c r="B1948" t="s">
        <v>1787</v>
      </c>
      <c r="C1948" t="s">
        <v>241</v>
      </c>
      <c r="D1948" t="s">
        <v>1120</v>
      </c>
      <c r="E1948" t="s">
        <v>557</v>
      </c>
      <c r="F1948" t="s">
        <v>1068</v>
      </c>
      <c r="G1948" t="s">
        <v>1083</v>
      </c>
      <c r="H1948">
        <v>-1.6440277332492601E-3</v>
      </c>
      <c r="I1948" t="s">
        <v>1084</v>
      </c>
      <c r="J1948">
        <v>3.04</v>
      </c>
    </row>
    <row r="1949" spans="1:10" hidden="1">
      <c r="A1949" t="s">
        <v>1786</v>
      </c>
      <c r="B1949" t="s">
        <v>1787</v>
      </c>
      <c r="C1949" t="s">
        <v>241</v>
      </c>
      <c r="D1949" t="s">
        <v>1120</v>
      </c>
      <c r="E1949" t="s">
        <v>557</v>
      </c>
      <c r="F1949" t="s">
        <v>1068</v>
      </c>
      <c r="G1949" t="s">
        <v>1085</v>
      </c>
      <c r="H1949">
        <v>-4.62912593353772E-2</v>
      </c>
      <c r="I1949" t="s">
        <v>1086</v>
      </c>
      <c r="J1949">
        <v>3.04</v>
      </c>
    </row>
    <row r="1950" spans="1:10" hidden="1">
      <c r="A1950" t="s">
        <v>1786</v>
      </c>
      <c r="B1950" t="s">
        <v>1787</v>
      </c>
      <c r="C1950" t="s">
        <v>241</v>
      </c>
      <c r="D1950" t="s">
        <v>1120</v>
      </c>
      <c r="E1950" t="s">
        <v>557</v>
      </c>
      <c r="F1950" t="s">
        <v>1068</v>
      </c>
      <c r="G1950" t="s">
        <v>1087</v>
      </c>
      <c r="H1950" s="170">
        <v>-2.0674496626525399E-8</v>
      </c>
      <c r="I1950" t="s">
        <v>1088</v>
      </c>
      <c r="J1950">
        <v>3.04</v>
      </c>
    </row>
    <row r="1951" spans="1:10" hidden="1">
      <c r="A1951" t="s">
        <v>1786</v>
      </c>
      <c r="B1951" t="s">
        <v>1787</v>
      </c>
      <c r="C1951" t="s">
        <v>241</v>
      </c>
      <c r="D1951" t="s">
        <v>1120</v>
      </c>
      <c r="E1951" t="s">
        <v>557</v>
      </c>
      <c r="F1951" t="s">
        <v>1068</v>
      </c>
      <c r="G1951" t="s">
        <v>1089</v>
      </c>
      <c r="H1951">
        <v>-1.25931039270699E-2</v>
      </c>
      <c r="I1951" t="s">
        <v>1090</v>
      </c>
      <c r="J1951">
        <v>3.04</v>
      </c>
    </row>
    <row r="1952" spans="1:10" hidden="1">
      <c r="A1952" t="s">
        <v>1789</v>
      </c>
      <c r="B1952" t="s">
        <v>1790</v>
      </c>
      <c r="C1952" t="s">
        <v>241</v>
      </c>
      <c r="D1952" t="s">
        <v>1120</v>
      </c>
      <c r="E1952" t="s">
        <v>559</v>
      </c>
      <c r="F1952" t="s">
        <v>1068</v>
      </c>
      <c r="G1952" t="s">
        <v>1069</v>
      </c>
      <c r="H1952">
        <v>-0.35021306472290598</v>
      </c>
      <c r="I1952" t="s">
        <v>1070</v>
      </c>
      <c r="J1952">
        <v>2.54</v>
      </c>
    </row>
    <row r="1953" spans="1:10" hidden="1">
      <c r="A1953" t="s">
        <v>1789</v>
      </c>
      <c r="B1953" t="s">
        <v>1790</v>
      </c>
      <c r="C1953" t="s">
        <v>241</v>
      </c>
      <c r="D1953" t="s">
        <v>1120</v>
      </c>
      <c r="E1953" t="s">
        <v>559</v>
      </c>
      <c r="F1953" t="s">
        <v>1068</v>
      </c>
      <c r="G1953" t="s">
        <v>1071</v>
      </c>
      <c r="H1953" s="170">
        <v>-7.4589092467256095E-10</v>
      </c>
      <c r="I1953" t="s">
        <v>1072</v>
      </c>
      <c r="J1953">
        <v>2.54</v>
      </c>
    </row>
    <row r="1954" spans="1:10" hidden="1">
      <c r="A1954" t="s">
        <v>1789</v>
      </c>
      <c r="B1954" t="s">
        <v>1790</v>
      </c>
      <c r="C1954" t="s">
        <v>241</v>
      </c>
      <c r="D1954" t="s">
        <v>1120</v>
      </c>
      <c r="E1954" t="s">
        <v>559</v>
      </c>
      <c r="F1954" t="s">
        <v>1068</v>
      </c>
      <c r="G1954" t="s">
        <v>1073</v>
      </c>
      <c r="H1954" s="170">
        <v>-1.3968311093408E-7</v>
      </c>
      <c r="I1954" t="s">
        <v>1074</v>
      </c>
      <c r="J1954">
        <v>2.54</v>
      </c>
    </row>
    <row r="1955" spans="1:10" hidden="1">
      <c r="A1955" t="s">
        <v>1789</v>
      </c>
      <c r="B1955" t="s">
        <v>1790</v>
      </c>
      <c r="C1955" t="s">
        <v>241</v>
      </c>
      <c r="D1955" t="s">
        <v>1120</v>
      </c>
      <c r="E1955" t="s">
        <v>559</v>
      </c>
      <c r="F1955" t="s">
        <v>1068</v>
      </c>
      <c r="G1955" t="s">
        <v>1075</v>
      </c>
      <c r="H1955">
        <v>3.16287805945671E-3</v>
      </c>
      <c r="I1955" t="s">
        <v>1077</v>
      </c>
      <c r="J1955">
        <v>2.54</v>
      </c>
    </row>
    <row r="1956" spans="1:10" hidden="1">
      <c r="A1956" t="s">
        <v>1789</v>
      </c>
      <c r="B1956" t="s">
        <v>1790</v>
      </c>
      <c r="C1956" t="s">
        <v>241</v>
      </c>
      <c r="D1956" t="s">
        <v>1120</v>
      </c>
      <c r="E1956" t="s">
        <v>559</v>
      </c>
      <c r="F1956" t="s">
        <v>1068</v>
      </c>
      <c r="G1956" t="s">
        <v>1078</v>
      </c>
      <c r="H1956">
        <v>-2.9733689190633901</v>
      </c>
      <c r="I1956" t="s">
        <v>1079</v>
      </c>
      <c r="J1956">
        <v>2.54</v>
      </c>
    </row>
    <row r="1957" spans="1:10" hidden="1">
      <c r="A1957" t="s">
        <v>1789</v>
      </c>
      <c r="B1957" t="s">
        <v>1790</v>
      </c>
      <c r="C1957" t="s">
        <v>241</v>
      </c>
      <c r="D1957" t="s">
        <v>1120</v>
      </c>
      <c r="E1957" t="s">
        <v>559</v>
      </c>
      <c r="F1957" t="s">
        <v>1068</v>
      </c>
      <c r="G1957" t="s">
        <v>1080</v>
      </c>
      <c r="H1957" s="171" t="s">
        <v>1791</v>
      </c>
      <c r="I1957" t="s">
        <v>1082</v>
      </c>
      <c r="J1957">
        <v>2.54</v>
      </c>
    </row>
    <row r="1958" spans="1:10" hidden="1">
      <c r="A1958" t="s">
        <v>1789</v>
      </c>
      <c r="B1958" t="s">
        <v>1790</v>
      </c>
      <c r="C1958" t="s">
        <v>241</v>
      </c>
      <c r="D1958" t="s">
        <v>1120</v>
      </c>
      <c r="E1958" t="s">
        <v>559</v>
      </c>
      <c r="F1958" t="s">
        <v>1068</v>
      </c>
      <c r="G1958" t="s">
        <v>1083</v>
      </c>
      <c r="H1958">
        <v>-1.6440169057937201E-3</v>
      </c>
      <c r="I1958" t="s">
        <v>1084</v>
      </c>
      <c r="J1958">
        <v>2.54</v>
      </c>
    </row>
    <row r="1959" spans="1:10" hidden="1">
      <c r="A1959" t="s">
        <v>1789</v>
      </c>
      <c r="B1959" t="s">
        <v>1790</v>
      </c>
      <c r="C1959" t="s">
        <v>241</v>
      </c>
      <c r="D1959" t="s">
        <v>1120</v>
      </c>
      <c r="E1959" t="s">
        <v>559</v>
      </c>
      <c r="F1959" t="s">
        <v>1068</v>
      </c>
      <c r="G1959" t="s">
        <v>1085</v>
      </c>
      <c r="H1959">
        <v>-4.6291134743027401E-2</v>
      </c>
      <c r="I1959" t="s">
        <v>1086</v>
      </c>
      <c r="J1959">
        <v>2.54</v>
      </c>
    </row>
    <row r="1960" spans="1:10" hidden="1">
      <c r="A1960" t="s">
        <v>1789</v>
      </c>
      <c r="B1960" t="s">
        <v>1790</v>
      </c>
      <c r="C1960" t="s">
        <v>241</v>
      </c>
      <c r="D1960" t="s">
        <v>1120</v>
      </c>
      <c r="E1960" t="s">
        <v>559</v>
      </c>
      <c r="F1960" t="s">
        <v>1068</v>
      </c>
      <c r="G1960" t="s">
        <v>1087</v>
      </c>
      <c r="H1960" s="170">
        <v>-2.0595042401356299E-8</v>
      </c>
      <c r="I1960" t="s">
        <v>1088</v>
      </c>
      <c r="J1960">
        <v>2.54</v>
      </c>
    </row>
    <row r="1961" spans="1:10" hidden="1">
      <c r="A1961" t="s">
        <v>1789</v>
      </c>
      <c r="B1961" t="s">
        <v>1790</v>
      </c>
      <c r="C1961" t="s">
        <v>241</v>
      </c>
      <c r="D1961" t="s">
        <v>1120</v>
      </c>
      <c r="E1961" t="s">
        <v>559</v>
      </c>
      <c r="F1961" t="s">
        <v>1068</v>
      </c>
      <c r="G1961" t="s">
        <v>1089</v>
      </c>
      <c r="H1961">
        <v>-1.25930786106771E-2</v>
      </c>
      <c r="I1961" t="s">
        <v>1090</v>
      </c>
      <c r="J1961">
        <v>2.54</v>
      </c>
    </row>
    <row r="1962" spans="1:10" hidden="1">
      <c r="A1962" t="s">
        <v>1792</v>
      </c>
      <c r="B1962" t="s">
        <v>1793</v>
      </c>
      <c r="C1962" t="s">
        <v>241</v>
      </c>
      <c r="D1962" t="s">
        <v>1120</v>
      </c>
      <c r="E1962" t="s">
        <v>560</v>
      </c>
      <c r="F1962" t="s">
        <v>1068</v>
      </c>
      <c r="G1962" t="s">
        <v>1069</v>
      </c>
      <c r="H1962">
        <v>-0.350237605282331</v>
      </c>
      <c r="I1962" t="s">
        <v>1070</v>
      </c>
      <c r="J1962">
        <v>3.04</v>
      </c>
    </row>
    <row r="1963" spans="1:10" hidden="1">
      <c r="A1963" t="s">
        <v>1792</v>
      </c>
      <c r="B1963" t="s">
        <v>1793</v>
      </c>
      <c r="C1963" t="s">
        <v>241</v>
      </c>
      <c r="D1963" t="s">
        <v>1120</v>
      </c>
      <c r="E1963" t="s">
        <v>560</v>
      </c>
      <c r="F1963" t="s">
        <v>1068</v>
      </c>
      <c r="G1963" t="s">
        <v>1071</v>
      </c>
      <c r="H1963" s="170">
        <v>-7.4592667076533602E-10</v>
      </c>
      <c r="I1963" t="s">
        <v>1072</v>
      </c>
      <c r="J1963">
        <v>3.04</v>
      </c>
    </row>
    <row r="1964" spans="1:10" hidden="1">
      <c r="A1964" t="s">
        <v>1792</v>
      </c>
      <c r="B1964" t="s">
        <v>1793</v>
      </c>
      <c r="C1964" t="s">
        <v>241</v>
      </c>
      <c r="D1964" t="s">
        <v>1120</v>
      </c>
      <c r="E1964" t="s">
        <v>560</v>
      </c>
      <c r="F1964" t="s">
        <v>1068</v>
      </c>
      <c r="G1964" t="s">
        <v>1073</v>
      </c>
      <c r="H1964" s="170">
        <v>-1.3969177019772199E-7</v>
      </c>
      <c r="I1964" t="s">
        <v>1074</v>
      </c>
      <c r="J1964">
        <v>3.04</v>
      </c>
    </row>
    <row r="1965" spans="1:10" hidden="1">
      <c r="A1965" t="s">
        <v>1792</v>
      </c>
      <c r="B1965" t="s">
        <v>1793</v>
      </c>
      <c r="C1965" t="s">
        <v>241</v>
      </c>
      <c r="D1965" t="s">
        <v>1120</v>
      </c>
      <c r="E1965" t="s">
        <v>560</v>
      </c>
      <c r="F1965" t="s">
        <v>1068</v>
      </c>
      <c r="G1965" t="s">
        <v>1075</v>
      </c>
      <c r="H1965">
        <v>3.1616892664638502E-3</v>
      </c>
      <c r="I1965" t="s">
        <v>1077</v>
      </c>
      <c r="J1965">
        <v>3.04</v>
      </c>
    </row>
    <row r="1966" spans="1:10" hidden="1">
      <c r="A1966" t="s">
        <v>1792</v>
      </c>
      <c r="B1966" t="s">
        <v>1793</v>
      </c>
      <c r="C1966" t="s">
        <v>241</v>
      </c>
      <c r="D1966" t="s">
        <v>1120</v>
      </c>
      <c r="E1966" t="s">
        <v>560</v>
      </c>
      <c r="F1966" t="s">
        <v>1068</v>
      </c>
      <c r="G1966" t="s">
        <v>1078</v>
      </c>
      <c r="H1966">
        <v>-2.9735772864708498</v>
      </c>
      <c r="I1966" t="s">
        <v>1079</v>
      </c>
      <c r="J1966">
        <v>3.04</v>
      </c>
    </row>
    <row r="1967" spans="1:10" hidden="1">
      <c r="A1967" t="s">
        <v>1792</v>
      </c>
      <c r="B1967" t="s">
        <v>1793</v>
      </c>
      <c r="C1967" t="s">
        <v>241</v>
      </c>
      <c r="D1967" t="s">
        <v>1120</v>
      </c>
      <c r="E1967" t="s">
        <v>560</v>
      </c>
      <c r="F1967" t="s">
        <v>1068</v>
      </c>
      <c r="G1967" t="s">
        <v>1080</v>
      </c>
      <c r="H1967" s="171" t="s">
        <v>1794</v>
      </c>
      <c r="I1967" t="s">
        <v>1082</v>
      </c>
      <c r="J1967">
        <v>3.04</v>
      </c>
    </row>
    <row r="1968" spans="1:10" hidden="1">
      <c r="A1968" t="s">
        <v>1792</v>
      </c>
      <c r="B1968" t="s">
        <v>1793</v>
      </c>
      <c r="C1968" t="s">
        <v>241</v>
      </c>
      <c r="D1968" t="s">
        <v>1120</v>
      </c>
      <c r="E1968" t="s">
        <v>560</v>
      </c>
      <c r="F1968" t="s">
        <v>1068</v>
      </c>
      <c r="G1968" t="s">
        <v>1083</v>
      </c>
      <c r="H1968">
        <v>-1.64402059532266E-3</v>
      </c>
      <c r="I1968" t="s">
        <v>1084</v>
      </c>
      <c r="J1968">
        <v>3.04</v>
      </c>
    </row>
    <row r="1969" spans="1:10" hidden="1">
      <c r="A1969" t="s">
        <v>1792</v>
      </c>
      <c r="B1969" t="s">
        <v>1793</v>
      </c>
      <c r="C1969" t="s">
        <v>241</v>
      </c>
      <c r="D1969" t="s">
        <v>1120</v>
      </c>
      <c r="E1969" t="s">
        <v>560</v>
      </c>
      <c r="F1969" t="s">
        <v>1068</v>
      </c>
      <c r="G1969" t="s">
        <v>1085</v>
      </c>
      <c r="H1969">
        <v>-4.6291178662319701E-2</v>
      </c>
      <c r="I1969" t="s">
        <v>1086</v>
      </c>
      <c r="J1969">
        <v>3.04</v>
      </c>
    </row>
    <row r="1970" spans="1:10" hidden="1">
      <c r="A1970" t="s">
        <v>1792</v>
      </c>
      <c r="B1970" t="s">
        <v>1793</v>
      </c>
      <c r="C1970" t="s">
        <v>241</v>
      </c>
      <c r="D1970" t="s">
        <v>1120</v>
      </c>
      <c r="E1970" t="s">
        <v>560</v>
      </c>
      <c r="F1970" t="s">
        <v>1068</v>
      </c>
      <c r="G1970" t="s">
        <v>1087</v>
      </c>
      <c r="H1970" s="170">
        <v>-2.0635563440582199E-8</v>
      </c>
      <c r="I1970" t="s">
        <v>1088</v>
      </c>
      <c r="J1970">
        <v>3.04</v>
      </c>
    </row>
    <row r="1971" spans="1:10" hidden="1">
      <c r="A1971" t="s">
        <v>1792</v>
      </c>
      <c r="B1971" t="s">
        <v>1793</v>
      </c>
      <c r="C1971" t="s">
        <v>241</v>
      </c>
      <c r="D1971" t="s">
        <v>1120</v>
      </c>
      <c r="E1971" t="s">
        <v>560</v>
      </c>
      <c r="F1971" t="s">
        <v>1068</v>
      </c>
      <c r="G1971" t="s">
        <v>1089</v>
      </c>
      <c r="H1971">
        <v>-1.25930872843775E-2</v>
      </c>
      <c r="I1971" t="s">
        <v>1090</v>
      </c>
      <c r="J1971">
        <v>3.04</v>
      </c>
    </row>
    <row r="1972" spans="1:10" hidden="1">
      <c r="A1972" t="s">
        <v>1795</v>
      </c>
      <c r="B1972" t="s">
        <v>1796</v>
      </c>
      <c r="C1972" t="s">
        <v>241</v>
      </c>
      <c r="D1972" t="s">
        <v>1120</v>
      </c>
      <c r="E1972" t="s">
        <v>1116</v>
      </c>
      <c r="F1972" t="s">
        <v>1068</v>
      </c>
      <c r="G1972" t="s">
        <v>1069</v>
      </c>
      <c r="H1972">
        <v>-0.35038013312969302</v>
      </c>
      <c r="I1972" t="s">
        <v>1070</v>
      </c>
      <c r="J1972">
        <v>2.5299999999999998</v>
      </c>
    </row>
    <row r="1973" spans="1:10" hidden="1">
      <c r="A1973" t="s">
        <v>1795</v>
      </c>
      <c r="B1973" t="s">
        <v>1796</v>
      </c>
      <c r="C1973" t="s">
        <v>241</v>
      </c>
      <c r="D1973" t="s">
        <v>1120</v>
      </c>
      <c r="E1973" t="s">
        <v>1116</v>
      </c>
      <c r="F1973" t="s">
        <v>1068</v>
      </c>
      <c r="G1973" t="s">
        <v>1071</v>
      </c>
      <c r="H1973" s="170">
        <v>-7.4613062973627404E-10</v>
      </c>
      <c r="I1973" t="s">
        <v>1072</v>
      </c>
      <c r="J1973">
        <v>2.5299999999999998</v>
      </c>
    </row>
    <row r="1974" spans="1:10" hidden="1">
      <c r="A1974" t="s">
        <v>1795</v>
      </c>
      <c r="B1974" t="s">
        <v>1796</v>
      </c>
      <c r="C1974" t="s">
        <v>241</v>
      </c>
      <c r="D1974" t="s">
        <v>1120</v>
      </c>
      <c r="E1974" t="s">
        <v>1116</v>
      </c>
      <c r="F1974" t="s">
        <v>1068</v>
      </c>
      <c r="G1974" t="s">
        <v>1073</v>
      </c>
      <c r="H1974" s="170">
        <v>-1.3974239654008299E-7</v>
      </c>
      <c r="I1974" t="s">
        <v>1074</v>
      </c>
      <c r="J1974">
        <v>2.5299999999999998</v>
      </c>
    </row>
    <row r="1975" spans="1:10" hidden="1">
      <c r="A1975" t="s">
        <v>1795</v>
      </c>
      <c r="B1975" t="s">
        <v>1796</v>
      </c>
      <c r="C1975" t="s">
        <v>241</v>
      </c>
      <c r="D1975" t="s">
        <v>1120</v>
      </c>
      <c r="E1975" t="s">
        <v>1116</v>
      </c>
      <c r="F1975" t="s">
        <v>1068</v>
      </c>
      <c r="G1975" t="s">
        <v>1075</v>
      </c>
      <c r="H1975">
        <v>3.1571838089546099E-3</v>
      </c>
      <c r="I1975" t="s">
        <v>1077</v>
      </c>
      <c r="J1975">
        <v>2.5299999999999998</v>
      </c>
    </row>
    <row r="1976" spans="1:10" hidden="1">
      <c r="A1976" t="s">
        <v>1795</v>
      </c>
      <c r="B1976" t="s">
        <v>1796</v>
      </c>
      <c r="C1976" t="s">
        <v>241</v>
      </c>
      <c r="D1976" t="s">
        <v>1120</v>
      </c>
      <c r="E1976" t="s">
        <v>1116</v>
      </c>
      <c r="F1976" t="s">
        <v>1068</v>
      </c>
      <c r="G1976" t="s">
        <v>1078</v>
      </c>
      <c r="H1976">
        <v>-2.9737721198331002</v>
      </c>
      <c r="I1976" t="s">
        <v>1079</v>
      </c>
      <c r="J1976">
        <v>2.5299999999999998</v>
      </c>
    </row>
    <row r="1977" spans="1:10" hidden="1">
      <c r="A1977" t="s">
        <v>1795</v>
      </c>
      <c r="B1977" t="s">
        <v>1796</v>
      </c>
      <c r="C1977" t="s">
        <v>241</v>
      </c>
      <c r="D1977" t="s">
        <v>1120</v>
      </c>
      <c r="E1977" t="s">
        <v>1116</v>
      </c>
      <c r="F1977" t="s">
        <v>1068</v>
      </c>
      <c r="G1977" t="s">
        <v>1080</v>
      </c>
      <c r="H1977" s="171" t="s">
        <v>1797</v>
      </c>
      <c r="I1977" t="s">
        <v>1082</v>
      </c>
      <c r="J1977">
        <v>2.5299999999999998</v>
      </c>
    </row>
    <row r="1978" spans="1:10" hidden="1">
      <c r="A1978" t="s">
        <v>1795</v>
      </c>
      <c r="B1978" t="s">
        <v>1796</v>
      </c>
      <c r="C1978" t="s">
        <v>241</v>
      </c>
      <c r="D1978" t="s">
        <v>1120</v>
      </c>
      <c r="E1978" t="s">
        <v>1116</v>
      </c>
      <c r="F1978" t="s">
        <v>1068</v>
      </c>
      <c r="G1978" t="s">
        <v>1083</v>
      </c>
      <c r="H1978">
        <v>-1.64404225964774E-3</v>
      </c>
      <c r="I1978" t="s">
        <v>1084</v>
      </c>
      <c r="J1978">
        <v>2.5299999999999998</v>
      </c>
    </row>
    <row r="1979" spans="1:10" hidden="1">
      <c r="A1979" t="s">
        <v>1795</v>
      </c>
      <c r="B1979" t="s">
        <v>1796</v>
      </c>
      <c r="C1979" t="s">
        <v>241</v>
      </c>
      <c r="D1979" t="s">
        <v>1120</v>
      </c>
      <c r="E1979" t="s">
        <v>1116</v>
      </c>
      <c r="F1979" t="s">
        <v>1068</v>
      </c>
      <c r="G1979" t="s">
        <v>1085</v>
      </c>
      <c r="H1979">
        <v>-4.62914235131624E-2</v>
      </c>
      <c r="I1979" t="s">
        <v>1086</v>
      </c>
      <c r="J1979">
        <v>2.5299999999999998</v>
      </c>
    </row>
    <row r="1980" spans="1:10" hidden="1">
      <c r="A1980" t="s">
        <v>1795</v>
      </c>
      <c r="B1980" t="s">
        <v>1796</v>
      </c>
      <c r="C1980" t="s">
        <v>241</v>
      </c>
      <c r="D1980" t="s">
        <v>1120</v>
      </c>
      <c r="E1980" t="s">
        <v>1116</v>
      </c>
      <c r="F1980" t="s">
        <v>1068</v>
      </c>
      <c r="G1980" t="s">
        <v>1087</v>
      </c>
      <c r="H1980" s="170">
        <v>-2.0753729575328202E-8</v>
      </c>
      <c r="I1980" t="s">
        <v>1088</v>
      </c>
      <c r="J1980">
        <v>2.5299999999999998</v>
      </c>
    </row>
    <row r="1981" spans="1:10" hidden="1">
      <c r="A1981" t="s">
        <v>1795</v>
      </c>
      <c r="B1981" t="s">
        <v>1796</v>
      </c>
      <c r="C1981" t="s">
        <v>241</v>
      </c>
      <c r="D1981" t="s">
        <v>1120</v>
      </c>
      <c r="E1981" t="s">
        <v>1116</v>
      </c>
      <c r="F1981" t="s">
        <v>1068</v>
      </c>
      <c r="G1981" t="s">
        <v>1089</v>
      </c>
      <c r="H1981">
        <v>-1.25931377966228E-2</v>
      </c>
      <c r="I1981" t="s">
        <v>1090</v>
      </c>
      <c r="J1981">
        <v>2.5299999999999998</v>
      </c>
    </row>
    <row r="1982" spans="1:10" hidden="1">
      <c r="A1982" t="s">
        <v>1798</v>
      </c>
      <c r="B1982" t="s">
        <v>1799</v>
      </c>
      <c r="C1982" t="s">
        <v>241</v>
      </c>
      <c r="D1982" t="s">
        <v>1148</v>
      </c>
      <c r="E1982" t="s">
        <v>561</v>
      </c>
      <c r="F1982" t="s">
        <v>1068</v>
      </c>
      <c r="G1982" t="s">
        <v>1069</v>
      </c>
      <c r="H1982">
        <v>-4.8067219744267101E-2</v>
      </c>
      <c r="I1982" t="s">
        <v>1070</v>
      </c>
      <c r="J1982">
        <v>2.02</v>
      </c>
    </row>
    <row r="1983" spans="1:10" hidden="1">
      <c r="A1983" t="s">
        <v>1798</v>
      </c>
      <c r="B1983" t="s">
        <v>1799</v>
      </c>
      <c r="C1983" t="s">
        <v>241</v>
      </c>
      <c r="D1983" t="s">
        <v>1148</v>
      </c>
      <c r="E1983" t="s">
        <v>561</v>
      </c>
      <c r="F1983" t="s">
        <v>1068</v>
      </c>
      <c r="G1983" t="s">
        <v>1071</v>
      </c>
      <c r="H1983" s="170">
        <v>-1.0001626132061599E-10</v>
      </c>
      <c r="I1983" t="s">
        <v>1072</v>
      </c>
      <c r="J1983">
        <v>2.02</v>
      </c>
    </row>
    <row r="1984" spans="1:10" hidden="1">
      <c r="A1984" t="s">
        <v>1798</v>
      </c>
      <c r="B1984" t="s">
        <v>1799</v>
      </c>
      <c r="C1984" t="s">
        <v>241</v>
      </c>
      <c r="D1984" t="s">
        <v>1148</v>
      </c>
      <c r="E1984" t="s">
        <v>561</v>
      </c>
      <c r="F1984" t="s">
        <v>1068</v>
      </c>
      <c r="G1984" t="s">
        <v>1073</v>
      </c>
      <c r="H1984" s="170">
        <v>-1.9573759967353501E-8</v>
      </c>
      <c r="I1984" t="s">
        <v>1074</v>
      </c>
      <c r="J1984">
        <v>2.02</v>
      </c>
    </row>
    <row r="1985" spans="1:10" hidden="1">
      <c r="A1985" t="s">
        <v>1798</v>
      </c>
      <c r="B1985" t="s">
        <v>1799</v>
      </c>
      <c r="C1985" t="s">
        <v>241</v>
      </c>
      <c r="D1985" t="s">
        <v>1148</v>
      </c>
      <c r="E1985" t="s">
        <v>561</v>
      </c>
      <c r="F1985" t="s">
        <v>1068</v>
      </c>
      <c r="G1985" t="s">
        <v>1075</v>
      </c>
      <c r="H1985">
        <v>2.48263706024765E-3</v>
      </c>
      <c r="I1985" t="s">
        <v>1077</v>
      </c>
      <c r="J1985">
        <v>2.02</v>
      </c>
    </row>
    <row r="1986" spans="1:10" hidden="1">
      <c r="A1986" t="s">
        <v>1798</v>
      </c>
      <c r="B1986" t="s">
        <v>1799</v>
      </c>
      <c r="C1986" t="s">
        <v>241</v>
      </c>
      <c r="D1986" t="s">
        <v>1148</v>
      </c>
      <c r="E1986" t="s">
        <v>561</v>
      </c>
      <c r="F1986" t="s">
        <v>1068</v>
      </c>
      <c r="G1986" t="s">
        <v>1078</v>
      </c>
      <c r="H1986">
        <v>-1.34051782094162</v>
      </c>
      <c r="I1986" t="s">
        <v>1079</v>
      </c>
      <c r="J1986">
        <v>2.02</v>
      </c>
    </row>
    <row r="1987" spans="1:10" hidden="1">
      <c r="A1987" t="s">
        <v>1798</v>
      </c>
      <c r="B1987" t="s">
        <v>1799</v>
      </c>
      <c r="C1987" t="s">
        <v>241</v>
      </c>
      <c r="D1987" t="s">
        <v>1148</v>
      </c>
      <c r="E1987" t="s">
        <v>561</v>
      </c>
      <c r="F1987" t="s">
        <v>1068</v>
      </c>
      <c r="G1987" t="s">
        <v>1080</v>
      </c>
      <c r="H1987" s="171" t="s">
        <v>1800</v>
      </c>
      <c r="I1987" t="s">
        <v>1082</v>
      </c>
      <c r="J1987">
        <v>2.02</v>
      </c>
    </row>
    <row r="1988" spans="1:10" hidden="1">
      <c r="A1988" t="s">
        <v>1798</v>
      </c>
      <c r="B1988" t="s">
        <v>1799</v>
      </c>
      <c r="C1988" t="s">
        <v>241</v>
      </c>
      <c r="D1988" t="s">
        <v>1148</v>
      </c>
      <c r="E1988" t="s">
        <v>561</v>
      </c>
      <c r="F1988" t="s">
        <v>1068</v>
      </c>
      <c r="G1988" t="s">
        <v>1083</v>
      </c>
      <c r="H1988">
        <v>-3.3626154926587402E-4</v>
      </c>
      <c r="I1988" t="s">
        <v>1084</v>
      </c>
      <c r="J1988">
        <v>2.02</v>
      </c>
    </row>
    <row r="1989" spans="1:10" hidden="1">
      <c r="A1989" t="s">
        <v>1798</v>
      </c>
      <c r="B1989" t="s">
        <v>1799</v>
      </c>
      <c r="C1989" t="s">
        <v>241</v>
      </c>
      <c r="D1989" t="s">
        <v>1148</v>
      </c>
      <c r="E1989" t="s">
        <v>561</v>
      </c>
      <c r="F1989" t="s">
        <v>1068</v>
      </c>
      <c r="G1989" t="s">
        <v>1085</v>
      </c>
      <c r="H1989">
        <v>-9.4600179220523193E-3</v>
      </c>
      <c r="I1989" t="s">
        <v>1086</v>
      </c>
      <c r="J1989">
        <v>2.02</v>
      </c>
    </row>
    <row r="1990" spans="1:10" hidden="1">
      <c r="A1990" t="s">
        <v>1798</v>
      </c>
      <c r="B1990" t="s">
        <v>1799</v>
      </c>
      <c r="C1990" t="s">
        <v>241</v>
      </c>
      <c r="D1990" t="s">
        <v>1148</v>
      </c>
      <c r="E1990" t="s">
        <v>561</v>
      </c>
      <c r="F1990" t="s">
        <v>1068</v>
      </c>
      <c r="G1990" t="s">
        <v>1087</v>
      </c>
      <c r="H1990" s="170">
        <v>-9.20656031139886E-8</v>
      </c>
      <c r="I1990" t="s">
        <v>1088</v>
      </c>
      <c r="J1990">
        <v>2.02</v>
      </c>
    </row>
    <row r="1991" spans="1:10" hidden="1">
      <c r="A1991" t="s">
        <v>1798</v>
      </c>
      <c r="B1991" t="s">
        <v>1799</v>
      </c>
      <c r="C1991" t="s">
        <v>241</v>
      </c>
      <c r="D1991" t="s">
        <v>1148</v>
      </c>
      <c r="E1991" t="s">
        <v>561</v>
      </c>
      <c r="F1991" t="s">
        <v>1068</v>
      </c>
      <c r="G1991" t="s">
        <v>1089</v>
      </c>
      <c r="H1991">
        <v>-2.5657013325952899E-3</v>
      </c>
      <c r="I1991" t="s">
        <v>1090</v>
      </c>
      <c r="J1991">
        <v>2.02</v>
      </c>
    </row>
    <row r="1992" spans="1:10" hidden="1">
      <c r="A1992" t="s">
        <v>1801</v>
      </c>
      <c r="B1992" t="s">
        <v>1802</v>
      </c>
      <c r="C1992" t="s">
        <v>241</v>
      </c>
      <c r="D1992" t="s">
        <v>1148</v>
      </c>
      <c r="E1992" t="s">
        <v>555</v>
      </c>
      <c r="F1992" t="s">
        <v>1068</v>
      </c>
      <c r="G1992" t="s">
        <v>1069</v>
      </c>
      <c r="H1992">
        <v>-4.7873262605585699E-2</v>
      </c>
      <c r="I1992" t="s">
        <v>1070</v>
      </c>
      <c r="J1992">
        <v>2.5299999999999998</v>
      </c>
    </row>
    <row r="1993" spans="1:10" hidden="1">
      <c r="A1993" t="s">
        <v>1801</v>
      </c>
      <c r="B1993" t="s">
        <v>1802</v>
      </c>
      <c r="C1993" t="s">
        <v>241</v>
      </c>
      <c r="D1993" t="s">
        <v>1148</v>
      </c>
      <c r="E1993" t="s">
        <v>555</v>
      </c>
      <c r="F1993" t="s">
        <v>1068</v>
      </c>
      <c r="G1993" t="s">
        <v>1071</v>
      </c>
      <c r="H1993" s="170">
        <v>-9.9693474184027804E-11</v>
      </c>
      <c r="I1993" t="s">
        <v>1072</v>
      </c>
      <c r="J1993">
        <v>2.5299999999999998</v>
      </c>
    </row>
    <row r="1994" spans="1:10" hidden="1">
      <c r="A1994" t="s">
        <v>1801</v>
      </c>
      <c r="B1994" t="s">
        <v>1802</v>
      </c>
      <c r="C1994" t="s">
        <v>241</v>
      </c>
      <c r="D1994" t="s">
        <v>1148</v>
      </c>
      <c r="E1994" t="s">
        <v>555</v>
      </c>
      <c r="F1994" t="s">
        <v>1068</v>
      </c>
      <c r="G1994" t="s">
        <v>1073</v>
      </c>
      <c r="H1994" s="170">
        <v>-1.9509014159756E-8</v>
      </c>
      <c r="I1994" t="s">
        <v>1074</v>
      </c>
      <c r="J1994">
        <v>2.5299999999999998</v>
      </c>
    </row>
    <row r="1995" spans="1:10" hidden="1">
      <c r="A1995" t="s">
        <v>1801</v>
      </c>
      <c r="B1995" t="s">
        <v>1802</v>
      </c>
      <c r="C1995" t="s">
        <v>241</v>
      </c>
      <c r="D1995" t="s">
        <v>1148</v>
      </c>
      <c r="E1995" t="s">
        <v>555</v>
      </c>
      <c r="F1995" t="s">
        <v>1068</v>
      </c>
      <c r="G1995" t="s">
        <v>1075</v>
      </c>
      <c r="H1995">
        <v>2.51850488579767E-3</v>
      </c>
      <c r="I1995" t="s">
        <v>1077</v>
      </c>
      <c r="J1995">
        <v>2.5299999999999998</v>
      </c>
    </row>
    <row r="1996" spans="1:10" hidden="1">
      <c r="A1996" t="s">
        <v>1801</v>
      </c>
      <c r="B1996" t="s">
        <v>1802</v>
      </c>
      <c r="C1996" t="s">
        <v>241</v>
      </c>
      <c r="D1996" t="s">
        <v>1148</v>
      </c>
      <c r="E1996" t="s">
        <v>555</v>
      </c>
      <c r="F1996" t="s">
        <v>1068</v>
      </c>
      <c r="G1996" t="s">
        <v>1078</v>
      </c>
      <c r="H1996">
        <v>-1.3276665253781801</v>
      </c>
      <c r="I1996" t="s">
        <v>1079</v>
      </c>
      <c r="J1996">
        <v>2.5299999999999998</v>
      </c>
    </row>
    <row r="1997" spans="1:10" hidden="1">
      <c r="A1997" t="s">
        <v>1801</v>
      </c>
      <c r="B1997" t="s">
        <v>1802</v>
      </c>
      <c r="C1997" t="s">
        <v>241</v>
      </c>
      <c r="D1997" t="s">
        <v>1148</v>
      </c>
      <c r="E1997" t="s">
        <v>555</v>
      </c>
      <c r="F1997" t="s">
        <v>1068</v>
      </c>
      <c r="G1997" t="s">
        <v>1080</v>
      </c>
      <c r="H1997" s="171" t="s">
        <v>1803</v>
      </c>
      <c r="I1997" t="s">
        <v>1082</v>
      </c>
      <c r="J1997">
        <v>2.5299999999999998</v>
      </c>
    </row>
    <row r="1998" spans="1:10" hidden="1">
      <c r="A1998" t="s">
        <v>1801</v>
      </c>
      <c r="B1998" t="s">
        <v>1802</v>
      </c>
      <c r="C1998" t="s">
        <v>241</v>
      </c>
      <c r="D1998" t="s">
        <v>1148</v>
      </c>
      <c r="E1998" t="s">
        <v>555</v>
      </c>
      <c r="F1998" t="s">
        <v>1068</v>
      </c>
      <c r="G1998" t="s">
        <v>1083</v>
      </c>
      <c r="H1998">
        <v>-3.3623499437858997E-4</v>
      </c>
      <c r="I1998" t="s">
        <v>1084</v>
      </c>
      <c r="J1998">
        <v>2.5299999999999998</v>
      </c>
    </row>
    <row r="1999" spans="1:10" hidden="1">
      <c r="A1999" t="s">
        <v>1801</v>
      </c>
      <c r="B1999" t="s">
        <v>1802</v>
      </c>
      <c r="C1999" t="s">
        <v>241</v>
      </c>
      <c r="D1999" t="s">
        <v>1148</v>
      </c>
      <c r="E1999" t="s">
        <v>555</v>
      </c>
      <c r="F1999" t="s">
        <v>1068</v>
      </c>
      <c r="G1999" t="s">
        <v>1085</v>
      </c>
      <c r="H1999">
        <v>-9.4595579607429404E-3</v>
      </c>
      <c r="I1999" t="s">
        <v>1086</v>
      </c>
      <c r="J1999">
        <v>2.5299999999999998</v>
      </c>
    </row>
    <row r="2000" spans="1:10" hidden="1">
      <c r="A2000" t="s">
        <v>1801</v>
      </c>
      <c r="B2000" t="s">
        <v>1802</v>
      </c>
      <c r="C2000" t="s">
        <v>241</v>
      </c>
      <c r="D2000" t="s">
        <v>1148</v>
      </c>
      <c r="E2000" t="s">
        <v>555</v>
      </c>
      <c r="F2000" t="s">
        <v>1068</v>
      </c>
      <c r="G2000" t="s">
        <v>1087</v>
      </c>
      <c r="H2000" s="170">
        <v>-9.04522998062723E-8</v>
      </c>
      <c r="I2000" t="s">
        <v>1088</v>
      </c>
      <c r="J2000">
        <v>2.5299999999999998</v>
      </c>
    </row>
    <row r="2001" spans="1:10" hidden="1">
      <c r="A2001" t="s">
        <v>1801</v>
      </c>
      <c r="B2001" t="s">
        <v>1802</v>
      </c>
      <c r="C2001" t="s">
        <v>241</v>
      </c>
      <c r="D2001" t="s">
        <v>1148</v>
      </c>
      <c r="E2001" t="s">
        <v>555</v>
      </c>
      <c r="F2001" t="s">
        <v>1068</v>
      </c>
      <c r="G2001" t="s">
        <v>1089</v>
      </c>
      <c r="H2001">
        <v>-2.5656342883301998E-3</v>
      </c>
      <c r="I2001" t="s">
        <v>1090</v>
      </c>
      <c r="J2001">
        <v>2.5299999999999998</v>
      </c>
    </row>
    <row r="2002" spans="1:10" hidden="1">
      <c r="A2002" t="s">
        <v>1804</v>
      </c>
      <c r="B2002" t="s">
        <v>1805</v>
      </c>
      <c r="C2002" t="s">
        <v>241</v>
      </c>
      <c r="D2002" t="s">
        <v>1148</v>
      </c>
      <c r="E2002" t="s">
        <v>558</v>
      </c>
      <c r="F2002" t="s">
        <v>1068</v>
      </c>
      <c r="G2002" t="s">
        <v>1069</v>
      </c>
      <c r="H2002">
        <v>-4.8082677141316602E-2</v>
      </c>
      <c r="I2002" t="s">
        <v>1070</v>
      </c>
      <c r="J2002">
        <v>2.5299999999999998</v>
      </c>
    </row>
    <row r="2003" spans="1:10" hidden="1">
      <c r="A2003" t="s">
        <v>1804</v>
      </c>
      <c r="B2003" t="s">
        <v>1805</v>
      </c>
      <c r="C2003" t="s">
        <v>241</v>
      </c>
      <c r="D2003" t="s">
        <v>1148</v>
      </c>
      <c r="E2003" t="s">
        <v>558</v>
      </c>
      <c r="F2003" t="s">
        <v>1068</v>
      </c>
      <c r="G2003" t="s">
        <v>1071</v>
      </c>
      <c r="H2003" s="170">
        <v>-1.0003838103165E-10</v>
      </c>
      <c r="I2003" t="s">
        <v>1072</v>
      </c>
      <c r="J2003">
        <v>2.5299999999999998</v>
      </c>
    </row>
    <row r="2004" spans="1:10" hidden="1">
      <c r="A2004" t="s">
        <v>1804</v>
      </c>
      <c r="B2004" t="s">
        <v>1805</v>
      </c>
      <c r="C2004" t="s">
        <v>241</v>
      </c>
      <c r="D2004" t="s">
        <v>1148</v>
      </c>
      <c r="E2004" t="s">
        <v>558</v>
      </c>
      <c r="F2004" t="s">
        <v>1068</v>
      </c>
      <c r="G2004" t="s">
        <v>1073</v>
      </c>
      <c r="H2004" s="170">
        <v>-1.95792504836956E-8</v>
      </c>
      <c r="I2004" t="s">
        <v>1074</v>
      </c>
      <c r="J2004">
        <v>2.5299999999999998</v>
      </c>
    </row>
    <row r="2005" spans="1:10" hidden="1">
      <c r="A2005" t="s">
        <v>1804</v>
      </c>
      <c r="B2005" t="s">
        <v>1805</v>
      </c>
      <c r="C2005" t="s">
        <v>241</v>
      </c>
      <c r="D2005" t="s">
        <v>1148</v>
      </c>
      <c r="E2005" t="s">
        <v>558</v>
      </c>
      <c r="F2005" t="s">
        <v>1068</v>
      </c>
      <c r="G2005" t="s">
        <v>1075</v>
      </c>
      <c r="H2005">
        <v>2.4821484354141201E-3</v>
      </c>
      <c r="I2005" t="s">
        <v>1077</v>
      </c>
      <c r="J2005">
        <v>2.5299999999999998</v>
      </c>
    </row>
    <row r="2006" spans="1:10" hidden="1">
      <c r="A2006" t="s">
        <v>1804</v>
      </c>
      <c r="B2006" t="s">
        <v>1805</v>
      </c>
      <c r="C2006" t="s">
        <v>241</v>
      </c>
      <c r="D2006" t="s">
        <v>1148</v>
      </c>
      <c r="E2006" t="s">
        <v>558</v>
      </c>
      <c r="F2006" t="s">
        <v>1068</v>
      </c>
      <c r="G2006" t="s">
        <v>1078</v>
      </c>
      <c r="H2006">
        <v>-1.34053895096424</v>
      </c>
      <c r="I2006" t="s">
        <v>1079</v>
      </c>
      <c r="J2006">
        <v>2.5299999999999998</v>
      </c>
    </row>
    <row r="2007" spans="1:10" hidden="1">
      <c r="A2007" t="s">
        <v>1804</v>
      </c>
      <c r="B2007" t="s">
        <v>1805</v>
      </c>
      <c r="C2007" t="s">
        <v>241</v>
      </c>
      <c r="D2007" t="s">
        <v>1148</v>
      </c>
      <c r="E2007" t="s">
        <v>558</v>
      </c>
      <c r="F2007" t="s">
        <v>1068</v>
      </c>
      <c r="G2007" t="s">
        <v>1080</v>
      </c>
      <c r="H2007" s="171" t="s">
        <v>1806</v>
      </c>
      <c r="I2007" t="s">
        <v>1082</v>
      </c>
      <c r="J2007">
        <v>2.5299999999999998</v>
      </c>
    </row>
    <row r="2008" spans="1:10" hidden="1">
      <c r="A2008" t="s">
        <v>1804</v>
      </c>
      <c r="B2008" t="s">
        <v>1805</v>
      </c>
      <c r="C2008" t="s">
        <v>241</v>
      </c>
      <c r="D2008" t="s">
        <v>1148</v>
      </c>
      <c r="E2008" t="s">
        <v>558</v>
      </c>
      <c r="F2008" t="s">
        <v>1068</v>
      </c>
      <c r="G2008" t="s">
        <v>1083</v>
      </c>
      <c r="H2008">
        <v>-3.36263898800234E-4</v>
      </c>
      <c r="I2008" t="s">
        <v>1084</v>
      </c>
      <c r="J2008">
        <v>2.5299999999999998</v>
      </c>
    </row>
    <row r="2009" spans="1:10" hidden="1">
      <c r="A2009" t="s">
        <v>1804</v>
      </c>
      <c r="B2009" t="s">
        <v>1805</v>
      </c>
      <c r="C2009" t="s">
        <v>241</v>
      </c>
      <c r="D2009" t="s">
        <v>1148</v>
      </c>
      <c r="E2009" t="s">
        <v>558</v>
      </c>
      <c r="F2009" t="s">
        <v>1068</v>
      </c>
      <c r="G2009" t="s">
        <v>1085</v>
      </c>
      <c r="H2009">
        <v>-9.4600444765591402E-3</v>
      </c>
      <c r="I2009" t="s">
        <v>1086</v>
      </c>
      <c r="J2009">
        <v>2.5299999999999998</v>
      </c>
    </row>
    <row r="2010" spans="1:10" hidden="1">
      <c r="A2010" t="s">
        <v>1804</v>
      </c>
      <c r="B2010" t="s">
        <v>1805</v>
      </c>
      <c r="C2010" t="s">
        <v>241</v>
      </c>
      <c r="D2010" t="s">
        <v>1148</v>
      </c>
      <c r="E2010" t="s">
        <v>558</v>
      </c>
      <c r="F2010" t="s">
        <v>1068</v>
      </c>
      <c r="G2010" t="s">
        <v>1087</v>
      </c>
      <c r="H2010" s="170">
        <v>-9.2078418440227501E-8</v>
      </c>
      <c r="I2010" t="s">
        <v>1088</v>
      </c>
      <c r="J2010">
        <v>2.5299999999999998</v>
      </c>
    </row>
    <row r="2011" spans="1:10" hidden="1">
      <c r="A2011" t="s">
        <v>1804</v>
      </c>
      <c r="B2011" t="s">
        <v>1805</v>
      </c>
      <c r="C2011" t="s">
        <v>241</v>
      </c>
      <c r="D2011" t="s">
        <v>1148</v>
      </c>
      <c r="E2011" t="s">
        <v>558</v>
      </c>
      <c r="F2011" t="s">
        <v>1068</v>
      </c>
      <c r="G2011" t="s">
        <v>1089</v>
      </c>
      <c r="H2011">
        <v>-2.5657068107376099E-3</v>
      </c>
      <c r="I2011" t="s">
        <v>1090</v>
      </c>
      <c r="J2011">
        <v>2.5299999999999998</v>
      </c>
    </row>
    <row r="2012" spans="1:10" hidden="1">
      <c r="A2012" t="s">
        <v>1807</v>
      </c>
      <c r="B2012" t="s">
        <v>1808</v>
      </c>
      <c r="C2012" t="s">
        <v>241</v>
      </c>
      <c r="D2012" t="s">
        <v>1148</v>
      </c>
      <c r="E2012" t="s">
        <v>553</v>
      </c>
      <c r="F2012" t="s">
        <v>1068</v>
      </c>
      <c r="G2012" t="s">
        <v>1069</v>
      </c>
      <c r="H2012">
        <v>-4.80784363512805E-2</v>
      </c>
      <c r="I2012" t="s">
        <v>1070</v>
      </c>
      <c r="J2012">
        <v>2.54</v>
      </c>
    </row>
    <row r="2013" spans="1:10" hidden="1">
      <c r="A2013" t="s">
        <v>1807</v>
      </c>
      <c r="B2013" t="s">
        <v>1808</v>
      </c>
      <c r="C2013" t="s">
        <v>241</v>
      </c>
      <c r="D2013" t="s">
        <v>1148</v>
      </c>
      <c r="E2013" t="s">
        <v>553</v>
      </c>
      <c r="F2013" t="s">
        <v>1068</v>
      </c>
      <c r="G2013" t="s">
        <v>1071</v>
      </c>
      <c r="H2013" s="170">
        <v>-9.9987080148351201E-11</v>
      </c>
      <c r="I2013" t="s">
        <v>1072</v>
      </c>
      <c r="J2013">
        <v>2.54</v>
      </c>
    </row>
    <row r="2014" spans="1:10" hidden="1">
      <c r="A2014" t="s">
        <v>1807</v>
      </c>
      <c r="B2014" t="s">
        <v>1808</v>
      </c>
      <c r="C2014" t="s">
        <v>241</v>
      </c>
      <c r="D2014" t="s">
        <v>1148</v>
      </c>
      <c r="E2014" t="s">
        <v>553</v>
      </c>
      <c r="F2014" t="s">
        <v>1068</v>
      </c>
      <c r="G2014" t="s">
        <v>1073</v>
      </c>
      <c r="H2014" s="170">
        <v>-1.9581892523435598E-8</v>
      </c>
      <c r="I2014" t="s">
        <v>1074</v>
      </c>
      <c r="J2014">
        <v>2.54</v>
      </c>
    </row>
    <row r="2015" spans="1:10" hidden="1">
      <c r="A2015" t="s">
        <v>1807</v>
      </c>
      <c r="B2015" t="s">
        <v>1808</v>
      </c>
      <c r="C2015" t="s">
        <v>241</v>
      </c>
      <c r="D2015" t="s">
        <v>1148</v>
      </c>
      <c r="E2015" t="s">
        <v>553</v>
      </c>
      <c r="F2015" t="s">
        <v>1068</v>
      </c>
      <c r="G2015" t="s">
        <v>1075</v>
      </c>
      <c r="H2015">
        <v>2.51201912451472E-3</v>
      </c>
      <c r="I2015" t="s">
        <v>1077</v>
      </c>
      <c r="J2015">
        <v>2.54</v>
      </c>
    </row>
    <row r="2016" spans="1:10" hidden="1">
      <c r="A2016" t="s">
        <v>1807</v>
      </c>
      <c r="B2016" t="s">
        <v>1808</v>
      </c>
      <c r="C2016" t="s">
        <v>241</v>
      </c>
      <c r="D2016" t="s">
        <v>1148</v>
      </c>
      <c r="E2016" t="s">
        <v>553</v>
      </c>
      <c r="F2016" t="s">
        <v>1068</v>
      </c>
      <c r="G2016" t="s">
        <v>1078</v>
      </c>
      <c r="H2016">
        <v>-1.32794699471418</v>
      </c>
      <c r="I2016" t="s">
        <v>1079</v>
      </c>
      <c r="J2016">
        <v>2.54</v>
      </c>
    </row>
    <row r="2017" spans="1:10" hidden="1">
      <c r="A2017" t="s">
        <v>1807</v>
      </c>
      <c r="B2017" t="s">
        <v>1808</v>
      </c>
      <c r="C2017" t="s">
        <v>241</v>
      </c>
      <c r="D2017" t="s">
        <v>1148</v>
      </c>
      <c r="E2017" t="s">
        <v>553</v>
      </c>
      <c r="F2017" t="s">
        <v>1068</v>
      </c>
      <c r="G2017" t="s">
        <v>1080</v>
      </c>
      <c r="H2017" s="171" t="s">
        <v>1809</v>
      </c>
      <c r="I2017" t="s">
        <v>1082</v>
      </c>
      <c r="J2017">
        <v>2.54</v>
      </c>
    </row>
    <row r="2018" spans="1:10" hidden="1">
      <c r="A2018" t="s">
        <v>1807</v>
      </c>
      <c r="B2018" t="s">
        <v>1808</v>
      </c>
      <c r="C2018" t="s">
        <v>241</v>
      </c>
      <c r="D2018" t="s">
        <v>1148</v>
      </c>
      <c r="E2018" t="s">
        <v>553</v>
      </c>
      <c r="F2018" t="s">
        <v>1068</v>
      </c>
      <c r="G2018" t="s">
        <v>1083</v>
      </c>
      <c r="H2018">
        <v>-3.3626618092077998E-4</v>
      </c>
      <c r="I2018" t="s">
        <v>1084</v>
      </c>
      <c r="J2018">
        <v>2.54</v>
      </c>
    </row>
    <row r="2019" spans="1:10" hidden="1">
      <c r="A2019" t="s">
        <v>1807</v>
      </c>
      <c r="B2019" t="s">
        <v>1808</v>
      </c>
      <c r="C2019" t="s">
        <v>241</v>
      </c>
      <c r="D2019" t="s">
        <v>1148</v>
      </c>
      <c r="E2019" t="s">
        <v>553</v>
      </c>
      <c r="F2019" t="s">
        <v>1068</v>
      </c>
      <c r="G2019" t="s">
        <v>1085</v>
      </c>
      <c r="H2019">
        <v>-9.4599104319650507E-3</v>
      </c>
      <c r="I2019" t="s">
        <v>1086</v>
      </c>
      <c r="J2019">
        <v>2.54</v>
      </c>
    </row>
    <row r="2020" spans="1:10" hidden="1">
      <c r="A2020" t="s">
        <v>1807</v>
      </c>
      <c r="B2020" t="s">
        <v>1808</v>
      </c>
      <c r="C2020" t="s">
        <v>241</v>
      </c>
      <c r="D2020" t="s">
        <v>1148</v>
      </c>
      <c r="E2020" t="s">
        <v>553</v>
      </c>
      <c r="F2020" t="s">
        <v>1068</v>
      </c>
      <c r="G2020" t="s">
        <v>1087</v>
      </c>
      <c r="H2020" s="170">
        <v>-9.0622404027447903E-8</v>
      </c>
      <c r="I2020" t="s">
        <v>1088</v>
      </c>
      <c r="J2020">
        <v>2.54</v>
      </c>
    </row>
    <row r="2021" spans="1:10" hidden="1">
      <c r="A2021" t="s">
        <v>1807</v>
      </c>
      <c r="B2021" t="s">
        <v>1808</v>
      </c>
      <c r="C2021" t="s">
        <v>241</v>
      </c>
      <c r="D2021" t="s">
        <v>1148</v>
      </c>
      <c r="E2021" t="s">
        <v>553</v>
      </c>
      <c r="F2021" t="s">
        <v>1068</v>
      </c>
      <c r="G2021" t="s">
        <v>1089</v>
      </c>
      <c r="H2021">
        <v>-2.5657070024472902E-3</v>
      </c>
      <c r="I2021" t="s">
        <v>1090</v>
      </c>
      <c r="J2021">
        <v>2.54</v>
      </c>
    </row>
    <row r="2022" spans="1:10" hidden="1">
      <c r="A2022" t="s">
        <v>1810</v>
      </c>
      <c r="B2022" t="s">
        <v>1811</v>
      </c>
      <c r="C2022" t="s">
        <v>241</v>
      </c>
      <c r="D2022" t="s">
        <v>1148</v>
      </c>
      <c r="E2022" t="s">
        <v>556</v>
      </c>
      <c r="F2022" t="s">
        <v>1068</v>
      </c>
      <c r="G2022" t="s">
        <v>1069</v>
      </c>
      <c r="H2022">
        <v>-4.7892309756453803E-2</v>
      </c>
      <c r="I2022" t="s">
        <v>1070</v>
      </c>
      <c r="J2022">
        <v>3.05</v>
      </c>
    </row>
    <row r="2023" spans="1:10" hidden="1">
      <c r="A2023" t="s">
        <v>1810</v>
      </c>
      <c r="B2023" t="s">
        <v>1811</v>
      </c>
      <c r="C2023" t="s">
        <v>241</v>
      </c>
      <c r="D2023" t="s">
        <v>1148</v>
      </c>
      <c r="E2023" t="s">
        <v>556</v>
      </c>
      <c r="F2023" t="s">
        <v>1068</v>
      </c>
      <c r="G2023" t="s">
        <v>1071</v>
      </c>
      <c r="H2023" s="170">
        <v>-9.9468617525868303E-11</v>
      </c>
      <c r="I2023" t="s">
        <v>1072</v>
      </c>
      <c r="J2023">
        <v>3.05</v>
      </c>
    </row>
    <row r="2024" spans="1:10" hidden="1">
      <c r="A2024" t="s">
        <v>1810</v>
      </c>
      <c r="B2024" t="s">
        <v>1811</v>
      </c>
      <c r="C2024" t="s">
        <v>241</v>
      </c>
      <c r="D2024" t="s">
        <v>1148</v>
      </c>
      <c r="E2024" t="s">
        <v>556</v>
      </c>
      <c r="F2024" t="s">
        <v>1068</v>
      </c>
      <c r="G2024" t="s">
        <v>1073</v>
      </c>
      <c r="H2024" s="170">
        <v>-1.95085612013917E-8</v>
      </c>
      <c r="I2024" t="s">
        <v>1074</v>
      </c>
      <c r="J2024">
        <v>3.05</v>
      </c>
    </row>
    <row r="2025" spans="1:10" hidden="1">
      <c r="A2025" t="s">
        <v>1810</v>
      </c>
      <c r="B2025" t="s">
        <v>1811</v>
      </c>
      <c r="C2025" t="s">
        <v>241</v>
      </c>
      <c r="D2025" t="s">
        <v>1148</v>
      </c>
      <c r="E2025" t="s">
        <v>556</v>
      </c>
      <c r="F2025" t="s">
        <v>1068</v>
      </c>
      <c r="G2025" t="s">
        <v>1075</v>
      </c>
      <c r="H2025">
        <v>2.6282207396303402E-3</v>
      </c>
      <c r="I2025" t="s">
        <v>1077</v>
      </c>
      <c r="J2025">
        <v>3.05</v>
      </c>
    </row>
    <row r="2026" spans="1:10" hidden="1">
      <c r="A2026" t="s">
        <v>1810</v>
      </c>
      <c r="B2026" t="s">
        <v>1811</v>
      </c>
      <c r="C2026" t="s">
        <v>241</v>
      </c>
      <c r="D2026" t="s">
        <v>1148</v>
      </c>
      <c r="E2026" t="s">
        <v>556</v>
      </c>
      <c r="F2026" t="s">
        <v>1068</v>
      </c>
      <c r="G2026" t="s">
        <v>1078</v>
      </c>
      <c r="H2026">
        <v>-1.2816704575259601</v>
      </c>
      <c r="I2026" t="s">
        <v>1079</v>
      </c>
      <c r="J2026">
        <v>3.05</v>
      </c>
    </row>
    <row r="2027" spans="1:10" hidden="1">
      <c r="A2027" t="s">
        <v>1810</v>
      </c>
      <c r="B2027" t="s">
        <v>1811</v>
      </c>
      <c r="C2027" t="s">
        <v>241</v>
      </c>
      <c r="D2027" t="s">
        <v>1148</v>
      </c>
      <c r="E2027" t="s">
        <v>556</v>
      </c>
      <c r="F2027" t="s">
        <v>1068</v>
      </c>
      <c r="G2027" t="s">
        <v>1080</v>
      </c>
      <c r="H2027" s="171" t="s">
        <v>1812</v>
      </c>
      <c r="I2027" t="s">
        <v>1082</v>
      </c>
      <c r="J2027">
        <v>3.05</v>
      </c>
    </row>
    <row r="2028" spans="1:10" hidden="1">
      <c r="A2028" t="s">
        <v>1810</v>
      </c>
      <c r="B2028" t="s">
        <v>1811</v>
      </c>
      <c r="C2028" t="s">
        <v>241</v>
      </c>
      <c r="D2028" t="s">
        <v>1148</v>
      </c>
      <c r="E2028" t="s">
        <v>556</v>
      </c>
      <c r="F2028" t="s">
        <v>1068</v>
      </c>
      <c r="G2028" t="s">
        <v>1083</v>
      </c>
      <c r="H2028">
        <v>-3.3623785680832701E-4</v>
      </c>
      <c r="I2028" t="s">
        <v>1084</v>
      </c>
      <c r="J2028">
        <v>3.05</v>
      </c>
    </row>
    <row r="2029" spans="1:10" hidden="1">
      <c r="A2029" t="s">
        <v>1810</v>
      </c>
      <c r="B2029" t="s">
        <v>1811</v>
      </c>
      <c r="C2029" t="s">
        <v>241</v>
      </c>
      <c r="D2029" t="s">
        <v>1148</v>
      </c>
      <c r="E2029" t="s">
        <v>556</v>
      </c>
      <c r="F2029" t="s">
        <v>1068</v>
      </c>
      <c r="G2029" t="s">
        <v>1085</v>
      </c>
      <c r="H2029">
        <v>-9.4590100772136195E-3</v>
      </c>
      <c r="I2029" t="s">
        <v>1086</v>
      </c>
      <c r="J2029">
        <v>3.05</v>
      </c>
    </row>
    <row r="2030" spans="1:10" hidden="1">
      <c r="A2030" t="s">
        <v>1810</v>
      </c>
      <c r="B2030" t="s">
        <v>1811</v>
      </c>
      <c r="C2030" t="s">
        <v>241</v>
      </c>
      <c r="D2030" t="s">
        <v>1148</v>
      </c>
      <c r="E2030" t="s">
        <v>556</v>
      </c>
      <c r="F2030" t="s">
        <v>1068</v>
      </c>
      <c r="G2030" t="s">
        <v>1087</v>
      </c>
      <c r="H2030" s="170">
        <v>-9.0468288284415306E-8</v>
      </c>
      <c r="I2030" t="s">
        <v>1088</v>
      </c>
      <c r="J2030">
        <v>3.05</v>
      </c>
    </row>
    <row r="2031" spans="1:10" hidden="1">
      <c r="A2031" t="s">
        <v>1810</v>
      </c>
      <c r="B2031" t="s">
        <v>1811</v>
      </c>
      <c r="C2031" t="s">
        <v>241</v>
      </c>
      <c r="D2031" t="s">
        <v>1148</v>
      </c>
      <c r="E2031" t="s">
        <v>556</v>
      </c>
      <c r="F2031" t="s">
        <v>1068</v>
      </c>
      <c r="G2031" t="s">
        <v>1089</v>
      </c>
      <c r="H2031">
        <v>-2.56564112289352E-3</v>
      </c>
      <c r="I2031" t="s">
        <v>1090</v>
      </c>
      <c r="J2031">
        <v>3.05</v>
      </c>
    </row>
    <row r="2032" spans="1:10" hidden="1">
      <c r="A2032" t="s">
        <v>1813</v>
      </c>
      <c r="B2032" t="s">
        <v>1814</v>
      </c>
      <c r="C2032" t="s">
        <v>241</v>
      </c>
      <c r="D2032" t="s">
        <v>1148</v>
      </c>
      <c r="E2032" t="s">
        <v>557</v>
      </c>
      <c r="F2032" t="s">
        <v>1068</v>
      </c>
      <c r="G2032" t="s">
        <v>1069</v>
      </c>
      <c r="H2032">
        <v>-4.8018831370973701E-2</v>
      </c>
      <c r="I2032" t="s">
        <v>1070</v>
      </c>
      <c r="J2032">
        <v>3.16</v>
      </c>
    </row>
    <row r="2033" spans="1:10" hidden="1">
      <c r="A2033" t="s">
        <v>1813</v>
      </c>
      <c r="B2033" t="s">
        <v>1814</v>
      </c>
      <c r="C2033" t="s">
        <v>241</v>
      </c>
      <c r="D2033" t="s">
        <v>1148</v>
      </c>
      <c r="E2033" t="s">
        <v>557</v>
      </c>
      <c r="F2033" t="s">
        <v>1068</v>
      </c>
      <c r="G2033" t="s">
        <v>1071</v>
      </c>
      <c r="H2033" s="170">
        <v>-9.9947017007996903E-11</v>
      </c>
      <c r="I2033" t="s">
        <v>1072</v>
      </c>
      <c r="J2033">
        <v>3.16</v>
      </c>
    </row>
    <row r="2034" spans="1:10" hidden="1">
      <c r="A2034" t="s">
        <v>1813</v>
      </c>
      <c r="B2034" t="s">
        <v>1814</v>
      </c>
      <c r="C2034" t="s">
        <v>241</v>
      </c>
      <c r="D2034" t="s">
        <v>1148</v>
      </c>
      <c r="E2034" t="s">
        <v>557</v>
      </c>
      <c r="F2034" t="s">
        <v>1068</v>
      </c>
      <c r="G2034" t="s">
        <v>1073</v>
      </c>
      <c r="H2034" s="170">
        <v>-1.95565722640533E-8</v>
      </c>
      <c r="I2034" t="s">
        <v>1074</v>
      </c>
      <c r="J2034">
        <v>3.16</v>
      </c>
    </row>
    <row r="2035" spans="1:10" hidden="1">
      <c r="A2035" t="s">
        <v>1813</v>
      </c>
      <c r="B2035" t="s">
        <v>1814</v>
      </c>
      <c r="C2035" t="s">
        <v>241</v>
      </c>
      <c r="D2035" t="s">
        <v>1148</v>
      </c>
      <c r="E2035" t="s">
        <v>557</v>
      </c>
      <c r="F2035" t="s">
        <v>1068</v>
      </c>
      <c r="G2035" t="s">
        <v>1075</v>
      </c>
      <c r="H2035">
        <v>2.4841666684208498E-3</v>
      </c>
      <c r="I2035" t="s">
        <v>1077</v>
      </c>
      <c r="J2035">
        <v>3.16</v>
      </c>
    </row>
    <row r="2036" spans="1:10" hidden="1">
      <c r="A2036" t="s">
        <v>1813</v>
      </c>
      <c r="B2036" t="s">
        <v>1814</v>
      </c>
      <c r="C2036" t="s">
        <v>241</v>
      </c>
      <c r="D2036" t="s">
        <v>1148</v>
      </c>
      <c r="E2036" t="s">
        <v>557</v>
      </c>
      <c r="F2036" t="s">
        <v>1068</v>
      </c>
      <c r="G2036" t="s">
        <v>1078</v>
      </c>
      <c r="H2036">
        <v>-1.34045167478387</v>
      </c>
      <c r="I2036" t="s">
        <v>1079</v>
      </c>
      <c r="J2036">
        <v>3.16</v>
      </c>
    </row>
    <row r="2037" spans="1:10" hidden="1">
      <c r="A2037" t="s">
        <v>1813</v>
      </c>
      <c r="B2037" t="s">
        <v>1814</v>
      </c>
      <c r="C2037" t="s">
        <v>241</v>
      </c>
      <c r="D2037" t="s">
        <v>1148</v>
      </c>
      <c r="E2037" t="s">
        <v>557</v>
      </c>
      <c r="F2037" t="s">
        <v>1068</v>
      </c>
      <c r="G2037" t="s">
        <v>1080</v>
      </c>
      <c r="H2037" s="171" t="s">
        <v>1815</v>
      </c>
      <c r="I2037" t="s">
        <v>1082</v>
      </c>
      <c r="J2037">
        <v>3.16</v>
      </c>
    </row>
    <row r="2038" spans="1:10" hidden="1">
      <c r="A2038" t="s">
        <v>1813</v>
      </c>
      <c r="B2038" t="s">
        <v>1814</v>
      </c>
      <c r="C2038" t="s">
        <v>241</v>
      </c>
      <c r="D2038" t="s">
        <v>1148</v>
      </c>
      <c r="E2038" t="s">
        <v>557</v>
      </c>
      <c r="F2038" t="s">
        <v>1068</v>
      </c>
      <c r="G2038" t="s">
        <v>1083</v>
      </c>
      <c r="H2038">
        <v>-3.3625419420179302E-4</v>
      </c>
      <c r="I2038" t="s">
        <v>1084</v>
      </c>
      <c r="J2038">
        <v>3.16</v>
      </c>
    </row>
    <row r="2039" spans="1:10" hidden="1">
      <c r="A2039" t="s">
        <v>1813</v>
      </c>
      <c r="B2039" t="s">
        <v>1814</v>
      </c>
      <c r="C2039" t="s">
        <v>241</v>
      </c>
      <c r="D2039" t="s">
        <v>1148</v>
      </c>
      <c r="E2039" t="s">
        <v>557</v>
      </c>
      <c r="F2039" t="s">
        <v>1068</v>
      </c>
      <c r="G2039" t="s">
        <v>1085</v>
      </c>
      <c r="H2039">
        <v>-9.4599347949005704E-3</v>
      </c>
      <c r="I2039" t="s">
        <v>1086</v>
      </c>
      <c r="J2039">
        <v>3.16</v>
      </c>
    </row>
    <row r="2040" spans="1:10" hidden="1">
      <c r="A2040" t="s">
        <v>1813</v>
      </c>
      <c r="B2040" t="s">
        <v>1814</v>
      </c>
      <c r="C2040" t="s">
        <v>241</v>
      </c>
      <c r="D2040" t="s">
        <v>1148</v>
      </c>
      <c r="E2040" t="s">
        <v>557</v>
      </c>
      <c r="F2040" t="s">
        <v>1068</v>
      </c>
      <c r="G2040" t="s">
        <v>1087</v>
      </c>
      <c r="H2040" s="170">
        <v>-9.2025485570990102E-8</v>
      </c>
      <c r="I2040" t="s">
        <v>1088</v>
      </c>
      <c r="J2040">
        <v>3.16</v>
      </c>
    </row>
    <row r="2041" spans="1:10" hidden="1">
      <c r="A2041" t="s">
        <v>1813</v>
      </c>
      <c r="B2041" t="s">
        <v>1814</v>
      </c>
      <c r="C2041" t="s">
        <v>241</v>
      </c>
      <c r="D2041" t="s">
        <v>1148</v>
      </c>
      <c r="E2041" t="s">
        <v>557</v>
      </c>
      <c r="F2041" t="s">
        <v>1068</v>
      </c>
      <c r="G2041" t="s">
        <v>1089</v>
      </c>
      <c r="H2041">
        <v>-2.5656841836280502E-3</v>
      </c>
      <c r="I2041" t="s">
        <v>1090</v>
      </c>
      <c r="J2041">
        <v>3.16</v>
      </c>
    </row>
    <row r="2042" spans="1:10" hidden="1">
      <c r="A2042" t="s">
        <v>1816</v>
      </c>
      <c r="B2042" t="s">
        <v>1817</v>
      </c>
      <c r="C2042" t="s">
        <v>241</v>
      </c>
      <c r="D2042" t="s">
        <v>1148</v>
      </c>
      <c r="E2042" t="s">
        <v>559</v>
      </c>
      <c r="F2042" t="s">
        <v>1068</v>
      </c>
      <c r="G2042" t="s">
        <v>1069</v>
      </c>
      <c r="H2042">
        <v>-4.7947801381999E-2</v>
      </c>
      <c r="I2042" t="s">
        <v>1070</v>
      </c>
      <c r="J2042">
        <v>2.57</v>
      </c>
    </row>
    <row r="2043" spans="1:10" hidden="1">
      <c r="A2043" t="s">
        <v>1816</v>
      </c>
      <c r="B2043" t="s">
        <v>1817</v>
      </c>
      <c r="C2043" t="s">
        <v>241</v>
      </c>
      <c r="D2043" t="s">
        <v>1148</v>
      </c>
      <c r="E2043" t="s">
        <v>559</v>
      </c>
      <c r="F2043" t="s">
        <v>1068</v>
      </c>
      <c r="G2043" t="s">
        <v>1071</v>
      </c>
      <c r="H2043" s="170">
        <v>-9.9800140020995302E-11</v>
      </c>
      <c r="I2043" t="s">
        <v>1072</v>
      </c>
      <c r="J2043">
        <v>2.57</v>
      </c>
    </row>
    <row r="2044" spans="1:10" hidden="1">
      <c r="A2044" t="s">
        <v>1816</v>
      </c>
      <c r="B2044" t="s">
        <v>1817</v>
      </c>
      <c r="C2044" t="s">
        <v>241</v>
      </c>
      <c r="D2044" t="s">
        <v>1148</v>
      </c>
      <c r="E2044" t="s">
        <v>559</v>
      </c>
      <c r="F2044" t="s">
        <v>1068</v>
      </c>
      <c r="G2044" t="s">
        <v>1073</v>
      </c>
      <c r="H2044" s="170">
        <v>-1.9535490568988E-8</v>
      </c>
      <c r="I2044" t="s">
        <v>1074</v>
      </c>
      <c r="J2044">
        <v>2.57</v>
      </c>
    </row>
    <row r="2045" spans="1:10" hidden="1">
      <c r="A2045" t="s">
        <v>1816</v>
      </c>
      <c r="B2045" t="s">
        <v>1817</v>
      </c>
      <c r="C2045" t="s">
        <v>241</v>
      </c>
      <c r="D2045" t="s">
        <v>1148</v>
      </c>
      <c r="E2045" t="s">
        <v>559</v>
      </c>
      <c r="F2045" t="s">
        <v>1068</v>
      </c>
      <c r="G2045" t="s">
        <v>1075</v>
      </c>
      <c r="H2045">
        <v>2.5161486354458502E-3</v>
      </c>
      <c r="I2045" t="s">
        <v>1077</v>
      </c>
      <c r="J2045">
        <v>2.57</v>
      </c>
    </row>
    <row r="2046" spans="1:10" hidden="1">
      <c r="A2046" t="s">
        <v>1816</v>
      </c>
      <c r="B2046" t="s">
        <v>1817</v>
      </c>
      <c r="C2046" t="s">
        <v>241</v>
      </c>
      <c r="D2046" t="s">
        <v>1148</v>
      </c>
      <c r="E2046" t="s">
        <v>559</v>
      </c>
      <c r="F2046" t="s">
        <v>1068</v>
      </c>
      <c r="G2046" t="s">
        <v>1078</v>
      </c>
      <c r="H2046">
        <v>-1.3277684187324199</v>
      </c>
      <c r="I2046" t="s">
        <v>1079</v>
      </c>
      <c r="J2046">
        <v>2.57</v>
      </c>
    </row>
    <row r="2047" spans="1:10" hidden="1">
      <c r="A2047" t="s">
        <v>1816</v>
      </c>
      <c r="B2047" t="s">
        <v>1817</v>
      </c>
      <c r="C2047" t="s">
        <v>241</v>
      </c>
      <c r="D2047" t="s">
        <v>1148</v>
      </c>
      <c r="E2047" t="s">
        <v>559</v>
      </c>
      <c r="F2047" t="s">
        <v>1068</v>
      </c>
      <c r="G2047" t="s">
        <v>1080</v>
      </c>
      <c r="H2047" s="171" t="s">
        <v>1818</v>
      </c>
      <c r="I2047" t="s">
        <v>1082</v>
      </c>
      <c r="J2047">
        <v>2.57</v>
      </c>
    </row>
    <row r="2048" spans="1:10" hidden="1">
      <c r="A2048" t="s">
        <v>1816</v>
      </c>
      <c r="B2048" t="s">
        <v>1817</v>
      </c>
      <c r="C2048" t="s">
        <v>241</v>
      </c>
      <c r="D2048" t="s">
        <v>1148</v>
      </c>
      <c r="E2048" t="s">
        <v>559</v>
      </c>
      <c r="F2048" t="s">
        <v>1068</v>
      </c>
      <c r="G2048" t="s">
        <v>1083</v>
      </c>
      <c r="H2048">
        <v>-3.3624632432088098E-4</v>
      </c>
      <c r="I2048" t="s">
        <v>1084</v>
      </c>
      <c r="J2048">
        <v>2.57</v>
      </c>
    </row>
    <row r="2049" spans="1:10" hidden="1">
      <c r="A2049" t="s">
        <v>1816</v>
      </c>
      <c r="B2049" t="s">
        <v>1817</v>
      </c>
      <c r="C2049" t="s">
        <v>241</v>
      </c>
      <c r="D2049" t="s">
        <v>1148</v>
      </c>
      <c r="E2049" t="s">
        <v>559</v>
      </c>
      <c r="F2049" t="s">
        <v>1068</v>
      </c>
      <c r="G2049" t="s">
        <v>1085</v>
      </c>
      <c r="H2049">
        <v>-9.45968601208577E-3</v>
      </c>
      <c r="I2049" t="s">
        <v>1086</v>
      </c>
      <c r="J2049">
        <v>2.57</v>
      </c>
    </row>
    <row r="2050" spans="1:10" hidden="1">
      <c r="A2050" t="s">
        <v>1816</v>
      </c>
      <c r="B2050" t="s">
        <v>1817</v>
      </c>
      <c r="C2050" t="s">
        <v>241</v>
      </c>
      <c r="D2050" t="s">
        <v>1148</v>
      </c>
      <c r="E2050" t="s">
        <v>559</v>
      </c>
      <c r="F2050" t="s">
        <v>1068</v>
      </c>
      <c r="G2050" t="s">
        <v>1087</v>
      </c>
      <c r="H2050" s="170">
        <v>-9.0514097969007101E-8</v>
      </c>
      <c r="I2050" t="s">
        <v>1088</v>
      </c>
      <c r="J2050">
        <v>2.57</v>
      </c>
    </row>
    <row r="2051" spans="1:10" hidden="1">
      <c r="A2051" t="s">
        <v>1816</v>
      </c>
      <c r="B2051" t="s">
        <v>1817</v>
      </c>
      <c r="C2051" t="s">
        <v>241</v>
      </c>
      <c r="D2051" t="s">
        <v>1148</v>
      </c>
      <c r="E2051" t="s">
        <v>559</v>
      </c>
      <c r="F2051" t="s">
        <v>1068</v>
      </c>
      <c r="G2051" t="s">
        <v>1089</v>
      </c>
      <c r="H2051">
        <v>-2.5656607050693601E-3</v>
      </c>
      <c r="I2051" t="s">
        <v>1090</v>
      </c>
      <c r="J2051">
        <v>2.57</v>
      </c>
    </row>
    <row r="2052" spans="1:10" hidden="1">
      <c r="A2052" t="s">
        <v>1819</v>
      </c>
      <c r="B2052" t="s">
        <v>1820</v>
      </c>
      <c r="C2052" t="s">
        <v>241</v>
      </c>
      <c r="D2052" t="s">
        <v>1148</v>
      </c>
      <c r="E2052" t="s">
        <v>560</v>
      </c>
      <c r="F2052" t="s">
        <v>1068</v>
      </c>
      <c r="G2052" t="s">
        <v>1069</v>
      </c>
      <c r="H2052">
        <v>-4.7984780293324002E-2</v>
      </c>
      <c r="I2052" t="s">
        <v>1070</v>
      </c>
      <c r="J2052">
        <v>2.5499999999999998</v>
      </c>
    </row>
    <row r="2053" spans="1:10" hidden="1">
      <c r="A2053" t="s">
        <v>1819</v>
      </c>
      <c r="B2053" t="s">
        <v>1820</v>
      </c>
      <c r="C2053" t="s">
        <v>241</v>
      </c>
      <c r="D2053" t="s">
        <v>1148</v>
      </c>
      <c r="E2053" t="s">
        <v>560</v>
      </c>
      <c r="F2053" t="s">
        <v>1068</v>
      </c>
      <c r="G2053" t="s">
        <v>1071</v>
      </c>
      <c r="H2053" s="170">
        <v>-9.9898289528411402E-11</v>
      </c>
      <c r="I2053" t="s">
        <v>1072</v>
      </c>
      <c r="J2053">
        <v>2.5499999999999998</v>
      </c>
    </row>
    <row r="2054" spans="1:10" hidden="1">
      <c r="A2054" t="s">
        <v>1819</v>
      </c>
      <c r="B2054" t="s">
        <v>1820</v>
      </c>
      <c r="C2054" t="s">
        <v>241</v>
      </c>
      <c r="D2054" t="s">
        <v>1148</v>
      </c>
      <c r="E2054" t="s">
        <v>560</v>
      </c>
      <c r="F2054" t="s">
        <v>1068</v>
      </c>
      <c r="G2054" t="s">
        <v>1073</v>
      </c>
      <c r="H2054" s="170">
        <v>-1.9544477213524101E-8</v>
      </c>
      <c r="I2054" t="s">
        <v>1074</v>
      </c>
      <c r="J2054">
        <v>2.5499999999999998</v>
      </c>
    </row>
    <row r="2055" spans="1:10" hidden="1">
      <c r="A2055" t="s">
        <v>1819</v>
      </c>
      <c r="B2055" t="s">
        <v>1820</v>
      </c>
      <c r="C2055" t="s">
        <v>241</v>
      </c>
      <c r="D2055" t="s">
        <v>1148</v>
      </c>
      <c r="E2055" t="s">
        <v>560</v>
      </c>
      <c r="F2055" t="s">
        <v>1068</v>
      </c>
      <c r="G2055" t="s">
        <v>1075</v>
      </c>
      <c r="H2055">
        <v>2.4852430593594699E-3</v>
      </c>
      <c r="I2055" t="s">
        <v>1077</v>
      </c>
      <c r="J2055">
        <v>2.5499999999999998</v>
      </c>
    </row>
    <row r="2056" spans="1:10" hidden="1">
      <c r="A2056" t="s">
        <v>1819</v>
      </c>
      <c r="B2056" t="s">
        <v>1820</v>
      </c>
      <c r="C2056" t="s">
        <v>241</v>
      </c>
      <c r="D2056" t="s">
        <v>1148</v>
      </c>
      <c r="E2056" t="s">
        <v>560</v>
      </c>
      <c r="F2056" t="s">
        <v>1068</v>
      </c>
      <c r="G2056" t="s">
        <v>1078</v>
      </c>
      <c r="H2056">
        <v>-1.3404051274876601</v>
      </c>
      <c r="I2056" t="s">
        <v>1079</v>
      </c>
      <c r="J2056">
        <v>2.5499999999999998</v>
      </c>
    </row>
    <row r="2057" spans="1:10" hidden="1">
      <c r="A2057" t="s">
        <v>1819</v>
      </c>
      <c r="B2057" t="s">
        <v>1820</v>
      </c>
      <c r="C2057" t="s">
        <v>241</v>
      </c>
      <c r="D2057" t="s">
        <v>1148</v>
      </c>
      <c r="E2057" t="s">
        <v>560</v>
      </c>
      <c r="F2057" t="s">
        <v>1068</v>
      </c>
      <c r="G2057" t="s">
        <v>1080</v>
      </c>
      <c r="H2057" s="171" t="s">
        <v>1821</v>
      </c>
      <c r="I2057" t="s">
        <v>1082</v>
      </c>
      <c r="J2057">
        <v>2.5499999999999998</v>
      </c>
    </row>
    <row r="2058" spans="1:10" hidden="1">
      <c r="A2058" t="s">
        <v>1819</v>
      </c>
      <c r="B2058" t="s">
        <v>1820</v>
      </c>
      <c r="C2058" t="s">
        <v>241</v>
      </c>
      <c r="D2058" t="s">
        <v>1148</v>
      </c>
      <c r="E2058" t="s">
        <v>560</v>
      </c>
      <c r="F2058" t="s">
        <v>1068</v>
      </c>
      <c r="G2058" t="s">
        <v>1083</v>
      </c>
      <c r="H2058">
        <v>-3.3624901841595501E-4</v>
      </c>
      <c r="I2058" t="s">
        <v>1084</v>
      </c>
      <c r="J2058">
        <v>2.5499999999999998</v>
      </c>
    </row>
    <row r="2059" spans="1:10" hidden="1">
      <c r="A2059" t="s">
        <v>1819</v>
      </c>
      <c r="B2059" t="s">
        <v>1820</v>
      </c>
      <c r="C2059" t="s">
        <v>241</v>
      </c>
      <c r="D2059" t="s">
        <v>1148</v>
      </c>
      <c r="E2059" t="s">
        <v>560</v>
      </c>
      <c r="F2059" t="s">
        <v>1068</v>
      </c>
      <c r="G2059" t="s">
        <v>1085</v>
      </c>
      <c r="H2059">
        <v>-9.4598762980159599E-3</v>
      </c>
      <c r="I2059" t="s">
        <v>1086</v>
      </c>
      <c r="J2059">
        <v>2.5499999999999998</v>
      </c>
    </row>
    <row r="2060" spans="1:10" hidden="1">
      <c r="A2060" t="s">
        <v>1819</v>
      </c>
      <c r="B2060" t="s">
        <v>1820</v>
      </c>
      <c r="C2060" t="s">
        <v>241</v>
      </c>
      <c r="D2060" t="s">
        <v>1148</v>
      </c>
      <c r="E2060" t="s">
        <v>560</v>
      </c>
      <c r="F2060" t="s">
        <v>1068</v>
      </c>
      <c r="G2060" t="s">
        <v>1087</v>
      </c>
      <c r="H2060" s="170">
        <v>-9.1997254707381495E-8</v>
      </c>
      <c r="I2060" t="s">
        <v>1088</v>
      </c>
      <c r="J2060">
        <v>2.5499999999999998</v>
      </c>
    </row>
    <row r="2061" spans="1:10" hidden="1">
      <c r="A2061" t="s">
        <v>1819</v>
      </c>
      <c r="B2061" t="s">
        <v>1820</v>
      </c>
      <c r="C2061" t="s">
        <v>241</v>
      </c>
      <c r="D2061" t="s">
        <v>1148</v>
      </c>
      <c r="E2061" t="s">
        <v>560</v>
      </c>
      <c r="F2061" t="s">
        <v>1068</v>
      </c>
      <c r="G2061" t="s">
        <v>1089</v>
      </c>
      <c r="H2061">
        <v>-2.56567211583626E-3</v>
      </c>
      <c r="I2061" t="s">
        <v>1090</v>
      </c>
      <c r="J2061">
        <v>2.5499999999999998</v>
      </c>
    </row>
    <row r="2062" spans="1:10" hidden="1">
      <c r="A2062" t="s">
        <v>1822</v>
      </c>
      <c r="B2062" t="s">
        <v>1823</v>
      </c>
      <c r="C2062" t="s">
        <v>241</v>
      </c>
      <c r="D2062" t="s">
        <v>1148</v>
      </c>
      <c r="E2062" t="s">
        <v>1116</v>
      </c>
      <c r="F2062" t="s">
        <v>1068</v>
      </c>
      <c r="G2062" t="s">
        <v>1069</v>
      </c>
      <c r="H2062">
        <v>-4.8088128738080299E-2</v>
      </c>
      <c r="I2062" t="s">
        <v>1070</v>
      </c>
      <c r="J2062">
        <v>2.54</v>
      </c>
    </row>
    <row r="2063" spans="1:10" hidden="1">
      <c r="A2063" t="s">
        <v>1822</v>
      </c>
      <c r="B2063" t="s">
        <v>1823</v>
      </c>
      <c r="C2063" t="s">
        <v>241</v>
      </c>
      <c r="D2063" t="s">
        <v>1148</v>
      </c>
      <c r="E2063" t="s">
        <v>1116</v>
      </c>
      <c r="F2063" t="s">
        <v>1068</v>
      </c>
      <c r="G2063" t="s">
        <v>1071</v>
      </c>
      <c r="H2063" s="170">
        <v>-1.00046182328641E-10</v>
      </c>
      <c r="I2063" t="s">
        <v>1072</v>
      </c>
      <c r="J2063">
        <v>2.54</v>
      </c>
    </row>
    <row r="2064" spans="1:10" hidden="1">
      <c r="A2064" t="s">
        <v>1822</v>
      </c>
      <c r="B2064" t="s">
        <v>1823</v>
      </c>
      <c r="C2064" t="s">
        <v>241</v>
      </c>
      <c r="D2064" t="s">
        <v>1148</v>
      </c>
      <c r="E2064" t="s">
        <v>1116</v>
      </c>
      <c r="F2064" t="s">
        <v>1068</v>
      </c>
      <c r="G2064" t="s">
        <v>1073</v>
      </c>
      <c r="H2064" s="170">
        <v>-1.9581186908115999E-8</v>
      </c>
      <c r="I2064" t="s">
        <v>1074</v>
      </c>
      <c r="J2064">
        <v>2.54</v>
      </c>
    </row>
    <row r="2065" spans="1:10" hidden="1">
      <c r="A2065" t="s">
        <v>1822</v>
      </c>
      <c r="B2065" t="s">
        <v>1823</v>
      </c>
      <c r="C2065" t="s">
        <v>241</v>
      </c>
      <c r="D2065" t="s">
        <v>1148</v>
      </c>
      <c r="E2065" t="s">
        <v>1116</v>
      </c>
      <c r="F2065" t="s">
        <v>1068</v>
      </c>
      <c r="G2065" t="s">
        <v>1075</v>
      </c>
      <c r="H2065">
        <v>2.4819761046167401E-3</v>
      </c>
      <c r="I2065" t="s">
        <v>1077</v>
      </c>
      <c r="J2065">
        <v>2.54</v>
      </c>
    </row>
    <row r="2066" spans="1:10" hidden="1">
      <c r="A2066" t="s">
        <v>1822</v>
      </c>
      <c r="B2066" t="s">
        <v>1823</v>
      </c>
      <c r="C2066" t="s">
        <v>241</v>
      </c>
      <c r="D2066" t="s">
        <v>1148</v>
      </c>
      <c r="E2066" t="s">
        <v>1116</v>
      </c>
      <c r="F2066" t="s">
        <v>1068</v>
      </c>
      <c r="G2066" t="s">
        <v>1078</v>
      </c>
      <c r="H2066">
        <v>-1.3405464032126699</v>
      </c>
      <c r="I2066" t="s">
        <v>1079</v>
      </c>
      <c r="J2066">
        <v>2.54</v>
      </c>
    </row>
    <row r="2067" spans="1:10" hidden="1">
      <c r="A2067" t="s">
        <v>1822</v>
      </c>
      <c r="B2067" t="s">
        <v>1823</v>
      </c>
      <c r="C2067" t="s">
        <v>241</v>
      </c>
      <c r="D2067" t="s">
        <v>1148</v>
      </c>
      <c r="E2067" t="s">
        <v>1116</v>
      </c>
      <c r="F2067" t="s">
        <v>1068</v>
      </c>
      <c r="G2067" t="s">
        <v>1080</v>
      </c>
      <c r="H2067" s="171" t="s">
        <v>1824</v>
      </c>
      <c r="I2067" t="s">
        <v>1082</v>
      </c>
      <c r="J2067">
        <v>2.54</v>
      </c>
    </row>
    <row r="2068" spans="1:10" hidden="1">
      <c r="A2068" t="s">
        <v>1822</v>
      </c>
      <c r="B2068" t="s">
        <v>1823</v>
      </c>
      <c r="C2068" t="s">
        <v>241</v>
      </c>
      <c r="D2068" t="s">
        <v>1148</v>
      </c>
      <c r="E2068" t="s">
        <v>1116</v>
      </c>
      <c r="F2068" t="s">
        <v>1068</v>
      </c>
      <c r="G2068" t="s">
        <v>1083</v>
      </c>
      <c r="H2068">
        <v>-3.36264727446472E-4</v>
      </c>
      <c r="I2068" t="s">
        <v>1084</v>
      </c>
      <c r="J2068">
        <v>2.54</v>
      </c>
    </row>
    <row r="2069" spans="1:10" hidden="1">
      <c r="A2069" t="s">
        <v>1822</v>
      </c>
      <c r="B2069" t="s">
        <v>1823</v>
      </c>
      <c r="C2069" t="s">
        <v>241</v>
      </c>
      <c r="D2069" t="s">
        <v>1148</v>
      </c>
      <c r="E2069" t="s">
        <v>1116</v>
      </c>
      <c r="F2069" t="s">
        <v>1068</v>
      </c>
      <c r="G2069" t="s">
        <v>1085</v>
      </c>
      <c r="H2069">
        <v>-9.4600538419434207E-3</v>
      </c>
      <c r="I2069" t="s">
        <v>1086</v>
      </c>
      <c r="J2069">
        <v>2.54</v>
      </c>
    </row>
    <row r="2070" spans="1:10" hidden="1">
      <c r="A2070" t="s">
        <v>1822</v>
      </c>
      <c r="B2070" t="s">
        <v>1823</v>
      </c>
      <c r="C2070" t="s">
        <v>241</v>
      </c>
      <c r="D2070" t="s">
        <v>1148</v>
      </c>
      <c r="E2070" t="s">
        <v>1116</v>
      </c>
      <c r="F2070" t="s">
        <v>1068</v>
      </c>
      <c r="G2070" t="s">
        <v>1087</v>
      </c>
      <c r="H2070" s="170">
        <v>-9.2082938217445499E-8</v>
      </c>
      <c r="I2070" t="s">
        <v>1088</v>
      </c>
      <c r="J2070">
        <v>2.54</v>
      </c>
    </row>
    <row r="2071" spans="1:10" hidden="1">
      <c r="A2071" t="s">
        <v>1822</v>
      </c>
      <c r="B2071" t="s">
        <v>1823</v>
      </c>
      <c r="C2071" t="s">
        <v>241</v>
      </c>
      <c r="D2071" t="s">
        <v>1148</v>
      </c>
      <c r="E2071" t="s">
        <v>1116</v>
      </c>
      <c r="F2071" t="s">
        <v>1068</v>
      </c>
      <c r="G2071" t="s">
        <v>1089</v>
      </c>
      <c r="H2071">
        <v>-2.5657087427978999E-3</v>
      </c>
      <c r="I2071" t="s">
        <v>1090</v>
      </c>
      <c r="J2071">
        <v>2.54</v>
      </c>
    </row>
    <row r="2072" spans="1:10" hidden="1">
      <c r="A2072" t="s">
        <v>1825</v>
      </c>
      <c r="B2072" t="s">
        <v>1826</v>
      </c>
      <c r="C2072" t="s">
        <v>241</v>
      </c>
      <c r="D2072" t="s">
        <v>1179</v>
      </c>
      <c r="E2072" t="s">
        <v>561</v>
      </c>
      <c r="F2072" t="s">
        <v>1068</v>
      </c>
      <c r="G2072" t="s">
        <v>1069</v>
      </c>
      <c r="H2072">
        <v>-7.8500676639152694E-2</v>
      </c>
      <c r="I2072" t="s">
        <v>1070</v>
      </c>
      <c r="J2072">
        <v>2.54</v>
      </c>
    </row>
    <row r="2073" spans="1:10" hidden="1">
      <c r="A2073" t="s">
        <v>1825</v>
      </c>
      <c r="B2073" t="s">
        <v>1826</v>
      </c>
      <c r="C2073" t="s">
        <v>241</v>
      </c>
      <c r="D2073" t="s">
        <v>1179</v>
      </c>
      <c r="E2073" t="s">
        <v>561</v>
      </c>
      <c r="F2073" t="s">
        <v>1068</v>
      </c>
      <c r="G2073" t="s">
        <v>1071</v>
      </c>
      <c r="H2073" s="170">
        <v>-1.87496595710714E-10</v>
      </c>
      <c r="I2073" t="s">
        <v>1072</v>
      </c>
      <c r="J2073">
        <v>2.54</v>
      </c>
    </row>
    <row r="2074" spans="1:10" hidden="1">
      <c r="A2074" t="s">
        <v>1825</v>
      </c>
      <c r="B2074" t="s">
        <v>1826</v>
      </c>
      <c r="C2074" t="s">
        <v>241</v>
      </c>
      <c r="D2074" t="s">
        <v>1179</v>
      </c>
      <c r="E2074" t="s">
        <v>561</v>
      </c>
      <c r="F2074" t="s">
        <v>1068</v>
      </c>
      <c r="G2074" t="s">
        <v>1073</v>
      </c>
      <c r="H2074" s="170">
        <v>-3.2161426735690297E-8</v>
      </c>
      <c r="I2074" t="s">
        <v>1074</v>
      </c>
      <c r="J2074">
        <v>2.54</v>
      </c>
    </row>
    <row r="2075" spans="1:10" hidden="1">
      <c r="A2075" t="s">
        <v>1825</v>
      </c>
      <c r="B2075" t="s">
        <v>1826</v>
      </c>
      <c r="C2075" t="s">
        <v>241</v>
      </c>
      <c r="D2075" t="s">
        <v>1179</v>
      </c>
      <c r="E2075" t="s">
        <v>561</v>
      </c>
      <c r="F2075" t="s">
        <v>1068</v>
      </c>
      <c r="G2075" t="s">
        <v>1075</v>
      </c>
      <c r="H2075" s="171" t="s">
        <v>1827</v>
      </c>
      <c r="I2075" t="s">
        <v>1077</v>
      </c>
      <c r="J2075">
        <v>2.54</v>
      </c>
    </row>
    <row r="2076" spans="1:10" hidden="1">
      <c r="A2076" t="s">
        <v>1825</v>
      </c>
      <c r="B2076" t="s">
        <v>1826</v>
      </c>
      <c r="C2076" t="s">
        <v>241</v>
      </c>
      <c r="D2076" t="s">
        <v>1179</v>
      </c>
      <c r="E2076" t="s">
        <v>561</v>
      </c>
      <c r="F2076" t="s">
        <v>1068</v>
      </c>
      <c r="G2076" t="s">
        <v>1078</v>
      </c>
      <c r="H2076">
        <v>-0.42350258527642498</v>
      </c>
      <c r="I2076" t="s">
        <v>1079</v>
      </c>
      <c r="J2076">
        <v>2.54</v>
      </c>
    </row>
    <row r="2077" spans="1:10" hidden="1">
      <c r="A2077" t="s">
        <v>1825</v>
      </c>
      <c r="B2077" t="s">
        <v>1826</v>
      </c>
      <c r="C2077" t="s">
        <v>241</v>
      </c>
      <c r="D2077" t="s">
        <v>1179</v>
      </c>
      <c r="E2077" t="s">
        <v>561</v>
      </c>
      <c r="F2077" t="s">
        <v>1068</v>
      </c>
      <c r="G2077" t="s">
        <v>1080</v>
      </c>
      <c r="H2077" s="171" t="s">
        <v>1828</v>
      </c>
      <c r="I2077" t="s">
        <v>1082</v>
      </c>
      <c r="J2077">
        <v>2.54</v>
      </c>
    </row>
    <row r="2078" spans="1:10" hidden="1">
      <c r="A2078" t="s">
        <v>1825</v>
      </c>
      <c r="B2078" t="s">
        <v>1826</v>
      </c>
      <c r="C2078" t="s">
        <v>241</v>
      </c>
      <c r="D2078" t="s">
        <v>1179</v>
      </c>
      <c r="E2078" t="s">
        <v>561</v>
      </c>
      <c r="F2078" t="s">
        <v>1068</v>
      </c>
      <c r="G2078" t="s">
        <v>1083</v>
      </c>
      <c r="H2078">
        <v>-3.6070181892997798E-4</v>
      </c>
      <c r="I2078" t="s">
        <v>1084</v>
      </c>
      <c r="J2078">
        <v>2.54</v>
      </c>
    </row>
    <row r="2079" spans="1:10" hidden="1">
      <c r="A2079" t="s">
        <v>1825</v>
      </c>
      <c r="B2079" t="s">
        <v>1826</v>
      </c>
      <c r="C2079" t="s">
        <v>241</v>
      </c>
      <c r="D2079" t="s">
        <v>1179</v>
      </c>
      <c r="E2079" t="s">
        <v>561</v>
      </c>
      <c r="F2079" t="s">
        <v>1068</v>
      </c>
      <c r="G2079" t="s">
        <v>1085</v>
      </c>
      <c r="H2079">
        <v>-9.9083594768272602E-3</v>
      </c>
      <c r="I2079" t="s">
        <v>1086</v>
      </c>
      <c r="J2079">
        <v>2.54</v>
      </c>
    </row>
    <row r="2080" spans="1:10" hidden="1">
      <c r="A2080" t="s">
        <v>1825</v>
      </c>
      <c r="B2080" t="s">
        <v>1826</v>
      </c>
      <c r="C2080" t="s">
        <v>241</v>
      </c>
      <c r="D2080" t="s">
        <v>1179</v>
      </c>
      <c r="E2080" t="s">
        <v>561</v>
      </c>
      <c r="F2080" t="s">
        <v>1068</v>
      </c>
      <c r="G2080" t="s">
        <v>1087</v>
      </c>
      <c r="H2080" s="170">
        <v>-2.8530130253781E-5</v>
      </c>
      <c r="I2080" t="s">
        <v>1088</v>
      </c>
      <c r="J2080">
        <v>2.54</v>
      </c>
    </row>
    <row r="2081" spans="1:10" hidden="1">
      <c r="A2081" t="s">
        <v>1825</v>
      </c>
      <c r="B2081" t="s">
        <v>1826</v>
      </c>
      <c r="C2081" t="s">
        <v>241</v>
      </c>
      <c r="D2081" t="s">
        <v>1179</v>
      </c>
      <c r="E2081" t="s">
        <v>561</v>
      </c>
      <c r="F2081" t="s">
        <v>1068</v>
      </c>
      <c r="G2081" t="s">
        <v>1089</v>
      </c>
      <c r="H2081">
        <v>-2.59135247704608E-3</v>
      </c>
      <c r="I2081" t="s">
        <v>1090</v>
      </c>
      <c r="J2081">
        <v>2.54</v>
      </c>
    </row>
    <row r="2082" spans="1:10" hidden="1">
      <c r="A2082" t="s">
        <v>1829</v>
      </c>
      <c r="B2082" t="s">
        <v>1830</v>
      </c>
      <c r="C2082" t="s">
        <v>241</v>
      </c>
      <c r="D2082" t="s">
        <v>1179</v>
      </c>
      <c r="E2082" t="s">
        <v>555</v>
      </c>
      <c r="F2082" t="s">
        <v>1068</v>
      </c>
      <c r="G2082" t="s">
        <v>1069</v>
      </c>
      <c r="H2082">
        <v>-7.8398419812574005E-2</v>
      </c>
      <c r="I2082" t="s">
        <v>1070</v>
      </c>
      <c r="J2082">
        <v>2.54</v>
      </c>
    </row>
    <row r="2083" spans="1:10" hidden="1">
      <c r="A2083" t="s">
        <v>1829</v>
      </c>
      <c r="B2083" t="s">
        <v>1830</v>
      </c>
      <c r="C2083" t="s">
        <v>241</v>
      </c>
      <c r="D2083" t="s">
        <v>1179</v>
      </c>
      <c r="E2083" t="s">
        <v>555</v>
      </c>
      <c r="F2083" t="s">
        <v>1068</v>
      </c>
      <c r="G2083" t="s">
        <v>1071</v>
      </c>
      <c r="H2083" s="170">
        <v>-1.8734993438254899E-10</v>
      </c>
      <c r="I2083" t="s">
        <v>1072</v>
      </c>
      <c r="J2083">
        <v>2.54</v>
      </c>
    </row>
    <row r="2084" spans="1:10" hidden="1">
      <c r="A2084" t="s">
        <v>1829</v>
      </c>
      <c r="B2084" t="s">
        <v>1830</v>
      </c>
      <c r="C2084" t="s">
        <v>241</v>
      </c>
      <c r="D2084" t="s">
        <v>1179</v>
      </c>
      <c r="E2084" t="s">
        <v>555</v>
      </c>
      <c r="F2084" t="s">
        <v>1068</v>
      </c>
      <c r="G2084" t="s">
        <v>1073</v>
      </c>
      <c r="H2084" s="170">
        <v>-3.2125135111826903E-8</v>
      </c>
      <c r="I2084" t="s">
        <v>1074</v>
      </c>
      <c r="J2084">
        <v>2.54</v>
      </c>
    </row>
    <row r="2085" spans="1:10" hidden="1">
      <c r="A2085" t="s">
        <v>1829</v>
      </c>
      <c r="B2085" t="s">
        <v>1830</v>
      </c>
      <c r="C2085" t="s">
        <v>241</v>
      </c>
      <c r="D2085" t="s">
        <v>1179</v>
      </c>
      <c r="E2085" t="s">
        <v>555</v>
      </c>
      <c r="F2085" t="s">
        <v>1068</v>
      </c>
      <c r="G2085" t="s">
        <v>1075</v>
      </c>
      <c r="H2085" s="171" t="s">
        <v>1831</v>
      </c>
      <c r="I2085" t="s">
        <v>1077</v>
      </c>
      <c r="J2085">
        <v>2.54</v>
      </c>
    </row>
    <row r="2086" spans="1:10" hidden="1">
      <c r="A2086" t="s">
        <v>1829</v>
      </c>
      <c r="B2086" t="s">
        <v>1830</v>
      </c>
      <c r="C2086" t="s">
        <v>241</v>
      </c>
      <c r="D2086" t="s">
        <v>1179</v>
      </c>
      <c r="E2086" t="s">
        <v>555</v>
      </c>
      <c r="F2086" t="s">
        <v>1068</v>
      </c>
      <c r="G2086" t="s">
        <v>1078</v>
      </c>
      <c r="H2086">
        <v>-0.42327079747823898</v>
      </c>
      <c r="I2086" t="s">
        <v>1079</v>
      </c>
      <c r="J2086">
        <v>2.54</v>
      </c>
    </row>
    <row r="2087" spans="1:10" hidden="1">
      <c r="A2087" t="s">
        <v>1829</v>
      </c>
      <c r="B2087" t="s">
        <v>1830</v>
      </c>
      <c r="C2087" t="s">
        <v>241</v>
      </c>
      <c r="D2087" t="s">
        <v>1179</v>
      </c>
      <c r="E2087" t="s">
        <v>555</v>
      </c>
      <c r="F2087" t="s">
        <v>1068</v>
      </c>
      <c r="G2087" t="s">
        <v>1080</v>
      </c>
      <c r="H2087" s="171" t="s">
        <v>1832</v>
      </c>
      <c r="I2087" t="s">
        <v>1082</v>
      </c>
      <c r="J2087">
        <v>2.54</v>
      </c>
    </row>
    <row r="2088" spans="1:10" hidden="1">
      <c r="A2088" t="s">
        <v>1829</v>
      </c>
      <c r="B2088" t="s">
        <v>1830</v>
      </c>
      <c r="C2088" t="s">
        <v>241</v>
      </c>
      <c r="D2088" t="s">
        <v>1179</v>
      </c>
      <c r="E2088" t="s">
        <v>555</v>
      </c>
      <c r="F2088" t="s">
        <v>1068</v>
      </c>
      <c r="G2088" t="s">
        <v>1083</v>
      </c>
      <c r="H2088">
        <v>-3.60686297220356E-4</v>
      </c>
      <c r="I2088" t="s">
        <v>1084</v>
      </c>
      <c r="J2088">
        <v>2.54</v>
      </c>
    </row>
    <row r="2089" spans="1:10" hidden="1">
      <c r="A2089" t="s">
        <v>1829</v>
      </c>
      <c r="B2089" t="s">
        <v>1830</v>
      </c>
      <c r="C2089" t="s">
        <v>241</v>
      </c>
      <c r="D2089" t="s">
        <v>1179</v>
      </c>
      <c r="E2089" t="s">
        <v>555</v>
      </c>
      <c r="F2089" t="s">
        <v>1068</v>
      </c>
      <c r="G2089" t="s">
        <v>1085</v>
      </c>
      <c r="H2089">
        <v>-9.9081828816029206E-3</v>
      </c>
      <c r="I2089" t="s">
        <v>1086</v>
      </c>
      <c r="J2089">
        <v>2.54</v>
      </c>
    </row>
    <row r="2090" spans="1:10" hidden="1">
      <c r="A2090" t="s">
        <v>1829</v>
      </c>
      <c r="B2090" t="s">
        <v>1830</v>
      </c>
      <c r="C2090" t="s">
        <v>241</v>
      </c>
      <c r="D2090" t="s">
        <v>1179</v>
      </c>
      <c r="E2090" t="s">
        <v>555</v>
      </c>
      <c r="F2090" t="s">
        <v>1068</v>
      </c>
      <c r="G2090" t="s">
        <v>1087</v>
      </c>
      <c r="H2090" s="170">
        <v>-2.8530034857599899E-5</v>
      </c>
      <c r="I2090" t="s">
        <v>1088</v>
      </c>
      <c r="J2090">
        <v>2.54</v>
      </c>
    </row>
    <row r="2091" spans="1:10" hidden="1">
      <c r="A2091" t="s">
        <v>1829</v>
      </c>
      <c r="B2091" t="s">
        <v>1830</v>
      </c>
      <c r="C2091" t="s">
        <v>241</v>
      </c>
      <c r="D2091" t="s">
        <v>1179</v>
      </c>
      <c r="E2091" t="s">
        <v>555</v>
      </c>
      <c r="F2091" t="s">
        <v>1068</v>
      </c>
      <c r="G2091" t="s">
        <v>1089</v>
      </c>
      <c r="H2091">
        <v>-2.5913162493446801E-3</v>
      </c>
      <c r="I2091" t="s">
        <v>1090</v>
      </c>
      <c r="J2091">
        <v>2.54</v>
      </c>
    </row>
    <row r="2092" spans="1:10" hidden="1">
      <c r="A2092" t="s">
        <v>1833</v>
      </c>
      <c r="B2092" t="s">
        <v>1834</v>
      </c>
      <c r="C2092" t="s">
        <v>241</v>
      </c>
      <c r="D2092" t="s">
        <v>1179</v>
      </c>
      <c r="E2092" t="s">
        <v>558</v>
      </c>
      <c r="F2092" t="s">
        <v>1068</v>
      </c>
      <c r="G2092" t="s">
        <v>1069</v>
      </c>
      <c r="H2092">
        <v>-7.85097180859127E-2</v>
      </c>
      <c r="I2092" t="s">
        <v>1070</v>
      </c>
      <c r="J2092">
        <v>2.54</v>
      </c>
    </row>
    <row r="2093" spans="1:10" hidden="1">
      <c r="A2093" t="s">
        <v>1833</v>
      </c>
      <c r="B2093" t="s">
        <v>1834</v>
      </c>
      <c r="C2093" t="s">
        <v>241</v>
      </c>
      <c r="D2093" t="s">
        <v>1179</v>
      </c>
      <c r="E2093" t="s">
        <v>558</v>
      </c>
      <c r="F2093" t="s">
        <v>1068</v>
      </c>
      <c r="G2093" t="s">
        <v>1071</v>
      </c>
      <c r="H2093" s="170">
        <v>-1.8750953412389199E-10</v>
      </c>
      <c r="I2093" t="s">
        <v>1072</v>
      </c>
      <c r="J2093">
        <v>2.54</v>
      </c>
    </row>
    <row r="2094" spans="1:10" hidden="1">
      <c r="A2094" t="s">
        <v>1833</v>
      </c>
      <c r="B2094" t="s">
        <v>1834</v>
      </c>
      <c r="C2094" t="s">
        <v>241</v>
      </c>
      <c r="D2094" t="s">
        <v>1179</v>
      </c>
      <c r="E2094" t="s">
        <v>558</v>
      </c>
      <c r="F2094" t="s">
        <v>1068</v>
      </c>
      <c r="G2094" t="s">
        <v>1073</v>
      </c>
      <c r="H2094" s="170">
        <v>-3.2164638286188399E-8</v>
      </c>
      <c r="I2094" t="s">
        <v>1074</v>
      </c>
      <c r="J2094">
        <v>2.54</v>
      </c>
    </row>
    <row r="2095" spans="1:10" hidden="1">
      <c r="A2095" t="s">
        <v>1833</v>
      </c>
      <c r="B2095" t="s">
        <v>1834</v>
      </c>
      <c r="C2095" t="s">
        <v>241</v>
      </c>
      <c r="D2095" t="s">
        <v>1179</v>
      </c>
      <c r="E2095" t="s">
        <v>558</v>
      </c>
      <c r="F2095" t="s">
        <v>1068</v>
      </c>
      <c r="G2095" t="s">
        <v>1075</v>
      </c>
      <c r="H2095" s="171" t="s">
        <v>1835</v>
      </c>
      <c r="I2095" t="s">
        <v>1077</v>
      </c>
      <c r="J2095">
        <v>2.54</v>
      </c>
    </row>
    <row r="2096" spans="1:10" hidden="1">
      <c r="A2096" t="s">
        <v>1833</v>
      </c>
      <c r="B2096" t="s">
        <v>1834</v>
      </c>
      <c r="C2096" t="s">
        <v>241</v>
      </c>
      <c r="D2096" t="s">
        <v>1179</v>
      </c>
      <c r="E2096" t="s">
        <v>558</v>
      </c>
      <c r="F2096" t="s">
        <v>1068</v>
      </c>
      <c r="G2096" t="s">
        <v>1078</v>
      </c>
      <c r="H2096">
        <v>-0.42351494479426099</v>
      </c>
      <c r="I2096" t="s">
        <v>1079</v>
      </c>
      <c r="J2096">
        <v>2.54</v>
      </c>
    </row>
    <row r="2097" spans="1:10" hidden="1">
      <c r="A2097" t="s">
        <v>1833</v>
      </c>
      <c r="B2097" t="s">
        <v>1834</v>
      </c>
      <c r="C2097" t="s">
        <v>241</v>
      </c>
      <c r="D2097" t="s">
        <v>1179</v>
      </c>
      <c r="E2097" t="s">
        <v>558</v>
      </c>
      <c r="F2097" t="s">
        <v>1068</v>
      </c>
      <c r="G2097" t="s">
        <v>1080</v>
      </c>
      <c r="H2097" s="171" t="s">
        <v>1836</v>
      </c>
      <c r="I2097" t="s">
        <v>1082</v>
      </c>
      <c r="J2097">
        <v>2.54</v>
      </c>
    </row>
    <row r="2098" spans="1:10" hidden="1">
      <c r="A2098" t="s">
        <v>1833</v>
      </c>
      <c r="B2098" t="s">
        <v>1834</v>
      </c>
      <c r="C2098" t="s">
        <v>241</v>
      </c>
      <c r="D2098" t="s">
        <v>1179</v>
      </c>
      <c r="E2098" t="s">
        <v>558</v>
      </c>
      <c r="F2098" t="s">
        <v>1068</v>
      </c>
      <c r="G2098" t="s">
        <v>1083</v>
      </c>
      <c r="H2098">
        <v>-3.6070319323573902E-4</v>
      </c>
      <c r="I2098" t="s">
        <v>1084</v>
      </c>
      <c r="J2098">
        <v>2.54</v>
      </c>
    </row>
    <row r="2099" spans="1:10" hidden="1">
      <c r="A2099" t="s">
        <v>1833</v>
      </c>
      <c r="B2099" t="s">
        <v>1834</v>
      </c>
      <c r="C2099" t="s">
        <v>241</v>
      </c>
      <c r="D2099" t="s">
        <v>1179</v>
      </c>
      <c r="E2099" t="s">
        <v>558</v>
      </c>
      <c r="F2099" t="s">
        <v>1068</v>
      </c>
      <c r="G2099" t="s">
        <v>1085</v>
      </c>
      <c r="H2099">
        <v>-9.9083750092716309E-3</v>
      </c>
      <c r="I2099" t="s">
        <v>1086</v>
      </c>
      <c r="J2099">
        <v>2.54</v>
      </c>
    </row>
    <row r="2100" spans="1:10" hidden="1">
      <c r="A2100" t="s">
        <v>1833</v>
      </c>
      <c r="B2100" t="s">
        <v>1834</v>
      </c>
      <c r="C2100" t="s">
        <v>241</v>
      </c>
      <c r="D2100" t="s">
        <v>1179</v>
      </c>
      <c r="E2100" t="s">
        <v>558</v>
      </c>
      <c r="F2100" t="s">
        <v>1068</v>
      </c>
      <c r="G2100" t="s">
        <v>1087</v>
      </c>
      <c r="H2100" s="170">
        <v>-2.8530137749809599E-5</v>
      </c>
      <c r="I2100" t="s">
        <v>1088</v>
      </c>
      <c r="J2100">
        <v>2.54</v>
      </c>
    </row>
    <row r="2101" spans="1:10" hidden="1">
      <c r="A2101" t="s">
        <v>1833</v>
      </c>
      <c r="B2101" t="s">
        <v>1834</v>
      </c>
      <c r="C2101" t="s">
        <v>241</v>
      </c>
      <c r="D2101" t="s">
        <v>1179</v>
      </c>
      <c r="E2101" t="s">
        <v>558</v>
      </c>
      <c r="F2101" t="s">
        <v>1068</v>
      </c>
      <c r="G2101" t="s">
        <v>1089</v>
      </c>
      <c r="H2101">
        <v>-2.59135568135868E-3</v>
      </c>
      <c r="I2101" t="s">
        <v>1090</v>
      </c>
      <c r="J2101">
        <v>2.54</v>
      </c>
    </row>
    <row r="2102" spans="1:10" hidden="1">
      <c r="A2102" t="s">
        <v>1837</v>
      </c>
      <c r="B2102" t="s">
        <v>1838</v>
      </c>
      <c r="C2102" t="s">
        <v>241</v>
      </c>
      <c r="D2102" t="s">
        <v>1179</v>
      </c>
      <c r="E2102" t="s">
        <v>553</v>
      </c>
      <c r="F2102" t="s">
        <v>1068</v>
      </c>
      <c r="G2102" t="s">
        <v>1069</v>
      </c>
      <c r="H2102">
        <v>-7.8518431448003495E-2</v>
      </c>
      <c r="I2102" t="s">
        <v>1070</v>
      </c>
      <c r="J2102">
        <v>2.5499999999999998</v>
      </c>
    </row>
    <row r="2103" spans="1:10" hidden="1">
      <c r="A2103" t="s">
        <v>1837</v>
      </c>
      <c r="B2103" t="s">
        <v>1838</v>
      </c>
      <c r="C2103" t="s">
        <v>241</v>
      </c>
      <c r="D2103" t="s">
        <v>1179</v>
      </c>
      <c r="E2103" t="s">
        <v>553</v>
      </c>
      <c r="F2103" t="s">
        <v>1068</v>
      </c>
      <c r="G2103" t="s">
        <v>1071</v>
      </c>
      <c r="H2103" s="170">
        <v>-1.8752167239828599E-10</v>
      </c>
      <c r="I2103" t="s">
        <v>1072</v>
      </c>
      <c r="J2103">
        <v>2.5499999999999998</v>
      </c>
    </row>
    <row r="2104" spans="1:10" hidden="1">
      <c r="A2104" t="s">
        <v>1837</v>
      </c>
      <c r="B2104" t="s">
        <v>1838</v>
      </c>
      <c r="C2104" t="s">
        <v>241</v>
      </c>
      <c r="D2104" t="s">
        <v>1179</v>
      </c>
      <c r="E2104" t="s">
        <v>553</v>
      </c>
      <c r="F2104" t="s">
        <v>1068</v>
      </c>
      <c r="G2104" t="s">
        <v>1073</v>
      </c>
      <c r="H2104" s="170">
        <v>-3.21677636244752E-8</v>
      </c>
      <c r="I2104" t="s">
        <v>1074</v>
      </c>
      <c r="J2104">
        <v>2.5499999999999998</v>
      </c>
    </row>
    <row r="2105" spans="1:10" hidden="1">
      <c r="A2105" t="s">
        <v>1837</v>
      </c>
      <c r="B2105" t="s">
        <v>1838</v>
      </c>
      <c r="C2105" t="s">
        <v>241</v>
      </c>
      <c r="D2105" t="s">
        <v>1179</v>
      </c>
      <c r="E2105" t="s">
        <v>553</v>
      </c>
      <c r="F2105" t="s">
        <v>1068</v>
      </c>
      <c r="G2105" t="s">
        <v>1075</v>
      </c>
      <c r="H2105" s="171" t="s">
        <v>1839</v>
      </c>
      <c r="I2105" t="s">
        <v>1077</v>
      </c>
      <c r="J2105">
        <v>2.5499999999999998</v>
      </c>
    </row>
    <row r="2106" spans="1:10" hidden="1">
      <c r="A2106" t="s">
        <v>1837</v>
      </c>
      <c r="B2106" t="s">
        <v>1838</v>
      </c>
      <c r="C2106" t="s">
        <v>241</v>
      </c>
      <c r="D2106" t="s">
        <v>1179</v>
      </c>
      <c r="E2106" t="s">
        <v>553</v>
      </c>
      <c r="F2106" t="s">
        <v>1068</v>
      </c>
      <c r="G2106" t="s">
        <v>1078</v>
      </c>
      <c r="H2106">
        <v>-0.423434851526997</v>
      </c>
      <c r="I2106" t="s">
        <v>1079</v>
      </c>
      <c r="J2106">
        <v>2.5499999999999998</v>
      </c>
    </row>
    <row r="2107" spans="1:10" hidden="1">
      <c r="A2107" t="s">
        <v>1837</v>
      </c>
      <c r="B2107" t="s">
        <v>1838</v>
      </c>
      <c r="C2107" t="s">
        <v>241</v>
      </c>
      <c r="D2107" t="s">
        <v>1179</v>
      </c>
      <c r="E2107" t="s">
        <v>553</v>
      </c>
      <c r="F2107" t="s">
        <v>1068</v>
      </c>
      <c r="G2107" t="s">
        <v>1080</v>
      </c>
      <c r="H2107" s="171" t="s">
        <v>1840</v>
      </c>
      <c r="I2107" t="s">
        <v>1082</v>
      </c>
      <c r="J2107">
        <v>2.5499999999999998</v>
      </c>
    </row>
    <row r="2108" spans="1:10" hidden="1">
      <c r="A2108" t="s">
        <v>1837</v>
      </c>
      <c r="B2108" t="s">
        <v>1838</v>
      </c>
      <c r="C2108" t="s">
        <v>241</v>
      </c>
      <c r="D2108" t="s">
        <v>1179</v>
      </c>
      <c r="E2108" t="s">
        <v>553</v>
      </c>
      <c r="F2108" t="s">
        <v>1068</v>
      </c>
      <c r="G2108" t="s">
        <v>1083</v>
      </c>
      <c r="H2108">
        <v>-3.6070453906663399E-4</v>
      </c>
      <c r="I2108" t="s">
        <v>1084</v>
      </c>
      <c r="J2108">
        <v>2.5499999999999998</v>
      </c>
    </row>
    <row r="2109" spans="1:10" hidden="1">
      <c r="A2109" t="s">
        <v>1837</v>
      </c>
      <c r="B2109" t="s">
        <v>1838</v>
      </c>
      <c r="C2109" t="s">
        <v>241</v>
      </c>
      <c r="D2109" t="s">
        <v>1179</v>
      </c>
      <c r="E2109" t="s">
        <v>553</v>
      </c>
      <c r="F2109" t="s">
        <v>1068</v>
      </c>
      <c r="G2109" t="s">
        <v>1085</v>
      </c>
      <c r="H2109">
        <v>-9.9083890514890301E-3</v>
      </c>
      <c r="I2109" t="s">
        <v>1086</v>
      </c>
      <c r="J2109">
        <v>2.5499999999999998</v>
      </c>
    </row>
    <row r="2110" spans="1:10" hidden="1">
      <c r="A2110" t="s">
        <v>1837</v>
      </c>
      <c r="B2110" t="s">
        <v>1838</v>
      </c>
      <c r="C2110" t="s">
        <v>241</v>
      </c>
      <c r="D2110" t="s">
        <v>1179</v>
      </c>
      <c r="E2110" t="s">
        <v>553</v>
      </c>
      <c r="F2110" t="s">
        <v>1068</v>
      </c>
      <c r="G2110" t="s">
        <v>1087</v>
      </c>
      <c r="H2110" s="170">
        <v>-2.85301343561283E-5</v>
      </c>
      <c r="I2110" t="s">
        <v>1088</v>
      </c>
      <c r="J2110">
        <v>2.5499999999999998</v>
      </c>
    </row>
    <row r="2111" spans="1:10" hidden="1">
      <c r="A2111" t="s">
        <v>1837</v>
      </c>
      <c r="B2111" t="s">
        <v>1838</v>
      </c>
      <c r="C2111" t="s">
        <v>241</v>
      </c>
      <c r="D2111" t="s">
        <v>1179</v>
      </c>
      <c r="E2111" t="s">
        <v>553</v>
      </c>
      <c r="F2111" t="s">
        <v>1068</v>
      </c>
      <c r="G2111" t="s">
        <v>1089</v>
      </c>
      <c r="H2111">
        <v>-2.5913587817850601E-3</v>
      </c>
      <c r="I2111" t="s">
        <v>1090</v>
      </c>
      <c r="J2111">
        <v>2.5499999999999998</v>
      </c>
    </row>
    <row r="2112" spans="1:10" hidden="1">
      <c r="A2112" t="s">
        <v>1841</v>
      </c>
      <c r="B2112" t="s">
        <v>1842</v>
      </c>
      <c r="C2112" t="s">
        <v>241</v>
      </c>
      <c r="D2112" t="s">
        <v>1179</v>
      </c>
      <c r="E2112" t="s">
        <v>556</v>
      </c>
      <c r="F2112" t="s">
        <v>1068</v>
      </c>
      <c r="G2112" t="s">
        <v>1069</v>
      </c>
      <c r="H2112">
        <v>-7.8409698239144607E-2</v>
      </c>
      <c r="I2112" t="s">
        <v>1070</v>
      </c>
      <c r="J2112">
        <v>2.54</v>
      </c>
    </row>
    <row r="2113" spans="1:10" hidden="1">
      <c r="A2113" t="s">
        <v>1841</v>
      </c>
      <c r="B2113" t="s">
        <v>1842</v>
      </c>
      <c r="C2113" t="s">
        <v>241</v>
      </c>
      <c r="D2113" t="s">
        <v>1179</v>
      </c>
      <c r="E2113" t="s">
        <v>556</v>
      </c>
      <c r="F2113" t="s">
        <v>1068</v>
      </c>
      <c r="G2113" t="s">
        <v>1071</v>
      </c>
      <c r="H2113" s="170">
        <v>-1.8736423100119601E-10</v>
      </c>
      <c r="I2113" t="s">
        <v>1072</v>
      </c>
      <c r="J2113">
        <v>2.54</v>
      </c>
    </row>
    <row r="2114" spans="1:10" hidden="1">
      <c r="A2114" t="s">
        <v>1841</v>
      </c>
      <c r="B2114" t="s">
        <v>1842</v>
      </c>
      <c r="C2114" t="s">
        <v>241</v>
      </c>
      <c r="D2114" t="s">
        <v>1179</v>
      </c>
      <c r="E2114" t="s">
        <v>556</v>
      </c>
      <c r="F2114" t="s">
        <v>1068</v>
      </c>
      <c r="G2114" t="s">
        <v>1073</v>
      </c>
      <c r="H2114" s="170">
        <v>-3.2129088477209301E-8</v>
      </c>
      <c r="I2114" t="s">
        <v>1074</v>
      </c>
      <c r="J2114">
        <v>2.54</v>
      </c>
    </row>
    <row r="2115" spans="1:10" hidden="1">
      <c r="A2115" t="s">
        <v>1841</v>
      </c>
      <c r="B2115" t="s">
        <v>1842</v>
      </c>
      <c r="C2115" t="s">
        <v>241</v>
      </c>
      <c r="D2115" t="s">
        <v>1179</v>
      </c>
      <c r="E2115" t="s">
        <v>556</v>
      </c>
      <c r="F2115" t="s">
        <v>1068</v>
      </c>
      <c r="G2115" t="s">
        <v>1075</v>
      </c>
      <c r="H2115" s="171" t="s">
        <v>1843</v>
      </c>
      <c r="I2115" t="s">
        <v>1077</v>
      </c>
      <c r="J2115">
        <v>2.54</v>
      </c>
    </row>
    <row r="2116" spans="1:10" hidden="1">
      <c r="A2116" t="s">
        <v>1841</v>
      </c>
      <c r="B2116" t="s">
        <v>1842</v>
      </c>
      <c r="C2116" t="s">
        <v>241</v>
      </c>
      <c r="D2116" t="s">
        <v>1179</v>
      </c>
      <c r="E2116" t="s">
        <v>556</v>
      </c>
      <c r="F2116" t="s">
        <v>1068</v>
      </c>
      <c r="G2116" t="s">
        <v>1078</v>
      </c>
      <c r="H2116">
        <v>-0.42294979524531001</v>
      </c>
      <c r="I2116" t="s">
        <v>1079</v>
      </c>
      <c r="J2116">
        <v>2.54</v>
      </c>
    </row>
    <row r="2117" spans="1:10" hidden="1">
      <c r="A2117" t="s">
        <v>1841</v>
      </c>
      <c r="B2117" t="s">
        <v>1842</v>
      </c>
      <c r="C2117" t="s">
        <v>241</v>
      </c>
      <c r="D2117" t="s">
        <v>1179</v>
      </c>
      <c r="E2117" t="s">
        <v>556</v>
      </c>
      <c r="F2117" t="s">
        <v>1068</v>
      </c>
      <c r="G2117" t="s">
        <v>1080</v>
      </c>
      <c r="H2117" s="171" t="s">
        <v>1844</v>
      </c>
      <c r="I2117" t="s">
        <v>1082</v>
      </c>
      <c r="J2117">
        <v>2.54</v>
      </c>
    </row>
    <row r="2118" spans="1:10" hidden="1">
      <c r="A2118" t="s">
        <v>1841</v>
      </c>
      <c r="B2118" t="s">
        <v>1842</v>
      </c>
      <c r="C2118" t="s">
        <v>241</v>
      </c>
      <c r="D2118" t="s">
        <v>1179</v>
      </c>
      <c r="E2118" t="s">
        <v>556</v>
      </c>
      <c r="F2118" t="s">
        <v>1068</v>
      </c>
      <c r="G2118" t="s">
        <v>1083</v>
      </c>
      <c r="H2118">
        <v>-3.6068801130910698E-4</v>
      </c>
      <c r="I2118" t="s">
        <v>1084</v>
      </c>
      <c r="J2118">
        <v>2.54</v>
      </c>
    </row>
    <row r="2119" spans="1:10" hidden="1">
      <c r="A2119" t="s">
        <v>1841</v>
      </c>
      <c r="B2119" t="s">
        <v>1842</v>
      </c>
      <c r="C2119" t="s">
        <v>241</v>
      </c>
      <c r="D2119" t="s">
        <v>1179</v>
      </c>
      <c r="E2119" t="s">
        <v>556</v>
      </c>
      <c r="F2119" t="s">
        <v>1068</v>
      </c>
      <c r="G2119" t="s">
        <v>1085</v>
      </c>
      <c r="H2119">
        <v>-9.9081980127925396E-3</v>
      </c>
      <c r="I2119" t="s">
        <v>1086</v>
      </c>
      <c r="J2119">
        <v>2.54</v>
      </c>
    </row>
    <row r="2120" spans="1:10" hidden="1">
      <c r="A2120" t="s">
        <v>1841</v>
      </c>
      <c r="B2120" t="s">
        <v>1842</v>
      </c>
      <c r="C2120" t="s">
        <v>241</v>
      </c>
      <c r="D2120" t="s">
        <v>1179</v>
      </c>
      <c r="E2120" t="s">
        <v>556</v>
      </c>
      <c r="F2120" t="s">
        <v>1068</v>
      </c>
      <c r="G2120" t="s">
        <v>1087</v>
      </c>
      <c r="H2120" s="170">
        <v>-2.8530044209690199E-5</v>
      </c>
      <c r="I2120" t="s">
        <v>1088</v>
      </c>
      <c r="J2120">
        <v>2.54</v>
      </c>
    </row>
    <row r="2121" spans="1:10" hidden="1">
      <c r="A2121" t="s">
        <v>1841</v>
      </c>
      <c r="B2121" t="s">
        <v>1842</v>
      </c>
      <c r="C2121" t="s">
        <v>241</v>
      </c>
      <c r="D2121" t="s">
        <v>1179</v>
      </c>
      <c r="E2121" t="s">
        <v>556</v>
      </c>
      <c r="F2121" t="s">
        <v>1068</v>
      </c>
      <c r="G2121" t="s">
        <v>1089</v>
      </c>
      <c r="H2121">
        <v>-2.5913202470643701E-3</v>
      </c>
      <c r="I2121" t="s">
        <v>1090</v>
      </c>
      <c r="J2121">
        <v>2.54</v>
      </c>
    </row>
    <row r="2122" spans="1:10" hidden="1">
      <c r="A2122" t="s">
        <v>1845</v>
      </c>
      <c r="B2122" t="s">
        <v>1846</v>
      </c>
      <c r="C2122" t="s">
        <v>241</v>
      </c>
      <c r="D2122" t="s">
        <v>1179</v>
      </c>
      <c r="E2122" t="s">
        <v>557</v>
      </c>
      <c r="F2122" t="s">
        <v>1068</v>
      </c>
      <c r="G2122" t="s">
        <v>1069</v>
      </c>
      <c r="H2122">
        <v>-7.8472372979730504E-2</v>
      </c>
      <c r="I2122" t="s">
        <v>1070</v>
      </c>
      <c r="J2122">
        <v>3.05</v>
      </c>
    </row>
    <row r="2123" spans="1:10" hidden="1">
      <c r="A2123" t="s">
        <v>1845</v>
      </c>
      <c r="B2123" t="s">
        <v>1846</v>
      </c>
      <c r="C2123" t="s">
        <v>241</v>
      </c>
      <c r="D2123" t="s">
        <v>1179</v>
      </c>
      <c r="E2123" t="s">
        <v>557</v>
      </c>
      <c r="F2123" t="s">
        <v>1068</v>
      </c>
      <c r="G2123" t="s">
        <v>1071</v>
      </c>
      <c r="H2123" s="170">
        <v>-1.87456092852073E-10</v>
      </c>
      <c r="I2123" t="s">
        <v>1072</v>
      </c>
      <c r="J2123">
        <v>3.05</v>
      </c>
    </row>
    <row r="2124" spans="1:10" hidden="1">
      <c r="A2124" t="s">
        <v>1845</v>
      </c>
      <c r="B2124" t="s">
        <v>1846</v>
      </c>
      <c r="C2124" t="s">
        <v>241</v>
      </c>
      <c r="D2124" t="s">
        <v>1179</v>
      </c>
      <c r="E2124" t="s">
        <v>557</v>
      </c>
      <c r="F2124" t="s">
        <v>1068</v>
      </c>
      <c r="G2124" t="s">
        <v>1073</v>
      </c>
      <c r="H2124" s="170">
        <v>-3.2151373186305199E-8</v>
      </c>
      <c r="I2124" t="s">
        <v>1074</v>
      </c>
      <c r="J2124">
        <v>3.05</v>
      </c>
    </row>
    <row r="2125" spans="1:10" hidden="1">
      <c r="A2125" t="s">
        <v>1845</v>
      </c>
      <c r="B2125" t="s">
        <v>1846</v>
      </c>
      <c r="C2125" t="s">
        <v>241</v>
      </c>
      <c r="D2125" t="s">
        <v>1179</v>
      </c>
      <c r="E2125" t="s">
        <v>557</v>
      </c>
      <c r="F2125" t="s">
        <v>1068</v>
      </c>
      <c r="G2125" t="s">
        <v>1075</v>
      </c>
      <c r="H2125" s="171" t="s">
        <v>1847</v>
      </c>
      <c r="I2125" t="s">
        <v>1077</v>
      </c>
      <c r="J2125">
        <v>3.05</v>
      </c>
    </row>
    <row r="2126" spans="1:10" hidden="1">
      <c r="A2126" t="s">
        <v>1845</v>
      </c>
      <c r="B2126" t="s">
        <v>1846</v>
      </c>
      <c r="C2126" t="s">
        <v>241</v>
      </c>
      <c r="D2126" t="s">
        <v>1179</v>
      </c>
      <c r="E2126" t="s">
        <v>557</v>
      </c>
      <c r="F2126" t="s">
        <v>1068</v>
      </c>
      <c r="G2126" t="s">
        <v>1078</v>
      </c>
      <c r="H2126">
        <v>-0.42346389461190098</v>
      </c>
      <c r="I2126" t="s">
        <v>1079</v>
      </c>
      <c r="J2126">
        <v>3.05</v>
      </c>
    </row>
    <row r="2127" spans="1:10" hidden="1">
      <c r="A2127" t="s">
        <v>1845</v>
      </c>
      <c r="B2127" t="s">
        <v>1846</v>
      </c>
      <c r="C2127" t="s">
        <v>241</v>
      </c>
      <c r="D2127" t="s">
        <v>1179</v>
      </c>
      <c r="E2127" t="s">
        <v>557</v>
      </c>
      <c r="F2127" t="s">
        <v>1068</v>
      </c>
      <c r="G2127" t="s">
        <v>1080</v>
      </c>
      <c r="H2127" s="171" t="s">
        <v>1848</v>
      </c>
      <c r="I2127" t="s">
        <v>1082</v>
      </c>
      <c r="J2127">
        <v>3.05</v>
      </c>
    </row>
    <row r="2128" spans="1:10" hidden="1">
      <c r="A2128" t="s">
        <v>1845</v>
      </c>
      <c r="B2128" t="s">
        <v>1846</v>
      </c>
      <c r="C2128" t="s">
        <v>241</v>
      </c>
      <c r="D2128" t="s">
        <v>1179</v>
      </c>
      <c r="E2128" t="s">
        <v>557</v>
      </c>
      <c r="F2128" t="s">
        <v>1068</v>
      </c>
      <c r="G2128" t="s">
        <v>1083</v>
      </c>
      <c r="H2128">
        <v>-3.6069751675542002E-4</v>
      </c>
      <c r="I2128" t="s">
        <v>1084</v>
      </c>
      <c r="J2128">
        <v>3.05</v>
      </c>
    </row>
    <row r="2129" spans="1:10" hidden="1">
      <c r="A2129" t="s">
        <v>1845</v>
      </c>
      <c r="B2129" t="s">
        <v>1846</v>
      </c>
      <c r="C2129" t="s">
        <v>241</v>
      </c>
      <c r="D2129" t="s">
        <v>1179</v>
      </c>
      <c r="E2129" t="s">
        <v>557</v>
      </c>
      <c r="F2129" t="s">
        <v>1068</v>
      </c>
      <c r="G2129" t="s">
        <v>1085</v>
      </c>
      <c r="H2129">
        <v>-9.9083108535231897E-3</v>
      </c>
      <c r="I2129" t="s">
        <v>1086</v>
      </c>
      <c r="J2129">
        <v>3.05</v>
      </c>
    </row>
    <row r="2130" spans="1:10" hidden="1">
      <c r="A2130" t="s">
        <v>1845</v>
      </c>
      <c r="B2130" t="s">
        <v>1846</v>
      </c>
      <c r="C2130" t="s">
        <v>241</v>
      </c>
      <c r="D2130" t="s">
        <v>1179</v>
      </c>
      <c r="E2130" t="s">
        <v>557</v>
      </c>
      <c r="F2130" t="s">
        <v>1068</v>
      </c>
      <c r="G2130" t="s">
        <v>1087</v>
      </c>
      <c r="H2130" s="170">
        <v>-2.8530106787952399E-5</v>
      </c>
      <c r="I2130" t="s">
        <v>1088</v>
      </c>
      <c r="J2130">
        <v>3.05</v>
      </c>
    </row>
    <row r="2131" spans="1:10" hidden="1">
      <c r="A2131" t="s">
        <v>1845</v>
      </c>
      <c r="B2131" t="s">
        <v>1846</v>
      </c>
      <c r="C2131" t="s">
        <v>241</v>
      </c>
      <c r="D2131" t="s">
        <v>1179</v>
      </c>
      <c r="E2131" t="s">
        <v>557</v>
      </c>
      <c r="F2131" t="s">
        <v>1068</v>
      </c>
      <c r="G2131" t="s">
        <v>1089</v>
      </c>
      <c r="H2131">
        <v>-2.5913424461544701E-3</v>
      </c>
      <c r="I2131" t="s">
        <v>1090</v>
      </c>
      <c r="J2131">
        <v>3.05</v>
      </c>
    </row>
    <row r="2132" spans="1:10" hidden="1">
      <c r="A2132" t="s">
        <v>1849</v>
      </c>
      <c r="B2132" t="s">
        <v>1850</v>
      </c>
      <c r="C2132" t="s">
        <v>241</v>
      </c>
      <c r="D2132" t="s">
        <v>1179</v>
      </c>
      <c r="E2132" t="s">
        <v>559</v>
      </c>
      <c r="F2132" t="s">
        <v>1068</v>
      </c>
      <c r="G2132" t="s">
        <v>1069</v>
      </c>
      <c r="H2132">
        <v>-7.8442019545262295E-2</v>
      </c>
      <c r="I2132" t="s">
        <v>1070</v>
      </c>
      <c r="J2132">
        <v>2.5499999999999998</v>
      </c>
    </row>
    <row r="2133" spans="1:10" hidden="1">
      <c r="A2133" t="s">
        <v>1849</v>
      </c>
      <c r="B2133" t="s">
        <v>1850</v>
      </c>
      <c r="C2133" t="s">
        <v>241</v>
      </c>
      <c r="D2133" t="s">
        <v>1179</v>
      </c>
      <c r="E2133" t="s">
        <v>559</v>
      </c>
      <c r="F2133" t="s">
        <v>1068</v>
      </c>
      <c r="G2133" t="s">
        <v>1071</v>
      </c>
      <c r="H2133" s="170">
        <v>-1.8741232609605499E-10</v>
      </c>
      <c r="I2133" t="s">
        <v>1072</v>
      </c>
      <c r="J2133">
        <v>2.5499999999999998</v>
      </c>
    </row>
    <row r="2134" spans="1:10" hidden="1">
      <c r="A2134" t="s">
        <v>1849</v>
      </c>
      <c r="B2134" t="s">
        <v>1850</v>
      </c>
      <c r="C2134" t="s">
        <v>241</v>
      </c>
      <c r="D2134" t="s">
        <v>1179</v>
      </c>
      <c r="E2134" t="s">
        <v>559</v>
      </c>
      <c r="F2134" t="s">
        <v>1068</v>
      </c>
      <c r="G2134" t="s">
        <v>1073</v>
      </c>
      <c r="H2134" s="170">
        <v>-3.2140621874835803E-8</v>
      </c>
      <c r="I2134" t="s">
        <v>1074</v>
      </c>
      <c r="J2134">
        <v>2.5499999999999998</v>
      </c>
    </row>
    <row r="2135" spans="1:10" hidden="1">
      <c r="A2135" t="s">
        <v>1849</v>
      </c>
      <c r="B2135" t="s">
        <v>1850</v>
      </c>
      <c r="C2135" t="s">
        <v>241</v>
      </c>
      <c r="D2135" t="s">
        <v>1179</v>
      </c>
      <c r="E2135" t="s">
        <v>559</v>
      </c>
      <c r="F2135" t="s">
        <v>1068</v>
      </c>
      <c r="G2135" t="s">
        <v>1075</v>
      </c>
      <c r="H2135" s="171" t="s">
        <v>1851</v>
      </c>
      <c r="I2135" t="s">
        <v>1077</v>
      </c>
      <c r="J2135">
        <v>2.5499999999999998</v>
      </c>
    </row>
    <row r="2136" spans="1:10" hidden="1">
      <c r="A2136" t="s">
        <v>1849</v>
      </c>
      <c r="B2136" t="s">
        <v>1850</v>
      </c>
      <c r="C2136" t="s">
        <v>241</v>
      </c>
      <c r="D2136" t="s">
        <v>1179</v>
      </c>
      <c r="E2136" t="s">
        <v>559</v>
      </c>
      <c r="F2136" t="s">
        <v>1068</v>
      </c>
      <c r="G2136" t="s">
        <v>1078</v>
      </c>
      <c r="H2136">
        <v>-0.42333039763826402</v>
      </c>
      <c r="I2136" t="s">
        <v>1079</v>
      </c>
      <c r="J2136">
        <v>2.5499999999999998</v>
      </c>
    </row>
    <row r="2137" spans="1:10" hidden="1">
      <c r="A2137" t="s">
        <v>1849</v>
      </c>
      <c r="B2137" t="s">
        <v>1850</v>
      </c>
      <c r="C2137" t="s">
        <v>241</v>
      </c>
      <c r="D2137" t="s">
        <v>1179</v>
      </c>
      <c r="E2137" t="s">
        <v>559</v>
      </c>
      <c r="F2137" t="s">
        <v>1068</v>
      </c>
      <c r="G2137" t="s">
        <v>1080</v>
      </c>
      <c r="H2137" s="171" t="s">
        <v>1852</v>
      </c>
      <c r="I2137" t="s">
        <v>1082</v>
      </c>
      <c r="J2137">
        <v>2.5499999999999998</v>
      </c>
    </row>
    <row r="2138" spans="1:10" hidden="1">
      <c r="A2138" t="s">
        <v>1849</v>
      </c>
      <c r="B2138" t="s">
        <v>1850</v>
      </c>
      <c r="C2138" t="s">
        <v>241</v>
      </c>
      <c r="D2138" t="s">
        <v>1179</v>
      </c>
      <c r="E2138" t="s">
        <v>559</v>
      </c>
      <c r="F2138" t="s">
        <v>1068</v>
      </c>
      <c r="G2138" t="s">
        <v>1083</v>
      </c>
      <c r="H2138">
        <v>-3.6069292440795401E-4</v>
      </c>
      <c r="I2138" t="s">
        <v>1084</v>
      </c>
      <c r="J2138">
        <v>2.5499999999999998</v>
      </c>
    </row>
    <row r="2139" spans="1:10" hidden="1">
      <c r="A2139" t="s">
        <v>1849</v>
      </c>
      <c r="B2139" t="s">
        <v>1850</v>
      </c>
      <c r="C2139" t="s">
        <v>241</v>
      </c>
      <c r="D2139" t="s">
        <v>1179</v>
      </c>
      <c r="E2139" t="s">
        <v>559</v>
      </c>
      <c r="F2139" t="s">
        <v>1068</v>
      </c>
      <c r="G2139" t="s">
        <v>1085</v>
      </c>
      <c r="H2139">
        <v>-9.9082577822731405E-3</v>
      </c>
      <c r="I2139" t="s">
        <v>1086</v>
      </c>
      <c r="J2139">
        <v>2.5499999999999998</v>
      </c>
    </row>
    <row r="2140" spans="1:10" hidden="1">
      <c r="A2140" t="s">
        <v>1849</v>
      </c>
      <c r="B2140" t="s">
        <v>1850</v>
      </c>
      <c r="C2140" t="s">
        <v>241</v>
      </c>
      <c r="D2140" t="s">
        <v>1179</v>
      </c>
      <c r="E2140" t="s">
        <v>559</v>
      </c>
      <c r="F2140" t="s">
        <v>1068</v>
      </c>
      <c r="G2140" t="s">
        <v>1087</v>
      </c>
      <c r="H2140" s="170">
        <v>-2.8530071005005301E-5</v>
      </c>
      <c r="I2140" t="s">
        <v>1088</v>
      </c>
      <c r="J2140">
        <v>2.5499999999999998</v>
      </c>
    </row>
    <row r="2141" spans="1:10" hidden="1">
      <c r="A2141" t="s">
        <v>1849</v>
      </c>
      <c r="B2141" t="s">
        <v>1850</v>
      </c>
      <c r="C2141" t="s">
        <v>241</v>
      </c>
      <c r="D2141" t="s">
        <v>1179</v>
      </c>
      <c r="E2141" t="s">
        <v>559</v>
      </c>
      <c r="F2141" t="s">
        <v>1068</v>
      </c>
      <c r="G2141" t="s">
        <v>1089</v>
      </c>
      <c r="H2141">
        <v>-2.5913317012050399E-3</v>
      </c>
      <c r="I2141" t="s">
        <v>1090</v>
      </c>
      <c r="J2141">
        <v>2.5499999999999998</v>
      </c>
    </row>
    <row r="2142" spans="1:10" hidden="1">
      <c r="A2142" t="s">
        <v>1853</v>
      </c>
      <c r="B2142" t="s">
        <v>1854</v>
      </c>
      <c r="C2142" t="s">
        <v>241</v>
      </c>
      <c r="D2142" t="s">
        <v>1179</v>
      </c>
      <c r="E2142" t="s">
        <v>560</v>
      </c>
      <c r="F2142" t="s">
        <v>1068</v>
      </c>
      <c r="G2142" t="s">
        <v>1069</v>
      </c>
      <c r="H2142">
        <v>-7.8452455589769599E-2</v>
      </c>
      <c r="I2142" t="s">
        <v>1070</v>
      </c>
      <c r="J2142">
        <v>2.5499999999999998</v>
      </c>
    </row>
    <row r="2143" spans="1:10" hidden="1">
      <c r="A2143" t="s">
        <v>1853</v>
      </c>
      <c r="B2143" t="s">
        <v>1854</v>
      </c>
      <c r="C2143" t="s">
        <v>241</v>
      </c>
      <c r="D2143" t="s">
        <v>1179</v>
      </c>
      <c r="E2143" t="s">
        <v>560</v>
      </c>
      <c r="F2143" t="s">
        <v>1068</v>
      </c>
      <c r="G2143" t="s">
        <v>1071</v>
      </c>
      <c r="H2143" s="170">
        <v>-1.8742759084044299E-10</v>
      </c>
      <c r="I2143" t="s">
        <v>1072</v>
      </c>
      <c r="J2143">
        <v>2.5499999999999998</v>
      </c>
    </row>
    <row r="2144" spans="1:10" hidden="1">
      <c r="A2144" t="s">
        <v>1853</v>
      </c>
      <c r="B2144" t="s">
        <v>1854</v>
      </c>
      <c r="C2144" t="s">
        <v>241</v>
      </c>
      <c r="D2144" t="s">
        <v>1179</v>
      </c>
      <c r="E2144" t="s">
        <v>560</v>
      </c>
      <c r="F2144" t="s">
        <v>1068</v>
      </c>
      <c r="G2144" t="s">
        <v>1073</v>
      </c>
      <c r="H2144" s="170">
        <v>-3.2144298466368799E-8</v>
      </c>
      <c r="I2144" t="s">
        <v>1074</v>
      </c>
      <c r="J2144">
        <v>2.5499999999999998</v>
      </c>
    </row>
    <row r="2145" spans="1:10" hidden="1">
      <c r="A2145" t="s">
        <v>1853</v>
      </c>
      <c r="B2145" t="s">
        <v>1854</v>
      </c>
      <c r="C2145" t="s">
        <v>241</v>
      </c>
      <c r="D2145" t="s">
        <v>1179</v>
      </c>
      <c r="E2145" t="s">
        <v>560</v>
      </c>
      <c r="F2145" t="s">
        <v>1068</v>
      </c>
      <c r="G2145" t="s">
        <v>1075</v>
      </c>
      <c r="H2145">
        <v>1.22847828063471E-2</v>
      </c>
      <c r="I2145" t="s">
        <v>1077</v>
      </c>
      <c r="J2145">
        <v>2.5499999999999998</v>
      </c>
    </row>
    <row r="2146" spans="1:10" hidden="1">
      <c r="A2146" t="s">
        <v>1853</v>
      </c>
      <c r="B2146" t="s">
        <v>1854</v>
      </c>
      <c r="C2146" t="s">
        <v>241</v>
      </c>
      <c r="D2146" t="s">
        <v>1179</v>
      </c>
      <c r="E2146" t="s">
        <v>560</v>
      </c>
      <c r="F2146" t="s">
        <v>1068</v>
      </c>
      <c r="G2146" t="s">
        <v>1078</v>
      </c>
      <c r="H2146">
        <v>-0.42343666784797701</v>
      </c>
      <c r="I2146" t="s">
        <v>1079</v>
      </c>
      <c r="J2146">
        <v>2.5499999999999998</v>
      </c>
    </row>
    <row r="2147" spans="1:10" hidden="1">
      <c r="A2147" t="s">
        <v>1853</v>
      </c>
      <c r="B2147" t="s">
        <v>1854</v>
      </c>
      <c r="C2147" t="s">
        <v>241</v>
      </c>
      <c r="D2147" t="s">
        <v>1179</v>
      </c>
      <c r="E2147" t="s">
        <v>560</v>
      </c>
      <c r="F2147" t="s">
        <v>1068</v>
      </c>
      <c r="G2147" t="s">
        <v>1080</v>
      </c>
      <c r="H2147" s="171" t="s">
        <v>1855</v>
      </c>
      <c r="I2147" t="s">
        <v>1082</v>
      </c>
      <c r="J2147">
        <v>2.5499999999999998</v>
      </c>
    </row>
    <row r="2148" spans="1:10" hidden="1">
      <c r="A2148" t="s">
        <v>1853</v>
      </c>
      <c r="B2148" t="s">
        <v>1854</v>
      </c>
      <c r="C2148" t="s">
        <v>241</v>
      </c>
      <c r="D2148" t="s">
        <v>1179</v>
      </c>
      <c r="E2148" t="s">
        <v>560</v>
      </c>
      <c r="F2148" t="s">
        <v>1068</v>
      </c>
      <c r="G2148" t="s">
        <v>1083</v>
      </c>
      <c r="H2148">
        <v>-3.6069448929924999E-4</v>
      </c>
      <c r="I2148" t="s">
        <v>1084</v>
      </c>
      <c r="J2148">
        <v>2.5499999999999998</v>
      </c>
    </row>
    <row r="2149" spans="1:10" hidden="1">
      <c r="A2149" t="s">
        <v>1853</v>
      </c>
      <c r="B2149" t="s">
        <v>1854</v>
      </c>
      <c r="C2149" t="s">
        <v>241</v>
      </c>
      <c r="D2149" t="s">
        <v>1179</v>
      </c>
      <c r="E2149" t="s">
        <v>560</v>
      </c>
      <c r="F2149" t="s">
        <v>1068</v>
      </c>
      <c r="G2149" t="s">
        <v>1085</v>
      </c>
      <c r="H2149">
        <v>-9.9082766371240208E-3</v>
      </c>
      <c r="I2149" t="s">
        <v>1086</v>
      </c>
      <c r="J2149">
        <v>2.5499999999999998</v>
      </c>
    </row>
    <row r="2150" spans="1:10" hidden="1">
      <c r="A2150" t="s">
        <v>1853</v>
      </c>
      <c r="B2150" t="s">
        <v>1854</v>
      </c>
      <c r="C2150" t="s">
        <v>241</v>
      </c>
      <c r="D2150" t="s">
        <v>1179</v>
      </c>
      <c r="E2150" t="s">
        <v>560</v>
      </c>
      <c r="F2150" t="s">
        <v>1068</v>
      </c>
      <c r="G2150" t="s">
        <v>1087</v>
      </c>
      <c r="H2150" s="170">
        <v>-2.8530090274962001E-5</v>
      </c>
      <c r="I2150" t="s">
        <v>1088</v>
      </c>
      <c r="J2150">
        <v>2.5499999999999998</v>
      </c>
    </row>
    <row r="2151" spans="1:10" hidden="1">
      <c r="A2151" t="s">
        <v>1853</v>
      </c>
      <c r="B2151" t="s">
        <v>1854</v>
      </c>
      <c r="C2151" t="s">
        <v>241</v>
      </c>
      <c r="D2151" t="s">
        <v>1179</v>
      </c>
      <c r="E2151" t="s">
        <v>560</v>
      </c>
      <c r="F2151" t="s">
        <v>1068</v>
      </c>
      <c r="G2151" t="s">
        <v>1089</v>
      </c>
      <c r="H2151">
        <v>-2.59133538737889E-3</v>
      </c>
      <c r="I2151" t="s">
        <v>1090</v>
      </c>
      <c r="J2151">
        <v>2.5499999999999998</v>
      </c>
    </row>
    <row r="2152" spans="1:10" hidden="1">
      <c r="A2152" t="s">
        <v>1856</v>
      </c>
      <c r="B2152" t="s">
        <v>1857</v>
      </c>
      <c r="C2152" t="s">
        <v>241</v>
      </c>
      <c r="D2152" t="s">
        <v>1179</v>
      </c>
      <c r="E2152" t="s">
        <v>1116</v>
      </c>
      <c r="F2152" t="s">
        <v>1068</v>
      </c>
      <c r="G2152" t="s">
        <v>1069</v>
      </c>
      <c r="H2152">
        <v>-7.8512906871382696E-2</v>
      </c>
      <c r="I2152" t="s">
        <v>1070</v>
      </c>
      <c r="J2152">
        <v>2.54</v>
      </c>
    </row>
    <row r="2153" spans="1:10" hidden="1">
      <c r="A2153" t="s">
        <v>1856</v>
      </c>
      <c r="B2153" t="s">
        <v>1857</v>
      </c>
      <c r="C2153" t="s">
        <v>241</v>
      </c>
      <c r="D2153" t="s">
        <v>1179</v>
      </c>
      <c r="E2153" t="s">
        <v>1116</v>
      </c>
      <c r="F2153" t="s">
        <v>1068</v>
      </c>
      <c r="G2153" t="s">
        <v>1071</v>
      </c>
      <c r="H2153" s="170">
        <v>-1.8751409731224901E-10</v>
      </c>
      <c r="I2153" t="s">
        <v>1072</v>
      </c>
      <c r="J2153">
        <v>2.54</v>
      </c>
    </row>
    <row r="2154" spans="1:10" hidden="1">
      <c r="A2154" t="s">
        <v>1856</v>
      </c>
      <c r="B2154" t="s">
        <v>1857</v>
      </c>
      <c r="C2154" t="s">
        <v>241</v>
      </c>
      <c r="D2154" t="s">
        <v>1179</v>
      </c>
      <c r="E2154" t="s">
        <v>1116</v>
      </c>
      <c r="F2154" t="s">
        <v>1068</v>
      </c>
      <c r="G2154" t="s">
        <v>1073</v>
      </c>
      <c r="H2154" s="170">
        <v>-3.2165770952880902E-8</v>
      </c>
      <c r="I2154" t="s">
        <v>1074</v>
      </c>
      <c r="J2154">
        <v>2.54</v>
      </c>
    </row>
    <row r="2155" spans="1:10" hidden="1">
      <c r="A2155" t="s">
        <v>1856</v>
      </c>
      <c r="B2155" t="s">
        <v>1857</v>
      </c>
      <c r="C2155" t="s">
        <v>241</v>
      </c>
      <c r="D2155" t="s">
        <v>1179</v>
      </c>
      <c r="E2155" t="s">
        <v>1116</v>
      </c>
      <c r="F2155" t="s">
        <v>1068</v>
      </c>
      <c r="G2155" t="s">
        <v>1075</v>
      </c>
      <c r="H2155">
        <v>1.22828718767582E-2</v>
      </c>
      <c r="I2155" t="s">
        <v>1077</v>
      </c>
      <c r="J2155">
        <v>2.54</v>
      </c>
    </row>
    <row r="2156" spans="1:10" hidden="1">
      <c r="A2156" t="s">
        <v>1856</v>
      </c>
      <c r="B2156" t="s">
        <v>1857</v>
      </c>
      <c r="C2156" t="s">
        <v>241</v>
      </c>
      <c r="D2156" t="s">
        <v>1179</v>
      </c>
      <c r="E2156" t="s">
        <v>1116</v>
      </c>
      <c r="F2156" t="s">
        <v>1068</v>
      </c>
      <c r="G2156" t="s">
        <v>1078</v>
      </c>
      <c r="H2156">
        <v>-0.42351930381456698</v>
      </c>
      <c r="I2156" t="s">
        <v>1079</v>
      </c>
      <c r="J2156">
        <v>2.54</v>
      </c>
    </row>
    <row r="2157" spans="1:10" hidden="1">
      <c r="A2157" t="s">
        <v>1856</v>
      </c>
      <c r="B2157" t="s">
        <v>1857</v>
      </c>
      <c r="C2157" t="s">
        <v>241</v>
      </c>
      <c r="D2157" t="s">
        <v>1179</v>
      </c>
      <c r="E2157" t="s">
        <v>1116</v>
      </c>
      <c r="F2157" t="s">
        <v>1068</v>
      </c>
      <c r="G2157" t="s">
        <v>1080</v>
      </c>
      <c r="H2157" s="171" t="s">
        <v>1858</v>
      </c>
      <c r="I2157" t="s">
        <v>1082</v>
      </c>
      <c r="J2157">
        <v>2.54</v>
      </c>
    </row>
    <row r="2158" spans="1:10" hidden="1">
      <c r="A2158" t="s">
        <v>1856</v>
      </c>
      <c r="B2158" t="s">
        <v>1857</v>
      </c>
      <c r="C2158" t="s">
        <v>241</v>
      </c>
      <c r="D2158" t="s">
        <v>1179</v>
      </c>
      <c r="E2158" t="s">
        <v>1116</v>
      </c>
      <c r="F2158" t="s">
        <v>1068</v>
      </c>
      <c r="G2158" t="s">
        <v>1083</v>
      </c>
      <c r="H2158">
        <v>-3.6070367793318499E-4</v>
      </c>
      <c r="I2158" t="s">
        <v>1084</v>
      </c>
      <c r="J2158">
        <v>2.54</v>
      </c>
    </row>
    <row r="2159" spans="1:10" hidden="1">
      <c r="A2159" t="s">
        <v>1856</v>
      </c>
      <c r="B2159" t="s">
        <v>1857</v>
      </c>
      <c r="C2159" t="s">
        <v>241</v>
      </c>
      <c r="D2159" t="s">
        <v>1179</v>
      </c>
      <c r="E2159" t="s">
        <v>1116</v>
      </c>
      <c r="F2159" t="s">
        <v>1068</v>
      </c>
      <c r="G2159" t="s">
        <v>1085</v>
      </c>
      <c r="H2159">
        <v>-9.9083804873365093E-3</v>
      </c>
      <c r="I2159" t="s">
        <v>1086</v>
      </c>
      <c r="J2159">
        <v>2.54</v>
      </c>
    </row>
    <row r="2160" spans="1:10" hidden="1">
      <c r="A2160" t="s">
        <v>1856</v>
      </c>
      <c r="B2160" t="s">
        <v>1857</v>
      </c>
      <c r="C2160" t="s">
        <v>241</v>
      </c>
      <c r="D2160" t="s">
        <v>1179</v>
      </c>
      <c r="E2160" t="s">
        <v>1116</v>
      </c>
      <c r="F2160" t="s">
        <v>1068</v>
      </c>
      <c r="G2160" t="s">
        <v>1087</v>
      </c>
      <c r="H2160" s="170">
        <v>-2.8530140393548701E-5</v>
      </c>
      <c r="I2160" t="s">
        <v>1088</v>
      </c>
      <c r="J2160">
        <v>2.54</v>
      </c>
    </row>
    <row r="2161" spans="1:10" hidden="1">
      <c r="A2161" t="s">
        <v>1856</v>
      </c>
      <c r="B2161" t="s">
        <v>1857</v>
      </c>
      <c r="C2161" t="s">
        <v>241</v>
      </c>
      <c r="D2161" t="s">
        <v>1179</v>
      </c>
      <c r="E2161" t="s">
        <v>1116</v>
      </c>
      <c r="F2161" t="s">
        <v>1068</v>
      </c>
      <c r="G2161" t="s">
        <v>1089</v>
      </c>
      <c r="H2161">
        <v>-2.5913568114726499E-3</v>
      </c>
      <c r="I2161" t="s">
        <v>1090</v>
      </c>
      <c r="J2161">
        <v>2.54</v>
      </c>
    </row>
    <row r="2162" spans="1:10" hidden="1">
      <c r="A2162" t="s">
        <v>1859</v>
      </c>
      <c r="B2162" t="s">
        <v>1860</v>
      </c>
      <c r="C2162" t="s">
        <v>241</v>
      </c>
      <c r="D2162" t="s">
        <v>1210</v>
      </c>
      <c r="E2162" t="s">
        <v>561</v>
      </c>
      <c r="F2162" t="s">
        <v>1068</v>
      </c>
      <c r="G2162" t="s">
        <v>1069</v>
      </c>
      <c r="H2162">
        <v>-3.1233964788302201E-2</v>
      </c>
      <c r="I2162" t="s">
        <v>1070</v>
      </c>
      <c r="J2162">
        <v>2.54</v>
      </c>
    </row>
    <row r="2163" spans="1:10" hidden="1">
      <c r="A2163" t="s">
        <v>1859</v>
      </c>
      <c r="B2163" t="s">
        <v>1860</v>
      </c>
      <c r="C2163" t="s">
        <v>241</v>
      </c>
      <c r="D2163" t="s">
        <v>1210</v>
      </c>
      <c r="E2163" t="s">
        <v>561</v>
      </c>
      <c r="F2163" t="s">
        <v>1068</v>
      </c>
      <c r="G2163" t="s">
        <v>1071</v>
      </c>
      <c r="H2163" s="170">
        <v>-6.5307895099258596E-11</v>
      </c>
      <c r="I2163" t="s">
        <v>1072</v>
      </c>
      <c r="J2163">
        <v>2.54</v>
      </c>
    </row>
    <row r="2164" spans="1:10" hidden="1">
      <c r="A2164" t="s">
        <v>1859</v>
      </c>
      <c r="B2164" t="s">
        <v>1860</v>
      </c>
      <c r="C2164" t="s">
        <v>241</v>
      </c>
      <c r="D2164" t="s">
        <v>1210</v>
      </c>
      <c r="E2164" t="s">
        <v>561</v>
      </c>
      <c r="F2164" t="s">
        <v>1068</v>
      </c>
      <c r="G2164" t="s">
        <v>1073</v>
      </c>
      <c r="H2164" s="170">
        <v>-1.26440893383991E-8</v>
      </c>
      <c r="I2164" t="s">
        <v>1074</v>
      </c>
      <c r="J2164">
        <v>2.54</v>
      </c>
    </row>
    <row r="2165" spans="1:10" hidden="1">
      <c r="A2165" t="s">
        <v>1859</v>
      </c>
      <c r="B2165" t="s">
        <v>1860</v>
      </c>
      <c r="C2165" t="s">
        <v>241</v>
      </c>
      <c r="D2165" t="s">
        <v>1210</v>
      </c>
      <c r="E2165" t="s">
        <v>561</v>
      </c>
      <c r="F2165" t="s">
        <v>1068</v>
      </c>
      <c r="G2165" t="s">
        <v>1075</v>
      </c>
      <c r="H2165">
        <v>6.5997001246960096E-3</v>
      </c>
      <c r="I2165" t="s">
        <v>1077</v>
      </c>
      <c r="J2165">
        <v>2.54</v>
      </c>
    </row>
    <row r="2166" spans="1:10" hidden="1">
      <c r="A2166" t="s">
        <v>1859</v>
      </c>
      <c r="B2166" t="s">
        <v>1860</v>
      </c>
      <c r="C2166" t="s">
        <v>241</v>
      </c>
      <c r="D2166" t="s">
        <v>1210</v>
      </c>
      <c r="E2166" t="s">
        <v>561</v>
      </c>
      <c r="F2166" t="s">
        <v>1068</v>
      </c>
      <c r="G2166" t="s">
        <v>1078</v>
      </c>
      <c r="H2166">
        <v>-0.303398738694796</v>
      </c>
      <c r="I2166" t="s">
        <v>1079</v>
      </c>
      <c r="J2166">
        <v>2.54</v>
      </c>
    </row>
    <row r="2167" spans="1:10" hidden="1">
      <c r="A2167" t="s">
        <v>1859</v>
      </c>
      <c r="B2167" t="s">
        <v>1860</v>
      </c>
      <c r="C2167" t="s">
        <v>241</v>
      </c>
      <c r="D2167" t="s">
        <v>1210</v>
      </c>
      <c r="E2167" t="s">
        <v>561</v>
      </c>
      <c r="F2167" t="s">
        <v>1068</v>
      </c>
      <c r="G2167" t="s">
        <v>1080</v>
      </c>
      <c r="H2167" s="171" t="s">
        <v>1861</v>
      </c>
      <c r="I2167" t="s">
        <v>1082</v>
      </c>
      <c r="J2167">
        <v>2.54</v>
      </c>
    </row>
    <row r="2168" spans="1:10" hidden="1">
      <c r="A2168" t="s">
        <v>1859</v>
      </c>
      <c r="B2168" t="s">
        <v>1860</v>
      </c>
      <c r="C2168" t="s">
        <v>241</v>
      </c>
      <c r="D2168" t="s">
        <v>1210</v>
      </c>
      <c r="E2168" t="s">
        <v>561</v>
      </c>
      <c r="F2168" t="s">
        <v>1068</v>
      </c>
      <c r="G2168" t="s">
        <v>1083</v>
      </c>
      <c r="H2168">
        <v>-2.6486066601712303E-4</v>
      </c>
      <c r="I2168" t="s">
        <v>1084</v>
      </c>
      <c r="J2168">
        <v>2.54</v>
      </c>
    </row>
    <row r="2169" spans="1:10" hidden="1">
      <c r="A2169" t="s">
        <v>1859</v>
      </c>
      <c r="B2169" t="s">
        <v>1860</v>
      </c>
      <c r="C2169" t="s">
        <v>241</v>
      </c>
      <c r="D2169" t="s">
        <v>1210</v>
      </c>
      <c r="E2169" t="s">
        <v>561</v>
      </c>
      <c r="F2169" t="s">
        <v>1068</v>
      </c>
      <c r="G2169" t="s">
        <v>1085</v>
      </c>
      <c r="H2169">
        <v>-7.3570194276348696E-3</v>
      </c>
      <c r="I2169" t="s">
        <v>1086</v>
      </c>
      <c r="J2169">
        <v>2.54</v>
      </c>
    </row>
    <row r="2170" spans="1:10" hidden="1">
      <c r="A2170" t="s">
        <v>1859</v>
      </c>
      <c r="B2170" t="s">
        <v>1860</v>
      </c>
      <c r="C2170" t="s">
        <v>241</v>
      </c>
      <c r="D2170" t="s">
        <v>1210</v>
      </c>
      <c r="E2170" t="s">
        <v>561</v>
      </c>
      <c r="F2170" t="s">
        <v>1068</v>
      </c>
      <c r="G2170" t="s">
        <v>1087</v>
      </c>
      <c r="H2170" s="170">
        <v>-4.8827205643322397E-6</v>
      </c>
      <c r="I2170" t="s">
        <v>1088</v>
      </c>
      <c r="J2170">
        <v>2.54</v>
      </c>
    </row>
    <row r="2171" spans="1:10" hidden="1">
      <c r="A2171" t="s">
        <v>1859</v>
      </c>
      <c r="B2171" t="s">
        <v>1860</v>
      </c>
      <c r="C2171" t="s">
        <v>241</v>
      </c>
      <c r="D2171" t="s">
        <v>1210</v>
      </c>
      <c r="E2171" t="s">
        <v>561</v>
      </c>
      <c r="F2171" t="s">
        <v>1068</v>
      </c>
      <c r="G2171" t="s">
        <v>1089</v>
      </c>
      <c r="H2171">
        <v>-1.95809821388658E-3</v>
      </c>
      <c r="I2171" t="s">
        <v>1090</v>
      </c>
      <c r="J2171">
        <v>2.54</v>
      </c>
    </row>
    <row r="2172" spans="1:10" hidden="1">
      <c r="A2172" t="s">
        <v>1862</v>
      </c>
      <c r="B2172" t="s">
        <v>1863</v>
      </c>
      <c r="C2172" t="s">
        <v>241</v>
      </c>
      <c r="D2172" t="s">
        <v>1210</v>
      </c>
      <c r="E2172" t="s">
        <v>555</v>
      </c>
      <c r="F2172" t="s">
        <v>1068</v>
      </c>
      <c r="G2172" t="s">
        <v>1069</v>
      </c>
      <c r="H2172">
        <v>-3.1137576034717299E-2</v>
      </c>
      <c r="I2172" t="s">
        <v>1070</v>
      </c>
      <c r="J2172">
        <v>2.5299999999999998</v>
      </c>
    </row>
    <row r="2173" spans="1:10" hidden="1">
      <c r="A2173" t="s">
        <v>1862</v>
      </c>
      <c r="B2173" t="s">
        <v>1863</v>
      </c>
      <c r="C2173" t="s">
        <v>241</v>
      </c>
      <c r="D2173" t="s">
        <v>1210</v>
      </c>
      <c r="E2173" t="s">
        <v>555</v>
      </c>
      <c r="F2173" t="s">
        <v>1068</v>
      </c>
      <c r="G2173" t="s">
        <v>1071</v>
      </c>
      <c r="H2173" s="170">
        <v>-6.5169715572742599E-11</v>
      </c>
      <c r="I2173" t="s">
        <v>1072</v>
      </c>
      <c r="J2173">
        <v>2.5299999999999998</v>
      </c>
    </row>
    <row r="2174" spans="1:10" hidden="1">
      <c r="A2174" t="s">
        <v>1862</v>
      </c>
      <c r="B2174" t="s">
        <v>1863</v>
      </c>
      <c r="C2174" t="s">
        <v>241</v>
      </c>
      <c r="D2174" t="s">
        <v>1210</v>
      </c>
      <c r="E2174" t="s">
        <v>555</v>
      </c>
      <c r="F2174" t="s">
        <v>1068</v>
      </c>
      <c r="G2174" t="s">
        <v>1073</v>
      </c>
      <c r="H2174" s="170">
        <v>-1.2609874320834199E-8</v>
      </c>
      <c r="I2174" t="s">
        <v>1074</v>
      </c>
      <c r="J2174">
        <v>2.5299999999999998</v>
      </c>
    </row>
    <row r="2175" spans="1:10" hidden="1">
      <c r="A2175" t="s">
        <v>1862</v>
      </c>
      <c r="B2175" t="s">
        <v>1863</v>
      </c>
      <c r="C2175" t="s">
        <v>241</v>
      </c>
      <c r="D2175" t="s">
        <v>1210</v>
      </c>
      <c r="E2175" t="s">
        <v>555</v>
      </c>
      <c r="F2175" t="s">
        <v>1068</v>
      </c>
      <c r="G2175" t="s">
        <v>1075</v>
      </c>
      <c r="H2175">
        <v>6.6029088829051901E-3</v>
      </c>
      <c r="I2175" t="s">
        <v>1077</v>
      </c>
      <c r="J2175">
        <v>2.5299999999999998</v>
      </c>
    </row>
    <row r="2176" spans="1:10" hidden="1">
      <c r="A2176" t="s">
        <v>1862</v>
      </c>
      <c r="B2176" t="s">
        <v>1863</v>
      </c>
      <c r="C2176" t="s">
        <v>241</v>
      </c>
      <c r="D2176" t="s">
        <v>1210</v>
      </c>
      <c r="E2176" t="s">
        <v>555</v>
      </c>
      <c r="F2176" t="s">
        <v>1068</v>
      </c>
      <c r="G2176" t="s">
        <v>1078</v>
      </c>
      <c r="H2176">
        <v>-0.30319849135481602</v>
      </c>
      <c r="I2176" t="s">
        <v>1079</v>
      </c>
      <c r="J2176">
        <v>2.5299999999999998</v>
      </c>
    </row>
    <row r="2177" spans="1:10" hidden="1">
      <c r="A2177" t="s">
        <v>1862</v>
      </c>
      <c r="B2177" t="s">
        <v>1863</v>
      </c>
      <c r="C2177" t="s">
        <v>241</v>
      </c>
      <c r="D2177" t="s">
        <v>1210</v>
      </c>
      <c r="E2177" t="s">
        <v>555</v>
      </c>
      <c r="F2177" t="s">
        <v>1068</v>
      </c>
      <c r="G2177" t="s">
        <v>1080</v>
      </c>
      <c r="H2177" s="171" t="s">
        <v>1864</v>
      </c>
      <c r="I2177" t="s">
        <v>1082</v>
      </c>
      <c r="J2177">
        <v>2.5299999999999998</v>
      </c>
    </row>
    <row r="2178" spans="1:10" hidden="1">
      <c r="A2178" t="s">
        <v>1862</v>
      </c>
      <c r="B2178" t="s">
        <v>1863</v>
      </c>
      <c r="C2178" t="s">
        <v>241</v>
      </c>
      <c r="D2178" t="s">
        <v>1210</v>
      </c>
      <c r="E2178" t="s">
        <v>555</v>
      </c>
      <c r="F2178" t="s">
        <v>1068</v>
      </c>
      <c r="G2178" t="s">
        <v>1083</v>
      </c>
      <c r="H2178">
        <v>-2.6484603078942798E-4</v>
      </c>
      <c r="I2178" t="s">
        <v>1084</v>
      </c>
      <c r="J2178">
        <v>2.5299999999999998</v>
      </c>
    </row>
    <row r="2179" spans="1:10" hidden="1">
      <c r="A2179" t="s">
        <v>1862</v>
      </c>
      <c r="B2179" t="s">
        <v>1863</v>
      </c>
      <c r="C2179" t="s">
        <v>241</v>
      </c>
      <c r="D2179" t="s">
        <v>1210</v>
      </c>
      <c r="E2179" t="s">
        <v>555</v>
      </c>
      <c r="F2179" t="s">
        <v>1068</v>
      </c>
      <c r="G2179" t="s">
        <v>1085</v>
      </c>
      <c r="H2179">
        <v>-7.3568531501322799E-3</v>
      </c>
      <c r="I2179" t="s">
        <v>1086</v>
      </c>
      <c r="J2179">
        <v>2.5299999999999998</v>
      </c>
    </row>
    <row r="2180" spans="1:10" hidden="1">
      <c r="A2180" t="s">
        <v>1862</v>
      </c>
      <c r="B2180" t="s">
        <v>1863</v>
      </c>
      <c r="C2180" t="s">
        <v>241</v>
      </c>
      <c r="D2180" t="s">
        <v>1210</v>
      </c>
      <c r="E2180" t="s">
        <v>555</v>
      </c>
      <c r="F2180" t="s">
        <v>1068</v>
      </c>
      <c r="G2180" t="s">
        <v>1087</v>
      </c>
      <c r="H2180" s="170">
        <v>-4.8826327474023397E-6</v>
      </c>
      <c r="I2180" t="s">
        <v>1088</v>
      </c>
      <c r="J2180">
        <v>2.5299999999999998</v>
      </c>
    </row>
    <row r="2181" spans="1:10" hidden="1">
      <c r="A2181" t="s">
        <v>1862</v>
      </c>
      <c r="B2181" t="s">
        <v>1863</v>
      </c>
      <c r="C2181" t="s">
        <v>241</v>
      </c>
      <c r="D2181" t="s">
        <v>1210</v>
      </c>
      <c r="E2181" t="s">
        <v>555</v>
      </c>
      <c r="F2181" t="s">
        <v>1068</v>
      </c>
      <c r="G2181" t="s">
        <v>1089</v>
      </c>
      <c r="H2181">
        <v>-1.9580640626790501E-3</v>
      </c>
      <c r="I2181" t="s">
        <v>1090</v>
      </c>
      <c r="J2181">
        <v>2.5299999999999998</v>
      </c>
    </row>
    <row r="2182" spans="1:10" hidden="1">
      <c r="A2182" t="s">
        <v>1865</v>
      </c>
      <c r="B2182" t="s">
        <v>1866</v>
      </c>
      <c r="C2182" t="s">
        <v>241</v>
      </c>
      <c r="D2182" t="s">
        <v>1210</v>
      </c>
      <c r="E2182" t="s">
        <v>558</v>
      </c>
      <c r="F2182" t="s">
        <v>1068</v>
      </c>
      <c r="G2182" t="s">
        <v>1069</v>
      </c>
      <c r="H2182">
        <v>-3.1242489872534598E-2</v>
      </c>
      <c r="I2182" t="s">
        <v>1070</v>
      </c>
      <c r="J2182">
        <v>2.5299999999999998</v>
      </c>
    </row>
    <row r="2183" spans="1:10" hidden="1">
      <c r="A2183" t="s">
        <v>1865</v>
      </c>
      <c r="B2183" t="s">
        <v>1866</v>
      </c>
      <c r="C2183" t="s">
        <v>241</v>
      </c>
      <c r="D2183" t="s">
        <v>1210</v>
      </c>
      <c r="E2183" t="s">
        <v>558</v>
      </c>
      <c r="F2183" t="s">
        <v>1068</v>
      </c>
      <c r="G2183" t="s">
        <v>1071</v>
      </c>
      <c r="H2183" s="170">
        <v>-6.5320094591827297E-11</v>
      </c>
      <c r="I2183" t="s">
        <v>1072</v>
      </c>
      <c r="J2183">
        <v>2.5299999999999998</v>
      </c>
    </row>
    <row r="2184" spans="1:10" hidden="1">
      <c r="A2184" t="s">
        <v>1865</v>
      </c>
      <c r="B2184" t="s">
        <v>1866</v>
      </c>
      <c r="C2184" t="s">
        <v>241</v>
      </c>
      <c r="D2184" t="s">
        <v>1210</v>
      </c>
      <c r="E2184" t="s">
        <v>558</v>
      </c>
      <c r="F2184" t="s">
        <v>1068</v>
      </c>
      <c r="G2184" t="s">
        <v>1073</v>
      </c>
      <c r="H2184" s="170">
        <v>-1.2647117475296E-8</v>
      </c>
      <c r="I2184" t="s">
        <v>1074</v>
      </c>
      <c r="J2184">
        <v>2.5299999999999998</v>
      </c>
    </row>
    <row r="2185" spans="1:10" hidden="1">
      <c r="A2185" t="s">
        <v>1865</v>
      </c>
      <c r="B2185" t="s">
        <v>1866</v>
      </c>
      <c r="C2185" t="s">
        <v>241</v>
      </c>
      <c r="D2185" t="s">
        <v>1210</v>
      </c>
      <c r="E2185" t="s">
        <v>558</v>
      </c>
      <c r="F2185" t="s">
        <v>1068</v>
      </c>
      <c r="G2185" t="s">
        <v>1075</v>
      </c>
      <c r="H2185">
        <v>6.5994306376787803E-3</v>
      </c>
      <c r="I2185" t="s">
        <v>1077</v>
      </c>
      <c r="J2185">
        <v>2.5299999999999998</v>
      </c>
    </row>
    <row r="2186" spans="1:10" hidden="1">
      <c r="A2186" t="s">
        <v>1865</v>
      </c>
      <c r="B2186" t="s">
        <v>1866</v>
      </c>
      <c r="C2186" t="s">
        <v>241</v>
      </c>
      <c r="D2186" t="s">
        <v>1210</v>
      </c>
      <c r="E2186" t="s">
        <v>558</v>
      </c>
      <c r="F2186" t="s">
        <v>1068</v>
      </c>
      <c r="G2186" t="s">
        <v>1078</v>
      </c>
      <c r="H2186">
        <v>-0.30341039235294598</v>
      </c>
      <c r="I2186" t="s">
        <v>1079</v>
      </c>
      <c r="J2186">
        <v>2.5299999999999998</v>
      </c>
    </row>
    <row r="2187" spans="1:10" hidden="1">
      <c r="A2187" t="s">
        <v>1865</v>
      </c>
      <c r="B2187" t="s">
        <v>1866</v>
      </c>
      <c r="C2187" t="s">
        <v>241</v>
      </c>
      <c r="D2187" t="s">
        <v>1210</v>
      </c>
      <c r="E2187" t="s">
        <v>558</v>
      </c>
      <c r="F2187" t="s">
        <v>1068</v>
      </c>
      <c r="G2187" t="s">
        <v>1080</v>
      </c>
      <c r="H2187" s="171" t="s">
        <v>1867</v>
      </c>
      <c r="I2187" t="s">
        <v>1082</v>
      </c>
      <c r="J2187">
        <v>2.5299999999999998</v>
      </c>
    </row>
    <row r="2188" spans="1:10" hidden="1">
      <c r="A2188" t="s">
        <v>1865</v>
      </c>
      <c r="B2188" t="s">
        <v>1866</v>
      </c>
      <c r="C2188" t="s">
        <v>241</v>
      </c>
      <c r="D2188" t="s">
        <v>1210</v>
      </c>
      <c r="E2188" t="s">
        <v>558</v>
      </c>
      <c r="F2188" t="s">
        <v>1068</v>
      </c>
      <c r="G2188" t="s">
        <v>1083</v>
      </c>
      <c r="H2188">
        <v>-2.6486196183543402E-4</v>
      </c>
      <c r="I2188" t="s">
        <v>1084</v>
      </c>
      <c r="J2188">
        <v>2.5299999999999998</v>
      </c>
    </row>
    <row r="2189" spans="1:10" hidden="1">
      <c r="A2189" t="s">
        <v>1865</v>
      </c>
      <c r="B2189" t="s">
        <v>1866</v>
      </c>
      <c r="C2189" t="s">
        <v>241</v>
      </c>
      <c r="D2189" t="s">
        <v>1210</v>
      </c>
      <c r="E2189" t="s">
        <v>558</v>
      </c>
      <c r="F2189" t="s">
        <v>1068</v>
      </c>
      <c r="G2189" t="s">
        <v>1085</v>
      </c>
      <c r="H2189">
        <v>-7.35703407301176E-3</v>
      </c>
      <c r="I2189" t="s">
        <v>1086</v>
      </c>
      <c r="J2189">
        <v>2.5299999999999998</v>
      </c>
    </row>
    <row r="2190" spans="1:10" hidden="1">
      <c r="A2190" t="s">
        <v>1865</v>
      </c>
      <c r="B2190" t="s">
        <v>1866</v>
      </c>
      <c r="C2190" t="s">
        <v>241</v>
      </c>
      <c r="D2190" t="s">
        <v>1210</v>
      </c>
      <c r="E2190" t="s">
        <v>558</v>
      </c>
      <c r="F2190" t="s">
        <v>1068</v>
      </c>
      <c r="G2190" t="s">
        <v>1087</v>
      </c>
      <c r="H2190" s="170">
        <v>-4.8827276322579903E-6</v>
      </c>
      <c r="I2190" t="s">
        <v>1088</v>
      </c>
      <c r="J2190">
        <v>2.5299999999999998</v>
      </c>
    </row>
    <row r="2191" spans="1:10" hidden="1">
      <c r="A2191" t="s">
        <v>1865</v>
      </c>
      <c r="B2191" t="s">
        <v>1866</v>
      </c>
      <c r="C2191" t="s">
        <v>241</v>
      </c>
      <c r="D2191" t="s">
        <v>1210</v>
      </c>
      <c r="E2191" t="s">
        <v>558</v>
      </c>
      <c r="F2191" t="s">
        <v>1068</v>
      </c>
      <c r="G2191" t="s">
        <v>1089</v>
      </c>
      <c r="H2191">
        <v>-1.9581012351989101E-3</v>
      </c>
      <c r="I2191" t="s">
        <v>1090</v>
      </c>
      <c r="J2191">
        <v>2.5299999999999998</v>
      </c>
    </row>
    <row r="2192" spans="1:10" hidden="1">
      <c r="A2192" t="s">
        <v>1868</v>
      </c>
      <c r="B2192" t="s">
        <v>1869</v>
      </c>
      <c r="C2192" t="s">
        <v>241</v>
      </c>
      <c r="D2192" t="s">
        <v>1210</v>
      </c>
      <c r="E2192" t="s">
        <v>553</v>
      </c>
      <c r="F2192" t="s">
        <v>1068</v>
      </c>
      <c r="G2192" t="s">
        <v>1069</v>
      </c>
      <c r="H2192">
        <v>-3.1250733731693098E-2</v>
      </c>
      <c r="I2192" t="s">
        <v>1070</v>
      </c>
      <c r="J2192">
        <v>2.54</v>
      </c>
    </row>
    <row r="2193" spans="1:10" hidden="1">
      <c r="A2193" t="s">
        <v>1868</v>
      </c>
      <c r="B2193" t="s">
        <v>1869</v>
      </c>
      <c r="C2193" t="s">
        <v>241</v>
      </c>
      <c r="D2193" t="s">
        <v>1210</v>
      </c>
      <c r="E2193" t="s">
        <v>553</v>
      </c>
      <c r="F2193" t="s">
        <v>1068</v>
      </c>
      <c r="G2193" t="s">
        <v>1071</v>
      </c>
      <c r="H2193" s="170">
        <v>-6.5331645524552703E-11</v>
      </c>
      <c r="I2193" t="s">
        <v>1072</v>
      </c>
      <c r="J2193">
        <v>2.54</v>
      </c>
    </row>
    <row r="2194" spans="1:10" hidden="1">
      <c r="A2194" t="s">
        <v>1868</v>
      </c>
      <c r="B2194" t="s">
        <v>1869</v>
      </c>
      <c r="C2194" t="s">
        <v>241</v>
      </c>
      <c r="D2194" t="s">
        <v>1210</v>
      </c>
      <c r="E2194" t="s">
        <v>553</v>
      </c>
      <c r="F2194" t="s">
        <v>1068</v>
      </c>
      <c r="G2194" t="s">
        <v>1073</v>
      </c>
      <c r="H2194" s="170">
        <v>-1.2650068292855401E-8</v>
      </c>
      <c r="I2194" t="s">
        <v>1074</v>
      </c>
      <c r="J2194">
        <v>2.54</v>
      </c>
    </row>
    <row r="2195" spans="1:10" hidden="1">
      <c r="A2195" t="s">
        <v>1868</v>
      </c>
      <c r="B2195" t="s">
        <v>1869</v>
      </c>
      <c r="C2195" t="s">
        <v>241</v>
      </c>
      <c r="D2195" t="s">
        <v>1210</v>
      </c>
      <c r="E2195" t="s">
        <v>553</v>
      </c>
      <c r="F2195" t="s">
        <v>1068</v>
      </c>
      <c r="G2195" t="s">
        <v>1075</v>
      </c>
      <c r="H2195">
        <v>6.5993318472215802E-3</v>
      </c>
      <c r="I2195" t="s">
        <v>1077</v>
      </c>
      <c r="J2195">
        <v>2.54</v>
      </c>
    </row>
    <row r="2196" spans="1:10" hidden="1">
      <c r="A2196" t="s">
        <v>1868</v>
      </c>
      <c r="B2196" t="s">
        <v>1869</v>
      </c>
      <c r="C2196" t="s">
        <v>241</v>
      </c>
      <c r="D2196" t="s">
        <v>1210</v>
      </c>
      <c r="E2196" t="s">
        <v>553</v>
      </c>
      <c r="F2196" t="s">
        <v>1068</v>
      </c>
      <c r="G2196" t="s">
        <v>1078</v>
      </c>
      <c r="H2196">
        <v>-0.30335317617577701</v>
      </c>
      <c r="I2196" t="s">
        <v>1079</v>
      </c>
      <c r="J2196">
        <v>2.54</v>
      </c>
    </row>
    <row r="2197" spans="1:10" hidden="1">
      <c r="A2197" t="s">
        <v>1868</v>
      </c>
      <c r="B2197" t="s">
        <v>1869</v>
      </c>
      <c r="C2197" t="s">
        <v>241</v>
      </c>
      <c r="D2197" t="s">
        <v>1210</v>
      </c>
      <c r="E2197" t="s">
        <v>553</v>
      </c>
      <c r="F2197" t="s">
        <v>1068</v>
      </c>
      <c r="G2197" t="s">
        <v>1080</v>
      </c>
      <c r="H2197" s="171" t="s">
        <v>1870</v>
      </c>
      <c r="I2197" t="s">
        <v>1082</v>
      </c>
      <c r="J2197">
        <v>2.54</v>
      </c>
    </row>
    <row r="2198" spans="1:10" hidden="1">
      <c r="A2198" t="s">
        <v>1868</v>
      </c>
      <c r="B2198" t="s">
        <v>1869</v>
      </c>
      <c r="C2198" t="s">
        <v>241</v>
      </c>
      <c r="D2198" t="s">
        <v>1210</v>
      </c>
      <c r="E2198" t="s">
        <v>553</v>
      </c>
      <c r="F2198" t="s">
        <v>1068</v>
      </c>
      <c r="G2198" t="s">
        <v>1083</v>
      </c>
      <c r="H2198">
        <v>-2.6486323083262602E-4</v>
      </c>
      <c r="I2198" t="s">
        <v>1084</v>
      </c>
      <c r="J2198">
        <v>2.54</v>
      </c>
    </row>
    <row r="2199" spans="1:10" hidden="1">
      <c r="A2199" t="s">
        <v>1868</v>
      </c>
      <c r="B2199" t="s">
        <v>1869</v>
      </c>
      <c r="C2199" t="s">
        <v>241</v>
      </c>
      <c r="D2199" t="s">
        <v>1210</v>
      </c>
      <c r="E2199" t="s">
        <v>553</v>
      </c>
      <c r="F2199" t="s">
        <v>1068</v>
      </c>
      <c r="G2199" t="s">
        <v>1085</v>
      </c>
      <c r="H2199">
        <v>-7.3570475455291698E-3</v>
      </c>
      <c r="I2199" t="s">
        <v>1086</v>
      </c>
      <c r="J2199">
        <v>2.54</v>
      </c>
    </row>
    <row r="2200" spans="1:10" hidden="1">
      <c r="A2200" t="s">
        <v>1868</v>
      </c>
      <c r="B2200" t="s">
        <v>1869</v>
      </c>
      <c r="C2200" t="s">
        <v>241</v>
      </c>
      <c r="D2200" t="s">
        <v>1210</v>
      </c>
      <c r="E2200" t="s">
        <v>553</v>
      </c>
      <c r="F2200" t="s">
        <v>1068</v>
      </c>
      <c r="G2200" t="s">
        <v>1087</v>
      </c>
      <c r="H2200" s="170">
        <v>-4.8827265635084897E-6</v>
      </c>
      <c r="I2200" t="s">
        <v>1088</v>
      </c>
      <c r="J2200">
        <v>2.54</v>
      </c>
    </row>
    <row r="2201" spans="1:10" hidden="1">
      <c r="A2201" t="s">
        <v>1868</v>
      </c>
      <c r="B2201" t="s">
        <v>1869</v>
      </c>
      <c r="C2201" t="s">
        <v>241</v>
      </c>
      <c r="D2201" t="s">
        <v>1210</v>
      </c>
      <c r="E2201" t="s">
        <v>553</v>
      </c>
      <c r="F2201" t="s">
        <v>1068</v>
      </c>
      <c r="G2201" t="s">
        <v>1089</v>
      </c>
      <c r="H2201">
        <v>-1.9581041660655502E-3</v>
      </c>
      <c r="I2201" t="s">
        <v>1090</v>
      </c>
      <c r="J2201">
        <v>2.54</v>
      </c>
    </row>
    <row r="2202" spans="1:10" hidden="1">
      <c r="A2202" t="s">
        <v>1871</v>
      </c>
      <c r="B2202" t="s">
        <v>1872</v>
      </c>
      <c r="C2202" t="s">
        <v>241</v>
      </c>
      <c r="D2202" t="s">
        <v>1210</v>
      </c>
      <c r="E2202" t="s">
        <v>556</v>
      </c>
      <c r="F2202" t="s">
        <v>1068</v>
      </c>
      <c r="G2202" t="s">
        <v>1069</v>
      </c>
      <c r="H2202">
        <v>-3.1148210688226E-2</v>
      </c>
      <c r="I2202" t="s">
        <v>1070</v>
      </c>
      <c r="J2202">
        <v>2.5299999999999998</v>
      </c>
    </row>
    <row r="2203" spans="1:10" hidden="1">
      <c r="A2203" t="s">
        <v>1871</v>
      </c>
      <c r="B2203" t="s">
        <v>1872</v>
      </c>
      <c r="C2203" t="s">
        <v>241</v>
      </c>
      <c r="D2203" t="s">
        <v>1210</v>
      </c>
      <c r="E2203" t="s">
        <v>556</v>
      </c>
      <c r="F2203" t="s">
        <v>1068</v>
      </c>
      <c r="G2203" t="s">
        <v>1071</v>
      </c>
      <c r="H2203" s="170">
        <v>-6.5183562051786201E-11</v>
      </c>
      <c r="I2203" t="s">
        <v>1072</v>
      </c>
      <c r="J2203">
        <v>2.5299999999999998</v>
      </c>
    </row>
    <row r="2204" spans="1:10" hidden="1">
      <c r="A2204" t="s">
        <v>1871</v>
      </c>
      <c r="B2204" t="s">
        <v>1872</v>
      </c>
      <c r="C2204" t="s">
        <v>241</v>
      </c>
      <c r="D2204" t="s">
        <v>1210</v>
      </c>
      <c r="E2204" t="s">
        <v>556</v>
      </c>
      <c r="F2204" t="s">
        <v>1068</v>
      </c>
      <c r="G2204" t="s">
        <v>1073</v>
      </c>
      <c r="H2204" s="170">
        <v>-1.26136125048305E-8</v>
      </c>
      <c r="I2204" t="s">
        <v>1074</v>
      </c>
      <c r="J2204">
        <v>2.5299999999999998</v>
      </c>
    </row>
    <row r="2205" spans="1:10" hidden="1">
      <c r="A2205" t="s">
        <v>1871</v>
      </c>
      <c r="B2205" t="s">
        <v>1872</v>
      </c>
      <c r="C2205" t="s">
        <v>241</v>
      </c>
      <c r="D2205" t="s">
        <v>1210</v>
      </c>
      <c r="E2205" t="s">
        <v>556</v>
      </c>
      <c r="F2205" t="s">
        <v>1068</v>
      </c>
      <c r="G2205" t="s">
        <v>1075</v>
      </c>
      <c r="H2205">
        <v>6.6031729861900802E-3</v>
      </c>
      <c r="I2205" t="s">
        <v>1077</v>
      </c>
      <c r="J2205">
        <v>2.5299999999999998</v>
      </c>
    </row>
    <row r="2206" spans="1:10" hidden="1">
      <c r="A2206" t="s">
        <v>1871</v>
      </c>
      <c r="B2206" t="s">
        <v>1872</v>
      </c>
      <c r="C2206" t="s">
        <v>241</v>
      </c>
      <c r="D2206" t="s">
        <v>1210</v>
      </c>
      <c r="E2206" t="s">
        <v>556</v>
      </c>
      <c r="F2206" t="s">
        <v>1068</v>
      </c>
      <c r="G2206" t="s">
        <v>1078</v>
      </c>
      <c r="H2206">
        <v>-0.30296260744822501</v>
      </c>
      <c r="I2206" t="s">
        <v>1079</v>
      </c>
      <c r="J2206">
        <v>2.5299999999999998</v>
      </c>
    </row>
    <row r="2207" spans="1:10" hidden="1">
      <c r="A2207" t="s">
        <v>1871</v>
      </c>
      <c r="B2207" t="s">
        <v>1872</v>
      </c>
      <c r="C2207" t="s">
        <v>241</v>
      </c>
      <c r="D2207" t="s">
        <v>1210</v>
      </c>
      <c r="E2207" t="s">
        <v>556</v>
      </c>
      <c r="F2207" t="s">
        <v>1068</v>
      </c>
      <c r="G2207" t="s">
        <v>1080</v>
      </c>
      <c r="H2207" s="171" t="s">
        <v>1873</v>
      </c>
      <c r="I2207" t="s">
        <v>1082</v>
      </c>
      <c r="J2207">
        <v>2.5299999999999998</v>
      </c>
    </row>
    <row r="2208" spans="1:10" hidden="1">
      <c r="A2208" t="s">
        <v>1871</v>
      </c>
      <c r="B2208" t="s">
        <v>1872</v>
      </c>
      <c r="C2208" t="s">
        <v>241</v>
      </c>
      <c r="D2208" t="s">
        <v>1210</v>
      </c>
      <c r="E2208" t="s">
        <v>556</v>
      </c>
      <c r="F2208" t="s">
        <v>1068</v>
      </c>
      <c r="G2208" t="s">
        <v>1083</v>
      </c>
      <c r="H2208">
        <v>-2.6484764708544601E-4</v>
      </c>
      <c r="I2208" t="s">
        <v>1084</v>
      </c>
      <c r="J2208">
        <v>2.5299999999999998</v>
      </c>
    </row>
    <row r="2209" spans="1:10" hidden="1">
      <c r="A2209" t="s">
        <v>1871</v>
      </c>
      <c r="B2209" t="s">
        <v>1872</v>
      </c>
      <c r="C2209" t="s">
        <v>241</v>
      </c>
      <c r="D2209" t="s">
        <v>1210</v>
      </c>
      <c r="E2209" t="s">
        <v>556</v>
      </c>
      <c r="F2209" t="s">
        <v>1068</v>
      </c>
      <c r="G2209" t="s">
        <v>1085</v>
      </c>
      <c r="H2209">
        <v>-7.3568682603105404E-3</v>
      </c>
      <c r="I2209" t="s">
        <v>1086</v>
      </c>
      <c r="J2209">
        <v>2.5299999999999998</v>
      </c>
    </row>
    <row r="2210" spans="1:10" hidden="1">
      <c r="A2210" t="s">
        <v>1871</v>
      </c>
      <c r="B2210" t="s">
        <v>1872</v>
      </c>
      <c r="C2210" t="s">
        <v>241</v>
      </c>
      <c r="D2210" t="s">
        <v>1210</v>
      </c>
      <c r="E2210" t="s">
        <v>556</v>
      </c>
      <c r="F2210" t="s">
        <v>1068</v>
      </c>
      <c r="G2210" t="s">
        <v>1087</v>
      </c>
      <c r="H2210" s="170">
        <v>-4.8826415653890697E-6</v>
      </c>
      <c r="I2210" t="s">
        <v>1088</v>
      </c>
      <c r="J2210">
        <v>2.5299999999999998</v>
      </c>
    </row>
    <row r="2211" spans="1:10" hidden="1">
      <c r="A2211" t="s">
        <v>1871</v>
      </c>
      <c r="B2211" t="s">
        <v>1872</v>
      </c>
      <c r="C2211" t="s">
        <v>241</v>
      </c>
      <c r="D2211" t="s">
        <v>1210</v>
      </c>
      <c r="E2211" t="s">
        <v>556</v>
      </c>
      <c r="F2211" t="s">
        <v>1068</v>
      </c>
      <c r="G2211" t="s">
        <v>1089</v>
      </c>
      <c r="H2211">
        <v>-1.9580678320864999E-3</v>
      </c>
      <c r="I2211" t="s">
        <v>1090</v>
      </c>
      <c r="J2211">
        <v>2.5299999999999998</v>
      </c>
    </row>
    <row r="2212" spans="1:10" hidden="1">
      <c r="A2212" t="s">
        <v>1874</v>
      </c>
      <c r="B2212" t="s">
        <v>1875</v>
      </c>
      <c r="C2212" t="s">
        <v>241</v>
      </c>
      <c r="D2212" t="s">
        <v>1210</v>
      </c>
      <c r="E2212" t="s">
        <v>557</v>
      </c>
      <c r="F2212" t="s">
        <v>1068</v>
      </c>
      <c r="G2212" t="s">
        <v>1069</v>
      </c>
      <c r="H2212">
        <v>-3.1207277568325399E-2</v>
      </c>
      <c r="I2212" t="s">
        <v>1070</v>
      </c>
      <c r="J2212">
        <v>2.5499999999999998</v>
      </c>
    </row>
    <row r="2213" spans="1:10" hidden="1">
      <c r="A2213" t="s">
        <v>1874</v>
      </c>
      <c r="B2213" t="s">
        <v>1875</v>
      </c>
      <c r="C2213" t="s">
        <v>241</v>
      </c>
      <c r="D2213" t="s">
        <v>1210</v>
      </c>
      <c r="E2213" t="s">
        <v>557</v>
      </c>
      <c r="F2213" t="s">
        <v>1068</v>
      </c>
      <c r="G2213" t="s">
        <v>1071</v>
      </c>
      <c r="H2213" s="170">
        <v>-6.5269705383871195E-11</v>
      </c>
      <c r="I2213" t="s">
        <v>1072</v>
      </c>
      <c r="J2213">
        <v>2.5499999999999998</v>
      </c>
    </row>
    <row r="2214" spans="1:10" hidden="1">
      <c r="A2214" t="s">
        <v>1874</v>
      </c>
      <c r="B2214" t="s">
        <v>1875</v>
      </c>
      <c r="C2214" t="s">
        <v>241</v>
      </c>
      <c r="D2214" t="s">
        <v>1210</v>
      </c>
      <c r="E2214" t="s">
        <v>557</v>
      </c>
      <c r="F2214" t="s">
        <v>1068</v>
      </c>
      <c r="G2214" t="s">
        <v>1073</v>
      </c>
      <c r="H2214" s="170">
        <v>-1.26346099534207E-8</v>
      </c>
      <c r="I2214" t="s">
        <v>1074</v>
      </c>
      <c r="J2214">
        <v>2.5499999999999998</v>
      </c>
    </row>
    <row r="2215" spans="1:10" hidden="1">
      <c r="A2215" t="s">
        <v>1874</v>
      </c>
      <c r="B2215" t="s">
        <v>1875</v>
      </c>
      <c r="C2215" t="s">
        <v>241</v>
      </c>
      <c r="D2215" t="s">
        <v>1210</v>
      </c>
      <c r="E2215" t="s">
        <v>557</v>
      </c>
      <c r="F2215" t="s">
        <v>1068</v>
      </c>
      <c r="G2215" t="s">
        <v>1075</v>
      </c>
      <c r="H2215">
        <v>6.6005437362288699E-3</v>
      </c>
      <c r="I2215" t="s">
        <v>1077</v>
      </c>
      <c r="J2215">
        <v>2.5499999999999998</v>
      </c>
    </row>
    <row r="2216" spans="1:10" hidden="1">
      <c r="A2216" t="s">
        <v>1874</v>
      </c>
      <c r="B2216" t="s">
        <v>1875</v>
      </c>
      <c r="C2216" t="s">
        <v>241</v>
      </c>
      <c r="D2216" t="s">
        <v>1210</v>
      </c>
      <c r="E2216" t="s">
        <v>557</v>
      </c>
      <c r="F2216" t="s">
        <v>1068</v>
      </c>
      <c r="G2216" t="s">
        <v>1078</v>
      </c>
      <c r="H2216">
        <v>-0.30336225767796399</v>
      </c>
      <c r="I2216" t="s">
        <v>1079</v>
      </c>
      <c r="J2216">
        <v>2.5499999999999998</v>
      </c>
    </row>
    <row r="2217" spans="1:10" hidden="1">
      <c r="A2217" t="s">
        <v>1874</v>
      </c>
      <c r="B2217" t="s">
        <v>1875</v>
      </c>
      <c r="C2217" t="s">
        <v>241</v>
      </c>
      <c r="D2217" t="s">
        <v>1210</v>
      </c>
      <c r="E2217" t="s">
        <v>557</v>
      </c>
      <c r="F2217" t="s">
        <v>1068</v>
      </c>
      <c r="G2217" t="s">
        <v>1080</v>
      </c>
      <c r="H2217" s="171" t="s">
        <v>1876</v>
      </c>
      <c r="I2217" t="s">
        <v>1082</v>
      </c>
      <c r="J2217">
        <v>2.5499999999999998</v>
      </c>
    </row>
    <row r="2218" spans="1:10" hidden="1">
      <c r="A2218" t="s">
        <v>1874</v>
      </c>
      <c r="B2218" t="s">
        <v>1875</v>
      </c>
      <c r="C2218" t="s">
        <v>241</v>
      </c>
      <c r="D2218" t="s">
        <v>1210</v>
      </c>
      <c r="E2218" t="s">
        <v>557</v>
      </c>
      <c r="F2218" t="s">
        <v>1068</v>
      </c>
      <c r="G2218" t="s">
        <v>1083</v>
      </c>
      <c r="H2218">
        <v>-2.6485660954240499E-4</v>
      </c>
      <c r="I2218" t="s">
        <v>1084</v>
      </c>
      <c r="J2218">
        <v>2.5499999999999998</v>
      </c>
    </row>
    <row r="2219" spans="1:10" hidden="1">
      <c r="A2219" t="s">
        <v>1874</v>
      </c>
      <c r="B2219" t="s">
        <v>1875</v>
      </c>
      <c r="C2219" t="s">
        <v>241</v>
      </c>
      <c r="D2219" t="s">
        <v>1210</v>
      </c>
      <c r="E2219" t="s">
        <v>557</v>
      </c>
      <c r="F2219" t="s">
        <v>1068</v>
      </c>
      <c r="G2219" t="s">
        <v>1085</v>
      </c>
      <c r="H2219">
        <v>-7.3569735812376502E-3</v>
      </c>
      <c r="I2219" t="s">
        <v>1086</v>
      </c>
      <c r="J2219">
        <v>2.5499999999999998</v>
      </c>
    </row>
    <row r="2220" spans="1:10" hidden="1">
      <c r="A2220" t="s">
        <v>1874</v>
      </c>
      <c r="B2220" t="s">
        <v>1875</v>
      </c>
      <c r="C2220" t="s">
        <v>241</v>
      </c>
      <c r="D2220" t="s">
        <v>1210</v>
      </c>
      <c r="E2220" t="s">
        <v>557</v>
      </c>
      <c r="F2220" t="s">
        <v>1068</v>
      </c>
      <c r="G2220" t="s">
        <v>1087</v>
      </c>
      <c r="H2220" s="170">
        <v>-4.8826984386515999E-6</v>
      </c>
      <c r="I2220" t="s">
        <v>1088</v>
      </c>
      <c r="J2220">
        <v>2.5499999999999998</v>
      </c>
    </row>
    <row r="2221" spans="1:10" hidden="1">
      <c r="A2221" t="s">
        <v>1874</v>
      </c>
      <c r="B2221" t="s">
        <v>1875</v>
      </c>
      <c r="C2221" t="s">
        <v>241</v>
      </c>
      <c r="D2221" t="s">
        <v>1210</v>
      </c>
      <c r="E2221" t="s">
        <v>557</v>
      </c>
      <c r="F2221" t="s">
        <v>1068</v>
      </c>
      <c r="G2221" t="s">
        <v>1089</v>
      </c>
      <c r="H2221">
        <v>-1.9580887558653601E-3</v>
      </c>
      <c r="I2221" t="s">
        <v>1090</v>
      </c>
      <c r="J2221">
        <v>2.5499999999999998</v>
      </c>
    </row>
    <row r="2222" spans="1:10" hidden="1">
      <c r="A2222" t="s">
        <v>1877</v>
      </c>
      <c r="B2222" t="s">
        <v>1878</v>
      </c>
      <c r="C2222" t="s">
        <v>241</v>
      </c>
      <c r="D2222" t="s">
        <v>1210</v>
      </c>
      <c r="E2222" t="s">
        <v>559</v>
      </c>
      <c r="F2222" t="s">
        <v>1068</v>
      </c>
      <c r="G2222" t="s">
        <v>1069</v>
      </c>
      <c r="H2222">
        <v>-3.11786857597714E-2</v>
      </c>
      <c r="I2222" t="s">
        <v>1070</v>
      </c>
      <c r="J2222">
        <v>2.54</v>
      </c>
    </row>
    <row r="2223" spans="1:10" hidden="1">
      <c r="A2223" t="s">
        <v>1877</v>
      </c>
      <c r="B2223" t="s">
        <v>1878</v>
      </c>
      <c r="C2223" t="s">
        <v>241</v>
      </c>
      <c r="D2223" t="s">
        <v>1210</v>
      </c>
      <c r="E2223" t="s">
        <v>559</v>
      </c>
      <c r="F2223" t="s">
        <v>1068</v>
      </c>
      <c r="G2223" t="s">
        <v>1071</v>
      </c>
      <c r="H2223" s="170">
        <v>-6.5228544056966704E-11</v>
      </c>
      <c r="I2223" t="s">
        <v>1072</v>
      </c>
      <c r="J2223">
        <v>2.54</v>
      </c>
    </row>
    <row r="2224" spans="1:10" hidden="1">
      <c r="A2224" t="s">
        <v>1877</v>
      </c>
      <c r="B2224" t="s">
        <v>1878</v>
      </c>
      <c r="C2224" t="s">
        <v>241</v>
      </c>
      <c r="D2224" t="s">
        <v>1210</v>
      </c>
      <c r="E2224" t="s">
        <v>559</v>
      </c>
      <c r="F2224" t="s">
        <v>1068</v>
      </c>
      <c r="G2224" t="s">
        <v>1073</v>
      </c>
      <c r="H2224" s="170">
        <v>-1.2624476625251199E-8</v>
      </c>
      <c r="I2224" t="s">
        <v>1074</v>
      </c>
      <c r="J2224">
        <v>2.54</v>
      </c>
    </row>
    <row r="2225" spans="1:10" hidden="1">
      <c r="A2225" t="s">
        <v>1877</v>
      </c>
      <c r="B2225" t="s">
        <v>1878</v>
      </c>
      <c r="C2225" t="s">
        <v>241</v>
      </c>
      <c r="D2225" t="s">
        <v>1210</v>
      </c>
      <c r="E2225" t="s">
        <v>559</v>
      </c>
      <c r="F2225" t="s">
        <v>1068</v>
      </c>
      <c r="G2225" t="s">
        <v>1075</v>
      </c>
      <c r="H2225">
        <v>6.6016093605791703E-3</v>
      </c>
      <c r="I2225" t="s">
        <v>1077</v>
      </c>
      <c r="J2225">
        <v>2.54</v>
      </c>
    </row>
    <row r="2226" spans="1:10" hidden="1">
      <c r="A2226" t="s">
        <v>1877</v>
      </c>
      <c r="B2226" t="s">
        <v>1878</v>
      </c>
      <c r="C2226" t="s">
        <v>241</v>
      </c>
      <c r="D2226" t="s">
        <v>1210</v>
      </c>
      <c r="E2226" t="s">
        <v>559</v>
      </c>
      <c r="F2226" t="s">
        <v>1068</v>
      </c>
      <c r="G2226" t="s">
        <v>1078</v>
      </c>
      <c r="H2226">
        <v>-0.30325468771297998</v>
      </c>
      <c r="I2226" t="s">
        <v>1079</v>
      </c>
      <c r="J2226">
        <v>2.54</v>
      </c>
    </row>
    <row r="2227" spans="1:10" hidden="1">
      <c r="A2227" t="s">
        <v>1877</v>
      </c>
      <c r="B2227" t="s">
        <v>1878</v>
      </c>
      <c r="C2227" t="s">
        <v>241</v>
      </c>
      <c r="D2227" t="s">
        <v>1210</v>
      </c>
      <c r="E2227" t="s">
        <v>559</v>
      </c>
      <c r="F2227" t="s">
        <v>1068</v>
      </c>
      <c r="G2227" t="s">
        <v>1080</v>
      </c>
      <c r="H2227" s="171" t="s">
        <v>1879</v>
      </c>
      <c r="I2227" t="s">
        <v>1082</v>
      </c>
      <c r="J2227">
        <v>2.54</v>
      </c>
    </row>
    <row r="2228" spans="1:10" hidden="1">
      <c r="A2228" t="s">
        <v>1877</v>
      </c>
      <c r="B2228" t="s">
        <v>1878</v>
      </c>
      <c r="C2228" t="s">
        <v>241</v>
      </c>
      <c r="D2228" t="s">
        <v>1210</v>
      </c>
      <c r="E2228" t="s">
        <v>559</v>
      </c>
      <c r="F2228" t="s">
        <v>1068</v>
      </c>
      <c r="G2228" t="s">
        <v>1083</v>
      </c>
      <c r="H2228">
        <v>-2.64852279494259E-4</v>
      </c>
      <c r="I2228" t="s">
        <v>1084</v>
      </c>
      <c r="J2228">
        <v>2.54</v>
      </c>
    </row>
    <row r="2229" spans="1:10" hidden="1">
      <c r="A2229" t="s">
        <v>1877</v>
      </c>
      <c r="B2229" t="s">
        <v>1878</v>
      </c>
      <c r="C2229" t="s">
        <v>241</v>
      </c>
      <c r="D2229" t="s">
        <v>1210</v>
      </c>
      <c r="E2229" t="s">
        <v>559</v>
      </c>
      <c r="F2229" t="s">
        <v>1068</v>
      </c>
      <c r="G2229" t="s">
        <v>1085</v>
      </c>
      <c r="H2229">
        <v>-7.3569237731790802E-3</v>
      </c>
      <c r="I2229" t="s">
        <v>1086</v>
      </c>
      <c r="J2229">
        <v>2.54</v>
      </c>
    </row>
    <row r="2230" spans="1:10" hidden="1">
      <c r="A2230" t="s">
        <v>1877</v>
      </c>
      <c r="B2230" t="s">
        <v>1878</v>
      </c>
      <c r="C2230" t="s">
        <v>241</v>
      </c>
      <c r="D2230" t="s">
        <v>1210</v>
      </c>
      <c r="E2230" t="s">
        <v>559</v>
      </c>
      <c r="F2230" t="s">
        <v>1068</v>
      </c>
      <c r="G2230" t="s">
        <v>1087</v>
      </c>
      <c r="H2230" s="170">
        <v>-4.8826668304072001E-6</v>
      </c>
      <c r="I2230" t="s">
        <v>1088</v>
      </c>
      <c r="J2230">
        <v>2.54</v>
      </c>
    </row>
    <row r="2231" spans="1:10" hidden="1">
      <c r="A2231" t="s">
        <v>1877</v>
      </c>
      <c r="B2231" t="s">
        <v>1878</v>
      </c>
      <c r="C2231" t="s">
        <v>241</v>
      </c>
      <c r="D2231" t="s">
        <v>1210</v>
      </c>
      <c r="E2231" t="s">
        <v>559</v>
      </c>
      <c r="F2231" t="s">
        <v>1068</v>
      </c>
      <c r="G2231" t="s">
        <v>1089</v>
      </c>
      <c r="H2231">
        <v>-1.9580786320741398E-3</v>
      </c>
      <c r="I2231" t="s">
        <v>1090</v>
      </c>
      <c r="J2231">
        <v>2.54</v>
      </c>
    </row>
    <row r="2232" spans="1:10" hidden="1">
      <c r="A2232" t="s">
        <v>1880</v>
      </c>
      <c r="B2232" t="s">
        <v>1881</v>
      </c>
      <c r="C2232" t="s">
        <v>241</v>
      </c>
      <c r="D2232" t="s">
        <v>1210</v>
      </c>
      <c r="E2232" t="s">
        <v>560</v>
      </c>
      <c r="F2232" t="s">
        <v>1068</v>
      </c>
      <c r="G2232" t="s">
        <v>1069</v>
      </c>
      <c r="H2232">
        <v>-3.1188497672754101E-2</v>
      </c>
      <c r="I2232" t="s">
        <v>1070</v>
      </c>
      <c r="J2232">
        <v>2.5299999999999998</v>
      </c>
    </row>
    <row r="2233" spans="1:10" hidden="1">
      <c r="A2233" t="s">
        <v>1880</v>
      </c>
      <c r="B2233" t="s">
        <v>1881</v>
      </c>
      <c r="C2233" t="s">
        <v>241</v>
      </c>
      <c r="D2233" t="s">
        <v>1210</v>
      </c>
      <c r="E2233" t="s">
        <v>560</v>
      </c>
      <c r="F2233" t="s">
        <v>1068</v>
      </c>
      <c r="G2233" t="s">
        <v>1071</v>
      </c>
      <c r="H2233" s="170">
        <v>-6.5242831139635298E-11</v>
      </c>
      <c r="I2233" t="s">
        <v>1072</v>
      </c>
      <c r="J2233">
        <v>2.5299999999999998</v>
      </c>
    </row>
    <row r="2234" spans="1:10" hidden="1">
      <c r="A2234" t="s">
        <v>1880</v>
      </c>
      <c r="B2234" t="s">
        <v>1881</v>
      </c>
      <c r="C2234" t="s">
        <v>241</v>
      </c>
      <c r="D2234" t="s">
        <v>1210</v>
      </c>
      <c r="E2234" t="s">
        <v>560</v>
      </c>
      <c r="F2234" t="s">
        <v>1068</v>
      </c>
      <c r="G2234" t="s">
        <v>1073</v>
      </c>
      <c r="H2234" s="170">
        <v>-1.26279392750897E-8</v>
      </c>
      <c r="I2234" t="s">
        <v>1074</v>
      </c>
      <c r="J2234">
        <v>2.5299999999999998</v>
      </c>
    </row>
    <row r="2235" spans="1:10" hidden="1">
      <c r="A2235" t="s">
        <v>1880</v>
      </c>
      <c r="B2235" t="s">
        <v>1881</v>
      </c>
      <c r="C2235" t="s">
        <v>241</v>
      </c>
      <c r="D2235" t="s">
        <v>1210</v>
      </c>
      <c r="E2235" t="s">
        <v>560</v>
      </c>
      <c r="F2235" t="s">
        <v>1068</v>
      </c>
      <c r="G2235" t="s">
        <v>1075</v>
      </c>
      <c r="H2235">
        <v>6.6011373887896203E-3</v>
      </c>
      <c r="I2235" t="s">
        <v>1077</v>
      </c>
      <c r="J2235">
        <v>2.5299999999999998</v>
      </c>
    </row>
    <row r="2236" spans="1:10" hidden="1">
      <c r="A2236" t="s">
        <v>1880</v>
      </c>
      <c r="B2236" t="s">
        <v>1881</v>
      </c>
      <c r="C2236" t="s">
        <v>241</v>
      </c>
      <c r="D2236" t="s">
        <v>1210</v>
      </c>
      <c r="E2236" t="s">
        <v>560</v>
      </c>
      <c r="F2236" t="s">
        <v>1068</v>
      </c>
      <c r="G2236" t="s">
        <v>1078</v>
      </c>
      <c r="H2236">
        <v>-0.30333658585129503</v>
      </c>
      <c r="I2236" t="s">
        <v>1079</v>
      </c>
      <c r="J2236">
        <v>2.5299999999999998</v>
      </c>
    </row>
    <row r="2237" spans="1:10" hidden="1">
      <c r="A2237" t="s">
        <v>1880</v>
      </c>
      <c r="B2237" t="s">
        <v>1881</v>
      </c>
      <c r="C2237" t="s">
        <v>241</v>
      </c>
      <c r="D2237" t="s">
        <v>1210</v>
      </c>
      <c r="E2237" t="s">
        <v>560</v>
      </c>
      <c r="F2237" t="s">
        <v>1068</v>
      </c>
      <c r="G2237" t="s">
        <v>1080</v>
      </c>
      <c r="H2237" s="171" t="s">
        <v>1882</v>
      </c>
      <c r="I2237" t="s">
        <v>1082</v>
      </c>
      <c r="J2237">
        <v>2.5299999999999998</v>
      </c>
    </row>
    <row r="2238" spans="1:10" hidden="1">
      <c r="A2238" t="s">
        <v>1880</v>
      </c>
      <c r="B2238" t="s">
        <v>1881</v>
      </c>
      <c r="C2238" t="s">
        <v>241</v>
      </c>
      <c r="D2238" t="s">
        <v>1210</v>
      </c>
      <c r="E2238" t="s">
        <v>560</v>
      </c>
      <c r="F2238" t="s">
        <v>1068</v>
      </c>
      <c r="G2238" t="s">
        <v>1083</v>
      </c>
      <c r="H2238">
        <v>-2.6485375498612099E-4</v>
      </c>
      <c r="I2238" t="s">
        <v>1084</v>
      </c>
      <c r="J2238">
        <v>2.5299999999999998</v>
      </c>
    </row>
    <row r="2239" spans="1:10" hidden="1">
      <c r="A2239" t="s">
        <v>1880</v>
      </c>
      <c r="B2239" t="s">
        <v>1881</v>
      </c>
      <c r="C2239" t="s">
        <v>241</v>
      </c>
      <c r="D2239" t="s">
        <v>1210</v>
      </c>
      <c r="E2239" t="s">
        <v>560</v>
      </c>
      <c r="F2239" t="s">
        <v>1068</v>
      </c>
      <c r="G2239" t="s">
        <v>1085</v>
      </c>
      <c r="H2239">
        <v>-7.3569413189581096E-3</v>
      </c>
      <c r="I2239" t="s">
        <v>1086</v>
      </c>
      <c r="J2239">
        <v>2.5299999999999998</v>
      </c>
    </row>
    <row r="2240" spans="1:10" hidden="1">
      <c r="A2240" t="s">
        <v>1880</v>
      </c>
      <c r="B2240" t="s">
        <v>1881</v>
      </c>
      <c r="C2240" t="s">
        <v>241</v>
      </c>
      <c r="D2240" t="s">
        <v>1210</v>
      </c>
      <c r="E2240" t="s">
        <v>560</v>
      </c>
      <c r="F2240" t="s">
        <v>1068</v>
      </c>
      <c r="G2240" t="s">
        <v>1087</v>
      </c>
      <c r="H2240" s="170">
        <v>-4.8826828687281798E-6</v>
      </c>
      <c r="I2240" t="s">
        <v>1088</v>
      </c>
      <c r="J2240">
        <v>2.5299999999999998</v>
      </c>
    </row>
    <row r="2241" spans="1:10" hidden="1">
      <c r="A2241" t="s">
        <v>1880</v>
      </c>
      <c r="B2241" t="s">
        <v>1881</v>
      </c>
      <c r="C2241" t="s">
        <v>241</v>
      </c>
      <c r="D2241" t="s">
        <v>1210</v>
      </c>
      <c r="E2241" t="s">
        <v>560</v>
      </c>
      <c r="F2241" t="s">
        <v>1068</v>
      </c>
      <c r="G2241" t="s">
        <v>1089</v>
      </c>
      <c r="H2241">
        <v>-1.9580821002207999E-3</v>
      </c>
      <c r="I2241" t="s">
        <v>1090</v>
      </c>
      <c r="J2241">
        <v>2.5299999999999998</v>
      </c>
    </row>
    <row r="2242" spans="1:10" hidden="1">
      <c r="A2242" t="s">
        <v>1883</v>
      </c>
      <c r="B2242" t="s">
        <v>1884</v>
      </c>
      <c r="C2242" t="s">
        <v>241</v>
      </c>
      <c r="D2242" t="s">
        <v>1210</v>
      </c>
      <c r="E2242" t="s">
        <v>1116</v>
      </c>
      <c r="F2242" t="s">
        <v>1068</v>
      </c>
      <c r="G2242" t="s">
        <v>1069</v>
      </c>
      <c r="H2242">
        <v>-3.1245496544359701E-2</v>
      </c>
      <c r="I2242" t="s">
        <v>1070</v>
      </c>
      <c r="J2242">
        <v>3.05</v>
      </c>
    </row>
    <row r="2243" spans="1:10" hidden="1">
      <c r="A2243" t="s">
        <v>1883</v>
      </c>
      <c r="B2243" t="s">
        <v>1884</v>
      </c>
      <c r="C2243" t="s">
        <v>241</v>
      </c>
      <c r="D2243" t="s">
        <v>1210</v>
      </c>
      <c r="E2243" t="s">
        <v>1116</v>
      </c>
      <c r="F2243" t="s">
        <v>1068</v>
      </c>
      <c r="G2243" t="s">
        <v>1071</v>
      </c>
      <c r="H2243" s="170">
        <v>-6.5324397173372402E-11</v>
      </c>
      <c r="I2243" t="s">
        <v>1072</v>
      </c>
      <c r="J2243">
        <v>3.05</v>
      </c>
    </row>
    <row r="2244" spans="1:10" hidden="1">
      <c r="A2244" t="s">
        <v>1883</v>
      </c>
      <c r="B2244" t="s">
        <v>1884</v>
      </c>
      <c r="C2244" t="s">
        <v>241</v>
      </c>
      <c r="D2244" t="s">
        <v>1210</v>
      </c>
      <c r="E2244" t="s">
        <v>1116</v>
      </c>
      <c r="F2244" t="s">
        <v>1068</v>
      </c>
      <c r="G2244" t="s">
        <v>1073</v>
      </c>
      <c r="H2244" s="170">
        <v>-1.2648185454639499E-8</v>
      </c>
      <c r="I2244" t="s">
        <v>1074</v>
      </c>
      <c r="J2244">
        <v>3.05</v>
      </c>
    </row>
    <row r="2245" spans="1:10" hidden="1">
      <c r="A2245" t="s">
        <v>1883</v>
      </c>
      <c r="B2245" t="s">
        <v>1884</v>
      </c>
      <c r="C2245" t="s">
        <v>241</v>
      </c>
      <c r="D2245" t="s">
        <v>1210</v>
      </c>
      <c r="E2245" t="s">
        <v>1116</v>
      </c>
      <c r="F2245" t="s">
        <v>1068</v>
      </c>
      <c r="G2245" t="s">
        <v>1075</v>
      </c>
      <c r="H2245">
        <v>6.5993355935680103E-3</v>
      </c>
      <c r="I2245" t="s">
        <v>1077</v>
      </c>
      <c r="J2245">
        <v>3.05</v>
      </c>
    </row>
    <row r="2246" spans="1:10" hidden="1">
      <c r="A2246" t="s">
        <v>1883</v>
      </c>
      <c r="B2246" t="s">
        <v>1884</v>
      </c>
      <c r="C2246" t="s">
        <v>241</v>
      </c>
      <c r="D2246" t="s">
        <v>1210</v>
      </c>
      <c r="E2246" t="s">
        <v>1116</v>
      </c>
      <c r="F2246" t="s">
        <v>1068</v>
      </c>
      <c r="G2246" t="s">
        <v>1078</v>
      </c>
      <c r="H2246">
        <v>-0.30341450242691098</v>
      </c>
      <c r="I2246" t="s">
        <v>1079</v>
      </c>
      <c r="J2246">
        <v>3.05</v>
      </c>
    </row>
    <row r="2247" spans="1:10" hidden="1">
      <c r="A2247" t="s">
        <v>1883</v>
      </c>
      <c r="B2247" t="s">
        <v>1884</v>
      </c>
      <c r="C2247" t="s">
        <v>241</v>
      </c>
      <c r="D2247" t="s">
        <v>1210</v>
      </c>
      <c r="E2247" t="s">
        <v>1116</v>
      </c>
      <c r="F2247" t="s">
        <v>1068</v>
      </c>
      <c r="G2247" t="s">
        <v>1080</v>
      </c>
      <c r="H2247" s="171" t="s">
        <v>1885</v>
      </c>
      <c r="I2247" t="s">
        <v>1082</v>
      </c>
      <c r="J2247">
        <v>3.05</v>
      </c>
    </row>
    <row r="2248" spans="1:10" hidden="1">
      <c r="A2248" t="s">
        <v>1883</v>
      </c>
      <c r="B2248" t="s">
        <v>1884</v>
      </c>
      <c r="C2248" t="s">
        <v>241</v>
      </c>
      <c r="D2248" t="s">
        <v>1210</v>
      </c>
      <c r="E2248" t="s">
        <v>1116</v>
      </c>
      <c r="F2248" t="s">
        <v>1068</v>
      </c>
      <c r="G2248" t="s">
        <v>1083</v>
      </c>
      <c r="H2248">
        <v>-2.6486241885150999E-4</v>
      </c>
      <c r="I2248" t="s">
        <v>1084</v>
      </c>
      <c r="J2248">
        <v>3.05</v>
      </c>
    </row>
    <row r="2249" spans="1:10" hidden="1">
      <c r="A2249" t="s">
        <v>1883</v>
      </c>
      <c r="B2249" t="s">
        <v>1884</v>
      </c>
      <c r="C2249" t="s">
        <v>241</v>
      </c>
      <c r="D2249" t="s">
        <v>1210</v>
      </c>
      <c r="E2249" t="s">
        <v>1116</v>
      </c>
      <c r="F2249" t="s">
        <v>1068</v>
      </c>
      <c r="G2249" t="s">
        <v>1085</v>
      </c>
      <c r="H2249">
        <v>-7.35703923822095E-3</v>
      </c>
      <c r="I2249" t="s">
        <v>1086</v>
      </c>
      <c r="J2249">
        <v>3.05</v>
      </c>
    </row>
    <row r="2250" spans="1:10" hidden="1">
      <c r="A2250" t="s">
        <v>1883</v>
      </c>
      <c r="B2250" t="s">
        <v>1884</v>
      </c>
      <c r="C2250" t="s">
        <v>241</v>
      </c>
      <c r="D2250" t="s">
        <v>1210</v>
      </c>
      <c r="E2250" t="s">
        <v>1116</v>
      </c>
      <c r="F2250" t="s">
        <v>1068</v>
      </c>
      <c r="G2250" t="s">
        <v>1087</v>
      </c>
      <c r="H2250" s="170">
        <v>-4.8827301250115304E-6</v>
      </c>
      <c r="I2250" t="s">
        <v>1088</v>
      </c>
      <c r="J2250">
        <v>3.05</v>
      </c>
    </row>
    <row r="2251" spans="1:10" hidden="1">
      <c r="A2251" t="s">
        <v>1883</v>
      </c>
      <c r="B2251" t="s">
        <v>1884</v>
      </c>
      <c r="C2251" t="s">
        <v>241</v>
      </c>
      <c r="D2251" t="s">
        <v>1210</v>
      </c>
      <c r="E2251" t="s">
        <v>1116</v>
      </c>
      <c r="F2251" t="s">
        <v>1068</v>
      </c>
      <c r="G2251" t="s">
        <v>1089</v>
      </c>
      <c r="H2251">
        <v>-1.9581023007713598E-3</v>
      </c>
      <c r="I2251" t="s">
        <v>1090</v>
      </c>
      <c r="J2251">
        <v>3.05</v>
      </c>
    </row>
    <row r="2252" spans="1:10" hidden="1">
      <c r="A2252" t="s">
        <v>1886</v>
      </c>
      <c r="B2252" t="s">
        <v>1887</v>
      </c>
      <c r="C2252" t="s">
        <v>241</v>
      </c>
      <c r="D2252" t="s">
        <v>271</v>
      </c>
      <c r="E2252" t="s">
        <v>561</v>
      </c>
      <c r="F2252" t="s">
        <v>1068</v>
      </c>
      <c r="G2252" t="s">
        <v>1069</v>
      </c>
      <c r="H2252">
        <v>-8.4451886849135696E-2</v>
      </c>
      <c r="I2252" t="s">
        <v>1070</v>
      </c>
      <c r="J2252">
        <v>2.54</v>
      </c>
    </row>
    <row r="2253" spans="1:10" hidden="1">
      <c r="A2253" t="s">
        <v>1886</v>
      </c>
      <c r="B2253" t="s">
        <v>1887</v>
      </c>
      <c r="C2253" t="s">
        <v>241</v>
      </c>
      <c r="D2253" t="s">
        <v>271</v>
      </c>
      <c r="E2253" t="s">
        <v>561</v>
      </c>
      <c r="F2253" t="s">
        <v>1068</v>
      </c>
      <c r="G2253" t="s">
        <v>1071</v>
      </c>
      <c r="H2253" s="170">
        <v>-1.79605108732795E-10</v>
      </c>
      <c r="I2253" t="s">
        <v>1072</v>
      </c>
      <c r="J2253">
        <v>2.54</v>
      </c>
    </row>
    <row r="2254" spans="1:10" hidden="1">
      <c r="A2254" t="s">
        <v>1886</v>
      </c>
      <c r="B2254" t="s">
        <v>1887</v>
      </c>
      <c r="C2254" t="s">
        <v>241</v>
      </c>
      <c r="D2254" t="s">
        <v>271</v>
      </c>
      <c r="E2254" t="s">
        <v>561</v>
      </c>
      <c r="F2254" t="s">
        <v>1068</v>
      </c>
      <c r="G2254" t="s">
        <v>1073</v>
      </c>
      <c r="H2254" s="170">
        <v>-3.4079930699260501E-8</v>
      </c>
      <c r="I2254" t="s">
        <v>1074</v>
      </c>
      <c r="J2254">
        <v>2.54</v>
      </c>
    </row>
    <row r="2255" spans="1:10" hidden="1">
      <c r="A2255" t="s">
        <v>1886</v>
      </c>
      <c r="B2255" t="s">
        <v>1887</v>
      </c>
      <c r="C2255" t="s">
        <v>241</v>
      </c>
      <c r="D2255" t="s">
        <v>271</v>
      </c>
      <c r="E2255" t="s">
        <v>561</v>
      </c>
      <c r="F2255" t="s">
        <v>1068</v>
      </c>
      <c r="G2255" t="s">
        <v>1075</v>
      </c>
      <c r="H2255">
        <v>2.0811537315529802E-3</v>
      </c>
      <c r="I2255" t="s">
        <v>1077</v>
      </c>
      <c r="J2255">
        <v>2.54</v>
      </c>
    </row>
    <row r="2256" spans="1:10" hidden="1">
      <c r="A2256" t="s">
        <v>1886</v>
      </c>
      <c r="B2256" t="s">
        <v>1887</v>
      </c>
      <c r="C2256" t="s">
        <v>241</v>
      </c>
      <c r="D2256" t="s">
        <v>271</v>
      </c>
      <c r="E2256" t="s">
        <v>561</v>
      </c>
      <c r="F2256" t="s">
        <v>1068</v>
      </c>
      <c r="G2256" t="s">
        <v>1078</v>
      </c>
      <c r="H2256">
        <v>-1.5168958574070699</v>
      </c>
      <c r="I2256" t="s">
        <v>1079</v>
      </c>
      <c r="J2256">
        <v>2.54</v>
      </c>
    </row>
    <row r="2257" spans="1:10" hidden="1">
      <c r="A2257" t="s">
        <v>1886</v>
      </c>
      <c r="B2257" t="s">
        <v>1887</v>
      </c>
      <c r="C2257" t="s">
        <v>241</v>
      </c>
      <c r="D2257" t="s">
        <v>271</v>
      </c>
      <c r="E2257" t="s">
        <v>561</v>
      </c>
      <c r="F2257" t="s">
        <v>1068</v>
      </c>
      <c r="G2257" t="s">
        <v>1080</v>
      </c>
      <c r="H2257" s="171" t="s">
        <v>1888</v>
      </c>
      <c r="I2257" t="s">
        <v>1082</v>
      </c>
      <c r="J2257">
        <v>2.54</v>
      </c>
    </row>
    <row r="2258" spans="1:10" hidden="1">
      <c r="A2258" t="s">
        <v>1886</v>
      </c>
      <c r="B2258" t="s">
        <v>1887</v>
      </c>
      <c r="C2258" t="s">
        <v>241</v>
      </c>
      <c r="D2258" t="s">
        <v>271</v>
      </c>
      <c r="E2258" t="s">
        <v>561</v>
      </c>
      <c r="F2258" t="s">
        <v>1068</v>
      </c>
      <c r="G2258" t="s">
        <v>1083</v>
      </c>
      <c r="H2258">
        <v>-4.5609926003127799E-4</v>
      </c>
      <c r="I2258" t="s">
        <v>1084</v>
      </c>
      <c r="J2258">
        <v>2.54</v>
      </c>
    </row>
    <row r="2259" spans="1:10" hidden="1">
      <c r="A2259" t="s">
        <v>1886</v>
      </c>
      <c r="B2259" t="s">
        <v>1887</v>
      </c>
      <c r="C2259" t="s">
        <v>241</v>
      </c>
      <c r="D2259" t="s">
        <v>271</v>
      </c>
      <c r="E2259" t="s">
        <v>561</v>
      </c>
      <c r="F2259" t="s">
        <v>1068</v>
      </c>
      <c r="G2259" t="s">
        <v>1085</v>
      </c>
      <c r="H2259">
        <v>-1.2837374077870899E-2</v>
      </c>
      <c r="I2259" t="s">
        <v>1086</v>
      </c>
      <c r="J2259">
        <v>2.54</v>
      </c>
    </row>
    <row r="2260" spans="1:10" hidden="1">
      <c r="A2260" t="s">
        <v>1886</v>
      </c>
      <c r="B2260" t="s">
        <v>1887</v>
      </c>
      <c r="C2260" t="s">
        <v>241</v>
      </c>
      <c r="D2260" t="s">
        <v>271</v>
      </c>
      <c r="E2260" t="s">
        <v>561</v>
      </c>
      <c r="F2260" t="s">
        <v>1068</v>
      </c>
      <c r="G2260" t="s">
        <v>1087</v>
      </c>
      <c r="H2260" s="170">
        <v>-2.50568650474745E-7</v>
      </c>
      <c r="I2260" t="s">
        <v>1088</v>
      </c>
      <c r="J2260">
        <v>2.54</v>
      </c>
    </row>
    <row r="2261" spans="1:10" hidden="1">
      <c r="A2261" t="s">
        <v>1886</v>
      </c>
      <c r="B2261" t="s">
        <v>1887</v>
      </c>
      <c r="C2261" t="s">
        <v>241</v>
      </c>
      <c r="D2261" t="s">
        <v>271</v>
      </c>
      <c r="E2261" t="s">
        <v>561</v>
      </c>
      <c r="F2261" t="s">
        <v>1068</v>
      </c>
      <c r="G2261" t="s">
        <v>1089</v>
      </c>
      <c r="H2261">
        <v>-3.4875549043203902E-3</v>
      </c>
      <c r="I2261" t="s">
        <v>1090</v>
      </c>
      <c r="J2261">
        <v>2.54</v>
      </c>
    </row>
    <row r="2262" spans="1:10" hidden="1">
      <c r="A2262" t="s">
        <v>1889</v>
      </c>
      <c r="B2262" t="s">
        <v>1890</v>
      </c>
      <c r="C2262" t="s">
        <v>241</v>
      </c>
      <c r="D2262" t="s">
        <v>271</v>
      </c>
      <c r="E2262" t="s">
        <v>555</v>
      </c>
      <c r="F2262" t="s">
        <v>1068</v>
      </c>
      <c r="G2262" t="s">
        <v>1069</v>
      </c>
      <c r="H2262">
        <v>-8.4250848758199798E-2</v>
      </c>
      <c r="I2262" t="s">
        <v>1070</v>
      </c>
      <c r="J2262">
        <v>2.54</v>
      </c>
    </row>
    <row r="2263" spans="1:10" hidden="1">
      <c r="A2263" t="s">
        <v>1889</v>
      </c>
      <c r="B2263" t="s">
        <v>1890</v>
      </c>
      <c r="C2263" t="s">
        <v>241</v>
      </c>
      <c r="D2263" t="s">
        <v>271</v>
      </c>
      <c r="E2263" t="s">
        <v>555</v>
      </c>
      <c r="F2263" t="s">
        <v>1068</v>
      </c>
      <c r="G2263" t="s">
        <v>1071</v>
      </c>
      <c r="H2263" s="170">
        <v>-1.79271700703832E-10</v>
      </c>
      <c r="I2263" t="s">
        <v>1072</v>
      </c>
      <c r="J2263">
        <v>2.54</v>
      </c>
    </row>
    <row r="2264" spans="1:10" hidden="1">
      <c r="A2264" t="s">
        <v>1889</v>
      </c>
      <c r="B2264" t="s">
        <v>1890</v>
      </c>
      <c r="C2264" t="s">
        <v>241</v>
      </c>
      <c r="D2264" t="s">
        <v>271</v>
      </c>
      <c r="E2264" t="s">
        <v>555</v>
      </c>
      <c r="F2264" t="s">
        <v>1068</v>
      </c>
      <c r="G2264" t="s">
        <v>1073</v>
      </c>
      <c r="H2264" s="170">
        <v>-3.4012714468073103E-8</v>
      </c>
      <c r="I2264" t="s">
        <v>1074</v>
      </c>
      <c r="J2264">
        <v>2.54</v>
      </c>
    </row>
    <row r="2265" spans="1:10" hidden="1">
      <c r="A2265" t="s">
        <v>1889</v>
      </c>
      <c r="B2265" t="s">
        <v>1890</v>
      </c>
      <c r="C2265" t="s">
        <v>241</v>
      </c>
      <c r="D2265" t="s">
        <v>271</v>
      </c>
      <c r="E2265" t="s">
        <v>555</v>
      </c>
      <c r="F2265" t="s">
        <v>1068</v>
      </c>
      <c r="G2265" t="s">
        <v>1075</v>
      </c>
      <c r="H2265">
        <v>2.1175661946279999E-3</v>
      </c>
      <c r="I2265" t="s">
        <v>1077</v>
      </c>
      <c r="J2265">
        <v>2.54</v>
      </c>
    </row>
    <row r="2266" spans="1:10" hidden="1">
      <c r="A2266" t="s">
        <v>1889</v>
      </c>
      <c r="B2266" t="s">
        <v>1890</v>
      </c>
      <c r="C2266" t="s">
        <v>241</v>
      </c>
      <c r="D2266" t="s">
        <v>271</v>
      </c>
      <c r="E2266" t="s">
        <v>555</v>
      </c>
      <c r="F2266" t="s">
        <v>1068</v>
      </c>
      <c r="G2266" t="s">
        <v>1078</v>
      </c>
      <c r="H2266">
        <v>-1.5038991018496</v>
      </c>
      <c r="I2266" t="s">
        <v>1079</v>
      </c>
      <c r="J2266">
        <v>2.54</v>
      </c>
    </row>
    <row r="2267" spans="1:10" hidden="1">
      <c r="A2267" t="s">
        <v>1889</v>
      </c>
      <c r="B2267" t="s">
        <v>1890</v>
      </c>
      <c r="C2267" t="s">
        <v>241</v>
      </c>
      <c r="D2267" t="s">
        <v>271</v>
      </c>
      <c r="E2267" t="s">
        <v>555</v>
      </c>
      <c r="F2267" t="s">
        <v>1068</v>
      </c>
      <c r="G2267" t="s">
        <v>1080</v>
      </c>
      <c r="H2267" s="171" t="s">
        <v>1891</v>
      </c>
      <c r="I2267" t="s">
        <v>1082</v>
      </c>
      <c r="J2267">
        <v>2.54</v>
      </c>
    </row>
    <row r="2268" spans="1:10" hidden="1">
      <c r="A2268" t="s">
        <v>1889</v>
      </c>
      <c r="B2268" t="s">
        <v>1890</v>
      </c>
      <c r="C2268" t="s">
        <v>241</v>
      </c>
      <c r="D2268" t="s">
        <v>271</v>
      </c>
      <c r="E2268" t="s">
        <v>555</v>
      </c>
      <c r="F2268" t="s">
        <v>1068</v>
      </c>
      <c r="G2268" t="s">
        <v>1083</v>
      </c>
      <c r="H2268">
        <v>-4.5607166040838499E-4</v>
      </c>
      <c r="I2268" t="s">
        <v>1084</v>
      </c>
      <c r="J2268">
        <v>2.54</v>
      </c>
    </row>
    <row r="2269" spans="1:10" hidden="1">
      <c r="A2269" t="s">
        <v>1889</v>
      </c>
      <c r="B2269" t="s">
        <v>1890</v>
      </c>
      <c r="C2269" t="s">
        <v>241</v>
      </c>
      <c r="D2269" t="s">
        <v>271</v>
      </c>
      <c r="E2269" t="s">
        <v>555</v>
      </c>
      <c r="F2269" t="s">
        <v>1068</v>
      </c>
      <c r="G2269" t="s">
        <v>1085</v>
      </c>
      <c r="H2269">
        <v>-1.2836900584593001E-2</v>
      </c>
      <c r="I2269" t="s">
        <v>1086</v>
      </c>
      <c r="J2269">
        <v>2.54</v>
      </c>
    </row>
    <row r="2270" spans="1:10" hidden="1">
      <c r="A2270" t="s">
        <v>1889</v>
      </c>
      <c r="B2270" t="s">
        <v>1890</v>
      </c>
      <c r="C2270" t="s">
        <v>241</v>
      </c>
      <c r="D2270" t="s">
        <v>271</v>
      </c>
      <c r="E2270" t="s">
        <v>555</v>
      </c>
      <c r="F2270" t="s">
        <v>1068</v>
      </c>
      <c r="G2270" t="s">
        <v>1087</v>
      </c>
      <c r="H2270" s="170">
        <v>-2.4893380686944802E-7</v>
      </c>
      <c r="I2270" t="s">
        <v>1088</v>
      </c>
      <c r="J2270">
        <v>2.54</v>
      </c>
    </row>
    <row r="2271" spans="1:10" hidden="1">
      <c r="A2271" t="s">
        <v>1889</v>
      </c>
      <c r="B2271" t="s">
        <v>1890</v>
      </c>
      <c r="C2271" t="s">
        <v>241</v>
      </c>
      <c r="D2271" t="s">
        <v>271</v>
      </c>
      <c r="E2271" t="s">
        <v>555</v>
      </c>
      <c r="F2271" t="s">
        <v>1068</v>
      </c>
      <c r="G2271" t="s">
        <v>1089</v>
      </c>
      <c r="H2271">
        <v>-3.48748536882921E-3</v>
      </c>
      <c r="I2271" t="s">
        <v>1090</v>
      </c>
      <c r="J2271">
        <v>2.54</v>
      </c>
    </row>
    <row r="2272" spans="1:10" hidden="1">
      <c r="A2272" t="s">
        <v>1892</v>
      </c>
      <c r="B2272" t="s">
        <v>1893</v>
      </c>
      <c r="C2272" t="s">
        <v>241</v>
      </c>
      <c r="D2272" t="s">
        <v>271</v>
      </c>
      <c r="E2272" t="s">
        <v>558</v>
      </c>
      <c r="F2272" t="s">
        <v>1068</v>
      </c>
      <c r="G2272" t="s">
        <v>1069</v>
      </c>
      <c r="H2272">
        <v>-8.44679526943935E-2</v>
      </c>
      <c r="I2272" t="s">
        <v>1070</v>
      </c>
      <c r="J2272">
        <v>2.54</v>
      </c>
    </row>
    <row r="2273" spans="1:10" hidden="1">
      <c r="A2273" t="s">
        <v>1892</v>
      </c>
      <c r="B2273" t="s">
        <v>1893</v>
      </c>
      <c r="C2273" t="s">
        <v>241</v>
      </c>
      <c r="D2273" t="s">
        <v>271</v>
      </c>
      <c r="E2273" t="s">
        <v>558</v>
      </c>
      <c r="F2273" t="s">
        <v>1068</v>
      </c>
      <c r="G2273" t="s">
        <v>1071</v>
      </c>
      <c r="H2273" s="170">
        <v>-1.79628099140181E-10</v>
      </c>
      <c r="I2273" t="s">
        <v>1072</v>
      </c>
      <c r="J2273">
        <v>2.54</v>
      </c>
    </row>
    <row r="2274" spans="1:10" hidden="1">
      <c r="A2274" t="s">
        <v>1892</v>
      </c>
      <c r="B2274" t="s">
        <v>1893</v>
      </c>
      <c r="C2274" t="s">
        <v>241</v>
      </c>
      <c r="D2274" t="s">
        <v>271</v>
      </c>
      <c r="E2274" t="s">
        <v>558</v>
      </c>
      <c r="F2274" t="s">
        <v>1068</v>
      </c>
      <c r="G2274" t="s">
        <v>1073</v>
      </c>
      <c r="H2274" s="170">
        <v>-3.4085637338333697E-8</v>
      </c>
      <c r="I2274" t="s">
        <v>1074</v>
      </c>
      <c r="J2274">
        <v>2.54</v>
      </c>
    </row>
    <row r="2275" spans="1:10" hidden="1">
      <c r="A2275" t="s">
        <v>1892</v>
      </c>
      <c r="B2275" t="s">
        <v>1893</v>
      </c>
      <c r="C2275" t="s">
        <v>241</v>
      </c>
      <c r="D2275" t="s">
        <v>271</v>
      </c>
      <c r="E2275" t="s">
        <v>558</v>
      </c>
      <c r="F2275" t="s">
        <v>1068</v>
      </c>
      <c r="G2275" t="s">
        <v>1075</v>
      </c>
      <c r="H2275">
        <v>2.0806458730232599E-3</v>
      </c>
      <c r="I2275" t="s">
        <v>1077</v>
      </c>
      <c r="J2275">
        <v>2.54</v>
      </c>
    </row>
    <row r="2276" spans="1:10" hidden="1">
      <c r="A2276" t="s">
        <v>1892</v>
      </c>
      <c r="B2276" t="s">
        <v>1893</v>
      </c>
      <c r="C2276" t="s">
        <v>241</v>
      </c>
      <c r="D2276" t="s">
        <v>271</v>
      </c>
      <c r="E2276" t="s">
        <v>558</v>
      </c>
      <c r="F2276" t="s">
        <v>1068</v>
      </c>
      <c r="G2276" t="s">
        <v>1078</v>
      </c>
      <c r="H2276">
        <v>-1.5169178191689101</v>
      </c>
      <c r="I2276" t="s">
        <v>1079</v>
      </c>
      <c r="J2276">
        <v>2.54</v>
      </c>
    </row>
    <row r="2277" spans="1:10" hidden="1">
      <c r="A2277" t="s">
        <v>1892</v>
      </c>
      <c r="B2277" t="s">
        <v>1893</v>
      </c>
      <c r="C2277" t="s">
        <v>241</v>
      </c>
      <c r="D2277" t="s">
        <v>271</v>
      </c>
      <c r="E2277" t="s">
        <v>558</v>
      </c>
      <c r="F2277" t="s">
        <v>1068</v>
      </c>
      <c r="G2277" t="s">
        <v>1080</v>
      </c>
      <c r="H2277" s="171" t="s">
        <v>1894</v>
      </c>
      <c r="I2277" t="s">
        <v>1082</v>
      </c>
      <c r="J2277">
        <v>2.54</v>
      </c>
    </row>
    <row r="2278" spans="1:10" hidden="1">
      <c r="A2278" t="s">
        <v>1892</v>
      </c>
      <c r="B2278" t="s">
        <v>1893</v>
      </c>
      <c r="C2278" t="s">
        <v>241</v>
      </c>
      <c r="D2278" t="s">
        <v>271</v>
      </c>
      <c r="E2278" t="s">
        <v>558</v>
      </c>
      <c r="F2278" t="s">
        <v>1068</v>
      </c>
      <c r="G2278" t="s">
        <v>1083</v>
      </c>
      <c r="H2278">
        <v>-4.56101702050152E-4</v>
      </c>
      <c r="I2278" t="s">
        <v>1084</v>
      </c>
      <c r="J2278">
        <v>2.54</v>
      </c>
    </row>
    <row r="2279" spans="1:10" hidden="1">
      <c r="A2279" t="s">
        <v>1892</v>
      </c>
      <c r="B2279" t="s">
        <v>1893</v>
      </c>
      <c r="C2279" t="s">
        <v>241</v>
      </c>
      <c r="D2279" t="s">
        <v>271</v>
      </c>
      <c r="E2279" t="s">
        <v>558</v>
      </c>
      <c r="F2279" t="s">
        <v>1068</v>
      </c>
      <c r="G2279" t="s">
        <v>1085</v>
      </c>
      <c r="H2279">
        <v>-1.28374016776404E-2</v>
      </c>
      <c r="I2279" t="s">
        <v>1086</v>
      </c>
      <c r="J2279">
        <v>2.54</v>
      </c>
    </row>
    <row r="2280" spans="1:10" hidden="1">
      <c r="A2280" t="s">
        <v>1892</v>
      </c>
      <c r="B2280" t="s">
        <v>1893</v>
      </c>
      <c r="C2280" t="s">
        <v>241</v>
      </c>
      <c r="D2280" t="s">
        <v>271</v>
      </c>
      <c r="E2280" t="s">
        <v>558</v>
      </c>
      <c r="F2280" t="s">
        <v>1068</v>
      </c>
      <c r="G2280" t="s">
        <v>1087</v>
      </c>
      <c r="H2280" s="170">
        <v>-2.5058197024953502E-7</v>
      </c>
      <c r="I2280" t="s">
        <v>1088</v>
      </c>
      <c r="J2280">
        <v>2.54</v>
      </c>
    </row>
    <row r="2281" spans="1:10" hidden="1">
      <c r="A2281" t="s">
        <v>1892</v>
      </c>
      <c r="B2281" t="s">
        <v>1893</v>
      </c>
      <c r="C2281" t="s">
        <v>241</v>
      </c>
      <c r="D2281" t="s">
        <v>271</v>
      </c>
      <c r="E2281" t="s">
        <v>558</v>
      </c>
      <c r="F2281" t="s">
        <v>1068</v>
      </c>
      <c r="G2281" t="s">
        <v>1089</v>
      </c>
      <c r="H2281">
        <v>-3.4875605980983402E-3</v>
      </c>
      <c r="I2281" t="s">
        <v>1090</v>
      </c>
      <c r="J2281">
        <v>2.54</v>
      </c>
    </row>
    <row r="2282" spans="1:10" hidden="1">
      <c r="A2282" t="s">
        <v>1895</v>
      </c>
      <c r="B2282" t="s">
        <v>1896</v>
      </c>
      <c r="C2282" t="s">
        <v>241</v>
      </c>
      <c r="D2282" t="s">
        <v>271</v>
      </c>
      <c r="E2282" t="s">
        <v>553</v>
      </c>
      <c r="F2282" t="s">
        <v>1068</v>
      </c>
      <c r="G2282" t="s">
        <v>1069</v>
      </c>
      <c r="H2282">
        <v>-8.4464098739928301E-2</v>
      </c>
      <c r="I2282" t="s">
        <v>1070</v>
      </c>
      <c r="J2282">
        <v>2.54</v>
      </c>
    </row>
    <row r="2283" spans="1:10" hidden="1">
      <c r="A2283" t="s">
        <v>1895</v>
      </c>
      <c r="B2283" t="s">
        <v>1896</v>
      </c>
      <c r="C2283" t="s">
        <v>241</v>
      </c>
      <c r="D2283" t="s">
        <v>271</v>
      </c>
      <c r="E2283" t="s">
        <v>553</v>
      </c>
      <c r="F2283" t="s">
        <v>1068</v>
      </c>
      <c r="G2283" t="s">
        <v>1071</v>
      </c>
      <c r="H2283" s="170">
        <v>-1.79576863853901E-10</v>
      </c>
      <c r="I2283" t="s">
        <v>1072</v>
      </c>
      <c r="J2283">
        <v>2.54</v>
      </c>
    </row>
    <row r="2284" spans="1:10" hidden="1">
      <c r="A2284" t="s">
        <v>1895</v>
      </c>
      <c r="B2284" t="s">
        <v>1896</v>
      </c>
      <c r="C2284" t="s">
        <v>241</v>
      </c>
      <c r="D2284" t="s">
        <v>271</v>
      </c>
      <c r="E2284" t="s">
        <v>553</v>
      </c>
      <c r="F2284" t="s">
        <v>1068</v>
      </c>
      <c r="G2284" t="s">
        <v>1073</v>
      </c>
      <c r="H2284" s="170">
        <v>-3.4088461536351703E-8</v>
      </c>
      <c r="I2284" t="s">
        <v>1074</v>
      </c>
      <c r="J2284">
        <v>2.54</v>
      </c>
    </row>
    <row r="2285" spans="1:10" hidden="1">
      <c r="A2285" t="s">
        <v>1895</v>
      </c>
      <c r="B2285" t="s">
        <v>1896</v>
      </c>
      <c r="C2285" t="s">
        <v>241</v>
      </c>
      <c r="D2285" t="s">
        <v>271</v>
      </c>
      <c r="E2285" t="s">
        <v>553</v>
      </c>
      <c r="F2285" t="s">
        <v>1068</v>
      </c>
      <c r="G2285" t="s">
        <v>1075</v>
      </c>
      <c r="H2285">
        <v>2.11082513489837E-3</v>
      </c>
      <c r="I2285" t="s">
        <v>1077</v>
      </c>
      <c r="J2285">
        <v>2.54</v>
      </c>
    </row>
    <row r="2286" spans="1:10" hidden="1">
      <c r="A2286" t="s">
        <v>1895</v>
      </c>
      <c r="B2286" t="s">
        <v>1896</v>
      </c>
      <c r="C2286" t="s">
        <v>241</v>
      </c>
      <c r="D2286" t="s">
        <v>271</v>
      </c>
      <c r="E2286" t="s">
        <v>553</v>
      </c>
      <c r="F2286" t="s">
        <v>1068</v>
      </c>
      <c r="G2286" t="s">
        <v>1078</v>
      </c>
      <c r="H2286">
        <v>-1.50419061127517</v>
      </c>
      <c r="I2286" t="s">
        <v>1079</v>
      </c>
      <c r="J2286">
        <v>2.54</v>
      </c>
    </row>
    <row r="2287" spans="1:10" hidden="1">
      <c r="A2287" t="s">
        <v>1895</v>
      </c>
      <c r="B2287" t="s">
        <v>1896</v>
      </c>
      <c r="C2287" t="s">
        <v>241</v>
      </c>
      <c r="D2287" t="s">
        <v>271</v>
      </c>
      <c r="E2287" t="s">
        <v>553</v>
      </c>
      <c r="F2287" t="s">
        <v>1068</v>
      </c>
      <c r="G2287" t="s">
        <v>1080</v>
      </c>
      <c r="H2287" s="171" t="s">
        <v>1897</v>
      </c>
      <c r="I2287" t="s">
        <v>1082</v>
      </c>
      <c r="J2287">
        <v>2.54</v>
      </c>
    </row>
    <row r="2288" spans="1:10" hidden="1">
      <c r="A2288" t="s">
        <v>1895</v>
      </c>
      <c r="B2288" t="s">
        <v>1896</v>
      </c>
      <c r="C2288" t="s">
        <v>241</v>
      </c>
      <c r="D2288" t="s">
        <v>271</v>
      </c>
      <c r="E2288" t="s">
        <v>553</v>
      </c>
      <c r="F2288" t="s">
        <v>1068</v>
      </c>
      <c r="G2288" t="s">
        <v>1083</v>
      </c>
      <c r="H2288">
        <v>-4.5610407454366598E-4</v>
      </c>
      <c r="I2288" t="s">
        <v>1084</v>
      </c>
      <c r="J2288">
        <v>2.54</v>
      </c>
    </row>
    <row r="2289" spans="1:10" hidden="1">
      <c r="A2289" t="s">
        <v>1895</v>
      </c>
      <c r="B2289" t="s">
        <v>1896</v>
      </c>
      <c r="C2289" t="s">
        <v>241</v>
      </c>
      <c r="D2289" t="s">
        <v>271</v>
      </c>
      <c r="E2289" t="s">
        <v>553</v>
      </c>
      <c r="F2289" t="s">
        <v>1068</v>
      </c>
      <c r="G2289" t="s">
        <v>1085</v>
      </c>
      <c r="H2289">
        <v>-1.2837266930108501E-2</v>
      </c>
      <c r="I2289" t="s">
        <v>1086</v>
      </c>
      <c r="J2289">
        <v>2.54</v>
      </c>
    </row>
    <row r="2290" spans="1:10" hidden="1">
      <c r="A2290" t="s">
        <v>1895</v>
      </c>
      <c r="B2290" t="s">
        <v>1896</v>
      </c>
      <c r="C2290" t="s">
        <v>241</v>
      </c>
      <c r="D2290" t="s">
        <v>271</v>
      </c>
      <c r="E2290" t="s">
        <v>553</v>
      </c>
      <c r="F2290" t="s">
        <v>1068</v>
      </c>
      <c r="G2290" t="s">
        <v>1087</v>
      </c>
      <c r="H2290" s="170">
        <v>-2.4911060688797901E-7</v>
      </c>
      <c r="I2290" t="s">
        <v>1088</v>
      </c>
      <c r="J2290">
        <v>2.54</v>
      </c>
    </row>
    <row r="2291" spans="1:10" hidden="1">
      <c r="A2291" t="s">
        <v>1895</v>
      </c>
      <c r="B2291" t="s">
        <v>1896</v>
      </c>
      <c r="C2291" t="s">
        <v>241</v>
      </c>
      <c r="D2291" t="s">
        <v>271</v>
      </c>
      <c r="E2291" t="s">
        <v>553</v>
      </c>
      <c r="F2291" t="s">
        <v>1068</v>
      </c>
      <c r="G2291" t="s">
        <v>1089</v>
      </c>
      <c r="H2291">
        <v>-3.4875609451856401E-3</v>
      </c>
      <c r="I2291" t="s">
        <v>1090</v>
      </c>
      <c r="J2291">
        <v>2.54</v>
      </c>
    </row>
    <row r="2292" spans="1:10" hidden="1">
      <c r="A2292" t="s">
        <v>1898</v>
      </c>
      <c r="B2292" t="s">
        <v>1899</v>
      </c>
      <c r="C2292" t="s">
        <v>241</v>
      </c>
      <c r="D2292" t="s">
        <v>271</v>
      </c>
      <c r="E2292" t="s">
        <v>556</v>
      </c>
      <c r="F2292" t="s">
        <v>1068</v>
      </c>
      <c r="G2292" t="s">
        <v>1069</v>
      </c>
      <c r="H2292">
        <v>-8.4270652449762201E-2</v>
      </c>
      <c r="I2292" t="s">
        <v>1070</v>
      </c>
      <c r="J2292">
        <v>2.63</v>
      </c>
    </row>
    <row r="2293" spans="1:10" hidden="1">
      <c r="A2293" t="s">
        <v>1898</v>
      </c>
      <c r="B2293" t="s">
        <v>1899</v>
      </c>
      <c r="C2293" t="s">
        <v>241</v>
      </c>
      <c r="D2293" t="s">
        <v>271</v>
      </c>
      <c r="E2293" t="s">
        <v>556</v>
      </c>
      <c r="F2293" t="s">
        <v>1068</v>
      </c>
      <c r="G2293" t="s">
        <v>1071</v>
      </c>
      <c r="H2293" s="170">
        <v>-1.79045206846289E-10</v>
      </c>
      <c r="I2293" t="s">
        <v>1072</v>
      </c>
      <c r="J2293">
        <v>2.63</v>
      </c>
    </row>
    <row r="2294" spans="1:10" hidden="1">
      <c r="A2294" t="s">
        <v>1898</v>
      </c>
      <c r="B2294" t="s">
        <v>1899</v>
      </c>
      <c r="C2294" t="s">
        <v>241</v>
      </c>
      <c r="D2294" t="s">
        <v>271</v>
      </c>
      <c r="E2294" t="s">
        <v>556</v>
      </c>
      <c r="F2294" t="s">
        <v>1068</v>
      </c>
      <c r="G2294" t="s">
        <v>1073</v>
      </c>
      <c r="H2294" s="170">
        <v>-3.4012452360923603E-8</v>
      </c>
      <c r="I2294" t="s">
        <v>1074</v>
      </c>
      <c r="J2294">
        <v>2.63</v>
      </c>
    </row>
    <row r="2295" spans="1:10" hidden="1">
      <c r="A2295" t="s">
        <v>1898</v>
      </c>
      <c r="B2295" t="s">
        <v>1899</v>
      </c>
      <c r="C2295" t="s">
        <v>241</v>
      </c>
      <c r="D2295" t="s">
        <v>271</v>
      </c>
      <c r="E2295" t="s">
        <v>556</v>
      </c>
      <c r="F2295" t="s">
        <v>1068</v>
      </c>
      <c r="G2295" t="s">
        <v>1075</v>
      </c>
      <c r="H2295">
        <v>2.2284482518860902E-3</v>
      </c>
      <c r="I2295" t="s">
        <v>1077</v>
      </c>
      <c r="J2295">
        <v>2.63</v>
      </c>
    </row>
    <row r="2296" spans="1:10" hidden="1">
      <c r="A2296" t="s">
        <v>1898</v>
      </c>
      <c r="B2296" t="s">
        <v>1899</v>
      </c>
      <c r="C2296" t="s">
        <v>241</v>
      </c>
      <c r="D2296" t="s">
        <v>271</v>
      </c>
      <c r="E2296" t="s">
        <v>556</v>
      </c>
      <c r="F2296" t="s">
        <v>1068</v>
      </c>
      <c r="G2296" t="s">
        <v>1078</v>
      </c>
      <c r="H2296">
        <v>-1.45740757820858</v>
      </c>
      <c r="I2296" t="s">
        <v>1079</v>
      </c>
      <c r="J2296">
        <v>2.63</v>
      </c>
    </row>
    <row r="2297" spans="1:10" hidden="1">
      <c r="A2297" t="s">
        <v>1898</v>
      </c>
      <c r="B2297" t="s">
        <v>1899</v>
      </c>
      <c r="C2297" t="s">
        <v>241</v>
      </c>
      <c r="D2297" t="s">
        <v>271</v>
      </c>
      <c r="E2297" t="s">
        <v>556</v>
      </c>
      <c r="F2297" t="s">
        <v>1068</v>
      </c>
      <c r="G2297" t="s">
        <v>1080</v>
      </c>
      <c r="H2297" s="171" t="s">
        <v>1900</v>
      </c>
      <c r="I2297" t="s">
        <v>1082</v>
      </c>
      <c r="J2297">
        <v>2.63</v>
      </c>
    </row>
    <row r="2298" spans="1:10" hidden="1">
      <c r="A2298" t="s">
        <v>1898</v>
      </c>
      <c r="B2298" t="s">
        <v>1899</v>
      </c>
      <c r="C2298" t="s">
        <v>241</v>
      </c>
      <c r="D2298" t="s">
        <v>271</v>
      </c>
      <c r="E2298" t="s">
        <v>556</v>
      </c>
      <c r="F2298" t="s">
        <v>1068</v>
      </c>
      <c r="G2298" t="s">
        <v>1083</v>
      </c>
      <c r="H2298">
        <v>-4.5607463747946E-4</v>
      </c>
      <c r="I2298" t="s">
        <v>1084</v>
      </c>
      <c r="J2298">
        <v>2.63</v>
      </c>
    </row>
    <row r="2299" spans="1:10" hidden="1">
      <c r="A2299" t="s">
        <v>1898</v>
      </c>
      <c r="B2299" t="s">
        <v>1899</v>
      </c>
      <c r="C2299" t="s">
        <v>241</v>
      </c>
      <c r="D2299" t="s">
        <v>271</v>
      </c>
      <c r="E2299" t="s">
        <v>556</v>
      </c>
      <c r="F2299" t="s">
        <v>1068</v>
      </c>
      <c r="G2299" t="s">
        <v>1085</v>
      </c>
      <c r="H2299">
        <v>-1.28363477371264E-2</v>
      </c>
      <c r="I2299" t="s">
        <v>1086</v>
      </c>
      <c r="J2299">
        <v>2.63</v>
      </c>
    </row>
    <row r="2300" spans="1:10" hidden="1">
      <c r="A2300" t="s">
        <v>1898</v>
      </c>
      <c r="B2300" t="s">
        <v>1899</v>
      </c>
      <c r="C2300" t="s">
        <v>241</v>
      </c>
      <c r="D2300" t="s">
        <v>271</v>
      </c>
      <c r="E2300" t="s">
        <v>556</v>
      </c>
      <c r="F2300" t="s">
        <v>1068</v>
      </c>
      <c r="G2300" t="s">
        <v>1087</v>
      </c>
      <c r="H2300" s="170">
        <v>-2.4895042470067398E-7</v>
      </c>
      <c r="I2300" t="s">
        <v>1088</v>
      </c>
      <c r="J2300">
        <v>2.63</v>
      </c>
    </row>
    <row r="2301" spans="1:10" hidden="1">
      <c r="A2301" t="s">
        <v>1898</v>
      </c>
      <c r="B2301" t="s">
        <v>1899</v>
      </c>
      <c r="C2301" t="s">
        <v>241</v>
      </c>
      <c r="D2301" t="s">
        <v>271</v>
      </c>
      <c r="E2301" t="s">
        <v>556</v>
      </c>
      <c r="F2301" t="s">
        <v>1068</v>
      </c>
      <c r="G2301" t="s">
        <v>1089</v>
      </c>
      <c r="H2301">
        <v>-3.4874924724208802E-3</v>
      </c>
      <c r="I2301" t="s">
        <v>1090</v>
      </c>
      <c r="J2301">
        <v>2.63</v>
      </c>
    </row>
    <row r="2302" spans="1:10" hidden="1">
      <c r="A2302" t="s">
        <v>1901</v>
      </c>
      <c r="B2302" t="s">
        <v>1902</v>
      </c>
      <c r="C2302" t="s">
        <v>241</v>
      </c>
      <c r="D2302" t="s">
        <v>271</v>
      </c>
      <c r="E2302" t="s">
        <v>557</v>
      </c>
      <c r="F2302" t="s">
        <v>1068</v>
      </c>
      <c r="G2302" t="s">
        <v>1069</v>
      </c>
      <c r="H2302">
        <v>-8.4401593768576297E-2</v>
      </c>
      <c r="I2302" t="s">
        <v>1070</v>
      </c>
      <c r="J2302">
        <v>2.0499999999999998</v>
      </c>
    </row>
    <row r="2303" spans="1:10" hidden="1">
      <c r="A2303" t="s">
        <v>1901</v>
      </c>
      <c r="B2303" t="s">
        <v>1902</v>
      </c>
      <c r="C2303" t="s">
        <v>241</v>
      </c>
      <c r="D2303" t="s">
        <v>271</v>
      </c>
      <c r="E2303" t="s">
        <v>557</v>
      </c>
      <c r="F2303" t="s">
        <v>1068</v>
      </c>
      <c r="G2303" t="s">
        <v>1071</v>
      </c>
      <c r="H2303" s="170">
        <v>-1.7953313876237899E-10</v>
      </c>
      <c r="I2303" t="s">
        <v>1072</v>
      </c>
      <c r="J2303">
        <v>2.0499999999999998</v>
      </c>
    </row>
    <row r="2304" spans="1:10" hidden="1">
      <c r="A2304" t="s">
        <v>1901</v>
      </c>
      <c r="B2304" t="s">
        <v>1902</v>
      </c>
      <c r="C2304" t="s">
        <v>241</v>
      </c>
      <c r="D2304" t="s">
        <v>271</v>
      </c>
      <c r="E2304" t="s">
        <v>557</v>
      </c>
      <c r="F2304" t="s">
        <v>1068</v>
      </c>
      <c r="G2304" t="s">
        <v>1073</v>
      </c>
      <c r="H2304" s="170">
        <v>-3.4062066437911003E-8</v>
      </c>
      <c r="I2304" t="s">
        <v>1074</v>
      </c>
      <c r="J2304">
        <v>2.0499999999999998</v>
      </c>
    </row>
    <row r="2305" spans="1:10" hidden="1">
      <c r="A2305" t="s">
        <v>1901</v>
      </c>
      <c r="B2305" t="s">
        <v>1902</v>
      </c>
      <c r="C2305" t="s">
        <v>241</v>
      </c>
      <c r="D2305" t="s">
        <v>271</v>
      </c>
      <c r="E2305" t="s">
        <v>557</v>
      </c>
      <c r="F2305" t="s">
        <v>1068</v>
      </c>
      <c r="G2305" t="s">
        <v>1075</v>
      </c>
      <c r="H2305">
        <v>2.08274354955767E-3</v>
      </c>
      <c r="I2305" t="s">
        <v>1077</v>
      </c>
      <c r="J2305">
        <v>2.0499999999999998</v>
      </c>
    </row>
    <row r="2306" spans="1:10" hidden="1">
      <c r="A2306" t="s">
        <v>1901</v>
      </c>
      <c r="B2306" t="s">
        <v>1902</v>
      </c>
      <c r="C2306" t="s">
        <v>241</v>
      </c>
      <c r="D2306" t="s">
        <v>271</v>
      </c>
      <c r="E2306" t="s">
        <v>557</v>
      </c>
      <c r="F2306" t="s">
        <v>1068</v>
      </c>
      <c r="G2306" t="s">
        <v>1078</v>
      </c>
      <c r="H2306">
        <v>-1.5168271075440001</v>
      </c>
      <c r="I2306" t="s">
        <v>1079</v>
      </c>
      <c r="J2306">
        <v>2.0499999999999998</v>
      </c>
    </row>
    <row r="2307" spans="1:10" hidden="1">
      <c r="A2307" t="s">
        <v>1901</v>
      </c>
      <c r="B2307" t="s">
        <v>1902</v>
      </c>
      <c r="C2307" t="s">
        <v>241</v>
      </c>
      <c r="D2307" t="s">
        <v>271</v>
      </c>
      <c r="E2307" t="s">
        <v>557</v>
      </c>
      <c r="F2307" t="s">
        <v>1068</v>
      </c>
      <c r="G2307" t="s">
        <v>1080</v>
      </c>
      <c r="H2307" s="171" t="s">
        <v>1903</v>
      </c>
      <c r="I2307" t="s">
        <v>1082</v>
      </c>
      <c r="J2307">
        <v>2.0499999999999998</v>
      </c>
    </row>
    <row r="2308" spans="1:10" hidden="1">
      <c r="A2308" t="s">
        <v>1901</v>
      </c>
      <c r="B2308" t="s">
        <v>1902</v>
      </c>
      <c r="C2308" t="s">
        <v>241</v>
      </c>
      <c r="D2308" t="s">
        <v>271</v>
      </c>
      <c r="E2308" t="s">
        <v>557</v>
      </c>
      <c r="F2308" t="s">
        <v>1068</v>
      </c>
      <c r="G2308" t="s">
        <v>1083</v>
      </c>
      <c r="H2308">
        <v>-4.5609161545046299E-4</v>
      </c>
      <c r="I2308" t="s">
        <v>1084</v>
      </c>
      <c r="J2308">
        <v>2.0499999999999998</v>
      </c>
    </row>
    <row r="2309" spans="1:10" hidden="1">
      <c r="A2309" t="s">
        <v>1901</v>
      </c>
      <c r="B2309" t="s">
        <v>1902</v>
      </c>
      <c r="C2309" t="s">
        <v>241</v>
      </c>
      <c r="D2309" t="s">
        <v>271</v>
      </c>
      <c r="E2309" t="s">
        <v>557</v>
      </c>
      <c r="F2309" t="s">
        <v>1068</v>
      </c>
      <c r="G2309" t="s">
        <v>1085</v>
      </c>
      <c r="H2309">
        <v>-1.28372876785924E-2</v>
      </c>
      <c r="I2309" t="s">
        <v>1086</v>
      </c>
      <c r="J2309">
        <v>2.0499999999999998</v>
      </c>
    </row>
    <row r="2310" spans="1:10" hidden="1">
      <c r="A2310" t="s">
        <v>1901</v>
      </c>
      <c r="B2310" t="s">
        <v>1902</v>
      </c>
      <c r="C2310" t="s">
        <v>241</v>
      </c>
      <c r="D2310" t="s">
        <v>271</v>
      </c>
      <c r="E2310" t="s">
        <v>557</v>
      </c>
      <c r="F2310" t="s">
        <v>1068</v>
      </c>
      <c r="G2310" t="s">
        <v>1087</v>
      </c>
      <c r="H2310" s="170">
        <v>-2.5052695378846E-7</v>
      </c>
      <c r="I2310" t="s">
        <v>1088</v>
      </c>
      <c r="J2310">
        <v>2.0499999999999998</v>
      </c>
    </row>
    <row r="2311" spans="1:10" hidden="1">
      <c r="A2311" t="s">
        <v>1901</v>
      </c>
      <c r="B2311" t="s">
        <v>1902</v>
      </c>
      <c r="C2311" t="s">
        <v>241</v>
      </c>
      <c r="D2311" t="s">
        <v>271</v>
      </c>
      <c r="E2311" t="s">
        <v>557</v>
      </c>
      <c r="F2311" t="s">
        <v>1068</v>
      </c>
      <c r="G2311" t="s">
        <v>1089</v>
      </c>
      <c r="H2311">
        <v>-3.4875370803198499E-3</v>
      </c>
      <c r="I2311" t="s">
        <v>1090</v>
      </c>
      <c r="J2311">
        <v>2.0499999999999998</v>
      </c>
    </row>
    <row r="2312" spans="1:10" hidden="1">
      <c r="A2312" t="s">
        <v>1904</v>
      </c>
      <c r="B2312" t="s">
        <v>1905</v>
      </c>
      <c r="C2312" t="s">
        <v>241</v>
      </c>
      <c r="D2312" t="s">
        <v>271</v>
      </c>
      <c r="E2312" t="s">
        <v>559</v>
      </c>
      <c r="F2312" t="s">
        <v>1068</v>
      </c>
      <c r="G2312" t="s">
        <v>1069</v>
      </c>
      <c r="H2312">
        <v>-8.4328321597963996E-2</v>
      </c>
      <c r="I2312" t="s">
        <v>1070</v>
      </c>
      <c r="J2312">
        <v>2.54</v>
      </c>
    </row>
    <row r="2313" spans="1:10" hidden="1">
      <c r="A2313" t="s">
        <v>1904</v>
      </c>
      <c r="B2313" t="s">
        <v>1905</v>
      </c>
      <c r="C2313" t="s">
        <v>241</v>
      </c>
      <c r="D2313" t="s">
        <v>271</v>
      </c>
      <c r="E2313" t="s">
        <v>559</v>
      </c>
      <c r="F2313" t="s">
        <v>1068</v>
      </c>
      <c r="G2313" t="s">
        <v>1071</v>
      </c>
      <c r="H2313" s="170">
        <v>-1.7938256521893401E-10</v>
      </c>
      <c r="I2313" t="s">
        <v>1072</v>
      </c>
      <c r="J2313">
        <v>2.54</v>
      </c>
    </row>
    <row r="2314" spans="1:10" hidden="1">
      <c r="A2314" t="s">
        <v>1904</v>
      </c>
      <c r="B2314" t="s">
        <v>1905</v>
      </c>
      <c r="C2314" t="s">
        <v>241</v>
      </c>
      <c r="D2314" t="s">
        <v>271</v>
      </c>
      <c r="E2314" t="s">
        <v>559</v>
      </c>
      <c r="F2314" t="s">
        <v>1068</v>
      </c>
      <c r="G2314" t="s">
        <v>1073</v>
      </c>
      <c r="H2314" s="170">
        <v>-3.4040233065896302E-8</v>
      </c>
      <c r="I2314" t="s">
        <v>1074</v>
      </c>
      <c r="J2314">
        <v>2.54</v>
      </c>
    </row>
    <row r="2315" spans="1:10" hidden="1">
      <c r="A2315" t="s">
        <v>1904</v>
      </c>
      <c r="B2315" t="s">
        <v>1905</v>
      </c>
      <c r="C2315" t="s">
        <v>241</v>
      </c>
      <c r="D2315" t="s">
        <v>271</v>
      </c>
      <c r="E2315" t="s">
        <v>559</v>
      </c>
      <c r="F2315" t="s">
        <v>1068</v>
      </c>
      <c r="G2315" t="s">
        <v>1075</v>
      </c>
      <c r="H2315">
        <v>2.1151171954011598E-3</v>
      </c>
      <c r="I2315" t="s">
        <v>1077</v>
      </c>
      <c r="J2315">
        <v>2.54</v>
      </c>
    </row>
    <row r="2316" spans="1:10" hidden="1">
      <c r="A2316" t="s">
        <v>1904</v>
      </c>
      <c r="B2316" t="s">
        <v>1905</v>
      </c>
      <c r="C2316" t="s">
        <v>241</v>
      </c>
      <c r="D2316" t="s">
        <v>271</v>
      </c>
      <c r="E2316" t="s">
        <v>559</v>
      </c>
      <c r="F2316" t="s">
        <v>1068</v>
      </c>
      <c r="G2316" t="s">
        <v>1078</v>
      </c>
      <c r="H2316">
        <v>-1.50400500602292</v>
      </c>
      <c r="I2316" t="s">
        <v>1079</v>
      </c>
      <c r="J2316">
        <v>2.54</v>
      </c>
    </row>
    <row r="2317" spans="1:10" hidden="1">
      <c r="A2317" t="s">
        <v>1904</v>
      </c>
      <c r="B2317" t="s">
        <v>1905</v>
      </c>
      <c r="C2317" t="s">
        <v>241</v>
      </c>
      <c r="D2317" t="s">
        <v>271</v>
      </c>
      <c r="E2317" t="s">
        <v>559</v>
      </c>
      <c r="F2317" t="s">
        <v>1068</v>
      </c>
      <c r="G2317" t="s">
        <v>1080</v>
      </c>
      <c r="H2317" s="171" t="s">
        <v>1906</v>
      </c>
      <c r="I2317" t="s">
        <v>1082</v>
      </c>
      <c r="J2317">
        <v>2.54</v>
      </c>
    </row>
    <row r="2318" spans="1:10" hidden="1">
      <c r="A2318" t="s">
        <v>1904</v>
      </c>
      <c r="B2318" t="s">
        <v>1905</v>
      </c>
      <c r="C2318" t="s">
        <v>241</v>
      </c>
      <c r="D2318" t="s">
        <v>271</v>
      </c>
      <c r="E2318" t="s">
        <v>559</v>
      </c>
      <c r="F2318" t="s">
        <v>1068</v>
      </c>
      <c r="G2318" t="s">
        <v>1083</v>
      </c>
      <c r="H2318">
        <v>-4.5608343633019E-4</v>
      </c>
      <c r="I2318" t="s">
        <v>1084</v>
      </c>
      <c r="J2318">
        <v>2.54</v>
      </c>
    </row>
    <row r="2319" spans="1:10" hidden="1">
      <c r="A2319" t="s">
        <v>1904</v>
      </c>
      <c r="B2319" t="s">
        <v>1905</v>
      </c>
      <c r="C2319" t="s">
        <v>241</v>
      </c>
      <c r="D2319" t="s">
        <v>271</v>
      </c>
      <c r="E2319" t="s">
        <v>559</v>
      </c>
      <c r="F2319" t="s">
        <v>1068</v>
      </c>
      <c r="G2319" t="s">
        <v>1085</v>
      </c>
      <c r="H2319">
        <v>-1.2837033676409501E-2</v>
      </c>
      <c r="I2319" t="s">
        <v>1086</v>
      </c>
      <c r="J2319">
        <v>2.54</v>
      </c>
    </row>
    <row r="2320" spans="1:10" hidden="1">
      <c r="A2320" t="s">
        <v>1904</v>
      </c>
      <c r="B2320" t="s">
        <v>1905</v>
      </c>
      <c r="C2320" t="s">
        <v>241</v>
      </c>
      <c r="D2320" t="s">
        <v>271</v>
      </c>
      <c r="E2320" t="s">
        <v>559</v>
      </c>
      <c r="F2320" t="s">
        <v>1068</v>
      </c>
      <c r="G2320" t="s">
        <v>1087</v>
      </c>
      <c r="H2320" s="170">
        <v>-2.4899803758778501E-7</v>
      </c>
      <c r="I2320" t="s">
        <v>1088</v>
      </c>
      <c r="J2320">
        <v>2.54</v>
      </c>
    </row>
    <row r="2321" spans="1:10" hidden="1">
      <c r="A2321" t="s">
        <v>1904</v>
      </c>
      <c r="B2321" t="s">
        <v>1905</v>
      </c>
      <c r="C2321" t="s">
        <v>241</v>
      </c>
      <c r="D2321" t="s">
        <v>271</v>
      </c>
      <c r="E2321" t="s">
        <v>559</v>
      </c>
      <c r="F2321" t="s">
        <v>1068</v>
      </c>
      <c r="G2321" t="s">
        <v>1089</v>
      </c>
      <c r="H2321">
        <v>-3.4875128254081302E-3</v>
      </c>
      <c r="I2321" t="s">
        <v>1090</v>
      </c>
      <c r="J2321">
        <v>2.54</v>
      </c>
    </row>
    <row r="2322" spans="1:10" hidden="1">
      <c r="A2322" t="s">
        <v>1907</v>
      </c>
      <c r="B2322" t="s">
        <v>1908</v>
      </c>
      <c r="C2322" t="s">
        <v>241</v>
      </c>
      <c r="D2322" t="s">
        <v>271</v>
      </c>
      <c r="E2322" t="s">
        <v>560</v>
      </c>
      <c r="F2322" t="s">
        <v>1068</v>
      </c>
      <c r="G2322" t="s">
        <v>1069</v>
      </c>
      <c r="H2322">
        <v>-8.4366202341475904E-2</v>
      </c>
      <c r="I2322" t="s">
        <v>1070</v>
      </c>
      <c r="J2322">
        <v>2.0499999999999998</v>
      </c>
    </row>
    <row r="2323" spans="1:10" hidden="1">
      <c r="A2323" t="s">
        <v>1907</v>
      </c>
      <c r="B2323" t="s">
        <v>1908</v>
      </c>
      <c r="C2323" t="s">
        <v>241</v>
      </c>
      <c r="D2323" t="s">
        <v>271</v>
      </c>
      <c r="E2323" t="s">
        <v>560</v>
      </c>
      <c r="F2323" t="s">
        <v>1068</v>
      </c>
      <c r="G2323" t="s">
        <v>1071</v>
      </c>
      <c r="H2323" s="170">
        <v>-1.7948249322755699E-10</v>
      </c>
      <c r="I2323" t="s">
        <v>1072</v>
      </c>
      <c r="J2323">
        <v>2.0499999999999998</v>
      </c>
    </row>
    <row r="2324" spans="1:10" hidden="1">
      <c r="A2324" t="s">
        <v>1907</v>
      </c>
      <c r="B2324" t="s">
        <v>1908</v>
      </c>
      <c r="C2324" t="s">
        <v>241</v>
      </c>
      <c r="D2324" t="s">
        <v>271</v>
      </c>
      <c r="E2324" t="s">
        <v>560</v>
      </c>
      <c r="F2324" t="s">
        <v>1068</v>
      </c>
      <c r="G2324" t="s">
        <v>1073</v>
      </c>
      <c r="H2324" s="170">
        <v>-3.4049495291019701E-8</v>
      </c>
      <c r="I2324" t="s">
        <v>1074</v>
      </c>
      <c r="J2324">
        <v>2.0499999999999998</v>
      </c>
    </row>
    <row r="2325" spans="1:10" hidden="1">
      <c r="A2325" t="s">
        <v>1907</v>
      </c>
      <c r="B2325" t="s">
        <v>1908</v>
      </c>
      <c r="C2325" t="s">
        <v>241</v>
      </c>
      <c r="D2325" t="s">
        <v>271</v>
      </c>
      <c r="E2325" t="s">
        <v>560</v>
      </c>
      <c r="F2325" t="s">
        <v>1068</v>
      </c>
      <c r="G2325" t="s">
        <v>1075</v>
      </c>
      <c r="H2325">
        <v>2.0838623103759399E-3</v>
      </c>
      <c r="I2325" t="s">
        <v>1077</v>
      </c>
      <c r="J2325">
        <v>2.0499999999999998</v>
      </c>
    </row>
    <row r="2326" spans="1:10" hidden="1">
      <c r="A2326" t="s">
        <v>1907</v>
      </c>
      <c r="B2326" t="s">
        <v>1908</v>
      </c>
      <c r="C2326" t="s">
        <v>241</v>
      </c>
      <c r="D2326" t="s">
        <v>271</v>
      </c>
      <c r="E2326" t="s">
        <v>560</v>
      </c>
      <c r="F2326" t="s">
        <v>1068</v>
      </c>
      <c r="G2326" t="s">
        <v>1078</v>
      </c>
      <c r="H2326">
        <v>-1.5167787280107199</v>
      </c>
      <c r="I2326" t="s">
        <v>1079</v>
      </c>
      <c r="J2326">
        <v>2.0499999999999998</v>
      </c>
    </row>
    <row r="2327" spans="1:10" hidden="1">
      <c r="A2327" t="s">
        <v>1907</v>
      </c>
      <c r="B2327" t="s">
        <v>1908</v>
      </c>
      <c r="C2327" t="s">
        <v>241</v>
      </c>
      <c r="D2327" t="s">
        <v>271</v>
      </c>
      <c r="E2327" t="s">
        <v>560</v>
      </c>
      <c r="F2327" t="s">
        <v>1068</v>
      </c>
      <c r="G2327" t="s">
        <v>1080</v>
      </c>
      <c r="H2327" s="171" t="s">
        <v>1909</v>
      </c>
      <c r="I2327" t="s">
        <v>1082</v>
      </c>
      <c r="J2327">
        <v>2.0499999999999998</v>
      </c>
    </row>
    <row r="2328" spans="1:10" hidden="1">
      <c r="A2328" t="s">
        <v>1907</v>
      </c>
      <c r="B2328" t="s">
        <v>1908</v>
      </c>
      <c r="C2328" t="s">
        <v>241</v>
      </c>
      <c r="D2328" t="s">
        <v>271</v>
      </c>
      <c r="E2328" t="s">
        <v>560</v>
      </c>
      <c r="F2328" t="s">
        <v>1068</v>
      </c>
      <c r="G2328" t="s">
        <v>1083</v>
      </c>
      <c r="H2328">
        <v>-4.5608623593062901E-4</v>
      </c>
      <c r="I2328" t="s">
        <v>1084</v>
      </c>
      <c r="J2328">
        <v>2.0499999999999998</v>
      </c>
    </row>
    <row r="2329" spans="1:10" hidden="1">
      <c r="A2329" t="s">
        <v>1907</v>
      </c>
      <c r="B2329" t="s">
        <v>1908</v>
      </c>
      <c r="C2329" t="s">
        <v>241</v>
      </c>
      <c r="D2329" t="s">
        <v>271</v>
      </c>
      <c r="E2329" t="s">
        <v>560</v>
      </c>
      <c r="F2329" t="s">
        <v>1068</v>
      </c>
      <c r="G2329" t="s">
        <v>1085</v>
      </c>
      <c r="H2329">
        <v>-1.2837226879100201E-2</v>
      </c>
      <c r="I2329" t="s">
        <v>1086</v>
      </c>
      <c r="J2329">
        <v>2.0499999999999998</v>
      </c>
    </row>
    <row r="2330" spans="1:10" hidden="1">
      <c r="A2330" t="s">
        <v>1907</v>
      </c>
      <c r="B2330" t="s">
        <v>1908</v>
      </c>
      <c r="C2330" t="s">
        <v>241</v>
      </c>
      <c r="D2330" t="s">
        <v>271</v>
      </c>
      <c r="E2330" t="s">
        <v>560</v>
      </c>
      <c r="F2330" t="s">
        <v>1068</v>
      </c>
      <c r="G2330" t="s">
        <v>1087</v>
      </c>
      <c r="H2330" s="170">
        <v>-2.5049761167588601E-7</v>
      </c>
      <c r="I2330" t="s">
        <v>1088</v>
      </c>
      <c r="J2330">
        <v>2.0499999999999998</v>
      </c>
    </row>
    <row r="2331" spans="1:10" hidden="1">
      <c r="A2331" t="s">
        <v>1907</v>
      </c>
      <c r="B2331" t="s">
        <v>1908</v>
      </c>
      <c r="C2331" t="s">
        <v>241</v>
      </c>
      <c r="D2331" t="s">
        <v>271</v>
      </c>
      <c r="E2331" t="s">
        <v>560</v>
      </c>
      <c r="F2331" t="s">
        <v>1068</v>
      </c>
      <c r="G2331" t="s">
        <v>1089</v>
      </c>
      <c r="H2331">
        <v>-3.4875245375046702E-3</v>
      </c>
      <c r="I2331" t="s">
        <v>1090</v>
      </c>
      <c r="J2331">
        <v>2.0499999999999998</v>
      </c>
    </row>
    <row r="2332" spans="1:10" hidden="1">
      <c r="A2332" t="s">
        <v>1910</v>
      </c>
      <c r="B2332" t="s">
        <v>1911</v>
      </c>
      <c r="C2332" t="s">
        <v>241</v>
      </c>
      <c r="D2332" t="s">
        <v>271</v>
      </c>
      <c r="E2332" t="s">
        <v>1116</v>
      </c>
      <c r="F2332" t="s">
        <v>1068</v>
      </c>
      <c r="G2332" t="s">
        <v>1069</v>
      </c>
      <c r="H2332">
        <v>-8.4473618881876295E-2</v>
      </c>
      <c r="I2332" t="s">
        <v>1070</v>
      </c>
      <c r="J2332">
        <v>2.04</v>
      </c>
    </row>
    <row r="2333" spans="1:10" hidden="1">
      <c r="A2333" t="s">
        <v>1910</v>
      </c>
      <c r="B2333" t="s">
        <v>1911</v>
      </c>
      <c r="C2333" t="s">
        <v>241</v>
      </c>
      <c r="D2333" t="s">
        <v>271</v>
      </c>
      <c r="E2333" t="s">
        <v>1116</v>
      </c>
      <c r="F2333" t="s">
        <v>1068</v>
      </c>
      <c r="G2333" t="s">
        <v>1071</v>
      </c>
      <c r="H2333" s="170">
        <v>-1.7963620751893401E-10</v>
      </c>
      <c r="I2333" t="s">
        <v>1072</v>
      </c>
      <c r="J2333">
        <v>2.04</v>
      </c>
    </row>
    <row r="2334" spans="1:10" hidden="1">
      <c r="A2334" t="s">
        <v>1910</v>
      </c>
      <c r="B2334" t="s">
        <v>1911</v>
      </c>
      <c r="C2334" t="s">
        <v>241</v>
      </c>
      <c r="D2334" t="s">
        <v>271</v>
      </c>
      <c r="E2334" t="s">
        <v>1116</v>
      </c>
      <c r="F2334" t="s">
        <v>1068</v>
      </c>
      <c r="G2334" t="s">
        <v>1073</v>
      </c>
      <c r="H2334" s="170">
        <v>-3.4087649986056502E-8</v>
      </c>
      <c r="I2334" t="s">
        <v>1074</v>
      </c>
      <c r="J2334">
        <v>2.04</v>
      </c>
    </row>
    <row r="2335" spans="1:10" hidden="1">
      <c r="A2335" t="s">
        <v>1910</v>
      </c>
      <c r="B2335" t="s">
        <v>1911</v>
      </c>
      <c r="C2335" t="s">
        <v>241</v>
      </c>
      <c r="D2335" t="s">
        <v>271</v>
      </c>
      <c r="E2335" t="s">
        <v>1116</v>
      </c>
      <c r="F2335" t="s">
        <v>1068</v>
      </c>
      <c r="G2335" t="s">
        <v>1075</v>
      </c>
      <c r="H2335">
        <v>2.08046675878401E-3</v>
      </c>
      <c r="I2335" t="s">
        <v>1077</v>
      </c>
      <c r="J2335">
        <v>2.04</v>
      </c>
    </row>
    <row r="2336" spans="1:10" hidden="1">
      <c r="A2336" t="s">
        <v>1910</v>
      </c>
      <c r="B2336" t="s">
        <v>1911</v>
      </c>
      <c r="C2336" t="s">
        <v>241</v>
      </c>
      <c r="D2336" t="s">
        <v>271</v>
      </c>
      <c r="E2336" t="s">
        <v>1116</v>
      </c>
      <c r="F2336" t="s">
        <v>1068</v>
      </c>
      <c r="G2336" t="s">
        <v>1078</v>
      </c>
      <c r="H2336">
        <v>-1.5169255647595301</v>
      </c>
      <c r="I2336" t="s">
        <v>1079</v>
      </c>
      <c r="J2336">
        <v>2.04</v>
      </c>
    </row>
    <row r="2337" spans="1:10" hidden="1">
      <c r="A2337" t="s">
        <v>1910</v>
      </c>
      <c r="B2337" t="s">
        <v>1911</v>
      </c>
      <c r="C2337" t="s">
        <v>241</v>
      </c>
      <c r="D2337" t="s">
        <v>271</v>
      </c>
      <c r="E2337" t="s">
        <v>1116</v>
      </c>
      <c r="F2337" t="s">
        <v>1068</v>
      </c>
      <c r="G2337" t="s">
        <v>1080</v>
      </c>
      <c r="H2337" s="171" t="s">
        <v>1912</v>
      </c>
      <c r="I2337" t="s">
        <v>1082</v>
      </c>
      <c r="J2337">
        <v>2.04</v>
      </c>
    </row>
    <row r="2338" spans="1:10" hidden="1">
      <c r="A2338" t="s">
        <v>1910</v>
      </c>
      <c r="B2338" t="s">
        <v>1911</v>
      </c>
      <c r="C2338" t="s">
        <v>241</v>
      </c>
      <c r="D2338" t="s">
        <v>271</v>
      </c>
      <c r="E2338" t="s">
        <v>1116</v>
      </c>
      <c r="F2338" t="s">
        <v>1068</v>
      </c>
      <c r="G2338" t="s">
        <v>1083</v>
      </c>
      <c r="H2338">
        <v>-4.5610256331431799E-4</v>
      </c>
      <c r="I2338" t="s">
        <v>1084</v>
      </c>
      <c r="J2338">
        <v>2.04</v>
      </c>
    </row>
    <row r="2339" spans="1:10" hidden="1">
      <c r="A2339" t="s">
        <v>1910</v>
      </c>
      <c r="B2339" t="s">
        <v>1911</v>
      </c>
      <c r="C2339" t="s">
        <v>241</v>
      </c>
      <c r="D2339" t="s">
        <v>271</v>
      </c>
      <c r="E2339" t="s">
        <v>1116</v>
      </c>
      <c r="F2339" t="s">
        <v>1068</v>
      </c>
      <c r="G2339" t="s">
        <v>1085</v>
      </c>
      <c r="H2339">
        <v>-1.2837411411673501E-2</v>
      </c>
      <c r="I2339" t="s">
        <v>1086</v>
      </c>
      <c r="J2339">
        <v>2.04</v>
      </c>
    </row>
    <row r="2340" spans="1:10" hidden="1">
      <c r="A2340" t="s">
        <v>1910</v>
      </c>
      <c r="B2340" t="s">
        <v>1911</v>
      </c>
      <c r="C2340" t="s">
        <v>241</v>
      </c>
      <c r="D2340" t="s">
        <v>271</v>
      </c>
      <c r="E2340" t="s">
        <v>1116</v>
      </c>
      <c r="F2340" t="s">
        <v>1068</v>
      </c>
      <c r="G2340" t="s">
        <v>1087</v>
      </c>
      <c r="H2340" s="170">
        <v>-2.5058666793834199E-7</v>
      </c>
      <c r="I2340" t="s">
        <v>1088</v>
      </c>
      <c r="J2340">
        <v>2.04</v>
      </c>
    </row>
    <row r="2341" spans="1:10" hidden="1">
      <c r="A2341" t="s">
        <v>1910</v>
      </c>
      <c r="B2341" t="s">
        <v>1911</v>
      </c>
      <c r="C2341" t="s">
        <v>241</v>
      </c>
      <c r="D2341" t="s">
        <v>271</v>
      </c>
      <c r="E2341" t="s">
        <v>1116</v>
      </c>
      <c r="F2341" t="s">
        <v>1068</v>
      </c>
      <c r="G2341" t="s">
        <v>1089</v>
      </c>
      <c r="H2341">
        <v>-3.4875626062101399E-3</v>
      </c>
      <c r="I2341" t="s">
        <v>1090</v>
      </c>
      <c r="J2341">
        <v>2.04</v>
      </c>
    </row>
    <row r="2342" spans="1:10" hidden="1">
      <c r="A2342" t="s">
        <v>1913</v>
      </c>
      <c r="B2342" t="s">
        <v>1914</v>
      </c>
      <c r="C2342" t="s">
        <v>241</v>
      </c>
      <c r="D2342" t="s">
        <v>1273</v>
      </c>
      <c r="E2342" t="s">
        <v>561</v>
      </c>
      <c r="F2342" t="s">
        <v>1068</v>
      </c>
      <c r="G2342" t="s">
        <v>1069</v>
      </c>
      <c r="H2342">
        <v>9.6047851602279206E-3</v>
      </c>
      <c r="I2342" t="s">
        <v>1070</v>
      </c>
      <c r="J2342">
        <v>2.04</v>
      </c>
    </row>
    <row r="2343" spans="1:10" hidden="1">
      <c r="A2343" t="s">
        <v>1913</v>
      </c>
      <c r="B2343" t="s">
        <v>1914</v>
      </c>
      <c r="C2343" t="s">
        <v>241</v>
      </c>
      <c r="D2343" t="s">
        <v>1273</v>
      </c>
      <c r="E2343" t="s">
        <v>561</v>
      </c>
      <c r="F2343" t="s">
        <v>1068</v>
      </c>
      <c r="G2343" t="s">
        <v>1071</v>
      </c>
      <c r="H2343" s="171" t="s">
        <v>1915</v>
      </c>
      <c r="I2343" t="s">
        <v>1072</v>
      </c>
      <c r="J2343">
        <v>2.04</v>
      </c>
    </row>
    <row r="2344" spans="1:10" hidden="1">
      <c r="A2344" t="s">
        <v>1913</v>
      </c>
      <c r="B2344" t="s">
        <v>1914</v>
      </c>
      <c r="C2344" t="s">
        <v>241</v>
      </c>
      <c r="D2344" t="s">
        <v>1273</v>
      </c>
      <c r="E2344" t="s">
        <v>561</v>
      </c>
      <c r="F2344" t="s">
        <v>1068</v>
      </c>
      <c r="G2344" t="s">
        <v>1073</v>
      </c>
      <c r="H2344" s="171" t="s">
        <v>1916</v>
      </c>
      <c r="I2344" t="s">
        <v>1074</v>
      </c>
      <c r="J2344">
        <v>2.04</v>
      </c>
    </row>
    <row r="2345" spans="1:10" hidden="1">
      <c r="A2345" t="s">
        <v>1913</v>
      </c>
      <c r="B2345" t="s">
        <v>1914</v>
      </c>
      <c r="C2345" t="s">
        <v>241</v>
      </c>
      <c r="D2345" t="s">
        <v>1273</v>
      </c>
      <c r="E2345" t="s">
        <v>561</v>
      </c>
      <c r="F2345" t="s">
        <v>1068</v>
      </c>
      <c r="G2345" t="s">
        <v>1075</v>
      </c>
      <c r="H2345" s="171" t="s">
        <v>1917</v>
      </c>
      <c r="I2345" t="s">
        <v>1077</v>
      </c>
      <c r="J2345">
        <v>2.04</v>
      </c>
    </row>
    <row r="2346" spans="1:10" hidden="1">
      <c r="A2346" t="s">
        <v>1913</v>
      </c>
      <c r="B2346" t="s">
        <v>1914</v>
      </c>
      <c r="C2346" t="s">
        <v>241</v>
      </c>
      <c r="D2346" t="s">
        <v>1273</v>
      </c>
      <c r="E2346" t="s">
        <v>561</v>
      </c>
      <c r="F2346" t="s">
        <v>1068</v>
      </c>
      <c r="G2346" t="s">
        <v>1078</v>
      </c>
      <c r="H2346">
        <v>-0.50421803395133402</v>
      </c>
      <c r="I2346" t="s">
        <v>1079</v>
      </c>
      <c r="J2346">
        <v>2.04</v>
      </c>
    </row>
    <row r="2347" spans="1:10" hidden="1">
      <c r="A2347" t="s">
        <v>1913</v>
      </c>
      <c r="B2347" t="s">
        <v>1914</v>
      </c>
      <c r="C2347" t="s">
        <v>241</v>
      </c>
      <c r="D2347" t="s">
        <v>1273</v>
      </c>
      <c r="E2347" t="s">
        <v>561</v>
      </c>
      <c r="F2347" t="s">
        <v>1068</v>
      </c>
      <c r="G2347" t="s">
        <v>1080</v>
      </c>
      <c r="H2347" s="171" t="s">
        <v>1918</v>
      </c>
      <c r="I2347" t="s">
        <v>1082</v>
      </c>
      <c r="J2347">
        <v>2.04</v>
      </c>
    </row>
    <row r="2348" spans="1:10" hidden="1">
      <c r="A2348" t="s">
        <v>1913</v>
      </c>
      <c r="B2348" t="s">
        <v>1914</v>
      </c>
      <c r="C2348" t="s">
        <v>241</v>
      </c>
      <c r="D2348" t="s">
        <v>1273</v>
      </c>
      <c r="E2348" t="s">
        <v>561</v>
      </c>
      <c r="F2348" t="s">
        <v>1068</v>
      </c>
      <c r="G2348" t="s">
        <v>1083</v>
      </c>
      <c r="H2348">
        <v>-4.0950141160248099E-4</v>
      </c>
      <c r="I2348" t="s">
        <v>1084</v>
      </c>
      <c r="J2348">
        <v>2.04</v>
      </c>
    </row>
    <row r="2349" spans="1:10" hidden="1">
      <c r="A2349" t="s">
        <v>1913</v>
      </c>
      <c r="B2349" t="s">
        <v>1914</v>
      </c>
      <c r="C2349" t="s">
        <v>241</v>
      </c>
      <c r="D2349" t="s">
        <v>1273</v>
      </c>
      <c r="E2349" t="s">
        <v>561</v>
      </c>
      <c r="F2349" t="s">
        <v>1068</v>
      </c>
      <c r="G2349" t="s">
        <v>1085</v>
      </c>
      <c r="H2349">
        <v>-1.1399045435541299E-2</v>
      </c>
      <c r="I2349" t="s">
        <v>1086</v>
      </c>
      <c r="J2349">
        <v>2.04</v>
      </c>
    </row>
    <row r="2350" spans="1:10" hidden="1">
      <c r="A2350" t="s">
        <v>1913</v>
      </c>
      <c r="B2350" t="s">
        <v>1914</v>
      </c>
      <c r="C2350" t="s">
        <v>241</v>
      </c>
      <c r="D2350" t="s">
        <v>1273</v>
      </c>
      <c r="E2350" t="s">
        <v>561</v>
      </c>
      <c r="F2350" t="s">
        <v>1068</v>
      </c>
      <c r="G2350" t="s">
        <v>1087</v>
      </c>
      <c r="H2350" s="170">
        <v>-3.8550165993513502E-6</v>
      </c>
      <c r="I2350" t="s">
        <v>1088</v>
      </c>
      <c r="J2350">
        <v>2.04</v>
      </c>
    </row>
    <row r="2351" spans="1:10" hidden="1">
      <c r="A2351" t="s">
        <v>1913</v>
      </c>
      <c r="B2351" t="s">
        <v>1914</v>
      </c>
      <c r="C2351" t="s">
        <v>241</v>
      </c>
      <c r="D2351" t="s">
        <v>1273</v>
      </c>
      <c r="E2351" t="s">
        <v>561</v>
      </c>
      <c r="F2351" t="s">
        <v>1068</v>
      </c>
      <c r="G2351" t="s">
        <v>1089</v>
      </c>
      <c r="H2351">
        <v>-2.9823099834319199E-3</v>
      </c>
      <c r="I2351" t="s">
        <v>1090</v>
      </c>
      <c r="J2351">
        <v>2.04</v>
      </c>
    </row>
    <row r="2352" spans="1:10" hidden="1">
      <c r="A2352" t="s">
        <v>1919</v>
      </c>
      <c r="B2352" t="s">
        <v>1920</v>
      </c>
      <c r="C2352" t="s">
        <v>241</v>
      </c>
      <c r="D2352" t="s">
        <v>1273</v>
      </c>
      <c r="E2352" t="s">
        <v>555</v>
      </c>
      <c r="F2352" t="s">
        <v>1068</v>
      </c>
      <c r="G2352" t="s">
        <v>1069</v>
      </c>
      <c r="H2352">
        <v>9.7874081113281299E-3</v>
      </c>
      <c r="I2352" t="s">
        <v>1070</v>
      </c>
      <c r="J2352">
        <v>2.54</v>
      </c>
    </row>
    <row r="2353" spans="1:10" hidden="1">
      <c r="A2353" t="s">
        <v>1919</v>
      </c>
      <c r="B2353" t="s">
        <v>1920</v>
      </c>
      <c r="C2353" t="s">
        <v>241</v>
      </c>
      <c r="D2353" t="s">
        <v>1273</v>
      </c>
      <c r="E2353" t="s">
        <v>555</v>
      </c>
      <c r="F2353" t="s">
        <v>1068</v>
      </c>
      <c r="G2353" t="s">
        <v>1071</v>
      </c>
      <c r="H2353" s="171" t="s">
        <v>1921</v>
      </c>
      <c r="I2353" t="s">
        <v>1072</v>
      </c>
      <c r="J2353">
        <v>2.54</v>
      </c>
    </row>
    <row r="2354" spans="1:10" hidden="1">
      <c r="A2354" t="s">
        <v>1919</v>
      </c>
      <c r="B2354" t="s">
        <v>1920</v>
      </c>
      <c r="C2354" t="s">
        <v>241</v>
      </c>
      <c r="D2354" t="s">
        <v>1273</v>
      </c>
      <c r="E2354" t="s">
        <v>555</v>
      </c>
      <c r="F2354" t="s">
        <v>1068</v>
      </c>
      <c r="G2354" t="s">
        <v>1073</v>
      </c>
      <c r="H2354" s="171" t="s">
        <v>1922</v>
      </c>
      <c r="I2354" t="s">
        <v>1074</v>
      </c>
      <c r="J2354">
        <v>2.54</v>
      </c>
    </row>
    <row r="2355" spans="1:10" hidden="1">
      <c r="A2355" t="s">
        <v>1919</v>
      </c>
      <c r="B2355" t="s">
        <v>1920</v>
      </c>
      <c r="C2355" t="s">
        <v>241</v>
      </c>
      <c r="D2355" t="s">
        <v>1273</v>
      </c>
      <c r="E2355" t="s">
        <v>555</v>
      </c>
      <c r="F2355" t="s">
        <v>1068</v>
      </c>
      <c r="G2355" t="s">
        <v>1075</v>
      </c>
      <c r="H2355" s="171" t="s">
        <v>1923</v>
      </c>
      <c r="I2355" t="s">
        <v>1077</v>
      </c>
      <c r="J2355">
        <v>2.54</v>
      </c>
    </row>
    <row r="2356" spans="1:10" hidden="1">
      <c r="A2356" t="s">
        <v>1919</v>
      </c>
      <c r="B2356" t="s">
        <v>1920</v>
      </c>
      <c r="C2356" t="s">
        <v>241</v>
      </c>
      <c r="D2356" t="s">
        <v>1273</v>
      </c>
      <c r="E2356" t="s">
        <v>555</v>
      </c>
      <c r="F2356" t="s">
        <v>1068</v>
      </c>
      <c r="G2356" t="s">
        <v>1078</v>
      </c>
      <c r="H2356">
        <v>-0.50268967868134895</v>
      </c>
      <c r="I2356" t="s">
        <v>1079</v>
      </c>
      <c r="J2356">
        <v>2.54</v>
      </c>
    </row>
    <row r="2357" spans="1:10" hidden="1">
      <c r="A2357" t="s">
        <v>1919</v>
      </c>
      <c r="B2357" t="s">
        <v>1920</v>
      </c>
      <c r="C2357" t="s">
        <v>241</v>
      </c>
      <c r="D2357" t="s">
        <v>1273</v>
      </c>
      <c r="E2357" t="s">
        <v>555</v>
      </c>
      <c r="F2357" t="s">
        <v>1068</v>
      </c>
      <c r="G2357" t="s">
        <v>1080</v>
      </c>
      <c r="H2357" s="171" t="s">
        <v>1924</v>
      </c>
      <c r="I2357" t="s">
        <v>1082</v>
      </c>
      <c r="J2357">
        <v>2.54</v>
      </c>
    </row>
    <row r="2358" spans="1:10" hidden="1">
      <c r="A2358" t="s">
        <v>1919</v>
      </c>
      <c r="B2358" t="s">
        <v>1920</v>
      </c>
      <c r="C2358" t="s">
        <v>241</v>
      </c>
      <c r="D2358" t="s">
        <v>1273</v>
      </c>
      <c r="E2358" t="s">
        <v>555</v>
      </c>
      <c r="F2358" t="s">
        <v>1068</v>
      </c>
      <c r="G2358" t="s">
        <v>1083</v>
      </c>
      <c r="H2358">
        <v>-4.0947395014117699E-4</v>
      </c>
      <c r="I2358" t="s">
        <v>1084</v>
      </c>
      <c r="J2358">
        <v>2.54</v>
      </c>
    </row>
    <row r="2359" spans="1:10" hidden="1">
      <c r="A2359" t="s">
        <v>1919</v>
      </c>
      <c r="B2359" t="s">
        <v>1920</v>
      </c>
      <c r="C2359" t="s">
        <v>241</v>
      </c>
      <c r="D2359" t="s">
        <v>1273</v>
      </c>
      <c r="E2359" t="s">
        <v>555</v>
      </c>
      <c r="F2359" t="s">
        <v>1068</v>
      </c>
      <c r="G2359" t="s">
        <v>1085</v>
      </c>
      <c r="H2359">
        <v>-1.1398718826359001E-2</v>
      </c>
      <c r="I2359" t="s">
        <v>1086</v>
      </c>
      <c r="J2359">
        <v>2.54</v>
      </c>
    </row>
    <row r="2360" spans="1:10" hidden="1">
      <c r="A2360" t="s">
        <v>1919</v>
      </c>
      <c r="B2360" t="s">
        <v>1920</v>
      </c>
      <c r="C2360" t="s">
        <v>241</v>
      </c>
      <c r="D2360" t="s">
        <v>1273</v>
      </c>
      <c r="E2360" t="s">
        <v>555</v>
      </c>
      <c r="F2360" t="s">
        <v>1068</v>
      </c>
      <c r="G2360" t="s">
        <v>1087</v>
      </c>
      <c r="H2360" s="170">
        <v>-3.8547176223223497E-6</v>
      </c>
      <c r="I2360" t="s">
        <v>1088</v>
      </c>
      <c r="J2360">
        <v>2.54</v>
      </c>
    </row>
    <row r="2361" spans="1:10" hidden="1">
      <c r="A2361" t="s">
        <v>1919</v>
      </c>
      <c r="B2361" t="s">
        <v>1920</v>
      </c>
      <c r="C2361" t="s">
        <v>241</v>
      </c>
      <c r="D2361" t="s">
        <v>1273</v>
      </c>
      <c r="E2361" t="s">
        <v>555</v>
      </c>
      <c r="F2361" t="s">
        <v>1068</v>
      </c>
      <c r="G2361" t="s">
        <v>1089</v>
      </c>
      <c r="H2361">
        <v>-2.98224543354755E-3</v>
      </c>
      <c r="I2361" t="s">
        <v>1090</v>
      </c>
      <c r="J2361">
        <v>2.54</v>
      </c>
    </row>
    <row r="2362" spans="1:10" hidden="1">
      <c r="A2362" t="s">
        <v>1925</v>
      </c>
      <c r="B2362" t="s">
        <v>1926</v>
      </c>
      <c r="C2362" t="s">
        <v>241</v>
      </c>
      <c r="D2362" t="s">
        <v>1273</v>
      </c>
      <c r="E2362" t="s">
        <v>558</v>
      </c>
      <c r="F2362" t="s">
        <v>1068</v>
      </c>
      <c r="G2362" t="s">
        <v>1069</v>
      </c>
      <c r="H2362">
        <v>9.5887897487254396E-3</v>
      </c>
      <c r="I2362" t="s">
        <v>1070</v>
      </c>
      <c r="J2362">
        <v>2.04</v>
      </c>
    </row>
    <row r="2363" spans="1:10" hidden="1">
      <c r="A2363" t="s">
        <v>1925</v>
      </c>
      <c r="B2363" t="s">
        <v>1926</v>
      </c>
      <c r="C2363" t="s">
        <v>241</v>
      </c>
      <c r="D2363" t="s">
        <v>1273</v>
      </c>
      <c r="E2363" t="s">
        <v>558</v>
      </c>
      <c r="F2363" t="s">
        <v>1068</v>
      </c>
      <c r="G2363" t="s">
        <v>1071</v>
      </c>
      <c r="H2363" s="171" t="s">
        <v>1927</v>
      </c>
      <c r="I2363" t="s">
        <v>1072</v>
      </c>
      <c r="J2363">
        <v>2.04</v>
      </c>
    </row>
    <row r="2364" spans="1:10" hidden="1">
      <c r="A2364" t="s">
        <v>1925</v>
      </c>
      <c r="B2364" t="s">
        <v>1926</v>
      </c>
      <c r="C2364" t="s">
        <v>241</v>
      </c>
      <c r="D2364" t="s">
        <v>1273</v>
      </c>
      <c r="E2364" t="s">
        <v>558</v>
      </c>
      <c r="F2364" t="s">
        <v>1068</v>
      </c>
      <c r="G2364" t="s">
        <v>1073</v>
      </c>
      <c r="H2364" s="171" t="s">
        <v>1928</v>
      </c>
      <c r="I2364" t="s">
        <v>1074</v>
      </c>
      <c r="J2364">
        <v>2.04</v>
      </c>
    </row>
    <row r="2365" spans="1:10" hidden="1">
      <c r="A2365" t="s">
        <v>1925</v>
      </c>
      <c r="B2365" t="s">
        <v>1926</v>
      </c>
      <c r="C2365" t="s">
        <v>241</v>
      </c>
      <c r="D2365" t="s">
        <v>1273</v>
      </c>
      <c r="E2365" t="s">
        <v>558</v>
      </c>
      <c r="F2365" t="s">
        <v>1068</v>
      </c>
      <c r="G2365" t="s">
        <v>1075</v>
      </c>
      <c r="H2365" s="171" t="s">
        <v>1929</v>
      </c>
      <c r="I2365" t="s">
        <v>1077</v>
      </c>
      <c r="J2365">
        <v>2.04</v>
      </c>
    </row>
    <row r="2366" spans="1:10" hidden="1">
      <c r="A2366" t="s">
        <v>1925</v>
      </c>
      <c r="B2366" t="s">
        <v>1926</v>
      </c>
      <c r="C2366" t="s">
        <v>241</v>
      </c>
      <c r="D2366" t="s">
        <v>1273</v>
      </c>
      <c r="E2366" t="s">
        <v>558</v>
      </c>
      <c r="F2366" t="s">
        <v>1068</v>
      </c>
      <c r="G2366" t="s">
        <v>1078</v>
      </c>
      <c r="H2366">
        <v>-0.50423989943139302</v>
      </c>
      <c r="I2366" t="s">
        <v>1079</v>
      </c>
      <c r="J2366">
        <v>2.04</v>
      </c>
    </row>
    <row r="2367" spans="1:10" hidden="1">
      <c r="A2367" t="s">
        <v>1925</v>
      </c>
      <c r="B2367" t="s">
        <v>1926</v>
      </c>
      <c r="C2367" t="s">
        <v>241</v>
      </c>
      <c r="D2367" t="s">
        <v>1273</v>
      </c>
      <c r="E2367" t="s">
        <v>558</v>
      </c>
      <c r="F2367" t="s">
        <v>1068</v>
      </c>
      <c r="G2367" t="s">
        <v>1080</v>
      </c>
      <c r="H2367" s="171" t="s">
        <v>1930</v>
      </c>
      <c r="I2367" t="s">
        <v>1082</v>
      </c>
      <c r="J2367">
        <v>2.04</v>
      </c>
    </row>
    <row r="2368" spans="1:10" hidden="1">
      <c r="A2368" t="s">
        <v>1925</v>
      </c>
      <c r="B2368" t="s">
        <v>1926</v>
      </c>
      <c r="C2368" t="s">
        <v>241</v>
      </c>
      <c r="D2368" t="s">
        <v>1273</v>
      </c>
      <c r="E2368" t="s">
        <v>558</v>
      </c>
      <c r="F2368" t="s">
        <v>1068</v>
      </c>
      <c r="G2368" t="s">
        <v>1083</v>
      </c>
      <c r="H2368">
        <v>-4.0950384291538698E-4</v>
      </c>
      <c r="I2368" t="s">
        <v>1084</v>
      </c>
      <c r="J2368">
        <v>2.04</v>
      </c>
    </row>
    <row r="2369" spans="1:10" hidden="1">
      <c r="A2369" t="s">
        <v>1925</v>
      </c>
      <c r="B2369" t="s">
        <v>1926</v>
      </c>
      <c r="C2369" t="s">
        <v>241</v>
      </c>
      <c r="D2369" t="s">
        <v>1273</v>
      </c>
      <c r="E2369" t="s">
        <v>558</v>
      </c>
      <c r="F2369" t="s">
        <v>1068</v>
      </c>
      <c r="G2369" t="s">
        <v>1085</v>
      </c>
      <c r="H2369">
        <v>-1.1399072914311701E-2</v>
      </c>
      <c r="I2369" t="s">
        <v>1086</v>
      </c>
      <c r="J2369">
        <v>2.04</v>
      </c>
    </row>
    <row r="2370" spans="1:10" hidden="1">
      <c r="A2370" t="s">
        <v>1925</v>
      </c>
      <c r="B2370" t="s">
        <v>1926</v>
      </c>
      <c r="C2370" t="s">
        <v>241</v>
      </c>
      <c r="D2370" t="s">
        <v>1273</v>
      </c>
      <c r="E2370" t="s">
        <v>558</v>
      </c>
      <c r="F2370" t="s">
        <v>1068</v>
      </c>
      <c r="G2370" t="s">
        <v>1087</v>
      </c>
      <c r="H2370" s="170">
        <v>-3.8550298607314001E-6</v>
      </c>
      <c r="I2370" t="s">
        <v>1088</v>
      </c>
      <c r="J2370">
        <v>2.04</v>
      </c>
    </row>
    <row r="2371" spans="1:10" hidden="1">
      <c r="A2371" t="s">
        <v>1925</v>
      </c>
      <c r="B2371" t="s">
        <v>1926</v>
      </c>
      <c r="C2371" t="s">
        <v>241</v>
      </c>
      <c r="D2371" t="s">
        <v>1273</v>
      </c>
      <c r="E2371" t="s">
        <v>558</v>
      </c>
      <c r="F2371" t="s">
        <v>1068</v>
      </c>
      <c r="G2371" t="s">
        <v>1089</v>
      </c>
      <c r="H2371">
        <v>-2.9823156522479802E-3</v>
      </c>
      <c r="I2371" t="s">
        <v>1090</v>
      </c>
      <c r="J2371">
        <v>2.04</v>
      </c>
    </row>
    <row r="2372" spans="1:10" hidden="1">
      <c r="A2372" t="s">
        <v>1931</v>
      </c>
      <c r="B2372" t="s">
        <v>1932</v>
      </c>
      <c r="C2372" t="s">
        <v>241</v>
      </c>
      <c r="D2372" t="s">
        <v>1273</v>
      </c>
      <c r="E2372" t="s">
        <v>553</v>
      </c>
      <c r="F2372" t="s">
        <v>1068</v>
      </c>
      <c r="G2372" t="s">
        <v>1069</v>
      </c>
      <c r="H2372">
        <v>9.5750930308076999E-3</v>
      </c>
      <c r="I2372" t="s">
        <v>1070</v>
      </c>
      <c r="J2372">
        <v>2.5499999999999998</v>
      </c>
    </row>
    <row r="2373" spans="1:10" hidden="1">
      <c r="A2373" t="s">
        <v>1931</v>
      </c>
      <c r="B2373" t="s">
        <v>1932</v>
      </c>
      <c r="C2373" t="s">
        <v>241</v>
      </c>
      <c r="D2373" t="s">
        <v>1273</v>
      </c>
      <c r="E2373" t="s">
        <v>553</v>
      </c>
      <c r="F2373" t="s">
        <v>1068</v>
      </c>
      <c r="G2373" t="s">
        <v>1071</v>
      </c>
      <c r="H2373" s="171" t="s">
        <v>1933</v>
      </c>
      <c r="I2373" t="s">
        <v>1072</v>
      </c>
      <c r="J2373">
        <v>2.5499999999999998</v>
      </c>
    </row>
    <row r="2374" spans="1:10" hidden="1">
      <c r="A2374" t="s">
        <v>1931</v>
      </c>
      <c r="B2374" t="s">
        <v>1932</v>
      </c>
      <c r="C2374" t="s">
        <v>241</v>
      </c>
      <c r="D2374" t="s">
        <v>1273</v>
      </c>
      <c r="E2374" t="s">
        <v>553</v>
      </c>
      <c r="F2374" t="s">
        <v>1068</v>
      </c>
      <c r="G2374" t="s">
        <v>1073</v>
      </c>
      <c r="H2374" s="171" t="s">
        <v>1934</v>
      </c>
      <c r="I2374" t="s">
        <v>1074</v>
      </c>
      <c r="J2374">
        <v>2.5499999999999998</v>
      </c>
    </row>
    <row r="2375" spans="1:10" hidden="1">
      <c r="A2375" t="s">
        <v>1931</v>
      </c>
      <c r="B2375" t="s">
        <v>1932</v>
      </c>
      <c r="C2375" t="s">
        <v>241</v>
      </c>
      <c r="D2375" t="s">
        <v>1273</v>
      </c>
      <c r="E2375" t="s">
        <v>553</v>
      </c>
      <c r="F2375" t="s">
        <v>1068</v>
      </c>
      <c r="G2375" t="s">
        <v>1075</v>
      </c>
      <c r="H2375" s="171" t="s">
        <v>1935</v>
      </c>
      <c r="I2375" t="s">
        <v>1077</v>
      </c>
      <c r="J2375">
        <v>2.5499999999999998</v>
      </c>
    </row>
    <row r="2376" spans="1:10" hidden="1">
      <c r="A2376" t="s">
        <v>1931</v>
      </c>
      <c r="B2376" t="s">
        <v>1932</v>
      </c>
      <c r="C2376" t="s">
        <v>241</v>
      </c>
      <c r="D2376" t="s">
        <v>1273</v>
      </c>
      <c r="E2376" t="s">
        <v>553</v>
      </c>
      <c r="F2376" t="s">
        <v>1068</v>
      </c>
      <c r="G2376" t="s">
        <v>1078</v>
      </c>
      <c r="H2376">
        <v>-0.50297991011144205</v>
      </c>
      <c r="I2376" t="s">
        <v>1079</v>
      </c>
      <c r="J2376">
        <v>2.5499999999999998</v>
      </c>
    </row>
    <row r="2377" spans="1:10" hidden="1">
      <c r="A2377" t="s">
        <v>1931</v>
      </c>
      <c r="B2377" t="s">
        <v>1932</v>
      </c>
      <c r="C2377" t="s">
        <v>241</v>
      </c>
      <c r="D2377" t="s">
        <v>1273</v>
      </c>
      <c r="E2377" t="s">
        <v>553</v>
      </c>
      <c r="F2377" t="s">
        <v>1068</v>
      </c>
      <c r="G2377" t="s">
        <v>1080</v>
      </c>
      <c r="H2377" s="171" t="s">
        <v>1936</v>
      </c>
      <c r="I2377" t="s">
        <v>1082</v>
      </c>
      <c r="J2377">
        <v>2.5499999999999998</v>
      </c>
    </row>
    <row r="2378" spans="1:10" hidden="1">
      <c r="A2378" t="s">
        <v>1931</v>
      </c>
      <c r="B2378" t="s">
        <v>1932</v>
      </c>
      <c r="C2378" t="s">
        <v>241</v>
      </c>
      <c r="D2378" t="s">
        <v>1273</v>
      </c>
      <c r="E2378" t="s">
        <v>553</v>
      </c>
      <c r="F2378" t="s">
        <v>1068</v>
      </c>
      <c r="G2378" t="s">
        <v>1083</v>
      </c>
      <c r="H2378">
        <v>-4.0950622217086999E-4</v>
      </c>
      <c r="I2378" t="s">
        <v>1084</v>
      </c>
      <c r="J2378">
        <v>2.5499999999999998</v>
      </c>
    </row>
    <row r="2379" spans="1:10" hidden="1">
      <c r="A2379" t="s">
        <v>1931</v>
      </c>
      <c r="B2379" t="s">
        <v>1932</v>
      </c>
      <c r="C2379" t="s">
        <v>241</v>
      </c>
      <c r="D2379" t="s">
        <v>1273</v>
      </c>
      <c r="E2379" t="s">
        <v>553</v>
      </c>
      <c r="F2379" t="s">
        <v>1068</v>
      </c>
      <c r="G2379" t="s">
        <v>1085</v>
      </c>
      <c r="H2379">
        <v>-1.1399083565793E-2</v>
      </c>
      <c r="I2379" t="s">
        <v>1086</v>
      </c>
      <c r="J2379">
        <v>2.5499999999999998</v>
      </c>
    </row>
    <row r="2380" spans="1:10" hidden="1">
      <c r="A2380" t="s">
        <v>1931</v>
      </c>
      <c r="B2380" t="s">
        <v>1932</v>
      </c>
      <c r="C2380" t="s">
        <v>241</v>
      </c>
      <c r="D2380" t="s">
        <v>1273</v>
      </c>
      <c r="E2380" t="s">
        <v>553</v>
      </c>
      <c r="F2380" t="s">
        <v>1068</v>
      </c>
      <c r="G2380" t="s">
        <v>1087</v>
      </c>
      <c r="H2380" s="170">
        <v>-3.85489364723858E-6</v>
      </c>
      <c r="I2380" t="s">
        <v>1088</v>
      </c>
      <c r="J2380">
        <v>2.5499999999999998</v>
      </c>
    </row>
    <row r="2381" spans="1:10" hidden="1">
      <c r="A2381" t="s">
        <v>1931</v>
      </c>
      <c r="B2381" t="s">
        <v>1932</v>
      </c>
      <c r="C2381" t="s">
        <v>241</v>
      </c>
      <c r="D2381" t="s">
        <v>1273</v>
      </c>
      <c r="E2381" t="s">
        <v>553</v>
      </c>
      <c r="F2381" t="s">
        <v>1068</v>
      </c>
      <c r="G2381" t="s">
        <v>1089</v>
      </c>
      <c r="H2381">
        <v>-2.9823206785725199E-3</v>
      </c>
      <c r="I2381" t="s">
        <v>1090</v>
      </c>
      <c r="J2381">
        <v>2.5499999999999998</v>
      </c>
    </row>
    <row r="2382" spans="1:10" hidden="1">
      <c r="A2382" t="s">
        <v>1937</v>
      </c>
      <c r="B2382" t="s">
        <v>1938</v>
      </c>
      <c r="C2382" t="s">
        <v>241</v>
      </c>
      <c r="D2382" t="s">
        <v>1273</v>
      </c>
      <c r="E2382" t="s">
        <v>556</v>
      </c>
      <c r="F2382" t="s">
        <v>1068</v>
      </c>
      <c r="G2382" t="s">
        <v>1069</v>
      </c>
      <c r="H2382">
        <v>9.7674762780531194E-3</v>
      </c>
      <c r="I2382" t="s">
        <v>1070</v>
      </c>
      <c r="J2382">
        <v>2.54</v>
      </c>
    </row>
    <row r="2383" spans="1:10" hidden="1">
      <c r="A2383" t="s">
        <v>1937</v>
      </c>
      <c r="B2383" t="s">
        <v>1938</v>
      </c>
      <c r="C2383" t="s">
        <v>241</v>
      </c>
      <c r="D2383" t="s">
        <v>1273</v>
      </c>
      <c r="E2383" t="s">
        <v>556</v>
      </c>
      <c r="F2383" t="s">
        <v>1068</v>
      </c>
      <c r="G2383" t="s">
        <v>1071</v>
      </c>
      <c r="H2383" s="171" t="s">
        <v>1939</v>
      </c>
      <c r="I2383" t="s">
        <v>1072</v>
      </c>
      <c r="J2383">
        <v>2.54</v>
      </c>
    </row>
    <row r="2384" spans="1:10" hidden="1">
      <c r="A2384" t="s">
        <v>1937</v>
      </c>
      <c r="B2384" t="s">
        <v>1938</v>
      </c>
      <c r="C2384" t="s">
        <v>241</v>
      </c>
      <c r="D2384" t="s">
        <v>1273</v>
      </c>
      <c r="E2384" t="s">
        <v>556</v>
      </c>
      <c r="F2384" t="s">
        <v>1068</v>
      </c>
      <c r="G2384" t="s">
        <v>1073</v>
      </c>
      <c r="H2384" s="171" t="s">
        <v>1940</v>
      </c>
      <c r="I2384" t="s">
        <v>1074</v>
      </c>
      <c r="J2384">
        <v>2.54</v>
      </c>
    </row>
    <row r="2385" spans="1:10" hidden="1">
      <c r="A2385" t="s">
        <v>1937</v>
      </c>
      <c r="B2385" t="s">
        <v>1938</v>
      </c>
      <c r="C2385" t="s">
        <v>241</v>
      </c>
      <c r="D2385" t="s">
        <v>1273</v>
      </c>
      <c r="E2385" t="s">
        <v>556</v>
      </c>
      <c r="F2385" t="s">
        <v>1068</v>
      </c>
      <c r="G2385" t="s">
        <v>1075</v>
      </c>
      <c r="H2385">
        <v>1.17401539313516E-2</v>
      </c>
      <c r="I2385" t="s">
        <v>1077</v>
      </c>
      <c r="J2385">
        <v>2.54</v>
      </c>
    </row>
    <row r="2386" spans="1:10" hidden="1">
      <c r="A2386" t="s">
        <v>1937</v>
      </c>
      <c r="B2386" t="s">
        <v>1938</v>
      </c>
      <c r="C2386" t="s">
        <v>241</v>
      </c>
      <c r="D2386" t="s">
        <v>1273</v>
      </c>
      <c r="E2386" t="s">
        <v>556</v>
      </c>
      <c r="F2386" t="s">
        <v>1068</v>
      </c>
      <c r="G2386" t="s">
        <v>1078</v>
      </c>
      <c r="H2386">
        <v>-0.49804123014899998</v>
      </c>
      <c r="I2386" t="s">
        <v>1079</v>
      </c>
      <c r="J2386">
        <v>2.54</v>
      </c>
    </row>
    <row r="2387" spans="1:10" hidden="1">
      <c r="A2387" t="s">
        <v>1937</v>
      </c>
      <c r="B2387" t="s">
        <v>1938</v>
      </c>
      <c r="C2387" t="s">
        <v>241</v>
      </c>
      <c r="D2387" t="s">
        <v>1273</v>
      </c>
      <c r="E2387" t="s">
        <v>556</v>
      </c>
      <c r="F2387" t="s">
        <v>1068</v>
      </c>
      <c r="G2387" t="s">
        <v>1080</v>
      </c>
      <c r="H2387" s="171" t="s">
        <v>1941</v>
      </c>
      <c r="I2387" t="s">
        <v>1082</v>
      </c>
      <c r="J2387">
        <v>2.54</v>
      </c>
    </row>
    <row r="2388" spans="1:10" hidden="1">
      <c r="A2388" t="s">
        <v>1937</v>
      </c>
      <c r="B2388" t="s">
        <v>1938</v>
      </c>
      <c r="C2388" t="s">
        <v>241</v>
      </c>
      <c r="D2388" t="s">
        <v>1273</v>
      </c>
      <c r="E2388" t="s">
        <v>556</v>
      </c>
      <c r="F2388" t="s">
        <v>1068</v>
      </c>
      <c r="G2388" t="s">
        <v>1083</v>
      </c>
      <c r="H2388">
        <v>-4.09476976465494E-4</v>
      </c>
      <c r="I2388" t="s">
        <v>1084</v>
      </c>
      <c r="J2388">
        <v>2.54</v>
      </c>
    </row>
    <row r="2389" spans="1:10" hidden="1">
      <c r="A2389" t="s">
        <v>1937</v>
      </c>
      <c r="B2389" t="s">
        <v>1938</v>
      </c>
      <c r="C2389" t="s">
        <v>241</v>
      </c>
      <c r="D2389" t="s">
        <v>1273</v>
      </c>
      <c r="E2389" t="s">
        <v>556</v>
      </c>
      <c r="F2389" t="s">
        <v>1068</v>
      </c>
      <c r="G2389" t="s">
        <v>1085</v>
      </c>
      <c r="H2389">
        <v>-1.13986940800124E-2</v>
      </c>
      <c r="I2389" t="s">
        <v>1086</v>
      </c>
      <c r="J2389">
        <v>2.54</v>
      </c>
    </row>
    <row r="2390" spans="1:10" hidden="1">
      <c r="A2390" t="s">
        <v>1937</v>
      </c>
      <c r="B2390" t="s">
        <v>1938</v>
      </c>
      <c r="C2390" t="s">
        <v>241</v>
      </c>
      <c r="D2390" t="s">
        <v>1273</v>
      </c>
      <c r="E2390" t="s">
        <v>556</v>
      </c>
      <c r="F2390" t="s">
        <v>1068</v>
      </c>
      <c r="G2390" t="s">
        <v>1087</v>
      </c>
      <c r="H2390" s="170">
        <v>-3.8547341672999298E-6</v>
      </c>
      <c r="I2390" t="s">
        <v>1088</v>
      </c>
      <c r="J2390">
        <v>2.54</v>
      </c>
    </row>
    <row r="2391" spans="1:10" hidden="1">
      <c r="A2391" t="s">
        <v>1937</v>
      </c>
      <c r="B2391" t="s">
        <v>1938</v>
      </c>
      <c r="C2391" t="s">
        <v>241</v>
      </c>
      <c r="D2391" t="s">
        <v>1273</v>
      </c>
      <c r="E2391" t="s">
        <v>556</v>
      </c>
      <c r="F2391" t="s">
        <v>1068</v>
      </c>
      <c r="G2391" t="s">
        <v>1089</v>
      </c>
      <c r="H2391">
        <v>-2.9822525059966E-3</v>
      </c>
      <c r="I2391" t="s">
        <v>1090</v>
      </c>
      <c r="J2391">
        <v>2.54</v>
      </c>
    </row>
    <row r="2392" spans="1:10" hidden="1">
      <c r="A2392" t="s">
        <v>1942</v>
      </c>
      <c r="B2392" t="s">
        <v>1943</v>
      </c>
      <c r="C2392" t="s">
        <v>241</v>
      </c>
      <c r="D2392" t="s">
        <v>1273</v>
      </c>
      <c r="E2392" t="s">
        <v>557</v>
      </c>
      <c r="F2392" t="s">
        <v>1068</v>
      </c>
      <c r="G2392" t="s">
        <v>1069</v>
      </c>
      <c r="H2392">
        <v>9.6548577528491695E-3</v>
      </c>
      <c r="I2392" t="s">
        <v>1070</v>
      </c>
      <c r="J2392">
        <v>2.0299999999999998</v>
      </c>
    </row>
    <row r="2393" spans="1:10" hidden="1">
      <c r="A2393" t="s">
        <v>1942</v>
      </c>
      <c r="B2393" t="s">
        <v>1943</v>
      </c>
      <c r="C2393" t="s">
        <v>241</v>
      </c>
      <c r="D2393" t="s">
        <v>1273</v>
      </c>
      <c r="E2393" t="s">
        <v>557</v>
      </c>
      <c r="F2393" t="s">
        <v>1068</v>
      </c>
      <c r="G2393" t="s">
        <v>1071</v>
      </c>
      <c r="H2393" s="171" t="s">
        <v>1944</v>
      </c>
      <c r="I2393" t="s">
        <v>1072</v>
      </c>
      <c r="J2393">
        <v>2.0299999999999998</v>
      </c>
    </row>
    <row r="2394" spans="1:10" hidden="1">
      <c r="A2394" t="s">
        <v>1942</v>
      </c>
      <c r="B2394" t="s">
        <v>1943</v>
      </c>
      <c r="C2394" t="s">
        <v>241</v>
      </c>
      <c r="D2394" t="s">
        <v>1273</v>
      </c>
      <c r="E2394" t="s">
        <v>557</v>
      </c>
      <c r="F2394" t="s">
        <v>1068</v>
      </c>
      <c r="G2394" t="s">
        <v>1073</v>
      </c>
      <c r="H2394" s="171" t="s">
        <v>1945</v>
      </c>
      <c r="I2394" t="s">
        <v>1074</v>
      </c>
      <c r="J2394">
        <v>2.0299999999999998</v>
      </c>
    </row>
    <row r="2395" spans="1:10" hidden="1">
      <c r="A2395" t="s">
        <v>1942</v>
      </c>
      <c r="B2395" t="s">
        <v>1943</v>
      </c>
      <c r="C2395" t="s">
        <v>241</v>
      </c>
      <c r="D2395" t="s">
        <v>1273</v>
      </c>
      <c r="E2395" t="s">
        <v>557</v>
      </c>
      <c r="F2395" t="s">
        <v>1068</v>
      </c>
      <c r="G2395" t="s">
        <v>1075</v>
      </c>
      <c r="H2395" s="171" t="s">
        <v>1946</v>
      </c>
      <c r="I2395" t="s">
        <v>1077</v>
      </c>
      <c r="J2395">
        <v>2.0299999999999998</v>
      </c>
    </row>
    <row r="2396" spans="1:10" hidden="1">
      <c r="A2396" t="s">
        <v>1942</v>
      </c>
      <c r="B2396" t="s">
        <v>1943</v>
      </c>
      <c r="C2396" t="s">
        <v>241</v>
      </c>
      <c r="D2396" t="s">
        <v>1273</v>
      </c>
      <c r="E2396" t="s">
        <v>557</v>
      </c>
      <c r="F2396" t="s">
        <v>1068</v>
      </c>
      <c r="G2396" t="s">
        <v>1078</v>
      </c>
      <c r="H2396">
        <v>-0.50414958549192801</v>
      </c>
      <c r="I2396" t="s">
        <v>1079</v>
      </c>
      <c r="J2396">
        <v>2.0299999999999998</v>
      </c>
    </row>
    <row r="2397" spans="1:10" hidden="1">
      <c r="A2397" t="s">
        <v>1942</v>
      </c>
      <c r="B2397" t="s">
        <v>1943</v>
      </c>
      <c r="C2397" t="s">
        <v>241</v>
      </c>
      <c r="D2397" t="s">
        <v>1273</v>
      </c>
      <c r="E2397" t="s">
        <v>557</v>
      </c>
      <c r="F2397" t="s">
        <v>1068</v>
      </c>
      <c r="G2397" t="s">
        <v>1080</v>
      </c>
      <c r="H2397" s="171" t="s">
        <v>1947</v>
      </c>
      <c r="I2397" t="s">
        <v>1082</v>
      </c>
      <c r="J2397">
        <v>2.0299999999999998</v>
      </c>
    </row>
    <row r="2398" spans="1:10" hidden="1">
      <c r="A2398" t="s">
        <v>1942</v>
      </c>
      <c r="B2398" t="s">
        <v>1943</v>
      </c>
      <c r="C2398" t="s">
        <v>241</v>
      </c>
      <c r="D2398" t="s">
        <v>1273</v>
      </c>
      <c r="E2398" t="s">
        <v>557</v>
      </c>
      <c r="F2398" t="s">
        <v>1068</v>
      </c>
      <c r="G2398" t="s">
        <v>1083</v>
      </c>
      <c r="H2398">
        <v>-4.0949380053598302E-4</v>
      </c>
      <c r="I2398" t="s">
        <v>1084</v>
      </c>
      <c r="J2398">
        <v>2.0299999999999998</v>
      </c>
    </row>
    <row r="2399" spans="1:10" hidden="1">
      <c r="A2399" t="s">
        <v>1942</v>
      </c>
      <c r="B2399" t="s">
        <v>1943</v>
      </c>
      <c r="C2399" t="s">
        <v>241</v>
      </c>
      <c r="D2399" t="s">
        <v>1273</v>
      </c>
      <c r="E2399" t="s">
        <v>557</v>
      </c>
      <c r="F2399" t="s">
        <v>1068</v>
      </c>
      <c r="G2399" t="s">
        <v>1085</v>
      </c>
      <c r="H2399">
        <v>-1.1398959415042599E-2</v>
      </c>
      <c r="I2399" t="s">
        <v>1086</v>
      </c>
      <c r="J2399">
        <v>2.0299999999999998</v>
      </c>
    </row>
    <row r="2400" spans="1:10" hidden="1">
      <c r="A2400" t="s">
        <v>1942</v>
      </c>
      <c r="B2400" t="s">
        <v>1943</v>
      </c>
      <c r="C2400" t="s">
        <v>241</v>
      </c>
      <c r="D2400" t="s">
        <v>1273</v>
      </c>
      <c r="E2400" t="s">
        <v>557</v>
      </c>
      <c r="F2400" t="s">
        <v>1068</v>
      </c>
      <c r="G2400" t="s">
        <v>1087</v>
      </c>
      <c r="H2400" s="170">
        <v>-3.8549750854659296E-6</v>
      </c>
      <c r="I2400" t="s">
        <v>1088</v>
      </c>
      <c r="J2400">
        <v>2.0299999999999998</v>
      </c>
    </row>
    <row r="2401" spans="1:10" hidden="1">
      <c r="A2401" t="s">
        <v>1942</v>
      </c>
      <c r="B2401" t="s">
        <v>1943</v>
      </c>
      <c r="C2401" t="s">
        <v>241</v>
      </c>
      <c r="D2401" t="s">
        <v>1273</v>
      </c>
      <c r="E2401" t="s">
        <v>557</v>
      </c>
      <c r="F2401" t="s">
        <v>1068</v>
      </c>
      <c r="G2401" t="s">
        <v>1089</v>
      </c>
      <c r="H2401">
        <v>-2.9822922375729098E-3</v>
      </c>
      <c r="I2401" t="s">
        <v>1090</v>
      </c>
      <c r="J2401">
        <v>2.0299999999999998</v>
      </c>
    </row>
    <row r="2402" spans="1:10" hidden="1">
      <c r="A2402" t="s">
        <v>1948</v>
      </c>
      <c r="B2402" t="s">
        <v>1949</v>
      </c>
      <c r="C2402" t="s">
        <v>241</v>
      </c>
      <c r="D2402" t="s">
        <v>1273</v>
      </c>
      <c r="E2402" t="s">
        <v>559</v>
      </c>
      <c r="F2402" t="s">
        <v>1068</v>
      </c>
      <c r="G2402" t="s">
        <v>1069</v>
      </c>
      <c r="H2402">
        <v>9.7102749173166806E-3</v>
      </c>
      <c r="I2402" t="s">
        <v>1070</v>
      </c>
      <c r="J2402">
        <v>2.04</v>
      </c>
    </row>
    <row r="2403" spans="1:10" hidden="1">
      <c r="A2403" t="s">
        <v>1948</v>
      </c>
      <c r="B2403" t="s">
        <v>1949</v>
      </c>
      <c r="C2403" t="s">
        <v>241</v>
      </c>
      <c r="D2403" t="s">
        <v>1273</v>
      </c>
      <c r="E2403" t="s">
        <v>559</v>
      </c>
      <c r="F2403" t="s">
        <v>1068</v>
      </c>
      <c r="G2403" t="s">
        <v>1071</v>
      </c>
      <c r="H2403" s="171" t="s">
        <v>1950</v>
      </c>
      <c r="I2403" t="s">
        <v>1072</v>
      </c>
      <c r="J2403">
        <v>2.04</v>
      </c>
    </row>
    <row r="2404" spans="1:10" hidden="1">
      <c r="A2404" t="s">
        <v>1948</v>
      </c>
      <c r="B2404" t="s">
        <v>1949</v>
      </c>
      <c r="C2404" t="s">
        <v>241</v>
      </c>
      <c r="D2404" t="s">
        <v>1273</v>
      </c>
      <c r="E2404" t="s">
        <v>559</v>
      </c>
      <c r="F2404" t="s">
        <v>1068</v>
      </c>
      <c r="G2404" t="s">
        <v>1073</v>
      </c>
      <c r="H2404" s="171" t="s">
        <v>1951</v>
      </c>
      <c r="I2404" t="s">
        <v>1074</v>
      </c>
      <c r="J2404">
        <v>2.04</v>
      </c>
    </row>
    <row r="2405" spans="1:10" hidden="1">
      <c r="A2405" t="s">
        <v>1948</v>
      </c>
      <c r="B2405" t="s">
        <v>1949</v>
      </c>
      <c r="C2405" t="s">
        <v>241</v>
      </c>
      <c r="D2405" t="s">
        <v>1273</v>
      </c>
      <c r="E2405" t="s">
        <v>559</v>
      </c>
      <c r="F2405" t="s">
        <v>1068</v>
      </c>
      <c r="G2405" t="s">
        <v>1075</v>
      </c>
      <c r="H2405" s="171" t="s">
        <v>1952</v>
      </c>
      <c r="I2405" t="s">
        <v>1077</v>
      </c>
      <c r="J2405">
        <v>2.04</v>
      </c>
    </row>
    <row r="2406" spans="1:10" hidden="1">
      <c r="A2406" t="s">
        <v>1948</v>
      </c>
      <c r="B2406" t="s">
        <v>1949</v>
      </c>
      <c r="C2406" t="s">
        <v>241</v>
      </c>
      <c r="D2406" t="s">
        <v>1273</v>
      </c>
      <c r="E2406" t="s">
        <v>559</v>
      </c>
      <c r="F2406" t="s">
        <v>1068</v>
      </c>
      <c r="G2406" t="s">
        <v>1078</v>
      </c>
      <c r="H2406">
        <v>-0.50279511856418002</v>
      </c>
      <c r="I2406" t="s">
        <v>1079</v>
      </c>
      <c r="J2406">
        <v>2.04</v>
      </c>
    </row>
    <row r="2407" spans="1:10" hidden="1">
      <c r="A2407" t="s">
        <v>1948</v>
      </c>
      <c r="B2407" t="s">
        <v>1949</v>
      </c>
      <c r="C2407" t="s">
        <v>241</v>
      </c>
      <c r="D2407" t="s">
        <v>1273</v>
      </c>
      <c r="E2407" t="s">
        <v>559</v>
      </c>
      <c r="F2407" t="s">
        <v>1068</v>
      </c>
      <c r="G2407" t="s">
        <v>1080</v>
      </c>
      <c r="H2407" s="171" t="s">
        <v>1953</v>
      </c>
      <c r="I2407" t="s">
        <v>1082</v>
      </c>
      <c r="J2407">
        <v>2.04</v>
      </c>
    </row>
    <row r="2408" spans="1:10" hidden="1">
      <c r="A2408" t="s">
        <v>1948</v>
      </c>
      <c r="B2408" t="s">
        <v>1949</v>
      </c>
      <c r="C2408" t="s">
        <v>241</v>
      </c>
      <c r="D2408" t="s">
        <v>1273</v>
      </c>
      <c r="E2408" t="s">
        <v>559</v>
      </c>
      <c r="F2408" t="s">
        <v>1068</v>
      </c>
      <c r="G2408" t="s">
        <v>1083</v>
      </c>
      <c r="H2408">
        <v>-4.09485674436607E-4</v>
      </c>
      <c r="I2408" t="s">
        <v>1084</v>
      </c>
      <c r="J2408">
        <v>2.04</v>
      </c>
    </row>
    <row r="2409" spans="1:10" hidden="1">
      <c r="A2409" t="s">
        <v>1948</v>
      </c>
      <c r="B2409" t="s">
        <v>1949</v>
      </c>
      <c r="C2409" t="s">
        <v>241</v>
      </c>
      <c r="D2409" t="s">
        <v>1273</v>
      </c>
      <c r="E2409" t="s">
        <v>559</v>
      </c>
      <c r="F2409" t="s">
        <v>1068</v>
      </c>
      <c r="G2409" t="s">
        <v>1085</v>
      </c>
      <c r="H2409">
        <v>-1.13988513346927E-2</v>
      </c>
      <c r="I2409" t="s">
        <v>1086</v>
      </c>
      <c r="J2409">
        <v>2.04</v>
      </c>
    </row>
    <row r="2410" spans="1:10" hidden="1">
      <c r="A2410" t="s">
        <v>1948</v>
      </c>
      <c r="B2410" t="s">
        <v>1949</v>
      </c>
      <c r="C2410" t="s">
        <v>241</v>
      </c>
      <c r="D2410" t="s">
        <v>1273</v>
      </c>
      <c r="E2410" t="s">
        <v>559</v>
      </c>
      <c r="F2410" t="s">
        <v>1068</v>
      </c>
      <c r="G2410" t="s">
        <v>1087</v>
      </c>
      <c r="H2410" s="170">
        <v>-3.8547815714492096E-6</v>
      </c>
      <c r="I2410" t="s">
        <v>1088</v>
      </c>
      <c r="J2410">
        <v>2.04</v>
      </c>
    </row>
    <row r="2411" spans="1:10" hidden="1">
      <c r="A2411" t="s">
        <v>1948</v>
      </c>
      <c r="B2411" t="s">
        <v>1949</v>
      </c>
      <c r="C2411" t="s">
        <v>241</v>
      </c>
      <c r="D2411" t="s">
        <v>1273</v>
      </c>
      <c r="E2411" t="s">
        <v>559</v>
      </c>
      <c r="F2411" t="s">
        <v>1068</v>
      </c>
      <c r="G2411" t="s">
        <v>1089</v>
      </c>
      <c r="H2411">
        <v>-2.9822727697551201E-3</v>
      </c>
      <c r="I2411" t="s">
        <v>1090</v>
      </c>
      <c r="J2411">
        <v>2.04</v>
      </c>
    </row>
    <row r="2412" spans="1:10" hidden="1">
      <c r="A2412" t="s">
        <v>1954</v>
      </c>
      <c r="B2412" t="s">
        <v>1955</v>
      </c>
      <c r="C2412" t="s">
        <v>241</v>
      </c>
      <c r="D2412" t="s">
        <v>1273</v>
      </c>
      <c r="E2412" t="s">
        <v>560</v>
      </c>
      <c r="F2412" t="s">
        <v>1068</v>
      </c>
      <c r="G2412" t="s">
        <v>1069</v>
      </c>
      <c r="H2412">
        <v>9.6900940216243098E-3</v>
      </c>
      <c r="I2412" t="s">
        <v>1070</v>
      </c>
      <c r="J2412">
        <v>2.04</v>
      </c>
    </row>
    <row r="2413" spans="1:10" hidden="1">
      <c r="A2413" t="s">
        <v>1954</v>
      </c>
      <c r="B2413" t="s">
        <v>1955</v>
      </c>
      <c r="C2413" t="s">
        <v>241</v>
      </c>
      <c r="D2413" t="s">
        <v>1273</v>
      </c>
      <c r="E2413" t="s">
        <v>560</v>
      </c>
      <c r="F2413" t="s">
        <v>1068</v>
      </c>
      <c r="G2413" t="s">
        <v>1071</v>
      </c>
      <c r="H2413" s="171" t="s">
        <v>1956</v>
      </c>
      <c r="I2413" t="s">
        <v>1072</v>
      </c>
      <c r="J2413">
        <v>2.04</v>
      </c>
    </row>
    <row r="2414" spans="1:10" hidden="1">
      <c r="A2414" t="s">
        <v>1954</v>
      </c>
      <c r="B2414" t="s">
        <v>1955</v>
      </c>
      <c r="C2414" t="s">
        <v>241</v>
      </c>
      <c r="D2414" t="s">
        <v>1273</v>
      </c>
      <c r="E2414" t="s">
        <v>560</v>
      </c>
      <c r="F2414" t="s">
        <v>1068</v>
      </c>
      <c r="G2414" t="s">
        <v>1073</v>
      </c>
      <c r="H2414" s="171" t="s">
        <v>1957</v>
      </c>
      <c r="I2414" t="s">
        <v>1074</v>
      </c>
      <c r="J2414">
        <v>2.04</v>
      </c>
    </row>
    <row r="2415" spans="1:10" hidden="1">
      <c r="A2415" t="s">
        <v>1954</v>
      </c>
      <c r="B2415" t="s">
        <v>1955</v>
      </c>
      <c r="C2415" t="s">
        <v>241</v>
      </c>
      <c r="D2415" t="s">
        <v>1273</v>
      </c>
      <c r="E2415" t="s">
        <v>560</v>
      </c>
      <c r="F2415" t="s">
        <v>1068</v>
      </c>
      <c r="G2415" t="s">
        <v>1075</v>
      </c>
      <c r="H2415" s="171" t="s">
        <v>1958</v>
      </c>
      <c r="I2415" t="s">
        <v>1077</v>
      </c>
      <c r="J2415">
        <v>2.04</v>
      </c>
    </row>
    <row r="2416" spans="1:10" hidden="1">
      <c r="A2416" t="s">
        <v>1954</v>
      </c>
      <c r="B2416" t="s">
        <v>1955</v>
      </c>
      <c r="C2416" t="s">
        <v>241</v>
      </c>
      <c r="D2416" t="s">
        <v>1273</v>
      </c>
      <c r="E2416" t="s">
        <v>560</v>
      </c>
      <c r="F2416" t="s">
        <v>1068</v>
      </c>
      <c r="G2416" t="s">
        <v>1078</v>
      </c>
      <c r="H2416">
        <v>-0.50410141805752495</v>
      </c>
      <c r="I2416" t="s">
        <v>1079</v>
      </c>
      <c r="J2416">
        <v>2.04</v>
      </c>
    </row>
    <row r="2417" spans="1:10" hidden="1">
      <c r="A2417" t="s">
        <v>1954</v>
      </c>
      <c r="B2417" t="s">
        <v>1955</v>
      </c>
      <c r="C2417" t="s">
        <v>241</v>
      </c>
      <c r="D2417" t="s">
        <v>1273</v>
      </c>
      <c r="E2417" t="s">
        <v>560</v>
      </c>
      <c r="F2417" t="s">
        <v>1068</v>
      </c>
      <c r="G2417" t="s">
        <v>1080</v>
      </c>
      <c r="H2417" s="171" t="s">
        <v>1959</v>
      </c>
      <c r="I2417" t="s">
        <v>1082</v>
      </c>
      <c r="J2417">
        <v>2.04</v>
      </c>
    </row>
    <row r="2418" spans="1:10" hidden="1">
      <c r="A2418" t="s">
        <v>1954</v>
      </c>
      <c r="B2418" t="s">
        <v>1955</v>
      </c>
      <c r="C2418" t="s">
        <v>241</v>
      </c>
      <c r="D2418" t="s">
        <v>1273</v>
      </c>
      <c r="E2418" t="s">
        <v>560</v>
      </c>
      <c r="F2418" t="s">
        <v>1068</v>
      </c>
      <c r="G2418" t="s">
        <v>1083</v>
      </c>
      <c r="H2418">
        <v>-4.0948844460029799E-4</v>
      </c>
      <c r="I2418" t="s">
        <v>1084</v>
      </c>
      <c r="J2418">
        <v>2.04</v>
      </c>
    </row>
    <row r="2419" spans="1:10" hidden="1">
      <c r="A2419" t="s">
        <v>1954</v>
      </c>
      <c r="B2419" t="s">
        <v>1955</v>
      </c>
      <c r="C2419" t="s">
        <v>241</v>
      </c>
      <c r="D2419" t="s">
        <v>1273</v>
      </c>
      <c r="E2419" t="s">
        <v>560</v>
      </c>
      <c r="F2419" t="s">
        <v>1068</v>
      </c>
      <c r="G2419" t="s">
        <v>1085</v>
      </c>
      <c r="H2419">
        <v>-1.13988988820992E-2</v>
      </c>
      <c r="I2419" t="s">
        <v>1086</v>
      </c>
      <c r="J2419">
        <v>2.04</v>
      </c>
    </row>
    <row r="2420" spans="1:10" hidden="1">
      <c r="A2420" t="s">
        <v>1954</v>
      </c>
      <c r="B2420" t="s">
        <v>1955</v>
      </c>
      <c r="C2420" t="s">
        <v>241</v>
      </c>
      <c r="D2420" t="s">
        <v>1273</v>
      </c>
      <c r="E2420" t="s">
        <v>560</v>
      </c>
      <c r="F2420" t="s">
        <v>1068</v>
      </c>
      <c r="G2420" t="s">
        <v>1087</v>
      </c>
      <c r="H2420" s="170">
        <v>-3.8549458719910101E-6</v>
      </c>
      <c r="I2420" t="s">
        <v>1088</v>
      </c>
      <c r="J2420">
        <v>2.04</v>
      </c>
    </row>
    <row r="2421" spans="1:10" hidden="1">
      <c r="A2421" t="s">
        <v>1954</v>
      </c>
      <c r="B2421" t="s">
        <v>1955</v>
      </c>
      <c r="C2421" t="s">
        <v>241</v>
      </c>
      <c r="D2421" t="s">
        <v>1273</v>
      </c>
      <c r="E2421" t="s">
        <v>560</v>
      </c>
      <c r="F2421" t="s">
        <v>1068</v>
      </c>
      <c r="G2421" t="s">
        <v>1089</v>
      </c>
      <c r="H2421">
        <v>-2.98227974974621E-3</v>
      </c>
      <c r="I2421" t="s">
        <v>1090</v>
      </c>
      <c r="J2421">
        <v>2.04</v>
      </c>
    </row>
    <row r="2422" spans="1:10" hidden="1">
      <c r="A2422" t="s">
        <v>1960</v>
      </c>
      <c r="B2422" t="s">
        <v>1961</v>
      </c>
      <c r="C2422" t="s">
        <v>241</v>
      </c>
      <c r="D2422" t="s">
        <v>1273</v>
      </c>
      <c r="E2422" t="s">
        <v>1116</v>
      </c>
      <c r="F2422" t="s">
        <v>1068</v>
      </c>
      <c r="G2422" t="s">
        <v>1069</v>
      </c>
      <c r="H2422">
        <v>9.5831484021330592E-3</v>
      </c>
      <c r="I2422" t="s">
        <v>1070</v>
      </c>
      <c r="J2422">
        <v>2.0299999999999998</v>
      </c>
    </row>
    <row r="2423" spans="1:10" hidden="1">
      <c r="A2423" t="s">
        <v>1960</v>
      </c>
      <c r="B2423" t="s">
        <v>1961</v>
      </c>
      <c r="C2423" t="s">
        <v>241</v>
      </c>
      <c r="D2423" t="s">
        <v>1273</v>
      </c>
      <c r="E2423" t="s">
        <v>1116</v>
      </c>
      <c r="F2423" t="s">
        <v>1068</v>
      </c>
      <c r="G2423" t="s">
        <v>1071</v>
      </c>
      <c r="H2423" s="171" t="s">
        <v>1962</v>
      </c>
      <c r="I2423" t="s">
        <v>1072</v>
      </c>
      <c r="J2423">
        <v>2.0299999999999998</v>
      </c>
    </row>
    <row r="2424" spans="1:10" hidden="1">
      <c r="A2424" t="s">
        <v>1960</v>
      </c>
      <c r="B2424" t="s">
        <v>1961</v>
      </c>
      <c r="C2424" t="s">
        <v>241</v>
      </c>
      <c r="D2424" t="s">
        <v>1273</v>
      </c>
      <c r="E2424" t="s">
        <v>1116</v>
      </c>
      <c r="F2424" t="s">
        <v>1068</v>
      </c>
      <c r="G2424" t="s">
        <v>1073</v>
      </c>
      <c r="H2424" s="171" t="s">
        <v>1963</v>
      </c>
      <c r="I2424" t="s">
        <v>1074</v>
      </c>
      <c r="J2424">
        <v>2.0299999999999998</v>
      </c>
    </row>
    <row r="2425" spans="1:10" hidden="1">
      <c r="A2425" t="s">
        <v>1960</v>
      </c>
      <c r="B2425" t="s">
        <v>1961</v>
      </c>
      <c r="C2425" t="s">
        <v>241</v>
      </c>
      <c r="D2425" t="s">
        <v>1273</v>
      </c>
      <c r="E2425" t="s">
        <v>1116</v>
      </c>
      <c r="F2425" t="s">
        <v>1068</v>
      </c>
      <c r="G2425" t="s">
        <v>1075</v>
      </c>
      <c r="H2425" s="171" t="s">
        <v>1964</v>
      </c>
      <c r="I2425" t="s">
        <v>1077</v>
      </c>
      <c r="J2425">
        <v>2.0299999999999998</v>
      </c>
    </row>
    <row r="2426" spans="1:10" hidden="1">
      <c r="A2426" t="s">
        <v>1960</v>
      </c>
      <c r="B2426" t="s">
        <v>1961</v>
      </c>
      <c r="C2426" t="s">
        <v>241</v>
      </c>
      <c r="D2426" t="s">
        <v>1273</v>
      </c>
      <c r="E2426" t="s">
        <v>1116</v>
      </c>
      <c r="F2426" t="s">
        <v>1068</v>
      </c>
      <c r="G2426" t="s">
        <v>1078</v>
      </c>
      <c r="H2426">
        <v>-0.50424761106489302</v>
      </c>
      <c r="I2426" t="s">
        <v>1079</v>
      </c>
      <c r="J2426">
        <v>2.0299999999999998</v>
      </c>
    </row>
    <row r="2427" spans="1:10" hidden="1">
      <c r="A2427" t="s">
        <v>1960</v>
      </c>
      <c r="B2427" t="s">
        <v>1961</v>
      </c>
      <c r="C2427" t="s">
        <v>241</v>
      </c>
      <c r="D2427" t="s">
        <v>1273</v>
      </c>
      <c r="E2427" t="s">
        <v>1116</v>
      </c>
      <c r="F2427" t="s">
        <v>1068</v>
      </c>
      <c r="G2427" t="s">
        <v>1080</v>
      </c>
      <c r="H2427" s="171" t="s">
        <v>1965</v>
      </c>
      <c r="I2427" t="s">
        <v>1082</v>
      </c>
      <c r="J2427">
        <v>2.0299999999999998</v>
      </c>
    </row>
    <row r="2428" spans="1:10" hidden="1">
      <c r="A2428" t="s">
        <v>1960</v>
      </c>
      <c r="B2428" t="s">
        <v>1961</v>
      </c>
      <c r="C2428" t="s">
        <v>241</v>
      </c>
      <c r="D2428" t="s">
        <v>1273</v>
      </c>
      <c r="E2428" t="s">
        <v>1116</v>
      </c>
      <c r="F2428" t="s">
        <v>1068</v>
      </c>
      <c r="G2428" t="s">
        <v>1083</v>
      </c>
      <c r="H2428">
        <v>-4.0950470040372101E-4</v>
      </c>
      <c r="I2428" t="s">
        <v>1084</v>
      </c>
      <c r="J2428">
        <v>2.0299999999999998</v>
      </c>
    </row>
    <row r="2429" spans="1:10" hidden="1">
      <c r="A2429" t="s">
        <v>1960</v>
      </c>
      <c r="B2429" t="s">
        <v>1961</v>
      </c>
      <c r="C2429" t="s">
        <v>241</v>
      </c>
      <c r="D2429" t="s">
        <v>1273</v>
      </c>
      <c r="E2429" t="s">
        <v>1116</v>
      </c>
      <c r="F2429" t="s">
        <v>1068</v>
      </c>
      <c r="G2429" t="s">
        <v>1085</v>
      </c>
      <c r="H2429">
        <v>-1.1399082605670199E-2</v>
      </c>
      <c r="I2429" t="s">
        <v>1086</v>
      </c>
      <c r="J2429">
        <v>2.0299999999999998</v>
      </c>
    </row>
    <row r="2430" spans="1:10" hidden="1">
      <c r="A2430" t="s">
        <v>1960</v>
      </c>
      <c r="B2430" t="s">
        <v>1961</v>
      </c>
      <c r="C2430" t="s">
        <v>241</v>
      </c>
      <c r="D2430" t="s">
        <v>1273</v>
      </c>
      <c r="E2430" t="s">
        <v>1116</v>
      </c>
      <c r="F2430" t="s">
        <v>1068</v>
      </c>
      <c r="G2430" t="s">
        <v>1087</v>
      </c>
      <c r="H2430" s="170">
        <v>-3.8550345378252597E-6</v>
      </c>
      <c r="I2430" t="s">
        <v>1088</v>
      </c>
      <c r="J2430">
        <v>2.0299999999999998</v>
      </c>
    </row>
    <row r="2431" spans="1:10" hidden="1">
      <c r="A2431" t="s">
        <v>1960</v>
      </c>
      <c r="B2431" t="s">
        <v>1961</v>
      </c>
      <c r="C2431" t="s">
        <v>241</v>
      </c>
      <c r="D2431" t="s">
        <v>1273</v>
      </c>
      <c r="E2431" t="s">
        <v>1116</v>
      </c>
      <c r="F2431" t="s">
        <v>1068</v>
      </c>
      <c r="G2431" t="s">
        <v>1089</v>
      </c>
      <c r="H2431">
        <v>-2.9823176515560998E-3</v>
      </c>
      <c r="I2431" t="s">
        <v>1090</v>
      </c>
      <c r="J2431">
        <v>2.0299999999999998</v>
      </c>
    </row>
    <row r="2432" spans="1:10" hidden="1">
      <c r="A2432" t="s">
        <v>1966</v>
      </c>
      <c r="B2432" t="s">
        <v>1967</v>
      </c>
      <c r="C2432" t="s">
        <v>241</v>
      </c>
      <c r="D2432" t="s">
        <v>1307</v>
      </c>
      <c r="E2432" t="s">
        <v>561</v>
      </c>
      <c r="F2432" t="s">
        <v>1068</v>
      </c>
      <c r="G2432" t="s">
        <v>1069</v>
      </c>
      <c r="H2432">
        <v>-6.5599358789591E-2</v>
      </c>
      <c r="I2432" t="s">
        <v>1070</v>
      </c>
      <c r="J2432">
        <v>2.0299999999999998</v>
      </c>
    </row>
    <row r="2433" spans="1:10" hidden="1">
      <c r="A2433" t="s">
        <v>1966</v>
      </c>
      <c r="B2433" t="s">
        <v>1967</v>
      </c>
      <c r="C2433" t="s">
        <v>241</v>
      </c>
      <c r="D2433" t="s">
        <v>1307</v>
      </c>
      <c r="E2433" t="s">
        <v>561</v>
      </c>
      <c r="F2433" t="s">
        <v>1068</v>
      </c>
      <c r="G2433" t="s">
        <v>1071</v>
      </c>
      <c r="H2433" s="170">
        <v>-1.38538855790821E-10</v>
      </c>
      <c r="I2433" t="s">
        <v>1072</v>
      </c>
      <c r="J2433">
        <v>2.0299999999999998</v>
      </c>
    </row>
    <row r="2434" spans="1:10" hidden="1">
      <c r="A2434" t="s">
        <v>1966</v>
      </c>
      <c r="B2434" t="s">
        <v>1967</v>
      </c>
      <c r="C2434" t="s">
        <v>241</v>
      </c>
      <c r="D2434" t="s">
        <v>1307</v>
      </c>
      <c r="E2434" t="s">
        <v>561</v>
      </c>
      <c r="F2434" t="s">
        <v>1068</v>
      </c>
      <c r="G2434" t="s">
        <v>1073</v>
      </c>
      <c r="H2434" s="170">
        <v>-2.6570176436442599E-8</v>
      </c>
      <c r="I2434" t="s">
        <v>1074</v>
      </c>
      <c r="J2434">
        <v>2.0299999999999998</v>
      </c>
    </row>
    <row r="2435" spans="1:10" hidden="1">
      <c r="A2435" t="s">
        <v>1966</v>
      </c>
      <c r="B2435" t="s">
        <v>1967</v>
      </c>
      <c r="C2435" t="s">
        <v>241</v>
      </c>
      <c r="D2435" t="s">
        <v>1307</v>
      </c>
      <c r="E2435" t="s">
        <v>561</v>
      </c>
      <c r="F2435" t="s">
        <v>1068</v>
      </c>
      <c r="G2435" t="s">
        <v>1075</v>
      </c>
      <c r="H2435">
        <v>2.4162931925088399E-3</v>
      </c>
      <c r="I2435" t="s">
        <v>1077</v>
      </c>
      <c r="J2435">
        <v>2.0299999999999998</v>
      </c>
    </row>
    <row r="2436" spans="1:10" hidden="1">
      <c r="A2436" t="s">
        <v>1966</v>
      </c>
      <c r="B2436" t="s">
        <v>1967</v>
      </c>
      <c r="C2436" t="s">
        <v>241</v>
      </c>
      <c r="D2436" t="s">
        <v>1307</v>
      </c>
      <c r="E2436" t="s">
        <v>561</v>
      </c>
      <c r="F2436" t="s">
        <v>1068</v>
      </c>
      <c r="G2436" t="s">
        <v>1078</v>
      </c>
      <c r="H2436">
        <v>-1.6415582940675599</v>
      </c>
      <c r="I2436" t="s">
        <v>1079</v>
      </c>
      <c r="J2436">
        <v>2.0299999999999998</v>
      </c>
    </row>
    <row r="2437" spans="1:10" hidden="1">
      <c r="A2437" t="s">
        <v>1966</v>
      </c>
      <c r="B2437" t="s">
        <v>1967</v>
      </c>
      <c r="C2437" t="s">
        <v>241</v>
      </c>
      <c r="D2437" t="s">
        <v>1307</v>
      </c>
      <c r="E2437" t="s">
        <v>561</v>
      </c>
      <c r="F2437" t="s">
        <v>1068</v>
      </c>
      <c r="G2437" t="s">
        <v>1080</v>
      </c>
      <c r="H2437" s="171" t="s">
        <v>1968</v>
      </c>
      <c r="I2437" t="s">
        <v>1082</v>
      </c>
      <c r="J2437">
        <v>2.0299999999999998</v>
      </c>
    </row>
    <row r="2438" spans="1:10" hidden="1">
      <c r="A2438" t="s">
        <v>1966</v>
      </c>
      <c r="B2438" t="s">
        <v>1967</v>
      </c>
      <c r="C2438" t="s">
        <v>241</v>
      </c>
      <c r="D2438" t="s">
        <v>1307</v>
      </c>
      <c r="E2438" t="s">
        <v>561</v>
      </c>
      <c r="F2438" t="s">
        <v>1068</v>
      </c>
      <c r="G2438" t="s">
        <v>1083</v>
      </c>
      <c r="H2438">
        <v>-3.9275137942530698E-4</v>
      </c>
      <c r="I2438" t="s">
        <v>1084</v>
      </c>
      <c r="J2438">
        <v>2.0299999999999998</v>
      </c>
    </row>
    <row r="2439" spans="1:10" hidden="1">
      <c r="A2439" t="s">
        <v>1966</v>
      </c>
      <c r="B2439" t="s">
        <v>1967</v>
      </c>
      <c r="C2439" t="s">
        <v>241</v>
      </c>
      <c r="D2439" t="s">
        <v>1307</v>
      </c>
      <c r="E2439" t="s">
        <v>561</v>
      </c>
      <c r="F2439" t="s">
        <v>1068</v>
      </c>
      <c r="G2439" t="s">
        <v>1085</v>
      </c>
      <c r="H2439">
        <v>-1.10493399860072E-2</v>
      </c>
      <c r="I2439" t="s">
        <v>1086</v>
      </c>
      <c r="J2439">
        <v>2.0299999999999998</v>
      </c>
    </row>
    <row r="2440" spans="1:10" hidden="1">
      <c r="A2440" t="s">
        <v>1966</v>
      </c>
      <c r="B2440" t="s">
        <v>1967</v>
      </c>
      <c r="C2440" t="s">
        <v>241</v>
      </c>
      <c r="D2440" t="s">
        <v>1307</v>
      </c>
      <c r="E2440" t="s">
        <v>561</v>
      </c>
      <c r="F2440" t="s">
        <v>1068</v>
      </c>
      <c r="G2440" t="s">
        <v>1087</v>
      </c>
      <c r="H2440" s="170">
        <v>-3.9048201840676301E-7</v>
      </c>
      <c r="I2440" t="s">
        <v>1088</v>
      </c>
      <c r="J2440">
        <v>2.0299999999999998</v>
      </c>
    </row>
    <row r="2441" spans="1:10" hidden="1">
      <c r="A2441" t="s">
        <v>1966</v>
      </c>
      <c r="B2441" t="s">
        <v>1967</v>
      </c>
      <c r="C2441" t="s">
        <v>241</v>
      </c>
      <c r="D2441" t="s">
        <v>1307</v>
      </c>
      <c r="E2441" t="s">
        <v>561</v>
      </c>
      <c r="F2441" t="s">
        <v>1068</v>
      </c>
      <c r="G2441" t="s">
        <v>1089</v>
      </c>
      <c r="H2441">
        <v>-2.9951485959089099E-3</v>
      </c>
      <c r="I2441" t="s">
        <v>1090</v>
      </c>
      <c r="J2441">
        <v>2.0299999999999998</v>
      </c>
    </row>
    <row r="2442" spans="1:10" hidden="1">
      <c r="A2442" t="s">
        <v>1969</v>
      </c>
      <c r="B2442" t="s">
        <v>1970</v>
      </c>
      <c r="C2442" t="s">
        <v>241</v>
      </c>
      <c r="D2442" t="s">
        <v>1307</v>
      </c>
      <c r="E2442" t="s">
        <v>555</v>
      </c>
      <c r="F2442" t="s">
        <v>1068</v>
      </c>
      <c r="G2442" t="s">
        <v>1069</v>
      </c>
      <c r="H2442">
        <v>-6.5401871988016197E-2</v>
      </c>
      <c r="I2442" t="s">
        <v>1070</v>
      </c>
      <c r="J2442">
        <v>2.54</v>
      </c>
    </row>
    <row r="2443" spans="1:10" hidden="1">
      <c r="A2443" t="s">
        <v>1969</v>
      </c>
      <c r="B2443" t="s">
        <v>1970</v>
      </c>
      <c r="C2443" t="s">
        <v>241</v>
      </c>
      <c r="D2443" t="s">
        <v>1307</v>
      </c>
      <c r="E2443" t="s">
        <v>555</v>
      </c>
      <c r="F2443" t="s">
        <v>1068</v>
      </c>
      <c r="G2443" t="s">
        <v>1071</v>
      </c>
      <c r="H2443" s="170">
        <v>-1.38210774427077E-10</v>
      </c>
      <c r="I2443" t="s">
        <v>1072</v>
      </c>
      <c r="J2443">
        <v>2.54</v>
      </c>
    </row>
    <row r="2444" spans="1:10" hidden="1">
      <c r="A2444" t="s">
        <v>1969</v>
      </c>
      <c r="B2444" t="s">
        <v>1970</v>
      </c>
      <c r="C2444" t="s">
        <v>241</v>
      </c>
      <c r="D2444" t="s">
        <v>1307</v>
      </c>
      <c r="E2444" t="s">
        <v>555</v>
      </c>
      <c r="F2444" t="s">
        <v>1068</v>
      </c>
      <c r="G2444" t="s">
        <v>1073</v>
      </c>
      <c r="H2444" s="170">
        <v>-2.6504199189602599E-8</v>
      </c>
      <c r="I2444" t="s">
        <v>1074</v>
      </c>
      <c r="J2444">
        <v>2.54</v>
      </c>
    </row>
    <row r="2445" spans="1:10" hidden="1">
      <c r="A2445" t="s">
        <v>1969</v>
      </c>
      <c r="B2445" t="s">
        <v>1970</v>
      </c>
      <c r="C2445" t="s">
        <v>241</v>
      </c>
      <c r="D2445" t="s">
        <v>1307</v>
      </c>
      <c r="E2445" t="s">
        <v>555</v>
      </c>
      <c r="F2445" t="s">
        <v>1068</v>
      </c>
      <c r="G2445" t="s">
        <v>1075</v>
      </c>
      <c r="H2445">
        <v>2.4524325051113799E-3</v>
      </c>
      <c r="I2445" t="s">
        <v>1077</v>
      </c>
      <c r="J2445">
        <v>2.54</v>
      </c>
    </row>
    <row r="2446" spans="1:10" hidden="1">
      <c r="A2446" t="s">
        <v>1969</v>
      </c>
      <c r="B2446" t="s">
        <v>1970</v>
      </c>
      <c r="C2446" t="s">
        <v>241</v>
      </c>
      <c r="D2446" t="s">
        <v>1307</v>
      </c>
      <c r="E2446" t="s">
        <v>555</v>
      </c>
      <c r="F2446" t="s">
        <v>1068</v>
      </c>
      <c r="G2446" t="s">
        <v>1078</v>
      </c>
      <c r="H2446">
        <v>-1.6286344906372801</v>
      </c>
      <c r="I2446" t="s">
        <v>1079</v>
      </c>
      <c r="J2446">
        <v>2.54</v>
      </c>
    </row>
    <row r="2447" spans="1:10" hidden="1">
      <c r="A2447" t="s">
        <v>1969</v>
      </c>
      <c r="B2447" t="s">
        <v>1970</v>
      </c>
      <c r="C2447" t="s">
        <v>241</v>
      </c>
      <c r="D2447" t="s">
        <v>1307</v>
      </c>
      <c r="E2447" t="s">
        <v>555</v>
      </c>
      <c r="F2447" t="s">
        <v>1068</v>
      </c>
      <c r="G2447" t="s">
        <v>1080</v>
      </c>
      <c r="H2447" s="171" t="s">
        <v>1971</v>
      </c>
      <c r="I2447" t="s">
        <v>1082</v>
      </c>
      <c r="J2447">
        <v>2.54</v>
      </c>
    </row>
    <row r="2448" spans="1:10" hidden="1">
      <c r="A2448" t="s">
        <v>1969</v>
      </c>
      <c r="B2448" t="s">
        <v>1970</v>
      </c>
      <c r="C2448" t="s">
        <v>241</v>
      </c>
      <c r="D2448" t="s">
        <v>1307</v>
      </c>
      <c r="E2448" t="s">
        <v>555</v>
      </c>
      <c r="F2448" t="s">
        <v>1068</v>
      </c>
      <c r="G2448" t="s">
        <v>1083</v>
      </c>
      <c r="H2448">
        <v>-3.92724303765621E-4</v>
      </c>
      <c r="I2448" t="s">
        <v>1084</v>
      </c>
      <c r="J2448">
        <v>2.54</v>
      </c>
    </row>
    <row r="2449" spans="1:10" hidden="1">
      <c r="A2449" t="s">
        <v>1969</v>
      </c>
      <c r="B2449" t="s">
        <v>1970</v>
      </c>
      <c r="C2449" t="s">
        <v>241</v>
      </c>
      <c r="D2449" t="s">
        <v>1307</v>
      </c>
      <c r="E2449" t="s">
        <v>555</v>
      </c>
      <c r="F2449" t="s">
        <v>1068</v>
      </c>
      <c r="G2449" t="s">
        <v>1085</v>
      </c>
      <c r="H2449">
        <v>-1.10488732793781E-2</v>
      </c>
      <c r="I2449" t="s">
        <v>1086</v>
      </c>
      <c r="J2449">
        <v>2.54</v>
      </c>
    </row>
    <row r="2450" spans="1:10" hidden="1">
      <c r="A2450" t="s">
        <v>1969</v>
      </c>
      <c r="B2450" t="s">
        <v>1970</v>
      </c>
      <c r="C2450" t="s">
        <v>241</v>
      </c>
      <c r="D2450" t="s">
        <v>1307</v>
      </c>
      <c r="E2450" t="s">
        <v>555</v>
      </c>
      <c r="F2450" t="s">
        <v>1068</v>
      </c>
      <c r="G2450" t="s">
        <v>1087</v>
      </c>
      <c r="H2450" s="170">
        <v>-3.8885797784417598E-7</v>
      </c>
      <c r="I2450" t="s">
        <v>1088</v>
      </c>
      <c r="J2450">
        <v>2.54</v>
      </c>
    </row>
    <row r="2451" spans="1:10" hidden="1">
      <c r="A2451" t="s">
        <v>1969</v>
      </c>
      <c r="B2451" t="s">
        <v>1970</v>
      </c>
      <c r="C2451" t="s">
        <v>241</v>
      </c>
      <c r="D2451" t="s">
        <v>1307</v>
      </c>
      <c r="E2451" t="s">
        <v>555</v>
      </c>
      <c r="F2451" t="s">
        <v>1068</v>
      </c>
      <c r="G2451" t="s">
        <v>1089</v>
      </c>
      <c r="H2451">
        <v>-2.9950803098351001E-3</v>
      </c>
      <c r="I2451" t="s">
        <v>1090</v>
      </c>
      <c r="J2451">
        <v>2.54</v>
      </c>
    </row>
    <row r="2452" spans="1:10" hidden="1">
      <c r="A2452" t="s">
        <v>1972</v>
      </c>
      <c r="B2452" t="s">
        <v>1973</v>
      </c>
      <c r="C2452" t="s">
        <v>241</v>
      </c>
      <c r="D2452" t="s">
        <v>1307</v>
      </c>
      <c r="E2452" t="s">
        <v>558</v>
      </c>
      <c r="F2452" t="s">
        <v>1068</v>
      </c>
      <c r="G2452" t="s">
        <v>1069</v>
      </c>
      <c r="H2452">
        <v>-6.5615119481633094E-2</v>
      </c>
      <c r="I2452" t="s">
        <v>1070</v>
      </c>
      <c r="J2452">
        <v>2.0299999999999998</v>
      </c>
    </row>
    <row r="2453" spans="1:10" hidden="1">
      <c r="A2453" t="s">
        <v>1972</v>
      </c>
      <c r="B2453" t="s">
        <v>1973</v>
      </c>
      <c r="C2453" t="s">
        <v>241</v>
      </c>
      <c r="D2453" t="s">
        <v>1307</v>
      </c>
      <c r="E2453" t="s">
        <v>558</v>
      </c>
      <c r="F2453" t="s">
        <v>1068</v>
      </c>
      <c r="G2453" t="s">
        <v>1071</v>
      </c>
      <c r="H2453" s="170">
        <v>-1.3856140952049701E-10</v>
      </c>
      <c r="I2453" t="s">
        <v>1072</v>
      </c>
      <c r="J2453">
        <v>2.0299999999999998</v>
      </c>
    </row>
    <row r="2454" spans="1:10" hidden="1">
      <c r="A2454" t="s">
        <v>1972</v>
      </c>
      <c r="B2454" t="s">
        <v>1973</v>
      </c>
      <c r="C2454" t="s">
        <v>241</v>
      </c>
      <c r="D2454" t="s">
        <v>1307</v>
      </c>
      <c r="E2454" t="s">
        <v>558</v>
      </c>
      <c r="F2454" t="s">
        <v>1068</v>
      </c>
      <c r="G2454" t="s">
        <v>1073</v>
      </c>
      <c r="H2454" s="170">
        <v>-2.6575774684128199E-8</v>
      </c>
      <c r="I2454" t="s">
        <v>1074</v>
      </c>
      <c r="J2454">
        <v>2.0299999999999998</v>
      </c>
    </row>
    <row r="2455" spans="1:10" hidden="1">
      <c r="A2455" t="s">
        <v>1972</v>
      </c>
      <c r="B2455" t="s">
        <v>1973</v>
      </c>
      <c r="C2455" t="s">
        <v>241</v>
      </c>
      <c r="D2455" t="s">
        <v>1307</v>
      </c>
      <c r="E2455" t="s">
        <v>558</v>
      </c>
      <c r="F2455" t="s">
        <v>1068</v>
      </c>
      <c r="G2455" t="s">
        <v>1075</v>
      </c>
      <c r="H2455">
        <v>2.4157949801974798E-3</v>
      </c>
      <c r="I2455" t="s">
        <v>1077</v>
      </c>
      <c r="J2455">
        <v>2.0299999999999998</v>
      </c>
    </row>
    <row r="2456" spans="1:10" hidden="1">
      <c r="A2456" t="s">
        <v>1972</v>
      </c>
      <c r="B2456" t="s">
        <v>1973</v>
      </c>
      <c r="C2456" t="s">
        <v>241</v>
      </c>
      <c r="D2456" t="s">
        <v>1307</v>
      </c>
      <c r="E2456" t="s">
        <v>558</v>
      </c>
      <c r="F2456" t="s">
        <v>1068</v>
      </c>
      <c r="G2456" t="s">
        <v>1078</v>
      </c>
      <c r="H2456">
        <v>-1.6415798386896601</v>
      </c>
      <c r="I2456" t="s">
        <v>1079</v>
      </c>
      <c r="J2456">
        <v>2.0299999999999998</v>
      </c>
    </row>
    <row r="2457" spans="1:10" hidden="1">
      <c r="A2457" t="s">
        <v>1972</v>
      </c>
      <c r="B2457" t="s">
        <v>1973</v>
      </c>
      <c r="C2457" t="s">
        <v>241</v>
      </c>
      <c r="D2457" t="s">
        <v>1307</v>
      </c>
      <c r="E2457" t="s">
        <v>558</v>
      </c>
      <c r="F2457" t="s">
        <v>1068</v>
      </c>
      <c r="G2457" t="s">
        <v>1080</v>
      </c>
      <c r="H2457" s="171" t="s">
        <v>1974</v>
      </c>
      <c r="I2457" t="s">
        <v>1082</v>
      </c>
      <c r="J2457">
        <v>2.0299999999999998</v>
      </c>
    </row>
    <row r="2458" spans="1:10" hidden="1">
      <c r="A2458" t="s">
        <v>1972</v>
      </c>
      <c r="B2458" t="s">
        <v>1973</v>
      </c>
      <c r="C2458" t="s">
        <v>241</v>
      </c>
      <c r="D2458" t="s">
        <v>1307</v>
      </c>
      <c r="E2458" t="s">
        <v>558</v>
      </c>
      <c r="F2458" t="s">
        <v>1068</v>
      </c>
      <c r="G2458" t="s">
        <v>1083</v>
      </c>
      <c r="H2458">
        <v>-3.9275377506069198E-4</v>
      </c>
      <c r="I2458" t="s">
        <v>1084</v>
      </c>
      <c r="J2458">
        <v>2.0299999999999998</v>
      </c>
    </row>
    <row r="2459" spans="1:10" hidden="1">
      <c r="A2459" t="s">
        <v>1972</v>
      </c>
      <c r="B2459" t="s">
        <v>1973</v>
      </c>
      <c r="C2459" t="s">
        <v>241</v>
      </c>
      <c r="D2459" t="s">
        <v>1307</v>
      </c>
      <c r="E2459" t="s">
        <v>558</v>
      </c>
      <c r="F2459" t="s">
        <v>1068</v>
      </c>
      <c r="G2459" t="s">
        <v>1085</v>
      </c>
      <c r="H2459">
        <v>-1.1049367061549201E-2</v>
      </c>
      <c r="I2459" t="s">
        <v>1086</v>
      </c>
      <c r="J2459">
        <v>2.0299999999999998</v>
      </c>
    </row>
    <row r="2460" spans="1:10" hidden="1">
      <c r="A2460" t="s">
        <v>1972</v>
      </c>
      <c r="B2460" t="s">
        <v>1973</v>
      </c>
      <c r="C2460" t="s">
        <v>241</v>
      </c>
      <c r="D2460" t="s">
        <v>1307</v>
      </c>
      <c r="E2460" t="s">
        <v>558</v>
      </c>
      <c r="F2460" t="s">
        <v>1068</v>
      </c>
      <c r="G2460" t="s">
        <v>1087</v>
      </c>
      <c r="H2460" s="170">
        <v>-3.9049508518694099E-7</v>
      </c>
      <c r="I2460" t="s">
        <v>1088</v>
      </c>
      <c r="J2460">
        <v>2.0299999999999998</v>
      </c>
    </row>
    <row r="2461" spans="1:10" hidden="1">
      <c r="A2461" t="s">
        <v>1972</v>
      </c>
      <c r="B2461" t="s">
        <v>1973</v>
      </c>
      <c r="C2461" t="s">
        <v>241</v>
      </c>
      <c r="D2461" t="s">
        <v>1307</v>
      </c>
      <c r="E2461" t="s">
        <v>558</v>
      </c>
      <c r="F2461" t="s">
        <v>1068</v>
      </c>
      <c r="G2461" t="s">
        <v>1089</v>
      </c>
      <c r="H2461">
        <v>-2.9951541815397601E-3</v>
      </c>
      <c r="I2461" t="s">
        <v>1090</v>
      </c>
      <c r="J2461">
        <v>2.0299999999999998</v>
      </c>
    </row>
    <row r="2462" spans="1:10" hidden="1">
      <c r="A2462" t="s">
        <v>1975</v>
      </c>
      <c r="B2462" t="s">
        <v>1976</v>
      </c>
      <c r="C2462" t="s">
        <v>241</v>
      </c>
      <c r="D2462" t="s">
        <v>1307</v>
      </c>
      <c r="E2462" t="s">
        <v>553</v>
      </c>
      <c r="F2462" t="s">
        <v>1068</v>
      </c>
      <c r="G2462" t="s">
        <v>1069</v>
      </c>
      <c r="H2462">
        <v>-6.5611071518649797E-2</v>
      </c>
      <c r="I2462" t="s">
        <v>1070</v>
      </c>
      <c r="J2462">
        <v>2.5499999999999998</v>
      </c>
    </row>
    <row r="2463" spans="1:10" hidden="1">
      <c r="A2463" t="s">
        <v>1975</v>
      </c>
      <c r="B2463" t="s">
        <v>1976</v>
      </c>
      <c r="C2463" t="s">
        <v>241</v>
      </c>
      <c r="D2463" t="s">
        <v>1307</v>
      </c>
      <c r="E2463" t="s">
        <v>553</v>
      </c>
      <c r="F2463" t="s">
        <v>1068</v>
      </c>
      <c r="G2463" t="s">
        <v>1071</v>
      </c>
      <c r="H2463" s="170">
        <v>-1.3851014133553399E-10</v>
      </c>
      <c r="I2463" t="s">
        <v>1072</v>
      </c>
      <c r="J2463">
        <v>2.5499999999999998</v>
      </c>
    </row>
    <row r="2464" spans="1:10" hidden="1">
      <c r="A2464" t="s">
        <v>1975</v>
      </c>
      <c r="B2464" t="s">
        <v>1976</v>
      </c>
      <c r="C2464" t="s">
        <v>241</v>
      </c>
      <c r="D2464" t="s">
        <v>1307</v>
      </c>
      <c r="E2464" t="s">
        <v>553</v>
      </c>
      <c r="F2464" t="s">
        <v>1068</v>
      </c>
      <c r="G2464" t="s">
        <v>1073</v>
      </c>
      <c r="H2464" s="170">
        <v>-2.6578507524835201E-8</v>
      </c>
      <c r="I2464" t="s">
        <v>1074</v>
      </c>
      <c r="J2464">
        <v>2.5499999999999998</v>
      </c>
    </row>
    <row r="2465" spans="1:10" hidden="1">
      <c r="A2465" t="s">
        <v>1975</v>
      </c>
      <c r="B2465" t="s">
        <v>1976</v>
      </c>
      <c r="C2465" t="s">
        <v>241</v>
      </c>
      <c r="D2465" t="s">
        <v>1307</v>
      </c>
      <c r="E2465" t="s">
        <v>553</v>
      </c>
      <c r="F2465" t="s">
        <v>1068</v>
      </c>
      <c r="G2465" t="s">
        <v>1075</v>
      </c>
      <c r="H2465">
        <v>2.4458194844676601E-3</v>
      </c>
      <c r="I2465" t="s">
        <v>1077</v>
      </c>
      <c r="J2465">
        <v>2.5499999999999998</v>
      </c>
    </row>
    <row r="2466" spans="1:10" hidden="1">
      <c r="A2466" t="s">
        <v>1975</v>
      </c>
      <c r="B2466" t="s">
        <v>1976</v>
      </c>
      <c r="C2466" t="s">
        <v>241</v>
      </c>
      <c r="D2466" t="s">
        <v>1307</v>
      </c>
      <c r="E2466" t="s">
        <v>553</v>
      </c>
      <c r="F2466" t="s">
        <v>1068</v>
      </c>
      <c r="G2466" t="s">
        <v>1078</v>
      </c>
      <c r="H2466">
        <v>-1.6289204631588901</v>
      </c>
      <c r="I2466" t="s">
        <v>1079</v>
      </c>
      <c r="J2466">
        <v>2.5499999999999998</v>
      </c>
    </row>
    <row r="2467" spans="1:10" hidden="1">
      <c r="A2467" t="s">
        <v>1975</v>
      </c>
      <c r="B2467" t="s">
        <v>1976</v>
      </c>
      <c r="C2467" t="s">
        <v>241</v>
      </c>
      <c r="D2467" t="s">
        <v>1307</v>
      </c>
      <c r="E2467" t="s">
        <v>553</v>
      </c>
      <c r="F2467" t="s">
        <v>1068</v>
      </c>
      <c r="G2467" t="s">
        <v>1080</v>
      </c>
      <c r="H2467" s="171" t="s">
        <v>1977</v>
      </c>
      <c r="I2467" t="s">
        <v>1082</v>
      </c>
      <c r="J2467">
        <v>2.5499999999999998</v>
      </c>
    </row>
    <row r="2468" spans="1:10" hidden="1">
      <c r="A2468" t="s">
        <v>1975</v>
      </c>
      <c r="B2468" t="s">
        <v>1976</v>
      </c>
      <c r="C2468" t="s">
        <v>241</v>
      </c>
      <c r="D2468" t="s">
        <v>1307</v>
      </c>
      <c r="E2468" t="s">
        <v>553</v>
      </c>
      <c r="F2468" t="s">
        <v>1068</v>
      </c>
      <c r="G2468" t="s">
        <v>1083</v>
      </c>
      <c r="H2468">
        <v>-3.92756102229715E-4</v>
      </c>
      <c r="I2468" t="s">
        <v>1084</v>
      </c>
      <c r="J2468">
        <v>2.5499999999999998</v>
      </c>
    </row>
    <row r="2469" spans="1:10" hidden="1">
      <c r="A2469" t="s">
        <v>1975</v>
      </c>
      <c r="B2469" t="s">
        <v>1976</v>
      </c>
      <c r="C2469" t="s">
        <v>241</v>
      </c>
      <c r="D2469" t="s">
        <v>1307</v>
      </c>
      <c r="E2469" t="s">
        <v>553</v>
      </c>
      <c r="F2469" t="s">
        <v>1068</v>
      </c>
      <c r="G2469" t="s">
        <v>1085</v>
      </c>
      <c r="H2469">
        <v>-1.1049232666559701E-2</v>
      </c>
      <c r="I2469" t="s">
        <v>1086</v>
      </c>
      <c r="J2469">
        <v>2.5499999999999998</v>
      </c>
    </row>
    <row r="2470" spans="1:10" hidden="1">
      <c r="A2470" t="s">
        <v>1975</v>
      </c>
      <c r="B2470" t="s">
        <v>1976</v>
      </c>
      <c r="C2470" t="s">
        <v>241</v>
      </c>
      <c r="D2470" t="s">
        <v>1307</v>
      </c>
      <c r="E2470" t="s">
        <v>553</v>
      </c>
      <c r="F2470" t="s">
        <v>1068</v>
      </c>
      <c r="G2470" t="s">
        <v>1087</v>
      </c>
      <c r="H2470" s="170">
        <v>-3.8903141973896398E-7</v>
      </c>
      <c r="I2470" t="s">
        <v>1088</v>
      </c>
      <c r="J2470">
        <v>2.5499999999999998</v>
      </c>
    </row>
    <row r="2471" spans="1:10" hidden="1">
      <c r="A2471" t="s">
        <v>1975</v>
      </c>
      <c r="B2471" t="s">
        <v>1976</v>
      </c>
      <c r="C2471" t="s">
        <v>241</v>
      </c>
      <c r="D2471" t="s">
        <v>1307</v>
      </c>
      <c r="E2471" t="s">
        <v>553</v>
      </c>
      <c r="F2471" t="s">
        <v>1068</v>
      </c>
      <c r="G2471" t="s">
        <v>1089</v>
      </c>
      <c r="H2471">
        <v>-2.9951544507009699E-3</v>
      </c>
      <c r="I2471" t="s">
        <v>1090</v>
      </c>
      <c r="J2471">
        <v>2.5499999999999998</v>
      </c>
    </row>
    <row r="2472" spans="1:10" hidden="1">
      <c r="A2472" t="s">
        <v>1978</v>
      </c>
      <c r="B2472" t="s">
        <v>1979</v>
      </c>
      <c r="C2472" t="s">
        <v>241</v>
      </c>
      <c r="D2472" t="s">
        <v>1307</v>
      </c>
      <c r="E2472" t="s">
        <v>556</v>
      </c>
      <c r="F2472" t="s">
        <v>1068</v>
      </c>
      <c r="G2472" t="s">
        <v>1069</v>
      </c>
      <c r="H2472">
        <v>-6.5421296253879699E-2</v>
      </c>
      <c r="I2472" t="s">
        <v>1070</v>
      </c>
      <c r="J2472">
        <v>2.0299999999999998</v>
      </c>
    </row>
    <row r="2473" spans="1:10" hidden="1">
      <c r="A2473" t="s">
        <v>1978</v>
      </c>
      <c r="B2473" t="s">
        <v>1979</v>
      </c>
      <c r="C2473" t="s">
        <v>241</v>
      </c>
      <c r="D2473" t="s">
        <v>1307</v>
      </c>
      <c r="E2473" t="s">
        <v>556</v>
      </c>
      <c r="F2473" t="s">
        <v>1068</v>
      </c>
      <c r="G2473" t="s">
        <v>1071</v>
      </c>
      <c r="H2473" s="170">
        <v>-1.37985101669259E-10</v>
      </c>
      <c r="I2473" t="s">
        <v>1072</v>
      </c>
      <c r="J2473">
        <v>2.0299999999999998</v>
      </c>
    </row>
    <row r="2474" spans="1:10" hidden="1">
      <c r="A2474" t="s">
        <v>1978</v>
      </c>
      <c r="B2474" t="s">
        <v>1979</v>
      </c>
      <c r="C2474" t="s">
        <v>241</v>
      </c>
      <c r="D2474" t="s">
        <v>1307</v>
      </c>
      <c r="E2474" t="s">
        <v>556</v>
      </c>
      <c r="F2474" t="s">
        <v>1068</v>
      </c>
      <c r="G2474" t="s">
        <v>1073</v>
      </c>
      <c r="H2474" s="170">
        <v>-2.6503841365380201E-8</v>
      </c>
      <c r="I2474" t="s">
        <v>1074</v>
      </c>
      <c r="J2474">
        <v>2.0299999999999998</v>
      </c>
    </row>
    <row r="2475" spans="1:10" hidden="1">
      <c r="A2475" t="s">
        <v>1978</v>
      </c>
      <c r="B2475" t="s">
        <v>1979</v>
      </c>
      <c r="C2475" t="s">
        <v>241</v>
      </c>
      <c r="D2475" t="s">
        <v>1307</v>
      </c>
      <c r="E2475" t="s">
        <v>556</v>
      </c>
      <c r="F2475" t="s">
        <v>1068</v>
      </c>
      <c r="G2475" t="s">
        <v>1075</v>
      </c>
      <c r="H2475">
        <v>2.5627296797634301E-3</v>
      </c>
      <c r="I2475" t="s">
        <v>1077</v>
      </c>
      <c r="J2475">
        <v>2.0299999999999998</v>
      </c>
    </row>
    <row r="2476" spans="1:10" hidden="1">
      <c r="A2476" t="s">
        <v>1978</v>
      </c>
      <c r="B2476" t="s">
        <v>1979</v>
      </c>
      <c r="C2476" t="s">
        <v>241</v>
      </c>
      <c r="D2476" t="s">
        <v>1307</v>
      </c>
      <c r="E2476" t="s">
        <v>556</v>
      </c>
      <c r="F2476" t="s">
        <v>1068</v>
      </c>
      <c r="G2476" t="s">
        <v>1078</v>
      </c>
      <c r="H2476">
        <v>-1.5823914514950801</v>
      </c>
      <c r="I2476" t="s">
        <v>1079</v>
      </c>
      <c r="J2476">
        <v>2.0299999999999998</v>
      </c>
    </row>
    <row r="2477" spans="1:10" hidden="1">
      <c r="A2477" t="s">
        <v>1978</v>
      </c>
      <c r="B2477" t="s">
        <v>1979</v>
      </c>
      <c r="C2477" t="s">
        <v>241</v>
      </c>
      <c r="D2477" t="s">
        <v>1307</v>
      </c>
      <c r="E2477" t="s">
        <v>556</v>
      </c>
      <c r="F2477" t="s">
        <v>1068</v>
      </c>
      <c r="G2477" t="s">
        <v>1080</v>
      </c>
      <c r="H2477" s="171" t="s">
        <v>1980</v>
      </c>
      <c r="I2477" t="s">
        <v>1082</v>
      </c>
      <c r="J2477">
        <v>2.0299999999999998</v>
      </c>
    </row>
    <row r="2478" spans="1:10" hidden="1">
      <c r="A2478" t="s">
        <v>1978</v>
      </c>
      <c r="B2478" t="s">
        <v>1979</v>
      </c>
      <c r="C2478" t="s">
        <v>241</v>
      </c>
      <c r="D2478" t="s">
        <v>1307</v>
      </c>
      <c r="E2478" t="s">
        <v>556</v>
      </c>
      <c r="F2478" t="s">
        <v>1068</v>
      </c>
      <c r="G2478" t="s">
        <v>1083</v>
      </c>
      <c r="H2478">
        <v>-3.92727223340957E-4</v>
      </c>
      <c r="I2478" t="s">
        <v>1084</v>
      </c>
      <c r="J2478">
        <v>2.0299999999999998</v>
      </c>
    </row>
    <row r="2479" spans="1:10" hidden="1">
      <c r="A2479" t="s">
        <v>1978</v>
      </c>
      <c r="B2479" t="s">
        <v>1979</v>
      </c>
      <c r="C2479" t="s">
        <v>241</v>
      </c>
      <c r="D2479" t="s">
        <v>1307</v>
      </c>
      <c r="E2479" t="s">
        <v>556</v>
      </c>
      <c r="F2479" t="s">
        <v>1068</v>
      </c>
      <c r="G2479" t="s">
        <v>1085</v>
      </c>
      <c r="H2479">
        <v>-1.1048322921460499E-2</v>
      </c>
      <c r="I2479" t="s">
        <v>1086</v>
      </c>
      <c r="J2479">
        <v>2.0299999999999998</v>
      </c>
    </row>
    <row r="2480" spans="1:10" hidden="1">
      <c r="A2480" t="s">
        <v>1978</v>
      </c>
      <c r="B2480" t="s">
        <v>1979</v>
      </c>
      <c r="C2480" t="s">
        <v>241</v>
      </c>
      <c r="D2480" t="s">
        <v>1307</v>
      </c>
      <c r="E2480" t="s">
        <v>556</v>
      </c>
      <c r="F2480" t="s">
        <v>1068</v>
      </c>
      <c r="G2480" t="s">
        <v>1087</v>
      </c>
      <c r="H2480" s="170">
        <v>-3.8887428003777399E-7</v>
      </c>
      <c r="I2480" t="s">
        <v>1088</v>
      </c>
      <c r="J2480">
        <v>2.0299999999999998</v>
      </c>
    </row>
    <row r="2481" spans="1:10" hidden="1">
      <c r="A2481" t="s">
        <v>1978</v>
      </c>
      <c r="B2481" t="s">
        <v>1979</v>
      </c>
      <c r="C2481" t="s">
        <v>241</v>
      </c>
      <c r="D2481" t="s">
        <v>1307</v>
      </c>
      <c r="E2481" t="s">
        <v>556</v>
      </c>
      <c r="F2481" t="s">
        <v>1068</v>
      </c>
      <c r="G2481" t="s">
        <v>1089</v>
      </c>
      <c r="H2481">
        <v>-2.9950872785017599E-3</v>
      </c>
      <c r="I2481" t="s">
        <v>1090</v>
      </c>
      <c r="J2481">
        <v>2.0299999999999998</v>
      </c>
    </row>
    <row r="2482" spans="1:10" hidden="1">
      <c r="A2482" t="s">
        <v>1981</v>
      </c>
      <c r="B2482" t="s">
        <v>1982</v>
      </c>
      <c r="C2482" t="s">
        <v>241</v>
      </c>
      <c r="D2482" t="s">
        <v>1307</v>
      </c>
      <c r="E2482" t="s">
        <v>557</v>
      </c>
      <c r="F2482" t="s">
        <v>1068</v>
      </c>
      <c r="G2482" t="s">
        <v>1069</v>
      </c>
      <c r="H2482">
        <v>-6.5550020971154893E-2</v>
      </c>
      <c r="I2482" t="s">
        <v>1070</v>
      </c>
      <c r="J2482">
        <v>2.0299999999999998</v>
      </c>
    </row>
    <row r="2483" spans="1:10" hidden="1">
      <c r="A2483" t="s">
        <v>1981</v>
      </c>
      <c r="B2483" t="s">
        <v>1982</v>
      </c>
      <c r="C2483" t="s">
        <v>241</v>
      </c>
      <c r="D2483" t="s">
        <v>1307</v>
      </c>
      <c r="E2483" t="s">
        <v>557</v>
      </c>
      <c r="F2483" t="s">
        <v>1068</v>
      </c>
      <c r="G2483" t="s">
        <v>1071</v>
      </c>
      <c r="H2483" s="170">
        <v>-1.38468252811271E-10</v>
      </c>
      <c r="I2483" t="s">
        <v>1072</v>
      </c>
      <c r="J2483">
        <v>2.0299999999999998</v>
      </c>
    </row>
    <row r="2484" spans="1:10" hidden="1">
      <c r="A2484" t="s">
        <v>1981</v>
      </c>
      <c r="B2484" t="s">
        <v>1982</v>
      </c>
      <c r="C2484" t="s">
        <v>241</v>
      </c>
      <c r="D2484" t="s">
        <v>1307</v>
      </c>
      <c r="E2484" t="s">
        <v>557</v>
      </c>
      <c r="F2484" t="s">
        <v>1068</v>
      </c>
      <c r="G2484" t="s">
        <v>1073</v>
      </c>
      <c r="H2484" s="170">
        <v>-2.6552651487216098E-8</v>
      </c>
      <c r="I2484" t="s">
        <v>1074</v>
      </c>
      <c r="J2484">
        <v>2.0299999999999998</v>
      </c>
    </row>
    <row r="2485" spans="1:10" hidden="1">
      <c r="A2485" t="s">
        <v>1981</v>
      </c>
      <c r="B2485" t="s">
        <v>1982</v>
      </c>
      <c r="C2485" t="s">
        <v>241</v>
      </c>
      <c r="D2485" t="s">
        <v>1307</v>
      </c>
      <c r="E2485" t="s">
        <v>557</v>
      </c>
      <c r="F2485" t="s">
        <v>1068</v>
      </c>
      <c r="G2485" t="s">
        <v>1075</v>
      </c>
      <c r="H2485">
        <v>2.4178528136519599E-3</v>
      </c>
      <c r="I2485" t="s">
        <v>1077</v>
      </c>
      <c r="J2485">
        <v>2.0299999999999998</v>
      </c>
    </row>
    <row r="2486" spans="1:10" hidden="1">
      <c r="A2486" t="s">
        <v>1981</v>
      </c>
      <c r="B2486" t="s">
        <v>1982</v>
      </c>
      <c r="C2486" t="s">
        <v>241</v>
      </c>
      <c r="D2486" t="s">
        <v>1307</v>
      </c>
      <c r="E2486" t="s">
        <v>557</v>
      </c>
      <c r="F2486" t="s">
        <v>1068</v>
      </c>
      <c r="G2486" t="s">
        <v>1078</v>
      </c>
      <c r="H2486">
        <v>-1.6414908500332299</v>
      </c>
      <c r="I2486" t="s">
        <v>1079</v>
      </c>
      <c r="J2486">
        <v>2.0299999999999998</v>
      </c>
    </row>
    <row r="2487" spans="1:10" hidden="1">
      <c r="A2487" t="s">
        <v>1981</v>
      </c>
      <c r="B2487" t="s">
        <v>1982</v>
      </c>
      <c r="C2487" t="s">
        <v>241</v>
      </c>
      <c r="D2487" t="s">
        <v>1307</v>
      </c>
      <c r="E2487" t="s">
        <v>557</v>
      </c>
      <c r="F2487" t="s">
        <v>1068</v>
      </c>
      <c r="G2487" t="s">
        <v>1080</v>
      </c>
      <c r="H2487" s="171" t="s">
        <v>1983</v>
      </c>
      <c r="I2487" t="s">
        <v>1082</v>
      </c>
      <c r="J2487">
        <v>2.0299999999999998</v>
      </c>
    </row>
    <row r="2488" spans="1:10" hidden="1">
      <c r="A2488" t="s">
        <v>1981</v>
      </c>
      <c r="B2488" t="s">
        <v>1982</v>
      </c>
      <c r="C2488" t="s">
        <v>241</v>
      </c>
      <c r="D2488" t="s">
        <v>1307</v>
      </c>
      <c r="E2488" t="s">
        <v>557</v>
      </c>
      <c r="F2488" t="s">
        <v>1068</v>
      </c>
      <c r="G2488" t="s">
        <v>1083</v>
      </c>
      <c r="H2488">
        <v>-3.9274388004497502E-4</v>
      </c>
      <c r="I2488" t="s">
        <v>1084</v>
      </c>
      <c r="J2488">
        <v>2.0299999999999998</v>
      </c>
    </row>
    <row r="2489" spans="1:10" hidden="1">
      <c r="A2489" t="s">
        <v>1981</v>
      </c>
      <c r="B2489" t="s">
        <v>1982</v>
      </c>
      <c r="C2489" t="s">
        <v>241</v>
      </c>
      <c r="D2489" t="s">
        <v>1307</v>
      </c>
      <c r="E2489" t="s">
        <v>557</v>
      </c>
      <c r="F2489" t="s">
        <v>1068</v>
      </c>
      <c r="G2489" t="s">
        <v>1085</v>
      </c>
      <c r="H2489">
        <v>-1.10492552277889E-2</v>
      </c>
      <c r="I2489" t="s">
        <v>1086</v>
      </c>
      <c r="J2489">
        <v>2.0299999999999998</v>
      </c>
    </row>
    <row r="2490" spans="1:10" hidden="1">
      <c r="A2490" t="s">
        <v>1981</v>
      </c>
      <c r="B2490" t="s">
        <v>1982</v>
      </c>
      <c r="C2490" t="s">
        <v>241</v>
      </c>
      <c r="D2490" t="s">
        <v>1307</v>
      </c>
      <c r="E2490" t="s">
        <v>557</v>
      </c>
      <c r="F2490" t="s">
        <v>1068</v>
      </c>
      <c r="G2490" t="s">
        <v>1087</v>
      </c>
      <c r="H2490" s="170">
        <v>-3.9044111370360402E-7</v>
      </c>
      <c r="I2490" t="s">
        <v>1088</v>
      </c>
      <c r="J2490">
        <v>2.0299999999999998</v>
      </c>
    </row>
    <row r="2491" spans="1:10" hidden="1">
      <c r="A2491" t="s">
        <v>1981</v>
      </c>
      <c r="B2491" t="s">
        <v>1982</v>
      </c>
      <c r="C2491" t="s">
        <v>241</v>
      </c>
      <c r="D2491" t="s">
        <v>1307</v>
      </c>
      <c r="E2491" t="s">
        <v>557</v>
      </c>
      <c r="F2491" t="s">
        <v>1068</v>
      </c>
      <c r="G2491" t="s">
        <v>1089</v>
      </c>
      <c r="H2491">
        <v>-2.99513111045585E-3</v>
      </c>
      <c r="I2491" t="s">
        <v>1090</v>
      </c>
      <c r="J2491">
        <v>2.0299999999999998</v>
      </c>
    </row>
    <row r="2492" spans="1:10" hidden="1">
      <c r="A2492" t="s">
        <v>1984</v>
      </c>
      <c r="B2492" t="s">
        <v>1985</v>
      </c>
      <c r="C2492" t="s">
        <v>241</v>
      </c>
      <c r="D2492" t="s">
        <v>1307</v>
      </c>
      <c r="E2492" t="s">
        <v>559</v>
      </c>
      <c r="F2492" t="s">
        <v>1068</v>
      </c>
      <c r="G2492" t="s">
        <v>1069</v>
      </c>
      <c r="H2492">
        <v>-6.5477873315590296E-2</v>
      </c>
      <c r="I2492" t="s">
        <v>1070</v>
      </c>
      <c r="J2492">
        <v>2.0299999999999998</v>
      </c>
    </row>
    <row r="2493" spans="1:10" hidden="1">
      <c r="A2493" t="s">
        <v>1984</v>
      </c>
      <c r="B2493" t="s">
        <v>1985</v>
      </c>
      <c r="C2493" t="s">
        <v>241</v>
      </c>
      <c r="D2493" t="s">
        <v>1307</v>
      </c>
      <c r="E2493" t="s">
        <v>559</v>
      </c>
      <c r="F2493" t="s">
        <v>1068</v>
      </c>
      <c r="G2493" t="s">
        <v>1071</v>
      </c>
      <c r="H2493" s="170">
        <v>-1.3831953319149301E-10</v>
      </c>
      <c r="I2493" t="s">
        <v>1072</v>
      </c>
      <c r="J2493">
        <v>2.0299999999999998</v>
      </c>
    </row>
    <row r="2494" spans="1:10" hidden="1">
      <c r="A2494" t="s">
        <v>1984</v>
      </c>
      <c r="B2494" t="s">
        <v>1985</v>
      </c>
      <c r="C2494" t="s">
        <v>241</v>
      </c>
      <c r="D2494" t="s">
        <v>1307</v>
      </c>
      <c r="E2494" t="s">
        <v>559</v>
      </c>
      <c r="F2494" t="s">
        <v>1068</v>
      </c>
      <c r="G2494" t="s">
        <v>1073</v>
      </c>
      <c r="H2494" s="170">
        <v>-2.6531195101639699E-8</v>
      </c>
      <c r="I2494" t="s">
        <v>1074</v>
      </c>
      <c r="J2494">
        <v>2.0299999999999998</v>
      </c>
    </row>
    <row r="2495" spans="1:10" hidden="1">
      <c r="A2495" t="s">
        <v>1984</v>
      </c>
      <c r="B2495" t="s">
        <v>1985</v>
      </c>
      <c r="C2495" t="s">
        <v>241</v>
      </c>
      <c r="D2495" t="s">
        <v>1307</v>
      </c>
      <c r="E2495" t="s">
        <v>559</v>
      </c>
      <c r="F2495" t="s">
        <v>1068</v>
      </c>
      <c r="G2495" t="s">
        <v>1075</v>
      </c>
      <c r="H2495">
        <v>2.4500300219568402E-3</v>
      </c>
      <c r="I2495" t="s">
        <v>1077</v>
      </c>
      <c r="J2495">
        <v>2.0299999999999998</v>
      </c>
    </row>
    <row r="2496" spans="1:10" hidden="1">
      <c r="A2496" t="s">
        <v>1984</v>
      </c>
      <c r="B2496" t="s">
        <v>1985</v>
      </c>
      <c r="C2496" t="s">
        <v>241</v>
      </c>
      <c r="D2496" t="s">
        <v>1307</v>
      </c>
      <c r="E2496" t="s">
        <v>559</v>
      </c>
      <c r="F2496" t="s">
        <v>1068</v>
      </c>
      <c r="G2496" t="s">
        <v>1078</v>
      </c>
      <c r="H2496">
        <v>-1.6287383832761999</v>
      </c>
      <c r="I2496" t="s">
        <v>1079</v>
      </c>
      <c r="J2496">
        <v>2.0299999999999998</v>
      </c>
    </row>
    <row r="2497" spans="1:10" hidden="1">
      <c r="A2497" t="s">
        <v>1984</v>
      </c>
      <c r="B2497" t="s">
        <v>1985</v>
      </c>
      <c r="C2497" t="s">
        <v>241</v>
      </c>
      <c r="D2497" t="s">
        <v>1307</v>
      </c>
      <c r="E2497" t="s">
        <v>559</v>
      </c>
      <c r="F2497" t="s">
        <v>1068</v>
      </c>
      <c r="G2497" t="s">
        <v>1080</v>
      </c>
      <c r="H2497" s="171" t="s">
        <v>1986</v>
      </c>
      <c r="I2497" t="s">
        <v>1082</v>
      </c>
      <c r="J2497">
        <v>2.0299999999999998</v>
      </c>
    </row>
    <row r="2498" spans="1:10" hidden="1">
      <c r="A2498" t="s">
        <v>1984</v>
      </c>
      <c r="B2498" t="s">
        <v>1985</v>
      </c>
      <c r="C2498" t="s">
        <v>241</v>
      </c>
      <c r="D2498" t="s">
        <v>1307</v>
      </c>
      <c r="E2498" t="s">
        <v>559</v>
      </c>
      <c r="F2498" t="s">
        <v>1068</v>
      </c>
      <c r="G2498" t="s">
        <v>1083</v>
      </c>
      <c r="H2498">
        <v>-3.9273585601662001E-4</v>
      </c>
      <c r="I2498" t="s">
        <v>1084</v>
      </c>
      <c r="J2498">
        <v>2.0299999999999998</v>
      </c>
    </row>
    <row r="2499" spans="1:10" hidden="1">
      <c r="A2499" t="s">
        <v>1984</v>
      </c>
      <c r="B2499" t="s">
        <v>1985</v>
      </c>
      <c r="C2499" t="s">
        <v>241</v>
      </c>
      <c r="D2499" t="s">
        <v>1307</v>
      </c>
      <c r="E2499" t="s">
        <v>559</v>
      </c>
      <c r="F2499" t="s">
        <v>1068</v>
      </c>
      <c r="G2499" t="s">
        <v>1085</v>
      </c>
      <c r="H2499">
        <v>-1.10490038432605E-2</v>
      </c>
      <c r="I2499" t="s">
        <v>1086</v>
      </c>
      <c r="J2499">
        <v>2.0299999999999998</v>
      </c>
    </row>
    <row r="2500" spans="1:10" hidden="1">
      <c r="A2500" t="s">
        <v>1984</v>
      </c>
      <c r="B2500" t="s">
        <v>1985</v>
      </c>
      <c r="C2500" t="s">
        <v>241</v>
      </c>
      <c r="D2500" t="s">
        <v>1307</v>
      </c>
      <c r="E2500" t="s">
        <v>559</v>
      </c>
      <c r="F2500" t="s">
        <v>1068</v>
      </c>
      <c r="G2500" t="s">
        <v>1087</v>
      </c>
      <c r="H2500" s="170">
        <v>-3.8892098856999298E-7</v>
      </c>
      <c r="I2500" t="s">
        <v>1088</v>
      </c>
      <c r="J2500">
        <v>2.0299999999999998</v>
      </c>
    </row>
    <row r="2501" spans="1:10" hidden="1">
      <c r="A2501" t="s">
        <v>1984</v>
      </c>
      <c r="B2501" t="s">
        <v>1985</v>
      </c>
      <c r="C2501" t="s">
        <v>241</v>
      </c>
      <c r="D2501" t="s">
        <v>1307</v>
      </c>
      <c r="E2501" t="s">
        <v>559</v>
      </c>
      <c r="F2501" t="s">
        <v>1068</v>
      </c>
      <c r="G2501" t="s">
        <v>1089</v>
      </c>
      <c r="H2501">
        <v>-2.9951072449062202E-3</v>
      </c>
      <c r="I2501" t="s">
        <v>1090</v>
      </c>
      <c r="J2501">
        <v>2.0299999999999998</v>
      </c>
    </row>
    <row r="2502" spans="1:10" hidden="1">
      <c r="A2502" t="s">
        <v>1987</v>
      </c>
      <c r="B2502" t="s">
        <v>1988</v>
      </c>
      <c r="C2502" t="s">
        <v>241</v>
      </c>
      <c r="D2502" t="s">
        <v>1307</v>
      </c>
      <c r="E2502" t="s">
        <v>560</v>
      </c>
      <c r="F2502" t="s">
        <v>1068</v>
      </c>
      <c r="G2502" t="s">
        <v>1069</v>
      </c>
      <c r="H2502">
        <v>-6.5515301765817005E-2</v>
      </c>
      <c r="I2502" t="s">
        <v>1070</v>
      </c>
      <c r="J2502">
        <v>2.54</v>
      </c>
    </row>
    <row r="2503" spans="1:10" hidden="1">
      <c r="A2503" t="s">
        <v>1987</v>
      </c>
      <c r="B2503" t="s">
        <v>1988</v>
      </c>
      <c r="C2503" t="s">
        <v>241</v>
      </c>
      <c r="D2503" t="s">
        <v>1307</v>
      </c>
      <c r="E2503" t="s">
        <v>560</v>
      </c>
      <c r="F2503" t="s">
        <v>1068</v>
      </c>
      <c r="G2503" t="s">
        <v>1071</v>
      </c>
      <c r="H2503" s="170">
        <v>-1.3841856923354999E-10</v>
      </c>
      <c r="I2503" t="s">
        <v>1072</v>
      </c>
      <c r="J2503">
        <v>2.54</v>
      </c>
    </row>
    <row r="2504" spans="1:10" hidden="1">
      <c r="A2504" t="s">
        <v>1987</v>
      </c>
      <c r="B2504" t="s">
        <v>1988</v>
      </c>
      <c r="C2504" t="s">
        <v>241</v>
      </c>
      <c r="D2504" t="s">
        <v>1307</v>
      </c>
      <c r="E2504" t="s">
        <v>560</v>
      </c>
      <c r="F2504" t="s">
        <v>1068</v>
      </c>
      <c r="G2504" t="s">
        <v>1073</v>
      </c>
      <c r="H2504" s="170">
        <v>-2.65403191156278E-8</v>
      </c>
      <c r="I2504" t="s">
        <v>1074</v>
      </c>
      <c r="J2504">
        <v>2.54</v>
      </c>
    </row>
    <row r="2505" spans="1:10" hidden="1">
      <c r="A2505" t="s">
        <v>1987</v>
      </c>
      <c r="B2505" t="s">
        <v>1988</v>
      </c>
      <c r="C2505" t="s">
        <v>241</v>
      </c>
      <c r="D2505" t="s">
        <v>1307</v>
      </c>
      <c r="E2505" t="s">
        <v>560</v>
      </c>
      <c r="F2505" t="s">
        <v>1068</v>
      </c>
      <c r="G2505" t="s">
        <v>1075</v>
      </c>
      <c r="H2505">
        <v>2.4189503248267601E-3</v>
      </c>
      <c r="I2505" t="s">
        <v>1077</v>
      </c>
      <c r="J2505">
        <v>2.54</v>
      </c>
    </row>
    <row r="2506" spans="1:10" hidden="1">
      <c r="A2506" t="s">
        <v>1987</v>
      </c>
      <c r="B2506" t="s">
        <v>1988</v>
      </c>
      <c r="C2506" t="s">
        <v>241</v>
      </c>
      <c r="D2506" t="s">
        <v>1307</v>
      </c>
      <c r="E2506" t="s">
        <v>560</v>
      </c>
      <c r="F2506" t="s">
        <v>1068</v>
      </c>
      <c r="G2506" t="s">
        <v>1078</v>
      </c>
      <c r="H2506">
        <v>-1.6414433894164899</v>
      </c>
      <c r="I2506" t="s">
        <v>1079</v>
      </c>
      <c r="J2506">
        <v>2.54</v>
      </c>
    </row>
    <row r="2507" spans="1:10" hidden="1">
      <c r="A2507" t="s">
        <v>1987</v>
      </c>
      <c r="B2507" t="s">
        <v>1988</v>
      </c>
      <c r="C2507" t="s">
        <v>241</v>
      </c>
      <c r="D2507" t="s">
        <v>1307</v>
      </c>
      <c r="E2507" t="s">
        <v>560</v>
      </c>
      <c r="F2507" t="s">
        <v>1068</v>
      </c>
      <c r="G2507" t="s">
        <v>1080</v>
      </c>
      <c r="H2507" s="171" t="s">
        <v>1989</v>
      </c>
      <c r="I2507" t="s">
        <v>1082</v>
      </c>
      <c r="J2507">
        <v>2.54</v>
      </c>
    </row>
    <row r="2508" spans="1:10" hidden="1">
      <c r="A2508" t="s">
        <v>1987</v>
      </c>
      <c r="B2508" t="s">
        <v>1988</v>
      </c>
      <c r="C2508" t="s">
        <v>241</v>
      </c>
      <c r="D2508" t="s">
        <v>1307</v>
      </c>
      <c r="E2508" t="s">
        <v>560</v>
      </c>
      <c r="F2508" t="s">
        <v>1068</v>
      </c>
      <c r="G2508" t="s">
        <v>1083</v>
      </c>
      <c r="H2508">
        <v>-3.9273860270325997E-4</v>
      </c>
      <c r="I2508" t="s">
        <v>1084</v>
      </c>
      <c r="J2508">
        <v>2.54</v>
      </c>
    </row>
    <row r="2509" spans="1:10" hidden="1">
      <c r="A2509" t="s">
        <v>1987</v>
      </c>
      <c r="B2509" t="s">
        <v>1988</v>
      </c>
      <c r="C2509" t="s">
        <v>241</v>
      </c>
      <c r="D2509" t="s">
        <v>1307</v>
      </c>
      <c r="E2509" t="s">
        <v>560</v>
      </c>
      <c r="F2509" t="s">
        <v>1068</v>
      </c>
      <c r="G2509" t="s">
        <v>1085</v>
      </c>
      <c r="H2509">
        <v>-1.1049195583116799E-2</v>
      </c>
      <c r="I2509" t="s">
        <v>1086</v>
      </c>
      <c r="J2509">
        <v>2.54</v>
      </c>
    </row>
    <row r="2510" spans="1:10" hidden="1">
      <c r="A2510" t="s">
        <v>1987</v>
      </c>
      <c r="B2510" t="s">
        <v>1988</v>
      </c>
      <c r="C2510" t="s">
        <v>241</v>
      </c>
      <c r="D2510" t="s">
        <v>1307</v>
      </c>
      <c r="E2510" t="s">
        <v>560</v>
      </c>
      <c r="F2510" t="s">
        <v>1068</v>
      </c>
      <c r="G2510" t="s">
        <v>1087</v>
      </c>
      <c r="H2510" s="170">
        <v>-3.9041232891249598E-7</v>
      </c>
      <c r="I2510" t="s">
        <v>1088</v>
      </c>
      <c r="J2510">
        <v>2.54</v>
      </c>
    </row>
    <row r="2511" spans="1:10" hidden="1">
      <c r="A2511" t="s">
        <v>1987</v>
      </c>
      <c r="B2511" t="s">
        <v>1988</v>
      </c>
      <c r="C2511" t="s">
        <v>241</v>
      </c>
      <c r="D2511" t="s">
        <v>1307</v>
      </c>
      <c r="E2511" t="s">
        <v>560</v>
      </c>
      <c r="F2511" t="s">
        <v>1068</v>
      </c>
      <c r="G2511" t="s">
        <v>1089</v>
      </c>
      <c r="H2511">
        <v>-2.99511880587778E-3</v>
      </c>
      <c r="I2511" t="s">
        <v>1090</v>
      </c>
      <c r="J2511">
        <v>2.54</v>
      </c>
    </row>
    <row r="2512" spans="1:10" hidden="1">
      <c r="A2512" t="s">
        <v>1990</v>
      </c>
      <c r="B2512" t="s">
        <v>1991</v>
      </c>
      <c r="C2512" t="s">
        <v>241</v>
      </c>
      <c r="D2512" t="s">
        <v>1307</v>
      </c>
      <c r="E2512" t="s">
        <v>1116</v>
      </c>
      <c r="F2512" t="s">
        <v>1068</v>
      </c>
      <c r="G2512" t="s">
        <v>1069</v>
      </c>
      <c r="H2512">
        <v>-6.5620678046023007E-2</v>
      </c>
      <c r="I2512" t="s">
        <v>1070</v>
      </c>
      <c r="J2512">
        <v>2.0499999999999998</v>
      </c>
    </row>
    <row r="2513" spans="1:10" hidden="1">
      <c r="A2513" t="s">
        <v>1990</v>
      </c>
      <c r="B2513" t="s">
        <v>1991</v>
      </c>
      <c r="C2513" t="s">
        <v>241</v>
      </c>
      <c r="D2513" t="s">
        <v>1307</v>
      </c>
      <c r="E2513" t="s">
        <v>1116</v>
      </c>
      <c r="F2513" t="s">
        <v>1068</v>
      </c>
      <c r="G2513" t="s">
        <v>1071</v>
      </c>
      <c r="H2513" s="170">
        <v>-1.3856936388935799E-10</v>
      </c>
      <c r="I2513" t="s">
        <v>1072</v>
      </c>
      <c r="J2513">
        <v>2.0499999999999998</v>
      </c>
    </row>
    <row r="2514" spans="1:10" hidden="1">
      <c r="A2514" t="s">
        <v>1990</v>
      </c>
      <c r="B2514" t="s">
        <v>1991</v>
      </c>
      <c r="C2514" t="s">
        <v>241</v>
      </c>
      <c r="D2514" t="s">
        <v>1307</v>
      </c>
      <c r="E2514" t="s">
        <v>1116</v>
      </c>
      <c r="F2514" t="s">
        <v>1068</v>
      </c>
      <c r="G2514" t="s">
        <v>1073</v>
      </c>
      <c r="H2514" s="170">
        <v>-2.65777491037867E-8</v>
      </c>
      <c r="I2514" t="s">
        <v>1074</v>
      </c>
      <c r="J2514">
        <v>2.0499999999999998</v>
      </c>
    </row>
    <row r="2515" spans="1:10" hidden="1">
      <c r="A2515" t="s">
        <v>1990</v>
      </c>
      <c r="B2515" t="s">
        <v>1991</v>
      </c>
      <c r="C2515" t="s">
        <v>241</v>
      </c>
      <c r="D2515" t="s">
        <v>1307</v>
      </c>
      <c r="E2515" t="s">
        <v>1116</v>
      </c>
      <c r="F2515" t="s">
        <v>1068</v>
      </c>
      <c r="G2515" t="s">
        <v>1075</v>
      </c>
      <c r="H2515">
        <v>2.4156192680375899E-3</v>
      </c>
      <c r="I2515" t="s">
        <v>1077</v>
      </c>
      <c r="J2515">
        <v>2.0499999999999998</v>
      </c>
    </row>
    <row r="2516" spans="1:10" hidden="1">
      <c r="A2516" t="s">
        <v>1990</v>
      </c>
      <c r="B2516" t="s">
        <v>1991</v>
      </c>
      <c r="C2516" t="s">
        <v>241</v>
      </c>
      <c r="D2516" t="s">
        <v>1307</v>
      </c>
      <c r="E2516" t="s">
        <v>1116</v>
      </c>
      <c r="F2516" t="s">
        <v>1068</v>
      </c>
      <c r="G2516" t="s">
        <v>1078</v>
      </c>
      <c r="H2516">
        <v>-1.64158743716123</v>
      </c>
      <c r="I2516" t="s">
        <v>1079</v>
      </c>
      <c r="J2516">
        <v>2.0499999999999998</v>
      </c>
    </row>
    <row r="2517" spans="1:10" hidden="1">
      <c r="A2517" t="s">
        <v>1990</v>
      </c>
      <c r="B2517" t="s">
        <v>1991</v>
      </c>
      <c r="C2517" t="s">
        <v>241</v>
      </c>
      <c r="D2517" t="s">
        <v>1307</v>
      </c>
      <c r="E2517" t="s">
        <v>1116</v>
      </c>
      <c r="F2517" t="s">
        <v>1068</v>
      </c>
      <c r="G2517" t="s">
        <v>1080</v>
      </c>
      <c r="H2517" s="171" t="s">
        <v>1992</v>
      </c>
      <c r="I2517" t="s">
        <v>1082</v>
      </c>
      <c r="J2517">
        <v>2.0499999999999998</v>
      </c>
    </row>
    <row r="2518" spans="1:10" hidden="1">
      <c r="A2518" t="s">
        <v>1990</v>
      </c>
      <c r="B2518" t="s">
        <v>1991</v>
      </c>
      <c r="C2518" t="s">
        <v>241</v>
      </c>
      <c r="D2518" t="s">
        <v>1307</v>
      </c>
      <c r="E2518" t="s">
        <v>1116</v>
      </c>
      <c r="F2518" t="s">
        <v>1068</v>
      </c>
      <c r="G2518" t="s">
        <v>1083</v>
      </c>
      <c r="H2518">
        <v>-3.9275461996608502E-4</v>
      </c>
      <c r="I2518" t="s">
        <v>1084</v>
      </c>
      <c r="J2518">
        <v>2.0499999999999998</v>
      </c>
    </row>
    <row r="2519" spans="1:10" hidden="1">
      <c r="A2519" t="s">
        <v>1990</v>
      </c>
      <c r="B2519" t="s">
        <v>1991</v>
      </c>
      <c r="C2519" t="s">
        <v>241</v>
      </c>
      <c r="D2519" t="s">
        <v>1307</v>
      </c>
      <c r="E2519" t="s">
        <v>1116</v>
      </c>
      <c r="F2519" t="s">
        <v>1068</v>
      </c>
      <c r="G2519" t="s">
        <v>1085</v>
      </c>
      <c r="H2519">
        <v>-1.1049376610694901E-2</v>
      </c>
      <c r="I2519" t="s">
        <v>1086</v>
      </c>
      <c r="J2519">
        <v>2.0499999999999998</v>
      </c>
    </row>
    <row r="2520" spans="1:10" hidden="1">
      <c r="A2520" t="s">
        <v>1990</v>
      </c>
      <c r="B2520" t="s">
        <v>1991</v>
      </c>
      <c r="C2520" t="s">
        <v>241</v>
      </c>
      <c r="D2520" t="s">
        <v>1307</v>
      </c>
      <c r="E2520" t="s">
        <v>1116</v>
      </c>
      <c r="F2520" t="s">
        <v>1068</v>
      </c>
      <c r="G2520" t="s">
        <v>1087</v>
      </c>
      <c r="H2520" s="170">
        <v>-3.9049969364827397E-7</v>
      </c>
      <c r="I2520" t="s">
        <v>1088</v>
      </c>
      <c r="J2520">
        <v>2.0499999999999998</v>
      </c>
    </row>
    <row r="2521" spans="1:10" hidden="1">
      <c r="A2521" t="s">
        <v>1990</v>
      </c>
      <c r="B2521" t="s">
        <v>1991</v>
      </c>
      <c r="C2521" t="s">
        <v>241</v>
      </c>
      <c r="D2521" t="s">
        <v>1307</v>
      </c>
      <c r="E2521" t="s">
        <v>1116</v>
      </c>
      <c r="F2521" t="s">
        <v>1068</v>
      </c>
      <c r="G2521" t="s">
        <v>1089</v>
      </c>
      <c r="H2521">
        <v>-2.99515615150966E-3</v>
      </c>
      <c r="I2521" t="s">
        <v>1090</v>
      </c>
      <c r="J2521">
        <v>2.0499999999999998</v>
      </c>
    </row>
    <row r="2522" spans="1:10" hidden="1">
      <c r="A2522" t="s">
        <v>1993</v>
      </c>
      <c r="B2522" t="s">
        <v>1994</v>
      </c>
      <c r="C2522" t="s">
        <v>241</v>
      </c>
      <c r="D2522" t="s">
        <v>324</v>
      </c>
      <c r="E2522" t="s">
        <v>561</v>
      </c>
      <c r="F2522" t="s">
        <v>1068</v>
      </c>
      <c r="G2522" t="s">
        <v>1069</v>
      </c>
      <c r="H2522">
        <v>-5.06503405000122E-2</v>
      </c>
      <c r="I2522" t="s">
        <v>1070</v>
      </c>
      <c r="J2522">
        <v>2.04</v>
      </c>
    </row>
    <row r="2523" spans="1:10" hidden="1">
      <c r="A2523" t="s">
        <v>1993</v>
      </c>
      <c r="B2523" t="s">
        <v>1994</v>
      </c>
      <c r="C2523" t="s">
        <v>241</v>
      </c>
      <c r="D2523" t="s">
        <v>324</v>
      </c>
      <c r="E2523" t="s">
        <v>561</v>
      </c>
      <c r="F2523" t="s">
        <v>1068</v>
      </c>
      <c r="G2523" t="s">
        <v>1071</v>
      </c>
      <c r="H2523" s="170">
        <v>-1.05583837980336E-10</v>
      </c>
      <c r="I2523" t="s">
        <v>1072</v>
      </c>
      <c r="J2523">
        <v>2.04</v>
      </c>
    </row>
    <row r="2524" spans="1:10" hidden="1">
      <c r="A2524" t="s">
        <v>1993</v>
      </c>
      <c r="B2524" t="s">
        <v>1994</v>
      </c>
      <c r="C2524" t="s">
        <v>241</v>
      </c>
      <c r="D2524" t="s">
        <v>324</v>
      </c>
      <c r="E2524" t="s">
        <v>561</v>
      </c>
      <c r="F2524" t="s">
        <v>1068</v>
      </c>
      <c r="G2524" t="s">
        <v>1073</v>
      </c>
      <c r="H2524" s="170">
        <v>-2.0601450979484301E-8</v>
      </c>
      <c r="I2524" t="s">
        <v>1074</v>
      </c>
      <c r="J2524">
        <v>2.04</v>
      </c>
    </row>
    <row r="2525" spans="1:10" hidden="1">
      <c r="A2525" t="s">
        <v>1993</v>
      </c>
      <c r="B2525" t="s">
        <v>1994</v>
      </c>
      <c r="C2525" t="s">
        <v>241</v>
      </c>
      <c r="D2525" t="s">
        <v>324</v>
      </c>
      <c r="E2525" t="s">
        <v>561</v>
      </c>
      <c r="F2525" t="s">
        <v>1068</v>
      </c>
      <c r="G2525" t="s">
        <v>1075</v>
      </c>
      <c r="H2525">
        <v>2.4011153212215698E-3</v>
      </c>
      <c r="I2525" t="s">
        <v>1077</v>
      </c>
      <c r="J2525">
        <v>2.04</v>
      </c>
    </row>
    <row r="2526" spans="1:10" hidden="1">
      <c r="A2526" t="s">
        <v>1993</v>
      </c>
      <c r="B2526" t="s">
        <v>1994</v>
      </c>
      <c r="C2526" t="s">
        <v>241</v>
      </c>
      <c r="D2526" t="s">
        <v>324</v>
      </c>
      <c r="E2526" t="s">
        <v>561</v>
      </c>
      <c r="F2526" t="s">
        <v>1068</v>
      </c>
      <c r="G2526" t="s">
        <v>1078</v>
      </c>
      <c r="H2526">
        <v>-1.6521126151519701</v>
      </c>
      <c r="I2526" t="s">
        <v>1079</v>
      </c>
      <c r="J2526">
        <v>2.04</v>
      </c>
    </row>
    <row r="2527" spans="1:10" hidden="1">
      <c r="A2527" t="s">
        <v>1993</v>
      </c>
      <c r="B2527" t="s">
        <v>1994</v>
      </c>
      <c r="C2527" t="s">
        <v>241</v>
      </c>
      <c r="D2527" t="s">
        <v>324</v>
      </c>
      <c r="E2527" t="s">
        <v>561</v>
      </c>
      <c r="F2527" t="s">
        <v>1068</v>
      </c>
      <c r="G2527" t="s">
        <v>1080</v>
      </c>
      <c r="H2527" s="171" t="s">
        <v>1995</v>
      </c>
      <c r="I2527" t="s">
        <v>1082</v>
      </c>
      <c r="J2527">
        <v>2.04</v>
      </c>
    </row>
    <row r="2528" spans="1:10" hidden="1">
      <c r="A2528" t="s">
        <v>1993</v>
      </c>
      <c r="B2528" t="s">
        <v>1994</v>
      </c>
      <c r="C2528" t="s">
        <v>241</v>
      </c>
      <c r="D2528" t="s">
        <v>324</v>
      </c>
      <c r="E2528" t="s">
        <v>561</v>
      </c>
      <c r="F2528" t="s">
        <v>1068</v>
      </c>
      <c r="G2528" t="s">
        <v>1083</v>
      </c>
      <c r="H2528">
        <v>-3.45863486184693E-4</v>
      </c>
      <c r="I2528" t="s">
        <v>1084</v>
      </c>
      <c r="J2528">
        <v>2.04</v>
      </c>
    </row>
    <row r="2529" spans="1:10" hidden="1">
      <c r="A2529" t="s">
        <v>1993</v>
      </c>
      <c r="B2529" t="s">
        <v>1994</v>
      </c>
      <c r="C2529" t="s">
        <v>241</v>
      </c>
      <c r="D2529" t="s">
        <v>324</v>
      </c>
      <c r="E2529" t="s">
        <v>561</v>
      </c>
      <c r="F2529" t="s">
        <v>1068</v>
      </c>
      <c r="G2529" t="s">
        <v>1085</v>
      </c>
      <c r="H2529">
        <v>-9.7319433893905804E-3</v>
      </c>
      <c r="I2529" t="s">
        <v>1086</v>
      </c>
      <c r="J2529">
        <v>2.04</v>
      </c>
    </row>
    <row r="2530" spans="1:10" hidden="1">
      <c r="A2530" t="s">
        <v>1993</v>
      </c>
      <c r="B2530" t="s">
        <v>1994</v>
      </c>
      <c r="C2530" t="s">
        <v>241</v>
      </c>
      <c r="D2530" t="s">
        <v>324</v>
      </c>
      <c r="E2530" t="s">
        <v>561</v>
      </c>
      <c r="F2530" t="s">
        <v>1068</v>
      </c>
      <c r="G2530" t="s">
        <v>1087</v>
      </c>
      <c r="H2530" s="170">
        <v>-1.8670966656419099E-8</v>
      </c>
      <c r="I2530" t="s">
        <v>1088</v>
      </c>
      <c r="J2530">
        <v>2.04</v>
      </c>
    </row>
    <row r="2531" spans="1:10" hidden="1">
      <c r="A2531" t="s">
        <v>1993</v>
      </c>
      <c r="B2531" t="s">
        <v>1994</v>
      </c>
      <c r="C2531" t="s">
        <v>241</v>
      </c>
      <c r="D2531" t="s">
        <v>324</v>
      </c>
      <c r="E2531" t="s">
        <v>561</v>
      </c>
      <c r="F2531" t="s">
        <v>1068</v>
      </c>
      <c r="G2531" t="s">
        <v>1089</v>
      </c>
      <c r="H2531">
        <v>-2.6421407238846799E-3</v>
      </c>
      <c r="I2531" t="s">
        <v>1090</v>
      </c>
      <c r="J2531">
        <v>2.04</v>
      </c>
    </row>
    <row r="2532" spans="1:10" hidden="1">
      <c r="A2532" t="s">
        <v>1996</v>
      </c>
      <c r="B2532" t="s">
        <v>1997</v>
      </c>
      <c r="C2532" t="s">
        <v>241</v>
      </c>
      <c r="D2532" t="s">
        <v>324</v>
      </c>
      <c r="E2532" t="s">
        <v>555</v>
      </c>
      <c r="F2532" t="s">
        <v>1068</v>
      </c>
      <c r="G2532" t="s">
        <v>1069</v>
      </c>
      <c r="H2532">
        <v>-5.0455620123091599E-2</v>
      </c>
      <c r="I2532" t="s">
        <v>1070</v>
      </c>
      <c r="J2532">
        <v>2.04</v>
      </c>
    </row>
    <row r="2533" spans="1:10" hidden="1">
      <c r="A2533" t="s">
        <v>1996</v>
      </c>
      <c r="B2533" t="s">
        <v>1997</v>
      </c>
      <c r="C2533" t="s">
        <v>241</v>
      </c>
      <c r="D2533" t="s">
        <v>324</v>
      </c>
      <c r="E2533" t="s">
        <v>555</v>
      </c>
      <c r="F2533" t="s">
        <v>1068</v>
      </c>
      <c r="G2533" t="s">
        <v>1071</v>
      </c>
      <c r="H2533" s="170">
        <v>-1.05259906044101E-10</v>
      </c>
      <c r="I2533" t="s">
        <v>1072</v>
      </c>
      <c r="J2533">
        <v>2.04</v>
      </c>
    </row>
    <row r="2534" spans="1:10" hidden="1">
      <c r="A2534" t="s">
        <v>1996</v>
      </c>
      <c r="B2534" t="s">
        <v>1997</v>
      </c>
      <c r="C2534" t="s">
        <v>241</v>
      </c>
      <c r="D2534" t="s">
        <v>324</v>
      </c>
      <c r="E2534" t="s">
        <v>555</v>
      </c>
      <c r="F2534" t="s">
        <v>1068</v>
      </c>
      <c r="G2534" t="s">
        <v>1073</v>
      </c>
      <c r="H2534" s="170">
        <v>-2.05364388910657E-8</v>
      </c>
      <c r="I2534" t="s">
        <v>1074</v>
      </c>
      <c r="J2534">
        <v>2.04</v>
      </c>
    </row>
    <row r="2535" spans="1:10" hidden="1">
      <c r="A2535" t="s">
        <v>1996</v>
      </c>
      <c r="B2535" t="s">
        <v>1997</v>
      </c>
      <c r="C2535" t="s">
        <v>241</v>
      </c>
      <c r="D2535" t="s">
        <v>324</v>
      </c>
      <c r="E2535" t="s">
        <v>555</v>
      </c>
      <c r="F2535" t="s">
        <v>1068</v>
      </c>
      <c r="G2535" t="s">
        <v>1075</v>
      </c>
      <c r="H2535">
        <v>2.4370418518910499E-3</v>
      </c>
      <c r="I2535" t="s">
        <v>1077</v>
      </c>
      <c r="J2535">
        <v>2.04</v>
      </c>
    </row>
    <row r="2536" spans="1:10" hidden="1">
      <c r="A2536" t="s">
        <v>1996</v>
      </c>
      <c r="B2536" t="s">
        <v>1997</v>
      </c>
      <c r="C2536" t="s">
        <v>241</v>
      </c>
      <c r="D2536" t="s">
        <v>324</v>
      </c>
      <c r="E2536" t="s">
        <v>555</v>
      </c>
      <c r="F2536" t="s">
        <v>1068</v>
      </c>
      <c r="G2536" t="s">
        <v>1078</v>
      </c>
      <c r="H2536">
        <v>-1.6392456408190901</v>
      </c>
      <c r="I2536" t="s">
        <v>1079</v>
      </c>
      <c r="J2536">
        <v>2.04</v>
      </c>
    </row>
    <row r="2537" spans="1:10" hidden="1">
      <c r="A2537" t="s">
        <v>1996</v>
      </c>
      <c r="B2537" t="s">
        <v>1997</v>
      </c>
      <c r="C2537" t="s">
        <v>241</v>
      </c>
      <c r="D2537" t="s">
        <v>324</v>
      </c>
      <c r="E2537" t="s">
        <v>555</v>
      </c>
      <c r="F2537" t="s">
        <v>1068</v>
      </c>
      <c r="G2537" t="s">
        <v>1080</v>
      </c>
      <c r="H2537" s="171" t="s">
        <v>1998</v>
      </c>
      <c r="I2537" t="s">
        <v>1082</v>
      </c>
      <c r="J2537">
        <v>2.04</v>
      </c>
    </row>
    <row r="2538" spans="1:10" hidden="1">
      <c r="A2538" t="s">
        <v>1996</v>
      </c>
      <c r="B2538" t="s">
        <v>1997</v>
      </c>
      <c r="C2538" t="s">
        <v>241</v>
      </c>
      <c r="D2538" t="s">
        <v>324</v>
      </c>
      <c r="E2538" t="s">
        <v>555</v>
      </c>
      <c r="F2538" t="s">
        <v>1068</v>
      </c>
      <c r="G2538" t="s">
        <v>1083</v>
      </c>
      <c r="H2538">
        <v>-3.4583681868796603E-4</v>
      </c>
      <c r="I2538" t="s">
        <v>1084</v>
      </c>
      <c r="J2538">
        <v>2.04</v>
      </c>
    </row>
    <row r="2539" spans="1:10" hidden="1">
      <c r="A2539" t="s">
        <v>1996</v>
      </c>
      <c r="B2539" t="s">
        <v>1997</v>
      </c>
      <c r="C2539" t="s">
        <v>241</v>
      </c>
      <c r="D2539" t="s">
        <v>324</v>
      </c>
      <c r="E2539" t="s">
        <v>555</v>
      </c>
      <c r="F2539" t="s">
        <v>1068</v>
      </c>
      <c r="G2539" t="s">
        <v>1085</v>
      </c>
      <c r="H2539">
        <v>-9.7314819695040796E-3</v>
      </c>
      <c r="I2539" t="s">
        <v>1086</v>
      </c>
      <c r="J2539">
        <v>2.04</v>
      </c>
    </row>
    <row r="2540" spans="1:10" hidden="1">
      <c r="A2540" t="s">
        <v>1996</v>
      </c>
      <c r="B2540" t="s">
        <v>1997</v>
      </c>
      <c r="C2540" t="s">
        <v>241</v>
      </c>
      <c r="D2540" t="s">
        <v>324</v>
      </c>
      <c r="E2540" t="s">
        <v>555</v>
      </c>
      <c r="F2540" t="s">
        <v>1068</v>
      </c>
      <c r="G2540" t="s">
        <v>1087</v>
      </c>
      <c r="H2540" s="170">
        <v>-1.7055341573820401E-8</v>
      </c>
      <c r="I2540" t="s">
        <v>1088</v>
      </c>
      <c r="J2540">
        <v>2.04</v>
      </c>
    </row>
    <row r="2541" spans="1:10" hidden="1">
      <c r="A2541" t="s">
        <v>1996</v>
      </c>
      <c r="B2541" t="s">
        <v>1997</v>
      </c>
      <c r="C2541" t="s">
        <v>241</v>
      </c>
      <c r="D2541" t="s">
        <v>324</v>
      </c>
      <c r="E2541" t="s">
        <v>555</v>
      </c>
      <c r="F2541" t="s">
        <v>1068</v>
      </c>
      <c r="G2541" t="s">
        <v>1089</v>
      </c>
      <c r="H2541">
        <v>-2.64207341109654E-3</v>
      </c>
      <c r="I2541" t="s">
        <v>1090</v>
      </c>
      <c r="J2541">
        <v>2.04</v>
      </c>
    </row>
    <row r="2542" spans="1:10" hidden="1">
      <c r="A2542" t="s">
        <v>1999</v>
      </c>
      <c r="B2542" t="s">
        <v>2000</v>
      </c>
      <c r="C2542" t="s">
        <v>241</v>
      </c>
      <c r="D2542" t="s">
        <v>324</v>
      </c>
      <c r="E2542" t="s">
        <v>558</v>
      </c>
      <c r="F2542" t="s">
        <v>1068</v>
      </c>
      <c r="G2542" t="s">
        <v>1069</v>
      </c>
      <c r="H2542">
        <v>-5.0665863480170797E-2</v>
      </c>
      <c r="I2542" t="s">
        <v>1070</v>
      </c>
      <c r="J2542">
        <v>2.04</v>
      </c>
    </row>
    <row r="2543" spans="1:10" hidden="1">
      <c r="A2543" t="s">
        <v>1999</v>
      </c>
      <c r="B2543" t="s">
        <v>2000</v>
      </c>
      <c r="C2543" t="s">
        <v>241</v>
      </c>
      <c r="D2543" t="s">
        <v>324</v>
      </c>
      <c r="E2543" t="s">
        <v>558</v>
      </c>
      <c r="F2543" t="s">
        <v>1068</v>
      </c>
      <c r="G2543" t="s">
        <v>1071</v>
      </c>
      <c r="H2543" s="170">
        <v>-1.05606051541548E-10</v>
      </c>
      <c r="I2543" t="s">
        <v>1072</v>
      </c>
      <c r="J2543">
        <v>2.04</v>
      </c>
    </row>
    <row r="2544" spans="1:10" hidden="1">
      <c r="A2544" t="s">
        <v>1999</v>
      </c>
      <c r="B2544" t="s">
        <v>2000</v>
      </c>
      <c r="C2544" t="s">
        <v>241</v>
      </c>
      <c r="D2544" t="s">
        <v>324</v>
      </c>
      <c r="E2544" t="s">
        <v>558</v>
      </c>
      <c r="F2544" t="s">
        <v>1068</v>
      </c>
      <c r="G2544" t="s">
        <v>1073</v>
      </c>
      <c r="H2544" s="170">
        <v>-2.0606964791154401E-8</v>
      </c>
      <c r="I2544" t="s">
        <v>1074</v>
      </c>
      <c r="J2544">
        <v>2.04</v>
      </c>
    </row>
    <row r="2545" spans="1:10" hidden="1">
      <c r="A2545" t="s">
        <v>1999</v>
      </c>
      <c r="B2545" t="s">
        <v>2000</v>
      </c>
      <c r="C2545" t="s">
        <v>241</v>
      </c>
      <c r="D2545" t="s">
        <v>324</v>
      </c>
      <c r="E2545" t="s">
        <v>558</v>
      </c>
      <c r="F2545" t="s">
        <v>1068</v>
      </c>
      <c r="G2545" t="s">
        <v>1075</v>
      </c>
      <c r="H2545">
        <v>2.4006246232359798E-3</v>
      </c>
      <c r="I2545" t="s">
        <v>1077</v>
      </c>
      <c r="J2545">
        <v>2.04</v>
      </c>
    </row>
    <row r="2546" spans="1:10" hidden="1">
      <c r="A2546" t="s">
        <v>1999</v>
      </c>
      <c r="B2546" t="s">
        <v>2000</v>
      </c>
      <c r="C2546" t="s">
        <v>241</v>
      </c>
      <c r="D2546" t="s">
        <v>324</v>
      </c>
      <c r="E2546" t="s">
        <v>558</v>
      </c>
      <c r="F2546" t="s">
        <v>1068</v>
      </c>
      <c r="G2546" t="s">
        <v>1078</v>
      </c>
      <c r="H2546">
        <v>-1.65213383482568</v>
      </c>
      <c r="I2546" t="s">
        <v>1079</v>
      </c>
      <c r="J2546">
        <v>2.04</v>
      </c>
    </row>
    <row r="2547" spans="1:10" hidden="1">
      <c r="A2547" t="s">
        <v>1999</v>
      </c>
      <c r="B2547" t="s">
        <v>2000</v>
      </c>
      <c r="C2547" t="s">
        <v>241</v>
      </c>
      <c r="D2547" t="s">
        <v>324</v>
      </c>
      <c r="E2547" t="s">
        <v>558</v>
      </c>
      <c r="F2547" t="s">
        <v>1068</v>
      </c>
      <c r="G2547" t="s">
        <v>1080</v>
      </c>
      <c r="H2547" s="171" t="s">
        <v>2001</v>
      </c>
      <c r="I2547" t="s">
        <v>1082</v>
      </c>
      <c r="J2547">
        <v>2.04</v>
      </c>
    </row>
    <row r="2548" spans="1:10" hidden="1">
      <c r="A2548" t="s">
        <v>1999</v>
      </c>
      <c r="B2548" t="s">
        <v>2000</v>
      </c>
      <c r="C2548" t="s">
        <v>241</v>
      </c>
      <c r="D2548" t="s">
        <v>324</v>
      </c>
      <c r="E2548" t="s">
        <v>558</v>
      </c>
      <c r="F2548" t="s">
        <v>1068</v>
      </c>
      <c r="G2548" t="s">
        <v>1083</v>
      </c>
      <c r="H2548">
        <v>-3.4586584568772801E-4</v>
      </c>
      <c r="I2548" t="s">
        <v>1084</v>
      </c>
      <c r="J2548">
        <v>2.04</v>
      </c>
    </row>
    <row r="2549" spans="1:10" hidden="1">
      <c r="A2549" t="s">
        <v>1999</v>
      </c>
      <c r="B2549" t="s">
        <v>2000</v>
      </c>
      <c r="C2549" t="s">
        <v>241</v>
      </c>
      <c r="D2549" t="s">
        <v>324</v>
      </c>
      <c r="E2549" t="s">
        <v>558</v>
      </c>
      <c r="F2549" t="s">
        <v>1068</v>
      </c>
      <c r="G2549" t="s">
        <v>1085</v>
      </c>
      <c r="H2549">
        <v>-9.7319700565636508E-3</v>
      </c>
      <c r="I2549" t="s">
        <v>1086</v>
      </c>
      <c r="J2549">
        <v>2.04</v>
      </c>
    </row>
    <row r="2550" spans="1:10" hidden="1">
      <c r="A2550" t="s">
        <v>1999</v>
      </c>
      <c r="B2550" t="s">
        <v>2000</v>
      </c>
      <c r="C2550" t="s">
        <v>241</v>
      </c>
      <c r="D2550" t="s">
        <v>324</v>
      </c>
      <c r="E2550" t="s">
        <v>558</v>
      </c>
      <c r="F2550" t="s">
        <v>1068</v>
      </c>
      <c r="G2550" t="s">
        <v>1087</v>
      </c>
      <c r="H2550" s="170">
        <v>-1.86838363559069E-8</v>
      </c>
      <c r="I2550" t="s">
        <v>1088</v>
      </c>
      <c r="J2550">
        <v>2.04</v>
      </c>
    </row>
    <row r="2551" spans="1:10" hidden="1">
      <c r="A2551" t="s">
        <v>1999</v>
      </c>
      <c r="B2551" t="s">
        <v>2000</v>
      </c>
      <c r="C2551" t="s">
        <v>241</v>
      </c>
      <c r="D2551" t="s">
        <v>324</v>
      </c>
      <c r="E2551" t="s">
        <v>558</v>
      </c>
      <c r="F2551" t="s">
        <v>1068</v>
      </c>
      <c r="G2551" t="s">
        <v>1089</v>
      </c>
      <c r="H2551">
        <v>-2.6421462252698199E-3</v>
      </c>
      <c r="I2551" t="s">
        <v>1090</v>
      </c>
      <c r="J2551">
        <v>2.04</v>
      </c>
    </row>
    <row r="2552" spans="1:10" hidden="1">
      <c r="A2552" t="s">
        <v>2002</v>
      </c>
      <c r="B2552" t="s">
        <v>2003</v>
      </c>
      <c r="C2552" t="s">
        <v>241</v>
      </c>
      <c r="D2552" t="s">
        <v>324</v>
      </c>
      <c r="E2552" t="s">
        <v>553</v>
      </c>
      <c r="F2552" t="s">
        <v>1068</v>
      </c>
      <c r="G2552" t="s">
        <v>1069</v>
      </c>
      <c r="H2552">
        <v>-5.0661664386174199E-2</v>
      </c>
      <c r="I2552" t="s">
        <v>1070</v>
      </c>
      <c r="J2552">
        <v>2.0299999999999998</v>
      </c>
    </row>
    <row r="2553" spans="1:10" hidden="1">
      <c r="A2553" t="s">
        <v>2002</v>
      </c>
      <c r="B2553" t="s">
        <v>2003</v>
      </c>
      <c r="C2553" t="s">
        <v>241</v>
      </c>
      <c r="D2553" t="s">
        <v>324</v>
      </c>
      <c r="E2553" t="s">
        <v>553</v>
      </c>
      <c r="F2553" t="s">
        <v>1068</v>
      </c>
      <c r="G2553" t="s">
        <v>1071</v>
      </c>
      <c r="H2553" s="170">
        <v>-1.05554757728765E-10</v>
      </c>
      <c r="I2553" t="s">
        <v>1072</v>
      </c>
      <c r="J2553">
        <v>2.0299999999999998</v>
      </c>
    </row>
    <row r="2554" spans="1:10" hidden="1">
      <c r="A2554" t="s">
        <v>2002</v>
      </c>
      <c r="B2554" t="s">
        <v>2003</v>
      </c>
      <c r="C2554" t="s">
        <v>241</v>
      </c>
      <c r="D2554" t="s">
        <v>324</v>
      </c>
      <c r="E2554" t="s">
        <v>553</v>
      </c>
      <c r="F2554" t="s">
        <v>1068</v>
      </c>
      <c r="G2554" t="s">
        <v>1073</v>
      </c>
      <c r="H2554" s="170">
        <v>-2.0609626465279702E-8</v>
      </c>
      <c r="I2554" t="s">
        <v>1074</v>
      </c>
      <c r="J2554">
        <v>2.0299999999999998</v>
      </c>
    </row>
    <row r="2555" spans="1:10" hidden="1">
      <c r="A2555" t="s">
        <v>2002</v>
      </c>
      <c r="B2555" t="s">
        <v>2003</v>
      </c>
      <c r="C2555" t="s">
        <v>241</v>
      </c>
      <c r="D2555" t="s">
        <v>324</v>
      </c>
      <c r="E2555" t="s">
        <v>553</v>
      </c>
      <c r="F2555" t="s">
        <v>1068</v>
      </c>
      <c r="G2555" t="s">
        <v>1075</v>
      </c>
      <c r="H2555">
        <v>2.4305285726274198E-3</v>
      </c>
      <c r="I2555" t="s">
        <v>1077</v>
      </c>
      <c r="J2555">
        <v>2.0299999999999998</v>
      </c>
    </row>
    <row r="2556" spans="1:10" hidden="1">
      <c r="A2556" t="s">
        <v>2002</v>
      </c>
      <c r="B2556" t="s">
        <v>2003</v>
      </c>
      <c r="C2556" t="s">
        <v>241</v>
      </c>
      <c r="D2556" t="s">
        <v>324</v>
      </c>
      <c r="E2556" t="s">
        <v>553</v>
      </c>
      <c r="F2556" t="s">
        <v>1068</v>
      </c>
      <c r="G2556" t="s">
        <v>1078</v>
      </c>
      <c r="H2556">
        <v>-1.63952730013875</v>
      </c>
      <c r="I2556" t="s">
        <v>1079</v>
      </c>
      <c r="J2556">
        <v>2.0299999999999998</v>
      </c>
    </row>
    <row r="2557" spans="1:10" hidden="1">
      <c r="A2557" t="s">
        <v>2002</v>
      </c>
      <c r="B2557" t="s">
        <v>2003</v>
      </c>
      <c r="C2557" t="s">
        <v>241</v>
      </c>
      <c r="D2557" t="s">
        <v>324</v>
      </c>
      <c r="E2557" t="s">
        <v>553</v>
      </c>
      <c r="F2557" t="s">
        <v>1068</v>
      </c>
      <c r="G2557" t="s">
        <v>1080</v>
      </c>
      <c r="H2557" s="171" t="s">
        <v>2004</v>
      </c>
      <c r="I2557" t="s">
        <v>1082</v>
      </c>
      <c r="J2557">
        <v>2.0299999999999998</v>
      </c>
    </row>
    <row r="2558" spans="1:10" hidden="1">
      <c r="A2558" t="s">
        <v>2002</v>
      </c>
      <c r="B2558" t="s">
        <v>2003</v>
      </c>
      <c r="C2558" t="s">
        <v>241</v>
      </c>
      <c r="D2558" t="s">
        <v>324</v>
      </c>
      <c r="E2558" t="s">
        <v>553</v>
      </c>
      <c r="F2558" t="s">
        <v>1068</v>
      </c>
      <c r="G2558" t="s">
        <v>1083</v>
      </c>
      <c r="H2558">
        <v>-3.4586813754934598E-4</v>
      </c>
      <c r="I2558" t="s">
        <v>1084</v>
      </c>
      <c r="J2558">
        <v>2.0299999999999998</v>
      </c>
    </row>
    <row r="2559" spans="1:10" hidden="1">
      <c r="A2559" t="s">
        <v>2002</v>
      </c>
      <c r="B2559" t="s">
        <v>2003</v>
      </c>
      <c r="C2559" t="s">
        <v>241</v>
      </c>
      <c r="D2559" t="s">
        <v>324</v>
      </c>
      <c r="E2559" t="s">
        <v>553</v>
      </c>
      <c r="F2559" t="s">
        <v>1068</v>
      </c>
      <c r="G2559" t="s">
        <v>1085</v>
      </c>
      <c r="H2559">
        <v>-9.7318359362016001E-3</v>
      </c>
      <c r="I2559" t="s">
        <v>1086</v>
      </c>
      <c r="J2559">
        <v>2.0299999999999998</v>
      </c>
    </row>
    <row r="2560" spans="1:10" hidden="1">
      <c r="A2560" t="s">
        <v>2002</v>
      </c>
      <c r="B2560" t="s">
        <v>2003</v>
      </c>
      <c r="C2560" t="s">
        <v>241</v>
      </c>
      <c r="D2560" t="s">
        <v>324</v>
      </c>
      <c r="E2560" t="s">
        <v>553</v>
      </c>
      <c r="F2560" t="s">
        <v>1068</v>
      </c>
      <c r="G2560" t="s">
        <v>1087</v>
      </c>
      <c r="H2560" s="170">
        <v>-1.7226167518267699E-8</v>
      </c>
      <c r="I2560" t="s">
        <v>1088</v>
      </c>
      <c r="J2560">
        <v>2.0299999999999998</v>
      </c>
    </row>
    <row r="2561" spans="1:10" hidden="1">
      <c r="A2561" t="s">
        <v>2002</v>
      </c>
      <c r="B2561" t="s">
        <v>2003</v>
      </c>
      <c r="C2561" t="s">
        <v>241</v>
      </c>
      <c r="D2561" t="s">
        <v>324</v>
      </c>
      <c r="E2561" t="s">
        <v>553</v>
      </c>
      <c r="F2561" t="s">
        <v>1068</v>
      </c>
      <c r="G2561" t="s">
        <v>1089</v>
      </c>
      <c r="H2561">
        <v>-2.64214643372725E-3</v>
      </c>
      <c r="I2561" t="s">
        <v>1090</v>
      </c>
      <c r="J2561">
        <v>2.0299999999999998</v>
      </c>
    </row>
    <row r="2562" spans="1:10" hidden="1">
      <c r="A2562" t="s">
        <v>2005</v>
      </c>
      <c r="B2562" t="s">
        <v>2006</v>
      </c>
      <c r="C2562" t="s">
        <v>241</v>
      </c>
      <c r="D2562" t="s">
        <v>324</v>
      </c>
      <c r="E2562" t="s">
        <v>556</v>
      </c>
      <c r="F2562" t="s">
        <v>1068</v>
      </c>
      <c r="G2562" t="s">
        <v>1069</v>
      </c>
      <c r="H2562">
        <v>-5.0474748819649203E-2</v>
      </c>
      <c r="I2562" t="s">
        <v>1070</v>
      </c>
      <c r="J2562">
        <v>2.5499999999999998</v>
      </c>
    </row>
    <row r="2563" spans="1:10" hidden="1">
      <c r="A2563" t="s">
        <v>2005</v>
      </c>
      <c r="B2563" t="s">
        <v>2006</v>
      </c>
      <c r="C2563" t="s">
        <v>241</v>
      </c>
      <c r="D2563" t="s">
        <v>324</v>
      </c>
      <c r="E2563" t="s">
        <v>556</v>
      </c>
      <c r="F2563" t="s">
        <v>1068</v>
      </c>
      <c r="G2563" t="s">
        <v>1071</v>
      </c>
      <c r="H2563" s="170">
        <v>-1.05034872916439E-10</v>
      </c>
      <c r="I2563" t="s">
        <v>1072</v>
      </c>
      <c r="J2563">
        <v>2.5499999999999998</v>
      </c>
    </row>
    <row r="2564" spans="1:10" hidden="1">
      <c r="A2564" t="s">
        <v>2005</v>
      </c>
      <c r="B2564" t="s">
        <v>2006</v>
      </c>
      <c r="C2564" t="s">
        <v>241</v>
      </c>
      <c r="D2564" t="s">
        <v>324</v>
      </c>
      <c r="E2564" t="s">
        <v>556</v>
      </c>
      <c r="F2564" t="s">
        <v>1068</v>
      </c>
      <c r="G2564" t="s">
        <v>1073</v>
      </c>
      <c r="H2564" s="170">
        <v>-2.0536006504100301E-8</v>
      </c>
      <c r="I2564" t="s">
        <v>1074</v>
      </c>
      <c r="J2564">
        <v>2.5499999999999998</v>
      </c>
    </row>
    <row r="2565" spans="1:10" hidden="1">
      <c r="A2565" t="s">
        <v>2005</v>
      </c>
      <c r="B2565" t="s">
        <v>2006</v>
      </c>
      <c r="C2565" t="s">
        <v>241</v>
      </c>
      <c r="D2565" t="s">
        <v>324</v>
      </c>
      <c r="E2565" t="s">
        <v>556</v>
      </c>
      <c r="F2565" t="s">
        <v>1068</v>
      </c>
      <c r="G2565" t="s">
        <v>1075</v>
      </c>
      <c r="H2565">
        <v>2.5468834078774898E-3</v>
      </c>
      <c r="I2565" t="s">
        <v>1077</v>
      </c>
      <c r="J2565">
        <v>2.5499999999999998</v>
      </c>
    </row>
    <row r="2566" spans="1:10" hidden="1">
      <c r="A2566" t="s">
        <v>2005</v>
      </c>
      <c r="B2566" t="s">
        <v>2006</v>
      </c>
      <c r="C2566" t="s">
        <v>241</v>
      </c>
      <c r="D2566" t="s">
        <v>324</v>
      </c>
      <c r="E2566" t="s">
        <v>556</v>
      </c>
      <c r="F2566" t="s">
        <v>1068</v>
      </c>
      <c r="G2566" t="s">
        <v>1078</v>
      </c>
      <c r="H2566">
        <v>-1.5931961690249401</v>
      </c>
      <c r="I2566" t="s">
        <v>1079</v>
      </c>
      <c r="J2566">
        <v>2.5499999999999998</v>
      </c>
    </row>
    <row r="2567" spans="1:10" hidden="1">
      <c r="A2567" t="s">
        <v>2005</v>
      </c>
      <c r="B2567" t="s">
        <v>2006</v>
      </c>
      <c r="C2567" t="s">
        <v>241</v>
      </c>
      <c r="D2567" t="s">
        <v>324</v>
      </c>
      <c r="E2567" t="s">
        <v>556</v>
      </c>
      <c r="F2567" t="s">
        <v>1068</v>
      </c>
      <c r="G2567" t="s">
        <v>1080</v>
      </c>
      <c r="H2567" s="171" t="s">
        <v>2007</v>
      </c>
      <c r="I2567" t="s">
        <v>1082</v>
      </c>
      <c r="J2567">
        <v>2.5499999999999998</v>
      </c>
    </row>
    <row r="2568" spans="1:10" hidden="1">
      <c r="A2568" t="s">
        <v>2005</v>
      </c>
      <c r="B2568" t="s">
        <v>2006</v>
      </c>
      <c r="C2568" t="s">
        <v>241</v>
      </c>
      <c r="D2568" t="s">
        <v>324</v>
      </c>
      <c r="E2568" t="s">
        <v>556</v>
      </c>
      <c r="F2568" t="s">
        <v>1068</v>
      </c>
      <c r="G2568" t="s">
        <v>1083</v>
      </c>
      <c r="H2568">
        <v>-3.4583969347460702E-4</v>
      </c>
      <c r="I2568" t="s">
        <v>1084</v>
      </c>
      <c r="J2568">
        <v>2.5499999999999998</v>
      </c>
    </row>
    <row r="2569" spans="1:10" hidden="1">
      <c r="A2569" t="s">
        <v>2005</v>
      </c>
      <c r="B2569" t="s">
        <v>2006</v>
      </c>
      <c r="C2569" t="s">
        <v>241</v>
      </c>
      <c r="D2569" t="s">
        <v>324</v>
      </c>
      <c r="E2569" t="s">
        <v>556</v>
      </c>
      <c r="F2569" t="s">
        <v>1068</v>
      </c>
      <c r="G2569" t="s">
        <v>1085</v>
      </c>
      <c r="H2569">
        <v>-9.7309335509243797E-3</v>
      </c>
      <c r="I2569" t="s">
        <v>1086</v>
      </c>
      <c r="J2569">
        <v>2.5499999999999998</v>
      </c>
    </row>
    <row r="2570" spans="1:10" hidden="1">
      <c r="A2570" t="s">
        <v>2005</v>
      </c>
      <c r="B2570" t="s">
        <v>2006</v>
      </c>
      <c r="C2570" t="s">
        <v>241</v>
      </c>
      <c r="D2570" t="s">
        <v>324</v>
      </c>
      <c r="E2570" t="s">
        <v>556</v>
      </c>
      <c r="F2570" t="s">
        <v>1068</v>
      </c>
      <c r="G2570" t="s">
        <v>1087</v>
      </c>
      <c r="H2570" s="170">
        <v>-1.7071397888366E-8</v>
      </c>
      <c r="I2570" t="s">
        <v>1088</v>
      </c>
      <c r="J2570">
        <v>2.5499999999999998</v>
      </c>
    </row>
    <row r="2571" spans="1:10" hidden="1">
      <c r="A2571" t="s">
        <v>2005</v>
      </c>
      <c r="B2571" t="s">
        <v>2006</v>
      </c>
      <c r="C2571" t="s">
        <v>241</v>
      </c>
      <c r="D2571" t="s">
        <v>324</v>
      </c>
      <c r="E2571" t="s">
        <v>556</v>
      </c>
      <c r="F2571" t="s">
        <v>1068</v>
      </c>
      <c r="G2571" t="s">
        <v>1089</v>
      </c>
      <c r="H2571">
        <v>-2.6420802746577599E-3</v>
      </c>
      <c r="I2571" t="s">
        <v>1090</v>
      </c>
      <c r="J2571">
        <v>2.5499999999999998</v>
      </c>
    </row>
    <row r="2572" spans="1:10" hidden="1">
      <c r="A2572" t="s">
        <v>2008</v>
      </c>
      <c r="B2572" t="s">
        <v>2009</v>
      </c>
      <c r="C2572" t="s">
        <v>241</v>
      </c>
      <c r="D2572" t="s">
        <v>324</v>
      </c>
      <c r="E2572" t="s">
        <v>557</v>
      </c>
      <c r="F2572" t="s">
        <v>1068</v>
      </c>
      <c r="G2572" t="s">
        <v>1069</v>
      </c>
      <c r="H2572">
        <v>-5.0601746822997597E-2</v>
      </c>
      <c r="I2572" t="s">
        <v>1070</v>
      </c>
      <c r="J2572">
        <v>2.04</v>
      </c>
    </row>
    <row r="2573" spans="1:10" hidden="1">
      <c r="A2573" t="s">
        <v>2008</v>
      </c>
      <c r="B2573" t="s">
        <v>2009</v>
      </c>
      <c r="C2573" t="s">
        <v>241</v>
      </c>
      <c r="D2573" t="s">
        <v>324</v>
      </c>
      <c r="E2573" t="s">
        <v>557</v>
      </c>
      <c r="F2573" t="s">
        <v>1068</v>
      </c>
      <c r="G2573" t="s">
        <v>1071</v>
      </c>
      <c r="H2573" s="170">
        <v>-1.05514299875684E-10</v>
      </c>
      <c r="I2573" t="s">
        <v>1072</v>
      </c>
      <c r="J2573">
        <v>2.04</v>
      </c>
    </row>
    <row r="2574" spans="1:10" hidden="1">
      <c r="A2574" t="s">
        <v>2008</v>
      </c>
      <c r="B2574" t="s">
        <v>2009</v>
      </c>
      <c r="C2574" t="s">
        <v>241</v>
      </c>
      <c r="D2574" t="s">
        <v>324</v>
      </c>
      <c r="E2574" t="s">
        <v>557</v>
      </c>
      <c r="F2574" t="s">
        <v>1068</v>
      </c>
      <c r="G2574" t="s">
        <v>1073</v>
      </c>
      <c r="H2574" s="170">
        <v>-2.05841903516489E-8</v>
      </c>
      <c r="I2574" t="s">
        <v>1074</v>
      </c>
      <c r="J2574">
        <v>2.04</v>
      </c>
    </row>
    <row r="2575" spans="1:10" hidden="1">
      <c r="A2575" t="s">
        <v>2008</v>
      </c>
      <c r="B2575" t="s">
        <v>2009</v>
      </c>
      <c r="C2575" t="s">
        <v>241</v>
      </c>
      <c r="D2575" t="s">
        <v>324</v>
      </c>
      <c r="E2575" t="s">
        <v>557</v>
      </c>
      <c r="F2575" t="s">
        <v>1068</v>
      </c>
      <c r="G2575" t="s">
        <v>1075</v>
      </c>
      <c r="H2575">
        <v>2.4026514192631398E-3</v>
      </c>
      <c r="I2575" t="s">
        <v>1077</v>
      </c>
      <c r="J2575">
        <v>2.04</v>
      </c>
    </row>
    <row r="2576" spans="1:10" hidden="1">
      <c r="A2576" t="s">
        <v>2008</v>
      </c>
      <c r="B2576" t="s">
        <v>2009</v>
      </c>
      <c r="C2576" t="s">
        <v>241</v>
      </c>
      <c r="D2576" t="s">
        <v>324</v>
      </c>
      <c r="E2576" t="s">
        <v>557</v>
      </c>
      <c r="F2576" t="s">
        <v>1068</v>
      </c>
      <c r="G2576" t="s">
        <v>1078</v>
      </c>
      <c r="H2576">
        <v>-1.6520461883473201</v>
      </c>
      <c r="I2576" t="s">
        <v>1079</v>
      </c>
      <c r="J2576">
        <v>2.04</v>
      </c>
    </row>
    <row r="2577" spans="1:10" hidden="1">
      <c r="A2577" t="s">
        <v>2008</v>
      </c>
      <c r="B2577" t="s">
        <v>2009</v>
      </c>
      <c r="C2577" t="s">
        <v>241</v>
      </c>
      <c r="D2577" t="s">
        <v>324</v>
      </c>
      <c r="E2577" t="s">
        <v>557</v>
      </c>
      <c r="F2577" t="s">
        <v>1068</v>
      </c>
      <c r="G2577" t="s">
        <v>1080</v>
      </c>
      <c r="H2577" s="171" t="s">
        <v>2010</v>
      </c>
      <c r="I2577" t="s">
        <v>1082</v>
      </c>
      <c r="J2577">
        <v>2.04</v>
      </c>
    </row>
    <row r="2578" spans="1:10" hidden="1">
      <c r="A2578" t="s">
        <v>2008</v>
      </c>
      <c r="B2578" t="s">
        <v>2009</v>
      </c>
      <c r="C2578" t="s">
        <v>241</v>
      </c>
      <c r="D2578" t="s">
        <v>324</v>
      </c>
      <c r="E2578" t="s">
        <v>557</v>
      </c>
      <c r="F2578" t="s">
        <v>1068</v>
      </c>
      <c r="G2578" t="s">
        <v>1083</v>
      </c>
      <c r="H2578">
        <v>-3.4585609991432499E-4</v>
      </c>
      <c r="I2578" t="s">
        <v>1084</v>
      </c>
      <c r="J2578">
        <v>2.04</v>
      </c>
    </row>
    <row r="2579" spans="1:10" hidden="1">
      <c r="A2579" t="s">
        <v>2008</v>
      </c>
      <c r="B2579" t="s">
        <v>2009</v>
      </c>
      <c r="C2579" t="s">
        <v>241</v>
      </c>
      <c r="D2579" t="s">
        <v>324</v>
      </c>
      <c r="E2579" t="s">
        <v>557</v>
      </c>
      <c r="F2579" t="s">
        <v>1068</v>
      </c>
      <c r="G2579" t="s">
        <v>1085</v>
      </c>
      <c r="H2579">
        <v>-9.7318599095444405E-3</v>
      </c>
      <c r="I2579" t="s">
        <v>1086</v>
      </c>
      <c r="J2579">
        <v>2.04</v>
      </c>
    </row>
    <row r="2580" spans="1:10" hidden="1">
      <c r="A2580" t="s">
        <v>2008</v>
      </c>
      <c r="B2580" t="s">
        <v>2009</v>
      </c>
      <c r="C2580" t="s">
        <v>241</v>
      </c>
      <c r="D2580" t="s">
        <v>324</v>
      </c>
      <c r="E2580" t="s">
        <v>557</v>
      </c>
      <c r="F2580" t="s">
        <v>1068</v>
      </c>
      <c r="G2580" t="s">
        <v>1087</v>
      </c>
      <c r="H2580" s="170">
        <v>-1.8630678901500799E-8</v>
      </c>
      <c r="I2580" t="s">
        <v>1088</v>
      </c>
      <c r="J2580">
        <v>2.04</v>
      </c>
    </row>
    <row r="2581" spans="1:10" hidden="1">
      <c r="A2581" t="s">
        <v>2008</v>
      </c>
      <c r="B2581" t="s">
        <v>2009</v>
      </c>
      <c r="C2581" t="s">
        <v>241</v>
      </c>
      <c r="D2581" t="s">
        <v>324</v>
      </c>
      <c r="E2581" t="s">
        <v>557</v>
      </c>
      <c r="F2581" t="s">
        <v>1068</v>
      </c>
      <c r="G2581" t="s">
        <v>1089</v>
      </c>
      <c r="H2581">
        <v>-2.6421235021572699E-3</v>
      </c>
      <c r="I2581" t="s">
        <v>1090</v>
      </c>
      <c r="J2581">
        <v>2.04</v>
      </c>
    </row>
    <row r="2582" spans="1:10" hidden="1">
      <c r="A2582" t="s">
        <v>2011</v>
      </c>
      <c r="B2582" t="s">
        <v>2012</v>
      </c>
      <c r="C2582" t="s">
        <v>241</v>
      </c>
      <c r="D2582" t="s">
        <v>324</v>
      </c>
      <c r="E2582" t="s">
        <v>559</v>
      </c>
      <c r="F2582" t="s">
        <v>1068</v>
      </c>
      <c r="G2582" t="s">
        <v>1069</v>
      </c>
      <c r="H2582">
        <v>-5.0530475155052497E-2</v>
      </c>
      <c r="I2582" t="s">
        <v>1070</v>
      </c>
      <c r="J2582">
        <v>2.04</v>
      </c>
    </row>
    <row r="2583" spans="1:10" hidden="1">
      <c r="A2583" t="s">
        <v>2011</v>
      </c>
      <c r="B2583" t="s">
        <v>2012</v>
      </c>
      <c r="C2583" t="s">
        <v>241</v>
      </c>
      <c r="D2583" t="s">
        <v>324</v>
      </c>
      <c r="E2583" t="s">
        <v>559</v>
      </c>
      <c r="F2583" t="s">
        <v>1068</v>
      </c>
      <c r="G2583" t="s">
        <v>1071</v>
      </c>
      <c r="H2583" s="170">
        <v>-1.0536702444651E-10</v>
      </c>
      <c r="I2583" t="s">
        <v>1072</v>
      </c>
      <c r="J2583">
        <v>2.04</v>
      </c>
    </row>
    <row r="2584" spans="1:10" hidden="1">
      <c r="A2584" t="s">
        <v>2011</v>
      </c>
      <c r="B2584" t="s">
        <v>2012</v>
      </c>
      <c r="C2584" t="s">
        <v>241</v>
      </c>
      <c r="D2584" t="s">
        <v>324</v>
      </c>
      <c r="E2584" t="s">
        <v>559</v>
      </c>
      <c r="F2584" t="s">
        <v>1068</v>
      </c>
      <c r="G2584" t="s">
        <v>1073</v>
      </c>
      <c r="H2584" s="170">
        <v>-2.0563027635276999E-8</v>
      </c>
      <c r="I2584" t="s">
        <v>1074</v>
      </c>
      <c r="J2584">
        <v>2.04</v>
      </c>
    </row>
    <row r="2585" spans="1:10" hidden="1">
      <c r="A2585" t="s">
        <v>2011</v>
      </c>
      <c r="B2585" t="s">
        <v>2012</v>
      </c>
      <c r="C2585" t="s">
        <v>241</v>
      </c>
      <c r="D2585" t="s">
        <v>324</v>
      </c>
      <c r="E2585" t="s">
        <v>559</v>
      </c>
      <c r="F2585" t="s">
        <v>1068</v>
      </c>
      <c r="G2585" t="s">
        <v>1075</v>
      </c>
      <c r="H2585">
        <v>2.4346756043680498E-3</v>
      </c>
      <c r="I2585" t="s">
        <v>1077</v>
      </c>
      <c r="J2585">
        <v>2.04</v>
      </c>
    </row>
    <row r="2586" spans="1:10" hidden="1">
      <c r="A2586" t="s">
        <v>2011</v>
      </c>
      <c r="B2586" t="s">
        <v>2012</v>
      </c>
      <c r="C2586" t="s">
        <v>241</v>
      </c>
      <c r="D2586" t="s">
        <v>324</v>
      </c>
      <c r="E2586" t="s">
        <v>559</v>
      </c>
      <c r="F2586" t="s">
        <v>1068</v>
      </c>
      <c r="G2586" t="s">
        <v>1078</v>
      </c>
      <c r="H2586">
        <v>-1.6393479664895301</v>
      </c>
      <c r="I2586" t="s">
        <v>1079</v>
      </c>
      <c r="J2586">
        <v>2.04</v>
      </c>
    </row>
    <row r="2587" spans="1:10" hidden="1">
      <c r="A2587" t="s">
        <v>2011</v>
      </c>
      <c r="B2587" t="s">
        <v>2012</v>
      </c>
      <c r="C2587" t="s">
        <v>241</v>
      </c>
      <c r="D2587" t="s">
        <v>324</v>
      </c>
      <c r="E2587" t="s">
        <v>559</v>
      </c>
      <c r="F2587" t="s">
        <v>1068</v>
      </c>
      <c r="G2587" t="s">
        <v>1080</v>
      </c>
      <c r="H2587" s="171" t="s">
        <v>2013</v>
      </c>
      <c r="I2587" t="s">
        <v>1082</v>
      </c>
      <c r="J2587">
        <v>2.04</v>
      </c>
    </row>
    <row r="2588" spans="1:10" hidden="1">
      <c r="A2588" t="s">
        <v>2011</v>
      </c>
      <c r="B2588" t="s">
        <v>2012</v>
      </c>
      <c r="C2588" t="s">
        <v>241</v>
      </c>
      <c r="D2588" t="s">
        <v>324</v>
      </c>
      <c r="E2588" t="s">
        <v>559</v>
      </c>
      <c r="F2588" t="s">
        <v>1068</v>
      </c>
      <c r="G2588" t="s">
        <v>1083</v>
      </c>
      <c r="H2588">
        <v>-3.4584819670127701E-4</v>
      </c>
      <c r="I2588" t="s">
        <v>1084</v>
      </c>
      <c r="J2588">
        <v>2.04</v>
      </c>
    </row>
    <row r="2589" spans="1:10" hidden="1">
      <c r="A2589" t="s">
        <v>2011</v>
      </c>
      <c r="B2589" t="s">
        <v>2012</v>
      </c>
      <c r="C2589" t="s">
        <v>241</v>
      </c>
      <c r="D2589" t="s">
        <v>324</v>
      </c>
      <c r="E2589" t="s">
        <v>559</v>
      </c>
      <c r="F2589" t="s">
        <v>1068</v>
      </c>
      <c r="G2589" t="s">
        <v>1085</v>
      </c>
      <c r="H2589">
        <v>-9.7316105641470103E-3</v>
      </c>
      <c r="I2589" t="s">
        <v>1086</v>
      </c>
      <c r="J2589">
        <v>2.04</v>
      </c>
    </row>
    <row r="2590" spans="1:10" hidden="1">
      <c r="A2590" t="s">
        <v>2011</v>
      </c>
      <c r="B2590" t="s">
        <v>2012</v>
      </c>
      <c r="C2590" t="s">
        <v>241</v>
      </c>
      <c r="D2590" t="s">
        <v>324</v>
      </c>
      <c r="E2590" t="s">
        <v>559</v>
      </c>
      <c r="F2590" t="s">
        <v>1068</v>
      </c>
      <c r="G2590" t="s">
        <v>1087</v>
      </c>
      <c r="H2590" s="170">
        <v>-1.7117401935658199E-8</v>
      </c>
      <c r="I2590" t="s">
        <v>1088</v>
      </c>
      <c r="J2590">
        <v>2.04</v>
      </c>
    </row>
    <row r="2591" spans="1:10" hidden="1">
      <c r="A2591" t="s">
        <v>2011</v>
      </c>
      <c r="B2591" t="s">
        <v>2012</v>
      </c>
      <c r="C2591" t="s">
        <v>241</v>
      </c>
      <c r="D2591" t="s">
        <v>324</v>
      </c>
      <c r="E2591" t="s">
        <v>559</v>
      </c>
      <c r="F2591" t="s">
        <v>1068</v>
      </c>
      <c r="G2591" t="s">
        <v>1089</v>
      </c>
      <c r="H2591">
        <v>-2.6420999399174401E-3</v>
      </c>
      <c r="I2591" t="s">
        <v>1090</v>
      </c>
      <c r="J2591">
        <v>2.04</v>
      </c>
    </row>
    <row r="2592" spans="1:10" hidden="1">
      <c r="A2592" t="s">
        <v>2014</v>
      </c>
      <c r="B2592" t="s">
        <v>2015</v>
      </c>
      <c r="C2592" t="s">
        <v>241</v>
      </c>
      <c r="D2592" t="s">
        <v>324</v>
      </c>
      <c r="E2592" t="s">
        <v>560</v>
      </c>
      <c r="F2592" t="s">
        <v>1068</v>
      </c>
      <c r="G2592" t="s">
        <v>1069</v>
      </c>
      <c r="H2592">
        <v>-5.0567551272577699E-2</v>
      </c>
      <c r="I2592" t="s">
        <v>1070</v>
      </c>
      <c r="J2592">
        <v>2.04</v>
      </c>
    </row>
    <row r="2593" spans="1:10" hidden="1">
      <c r="A2593" t="s">
        <v>2014</v>
      </c>
      <c r="B2593" t="s">
        <v>2015</v>
      </c>
      <c r="C2593" t="s">
        <v>241</v>
      </c>
      <c r="D2593" t="s">
        <v>324</v>
      </c>
      <c r="E2593" t="s">
        <v>560</v>
      </c>
      <c r="F2593" t="s">
        <v>1068</v>
      </c>
      <c r="G2593" t="s">
        <v>1071</v>
      </c>
      <c r="H2593" s="170">
        <v>-1.05465365654059E-10</v>
      </c>
      <c r="I2593" t="s">
        <v>1072</v>
      </c>
      <c r="J2593">
        <v>2.04</v>
      </c>
    </row>
    <row r="2594" spans="1:10" hidden="1">
      <c r="A2594" t="s">
        <v>2014</v>
      </c>
      <c r="B2594" t="s">
        <v>2015</v>
      </c>
      <c r="C2594" t="s">
        <v>241</v>
      </c>
      <c r="D2594" t="s">
        <v>324</v>
      </c>
      <c r="E2594" t="s">
        <v>560</v>
      </c>
      <c r="F2594" t="s">
        <v>1068</v>
      </c>
      <c r="G2594" t="s">
        <v>1073</v>
      </c>
      <c r="H2594" s="170">
        <v>-2.0572043983941901E-8</v>
      </c>
      <c r="I2594" t="s">
        <v>1074</v>
      </c>
      <c r="J2594">
        <v>2.04</v>
      </c>
    </row>
    <row r="2595" spans="1:10" hidden="1">
      <c r="A2595" t="s">
        <v>2014</v>
      </c>
      <c r="B2595" t="s">
        <v>2015</v>
      </c>
      <c r="C2595" t="s">
        <v>241</v>
      </c>
      <c r="D2595" t="s">
        <v>324</v>
      </c>
      <c r="E2595" t="s">
        <v>560</v>
      </c>
      <c r="F2595" t="s">
        <v>1068</v>
      </c>
      <c r="G2595" t="s">
        <v>1075</v>
      </c>
      <c r="H2595">
        <v>2.4037323771430399E-3</v>
      </c>
      <c r="I2595" t="s">
        <v>1077</v>
      </c>
      <c r="J2595">
        <v>2.04</v>
      </c>
    </row>
    <row r="2596" spans="1:10" hidden="1">
      <c r="A2596" t="s">
        <v>2014</v>
      </c>
      <c r="B2596" t="s">
        <v>2015</v>
      </c>
      <c r="C2596" t="s">
        <v>241</v>
      </c>
      <c r="D2596" t="s">
        <v>324</v>
      </c>
      <c r="E2596" t="s">
        <v>560</v>
      </c>
      <c r="F2596" t="s">
        <v>1068</v>
      </c>
      <c r="G2596" t="s">
        <v>1078</v>
      </c>
      <c r="H2596">
        <v>-1.6519994435588701</v>
      </c>
      <c r="I2596" t="s">
        <v>1079</v>
      </c>
      <c r="J2596">
        <v>2.04</v>
      </c>
    </row>
    <row r="2597" spans="1:10" hidden="1">
      <c r="A2597" t="s">
        <v>2014</v>
      </c>
      <c r="B2597" t="s">
        <v>2015</v>
      </c>
      <c r="C2597" t="s">
        <v>241</v>
      </c>
      <c r="D2597" t="s">
        <v>324</v>
      </c>
      <c r="E2597" t="s">
        <v>560</v>
      </c>
      <c r="F2597" t="s">
        <v>1068</v>
      </c>
      <c r="G2597" t="s">
        <v>1080</v>
      </c>
      <c r="H2597" s="171" t="s">
        <v>2016</v>
      </c>
      <c r="I2597" t="s">
        <v>1082</v>
      </c>
      <c r="J2597">
        <v>2.04</v>
      </c>
    </row>
    <row r="2598" spans="1:10" hidden="1">
      <c r="A2598" t="s">
        <v>2014</v>
      </c>
      <c r="B2598" t="s">
        <v>2015</v>
      </c>
      <c r="C2598" t="s">
        <v>241</v>
      </c>
      <c r="D2598" t="s">
        <v>324</v>
      </c>
      <c r="E2598" t="s">
        <v>560</v>
      </c>
      <c r="F2598" t="s">
        <v>1068</v>
      </c>
      <c r="G2598" t="s">
        <v>1083</v>
      </c>
      <c r="H2598">
        <v>-3.4585090216851099E-4</v>
      </c>
      <c r="I2598" t="s">
        <v>1084</v>
      </c>
      <c r="J2598">
        <v>2.04</v>
      </c>
    </row>
    <row r="2599" spans="1:10" hidden="1">
      <c r="A2599" t="s">
        <v>2014</v>
      </c>
      <c r="B2599" t="s">
        <v>2015</v>
      </c>
      <c r="C2599" t="s">
        <v>241</v>
      </c>
      <c r="D2599" t="s">
        <v>324</v>
      </c>
      <c r="E2599" t="s">
        <v>560</v>
      </c>
      <c r="F2599" t="s">
        <v>1068</v>
      </c>
      <c r="G2599" t="s">
        <v>1085</v>
      </c>
      <c r="H2599">
        <v>-9.7318011644675507E-3</v>
      </c>
      <c r="I2599" t="s">
        <v>1086</v>
      </c>
      <c r="J2599">
        <v>2.04</v>
      </c>
    </row>
    <row r="2600" spans="1:10" hidden="1">
      <c r="A2600" t="s">
        <v>2014</v>
      </c>
      <c r="B2600" t="s">
        <v>2015</v>
      </c>
      <c r="C2600" t="s">
        <v>241</v>
      </c>
      <c r="D2600" t="s">
        <v>324</v>
      </c>
      <c r="E2600" t="s">
        <v>560</v>
      </c>
      <c r="F2600" t="s">
        <v>1068</v>
      </c>
      <c r="G2600" t="s">
        <v>1087</v>
      </c>
      <c r="H2600" s="170">
        <v>-1.86023282591612E-8</v>
      </c>
      <c r="I2600" t="s">
        <v>1088</v>
      </c>
      <c r="J2600">
        <v>2.04</v>
      </c>
    </row>
    <row r="2601" spans="1:10" hidden="1">
      <c r="A2601" t="s">
        <v>2014</v>
      </c>
      <c r="B2601" t="s">
        <v>2015</v>
      </c>
      <c r="C2601" t="s">
        <v>241</v>
      </c>
      <c r="D2601" t="s">
        <v>324</v>
      </c>
      <c r="E2601" t="s">
        <v>560</v>
      </c>
      <c r="F2601" t="s">
        <v>1068</v>
      </c>
      <c r="G2601" t="s">
        <v>1089</v>
      </c>
      <c r="H2601">
        <v>-2.6421113831639198E-3</v>
      </c>
      <c r="I2601" t="s">
        <v>1090</v>
      </c>
      <c r="J2601">
        <v>2.04</v>
      </c>
    </row>
    <row r="2602" spans="1:10" hidden="1">
      <c r="A2602" t="s">
        <v>2017</v>
      </c>
      <c r="B2602" t="s">
        <v>2018</v>
      </c>
      <c r="C2602" t="s">
        <v>241</v>
      </c>
      <c r="D2602" t="s">
        <v>324</v>
      </c>
      <c r="E2602" t="s">
        <v>1116</v>
      </c>
      <c r="F2602" t="s">
        <v>1068</v>
      </c>
      <c r="G2602" t="s">
        <v>1069</v>
      </c>
      <c r="H2602">
        <v>-5.0671338207130601E-2</v>
      </c>
      <c r="I2602" t="s">
        <v>1070</v>
      </c>
      <c r="J2602">
        <v>2.04</v>
      </c>
    </row>
    <row r="2603" spans="1:10" hidden="1">
      <c r="A2603" t="s">
        <v>2017</v>
      </c>
      <c r="B2603" t="s">
        <v>2018</v>
      </c>
      <c r="C2603" t="s">
        <v>241</v>
      </c>
      <c r="D2603" t="s">
        <v>324</v>
      </c>
      <c r="E2603" t="s">
        <v>1116</v>
      </c>
      <c r="F2603" t="s">
        <v>1068</v>
      </c>
      <c r="G2603" t="s">
        <v>1071</v>
      </c>
      <c r="H2603" s="170">
        <v>-1.05613885938111E-10</v>
      </c>
      <c r="I2603" t="s">
        <v>1072</v>
      </c>
      <c r="J2603">
        <v>2.04</v>
      </c>
    </row>
    <row r="2604" spans="1:10" hidden="1">
      <c r="A2604" t="s">
        <v>2017</v>
      </c>
      <c r="B2604" t="s">
        <v>2018</v>
      </c>
      <c r="C2604" t="s">
        <v>241</v>
      </c>
      <c r="D2604" t="s">
        <v>324</v>
      </c>
      <c r="E2604" t="s">
        <v>1116</v>
      </c>
      <c r="F2604" t="s">
        <v>1068</v>
      </c>
      <c r="G2604" t="s">
        <v>1073</v>
      </c>
      <c r="H2604" s="170">
        <v>-2.0608909431493499E-8</v>
      </c>
      <c r="I2604" t="s">
        <v>1074</v>
      </c>
      <c r="J2604">
        <v>2.04</v>
      </c>
    </row>
    <row r="2605" spans="1:10" hidden="1">
      <c r="A2605" t="s">
        <v>2017</v>
      </c>
      <c r="B2605" t="s">
        <v>2018</v>
      </c>
      <c r="C2605" t="s">
        <v>241</v>
      </c>
      <c r="D2605" t="s">
        <v>324</v>
      </c>
      <c r="E2605" t="s">
        <v>1116</v>
      </c>
      <c r="F2605" t="s">
        <v>1068</v>
      </c>
      <c r="G2605" t="s">
        <v>1075</v>
      </c>
      <c r="H2605">
        <v>2.40045156126835E-3</v>
      </c>
      <c r="I2605" t="s">
        <v>1077</v>
      </c>
      <c r="J2605">
        <v>2.04</v>
      </c>
    </row>
    <row r="2606" spans="1:10" hidden="1">
      <c r="A2606" t="s">
        <v>2017</v>
      </c>
      <c r="B2606" t="s">
        <v>2018</v>
      </c>
      <c r="C2606" t="s">
        <v>241</v>
      </c>
      <c r="D2606" t="s">
        <v>324</v>
      </c>
      <c r="E2606" t="s">
        <v>1116</v>
      </c>
      <c r="F2606" t="s">
        <v>1068</v>
      </c>
      <c r="G2606" t="s">
        <v>1078</v>
      </c>
      <c r="H2606">
        <v>-1.6521413186927301</v>
      </c>
      <c r="I2606" t="s">
        <v>1079</v>
      </c>
      <c r="J2606">
        <v>2.04</v>
      </c>
    </row>
    <row r="2607" spans="1:10" hidden="1">
      <c r="A2607" t="s">
        <v>2017</v>
      </c>
      <c r="B2607" t="s">
        <v>2018</v>
      </c>
      <c r="C2607" t="s">
        <v>241</v>
      </c>
      <c r="D2607" t="s">
        <v>324</v>
      </c>
      <c r="E2607" t="s">
        <v>1116</v>
      </c>
      <c r="F2607" t="s">
        <v>1068</v>
      </c>
      <c r="G2607" t="s">
        <v>1080</v>
      </c>
      <c r="H2607" s="171" t="s">
        <v>2019</v>
      </c>
      <c r="I2607" t="s">
        <v>1082</v>
      </c>
      <c r="J2607">
        <v>2.04</v>
      </c>
    </row>
    <row r="2608" spans="1:10" hidden="1">
      <c r="A2608" t="s">
        <v>2017</v>
      </c>
      <c r="B2608" t="s">
        <v>2018</v>
      </c>
      <c r="C2608" t="s">
        <v>241</v>
      </c>
      <c r="D2608" t="s">
        <v>324</v>
      </c>
      <c r="E2608" t="s">
        <v>1116</v>
      </c>
      <c r="F2608" t="s">
        <v>1068</v>
      </c>
      <c r="G2608" t="s">
        <v>1083</v>
      </c>
      <c r="H2608">
        <v>-3.4586667784977101E-4</v>
      </c>
      <c r="I2608" t="s">
        <v>1084</v>
      </c>
      <c r="J2608">
        <v>2.04</v>
      </c>
    </row>
    <row r="2609" spans="1:10" hidden="1">
      <c r="A2609" t="s">
        <v>2017</v>
      </c>
      <c r="B2609" t="s">
        <v>2018</v>
      </c>
      <c r="C2609" t="s">
        <v>241</v>
      </c>
      <c r="D2609" t="s">
        <v>324</v>
      </c>
      <c r="E2609" t="s">
        <v>1116</v>
      </c>
      <c r="F2609" t="s">
        <v>1068</v>
      </c>
      <c r="G2609" t="s">
        <v>1085</v>
      </c>
      <c r="H2609">
        <v>-9.7319794616836704E-3</v>
      </c>
      <c r="I2609" t="s">
        <v>1086</v>
      </c>
      <c r="J2609">
        <v>2.04</v>
      </c>
    </row>
    <row r="2610" spans="1:10" hidden="1">
      <c r="A2610" t="s">
        <v>2017</v>
      </c>
      <c r="B2610" t="s">
        <v>2018</v>
      </c>
      <c r="C2610" t="s">
        <v>241</v>
      </c>
      <c r="D2610" t="s">
        <v>324</v>
      </c>
      <c r="E2610" t="s">
        <v>1116</v>
      </c>
      <c r="F2610" t="s">
        <v>1068</v>
      </c>
      <c r="G2610" t="s">
        <v>1087</v>
      </c>
      <c r="H2610" s="170">
        <v>-1.8688375309770701E-8</v>
      </c>
      <c r="I2610" t="s">
        <v>1088</v>
      </c>
      <c r="J2610">
        <v>2.04</v>
      </c>
    </row>
    <row r="2611" spans="1:10" hidden="1">
      <c r="A2611" t="s">
        <v>2017</v>
      </c>
      <c r="B2611" t="s">
        <v>2018</v>
      </c>
      <c r="C2611" t="s">
        <v>241</v>
      </c>
      <c r="D2611" t="s">
        <v>324</v>
      </c>
      <c r="E2611" t="s">
        <v>1116</v>
      </c>
      <c r="F2611" t="s">
        <v>1068</v>
      </c>
      <c r="G2611" t="s">
        <v>1089</v>
      </c>
      <c r="H2611">
        <v>-2.6421481655275101E-3</v>
      </c>
      <c r="I2611" t="s">
        <v>1090</v>
      </c>
      <c r="J2611">
        <v>2.04</v>
      </c>
    </row>
    <row r="2612" spans="1:10" hidden="1">
      <c r="A2612" t="s">
        <v>2020</v>
      </c>
      <c r="B2612" t="s">
        <v>2021</v>
      </c>
      <c r="C2612" t="s">
        <v>241</v>
      </c>
      <c r="D2612" t="s">
        <v>1368</v>
      </c>
      <c r="E2612" t="s">
        <v>561</v>
      </c>
      <c r="F2612" t="s">
        <v>1068</v>
      </c>
      <c r="G2612" t="s">
        <v>1069</v>
      </c>
      <c r="H2612">
        <v>-8.8152968746426905E-2</v>
      </c>
      <c r="I2612" t="s">
        <v>1070</v>
      </c>
      <c r="J2612">
        <v>2.04</v>
      </c>
    </row>
    <row r="2613" spans="1:10" hidden="1">
      <c r="A2613" t="s">
        <v>2020</v>
      </c>
      <c r="B2613" t="s">
        <v>2021</v>
      </c>
      <c r="C2613" t="s">
        <v>241</v>
      </c>
      <c r="D2613" t="s">
        <v>1368</v>
      </c>
      <c r="E2613" t="s">
        <v>561</v>
      </c>
      <c r="F2613" t="s">
        <v>1068</v>
      </c>
      <c r="G2613" t="s">
        <v>1071</v>
      </c>
      <c r="H2613" s="170">
        <v>-1.87454023240527E-10</v>
      </c>
      <c r="I2613" t="s">
        <v>1072</v>
      </c>
      <c r="J2613">
        <v>2.04</v>
      </c>
    </row>
    <row r="2614" spans="1:10" hidden="1">
      <c r="A2614" t="s">
        <v>2020</v>
      </c>
      <c r="B2614" t="s">
        <v>2021</v>
      </c>
      <c r="C2614" t="s">
        <v>241</v>
      </c>
      <c r="D2614" t="s">
        <v>1368</v>
      </c>
      <c r="E2614" t="s">
        <v>561</v>
      </c>
      <c r="F2614" t="s">
        <v>1068</v>
      </c>
      <c r="G2614" t="s">
        <v>1073</v>
      </c>
      <c r="H2614" s="170">
        <v>-3.5546543213670001E-8</v>
      </c>
      <c r="I2614" t="s">
        <v>1074</v>
      </c>
      <c r="J2614">
        <v>2.04</v>
      </c>
    </row>
    <row r="2615" spans="1:10" hidden="1">
      <c r="A2615" t="s">
        <v>2020</v>
      </c>
      <c r="B2615" t="s">
        <v>2021</v>
      </c>
      <c r="C2615" t="s">
        <v>241</v>
      </c>
      <c r="D2615" t="s">
        <v>1368</v>
      </c>
      <c r="E2615" t="s">
        <v>561</v>
      </c>
      <c r="F2615" t="s">
        <v>1068</v>
      </c>
      <c r="G2615" t="s">
        <v>1075</v>
      </c>
      <c r="H2615">
        <v>2.0055224485689398E-3</v>
      </c>
      <c r="I2615" t="s">
        <v>1077</v>
      </c>
      <c r="J2615">
        <v>2.04</v>
      </c>
    </row>
    <row r="2616" spans="1:10" hidden="1">
      <c r="A2616" t="s">
        <v>2020</v>
      </c>
      <c r="B2616" t="s">
        <v>2021</v>
      </c>
      <c r="C2616" t="s">
        <v>241</v>
      </c>
      <c r="D2616" t="s">
        <v>1368</v>
      </c>
      <c r="E2616" t="s">
        <v>561</v>
      </c>
      <c r="F2616" t="s">
        <v>1068</v>
      </c>
      <c r="G2616" t="s">
        <v>1078</v>
      </c>
      <c r="H2616">
        <v>-1.60158523725014</v>
      </c>
      <c r="I2616" t="s">
        <v>1079</v>
      </c>
      <c r="J2616">
        <v>2.04</v>
      </c>
    </row>
    <row r="2617" spans="1:10" hidden="1">
      <c r="A2617" t="s">
        <v>2020</v>
      </c>
      <c r="B2617" t="s">
        <v>2021</v>
      </c>
      <c r="C2617" t="s">
        <v>241</v>
      </c>
      <c r="D2617" t="s">
        <v>1368</v>
      </c>
      <c r="E2617" t="s">
        <v>561</v>
      </c>
      <c r="F2617" t="s">
        <v>1068</v>
      </c>
      <c r="G2617" t="s">
        <v>1080</v>
      </c>
      <c r="H2617" s="171" t="s">
        <v>2022</v>
      </c>
      <c r="I2617" t="s">
        <v>1082</v>
      </c>
      <c r="J2617">
        <v>2.04</v>
      </c>
    </row>
    <row r="2618" spans="1:10" hidden="1">
      <c r="A2618" t="s">
        <v>2020</v>
      </c>
      <c r="B2618" t="s">
        <v>2021</v>
      </c>
      <c r="C2618" t="s">
        <v>241</v>
      </c>
      <c r="D2618" t="s">
        <v>1368</v>
      </c>
      <c r="E2618" t="s">
        <v>561</v>
      </c>
      <c r="F2618" t="s">
        <v>1068</v>
      </c>
      <c r="G2618" t="s">
        <v>1083</v>
      </c>
      <c r="H2618">
        <v>-4.6876981822871098E-4</v>
      </c>
      <c r="I2618" t="s">
        <v>1084</v>
      </c>
      <c r="J2618">
        <v>2.04</v>
      </c>
    </row>
    <row r="2619" spans="1:10" hidden="1">
      <c r="A2619" t="s">
        <v>2020</v>
      </c>
      <c r="B2619" t="s">
        <v>2021</v>
      </c>
      <c r="C2619" t="s">
        <v>241</v>
      </c>
      <c r="D2619" t="s">
        <v>1368</v>
      </c>
      <c r="E2619" t="s">
        <v>561</v>
      </c>
      <c r="F2619" t="s">
        <v>1068</v>
      </c>
      <c r="G2619" t="s">
        <v>1085</v>
      </c>
      <c r="H2619">
        <v>-1.31954506847007E-2</v>
      </c>
      <c r="I2619" t="s">
        <v>1086</v>
      </c>
      <c r="J2619">
        <v>2.04</v>
      </c>
    </row>
    <row r="2620" spans="1:10" hidden="1">
      <c r="A2620" t="s">
        <v>2020</v>
      </c>
      <c r="B2620" t="s">
        <v>2021</v>
      </c>
      <c r="C2620" t="s">
        <v>241</v>
      </c>
      <c r="D2620" t="s">
        <v>1368</v>
      </c>
      <c r="E2620" t="s">
        <v>561</v>
      </c>
      <c r="F2620" t="s">
        <v>1068</v>
      </c>
      <c r="G2620" t="s">
        <v>1087</v>
      </c>
      <c r="H2620" s="171" t="s">
        <v>2023</v>
      </c>
      <c r="I2620" t="s">
        <v>1088</v>
      </c>
      <c r="J2620">
        <v>2.04</v>
      </c>
    </row>
    <row r="2621" spans="1:10" hidden="1">
      <c r="A2621" t="s">
        <v>2020</v>
      </c>
      <c r="B2621" t="s">
        <v>2021</v>
      </c>
      <c r="C2621" t="s">
        <v>241</v>
      </c>
      <c r="D2621" t="s">
        <v>1368</v>
      </c>
      <c r="E2621" t="s">
        <v>561</v>
      </c>
      <c r="F2621" t="s">
        <v>1068</v>
      </c>
      <c r="G2621" t="s">
        <v>1089</v>
      </c>
      <c r="H2621">
        <v>-3.5850083996888998E-3</v>
      </c>
      <c r="I2621" t="s">
        <v>1090</v>
      </c>
      <c r="J2621">
        <v>2.04</v>
      </c>
    </row>
    <row r="2622" spans="1:10" hidden="1">
      <c r="A2622" t="s">
        <v>2024</v>
      </c>
      <c r="B2622" t="s">
        <v>2025</v>
      </c>
      <c r="C2622" t="s">
        <v>241</v>
      </c>
      <c r="D2622" t="s">
        <v>1368</v>
      </c>
      <c r="E2622" t="s">
        <v>555</v>
      </c>
      <c r="F2622" t="s">
        <v>1068</v>
      </c>
      <c r="G2622" t="s">
        <v>1069</v>
      </c>
      <c r="H2622">
        <v>-8.7951238607527599E-2</v>
      </c>
      <c r="I2622" t="s">
        <v>1070</v>
      </c>
      <c r="J2622">
        <v>2.5299999999999998</v>
      </c>
    </row>
    <row r="2623" spans="1:10" hidden="1">
      <c r="A2623" t="s">
        <v>2024</v>
      </c>
      <c r="B2623" t="s">
        <v>2025</v>
      </c>
      <c r="C2623" t="s">
        <v>241</v>
      </c>
      <c r="D2623" t="s">
        <v>1368</v>
      </c>
      <c r="E2623" t="s">
        <v>555</v>
      </c>
      <c r="F2623" t="s">
        <v>1068</v>
      </c>
      <c r="G2623" t="s">
        <v>1071</v>
      </c>
      <c r="H2623" s="170">
        <v>-1.8711957719206299E-10</v>
      </c>
      <c r="I2623" t="s">
        <v>1072</v>
      </c>
      <c r="J2623">
        <v>2.5299999999999998</v>
      </c>
    </row>
    <row r="2624" spans="1:10" hidden="1">
      <c r="A2624" t="s">
        <v>2024</v>
      </c>
      <c r="B2624" t="s">
        <v>2025</v>
      </c>
      <c r="C2624" t="s">
        <v>241</v>
      </c>
      <c r="D2624" t="s">
        <v>1368</v>
      </c>
      <c r="E2624" t="s">
        <v>555</v>
      </c>
      <c r="F2624" t="s">
        <v>1068</v>
      </c>
      <c r="G2624" t="s">
        <v>1073</v>
      </c>
      <c r="H2624" s="170">
        <v>-3.54790855387436E-8</v>
      </c>
      <c r="I2624" t="s">
        <v>1074</v>
      </c>
      <c r="J2624">
        <v>2.5299999999999998</v>
      </c>
    </row>
    <row r="2625" spans="1:10" hidden="1">
      <c r="A2625" t="s">
        <v>2024</v>
      </c>
      <c r="B2625" t="s">
        <v>2025</v>
      </c>
      <c r="C2625" t="s">
        <v>241</v>
      </c>
      <c r="D2625" t="s">
        <v>1368</v>
      </c>
      <c r="E2625" t="s">
        <v>555</v>
      </c>
      <c r="F2625" t="s">
        <v>1068</v>
      </c>
      <c r="G2625" t="s">
        <v>1075</v>
      </c>
      <c r="H2625">
        <v>2.0419881411108801E-3</v>
      </c>
      <c r="I2625" t="s">
        <v>1077</v>
      </c>
      <c r="J2625">
        <v>2.5299999999999998</v>
      </c>
    </row>
    <row r="2626" spans="1:10" hidden="1">
      <c r="A2626" t="s">
        <v>2024</v>
      </c>
      <c r="B2626" t="s">
        <v>2025</v>
      </c>
      <c r="C2626" t="s">
        <v>241</v>
      </c>
      <c r="D2626" t="s">
        <v>1368</v>
      </c>
      <c r="E2626" t="s">
        <v>555</v>
      </c>
      <c r="F2626" t="s">
        <v>1068</v>
      </c>
      <c r="G2626" t="s">
        <v>1078</v>
      </c>
      <c r="H2626">
        <v>-1.5885742653418</v>
      </c>
      <c r="I2626" t="s">
        <v>1079</v>
      </c>
      <c r="J2626">
        <v>2.5299999999999998</v>
      </c>
    </row>
    <row r="2627" spans="1:10" hidden="1">
      <c r="A2627" t="s">
        <v>2024</v>
      </c>
      <c r="B2627" t="s">
        <v>2025</v>
      </c>
      <c r="C2627" t="s">
        <v>241</v>
      </c>
      <c r="D2627" t="s">
        <v>1368</v>
      </c>
      <c r="E2627" t="s">
        <v>555</v>
      </c>
      <c r="F2627" t="s">
        <v>1068</v>
      </c>
      <c r="G2627" t="s">
        <v>1080</v>
      </c>
      <c r="H2627" s="171" t="s">
        <v>2026</v>
      </c>
      <c r="I2627" t="s">
        <v>1082</v>
      </c>
      <c r="J2627">
        <v>2.5299999999999998</v>
      </c>
    </row>
    <row r="2628" spans="1:10" hidden="1">
      <c r="A2628" t="s">
        <v>2024</v>
      </c>
      <c r="B2628" t="s">
        <v>2025</v>
      </c>
      <c r="C2628" t="s">
        <v>241</v>
      </c>
      <c r="D2628" t="s">
        <v>1368</v>
      </c>
      <c r="E2628" t="s">
        <v>555</v>
      </c>
      <c r="F2628" t="s">
        <v>1068</v>
      </c>
      <c r="G2628" t="s">
        <v>1083</v>
      </c>
      <c r="H2628">
        <v>-4.6874211649988902E-4</v>
      </c>
      <c r="I2628" t="s">
        <v>1084</v>
      </c>
      <c r="J2628">
        <v>2.5299999999999998</v>
      </c>
    </row>
    <row r="2629" spans="1:10" hidden="1">
      <c r="A2629" t="s">
        <v>2024</v>
      </c>
      <c r="B2629" t="s">
        <v>2025</v>
      </c>
      <c r="C2629" t="s">
        <v>241</v>
      </c>
      <c r="D2629" t="s">
        <v>1368</v>
      </c>
      <c r="E2629" t="s">
        <v>555</v>
      </c>
      <c r="F2629" t="s">
        <v>1068</v>
      </c>
      <c r="G2629" t="s">
        <v>1085</v>
      </c>
      <c r="H2629">
        <v>-1.3194975868892799E-2</v>
      </c>
      <c r="I2629" t="s">
        <v>1086</v>
      </c>
      <c r="J2629">
        <v>2.5299999999999998</v>
      </c>
    </row>
    <row r="2630" spans="1:10" hidden="1">
      <c r="A2630" t="s">
        <v>2024</v>
      </c>
      <c r="B2630" t="s">
        <v>2025</v>
      </c>
      <c r="C2630" t="s">
        <v>241</v>
      </c>
      <c r="D2630" t="s">
        <v>1368</v>
      </c>
      <c r="E2630" t="s">
        <v>555</v>
      </c>
      <c r="F2630" t="s">
        <v>1068</v>
      </c>
      <c r="G2630" t="s">
        <v>1087</v>
      </c>
      <c r="H2630" s="171" t="s">
        <v>2027</v>
      </c>
      <c r="I2630" t="s">
        <v>1088</v>
      </c>
      <c r="J2630">
        <v>2.5299999999999998</v>
      </c>
    </row>
    <row r="2631" spans="1:10" hidden="1">
      <c r="A2631" t="s">
        <v>2024</v>
      </c>
      <c r="B2631" t="s">
        <v>2025</v>
      </c>
      <c r="C2631" t="s">
        <v>241</v>
      </c>
      <c r="D2631" t="s">
        <v>1368</v>
      </c>
      <c r="E2631" t="s">
        <v>555</v>
      </c>
      <c r="F2631" t="s">
        <v>1068</v>
      </c>
      <c r="G2631" t="s">
        <v>1089</v>
      </c>
      <c r="H2631">
        <v>-3.5849386207208699E-3</v>
      </c>
      <c r="I2631" t="s">
        <v>1090</v>
      </c>
      <c r="J2631">
        <v>2.5299999999999998</v>
      </c>
    </row>
    <row r="2632" spans="1:10" hidden="1">
      <c r="A2632" t="s">
        <v>2028</v>
      </c>
      <c r="B2632" t="s">
        <v>2029</v>
      </c>
      <c r="C2632" t="s">
        <v>241</v>
      </c>
      <c r="D2632" t="s">
        <v>1368</v>
      </c>
      <c r="E2632" t="s">
        <v>558</v>
      </c>
      <c r="F2632" t="s">
        <v>1068</v>
      </c>
      <c r="G2632" t="s">
        <v>1069</v>
      </c>
      <c r="H2632">
        <v>-8.8169094057541406E-2</v>
      </c>
      <c r="I2632" t="s">
        <v>1070</v>
      </c>
      <c r="J2632">
        <v>2.0299999999999998</v>
      </c>
    </row>
    <row r="2633" spans="1:10" hidden="1">
      <c r="A2633" t="s">
        <v>2028</v>
      </c>
      <c r="B2633" t="s">
        <v>2029</v>
      </c>
      <c r="C2633" t="s">
        <v>241</v>
      </c>
      <c r="D2633" t="s">
        <v>1368</v>
      </c>
      <c r="E2633" t="s">
        <v>558</v>
      </c>
      <c r="F2633" t="s">
        <v>1068</v>
      </c>
      <c r="G2633" t="s">
        <v>1071</v>
      </c>
      <c r="H2633" s="170">
        <v>-1.8747709874418599E-10</v>
      </c>
      <c r="I2633" t="s">
        <v>1072</v>
      </c>
      <c r="J2633">
        <v>2.0299999999999998</v>
      </c>
    </row>
    <row r="2634" spans="1:10" hidden="1">
      <c r="A2634" t="s">
        <v>2028</v>
      </c>
      <c r="B2634" t="s">
        <v>2029</v>
      </c>
      <c r="C2634" t="s">
        <v>241</v>
      </c>
      <c r="D2634" t="s">
        <v>1368</v>
      </c>
      <c r="E2634" t="s">
        <v>558</v>
      </c>
      <c r="F2634" t="s">
        <v>1068</v>
      </c>
      <c r="G2634" t="s">
        <v>1073</v>
      </c>
      <c r="H2634" s="170">
        <v>-3.55522709752014E-8</v>
      </c>
      <c r="I2634" t="s">
        <v>1074</v>
      </c>
      <c r="J2634">
        <v>2.0299999999999998</v>
      </c>
    </row>
    <row r="2635" spans="1:10" hidden="1">
      <c r="A2635" t="s">
        <v>2028</v>
      </c>
      <c r="B2635" t="s">
        <v>2029</v>
      </c>
      <c r="C2635" t="s">
        <v>241</v>
      </c>
      <c r="D2635" t="s">
        <v>1368</v>
      </c>
      <c r="E2635" t="s">
        <v>558</v>
      </c>
      <c r="F2635" t="s">
        <v>1068</v>
      </c>
      <c r="G2635" t="s">
        <v>1075</v>
      </c>
      <c r="H2635">
        <v>2.0050127102582498E-3</v>
      </c>
      <c r="I2635" t="s">
        <v>1077</v>
      </c>
      <c r="J2635">
        <v>2.0299999999999998</v>
      </c>
    </row>
    <row r="2636" spans="1:10" hidden="1">
      <c r="A2636" t="s">
        <v>2028</v>
      </c>
      <c r="B2636" t="s">
        <v>2029</v>
      </c>
      <c r="C2636" t="s">
        <v>241</v>
      </c>
      <c r="D2636" t="s">
        <v>1368</v>
      </c>
      <c r="E2636" t="s">
        <v>558</v>
      </c>
      <c r="F2636" t="s">
        <v>1068</v>
      </c>
      <c r="G2636" t="s">
        <v>1078</v>
      </c>
      <c r="H2636">
        <v>-1.60160728030095</v>
      </c>
      <c r="I2636" t="s">
        <v>1079</v>
      </c>
      <c r="J2636">
        <v>2.0299999999999998</v>
      </c>
    </row>
    <row r="2637" spans="1:10" hidden="1">
      <c r="A2637" t="s">
        <v>2028</v>
      </c>
      <c r="B2637" t="s">
        <v>2029</v>
      </c>
      <c r="C2637" t="s">
        <v>241</v>
      </c>
      <c r="D2637" t="s">
        <v>1368</v>
      </c>
      <c r="E2637" t="s">
        <v>558</v>
      </c>
      <c r="F2637" t="s">
        <v>1068</v>
      </c>
      <c r="G2637" t="s">
        <v>1080</v>
      </c>
      <c r="H2637" s="171" t="s">
        <v>2030</v>
      </c>
      <c r="I2637" t="s">
        <v>1082</v>
      </c>
      <c r="J2637">
        <v>2.0299999999999998</v>
      </c>
    </row>
    <row r="2638" spans="1:10" hidden="1">
      <c r="A2638" t="s">
        <v>2028</v>
      </c>
      <c r="B2638" t="s">
        <v>2029</v>
      </c>
      <c r="C2638" t="s">
        <v>241</v>
      </c>
      <c r="D2638" t="s">
        <v>1368</v>
      </c>
      <c r="E2638" t="s">
        <v>558</v>
      </c>
      <c r="F2638" t="s">
        <v>1068</v>
      </c>
      <c r="G2638" t="s">
        <v>1083</v>
      </c>
      <c r="H2638">
        <v>-4.68772269286442E-4</v>
      </c>
      <c r="I2638" t="s">
        <v>1084</v>
      </c>
      <c r="J2638">
        <v>2.0299999999999998</v>
      </c>
    </row>
    <row r="2639" spans="1:10" hidden="1">
      <c r="A2639" t="s">
        <v>2028</v>
      </c>
      <c r="B2639" t="s">
        <v>2029</v>
      </c>
      <c r="C2639" t="s">
        <v>241</v>
      </c>
      <c r="D2639" t="s">
        <v>1368</v>
      </c>
      <c r="E2639" t="s">
        <v>558</v>
      </c>
      <c r="F2639" t="s">
        <v>1068</v>
      </c>
      <c r="G2639" t="s">
        <v>1085</v>
      </c>
      <c r="H2639">
        <v>-1.31954783866276E-2</v>
      </c>
      <c r="I2639" t="s">
        <v>1086</v>
      </c>
      <c r="J2639">
        <v>2.0299999999999998</v>
      </c>
    </row>
    <row r="2640" spans="1:10" hidden="1">
      <c r="A2640" t="s">
        <v>2028</v>
      </c>
      <c r="B2640" t="s">
        <v>2029</v>
      </c>
      <c r="C2640" t="s">
        <v>241</v>
      </c>
      <c r="D2640" t="s">
        <v>1368</v>
      </c>
      <c r="E2640" t="s">
        <v>558</v>
      </c>
      <c r="F2640" t="s">
        <v>1068</v>
      </c>
      <c r="G2640" t="s">
        <v>1087</v>
      </c>
      <c r="H2640" s="171" t="s">
        <v>2031</v>
      </c>
      <c r="I2640" t="s">
        <v>1088</v>
      </c>
      <c r="J2640">
        <v>2.0299999999999998</v>
      </c>
    </row>
    <row r="2641" spans="1:10" hidden="1">
      <c r="A2641" t="s">
        <v>2028</v>
      </c>
      <c r="B2641" t="s">
        <v>2029</v>
      </c>
      <c r="C2641" t="s">
        <v>241</v>
      </c>
      <c r="D2641" t="s">
        <v>1368</v>
      </c>
      <c r="E2641" t="s">
        <v>558</v>
      </c>
      <c r="F2641" t="s">
        <v>1068</v>
      </c>
      <c r="G2641" t="s">
        <v>1089</v>
      </c>
      <c r="H2641">
        <v>-3.5850141145417299E-3</v>
      </c>
      <c r="I2641" t="s">
        <v>1090</v>
      </c>
      <c r="J2641">
        <v>2.0299999999999998</v>
      </c>
    </row>
    <row r="2642" spans="1:10" hidden="1">
      <c r="A2642" t="s">
        <v>2032</v>
      </c>
      <c r="B2642" t="s">
        <v>2033</v>
      </c>
      <c r="C2642" t="s">
        <v>241</v>
      </c>
      <c r="D2642" t="s">
        <v>1368</v>
      </c>
      <c r="E2642" t="s">
        <v>553</v>
      </c>
      <c r="F2642" t="s">
        <v>1068</v>
      </c>
      <c r="G2642" t="s">
        <v>1069</v>
      </c>
      <c r="H2642">
        <v>-8.8165277909967296E-2</v>
      </c>
      <c r="I2642" t="s">
        <v>1070</v>
      </c>
      <c r="J2642">
        <v>2.0299999999999998</v>
      </c>
    </row>
    <row r="2643" spans="1:10" hidden="1">
      <c r="A2643" t="s">
        <v>2032</v>
      </c>
      <c r="B2643" t="s">
        <v>2033</v>
      </c>
      <c r="C2643" t="s">
        <v>241</v>
      </c>
      <c r="D2643" t="s">
        <v>1368</v>
      </c>
      <c r="E2643" t="s">
        <v>553</v>
      </c>
      <c r="F2643" t="s">
        <v>1068</v>
      </c>
      <c r="G2643" t="s">
        <v>1071</v>
      </c>
      <c r="H2643" s="170">
        <v>-1.8742586986894799E-10</v>
      </c>
      <c r="I2643" t="s">
        <v>1072</v>
      </c>
      <c r="J2643">
        <v>2.0299999999999998</v>
      </c>
    </row>
    <row r="2644" spans="1:10" hidden="1">
      <c r="A2644" t="s">
        <v>2032</v>
      </c>
      <c r="B2644" t="s">
        <v>2033</v>
      </c>
      <c r="C2644" t="s">
        <v>241</v>
      </c>
      <c r="D2644" t="s">
        <v>1368</v>
      </c>
      <c r="E2644" t="s">
        <v>553</v>
      </c>
      <c r="F2644" t="s">
        <v>1068</v>
      </c>
      <c r="G2644" t="s">
        <v>1073</v>
      </c>
      <c r="H2644" s="170">
        <v>-3.5555112976231001E-8</v>
      </c>
      <c r="I2644" t="s">
        <v>1074</v>
      </c>
      <c r="J2644">
        <v>2.0299999999999998</v>
      </c>
    </row>
    <row r="2645" spans="1:10" hidden="1">
      <c r="A2645" t="s">
        <v>2032</v>
      </c>
      <c r="B2645" t="s">
        <v>2033</v>
      </c>
      <c r="C2645" t="s">
        <v>241</v>
      </c>
      <c r="D2645" t="s">
        <v>1368</v>
      </c>
      <c r="E2645" t="s">
        <v>553</v>
      </c>
      <c r="F2645" t="s">
        <v>1068</v>
      </c>
      <c r="G2645" t="s">
        <v>1075</v>
      </c>
      <c r="H2645">
        <v>2.0352221301081302E-3</v>
      </c>
      <c r="I2645" t="s">
        <v>1077</v>
      </c>
      <c r="J2645">
        <v>2.0299999999999998</v>
      </c>
    </row>
    <row r="2646" spans="1:10" hidden="1">
      <c r="A2646" t="s">
        <v>2032</v>
      </c>
      <c r="B2646" t="s">
        <v>2033</v>
      </c>
      <c r="C2646" t="s">
        <v>241</v>
      </c>
      <c r="D2646" t="s">
        <v>1368</v>
      </c>
      <c r="E2646" t="s">
        <v>553</v>
      </c>
      <c r="F2646" t="s">
        <v>1068</v>
      </c>
      <c r="G2646" t="s">
        <v>1078</v>
      </c>
      <c r="H2646">
        <v>-1.5888668537567201</v>
      </c>
      <c r="I2646" t="s">
        <v>1079</v>
      </c>
      <c r="J2646">
        <v>2.0299999999999998</v>
      </c>
    </row>
    <row r="2647" spans="1:10" hidden="1">
      <c r="A2647" t="s">
        <v>2032</v>
      </c>
      <c r="B2647" t="s">
        <v>2033</v>
      </c>
      <c r="C2647" t="s">
        <v>241</v>
      </c>
      <c r="D2647" t="s">
        <v>1368</v>
      </c>
      <c r="E2647" t="s">
        <v>553</v>
      </c>
      <c r="F2647" t="s">
        <v>1068</v>
      </c>
      <c r="G2647" t="s">
        <v>1080</v>
      </c>
      <c r="H2647" s="171" t="s">
        <v>2034</v>
      </c>
      <c r="I2647" t="s">
        <v>1082</v>
      </c>
      <c r="J2647">
        <v>2.0299999999999998</v>
      </c>
    </row>
    <row r="2648" spans="1:10" hidden="1">
      <c r="A2648" t="s">
        <v>2032</v>
      </c>
      <c r="B2648" t="s">
        <v>2033</v>
      </c>
      <c r="C2648" t="s">
        <v>241</v>
      </c>
      <c r="D2648" t="s">
        <v>1368</v>
      </c>
      <c r="E2648" t="s">
        <v>553</v>
      </c>
      <c r="F2648" t="s">
        <v>1068</v>
      </c>
      <c r="G2648" t="s">
        <v>1083</v>
      </c>
      <c r="H2648">
        <v>-4.6877465061244498E-4</v>
      </c>
      <c r="I2648" t="s">
        <v>1084</v>
      </c>
      <c r="J2648">
        <v>2.0299999999999998</v>
      </c>
    </row>
    <row r="2649" spans="1:10" hidden="1">
      <c r="A2649" t="s">
        <v>2032</v>
      </c>
      <c r="B2649" t="s">
        <v>2033</v>
      </c>
      <c r="C2649" t="s">
        <v>241</v>
      </c>
      <c r="D2649" t="s">
        <v>1368</v>
      </c>
      <c r="E2649" t="s">
        <v>553</v>
      </c>
      <c r="F2649" t="s">
        <v>1068</v>
      </c>
      <c r="G2649" t="s">
        <v>1085</v>
      </c>
      <c r="H2649">
        <v>-1.3195343570395E-2</v>
      </c>
      <c r="I2649" t="s">
        <v>1086</v>
      </c>
      <c r="J2649">
        <v>2.0299999999999998</v>
      </c>
    </row>
    <row r="2650" spans="1:10" hidden="1">
      <c r="A2650" t="s">
        <v>2032</v>
      </c>
      <c r="B2650" t="s">
        <v>2033</v>
      </c>
      <c r="C2650" t="s">
        <v>241</v>
      </c>
      <c r="D2650" t="s">
        <v>1368</v>
      </c>
      <c r="E2650" t="s">
        <v>553</v>
      </c>
      <c r="F2650" t="s">
        <v>1068</v>
      </c>
      <c r="G2650" t="s">
        <v>1087</v>
      </c>
      <c r="H2650" s="171" t="s">
        <v>2035</v>
      </c>
      <c r="I2650" t="s">
        <v>1088</v>
      </c>
      <c r="J2650">
        <v>2.0299999999999998</v>
      </c>
    </row>
    <row r="2651" spans="1:10" hidden="1">
      <c r="A2651" t="s">
        <v>2032</v>
      </c>
      <c r="B2651" t="s">
        <v>2033</v>
      </c>
      <c r="C2651" t="s">
        <v>241</v>
      </c>
      <c r="D2651" t="s">
        <v>1368</v>
      </c>
      <c r="E2651" t="s">
        <v>553</v>
      </c>
      <c r="F2651" t="s">
        <v>1068</v>
      </c>
      <c r="G2651" t="s">
        <v>1089</v>
      </c>
      <c r="H2651">
        <v>-3.5850144768146699E-3</v>
      </c>
      <c r="I2651" t="s">
        <v>1090</v>
      </c>
      <c r="J2651">
        <v>2.0299999999999998</v>
      </c>
    </row>
    <row r="2652" spans="1:10" hidden="1">
      <c r="A2652" t="s">
        <v>2036</v>
      </c>
      <c r="B2652" t="s">
        <v>2037</v>
      </c>
      <c r="C2652" t="s">
        <v>241</v>
      </c>
      <c r="D2652" t="s">
        <v>1368</v>
      </c>
      <c r="E2652" t="s">
        <v>556</v>
      </c>
      <c r="F2652" t="s">
        <v>1068</v>
      </c>
      <c r="G2652" t="s">
        <v>1069</v>
      </c>
      <c r="H2652">
        <v>-8.7971116238317201E-2</v>
      </c>
      <c r="I2652" t="s">
        <v>1070</v>
      </c>
      <c r="J2652">
        <v>2.54</v>
      </c>
    </row>
    <row r="2653" spans="1:10" hidden="1">
      <c r="A2653" t="s">
        <v>2036</v>
      </c>
      <c r="B2653" t="s">
        <v>2037</v>
      </c>
      <c r="C2653" t="s">
        <v>241</v>
      </c>
      <c r="D2653" t="s">
        <v>1368</v>
      </c>
      <c r="E2653" t="s">
        <v>556</v>
      </c>
      <c r="F2653" t="s">
        <v>1068</v>
      </c>
      <c r="G2653" t="s">
        <v>1071</v>
      </c>
      <c r="H2653" s="170">
        <v>-1.8689292332411501E-10</v>
      </c>
      <c r="I2653" t="s">
        <v>1072</v>
      </c>
      <c r="J2653">
        <v>2.54</v>
      </c>
    </row>
    <row r="2654" spans="1:10" hidden="1">
      <c r="A2654" t="s">
        <v>2036</v>
      </c>
      <c r="B2654" t="s">
        <v>2037</v>
      </c>
      <c r="C2654" t="s">
        <v>241</v>
      </c>
      <c r="D2654" t="s">
        <v>1368</v>
      </c>
      <c r="E2654" t="s">
        <v>556</v>
      </c>
      <c r="F2654" t="s">
        <v>1068</v>
      </c>
      <c r="G2654" t="s">
        <v>1073</v>
      </c>
      <c r="H2654" s="170">
        <v>-3.5478842084066497E-8</v>
      </c>
      <c r="I2654" t="s">
        <v>1074</v>
      </c>
      <c r="J2654">
        <v>2.54</v>
      </c>
    </row>
    <row r="2655" spans="1:10" hidden="1">
      <c r="A2655" t="s">
        <v>2036</v>
      </c>
      <c r="B2655" t="s">
        <v>2037</v>
      </c>
      <c r="C2655" t="s">
        <v>241</v>
      </c>
      <c r="D2655" t="s">
        <v>1368</v>
      </c>
      <c r="E2655" t="s">
        <v>556</v>
      </c>
      <c r="F2655" t="s">
        <v>1068</v>
      </c>
      <c r="G2655" t="s">
        <v>1075</v>
      </c>
      <c r="H2655">
        <v>2.1529841758108599E-3</v>
      </c>
      <c r="I2655" t="s">
        <v>1077</v>
      </c>
      <c r="J2655">
        <v>2.54</v>
      </c>
    </row>
    <row r="2656" spans="1:10" hidden="1">
      <c r="A2656" t="s">
        <v>2036</v>
      </c>
      <c r="B2656" t="s">
        <v>2037</v>
      </c>
      <c r="C2656" t="s">
        <v>241</v>
      </c>
      <c r="D2656" t="s">
        <v>1368</v>
      </c>
      <c r="E2656" t="s">
        <v>556</v>
      </c>
      <c r="F2656" t="s">
        <v>1068</v>
      </c>
      <c r="G2656" t="s">
        <v>1078</v>
      </c>
      <c r="H2656">
        <v>-1.54203431894792</v>
      </c>
      <c r="I2656" t="s">
        <v>1079</v>
      </c>
      <c r="J2656">
        <v>2.54</v>
      </c>
    </row>
    <row r="2657" spans="1:10" hidden="1">
      <c r="A2657" t="s">
        <v>2036</v>
      </c>
      <c r="B2657" t="s">
        <v>2037</v>
      </c>
      <c r="C2657" t="s">
        <v>241</v>
      </c>
      <c r="D2657" t="s">
        <v>1368</v>
      </c>
      <c r="E2657" t="s">
        <v>556</v>
      </c>
      <c r="F2657" t="s">
        <v>1068</v>
      </c>
      <c r="G2657" t="s">
        <v>1080</v>
      </c>
      <c r="H2657" s="171" t="s">
        <v>2038</v>
      </c>
      <c r="I2657" t="s">
        <v>1082</v>
      </c>
      <c r="J2657">
        <v>2.54</v>
      </c>
    </row>
    <row r="2658" spans="1:10" hidden="1">
      <c r="A2658" t="s">
        <v>2036</v>
      </c>
      <c r="B2658" t="s">
        <v>2037</v>
      </c>
      <c r="C2658" t="s">
        <v>241</v>
      </c>
      <c r="D2658" t="s">
        <v>1368</v>
      </c>
      <c r="E2658" t="s">
        <v>556</v>
      </c>
      <c r="F2658" t="s">
        <v>1068</v>
      </c>
      <c r="G2658" t="s">
        <v>1083</v>
      </c>
      <c r="H2658">
        <v>-4.68745104775282E-4</v>
      </c>
      <c r="I2658" t="s">
        <v>1084</v>
      </c>
      <c r="J2658">
        <v>2.54</v>
      </c>
    </row>
    <row r="2659" spans="1:10" hidden="1">
      <c r="A2659" t="s">
        <v>2036</v>
      </c>
      <c r="B2659" t="s">
        <v>2037</v>
      </c>
      <c r="C2659" t="s">
        <v>241</v>
      </c>
      <c r="D2659" t="s">
        <v>1368</v>
      </c>
      <c r="E2659" t="s">
        <v>556</v>
      </c>
      <c r="F2659" t="s">
        <v>1068</v>
      </c>
      <c r="G2659" t="s">
        <v>1085</v>
      </c>
      <c r="H2659">
        <v>-1.3194422536281799E-2</v>
      </c>
      <c r="I2659" t="s">
        <v>1086</v>
      </c>
      <c r="J2659">
        <v>2.54</v>
      </c>
    </row>
    <row r="2660" spans="1:10" hidden="1">
      <c r="A2660" t="s">
        <v>2036</v>
      </c>
      <c r="B2660" t="s">
        <v>2037</v>
      </c>
      <c r="C2660" t="s">
        <v>241</v>
      </c>
      <c r="D2660" t="s">
        <v>1368</v>
      </c>
      <c r="E2660" t="s">
        <v>556</v>
      </c>
      <c r="F2660" t="s">
        <v>1068</v>
      </c>
      <c r="G2660" t="s">
        <v>1087</v>
      </c>
      <c r="H2660" s="171" t="s">
        <v>2039</v>
      </c>
      <c r="I2660" t="s">
        <v>1088</v>
      </c>
      <c r="J2660">
        <v>2.54</v>
      </c>
    </row>
    <row r="2661" spans="1:10" hidden="1">
      <c r="A2661" t="s">
        <v>2036</v>
      </c>
      <c r="B2661" t="s">
        <v>2037</v>
      </c>
      <c r="C2661" t="s">
        <v>241</v>
      </c>
      <c r="D2661" t="s">
        <v>1368</v>
      </c>
      <c r="E2661" t="s">
        <v>556</v>
      </c>
      <c r="F2661" t="s">
        <v>1068</v>
      </c>
      <c r="G2661" t="s">
        <v>1089</v>
      </c>
      <c r="H2661">
        <v>-3.5849457506056401E-3</v>
      </c>
      <c r="I2661" t="s">
        <v>1090</v>
      </c>
      <c r="J2661">
        <v>2.54</v>
      </c>
    </row>
    <row r="2662" spans="1:10" hidden="1">
      <c r="A2662" t="s">
        <v>2040</v>
      </c>
      <c r="B2662" t="s">
        <v>2041</v>
      </c>
      <c r="C2662" t="s">
        <v>241</v>
      </c>
      <c r="D2662" t="s">
        <v>1368</v>
      </c>
      <c r="E2662" t="s">
        <v>557</v>
      </c>
      <c r="F2662" t="s">
        <v>1068</v>
      </c>
      <c r="G2662" t="s">
        <v>1069</v>
      </c>
      <c r="H2662">
        <v>-8.8102489511744098E-2</v>
      </c>
      <c r="I2662" t="s">
        <v>1070</v>
      </c>
      <c r="J2662">
        <v>2.0299999999999998</v>
      </c>
    </row>
    <row r="2663" spans="1:10" hidden="1">
      <c r="A2663" t="s">
        <v>2040</v>
      </c>
      <c r="B2663" t="s">
        <v>2041</v>
      </c>
      <c r="C2663" t="s">
        <v>241</v>
      </c>
      <c r="D2663" t="s">
        <v>1368</v>
      </c>
      <c r="E2663" t="s">
        <v>557</v>
      </c>
      <c r="F2663" t="s">
        <v>1068</v>
      </c>
      <c r="G2663" t="s">
        <v>1071</v>
      </c>
      <c r="H2663" s="170">
        <v>-1.8738178688150199E-10</v>
      </c>
      <c r="I2663" t="s">
        <v>1072</v>
      </c>
      <c r="J2663">
        <v>2.0299999999999998</v>
      </c>
    </row>
    <row r="2664" spans="1:10" hidden="1">
      <c r="A2664" t="s">
        <v>2040</v>
      </c>
      <c r="B2664" t="s">
        <v>2041</v>
      </c>
      <c r="C2664" t="s">
        <v>241</v>
      </c>
      <c r="D2664" t="s">
        <v>1368</v>
      </c>
      <c r="E2664" t="s">
        <v>557</v>
      </c>
      <c r="F2664" t="s">
        <v>1068</v>
      </c>
      <c r="G2664" t="s">
        <v>1073</v>
      </c>
      <c r="H2664" s="170">
        <v>-3.5528612829789999E-8</v>
      </c>
      <c r="I2664" t="s">
        <v>1074</v>
      </c>
      <c r="J2664">
        <v>2.0299999999999998</v>
      </c>
    </row>
    <row r="2665" spans="1:10" hidden="1">
      <c r="A2665" t="s">
        <v>2040</v>
      </c>
      <c r="B2665" t="s">
        <v>2041</v>
      </c>
      <c r="C2665" t="s">
        <v>241</v>
      </c>
      <c r="D2665" t="s">
        <v>1368</v>
      </c>
      <c r="E2665" t="s">
        <v>557</v>
      </c>
      <c r="F2665" t="s">
        <v>1068</v>
      </c>
      <c r="G2665" t="s">
        <v>1075</v>
      </c>
      <c r="H2665">
        <v>2.0071181511048999E-3</v>
      </c>
      <c r="I2665" t="s">
        <v>1077</v>
      </c>
      <c r="J2665">
        <v>2.0299999999999998</v>
      </c>
    </row>
    <row r="2666" spans="1:10" hidden="1">
      <c r="A2666" t="s">
        <v>2040</v>
      </c>
      <c r="B2666" t="s">
        <v>2041</v>
      </c>
      <c r="C2666" t="s">
        <v>241</v>
      </c>
      <c r="D2666" t="s">
        <v>1368</v>
      </c>
      <c r="E2666" t="s">
        <v>557</v>
      </c>
      <c r="F2666" t="s">
        <v>1068</v>
      </c>
      <c r="G2666" t="s">
        <v>1078</v>
      </c>
      <c r="H2666">
        <v>-1.6015162329171799</v>
      </c>
      <c r="I2666" t="s">
        <v>1079</v>
      </c>
      <c r="J2666">
        <v>2.0299999999999998</v>
      </c>
    </row>
    <row r="2667" spans="1:10" hidden="1">
      <c r="A2667" t="s">
        <v>2040</v>
      </c>
      <c r="B2667" t="s">
        <v>2041</v>
      </c>
      <c r="C2667" t="s">
        <v>241</v>
      </c>
      <c r="D2667" t="s">
        <v>1368</v>
      </c>
      <c r="E2667" t="s">
        <v>557</v>
      </c>
      <c r="F2667" t="s">
        <v>1068</v>
      </c>
      <c r="G2667" t="s">
        <v>1080</v>
      </c>
      <c r="H2667" s="171" t="s">
        <v>2042</v>
      </c>
      <c r="I2667" t="s">
        <v>1082</v>
      </c>
      <c r="J2667">
        <v>2.0299999999999998</v>
      </c>
    </row>
    <row r="2668" spans="1:10" hidden="1">
      <c r="A2668" t="s">
        <v>2040</v>
      </c>
      <c r="B2668" t="s">
        <v>2041</v>
      </c>
      <c r="C2668" t="s">
        <v>241</v>
      </c>
      <c r="D2668" t="s">
        <v>1368</v>
      </c>
      <c r="E2668" t="s">
        <v>557</v>
      </c>
      <c r="F2668" t="s">
        <v>1068</v>
      </c>
      <c r="G2668" t="s">
        <v>1083</v>
      </c>
      <c r="H2668">
        <v>-4.6876214535233998E-4</v>
      </c>
      <c r="I2668" t="s">
        <v>1084</v>
      </c>
      <c r="J2668">
        <v>2.0299999999999998</v>
      </c>
    </row>
    <row r="2669" spans="1:10" hidden="1">
      <c r="A2669" t="s">
        <v>2040</v>
      </c>
      <c r="B2669" t="s">
        <v>2041</v>
      </c>
      <c r="C2669" t="s">
        <v>241</v>
      </c>
      <c r="D2669" t="s">
        <v>1368</v>
      </c>
      <c r="E2669" t="s">
        <v>557</v>
      </c>
      <c r="F2669" t="s">
        <v>1068</v>
      </c>
      <c r="G2669" t="s">
        <v>1085</v>
      </c>
      <c r="H2669">
        <v>-1.3195363965625E-2</v>
      </c>
      <c r="I2669" t="s">
        <v>1086</v>
      </c>
      <c r="J2669">
        <v>2.0299999999999998</v>
      </c>
    </row>
    <row r="2670" spans="1:10" hidden="1">
      <c r="A2670" t="s">
        <v>2040</v>
      </c>
      <c r="B2670" t="s">
        <v>2041</v>
      </c>
      <c r="C2670" t="s">
        <v>241</v>
      </c>
      <c r="D2670" t="s">
        <v>1368</v>
      </c>
      <c r="E2670" t="s">
        <v>557</v>
      </c>
      <c r="F2670" t="s">
        <v>1068</v>
      </c>
      <c r="G2670" t="s">
        <v>1087</v>
      </c>
      <c r="H2670" s="171" t="s">
        <v>2043</v>
      </c>
      <c r="I2670" t="s">
        <v>1088</v>
      </c>
      <c r="J2670">
        <v>2.0299999999999998</v>
      </c>
    </row>
    <row r="2671" spans="1:10" hidden="1">
      <c r="A2671" t="s">
        <v>2040</v>
      </c>
      <c r="B2671" t="s">
        <v>2041</v>
      </c>
      <c r="C2671" t="s">
        <v>241</v>
      </c>
      <c r="D2671" t="s">
        <v>1368</v>
      </c>
      <c r="E2671" t="s">
        <v>557</v>
      </c>
      <c r="F2671" t="s">
        <v>1068</v>
      </c>
      <c r="G2671" t="s">
        <v>1089</v>
      </c>
      <c r="H2671">
        <v>-3.5849905097148499E-3</v>
      </c>
      <c r="I2671" t="s">
        <v>1090</v>
      </c>
      <c r="J2671">
        <v>2.0299999999999998</v>
      </c>
    </row>
    <row r="2672" spans="1:10" hidden="1">
      <c r="A2672" t="s">
        <v>2044</v>
      </c>
      <c r="B2672" t="s">
        <v>2045</v>
      </c>
      <c r="C2672" t="s">
        <v>241</v>
      </c>
      <c r="D2672" t="s">
        <v>1368</v>
      </c>
      <c r="E2672" t="s">
        <v>559</v>
      </c>
      <c r="F2672" t="s">
        <v>1068</v>
      </c>
      <c r="G2672" t="s">
        <v>1069</v>
      </c>
      <c r="H2672">
        <v>-8.8028998204136705E-2</v>
      </c>
      <c r="I2672" t="s">
        <v>1070</v>
      </c>
      <c r="J2672">
        <v>2.0299999999999998</v>
      </c>
    </row>
    <row r="2673" spans="1:10" hidden="1">
      <c r="A2673" t="s">
        <v>2044</v>
      </c>
      <c r="B2673" t="s">
        <v>2045</v>
      </c>
      <c r="C2673" t="s">
        <v>241</v>
      </c>
      <c r="D2673" t="s">
        <v>1368</v>
      </c>
      <c r="E2673" t="s">
        <v>559</v>
      </c>
      <c r="F2673" t="s">
        <v>1068</v>
      </c>
      <c r="G2673" t="s">
        <v>1071</v>
      </c>
      <c r="H2673" s="170">
        <v>-1.87230852059333E-10</v>
      </c>
      <c r="I2673" t="s">
        <v>1072</v>
      </c>
      <c r="J2673">
        <v>2.0299999999999998</v>
      </c>
    </row>
    <row r="2674" spans="1:10" hidden="1">
      <c r="A2674" t="s">
        <v>2044</v>
      </c>
      <c r="B2674" t="s">
        <v>2045</v>
      </c>
      <c r="C2674" t="s">
        <v>241</v>
      </c>
      <c r="D2674" t="s">
        <v>1368</v>
      </c>
      <c r="E2674" t="s">
        <v>559</v>
      </c>
      <c r="F2674" t="s">
        <v>1068</v>
      </c>
      <c r="G2674" t="s">
        <v>1073</v>
      </c>
      <c r="H2674" s="170">
        <v>-3.5506705993498401E-8</v>
      </c>
      <c r="I2674" t="s">
        <v>1074</v>
      </c>
      <c r="J2674">
        <v>2.0299999999999998</v>
      </c>
    </row>
    <row r="2675" spans="1:10" hidden="1">
      <c r="A2675" t="s">
        <v>2044</v>
      </c>
      <c r="B2675" t="s">
        <v>2045</v>
      </c>
      <c r="C2675" t="s">
        <v>241</v>
      </c>
      <c r="D2675" t="s">
        <v>1368</v>
      </c>
      <c r="E2675" t="s">
        <v>559</v>
      </c>
      <c r="F2675" t="s">
        <v>1068</v>
      </c>
      <c r="G2675" t="s">
        <v>1075</v>
      </c>
      <c r="H2675">
        <v>2.0395300771912099E-3</v>
      </c>
      <c r="I2675" t="s">
        <v>1077</v>
      </c>
      <c r="J2675">
        <v>2.0299999999999998</v>
      </c>
    </row>
    <row r="2676" spans="1:10" hidden="1">
      <c r="A2676" t="s">
        <v>2044</v>
      </c>
      <c r="B2676" t="s">
        <v>2045</v>
      </c>
      <c r="C2676" t="s">
        <v>241</v>
      </c>
      <c r="D2676" t="s">
        <v>1368</v>
      </c>
      <c r="E2676" t="s">
        <v>559</v>
      </c>
      <c r="F2676" t="s">
        <v>1068</v>
      </c>
      <c r="G2676" t="s">
        <v>1078</v>
      </c>
      <c r="H2676">
        <v>-1.5886805615074799</v>
      </c>
      <c r="I2676" t="s">
        <v>1079</v>
      </c>
      <c r="J2676">
        <v>2.0299999999999998</v>
      </c>
    </row>
    <row r="2677" spans="1:10" hidden="1">
      <c r="A2677" t="s">
        <v>2044</v>
      </c>
      <c r="B2677" t="s">
        <v>2045</v>
      </c>
      <c r="C2677" t="s">
        <v>241</v>
      </c>
      <c r="D2677" t="s">
        <v>1368</v>
      </c>
      <c r="E2677" t="s">
        <v>559</v>
      </c>
      <c r="F2677" t="s">
        <v>1068</v>
      </c>
      <c r="G2677" t="s">
        <v>1080</v>
      </c>
      <c r="H2677" s="171" t="s">
        <v>2046</v>
      </c>
      <c r="I2677" t="s">
        <v>1082</v>
      </c>
      <c r="J2677">
        <v>2.0299999999999998</v>
      </c>
    </row>
    <row r="2678" spans="1:10" hidden="1">
      <c r="A2678" t="s">
        <v>2044</v>
      </c>
      <c r="B2678" t="s">
        <v>2045</v>
      </c>
      <c r="C2678" t="s">
        <v>241</v>
      </c>
      <c r="D2678" t="s">
        <v>1368</v>
      </c>
      <c r="E2678" t="s">
        <v>559</v>
      </c>
      <c r="F2678" t="s">
        <v>1068</v>
      </c>
      <c r="G2678" t="s">
        <v>1083</v>
      </c>
      <c r="H2678">
        <v>-4.6875393600893998E-4</v>
      </c>
      <c r="I2678" t="s">
        <v>1084</v>
      </c>
      <c r="J2678">
        <v>2.0299999999999998</v>
      </c>
    </row>
    <row r="2679" spans="1:10" hidden="1">
      <c r="A2679" t="s">
        <v>2044</v>
      </c>
      <c r="B2679" t="s">
        <v>2045</v>
      </c>
      <c r="C2679" t="s">
        <v>241</v>
      </c>
      <c r="D2679" t="s">
        <v>1368</v>
      </c>
      <c r="E2679" t="s">
        <v>559</v>
      </c>
      <c r="F2679" t="s">
        <v>1068</v>
      </c>
      <c r="G2679" t="s">
        <v>1085</v>
      </c>
      <c r="H2679">
        <v>-1.31951094533336E-2</v>
      </c>
      <c r="I2679" t="s">
        <v>1086</v>
      </c>
      <c r="J2679">
        <v>2.0299999999999998</v>
      </c>
    </row>
    <row r="2680" spans="1:10" hidden="1">
      <c r="A2680" t="s">
        <v>2044</v>
      </c>
      <c r="B2680" t="s">
        <v>2045</v>
      </c>
      <c r="C2680" t="s">
        <v>241</v>
      </c>
      <c r="D2680" t="s">
        <v>1368</v>
      </c>
      <c r="E2680" t="s">
        <v>559</v>
      </c>
      <c r="F2680" t="s">
        <v>1068</v>
      </c>
      <c r="G2680" t="s">
        <v>1087</v>
      </c>
      <c r="H2680" s="171" t="s">
        <v>2047</v>
      </c>
      <c r="I2680" t="s">
        <v>1088</v>
      </c>
      <c r="J2680">
        <v>2.0299999999999998</v>
      </c>
    </row>
    <row r="2681" spans="1:10" hidden="1">
      <c r="A2681" t="s">
        <v>2044</v>
      </c>
      <c r="B2681" t="s">
        <v>2045</v>
      </c>
      <c r="C2681" t="s">
        <v>241</v>
      </c>
      <c r="D2681" t="s">
        <v>1368</v>
      </c>
      <c r="E2681" t="s">
        <v>559</v>
      </c>
      <c r="F2681" t="s">
        <v>1068</v>
      </c>
      <c r="G2681" t="s">
        <v>1089</v>
      </c>
      <c r="H2681">
        <v>-3.58496617892721E-3</v>
      </c>
      <c r="I2681" t="s">
        <v>1090</v>
      </c>
      <c r="J2681">
        <v>2.0299999999999998</v>
      </c>
    </row>
    <row r="2682" spans="1:10" hidden="1">
      <c r="A2682" t="s">
        <v>2048</v>
      </c>
      <c r="B2682" t="s">
        <v>2049</v>
      </c>
      <c r="C2682" t="s">
        <v>241</v>
      </c>
      <c r="D2682" t="s">
        <v>1368</v>
      </c>
      <c r="E2682" t="s">
        <v>560</v>
      </c>
      <c r="F2682" t="s">
        <v>1068</v>
      </c>
      <c r="G2682" t="s">
        <v>1069</v>
      </c>
      <c r="H2682">
        <v>-8.8066967087129994E-2</v>
      </c>
      <c r="I2682" t="s">
        <v>1070</v>
      </c>
      <c r="J2682">
        <v>2.5499999999999998</v>
      </c>
    </row>
    <row r="2683" spans="1:10" hidden="1">
      <c r="A2683" t="s">
        <v>2048</v>
      </c>
      <c r="B2683" t="s">
        <v>2049</v>
      </c>
      <c r="C2683" t="s">
        <v>241</v>
      </c>
      <c r="D2683" t="s">
        <v>1368</v>
      </c>
      <c r="E2683" t="s">
        <v>560</v>
      </c>
      <c r="F2683" t="s">
        <v>1068</v>
      </c>
      <c r="G2683" t="s">
        <v>1071</v>
      </c>
      <c r="H2683" s="170">
        <v>-1.8733095388764099E-10</v>
      </c>
      <c r="I2683" t="s">
        <v>1072</v>
      </c>
      <c r="J2683">
        <v>2.5499999999999998</v>
      </c>
    </row>
    <row r="2684" spans="1:10" hidden="1">
      <c r="A2684" t="s">
        <v>2048</v>
      </c>
      <c r="B2684" t="s">
        <v>2049</v>
      </c>
      <c r="C2684" t="s">
        <v>241</v>
      </c>
      <c r="D2684" t="s">
        <v>1368</v>
      </c>
      <c r="E2684" t="s">
        <v>560</v>
      </c>
      <c r="F2684" t="s">
        <v>1068</v>
      </c>
      <c r="G2684" t="s">
        <v>1073</v>
      </c>
      <c r="H2684" s="170">
        <v>-3.55159951521618E-8</v>
      </c>
      <c r="I2684" t="s">
        <v>1074</v>
      </c>
      <c r="J2684">
        <v>2.5499999999999998</v>
      </c>
    </row>
    <row r="2685" spans="1:10" hidden="1">
      <c r="A2685" t="s">
        <v>2048</v>
      </c>
      <c r="B2685" t="s">
        <v>2049</v>
      </c>
      <c r="C2685" t="s">
        <v>241</v>
      </c>
      <c r="D2685" t="s">
        <v>1368</v>
      </c>
      <c r="E2685" t="s">
        <v>560</v>
      </c>
      <c r="F2685" t="s">
        <v>1068</v>
      </c>
      <c r="G2685" t="s">
        <v>1075</v>
      </c>
      <c r="H2685">
        <v>2.0082410528922002E-3</v>
      </c>
      <c r="I2685" t="s">
        <v>1077</v>
      </c>
      <c r="J2685">
        <v>2.5499999999999998</v>
      </c>
    </row>
    <row r="2686" spans="1:10" hidden="1">
      <c r="A2686" t="s">
        <v>2048</v>
      </c>
      <c r="B2686" t="s">
        <v>2049</v>
      </c>
      <c r="C2686" t="s">
        <v>241</v>
      </c>
      <c r="D2686" t="s">
        <v>1368</v>
      </c>
      <c r="E2686" t="s">
        <v>560</v>
      </c>
      <c r="F2686" t="s">
        <v>1068</v>
      </c>
      <c r="G2686" t="s">
        <v>1078</v>
      </c>
      <c r="H2686">
        <v>-1.6014676743124701</v>
      </c>
      <c r="I2686" t="s">
        <v>1079</v>
      </c>
      <c r="J2686">
        <v>2.5499999999999998</v>
      </c>
    </row>
    <row r="2687" spans="1:10" hidden="1">
      <c r="A2687" t="s">
        <v>2048</v>
      </c>
      <c r="B2687" t="s">
        <v>2049</v>
      </c>
      <c r="C2687" t="s">
        <v>241</v>
      </c>
      <c r="D2687" t="s">
        <v>1368</v>
      </c>
      <c r="E2687" t="s">
        <v>560</v>
      </c>
      <c r="F2687" t="s">
        <v>1068</v>
      </c>
      <c r="G2687" t="s">
        <v>1080</v>
      </c>
      <c r="H2687" s="171" t="s">
        <v>2050</v>
      </c>
      <c r="I2687" t="s">
        <v>1082</v>
      </c>
      <c r="J2687">
        <v>2.5499999999999998</v>
      </c>
    </row>
    <row r="2688" spans="1:10" hidden="1">
      <c r="A2688" t="s">
        <v>2048</v>
      </c>
      <c r="B2688" t="s">
        <v>2049</v>
      </c>
      <c r="C2688" t="s">
        <v>241</v>
      </c>
      <c r="D2688" t="s">
        <v>1368</v>
      </c>
      <c r="E2688" t="s">
        <v>560</v>
      </c>
      <c r="F2688" t="s">
        <v>1068</v>
      </c>
      <c r="G2688" t="s">
        <v>1083</v>
      </c>
      <c r="H2688">
        <v>-4.6875674592081602E-4</v>
      </c>
      <c r="I2688" t="s">
        <v>1084</v>
      </c>
      <c r="J2688">
        <v>2.5499999999999998</v>
      </c>
    </row>
    <row r="2689" spans="1:10" hidden="1">
      <c r="A2689" t="s">
        <v>2048</v>
      </c>
      <c r="B2689" t="s">
        <v>2049</v>
      </c>
      <c r="C2689" t="s">
        <v>241</v>
      </c>
      <c r="D2689" t="s">
        <v>1368</v>
      </c>
      <c r="E2689" t="s">
        <v>560</v>
      </c>
      <c r="F2689" t="s">
        <v>1068</v>
      </c>
      <c r="G2689" t="s">
        <v>1085</v>
      </c>
      <c r="H2689">
        <v>-1.31953029410902E-2</v>
      </c>
      <c r="I2689" t="s">
        <v>1086</v>
      </c>
      <c r="J2689">
        <v>2.5499999999999998</v>
      </c>
    </row>
    <row r="2690" spans="1:10" hidden="1">
      <c r="A2690" t="s">
        <v>2048</v>
      </c>
      <c r="B2690" t="s">
        <v>2049</v>
      </c>
      <c r="C2690" t="s">
        <v>241</v>
      </c>
      <c r="D2690" t="s">
        <v>1368</v>
      </c>
      <c r="E2690" t="s">
        <v>560</v>
      </c>
      <c r="F2690" t="s">
        <v>1068</v>
      </c>
      <c r="G2690" t="s">
        <v>1087</v>
      </c>
      <c r="H2690" s="171" t="s">
        <v>2051</v>
      </c>
      <c r="I2690" t="s">
        <v>1088</v>
      </c>
      <c r="J2690">
        <v>2.5499999999999998</v>
      </c>
    </row>
    <row r="2691" spans="1:10" hidden="1">
      <c r="A2691" t="s">
        <v>2048</v>
      </c>
      <c r="B2691" t="s">
        <v>2049</v>
      </c>
      <c r="C2691" t="s">
        <v>241</v>
      </c>
      <c r="D2691" t="s">
        <v>1368</v>
      </c>
      <c r="E2691" t="s">
        <v>560</v>
      </c>
      <c r="F2691" t="s">
        <v>1068</v>
      </c>
      <c r="G2691" t="s">
        <v>1089</v>
      </c>
      <c r="H2691">
        <v>-3.58497792047382E-3</v>
      </c>
      <c r="I2691" t="s">
        <v>1090</v>
      </c>
      <c r="J2691">
        <v>2.5499999999999998</v>
      </c>
    </row>
    <row r="2692" spans="1:10" hidden="1">
      <c r="A2692" t="s">
        <v>2052</v>
      </c>
      <c r="B2692" t="s">
        <v>2053</v>
      </c>
      <c r="C2692" t="s">
        <v>241</v>
      </c>
      <c r="D2692" t="s">
        <v>1368</v>
      </c>
      <c r="E2692" t="s">
        <v>1116</v>
      </c>
      <c r="F2692" t="s">
        <v>1068</v>
      </c>
      <c r="G2692" t="s">
        <v>1069</v>
      </c>
      <c r="H2692">
        <v>-8.8174781217780607E-2</v>
      </c>
      <c r="I2692" t="s">
        <v>1070</v>
      </c>
      <c r="J2692">
        <v>2.0499999999999998</v>
      </c>
    </row>
    <row r="2693" spans="1:10" hidden="1">
      <c r="A2693" t="s">
        <v>2052</v>
      </c>
      <c r="B2693" t="s">
        <v>2053</v>
      </c>
      <c r="C2693" t="s">
        <v>241</v>
      </c>
      <c r="D2693" t="s">
        <v>1368</v>
      </c>
      <c r="E2693" t="s">
        <v>1116</v>
      </c>
      <c r="F2693" t="s">
        <v>1068</v>
      </c>
      <c r="G2693" t="s">
        <v>1071</v>
      </c>
      <c r="H2693" s="170">
        <v>-1.8748523713519099E-10</v>
      </c>
      <c r="I2693" t="s">
        <v>1072</v>
      </c>
      <c r="J2693">
        <v>2.0499999999999998</v>
      </c>
    </row>
    <row r="2694" spans="1:10" hidden="1">
      <c r="A2694" t="s">
        <v>2052</v>
      </c>
      <c r="B2694" t="s">
        <v>2053</v>
      </c>
      <c r="C2694" t="s">
        <v>241</v>
      </c>
      <c r="D2694" t="s">
        <v>1368</v>
      </c>
      <c r="E2694" t="s">
        <v>1116</v>
      </c>
      <c r="F2694" t="s">
        <v>1068</v>
      </c>
      <c r="G2694" t="s">
        <v>1073</v>
      </c>
      <c r="H2694" s="170">
        <v>-3.5554291072513603E-8</v>
      </c>
      <c r="I2694" t="s">
        <v>1074</v>
      </c>
      <c r="J2694">
        <v>2.0499999999999998</v>
      </c>
    </row>
    <row r="2695" spans="1:10" hidden="1">
      <c r="A2695" t="s">
        <v>2052</v>
      </c>
      <c r="B2695" t="s">
        <v>2053</v>
      </c>
      <c r="C2695" t="s">
        <v>241</v>
      </c>
      <c r="D2695" t="s">
        <v>1368</v>
      </c>
      <c r="E2695" t="s">
        <v>1116</v>
      </c>
      <c r="F2695" t="s">
        <v>1068</v>
      </c>
      <c r="G2695" t="s">
        <v>1075</v>
      </c>
      <c r="H2695">
        <v>2.0048329330477998E-3</v>
      </c>
      <c r="I2695" t="s">
        <v>1077</v>
      </c>
      <c r="J2695">
        <v>2.0499999999999998</v>
      </c>
    </row>
    <row r="2696" spans="1:10" hidden="1">
      <c r="A2696" t="s">
        <v>2052</v>
      </c>
      <c r="B2696" t="s">
        <v>2053</v>
      </c>
      <c r="C2696" t="s">
        <v>241</v>
      </c>
      <c r="D2696" t="s">
        <v>1368</v>
      </c>
      <c r="E2696" t="s">
        <v>1116</v>
      </c>
      <c r="F2696" t="s">
        <v>1068</v>
      </c>
      <c r="G2696" t="s">
        <v>1078</v>
      </c>
      <c r="H2696">
        <v>-1.6016150545610099</v>
      </c>
      <c r="I2696" t="s">
        <v>1079</v>
      </c>
      <c r="J2696">
        <v>2.0499999999999998</v>
      </c>
    </row>
    <row r="2697" spans="1:10" hidden="1">
      <c r="A2697" t="s">
        <v>2052</v>
      </c>
      <c r="B2697" t="s">
        <v>2053</v>
      </c>
      <c r="C2697" t="s">
        <v>241</v>
      </c>
      <c r="D2697" t="s">
        <v>1368</v>
      </c>
      <c r="E2697" t="s">
        <v>1116</v>
      </c>
      <c r="F2697" t="s">
        <v>1068</v>
      </c>
      <c r="G2697" t="s">
        <v>1080</v>
      </c>
      <c r="H2697" s="171" t="s">
        <v>2054</v>
      </c>
      <c r="I2697" t="s">
        <v>1082</v>
      </c>
      <c r="J2697">
        <v>2.0499999999999998</v>
      </c>
    </row>
    <row r="2698" spans="1:10" hidden="1">
      <c r="A2698" t="s">
        <v>2052</v>
      </c>
      <c r="B2698" t="s">
        <v>2053</v>
      </c>
      <c r="C2698" t="s">
        <v>241</v>
      </c>
      <c r="D2698" t="s">
        <v>1368</v>
      </c>
      <c r="E2698" t="s">
        <v>1116</v>
      </c>
      <c r="F2698" t="s">
        <v>1068</v>
      </c>
      <c r="G2698" t="s">
        <v>1083</v>
      </c>
      <c r="H2698">
        <v>-4.6877313373848E-4</v>
      </c>
      <c r="I2698" t="s">
        <v>1084</v>
      </c>
      <c r="J2698">
        <v>2.0499999999999998</v>
      </c>
    </row>
    <row r="2699" spans="1:10" hidden="1">
      <c r="A2699" t="s">
        <v>2052</v>
      </c>
      <c r="B2699" t="s">
        <v>2053</v>
      </c>
      <c r="C2699" t="s">
        <v>241</v>
      </c>
      <c r="D2699" t="s">
        <v>1368</v>
      </c>
      <c r="E2699" t="s">
        <v>1116</v>
      </c>
      <c r="F2699" t="s">
        <v>1068</v>
      </c>
      <c r="G2699" t="s">
        <v>1085</v>
      </c>
      <c r="H2699">
        <v>-1.31954881566901E-2</v>
      </c>
      <c r="I2699" t="s">
        <v>1086</v>
      </c>
      <c r="J2699">
        <v>2.0499999999999998</v>
      </c>
    </row>
    <row r="2700" spans="1:10" hidden="1">
      <c r="A2700" t="s">
        <v>2052</v>
      </c>
      <c r="B2700" t="s">
        <v>2053</v>
      </c>
      <c r="C2700" t="s">
        <v>241</v>
      </c>
      <c r="D2700" t="s">
        <v>1368</v>
      </c>
      <c r="E2700" t="s">
        <v>1116</v>
      </c>
      <c r="F2700" t="s">
        <v>1068</v>
      </c>
      <c r="G2700" t="s">
        <v>1087</v>
      </c>
      <c r="H2700" s="171" t="s">
        <v>2055</v>
      </c>
      <c r="I2700" t="s">
        <v>1088</v>
      </c>
      <c r="J2700">
        <v>2.0499999999999998</v>
      </c>
    </row>
    <row r="2701" spans="1:10" hidden="1">
      <c r="A2701" t="s">
        <v>2052</v>
      </c>
      <c r="B2701" t="s">
        <v>2053</v>
      </c>
      <c r="C2701" t="s">
        <v>241</v>
      </c>
      <c r="D2701" t="s">
        <v>1368</v>
      </c>
      <c r="E2701" t="s">
        <v>1116</v>
      </c>
      <c r="F2701" t="s">
        <v>1068</v>
      </c>
      <c r="G2701" t="s">
        <v>1089</v>
      </c>
      <c r="H2701">
        <v>-3.5850161300863301E-3</v>
      </c>
      <c r="I2701" t="s">
        <v>1090</v>
      </c>
      <c r="J2701">
        <v>2.0499999999999998</v>
      </c>
    </row>
    <row r="2702" spans="1:10" hidden="1">
      <c r="A2702" t="s">
        <v>2056</v>
      </c>
      <c r="B2702" t="s">
        <v>2057</v>
      </c>
      <c r="C2702" t="s">
        <v>241</v>
      </c>
      <c r="D2702" t="s">
        <v>1396</v>
      </c>
      <c r="E2702" t="s">
        <v>561</v>
      </c>
      <c r="F2702" t="s">
        <v>1068</v>
      </c>
      <c r="G2702" t="s">
        <v>1069</v>
      </c>
      <c r="H2702">
        <v>-6.8703193759224596E-2</v>
      </c>
      <c r="I2702" t="s">
        <v>1070</v>
      </c>
      <c r="J2702">
        <v>2.04</v>
      </c>
    </row>
    <row r="2703" spans="1:10" hidden="1">
      <c r="A2703" t="s">
        <v>2056</v>
      </c>
      <c r="B2703" t="s">
        <v>2057</v>
      </c>
      <c r="C2703" t="s">
        <v>241</v>
      </c>
      <c r="D2703" t="s">
        <v>1396</v>
      </c>
      <c r="E2703" t="s">
        <v>561</v>
      </c>
      <c r="F2703" t="s">
        <v>1068</v>
      </c>
      <c r="G2703" t="s">
        <v>1071</v>
      </c>
      <c r="H2703" s="170">
        <v>-1.45107259025364E-10</v>
      </c>
      <c r="I2703" t="s">
        <v>1072</v>
      </c>
      <c r="J2703">
        <v>2.04</v>
      </c>
    </row>
    <row r="2704" spans="1:10" hidden="1">
      <c r="A2704" t="s">
        <v>2056</v>
      </c>
      <c r="B2704" t="s">
        <v>2057</v>
      </c>
      <c r="C2704" t="s">
        <v>241</v>
      </c>
      <c r="D2704" t="s">
        <v>1396</v>
      </c>
      <c r="E2704" t="s">
        <v>561</v>
      </c>
      <c r="F2704" t="s">
        <v>1068</v>
      </c>
      <c r="G2704" t="s">
        <v>1073</v>
      </c>
      <c r="H2704" s="170">
        <v>-2.7800443372412299E-8</v>
      </c>
      <c r="I2704" t="s">
        <v>1074</v>
      </c>
      <c r="J2704">
        <v>2.04</v>
      </c>
    </row>
    <row r="2705" spans="1:10" hidden="1">
      <c r="A2705" t="s">
        <v>2056</v>
      </c>
      <c r="B2705" t="s">
        <v>2057</v>
      </c>
      <c r="C2705" t="s">
        <v>241</v>
      </c>
      <c r="D2705" t="s">
        <v>1396</v>
      </c>
      <c r="E2705" t="s">
        <v>561</v>
      </c>
      <c r="F2705" t="s">
        <v>1068</v>
      </c>
      <c r="G2705" t="s">
        <v>1075</v>
      </c>
      <c r="H2705">
        <v>2.1344498133627102E-3</v>
      </c>
      <c r="I2705" t="s">
        <v>1077</v>
      </c>
      <c r="J2705">
        <v>2.04</v>
      </c>
    </row>
    <row r="2706" spans="1:10" hidden="1">
      <c r="A2706" t="s">
        <v>2056</v>
      </c>
      <c r="B2706" t="s">
        <v>2057</v>
      </c>
      <c r="C2706" t="s">
        <v>241</v>
      </c>
      <c r="D2706" t="s">
        <v>1396</v>
      </c>
      <c r="E2706" t="s">
        <v>561</v>
      </c>
      <c r="F2706" t="s">
        <v>1068</v>
      </c>
      <c r="G2706" t="s">
        <v>1078</v>
      </c>
      <c r="H2706">
        <v>-1.7510293669055299</v>
      </c>
      <c r="I2706" t="s">
        <v>1079</v>
      </c>
      <c r="J2706">
        <v>2.04</v>
      </c>
    </row>
    <row r="2707" spans="1:10" hidden="1">
      <c r="A2707" t="s">
        <v>2056</v>
      </c>
      <c r="B2707" t="s">
        <v>2057</v>
      </c>
      <c r="C2707" t="s">
        <v>241</v>
      </c>
      <c r="D2707" t="s">
        <v>1396</v>
      </c>
      <c r="E2707" t="s">
        <v>561</v>
      </c>
      <c r="F2707" t="s">
        <v>1068</v>
      </c>
      <c r="G2707" t="s">
        <v>1080</v>
      </c>
      <c r="H2707" s="171" t="s">
        <v>2058</v>
      </c>
      <c r="I2707" t="s">
        <v>1082</v>
      </c>
      <c r="J2707">
        <v>2.04</v>
      </c>
    </row>
    <row r="2708" spans="1:10" hidden="1">
      <c r="A2708" t="s">
        <v>2056</v>
      </c>
      <c r="B2708" t="s">
        <v>2057</v>
      </c>
      <c r="C2708" t="s">
        <v>241</v>
      </c>
      <c r="D2708" t="s">
        <v>1396</v>
      </c>
      <c r="E2708" t="s">
        <v>561</v>
      </c>
      <c r="F2708" t="s">
        <v>1068</v>
      </c>
      <c r="G2708" t="s">
        <v>1083</v>
      </c>
      <c r="H2708">
        <v>-4.0596972753500799E-4</v>
      </c>
      <c r="I2708" t="s">
        <v>1084</v>
      </c>
      <c r="J2708">
        <v>2.04</v>
      </c>
    </row>
    <row r="2709" spans="1:10" hidden="1">
      <c r="A2709" t="s">
        <v>2056</v>
      </c>
      <c r="B2709" t="s">
        <v>2057</v>
      </c>
      <c r="C2709" t="s">
        <v>241</v>
      </c>
      <c r="D2709" t="s">
        <v>1396</v>
      </c>
      <c r="E2709" t="s">
        <v>561</v>
      </c>
      <c r="F2709" t="s">
        <v>1068</v>
      </c>
      <c r="G2709" t="s">
        <v>1085</v>
      </c>
      <c r="H2709">
        <v>-1.1427248007330099E-2</v>
      </c>
      <c r="I2709" t="s">
        <v>1086</v>
      </c>
      <c r="J2709">
        <v>2.04</v>
      </c>
    </row>
    <row r="2710" spans="1:10" hidden="1">
      <c r="A2710" t="s">
        <v>2056</v>
      </c>
      <c r="B2710" t="s">
        <v>2057</v>
      </c>
      <c r="C2710" t="s">
        <v>241</v>
      </c>
      <c r="D2710" t="s">
        <v>1396</v>
      </c>
      <c r="E2710" t="s">
        <v>561</v>
      </c>
      <c r="F2710" t="s">
        <v>1068</v>
      </c>
      <c r="G2710" t="s">
        <v>1087</v>
      </c>
      <c r="H2710" s="170">
        <v>-1.4826559596943699E-7</v>
      </c>
      <c r="I2710" t="s">
        <v>1088</v>
      </c>
      <c r="J2710">
        <v>2.04</v>
      </c>
    </row>
    <row r="2711" spans="1:10" hidden="1">
      <c r="A2711" t="s">
        <v>2056</v>
      </c>
      <c r="B2711" t="s">
        <v>2057</v>
      </c>
      <c r="C2711" t="s">
        <v>241</v>
      </c>
      <c r="D2711" t="s">
        <v>1396</v>
      </c>
      <c r="E2711" t="s">
        <v>561</v>
      </c>
      <c r="F2711" t="s">
        <v>1068</v>
      </c>
      <c r="G2711" t="s">
        <v>1089</v>
      </c>
      <c r="H2711">
        <v>-3.1072916197072702E-3</v>
      </c>
      <c r="I2711" t="s">
        <v>1090</v>
      </c>
      <c r="J2711">
        <v>2.04</v>
      </c>
    </row>
    <row r="2712" spans="1:10" hidden="1">
      <c r="A2712" t="s">
        <v>2059</v>
      </c>
      <c r="B2712" t="s">
        <v>2060</v>
      </c>
      <c r="C2712" t="s">
        <v>241</v>
      </c>
      <c r="D2712" t="s">
        <v>1396</v>
      </c>
      <c r="E2712" t="s">
        <v>555</v>
      </c>
      <c r="F2712" t="s">
        <v>1068</v>
      </c>
      <c r="G2712" t="s">
        <v>1069</v>
      </c>
      <c r="H2712">
        <v>-6.85049352750325E-2</v>
      </c>
      <c r="I2712" t="s">
        <v>1070</v>
      </c>
      <c r="J2712">
        <v>2.0499999999999998</v>
      </c>
    </row>
    <row r="2713" spans="1:10" hidden="1">
      <c r="A2713" t="s">
        <v>2059</v>
      </c>
      <c r="B2713" t="s">
        <v>2060</v>
      </c>
      <c r="C2713" t="s">
        <v>241</v>
      </c>
      <c r="D2713" t="s">
        <v>1396</v>
      </c>
      <c r="E2713" t="s">
        <v>555</v>
      </c>
      <c r="F2713" t="s">
        <v>1068</v>
      </c>
      <c r="G2713" t="s">
        <v>1071</v>
      </c>
      <c r="H2713" s="170">
        <v>-1.4477802019608501E-10</v>
      </c>
      <c r="I2713" t="s">
        <v>1072</v>
      </c>
      <c r="J2713">
        <v>2.0499999999999998</v>
      </c>
    </row>
    <row r="2714" spans="1:10" hidden="1">
      <c r="A2714" t="s">
        <v>2059</v>
      </c>
      <c r="B2714" t="s">
        <v>2060</v>
      </c>
      <c r="C2714" t="s">
        <v>241</v>
      </c>
      <c r="D2714" t="s">
        <v>1396</v>
      </c>
      <c r="E2714" t="s">
        <v>555</v>
      </c>
      <c r="F2714" t="s">
        <v>1068</v>
      </c>
      <c r="G2714" t="s">
        <v>1073</v>
      </c>
      <c r="H2714" s="170">
        <v>-2.7734196898654799E-8</v>
      </c>
      <c r="I2714" t="s">
        <v>1074</v>
      </c>
      <c r="J2714">
        <v>2.0499999999999998</v>
      </c>
    </row>
    <row r="2715" spans="1:10" hidden="1">
      <c r="A2715" t="s">
        <v>2059</v>
      </c>
      <c r="B2715" t="s">
        <v>2060</v>
      </c>
      <c r="C2715" t="s">
        <v>241</v>
      </c>
      <c r="D2715" t="s">
        <v>1396</v>
      </c>
      <c r="E2715" t="s">
        <v>555</v>
      </c>
      <c r="F2715" t="s">
        <v>1068</v>
      </c>
      <c r="G2715" t="s">
        <v>1075</v>
      </c>
      <c r="H2715">
        <v>2.1706484805954001E-3</v>
      </c>
      <c r="I2715" t="s">
        <v>1077</v>
      </c>
      <c r="J2715">
        <v>2.0499999999999998</v>
      </c>
    </row>
    <row r="2716" spans="1:10" hidden="1">
      <c r="A2716" t="s">
        <v>2059</v>
      </c>
      <c r="B2716" t="s">
        <v>2060</v>
      </c>
      <c r="C2716" t="s">
        <v>241</v>
      </c>
      <c r="D2716" t="s">
        <v>1396</v>
      </c>
      <c r="E2716" t="s">
        <v>555</v>
      </c>
      <c r="F2716" t="s">
        <v>1068</v>
      </c>
      <c r="G2716" t="s">
        <v>1078</v>
      </c>
      <c r="H2716">
        <v>-1.73808971123668</v>
      </c>
      <c r="I2716" t="s">
        <v>1079</v>
      </c>
      <c r="J2716">
        <v>2.0499999999999998</v>
      </c>
    </row>
    <row r="2717" spans="1:10" hidden="1">
      <c r="A2717" t="s">
        <v>2059</v>
      </c>
      <c r="B2717" t="s">
        <v>2060</v>
      </c>
      <c r="C2717" t="s">
        <v>241</v>
      </c>
      <c r="D2717" t="s">
        <v>1396</v>
      </c>
      <c r="E2717" t="s">
        <v>555</v>
      </c>
      <c r="F2717" t="s">
        <v>1068</v>
      </c>
      <c r="G2717" t="s">
        <v>1080</v>
      </c>
      <c r="H2717" s="171" t="s">
        <v>2061</v>
      </c>
      <c r="I2717" t="s">
        <v>1082</v>
      </c>
      <c r="J2717">
        <v>2.0499999999999998</v>
      </c>
    </row>
    <row r="2718" spans="1:10" hidden="1">
      <c r="A2718" t="s">
        <v>2059</v>
      </c>
      <c r="B2718" t="s">
        <v>2060</v>
      </c>
      <c r="C2718" t="s">
        <v>241</v>
      </c>
      <c r="D2718" t="s">
        <v>1396</v>
      </c>
      <c r="E2718" t="s">
        <v>555</v>
      </c>
      <c r="F2718" t="s">
        <v>1068</v>
      </c>
      <c r="G2718" t="s">
        <v>1083</v>
      </c>
      <c r="H2718">
        <v>-4.0594253801997499E-4</v>
      </c>
      <c r="I2718" t="s">
        <v>1084</v>
      </c>
      <c r="J2718">
        <v>2.0499999999999998</v>
      </c>
    </row>
    <row r="2719" spans="1:10" hidden="1">
      <c r="A2719" t="s">
        <v>2059</v>
      </c>
      <c r="B2719" t="s">
        <v>2060</v>
      </c>
      <c r="C2719" t="s">
        <v>241</v>
      </c>
      <c r="D2719" t="s">
        <v>1396</v>
      </c>
      <c r="E2719" t="s">
        <v>555</v>
      </c>
      <c r="F2719" t="s">
        <v>1068</v>
      </c>
      <c r="G2719" t="s">
        <v>1085</v>
      </c>
      <c r="H2719">
        <v>-1.14267798259863E-2</v>
      </c>
      <c r="I2719" t="s">
        <v>1086</v>
      </c>
      <c r="J2719">
        <v>2.0499999999999998</v>
      </c>
    </row>
    <row r="2720" spans="1:10" hidden="1">
      <c r="A2720" t="s">
        <v>2059</v>
      </c>
      <c r="B2720" t="s">
        <v>2060</v>
      </c>
      <c r="C2720" t="s">
        <v>241</v>
      </c>
      <c r="D2720" t="s">
        <v>1396</v>
      </c>
      <c r="E2720" t="s">
        <v>555</v>
      </c>
      <c r="F2720" t="s">
        <v>1068</v>
      </c>
      <c r="G2720" t="s">
        <v>1087</v>
      </c>
      <c r="H2720" s="170">
        <v>-1.4663920794397399E-7</v>
      </c>
      <c r="I2720" t="s">
        <v>1088</v>
      </c>
      <c r="J2720">
        <v>2.0499999999999998</v>
      </c>
    </row>
    <row r="2721" spans="1:10" hidden="1">
      <c r="A2721" t="s">
        <v>2059</v>
      </c>
      <c r="B2721" t="s">
        <v>2060</v>
      </c>
      <c r="C2721" t="s">
        <v>241</v>
      </c>
      <c r="D2721" t="s">
        <v>1396</v>
      </c>
      <c r="E2721" t="s">
        <v>555</v>
      </c>
      <c r="F2721" t="s">
        <v>1068</v>
      </c>
      <c r="G2721" t="s">
        <v>1089</v>
      </c>
      <c r="H2721">
        <v>-3.1072230621394898E-3</v>
      </c>
      <c r="I2721" t="s">
        <v>1090</v>
      </c>
      <c r="J2721">
        <v>2.0499999999999998</v>
      </c>
    </row>
    <row r="2722" spans="1:10" hidden="1">
      <c r="A2722" t="s">
        <v>2062</v>
      </c>
      <c r="B2722" t="s">
        <v>2063</v>
      </c>
      <c r="C2722" t="s">
        <v>241</v>
      </c>
      <c r="D2722" t="s">
        <v>1396</v>
      </c>
      <c r="E2722" t="s">
        <v>558</v>
      </c>
      <c r="F2722" t="s">
        <v>1068</v>
      </c>
      <c r="G2722" t="s">
        <v>1069</v>
      </c>
      <c r="H2722">
        <v>-6.8719020759947E-2</v>
      </c>
      <c r="I2722" t="s">
        <v>1070</v>
      </c>
      <c r="J2722">
        <v>2.04</v>
      </c>
    </row>
    <row r="2723" spans="1:10" hidden="1">
      <c r="A2723" t="s">
        <v>2062</v>
      </c>
      <c r="B2723" t="s">
        <v>2063</v>
      </c>
      <c r="C2723" t="s">
        <v>241</v>
      </c>
      <c r="D2723" t="s">
        <v>1396</v>
      </c>
      <c r="E2723" t="s">
        <v>558</v>
      </c>
      <c r="F2723" t="s">
        <v>1068</v>
      </c>
      <c r="G2723" t="s">
        <v>1071</v>
      </c>
      <c r="H2723" s="170">
        <v>-1.4512990764348799E-10</v>
      </c>
      <c r="I2723" t="s">
        <v>1072</v>
      </c>
      <c r="J2723">
        <v>2.04</v>
      </c>
    </row>
    <row r="2724" spans="1:10" hidden="1">
      <c r="A2724" t="s">
        <v>2062</v>
      </c>
      <c r="B2724" t="s">
        <v>2063</v>
      </c>
      <c r="C2724" t="s">
        <v>241</v>
      </c>
      <c r="D2724" t="s">
        <v>1396</v>
      </c>
      <c r="E2724" t="s">
        <v>558</v>
      </c>
      <c r="F2724" t="s">
        <v>1068</v>
      </c>
      <c r="G2724" t="s">
        <v>1073</v>
      </c>
      <c r="H2724" s="170">
        <v>-2.780606517315E-8</v>
      </c>
      <c r="I2724" t="s">
        <v>1074</v>
      </c>
      <c r="J2724">
        <v>2.04</v>
      </c>
    </row>
    <row r="2725" spans="1:10" hidden="1">
      <c r="A2725" t="s">
        <v>2062</v>
      </c>
      <c r="B2725" t="s">
        <v>2063</v>
      </c>
      <c r="C2725" t="s">
        <v>241</v>
      </c>
      <c r="D2725" t="s">
        <v>1396</v>
      </c>
      <c r="E2725" t="s">
        <v>558</v>
      </c>
      <c r="F2725" t="s">
        <v>1068</v>
      </c>
      <c r="G2725" t="s">
        <v>1075</v>
      </c>
      <c r="H2725">
        <v>2.1339495049633398E-3</v>
      </c>
      <c r="I2725" t="s">
        <v>1077</v>
      </c>
      <c r="J2725">
        <v>2.04</v>
      </c>
    </row>
    <row r="2726" spans="1:10" hidden="1">
      <c r="A2726" t="s">
        <v>2062</v>
      </c>
      <c r="B2726" t="s">
        <v>2063</v>
      </c>
      <c r="C2726" t="s">
        <v>241</v>
      </c>
      <c r="D2726" t="s">
        <v>1396</v>
      </c>
      <c r="E2726" t="s">
        <v>558</v>
      </c>
      <c r="F2726" t="s">
        <v>1068</v>
      </c>
      <c r="G2726" t="s">
        <v>1078</v>
      </c>
      <c r="H2726">
        <v>-1.75105100217061</v>
      </c>
      <c r="I2726" t="s">
        <v>1079</v>
      </c>
      <c r="J2726">
        <v>2.04</v>
      </c>
    </row>
    <row r="2727" spans="1:10" hidden="1">
      <c r="A2727" t="s">
        <v>2062</v>
      </c>
      <c r="B2727" t="s">
        <v>2063</v>
      </c>
      <c r="C2727" t="s">
        <v>241</v>
      </c>
      <c r="D2727" t="s">
        <v>1396</v>
      </c>
      <c r="E2727" t="s">
        <v>558</v>
      </c>
      <c r="F2727" t="s">
        <v>1068</v>
      </c>
      <c r="G2727" t="s">
        <v>1080</v>
      </c>
      <c r="H2727" s="171" t="s">
        <v>2064</v>
      </c>
      <c r="I2727" t="s">
        <v>1082</v>
      </c>
      <c r="J2727">
        <v>2.04</v>
      </c>
    </row>
    <row r="2728" spans="1:10" hidden="1">
      <c r="A2728" t="s">
        <v>2062</v>
      </c>
      <c r="B2728" t="s">
        <v>2063</v>
      </c>
      <c r="C2728" t="s">
        <v>241</v>
      </c>
      <c r="D2728" t="s">
        <v>1396</v>
      </c>
      <c r="E2728" t="s">
        <v>558</v>
      </c>
      <c r="F2728" t="s">
        <v>1068</v>
      </c>
      <c r="G2728" t="s">
        <v>1083</v>
      </c>
      <c r="H2728">
        <v>-4.0597213324936098E-4</v>
      </c>
      <c r="I2728" t="s">
        <v>1084</v>
      </c>
      <c r="J2728">
        <v>2.04</v>
      </c>
    </row>
    <row r="2729" spans="1:10" hidden="1">
      <c r="A2729" t="s">
        <v>2062</v>
      </c>
      <c r="B2729" t="s">
        <v>2063</v>
      </c>
      <c r="C2729" t="s">
        <v>241</v>
      </c>
      <c r="D2729" t="s">
        <v>1396</v>
      </c>
      <c r="E2729" t="s">
        <v>558</v>
      </c>
      <c r="F2729" t="s">
        <v>1068</v>
      </c>
      <c r="G2729" t="s">
        <v>1085</v>
      </c>
      <c r="H2729">
        <v>-1.14272751967849E-2</v>
      </c>
      <c r="I2729" t="s">
        <v>1086</v>
      </c>
      <c r="J2729">
        <v>2.04</v>
      </c>
    </row>
    <row r="2730" spans="1:10" hidden="1">
      <c r="A2730" t="s">
        <v>2062</v>
      </c>
      <c r="B2730" t="s">
        <v>2063</v>
      </c>
      <c r="C2730" t="s">
        <v>241</v>
      </c>
      <c r="D2730" t="s">
        <v>1396</v>
      </c>
      <c r="E2730" t="s">
        <v>558</v>
      </c>
      <c r="F2730" t="s">
        <v>1068</v>
      </c>
      <c r="G2730" t="s">
        <v>1087</v>
      </c>
      <c r="H2730" s="170">
        <v>-1.48278717724446E-7</v>
      </c>
      <c r="I2730" t="s">
        <v>1088</v>
      </c>
      <c r="J2730">
        <v>2.04</v>
      </c>
    </row>
    <row r="2731" spans="1:10" hidden="1">
      <c r="A2731" t="s">
        <v>2062</v>
      </c>
      <c r="B2731" t="s">
        <v>2063</v>
      </c>
      <c r="C2731" t="s">
        <v>241</v>
      </c>
      <c r="D2731" t="s">
        <v>1396</v>
      </c>
      <c r="E2731" t="s">
        <v>558</v>
      </c>
      <c r="F2731" t="s">
        <v>1068</v>
      </c>
      <c r="G2731" t="s">
        <v>1089</v>
      </c>
      <c r="H2731">
        <v>-3.1072972288381001E-3</v>
      </c>
      <c r="I2731" t="s">
        <v>1090</v>
      </c>
      <c r="J2731">
        <v>2.04</v>
      </c>
    </row>
    <row r="2732" spans="1:10" hidden="1">
      <c r="A2732" t="s">
        <v>2065</v>
      </c>
      <c r="B2732" t="s">
        <v>2066</v>
      </c>
      <c r="C2732" t="s">
        <v>241</v>
      </c>
      <c r="D2732" t="s">
        <v>1396</v>
      </c>
      <c r="E2732" t="s">
        <v>553</v>
      </c>
      <c r="F2732" t="s">
        <v>1068</v>
      </c>
      <c r="G2732" t="s">
        <v>1069</v>
      </c>
      <c r="H2732">
        <v>-6.8715014954326595E-2</v>
      </c>
      <c r="I2732" t="s">
        <v>1070</v>
      </c>
      <c r="J2732">
        <v>2.04</v>
      </c>
    </row>
    <row r="2733" spans="1:10" hidden="1">
      <c r="A2733" t="s">
        <v>2065</v>
      </c>
      <c r="B2733" t="s">
        <v>2066</v>
      </c>
      <c r="C2733" t="s">
        <v>241</v>
      </c>
      <c r="D2733" t="s">
        <v>1396</v>
      </c>
      <c r="E2733" t="s">
        <v>553</v>
      </c>
      <c r="F2733" t="s">
        <v>1068</v>
      </c>
      <c r="G2733" t="s">
        <v>1071</v>
      </c>
      <c r="H2733" s="170">
        <v>-1.4507864660729099E-10</v>
      </c>
      <c r="I2733" t="s">
        <v>1072</v>
      </c>
      <c r="J2733">
        <v>2.04</v>
      </c>
    </row>
    <row r="2734" spans="1:10" hidden="1">
      <c r="A2734" t="s">
        <v>2065</v>
      </c>
      <c r="B2734" t="s">
        <v>2066</v>
      </c>
      <c r="C2734" t="s">
        <v>241</v>
      </c>
      <c r="D2734" t="s">
        <v>1396</v>
      </c>
      <c r="E2734" t="s">
        <v>553</v>
      </c>
      <c r="F2734" t="s">
        <v>1068</v>
      </c>
      <c r="G2734" t="s">
        <v>1073</v>
      </c>
      <c r="H2734" s="170">
        <v>-2.7808817865476702E-8</v>
      </c>
      <c r="I2734" t="s">
        <v>1074</v>
      </c>
      <c r="J2734">
        <v>2.04</v>
      </c>
    </row>
    <row r="2735" spans="1:10" hidden="1">
      <c r="A2735" t="s">
        <v>2065</v>
      </c>
      <c r="B2735" t="s">
        <v>2066</v>
      </c>
      <c r="C2735" t="s">
        <v>241</v>
      </c>
      <c r="D2735" t="s">
        <v>1396</v>
      </c>
      <c r="E2735" t="s">
        <v>553</v>
      </c>
      <c r="F2735" t="s">
        <v>1068</v>
      </c>
      <c r="G2735" t="s">
        <v>1075</v>
      </c>
      <c r="H2735">
        <v>2.1640076375123202E-3</v>
      </c>
      <c r="I2735" t="s">
        <v>1077</v>
      </c>
      <c r="J2735">
        <v>2.04</v>
      </c>
    </row>
    <row r="2736" spans="1:10" hidden="1">
      <c r="A2736" t="s">
        <v>2065</v>
      </c>
      <c r="B2736" t="s">
        <v>2066</v>
      </c>
      <c r="C2736" t="s">
        <v>241</v>
      </c>
      <c r="D2736" t="s">
        <v>1396</v>
      </c>
      <c r="E2736" t="s">
        <v>553</v>
      </c>
      <c r="F2736" t="s">
        <v>1068</v>
      </c>
      <c r="G2736" t="s">
        <v>1078</v>
      </c>
      <c r="H2736">
        <v>-1.7383768869078899</v>
      </c>
      <c r="I2736" t="s">
        <v>1079</v>
      </c>
      <c r="J2736">
        <v>2.04</v>
      </c>
    </row>
    <row r="2737" spans="1:10" hidden="1">
      <c r="A2737" t="s">
        <v>2065</v>
      </c>
      <c r="B2737" t="s">
        <v>2066</v>
      </c>
      <c r="C2737" t="s">
        <v>241</v>
      </c>
      <c r="D2737" t="s">
        <v>1396</v>
      </c>
      <c r="E2737" t="s">
        <v>553</v>
      </c>
      <c r="F2737" t="s">
        <v>1068</v>
      </c>
      <c r="G2737" t="s">
        <v>1080</v>
      </c>
      <c r="H2737" s="171" t="s">
        <v>2067</v>
      </c>
      <c r="I2737" t="s">
        <v>1082</v>
      </c>
      <c r="J2737">
        <v>2.04</v>
      </c>
    </row>
    <row r="2738" spans="1:10" hidden="1">
      <c r="A2738" t="s">
        <v>2065</v>
      </c>
      <c r="B2738" t="s">
        <v>2066</v>
      </c>
      <c r="C2738" t="s">
        <v>241</v>
      </c>
      <c r="D2738" t="s">
        <v>1396</v>
      </c>
      <c r="E2738" t="s">
        <v>553</v>
      </c>
      <c r="F2738" t="s">
        <v>1068</v>
      </c>
      <c r="G2738" t="s">
        <v>1083</v>
      </c>
      <c r="H2738">
        <v>-4.0597447026723501E-4</v>
      </c>
      <c r="I2738" t="s">
        <v>1084</v>
      </c>
      <c r="J2738">
        <v>2.04</v>
      </c>
    </row>
    <row r="2739" spans="1:10" hidden="1">
      <c r="A2739" t="s">
        <v>2065</v>
      </c>
      <c r="B2739" t="s">
        <v>2066</v>
      </c>
      <c r="C2739" t="s">
        <v>241</v>
      </c>
      <c r="D2739" t="s">
        <v>1396</v>
      </c>
      <c r="E2739" t="s">
        <v>553</v>
      </c>
      <c r="F2739" t="s">
        <v>1068</v>
      </c>
      <c r="G2739" t="s">
        <v>1085</v>
      </c>
      <c r="H2739">
        <v>-1.14271407251891E-2</v>
      </c>
      <c r="I2739" t="s">
        <v>1086</v>
      </c>
      <c r="J2739">
        <v>2.04</v>
      </c>
    </row>
    <row r="2740" spans="1:10" hidden="1">
      <c r="A2740" t="s">
        <v>2065</v>
      </c>
      <c r="B2740" t="s">
        <v>2066</v>
      </c>
      <c r="C2740" t="s">
        <v>241</v>
      </c>
      <c r="D2740" t="s">
        <v>1396</v>
      </c>
      <c r="E2740" t="s">
        <v>553</v>
      </c>
      <c r="F2740" t="s">
        <v>1068</v>
      </c>
      <c r="G2740" t="s">
        <v>1087</v>
      </c>
      <c r="H2740" s="170">
        <v>-1.4681337954714401E-7</v>
      </c>
      <c r="I2740" t="s">
        <v>1088</v>
      </c>
      <c r="J2740">
        <v>2.04</v>
      </c>
    </row>
    <row r="2741" spans="1:10" hidden="1">
      <c r="A2741" t="s">
        <v>2065</v>
      </c>
      <c r="B2741" t="s">
        <v>2066</v>
      </c>
      <c r="C2741" t="s">
        <v>241</v>
      </c>
      <c r="D2741" t="s">
        <v>1396</v>
      </c>
      <c r="E2741" t="s">
        <v>553</v>
      </c>
      <c r="F2741" t="s">
        <v>1068</v>
      </c>
      <c r="G2741" t="s">
        <v>1089</v>
      </c>
      <c r="H2741">
        <v>-3.1072975149323699E-3</v>
      </c>
      <c r="I2741" t="s">
        <v>1090</v>
      </c>
      <c r="J2741">
        <v>2.04</v>
      </c>
    </row>
    <row r="2742" spans="1:10" hidden="1">
      <c r="A2742" t="s">
        <v>2068</v>
      </c>
      <c r="B2742" t="s">
        <v>2069</v>
      </c>
      <c r="C2742" t="s">
        <v>241</v>
      </c>
      <c r="D2742" t="s">
        <v>1396</v>
      </c>
      <c r="E2742" t="s">
        <v>556</v>
      </c>
      <c r="F2742" t="s">
        <v>1068</v>
      </c>
      <c r="G2742" t="s">
        <v>1069</v>
      </c>
      <c r="H2742">
        <v>-6.8524441988810997E-2</v>
      </c>
      <c r="I2742" t="s">
        <v>1070</v>
      </c>
      <c r="J2742">
        <v>2.56</v>
      </c>
    </row>
    <row r="2743" spans="1:10" hidden="1">
      <c r="A2743" t="s">
        <v>2068</v>
      </c>
      <c r="B2743" t="s">
        <v>2069</v>
      </c>
      <c r="C2743" t="s">
        <v>241</v>
      </c>
      <c r="D2743" t="s">
        <v>1396</v>
      </c>
      <c r="E2743" t="s">
        <v>556</v>
      </c>
      <c r="F2743" t="s">
        <v>1068</v>
      </c>
      <c r="G2743" t="s">
        <v>1071</v>
      </c>
      <c r="H2743" s="170">
        <v>-1.4455216901633499E-10</v>
      </c>
      <c r="I2743" t="s">
        <v>1072</v>
      </c>
      <c r="J2743">
        <v>2.56</v>
      </c>
    </row>
    <row r="2744" spans="1:10" hidden="1">
      <c r="A2744" t="s">
        <v>2068</v>
      </c>
      <c r="B2744" t="s">
        <v>2069</v>
      </c>
      <c r="C2744" t="s">
        <v>241</v>
      </c>
      <c r="D2744" t="s">
        <v>1396</v>
      </c>
      <c r="E2744" t="s">
        <v>556</v>
      </c>
      <c r="F2744" t="s">
        <v>1068</v>
      </c>
      <c r="G2744" t="s">
        <v>1073</v>
      </c>
      <c r="H2744" s="170">
        <v>-2.77338598734355E-8</v>
      </c>
      <c r="I2744" t="s">
        <v>1074</v>
      </c>
      <c r="J2744">
        <v>2.56</v>
      </c>
    </row>
    <row r="2745" spans="1:10" hidden="1">
      <c r="A2745" t="s">
        <v>2068</v>
      </c>
      <c r="B2745" t="s">
        <v>2069</v>
      </c>
      <c r="C2745" t="s">
        <v>241</v>
      </c>
      <c r="D2745" t="s">
        <v>1396</v>
      </c>
      <c r="E2745" t="s">
        <v>556</v>
      </c>
      <c r="F2745" t="s">
        <v>1068</v>
      </c>
      <c r="G2745" t="s">
        <v>1075</v>
      </c>
      <c r="H2745">
        <v>2.2810727481633098E-3</v>
      </c>
      <c r="I2745" t="s">
        <v>1077</v>
      </c>
      <c r="J2745">
        <v>2.56</v>
      </c>
    </row>
    <row r="2746" spans="1:10" hidden="1">
      <c r="A2746" t="s">
        <v>2068</v>
      </c>
      <c r="B2746" t="s">
        <v>2069</v>
      </c>
      <c r="C2746" t="s">
        <v>241</v>
      </c>
      <c r="D2746" t="s">
        <v>1396</v>
      </c>
      <c r="E2746" t="s">
        <v>556</v>
      </c>
      <c r="F2746" t="s">
        <v>1068</v>
      </c>
      <c r="G2746" t="s">
        <v>1078</v>
      </c>
      <c r="H2746">
        <v>-1.69179267729399</v>
      </c>
      <c r="I2746" t="s">
        <v>1079</v>
      </c>
      <c r="J2746">
        <v>2.56</v>
      </c>
    </row>
    <row r="2747" spans="1:10" hidden="1">
      <c r="A2747" t="s">
        <v>2068</v>
      </c>
      <c r="B2747" t="s">
        <v>2069</v>
      </c>
      <c r="C2747" t="s">
        <v>241</v>
      </c>
      <c r="D2747" t="s">
        <v>1396</v>
      </c>
      <c r="E2747" t="s">
        <v>556</v>
      </c>
      <c r="F2747" t="s">
        <v>1068</v>
      </c>
      <c r="G2747" t="s">
        <v>1080</v>
      </c>
      <c r="H2747" s="171" t="s">
        <v>2070</v>
      </c>
      <c r="I2747" t="s">
        <v>1082</v>
      </c>
      <c r="J2747">
        <v>2.56</v>
      </c>
    </row>
    <row r="2748" spans="1:10" hidden="1">
      <c r="A2748" t="s">
        <v>2068</v>
      </c>
      <c r="B2748" t="s">
        <v>2069</v>
      </c>
      <c r="C2748" t="s">
        <v>241</v>
      </c>
      <c r="D2748" t="s">
        <v>1396</v>
      </c>
      <c r="E2748" t="s">
        <v>556</v>
      </c>
      <c r="F2748" t="s">
        <v>1068</v>
      </c>
      <c r="G2748" t="s">
        <v>1083</v>
      </c>
      <c r="H2748">
        <v>-4.0594547008893198E-4</v>
      </c>
      <c r="I2748" t="s">
        <v>1084</v>
      </c>
      <c r="J2748">
        <v>2.56</v>
      </c>
    </row>
    <row r="2749" spans="1:10" hidden="1">
      <c r="A2749" t="s">
        <v>2068</v>
      </c>
      <c r="B2749" t="s">
        <v>2069</v>
      </c>
      <c r="C2749" t="s">
        <v>241</v>
      </c>
      <c r="D2749" t="s">
        <v>1396</v>
      </c>
      <c r="E2749" t="s">
        <v>556</v>
      </c>
      <c r="F2749" t="s">
        <v>1068</v>
      </c>
      <c r="G2749" t="s">
        <v>1085</v>
      </c>
      <c r="H2749">
        <v>-1.14262289270985E-2</v>
      </c>
      <c r="I2749" t="s">
        <v>1086</v>
      </c>
      <c r="J2749">
        <v>2.56</v>
      </c>
    </row>
    <row r="2750" spans="1:10" hidden="1">
      <c r="A2750" t="s">
        <v>2068</v>
      </c>
      <c r="B2750" t="s">
        <v>2069</v>
      </c>
      <c r="C2750" t="s">
        <v>241</v>
      </c>
      <c r="D2750" t="s">
        <v>1396</v>
      </c>
      <c r="E2750" t="s">
        <v>556</v>
      </c>
      <c r="F2750" t="s">
        <v>1068</v>
      </c>
      <c r="G2750" t="s">
        <v>1087</v>
      </c>
      <c r="H2750" s="170">
        <v>-1.46655578724516E-7</v>
      </c>
      <c r="I2750" t="s">
        <v>1088</v>
      </c>
      <c r="J2750">
        <v>2.56</v>
      </c>
    </row>
    <row r="2751" spans="1:10" hidden="1">
      <c r="A2751" t="s">
        <v>2068</v>
      </c>
      <c r="B2751" t="s">
        <v>2069</v>
      </c>
      <c r="C2751" t="s">
        <v>241</v>
      </c>
      <c r="D2751" t="s">
        <v>1396</v>
      </c>
      <c r="E2751" t="s">
        <v>556</v>
      </c>
      <c r="F2751" t="s">
        <v>1068</v>
      </c>
      <c r="G2751" t="s">
        <v>1089</v>
      </c>
      <c r="H2751">
        <v>-3.1072300601248798E-3</v>
      </c>
      <c r="I2751" t="s">
        <v>1090</v>
      </c>
      <c r="J2751">
        <v>2.56</v>
      </c>
    </row>
    <row r="2752" spans="1:10" hidden="1">
      <c r="A2752" t="s">
        <v>2071</v>
      </c>
      <c r="B2752" t="s">
        <v>2072</v>
      </c>
      <c r="C2752" t="s">
        <v>241</v>
      </c>
      <c r="D2752" t="s">
        <v>1396</v>
      </c>
      <c r="E2752" t="s">
        <v>557</v>
      </c>
      <c r="F2752" t="s">
        <v>1068</v>
      </c>
      <c r="G2752" t="s">
        <v>1069</v>
      </c>
      <c r="H2752">
        <v>-6.8653648365812905E-2</v>
      </c>
      <c r="I2752" t="s">
        <v>1070</v>
      </c>
      <c r="J2752">
        <v>2.04</v>
      </c>
    </row>
    <row r="2753" spans="1:10" hidden="1">
      <c r="A2753" t="s">
        <v>2071</v>
      </c>
      <c r="B2753" t="s">
        <v>2072</v>
      </c>
      <c r="C2753" t="s">
        <v>241</v>
      </c>
      <c r="D2753" t="s">
        <v>1396</v>
      </c>
      <c r="E2753" t="s">
        <v>557</v>
      </c>
      <c r="F2753" t="s">
        <v>1068</v>
      </c>
      <c r="G2753" t="s">
        <v>1071</v>
      </c>
      <c r="H2753" s="170">
        <v>-1.45036359003748E-10</v>
      </c>
      <c r="I2753" t="s">
        <v>1072</v>
      </c>
      <c r="J2753">
        <v>2.04</v>
      </c>
    </row>
    <row r="2754" spans="1:10" hidden="1">
      <c r="A2754" t="s">
        <v>2071</v>
      </c>
      <c r="B2754" t="s">
        <v>2072</v>
      </c>
      <c r="C2754" t="s">
        <v>241</v>
      </c>
      <c r="D2754" t="s">
        <v>1396</v>
      </c>
      <c r="E2754" t="s">
        <v>557</v>
      </c>
      <c r="F2754" t="s">
        <v>1068</v>
      </c>
      <c r="G2754" t="s">
        <v>1073</v>
      </c>
      <c r="H2754" s="170">
        <v>-2.7782844691902802E-8</v>
      </c>
      <c r="I2754" t="s">
        <v>1074</v>
      </c>
      <c r="J2754">
        <v>2.04</v>
      </c>
    </row>
    <row r="2755" spans="1:10" hidden="1">
      <c r="A2755" t="s">
        <v>2071</v>
      </c>
      <c r="B2755" t="s">
        <v>2072</v>
      </c>
      <c r="C2755" t="s">
        <v>241</v>
      </c>
      <c r="D2755" t="s">
        <v>1396</v>
      </c>
      <c r="E2755" t="s">
        <v>557</v>
      </c>
      <c r="F2755" t="s">
        <v>1068</v>
      </c>
      <c r="G2755" t="s">
        <v>1075</v>
      </c>
      <c r="H2755">
        <v>2.13601599617736E-3</v>
      </c>
      <c r="I2755" t="s">
        <v>1077</v>
      </c>
      <c r="J2755">
        <v>2.04</v>
      </c>
    </row>
    <row r="2756" spans="1:10" hidden="1">
      <c r="A2756" t="s">
        <v>2071</v>
      </c>
      <c r="B2756" t="s">
        <v>2072</v>
      </c>
      <c r="C2756" t="s">
        <v>241</v>
      </c>
      <c r="D2756" t="s">
        <v>1396</v>
      </c>
      <c r="E2756" t="s">
        <v>557</v>
      </c>
      <c r="F2756" t="s">
        <v>1068</v>
      </c>
      <c r="G2756" t="s">
        <v>1078</v>
      </c>
      <c r="H2756">
        <v>-1.75096163911925</v>
      </c>
      <c r="I2756" t="s">
        <v>1079</v>
      </c>
      <c r="J2756">
        <v>2.04</v>
      </c>
    </row>
    <row r="2757" spans="1:10" hidden="1">
      <c r="A2757" t="s">
        <v>2071</v>
      </c>
      <c r="B2757" t="s">
        <v>2072</v>
      </c>
      <c r="C2757" t="s">
        <v>241</v>
      </c>
      <c r="D2757" t="s">
        <v>1396</v>
      </c>
      <c r="E2757" t="s">
        <v>557</v>
      </c>
      <c r="F2757" t="s">
        <v>1068</v>
      </c>
      <c r="G2757" t="s">
        <v>1080</v>
      </c>
      <c r="H2757" s="171" t="s">
        <v>2073</v>
      </c>
      <c r="I2757" t="s">
        <v>1082</v>
      </c>
      <c r="J2757">
        <v>2.04</v>
      </c>
    </row>
    <row r="2758" spans="1:10" hidden="1">
      <c r="A2758" t="s">
        <v>2071</v>
      </c>
      <c r="B2758" t="s">
        <v>2072</v>
      </c>
      <c r="C2758" t="s">
        <v>241</v>
      </c>
      <c r="D2758" t="s">
        <v>1396</v>
      </c>
      <c r="E2758" t="s">
        <v>557</v>
      </c>
      <c r="F2758" t="s">
        <v>1068</v>
      </c>
      <c r="G2758" t="s">
        <v>1083</v>
      </c>
      <c r="H2758">
        <v>-4.0596219660312701E-4</v>
      </c>
      <c r="I2758" t="s">
        <v>1084</v>
      </c>
      <c r="J2758">
        <v>2.04</v>
      </c>
    </row>
    <row r="2759" spans="1:10" hidden="1">
      <c r="A2759" t="s">
        <v>2071</v>
      </c>
      <c r="B2759" t="s">
        <v>2072</v>
      </c>
      <c r="C2759" t="s">
        <v>241</v>
      </c>
      <c r="D2759" t="s">
        <v>1396</v>
      </c>
      <c r="E2759" t="s">
        <v>557</v>
      </c>
      <c r="F2759" t="s">
        <v>1068</v>
      </c>
      <c r="G2759" t="s">
        <v>1085</v>
      </c>
      <c r="H2759">
        <v>-1.1427162892515301E-2</v>
      </c>
      <c r="I2759" t="s">
        <v>1086</v>
      </c>
      <c r="J2759">
        <v>2.04</v>
      </c>
    </row>
    <row r="2760" spans="1:10" hidden="1">
      <c r="A2760" t="s">
        <v>2071</v>
      </c>
      <c r="B2760" t="s">
        <v>2072</v>
      </c>
      <c r="C2760" t="s">
        <v>241</v>
      </c>
      <c r="D2760" t="s">
        <v>1396</v>
      </c>
      <c r="E2760" t="s">
        <v>557</v>
      </c>
      <c r="F2760" t="s">
        <v>1068</v>
      </c>
      <c r="G2760" t="s">
        <v>1087</v>
      </c>
      <c r="H2760" s="170">
        <v>-1.4822451917115401E-7</v>
      </c>
      <c r="I2760" t="s">
        <v>1088</v>
      </c>
      <c r="J2760">
        <v>2.04</v>
      </c>
    </row>
    <row r="2761" spans="1:10" hidden="1">
      <c r="A2761" t="s">
        <v>2071</v>
      </c>
      <c r="B2761" t="s">
        <v>2072</v>
      </c>
      <c r="C2761" t="s">
        <v>241</v>
      </c>
      <c r="D2761" t="s">
        <v>1396</v>
      </c>
      <c r="E2761" t="s">
        <v>557</v>
      </c>
      <c r="F2761" t="s">
        <v>1068</v>
      </c>
      <c r="G2761" t="s">
        <v>1089</v>
      </c>
      <c r="H2761">
        <v>-3.1072740606890499E-3</v>
      </c>
      <c r="I2761" t="s">
        <v>1090</v>
      </c>
      <c r="J2761">
        <v>2.04</v>
      </c>
    </row>
    <row r="2762" spans="1:10" hidden="1">
      <c r="A2762" t="s">
        <v>2074</v>
      </c>
      <c r="B2762" t="s">
        <v>2075</v>
      </c>
      <c r="C2762" t="s">
        <v>241</v>
      </c>
      <c r="D2762" t="s">
        <v>1396</v>
      </c>
      <c r="E2762" t="s">
        <v>559</v>
      </c>
      <c r="F2762" t="s">
        <v>1068</v>
      </c>
      <c r="G2762" t="s">
        <v>1069</v>
      </c>
      <c r="H2762">
        <v>-6.8581256356987905E-2</v>
      </c>
      <c r="I2762" t="s">
        <v>1070</v>
      </c>
      <c r="J2762">
        <v>2.04</v>
      </c>
    </row>
    <row r="2763" spans="1:10" hidden="1">
      <c r="A2763" t="s">
        <v>2074</v>
      </c>
      <c r="B2763" t="s">
        <v>2075</v>
      </c>
      <c r="C2763" t="s">
        <v>241</v>
      </c>
      <c r="D2763" t="s">
        <v>1396</v>
      </c>
      <c r="E2763" t="s">
        <v>559</v>
      </c>
      <c r="F2763" t="s">
        <v>1068</v>
      </c>
      <c r="G2763" t="s">
        <v>1071</v>
      </c>
      <c r="H2763" s="170">
        <v>-1.4488723653265901E-10</v>
      </c>
      <c r="I2763" t="s">
        <v>1072</v>
      </c>
      <c r="J2763">
        <v>2.04</v>
      </c>
    </row>
    <row r="2764" spans="1:10" hidden="1">
      <c r="A2764" t="s">
        <v>2074</v>
      </c>
      <c r="B2764" t="s">
        <v>2075</v>
      </c>
      <c r="C2764" t="s">
        <v>241</v>
      </c>
      <c r="D2764" t="s">
        <v>1396</v>
      </c>
      <c r="E2764" t="s">
        <v>559</v>
      </c>
      <c r="F2764" t="s">
        <v>1068</v>
      </c>
      <c r="G2764" t="s">
        <v>1073</v>
      </c>
      <c r="H2764" s="170">
        <v>-2.7761306388459899E-8</v>
      </c>
      <c r="I2764" t="s">
        <v>1074</v>
      </c>
      <c r="J2764">
        <v>2.04</v>
      </c>
    </row>
    <row r="2765" spans="1:10" hidden="1">
      <c r="A2765" t="s">
        <v>2074</v>
      </c>
      <c r="B2765" t="s">
        <v>2075</v>
      </c>
      <c r="C2765" t="s">
        <v>241</v>
      </c>
      <c r="D2765" t="s">
        <v>1396</v>
      </c>
      <c r="E2765" t="s">
        <v>559</v>
      </c>
      <c r="F2765" t="s">
        <v>1068</v>
      </c>
      <c r="G2765" t="s">
        <v>1075</v>
      </c>
      <c r="H2765">
        <v>2.1682358896632902E-3</v>
      </c>
      <c r="I2765" t="s">
        <v>1077</v>
      </c>
      <c r="J2765">
        <v>2.04</v>
      </c>
    </row>
    <row r="2766" spans="1:10" hidden="1">
      <c r="A2766" t="s">
        <v>2074</v>
      </c>
      <c r="B2766" t="s">
        <v>2075</v>
      </c>
      <c r="C2766" t="s">
        <v>241</v>
      </c>
      <c r="D2766" t="s">
        <v>1396</v>
      </c>
      <c r="E2766" t="s">
        <v>559</v>
      </c>
      <c r="F2766" t="s">
        <v>1068</v>
      </c>
      <c r="G2766" t="s">
        <v>1078</v>
      </c>
      <c r="H2766">
        <v>-1.7381940409748999</v>
      </c>
      <c r="I2766" t="s">
        <v>1079</v>
      </c>
      <c r="J2766">
        <v>2.04</v>
      </c>
    </row>
    <row r="2767" spans="1:10" hidden="1">
      <c r="A2767" t="s">
        <v>2074</v>
      </c>
      <c r="B2767" t="s">
        <v>2075</v>
      </c>
      <c r="C2767" t="s">
        <v>241</v>
      </c>
      <c r="D2767" t="s">
        <v>1396</v>
      </c>
      <c r="E2767" t="s">
        <v>559</v>
      </c>
      <c r="F2767" t="s">
        <v>1068</v>
      </c>
      <c r="G2767" t="s">
        <v>1080</v>
      </c>
      <c r="H2767" s="171" t="s">
        <v>2076</v>
      </c>
      <c r="I2767" t="s">
        <v>1082</v>
      </c>
      <c r="J2767">
        <v>2.04</v>
      </c>
    </row>
    <row r="2768" spans="1:10" hidden="1">
      <c r="A2768" t="s">
        <v>2074</v>
      </c>
      <c r="B2768" t="s">
        <v>2075</v>
      </c>
      <c r="C2768" t="s">
        <v>241</v>
      </c>
      <c r="D2768" t="s">
        <v>1396</v>
      </c>
      <c r="E2768" t="s">
        <v>559</v>
      </c>
      <c r="F2768" t="s">
        <v>1068</v>
      </c>
      <c r="G2768" t="s">
        <v>1083</v>
      </c>
      <c r="H2768">
        <v>-4.0595413887384698E-4</v>
      </c>
      <c r="I2768" t="s">
        <v>1084</v>
      </c>
      <c r="J2768">
        <v>2.04</v>
      </c>
    </row>
    <row r="2769" spans="1:10" hidden="1">
      <c r="A2769" t="s">
        <v>2074</v>
      </c>
      <c r="B2769" t="s">
        <v>2075</v>
      </c>
      <c r="C2769" t="s">
        <v>241</v>
      </c>
      <c r="D2769" t="s">
        <v>1396</v>
      </c>
      <c r="E2769" t="s">
        <v>559</v>
      </c>
      <c r="F2769" t="s">
        <v>1068</v>
      </c>
      <c r="G2769" t="s">
        <v>1085</v>
      </c>
      <c r="H2769">
        <v>-1.14269109391798E-2</v>
      </c>
      <c r="I2769" t="s">
        <v>1086</v>
      </c>
      <c r="J2769">
        <v>2.04</v>
      </c>
    </row>
    <row r="2770" spans="1:10" hidden="1">
      <c r="A2770" t="s">
        <v>2074</v>
      </c>
      <c r="B2770" t="s">
        <v>2075</v>
      </c>
      <c r="C2770" t="s">
        <v>241</v>
      </c>
      <c r="D2770" t="s">
        <v>1396</v>
      </c>
      <c r="E2770" t="s">
        <v>559</v>
      </c>
      <c r="F2770" t="s">
        <v>1068</v>
      </c>
      <c r="G2770" t="s">
        <v>1087</v>
      </c>
      <c r="H2770" s="170">
        <v>-1.4670248376983899E-7</v>
      </c>
      <c r="I2770" t="s">
        <v>1088</v>
      </c>
      <c r="J2770">
        <v>2.04</v>
      </c>
    </row>
    <row r="2771" spans="1:10" hidden="1">
      <c r="A2771" t="s">
        <v>2074</v>
      </c>
      <c r="B2771" t="s">
        <v>2075</v>
      </c>
      <c r="C2771" t="s">
        <v>241</v>
      </c>
      <c r="D2771" t="s">
        <v>1396</v>
      </c>
      <c r="E2771" t="s">
        <v>559</v>
      </c>
      <c r="F2771" t="s">
        <v>1068</v>
      </c>
      <c r="G2771" t="s">
        <v>1089</v>
      </c>
      <c r="H2771">
        <v>-3.1072501105324098E-3</v>
      </c>
      <c r="I2771" t="s">
        <v>1090</v>
      </c>
      <c r="J2771">
        <v>2.04</v>
      </c>
    </row>
    <row r="2772" spans="1:10" hidden="1">
      <c r="A2772" t="s">
        <v>2077</v>
      </c>
      <c r="B2772" t="s">
        <v>2078</v>
      </c>
      <c r="C2772" t="s">
        <v>241</v>
      </c>
      <c r="D2772" t="s">
        <v>1396</v>
      </c>
      <c r="E2772" t="s">
        <v>560</v>
      </c>
      <c r="F2772" t="s">
        <v>1068</v>
      </c>
      <c r="G2772" t="s">
        <v>1069</v>
      </c>
      <c r="H2772">
        <v>-6.8618783088940899E-2</v>
      </c>
      <c r="I2772" t="s">
        <v>1070</v>
      </c>
      <c r="J2772">
        <v>2.04</v>
      </c>
    </row>
    <row r="2773" spans="1:10" hidden="1">
      <c r="A2773" t="s">
        <v>2077</v>
      </c>
      <c r="B2773" t="s">
        <v>2078</v>
      </c>
      <c r="C2773" t="s">
        <v>241</v>
      </c>
      <c r="D2773" t="s">
        <v>1396</v>
      </c>
      <c r="E2773" t="s">
        <v>560</v>
      </c>
      <c r="F2773" t="s">
        <v>1068</v>
      </c>
      <c r="G2773" t="s">
        <v>1071</v>
      </c>
      <c r="H2773" s="170">
        <v>-1.4498646639588701E-10</v>
      </c>
      <c r="I2773" t="s">
        <v>1072</v>
      </c>
      <c r="J2773">
        <v>2.04</v>
      </c>
    </row>
    <row r="2774" spans="1:10" hidden="1">
      <c r="A2774" t="s">
        <v>2077</v>
      </c>
      <c r="B2774" t="s">
        <v>2078</v>
      </c>
      <c r="C2774" t="s">
        <v>241</v>
      </c>
      <c r="D2774" t="s">
        <v>1396</v>
      </c>
      <c r="E2774" t="s">
        <v>560</v>
      </c>
      <c r="F2774" t="s">
        <v>1068</v>
      </c>
      <c r="G2774" t="s">
        <v>1073</v>
      </c>
      <c r="H2774" s="170">
        <v>-2.7770460435237399E-8</v>
      </c>
      <c r="I2774" t="s">
        <v>1074</v>
      </c>
      <c r="J2774">
        <v>2.04</v>
      </c>
    </row>
    <row r="2775" spans="1:10" hidden="1">
      <c r="A2775" t="s">
        <v>2077</v>
      </c>
      <c r="B2775" t="s">
        <v>2078</v>
      </c>
      <c r="C2775" t="s">
        <v>241</v>
      </c>
      <c r="D2775" t="s">
        <v>1396</v>
      </c>
      <c r="E2775" t="s">
        <v>560</v>
      </c>
      <c r="F2775" t="s">
        <v>1068</v>
      </c>
      <c r="G2775" t="s">
        <v>1075</v>
      </c>
      <c r="H2775">
        <v>2.1371181248247698E-3</v>
      </c>
      <c r="I2775" t="s">
        <v>1077</v>
      </c>
      <c r="J2775">
        <v>2.04</v>
      </c>
    </row>
    <row r="2776" spans="1:10" hidden="1">
      <c r="A2776" t="s">
        <v>2077</v>
      </c>
      <c r="B2776" t="s">
        <v>2078</v>
      </c>
      <c r="C2776" t="s">
        <v>241</v>
      </c>
      <c r="D2776" t="s">
        <v>1396</v>
      </c>
      <c r="E2776" t="s">
        <v>560</v>
      </c>
      <c r="F2776" t="s">
        <v>1068</v>
      </c>
      <c r="G2776" t="s">
        <v>1078</v>
      </c>
      <c r="H2776">
        <v>-1.75091397882519</v>
      </c>
      <c r="I2776" t="s">
        <v>1079</v>
      </c>
      <c r="J2776">
        <v>2.04</v>
      </c>
    </row>
    <row r="2777" spans="1:10" hidden="1">
      <c r="A2777" t="s">
        <v>2077</v>
      </c>
      <c r="B2777" t="s">
        <v>2078</v>
      </c>
      <c r="C2777" t="s">
        <v>241</v>
      </c>
      <c r="D2777" t="s">
        <v>1396</v>
      </c>
      <c r="E2777" t="s">
        <v>560</v>
      </c>
      <c r="F2777" t="s">
        <v>1068</v>
      </c>
      <c r="G2777" t="s">
        <v>1080</v>
      </c>
      <c r="H2777" s="171" t="s">
        <v>2079</v>
      </c>
      <c r="I2777" t="s">
        <v>1082</v>
      </c>
      <c r="J2777">
        <v>2.04</v>
      </c>
    </row>
    <row r="2778" spans="1:10" hidden="1">
      <c r="A2778" t="s">
        <v>2077</v>
      </c>
      <c r="B2778" t="s">
        <v>2078</v>
      </c>
      <c r="C2778" t="s">
        <v>241</v>
      </c>
      <c r="D2778" t="s">
        <v>1396</v>
      </c>
      <c r="E2778" t="s">
        <v>560</v>
      </c>
      <c r="F2778" t="s">
        <v>1068</v>
      </c>
      <c r="G2778" t="s">
        <v>1083</v>
      </c>
      <c r="H2778">
        <v>-4.05956897058468E-4</v>
      </c>
      <c r="I2778" t="s">
        <v>1084</v>
      </c>
      <c r="J2778">
        <v>2.04</v>
      </c>
    </row>
    <row r="2779" spans="1:10" hidden="1">
      <c r="A2779" t="s">
        <v>2077</v>
      </c>
      <c r="B2779" t="s">
        <v>2078</v>
      </c>
      <c r="C2779" t="s">
        <v>241</v>
      </c>
      <c r="D2779" t="s">
        <v>1396</v>
      </c>
      <c r="E2779" t="s">
        <v>560</v>
      </c>
      <c r="F2779" t="s">
        <v>1068</v>
      </c>
      <c r="G2779" t="s">
        <v>1085</v>
      </c>
      <c r="H2779">
        <v>-1.14271029969048E-2</v>
      </c>
      <c r="I2779" t="s">
        <v>1086</v>
      </c>
      <c r="J2779">
        <v>2.04</v>
      </c>
    </row>
    <row r="2780" spans="1:10" hidden="1">
      <c r="A2780" t="s">
        <v>2077</v>
      </c>
      <c r="B2780" t="s">
        <v>2078</v>
      </c>
      <c r="C2780" t="s">
        <v>241</v>
      </c>
      <c r="D2780" t="s">
        <v>1396</v>
      </c>
      <c r="E2780" t="s">
        <v>560</v>
      </c>
      <c r="F2780" t="s">
        <v>1068</v>
      </c>
      <c r="G2780" t="s">
        <v>1087</v>
      </c>
      <c r="H2780" s="170">
        <v>-1.4819561327606499E-7</v>
      </c>
      <c r="I2780" t="s">
        <v>1088</v>
      </c>
      <c r="J2780">
        <v>2.04</v>
      </c>
    </row>
    <row r="2781" spans="1:10" hidden="1">
      <c r="A2781" t="s">
        <v>2077</v>
      </c>
      <c r="B2781" t="s">
        <v>2078</v>
      </c>
      <c r="C2781" t="s">
        <v>241</v>
      </c>
      <c r="D2781" t="s">
        <v>1396</v>
      </c>
      <c r="E2781" t="s">
        <v>560</v>
      </c>
      <c r="F2781" t="s">
        <v>1068</v>
      </c>
      <c r="G2781" t="s">
        <v>1089</v>
      </c>
      <c r="H2781">
        <v>-3.1072617043428901E-3</v>
      </c>
      <c r="I2781" t="s">
        <v>1090</v>
      </c>
      <c r="J2781">
        <v>2.04</v>
      </c>
    </row>
    <row r="2782" spans="1:10" hidden="1">
      <c r="A2782" t="s">
        <v>2080</v>
      </c>
      <c r="B2782" t="s">
        <v>2081</v>
      </c>
      <c r="C2782" t="s">
        <v>241</v>
      </c>
      <c r="D2782" t="s">
        <v>1396</v>
      </c>
      <c r="E2782" t="s">
        <v>1116</v>
      </c>
      <c r="F2782" t="s">
        <v>1068</v>
      </c>
      <c r="G2782" t="s">
        <v>1069</v>
      </c>
      <c r="H2782">
        <v>-6.8724602710565297E-2</v>
      </c>
      <c r="I2782" t="s">
        <v>1070</v>
      </c>
      <c r="J2782">
        <v>2.0299999999999998</v>
      </c>
    </row>
    <row r="2783" spans="1:10" hidden="1">
      <c r="A2783" t="s">
        <v>2080</v>
      </c>
      <c r="B2783" t="s">
        <v>2081</v>
      </c>
      <c r="C2783" t="s">
        <v>241</v>
      </c>
      <c r="D2783" t="s">
        <v>1396</v>
      </c>
      <c r="E2783" t="s">
        <v>1116</v>
      </c>
      <c r="F2783" t="s">
        <v>1068</v>
      </c>
      <c r="G2783" t="s">
        <v>1071</v>
      </c>
      <c r="H2783" s="170">
        <v>-1.4513789547840501E-10</v>
      </c>
      <c r="I2783" t="s">
        <v>1072</v>
      </c>
      <c r="J2783">
        <v>2.0299999999999998</v>
      </c>
    </row>
    <row r="2784" spans="1:10" hidden="1">
      <c r="A2784" t="s">
        <v>2080</v>
      </c>
      <c r="B2784" t="s">
        <v>2081</v>
      </c>
      <c r="C2784" t="s">
        <v>241</v>
      </c>
      <c r="D2784" t="s">
        <v>1396</v>
      </c>
      <c r="E2784" t="s">
        <v>1116</v>
      </c>
      <c r="F2784" t="s">
        <v>1068</v>
      </c>
      <c r="G2784" t="s">
        <v>1073</v>
      </c>
      <c r="H2784" s="170">
        <v>-2.7808047899676E-8</v>
      </c>
      <c r="I2784" t="s">
        <v>1074</v>
      </c>
      <c r="J2784">
        <v>2.0299999999999998</v>
      </c>
    </row>
    <row r="2785" spans="1:10" hidden="1">
      <c r="A2785" t="s">
        <v>2080</v>
      </c>
      <c r="B2785" t="s">
        <v>2081</v>
      </c>
      <c r="C2785" t="s">
        <v>241</v>
      </c>
      <c r="D2785" t="s">
        <v>1396</v>
      </c>
      <c r="E2785" t="s">
        <v>1116</v>
      </c>
      <c r="F2785" t="s">
        <v>1068</v>
      </c>
      <c r="G2785" t="s">
        <v>1075</v>
      </c>
      <c r="H2785">
        <v>2.1337730535425899E-3</v>
      </c>
      <c r="I2785" t="s">
        <v>1077</v>
      </c>
      <c r="J2785">
        <v>2.0299999999999998</v>
      </c>
    </row>
    <row r="2786" spans="1:10" hidden="1">
      <c r="A2786" t="s">
        <v>2080</v>
      </c>
      <c r="B2786" t="s">
        <v>2081</v>
      </c>
      <c r="C2786" t="s">
        <v>241</v>
      </c>
      <c r="D2786" t="s">
        <v>1396</v>
      </c>
      <c r="E2786" t="s">
        <v>1116</v>
      </c>
      <c r="F2786" t="s">
        <v>1068</v>
      </c>
      <c r="G2786" t="s">
        <v>1078</v>
      </c>
      <c r="H2786">
        <v>-1.7510586326106401</v>
      </c>
      <c r="I2786" t="s">
        <v>1079</v>
      </c>
      <c r="J2786">
        <v>2.0299999999999998</v>
      </c>
    </row>
    <row r="2787" spans="1:10" hidden="1">
      <c r="A2787" t="s">
        <v>2080</v>
      </c>
      <c r="B2787" t="s">
        <v>2081</v>
      </c>
      <c r="C2787" t="s">
        <v>241</v>
      </c>
      <c r="D2787" t="s">
        <v>1396</v>
      </c>
      <c r="E2787" t="s">
        <v>1116</v>
      </c>
      <c r="F2787" t="s">
        <v>1068</v>
      </c>
      <c r="G2787" t="s">
        <v>1080</v>
      </c>
      <c r="H2787" s="171" t="s">
        <v>2082</v>
      </c>
      <c r="I2787" t="s">
        <v>1082</v>
      </c>
      <c r="J2787">
        <v>2.0299999999999998</v>
      </c>
    </row>
    <row r="2788" spans="1:10" hidden="1">
      <c r="A2788" t="s">
        <v>2080</v>
      </c>
      <c r="B2788" t="s">
        <v>2081</v>
      </c>
      <c r="C2788" t="s">
        <v>241</v>
      </c>
      <c r="D2788" t="s">
        <v>1396</v>
      </c>
      <c r="E2788" t="s">
        <v>1116</v>
      </c>
      <c r="F2788" t="s">
        <v>1068</v>
      </c>
      <c r="G2788" t="s">
        <v>1083</v>
      </c>
      <c r="H2788">
        <v>-4.0597298170945802E-4</v>
      </c>
      <c r="I2788" t="s">
        <v>1084</v>
      </c>
      <c r="J2788">
        <v>2.0299999999999998</v>
      </c>
    </row>
    <row r="2789" spans="1:10" hidden="1">
      <c r="A2789" t="s">
        <v>2080</v>
      </c>
      <c r="B2789" t="s">
        <v>2081</v>
      </c>
      <c r="C2789" t="s">
        <v>241</v>
      </c>
      <c r="D2789" t="s">
        <v>1396</v>
      </c>
      <c r="E2789" t="s">
        <v>1116</v>
      </c>
      <c r="F2789" t="s">
        <v>1068</v>
      </c>
      <c r="G2789" t="s">
        <v>1085</v>
      </c>
      <c r="H2789">
        <v>-1.1427284786106001E-2</v>
      </c>
      <c r="I2789" t="s">
        <v>1086</v>
      </c>
      <c r="J2789">
        <v>2.0299999999999998</v>
      </c>
    </row>
    <row r="2790" spans="1:10" hidden="1">
      <c r="A2790" t="s">
        <v>2080</v>
      </c>
      <c r="B2790" t="s">
        <v>2081</v>
      </c>
      <c r="C2790" t="s">
        <v>241</v>
      </c>
      <c r="D2790" t="s">
        <v>1396</v>
      </c>
      <c r="E2790" t="s">
        <v>1116</v>
      </c>
      <c r="F2790" t="s">
        <v>1068</v>
      </c>
      <c r="G2790" t="s">
        <v>1087</v>
      </c>
      <c r="H2790" s="170">
        <v>-1.48283345574599E-7</v>
      </c>
      <c r="I2790" t="s">
        <v>1088</v>
      </c>
      <c r="J2790">
        <v>2.0299999999999998</v>
      </c>
    </row>
    <row r="2791" spans="1:10" hidden="1">
      <c r="A2791" t="s">
        <v>2080</v>
      </c>
      <c r="B2791" t="s">
        <v>2081</v>
      </c>
      <c r="C2791" t="s">
        <v>241</v>
      </c>
      <c r="D2791" t="s">
        <v>1396</v>
      </c>
      <c r="E2791" t="s">
        <v>1116</v>
      </c>
      <c r="F2791" t="s">
        <v>1068</v>
      </c>
      <c r="G2791" t="s">
        <v>1089</v>
      </c>
      <c r="H2791">
        <v>-3.1072992070961098E-3</v>
      </c>
      <c r="I2791" t="s">
        <v>1090</v>
      </c>
      <c r="J2791">
        <v>2.0299999999999998</v>
      </c>
    </row>
    <row r="2792" spans="1:10" hidden="1">
      <c r="A2792" t="s">
        <v>2083</v>
      </c>
      <c r="B2792" t="s">
        <v>2084</v>
      </c>
      <c r="C2792" t="s">
        <v>241</v>
      </c>
      <c r="D2792" t="s">
        <v>1427</v>
      </c>
      <c r="E2792" t="s">
        <v>561</v>
      </c>
      <c r="F2792" t="s">
        <v>1068</v>
      </c>
      <c r="G2792" t="s">
        <v>1069</v>
      </c>
      <c r="H2792">
        <v>-7.0446024382197797E-2</v>
      </c>
      <c r="I2792" t="s">
        <v>1070</v>
      </c>
      <c r="J2792">
        <v>2.0299999999999998</v>
      </c>
    </row>
    <row r="2793" spans="1:10" hidden="1">
      <c r="A2793" t="s">
        <v>2083</v>
      </c>
      <c r="B2793" t="s">
        <v>2084</v>
      </c>
      <c r="C2793" t="s">
        <v>241</v>
      </c>
      <c r="D2793" t="s">
        <v>1427</v>
      </c>
      <c r="E2793" t="s">
        <v>561</v>
      </c>
      <c r="F2793" t="s">
        <v>1068</v>
      </c>
      <c r="G2793" t="s">
        <v>1071</v>
      </c>
      <c r="H2793" s="170">
        <v>-1.49663399525574E-10</v>
      </c>
      <c r="I2793" t="s">
        <v>1072</v>
      </c>
      <c r="J2793">
        <v>2.0299999999999998</v>
      </c>
    </row>
    <row r="2794" spans="1:10" hidden="1">
      <c r="A2794" t="s">
        <v>2083</v>
      </c>
      <c r="B2794" t="s">
        <v>2084</v>
      </c>
      <c r="C2794" t="s">
        <v>241</v>
      </c>
      <c r="D2794" t="s">
        <v>1427</v>
      </c>
      <c r="E2794" t="s">
        <v>561</v>
      </c>
      <c r="F2794" t="s">
        <v>1068</v>
      </c>
      <c r="G2794" t="s">
        <v>1073</v>
      </c>
      <c r="H2794" s="170">
        <v>-2.8521427149960501E-8</v>
      </c>
      <c r="I2794" t="s">
        <v>1074</v>
      </c>
      <c r="J2794">
        <v>2.0299999999999998</v>
      </c>
    </row>
    <row r="2795" spans="1:10" hidden="1">
      <c r="A2795" t="s">
        <v>2083</v>
      </c>
      <c r="B2795" t="s">
        <v>2084</v>
      </c>
      <c r="C2795" t="s">
        <v>241</v>
      </c>
      <c r="D2795" t="s">
        <v>1427</v>
      </c>
      <c r="E2795" t="s">
        <v>561</v>
      </c>
      <c r="F2795" t="s">
        <v>1068</v>
      </c>
      <c r="G2795" t="s">
        <v>1075</v>
      </c>
      <c r="H2795">
        <v>2.31503315442786E-3</v>
      </c>
      <c r="I2795" t="s">
        <v>1077</v>
      </c>
      <c r="J2795">
        <v>2.0299999999999998</v>
      </c>
    </row>
    <row r="2796" spans="1:10" hidden="1">
      <c r="A2796" t="s">
        <v>2083</v>
      </c>
      <c r="B2796" t="s">
        <v>2084</v>
      </c>
      <c r="C2796" t="s">
        <v>241</v>
      </c>
      <c r="D2796" t="s">
        <v>1427</v>
      </c>
      <c r="E2796" t="s">
        <v>561</v>
      </c>
      <c r="F2796" t="s">
        <v>1068</v>
      </c>
      <c r="G2796" t="s">
        <v>1078</v>
      </c>
      <c r="H2796">
        <v>-1.7797858041549699</v>
      </c>
      <c r="I2796" t="s">
        <v>1079</v>
      </c>
      <c r="J2796">
        <v>2.0299999999999998</v>
      </c>
    </row>
    <row r="2797" spans="1:10" hidden="1">
      <c r="A2797" t="s">
        <v>2083</v>
      </c>
      <c r="B2797" t="s">
        <v>2084</v>
      </c>
      <c r="C2797" t="s">
        <v>241</v>
      </c>
      <c r="D2797" t="s">
        <v>1427</v>
      </c>
      <c r="E2797" t="s">
        <v>561</v>
      </c>
      <c r="F2797" t="s">
        <v>1068</v>
      </c>
      <c r="G2797" t="s">
        <v>1080</v>
      </c>
      <c r="H2797" s="171" t="s">
        <v>2085</v>
      </c>
      <c r="I2797" t="s">
        <v>1082</v>
      </c>
      <c r="J2797">
        <v>2.0299999999999998</v>
      </c>
    </row>
    <row r="2798" spans="1:10" hidden="1">
      <c r="A2798" t="s">
        <v>2083</v>
      </c>
      <c r="B2798" t="s">
        <v>2084</v>
      </c>
      <c r="C2798" t="s">
        <v>241</v>
      </c>
      <c r="D2798" t="s">
        <v>1427</v>
      </c>
      <c r="E2798" t="s">
        <v>561</v>
      </c>
      <c r="F2798" t="s">
        <v>1068</v>
      </c>
      <c r="G2798" t="s">
        <v>1083</v>
      </c>
      <c r="H2798">
        <v>-4.07961608468711E-4</v>
      </c>
      <c r="I2798" t="s">
        <v>1084</v>
      </c>
      <c r="J2798">
        <v>2.0299999999999998</v>
      </c>
    </row>
    <row r="2799" spans="1:10" hidden="1">
      <c r="A2799" t="s">
        <v>2083</v>
      </c>
      <c r="B2799" t="s">
        <v>2084</v>
      </c>
      <c r="C2799" t="s">
        <v>241</v>
      </c>
      <c r="D2799" t="s">
        <v>1427</v>
      </c>
      <c r="E2799" t="s">
        <v>561</v>
      </c>
      <c r="F2799" t="s">
        <v>1068</v>
      </c>
      <c r="G2799" t="s">
        <v>1085</v>
      </c>
      <c r="H2799">
        <v>-1.1478302887895199E-2</v>
      </c>
      <c r="I2799" t="s">
        <v>1086</v>
      </c>
      <c r="J2799">
        <v>2.0299999999999998</v>
      </c>
    </row>
    <row r="2800" spans="1:10" hidden="1">
      <c r="A2800" t="s">
        <v>2083</v>
      </c>
      <c r="B2800" t="s">
        <v>2084</v>
      </c>
      <c r="C2800" t="s">
        <v>241</v>
      </c>
      <c r="D2800" t="s">
        <v>1427</v>
      </c>
      <c r="E2800" t="s">
        <v>561</v>
      </c>
      <c r="F2800" t="s">
        <v>1068</v>
      </c>
      <c r="G2800" t="s">
        <v>1087</v>
      </c>
      <c r="H2800" s="170">
        <v>-1.06570257528417E-6</v>
      </c>
      <c r="I2800" t="s">
        <v>1088</v>
      </c>
      <c r="J2800">
        <v>2.0299999999999998</v>
      </c>
    </row>
    <row r="2801" spans="1:10" hidden="1">
      <c r="A2801" t="s">
        <v>2083</v>
      </c>
      <c r="B2801" t="s">
        <v>2084</v>
      </c>
      <c r="C2801" t="s">
        <v>241</v>
      </c>
      <c r="D2801" t="s">
        <v>1427</v>
      </c>
      <c r="E2801" t="s">
        <v>561</v>
      </c>
      <c r="F2801" t="s">
        <v>1068</v>
      </c>
      <c r="G2801" t="s">
        <v>1089</v>
      </c>
      <c r="H2801">
        <v>-3.11386056284868E-3</v>
      </c>
      <c r="I2801" t="s">
        <v>1090</v>
      </c>
      <c r="J2801">
        <v>2.0299999999999998</v>
      </c>
    </row>
    <row r="2802" spans="1:10" hidden="1">
      <c r="A2802" t="s">
        <v>2086</v>
      </c>
      <c r="B2802" t="s">
        <v>2087</v>
      </c>
      <c r="C2802" t="s">
        <v>241</v>
      </c>
      <c r="D2802" t="s">
        <v>1427</v>
      </c>
      <c r="E2802" t="s">
        <v>555</v>
      </c>
      <c r="F2802" t="s">
        <v>1068</v>
      </c>
      <c r="G2802" t="s">
        <v>1069</v>
      </c>
      <c r="H2802">
        <v>-7.0247575493984402E-2</v>
      </c>
      <c r="I2802" t="s">
        <v>1070</v>
      </c>
      <c r="J2802">
        <v>2.5499999999999998</v>
      </c>
    </row>
    <row r="2803" spans="1:10" hidden="1">
      <c r="A2803" t="s">
        <v>2086</v>
      </c>
      <c r="B2803" t="s">
        <v>2087</v>
      </c>
      <c r="C2803" t="s">
        <v>241</v>
      </c>
      <c r="D2803" t="s">
        <v>1427</v>
      </c>
      <c r="E2803" t="s">
        <v>555</v>
      </c>
      <c r="F2803" t="s">
        <v>1068</v>
      </c>
      <c r="G2803" t="s">
        <v>1071</v>
      </c>
      <c r="H2803" s="170">
        <v>-1.4933387510465201E-10</v>
      </c>
      <c r="I2803" t="s">
        <v>1072</v>
      </c>
      <c r="J2803">
        <v>2.5499999999999998</v>
      </c>
    </row>
    <row r="2804" spans="1:10" hidden="1">
      <c r="A2804" t="s">
        <v>2086</v>
      </c>
      <c r="B2804" t="s">
        <v>2087</v>
      </c>
      <c r="C2804" t="s">
        <v>241</v>
      </c>
      <c r="D2804" t="s">
        <v>1427</v>
      </c>
      <c r="E2804" t="s">
        <v>555</v>
      </c>
      <c r="F2804" t="s">
        <v>1068</v>
      </c>
      <c r="G2804" t="s">
        <v>1073</v>
      </c>
      <c r="H2804" s="170">
        <v>-2.8455114247482601E-8</v>
      </c>
      <c r="I2804" t="s">
        <v>1074</v>
      </c>
      <c r="J2804">
        <v>2.5499999999999998</v>
      </c>
    </row>
    <row r="2805" spans="1:10" hidden="1">
      <c r="A2805" t="s">
        <v>2086</v>
      </c>
      <c r="B2805" t="s">
        <v>2087</v>
      </c>
      <c r="C2805" t="s">
        <v>241</v>
      </c>
      <c r="D2805" t="s">
        <v>1427</v>
      </c>
      <c r="E2805" t="s">
        <v>555</v>
      </c>
      <c r="F2805" t="s">
        <v>1068</v>
      </c>
      <c r="G2805" t="s">
        <v>1075</v>
      </c>
      <c r="H2805">
        <v>2.3512464667466201E-3</v>
      </c>
      <c r="I2805" t="s">
        <v>1077</v>
      </c>
      <c r="J2805">
        <v>2.5499999999999998</v>
      </c>
    </row>
    <row r="2806" spans="1:10" hidden="1">
      <c r="A2806" t="s">
        <v>2086</v>
      </c>
      <c r="B2806" t="s">
        <v>2087</v>
      </c>
      <c r="C2806" t="s">
        <v>241</v>
      </c>
      <c r="D2806" t="s">
        <v>1427</v>
      </c>
      <c r="E2806" t="s">
        <v>555</v>
      </c>
      <c r="F2806" t="s">
        <v>1068</v>
      </c>
      <c r="G2806" t="s">
        <v>1078</v>
      </c>
      <c r="H2806">
        <v>-1.76684223712483</v>
      </c>
      <c r="I2806" t="s">
        <v>1079</v>
      </c>
      <c r="J2806">
        <v>2.5499999999999998</v>
      </c>
    </row>
    <row r="2807" spans="1:10" hidden="1">
      <c r="A2807" t="s">
        <v>2086</v>
      </c>
      <c r="B2807" t="s">
        <v>2087</v>
      </c>
      <c r="C2807" t="s">
        <v>241</v>
      </c>
      <c r="D2807" t="s">
        <v>1427</v>
      </c>
      <c r="E2807" t="s">
        <v>555</v>
      </c>
      <c r="F2807" t="s">
        <v>1068</v>
      </c>
      <c r="G2807" t="s">
        <v>1080</v>
      </c>
      <c r="H2807" s="171" t="s">
        <v>2088</v>
      </c>
      <c r="I2807" t="s">
        <v>1082</v>
      </c>
      <c r="J2807">
        <v>2.5499999999999998</v>
      </c>
    </row>
    <row r="2808" spans="1:10" hidden="1">
      <c r="A2808" t="s">
        <v>2086</v>
      </c>
      <c r="B2808" t="s">
        <v>2087</v>
      </c>
      <c r="C2808" t="s">
        <v>241</v>
      </c>
      <c r="D2808" t="s">
        <v>1427</v>
      </c>
      <c r="E2808" t="s">
        <v>555</v>
      </c>
      <c r="F2808" t="s">
        <v>1068</v>
      </c>
      <c r="G2808" t="s">
        <v>1083</v>
      </c>
      <c r="H2808">
        <v>-4.07934390861153E-4</v>
      </c>
      <c r="I2808" t="s">
        <v>1084</v>
      </c>
      <c r="J2808">
        <v>2.5499999999999998</v>
      </c>
    </row>
    <row r="2809" spans="1:10" hidden="1">
      <c r="A2809" t="s">
        <v>2086</v>
      </c>
      <c r="B2809" t="s">
        <v>2087</v>
      </c>
      <c r="C2809" t="s">
        <v>241</v>
      </c>
      <c r="D2809" t="s">
        <v>1427</v>
      </c>
      <c r="E2809" t="s">
        <v>555</v>
      </c>
      <c r="F2809" t="s">
        <v>1068</v>
      </c>
      <c r="G2809" t="s">
        <v>1085</v>
      </c>
      <c r="H2809">
        <v>-1.1477834342682101E-2</v>
      </c>
      <c r="I2809" t="s">
        <v>1086</v>
      </c>
      <c r="J2809">
        <v>2.5499999999999998</v>
      </c>
    </row>
    <row r="2810" spans="1:10" hidden="1">
      <c r="A2810" t="s">
        <v>2086</v>
      </c>
      <c r="B2810" t="s">
        <v>2087</v>
      </c>
      <c r="C2810" t="s">
        <v>241</v>
      </c>
      <c r="D2810" t="s">
        <v>1427</v>
      </c>
      <c r="E2810" t="s">
        <v>555</v>
      </c>
      <c r="F2810" t="s">
        <v>1068</v>
      </c>
      <c r="G2810" t="s">
        <v>1087</v>
      </c>
      <c r="H2810" s="170">
        <v>-1.0640756080486899E-6</v>
      </c>
      <c r="I2810" t="s">
        <v>1088</v>
      </c>
      <c r="J2810">
        <v>2.5499999999999998</v>
      </c>
    </row>
    <row r="2811" spans="1:10" hidden="1">
      <c r="A2811" t="s">
        <v>2086</v>
      </c>
      <c r="B2811" t="s">
        <v>2087</v>
      </c>
      <c r="C2811" t="s">
        <v>241</v>
      </c>
      <c r="D2811" t="s">
        <v>1427</v>
      </c>
      <c r="E2811" t="s">
        <v>555</v>
      </c>
      <c r="F2811" t="s">
        <v>1068</v>
      </c>
      <c r="G2811" t="s">
        <v>1089</v>
      </c>
      <c r="H2811">
        <v>-3.11379193829283E-3</v>
      </c>
      <c r="I2811" t="s">
        <v>1090</v>
      </c>
      <c r="J2811">
        <v>2.5499999999999998</v>
      </c>
    </row>
    <row r="2812" spans="1:10" hidden="1">
      <c r="A2812" t="s">
        <v>2089</v>
      </c>
      <c r="B2812" t="s">
        <v>2090</v>
      </c>
      <c r="C2812" t="s">
        <v>241</v>
      </c>
      <c r="D2812" t="s">
        <v>1427</v>
      </c>
      <c r="E2812" t="s">
        <v>558</v>
      </c>
      <c r="F2812" t="s">
        <v>1068</v>
      </c>
      <c r="G2812" t="s">
        <v>1069</v>
      </c>
      <c r="H2812">
        <v>-7.0461867743836906E-2</v>
      </c>
      <c r="I2812" t="s">
        <v>1070</v>
      </c>
      <c r="J2812">
        <v>2.04</v>
      </c>
    </row>
    <row r="2813" spans="1:10" hidden="1">
      <c r="A2813" t="s">
        <v>2089</v>
      </c>
      <c r="B2813" t="s">
        <v>2090</v>
      </c>
      <c r="C2813" t="s">
        <v>241</v>
      </c>
      <c r="D2813" t="s">
        <v>1427</v>
      </c>
      <c r="E2813" t="s">
        <v>558</v>
      </c>
      <c r="F2813" t="s">
        <v>1068</v>
      </c>
      <c r="G2813" t="s">
        <v>1071</v>
      </c>
      <c r="H2813" s="170">
        <v>-1.49686071556342E-10</v>
      </c>
      <c r="I2813" t="s">
        <v>1072</v>
      </c>
      <c r="J2813">
        <v>2.04</v>
      </c>
    </row>
    <row r="2814" spans="1:10" hidden="1">
      <c r="A2814" t="s">
        <v>2089</v>
      </c>
      <c r="B2814" t="s">
        <v>2090</v>
      </c>
      <c r="C2814" t="s">
        <v>241</v>
      </c>
      <c r="D2814" t="s">
        <v>1427</v>
      </c>
      <c r="E2814" t="s">
        <v>558</v>
      </c>
      <c r="F2814" t="s">
        <v>1068</v>
      </c>
      <c r="G2814" t="s">
        <v>1073</v>
      </c>
      <c r="H2814" s="170">
        <v>-2.85270547621474E-8</v>
      </c>
      <c r="I2814" t="s">
        <v>1074</v>
      </c>
      <c r="J2814">
        <v>2.04</v>
      </c>
    </row>
    <row r="2815" spans="1:10" hidden="1">
      <c r="A2815" t="s">
        <v>2089</v>
      </c>
      <c r="B2815" t="s">
        <v>2090</v>
      </c>
      <c r="C2815" t="s">
        <v>241</v>
      </c>
      <c r="D2815" t="s">
        <v>1427</v>
      </c>
      <c r="E2815" t="s">
        <v>558</v>
      </c>
      <c r="F2815" t="s">
        <v>1068</v>
      </c>
      <c r="G2815" t="s">
        <v>1075</v>
      </c>
      <c r="H2815">
        <v>2.3145323288429301E-3</v>
      </c>
      <c r="I2815" t="s">
        <v>1077</v>
      </c>
      <c r="J2815">
        <v>2.04</v>
      </c>
    </row>
    <row r="2816" spans="1:10" hidden="1">
      <c r="A2816" t="s">
        <v>2089</v>
      </c>
      <c r="B2816" t="s">
        <v>2090</v>
      </c>
      <c r="C2816" t="s">
        <v>241</v>
      </c>
      <c r="D2816" t="s">
        <v>1427</v>
      </c>
      <c r="E2816" t="s">
        <v>558</v>
      </c>
      <c r="F2816" t="s">
        <v>1068</v>
      </c>
      <c r="G2816" t="s">
        <v>1078</v>
      </c>
      <c r="H2816">
        <v>-1.77980746178516</v>
      </c>
      <c r="I2816" t="s">
        <v>1079</v>
      </c>
      <c r="J2816">
        <v>2.04</v>
      </c>
    </row>
    <row r="2817" spans="1:10" hidden="1">
      <c r="A2817" t="s">
        <v>2089</v>
      </c>
      <c r="B2817" t="s">
        <v>2090</v>
      </c>
      <c r="C2817" t="s">
        <v>241</v>
      </c>
      <c r="D2817" t="s">
        <v>1427</v>
      </c>
      <c r="E2817" t="s">
        <v>558</v>
      </c>
      <c r="F2817" t="s">
        <v>1068</v>
      </c>
      <c r="G2817" t="s">
        <v>1080</v>
      </c>
      <c r="H2817" s="171" t="s">
        <v>2091</v>
      </c>
      <c r="I2817" t="s">
        <v>1082</v>
      </c>
      <c r="J2817">
        <v>2.04</v>
      </c>
    </row>
    <row r="2818" spans="1:10" hidden="1">
      <c r="A2818" t="s">
        <v>2089</v>
      </c>
      <c r="B2818" t="s">
        <v>2090</v>
      </c>
      <c r="C2818" t="s">
        <v>241</v>
      </c>
      <c r="D2818" t="s">
        <v>1427</v>
      </c>
      <c r="E2818" t="s">
        <v>558</v>
      </c>
      <c r="F2818" t="s">
        <v>1068</v>
      </c>
      <c r="G2818" t="s">
        <v>1083</v>
      </c>
      <c r="H2818">
        <v>-4.0796401666993401E-4</v>
      </c>
      <c r="I2818" t="s">
        <v>1084</v>
      </c>
      <c r="J2818">
        <v>2.04</v>
      </c>
    </row>
    <row r="2819" spans="1:10" hidden="1">
      <c r="A2819" t="s">
        <v>2089</v>
      </c>
      <c r="B2819" t="s">
        <v>2090</v>
      </c>
      <c r="C2819" t="s">
        <v>241</v>
      </c>
      <c r="D2819" t="s">
        <v>1427</v>
      </c>
      <c r="E2819" t="s">
        <v>558</v>
      </c>
      <c r="F2819" t="s">
        <v>1068</v>
      </c>
      <c r="G2819" t="s">
        <v>1085</v>
      </c>
      <c r="H2819">
        <v>-1.14783301054566E-2</v>
      </c>
      <c r="I2819" t="s">
        <v>1086</v>
      </c>
      <c r="J2819">
        <v>2.04</v>
      </c>
    </row>
    <row r="2820" spans="1:10" hidden="1">
      <c r="A2820" t="s">
        <v>2089</v>
      </c>
      <c r="B2820" t="s">
        <v>2090</v>
      </c>
      <c r="C2820" t="s">
        <v>241</v>
      </c>
      <c r="D2820" t="s">
        <v>1427</v>
      </c>
      <c r="E2820" t="s">
        <v>558</v>
      </c>
      <c r="F2820" t="s">
        <v>1068</v>
      </c>
      <c r="G2820" t="s">
        <v>1087</v>
      </c>
      <c r="H2820" s="170">
        <v>-1.0657157106036E-6</v>
      </c>
      <c r="I2820" t="s">
        <v>1088</v>
      </c>
      <c r="J2820">
        <v>2.04</v>
      </c>
    </row>
    <row r="2821" spans="1:10" hidden="1">
      <c r="A2821" t="s">
        <v>2089</v>
      </c>
      <c r="B2821" t="s">
        <v>2090</v>
      </c>
      <c r="C2821" t="s">
        <v>241</v>
      </c>
      <c r="D2821" t="s">
        <v>1427</v>
      </c>
      <c r="E2821" t="s">
        <v>558</v>
      </c>
      <c r="F2821" t="s">
        <v>1068</v>
      </c>
      <c r="G2821" t="s">
        <v>1089</v>
      </c>
      <c r="H2821">
        <v>-3.11386617777786E-3</v>
      </c>
      <c r="I2821" t="s">
        <v>1090</v>
      </c>
      <c r="J2821">
        <v>2.04</v>
      </c>
    </row>
    <row r="2822" spans="1:10" hidden="1">
      <c r="A2822" t="s">
        <v>2092</v>
      </c>
      <c r="B2822" t="s">
        <v>2093</v>
      </c>
      <c r="C2822" t="s">
        <v>241</v>
      </c>
      <c r="D2822" t="s">
        <v>1427</v>
      </c>
      <c r="E2822" t="s">
        <v>553</v>
      </c>
      <c r="F2822" t="s">
        <v>1068</v>
      </c>
      <c r="G2822" t="s">
        <v>1069</v>
      </c>
      <c r="H2822">
        <v>-7.0457872340044095E-2</v>
      </c>
      <c r="I2822" t="s">
        <v>1070</v>
      </c>
      <c r="J2822">
        <v>2.04</v>
      </c>
    </row>
    <row r="2823" spans="1:10" hidden="1">
      <c r="A2823" t="s">
        <v>2092</v>
      </c>
      <c r="B2823" t="s">
        <v>2093</v>
      </c>
      <c r="C2823" t="s">
        <v>241</v>
      </c>
      <c r="D2823" t="s">
        <v>1427</v>
      </c>
      <c r="E2823" t="s">
        <v>553</v>
      </c>
      <c r="F2823" t="s">
        <v>1068</v>
      </c>
      <c r="G2823" t="s">
        <v>1071</v>
      </c>
      <c r="H2823" s="170">
        <v>-1.4963481228397001E-10</v>
      </c>
      <c r="I2823" t="s">
        <v>1072</v>
      </c>
      <c r="J2823">
        <v>2.04</v>
      </c>
    </row>
    <row r="2824" spans="1:10" hidden="1">
      <c r="A2824" t="s">
        <v>2092</v>
      </c>
      <c r="B2824" t="s">
        <v>2093</v>
      </c>
      <c r="C2824" t="s">
        <v>241</v>
      </c>
      <c r="D2824" t="s">
        <v>1427</v>
      </c>
      <c r="E2824" t="s">
        <v>553</v>
      </c>
      <c r="F2824" t="s">
        <v>1068</v>
      </c>
      <c r="G2824" t="s">
        <v>1073</v>
      </c>
      <c r="H2824" s="170">
        <v>-2.8529812352626802E-8</v>
      </c>
      <c r="I2824" t="s">
        <v>1074</v>
      </c>
      <c r="J2824">
        <v>2.04</v>
      </c>
    </row>
    <row r="2825" spans="1:10" hidden="1">
      <c r="A2825" t="s">
        <v>2092</v>
      </c>
      <c r="B2825" t="s">
        <v>2093</v>
      </c>
      <c r="C2825" t="s">
        <v>241</v>
      </c>
      <c r="D2825" t="s">
        <v>1427</v>
      </c>
      <c r="E2825" t="s">
        <v>553</v>
      </c>
      <c r="F2825" t="s">
        <v>1068</v>
      </c>
      <c r="G2825" t="s">
        <v>1075</v>
      </c>
      <c r="H2825">
        <v>2.34459875879011E-3</v>
      </c>
      <c r="I2825" t="s">
        <v>1077</v>
      </c>
      <c r="J2825">
        <v>2.04</v>
      </c>
    </row>
    <row r="2826" spans="1:10" hidden="1">
      <c r="A2826" t="s">
        <v>2092</v>
      </c>
      <c r="B2826" t="s">
        <v>2093</v>
      </c>
      <c r="C2826" t="s">
        <v>241</v>
      </c>
      <c r="D2826" t="s">
        <v>1427</v>
      </c>
      <c r="E2826" t="s">
        <v>553</v>
      </c>
      <c r="F2826" t="s">
        <v>1068</v>
      </c>
      <c r="G2826" t="s">
        <v>1078</v>
      </c>
      <c r="H2826">
        <v>-1.7671297096596501</v>
      </c>
      <c r="I2826" t="s">
        <v>1079</v>
      </c>
      <c r="J2826">
        <v>2.04</v>
      </c>
    </row>
    <row r="2827" spans="1:10" hidden="1">
      <c r="A2827" t="s">
        <v>2092</v>
      </c>
      <c r="B2827" t="s">
        <v>2093</v>
      </c>
      <c r="C2827" t="s">
        <v>241</v>
      </c>
      <c r="D2827" t="s">
        <v>1427</v>
      </c>
      <c r="E2827" t="s">
        <v>553</v>
      </c>
      <c r="F2827" t="s">
        <v>1068</v>
      </c>
      <c r="G2827" t="s">
        <v>1080</v>
      </c>
      <c r="H2827" s="171" t="s">
        <v>2094</v>
      </c>
      <c r="I2827" t="s">
        <v>1082</v>
      </c>
      <c r="J2827">
        <v>2.04</v>
      </c>
    </row>
    <row r="2828" spans="1:10" hidden="1">
      <c r="A2828" t="s">
        <v>2092</v>
      </c>
      <c r="B2828" t="s">
        <v>2093</v>
      </c>
      <c r="C2828" t="s">
        <v>241</v>
      </c>
      <c r="D2828" t="s">
        <v>1427</v>
      </c>
      <c r="E2828" t="s">
        <v>553</v>
      </c>
      <c r="F2828" t="s">
        <v>1068</v>
      </c>
      <c r="G2828" t="s">
        <v>1083</v>
      </c>
      <c r="H2828">
        <v>-4.0796635611790101E-4</v>
      </c>
      <c r="I2828" t="s">
        <v>1084</v>
      </c>
      <c r="J2828">
        <v>2.04</v>
      </c>
    </row>
    <row r="2829" spans="1:10" hidden="1">
      <c r="A2829" t="s">
        <v>2092</v>
      </c>
      <c r="B2829" t="s">
        <v>2093</v>
      </c>
      <c r="C2829" t="s">
        <v>241</v>
      </c>
      <c r="D2829" t="s">
        <v>1427</v>
      </c>
      <c r="E2829" t="s">
        <v>553</v>
      </c>
      <c r="F2829" t="s">
        <v>1068</v>
      </c>
      <c r="G2829" t="s">
        <v>1085</v>
      </c>
      <c r="H2829">
        <v>-1.14781956149592E-2</v>
      </c>
      <c r="I2829" t="s">
        <v>1086</v>
      </c>
      <c r="J2829">
        <v>2.04</v>
      </c>
    </row>
    <row r="2830" spans="1:10" hidden="1">
      <c r="A2830" t="s">
        <v>2092</v>
      </c>
      <c r="B2830" t="s">
        <v>2093</v>
      </c>
      <c r="C2830" t="s">
        <v>241</v>
      </c>
      <c r="D2830" t="s">
        <v>1427</v>
      </c>
      <c r="E2830" t="s">
        <v>553</v>
      </c>
      <c r="F2830" t="s">
        <v>1068</v>
      </c>
      <c r="G2830" t="s">
        <v>1087</v>
      </c>
      <c r="H2830" s="170">
        <v>-1.0642499596991799E-6</v>
      </c>
      <c r="I2830" t="s">
        <v>1088</v>
      </c>
      <c r="J2830">
        <v>2.04</v>
      </c>
    </row>
    <row r="2831" spans="1:10" hidden="1">
      <c r="A2831" t="s">
        <v>2092</v>
      </c>
      <c r="B2831" t="s">
        <v>2093</v>
      </c>
      <c r="C2831" t="s">
        <v>241</v>
      </c>
      <c r="D2831" t="s">
        <v>1427</v>
      </c>
      <c r="E2831" t="s">
        <v>553</v>
      </c>
      <c r="F2831" t="s">
        <v>1068</v>
      </c>
      <c r="G2831" t="s">
        <v>1089</v>
      </c>
      <c r="H2831">
        <v>-3.1138664680501801E-3</v>
      </c>
      <c r="I2831" t="s">
        <v>1090</v>
      </c>
      <c r="J2831">
        <v>2.04</v>
      </c>
    </row>
    <row r="2832" spans="1:10" hidden="1">
      <c r="A2832" t="s">
        <v>2095</v>
      </c>
      <c r="B2832" t="s">
        <v>2096</v>
      </c>
      <c r="C2832" t="s">
        <v>241</v>
      </c>
      <c r="D2832" t="s">
        <v>1427</v>
      </c>
      <c r="E2832" t="s">
        <v>556</v>
      </c>
      <c r="F2832" t="s">
        <v>1068</v>
      </c>
      <c r="G2832" t="s">
        <v>1069</v>
      </c>
      <c r="H2832">
        <v>-7.0267102550737606E-2</v>
      </c>
      <c r="I2832" t="s">
        <v>1070</v>
      </c>
      <c r="J2832">
        <v>2.04</v>
      </c>
    </row>
    <row r="2833" spans="1:10" hidden="1">
      <c r="A2833" t="s">
        <v>2095</v>
      </c>
      <c r="B2833" t="s">
        <v>2096</v>
      </c>
      <c r="C2833" t="s">
        <v>241</v>
      </c>
      <c r="D2833" t="s">
        <v>1427</v>
      </c>
      <c r="E2833" t="s">
        <v>556</v>
      </c>
      <c r="F2833" t="s">
        <v>1068</v>
      </c>
      <c r="G2833" t="s">
        <v>1071</v>
      </c>
      <c r="H2833" s="170">
        <v>-1.4910797990102599E-10</v>
      </c>
      <c r="I2833" t="s">
        <v>1072</v>
      </c>
      <c r="J2833">
        <v>2.04</v>
      </c>
    </row>
    <row r="2834" spans="1:10" hidden="1">
      <c r="A2834" t="s">
        <v>2095</v>
      </c>
      <c r="B2834" t="s">
        <v>2096</v>
      </c>
      <c r="C2834" t="s">
        <v>241</v>
      </c>
      <c r="D2834" t="s">
        <v>1427</v>
      </c>
      <c r="E2834" t="s">
        <v>556</v>
      </c>
      <c r="F2834" t="s">
        <v>1068</v>
      </c>
      <c r="G2834" t="s">
        <v>1073</v>
      </c>
      <c r="H2834" s="170">
        <v>-2.8454782354135101E-8</v>
      </c>
      <c r="I2834" t="s">
        <v>1074</v>
      </c>
      <c r="J2834">
        <v>2.04</v>
      </c>
    </row>
    <row r="2835" spans="1:10" hidden="1">
      <c r="A2835" t="s">
        <v>2095</v>
      </c>
      <c r="B2835" t="s">
        <v>2096</v>
      </c>
      <c r="C2835" t="s">
        <v>241</v>
      </c>
      <c r="D2835" t="s">
        <v>1427</v>
      </c>
      <c r="E2835" t="s">
        <v>556</v>
      </c>
      <c r="F2835" t="s">
        <v>1068</v>
      </c>
      <c r="G2835" t="s">
        <v>1075</v>
      </c>
      <c r="H2835">
        <v>2.4617020930615E-3</v>
      </c>
      <c r="I2835" t="s">
        <v>1077</v>
      </c>
      <c r="J2835">
        <v>2.04</v>
      </c>
    </row>
    <row r="2836" spans="1:10" hidden="1">
      <c r="A2836" t="s">
        <v>2095</v>
      </c>
      <c r="B2836" t="s">
        <v>2096</v>
      </c>
      <c r="C2836" t="s">
        <v>241</v>
      </c>
      <c r="D2836" t="s">
        <v>1427</v>
      </c>
      <c r="E2836" t="s">
        <v>556</v>
      </c>
      <c r="F2836" t="s">
        <v>1068</v>
      </c>
      <c r="G2836" t="s">
        <v>1078</v>
      </c>
      <c r="H2836">
        <v>-1.72053188057342</v>
      </c>
      <c r="I2836" t="s">
        <v>1079</v>
      </c>
      <c r="J2836">
        <v>2.04</v>
      </c>
    </row>
    <row r="2837" spans="1:10" hidden="1">
      <c r="A2837" t="s">
        <v>2095</v>
      </c>
      <c r="B2837" t="s">
        <v>2096</v>
      </c>
      <c r="C2837" t="s">
        <v>241</v>
      </c>
      <c r="D2837" t="s">
        <v>1427</v>
      </c>
      <c r="E2837" t="s">
        <v>556</v>
      </c>
      <c r="F2837" t="s">
        <v>1068</v>
      </c>
      <c r="G2837" t="s">
        <v>1080</v>
      </c>
      <c r="H2837" s="171" t="s">
        <v>2097</v>
      </c>
      <c r="I2837" t="s">
        <v>1082</v>
      </c>
      <c r="J2837">
        <v>2.04</v>
      </c>
    </row>
    <row r="2838" spans="1:10" hidden="1">
      <c r="A2838" t="s">
        <v>2095</v>
      </c>
      <c r="B2838" t="s">
        <v>2096</v>
      </c>
      <c r="C2838" t="s">
        <v>241</v>
      </c>
      <c r="D2838" t="s">
        <v>1427</v>
      </c>
      <c r="E2838" t="s">
        <v>556</v>
      </c>
      <c r="F2838" t="s">
        <v>1068</v>
      </c>
      <c r="G2838" t="s">
        <v>1083</v>
      </c>
      <c r="H2838">
        <v>-4.07937326012767E-4</v>
      </c>
      <c r="I2838" t="s">
        <v>1084</v>
      </c>
      <c r="J2838">
        <v>2.04</v>
      </c>
    </row>
    <row r="2839" spans="1:10" hidden="1">
      <c r="A2839" t="s">
        <v>2095</v>
      </c>
      <c r="B2839" t="s">
        <v>2096</v>
      </c>
      <c r="C2839" t="s">
        <v>241</v>
      </c>
      <c r="D2839" t="s">
        <v>1427</v>
      </c>
      <c r="E2839" t="s">
        <v>556</v>
      </c>
      <c r="F2839" t="s">
        <v>1068</v>
      </c>
      <c r="G2839" t="s">
        <v>1085</v>
      </c>
      <c r="H2839">
        <v>-1.1477283310316E-2</v>
      </c>
      <c r="I2839" t="s">
        <v>1086</v>
      </c>
      <c r="J2839">
        <v>2.04</v>
      </c>
    </row>
    <row r="2840" spans="1:10" hidden="1">
      <c r="A2840" t="s">
        <v>2095</v>
      </c>
      <c r="B2840" t="s">
        <v>2096</v>
      </c>
      <c r="C2840" t="s">
        <v>241</v>
      </c>
      <c r="D2840" t="s">
        <v>1427</v>
      </c>
      <c r="E2840" t="s">
        <v>556</v>
      </c>
      <c r="F2840" t="s">
        <v>1068</v>
      </c>
      <c r="G2840" t="s">
        <v>1087</v>
      </c>
      <c r="H2840" s="170">
        <v>-1.0640919957522701E-6</v>
      </c>
      <c r="I2840" t="s">
        <v>1088</v>
      </c>
      <c r="J2840">
        <v>2.04</v>
      </c>
    </row>
    <row r="2841" spans="1:10" hidden="1">
      <c r="A2841" t="s">
        <v>2095</v>
      </c>
      <c r="B2841" t="s">
        <v>2096</v>
      </c>
      <c r="C2841" t="s">
        <v>241</v>
      </c>
      <c r="D2841" t="s">
        <v>1427</v>
      </c>
      <c r="E2841" t="s">
        <v>556</v>
      </c>
      <c r="F2841" t="s">
        <v>1068</v>
      </c>
      <c r="G2841" t="s">
        <v>1089</v>
      </c>
      <c r="H2841">
        <v>-3.1137989435122701E-3</v>
      </c>
      <c r="I2841" t="s">
        <v>1090</v>
      </c>
      <c r="J2841">
        <v>2.04</v>
      </c>
    </row>
    <row r="2842" spans="1:10" hidden="1">
      <c r="A2842" t="s">
        <v>2098</v>
      </c>
      <c r="B2842" t="s">
        <v>2099</v>
      </c>
      <c r="C2842" t="s">
        <v>241</v>
      </c>
      <c r="D2842" t="s">
        <v>1427</v>
      </c>
      <c r="E2842" t="s">
        <v>557</v>
      </c>
      <c r="F2842" t="s">
        <v>1068</v>
      </c>
      <c r="G2842" t="s">
        <v>1069</v>
      </c>
      <c r="H2842">
        <v>-7.0396427771931697E-2</v>
      </c>
      <c r="I2842" t="s">
        <v>1070</v>
      </c>
      <c r="J2842">
        <v>2.0299999999999998</v>
      </c>
    </row>
    <row r="2843" spans="1:10" hidden="1">
      <c r="A2843" t="s">
        <v>2098</v>
      </c>
      <c r="B2843" t="s">
        <v>2099</v>
      </c>
      <c r="C2843" t="s">
        <v>241</v>
      </c>
      <c r="D2843" t="s">
        <v>1427</v>
      </c>
      <c r="E2843" t="s">
        <v>557</v>
      </c>
      <c r="F2843" t="s">
        <v>1068</v>
      </c>
      <c r="G2843" t="s">
        <v>1071</v>
      </c>
      <c r="H2843" s="170">
        <v>-1.4959242621203099E-10</v>
      </c>
      <c r="I2843" t="s">
        <v>1072</v>
      </c>
      <c r="J2843">
        <v>2.0299999999999998</v>
      </c>
    </row>
    <row r="2844" spans="1:10" hidden="1">
      <c r="A2844" t="s">
        <v>2098</v>
      </c>
      <c r="B2844" t="s">
        <v>2099</v>
      </c>
      <c r="C2844" t="s">
        <v>241</v>
      </c>
      <c r="D2844" t="s">
        <v>1427</v>
      </c>
      <c r="E2844" t="s">
        <v>557</v>
      </c>
      <c r="F2844" t="s">
        <v>1068</v>
      </c>
      <c r="G2844" t="s">
        <v>1073</v>
      </c>
      <c r="H2844" s="170">
        <v>-2.8503810277060798E-8</v>
      </c>
      <c r="I2844" t="s">
        <v>1074</v>
      </c>
      <c r="J2844">
        <v>2.0299999999999998</v>
      </c>
    </row>
    <row r="2845" spans="1:10" hidden="1">
      <c r="A2845" t="s">
        <v>2098</v>
      </c>
      <c r="B2845" t="s">
        <v>2099</v>
      </c>
      <c r="C2845" t="s">
        <v>241</v>
      </c>
      <c r="D2845" t="s">
        <v>1427</v>
      </c>
      <c r="E2845" t="s">
        <v>557</v>
      </c>
      <c r="F2845" t="s">
        <v>1068</v>
      </c>
      <c r="G2845" t="s">
        <v>1075</v>
      </c>
      <c r="H2845">
        <v>2.31660095626096E-3</v>
      </c>
      <c r="I2845" t="s">
        <v>1077</v>
      </c>
      <c r="J2845">
        <v>2.0299999999999998</v>
      </c>
    </row>
    <row r="2846" spans="1:10" hidden="1">
      <c r="A2846" t="s">
        <v>2098</v>
      </c>
      <c r="B2846" t="s">
        <v>2099</v>
      </c>
      <c r="C2846" t="s">
        <v>241</v>
      </c>
      <c r="D2846" t="s">
        <v>1427</v>
      </c>
      <c r="E2846" t="s">
        <v>557</v>
      </c>
      <c r="F2846" t="s">
        <v>1068</v>
      </c>
      <c r="G2846" t="s">
        <v>1078</v>
      </c>
      <c r="H2846">
        <v>-1.77971800635607</v>
      </c>
      <c r="I2846" t="s">
        <v>1079</v>
      </c>
      <c r="J2846">
        <v>2.0299999999999998</v>
      </c>
    </row>
    <row r="2847" spans="1:10" hidden="1">
      <c r="A2847" t="s">
        <v>2098</v>
      </c>
      <c r="B2847" t="s">
        <v>2099</v>
      </c>
      <c r="C2847" t="s">
        <v>241</v>
      </c>
      <c r="D2847" t="s">
        <v>1427</v>
      </c>
      <c r="E2847" t="s">
        <v>557</v>
      </c>
      <c r="F2847" t="s">
        <v>1068</v>
      </c>
      <c r="G2847" t="s">
        <v>1080</v>
      </c>
      <c r="H2847" s="171" t="s">
        <v>2100</v>
      </c>
      <c r="I2847" t="s">
        <v>1082</v>
      </c>
      <c r="J2847">
        <v>2.0299999999999998</v>
      </c>
    </row>
    <row r="2848" spans="1:10" hidden="1">
      <c r="A2848" t="s">
        <v>2098</v>
      </c>
      <c r="B2848" t="s">
        <v>2099</v>
      </c>
      <c r="C2848" t="s">
        <v>241</v>
      </c>
      <c r="D2848" t="s">
        <v>1427</v>
      </c>
      <c r="E2848" t="s">
        <v>557</v>
      </c>
      <c r="F2848" t="s">
        <v>1068</v>
      </c>
      <c r="G2848" t="s">
        <v>1083</v>
      </c>
      <c r="H2848">
        <v>-4.0795406975183899E-4</v>
      </c>
      <c r="I2848" t="s">
        <v>1084</v>
      </c>
      <c r="J2848">
        <v>2.0299999999999998</v>
      </c>
    </row>
    <row r="2849" spans="1:10" hidden="1">
      <c r="A2849" t="s">
        <v>2098</v>
      </c>
      <c r="B2849" t="s">
        <v>2099</v>
      </c>
      <c r="C2849" t="s">
        <v>241</v>
      </c>
      <c r="D2849" t="s">
        <v>1427</v>
      </c>
      <c r="E2849" t="s">
        <v>557</v>
      </c>
      <c r="F2849" t="s">
        <v>1068</v>
      </c>
      <c r="G2849" t="s">
        <v>1085</v>
      </c>
      <c r="H2849">
        <v>-1.1478217685094201E-2</v>
      </c>
      <c r="I2849" t="s">
        <v>1086</v>
      </c>
      <c r="J2849">
        <v>2.0299999999999998</v>
      </c>
    </row>
    <row r="2850" spans="1:10" hidden="1">
      <c r="A2850" t="s">
        <v>2098</v>
      </c>
      <c r="B2850" t="s">
        <v>2099</v>
      </c>
      <c r="C2850" t="s">
        <v>241</v>
      </c>
      <c r="D2850" t="s">
        <v>1427</v>
      </c>
      <c r="E2850" t="s">
        <v>557</v>
      </c>
      <c r="F2850" t="s">
        <v>1068</v>
      </c>
      <c r="G2850" t="s">
        <v>1087</v>
      </c>
      <c r="H2850" s="170">
        <v>-1.0656614560233499E-6</v>
      </c>
      <c r="I2850" t="s">
        <v>1088</v>
      </c>
      <c r="J2850">
        <v>2.0299999999999998</v>
      </c>
    </row>
    <row r="2851" spans="1:10" hidden="1">
      <c r="A2851" t="s">
        <v>2098</v>
      </c>
      <c r="B2851" t="s">
        <v>2099</v>
      </c>
      <c r="C2851" t="s">
        <v>241</v>
      </c>
      <c r="D2851" t="s">
        <v>1427</v>
      </c>
      <c r="E2851" t="s">
        <v>557</v>
      </c>
      <c r="F2851" t="s">
        <v>1068</v>
      </c>
      <c r="G2851" t="s">
        <v>1089</v>
      </c>
      <c r="H2851">
        <v>-3.1138429856790799E-3</v>
      </c>
      <c r="I2851" t="s">
        <v>1090</v>
      </c>
      <c r="J2851">
        <v>2.0299999999999998</v>
      </c>
    </row>
    <row r="2852" spans="1:10" hidden="1">
      <c r="A2852" t="s">
        <v>2101</v>
      </c>
      <c r="B2852" t="s">
        <v>2102</v>
      </c>
      <c r="C2852" t="s">
        <v>241</v>
      </c>
      <c r="D2852" t="s">
        <v>1427</v>
      </c>
      <c r="E2852" t="s">
        <v>559</v>
      </c>
      <c r="F2852" t="s">
        <v>1068</v>
      </c>
      <c r="G2852" t="s">
        <v>1069</v>
      </c>
      <c r="H2852">
        <v>-7.0323975471733802E-2</v>
      </c>
      <c r="I2852" t="s">
        <v>1070</v>
      </c>
      <c r="J2852">
        <v>2.5299999999999998</v>
      </c>
    </row>
    <row r="2853" spans="1:10" hidden="1">
      <c r="A2853" t="s">
        <v>2101</v>
      </c>
      <c r="B2853" t="s">
        <v>2102</v>
      </c>
      <c r="C2853" t="s">
        <v>241</v>
      </c>
      <c r="D2853" t="s">
        <v>1427</v>
      </c>
      <c r="E2853" t="s">
        <v>559</v>
      </c>
      <c r="F2853" t="s">
        <v>1068</v>
      </c>
      <c r="G2853" t="s">
        <v>1071</v>
      </c>
      <c r="H2853" s="170">
        <v>-1.4944320434200601E-10</v>
      </c>
      <c r="I2853" t="s">
        <v>1072</v>
      </c>
      <c r="J2853">
        <v>2.5299999999999998</v>
      </c>
    </row>
    <row r="2854" spans="1:10" hidden="1">
      <c r="A2854" t="s">
        <v>2101</v>
      </c>
      <c r="B2854" t="s">
        <v>2102</v>
      </c>
      <c r="C2854" t="s">
        <v>241</v>
      </c>
      <c r="D2854" t="s">
        <v>1427</v>
      </c>
      <c r="E2854" t="s">
        <v>559</v>
      </c>
      <c r="F2854" t="s">
        <v>1068</v>
      </c>
      <c r="G2854" t="s">
        <v>1073</v>
      </c>
      <c r="H2854" s="170">
        <v>-2.84822517613235E-8</v>
      </c>
      <c r="I2854" t="s">
        <v>1074</v>
      </c>
      <c r="J2854">
        <v>2.5299999999999998</v>
      </c>
    </row>
    <row r="2855" spans="1:10" hidden="1">
      <c r="A2855" t="s">
        <v>2101</v>
      </c>
      <c r="B2855" t="s">
        <v>2102</v>
      </c>
      <c r="C2855" t="s">
        <v>241</v>
      </c>
      <c r="D2855" t="s">
        <v>1427</v>
      </c>
      <c r="E2855" t="s">
        <v>559</v>
      </c>
      <c r="F2855" t="s">
        <v>1068</v>
      </c>
      <c r="G2855" t="s">
        <v>1075</v>
      </c>
      <c r="H2855">
        <v>2.3488313818342799E-3</v>
      </c>
      <c r="I2855" t="s">
        <v>1077</v>
      </c>
      <c r="J2855">
        <v>2.5299999999999998</v>
      </c>
    </row>
    <row r="2856" spans="1:10" hidden="1">
      <c r="A2856" t="s">
        <v>2101</v>
      </c>
      <c r="B2856" t="s">
        <v>2102</v>
      </c>
      <c r="C2856" t="s">
        <v>241</v>
      </c>
      <c r="D2856" t="s">
        <v>1427</v>
      </c>
      <c r="E2856" t="s">
        <v>559</v>
      </c>
      <c r="F2856" t="s">
        <v>1068</v>
      </c>
      <c r="G2856" t="s">
        <v>1078</v>
      </c>
      <c r="H2856">
        <v>-1.7669466747123801</v>
      </c>
      <c r="I2856" t="s">
        <v>1079</v>
      </c>
      <c r="J2856">
        <v>2.5299999999999998</v>
      </c>
    </row>
    <row r="2857" spans="1:10" hidden="1">
      <c r="A2857" t="s">
        <v>2101</v>
      </c>
      <c r="B2857" t="s">
        <v>2102</v>
      </c>
      <c r="C2857" t="s">
        <v>241</v>
      </c>
      <c r="D2857" t="s">
        <v>1427</v>
      </c>
      <c r="E2857" t="s">
        <v>559</v>
      </c>
      <c r="F2857" t="s">
        <v>1068</v>
      </c>
      <c r="G2857" t="s">
        <v>1080</v>
      </c>
      <c r="H2857" s="171" t="s">
        <v>2103</v>
      </c>
      <c r="I2857" t="s">
        <v>1082</v>
      </c>
      <c r="J2857">
        <v>2.5299999999999998</v>
      </c>
    </row>
    <row r="2858" spans="1:10" hidden="1">
      <c r="A2858" t="s">
        <v>2101</v>
      </c>
      <c r="B2858" t="s">
        <v>2102</v>
      </c>
      <c r="C2858" t="s">
        <v>241</v>
      </c>
      <c r="D2858" t="s">
        <v>1427</v>
      </c>
      <c r="E2858" t="s">
        <v>559</v>
      </c>
      <c r="F2858" t="s">
        <v>1068</v>
      </c>
      <c r="G2858" t="s">
        <v>1083</v>
      </c>
      <c r="H2858">
        <v>-4.0794600370723598E-4</v>
      </c>
      <c r="I2858" t="s">
        <v>1084</v>
      </c>
      <c r="J2858">
        <v>2.5299999999999998</v>
      </c>
    </row>
    <row r="2859" spans="1:10" hidden="1">
      <c r="A2859" t="s">
        <v>2101</v>
      </c>
      <c r="B2859" t="s">
        <v>2102</v>
      </c>
      <c r="C2859" t="s">
        <v>241</v>
      </c>
      <c r="D2859" t="s">
        <v>1427</v>
      </c>
      <c r="E2859" t="s">
        <v>559</v>
      </c>
      <c r="F2859" t="s">
        <v>1068</v>
      </c>
      <c r="G2859" t="s">
        <v>1085</v>
      </c>
      <c r="H2859">
        <v>-1.1477965591412001E-2</v>
      </c>
      <c r="I2859" t="s">
        <v>1086</v>
      </c>
      <c r="J2859">
        <v>2.5299999999999998</v>
      </c>
    </row>
    <row r="2860" spans="1:10" hidden="1">
      <c r="A2860" t="s">
        <v>2101</v>
      </c>
      <c r="B2860" t="s">
        <v>2102</v>
      </c>
      <c r="C2860" t="s">
        <v>241</v>
      </c>
      <c r="D2860" t="s">
        <v>1427</v>
      </c>
      <c r="E2860" t="s">
        <v>559</v>
      </c>
      <c r="F2860" t="s">
        <v>1068</v>
      </c>
      <c r="G2860" t="s">
        <v>1087</v>
      </c>
      <c r="H2860" s="170">
        <v>-1.064138949285E-6</v>
      </c>
      <c r="I2860" t="s">
        <v>1088</v>
      </c>
      <c r="J2860">
        <v>2.5299999999999998</v>
      </c>
    </row>
    <row r="2861" spans="1:10" hidden="1">
      <c r="A2861" t="s">
        <v>2101</v>
      </c>
      <c r="B2861" t="s">
        <v>2102</v>
      </c>
      <c r="C2861" t="s">
        <v>241</v>
      </c>
      <c r="D2861" t="s">
        <v>1427</v>
      </c>
      <c r="E2861" t="s">
        <v>559</v>
      </c>
      <c r="F2861" t="s">
        <v>1068</v>
      </c>
      <c r="G2861" t="s">
        <v>1089</v>
      </c>
      <c r="H2861">
        <v>-3.1138190146466202E-3</v>
      </c>
      <c r="I2861" t="s">
        <v>1090</v>
      </c>
      <c r="J2861">
        <v>2.5299999999999998</v>
      </c>
    </row>
    <row r="2862" spans="1:10" hidden="1">
      <c r="A2862" t="s">
        <v>2104</v>
      </c>
      <c r="B2862" t="s">
        <v>2105</v>
      </c>
      <c r="C2862" t="s">
        <v>241</v>
      </c>
      <c r="D2862" t="s">
        <v>1427</v>
      </c>
      <c r="E2862" t="s">
        <v>560</v>
      </c>
      <c r="F2862" t="s">
        <v>1068</v>
      </c>
      <c r="G2862" t="s">
        <v>1069</v>
      </c>
      <c r="H2862">
        <v>-7.0361526453538506E-2</v>
      </c>
      <c r="I2862" t="s">
        <v>1070</v>
      </c>
      <c r="J2862">
        <v>3.04</v>
      </c>
    </row>
    <row r="2863" spans="1:10" hidden="1">
      <c r="A2863" t="s">
        <v>2104</v>
      </c>
      <c r="B2863" t="s">
        <v>2105</v>
      </c>
      <c r="C2863" t="s">
        <v>241</v>
      </c>
      <c r="D2863" t="s">
        <v>1427</v>
      </c>
      <c r="E2863" t="s">
        <v>560</v>
      </c>
      <c r="F2863" t="s">
        <v>1068</v>
      </c>
      <c r="G2863" t="s">
        <v>1071</v>
      </c>
      <c r="H2863" s="170">
        <v>-1.4954248202830101E-10</v>
      </c>
      <c r="I2863" t="s">
        <v>1072</v>
      </c>
      <c r="J2863">
        <v>3.04</v>
      </c>
    </row>
    <row r="2864" spans="1:10" hidden="1">
      <c r="A2864" t="s">
        <v>2104</v>
      </c>
      <c r="B2864" t="s">
        <v>2105</v>
      </c>
      <c r="C2864" t="s">
        <v>241</v>
      </c>
      <c r="D2864" t="s">
        <v>1427</v>
      </c>
      <c r="E2864" t="s">
        <v>560</v>
      </c>
      <c r="F2864" t="s">
        <v>1068</v>
      </c>
      <c r="G2864" t="s">
        <v>1073</v>
      </c>
      <c r="H2864" s="170">
        <v>-2.8491413218331099E-8</v>
      </c>
      <c r="I2864" t="s">
        <v>1074</v>
      </c>
      <c r="J2864">
        <v>3.04</v>
      </c>
    </row>
    <row r="2865" spans="1:10" hidden="1">
      <c r="A2865" t="s">
        <v>2104</v>
      </c>
      <c r="B2865" t="s">
        <v>2105</v>
      </c>
      <c r="C2865" t="s">
        <v>241</v>
      </c>
      <c r="D2865" t="s">
        <v>1427</v>
      </c>
      <c r="E2865" t="s">
        <v>560</v>
      </c>
      <c r="F2865" t="s">
        <v>1068</v>
      </c>
      <c r="G2865" t="s">
        <v>1075</v>
      </c>
      <c r="H2865">
        <v>2.3177042242177402E-3</v>
      </c>
      <c r="I2865" t="s">
        <v>1077</v>
      </c>
      <c r="J2865">
        <v>3.04</v>
      </c>
    </row>
    <row r="2866" spans="1:10" hidden="1">
      <c r="A2866" t="s">
        <v>2104</v>
      </c>
      <c r="B2866" t="s">
        <v>2105</v>
      </c>
      <c r="C2866" t="s">
        <v>241</v>
      </c>
      <c r="D2866" t="s">
        <v>1427</v>
      </c>
      <c r="E2866" t="s">
        <v>560</v>
      </c>
      <c r="F2866" t="s">
        <v>1068</v>
      </c>
      <c r="G2866" t="s">
        <v>1078</v>
      </c>
      <c r="H2866">
        <v>-1.77967029679388</v>
      </c>
      <c r="I2866" t="s">
        <v>1079</v>
      </c>
      <c r="J2866">
        <v>3.04</v>
      </c>
    </row>
    <row r="2867" spans="1:10" hidden="1">
      <c r="A2867" t="s">
        <v>2104</v>
      </c>
      <c r="B2867" t="s">
        <v>2105</v>
      </c>
      <c r="C2867" t="s">
        <v>241</v>
      </c>
      <c r="D2867" t="s">
        <v>1427</v>
      </c>
      <c r="E2867" t="s">
        <v>560</v>
      </c>
      <c r="F2867" t="s">
        <v>1068</v>
      </c>
      <c r="G2867" t="s">
        <v>1080</v>
      </c>
      <c r="H2867" s="171" t="s">
        <v>2106</v>
      </c>
      <c r="I2867" t="s">
        <v>1082</v>
      </c>
      <c r="J2867">
        <v>3.04</v>
      </c>
    </row>
    <row r="2868" spans="1:10" hidden="1">
      <c r="A2868" t="s">
        <v>2104</v>
      </c>
      <c r="B2868" t="s">
        <v>2105</v>
      </c>
      <c r="C2868" t="s">
        <v>241</v>
      </c>
      <c r="D2868" t="s">
        <v>1427</v>
      </c>
      <c r="E2868" t="s">
        <v>560</v>
      </c>
      <c r="F2868" t="s">
        <v>1068</v>
      </c>
      <c r="G2868" t="s">
        <v>1083</v>
      </c>
      <c r="H2868">
        <v>-4.0794876472885402E-4</v>
      </c>
      <c r="I2868" t="s">
        <v>1084</v>
      </c>
      <c r="J2868">
        <v>3.04</v>
      </c>
    </row>
    <row r="2869" spans="1:10" hidden="1">
      <c r="A2869" t="s">
        <v>2104</v>
      </c>
      <c r="B2869" t="s">
        <v>2105</v>
      </c>
      <c r="C2869" t="s">
        <v>241</v>
      </c>
      <c r="D2869" t="s">
        <v>1427</v>
      </c>
      <c r="E2869" t="s">
        <v>560</v>
      </c>
      <c r="F2869" t="s">
        <v>1068</v>
      </c>
      <c r="G2869" t="s">
        <v>1085</v>
      </c>
      <c r="H2869">
        <v>-1.14781577275675E-2</v>
      </c>
      <c r="I2869" t="s">
        <v>1086</v>
      </c>
      <c r="J2869">
        <v>3.04</v>
      </c>
    </row>
    <row r="2870" spans="1:10" hidden="1">
      <c r="A2870" t="s">
        <v>2104</v>
      </c>
      <c r="B2870" t="s">
        <v>2105</v>
      </c>
      <c r="C2870" t="s">
        <v>241</v>
      </c>
      <c r="D2870" t="s">
        <v>1427</v>
      </c>
      <c r="E2870" t="s">
        <v>560</v>
      </c>
      <c r="F2870" t="s">
        <v>1068</v>
      </c>
      <c r="G2870" t="s">
        <v>1087</v>
      </c>
      <c r="H2870" s="170">
        <v>-1.0656325202472199E-6</v>
      </c>
      <c r="I2870" t="s">
        <v>1088</v>
      </c>
      <c r="J2870">
        <v>3.04</v>
      </c>
    </row>
    <row r="2871" spans="1:10" hidden="1">
      <c r="A2871" t="s">
        <v>2104</v>
      </c>
      <c r="B2871" t="s">
        <v>2105</v>
      </c>
      <c r="C2871" t="s">
        <v>241</v>
      </c>
      <c r="D2871" t="s">
        <v>1427</v>
      </c>
      <c r="E2871" t="s">
        <v>560</v>
      </c>
      <c r="F2871" t="s">
        <v>1068</v>
      </c>
      <c r="G2871" t="s">
        <v>1089</v>
      </c>
      <c r="H2871">
        <v>-3.1138306165597301E-3</v>
      </c>
      <c r="I2871" t="s">
        <v>1090</v>
      </c>
      <c r="J2871">
        <v>3.04</v>
      </c>
    </row>
    <row r="2872" spans="1:10" hidden="1">
      <c r="A2872" t="s">
        <v>2107</v>
      </c>
      <c r="B2872" t="s">
        <v>2108</v>
      </c>
      <c r="C2872" t="s">
        <v>241</v>
      </c>
      <c r="D2872" t="s">
        <v>1427</v>
      </c>
      <c r="E2872" t="s">
        <v>1116</v>
      </c>
      <c r="F2872" t="s">
        <v>1068</v>
      </c>
      <c r="G2872" t="s">
        <v>1069</v>
      </c>
      <c r="H2872">
        <v>-7.0467455464602993E-2</v>
      </c>
      <c r="I2872" t="s">
        <v>1070</v>
      </c>
      <c r="J2872">
        <v>2.54</v>
      </c>
    </row>
    <row r="2873" spans="1:10" hidden="1">
      <c r="A2873" t="s">
        <v>2107</v>
      </c>
      <c r="B2873" t="s">
        <v>2108</v>
      </c>
      <c r="C2873" t="s">
        <v>241</v>
      </c>
      <c r="D2873" t="s">
        <v>1427</v>
      </c>
      <c r="E2873" t="s">
        <v>1116</v>
      </c>
      <c r="F2873" t="s">
        <v>1068</v>
      </c>
      <c r="G2873" t="s">
        <v>1071</v>
      </c>
      <c r="H2873" s="170">
        <v>-1.4969406764831501E-10</v>
      </c>
      <c r="I2873" t="s">
        <v>1072</v>
      </c>
      <c r="J2873">
        <v>2.54</v>
      </c>
    </row>
    <row r="2874" spans="1:10" hidden="1">
      <c r="A2874" t="s">
        <v>2107</v>
      </c>
      <c r="B2874" t="s">
        <v>2108</v>
      </c>
      <c r="C2874" t="s">
        <v>241</v>
      </c>
      <c r="D2874" t="s">
        <v>1427</v>
      </c>
      <c r="E2874" t="s">
        <v>1116</v>
      </c>
      <c r="F2874" t="s">
        <v>1068</v>
      </c>
      <c r="G2874" t="s">
        <v>1073</v>
      </c>
      <c r="H2874" s="170">
        <v>-2.85290395382429E-8</v>
      </c>
      <c r="I2874" t="s">
        <v>1074</v>
      </c>
      <c r="J2874">
        <v>2.54</v>
      </c>
    </row>
    <row r="2875" spans="1:10" hidden="1">
      <c r="A2875" t="s">
        <v>2107</v>
      </c>
      <c r="B2875" t="s">
        <v>2108</v>
      </c>
      <c r="C2875" t="s">
        <v>241</v>
      </c>
      <c r="D2875" t="s">
        <v>1427</v>
      </c>
      <c r="E2875" t="s">
        <v>1116</v>
      </c>
      <c r="F2875" t="s">
        <v>1068</v>
      </c>
      <c r="G2875" t="s">
        <v>1075</v>
      </c>
      <c r="H2875">
        <v>2.3143556950188599E-3</v>
      </c>
      <c r="I2875" t="s">
        <v>1077</v>
      </c>
      <c r="J2875">
        <v>2.54</v>
      </c>
    </row>
    <row r="2876" spans="1:10" hidden="1">
      <c r="A2876" t="s">
        <v>2107</v>
      </c>
      <c r="B2876" t="s">
        <v>2108</v>
      </c>
      <c r="C2876" t="s">
        <v>241</v>
      </c>
      <c r="D2876" t="s">
        <v>1427</v>
      </c>
      <c r="E2876" t="s">
        <v>1116</v>
      </c>
      <c r="F2876" t="s">
        <v>1068</v>
      </c>
      <c r="G2876" t="s">
        <v>1078</v>
      </c>
      <c r="H2876">
        <v>-1.77981510011304</v>
      </c>
      <c r="I2876" t="s">
        <v>1079</v>
      </c>
      <c r="J2876">
        <v>2.54</v>
      </c>
    </row>
    <row r="2877" spans="1:10" hidden="1">
      <c r="A2877" t="s">
        <v>2107</v>
      </c>
      <c r="B2877" t="s">
        <v>2108</v>
      </c>
      <c r="C2877" t="s">
        <v>241</v>
      </c>
      <c r="D2877" t="s">
        <v>1427</v>
      </c>
      <c r="E2877" t="s">
        <v>1116</v>
      </c>
      <c r="F2877" t="s">
        <v>1068</v>
      </c>
      <c r="G2877" t="s">
        <v>1080</v>
      </c>
      <c r="H2877" s="171" t="s">
        <v>2109</v>
      </c>
      <c r="I2877" t="s">
        <v>1082</v>
      </c>
      <c r="J2877">
        <v>2.54</v>
      </c>
    </row>
    <row r="2878" spans="1:10" hidden="1">
      <c r="A2878" t="s">
        <v>2107</v>
      </c>
      <c r="B2878" t="s">
        <v>2108</v>
      </c>
      <c r="C2878" t="s">
        <v>241</v>
      </c>
      <c r="D2878" t="s">
        <v>1427</v>
      </c>
      <c r="E2878" t="s">
        <v>1116</v>
      </c>
      <c r="F2878" t="s">
        <v>1068</v>
      </c>
      <c r="G2878" t="s">
        <v>1083</v>
      </c>
      <c r="H2878">
        <v>-4.07964866007113E-4</v>
      </c>
      <c r="I2878" t="s">
        <v>1084</v>
      </c>
      <c r="J2878">
        <v>2.54</v>
      </c>
    </row>
    <row r="2879" spans="1:10" hidden="1">
      <c r="A2879" t="s">
        <v>2107</v>
      </c>
      <c r="B2879" t="s">
        <v>2108</v>
      </c>
      <c r="C2879" t="s">
        <v>241</v>
      </c>
      <c r="D2879" t="s">
        <v>1427</v>
      </c>
      <c r="E2879" t="s">
        <v>1116</v>
      </c>
      <c r="F2879" t="s">
        <v>1068</v>
      </c>
      <c r="G2879" t="s">
        <v>1085</v>
      </c>
      <c r="H2879">
        <v>-1.1478339704690499E-2</v>
      </c>
      <c r="I2879" t="s">
        <v>1086</v>
      </c>
      <c r="J2879">
        <v>2.54</v>
      </c>
    </row>
    <row r="2880" spans="1:10" hidden="1">
      <c r="A2880" t="s">
        <v>2107</v>
      </c>
      <c r="B2880" t="s">
        <v>2108</v>
      </c>
      <c r="C2880" t="s">
        <v>241</v>
      </c>
      <c r="D2880" t="s">
        <v>1427</v>
      </c>
      <c r="E2880" t="s">
        <v>1116</v>
      </c>
      <c r="F2880" t="s">
        <v>1068</v>
      </c>
      <c r="G2880" t="s">
        <v>1087</v>
      </c>
      <c r="H2880" s="170">
        <v>-1.0657203432377101E-6</v>
      </c>
      <c r="I2880" t="s">
        <v>1088</v>
      </c>
      <c r="J2880">
        <v>2.54</v>
      </c>
    </row>
    <row r="2881" spans="1:10" hidden="1">
      <c r="A2881" t="s">
        <v>2107</v>
      </c>
      <c r="B2881" t="s">
        <v>2108</v>
      </c>
      <c r="C2881" t="s">
        <v>241</v>
      </c>
      <c r="D2881" t="s">
        <v>1427</v>
      </c>
      <c r="E2881" t="s">
        <v>1116</v>
      </c>
      <c r="F2881" t="s">
        <v>1068</v>
      </c>
      <c r="G2881" t="s">
        <v>1089</v>
      </c>
      <c r="H2881">
        <v>-3.1138681580808601E-3</v>
      </c>
      <c r="I2881" t="s">
        <v>1090</v>
      </c>
      <c r="J2881">
        <v>2.54</v>
      </c>
    </row>
    <row r="2882" spans="1:10" hidden="1">
      <c r="A2882" t="s">
        <v>2110</v>
      </c>
      <c r="B2882" t="s">
        <v>2111</v>
      </c>
      <c r="C2882" t="s">
        <v>241</v>
      </c>
      <c r="D2882" t="s">
        <v>1455</v>
      </c>
      <c r="E2882" t="s">
        <v>561</v>
      </c>
      <c r="F2882" t="s">
        <v>1068</v>
      </c>
      <c r="G2882" t="s">
        <v>1069</v>
      </c>
      <c r="H2882">
        <v>-0.13404487988629099</v>
      </c>
      <c r="I2882" t="s">
        <v>1070</v>
      </c>
      <c r="J2882">
        <v>2.04</v>
      </c>
    </row>
    <row r="2883" spans="1:10" hidden="1">
      <c r="A2883" t="s">
        <v>2110</v>
      </c>
      <c r="B2883" t="s">
        <v>2111</v>
      </c>
      <c r="C2883" t="s">
        <v>241</v>
      </c>
      <c r="D2883" t="s">
        <v>1455</v>
      </c>
      <c r="E2883" t="s">
        <v>561</v>
      </c>
      <c r="F2883" t="s">
        <v>1068</v>
      </c>
      <c r="G2883" t="s">
        <v>1071</v>
      </c>
      <c r="H2883" s="170">
        <v>-2.8764994258810398E-10</v>
      </c>
      <c r="I2883" t="s">
        <v>1072</v>
      </c>
      <c r="J2883">
        <v>2.04</v>
      </c>
    </row>
    <row r="2884" spans="1:10" hidden="1">
      <c r="A2884" t="s">
        <v>2110</v>
      </c>
      <c r="B2884" t="s">
        <v>2111</v>
      </c>
      <c r="C2884" t="s">
        <v>241</v>
      </c>
      <c r="D2884" t="s">
        <v>1455</v>
      </c>
      <c r="E2884" t="s">
        <v>561</v>
      </c>
      <c r="F2884" t="s">
        <v>1068</v>
      </c>
      <c r="G2884" t="s">
        <v>1073</v>
      </c>
      <c r="H2884" s="170">
        <v>-5.3826226560243097E-8</v>
      </c>
      <c r="I2884" t="s">
        <v>1074</v>
      </c>
      <c r="J2884">
        <v>2.04</v>
      </c>
    </row>
    <row r="2885" spans="1:10" hidden="1">
      <c r="A2885" t="s">
        <v>2110</v>
      </c>
      <c r="B2885" t="s">
        <v>2111</v>
      </c>
      <c r="C2885" t="s">
        <v>241</v>
      </c>
      <c r="D2885" t="s">
        <v>1455</v>
      </c>
      <c r="E2885" t="s">
        <v>561</v>
      </c>
      <c r="F2885" t="s">
        <v>1068</v>
      </c>
      <c r="G2885" t="s">
        <v>1075</v>
      </c>
      <c r="H2885">
        <v>1.45341510730719E-3</v>
      </c>
      <c r="I2885" t="s">
        <v>1077</v>
      </c>
      <c r="J2885">
        <v>2.04</v>
      </c>
    </row>
    <row r="2886" spans="1:10" hidden="1">
      <c r="A2886" t="s">
        <v>2110</v>
      </c>
      <c r="B2886" t="s">
        <v>2111</v>
      </c>
      <c r="C2886" t="s">
        <v>241</v>
      </c>
      <c r="D2886" t="s">
        <v>1455</v>
      </c>
      <c r="E2886" t="s">
        <v>561</v>
      </c>
      <c r="F2886" t="s">
        <v>1068</v>
      </c>
      <c r="G2886" t="s">
        <v>1078</v>
      </c>
      <c r="H2886">
        <v>-1.5944465706437001</v>
      </c>
      <c r="I2886" t="s">
        <v>1079</v>
      </c>
      <c r="J2886">
        <v>2.04</v>
      </c>
    </row>
    <row r="2887" spans="1:10" hidden="1">
      <c r="A2887" t="s">
        <v>2110</v>
      </c>
      <c r="B2887" t="s">
        <v>2111</v>
      </c>
      <c r="C2887" t="s">
        <v>241</v>
      </c>
      <c r="D2887" t="s">
        <v>1455</v>
      </c>
      <c r="E2887" t="s">
        <v>561</v>
      </c>
      <c r="F2887" t="s">
        <v>1068</v>
      </c>
      <c r="G2887" t="s">
        <v>1080</v>
      </c>
      <c r="H2887" s="171" t="s">
        <v>2112</v>
      </c>
      <c r="I2887" t="s">
        <v>1082</v>
      </c>
      <c r="J2887">
        <v>2.0499999999999998</v>
      </c>
    </row>
    <row r="2888" spans="1:10" hidden="1">
      <c r="A2888" t="s">
        <v>2110</v>
      </c>
      <c r="B2888" t="s">
        <v>2111</v>
      </c>
      <c r="C2888" t="s">
        <v>241</v>
      </c>
      <c r="D2888" t="s">
        <v>1455</v>
      </c>
      <c r="E2888" t="s">
        <v>561</v>
      </c>
      <c r="F2888" t="s">
        <v>1068</v>
      </c>
      <c r="G2888" t="s">
        <v>1083</v>
      </c>
      <c r="H2888">
        <v>-6.1904899920395501E-4</v>
      </c>
      <c r="I2888" t="s">
        <v>1084</v>
      </c>
      <c r="J2888">
        <v>2.0499999999999998</v>
      </c>
    </row>
    <row r="2889" spans="1:10" hidden="1">
      <c r="A2889" t="s">
        <v>2110</v>
      </c>
      <c r="B2889" t="s">
        <v>2111</v>
      </c>
      <c r="C2889" t="s">
        <v>241</v>
      </c>
      <c r="D2889" t="s">
        <v>1455</v>
      </c>
      <c r="E2889" t="s">
        <v>561</v>
      </c>
      <c r="F2889" t="s">
        <v>1068</v>
      </c>
      <c r="G2889" t="s">
        <v>1085</v>
      </c>
      <c r="H2889">
        <v>-1.7431254745150601E-2</v>
      </c>
      <c r="I2889" t="s">
        <v>1086</v>
      </c>
      <c r="J2889">
        <v>2.0499999999999998</v>
      </c>
    </row>
    <row r="2890" spans="1:10" hidden="1">
      <c r="A2890" t="s">
        <v>2110</v>
      </c>
      <c r="B2890" t="s">
        <v>2111</v>
      </c>
      <c r="C2890" t="s">
        <v>241</v>
      </c>
      <c r="D2890" t="s">
        <v>1455</v>
      </c>
      <c r="E2890" t="s">
        <v>561</v>
      </c>
      <c r="F2890" t="s">
        <v>1068</v>
      </c>
      <c r="G2890" t="s">
        <v>1087</v>
      </c>
      <c r="H2890" s="171" t="s">
        <v>2113</v>
      </c>
      <c r="I2890" t="s">
        <v>1088</v>
      </c>
      <c r="J2890">
        <v>2.0499999999999998</v>
      </c>
    </row>
    <row r="2891" spans="1:10" hidden="1">
      <c r="A2891" t="s">
        <v>2110</v>
      </c>
      <c r="B2891" t="s">
        <v>2111</v>
      </c>
      <c r="C2891" t="s">
        <v>241</v>
      </c>
      <c r="D2891" t="s">
        <v>1455</v>
      </c>
      <c r="E2891" t="s">
        <v>561</v>
      </c>
      <c r="F2891" t="s">
        <v>1068</v>
      </c>
      <c r="G2891" t="s">
        <v>1089</v>
      </c>
      <c r="H2891">
        <v>-4.7428708657493599E-3</v>
      </c>
      <c r="I2891" t="s">
        <v>1090</v>
      </c>
      <c r="J2891">
        <v>2.0499999999999998</v>
      </c>
    </row>
    <row r="2892" spans="1:10" hidden="1">
      <c r="A2892" t="s">
        <v>2114</v>
      </c>
      <c r="B2892" t="s">
        <v>2115</v>
      </c>
      <c r="C2892" t="s">
        <v>241</v>
      </c>
      <c r="D2892" t="s">
        <v>1455</v>
      </c>
      <c r="E2892" t="s">
        <v>555</v>
      </c>
      <c r="F2892" t="s">
        <v>1068</v>
      </c>
      <c r="G2892" t="s">
        <v>1069</v>
      </c>
      <c r="H2892">
        <v>-0.13383679236153201</v>
      </c>
      <c r="I2892" t="s">
        <v>1070</v>
      </c>
      <c r="J2892">
        <v>2.04</v>
      </c>
    </row>
    <row r="2893" spans="1:10" hidden="1">
      <c r="A2893" t="s">
        <v>2114</v>
      </c>
      <c r="B2893" t="s">
        <v>2115</v>
      </c>
      <c r="C2893" t="s">
        <v>241</v>
      </c>
      <c r="D2893" t="s">
        <v>1455</v>
      </c>
      <c r="E2893" t="s">
        <v>555</v>
      </c>
      <c r="F2893" t="s">
        <v>1068</v>
      </c>
      <c r="G2893" t="s">
        <v>1071</v>
      </c>
      <c r="H2893" s="170">
        <v>-2.8730687921838502E-10</v>
      </c>
      <c r="I2893" t="s">
        <v>1072</v>
      </c>
      <c r="J2893">
        <v>2.04</v>
      </c>
    </row>
    <row r="2894" spans="1:10" hidden="1">
      <c r="A2894" t="s">
        <v>2114</v>
      </c>
      <c r="B2894" t="s">
        <v>2115</v>
      </c>
      <c r="C2894" t="s">
        <v>241</v>
      </c>
      <c r="D2894" t="s">
        <v>1455</v>
      </c>
      <c r="E2894" t="s">
        <v>555</v>
      </c>
      <c r="F2894" t="s">
        <v>1068</v>
      </c>
      <c r="G2894" t="s">
        <v>1073</v>
      </c>
      <c r="H2894" s="170">
        <v>-5.37564666839356E-8</v>
      </c>
      <c r="I2894" t="s">
        <v>1074</v>
      </c>
      <c r="J2894">
        <v>2.04</v>
      </c>
    </row>
    <row r="2895" spans="1:10" hidden="1">
      <c r="A2895" t="s">
        <v>2114</v>
      </c>
      <c r="B2895" t="s">
        <v>2115</v>
      </c>
      <c r="C2895" t="s">
        <v>241</v>
      </c>
      <c r="D2895" t="s">
        <v>1455</v>
      </c>
      <c r="E2895" t="s">
        <v>555</v>
      </c>
      <c r="F2895" t="s">
        <v>1068</v>
      </c>
      <c r="G2895" t="s">
        <v>1075</v>
      </c>
      <c r="H2895">
        <v>1.48976608965543E-3</v>
      </c>
      <c r="I2895" t="s">
        <v>1077</v>
      </c>
      <c r="J2895">
        <v>2.04</v>
      </c>
    </row>
    <row r="2896" spans="1:10" hidden="1">
      <c r="A2896" t="s">
        <v>2114</v>
      </c>
      <c r="B2896" t="s">
        <v>2115</v>
      </c>
      <c r="C2896" t="s">
        <v>241</v>
      </c>
      <c r="D2896" t="s">
        <v>1455</v>
      </c>
      <c r="E2896" t="s">
        <v>555</v>
      </c>
      <c r="F2896" t="s">
        <v>1068</v>
      </c>
      <c r="G2896" t="s">
        <v>1078</v>
      </c>
      <c r="H2896">
        <v>-1.58156051865708</v>
      </c>
      <c r="I2896" t="s">
        <v>1079</v>
      </c>
      <c r="J2896">
        <v>2.04</v>
      </c>
    </row>
    <row r="2897" spans="1:10" hidden="1">
      <c r="A2897" t="s">
        <v>2114</v>
      </c>
      <c r="B2897" t="s">
        <v>2115</v>
      </c>
      <c r="C2897" t="s">
        <v>241</v>
      </c>
      <c r="D2897" t="s">
        <v>1455</v>
      </c>
      <c r="E2897" t="s">
        <v>555</v>
      </c>
      <c r="F2897" t="s">
        <v>1068</v>
      </c>
      <c r="G2897" t="s">
        <v>1080</v>
      </c>
      <c r="H2897" s="171" t="s">
        <v>2116</v>
      </c>
      <c r="I2897" t="s">
        <v>1082</v>
      </c>
      <c r="J2897">
        <v>2.04</v>
      </c>
    </row>
    <row r="2898" spans="1:10" hidden="1">
      <c r="A2898" t="s">
        <v>2114</v>
      </c>
      <c r="B2898" t="s">
        <v>2115</v>
      </c>
      <c r="C2898" t="s">
        <v>241</v>
      </c>
      <c r="D2898" t="s">
        <v>1455</v>
      </c>
      <c r="E2898" t="s">
        <v>555</v>
      </c>
      <c r="F2898" t="s">
        <v>1068</v>
      </c>
      <c r="G2898" t="s">
        <v>1083</v>
      </c>
      <c r="H2898">
        <v>-6.19020300079283E-4</v>
      </c>
      <c r="I2898" t="s">
        <v>1084</v>
      </c>
      <c r="J2898">
        <v>2.04</v>
      </c>
    </row>
    <row r="2899" spans="1:10" hidden="1">
      <c r="A2899" t="s">
        <v>2114</v>
      </c>
      <c r="B2899" t="s">
        <v>2115</v>
      </c>
      <c r="C2899" t="s">
        <v>241</v>
      </c>
      <c r="D2899" t="s">
        <v>1455</v>
      </c>
      <c r="E2899" t="s">
        <v>555</v>
      </c>
      <c r="F2899" t="s">
        <v>1068</v>
      </c>
      <c r="G2899" t="s">
        <v>1085</v>
      </c>
      <c r="H2899">
        <v>-1.74307703535223E-2</v>
      </c>
      <c r="I2899" t="s">
        <v>1086</v>
      </c>
      <c r="J2899">
        <v>2.04</v>
      </c>
    </row>
    <row r="2900" spans="1:10" hidden="1">
      <c r="A2900" t="s">
        <v>2114</v>
      </c>
      <c r="B2900" t="s">
        <v>2115</v>
      </c>
      <c r="C2900" t="s">
        <v>241</v>
      </c>
      <c r="D2900" t="s">
        <v>1455</v>
      </c>
      <c r="E2900" t="s">
        <v>555</v>
      </c>
      <c r="F2900" t="s">
        <v>1068</v>
      </c>
      <c r="G2900" t="s">
        <v>1087</v>
      </c>
      <c r="H2900" s="171" t="s">
        <v>2117</v>
      </c>
      <c r="I2900" t="s">
        <v>1088</v>
      </c>
      <c r="J2900">
        <v>2.04</v>
      </c>
    </row>
    <row r="2901" spans="1:10" hidden="1">
      <c r="A2901" t="s">
        <v>2114</v>
      </c>
      <c r="B2901" t="s">
        <v>2115</v>
      </c>
      <c r="C2901" t="s">
        <v>241</v>
      </c>
      <c r="D2901" t="s">
        <v>1455</v>
      </c>
      <c r="E2901" t="s">
        <v>555</v>
      </c>
      <c r="F2901" t="s">
        <v>1068</v>
      </c>
      <c r="G2901" t="s">
        <v>1089</v>
      </c>
      <c r="H2901">
        <v>-4.7427988157171296E-3</v>
      </c>
      <c r="I2901" t="s">
        <v>1090</v>
      </c>
      <c r="J2901">
        <v>2.04</v>
      </c>
    </row>
    <row r="2902" spans="1:10" hidden="1">
      <c r="A2902" t="s">
        <v>2118</v>
      </c>
      <c r="B2902" t="s">
        <v>2119</v>
      </c>
      <c r="C2902" t="s">
        <v>241</v>
      </c>
      <c r="D2902" t="s">
        <v>1455</v>
      </c>
      <c r="E2902" t="s">
        <v>558</v>
      </c>
      <c r="F2902" t="s">
        <v>1068</v>
      </c>
      <c r="G2902" t="s">
        <v>1069</v>
      </c>
      <c r="H2902">
        <v>-0.13406158630625301</v>
      </c>
      <c r="I2902" t="s">
        <v>1070</v>
      </c>
      <c r="J2902">
        <v>2.0299999999999998</v>
      </c>
    </row>
    <row r="2903" spans="1:10" hidden="1">
      <c r="A2903" t="s">
        <v>2118</v>
      </c>
      <c r="B2903" t="s">
        <v>2119</v>
      </c>
      <c r="C2903" t="s">
        <v>241</v>
      </c>
      <c r="D2903" t="s">
        <v>1455</v>
      </c>
      <c r="E2903" t="s">
        <v>558</v>
      </c>
      <c r="F2903" t="s">
        <v>1068</v>
      </c>
      <c r="G2903" t="s">
        <v>1071</v>
      </c>
      <c r="H2903" s="170">
        <v>-2.8767384966513298E-10</v>
      </c>
      <c r="I2903" t="s">
        <v>1072</v>
      </c>
      <c r="J2903">
        <v>2.0299999999999998</v>
      </c>
    </row>
    <row r="2904" spans="1:10" hidden="1">
      <c r="A2904" t="s">
        <v>2118</v>
      </c>
      <c r="B2904" t="s">
        <v>2119</v>
      </c>
      <c r="C2904" t="s">
        <v>241</v>
      </c>
      <c r="D2904" t="s">
        <v>1455</v>
      </c>
      <c r="E2904" t="s">
        <v>558</v>
      </c>
      <c r="F2904" t="s">
        <v>1068</v>
      </c>
      <c r="G2904" t="s">
        <v>1073</v>
      </c>
      <c r="H2904" s="170">
        <v>-5.38321607334757E-8</v>
      </c>
      <c r="I2904" t="s">
        <v>1074</v>
      </c>
      <c r="J2904">
        <v>2.0299999999999998</v>
      </c>
    </row>
    <row r="2905" spans="1:10" hidden="1">
      <c r="A2905" t="s">
        <v>2118</v>
      </c>
      <c r="B2905" t="s">
        <v>2119</v>
      </c>
      <c r="C2905" t="s">
        <v>241</v>
      </c>
      <c r="D2905" t="s">
        <v>1455</v>
      </c>
      <c r="E2905" t="s">
        <v>558</v>
      </c>
      <c r="F2905" t="s">
        <v>1068</v>
      </c>
      <c r="G2905" t="s">
        <v>1075</v>
      </c>
      <c r="H2905">
        <v>1.4528869995249999E-3</v>
      </c>
      <c r="I2905" t="s">
        <v>1077</v>
      </c>
      <c r="J2905">
        <v>2.0299999999999998</v>
      </c>
    </row>
    <row r="2906" spans="1:10" hidden="1">
      <c r="A2906" t="s">
        <v>2118</v>
      </c>
      <c r="B2906" t="s">
        <v>2119</v>
      </c>
      <c r="C2906" t="s">
        <v>241</v>
      </c>
      <c r="D2906" t="s">
        <v>1455</v>
      </c>
      <c r="E2906" t="s">
        <v>558</v>
      </c>
      <c r="F2906" t="s">
        <v>1068</v>
      </c>
      <c r="G2906" t="s">
        <v>1078</v>
      </c>
      <c r="H2906">
        <v>-1.59446940806132</v>
      </c>
      <c r="I2906" t="s">
        <v>1079</v>
      </c>
      <c r="J2906">
        <v>2.0299999999999998</v>
      </c>
    </row>
    <row r="2907" spans="1:10" hidden="1">
      <c r="A2907" t="s">
        <v>2118</v>
      </c>
      <c r="B2907" t="s">
        <v>2119</v>
      </c>
      <c r="C2907" t="s">
        <v>241</v>
      </c>
      <c r="D2907" t="s">
        <v>1455</v>
      </c>
      <c r="E2907" t="s">
        <v>558</v>
      </c>
      <c r="F2907" t="s">
        <v>1068</v>
      </c>
      <c r="G2907" t="s">
        <v>1080</v>
      </c>
      <c r="H2907" s="171" t="s">
        <v>2120</v>
      </c>
      <c r="I2907" t="s">
        <v>1082</v>
      </c>
      <c r="J2907">
        <v>2.0299999999999998</v>
      </c>
    </row>
    <row r="2908" spans="1:10" hidden="1">
      <c r="A2908" t="s">
        <v>2118</v>
      </c>
      <c r="B2908" t="s">
        <v>2119</v>
      </c>
      <c r="C2908" t="s">
        <v>241</v>
      </c>
      <c r="D2908" t="s">
        <v>1455</v>
      </c>
      <c r="E2908" t="s">
        <v>558</v>
      </c>
      <c r="F2908" t="s">
        <v>1068</v>
      </c>
      <c r="G2908" t="s">
        <v>1083</v>
      </c>
      <c r="H2908">
        <v>-6.1905153859060605E-4</v>
      </c>
      <c r="I2908" t="s">
        <v>1084</v>
      </c>
      <c r="J2908">
        <v>2.0299999999999998</v>
      </c>
    </row>
    <row r="2909" spans="1:10" hidden="1">
      <c r="A2909" t="s">
        <v>2118</v>
      </c>
      <c r="B2909" t="s">
        <v>2119</v>
      </c>
      <c r="C2909" t="s">
        <v>241</v>
      </c>
      <c r="D2909" t="s">
        <v>1455</v>
      </c>
      <c r="E2909" t="s">
        <v>558</v>
      </c>
      <c r="F2909" t="s">
        <v>1068</v>
      </c>
      <c r="G2909" t="s">
        <v>1085</v>
      </c>
      <c r="H2909">
        <v>-1.7431283445373601E-2</v>
      </c>
      <c r="I2909" t="s">
        <v>1086</v>
      </c>
      <c r="J2909">
        <v>2.0299999999999998</v>
      </c>
    </row>
    <row r="2910" spans="1:10" hidden="1">
      <c r="A2910" t="s">
        <v>2118</v>
      </c>
      <c r="B2910" t="s">
        <v>2119</v>
      </c>
      <c r="C2910" t="s">
        <v>241</v>
      </c>
      <c r="D2910" t="s">
        <v>1455</v>
      </c>
      <c r="E2910" t="s">
        <v>558</v>
      </c>
      <c r="F2910" t="s">
        <v>1068</v>
      </c>
      <c r="G2910" t="s">
        <v>1087</v>
      </c>
      <c r="H2910" s="171" t="s">
        <v>2121</v>
      </c>
      <c r="I2910" t="s">
        <v>1088</v>
      </c>
      <c r="J2910">
        <v>2.0299999999999998</v>
      </c>
    </row>
    <row r="2911" spans="1:10" hidden="1">
      <c r="A2911" t="s">
        <v>2118</v>
      </c>
      <c r="B2911" t="s">
        <v>2119</v>
      </c>
      <c r="C2911" t="s">
        <v>241</v>
      </c>
      <c r="D2911" t="s">
        <v>1455</v>
      </c>
      <c r="E2911" t="s">
        <v>558</v>
      </c>
      <c r="F2911" t="s">
        <v>1068</v>
      </c>
      <c r="G2911" t="s">
        <v>1089</v>
      </c>
      <c r="H2911">
        <v>-4.7428767865486899E-3</v>
      </c>
      <c r="I2911" t="s">
        <v>1090</v>
      </c>
      <c r="J2911">
        <v>2.0299999999999998</v>
      </c>
    </row>
    <row r="2912" spans="1:10" hidden="1">
      <c r="A2912" t="s">
        <v>2122</v>
      </c>
      <c r="B2912" t="s">
        <v>2123</v>
      </c>
      <c r="C2912" t="s">
        <v>241</v>
      </c>
      <c r="D2912" t="s">
        <v>1455</v>
      </c>
      <c r="E2912" t="s">
        <v>553</v>
      </c>
      <c r="F2912" t="s">
        <v>1068</v>
      </c>
      <c r="G2912" t="s">
        <v>1069</v>
      </c>
      <c r="H2912">
        <v>-0.13405854501185999</v>
      </c>
      <c r="I2912" t="s">
        <v>1070</v>
      </c>
      <c r="J2912">
        <v>2.0499999999999998</v>
      </c>
    </row>
    <row r="2913" spans="1:10" hidden="1">
      <c r="A2913" t="s">
        <v>2122</v>
      </c>
      <c r="B2913" t="s">
        <v>2123</v>
      </c>
      <c r="C2913" t="s">
        <v>241</v>
      </c>
      <c r="D2913" t="s">
        <v>1455</v>
      </c>
      <c r="E2913" t="s">
        <v>553</v>
      </c>
      <c r="F2913" t="s">
        <v>1068</v>
      </c>
      <c r="G2913" t="s">
        <v>1071</v>
      </c>
      <c r="H2913" s="170">
        <v>-2.8762420978392499E-10</v>
      </c>
      <c r="I2913" t="s">
        <v>1072</v>
      </c>
      <c r="J2913">
        <v>2.0499999999999998</v>
      </c>
    </row>
    <row r="2914" spans="1:10" hidden="1">
      <c r="A2914" t="s">
        <v>2122</v>
      </c>
      <c r="B2914" t="s">
        <v>2123</v>
      </c>
      <c r="C2914" t="s">
        <v>241</v>
      </c>
      <c r="D2914" t="s">
        <v>1455</v>
      </c>
      <c r="E2914" t="s">
        <v>553</v>
      </c>
      <c r="F2914" t="s">
        <v>1068</v>
      </c>
      <c r="G2914" t="s">
        <v>1073</v>
      </c>
      <c r="H2914" s="170">
        <v>-5.3835233927003601E-8</v>
      </c>
      <c r="I2914" t="s">
        <v>1074</v>
      </c>
      <c r="J2914">
        <v>2.0499999999999998</v>
      </c>
    </row>
    <row r="2915" spans="1:10" hidden="1">
      <c r="A2915" t="s">
        <v>2122</v>
      </c>
      <c r="B2915" t="s">
        <v>2123</v>
      </c>
      <c r="C2915" t="s">
        <v>241</v>
      </c>
      <c r="D2915" t="s">
        <v>1455</v>
      </c>
      <c r="E2915" t="s">
        <v>553</v>
      </c>
      <c r="F2915" t="s">
        <v>1068</v>
      </c>
      <c r="G2915" t="s">
        <v>1075</v>
      </c>
      <c r="H2915">
        <v>1.4827562514901601E-3</v>
      </c>
      <c r="I2915" t="s">
        <v>1077</v>
      </c>
      <c r="J2915">
        <v>2.0499999999999998</v>
      </c>
    </row>
    <row r="2916" spans="1:10" hidden="1">
      <c r="A2916" t="s">
        <v>2122</v>
      </c>
      <c r="B2916" t="s">
        <v>2123</v>
      </c>
      <c r="C2916" t="s">
        <v>241</v>
      </c>
      <c r="D2916" t="s">
        <v>1455</v>
      </c>
      <c r="E2916" t="s">
        <v>553</v>
      </c>
      <c r="F2916" t="s">
        <v>1068</v>
      </c>
      <c r="G2916" t="s">
        <v>1078</v>
      </c>
      <c r="H2916">
        <v>-1.58186365109907</v>
      </c>
      <c r="I2916" t="s">
        <v>1079</v>
      </c>
      <c r="J2916">
        <v>2.0499999999999998</v>
      </c>
    </row>
    <row r="2917" spans="1:10" hidden="1">
      <c r="A2917" t="s">
        <v>2122</v>
      </c>
      <c r="B2917" t="s">
        <v>2123</v>
      </c>
      <c r="C2917" t="s">
        <v>241</v>
      </c>
      <c r="D2917" t="s">
        <v>1455</v>
      </c>
      <c r="E2917" t="s">
        <v>553</v>
      </c>
      <c r="F2917" t="s">
        <v>1068</v>
      </c>
      <c r="G2917" t="s">
        <v>1080</v>
      </c>
      <c r="H2917" s="171" t="s">
        <v>2124</v>
      </c>
      <c r="I2917" t="s">
        <v>1082</v>
      </c>
      <c r="J2917">
        <v>2.0499999999999998</v>
      </c>
    </row>
    <row r="2918" spans="1:10" hidden="1">
      <c r="A2918" t="s">
        <v>2122</v>
      </c>
      <c r="B2918" t="s">
        <v>2123</v>
      </c>
      <c r="C2918" t="s">
        <v>241</v>
      </c>
      <c r="D2918" t="s">
        <v>1455</v>
      </c>
      <c r="E2918" t="s">
        <v>553</v>
      </c>
      <c r="F2918" t="s">
        <v>1068</v>
      </c>
      <c r="G2918" t="s">
        <v>1083</v>
      </c>
      <c r="H2918">
        <v>-6.1905400662569398E-4</v>
      </c>
      <c r="I2918" t="s">
        <v>1084</v>
      </c>
      <c r="J2918">
        <v>2.0499999999999998</v>
      </c>
    </row>
    <row r="2919" spans="1:10" hidden="1">
      <c r="A2919" t="s">
        <v>2122</v>
      </c>
      <c r="B2919" t="s">
        <v>2123</v>
      </c>
      <c r="C2919" t="s">
        <v>241</v>
      </c>
      <c r="D2919" t="s">
        <v>1455</v>
      </c>
      <c r="E2919" t="s">
        <v>553</v>
      </c>
      <c r="F2919" t="s">
        <v>1068</v>
      </c>
      <c r="G2919" t="s">
        <v>1085</v>
      </c>
      <c r="H2919">
        <v>-1.7431151305906702E-2</v>
      </c>
      <c r="I2919" t="s">
        <v>1086</v>
      </c>
      <c r="J2919">
        <v>2.0499999999999998</v>
      </c>
    </row>
    <row r="2920" spans="1:10" hidden="1">
      <c r="A2920" t="s">
        <v>2122</v>
      </c>
      <c r="B2920" t="s">
        <v>2123</v>
      </c>
      <c r="C2920" t="s">
        <v>241</v>
      </c>
      <c r="D2920" t="s">
        <v>1455</v>
      </c>
      <c r="E2920" t="s">
        <v>553</v>
      </c>
      <c r="F2920" t="s">
        <v>1068</v>
      </c>
      <c r="G2920" t="s">
        <v>1087</v>
      </c>
      <c r="H2920" s="171" t="s">
        <v>2125</v>
      </c>
      <c r="I2920" t="s">
        <v>1088</v>
      </c>
      <c r="J2920">
        <v>2.0499999999999998</v>
      </c>
    </row>
    <row r="2921" spans="1:10" hidden="1">
      <c r="A2921" t="s">
        <v>2122</v>
      </c>
      <c r="B2921" t="s">
        <v>2123</v>
      </c>
      <c r="C2921" t="s">
        <v>241</v>
      </c>
      <c r="D2921" t="s">
        <v>1455</v>
      </c>
      <c r="E2921" t="s">
        <v>553</v>
      </c>
      <c r="F2921" t="s">
        <v>1068</v>
      </c>
      <c r="G2921" t="s">
        <v>1089</v>
      </c>
      <c r="H2921">
        <v>-4.7428774054417396E-3</v>
      </c>
      <c r="I2921" t="s">
        <v>1090</v>
      </c>
      <c r="J2921">
        <v>2.0499999999999998</v>
      </c>
    </row>
    <row r="2922" spans="1:10" hidden="1">
      <c r="A2922" t="s">
        <v>2126</v>
      </c>
      <c r="B2922" t="s">
        <v>2127</v>
      </c>
      <c r="C2922" t="s">
        <v>241</v>
      </c>
      <c r="D2922" t="s">
        <v>1455</v>
      </c>
      <c r="E2922" t="s">
        <v>556</v>
      </c>
      <c r="F2922" t="s">
        <v>1068</v>
      </c>
      <c r="G2922" t="s">
        <v>1069</v>
      </c>
      <c r="H2922">
        <v>-0.13385739750947201</v>
      </c>
      <c r="I2922" t="s">
        <v>1070</v>
      </c>
      <c r="J2922">
        <v>2.54</v>
      </c>
    </row>
    <row r="2923" spans="1:10" hidden="1">
      <c r="A2923" t="s">
        <v>2126</v>
      </c>
      <c r="B2923" t="s">
        <v>2127</v>
      </c>
      <c r="C2923" t="s">
        <v>241</v>
      </c>
      <c r="D2923" t="s">
        <v>1455</v>
      </c>
      <c r="E2923" t="s">
        <v>556</v>
      </c>
      <c r="F2923" t="s">
        <v>1068</v>
      </c>
      <c r="G2923" t="s">
        <v>1071</v>
      </c>
      <c r="H2923" s="170">
        <v>-2.87083942785041E-10</v>
      </c>
      <c r="I2923" t="s">
        <v>1072</v>
      </c>
      <c r="J2923">
        <v>2.54</v>
      </c>
    </row>
    <row r="2924" spans="1:10" hidden="1">
      <c r="A2924" t="s">
        <v>2126</v>
      </c>
      <c r="B2924" t="s">
        <v>2127</v>
      </c>
      <c r="C2924" t="s">
        <v>241</v>
      </c>
      <c r="D2924" t="s">
        <v>1455</v>
      </c>
      <c r="E2924" t="s">
        <v>556</v>
      </c>
      <c r="F2924" t="s">
        <v>1068</v>
      </c>
      <c r="G2924" t="s">
        <v>1073</v>
      </c>
      <c r="H2924" s="170">
        <v>-5.3756558275494099E-8</v>
      </c>
      <c r="I2924" t="s">
        <v>1074</v>
      </c>
      <c r="J2924">
        <v>2.54</v>
      </c>
    </row>
    <row r="2925" spans="1:10" hidden="1">
      <c r="A2925" t="s">
        <v>2126</v>
      </c>
      <c r="B2925" t="s">
        <v>2127</v>
      </c>
      <c r="C2925" t="s">
        <v>241</v>
      </c>
      <c r="D2925" t="s">
        <v>1455</v>
      </c>
      <c r="E2925" t="s">
        <v>556</v>
      </c>
      <c r="F2925" t="s">
        <v>1068</v>
      </c>
      <c r="G2925" t="s">
        <v>1075</v>
      </c>
      <c r="H2925">
        <v>1.59956802901183E-3</v>
      </c>
      <c r="I2925" t="s">
        <v>1077</v>
      </c>
      <c r="J2925">
        <v>2.54</v>
      </c>
    </row>
    <row r="2926" spans="1:10" hidden="1">
      <c r="A2926" t="s">
        <v>2126</v>
      </c>
      <c r="B2926" t="s">
        <v>2127</v>
      </c>
      <c r="C2926" t="s">
        <v>241</v>
      </c>
      <c r="D2926" t="s">
        <v>1455</v>
      </c>
      <c r="E2926" t="s">
        <v>556</v>
      </c>
      <c r="F2926" t="s">
        <v>1068</v>
      </c>
      <c r="G2926" t="s">
        <v>1078</v>
      </c>
      <c r="H2926">
        <v>-1.53551012172641</v>
      </c>
      <c r="I2926" t="s">
        <v>1079</v>
      </c>
      <c r="J2926">
        <v>2.54</v>
      </c>
    </row>
    <row r="2927" spans="1:10" hidden="1">
      <c r="A2927" t="s">
        <v>2126</v>
      </c>
      <c r="B2927" t="s">
        <v>2127</v>
      </c>
      <c r="C2927" t="s">
        <v>241</v>
      </c>
      <c r="D2927" t="s">
        <v>1455</v>
      </c>
      <c r="E2927" t="s">
        <v>556</v>
      </c>
      <c r="F2927" t="s">
        <v>1068</v>
      </c>
      <c r="G2927" t="s">
        <v>1080</v>
      </c>
      <c r="H2927" s="171" t="s">
        <v>2128</v>
      </c>
      <c r="I2927" t="s">
        <v>1082</v>
      </c>
      <c r="J2927">
        <v>2.54</v>
      </c>
    </row>
    <row r="2928" spans="1:10" hidden="1">
      <c r="A2928" t="s">
        <v>2126</v>
      </c>
      <c r="B2928" t="s">
        <v>2127</v>
      </c>
      <c r="C2928" t="s">
        <v>241</v>
      </c>
      <c r="D2928" t="s">
        <v>1455</v>
      </c>
      <c r="E2928" t="s">
        <v>556</v>
      </c>
      <c r="F2928" t="s">
        <v>1068</v>
      </c>
      <c r="G2928" t="s">
        <v>1083</v>
      </c>
      <c r="H2928">
        <v>-6.1902339928539903E-4</v>
      </c>
      <c r="I2928" t="s">
        <v>1084</v>
      </c>
      <c r="J2928">
        <v>2.54</v>
      </c>
    </row>
    <row r="2929" spans="1:10" hidden="1">
      <c r="A2929" t="s">
        <v>2126</v>
      </c>
      <c r="B2929" t="s">
        <v>2127</v>
      </c>
      <c r="C2929" t="s">
        <v>241</v>
      </c>
      <c r="D2929" t="s">
        <v>1455</v>
      </c>
      <c r="E2929" t="s">
        <v>556</v>
      </c>
      <c r="F2929" t="s">
        <v>1068</v>
      </c>
      <c r="G2929" t="s">
        <v>1085</v>
      </c>
      <c r="H2929">
        <v>-1.74302244342282E-2</v>
      </c>
      <c r="I2929" t="s">
        <v>1086</v>
      </c>
      <c r="J2929">
        <v>2.54</v>
      </c>
    </row>
    <row r="2930" spans="1:10" hidden="1">
      <c r="A2930" t="s">
        <v>2126</v>
      </c>
      <c r="B2930" t="s">
        <v>2127</v>
      </c>
      <c r="C2930" t="s">
        <v>241</v>
      </c>
      <c r="D2930" t="s">
        <v>1455</v>
      </c>
      <c r="E2930" t="s">
        <v>556</v>
      </c>
      <c r="F2930" t="s">
        <v>1068</v>
      </c>
      <c r="G2930" t="s">
        <v>1087</v>
      </c>
      <c r="H2930" s="171" t="s">
        <v>2129</v>
      </c>
      <c r="I2930" t="s">
        <v>1088</v>
      </c>
      <c r="J2930">
        <v>2.54</v>
      </c>
    </row>
    <row r="2931" spans="1:10" hidden="1">
      <c r="A2931" t="s">
        <v>2126</v>
      </c>
      <c r="B2931" t="s">
        <v>2127</v>
      </c>
      <c r="C2931" t="s">
        <v>241</v>
      </c>
      <c r="D2931" t="s">
        <v>1455</v>
      </c>
      <c r="E2931" t="s">
        <v>556</v>
      </c>
      <c r="F2931" t="s">
        <v>1068</v>
      </c>
      <c r="G2931" t="s">
        <v>1089</v>
      </c>
      <c r="H2931">
        <v>-4.7428062025420001E-3</v>
      </c>
      <c r="I2931" t="s">
        <v>1090</v>
      </c>
      <c r="J2931">
        <v>2.54</v>
      </c>
    </row>
    <row r="2932" spans="1:10" hidden="1">
      <c r="A2932" t="s">
        <v>2130</v>
      </c>
      <c r="B2932" t="s">
        <v>2131</v>
      </c>
      <c r="C2932" t="s">
        <v>241</v>
      </c>
      <c r="D2932" t="s">
        <v>1455</v>
      </c>
      <c r="E2932" t="s">
        <v>557</v>
      </c>
      <c r="F2932" t="s">
        <v>1068</v>
      </c>
      <c r="G2932" t="s">
        <v>1069</v>
      </c>
      <c r="H2932">
        <v>-0.13399258152813601</v>
      </c>
      <c r="I2932" t="s">
        <v>1070</v>
      </c>
      <c r="J2932">
        <v>2.0499999999999998</v>
      </c>
    </row>
    <row r="2933" spans="1:10" hidden="1">
      <c r="A2933" t="s">
        <v>2130</v>
      </c>
      <c r="B2933" t="s">
        <v>2131</v>
      </c>
      <c r="C2933" t="s">
        <v>241</v>
      </c>
      <c r="D2933" t="s">
        <v>1455</v>
      </c>
      <c r="E2933" t="s">
        <v>557</v>
      </c>
      <c r="F2933" t="s">
        <v>1068</v>
      </c>
      <c r="G2933" t="s">
        <v>1071</v>
      </c>
      <c r="H2933" s="170">
        <v>-2.8757510304259099E-10</v>
      </c>
      <c r="I2933" t="s">
        <v>1072</v>
      </c>
      <c r="J2933">
        <v>2.0499999999999998</v>
      </c>
    </row>
    <row r="2934" spans="1:10" hidden="1">
      <c r="A2934" t="s">
        <v>2130</v>
      </c>
      <c r="B2934" t="s">
        <v>2131</v>
      </c>
      <c r="C2934" t="s">
        <v>241</v>
      </c>
      <c r="D2934" t="s">
        <v>1455</v>
      </c>
      <c r="E2934" t="s">
        <v>557</v>
      </c>
      <c r="F2934" t="s">
        <v>1068</v>
      </c>
      <c r="G2934" t="s">
        <v>1073</v>
      </c>
      <c r="H2934" s="170">
        <v>-5.3807650017944302E-8</v>
      </c>
      <c r="I2934" t="s">
        <v>1074</v>
      </c>
      <c r="J2934">
        <v>2.0499999999999998</v>
      </c>
    </row>
    <row r="2935" spans="1:10" hidden="1">
      <c r="A2935" t="s">
        <v>2130</v>
      </c>
      <c r="B2935" t="s">
        <v>2131</v>
      </c>
      <c r="C2935" t="s">
        <v>241</v>
      </c>
      <c r="D2935" t="s">
        <v>1455</v>
      </c>
      <c r="E2935" t="s">
        <v>557</v>
      </c>
      <c r="F2935" t="s">
        <v>1068</v>
      </c>
      <c r="G2935" t="s">
        <v>1075</v>
      </c>
      <c r="H2935">
        <v>1.45506831427722E-3</v>
      </c>
      <c r="I2935" t="s">
        <v>1077</v>
      </c>
      <c r="J2935">
        <v>2.0499999999999998</v>
      </c>
    </row>
    <row r="2936" spans="1:10" hidden="1">
      <c r="A2936" t="s">
        <v>2130</v>
      </c>
      <c r="B2936" t="s">
        <v>2131</v>
      </c>
      <c r="C2936" t="s">
        <v>241</v>
      </c>
      <c r="D2936" t="s">
        <v>1455</v>
      </c>
      <c r="E2936" t="s">
        <v>557</v>
      </c>
      <c r="F2936" t="s">
        <v>1068</v>
      </c>
      <c r="G2936" t="s">
        <v>1078</v>
      </c>
      <c r="H2936">
        <v>-1.59437507959724</v>
      </c>
      <c r="I2936" t="s">
        <v>1079</v>
      </c>
      <c r="J2936">
        <v>2.0499999999999998</v>
      </c>
    </row>
    <row r="2937" spans="1:10" hidden="1">
      <c r="A2937" t="s">
        <v>2130</v>
      </c>
      <c r="B2937" t="s">
        <v>2131</v>
      </c>
      <c r="C2937" t="s">
        <v>241</v>
      </c>
      <c r="D2937" t="s">
        <v>1455</v>
      </c>
      <c r="E2937" t="s">
        <v>557</v>
      </c>
      <c r="F2937" t="s">
        <v>1068</v>
      </c>
      <c r="G2937" t="s">
        <v>1080</v>
      </c>
      <c r="H2937" s="171" t="s">
        <v>2132</v>
      </c>
      <c r="I2937" t="s">
        <v>1082</v>
      </c>
      <c r="J2937">
        <v>2.0499999999999998</v>
      </c>
    </row>
    <row r="2938" spans="1:10" hidden="1">
      <c r="A2938" t="s">
        <v>2130</v>
      </c>
      <c r="B2938" t="s">
        <v>2131</v>
      </c>
      <c r="C2938" t="s">
        <v>241</v>
      </c>
      <c r="D2938" t="s">
        <v>1455</v>
      </c>
      <c r="E2938" t="s">
        <v>557</v>
      </c>
      <c r="F2938" t="s">
        <v>1068</v>
      </c>
      <c r="G2938" t="s">
        <v>1083</v>
      </c>
      <c r="H2938">
        <v>-6.1904104981965402E-4</v>
      </c>
      <c r="I2938" t="s">
        <v>1084</v>
      </c>
      <c r="J2938">
        <v>2.0499999999999998</v>
      </c>
    </row>
    <row r="2939" spans="1:10" hidden="1">
      <c r="A2939" t="s">
        <v>2130</v>
      </c>
      <c r="B2939" t="s">
        <v>2131</v>
      </c>
      <c r="C2939" t="s">
        <v>241</v>
      </c>
      <c r="D2939" t="s">
        <v>1455</v>
      </c>
      <c r="E2939" t="s">
        <v>557</v>
      </c>
      <c r="F2939" t="s">
        <v>1068</v>
      </c>
      <c r="G2939" t="s">
        <v>1085</v>
      </c>
      <c r="H2939">
        <v>-1.74311649009741E-2</v>
      </c>
      <c r="I2939" t="s">
        <v>1086</v>
      </c>
      <c r="J2939">
        <v>2.0499999999999998</v>
      </c>
    </row>
    <row r="2940" spans="1:10" hidden="1">
      <c r="A2940" t="s">
        <v>2130</v>
      </c>
      <c r="B2940" t="s">
        <v>2131</v>
      </c>
      <c r="C2940" t="s">
        <v>241</v>
      </c>
      <c r="D2940" t="s">
        <v>1455</v>
      </c>
      <c r="E2940" t="s">
        <v>557</v>
      </c>
      <c r="F2940" t="s">
        <v>1068</v>
      </c>
      <c r="G2940" t="s">
        <v>1087</v>
      </c>
      <c r="H2940" s="171" t="s">
        <v>2133</v>
      </c>
      <c r="I2940" t="s">
        <v>1088</v>
      </c>
      <c r="J2940">
        <v>2.0499999999999998</v>
      </c>
    </row>
    <row r="2941" spans="1:10" hidden="1">
      <c r="A2941" t="s">
        <v>2130</v>
      </c>
      <c r="B2941" t="s">
        <v>2131</v>
      </c>
      <c r="C2941" t="s">
        <v>241</v>
      </c>
      <c r="D2941" t="s">
        <v>1455</v>
      </c>
      <c r="E2941" t="s">
        <v>557</v>
      </c>
      <c r="F2941" t="s">
        <v>1068</v>
      </c>
      <c r="G2941" t="s">
        <v>1089</v>
      </c>
      <c r="H2941">
        <v>-4.7428523310731703E-3</v>
      </c>
      <c r="I2941" t="s">
        <v>1090</v>
      </c>
      <c r="J2941">
        <v>2.0499999999999998</v>
      </c>
    </row>
    <row r="2942" spans="1:10" hidden="1">
      <c r="A2942" t="s">
        <v>2134</v>
      </c>
      <c r="B2942" t="s">
        <v>2135</v>
      </c>
      <c r="C2942" t="s">
        <v>241</v>
      </c>
      <c r="D2942" t="s">
        <v>1455</v>
      </c>
      <c r="E2942" t="s">
        <v>559</v>
      </c>
      <c r="F2942" t="s">
        <v>1068</v>
      </c>
      <c r="G2942" t="s">
        <v>1069</v>
      </c>
      <c r="H2942">
        <v>-0.133917354185693</v>
      </c>
      <c r="I2942" t="s">
        <v>1070</v>
      </c>
      <c r="J2942">
        <v>2.04</v>
      </c>
    </row>
    <row r="2943" spans="1:10" hidden="1">
      <c r="A2943" t="s">
        <v>2134</v>
      </c>
      <c r="B2943" t="s">
        <v>2135</v>
      </c>
      <c r="C2943" t="s">
        <v>241</v>
      </c>
      <c r="D2943" t="s">
        <v>1455</v>
      </c>
      <c r="E2943" t="s">
        <v>559</v>
      </c>
      <c r="F2943" t="s">
        <v>1068</v>
      </c>
      <c r="G2943" t="s">
        <v>1071</v>
      </c>
      <c r="H2943" s="170">
        <v>-2.8742216410521599E-10</v>
      </c>
      <c r="I2943" t="s">
        <v>1072</v>
      </c>
      <c r="J2943">
        <v>2.04</v>
      </c>
    </row>
    <row r="2944" spans="1:10" hidden="1">
      <c r="A2944" t="s">
        <v>2134</v>
      </c>
      <c r="B2944" t="s">
        <v>2135</v>
      </c>
      <c r="C2944" t="s">
        <v>241</v>
      </c>
      <c r="D2944" t="s">
        <v>1455</v>
      </c>
      <c r="E2944" t="s">
        <v>559</v>
      </c>
      <c r="F2944" t="s">
        <v>1068</v>
      </c>
      <c r="G2944" t="s">
        <v>1073</v>
      </c>
      <c r="H2944" s="170">
        <v>-5.37850824987869E-8</v>
      </c>
      <c r="I2944" t="s">
        <v>1074</v>
      </c>
      <c r="J2944">
        <v>2.04</v>
      </c>
    </row>
    <row r="2945" spans="1:10" hidden="1">
      <c r="A2945" t="s">
        <v>2134</v>
      </c>
      <c r="B2945" t="s">
        <v>2135</v>
      </c>
      <c r="C2945" t="s">
        <v>241</v>
      </c>
      <c r="D2945" t="s">
        <v>1455</v>
      </c>
      <c r="E2945" t="s">
        <v>559</v>
      </c>
      <c r="F2945" t="s">
        <v>1068</v>
      </c>
      <c r="G2945" t="s">
        <v>1075</v>
      </c>
      <c r="H2945">
        <v>1.48721944433273E-3</v>
      </c>
      <c r="I2945" t="s">
        <v>1077</v>
      </c>
      <c r="J2945">
        <v>2.04</v>
      </c>
    </row>
    <row r="2946" spans="1:10" hidden="1">
      <c r="A2946" t="s">
        <v>2134</v>
      </c>
      <c r="B2946" t="s">
        <v>2135</v>
      </c>
      <c r="C2946" t="s">
        <v>241</v>
      </c>
      <c r="D2946" t="s">
        <v>1455</v>
      </c>
      <c r="E2946" t="s">
        <v>559</v>
      </c>
      <c r="F2946" t="s">
        <v>1068</v>
      </c>
      <c r="G2946" t="s">
        <v>1078</v>
      </c>
      <c r="H2946">
        <v>-1.5816706454243299</v>
      </c>
      <c r="I2946" t="s">
        <v>1079</v>
      </c>
      <c r="J2946">
        <v>2.04</v>
      </c>
    </row>
    <row r="2947" spans="1:10" hidden="1">
      <c r="A2947" t="s">
        <v>2134</v>
      </c>
      <c r="B2947" t="s">
        <v>2135</v>
      </c>
      <c r="C2947" t="s">
        <v>241</v>
      </c>
      <c r="D2947" t="s">
        <v>1455</v>
      </c>
      <c r="E2947" t="s">
        <v>559</v>
      </c>
      <c r="F2947" t="s">
        <v>1068</v>
      </c>
      <c r="G2947" t="s">
        <v>1080</v>
      </c>
      <c r="H2947" s="171" t="s">
        <v>2136</v>
      </c>
      <c r="I2947" t="s">
        <v>1082</v>
      </c>
      <c r="J2947">
        <v>2.04</v>
      </c>
    </row>
    <row r="2948" spans="1:10" hidden="1">
      <c r="A2948" t="s">
        <v>2134</v>
      </c>
      <c r="B2948" t="s">
        <v>2135</v>
      </c>
      <c r="C2948" t="s">
        <v>241</v>
      </c>
      <c r="D2948" t="s">
        <v>1455</v>
      </c>
      <c r="E2948" t="s">
        <v>559</v>
      </c>
      <c r="F2948" t="s">
        <v>1068</v>
      </c>
      <c r="G2948" t="s">
        <v>1083</v>
      </c>
      <c r="H2948">
        <v>-6.1903254552872196E-4</v>
      </c>
      <c r="I2948" t="s">
        <v>1084</v>
      </c>
      <c r="J2948">
        <v>2.04</v>
      </c>
    </row>
    <row r="2949" spans="1:10" hidden="1">
      <c r="A2949" t="s">
        <v>2134</v>
      </c>
      <c r="B2949" t="s">
        <v>2135</v>
      </c>
      <c r="C2949" t="s">
        <v>241</v>
      </c>
      <c r="D2949" t="s">
        <v>1455</v>
      </c>
      <c r="E2949" t="s">
        <v>559</v>
      </c>
      <c r="F2949" t="s">
        <v>1068</v>
      </c>
      <c r="G2949" t="s">
        <v>1085</v>
      </c>
      <c r="H2949">
        <v>-1.7430908751954001E-2</v>
      </c>
      <c r="I2949" t="s">
        <v>1086</v>
      </c>
      <c r="J2949">
        <v>2.04</v>
      </c>
    </row>
    <row r="2950" spans="1:10" hidden="1">
      <c r="A2950" t="s">
        <v>2134</v>
      </c>
      <c r="B2950" t="s">
        <v>2135</v>
      </c>
      <c r="C2950" t="s">
        <v>241</v>
      </c>
      <c r="D2950" t="s">
        <v>1455</v>
      </c>
      <c r="E2950" t="s">
        <v>559</v>
      </c>
      <c r="F2950" t="s">
        <v>1068</v>
      </c>
      <c r="G2950" t="s">
        <v>1087</v>
      </c>
      <c r="H2950" s="171" t="s">
        <v>2137</v>
      </c>
      <c r="I2950" t="s">
        <v>1088</v>
      </c>
      <c r="J2950">
        <v>2.04</v>
      </c>
    </row>
    <row r="2951" spans="1:10" hidden="1">
      <c r="A2951" t="s">
        <v>2134</v>
      </c>
      <c r="B2951" t="s">
        <v>2135</v>
      </c>
      <c r="C2951" t="s">
        <v>241</v>
      </c>
      <c r="D2951" t="s">
        <v>1455</v>
      </c>
      <c r="E2951" t="s">
        <v>559</v>
      </c>
      <c r="F2951" t="s">
        <v>1068</v>
      </c>
      <c r="G2951" t="s">
        <v>1089</v>
      </c>
      <c r="H2951">
        <v>-4.7428273670402799E-3</v>
      </c>
      <c r="I2951" t="s">
        <v>1090</v>
      </c>
      <c r="J2951">
        <v>2.04</v>
      </c>
    </row>
    <row r="2952" spans="1:10" hidden="1">
      <c r="A2952" t="s">
        <v>2138</v>
      </c>
      <c r="B2952" t="s">
        <v>2139</v>
      </c>
      <c r="C2952" t="s">
        <v>241</v>
      </c>
      <c r="D2952" t="s">
        <v>1455</v>
      </c>
      <c r="E2952" t="s">
        <v>560</v>
      </c>
      <c r="F2952" t="s">
        <v>1068</v>
      </c>
      <c r="G2952" t="s">
        <v>1069</v>
      </c>
      <c r="H2952">
        <v>-0.13395577897980199</v>
      </c>
      <c r="I2952" t="s">
        <v>1070</v>
      </c>
      <c r="J2952">
        <v>2.04</v>
      </c>
    </row>
    <row r="2953" spans="1:10" hidden="1">
      <c r="A2953" t="s">
        <v>2138</v>
      </c>
      <c r="B2953" t="s">
        <v>2139</v>
      </c>
      <c r="C2953" t="s">
        <v>241</v>
      </c>
      <c r="D2953" t="s">
        <v>1455</v>
      </c>
      <c r="E2953" t="s">
        <v>560</v>
      </c>
      <c r="F2953" t="s">
        <v>1068</v>
      </c>
      <c r="G2953" t="s">
        <v>1071</v>
      </c>
      <c r="H2953" s="170">
        <v>-2.8752243817722399E-10</v>
      </c>
      <c r="I2953" t="s">
        <v>1072</v>
      </c>
      <c r="J2953">
        <v>2.04</v>
      </c>
    </row>
    <row r="2954" spans="1:10" hidden="1">
      <c r="A2954" t="s">
        <v>2138</v>
      </c>
      <c r="B2954" t="s">
        <v>2139</v>
      </c>
      <c r="C2954" t="s">
        <v>241</v>
      </c>
      <c r="D2954" t="s">
        <v>1455</v>
      </c>
      <c r="E2954" t="s">
        <v>560</v>
      </c>
      <c r="F2954" t="s">
        <v>1068</v>
      </c>
      <c r="G2954" t="s">
        <v>1073</v>
      </c>
      <c r="H2954" s="170">
        <v>-5.3794577636325402E-8</v>
      </c>
      <c r="I2954" t="s">
        <v>1074</v>
      </c>
      <c r="J2954">
        <v>2.04</v>
      </c>
    </row>
    <row r="2955" spans="1:10" hidden="1">
      <c r="A2955" t="s">
        <v>2138</v>
      </c>
      <c r="B2955" t="s">
        <v>2139</v>
      </c>
      <c r="C2955" t="s">
        <v>241</v>
      </c>
      <c r="D2955" t="s">
        <v>1455</v>
      </c>
      <c r="E2955" t="s">
        <v>560</v>
      </c>
      <c r="F2955" t="s">
        <v>1068</v>
      </c>
      <c r="G2955" t="s">
        <v>1075</v>
      </c>
      <c r="H2955">
        <v>1.45623168214504E-3</v>
      </c>
      <c r="I2955" t="s">
        <v>1077</v>
      </c>
      <c r="J2955">
        <v>2.04</v>
      </c>
    </row>
    <row r="2956" spans="1:10" hidden="1">
      <c r="A2956" t="s">
        <v>2138</v>
      </c>
      <c r="B2956" t="s">
        <v>2139</v>
      </c>
      <c r="C2956" t="s">
        <v>241</v>
      </c>
      <c r="D2956" t="s">
        <v>1455</v>
      </c>
      <c r="E2956" t="s">
        <v>560</v>
      </c>
      <c r="F2956" t="s">
        <v>1068</v>
      </c>
      <c r="G2956" t="s">
        <v>1078</v>
      </c>
      <c r="H2956">
        <v>-1.5943247710830699</v>
      </c>
      <c r="I2956" t="s">
        <v>1079</v>
      </c>
      <c r="J2956">
        <v>2.04</v>
      </c>
    </row>
    <row r="2957" spans="1:10" hidden="1">
      <c r="A2957" t="s">
        <v>2138</v>
      </c>
      <c r="B2957" t="s">
        <v>2139</v>
      </c>
      <c r="C2957" t="s">
        <v>241</v>
      </c>
      <c r="D2957" t="s">
        <v>1455</v>
      </c>
      <c r="E2957" t="s">
        <v>560</v>
      </c>
      <c r="F2957" t="s">
        <v>1068</v>
      </c>
      <c r="G2957" t="s">
        <v>1080</v>
      </c>
      <c r="H2957" s="171" t="s">
        <v>2140</v>
      </c>
      <c r="I2957" t="s">
        <v>1082</v>
      </c>
      <c r="J2957">
        <v>2.04</v>
      </c>
    </row>
    <row r="2958" spans="1:10" hidden="1">
      <c r="A2958" t="s">
        <v>2138</v>
      </c>
      <c r="B2958" t="s">
        <v>2139</v>
      </c>
      <c r="C2958" t="s">
        <v>241</v>
      </c>
      <c r="D2958" t="s">
        <v>1455</v>
      </c>
      <c r="E2958" t="s">
        <v>560</v>
      </c>
      <c r="F2958" t="s">
        <v>1068</v>
      </c>
      <c r="G2958" t="s">
        <v>1083</v>
      </c>
      <c r="H2958">
        <v>-6.1903545580848003E-4</v>
      </c>
      <c r="I2958" t="s">
        <v>1084</v>
      </c>
      <c r="J2958">
        <v>2.04</v>
      </c>
    </row>
    <row r="2959" spans="1:10" hidden="1">
      <c r="A2959" t="s">
        <v>2138</v>
      </c>
      <c r="B2959" t="s">
        <v>2139</v>
      </c>
      <c r="C2959" t="s">
        <v>241</v>
      </c>
      <c r="D2959" t="s">
        <v>1455</v>
      </c>
      <c r="E2959" t="s">
        <v>560</v>
      </c>
      <c r="F2959" t="s">
        <v>1068</v>
      </c>
      <c r="G2959" t="s">
        <v>1085</v>
      </c>
      <c r="H2959">
        <v>-1.7431101677294399E-2</v>
      </c>
      <c r="I2959" t="s">
        <v>1086</v>
      </c>
      <c r="J2959">
        <v>2.04</v>
      </c>
    </row>
    <row r="2960" spans="1:10" hidden="1">
      <c r="A2960" t="s">
        <v>2138</v>
      </c>
      <c r="B2960" t="s">
        <v>2139</v>
      </c>
      <c r="C2960" t="s">
        <v>241</v>
      </c>
      <c r="D2960" t="s">
        <v>1455</v>
      </c>
      <c r="E2960" t="s">
        <v>560</v>
      </c>
      <c r="F2960" t="s">
        <v>1068</v>
      </c>
      <c r="G2960" t="s">
        <v>1087</v>
      </c>
      <c r="H2960" s="171" t="s">
        <v>2141</v>
      </c>
      <c r="I2960" t="s">
        <v>1088</v>
      </c>
      <c r="J2960">
        <v>2.04</v>
      </c>
    </row>
    <row r="2961" spans="1:10" hidden="1">
      <c r="A2961" t="s">
        <v>2138</v>
      </c>
      <c r="B2961" t="s">
        <v>2139</v>
      </c>
      <c r="C2961" t="s">
        <v>241</v>
      </c>
      <c r="D2961" t="s">
        <v>1455</v>
      </c>
      <c r="E2961" t="s">
        <v>560</v>
      </c>
      <c r="F2961" t="s">
        <v>1068</v>
      </c>
      <c r="G2961" t="s">
        <v>1089</v>
      </c>
      <c r="H2961">
        <v>-4.74283928815289E-3</v>
      </c>
      <c r="I2961" t="s">
        <v>1090</v>
      </c>
      <c r="J2961">
        <v>2.04</v>
      </c>
    </row>
    <row r="2962" spans="1:10" hidden="1">
      <c r="A2962" t="s">
        <v>2142</v>
      </c>
      <c r="B2962" t="s">
        <v>2143</v>
      </c>
      <c r="C2962" t="s">
        <v>241</v>
      </c>
      <c r="D2962" t="s">
        <v>1455</v>
      </c>
      <c r="E2962" t="s">
        <v>1116</v>
      </c>
      <c r="F2962" t="s">
        <v>1068</v>
      </c>
      <c r="G2962" t="s">
        <v>1069</v>
      </c>
      <c r="H2962">
        <v>-0.13406747841504299</v>
      </c>
      <c r="I2962" t="s">
        <v>1070</v>
      </c>
      <c r="J2962">
        <v>2.04</v>
      </c>
    </row>
    <row r="2963" spans="1:10" hidden="1">
      <c r="A2963" t="s">
        <v>2142</v>
      </c>
      <c r="B2963" t="s">
        <v>2143</v>
      </c>
      <c r="C2963" t="s">
        <v>241</v>
      </c>
      <c r="D2963" t="s">
        <v>1455</v>
      </c>
      <c r="E2963" t="s">
        <v>1116</v>
      </c>
      <c r="F2963" t="s">
        <v>1068</v>
      </c>
      <c r="G2963" t="s">
        <v>1071</v>
      </c>
      <c r="H2963" s="170">
        <v>-2.8768228133984602E-10</v>
      </c>
      <c r="I2963" t="s">
        <v>1072</v>
      </c>
      <c r="J2963">
        <v>2.04</v>
      </c>
    </row>
    <row r="2964" spans="1:10" hidden="1">
      <c r="A2964" t="s">
        <v>2142</v>
      </c>
      <c r="B2964" t="s">
        <v>2143</v>
      </c>
      <c r="C2964" t="s">
        <v>241</v>
      </c>
      <c r="D2964" t="s">
        <v>1455</v>
      </c>
      <c r="E2964" t="s">
        <v>1116</v>
      </c>
      <c r="F2964" t="s">
        <v>1068</v>
      </c>
      <c r="G2964" t="s">
        <v>1073</v>
      </c>
      <c r="H2964" s="170">
        <v>-5.3834253629161702E-8</v>
      </c>
      <c r="I2964" t="s">
        <v>1074</v>
      </c>
      <c r="J2964">
        <v>2.04</v>
      </c>
    </row>
    <row r="2965" spans="1:10" hidden="1">
      <c r="A2965" t="s">
        <v>2142</v>
      </c>
      <c r="B2965" t="s">
        <v>2143</v>
      </c>
      <c r="C2965" t="s">
        <v>241</v>
      </c>
      <c r="D2965" t="s">
        <v>1455</v>
      </c>
      <c r="E2965" t="s">
        <v>1116</v>
      </c>
      <c r="F2965" t="s">
        <v>1068</v>
      </c>
      <c r="G2965" t="s">
        <v>1075</v>
      </c>
      <c r="H2965">
        <v>1.4527007436719601E-3</v>
      </c>
      <c r="I2965" t="s">
        <v>1077</v>
      </c>
      <c r="J2965">
        <v>2.04</v>
      </c>
    </row>
    <row r="2966" spans="1:10" hidden="1">
      <c r="A2966" t="s">
        <v>2142</v>
      </c>
      <c r="B2966" t="s">
        <v>2143</v>
      </c>
      <c r="C2966" t="s">
        <v>241</v>
      </c>
      <c r="D2966" t="s">
        <v>1455</v>
      </c>
      <c r="E2966" t="s">
        <v>1116</v>
      </c>
      <c r="F2966" t="s">
        <v>1068</v>
      </c>
      <c r="G2966" t="s">
        <v>1078</v>
      </c>
      <c r="H2966">
        <v>-1.5944774624828699</v>
      </c>
      <c r="I2966" t="s">
        <v>1079</v>
      </c>
      <c r="J2966">
        <v>2.04</v>
      </c>
    </row>
    <row r="2967" spans="1:10" hidden="1">
      <c r="A2967" t="s">
        <v>2142</v>
      </c>
      <c r="B2967" t="s">
        <v>2143</v>
      </c>
      <c r="C2967" t="s">
        <v>241</v>
      </c>
      <c r="D2967" t="s">
        <v>1455</v>
      </c>
      <c r="E2967" t="s">
        <v>1116</v>
      </c>
      <c r="F2967" t="s">
        <v>1068</v>
      </c>
      <c r="G2967" t="s">
        <v>1080</v>
      </c>
      <c r="H2967" s="171" t="s">
        <v>2144</v>
      </c>
      <c r="I2967" t="s">
        <v>1082</v>
      </c>
      <c r="J2967">
        <v>2.04</v>
      </c>
    </row>
    <row r="2968" spans="1:10" hidden="1">
      <c r="A2968" t="s">
        <v>2142</v>
      </c>
      <c r="B2968" t="s">
        <v>2143</v>
      </c>
      <c r="C2968" t="s">
        <v>241</v>
      </c>
      <c r="D2968" t="s">
        <v>1455</v>
      </c>
      <c r="E2968" t="s">
        <v>1116</v>
      </c>
      <c r="F2968" t="s">
        <v>1068</v>
      </c>
      <c r="G2968" t="s">
        <v>1083</v>
      </c>
      <c r="H2968">
        <v>-6.1905243419495704E-4</v>
      </c>
      <c r="I2968" t="s">
        <v>1084</v>
      </c>
      <c r="J2968">
        <v>2.04</v>
      </c>
    </row>
    <row r="2969" spans="1:10" hidden="1">
      <c r="A2969" t="s">
        <v>2142</v>
      </c>
      <c r="B2969" t="s">
        <v>2143</v>
      </c>
      <c r="C2969" t="s">
        <v>241</v>
      </c>
      <c r="D2969" t="s">
        <v>1455</v>
      </c>
      <c r="E2969" t="s">
        <v>1116</v>
      </c>
      <c r="F2969" t="s">
        <v>1068</v>
      </c>
      <c r="G2969" t="s">
        <v>1085</v>
      </c>
      <c r="H2969">
        <v>-1.74312935675205E-2</v>
      </c>
      <c r="I2969" t="s">
        <v>1086</v>
      </c>
      <c r="J2969">
        <v>2.04</v>
      </c>
    </row>
    <row r="2970" spans="1:10" hidden="1">
      <c r="A2970" t="s">
        <v>2142</v>
      </c>
      <c r="B2970" t="s">
        <v>2143</v>
      </c>
      <c r="C2970" t="s">
        <v>241</v>
      </c>
      <c r="D2970" t="s">
        <v>1455</v>
      </c>
      <c r="E2970" t="s">
        <v>1116</v>
      </c>
      <c r="F2970" t="s">
        <v>1068</v>
      </c>
      <c r="G2970" t="s">
        <v>1087</v>
      </c>
      <c r="H2970" s="171" t="s">
        <v>2145</v>
      </c>
      <c r="I2970" t="s">
        <v>1088</v>
      </c>
      <c r="J2970">
        <v>2.04</v>
      </c>
    </row>
    <row r="2971" spans="1:10" hidden="1">
      <c r="A2971" t="s">
        <v>2142</v>
      </c>
      <c r="B2971" t="s">
        <v>2143</v>
      </c>
      <c r="C2971" t="s">
        <v>241</v>
      </c>
      <c r="D2971" t="s">
        <v>1455</v>
      </c>
      <c r="E2971" t="s">
        <v>1116</v>
      </c>
      <c r="F2971" t="s">
        <v>1068</v>
      </c>
      <c r="G2971" t="s">
        <v>1089</v>
      </c>
      <c r="H2971">
        <v>-4.7428788747276001E-3</v>
      </c>
      <c r="I2971" t="s">
        <v>1090</v>
      </c>
      <c r="J2971">
        <v>2.04</v>
      </c>
    </row>
    <row r="2972" spans="1:10" hidden="1">
      <c r="A2972" t="s">
        <v>2146</v>
      </c>
      <c r="B2972" t="s">
        <v>2147</v>
      </c>
      <c r="C2972" t="s">
        <v>241</v>
      </c>
      <c r="D2972" t="s">
        <v>544</v>
      </c>
      <c r="E2972" t="s">
        <v>561</v>
      </c>
      <c r="F2972" t="s">
        <v>1068</v>
      </c>
      <c r="G2972" t="s">
        <v>1069</v>
      </c>
      <c r="H2972">
        <v>-0.11529145483427899</v>
      </c>
      <c r="I2972" t="s">
        <v>1070</v>
      </c>
      <c r="J2972">
        <v>2.54</v>
      </c>
    </row>
    <row r="2973" spans="1:10" hidden="1">
      <c r="A2973" t="s">
        <v>2146</v>
      </c>
      <c r="B2973" t="s">
        <v>2147</v>
      </c>
      <c r="C2973" t="s">
        <v>241</v>
      </c>
      <c r="D2973" t="s">
        <v>544</v>
      </c>
      <c r="E2973" t="s">
        <v>561</v>
      </c>
      <c r="F2973" t="s">
        <v>1068</v>
      </c>
      <c r="G2973" t="s">
        <v>1071</v>
      </c>
      <c r="H2973" s="170">
        <v>-2.5004259638711398E-10</v>
      </c>
      <c r="I2973" t="s">
        <v>1072</v>
      </c>
      <c r="J2973">
        <v>2.54</v>
      </c>
    </row>
    <row r="2974" spans="1:10" hidden="1">
      <c r="A2974" t="s">
        <v>2146</v>
      </c>
      <c r="B2974" t="s">
        <v>2147</v>
      </c>
      <c r="C2974" t="s">
        <v>241</v>
      </c>
      <c r="D2974" t="s">
        <v>544</v>
      </c>
      <c r="E2974" t="s">
        <v>561</v>
      </c>
      <c r="F2974" t="s">
        <v>1068</v>
      </c>
      <c r="G2974" t="s">
        <v>1073</v>
      </c>
      <c r="H2974" s="170">
        <v>-4.6469841300304597E-8</v>
      </c>
      <c r="I2974" t="s">
        <v>1074</v>
      </c>
      <c r="J2974">
        <v>2.54</v>
      </c>
    </row>
    <row r="2975" spans="1:10" hidden="1">
      <c r="A2975" t="s">
        <v>2146</v>
      </c>
      <c r="B2975" t="s">
        <v>2147</v>
      </c>
      <c r="C2975" t="s">
        <v>241</v>
      </c>
      <c r="D2975" t="s">
        <v>544</v>
      </c>
      <c r="E2975" t="s">
        <v>561</v>
      </c>
      <c r="F2975" t="s">
        <v>1068</v>
      </c>
      <c r="G2975" t="s">
        <v>1075</v>
      </c>
      <c r="H2975">
        <v>1.74241546260681E-3</v>
      </c>
      <c r="I2975" t="s">
        <v>1077</v>
      </c>
      <c r="J2975">
        <v>2.54</v>
      </c>
    </row>
    <row r="2976" spans="1:10" hidden="1">
      <c r="A2976" t="s">
        <v>2146</v>
      </c>
      <c r="B2976" t="s">
        <v>2147</v>
      </c>
      <c r="C2976" t="s">
        <v>241</v>
      </c>
      <c r="D2976" t="s">
        <v>544</v>
      </c>
      <c r="E2976" t="s">
        <v>561</v>
      </c>
      <c r="F2976" t="s">
        <v>1068</v>
      </c>
      <c r="G2976" t="s">
        <v>1078</v>
      </c>
      <c r="H2976">
        <v>-1.3729523583054299</v>
      </c>
      <c r="I2976" t="s">
        <v>1079</v>
      </c>
      <c r="J2976">
        <v>2.54</v>
      </c>
    </row>
    <row r="2977" spans="1:10" hidden="1">
      <c r="A2977" t="s">
        <v>2146</v>
      </c>
      <c r="B2977" t="s">
        <v>2147</v>
      </c>
      <c r="C2977" t="s">
        <v>241</v>
      </c>
      <c r="D2977" t="s">
        <v>544</v>
      </c>
      <c r="E2977" t="s">
        <v>561</v>
      </c>
      <c r="F2977" t="s">
        <v>1068</v>
      </c>
      <c r="G2977" t="s">
        <v>1080</v>
      </c>
      <c r="H2977" s="171" t="s">
        <v>2148</v>
      </c>
      <c r="I2977" t="s">
        <v>1082</v>
      </c>
      <c r="J2977">
        <v>2.54</v>
      </c>
    </row>
    <row r="2978" spans="1:10" hidden="1">
      <c r="A2978" t="s">
        <v>2146</v>
      </c>
      <c r="B2978" t="s">
        <v>2147</v>
      </c>
      <c r="C2978" t="s">
        <v>241</v>
      </c>
      <c r="D2978" t="s">
        <v>544</v>
      </c>
      <c r="E2978" t="s">
        <v>561</v>
      </c>
      <c r="F2978" t="s">
        <v>1068</v>
      </c>
      <c r="G2978" t="s">
        <v>1083</v>
      </c>
      <c r="H2978">
        <v>-5.3140100462969596E-4</v>
      </c>
      <c r="I2978" t="s">
        <v>1084</v>
      </c>
      <c r="J2978">
        <v>2.54</v>
      </c>
    </row>
    <row r="2979" spans="1:10" hidden="1">
      <c r="A2979" t="s">
        <v>2146</v>
      </c>
      <c r="B2979" t="s">
        <v>2147</v>
      </c>
      <c r="C2979" t="s">
        <v>241</v>
      </c>
      <c r="D2979" t="s">
        <v>544</v>
      </c>
      <c r="E2979" t="s">
        <v>561</v>
      </c>
      <c r="F2979" t="s">
        <v>1068</v>
      </c>
      <c r="G2979" t="s">
        <v>1085</v>
      </c>
      <c r="H2979">
        <v>-1.4954325711186701E-2</v>
      </c>
      <c r="I2979" t="s">
        <v>1086</v>
      </c>
      <c r="J2979">
        <v>2.54</v>
      </c>
    </row>
    <row r="2980" spans="1:10" hidden="1">
      <c r="A2980" t="s">
        <v>2146</v>
      </c>
      <c r="B2980" t="s">
        <v>2147</v>
      </c>
      <c r="C2980" t="s">
        <v>241</v>
      </c>
      <c r="D2980" t="s">
        <v>544</v>
      </c>
      <c r="E2980" t="s">
        <v>561</v>
      </c>
      <c r="F2980" t="s">
        <v>1068</v>
      </c>
      <c r="G2980" t="s">
        <v>1087</v>
      </c>
      <c r="H2980" s="170">
        <v>-3.9696548683605401E-6</v>
      </c>
      <c r="I2980" t="s">
        <v>1088</v>
      </c>
      <c r="J2980">
        <v>2.54</v>
      </c>
    </row>
    <row r="2981" spans="1:10" hidden="1">
      <c r="A2981" t="s">
        <v>2146</v>
      </c>
      <c r="B2981" t="s">
        <v>2147</v>
      </c>
      <c r="C2981" t="s">
        <v>241</v>
      </c>
      <c r="D2981" t="s">
        <v>544</v>
      </c>
      <c r="E2981" t="s">
        <v>561</v>
      </c>
      <c r="F2981" t="s">
        <v>1068</v>
      </c>
      <c r="G2981" t="s">
        <v>1089</v>
      </c>
      <c r="H2981">
        <v>-3.9929655741023397E-3</v>
      </c>
      <c r="I2981" t="s">
        <v>1090</v>
      </c>
      <c r="J2981">
        <v>2.54</v>
      </c>
    </row>
    <row r="2982" spans="1:10" hidden="1">
      <c r="A2982" t="s">
        <v>2149</v>
      </c>
      <c r="B2982" t="s">
        <v>2150</v>
      </c>
      <c r="C2982" t="s">
        <v>241</v>
      </c>
      <c r="D2982" t="s">
        <v>544</v>
      </c>
      <c r="E2982" t="s">
        <v>555</v>
      </c>
      <c r="F2982" t="s">
        <v>1068</v>
      </c>
      <c r="G2982" t="s">
        <v>1069</v>
      </c>
      <c r="H2982">
        <v>-0.115087741660683</v>
      </c>
      <c r="I2982" t="s">
        <v>1070</v>
      </c>
      <c r="J2982">
        <v>2.54</v>
      </c>
    </row>
    <row r="2983" spans="1:10" hidden="1">
      <c r="A2983" t="s">
        <v>2149</v>
      </c>
      <c r="B2983" t="s">
        <v>2150</v>
      </c>
      <c r="C2983" t="s">
        <v>241</v>
      </c>
      <c r="D2983" t="s">
        <v>544</v>
      </c>
      <c r="E2983" t="s">
        <v>555</v>
      </c>
      <c r="F2983" t="s">
        <v>1068</v>
      </c>
      <c r="G2983" t="s">
        <v>1071</v>
      </c>
      <c r="H2983" s="170">
        <v>-2.4970597886654299E-10</v>
      </c>
      <c r="I2983" t="s">
        <v>1072</v>
      </c>
      <c r="J2983">
        <v>2.54</v>
      </c>
    </row>
    <row r="2984" spans="1:10" hidden="1">
      <c r="A2984" t="s">
        <v>2149</v>
      </c>
      <c r="B2984" t="s">
        <v>2150</v>
      </c>
      <c r="C2984" t="s">
        <v>241</v>
      </c>
      <c r="D2984" t="s">
        <v>544</v>
      </c>
      <c r="E2984" t="s">
        <v>555</v>
      </c>
      <c r="F2984" t="s">
        <v>1068</v>
      </c>
      <c r="G2984" t="s">
        <v>1073</v>
      </c>
      <c r="H2984" s="170">
        <v>-4.6401618139331803E-8</v>
      </c>
      <c r="I2984" t="s">
        <v>1074</v>
      </c>
      <c r="J2984">
        <v>2.54</v>
      </c>
    </row>
    <row r="2985" spans="1:10" hidden="1">
      <c r="A2985" t="s">
        <v>2149</v>
      </c>
      <c r="B2985" t="s">
        <v>2150</v>
      </c>
      <c r="C2985" t="s">
        <v>241</v>
      </c>
      <c r="D2985" t="s">
        <v>544</v>
      </c>
      <c r="E2985" t="s">
        <v>555</v>
      </c>
      <c r="F2985" t="s">
        <v>1068</v>
      </c>
      <c r="G2985" t="s">
        <v>1075</v>
      </c>
      <c r="H2985">
        <v>1.7785058191034601E-3</v>
      </c>
      <c r="I2985" t="s">
        <v>1077</v>
      </c>
      <c r="J2985">
        <v>2.54</v>
      </c>
    </row>
    <row r="2986" spans="1:10" hidden="1">
      <c r="A2986" t="s">
        <v>2149</v>
      </c>
      <c r="B2986" t="s">
        <v>2150</v>
      </c>
      <c r="C2986" t="s">
        <v>241</v>
      </c>
      <c r="D2986" t="s">
        <v>544</v>
      </c>
      <c r="E2986" t="s">
        <v>555</v>
      </c>
      <c r="F2986" t="s">
        <v>1068</v>
      </c>
      <c r="G2986" t="s">
        <v>1078</v>
      </c>
      <c r="H2986">
        <v>-1.3601240702861499</v>
      </c>
      <c r="I2986" t="s">
        <v>1079</v>
      </c>
      <c r="J2986">
        <v>2.54</v>
      </c>
    </row>
    <row r="2987" spans="1:10" hidden="1">
      <c r="A2987" t="s">
        <v>2149</v>
      </c>
      <c r="B2987" t="s">
        <v>2150</v>
      </c>
      <c r="C2987" t="s">
        <v>241</v>
      </c>
      <c r="D2987" t="s">
        <v>544</v>
      </c>
      <c r="E2987" t="s">
        <v>555</v>
      </c>
      <c r="F2987" t="s">
        <v>1068</v>
      </c>
      <c r="G2987" t="s">
        <v>1080</v>
      </c>
      <c r="H2987" s="171" t="s">
        <v>2151</v>
      </c>
      <c r="I2987" t="s">
        <v>1082</v>
      </c>
      <c r="J2987">
        <v>2.54</v>
      </c>
    </row>
    <row r="2988" spans="1:10" hidden="1">
      <c r="A2988" t="s">
        <v>2149</v>
      </c>
      <c r="B2988" t="s">
        <v>2150</v>
      </c>
      <c r="C2988" t="s">
        <v>241</v>
      </c>
      <c r="D2988" t="s">
        <v>544</v>
      </c>
      <c r="E2988" t="s">
        <v>555</v>
      </c>
      <c r="F2988" t="s">
        <v>1068</v>
      </c>
      <c r="G2988" t="s">
        <v>1083</v>
      </c>
      <c r="H2988">
        <v>-5.3137295836756999E-4</v>
      </c>
      <c r="I2988" t="s">
        <v>1084</v>
      </c>
      <c r="J2988">
        <v>2.54</v>
      </c>
    </row>
    <row r="2989" spans="1:10" hidden="1">
      <c r="A2989" t="s">
        <v>2149</v>
      </c>
      <c r="B2989" t="s">
        <v>2150</v>
      </c>
      <c r="C2989" t="s">
        <v>241</v>
      </c>
      <c r="D2989" t="s">
        <v>544</v>
      </c>
      <c r="E2989" t="s">
        <v>555</v>
      </c>
      <c r="F2989" t="s">
        <v>1068</v>
      </c>
      <c r="G2989" t="s">
        <v>1085</v>
      </c>
      <c r="H2989">
        <v>-1.49538493558618E-2</v>
      </c>
      <c r="I2989" t="s">
        <v>1086</v>
      </c>
      <c r="J2989">
        <v>2.54</v>
      </c>
    </row>
    <row r="2990" spans="1:10" hidden="1">
      <c r="A2990" t="s">
        <v>2149</v>
      </c>
      <c r="B2990" t="s">
        <v>2150</v>
      </c>
      <c r="C2990" t="s">
        <v>241</v>
      </c>
      <c r="D2990" t="s">
        <v>544</v>
      </c>
      <c r="E2990" t="s">
        <v>555</v>
      </c>
      <c r="F2990" t="s">
        <v>1068</v>
      </c>
      <c r="G2990" t="s">
        <v>1087</v>
      </c>
      <c r="H2990" s="170">
        <v>-3.9680376708239704E-6</v>
      </c>
      <c r="I2990" t="s">
        <v>1088</v>
      </c>
      <c r="J2990">
        <v>2.54</v>
      </c>
    </row>
    <row r="2991" spans="1:10" hidden="1">
      <c r="A2991" t="s">
        <v>2149</v>
      </c>
      <c r="B2991" t="s">
        <v>2150</v>
      </c>
      <c r="C2991" t="s">
        <v>241</v>
      </c>
      <c r="D2991" t="s">
        <v>544</v>
      </c>
      <c r="E2991" t="s">
        <v>555</v>
      </c>
      <c r="F2991" t="s">
        <v>1068</v>
      </c>
      <c r="G2991" t="s">
        <v>1089</v>
      </c>
      <c r="H2991">
        <v>-3.99289506737924E-3</v>
      </c>
      <c r="I2991" t="s">
        <v>1090</v>
      </c>
      <c r="J2991">
        <v>2.54</v>
      </c>
    </row>
    <row r="2992" spans="1:10" hidden="1">
      <c r="A2992" t="s">
        <v>2152</v>
      </c>
      <c r="B2992" t="s">
        <v>2153</v>
      </c>
      <c r="C2992" t="s">
        <v>241</v>
      </c>
      <c r="D2992" t="s">
        <v>544</v>
      </c>
      <c r="E2992" t="s">
        <v>558</v>
      </c>
      <c r="F2992" t="s">
        <v>1068</v>
      </c>
      <c r="G2992" t="s">
        <v>1069</v>
      </c>
      <c r="H2992">
        <v>-0.115307781001734</v>
      </c>
      <c r="I2992" t="s">
        <v>1070</v>
      </c>
      <c r="J2992">
        <v>2.04</v>
      </c>
    </row>
    <row r="2993" spans="1:10" hidden="1">
      <c r="A2993" t="s">
        <v>2152</v>
      </c>
      <c r="B2993" t="s">
        <v>2153</v>
      </c>
      <c r="C2993" t="s">
        <v>241</v>
      </c>
      <c r="D2993" t="s">
        <v>544</v>
      </c>
      <c r="E2993" t="s">
        <v>558</v>
      </c>
      <c r="F2993" t="s">
        <v>1068</v>
      </c>
      <c r="G2993" t="s">
        <v>1071</v>
      </c>
      <c r="H2993" s="170">
        <v>-2.5006595931848201E-10</v>
      </c>
      <c r="I2993" t="s">
        <v>1072</v>
      </c>
      <c r="J2993">
        <v>2.04</v>
      </c>
    </row>
    <row r="2994" spans="1:10" hidden="1">
      <c r="A2994" t="s">
        <v>2152</v>
      </c>
      <c r="B2994" t="s">
        <v>2153</v>
      </c>
      <c r="C2994" t="s">
        <v>241</v>
      </c>
      <c r="D2994" t="s">
        <v>544</v>
      </c>
      <c r="E2994" t="s">
        <v>558</v>
      </c>
      <c r="F2994" t="s">
        <v>1068</v>
      </c>
      <c r="G2994" t="s">
        <v>1073</v>
      </c>
      <c r="H2994" s="170">
        <v>-4.6475640406643799E-8</v>
      </c>
      <c r="I2994" t="s">
        <v>1074</v>
      </c>
      <c r="J2994">
        <v>2.04</v>
      </c>
    </row>
    <row r="2995" spans="1:10" hidden="1">
      <c r="A2995" t="s">
        <v>2152</v>
      </c>
      <c r="B2995" t="s">
        <v>2153</v>
      </c>
      <c r="C2995" t="s">
        <v>241</v>
      </c>
      <c r="D2995" t="s">
        <v>544</v>
      </c>
      <c r="E2995" t="s">
        <v>558</v>
      </c>
      <c r="F2995" t="s">
        <v>1068</v>
      </c>
      <c r="G2995" t="s">
        <v>1075</v>
      </c>
      <c r="H2995">
        <v>1.7418993750126499E-3</v>
      </c>
      <c r="I2995" t="s">
        <v>1077</v>
      </c>
      <c r="J2995">
        <v>2.04</v>
      </c>
    </row>
    <row r="2996" spans="1:10" hidden="1">
      <c r="A2996" t="s">
        <v>2152</v>
      </c>
      <c r="B2996" t="s">
        <v>2153</v>
      </c>
      <c r="C2996" t="s">
        <v>241</v>
      </c>
      <c r="D2996" t="s">
        <v>544</v>
      </c>
      <c r="E2996" t="s">
        <v>558</v>
      </c>
      <c r="F2996" t="s">
        <v>1068</v>
      </c>
      <c r="G2996" t="s">
        <v>1078</v>
      </c>
      <c r="H2996">
        <v>-1.37297467592375</v>
      </c>
      <c r="I2996" t="s">
        <v>1079</v>
      </c>
      <c r="J2996">
        <v>2.04</v>
      </c>
    </row>
    <row r="2997" spans="1:10" hidden="1">
      <c r="A2997" t="s">
        <v>2152</v>
      </c>
      <c r="B2997" t="s">
        <v>2153</v>
      </c>
      <c r="C2997" t="s">
        <v>241</v>
      </c>
      <c r="D2997" t="s">
        <v>544</v>
      </c>
      <c r="E2997" t="s">
        <v>558</v>
      </c>
      <c r="F2997" t="s">
        <v>1068</v>
      </c>
      <c r="G2997" t="s">
        <v>1080</v>
      </c>
      <c r="H2997" s="171" t="s">
        <v>2154</v>
      </c>
      <c r="I2997" t="s">
        <v>1082</v>
      </c>
      <c r="J2997">
        <v>2.04</v>
      </c>
    </row>
    <row r="2998" spans="1:10" hidden="1">
      <c r="A2998" t="s">
        <v>2152</v>
      </c>
      <c r="B2998" t="s">
        <v>2153</v>
      </c>
      <c r="C2998" t="s">
        <v>241</v>
      </c>
      <c r="D2998" t="s">
        <v>544</v>
      </c>
      <c r="E2998" t="s">
        <v>558</v>
      </c>
      <c r="F2998" t="s">
        <v>1068</v>
      </c>
      <c r="G2998" t="s">
        <v>1083</v>
      </c>
      <c r="H2998">
        <v>-5.3140348621772001E-4</v>
      </c>
      <c r="I2998" t="s">
        <v>1084</v>
      </c>
      <c r="J2998">
        <v>2.04</v>
      </c>
    </row>
    <row r="2999" spans="1:10" hidden="1">
      <c r="A2999" t="s">
        <v>2152</v>
      </c>
      <c r="B2999" t="s">
        <v>2153</v>
      </c>
      <c r="C2999" t="s">
        <v>241</v>
      </c>
      <c r="D2999" t="s">
        <v>544</v>
      </c>
      <c r="E2999" t="s">
        <v>558</v>
      </c>
      <c r="F2999" t="s">
        <v>1068</v>
      </c>
      <c r="G2999" t="s">
        <v>1085</v>
      </c>
      <c r="H2999">
        <v>-1.49543537581679E-2</v>
      </c>
      <c r="I2999" t="s">
        <v>1086</v>
      </c>
      <c r="J2999">
        <v>2.04</v>
      </c>
    </row>
    <row r="3000" spans="1:10" hidden="1">
      <c r="A3000" t="s">
        <v>2152</v>
      </c>
      <c r="B3000" t="s">
        <v>2153</v>
      </c>
      <c r="C3000" t="s">
        <v>241</v>
      </c>
      <c r="D3000" t="s">
        <v>544</v>
      </c>
      <c r="E3000" t="s">
        <v>558</v>
      </c>
      <c r="F3000" t="s">
        <v>1068</v>
      </c>
      <c r="G3000" t="s">
        <v>1087</v>
      </c>
      <c r="H3000" s="170">
        <v>-3.9696684039617501E-6</v>
      </c>
      <c r="I3000" t="s">
        <v>1088</v>
      </c>
      <c r="J3000">
        <v>2.04</v>
      </c>
    </row>
    <row r="3001" spans="1:10" hidden="1">
      <c r="A3001" t="s">
        <v>2152</v>
      </c>
      <c r="B3001" t="s">
        <v>2153</v>
      </c>
      <c r="C3001" t="s">
        <v>241</v>
      </c>
      <c r="D3001" t="s">
        <v>544</v>
      </c>
      <c r="E3001" t="s">
        <v>558</v>
      </c>
      <c r="F3001" t="s">
        <v>1068</v>
      </c>
      <c r="G3001" t="s">
        <v>1089</v>
      </c>
      <c r="H3001">
        <v>-3.9929713601391898E-3</v>
      </c>
      <c r="I3001" t="s">
        <v>1090</v>
      </c>
      <c r="J3001">
        <v>2.04</v>
      </c>
    </row>
    <row r="3002" spans="1:10" hidden="1">
      <c r="A3002" t="s">
        <v>2155</v>
      </c>
      <c r="B3002" t="s">
        <v>2156</v>
      </c>
      <c r="C3002" t="s">
        <v>241</v>
      </c>
      <c r="D3002" t="s">
        <v>544</v>
      </c>
      <c r="E3002" t="s">
        <v>553</v>
      </c>
      <c r="F3002" t="s">
        <v>1068</v>
      </c>
      <c r="G3002" t="s">
        <v>1069</v>
      </c>
      <c r="H3002">
        <v>-0.115304447029695</v>
      </c>
      <c r="I3002" t="s">
        <v>1070</v>
      </c>
      <c r="J3002">
        <v>2.04</v>
      </c>
    </row>
    <row r="3003" spans="1:10" hidden="1">
      <c r="A3003" t="s">
        <v>2155</v>
      </c>
      <c r="B3003" t="s">
        <v>2156</v>
      </c>
      <c r="C3003" t="s">
        <v>241</v>
      </c>
      <c r="D3003" t="s">
        <v>544</v>
      </c>
      <c r="E3003" t="s">
        <v>553</v>
      </c>
      <c r="F3003" t="s">
        <v>1068</v>
      </c>
      <c r="G3003" t="s">
        <v>1071</v>
      </c>
      <c r="H3003" s="170">
        <v>-2.5001608671514402E-10</v>
      </c>
      <c r="I3003" t="s">
        <v>1072</v>
      </c>
      <c r="J3003">
        <v>2.04</v>
      </c>
    </row>
    <row r="3004" spans="1:10" hidden="1">
      <c r="A3004" t="s">
        <v>2155</v>
      </c>
      <c r="B3004" t="s">
        <v>2156</v>
      </c>
      <c r="C3004" t="s">
        <v>241</v>
      </c>
      <c r="D3004" t="s">
        <v>544</v>
      </c>
      <c r="E3004" t="s">
        <v>553</v>
      </c>
      <c r="F3004" t="s">
        <v>1068</v>
      </c>
      <c r="G3004" t="s">
        <v>1073</v>
      </c>
      <c r="H3004" s="170">
        <v>-4.6478592572107802E-8</v>
      </c>
      <c r="I3004" t="s">
        <v>1074</v>
      </c>
      <c r="J3004">
        <v>2.04</v>
      </c>
    </row>
    <row r="3005" spans="1:10" hidden="1">
      <c r="A3005" t="s">
        <v>2155</v>
      </c>
      <c r="B3005" t="s">
        <v>2156</v>
      </c>
      <c r="C3005" t="s">
        <v>241</v>
      </c>
      <c r="D3005" t="s">
        <v>544</v>
      </c>
      <c r="E3005" t="s">
        <v>553</v>
      </c>
      <c r="F3005" t="s">
        <v>1068</v>
      </c>
      <c r="G3005" t="s">
        <v>1075</v>
      </c>
      <c r="H3005">
        <v>1.7716555308907699E-3</v>
      </c>
      <c r="I3005" t="s">
        <v>1077</v>
      </c>
      <c r="J3005">
        <v>2.04</v>
      </c>
    </row>
    <row r="3006" spans="1:10" hidden="1">
      <c r="A3006" t="s">
        <v>2155</v>
      </c>
      <c r="B3006" t="s">
        <v>2156</v>
      </c>
      <c r="C3006" t="s">
        <v>241</v>
      </c>
      <c r="D3006" t="s">
        <v>544</v>
      </c>
      <c r="E3006" t="s">
        <v>553</v>
      </c>
      <c r="F3006" t="s">
        <v>1068</v>
      </c>
      <c r="G3006" t="s">
        <v>1078</v>
      </c>
      <c r="H3006">
        <v>-1.3604203031726601</v>
      </c>
      <c r="I3006" t="s">
        <v>1079</v>
      </c>
      <c r="J3006">
        <v>2.04</v>
      </c>
    </row>
    <row r="3007" spans="1:10" hidden="1">
      <c r="A3007" t="s">
        <v>2155</v>
      </c>
      <c r="B3007" t="s">
        <v>2156</v>
      </c>
      <c r="C3007" t="s">
        <v>241</v>
      </c>
      <c r="D3007" t="s">
        <v>544</v>
      </c>
      <c r="E3007" t="s">
        <v>553</v>
      </c>
      <c r="F3007" t="s">
        <v>1068</v>
      </c>
      <c r="G3007" t="s">
        <v>1080</v>
      </c>
      <c r="H3007" s="171" t="s">
        <v>2157</v>
      </c>
      <c r="I3007" t="s">
        <v>1082</v>
      </c>
      <c r="J3007">
        <v>2.04</v>
      </c>
    </row>
    <row r="3008" spans="1:10" hidden="1">
      <c r="A3008" t="s">
        <v>2155</v>
      </c>
      <c r="B3008" t="s">
        <v>2156</v>
      </c>
      <c r="C3008" t="s">
        <v>241</v>
      </c>
      <c r="D3008" t="s">
        <v>544</v>
      </c>
      <c r="E3008" t="s">
        <v>553</v>
      </c>
      <c r="F3008" t="s">
        <v>1068</v>
      </c>
      <c r="G3008" t="s">
        <v>1083</v>
      </c>
      <c r="H3008">
        <v>-5.3140589772395299E-4</v>
      </c>
      <c r="I3008" t="s">
        <v>1084</v>
      </c>
      <c r="J3008">
        <v>2.04</v>
      </c>
    </row>
    <row r="3009" spans="1:10" hidden="1">
      <c r="A3009" t="s">
        <v>2155</v>
      </c>
      <c r="B3009" t="s">
        <v>2156</v>
      </c>
      <c r="C3009" t="s">
        <v>241</v>
      </c>
      <c r="D3009" t="s">
        <v>544</v>
      </c>
      <c r="E3009" t="s">
        <v>553</v>
      </c>
      <c r="F3009" t="s">
        <v>1068</v>
      </c>
      <c r="G3009" t="s">
        <v>1085</v>
      </c>
      <c r="H3009">
        <v>-1.4954221637441799E-2</v>
      </c>
      <c r="I3009" t="s">
        <v>1086</v>
      </c>
      <c r="J3009">
        <v>2.04</v>
      </c>
    </row>
    <row r="3010" spans="1:10" hidden="1">
      <c r="A3010" t="s">
        <v>2155</v>
      </c>
      <c r="B3010" t="s">
        <v>2156</v>
      </c>
      <c r="C3010" t="s">
        <v>241</v>
      </c>
      <c r="D3010" t="s">
        <v>544</v>
      </c>
      <c r="E3010" t="s">
        <v>553</v>
      </c>
      <c r="F3010" t="s">
        <v>1068</v>
      </c>
      <c r="G3010" t="s">
        <v>1087</v>
      </c>
      <c r="H3010" s="170">
        <v>-3.9682173356142999E-6</v>
      </c>
      <c r="I3010" t="s">
        <v>1088</v>
      </c>
      <c r="J3010">
        <v>2.04</v>
      </c>
    </row>
    <row r="3011" spans="1:10" hidden="1">
      <c r="A3011" t="s">
        <v>2155</v>
      </c>
      <c r="B3011" t="s">
        <v>2156</v>
      </c>
      <c r="C3011" t="s">
        <v>241</v>
      </c>
      <c r="D3011" t="s">
        <v>544</v>
      </c>
      <c r="E3011" t="s">
        <v>553</v>
      </c>
      <c r="F3011" t="s">
        <v>1068</v>
      </c>
      <c r="G3011" t="s">
        <v>1089</v>
      </c>
      <c r="H3011">
        <v>-3.9929718683340398E-3</v>
      </c>
      <c r="I3011" t="s">
        <v>1090</v>
      </c>
      <c r="J3011">
        <v>2.04</v>
      </c>
    </row>
    <row r="3012" spans="1:10" hidden="1">
      <c r="A3012" t="s">
        <v>2158</v>
      </c>
      <c r="B3012" t="s">
        <v>2159</v>
      </c>
      <c r="C3012" t="s">
        <v>241</v>
      </c>
      <c r="D3012" t="s">
        <v>544</v>
      </c>
      <c r="E3012" t="s">
        <v>556</v>
      </c>
      <c r="F3012" t="s">
        <v>1068</v>
      </c>
      <c r="G3012" t="s">
        <v>1069</v>
      </c>
      <c r="H3012">
        <v>-0.115107873380821</v>
      </c>
      <c r="I3012" t="s">
        <v>1070</v>
      </c>
      <c r="J3012">
        <v>4.6100000000000003</v>
      </c>
    </row>
    <row r="3013" spans="1:10" hidden="1">
      <c r="A3013" t="s">
        <v>2158</v>
      </c>
      <c r="B3013" t="s">
        <v>2159</v>
      </c>
      <c r="C3013" t="s">
        <v>241</v>
      </c>
      <c r="D3013" t="s">
        <v>544</v>
      </c>
      <c r="E3013" t="s">
        <v>556</v>
      </c>
      <c r="F3013" t="s">
        <v>1068</v>
      </c>
      <c r="G3013" t="s">
        <v>1071</v>
      </c>
      <c r="H3013" s="170">
        <v>-2.4948340224386901E-10</v>
      </c>
      <c r="I3013" t="s">
        <v>1072</v>
      </c>
      <c r="J3013">
        <v>4.6100000000000003</v>
      </c>
    </row>
    <row r="3014" spans="1:10" hidden="1">
      <c r="A3014" t="s">
        <v>2158</v>
      </c>
      <c r="B3014" t="s">
        <v>2159</v>
      </c>
      <c r="C3014" t="s">
        <v>241</v>
      </c>
      <c r="D3014" t="s">
        <v>544</v>
      </c>
      <c r="E3014" t="s">
        <v>556</v>
      </c>
      <c r="F3014" t="s">
        <v>1068</v>
      </c>
      <c r="G3014" t="s">
        <v>1073</v>
      </c>
      <c r="H3014" s="170">
        <v>-4.6401571267795303E-8</v>
      </c>
      <c r="I3014" t="s">
        <v>1074</v>
      </c>
      <c r="J3014">
        <v>4.6100000000000003</v>
      </c>
    </row>
    <row r="3015" spans="1:10" hidden="1">
      <c r="A3015" t="s">
        <v>2158</v>
      </c>
      <c r="B3015" t="s">
        <v>2159</v>
      </c>
      <c r="C3015" t="s">
        <v>241</v>
      </c>
      <c r="D3015" t="s">
        <v>544</v>
      </c>
      <c r="E3015" t="s">
        <v>556</v>
      </c>
      <c r="F3015" t="s">
        <v>1068</v>
      </c>
      <c r="G3015" t="s">
        <v>1075</v>
      </c>
      <c r="H3015">
        <v>1.88786883354303E-3</v>
      </c>
      <c r="I3015" t="s">
        <v>1077</v>
      </c>
      <c r="J3015">
        <v>4.6100000000000003</v>
      </c>
    </row>
    <row r="3016" spans="1:10" hidden="1">
      <c r="A3016" t="s">
        <v>2158</v>
      </c>
      <c r="B3016" t="s">
        <v>2159</v>
      </c>
      <c r="C3016" t="s">
        <v>241</v>
      </c>
      <c r="D3016" t="s">
        <v>544</v>
      </c>
      <c r="E3016" t="s">
        <v>556</v>
      </c>
      <c r="F3016" t="s">
        <v>1068</v>
      </c>
      <c r="G3016" t="s">
        <v>1078</v>
      </c>
      <c r="H3016">
        <v>-1.31426237881821</v>
      </c>
      <c r="I3016" t="s">
        <v>1079</v>
      </c>
      <c r="J3016">
        <v>4.6100000000000003</v>
      </c>
    </row>
    <row r="3017" spans="1:10" hidden="1">
      <c r="A3017" t="s">
        <v>2158</v>
      </c>
      <c r="B3017" t="s">
        <v>2159</v>
      </c>
      <c r="C3017" t="s">
        <v>241</v>
      </c>
      <c r="D3017" t="s">
        <v>544</v>
      </c>
      <c r="E3017" t="s">
        <v>556</v>
      </c>
      <c r="F3017" t="s">
        <v>1068</v>
      </c>
      <c r="G3017" t="s">
        <v>1080</v>
      </c>
      <c r="H3017" s="171" t="s">
        <v>2160</v>
      </c>
      <c r="I3017" t="s">
        <v>1082</v>
      </c>
      <c r="J3017">
        <v>4.6100000000000003</v>
      </c>
    </row>
    <row r="3018" spans="1:10" hidden="1">
      <c r="A3018" t="s">
        <v>2158</v>
      </c>
      <c r="B3018" t="s">
        <v>2159</v>
      </c>
      <c r="C3018" t="s">
        <v>241</v>
      </c>
      <c r="D3018" t="s">
        <v>544</v>
      </c>
      <c r="E3018" t="s">
        <v>556</v>
      </c>
      <c r="F3018" t="s">
        <v>1068</v>
      </c>
      <c r="G3018" t="s">
        <v>1083</v>
      </c>
      <c r="H3018">
        <v>-5.3137598574710498E-4</v>
      </c>
      <c r="I3018" t="s">
        <v>1084</v>
      </c>
      <c r="J3018">
        <v>4.6100000000000003</v>
      </c>
    </row>
    <row r="3019" spans="1:10" hidden="1">
      <c r="A3019" t="s">
        <v>2158</v>
      </c>
      <c r="B3019" t="s">
        <v>2159</v>
      </c>
      <c r="C3019" t="s">
        <v>241</v>
      </c>
      <c r="D3019" t="s">
        <v>544</v>
      </c>
      <c r="E3019" t="s">
        <v>556</v>
      </c>
      <c r="F3019" t="s">
        <v>1068</v>
      </c>
      <c r="G3019" t="s">
        <v>1085</v>
      </c>
      <c r="H3019">
        <v>-1.4953305012090599E-2</v>
      </c>
      <c r="I3019" t="s">
        <v>1086</v>
      </c>
      <c r="J3019">
        <v>4.6100000000000003</v>
      </c>
    </row>
    <row r="3020" spans="1:10" hidden="1">
      <c r="A3020" t="s">
        <v>2158</v>
      </c>
      <c r="B3020" t="s">
        <v>2159</v>
      </c>
      <c r="C3020" t="s">
        <v>241</v>
      </c>
      <c r="D3020" t="s">
        <v>544</v>
      </c>
      <c r="E3020" t="s">
        <v>556</v>
      </c>
      <c r="F3020" t="s">
        <v>1068</v>
      </c>
      <c r="G3020" t="s">
        <v>1087</v>
      </c>
      <c r="H3020" s="170">
        <v>-3.9680545579215002E-6</v>
      </c>
      <c r="I3020" t="s">
        <v>1088</v>
      </c>
      <c r="J3020">
        <v>4.6100000000000003</v>
      </c>
    </row>
    <row r="3021" spans="1:10" hidden="1">
      <c r="A3021" t="s">
        <v>2158</v>
      </c>
      <c r="B3021" t="s">
        <v>2159</v>
      </c>
      <c r="C3021" t="s">
        <v>241</v>
      </c>
      <c r="D3021" t="s">
        <v>544</v>
      </c>
      <c r="E3021" t="s">
        <v>556</v>
      </c>
      <c r="F3021" t="s">
        <v>1068</v>
      </c>
      <c r="G3021" t="s">
        <v>1089</v>
      </c>
      <c r="H3021">
        <v>-3.99290228607364E-3</v>
      </c>
      <c r="I3021" t="s">
        <v>1090</v>
      </c>
      <c r="J3021">
        <v>4.6100000000000003</v>
      </c>
    </row>
    <row r="3022" spans="1:10" hidden="1">
      <c r="A3022" t="s">
        <v>2161</v>
      </c>
      <c r="B3022" t="s">
        <v>2162</v>
      </c>
      <c r="C3022" t="s">
        <v>241</v>
      </c>
      <c r="D3022" t="s">
        <v>544</v>
      </c>
      <c r="E3022" t="s">
        <v>557</v>
      </c>
      <c r="F3022" t="s">
        <v>1068</v>
      </c>
      <c r="G3022" t="s">
        <v>1069</v>
      </c>
      <c r="H3022">
        <v>-0.11524034683180601</v>
      </c>
      <c r="I3022" t="s">
        <v>1070</v>
      </c>
      <c r="J3022">
        <v>2.5499999999999998</v>
      </c>
    </row>
    <row r="3023" spans="1:10" hidden="1">
      <c r="A3023" t="s">
        <v>2161</v>
      </c>
      <c r="B3023" t="s">
        <v>2162</v>
      </c>
      <c r="C3023" t="s">
        <v>241</v>
      </c>
      <c r="D3023" t="s">
        <v>544</v>
      </c>
      <c r="E3023" t="s">
        <v>557</v>
      </c>
      <c r="F3023" t="s">
        <v>1068</v>
      </c>
      <c r="G3023" t="s">
        <v>1071</v>
      </c>
      <c r="H3023" s="170">
        <v>-2.4996946025412502E-10</v>
      </c>
      <c r="I3023" t="s">
        <v>1072</v>
      </c>
      <c r="J3023">
        <v>2.5499999999999998</v>
      </c>
    </row>
    <row r="3024" spans="1:10" hidden="1">
      <c r="A3024" t="s">
        <v>2161</v>
      </c>
      <c r="B3024" t="s">
        <v>2162</v>
      </c>
      <c r="C3024" t="s">
        <v>241</v>
      </c>
      <c r="D3024" t="s">
        <v>544</v>
      </c>
      <c r="E3024" t="s">
        <v>557</v>
      </c>
      <c r="F3024" t="s">
        <v>1068</v>
      </c>
      <c r="G3024" t="s">
        <v>1073</v>
      </c>
      <c r="H3024" s="170">
        <v>-4.6451687576110697E-8</v>
      </c>
      <c r="I3024" t="s">
        <v>1074</v>
      </c>
      <c r="J3024">
        <v>2.5499999999999998</v>
      </c>
    </row>
    <row r="3025" spans="1:10" hidden="1">
      <c r="A3025" t="s">
        <v>2161</v>
      </c>
      <c r="B3025" t="s">
        <v>2162</v>
      </c>
      <c r="C3025" t="s">
        <v>241</v>
      </c>
      <c r="D3025" t="s">
        <v>544</v>
      </c>
      <c r="E3025" t="s">
        <v>557</v>
      </c>
      <c r="F3025" t="s">
        <v>1068</v>
      </c>
      <c r="G3025" t="s">
        <v>1075</v>
      </c>
      <c r="H3025">
        <v>1.7440310411620901E-3</v>
      </c>
      <c r="I3025" t="s">
        <v>1077</v>
      </c>
      <c r="J3025">
        <v>2.5499999999999998</v>
      </c>
    </row>
    <row r="3026" spans="1:10" hidden="1">
      <c r="A3026" t="s">
        <v>2161</v>
      </c>
      <c r="B3026" t="s">
        <v>2162</v>
      </c>
      <c r="C3026" t="s">
        <v>241</v>
      </c>
      <c r="D3026" t="s">
        <v>544</v>
      </c>
      <c r="E3026" t="s">
        <v>557</v>
      </c>
      <c r="F3026" t="s">
        <v>1068</v>
      </c>
      <c r="G3026" t="s">
        <v>1078</v>
      </c>
      <c r="H3026">
        <v>-1.3728824944567799</v>
      </c>
      <c r="I3026" t="s">
        <v>1079</v>
      </c>
      <c r="J3026">
        <v>2.5499999999999998</v>
      </c>
    </row>
    <row r="3027" spans="1:10" hidden="1">
      <c r="A3027" t="s">
        <v>2161</v>
      </c>
      <c r="B3027" t="s">
        <v>2162</v>
      </c>
      <c r="C3027" t="s">
        <v>241</v>
      </c>
      <c r="D3027" t="s">
        <v>544</v>
      </c>
      <c r="E3027" t="s">
        <v>557</v>
      </c>
      <c r="F3027" t="s">
        <v>1068</v>
      </c>
      <c r="G3027" t="s">
        <v>1080</v>
      </c>
      <c r="H3027" s="171" t="s">
        <v>2163</v>
      </c>
      <c r="I3027" t="s">
        <v>1082</v>
      </c>
      <c r="J3027">
        <v>2.5499999999999998</v>
      </c>
    </row>
    <row r="3028" spans="1:10" hidden="1">
      <c r="A3028" t="s">
        <v>2161</v>
      </c>
      <c r="B3028" t="s">
        <v>2162</v>
      </c>
      <c r="C3028" t="s">
        <v>241</v>
      </c>
      <c r="D3028" t="s">
        <v>544</v>
      </c>
      <c r="E3028" t="s">
        <v>557</v>
      </c>
      <c r="F3028" t="s">
        <v>1068</v>
      </c>
      <c r="G3028" t="s">
        <v>1083</v>
      </c>
      <c r="H3028">
        <v>-5.3139323618023001E-4</v>
      </c>
      <c r="I3028" t="s">
        <v>1084</v>
      </c>
      <c r="J3028">
        <v>2.5499999999999998</v>
      </c>
    </row>
    <row r="3029" spans="1:10" hidden="1">
      <c r="A3029" t="s">
        <v>2161</v>
      </c>
      <c r="B3029" t="s">
        <v>2162</v>
      </c>
      <c r="C3029" t="s">
        <v>241</v>
      </c>
      <c r="D3029" t="s">
        <v>544</v>
      </c>
      <c r="E3029" t="s">
        <v>557</v>
      </c>
      <c r="F3029" t="s">
        <v>1068</v>
      </c>
      <c r="G3029" t="s">
        <v>1085</v>
      </c>
      <c r="H3029">
        <v>-1.4954237911941001E-2</v>
      </c>
      <c r="I3029" t="s">
        <v>1086</v>
      </c>
      <c r="J3029">
        <v>2.5499999999999998</v>
      </c>
    </row>
    <row r="3030" spans="1:10" hidden="1">
      <c r="A3030" t="s">
        <v>2161</v>
      </c>
      <c r="B3030" t="s">
        <v>2162</v>
      </c>
      <c r="C3030" t="s">
        <v>241</v>
      </c>
      <c r="D3030" t="s">
        <v>544</v>
      </c>
      <c r="E3030" t="s">
        <v>557</v>
      </c>
      <c r="F3030" t="s">
        <v>1068</v>
      </c>
      <c r="G3030" t="s">
        <v>1087</v>
      </c>
      <c r="H3030" s="170">
        <v>-3.9696124960437201E-6</v>
      </c>
      <c r="I3030" t="s">
        <v>1088</v>
      </c>
      <c r="J3030">
        <v>2.5499999999999998</v>
      </c>
    </row>
    <row r="3031" spans="1:10" hidden="1">
      <c r="A3031" t="s">
        <v>2161</v>
      </c>
      <c r="B3031" t="s">
        <v>2162</v>
      </c>
      <c r="C3031" t="s">
        <v>241</v>
      </c>
      <c r="D3031" t="s">
        <v>544</v>
      </c>
      <c r="E3031" t="s">
        <v>557</v>
      </c>
      <c r="F3031" t="s">
        <v>1068</v>
      </c>
      <c r="G3031" t="s">
        <v>1089</v>
      </c>
      <c r="H3031">
        <v>-3.9929474612913603E-3</v>
      </c>
      <c r="I3031" t="s">
        <v>1090</v>
      </c>
      <c r="J3031">
        <v>2.5499999999999998</v>
      </c>
    </row>
    <row r="3032" spans="1:10" hidden="1">
      <c r="A3032" t="s">
        <v>2164</v>
      </c>
      <c r="B3032" t="s">
        <v>2165</v>
      </c>
      <c r="C3032" t="s">
        <v>241</v>
      </c>
      <c r="D3032" t="s">
        <v>544</v>
      </c>
      <c r="E3032" t="s">
        <v>559</v>
      </c>
      <c r="F3032" t="s">
        <v>1068</v>
      </c>
      <c r="G3032" t="s">
        <v>1069</v>
      </c>
      <c r="H3032">
        <v>-0.11516646982840401</v>
      </c>
      <c r="I3032" t="s">
        <v>1070</v>
      </c>
      <c r="J3032">
        <v>2.0299999999999998</v>
      </c>
    </row>
    <row r="3033" spans="1:10" hidden="1">
      <c r="A3033" t="s">
        <v>2164</v>
      </c>
      <c r="B3033" t="s">
        <v>2165</v>
      </c>
      <c r="C3033" t="s">
        <v>241</v>
      </c>
      <c r="D3033" t="s">
        <v>544</v>
      </c>
      <c r="E3033" t="s">
        <v>559</v>
      </c>
      <c r="F3033" t="s">
        <v>1068</v>
      </c>
      <c r="G3033" t="s">
        <v>1071</v>
      </c>
      <c r="H3033" s="170">
        <v>-2.4981863977023199E-10</v>
      </c>
      <c r="I3033" t="s">
        <v>1072</v>
      </c>
      <c r="J3033">
        <v>2.0299999999999998</v>
      </c>
    </row>
    <row r="3034" spans="1:10" hidden="1">
      <c r="A3034" t="s">
        <v>2164</v>
      </c>
      <c r="B3034" t="s">
        <v>2165</v>
      </c>
      <c r="C3034" t="s">
        <v>241</v>
      </c>
      <c r="D3034" t="s">
        <v>544</v>
      </c>
      <c r="E3034" t="s">
        <v>559</v>
      </c>
      <c r="F3034" t="s">
        <v>1068</v>
      </c>
      <c r="G3034" t="s">
        <v>1073</v>
      </c>
      <c r="H3034" s="170">
        <v>-4.6429582633617297E-8</v>
      </c>
      <c r="I3034" t="s">
        <v>1074</v>
      </c>
      <c r="J3034">
        <v>2.0299999999999998</v>
      </c>
    </row>
    <row r="3035" spans="1:10" hidden="1">
      <c r="A3035" t="s">
        <v>2164</v>
      </c>
      <c r="B3035" t="s">
        <v>2165</v>
      </c>
      <c r="C3035" t="s">
        <v>241</v>
      </c>
      <c r="D3035" t="s">
        <v>544</v>
      </c>
      <c r="E3035" t="s">
        <v>559</v>
      </c>
      <c r="F3035" t="s">
        <v>1068</v>
      </c>
      <c r="G3035" t="s">
        <v>1075</v>
      </c>
      <c r="H3035">
        <v>1.77601713761888E-3</v>
      </c>
      <c r="I3035" t="s">
        <v>1077</v>
      </c>
      <c r="J3035">
        <v>2.0299999999999998</v>
      </c>
    </row>
    <row r="3036" spans="1:10" hidden="1">
      <c r="A3036" t="s">
        <v>2164</v>
      </c>
      <c r="B3036" t="s">
        <v>2165</v>
      </c>
      <c r="C3036" t="s">
        <v>241</v>
      </c>
      <c r="D3036" t="s">
        <v>544</v>
      </c>
      <c r="E3036" t="s">
        <v>559</v>
      </c>
      <c r="F3036" t="s">
        <v>1068</v>
      </c>
      <c r="G3036" t="s">
        <v>1078</v>
      </c>
      <c r="H3036">
        <v>-1.36023169047337</v>
      </c>
      <c r="I3036" t="s">
        <v>1079</v>
      </c>
      <c r="J3036">
        <v>2.0299999999999998</v>
      </c>
    </row>
    <row r="3037" spans="1:10" hidden="1">
      <c r="A3037" t="s">
        <v>2164</v>
      </c>
      <c r="B3037" t="s">
        <v>2165</v>
      </c>
      <c r="C3037" t="s">
        <v>241</v>
      </c>
      <c r="D3037" t="s">
        <v>544</v>
      </c>
      <c r="E3037" t="s">
        <v>559</v>
      </c>
      <c r="F3037" t="s">
        <v>1068</v>
      </c>
      <c r="G3037" t="s">
        <v>1080</v>
      </c>
      <c r="H3037" s="171" t="s">
        <v>2166</v>
      </c>
      <c r="I3037" t="s">
        <v>1082</v>
      </c>
      <c r="J3037">
        <v>2.0299999999999998</v>
      </c>
    </row>
    <row r="3038" spans="1:10" hidden="1">
      <c r="A3038" t="s">
        <v>2164</v>
      </c>
      <c r="B3038" t="s">
        <v>2165</v>
      </c>
      <c r="C3038" t="s">
        <v>241</v>
      </c>
      <c r="D3038" t="s">
        <v>544</v>
      </c>
      <c r="E3038" t="s">
        <v>559</v>
      </c>
      <c r="F3038" t="s">
        <v>1068</v>
      </c>
      <c r="G3038" t="s">
        <v>1083</v>
      </c>
      <c r="H3038">
        <v>-5.3138492510003703E-4</v>
      </c>
      <c r="I3038" t="s">
        <v>1084</v>
      </c>
      <c r="J3038">
        <v>2.0299999999999998</v>
      </c>
    </row>
    <row r="3039" spans="1:10" hidden="1">
      <c r="A3039" t="s">
        <v>2164</v>
      </c>
      <c r="B3039" t="s">
        <v>2165</v>
      </c>
      <c r="C3039" t="s">
        <v>241</v>
      </c>
      <c r="D3039" t="s">
        <v>544</v>
      </c>
      <c r="E3039" t="s">
        <v>559</v>
      </c>
      <c r="F3039" t="s">
        <v>1068</v>
      </c>
      <c r="G3039" t="s">
        <v>1085</v>
      </c>
      <c r="H3039">
        <v>-1.49539846042261E-2</v>
      </c>
      <c r="I3039" t="s">
        <v>1086</v>
      </c>
      <c r="J3039">
        <v>2.0299999999999998</v>
      </c>
    </row>
    <row r="3040" spans="1:10" hidden="1">
      <c r="A3040" t="s">
        <v>2164</v>
      </c>
      <c r="B3040" t="s">
        <v>2165</v>
      </c>
      <c r="C3040" t="s">
        <v>241</v>
      </c>
      <c r="D3040" t="s">
        <v>544</v>
      </c>
      <c r="E3040" t="s">
        <v>559</v>
      </c>
      <c r="F3040" t="s">
        <v>1068</v>
      </c>
      <c r="G3040" t="s">
        <v>1087</v>
      </c>
      <c r="H3040" s="170">
        <v>-3.9681029423020901E-6</v>
      </c>
      <c r="I3040" t="s">
        <v>1088</v>
      </c>
      <c r="J3040">
        <v>2.0299999999999998</v>
      </c>
    </row>
    <row r="3041" spans="1:10" hidden="1">
      <c r="A3041" t="s">
        <v>2164</v>
      </c>
      <c r="B3041" t="s">
        <v>2165</v>
      </c>
      <c r="C3041" t="s">
        <v>241</v>
      </c>
      <c r="D3041" t="s">
        <v>544</v>
      </c>
      <c r="E3041" t="s">
        <v>559</v>
      </c>
      <c r="F3041" t="s">
        <v>1068</v>
      </c>
      <c r="G3041" t="s">
        <v>1089</v>
      </c>
      <c r="H3041">
        <v>-3.9929229688497004E-3</v>
      </c>
      <c r="I3041" t="s">
        <v>1090</v>
      </c>
      <c r="J3041">
        <v>2.0299999999999998</v>
      </c>
    </row>
    <row r="3042" spans="1:10" hidden="1">
      <c r="A3042" t="s">
        <v>2167</v>
      </c>
      <c r="B3042" t="s">
        <v>2168</v>
      </c>
      <c r="C3042" t="s">
        <v>241</v>
      </c>
      <c r="D3042" t="s">
        <v>544</v>
      </c>
      <c r="E3042" t="s">
        <v>560</v>
      </c>
      <c r="F3042" t="s">
        <v>1068</v>
      </c>
      <c r="G3042" t="s">
        <v>1069</v>
      </c>
      <c r="H3042">
        <v>-0.11520438194118</v>
      </c>
      <c r="I3042" t="s">
        <v>1070</v>
      </c>
      <c r="J3042">
        <v>4.97</v>
      </c>
    </row>
    <row r="3043" spans="1:10" hidden="1">
      <c r="A3043" t="s">
        <v>2167</v>
      </c>
      <c r="B3043" t="s">
        <v>2168</v>
      </c>
      <c r="C3043" t="s">
        <v>241</v>
      </c>
      <c r="D3043" t="s">
        <v>544</v>
      </c>
      <c r="E3043" t="s">
        <v>560</v>
      </c>
      <c r="F3043" t="s">
        <v>1068</v>
      </c>
      <c r="G3043" t="s">
        <v>1071</v>
      </c>
      <c r="H3043" s="170">
        <v>-2.4991799408647302E-10</v>
      </c>
      <c r="I3043" t="s">
        <v>1072</v>
      </c>
      <c r="J3043">
        <v>4.97</v>
      </c>
    </row>
    <row r="3044" spans="1:10" hidden="1">
      <c r="A3044" t="s">
        <v>2167</v>
      </c>
      <c r="B3044" t="s">
        <v>2168</v>
      </c>
      <c r="C3044" t="s">
        <v>241</v>
      </c>
      <c r="D3044" t="s">
        <v>544</v>
      </c>
      <c r="E3044" t="s">
        <v>560</v>
      </c>
      <c r="F3044" t="s">
        <v>1068</v>
      </c>
      <c r="G3044" t="s">
        <v>1073</v>
      </c>
      <c r="H3044" s="170">
        <v>-4.64389127331605E-8</v>
      </c>
      <c r="I3044" t="s">
        <v>1074</v>
      </c>
      <c r="J3044">
        <v>4.97</v>
      </c>
    </row>
    <row r="3045" spans="1:10" hidden="1">
      <c r="A3045" t="s">
        <v>2167</v>
      </c>
      <c r="B3045" t="s">
        <v>2168</v>
      </c>
      <c r="C3045" t="s">
        <v>241</v>
      </c>
      <c r="D3045" t="s">
        <v>544</v>
      </c>
      <c r="E3045" t="s">
        <v>560</v>
      </c>
      <c r="F3045" t="s">
        <v>1068</v>
      </c>
      <c r="G3045" t="s">
        <v>1075</v>
      </c>
      <c r="H3045">
        <v>1.7451679297750401E-3</v>
      </c>
      <c r="I3045" t="s">
        <v>1077</v>
      </c>
      <c r="J3045">
        <v>4.97</v>
      </c>
    </row>
    <row r="3046" spans="1:10" hidden="1">
      <c r="A3046" t="s">
        <v>2167</v>
      </c>
      <c r="B3046" t="s">
        <v>2168</v>
      </c>
      <c r="C3046" t="s">
        <v>241</v>
      </c>
      <c r="D3046" t="s">
        <v>544</v>
      </c>
      <c r="E3046" t="s">
        <v>560</v>
      </c>
      <c r="F3046" t="s">
        <v>1068</v>
      </c>
      <c r="G3046" t="s">
        <v>1078</v>
      </c>
      <c r="H3046">
        <v>-1.3728333310077301</v>
      </c>
      <c r="I3046" t="s">
        <v>1079</v>
      </c>
      <c r="J3046">
        <v>4.97</v>
      </c>
    </row>
    <row r="3047" spans="1:10" hidden="1">
      <c r="A3047" t="s">
        <v>2167</v>
      </c>
      <c r="B3047" t="s">
        <v>2168</v>
      </c>
      <c r="C3047" t="s">
        <v>241</v>
      </c>
      <c r="D3047" t="s">
        <v>544</v>
      </c>
      <c r="E3047" t="s">
        <v>560</v>
      </c>
      <c r="F3047" t="s">
        <v>1068</v>
      </c>
      <c r="G3047" t="s">
        <v>1080</v>
      </c>
      <c r="H3047" s="171" t="s">
        <v>2169</v>
      </c>
      <c r="I3047" t="s">
        <v>1082</v>
      </c>
      <c r="J3047">
        <v>4.97</v>
      </c>
    </row>
    <row r="3048" spans="1:10" hidden="1">
      <c r="A3048" t="s">
        <v>2167</v>
      </c>
      <c r="B3048" t="s">
        <v>2168</v>
      </c>
      <c r="C3048" t="s">
        <v>241</v>
      </c>
      <c r="D3048" t="s">
        <v>544</v>
      </c>
      <c r="E3048" t="s">
        <v>560</v>
      </c>
      <c r="F3048" t="s">
        <v>1068</v>
      </c>
      <c r="G3048" t="s">
        <v>1083</v>
      </c>
      <c r="H3048">
        <v>-5.3138776949356904E-4</v>
      </c>
      <c r="I3048" t="s">
        <v>1084</v>
      </c>
      <c r="J3048">
        <v>4.97</v>
      </c>
    </row>
    <row r="3049" spans="1:10" hidden="1">
      <c r="A3049" t="s">
        <v>2167</v>
      </c>
      <c r="B3049" t="s">
        <v>2168</v>
      </c>
      <c r="C3049" t="s">
        <v>241</v>
      </c>
      <c r="D3049" t="s">
        <v>544</v>
      </c>
      <c r="E3049" t="s">
        <v>560</v>
      </c>
      <c r="F3049" t="s">
        <v>1068</v>
      </c>
      <c r="G3049" t="s">
        <v>1085</v>
      </c>
      <c r="H3049">
        <v>-1.49541761272867E-2</v>
      </c>
      <c r="I3049" t="s">
        <v>1086</v>
      </c>
      <c r="J3049">
        <v>4.97</v>
      </c>
    </row>
    <row r="3050" spans="1:10" hidden="1">
      <c r="A3050" t="s">
        <v>2167</v>
      </c>
      <c r="B3050" t="s">
        <v>2168</v>
      </c>
      <c r="C3050" t="s">
        <v>241</v>
      </c>
      <c r="D3050" t="s">
        <v>544</v>
      </c>
      <c r="E3050" t="s">
        <v>560</v>
      </c>
      <c r="F3050" t="s">
        <v>1068</v>
      </c>
      <c r="G3050" t="s">
        <v>1087</v>
      </c>
      <c r="H3050" s="170">
        <v>-3.9695826784874396E-6</v>
      </c>
      <c r="I3050" t="s">
        <v>1088</v>
      </c>
      <c r="J3050">
        <v>4.97</v>
      </c>
    </row>
    <row r="3051" spans="1:10" hidden="1">
      <c r="A3051" t="s">
        <v>2167</v>
      </c>
      <c r="B3051" t="s">
        <v>2168</v>
      </c>
      <c r="C3051" t="s">
        <v>241</v>
      </c>
      <c r="D3051" t="s">
        <v>544</v>
      </c>
      <c r="E3051" t="s">
        <v>560</v>
      </c>
      <c r="F3051" t="s">
        <v>1068</v>
      </c>
      <c r="G3051" t="s">
        <v>1089</v>
      </c>
      <c r="H3051">
        <v>-3.9929347152391796E-3</v>
      </c>
      <c r="I3051" t="s">
        <v>1090</v>
      </c>
      <c r="J3051">
        <v>4.97</v>
      </c>
    </row>
    <row r="3052" spans="1:10" hidden="1">
      <c r="A3052" t="s">
        <v>2170</v>
      </c>
      <c r="B3052" t="s">
        <v>2171</v>
      </c>
      <c r="C3052" t="s">
        <v>241</v>
      </c>
      <c r="D3052" t="s">
        <v>544</v>
      </c>
      <c r="E3052" t="s">
        <v>1116</v>
      </c>
      <c r="F3052" t="s">
        <v>1068</v>
      </c>
      <c r="G3052" t="s">
        <v>1069</v>
      </c>
      <c r="H3052">
        <v>-0.115313539001204</v>
      </c>
      <c r="I3052" t="s">
        <v>1070</v>
      </c>
      <c r="J3052">
        <v>2.54</v>
      </c>
    </row>
    <row r="3053" spans="1:10" hidden="1">
      <c r="A3053" t="s">
        <v>2170</v>
      </c>
      <c r="B3053" t="s">
        <v>2171</v>
      </c>
      <c r="C3053" t="s">
        <v>241</v>
      </c>
      <c r="D3053" t="s">
        <v>544</v>
      </c>
      <c r="E3053" t="s">
        <v>1116</v>
      </c>
      <c r="F3053" t="s">
        <v>1068</v>
      </c>
      <c r="G3053" t="s">
        <v>1071</v>
      </c>
      <c r="H3053" s="170">
        <v>-2.5007419908136102E-10</v>
      </c>
      <c r="I3053" t="s">
        <v>1072</v>
      </c>
      <c r="J3053">
        <v>2.54</v>
      </c>
    </row>
    <row r="3054" spans="1:10" hidden="1">
      <c r="A3054" t="s">
        <v>2170</v>
      </c>
      <c r="B3054" t="s">
        <v>2171</v>
      </c>
      <c r="C3054" t="s">
        <v>241</v>
      </c>
      <c r="D3054" t="s">
        <v>544</v>
      </c>
      <c r="E3054" t="s">
        <v>1116</v>
      </c>
      <c r="F3054" t="s">
        <v>1068</v>
      </c>
      <c r="G3054" t="s">
        <v>1073</v>
      </c>
      <c r="H3054" s="170">
        <v>-4.6477685666281903E-8</v>
      </c>
      <c r="I3054" t="s">
        <v>1074</v>
      </c>
      <c r="J3054">
        <v>2.54</v>
      </c>
    </row>
    <row r="3055" spans="1:10" hidden="1">
      <c r="A3055" t="s">
        <v>2170</v>
      </c>
      <c r="B3055" t="s">
        <v>2171</v>
      </c>
      <c r="C3055" t="s">
        <v>241</v>
      </c>
      <c r="D3055" t="s">
        <v>544</v>
      </c>
      <c r="E3055" t="s">
        <v>1116</v>
      </c>
      <c r="F3055" t="s">
        <v>1068</v>
      </c>
      <c r="G3055" t="s">
        <v>1075</v>
      </c>
      <c r="H3055">
        <v>1.74171735850127E-3</v>
      </c>
      <c r="I3055" t="s">
        <v>1077</v>
      </c>
      <c r="J3055">
        <v>2.54</v>
      </c>
    </row>
    <row r="3056" spans="1:10" hidden="1">
      <c r="A3056" t="s">
        <v>2170</v>
      </c>
      <c r="B3056" t="s">
        <v>2171</v>
      </c>
      <c r="C3056" t="s">
        <v>241</v>
      </c>
      <c r="D3056" t="s">
        <v>544</v>
      </c>
      <c r="E3056" t="s">
        <v>1116</v>
      </c>
      <c r="F3056" t="s">
        <v>1068</v>
      </c>
      <c r="G3056" t="s">
        <v>1078</v>
      </c>
      <c r="H3056">
        <v>-1.3729825470197501</v>
      </c>
      <c r="I3056" t="s">
        <v>1079</v>
      </c>
      <c r="J3056">
        <v>2.54</v>
      </c>
    </row>
    <row r="3057" spans="1:10" hidden="1">
      <c r="A3057" t="s">
        <v>2170</v>
      </c>
      <c r="B3057" t="s">
        <v>2171</v>
      </c>
      <c r="C3057" t="s">
        <v>241</v>
      </c>
      <c r="D3057" t="s">
        <v>544</v>
      </c>
      <c r="E3057" t="s">
        <v>1116</v>
      </c>
      <c r="F3057" t="s">
        <v>1068</v>
      </c>
      <c r="G3057" t="s">
        <v>1080</v>
      </c>
      <c r="H3057" s="171" t="s">
        <v>2172</v>
      </c>
      <c r="I3057" t="s">
        <v>1082</v>
      </c>
      <c r="J3057">
        <v>2.54</v>
      </c>
    </row>
    <row r="3058" spans="1:10" hidden="1">
      <c r="A3058" t="s">
        <v>2170</v>
      </c>
      <c r="B3058" t="s">
        <v>2171</v>
      </c>
      <c r="C3058" t="s">
        <v>241</v>
      </c>
      <c r="D3058" t="s">
        <v>544</v>
      </c>
      <c r="E3058" t="s">
        <v>1116</v>
      </c>
      <c r="F3058" t="s">
        <v>1068</v>
      </c>
      <c r="G3058" t="s">
        <v>1083</v>
      </c>
      <c r="H3058">
        <v>-5.3140436143734703E-4</v>
      </c>
      <c r="I3058" t="s">
        <v>1084</v>
      </c>
      <c r="J3058">
        <v>2.54</v>
      </c>
    </row>
    <row r="3059" spans="1:10" hidden="1">
      <c r="A3059" t="s">
        <v>2170</v>
      </c>
      <c r="B3059" t="s">
        <v>2171</v>
      </c>
      <c r="C3059" t="s">
        <v>241</v>
      </c>
      <c r="D3059" t="s">
        <v>544</v>
      </c>
      <c r="E3059" t="s">
        <v>1116</v>
      </c>
      <c r="F3059" t="s">
        <v>1068</v>
      </c>
      <c r="G3059" t="s">
        <v>1085</v>
      </c>
      <c r="H3059">
        <v>-1.4954363649926E-2</v>
      </c>
      <c r="I3059" t="s">
        <v>1086</v>
      </c>
      <c r="J3059">
        <v>2.54</v>
      </c>
    </row>
    <row r="3060" spans="1:10" hidden="1">
      <c r="A3060" t="s">
        <v>2170</v>
      </c>
      <c r="B3060" t="s">
        <v>2171</v>
      </c>
      <c r="C3060" t="s">
        <v>241</v>
      </c>
      <c r="D3060" t="s">
        <v>544</v>
      </c>
      <c r="E3060" t="s">
        <v>1116</v>
      </c>
      <c r="F3060" t="s">
        <v>1068</v>
      </c>
      <c r="G3060" t="s">
        <v>1087</v>
      </c>
      <c r="H3060" s="170">
        <v>-3.9696731777693802E-6</v>
      </c>
      <c r="I3060" t="s">
        <v>1088</v>
      </c>
      <c r="J3060">
        <v>2.54</v>
      </c>
    </row>
    <row r="3061" spans="1:10" hidden="1">
      <c r="A3061" t="s">
        <v>2170</v>
      </c>
      <c r="B3061" t="s">
        <v>2171</v>
      </c>
      <c r="C3061" t="s">
        <v>241</v>
      </c>
      <c r="D3061" t="s">
        <v>544</v>
      </c>
      <c r="E3061" t="s">
        <v>1116</v>
      </c>
      <c r="F3061" t="s">
        <v>1068</v>
      </c>
      <c r="G3061" t="s">
        <v>1089</v>
      </c>
      <c r="H3061">
        <v>-3.9929734007893604E-3</v>
      </c>
      <c r="I3061" t="s">
        <v>1090</v>
      </c>
      <c r="J3061">
        <v>2.54</v>
      </c>
    </row>
    <row r="3062" spans="1:10" hidden="1">
      <c r="A3062" t="s">
        <v>2173</v>
      </c>
      <c r="B3062" t="s">
        <v>2174</v>
      </c>
      <c r="C3062" t="s">
        <v>241</v>
      </c>
      <c r="D3062" t="s">
        <v>1535</v>
      </c>
      <c r="E3062" t="s">
        <v>561</v>
      </c>
      <c r="F3062" t="s">
        <v>1068</v>
      </c>
      <c r="G3062" t="s">
        <v>1069</v>
      </c>
      <c r="H3062">
        <v>-8.1151579413100194E-2</v>
      </c>
      <c r="I3062" t="s">
        <v>1070</v>
      </c>
      <c r="J3062">
        <v>2.5499999999999998</v>
      </c>
    </row>
    <row r="3063" spans="1:10" hidden="1">
      <c r="A3063" t="s">
        <v>2173</v>
      </c>
      <c r="B3063" t="s">
        <v>2174</v>
      </c>
      <c r="C3063" t="s">
        <v>241</v>
      </c>
      <c r="D3063" t="s">
        <v>1535</v>
      </c>
      <c r="E3063" t="s">
        <v>561</v>
      </c>
      <c r="F3063" t="s">
        <v>1068</v>
      </c>
      <c r="G3063" t="s">
        <v>1071</v>
      </c>
      <c r="H3063" s="170">
        <v>-1.7235914366203999E-10</v>
      </c>
      <c r="I3063" t="s">
        <v>1072</v>
      </c>
      <c r="J3063">
        <v>2.5499999999999998</v>
      </c>
    </row>
    <row r="3064" spans="1:10" hidden="1">
      <c r="A3064" t="s">
        <v>2173</v>
      </c>
      <c r="B3064" t="s">
        <v>2174</v>
      </c>
      <c r="C3064" t="s">
        <v>241</v>
      </c>
      <c r="D3064" t="s">
        <v>1535</v>
      </c>
      <c r="E3064" t="s">
        <v>561</v>
      </c>
      <c r="F3064" t="s">
        <v>1068</v>
      </c>
      <c r="G3064" t="s">
        <v>1073</v>
      </c>
      <c r="H3064" s="170">
        <v>-3.2763331183919503E-8</v>
      </c>
      <c r="I3064" t="s">
        <v>1074</v>
      </c>
      <c r="J3064">
        <v>2.5499999999999998</v>
      </c>
    </row>
    <row r="3065" spans="1:10" hidden="1">
      <c r="A3065" t="s">
        <v>2173</v>
      </c>
      <c r="B3065" t="s">
        <v>2174</v>
      </c>
      <c r="C3065" t="s">
        <v>241</v>
      </c>
      <c r="D3065" t="s">
        <v>1535</v>
      </c>
      <c r="E3065" t="s">
        <v>561</v>
      </c>
      <c r="F3065" t="s">
        <v>1068</v>
      </c>
      <c r="G3065" t="s">
        <v>1075</v>
      </c>
      <c r="H3065">
        <v>2.1938852254532E-3</v>
      </c>
      <c r="I3065" t="s">
        <v>1077</v>
      </c>
      <c r="J3065">
        <v>2.5499999999999998</v>
      </c>
    </row>
    <row r="3066" spans="1:10" hidden="1">
      <c r="A3066" t="s">
        <v>2173</v>
      </c>
      <c r="B3066" t="s">
        <v>2174</v>
      </c>
      <c r="C3066" t="s">
        <v>241</v>
      </c>
      <c r="D3066" t="s">
        <v>1535</v>
      </c>
      <c r="E3066" t="s">
        <v>561</v>
      </c>
      <c r="F3066" t="s">
        <v>1068</v>
      </c>
      <c r="G3066" t="s">
        <v>1078</v>
      </c>
      <c r="H3066">
        <v>-1.6255378419641999</v>
      </c>
      <c r="I3066" t="s">
        <v>1079</v>
      </c>
      <c r="J3066">
        <v>2.5499999999999998</v>
      </c>
    </row>
    <row r="3067" spans="1:10" hidden="1">
      <c r="A3067" t="s">
        <v>2173</v>
      </c>
      <c r="B3067" t="s">
        <v>2174</v>
      </c>
      <c r="C3067" t="s">
        <v>241</v>
      </c>
      <c r="D3067" t="s">
        <v>1535</v>
      </c>
      <c r="E3067" t="s">
        <v>561</v>
      </c>
      <c r="F3067" t="s">
        <v>1068</v>
      </c>
      <c r="G3067" t="s">
        <v>1080</v>
      </c>
      <c r="H3067" s="171" t="s">
        <v>2175</v>
      </c>
      <c r="I3067" t="s">
        <v>1082</v>
      </c>
      <c r="J3067">
        <v>2.5499999999999998</v>
      </c>
    </row>
    <row r="3068" spans="1:10" hidden="1">
      <c r="A3068" t="s">
        <v>2173</v>
      </c>
      <c r="B3068" t="s">
        <v>2174</v>
      </c>
      <c r="C3068" t="s">
        <v>241</v>
      </c>
      <c r="D3068" t="s">
        <v>1535</v>
      </c>
      <c r="E3068" t="s">
        <v>561</v>
      </c>
      <c r="F3068" t="s">
        <v>1068</v>
      </c>
      <c r="G3068" t="s">
        <v>1083</v>
      </c>
      <c r="H3068">
        <v>-4.4475225091758697E-4</v>
      </c>
      <c r="I3068" t="s">
        <v>1084</v>
      </c>
      <c r="J3068">
        <v>2.5499999999999998</v>
      </c>
    </row>
    <row r="3069" spans="1:10" hidden="1">
      <c r="A3069" t="s">
        <v>2173</v>
      </c>
      <c r="B3069" t="s">
        <v>2174</v>
      </c>
      <c r="C3069" t="s">
        <v>241</v>
      </c>
      <c r="D3069" t="s">
        <v>1535</v>
      </c>
      <c r="E3069" t="s">
        <v>561</v>
      </c>
      <c r="F3069" t="s">
        <v>1068</v>
      </c>
      <c r="G3069" t="s">
        <v>1085</v>
      </c>
      <c r="H3069">
        <v>-1.2516121717625599E-2</v>
      </c>
      <c r="I3069" t="s">
        <v>1086</v>
      </c>
      <c r="J3069">
        <v>2.5499999999999998</v>
      </c>
    </row>
    <row r="3070" spans="1:10" hidden="1">
      <c r="A3070" t="s">
        <v>2173</v>
      </c>
      <c r="B3070" t="s">
        <v>2174</v>
      </c>
      <c r="C3070" t="s">
        <v>241</v>
      </c>
      <c r="D3070" t="s">
        <v>1535</v>
      </c>
      <c r="E3070" t="s">
        <v>561</v>
      </c>
      <c r="F3070" t="s">
        <v>1068</v>
      </c>
      <c r="G3070" t="s">
        <v>1087</v>
      </c>
      <c r="H3070" s="170">
        <v>-2.0560477118558101E-7</v>
      </c>
      <c r="I3070" t="s">
        <v>1088</v>
      </c>
      <c r="J3070">
        <v>2.5499999999999998</v>
      </c>
    </row>
    <row r="3071" spans="1:10" hidden="1">
      <c r="A3071" t="s">
        <v>2173</v>
      </c>
      <c r="B3071" t="s">
        <v>2174</v>
      </c>
      <c r="C3071" t="s">
        <v>241</v>
      </c>
      <c r="D3071" t="s">
        <v>1535</v>
      </c>
      <c r="E3071" t="s">
        <v>561</v>
      </c>
      <c r="F3071" t="s">
        <v>1068</v>
      </c>
      <c r="G3071" t="s">
        <v>1089</v>
      </c>
      <c r="H3071">
        <v>-3.39728541787315E-3</v>
      </c>
      <c r="I3071" t="s">
        <v>1090</v>
      </c>
      <c r="J3071">
        <v>2.5499999999999998</v>
      </c>
    </row>
    <row r="3072" spans="1:10" hidden="1">
      <c r="A3072" t="s">
        <v>2176</v>
      </c>
      <c r="B3072" t="s">
        <v>2177</v>
      </c>
      <c r="C3072" t="s">
        <v>241</v>
      </c>
      <c r="D3072" t="s">
        <v>1535</v>
      </c>
      <c r="E3072" t="s">
        <v>555</v>
      </c>
      <c r="F3072" t="s">
        <v>1068</v>
      </c>
      <c r="G3072" t="s">
        <v>1069</v>
      </c>
      <c r="H3072">
        <v>-8.0951099374946503E-2</v>
      </c>
      <c r="I3072" t="s">
        <v>1070</v>
      </c>
      <c r="J3072">
        <v>2.04</v>
      </c>
    </row>
    <row r="3073" spans="1:10" hidden="1">
      <c r="A3073" t="s">
        <v>2176</v>
      </c>
      <c r="B3073" t="s">
        <v>2177</v>
      </c>
      <c r="C3073" t="s">
        <v>241</v>
      </c>
      <c r="D3073" t="s">
        <v>1535</v>
      </c>
      <c r="E3073" t="s">
        <v>555</v>
      </c>
      <c r="F3073" t="s">
        <v>1068</v>
      </c>
      <c r="G3073" t="s">
        <v>1071</v>
      </c>
      <c r="H3073" s="170">
        <v>-1.7202657266996701E-10</v>
      </c>
      <c r="I3073" t="s">
        <v>1072</v>
      </c>
      <c r="J3073">
        <v>2.04</v>
      </c>
    </row>
    <row r="3074" spans="1:10" hidden="1">
      <c r="A3074" t="s">
        <v>2176</v>
      </c>
      <c r="B3074" t="s">
        <v>2177</v>
      </c>
      <c r="C3074" t="s">
        <v>241</v>
      </c>
      <c r="D3074" t="s">
        <v>1535</v>
      </c>
      <c r="E3074" t="s">
        <v>555</v>
      </c>
      <c r="F3074" t="s">
        <v>1068</v>
      </c>
      <c r="G3074" t="s">
        <v>1073</v>
      </c>
      <c r="H3074" s="170">
        <v>-3.26963096478365E-8</v>
      </c>
      <c r="I3074" t="s">
        <v>1074</v>
      </c>
      <c r="J3074">
        <v>2.04</v>
      </c>
    </row>
    <row r="3075" spans="1:10" hidden="1">
      <c r="A3075" t="s">
        <v>2176</v>
      </c>
      <c r="B3075" t="s">
        <v>2177</v>
      </c>
      <c r="C3075" t="s">
        <v>241</v>
      </c>
      <c r="D3075" t="s">
        <v>1535</v>
      </c>
      <c r="E3075" t="s">
        <v>555</v>
      </c>
      <c r="F3075" t="s">
        <v>1068</v>
      </c>
      <c r="G3075" t="s">
        <v>1075</v>
      </c>
      <c r="H3075">
        <v>2.2302547654146502E-3</v>
      </c>
      <c r="I3075" t="s">
        <v>1077</v>
      </c>
      <c r="J3075">
        <v>2.04</v>
      </c>
    </row>
    <row r="3076" spans="1:10" hidden="1">
      <c r="A3076" t="s">
        <v>2176</v>
      </c>
      <c r="B3076" t="s">
        <v>2177</v>
      </c>
      <c r="C3076" t="s">
        <v>241</v>
      </c>
      <c r="D3076" t="s">
        <v>1535</v>
      </c>
      <c r="E3076" t="s">
        <v>555</v>
      </c>
      <c r="F3076" t="s">
        <v>1068</v>
      </c>
      <c r="G3076" t="s">
        <v>1078</v>
      </c>
      <c r="H3076">
        <v>-1.6125525501704201</v>
      </c>
      <c r="I3076" t="s">
        <v>1079</v>
      </c>
      <c r="J3076">
        <v>2.04</v>
      </c>
    </row>
    <row r="3077" spans="1:10" hidden="1">
      <c r="A3077" t="s">
        <v>2176</v>
      </c>
      <c r="B3077" t="s">
        <v>2177</v>
      </c>
      <c r="C3077" t="s">
        <v>241</v>
      </c>
      <c r="D3077" t="s">
        <v>1535</v>
      </c>
      <c r="E3077" t="s">
        <v>555</v>
      </c>
      <c r="F3077" t="s">
        <v>1068</v>
      </c>
      <c r="G3077" t="s">
        <v>1080</v>
      </c>
      <c r="H3077" s="171" t="s">
        <v>2178</v>
      </c>
      <c r="I3077" t="s">
        <v>1082</v>
      </c>
      <c r="J3077">
        <v>2.04</v>
      </c>
    </row>
    <row r="3078" spans="1:10" hidden="1">
      <c r="A3078" t="s">
        <v>2176</v>
      </c>
      <c r="B3078" t="s">
        <v>2177</v>
      </c>
      <c r="C3078" t="s">
        <v>241</v>
      </c>
      <c r="D3078" t="s">
        <v>1535</v>
      </c>
      <c r="E3078" t="s">
        <v>555</v>
      </c>
      <c r="F3078" t="s">
        <v>1068</v>
      </c>
      <c r="G3078" t="s">
        <v>1083</v>
      </c>
      <c r="H3078">
        <v>-4.4472473363074802E-4</v>
      </c>
      <c r="I3078" t="s">
        <v>1084</v>
      </c>
      <c r="J3078">
        <v>2.04</v>
      </c>
    </row>
    <row r="3079" spans="1:10" hidden="1">
      <c r="A3079" t="s">
        <v>2176</v>
      </c>
      <c r="B3079" t="s">
        <v>2177</v>
      </c>
      <c r="C3079" t="s">
        <v>241</v>
      </c>
      <c r="D3079" t="s">
        <v>1535</v>
      </c>
      <c r="E3079" t="s">
        <v>555</v>
      </c>
      <c r="F3079" t="s">
        <v>1068</v>
      </c>
      <c r="G3079" t="s">
        <v>1085</v>
      </c>
      <c r="H3079">
        <v>-1.2515649290807901E-2</v>
      </c>
      <c r="I3079" t="s">
        <v>1086</v>
      </c>
      <c r="J3079">
        <v>2.04</v>
      </c>
    </row>
    <row r="3080" spans="1:10" hidden="1">
      <c r="A3080" t="s">
        <v>2176</v>
      </c>
      <c r="B3080" t="s">
        <v>2177</v>
      </c>
      <c r="C3080" t="s">
        <v>241</v>
      </c>
      <c r="D3080" t="s">
        <v>1535</v>
      </c>
      <c r="E3080" t="s">
        <v>555</v>
      </c>
      <c r="F3080" t="s">
        <v>1068</v>
      </c>
      <c r="G3080" t="s">
        <v>1087</v>
      </c>
      <c r="H3080" s="170">
        <v>-2.03971625180251E-7</v>
      </c>
      <c r="I3080" t="s">
        <v>1088</v>
      </c>
      <c r="J3080">
        <v>2.04</v>
      </c>
    </row>
    <row r="3081" spans="1:10" hidden="1">
      <c r="A3081" t="s">
        <v>2176</v>
      </c>
      <c r="B3081" t="s">
        <v>2177</v>
      </c>
      <c r="C3081" t="s">
        <v>241</v>
      </c>
      <c r="D3081" t="s">
        <v>1535</v>
      </c>
      <c r="E3081" t="s">
        <v>555</v>
      </c>
      <c r="F3081" t="s">
        <v>1068</v>
      </c>
      <c r="G3081" t="s">
        <v>1089</v>
      </c>
      <c r="H3081">
        <v>-3.39721607871656E-3</v>
      </c>
      <c r="I3081" t="s">
        <v>1090</v>
      </c>
      <c r="J3081">
        <v>2.04</v>
      </c>
    </row>
    <row r="3082" spans="1:10" hidden="1">
      <c r="A3082" t="s">
        <v>2179</v>
      </c>
      <c r="B3082" t="s">
        <v>2180</v>
      </c>
      <c r="C3082" t="s">
        <v>241</v>
      </c>
      <c r="D3082" t="s">
        <v>1535</v>
      </c>
      <c r="E3082" t="s">
        <v>558</v>
      </c>
      <c r="F3082" t="s">
        <v>1068</v>
      </c>
      <c r="G3082" t="s">
        <v>1069</v>
      </c>
      <c r="H3082">
        <v>-8.1167597306241401E-2</v>
      </c>
      <c r="I3082" t="s">
        <v>1070</v>
      </c>
      <c r="J3082">
        <v>2.5499999999999998</v>
      </c>
    </row>
    <row r="3083" spans="1:10" hidden="1">
      <c r="A3083" t="s">
        <v>2179</v>
      </c>
      <c r="B3083" t="s">
        <v>2180</v>
      </c>
      <c r="C3083" t="s">
        <v>241</v>
      </c>
      <c r="D3083" t="s">
        <v>1535</v>
      </c>
      <c r="E3083" t="s">
        <v>558</v>
      </c>
      <c r="F3083" t="s">
        <v>1068</v>
      </c>
      <c r="G3083" t="s">
        <v>1071</v>
      </c>
      <c r="H3083" s="170">
        <v>-1.7238206544935299E-10</v>
      </c>
      <c r="I3083" t="s">
        <v>1072</v>
      </c>
      <c r="J3083">
        <v>2.5499999999999998</v>
      </c>
    </row>
    <row r="3084" spans="1:10" hidden="1">
      <c r="A3084" t="s">
        <v>2179</v>
      </c>
      <c r="B3084" t="s">
        <v>2180</v>
      </c>
      <c r="C3084" t="s">
        <v>241</v>
      </c>
      <c r="D3084" t="s">
        <v>1535</v>
      </c>
      <c r="E3084" t="s">
        <v>558</v>
      </c>
      <c r="F3084" t="s">
        <v>1068</v>
      </c>
      <c r="G3084" t="s">
        <v>1073</v>
      </c>
      <c r="H3084" s="170">
        <v>-3.2769020790247303E-8</v>
      </c>
      <c r="I3084" t="s">
        <v>1074</v>
      </c>
      <c r="J3084">
        <v>2.5499999999999998</v>
      </c>
    </row>
    <row r="3085" spans="1:10" hidden="1">
      <c r="A3085" t="s">
        <v>2179</v>
      </c>
      <c r="B3085" t="s">
        <v>2180</v>
      </c>
      <c r="C3085" t="s">
        <v>241</v>
      </c>
      <c r="D3085" t="s">
        <v>1535</v>
      </c>
      <c r="E3085" t="s">
        <v>558</v>
      </c>
      <c r="F3085" t="s">
        <v>1068</v>
      </c>
      <c r="G3085" t="s">
        <v>1075</v>
      </c>
      <c r="H3085">
        <v>2.1933788827403901E-3</v>
      </c>
      <c r="I3085" t="s">
        <v>1077</v>
      </c>
      <c r="J3085">
        <v>2.5499999999999998</v>
      </c>
    </row>
    <row r="3086" spans="1:10" hidden="1">
      <c r="A3086" t="s">
        <v>2179</v>
      </c>
      <c r="B3086" t="s">
        <v>2180</v>
      </c>
      <c r="C3086" t="s">
        <v>241</v>
      </c>
      <c r="D3086" t="s">
        <v>1535</v>
      </c>
      <c r="E3086" t="s">
        <v>558</v>
      </c>
      <c r="F3086" t="s">
        <v>1068</v>
      </c>
      <c r="G3086" t="s">
        <v>1078</v>
      </c>
      <c r="H3086">
        <v>-1.6255597381762901</v>
      </c>
      <c r="I3086" t="s">
        <v>1079</v>
      </c>
      <c r="J3086">
        <v>2.5499999999999998</v>
      </c>
    </row>
    <row r="3087" spans="1:10" hidden="1">
      <c r="A3087" t="s">
        <v>2179</v>
      </c>
      <c r="B3087" t="s">
        <v>2180</v>
      </c>
      <c r="C3087" t="s">
        <v>241</v>
      </c>
      <c r="D3087" t="s">
        <v>1535</v>
      </c>
      <c r="E3087" t="s">
        <v>558</v>
      </c>
      <c r="F3087" t="s">
        <v>1068</v>
      </c>
      <c r="G3087" t="s">
        <v>1080</v>
      </c>
      <c r="H3087" s="171" t="s">
        <v>2181</v>
      </c>
      <c r="I3087" t="s">
        <v>1082</v>
      </c>
      <c r="J3087">
        <v>2.5499999999999998</v>
      </c>
    </row>
    <row r="3088" spans="1:10" hidden="1">
      <c r="A3088" t="s">
        <v>2179</v>
      </c>
      <c r="B3088" t="s">
        <v>2180</v>
      </c>
      <c r="C3088" t="s">
        <v>241</v>
      </c>
      <c r="D3088" t="s">
        <v>1535</v>
      </c>
      <c r="E3088" t="s">
        <v>558</v>
      </c>
      <c r="F3088" t="s">
        <v>1068</v>
      </c>
      <c r="G3088" t="s">
        <v>1083</v>
      </c>
      <c r="H3088">
        <v>-4.4475468564771499E-4</v>
      </c>
      <c r="I3088" t="s">
        <v>1084</v>
      </c>
      <c r="J3088">
        <v>2.5499999999999998</v>
      </c>
    </row>
    <row r="3089" spans="1:10" hidden="1">
      <c r="A3089" t="s">
        <v>2179</v>
      </c>
      <c r="B3089" t="s">
        <v>2180</v>
      </c>
      <c r="C3089" t="s">
        <v>241</v>
      </c>
      <c r="D3089" t="s">
        <v>1535</v>
      </c>
      <c r="E3089" t="s">
        <v>558</v>
      </c>
      <c r="F3089" t="s">
        <v>1068</v>
      </c>
      <c r="G3089" t="s">
        <v>1085</v>
      </c>
      <c r="H3089">
        <v>-1.2516149235017499E-2</v>
      </c>
      <c r="I3089" t="s">
        <v>1086</v>
      </c>
      <c r="J3089">
        <v>2.5499999999999998</v>
      </c>
    </row>
    <row r="3090" spans="1:10" hidden="1">
      <c r="A3090" t="s">
        <v>2179</v>
      </c>
      <c r="B3090" t="s">
        <v>2180</v>
      </c>
      <c r="C3090" t="s">
        <v>241</v>
      </c>
      <c r="D3090" t="s">
        <v>1535</v>
      </c>
      <c r="E3090" t="s">
        <v>558</v>
      </c>
      <c r="F3090" t="s">
        <v>1068</v>
      </c>
      <c r="G3090" t="s">
        <v>1087</v>
      </c>
      <c r="H3090" s="170">
        <v>-2.0561805120456201E-7</v>
      </c>
      <c r="I3090" t="s">
        <v>1088</v>
      </c>
      <c r="J3090">
        <v>2.5499999999999998</v>
      </c>
    </row>
    <row r="3091" spans="1:10" hidden="1">
      <c r="A3091" t="s">
        <v>2179</v>
      </c>
      <c r="B3091" t="s">
        <v>2180</v>
      </c>
      <c r="C3091" t="s">
        <v>241</v>
      </c>
      <c r="D3091" t="s">
        <v>1535</v>
      </c>
      <c r="E3091" t="s">
        <v>558</v>
      </c>
      <c r="F3091" t="s">
        <v>1068</v>
      </c>
      <c r="G3091" t="s">
        <v>1089</v>
      </c>
      <c r="H3091">
        <v>-3.3972910946567601E-3</v>
      </c>
      <c r="I3091" t="s">
        <v>1090</v>
      </c>
      <c r="J3091">
        <v>2.5499999999999998</v>
      </c>
    </row>
    <row r="3092" spans="1:10" hidden="1">
      <c r="A3092" t="s">
        <v>2182</v>
      </c>
      <c r="B3092" t="s">
        <v>2183</v>
      </c>
      <c r="C3092" t="s">
        <v>241</v>
      </c>
      <c r="D3092" t="s">
        <v>1535</v>
      </c>
      <c r="E3092" t="s">
        <v>553</v>
      </c>
      <c r="F3092" t="s">
        <v>1068</v>
      </c>
      <c r="G3092" t="s">
        <v>1069</v>
      </c>
      <c r="H3092">
        <v>-8.1163712865100296E-2</v>
      </c>
      <c r="I3092" t="s">
        <v>1070</v>
      </c>
      <c r="J3092">
        <v>2.0299999999999998</v>
      </c>
    </row>
    <row r="3093" spans="1:10" hidden="1">
      <c r="A3093" t="s">
        <v>2182</v>
      </c>
      <c r="B3093" t="s">
        <v>2183</v>
      </c>
      <c r="C3093" t="s">
        <v>241</v>
      </c>
      <c r="D3093" t="s">
        <v>1535</v>
      </c>
      <c r="E3093" t="s">
        <v>553</v>
      </c>
      <c r="F3093" t="s">
        <v>1068</v>
      </c>
      <c r="G3093" t="s">
        <v>1071</v>
      </c>
      <c r="H3093" s="170">
        <v>-1.7233082499334801E-10</v>
      </c>
      <c r="I3093" t="s">
        <v>1072</v>
      </c>
      <c r="J3093">
        <v>2.0299999999999998</v>
      </c>
    </row>
    <row r="3094" spans="1:10" hidden="1">
      <c r="A3094" t="s">
        <v>2182</v>
      </c>
      <c r="B3094" t="s">
        <v>2183</v>
      </c>
      <c r="C3094" t="s">
        <v>241</v>
      </c>
      <c r="D3094" t="s">
        <v>1535</v>
      </c>
      <c r="E3094" t="s">
        <v>553</v>
      </c>
      <c r="F3094" t="s">
        <v>1068</v>
      </c>
      <c r="G3094" t="s">
        <v>1073</v>
      </c>
      <c r="H3094" s="170">
        <v>-3.27718306322936E-8</v>
      </c>
      <c r="I3094" t="s">
        <v>1074</v>
      </c>
      <c r="J3094">
        <v>2.0299999999999998</v>
      </c>
    </row>
    <row r="3095" spans="1:10" hidden="1">
      <c r="A3095" t="s">
        <v>2182</v>
      </c>
      <c r="B3095" t="s">
        <v>2183</v>
      </c>
      <c r="C3095" t="s">
        <v>241</v>
      </c>
      <c r="D3095" t="s">
        <v>1535</v>
      </c>
      <c r="E3095" t="s">
        <v>553</v>
      </c>
      <c r="F3095" t="s">
        <v>1068</v>
      </c>
      <c r="G3095" t="s">
        <v>1075</v>
      </c>
      <c r="H3095">
        <v>2.2235338258635999E-3</v>
      </c>
      <c r="I3095" t="s">
        <v>1077</v>
      </c>
      <c r="J3095">
        <v>2.0299999999999998</v>
      </c>
    </row>
    <row r="3096" spans="1:10" hidden="1">
      <c r="A3096" t="s">
        <v>2182</v>
      </c>
      <c r="B3096" t="s">
        <v>2183</v>
      </c>
      <c r="C3096" t="s">
        <v>241</v>
      </c>
      <c r="D3096" t="s">
        <v>1535</v>
      </c>
      <c r="E3096" t="s">
        <v>553</v>
      </c>
      <c r="F3096" t="s">
        <v>1068</v>
      </c>
      <c r="G3096" t="s">
        <v>1078</v>
      </c>
      <c r="H3096">
        <v>-1.61284318952186</v>
      </c>
      <c r="I3096" t="s">
        <v>1079</v>
      </c>
      <c r="J3096">
        <v>2.0299999999999998</v>
      </c>
    </row>
    <row r="3097" spans="1:10" hidden="1">
      <c r="A3097" t="s">
        <v>2182</v>
      </c>
      <c r="B3097" t="s">
        <v>2183</v>
      </c>
      <c r="C3097" t="s">
        <v>241</v>
      </c>
      <c r="D3097" t="s">
        <v>1535</v>
      </c>
      <c r="E3097" t="s">
        <v>553</v>
      </c>
      <c r="F3097" t="s">
        <v>1068</v>
      </c>
      <c r="G3097" t="s">
        <v>1080</v>
      </c>
      <c r="H3097" s="171" t="s">
        <v>2184</v>
      </c>
      <c r="I3097" t="s">
        <v>1082</v>
      </c>
      <c r="J3097">
        <v>2.0299999999999998</v>
      </c>
    </row>
    <row r="3098" spans="1:10" hidden="1">
      <c r="A3098" t="s">
        <v>2182</v>
      </c>
      <c r="B3098" t="s">
        <v>2183</v>
      </c>
      <c r="C3098" t="s">
        <v>241</v>
      </c>
      <c r="D3098" t="s">
        <v>1535</v>
      </c>
      <c r="E3098" t="s">
        <v>553</v>
      </c>
      <c r="F3098" t="s">
        <v>1068</v>
      </c>
      <c r="G3098" t="s">
        <v>1083</v>
      </c>
      <c r="H3098">
        <v>-4.4475705101889798E-4</v>
      </c>
      <c r="I3098" t="s">
        <v>1084</v>
      </c>
      <c r="J3098">
        <v>2.0299999999999998</v>
      </c>
    </row>
    <row r="3099" spans="1:10" hidden="1">
      <c r="A3099" t="s">
        <v>2182</v>
      </c>
      <c r="B3099" t="s">
        <v>2183</v>
      </c>
      <c r="C3099" t="s">
        <v>241</v>
      </c>
      <c r="D3099" t="s">
        <v>1535</v>
      </c>
      <c r="E3099" t="s">
        <v>553</v>
      </c>
      <c r="F3099" t="s">
        <v>1068</v>
      </c>
      <c r="G3099" t="s">
        <v>1085</v>
      </c>
      <c r="H3099">
        <v>-1.25160145428845E-2</v>
      </c>
      <c r="I3099" t="s">
        <v>1086</v>
      </c>
      <c r="J3099">
        <v>2.0299999999999998</v>
      </c>
    </row>
    <row r="3100" spans="1:10" hidden="1">
      <c r="A3100" t="s">
        <v>2182</v>
      </c>
      <c r="B3100" t="s">
        <v>2183</v>
      </c>
      <c r="C3100" t="s">
        <v>241</v>
      </c>
      <c r="D3100" t="s">
        <v>1535</v>
      </c>
      <c r="E3100" t="s">
        <v>553</v>
      </c>
      <c r="F3100" t="s">
        <v>1068</v>
      </c>
      <c r="G3100" t="s">
        <v>1087</v>
      </c>
      <c r="H3100" s="170">
        <v>-2.0414789750015801E-7</v>
      </c>
      <c r="I3100" t="s">
        <v>1088</v>
      </c>
      <c r="J3100">
        <v>2.0299999999999998</v>
      </c>
    </row>
    <row r="3101" spans="1:10" hidden="1">
      <c r="A3101" t="s">
        <v>2182</v>
      </c>
      <c r="B3101" t="s">
        <v>2183</v>
      </c>
      <c r="C3101" t="s">
        <v>241</v>
      </c>
      <c r="D3101" t="s">
        <v>1535</v>
      </c>
      <c r="E3101" t="s">
        <v>553</v>
      </c>
      <c r="F3101" t="s">
        <v>1068</v>
      </c>
      <c r="G3101" t="s">
        <v>1089</v>
      </c>
      <c r="H3101">
        <v>-3.3972914294986899E-3</v>
      </c>
      <c r="I3101" t="s">
        <v>1090</v>
      </c>
      <c r="J3101">
        <v>2.0299999999999998</v>
      </c>
    </row>
    <row r="3102" spans="1:10" hidden="1">
      <c r="A3102" t="s">
        <v>2185</v>
      </c>
      <c r="B3102" t="s">
        <v>2186</v>
      </c>
      <c r="C3102" t="s">
        <v>241</v>
      </c>
      <c r="D3102" t="s">
        <v>1535</v>
      </c>
      <c r="E3102" t="s">
        <v>556</v>
      </c>
      <c r="F3102" t="s">
        <v>1068</v>
      </c>
      <c r="G3102" t="s">
        <v>1069</v>
      </c>
      <c r="H3102">
        <v>-8.0970843443054399E-2</v>
      </c>
      <c r="I3102" t="s">
        <v>1070</v>
      </c>
      <c r="J3102">
        <v>2.04</v>
      </c>
    </row>
    <row r="3103" spans="1:10" hidden="1">
      <c r="A3103" t="s">
        <v>2185</v>
      </c>
      <c r="B3103" t="s">
        <v>2186</v>
      </c>
      <c r="C3103" t="s">
        <v>241</v>
      </c>
      <c r="D3103" t="s">
        <v>1535</v>
      </c>
      <c r="E3103" t="s">
        <v>556</v>
      </c>
      <c r="F3103" t="s">
        <v>1068</v>
      </c>
      <c r="G3103" t="s">
        <v>1071</v>
      </c>
      <c r="H3103" s="170">
        <v>-1.71800207840421E-10</v>
      </c>
      <c r="I3103" t="s">
        <v>1072</v>
      </c>
      <c r="J3103">
        <v>2.04</v>
      </c>
    </row>
    <row r="3104" spans="1:10" hidden="1">
      <c r="A3104" t="s">
        <v>2185</v>
      </c>
      <c r="B3104" t="s">
        <v>2186</v>
      </c>
      <c r="C3104" t="s">
        <v>241</v>
      </c>
      <c r="D3104" t="s">
        <v>1535</v>
      </c>
      <c r="E3104" t="s">
        <v>556</v>
      </c>
      <c r="F3104" t="s">
        <v>1068</v>
      </c>
      <c r="G3104" t="s">
        <v>1073</v>
      </c>
      <c r="H3104" s="170">
        <v>-3.2696032499557401E-8</v>
      </c>
      <c r="I3104" t="s">
        <v>1074</v>
      </c>
      <c r="J3104">
        <v>2.04</v>
      </c>
    </row>
    <row r="3105" spans="1:10" hidden="1">
      <c r="A3105" t="s">
        <v>2185</v>
      </c>
      <c r="B3105" t="s">
        <v>2186</v>
      </c>
      <c r="C3105" t="s">
        <v>241</v>
      </c>
      <c r="D3105" t="s">
        <v>1535</v>
      </c>
      <c r="E3105" t="s">
        <v>556</v>
      </c>
      <c r="F3105" t="s">
        <v>1068</v>
      </c>
      <c r="G3105" t="s">
        <v>1075</v>
      </c>
      <c r="H3105">
        <v>2.34104491369104E-3</v>
      </c>
      <c r="I3105" t="s">
        <v>1077</v>
      </c>
      <c r="J3105">
        <v>2.04</v>
      </c>
    </row>
    <row r="3106" spans="1:10" hidden="1">
      <c r="A3106" t="s">
        <v>2185</v>
      </c>
      <c r="B3106" t="s">
        <v>2186</v>
      </c>
      <c r="C3106" t="s">
        <v>241</v>
      </c>
      <c r="D3106" t="s">
        <v>1535</v>
      </c>
      <c r="E3106" t="s">
        <v>556</v>
      </c>
      <c r="F3106" t="s">
        <v>1068</v>
      </c>
      <c r="G3106" t="s">
        <v>1078</v>
      </c>
      <c r="H3106">
        <v>-1.5661000736097901</v>
      </c>
      <c r="I3106" t="s">
        <v>1079</v>
      </c>
      <c r="J3106">
        <v>2.04</v>
      </c>
    </row>
    <row r="3107" spans="1:10" hidden="1">
      <c r="A3107" t="s">
        <v>2185</v>
      </c>
      <c r="B3107" t="s">
        <v>2186</v>
      </c>
      <c r="C3107" t="s">
        <v>241</v>
      </c>
      <c r="D3107" t="s">
        <v>1535</v>
      </c>
      <c r="E3107" t="s">
        <v>556</v>
      </c>
      <c r="F3107" t="s">
        <v>1068</v>
      </c>
      <c r="G3107" t="s">
        <v>1080</v>
      </c>
      <c r="H3107" s="171" t="s">
        <v>2187</v>
      </c>
      <c r="I3107" t="s">
        <v>1082</v>
      </c>
      <c r="J3107">
        <v>2.04</v>
      </c>
    </row>
    <row r="3108" spans="1:10" hidden="1">
      <c r="A3108" t="s">
        <v>2185</v>
      </c>
      <c r="B3108" t="s">
        <v>2186</v>
      </c>
      <c r="C3108" t="s">
        <v>241</v>
      </c>
      <c r="D3108" t="s">
        <v>1535</v>
      </c>
      <c r="E3108" t="s">
        <v>556</v>
      </c>
      <c r="F3108" t="s">
        <v>1068</v>
      </c>
      <c r="G3108" t="s">
        <v>1083</v>
      </c>
      <c r="H3108">
        <v>-4.4472770166688498E-4</v>
      </c>
      <c r="I3108" t="s">
        <v>1084</v>
      </c>
      <c r="J3108">
        <v>2.04</v>
      </c>
    </row>
    <row r="3109" spans="1:10" hidden="1">
      <c r="A3109" t="s">
        <v>2185</v>
      </c>
      <c r="B3109" t="s">
        <v>2186</v>
      </c>
      <c r="C3109" t="s">
        <v>241</v>
      </c>
      <c r="D3109" t="s">
        <v>1535</v>
      </c>
      <c r="E3109" t="s">
        <v>556</v>
      </c>
      <c r="F3109" t="s">
        <v>1068</v>
      </c>
      <c r="G3109" t="s">
        <v>1085</v>
      </c>
      <c r="H3109">
        <v>-1.2515096834551201E-2</v>
      </c>
      <c r="I3109" t="s">
        <v>1086</v>
      </c>
      <c r="J3109">
        <v>2.04</v>
      </c>
    </row>
    <row r="3110" spans="1:10" hidden="1">
      <c r="A3110" t="s">
        <v>2185</v>
      </c>
      <c r="B3110" t="s">
        <v>2186</v>
      </c>
      <c r="C3110" t="s">
        <v>241</v>
      </c>
      <c r="D3110" t="s">
        <v>1535</v>
      </c>
      <c r="E3110" t="s">
        <v>556</v>
      </c>
      <c r="F3110" t="s">
        <v>1068</v>
      </c>
      <c r="G3110" t="s">
        <v>1087</v>
      </c>
      <c r="H3110" s="170">
        <v>-2.03988193411868E-7</v>
      </c>
      <c r="I3110" t="s">
        <v>1088</v>
      </c>
      <c r="J3110">
        <v>2.04</v>
      </c>
    </row>
    <row r="3111" spans="1:10" hidden="1">
      <c r="A3111" t="s">
        <v>2185</v>
      </c>
      <c r="B3111" t="s">
        <v>2186</v>
      </c>
      <c r="C3111" t="s">
        <v>241</v>
      </c>
      <c r="D3111" t="s">
        <v>1535</v>
      </c>
      <c r="E3111" t="s">
        <v>556</v>
      </c>
      <c r="F3111" t="s">
        <v>1068</v>
      </c>
      <c r="G3111" t="s">
        <v>1089</v>
      </c>
      <c r="H3111">
        <v>-3.3972231611059602E-3</v>
      </c>
      <c r="I3111" t="s">
        <v>1090</v>
      </c>
      <c r="J3111">
        <v>2.04</v>
      </c>
    </row>
    <row r="3112" spans="1:10" hidden="1">
      <c r="A3112" t="s">
        <v>2188</v>
      </c>
      <c r="B3112" t="s">
        <v>2189</v>
      </c>
      <c r="C3112" t="s">
        <v>241</v>
      </c>
      <c r="D3112" t="s">
        <v>1535</v>
      </c>
      <c r="E3112" t="s">
        <v>557</v>
      </c>
      <c r="F3112" t="s">
        <v>1068</v>
      </c>
      <c r="G3112" t="s">
        <v>1069</v>
      </c>
      <c r="H3112">
        <v>-8.1101436443372296E-2</v>
      </c>
      <c r="I3112" t="s">
        <v>1070</v>
      </c>
      <c r="J3112">
        <v>2.04</v>
      </c>
    </row>
    <row r="3113" spans="1:10" hidden="1">
      <c r="A3113" t="s">
        <v>2188</v>
      </c>
      <c r="B3113" t="s">
        <v>2189</v>
      </c>
      <c r="C3113" t="s">
        <v>241</v>
      </c>
      <c r="D3113" t="s">
        <v>1535</v>
      </c>
      <c r="E3113" t="s">
        <v>557</v>
      </c>
      <c r="F3113" t="s">
        <v>1068</v>
      </c>
      <c r="G3113" t="s">
        <v>1071</v>
      </c>
      <c r="H3113" s="170">
        <v>-1.7228738850196799E-10</v>
      </c>
      <c r="I3113" t="s">
        <v>1072</v>
      </c>
      <c r="J3113">
        <v>2.04</v>
      </c>
    </row>
    <row r="3114" spans="1:10" hidden="1">
      <c r="A3114" t="s">
        <v>2188</v>
      </c>
      <c r="B3114" t="s">
        <v>2189</v>
      </c>
      <c r="C3114" t="s">
        <v>241</v>
      </c>
      <c r="D3114" t="s">
        <v>1535</v>
      </c>
      <c r="E3114" t="s">
        <v>557</v>
      </c>
      <c r="F3114" t="s">
        <v>1068</v>
      </c>
      <c r="G3114" t="s">
        <v>1073</v>
      </c>
      <c r="H3114" s="170">
        <v>-3.27455202424141E-8</v>
      </c>
      <c r="I3114" t="s">
        <v>1074</v>
      </c>
      <c r="J3114">
        <v>2.04</v>
      </c>
    </row>
    <row r="3115" spans="1:10" hidden="1">
      <c r="A3115" t="s">
        <v>2188</v>
      </c>
      <c r="B3115" t="s">
        <v>2189</v>
      </c>
      <c r="C3115" t="s">
        <v>241</v>
      </c>
      <c r="D3115" t="s">
        <v>1535</v>
      </c>
      <c r="E3115" t="s">
        <v>557</v>
      </c>
      <c r="F3115" t="s">
        <v>1068</v>
      </c>
      <c r="G3115" t="s">
        <v>1075</v>
      </c>
      <c r="H3115">
        <v>2.1954702982951799E-3</v>
      </c>
      <c r="I3115" t="s">
        <v>1077</v>
      </c>
      <c r="J3115">
        <v>2.04</v>
      </c>
    </row>
    <row r="3116" spans="1:10" hidden="1">
      <c r="A3116" t="s">
        <v>2188</v>
      </c>
      <c r="B3116" t="s">
        <v>2189</v>
      </c>
      <c r="C3116" t="s">
        <v>241</v>
      </c>
      <c r="D3116" t="s">
        <v>1535</v>
      </c>
      <c r="E3116" t="s">
        <v>557</v>
      </c>
      <c r="F3116" t="s">
        <v>1068</v>
      </c>
      <c r="G3116" t="s">
        <v>1078</v>
      </c>
      <c r="H3116">
        <v>-1.62546929730024</v>
      </c>
      <c r="I3116" t="s">
        <v>1079</v>
      </c>
      <c r="J3116">
        <v>2.04</v>
      </c>
    </row>
    <row r="3117" spans="1:10" hidden="1">
      <c r="A3117" t="s">
        <v>2188</v>
      </c>
      <c r="B3117" t="s">
        <v>2189</v>
      </c>
      <c r="C3117" t="s">
        <v>241</v>
      </c>
      <c r="D3117" t="s">
        <v>1535</v>
      </c>
      <c r="E3117" t="s">
        <v>557</v>
      </c>
      <c r="F3117" t="s">
        <v>1068</v>
      </c>
      <c r="G3117" t="s">
        <v>1080</v>
      </c>
      <c r="H3117" s="171" t="s">
        <v>2190</v>
      </c>
      <c r="I3117" t="s">
        <v>1082</v>
      </c>
      <c r="J3117">
        <v>2.04</v>
      </c>
    </row>
    <row r="3118" spans="1:10" hidden="1">
      <c r="A3118" t="s">
        <v>2188</v>
      </c>
      <c r="B3118" t="s">
        <v>2189</v>
      </c>
      <c r="C3118" t="s">
        <v>241</v>
      </c>
      <c r="D3118" t="s">
        <v>1535</v>
      </c>
      <c r="E3118" t="s">
        <v>557</v>
      </c>
      <c r="F3118" t="s">
        <v>1068</v>
      </c>
      <c r="G3118" t="s">
        <v>1083</v>
      </c>
      <c r="H3118">
        <v>-4.4474462915370798E-4</v>
      </c>
      <c r="I3118" t="s">
        <v>1084</v>
      </c>
      <c r="J3118">
        <v>2.04</v>
      </c>
    </row>
    <row r="3119" spans="1:10" hidden="1">
      <c r="A3119" t="s">
        <v>2188</v>
      </c>
      <c r="B3119" t="s">
        <v>2189</v>
      </c>
      <c r="C3119" t="s">
        <v>241</v>
      </c>
      <c r="D3119" t="s">
        <v>1535</v>
      </c>
      <c r="E3119" t="s">
        <v>557</v>
      </c>
      <c r="F3119" t="s">
        <v>1068</v>
      </c>
      <c r="G3119" t="s">
        <v>1085</v>
      </c>
      <c r="H3119">
        <v>-1.2516035576224899E-2</v>
      </c>
      <c r="I3119" t="s">
        <v>1086</v>
      </c>
      <c r="J3119">
        <v>2.04</v>
      </c>
    </row>
    <row r="3120" spans="1:10" hidden="1">
      <c r="A3120" t="s">
        <v>2188</v>
      </c>
      <c r="B3120" t="s">
        <v>2189</v>
      </c>
      <c r="C3120" t="s">
        <v>241</v>
      </c>
      <c r="D3120" t="s">
        <v>1535</v>
      </c>
      <c r="E3120" t="s">
        <v>557</v>
      </c>
      <c r="F3120" t="s">
        <v>1068</v>
      </c>
      <c r="G3120" t="s">
        <v>1087</v>
      </c>
      <c r="H3120" s="170">
        <v>-2.0556319895224601E-7</v>
      </c>
      <c r="I3120" t="s">
        <v>1088</v>
      </c>
      <c r="J3120">
        <v>2.04</v>
      </c>
    </row>
    <row r="3121" spans="1:10" hidden="1">
      <c r="A3121" t="s">
        <v>2188</v>
      </c>
      <c r="B3121" t="s">
        <v>2189</v>
      </c>
      <c r="C3121" t="s">
        <v>241</v>
      </c>
      <c r="D3121" t="s">
        <v>1535</v>
      </c>
      <c r="E3121" t="s">
        <v>557</v>
      </c>
      <c r="F3121" t="s">
        <v>1068</v>
      </c>
      <c r="G3121" t="s">
        <v>1089</v>
      </c>
      <c r="H3121">
        <v>-3.3972676470722801E-3</v>
      </c>
      <c r="I3121" t="s">
        <v>1090</v>
      </c>
      <c r="J3121">
        <v>2.04</v>
      </c>
    </row>
    <row r="3122" spans="1:10" hidden="1">
      <c r="A3122" t="s">
        <v>2191</v>
      </c>
      <c r="B3122" t="s">
        <v>2192</v>
      </c>
      <c r="C3122" t="s">
        <v>241</v>
      </c>
      <c r="D3122" t="s">
        <v>1535</v>
      </c>
      <c r="E3122" t="s">
        <v>559</v>
      </c>
      <c r="F3122" t="s">
        <v>1068</v>
      </c>
      <c r="G3122" t="s">
        <v>1069</v>
      </c>
      <c r="H3122">
        <v>-8.1028340979881E-2</v>
      </c>
      <c r="I3122" t="s">
        <v>1070</v>
      </c>
      <c r="J3122">
        <v>2.04</v>
      </c>
    </row>
    <row r="3123" spans="1:10" hidden="1">
      <c r="A3123" t="s">
        <v>2191</v>
      </c>
      <c r="B3123" t="s">
        <v>2192</v>
      </c>
      <c r="C3123" t="s">
        <v>241</v>
      </c>
      <c r="D3123" t="s">
        <v>1535</v>
      </c>
      <c r="E3123" t="s">
        <v>559</v>
      </c>
      <c r="F3123" t="s">
        <v>1068</v>
      </c>
      <c r="G3123" t="s">
        <v>1071</v>
      </c>
      <c r="H3123" s="170">
        <v>-1.7213710628535E-10</v>
      </c>
      <c r="I3123" t="s">
        <v>1072</v>
      </c>
      <c r="J3123">
        <v>2.04</v>
      </c>
    </row>
    <row r="3124" spans="1:10" hidden="1">
      <c r="A3124" t="s">
        <v>2191</v>
      </c>
      <c r="B3124" t="s">
        <v>2192</v>
      </c>
      <c r="C3124" t="s">
        <v>241</v>
      </c>
      <c r="D3124" t="s">
        <v>1535</v>
      </c>
      <c r="E3124" t="s">
        <v>559</v>
      </c>
      <c r="F3124" t="s">
        <v>1068</v>
      </c>
      <c r="G3124" t="s">
        <v>1073</v>
      </c>
      <c r="H3124" s="170">
        <v>-3.2723746110314501E-8</v>
      </c>
      <c r="I3124" t="s">
        <v>1074</v>
      </c>
      <c r="J3124">
        <v>2.04</v>
      </c>
    </row>
    <row r="3125" spans="1:10" hidden="1">
      <c r="A3125" t="s">
        <v>2191</v>
      </c>
      <c r="B3125" t="s">
        <v>2192</v>
      </c>
      <c r="C3125" t="s">
        <v>241</v>
      </c>
      <c r="D3125" t="s">
        <v>1535</v>
      </c>
      <c r="E3125" t="s">
        <v>559</v>
      </c>
      <c r="F3125" t="s">
        <v>1068</v>
      </c>
      <c r="G3125" t="s">
        <v>1075</v>
      </c>
      <c r="H3125">
        <v>2.2278130757668801E-3</v>
      </c>
      <c r="I3125" t="s">
        <v>1077</v>
      </c>
      <c r="J3125">
        <v>2.04</v>
      </c>
    </row>
    <row r="3126" spans="1:10" hidden="1">
      <c r="A3126" t="s">
        <v>2191</v>
      </c>
      <c r="B3126" t="s">
        <v>2192</v>
      </c>
      <c r="C3126" t="s">
        <v>241</v>
      </c>
      <c r="D3126" t="s">
        <v>1535</v>
      </c>
      <c r="E3126" t="s">
        <v>559</v>
      </c>
      <c r="F3126" t="s">
        <v>1068</v>
      </c>
      <c r="G3126" t="s">
        <v>1078</v>
      </c>
      <c r="H3126">
        <v>-1.6126581382493801</v>
      </c>
      <c r="I3126" t="s">
        <v>1079</v>
      </c>
      <c r="J3126">
        <v>2.04</v>
      </c>
    </row>
    <row r="3127" spans="1:10" hidden="1">
      <c r="A3127" t="s">
        <v>2191</v>
      </c>
      <c r="B3127" t="s">
        <v>2192</v>
      </c>
      <c r="C3127" t="s">
        <v>241</v>
      </c>
      <c r="D3127" t="s">
        <v>1535</v>
      </c>
      <c r="E3127" t="s">
        <v>559</v>
      </c>
      <c r="F3127" t="s">
        <v>1068</v>
      </c>
      <c r="G3127" t="s">
        <v>1080</v>
      </c>
      <c r="H3127" s="171" t="s">
        <v>2193</v>
      </c>
      <c r="I3127" t="s">
        <v>1082</v>
      </c>
      <c r="J3127">
        <v>2.04</v>
      </c>
    </row>
    <row r="3128" spans="1:10" hidden="1">
      <c r="A3128" t="s">
        <v>2191</v>
      </c>
      <c r="B3128" t="s">
        <v>2192</v>
      </c>
      <c r="C3128" t="s">
        <v>241</v>
      </c>
      <c r="D3128" t="s">
        <v>1535</v>
      </c>
      <c r="E3128" t="s">
        <v>559</v>
      </c>
      <c r="F3128" t="s">
        <v>1068</v>
      </c>
      <c r="G3128" t="s">
        <v>1083</v>
      </c>
      <c r="H3128">
        <v>-4.4473647440471798E-4</v>
      </c>
      <c r="I3128" t="s">
        <v>1084</v>
      </c>
      <c r="J3128">
        <v>2.04</v>
      </c>
    </row>
    <row r="3129" spans="1:10" hidden="1">
      <c r="A3129" t="s">
        <v>2191</v>
      </c>
      <c r="B3129" t="s">
        <v>2192</v>
      </c>
      <c r="C3129" t="s">
        <v>241</v>
      </c>
      <c r="D3129" t="s">
        <v>1535</v>
      </c>
      <c r="E3129" t="s">
        <v>559</v>
      </c>
      <c r="F3129" t="s">
        <v>1068</v>
      </c>
      <c r="G3129" t="s">
        <v>1085</v>
      </c>
      <c r="H3129">
        <v>-1.25157819853825E-2</v>
      </c>
      <c r="I3129" t="s">
        <v>1086</v>
      </c>
      <c r="J3129">
        <v>2.04</v>
      </c>
    </row>
    <row r="3130" spans="1:10" hidden="1">
      <c r="A3130" t="s">
        <v>2191</v>
      </c>
      <c r="B3130" t="s">
        <v>2192</v>
      </c>
      <c r="C3130" t="s">
        <v>241</v>
      </c>
      <c r="D3130" t="s">
        <v>1535</v>
      </c>
      <c r="E3130" t="s">
        <v>559</v>
      </c>
      <c r="F3130" t="s">
        <v>1068</v>
      </c>
      <c r="G3130" t="s">
        <v>1087</v>
      </c>
      <c r="H3130" s="170">
        <v>-2.0403566418785501E-7</v>
      </c>
      <c r="I3130" t="s">
        <v>1088</v>
      </c>
      <c r="J3130">
        <v>2.04</v>
      </c>
    </row>
    <row r="3131" spans="1:10" hidden="1">
      <c r="A3131" t="s">
        <v>2191</v>
      </c>
      <c r="B3131" t="s">
        <v>2192</v>
      </c>
      <c r="C3131" t="s">
        <v>241</v>
      </c>
      <c r="D3131" t="s">
        <v>1535</v>
      </c>
      <c r="E3131" t="s">
        <v>559</v>
      </c>
      <c r="F3131" t="s">
        <v>1068</v>
      </c>
      <c r="G3131" t="s">
        <v>1089</v>
      </c>
      <c r="H3131">
        <v>-3.3972434533452601E-3</v>
      </c>
      <c r="I3131" t="s">
        <v>1090</v>
      </c>
      <c r="J3131">
        <v>2.04</v>
      </c>
    </row>
    <row r="3132" spans="1:10" hidden="1">
      <c r="A3132" t="s">
        <v>2194</v>
      </c>
      <c r="B3132" t="s">
        <v>2195</v>
      </c>
      <c r="C3132" t="s">
        <v>241</v>
      </c>
      <c r="D3132" t="s">
        <v>1535</v>
      </c>
      <c r="E3132" t="s">
        <v>560</v>
      </c>
      <c r="F3132" t="s">
        <v>1068</v>
      </c>
      <c r="G3132" t="s">
        <v>1069</v>
      </c>
      <c r="H3132">
        <v>-8.1066150649676205E-2</v>
      </c>
      <c r="I3132" t="s">
        <v>1070</v>
      </c>
      <c r="J3132">
        <v>2.04</v>
      </c>
    </row>
    <row r="3133" spans="1:10" hidden="1">
      <c r="A3133" t="s">
        <v>2194</v>
      </c>
      <c r="B3133" t="s">
        <v>2195</v>
      </c>
      <c r="C3133" t="s">
        <v>241</v>
      </c>
      <c r="D3133" t="s">
        <v>1535</v>
      </c>
      <c r="E3133" t="s">
        <v>560</v>
      </c>
      <c r="F3133" t="s">
        <v>1068</v>
      </c>
      <c r="G3133" t="s">
        <v>1071</v>
      </c>
      <c r="H3133" s="170">
        <v>-1.7223689412966699E-10</v>
      </c>
      <c r="I3133" t="s">
        <v>1072</v>
      </c>
      <c r="J3133">
        <v>2.04</v>
      </c>
    </row>
    <row r="3134" spans="1:10" hidden="1">
      <c r="A3134" t="s">
        <v>2194</v>
      </c>
      <c r="B3134" t="s">
        <v>2195</v>
      </c>
      <c r="C3134" t="s">
        <v>241</v>
      </c>
      <c r="D3134" t="s">
        <v>1535</v>
      </c>
      <c r="E3134" t="s">
        <v>560</v>
      </c>
      <c r="F3134" t="s">
        <v>1068</v>
      </c>
      <c r="G3134" t="s">
        <v>1073</v>
      </c>
      <c r="H3134" s="170">
        <v>-3.2732986616838199E-8</v>
      </c>
      <c r="I3134" t="s">
        <v>1074</v>
      </c>
      <c r="J3134">
        <v>2.04</v>
      </c>
    </row>
    <row r="3135" spans="1:10" hidden="1">
      <c r="A3135" t="s">
        <v>2194</v>
      </c>
      <c r="B3135" t="s">
        <v>2195</v>
      </c>
      <c r="C3135" t="s">
        <v>241</v>
      </c>
      <c r="D3135" t="s">
        <v>1535</v>
      </c>
      <c r="E3135" t="s">
        <v>560</v>
      </c>
      <c r="F3135" t="s">
        <v>1068</v>
      </c>
      <c r="G3135" t="s">
        <v>1075</v>
      </c>
      <c r="H3135">
        <v>2.19658571992597E-3</v>
      </c>
      <c r="I3135" t="s">
        <v>1077</v>
      </c>
      <c r="J3135">
        <v>2.04</v>
      </c>
    </row>
    <row r="3136" spans="1:10" hidden="1">
      <c r="A3136" t="s">
        <v>2194</v>
      </c>
      <c r="B3136" t="s">
        <v>2195</v>
      </c>
      <c r="C3136" t="s">
        <v>241</v>
      </c>
      <c r="D3136" t="s">
        <v>1535</v>
      </c>
      <c r="E3136" t="s">
        <v>560</v>
      </c>
      <c r="F3136" t="s">
        <v>1068</v>
      </c>
      <c r="G3136" t="s">
        <v>1078</v>
      </c>
      <c r="H3136">
        <v>-1.6254210621663301</v>
      </c>
      <c r="I3136" t="s">
        <v>1079</v>
      </c>
      <c r="J3136">
        <v>2.04</v>
      </c>
    </row>
    <row r="3137" spans="1:10" hidden="1">
      <c r="A3137" t="s">
        <v>2194</v>
      </c>
      <c r="B3137" t="s">
        <v>2195</v>
      </c>
      <c r="C3137" t="s">
        <v>241</v>
      </c>
      <c r="D3137" t="s">
        <v>1535</v>
      </c>
      <c r="E3137" t="s">
        <v>560</v>
      </c>
      <c r="F3137" t="s">
        <v>1068</v>
      </c>
      <c r="G3137" t="s">
        <v>1080</v>
      </c>
      <c r="H3137" s="171" t="s">
        <v>2196</v>
      </c>
      <c r="I3137" t="s">
        <v>1082</v>
      </c>
      <c r="J3137">
        <v>2.04</v>
      </c>
    </row>
    <row r="3138" spans="1:10" hidden="1">
      <c r="A3138" t="s">
        <v>2194</v>
      </c>
      <c r="B3138" t="s">
        <v>2195</v>
      </c>
      <c r="C3138" t="s">
        <v>241</v>
      </c>
      <c r="D3138" t="s">
        <v>1535</v>
      </c>
      <c r="E3138" t="s">
        <v>560</v>
      </c>
      <c r="F3138" t="s">
        <v>1068</v>
      </c>
      <c r="G3138" t="s">
        <v>1083</v>
      </c>
      <c r="H3138">
        <v>-4.4473926569023499E-4</v>
      </c>
      <c r="I3138" t="s">
        <v>1084</v>
      </c>
      <c r="J3138">
        <v>2.04</v>
      </c>
    </row>
    <row r="3139" spans="1:10" hidden="1">
      <c r="A3139" t="s">
        <v>2194</v>
      </c>
      <c r="B3139" t="s">
        <v>2195</v>
      </c>
      <c r="C3139" t="s">
        <v>241</v>
      </c>
      <c r="D3139" t="s">
        <v>1535</v>
      </c>
      <c r="E3139" t="s">
        <v>560</v>
      </c>
      <c r="F3139" t="s">
        <v>1068</v>
      </c>
      <c r="G3139" t="s">
        <v>1085</v>
      </c>
      <c r="H3139">
        <v>-1.25159749582021E-2</v>
      </c>
      <c r="I3139" t="s">
        <v>1086</v>
      </c>
      <c r="J3139">
        <v>2.04</v>
      </c>
    </row>
    <row r="3140" spans="1:10" hidden="1">
      <c r="A3140" t="s">
        <v>2194</v>
      </c>
      <c r="B3140" t="s">
        <v>2195</v>
      </c>
      <c r="C3140" t="s">
        <v>241</v>
      </c>
      <c r="D3140" t="s">
        <v>1535</v>
      </c>
      <c r="E3140" t="s">
        <v>560</v>
      </c>
      <c r="F3140" t="s">
        <v>1068</v>
      </c>
      <c r="G3140" t="s">
        <v>1087</v>
      </c>
      <c r="H3140" s="170">
        <v>-2.0553394441767099E-7</v>
      </c>
      <c r="I3140" t="s">
        <v>1088</v>
      </c>
      <c r="J3140">
        <v>2.04</v>
      </c>
    </row>
    <row r="3141" spans="1:10" hidden="1">
      <c r="A3141" t="s">
        <v>2194</v>
      </c>
      <c r="B3141" t="s">
        <v>2195</v>
      </c>
      <c r="C3141" t="s">
        <v>241</v>
      </c>
      <c r="D3141" t="s">
        <v>1535</v>
      </c>
      <c r="E3141" t="s">
        <v>560</v>
      </c>
      <c r="F3141" t="s">
        <v>1068</v>
      </c>
      <c r="G3141" t="s">
        <v>1089</v>
      </c>
      <c r="H3141">
        <v>-3.3972551416938902E-3</v>
      </c>
      <c r="I3141" t="s">
        <v>1090</v>
      </c>
      <c r="J3141">
        <v>2.04</v>
      </c>
    </row>
    <row r="3142" spans="1:10" hidden="1">
      <c r="A3142" t="s">
        <v>2197</v>
      </c>
      <c r="B3142" t="s">
        <v>2198</v>
      </c>
      <c r="C3142" t="s">
        <v>241</v>
      </c>
      <c r="D3142" t="s">
        <v>1535</v>
      </c>
      <c r="E3142" t="s">
        <v>1116</v>
      </c>
      <c r="F3142" t="s">
        <v>1068</v>
      </c>
      <c r="G3142" t="s">
        <v>1069</v>
      </c>
      <c r="H3142">
        <v>-8.1173246581738995E-2</v>
      </c>
      <c r="I3142" t="s">
        <v>1070</v>
      </c>
      <c r="J3142">
        <v>2.04</v>
      </c>
    </row>
    <row r="3143" spans="1:10" hidden="1">
      <c r="A3143" t="s">
        <v>2197</v>
      </c>
      <c r="B3143" t="s">
        <v>2198</v>
      </c>
      <c r="C3143" t="s">
        <v>241</v>
      </c>
      <c r="D3143" t="s">
        <v>1535</v>
      </c>
      <c r="E3143" t="s">
        <v>1116</v>
      </c>
      <c r="F3143" t="s">
        <v>1068</v>
      </c>
      <c r="G3143" t="s">
        <v>1071</v>
      </c>
      <c r="H3143" s="170">
        <v>-1.72390149626867E-10</v>
      </c>
      <c r="I3143" t="s">
        <v>1072</v>
      </c>
      <c r="J3143">
        <v>2.04</v>
      </c>
    </row>
    <row r="3144" spans="1:10" hidden="1">
      <c r="A3144" t="s">
        <v>2197</v>
      </c>
      <c r="B3144" t="s">
        <v>2198</v>
      </c>
      <c r="C3144" t="s">
        <v>241</v>
      </c>
      <c r="D3144" t="s">
        <v>1535</v>
      </c>
      <c r="E3144" t="s">
        <v>1116</v>
      </c>
      <c r="F3144" t="s">
        <v>1068</v>
      </c>
      <c r="G3144" t="s">
        <v>1073</v>
      </c>
      <c r="H3144" s="170">
        <v>-3.2771027430779101E-8</v>
      </c>
      <c r="I3144" t="s">
        <v>1074</v>
      </c>
      <c r="J3144">
        <v>2.04</v>
      </c>
    </row>
    <row r="3145" spans="1:10" hidden="1">
      <c r="A3145" t="s">
        <v>2197</v>
      </c>
      <c r="B3145" t="s">
        <v>2198</v>
      </c>
      <c r="C3145" t="s">
        <v>241</v>
      </c>
      <c r="D3145" t="s">
        <v>1535</v>
      </c>
      <c r="E3145" t="s">
        <v>1116</v>
      </c>
      <c r="F3145" t="s">
        <v>1068</v>
      </c>
      <c r="G3145" t="s">
        <v>1075</v>
      </c>
      <c r="H3145">
        <v>2.1932003031061502E-3</v>
      </c>
      <c r="I3145" t="s">
        <v>1077</v>
      </c>
      <c r="J3145">
        <v>2.04</v>
      </c>
    </row>
    <row r="3146" spans="1:10" hidden="1">
      <c r="A3146" t="s">
        <v>2197</v>
      </c>
      <c r="B3146" t="s">
        <v>2198</v>
      </c>
      <c r="C3146" t="s">
        <v>241</v>
      </c>
      <c r="D3146" t="s">
        <v>1535</v>
      </c>
      <c r="E3146" t="s">
        <v>1116</v>
      </c>
      <c r="F3146" t="s">
        <v>1068</v>
      </c>
      <c r="G3146" t="s">
        <v>1078</v>
      </c>
      <c r="H3146">
        <v>-1.62556746064851</v>
      </c>
      <c r="I3146" t="s">
        <v>1079</v>
      </c>
      <c r="J3146">
        <v>2.04</v>
      </c>
    </row>
    <row r="3147" spans="1:10" hidden="1">
      <c r="A3147" t="s">
        <v>2197</v>
      </c>
      <c r="B3147" t="s">
        <v>2198</v>
      </c>
      <c r="C3147" t="s">
        <v>241</v>
      </c>
      <c r="D3147" t="s">
        <v>1535</v>
      </c>
      <c r="E3147" t="s">
        <v>1116</v>
      </c>
      <c r="F3147" t="s">
        <v>1068</v>
      </c>
      <c r="G3147" t="s">
        <v>1080</v>
      </c>
      <c r="H3147" s="171" t="s">
        <v>2199</v>
      </c>
      <c r="I3147" t="s">
        <v>1082</v>
      </c>
      <c r="J3147">
        <v>2.04</v>
      </c>
    </row>
    <row r="3148" spans="1:10" hidden="1">
      <c r="A3148" t="s">
        <v>2197</v>
      </c>
      <c r="B3148" t="s">
        <v>2198</v>
      </c>
      <c r="C3148" t="s">
        <v>241</v>
      </c>
      <c r="D3148" t="s">
        <v>1535</v>
      </c>
      <c r="E3148" t="s">
        <v>1116</v>
      </c>
      <c r="F3148" t="s">
        <v>1068</v>
      </c>
      <c r="G3148" t="s">
        <v>1083</v>
      </c>
      <c r="H3148">
        <v>-4.4475554434124902E-4</v>
      </c>
      <c r="I3148" t="s">
        <v>1084</v>
      </c>
      <c r="J3148">
        <v>2.04</v>
      </c>
    </row>
    <row r="3149" spans="1:10" hidden="1">
      <c r="A3149" t="s">
        <v>2197</v>
      </c>
      <c r="B3149" t="s">
        <v>2198</v>
      </c>
      <c r="C3149" t="s">
        <v>241</v>
      </c>
      <c r="D3149" t="s">
        <v>1535</v>
      </c>
      <c r="E3149" t="s">
        <v>1116</v>
      </c>
      <c r="F3149" t="s">
        <v>1068</v>
      </c>
      <c r="G3149" t="s">
        <v>1085</v>
      </c>
      <c r="H3149">
        <v>-1.2516158939997199E-2</v>
      </c>
      <c r="I3149" t="s">
        <v>1086</v>
      </c>
      <c r="J3149">
        <v>2.04</v>
      </c>
    </row>
    <row r="3150" spans="1:10" hidden="1">
      <c r="A3150" t="s">
        <v>2197</v>
      </c>
      <c r="B3150" t="s">
        <v>2198</v>
      </c>
      <c r="C3150" t="s">
        <v>241</v>
      </c>
      <c r="D3150" t="s">
        <v>1535</v>
      </c>
      <c r="E3150" t="s">
        <v>1116</v>
      </c>
      <c r="F3150" t="s">
        <v>1068</v>
      </c>
      <c r="G3150" t="s">
        <v>1087</v>
      </c>
      <c r="H3150" s="170">
        <v>-2.05622734872084E-7</v>
      </c>
      <c r="I3150" t="s">
        <v>1088</v>
      </c>
      <c r="J3150">
        <v>2.04</v>
      </c>
    </row>
    <row r="3151" spans="1:10" hidden="1">
      <c r="A3151" t="s">
        <v>2197</v>
      </c>
      <c r="B3151" t="s">
        <v>2198</v>
      </c>
      <c r="C3151" t="s">
        <v>241</v>
      </c>
      <c r="D3151" t="s">
        <v>1535</v>
      </c>
      <c r="E3151" t="s">
        <v>1116</v>
      </c>
      <c r="F3151" t="s">
        <v>1068</v>
      </c>
      <c r="G3151" t="s">
        <v>1089</v>
      </c>
      <c r="H3151">
        <v>-3.3972930967749101E-3</v>
      </c>
      <c r="I3151" t="s">
        <v>1090</v>
      </c>
      <c r="J3151">
        <v>2.04</v>
      </c>
    </row>
    <row r="3152" spans="1:10" hidden="1">
      <c r="A3152" t="s">
        <v>2200</v>
      </c>
      <c r="B3152" t="s">
        <v>2201</v>
      </c>
      <c r="C3152" t="s">
        <v>241</v>
      </c>
      <c r="D3152" t="s">
        <v>1633</v>
      </c>
      <c r="E3152" t="s">
        <v>561</v>
      </c>
      <c r="F3152" t="s">
        <v>1068</v>
      </c>
      <c r="G3152" t="s">
        <v>1069</v>
      </c>
      <c r="H3152">
        <v>-0.26864142276384601</v>
      </c>
      <c r="I3152" t="s">
        <v>1070</v>
      </c>
      <c r="J3152">
        <v>2.54</v>
      </c>
    </row>
    <row r="3153" spans="1:10" hidden="1">
      <c r="A3153" t="s">
        <v>2200</v>
      </c>
      <c r="B3153" t="s">
        <v>2201</v>
      </c>
      <c r="C3153" t="s">
        <v>241</v>
      </c>
      <c r="D3153" t="s">
        <v>1633</v>
      </c>
      <c r="E3153" t="s">
        <v>561</v>
      </c>
      <c r="F3153" t="s">
        <v>1068</v>
      </c>
      <c r="G3153" t="s">
        <v>1071</v>
      </c>
      <c r="H3153" s="170">
        <v>-5.8215823752306204E-10</v>
      </c>
      <c r="I3153" t="s">
        <v>1072</v>
      </c>
      <c r="J3153">
        <v>2.54</v>
      </c>
    </row>
    <row r="3154" spans="1:10" hidden="1">
      <c r="A3154" t="s">
        <v>2200</v>
      </c>
      <c r="B3154" t="s">
        <v>2201</v>
      </c>
      <c r="C3154" t="s">
        <v>241</v>
      </c>
      <c r="D3154" t="s">
        <v>1633</v>
      </c>
      <c r="E3154" t="s">
        <v>561</v>
      </c>
      <c r="F3154" t="s">
        <v>1068</v>
      </c>
      <c r="G3154" t="s">
        <v>1073</v>
      </c>
      <c r="H3154" s="170">
        <v>-1.07686366426851E-7</v>
      </c>
      <c r="I3154" t="s">
        <v>1074</v>
      </c>
      <c r="J3154">
        <v>2.54</v>
      </c>
    </row>
    <row r="3155" spans="1:10" hidden="1">
      <c r="A3155" t="s">
        <v>2200</v>
      </c>
      <c r="B3155" t="s">
        <v>2201</v>
      </c>
      <c r="C3155" t="s">
        <v>241</v>
      </c>
      <c r="D3155" t="s">
        <v>1633</v>
      </c>
      <c r="E3155" t="s">
        <v>561</v>
      </c>
      <c r="F3155" t="s">
        <v>1068</v>
      </c>
      <c r="G3155" t="s">
        <v>1075</v>
      </c>
      <c r="H3155">
        <v>5.4090029495468504E-3</v>
      </c>
      <c r="I3155" t="s">
        <v>1077</v>
      </c>
      <c r="J3155">
        <v>2.54</v>
      </c>
    </row>
    <row r="3156" spans="1:10" hidden="1">
      <c r="A3156" t="s">
        <v>2200</v>
      </c>
      <c r="B3156" t="s">
        <v>2201</v>
      </c>
      <c r="C3156" t="s">
        <v>241</v>
      </c>
      <c r="D3156" t="s">
        <v>1633</v>
      </c>
      <c r="E3156" t="s">
        <v>561</v>
      </c>
      <c r="F3156" t="s">
        <v>1068</v>
      </c>
      <c r="G3156" t="s">
        <v>1078</v>
      </c>
      <c r="H3156">
        <v>-1.6485436672468201</v>
      </c>
      <c r="I3156" t="s">
        <v>1079</v>
      </c>
      <c r="J3156">
        <v>2.54</v>
      </c>
    </row>
    <row r="3157" spans="1:10" hidden="1">
      <c r="A3157" t="s">
        <v>2200</v>
      </c>
      <c r="B3157" t="s">
        <v>2201</v>
      </c>
      <c r="C3157" t="s">
        <v>241</v>
      </c>
      <c r="D3157" t="s">
        <v>1633</v>
      </c>
      <c r="E3157" t="s">
        <v>561</v>
      </c>
      <c r="F3157" t="s">
        <v>1068</v>
      </c>
      <c r="G3157" t="s">
        <v>1080</v>
      </c>
      <c r="H3157" s="171" t="s">
        <v>2202</v>
      </c>
      <c r="I3157" t="s">
        <v>1082</v>
      </c>
      <c r="J3157">
        <v>2.54</v>
      </c>
    </row>
    <row r="3158" spans="1:10" hidden="1">
      <c r="A3158" t="s">
        <v>2200</v>
      </c>
      <c r="B3158" t="s">
        <v>2201</v>
      </c>
      <c r="C3158" t="s">
        <v>241</v>
      </c>
      <c r="D3158" t="s">
        <v>1633</v>
      </c>
      <c r="E3158" t="s">
        <v>561</v>
      </c>
      <c r="F3158" t="s">
        <v>1068</v>
      </c>
      <c r="G3158" t="s">
        <v>1083</v>
      </c>
      <c r="H3158">
        <v>-1.28306649888098E-3</v>
      </c>
      <c r="I3158" t="s">
        <v>1084</v>
      </c>
      <c r="J3158">
        <v>2.54</v>
      </c>
    </row>
    <row r="3159" spans="1:10" hidden="1">
      <c r="A3159" t="s">
        <v>2200</v>
      </c>
      <c r="B3159" t="s">
        <v>2201</v>
      </c>
      <c r="C3159" t="s">
        <v>241</v>
      </c>
      <c r="D3159" t="s">
        <v>1633</v>
      </c>
      <c r="E3159" t="s">
        <v>561</v>
      </c>
      <c r="F3159" t="s">
        <v>1068</v>
      </c>
      <c r="G3159" t="s">
        <v>1085</v>
      </c>
      <c r="H3159">
        <v>-3.6069013441489002E-2</v>
      </c>
      <c r="I3159" t="s">
        <v>1086</v>
      </c>
      <c r="J3159">
        <v>2.54</v>
      </c>
    </row>
    <row r="3160" spans="1:10" hidden="1">
      <c r="A3160" t="s">
        <v>2200</v>
      </c>
      <c r="B3160" t="s">
        <v>2201</v>
      </c>
      <c r="C3160" t="s">
        <v>241</v>
      </c>
      <c r="D3160" t="s">
        <v>1633</v>
      </c>
      <c r="E3160" t="s">
        <v>561</v>
      </c>
      <c r="F3160" t="s">
        <v>1068</v>
      </c>
      <c r="G3160" t="s">
        <v>1087</v>
      </c>
      <c r="H3160" s="170">
        <v>-1.64355296677082E-5</v>
      </c>
      <c r="I3160" t="s">
        <v>1088</v>
      </c>
      <c r="J3160">
        <v>2.54</v>
      </c>
    </row>
    <row r="3161" spans="1:10" hidden="1">
      <c r="A3161" t="s">
        <v>2200</v>
      </c>
      <c r="B3161" t="s">
        <v>2201</v>
      </c>
      <c r="C3161" t="s">
        <v>241</v>
      </c>
      <c r="D3161" t="s">
        <v>1633</v>
      </c>
      <c r="E3161" t="s">
        <v>561</v>
      </c>
      <c r="F3161" t="s">
        <v>1068</v>
      </c>
      <c r="G3161" t="s">
        <v>1089</v>
      </c>
      <c r="H3161">
        <v>-9.6571692477022304E-3</v>
      </c>
      <c r="I3161" t="s">
        <v>1090</v>
      </c>
      <c r="J3161">
        <v>2.54</v>
      </c>
    </row>
    <row r="3162" spans="1:10" hidden="1">
      <c r="A3162" t="s">
        <v>2203</v>
      </c>
      <c r="B3162" t="s">
        <v>2204</v>
      </c>
      <c r="C3162" t="s">
        <v>241</v>
      </c>
      <c r="D3162" t="s">
        <v>1633</v>
      </c>
      <c r="E3162" t="s">
        <v>555</v>
      </c>
      <c r="F3162" t="s">
        <v>1068</v>
      </c>
      <c r="G3162" t="s">
        <v>1069</v>
      </c>
      <c r="H3162">
        <v>-0.26840907821957199</v>
      </c>
      <c r="I3162" t="s">
        <v>1070</v>
      </c>
      <c r="J3162">
        <v>3.06</v>
      </c>
    </row>
    <row r="3163" spans="1:10" hidden="1">
      <c r="A3163" t="s">
        <v>2203</v>
      </c>
      <c r="B3163" t="s">
        <v>2204</v>
      </c>
      <c r="C3163" t="s">
        <v>241</v>
      </c>
      <c r="D3163" t="s">
        <v>1633</v>
      </c>
      <c r="E3163" t="s">
        <v>555</v>
      </c>
      <c r="F3163" t="s">
        <v>1068</v>
      </c>
      <c r="G3163" t="s">
        <v>1071</v>
      </c>
      <c r="H3163" s="170">
        <v>-5.8181974980262301E-10</v>
      </c>
      <c r="I3163" t="s">
        <v>1072</v>
      </c>
      <c r="J3163">
        <v>3.06</v>
      </c>
    </row>
    <row r="3164" spans="1:10" hidden="1">
      <c r="A3164" t="s">
        <v>2203</v>
      </c>
      <c r="B3164" t="s">
        <v>2204</v>
      </c>
      <c r="C3164" t="s">
        <v>241</v>
      </c>
      <c r="D3164" t="s">
        <v>1633</v>
      </c>
      <c r="E3164" t="s">
        <v>555</v>
      </c>
      <c r="F3164" t="s">
        <v>1068</v>
      </c>
      <c r="G3164" t="s">
        <v>1073</v>
      </c>
      <c r="H3164" s="170">
        <v>-1.0760438719003701E-7</v>
      </c>
      <c r="I3164" t="s">
        <v>1074</v>
      </c>
      <c r="J3164">
        <v>3.06</v>
      </c>
    </row>
    <row r="3165" spans="1:10" hidden="1">
      <c r="A3165" t="s">
        <v>2203</v>
      </c>
      <c r="B3165" t="s">
        <v>2204</v>
      </c>
      <c r="C3165" t="s">
        <v>241</v>
      </c>
      <c r="D3165" t="s">
        <v>1633</v>
      </c>
      <c r="E3165" t="s">
        <v>555</v>
      </c>
      <c r="F3165" t="s">
        <v>1068</v>
      </c>
      <c r="G3165" t="s">
        <v>1075</v>
      </c>
      <c r="H3165">
        <v>5.4202921563509298E-3</v>
      </c>
      <c r="I3165" t="s">
        <v>1077</v>
      </c>
      <c r="J3165">
        <v>3.06</v>
      </c>
    </row>
    <row r="3166" spans="1:10" hidden="1">
      <c r="A3166" t="s">
        <v>2203</v>
      </c>
      <c r="B3166" t="s">
        <v>2204</v>
      </c>
      <c r="C3166" t="s">
        <v>241</v>
      </c>
      <c r="D3166" t="s">
        <v>1633</v>
      </c>
      <c r="E3166" t="s">
        <v>555</v>
      </c>
      <c r="F3166" t="s">
        <v>1068</v>
      </c>
      <c r="G3166" t="s">
        <v>1078</v>
      </c>
      <c r="H3166">
        <v>-1.64655650896596</v>
      </c>
      <c r="I3166" t="s">
        <v>1079</v>
      </c>
      <c r="J3166">
        <v>3.06</v>
      </c>
    </row>
    <row r="3167" spans="1:10" hidden="1">
      <c r="A3167" t="s">
        <v>2203</v>
      </c>
      <c r="B3167" t="s">
        <v>2204</v>
      </c>
      <c r="C3167" t="s">
        <v>241</v>
      </c>
      <c r="D3167" t="s">
        <v>1633</v>
      </c>
      <c r="E3167" t="s">
        <v>555</v>
      </c>
      <c r="F3167" t="s">
        <v>1068</v>
      </c>
      <c r="G3167" t="s">
        <v>1080</v>
      </c>
      <c r="H3167" s="171" t="s">
        <v>2205</v>
      </c>
      <c r="I3167" t="s">
        <v>1082</v>
      </c>
      <c r="J3167">
        <v>3.06</v>
      </c>
    </row>
    <row r="3168" spans="1:10" hidden="1">
      <c r="A3168" t="s">
        <v>2203</v>
      </c>
      <c r="B3168" t="s">
        <v>2204</v>
      </c>
      <c r="C3168" t="s">
        <v>241</v>
      </c>
      <c r="D3168" t="s">
        <v>1633</v>
      </c>
      <c r="E3168" t="s">
        <v>555</v>
      </c>
      <c r="F3168" t="s">
        <v>1068</v>
      </c>
      <c r="G3168" t="s">
        <v>1083</v>
      </c>
      <c r="H3168">
        <v>-1.283031570588E-3</v>
      </c>
      <c r="I3168" t="s">
        <v>1084</v>
      </c>
      <c r="J3168">
        <v>3.06</v>
      </c>
    </row>
    <row r="3169" spans="1:10" hidden="1">
      <c r="A3169" t="s">
        <v>2203</v>
      </c>
      <c r="B3169" t="s">
        <v>2204</v>
      </c>
      <c r="C3169" t="s">
        <v>241</v>
      </c>
      <c r="D3169" t="s">
        <v>1633</v>
      </c>
      <c r="E3169" t="s">
        <v>555</v>
      </c>
      <c r="F3169" t="s">
        <v>1068</v>
      </c>
      <c r="G3169" t="s">
        <v>1085</v>
      </c>
      <c r="H3169">
        <v>-3.6068597478576402E-2</v>
      </c>
      <c r="I3169" t="s">
        <v>1086</v>
      </c>
      <c r="J3169">
        <v>3.06</v>
      </c>
    </row>
    <row r="3170" spans="1:10" hidden="1">
      <c r="A3170" t="s">
        <v>2203</v>
      </c>
      <c r="B3170" t="s">
        <v>2204</v>
      </c>
      <c r="C3170" t="s">
        <v>241</v>
      </c>
      <c r="D3170" t="s">
        <v>1633</v>
      </c>
      <c r="E3170" t="s">
        <v>555</v>
      </c>
      <c r="F3170" t="s">
        <v>1068</v>
      </c>
      <c r="G3170" t="s">
        <v>1087</v>
      </c>
      <c r="H3170" s="170">
        <v>-1.6435144363782699E-5</v>
      </c>
      <c r="I3170" t="s">
        <v>1088</v>
      </c>
      <c r="J3170">
        <v>3.06</v>
      </c>
    </row>
    <row r="3171" spans="1:10" hidden="1">
      <c r="A3171" t="s">
        <v>2203</v>
      </c>
      <c r="B3171" t="s">
        <v>2204</v>
      </c>
      <c r="C3171" t="s">
        <v>241</v>
      </c>
      <c r="D3171" t="s">
        <v>1633</v>
      </c>
      <c r="E3171" t="s">
        <v>555</v>
      </c>
      <c r="F3171" t="s">
        <v>1068</v>
      </c>
      <c r="G3171" t="s">
        <v>1089</v>
      </c>
      <c r="H3171">
        <v>-9.6570871289776601E-3</v>
      </c>
      <c r="I3171" t="s">
        <v>1090</v>
      </c>
      <c r="J3171">
        <v>3.06</v>
      </c>
    </row>
    <row r="3172" spans="1:10" hidden="1">
      <c r="A3172" t="s">
        <v>2206</v>
      </c>
      <c r="B3172" t="s">
        <v>2207</v>
      </c>
      <c r="C3172" t="s">
        <v>241</v>
      </c>
      <c r="D3172" t="s">
        <v>1633</v>
      </c>
      <c r="E3172" t="s">
        <v>558</v>
      </c>
      <c r="F3172" t="s">
        <v>1068</v>
      </c>
      <c r="G3172" t="s">
        <v>1069</v>
      </c>
      <c r="H3172">
        <v>-0.26866176732511299</v>
      </c>
      <c r="I3172" t="s">
        <v>1070</v>
      </c>
      <c r="J3172">
        <v>2.0299999999999998</v>
      </c>
    </row>
    <row r="3173" spans="1:10" hidden="1">
      <c r="A3173" t="s">
        <v>2206</v>
      </c>
      <c r="B3173" t="s">
        <v>2207</v>
      </c>
      <c r="C3173" t="s">
        <v>241</v>
      </c>
      <c r="D3173" t="s">
        <v>1633</v>
      </c>
      <c r="E3173" t="s">
        <v>558</v>
      </c>
      <c r="F3173" t="s">
        <v>1068</v>
      </c>
      <c r="G3173" t="s">
        <v>1071</v>
      </c>
      <c r="H3173" s="170">
        <v>-5.8218735082174398E-10</v>
      </c>
      <c r="I3173" t="s">
        <v>1072</v>
      </c>
      <c r="J3173">
        <v>2.0299999999999998</v>
      </c>
    </row>
    <row r="3174" spans="1:10" hidden="1">
      <c r="A3174" t="s">
        <v>2206</v>
      </c>
      <c r="B3174" t="s">
        <v>2207</v>
      </c>
      <c r="C3174" t="s">
        <v>241</v>
      </c>
      <c r="D3174" t="s">
        <v>1633</v>
      </c>
      <c r="E3174" t="s">
        <v>558</v>
      </c>
      <c r="F3174" t="s">
        <v>1068</v>
      </c>
      <c r="G3174" t="s">
        <v>1073</v>
      </c>
      <c r="H3174" s="170">
        <v>-1.07693592879389E-7</v>
      </c>
      <c r="I3174" t="s">
        <v>1074</v>
      </c>
      <c r="J3174">
        <v>2.0299999999999998</v>
      </c>
    </row>
    <row r="3175" spans="1:10" hidden="1">
      <c r="A3175" t="s">
        <v>2206</v>
      </c>
      <c r="B3175" t="s">
        <v>2207</v>
      </c>
      <c r="C3175" t="s">
        <v>241</v>
      </c>
      <c r="D3175" t="s">
        <v>1633</v>
      </c>
      <c r="E3175" t="s">
        <v>558</v>
      </c>
      <c r="F3175" t="s">
        <v>1068</v>
      </c>
      <c r="G3175" t="s">
        <v>1075</v>
      </c>
      <c r="H3175">
        <v>5.40835983623287E-3</v>
      </c>
      <c r="I3175" t="s">
        <v>1077</v>
      </c>
      <c r="J3175">
        <v>2.0299999999999998</v>
      </c>
    </row>
    <row r="3176" spans="1:10" hidden="1">
      <c r="A3176" t="s">
        <v>2206</v>
      </c>
      <c r="B3176" t="s">
        <v>2207</v>
      </c>
      <c r="C3176" t="s">
        <v>241</v>
      </c>
      <c r="D3176" t="s">
        <v>1633</v>
      </c>
      <c r="E3176" t="s">
        <v>558</v>
      </c>
      <c r="F3176" t="s">
        <v>1068</v>
      </c>
      <c r="G3176" t="s">
        <v>1078</v>
      </c>
      <c r="H3176">
        <v>-1.64857147794727</v>
      </c>
      <c r="I3176" t="s">
        <v>1079</v>
      </c>
      <c r="J3176">
        <v>2.0299999999999998</v>
      </c>
    </row>
    <row r="3177" spans="1:10" hidden="1">
      <c r="A3177" t="s">
        <v>2206</v>
      </c>
      <c r="B3177" t="s">
        <v>2207</v>
      </c>
      <c r="C3177" t="s">
        <v>241</v>
      </c>
      <c r="D3177" t="s">
        <v>1633</v>
      </c>
      <c r="E3177" t="s">
        <v>558</v>
      </c>
      <c r="F3177" t="s">
        <v>1068</v>
      </c>
      <c r="G3177" t="s">
        <v>1080</v>
      </c>
      <c r="H3177" s="171" t="s">
        <v>2208</v>
      </c>
      <c r="I3177" t="s">
        <v>1082</v>
      </c>
      <c r="J3177">
        <v>2.0299999999999998</v>
      </c>
    </row>
    <row r="3178" spans="1:10" hidden="1">
      <c r="A3178" t="s">
        <v>2206</v>
      </c>
      <c r="B3178" t="s">
        <v>2207</v>
      </c>
      <c r="C3178" t="s">
        <v>241</v>
      </c>
      <c r="D3178" t="s">
        <v>1633</v>
      </c>
      <c r="E3178" t="s">
        <v>558</v>
      </c>
      <c r="F3178" t="s">
        <v>1068</v>
      </c>
      <c r="G3178" t="s">
        <v>1083</v>
      </c>
      <c r="H3178">
        <v>-1.2830695912674499E-3</v>
      </c>
      <c r="I3178" t="s">
        <v>1084</v>
      </c>
      <c r="J3178">
        <v>2.0299999999999998</v>
      </c>
    </row>
    <row r="3179" spans="1:10" hidden="1">
      <c r="A3179" t="s">
        <v>2206</v>
      </c>
      <c r="B3179" t="s">
        <v>2207</v>
      </c>
      <c r="C3179" t="s">
        <v>241</v>
      </c>
      <c r="D3179" t="s">
        <v>1633</v>
      </c>
      <c r="E3179" t="s">
        <v>558</v>
      </c>
      <c r="F3179" t="s">
        <v>1068</v>
      </c>
      <c r="G3179" t="s">
        <v>1085</v>
      </c>
      <c r="H3179">
        <v>-3.6069048391732403E-2</v>
      </c>
      <c r="I3179" t="s">
        <v>1086</v>
      </c>
      <c r="J3179">
        <v>2.0299999999999998</v>
      </c>
    </row>
    <row r="3180" spans="1:10" hidden="1">
      <c r="A3180" t="s">
        <v>2206</v>
      </c>
      <c r="B3180" t="s">
        <v>2207</v>
      </c>
      <c r="C3180" t="s">
        <v>241</v>
      </c>
      <c r="D3180" t="s">
        <v>1633</v>
      </c>
      <c r="E3180" t="s">
        <v>558</v>
      </c>
      <c r="F3180" t="s">
        <v>1068</v>
      </c>
      <c r="G3180" t="s">
        <v>1087</v>
      </c>
      <c r="H3180" s="170">
        <v>-1.64355465348553E-5</v>
      </c>
      <c r="I3180" t="s">
        <v>1088</v>
      </c>
      <c r="J3180">
        <v>2.0299999999999998</v>
      </c>
    </row>
    <row r="3181" spans="1:10" hidden="1">
      <c r="A3181" t="s">
        <v>2206</v>
      </c>
      <c r="B3181" t="s">
        <v>2207</v>
      </c>
      <c r="C3181" t="s">
        <v>241</v>
      </c>
      <c r="D3181" t="s">
        <v>1633</v>
      </c>
      <c r="E3181" t="s">
        <v>558</v>
      </c>
      <c r="F3181" t="s">
        <v>1068</v>
      </c>
      <c r="G3181" t="s">
        <v>1089</v>
      </c>
      <c r="H3181">
        <v>-9.6571764578684306E-3</v>
      </c>
      <c r="I3181" t="s">
        <v>1090</v>
      </c>
      <c r="J3181">
        <v>2.0299999999999998</v>
      </c>
    </row>
    <row r="3182" spans="1:10" hidden="1">
      <c r="A3182" t="s">
        <v>2209</v>
      </c>
      <c r="B3182" t="s">
        <v>2210</v>
      </c>
      <c r="C3182" t="s">
        <v>241</v>
      </c>
      <c r="D3182" t="s">
        <v>1633</v>
      </c>
      <c r="E3182" t="s">
        <v>553</v>
      </c>
      <c r="F3182" t="s">
        <v>1068</v>
      </c>
      <c r="G3182" t="s">
        <v>1069</v>
      </c>
      <c r="H3182">
        <v>-0.26867912173435299</v>
      </c>
      <c r="I3182" t="s">
        <v>1070</v>
      </c>
      <c r="J3182">
        <v>2.0299999999999998</v>
      </c>
    </row>
    <row r="3183" spans="1:10" hidden="1">
      <c r="A3183" t="s">
        <v>2209</v>
      </c>
      <c r="B3183" t="s">
        <v>2210</v>
      </c>
      <c r="C3183" t="s">
        <v>241</v>
      </c>
      <c r="D3183" t="s">
        <v>1633</v>
      </c>
      <c r="E3183" t="s">
        <v>553</v>
      </c>
      <c r="F3183" t="s">
        <v>1068</v>
      </c>
      <c r="G3183" t="s">
        <v>1071</v>
      </c>
      <c r="H3183" s="170">
        <v>-5.822061851448E-10</v>
      </c>
      <c r="I3183" t="s">
        <v>1072</v>
      </c>
      <c r="J3183">
        <v>2.0299999999999998</v>
      </c>
    </row>
    <row r="3184" spans="1:10" hidden="1">
      <c r="A3184" t="s">
        <v>2209</v>
      </c>
      <c r="B3184" t="s">
        <v>2210</v>
      </c>
      <c r="C3184" t="s">
        <v>241</v>
      </c>
      <c r="D3184" t="s">
        <v>1633</v>
      </c>
      <c r="E3184" t="s">
        <v>553</v>
      </c>
      <c r="F3184" t="s">
        <v>1068</v>
      </c>
      <c r="G3184" t="s">
        <v>1073</v>
      </c>
      <c r="H3184" s="170">
        <v>-1.0770030750096999E-7</v>
      </c>
      <c r="I3184" t="s">
        <v>1074</v>
      </c>
      <c r="J3184">
        <v>2.0299999999999998</v>
      </c>
    </row>
    <row r="3185" spans="1:10" hidden="1">
      <c r="A3185" t="s">
        <v>2209</v>
      </c>
      <c r="B3185" t="s">
        <v>2210</v>
      </c>
      <c r="C3185" t="s">
        <v>241</v>
      </c>
      <c r="D3185" t="s">
        <v>1633</v>
      </c>
      <c r="E3185" t="s">
        <v>553</v>
      </c>
      <c r="F3185" t="s">
        <v>1068</v>
      </c>
      <c r="G3185" t="s">
        <v>1075</v>
      </c>
      <c r="H3185">
        <v>5.4117557923730698E-3</v>
      </c>
      <c r="I3185" t="s">
        <v>1077</v>
      </c>
      <c r="J3185">
        <v>2.0299999999999998</v>
      </c>
    </row>
    <row r="3186" spans="1:10" hidden="1">
      <c r="A3186" t="s">
        <v>2209</v>
      </c>
      <c r="B3186" t="s">
        <v>2210</v>
      </c>
      <c r="C3186" t="s">
        <v>241</v>
      </c>
      <c r="D3186" t="s">
        <v>1633</v>
      </c>
      <c r="E3186" t="s">
        <v>553</v>
      </c>
      <c r="F3186" t="s">
        <v>1068</v>
      </c>
      <c r="G3186" t="s">
        <v>1078</v>
      </c>
      <c r="H3186">
        <v>-1.6469256542723201</v>
      </c>
      <c r="I3186" t="s">
        <v>1079</v>
      </c>
      <c r="J3186">
        <v>2.0299999999999998</v>
      </c>
    </row>
    <row r="3187" spans="1:10" hidden="1">
      <c r="A3187" t="s">
        <v>2209</v>
      </c>
      <c r="B3187" t="s">
        <v>2210</v>
      </c>
      <c r="C3187" t="s">
        <v>241</v>
      </c>
      <c r="D3187" t="s">
        <v>1633</v>
      </c>
      <c r="E3187" t="s">
        <v>553</v>
      </c>
      <c r="F3187" t="s">
        <v>1068</v>
      </c>
      <c r="G3187" t="s">
        <v>1080</v>
      </c>
      <c r="H3187" s="171" t="s">
        <v>2211</v>
      </c>
      <c r="I3187" t="s">
        <v>1082</v>
      </c>
      <c r="J3187">
        <v>2.0299999999999998</v>
      </c>
    </row>
    <row r="3188" spans="1:10" hidden="1">
      <c r="A3188" t="s">
        <v>2209</v>
      </c>
      <c r="B3188" t="s">
        <v>2210</v>
      </c>
      <c r="C3188" t="s">
        <v>241</v>
      </c>
      <c r="D3188" t="s">
        <v>1633</v>
      </c>
      <c r="E3188" t="s">
        <v>553</v>
      </c>
      <c r="F3188" t="s">
        <v>1068</v>
      </c>
      <c r="G3188" t="s">
        <v>1083</v>
      </c>
      <c r="H3188">
        <v>-1.28307261737706E-3</v>
      </c>
      <c r="I3188" t="s">
        <v>1084</v>
      </c>
      <c r="J3188">
        <v>2.0299999999999998</v>
      </c>
    </row>
    <row r="3189" spans="1:10" hidden="1">
      <c r="A3189" t="s">
        <v>2209</v>
      </c>
      <c r="B3189" t="s">
        <v>2210</v>
      </c>
      <c r="C3189" t="s">
        <v>241</v>
      </c>
      <c r="D3189" t="s">
        <v>1633</v>
      </c>
      <c r="E3189" t="s">
        <v>553</v>
      </c>
      <c r="F3189" t="s">
        <v>1068</v>
      </c>
      <c r="G3189" t="s">
        <v>1085</v>
      </c>
      <c r="H3189">
        <v>-3.6069061390600198E-2</v>
      </c>
      <c r="I3189" t="s">
        <v>1086</v>
      </c>
      <c r="J3189">
        <v>2.0299999999999998</v>
      </c>
    </row>
    <row r="3190" spans="1:10" hidden="1">
      <c r="A3190" t="s">
        <v>2209</v>
      </c>
      <c r="B3190" t="s">
        <v>2210</v>
      </c>
      <c r="C3190" t="s">
        <v>241</v>
      </c>
      <c r="D3190" t="s">
        <v>1633</v>
      </c>
      <c r="E3190" t="s">
        <v>553</v>
      </c>
      <c r="F3190" t="s">
        <v>1068</v>
      </c>
      <c r="G3190" t="s">
        <v>1087</v>
      </c>
      <c r="H3190" s="170">
        <v>-1.64353682498436E-5</v>
      </c>
      <c r="I3190" t="s">
        <v>1088</v>
      </c>
      <c r="J3190">
        <v>2.0299999999999998</v>
      </c>
    </row>
    <row r="3191" spans="1:10" hidden="1">
      <c r="A3191" t="s">
        <v>2209</v>
      </c>
      <c r="B3191" t="s">
        <v>2210</v>
      </c>
      <c r="C3191" t="s">
        <v>241</v>
      </c>
      <c r="D3191" t="s">
        <v>1633</v>
      </c>
      <c r="E3191" t="s">
        <v>553</v>
      </c>
      <c r="F3191" t="s">
        <v>1068</v>
      </c>
      <c r="G3191" t="s">
        <v>1089</v>
      </c>
      <c r="H3191">
        <v>-9.6571828331120796E-3</v>
      </c>
      <c r="I3191" t="s">
        <v>1090</v>
      </c>
      <c r="J3191">
        <v>2.0299999999999998</v>
      </c>
    </row>
    <row r="3192" spans="1:10" hidden="1">
      <c r="A3192" t="s">
        <v>2212</v>
      </c>
      <c r="B3192" t="s">
        <v>2213</v>
      </c>
      <c r="C3192" t="s">
        <v>241</v>
      </c>
      <c r="D3192" t="s">
        <v>1633</v>
      </c>
      <c r="E3192" t="s">
        <v>556</v>
      </c>
      <c r="F3192" t="s">
        <v>1068</v>
      </c>
      <c r="G3192" t="s">
        <v>1069</v>
      </c>
      <c r="H3192">
        <v>-0.26843442870013401</v>
      </c>
      <c r="I3192" t="s">
        <v>1070</v>
      </c>
      <c r="J3192">
        <v>2.0299999999999998</v>
      </c>
    </row>
    <row r="3193" spans="1:10" hidden="1">
      <c r="A3193" t="s">
        <v>2212</v>
      </c>
      <c r="B3193" t="s">
        <v>2213</v>
      </c>
      <c r="C3193" t="s">
        <v>241</v>
      </c>
      <c r="D3193" t="s">
        <v>1633</v>
      </c>
      <c r="E3193" t="s">
        <v>556</v>
      </c>
      <c r="F3193" t="s">
        <v>1068</v>
      </c>
      <c r="G3193" t="s">
        <v>1071</v>
      </c>
      <c r="H3193" s="170">
        <v>-5.8182258393581405E-10</v>
      </c>
      <c r="I3193" t="s">
        <v>1072</v>
      </c>
      <c r="J3193">
        <v>2.0299999999999998</v>
      </c>
    </row>
    <row r="3194" spans="1:10" hidden="1">
      <c r="A3194" t="s">
        <v>2212</v>
      </c>
      <c r="B3194" t="s">
        <v>2213</v>
      </c>
      <c r="C3194" t="s">
        <v>241</v>
      </c>
      <c r="D3194" t="s">
        <v>1633</v>
      </c>
      <c r="E3194" t="s">
        <v>556</v>
      </c>
      <c r="F3194" t="s">
        <v>1068</v>
      </c>
      <c r="G3194" t="s">
        <v>1073</v>
      </c>
      <c r="H3194" s="170">
        <v>-1.07612434222167E-7</v>
      </c>
      <c r="I3194" t="s">
        <v>1074</v>
      </c>
      <c r="J3194">
        <v>2.0299999999999998</v>
      </c>
    </row>
    <row r="3195" spans="1:10" hidden="1">
      <c r="A3195" t="s">
        <v>2212</v>
      </c>
      <c r="B3195" t="s">
        <v>2213</v>
      </c>
      <c r="C3195" t="s">
        <v>241</v>
      </c>
      <c r="D3195" t="s">
        <v>1633</v>
      </c>
      <c r="E3195" t="s">
        <v>556</v>
      </c>
      <c r="F3195" t="s">
        <v>1068</v>
      </c>
      <c r="G3195" t="s">
        <v>1075</v>
      </c>
      <c r="H3195">
        <v>5.4341244147736202E-3</v>
      </c>
      <c r="I3195" t="s">
        <v>1077</v>
      </c>
      <c r="J3195">
        <v>2.0299999999999998</v>
      </c>
    </row>
    <row r="3196" spans="1:10" hidden="1">
      <c r="A3196" t="s">
        <v>2212</v>
      </c>
      <c r="B3196" t="s">
        <v>2213</v>
      </c>
      <c r="C3196" t="s">
        <v>241</v>
      </c>
      <c r="D3196" t="s">
        <v>1633</v>
      </c>
      <c r="E3196" t="s">
        <v>556</v>
      </c>
      <c r="F3196" t="s">
        <v>1068</v>
      </c>
      <c r="G3196" t="s">
        <v>1078</v>
      </c>
      <c r="H3196">
        <v>-1.64048635651654</v>
      </c>
      <c r="I3196" t="s">
        <v>1079</v>
      </c>
      <c r="J3196">
        <v>2.0299999999999998</v>
      </c>
    </row>
    <row r="3197" spans="1:10" hidden="1">
      <c r="A3197" t="s">
        <v>2212</v>
      </c>
      <c r="B3197" t="s">
        <v>2213</v>
      </c>
      <c r="C3197" t="s">
        <v>241</v>
      </c>
      <c r="D3197" t="s">
        <v>1633</v>
      </c>
      <c r="E3197" t="s">
        <v>556</v>
      </c>
      <c r="F3197" t="s">
        <v>1068</v>
      </c>
      <c r="G3197" t="s">
        <v>1080</v>
      </c>
      <c r="H3197" s="171" t="s">
        <v>2214</v>
      </c>
      <c r="I3197" t="s">
        <v>1082</v>
      </c>
      <c r="J3197">
        <v>2.0299999999999998</v>
      </c>
    </row>
    <row r="3198" spans="1:10" hidden="1">
      <c r="A3198" t="s">
        <v>2212</v>
      </c>
      <c r="B3198" t="s">
        <v>2213</v>
      </c>
      <c r="C3198" t="s">
        <v>241</v>
      </c>
      <c r="D3198" t="s">
        <v>1633</v>
      </c>
      <c r="E3198" t="s">
        <v>556</v>
      </c>
      <c r="F3198" t="s">
        <v>1068</v>
      </c>
      <c r="G3198" t="s">
        <v>1083</v>
      </c>
      <c r="H3198">
        <v>-1.2830354195332799E-3</v>
      </c>
      <c r="I3198" t="s">
        <v>1084</v>
      </c>
      <c r="J3198">
        <v>2.0299999999999998</v>
      </c>
    </row>
    <row r="3199" spans="1:10" hidden="1">
      <c r="A3199" t="s">
        <v>2212</v>
      </c>
      <c r="B3199" t="s">
        <v>2213</v>
      </c>
      <c r="C3199" t="s">
        <v>241</v>
      </c>
      <c r="D3199" t="s">
        <v>1633</v>
      </c>
      <c r="E3199" t="s">
        <v>556</v>
      </c>
      <c r="F3199" t="s">
        <v>1068</v>
      </c>
      <c r="G3199" t="s">
        <v>1085</v>
      </c>
      <c r="H3199">
        <v>-3.6068564011652898E-2</v>
      </c>
      <c r="I3199" t="s">
        <v>1086</v>
      </c>
      <c r="J3199">
        <v>2.0299999999999998</v>
      </c>
    </row>
    <row r="3200" spans="1:10" hidden="1">
      <c r="A3200" t="s">
        <v>2212</v>
      </c>
      <c r="B3200" t="s">
        <v>2213</v>
      </c>
      <c r="C3200" t="s">
        <v>241</v>
      </c>
      <c r="D3200" t="s">
        <v>1633</v>
      </c>
      <c r="E3200" t="s">
        <v>556</v>
      </c>
      <c r="F3200" t="s">
        <v>1068</v>
      </c>
      <c r="G3200" t="s">
        <v>1087</v>
      </c>
      <c r="H3200" s="170">
        <v>-1.64351654073369E-5</v>
      </c>
      <c r="I3200" t="s">
        <v>1088</v>
      </c>
      <c r="J3200">
        <v>2.0299999999999998</v>
      </c>
    </row>
    <row r="3201" spans="1:10" hidden="1">
      <c r="A3201" t="s">
        <v>2212</v>
      </c>
      <c r="B3201" t="s">
        <v>2213</v>
      </c>
      <c r="C3201" t="s">
        <v>241</v>
      </c>
      <c r="D3201" t="s">
        <v>1633</v>
      </c>
      <c r="E3201" t="s">
        <v>556</v>
      </c>
      <c r="F3201" t="s">
        <v>1068</v>
      </c>
      <c r="G3201" t="s">
        <v>1089</v>
      </c>
      <c r="H3201">
        <v>-9.6570961244244E-3</v>
      </c>
      <c r="I3201" t="s">
        <v>1090</v>
      </c>
      <c r="J3201">
        <v>2.0299999999999998</v>
      </c>
    </row>
    <row r="3202" spans="1:10" hidden="1">
      <c r="A3202" t="s">
        <v>2215</v>
      </c>
      <c r="B3202" t="s">
        <v>2216</v>
      </c>
      <c r="C3202" t="s">
        <v>241</v>
      </c>
      <c r="D3202" t="s">
        <v>1633</v>
      </c>
      <c r="E3202" t="s">
        <v>557</v>
      </c>
      <c r="F3202" t="s">
        <v>1068</v>
      </c>
      <c r="G3202" t="s">
        <v>1069</v>
      </c>
      <c r="H3202">
        <v>-0.26857773544193198</v>
      </c>
      <c r="I3202" t="s">
        <v>1070</v>
      </c>
      <c r="J3202">
        <v>2.04</v>
      </c>
    </row>
    <row r="3203" spans="1:10" hidden="1">
      <c r="A3203" t="s">
        <v>2215</v>
      </c>
      <c r="B3203" t="s">
        <v>2216</v>
      </c>
      <c r="C3203" t="s">
        <v>241</v>
      </c>
      <c r="D3203" t="s">
        <v>1633</v>
      </c>
      <c r="E3203" t="s">
        <v>557</v>
      </c>
      <c r="F3203" t="s">
        <v>1068</v>
      </c>
      <c r="G3203" t="s">
        <v>1071</v>
      </c>
      <c r="H3203" s="170">
        <v>-5.82067100240892E-10</v>
      </c>
      <c r="I3203" t="s">
        <v>1072</v>
      </c>
      <c r="J3203">
        <v>2.04</v>
      </c>
    </row>
    <row r="3204" spans="1:10" hidden="1">
      <c r="A3204" t="s">
        <v>2215</v>
      </c>
      <c r="B3204" t="s">
        <v>2216</v>
      </c>
      <c r="C3204" t="s">
        <v>241</v>
      </c>
      <c r="D3204" t="s">
        <v>1633</v>
      </c>
      <c r="E3204" t="s">
        <v>557</v>
      </c>
      <c r="F3204" t="s">
        <v>1068</v>
      </c>
      <c r="G3204" t="s">
        <v>1073</v>
      </c>
      <c r="H3204" s="170">
        <v>-1.0766374448859001E-7</v>
      </c>
      <c r="I3204" t="s">
        <v>1074</v>
      </c>
      <c r="J3204">
        <v>2.04</v>
      </c>
    </row>
    <row r="3205" spans="1:10" hidden="1">
      <c r="A3205" t="s">
        <v>2215</v>
      </c>
      <c r="B3205" t="s">
        <v>2216</v>
      </c>
      <c r="C3205" t="s">
        <v>241</v>
      </c>
      <c r="D3205" t="s">
        <v>1633</v>
      </c>
      <c r="E3205" t="s">
        <v>557</v>
      </c>
      <c r="F3205" t="s">
        <v>1068</v>
      </c>
      <c r="G3205" t="s">
        <v>1075</v>
      </c>
      <c r="H3205">
        <v>5.4110161738292603E-3</v>
      </c>
      <c r="I3205" t="s">
        <v>1077</v>
      </c>
      <c r="J3205">
        <v>2.04</v>
      </c>
    </row>
    <row r="3206" spans="1:10" hidden="1">
      <c r="A3206" t="s">
        <v>2215</v>
      </c>
      <c r="B3206" t="s">
        <v>2216</v>
      </c>
      <c r="C3206" t="s">
        <v>241</v>
      </c>
      <c r="D3206" t="s">
        <v>1633</v>
      </c>
      <c r="E3206" t="s">
        <v>557</v>
      </c>
      <c r="F3206" t="s">
        <v>1068</v>
      </c>
      <c r="G3206" t="s">
        <v>1078</v>
      </c>
      <c r="H3206">
        <v>-1.64845660766307</v>
      </c>
      <c r="I3206" t="s">
        <v>1079</v>
      </c>
      <c r="J3206">
        <v>2.04</v>
      </c>
    </row>
    <row r="3207" spans="1:10" hidden="1">
      <c r="A3207" t="s">
        <v>2215</v>
      </c>
      <c r="B3207" t="s">
        <v>2216</v>
      </c>
      <c r="C3207" t="s">
        <v>241</v>
      </c>
      <c r="D3207" t="s">
        <v>1633</v>
      </c>
      <c r="E3207" t="s">
        <v>557</v>
      </c>
      <c r="F3207" t="s">
        <v>1068</v>
      </c>
      <c r="G3207" t="s">
        <v>1080</v>
      </c>
      <c r="H3207" s="171" t="s">
        <v>2217</v>
      </c>
      <c r="I3207" t="s">
        <v>1082</v>
      </c>
      <c r="J3207">
        <v>2.04</v>
      </c>
    </row>
    <row r="3208" spans="1:10" hidden="1">
      <c r="A3208" t="s">
        <v>2215</v>
      </c>
      <c r="B3208" t="s">
        <v>2216</v>
      </c>
      <c r="C3208" t="s">
        <v>241</v>
      </c>
      <c r="D3208" t="s">
        <v>1633</v>
      </c>
      <c r="E3208" t="s">
        <v>557</v>
      </c>
      <c r="F3208" t="s">
        <v>1068</v>
      </c>
      <c r="G3208" t="s">
        <v>1083</v>
      </c>
      <c r="H3208">
        <v>-1.2830568183668E-3</v>
      </c>
      <c r="I3208" t="s">
        <v>1084</v>
      </c>
      <c r="J3208">
        <v>2.04</v>
      </c>
    </row>
    <row r="3209" spans="1:10" hidden="1">
      <c r="A3209" t="s">
        <v>2215</v>
      </c>
      <c r="B3209" t="s">
        <v>2216</v>
      </c>
      <c r="C3209" t="s">
        <v>241</v>
      </c>
      <c r="D3209" t="s">
        <v>1633</v>
      </c>
      <c r="E3209" t="s">
        <v>557</v>
      </c>
      <c r="F3209" t="s">
        <v>1068</v>
      </c>
      <c r="G3209" t="s">
        <v>1085</v>
      </c>
      <c r="H3209">
        <v>-3.6068904032031501E-2</v>
      </c>
      <c r="I3209" t="s">
        <v>1086</v>
      </c>
      <c r="J3209">
        <v>2.04</v>
      </c>
    </row>
    <row r="3210" spans="1:10" hidden="1">
      <c r="A3210" t="s">
        <v>2215</v>
      </c>
      <c r="B3210" t="s">
        <v>2216</v>
      </c>
      <c r="C3210" t="s">
        <v>241</v>
      </c>
      <c r="D3210" t="s">
        <v>1633</v>
      </c>
      <c r="E3210" t="s">
        <v>557</v>
      </c>
      <c r="F3210" t="s">
        <v>1068</v>
      </c>
      <c r="G3210" t="s">
        <v>1087</v>
      </c>
      <c r="H3210" s="170">
        <v>-1.6435476866204501E-5</v>
      </c>
      <c r="I3210" t="s">
        <v>1088</v>
      </c>
      <c r="J3210">
        <v>2.04</v>
      </c>
    </row>
    <row r="3211" spans="1:10" hidden="1">
      <c r="A3211" t="s">
        <v>2215</v>
      </c>
      <c r="B3211" t="s">
        <v>2216</v>
      </c>
      <c r="C3211" t="s">
        <v>241</v>
      </c>
      <c r="D3211" t="s">
        <v>1633</v>
      </c>
      <c r="E3211" t="s">
        <v>557</v>
      </c>
      <c r="F3211" t="s">
        <v>1068</v>
      </c>
      <c r="G3211" t="s">
        <v>1089</v>
      </c>
      <c r="H3211">
        <v>-9.6571466767472001E-3</v>
      </c>
      <c r="I3211" t="s">
        <v>1090</v>
      </c>
      <c r="J3211">
        <v>2.04</v>
      </c>
    </row>
    <row r="3212" spans="1:10" hidden="1">
      <c r="A3212" t="s">
        <v>2218</v>
      </c>
      <c r="B3212" t="s">
        <v>2219</v>
      </c>
      <c r="C3212" t="s">
        <v>241</v>
      </c>
      <c r="D3212" t="s">
        <v>1633</v>
      </c>
      <c r="E3212" t="s">
        <v>559</v>
      </c>
      <c r="F3212" t="s">
        <v>1068</v>
      </c>
      <c r="G3212" t="s">
        <v>1069</v>
      </c>
      <c r="H3212">
        <v>-0.268507183915839</v>
      </c>
      <c r="I3212" t="s">
        <v>1070</v>
      </c>
      <c r="J3212">
        <v>2.5499999999999998</v>
      </c>
    </row>
    <row r="3213" spans="1:10" hidden="1">
      <c r="A3213" t="s">
        <v>2218</v>
      </c>
      <c r="B3213" t="s">
        <v>2219</v>
      </c>
      <c r="C3213" t="s">
        <v>241</v>
      </c>
      <c r="D3213" t="s">
        <v>1633</v>
      </c>
      <c r="E3213" t="s">
        <v>559</v>
      </c>
      <c r="F3213" t="s">
        <v>1068</v>
      </c>
      <c r="G3213" t="s">
        <v>1071</v>
      </c>
      <c r="H3213" s="170">
        <v>-5.8196014017011696E-10</v>
      </c>
      <c r="I3213" t="s">
        <v>1072</v>
      </c>
      <c r="J3213">
        <v>2.5499999999999998</v>
      </c>
    </row>
    <row r="3214" spans="1:10" hidden="1">
      <c r="A3214" t="s">
        <v>2218</v>
      </c>
      <c r="B3214" t="s">
        <v>2219</v>
      </c>
      <c r="C3214" t="s">
        <v>241</v>
      </c>
      <c r="D3214" t="s">
        <v>1633</v>
      </c>
      <c r="E3214" t="s">
        <v>559</v>
      </c>
      <c r="F3214" t="s">
        <v>1068</v>
      </c>
      <c r="G3214" t="s">
        <v>1073</v>
      </c>
      <c r="H3214" s="170">
        <v>-1.0763923464377701E-7</v>
      </c>
      <c r="I3214" t="s">
        <v>1074</v>
      </c>
      <c r="J3214">
        <v>2.5499999999999998</v>
      </c>
    </row>
    <row r="3215" spans="1:10" hidden="1">
      <c r="A3215" t="s">
        <v>2218</v>
      </c>
      <c r="B3215" t="s">
        <v>2219</v>
      </c>
      <c r="C3215" t="s">
        <v>241</v>
      </c>
      <c r="D3215" t="s">
        <v>1633</v>
      </c>
      <c r="E3215" t="s">
        <v>559</v>
      </c>
      <c r="F3215" t="s">
        <v>1068</v>
      </c>
      <c r="G3215" t="s">
        <v>1075</v>
      </c>
      <c r="H3215">
        <v>5.4171909304885496E-3</v>
      </c>
      <c r="I3215" t="s">
        <v>1077</v>
      </c>
      <c r="J3215">
        <v>2.5499999999999998</v>
      </c>
    </row>
    <row r="3216" spans="1:10" hidden="1">
      <c r="A3216" t="s">
        <v>2218</v>
      </c>
      <c r="B3216" t="s">
        <v>2219</v>
      </c>
      <c r="C3216" t="s">
        <v>241</v>
      </c>
      <c r="D3216" t="s">
        <v>1633</v>
      </c>
      <c r="E3216" t="s">
        <v>559</v>
      </c>
      <c r="F3216" t="s">
        <v>1068</v>
      </c>
      <c r="G3216" t="s">
        <v>1078</v>
      </c>
      <c r="H3216">
        <v>-1.6466906179348999</v>
      </c>
      <c r="I3216" t="s">
        <v>1079</v>
      </c>
      <c r="J3216">
        <v>2.5499999999999998</v>
      </c>
    </row>
    <row r="3217" spans="1:10" hidden="1">
      <c r="A3217" t="s">
        <v>2218</v>
      </c>
      <c r="B3217" t="s">
        <v>2219</v>
      </c>
      <c r="C3217" t="s">
        <v>241</v>
      </c>
      <c r="D3217" t="s">
        <v>1633</v>
      </c>
      <c r="E3217" t="s">
        <v>559</v>
      </c>
      <c r="F3217" t="s">
        <v>1068</v>
      </c>
      <c r="G3217" t="s">
        <v>1080</v>
      </c>
      <c r="H3217" s="171" t="s">
        <v>2220</v>
      </c>
      <c r="I3217" t="s">
        <v>1082</v>
      </c>
      <c r="J3217">
        <v>2.5499999999999998</v>
      </c>
    </row>
    <row r="3218" spans="1:10" hidden="1">
      <c r="A3218" t="s">
        <v>2218</v>
      </c>
      <c r="B3218" t="s">
        <v>2219</v>
      </c>
      <c r="C3218" t="s">
        <v>241</v>
      </c>
      <c r="D3218" t="s">
        <v>1633</v>
      </c>
      <c r="E3218" t="s">
        <v>559</v>
      </c>
      <c r="F3218" t="s">
        <v>1068</v>
      </c>
      <c r="G3218" t="s">
        <v>1083</v>
      </c>
      <c r="H3218">
        <v>-1.2830464827173599E-3</v>
      </c>
      <c r="I3218" t="s">
        <v>1084</v>
      </c>
      <c r="J3218">
        <v>2.5499999999999998</v>
      </c>
    </row>
    <row r="3219" spans="1:10" hidden="1">
      <c r="A3219" t="s">
        <v>2218</v>
      </c>
      <c r="B3219" t="s">
        <v>2219</v>
      </c>
      <c r="C3219" t="s">
        <v>241</v>
      </c>
      <c r="D3219" t="s">
        <v>1633</v>
      </c>
      <c r="E3219" t="s">
        <v>559</v>
      </c>
      <c r="F3219" t="s">
        <v>1068</v>
      </c>
      <c r="G3219" t="s">
        <v>1085</v>
      </c>
      <c r="H3219">
        <v>-3.6068766015903302E-2</v>
      </c>
      <c r="I3219" t="s">
        <v>1086</v>
      </c>
      <c r="J3219">
        <v>2.5499999999999998</v>
      </c>
    </row>
    <row r="3220" spans="1:10" hidden="1">
      <c r="A3220" t="s">
        <v>2218</v>
      </c>
      <c r="B3220" t="s">
        <v>2219</v>
      </c>
      <c r="C3220" t="s">
        <v>241</v>
      </c>
      <c r="D3220" t="s">
        <v>1633</v>
      </c>
      <c r="E3220" t="s">
        <v>559</v>
      </c>
      <c r="F3220" t="s">
        <v>1068</v>
      </c>
      <c r="G3220" t="s">
        <v>1087</v>
      </c>
      <c r="H3220" s="170">
        <v>-1.6435225700666199E-5</v>
      </c>
      <c r="I3220" t="s">
        <v>1088</v>
      </c>
      <c r="J3220">
        <v>2.5499999999999998</v>
      </c>
    </row>
    <row r="3221" spans="1:10" hidden="1">
      <c r="A3221" t="s">
        <v>2218</v>
      </c>
      <c r="B3221" t="s">
        <v>2219</v>
      </c>
      <c r="C3221" t="s">
        <v>241</v>
      </c>
      <c r="D3221" t="s">
        <v>1633</v>
      </c>
      <c r="E3221" t="s">
        <v>559</v>
      </c>
      <c r="F3221" t="s">
        <v>1068</v>
      </c>
      <c r="G3221" t="s">
        <v>1089</v>
      </c>
      <c r="H3221">
        <v>-9.6571218978953894E-3</v>
      </c>
      <c r="I3221" t="s">
        <v>1090</v>
      </c>
      <c r="J3221">
        <v>2.5499999999999998</v>
      </c>
    </row>
    <row r="3222" spans="1:10" hidden="1">
      <c r="A3222" t="s">
        <v>2221</v>
      </c>
      <c r="B3222" t="s">
        <v>2222</v>
      </c>
      <c r="C3222" t="s">
        <v>241</v>
      </c>
      <c r="D3222" t="s">
        <v>1633</v>
      </c>
      <c r="E3222" t="s">
        <v>560</v>
      </c>
      <c r="F3222" t="s">
        <v>1068</v>
      </c>
      <c r="G3222" t="s">
        <v>1069</v>
      </c>
      <c r="H3222">
        <v>-0.26853291843756899</v>
      </c>
      <c r="I3222" t="s">
        <v>1070</v>
      </c>
      <c r="J3222">
        <v>2.54</v>
      </c>
    </row>
    <row r="3223" spans="1:10" hidden="1">
      <c r="A3223" t="s">
        <v>2221</v>
      </c>
      <c r="B3223" t="s">
        <v>2222</v>
      </c>
      <c r="C3223" t="s">
        <v>241</v>
      </c>
      <c r="D3223" t="s">
        <v>1633</v>
      </c>
      <c r="E3223" t="s">
        <v>560</v>
      </c>
      <c r="F3223" t="s">
        <v>1068</v>
      </c>
      <c r="G3223" t="s">
        <v>1071</v>
      </c>
      <c r="H3223" s="170">
        <v>-5.8200296659777001E-10</v>
      </c>
      <c r="I3223" t="s">
        <v>1072</v>
      </c>
      <c r="J3223">
        <v>2.54</v>
      </c>
    </row>
    <row r="3224" spans="1:10" hidden="1">
      <c r="A3224" t="s">
        <v>2221</v>
      </c>
      <c r="B3224" t="s">
        <v>2222</v>
      </c>
      <c r="C3224" t="s">
        <v>241</v>
      </c>
      <c r="D3224" t="s">
        <v>1633</v>
      </c>
      <c r="E3224" t="s">
        <v>560</v>
      </c>
      <c r="F3224" t="s">
        <v>1068</v>
      </c>
      <c r="G3224" t="s">
        <v>1073</v>
      </c>
      <c r="H3224" s="170">
        <v>-1.0764782534683099E-7</v>
      </c>
      <c r="I3224" t="s">
        <v>1074</v>
      </c>
      <c r="J3224">
        <v>2.54</v>
      </c>
    </row>
    <row r="3225" spans="1:10" hidden="1">
      <c r="A3225" t="s">
        <v>2221</v>
      </c>
      <c r="B3225" t="s">
        <v>2222</v>
      </c>
      <c r="C3225" t="s">
        <v>241</v>
      </c>
      <c r="D3225" t="s">
        <v>1633</v>
      </c>
      <c r="E3225" t="s">
        <v>560</v>
      </c>
      <c r="F3225" t="s">
        <v>1068</v>
      </c>
      <c r="G3225" t="s">
        <v>1075</v>
      </c>
      <c r="H3225">
        <v>5.4124328872138597E-3</v>
      </c>
      <c r="I3225" t="s">
        <v>1077</v>
      </c>
      <c r="J3225">
        <v>2.54</v>
      </c>
    </row>
    <row r="3226" spans="1:10" hidden="1">
      <c r="A3226" t="s">
        <v>2221</v>
      </c>
      <c r="B3226" t="s">
        <v>2222</v>
      </c>
      <c r="C3226" t="s">
        <v>241</v>
      </c>
      <c r="D3226" t="s">
        <v>1633</v>
      </c>
      <c r="E3226" t="s">
        <v>560</v>
      </c>
      <c r="F3226" t="s">
        <v>1068</v>
      </c>
      <c r="G3226" t="s">
        <v>1078</v>
      </c>
      <c r="H3226">
        <v>-1.64839534351149</v>
      </c>
      <c r="I3226" t="s">
        <v>1079</v>
      </c>
      <c r="J3226">
        <v>2.54</v>
      </c>
    </row>
    <row r="3227" spans="1:10" hidden="1">
      <c r="A3227" t="s">
        <v>2221</v>
      </c>
      <c r="B3227" t="s">
        <v>2222</v>
      </c>
      <c r="C3227" t="s">
        <v>241</v>
      </c>
      <c r="D3227" t="s">
        <v>1633</v>
      </c>
      <c r="E3227" t="s">
        <v>560</v>
      </c>
      <c r="F3227" t="s">
        <v>1068</v>
      </c>
      <c r="G3227" t="s">
        <v>1080</v>
      </c>
      <c r="H3227" s="171" t="s">
        <v>2223</v>
      </c>
      <c r="I3227" t="s">
        <v>1082</v>
      </c>
      <c r="J3227">
        <v>2.54</v>
      </c>
    </row>
    <row r="3228" spans="1:10" hidden="1">
      <c r="A3228" t="s">
        <v>2221</v>
      </c>
      <c r="B3228" t="s">
        <v>2222</v>
      </c>
      <c r="C3228" t="s">
        <v>241</v>
      </c>
      <c r="D3228" t="s">
        <v>1633</v>
      </c>
      <c r="E3228" t="s">
        <v>560</v>
      </c>
      <c r="F3228" t="s">
        <v>1068</v>
      </c>
      <c r="G3228" t="s">
        <v>1083</v>
      </c>
      <c r="H3228">
        <v>-1.2830500061531201E-3</v>
      </c>
      <c r="I3228" t="s">
        <v>1084</v>
      </c>
      <c r="J3228">
        <v>2.54</v>
      </c>
    </row>
    <row r="3229" spans="1:10" hidden="1">
      <c r="A3229" t="s">
        <v>2221</v>
      </c>
      <c r="B3229" t="s">
        <v>2222</v>
      </c>
      <c r="C3229" t="s">
        <v>241</v>
      </c>
      <c r="D3229" t="s">
        <v>1633</v>
      </c>
      <c r="E3229" t="s">
        <v>560</v>
      </c>
      <c r="F3229" t="s">
        <v>1068</v>
      </c>
      <c r="G3229" t="s">
        <v>1085</v>
      </c>
      <c r="H3229">
        <v>-3.6068827040191001E-2</v>
      </c>
      <c r="I3229" t="s">
        <v>1086</v>
      </c>
      <c r="J3229">
        <v>2.54</v>
      </c>
    </row>
    <row r="3230" spans="1:10" hidden="1">
      <c r="A3230" t="s">
        <v>2221</v>
      </c>
      <c r="B3230" t="s">
        <v>2222</v>
      </c>
      <c r="C3230" t="s">
        <v>241</v>
      </c>
      <c r="D3230" t="s">
        <v>1633</v>
      </c>
      <c r="E3230" t="s">
        <v>560</v>
      </c>
      <c r="F3230" t="s">
        <v>1068</v>
      </c>
      <c r="G3230" t="s">
        <v>1087</v>
      </c>
      <c r="H3230" s="170">
        <v>-1.64354397095907E-5</v>
      </c>
      <c r="I3230" t="s">
        <v>1088</v>
      </c>
      <c r="J3230">
        <v>2.54</v>
      </c>
    </row>
    <row r="3231" spans="1:10" hidden="1">
      <c r="A3231" t="s">
        <v>2221</v>
      </c>
      <c r="B3231" t="s">
        <v>2222</v>
      </c>
      <c r="C3231" t="s">
        <v>241</v>
      </c>
      <c r="D3231" t="s">
        <v>1633</v>
      </c>
      <c r="E3231" t="s">
        <v>560</v>
      </c>
      <c r="F3231" t="s">
        <v>1068</v>
      </c>
      <c r="G3231" t="s">
        <v>1089</v>
      </c>
      <c r="H3231">
        <v>-9.6571307934825504E-3</v>
      </c>
      <c r="I3231" t="s">
        <v>1090</v>
      </c>
      <c r="J3231">
        <v>2.54</v>
      </c>
    </row>
    <row r="3232" spans="1:10" hidden="1">
      <c r="A3232" t="s">
        <v>2224</v>
      </c>
      <c r="B3232" t="s">
        <v>2225</v>
      </c>
      <c r="C3232" t="s">
        <v>241</v>
      </c>
      <c r="D3232" t="s">
        <v>1633</v>
      </c>
      <c r="E3232" t="s">
        <v>1116</v>
      </c>
      <c r="F3232" t="s">
        <v>1068</v>
      </c>
      <c r="G3232" t="s">
        <v>1069</v>
      </c>
      <c r="H3232">
        <v>-0.26866894255284501</v>
      </c>
      <c r="I3232" t="s">
        <v>1070</v>
      </c>
      <c r="J3232">
        <v>2.54</v>
      </c>
    </row>
    <row r="3233" spans="1:10" hidden="1">
      <c r="A3233" t="s">
        <v>2224</v>
      </c>
      <c r="B3233" t="s">
        <v>2225</v>
      </c>
      <c r="C3233" t="s">
        <v>241</v>
      </c>
      <c r="D3233" t="s">
        <v>1633</v>
      </c>
      <c r="E3233" t="s">
        <v>1116</v>
      </c>
      <c r="F3233" t="s">
        <v>1068</v>
      </c>
      <c r="G3233" t="s">
        <v>1071</v>
      </c>
      <c r="H3233" s="170">
        <v>-5.8219761865426303E-10</v>
      </c>
      <c r="I3233" t="s">
        <v>1072</v>
      </c>
      <c r="J3233">
        <v>2.54</v>
      </c>
    </row>
    <row r="3234" spans="1:10" hidden="1">
      <c r="A3234" t="s">
        <v>2224</v>
      </c>
      <c r="B3234" t="s">
        <v>2225</v>
      </c>
      <c r="C3234" t="s">
        <v>241</v>
      </c>
      <c r="D3234" t="s">
        <v>1633</v>
      </c>
      <c r="E3234" t="s">
        <v>1116</v>
      </c>
      <c r="F3234" t="s">
        <v>1068</v>
      </c>
      <c r="G3234" t="s">
        <v>1073</v>
      </c>
      <c r="H3234" s="170">
        <v>-1.0769614154298399E-7</v>
      </c>
      <c r="I3234" t="s">
        <v>1074</v>
      </c>
      <c r="J3234">
        <v>2.54</v>
      </c>
    </row>
    <row r="3235" spans="1:10" hidden="1">
      <c r="A3235" t="s">
        <v>2224</v>
      </c>
      <c r="B3235" t="s">
        <v>2225</v>
      </c>
      <c r="C3235" t="s">
        <v>241</v>
      </c>
      <c r="D3235" t="s">
        <v>1633</v>
      </c>
      <c r="E3235" t="s">
        <v>1116</v>
      </c>
      <c r="F3235" t="s">
        <v>1068</v>
      </c>
      <c r="G3235" t="s">
        <v>1075</v>
      </c>
      <c r="H3235">
        <v>5.4081330196195003E-3</v>
      </c>
      <c r="I3235" t="s">
        <v>1077</v>
      </c>
      <c r="J3235">
        <v>2.54</v>
      </c>
    </row>
    <row r="3236" spans="1:10" hidden="1">
      <c r="A3236" t="s">
        <v>2224</v>
      </c>
      <c r="B3236" t="s">
        <v>2225</v>
      </c>
      <c r="C3236" t="s">
        <v>241</v>
      </c>
      <c r="D3236" t="s">
        <v>1633</v>
      </c>
      <c r="E3236" t="s">
        <v>1116</v>
      </c>
      <c r="F3236" t="s">
        <v>1068</v>
      </c>
      <c r="G3236" t="s">
        <v>1078</v>
      </c>
      <c r="H3236">
        <v>-1.64858128637256</v>
      </c>
      <c r="I3236" t="s">
        <v>1079</v>
      </c>
      <c r="J3236">
        <v>2.54</v>
      </c>
    </row>
    <row r="3237" spans="1:10" hidden="1">
      <c r="A3237" t="s">
        <v>2224</v>
      </c>
      <c r="B3237" t="s">
        <v>2225</v>
      </c>
      <c r="C3237" t="s">
        <v>241</v>
      </c>
      <c r="D3237" t="s">
        <v>1633</v>
      </c>
      <c r="E3237" t="s">
        <v>1116</v>
      </c>
      <c r="F3237" t="s">
        <v>1068</v>
      </c>
      <c r="G3237" t="s">
        <v>1080</v>
      </c>
      <c r="H3237" s="171" t="s">
        <v>2226</v>
      </c>
      <c r="I3237" t="s">
        <v>1082</v>
      </c>
      <c r="J3237">
        <v>2.54</v>
      </c>
    </row>
    <row r="3238" spans="1:10" hidden="1">
      <c r="A3238" t="s">
        <v>2224</v>
      </c>
      <c r="B3238" t="s">
        <v>2225</v>
      </c>
      <c r="C3238" t="s">
        <v>241</v>
      </c>
      <c r="D3238" t="s">
        <v>1633</v>
      </c>
      <c r="E3238" t="s">
        <v>1116</v>
      </c>
      <c r="F3238" t="s">
        <v>1068</v>
      </c>
      <c r="G3238" t="s">
        <v>1083</v>
      </c>
      <c r="H3238">
        <v>-1.28307068190671E-3</v>
      </c>
      <c r="I3238" t="s">
        <v>1084</v>
      </c>
      <c r="J3238">
        <v>2.54</v>
      </c>
    </row>
    <row r="3239" spans="1:10" hidden="1">
      <c r="A3239" t="s">
        <v>2224</v>
      </c>
      <c r="B3239" t="s">
        <v>2225</v>
      </c>
      <c r="C3239" t="s">
        <v>241</v>
      </c>
      <c r="D3239" t="s">
        <v>1633</v>
      </c>
      <c r="E3239" t="s">
        <v>1116</v>
      </c>
      <c r="F3239" t="s">
        <v>1068</v>
      </c>
      <c r="G3239" t="s">
        <v>1085</v>
      </c>
      <c r="H3239">
        <v>-3.60690607181696E-2</v>
      </c>
      <c r="I3239" t="s">
        <v>1086</v>
      </c>
      <c r="J3239">
        <v>2.54</v>
      </c>
    </row>
    <row r="3240" spans="1:10" hidden="1">
      <c r="A3240" t="s">
        <v>2224</v>
      </c>
      <c r="B3240" t="s">
        <v>2225</v>
      </c>
      <c r="C3240" t="s">
        <v>241</v>
      </c>
      <c r="D3240" t="s">
        <v>1633</v>
      </c>
      <c r="E3240" t="s">
        <v>1116</v>
      </c>
      <c r="F3240" t="s">
        <v>1068</v>
      </c>
      <c r="G3240" t="s">
        <v>1087</v>
      </c>
      <c r="H3240" s="170">
        <v>-1.6435552483650102E-5</v>
      </c>
      <c r="I3240" t="s">
        <v>1088</v>
      </c>
      <c r="J3240">
        <v>2.54</v>
      </c>
    </row>
    <row r="3241" spans="1:10" hidden="1">
      <c r="A3241" t="s">
        <v>2224</v>
      </c>
      <c r="B3241" t="s">
        <v>2225</v>
      </c>
      <c r="C3241" t="s">
        <v>241</v>
      </c>
      <c r="D3241" t="s">
        <v>1633</v>
      </c>
      <c r="E3241" t="s">
        <v>1116</v>
      </c>
      <c r="F3241" t="s">
        <v>1068</v>
      </c>
      <c r="G3241" t="s">
        <v>1089</v>
      </c>
      <c r="H3241">
        <v>-9.6571790007880694E-3</v>
      </c>
      <c r="I3241" t="s">
        <v>1090</v>
      </c>
      <c r="J3241">
        <v>2.54</v>
      </c>
    </row>
    <row r="3242" spans="1:10" hidden="1">
      <c r="A3242" t="s">
        <v>2227</v>
      </c>
      <c r="B3242" t="s">
        <v>2228</v>
      </c>
      <c r="C3242" t="s">
        <v>241</v>
      </c>
      <c r="D3242" t="s">
        <v>1673</v>
      </c>
      <c r="E3242" t="s">
        <v>561</v>
      </c>
      <c r="F3242" t="s">
        <v>1068</v>
      </c>
      <c r="G3242" t="s">
        <v>1069</v>
      </c>
      <c r="H3242">
        <v>-9.5087667647995699E-2</v>
      </c>
      <c r="I3242" t="s">
        <v>1070</v>
      </c>
      <c r="J3242">
        <v>2.0299999999999998</v>
      </c>
    </row>
    <row r="3243" spans="1:10" hidden="1">
      <c r="A3243" t="s">
        <v>2227</v>
      </c>
      <c r="B3243" t="s">
        <v>2228</v>
      </c>
      <c r="C3243" t="s">
        <v>241</v>
      </c>
      <c r="D3243" t="s">
        <v>1673</v>
      </c>
      <c r="E3243" t="s">
        <v>561</v>
      </c>
      <c r="F3243" t="s">
        <v>1068</v>
      </c>
      <c r="G3243" t="s">
        <v>1071</v>
      </c>
      <c r="H3243" s="170">
        <v>-2.0562602793611599E-10</v>
      </c>
      <c r="I3243" t="s">
        <v>1072</v>
      </c>
      <c r="J3243">
        <v>2.0299999999999998</v>
      </c>
    </row>
    <row r="3244" spans="1:10" hidden="1">
      <c r="A3244" t="s">
        <v>2227</v>
      </c>
      <c r="B3244" t="s">
        <v>2228</v>
      </c>
      <c r="C3244" t="s">
        <v>241</v>
      </c>
      <c r="D3244" t="s">
        <v>1673</v>
      </c>
      <c r="E3244" t="s">
        <v>561</v>
      </c>
      <c r="F3244" t="s">
        <v>1068</v>
      </c>
      <c r="G3244" t="s">
        <v>1073</v>
      </c>
      <c r="H3244" s="170">
        <v>-3.8112700728476501E-8</v>
      </c>
      <c r="I3244" t="s">
        <v>1074</v>
      </c>
      <c r="J3244">
        <v>2.0299999999999998</v>
      </c>
    </row>
    <row r="3245" spans="1:10" hidden="1">
      <c r="A3245" t="s">
        <v>2227</v>
      </c>
      <c r="B3245" t="s">
        <v>2228</v>
      </c>
      <c r="C3245" t="s">
        <v>241</v>
      </c>
      <c r="D3245" t="s">
        <v>1673</v>
      </c>
      <c r="E3245" t="s">
        <v>561</v>
      </c>
      <c r="F3245" t="s">
        <v>1068</v>
      </c>
      <c r="G3245" t="s">
        <v>1075</v>
      </c>
      <c r="H3245">
        <v>3.6504962805230202E-3</v>
      </c>
      <c r="I3245" t="s">
        <v>1077</v>
      </c>
      <c r="J3245">
        <v>2.0299999999999998</v>
      </c>
    </row>
    <row r="3246" spans="1:10" hidden="1">
      <c r="A3246" t="s">
        <v>2227</v>
      </c>
      <c r="B3246" t="s">
        <v>2228</v>
      </c>
      <c r="C3246" t="s">
        <v>241</v>
      </c>
      <c r="D3246" t="s">
        <v>1673</v>
      </c>
      <c r="E3246" t="s">
        <v>561</v>
      </c>
      <c r="F3246" t="s">
        <v>1068</v>
      </c>
      <c r="G3246" t="s">
        <v>1078</v>
      </c>
      <c r="H3246">
        <v>-0.54338445241578603</v>
      </c>
      <c r="I3246" t="s">
        <v>1079</v>
      </c>
      <c r="J3246">
        <v>2.0299999999999998</v>
      </c>
    </row>
    <row r="3247" spans="1:10" hidden="1">
      <c r="A3247" t="s">
        <v>2227</v>
      </c>
      <c r="B3247" t="s">
        <v>2228</v>
      </c>
      <c r="C3247" t="s">
        <v>241</v>
      </c>
      <c r="D3247" t="s">
        <v>1673</v>
      </c>
      <c r="E3247" t="s">
        <v>561</v>
      </c>
      <c r="F3247" t="s">
        <v>1068</v>
      </c>
      <c r="G3247" t="s">
        <v>1080</v>
      </c>
      <c r="H3247" s="171" t="s">
        <v>2229</v>
      </c>
      <c r="I3247" t="s">
        <v>1082</v>
      </c>
      <c r="J3247">
        <v>2.0299999999999998</v>
      </c>
    </row>
    <row r="3248" spans="1:10" hidden="1">
      <c r="A3248" t="s">
        <v>2227</v>
      </c>
      <c r="B3248" t="s">
        <v>2228</v>
      </c>
      <c r="C3248" t="s">
        <v>241</v>
      </c>
      <c r="D3248" t="s">
        <v>1673</v>
      </c>
      <c r="E3248" t="s">
        <v>561</v>
      </c>
      <c r="F3248" t="s">
        <v>1068</v>
      </c>
      <c r="G3248" t="s">
        <v>1083</v>
      </c>
      <c r="H3248">
        <v>-4.3183422392506699E-4</v>
      </c>
      <c r="I3248" t="s">
        <v>1084</v>
      </c>
      <c r="J3248">
        <v>2.0299999999999998</v>
      </c>
    </row>
    <row r="3249" spans="1:10" hidden="1">
      <c r="A3249" t="s">
        <v>2227</v>
      </c>
      <c r="B3249" t="s">
        <v>2228</v>
      </c>
      <c r="C3249" t="s">
        <v>241</v>
      </c>
      <c r="D3249" t="s">
        <v>1673</v>
      </c>
      <c r="E3249" t="s">
        <v>561</v>
      </c>
      <c r="F3249" t="s">
        <v>1068</v>
      </c>
      <c r="G3249" t="s">
        <v>1085</v>
      </c>
      <c r="H3249">
        <v>-1.2105370124371699E-2</v>
      </c>
      <c r="I3249" t="s">
        <v>1086</v>
      </c>
      <c r="J3249">
        <v>2.0299999999999998</v>
      </c>
    </row>
    <row r="3250" spans="1:10" hidden="1">
      <c r="A3250" t="s">
        <v>2227</v>
      </c>
      <c r="B3250" t="s">
        <v>2228</v>
      </c>
      <c r="C3250" t="s">
        <v>241</v>
      </c>
      <c r="D3250" t="s">
        <v>1673</v>
      </c>
      <c r="E3250" t="s">
        <v>561</v>
      </c>
      <c r="F3250" t="s">
        <v>1068</v>
      </c>
      <c r="G3250" t="s">
        <v>1087</v>
      </c>
      <c r="H3250" s="170">
        <v>-5.7619917719822397E-6</v>
      </c>
      <c r="I3250" t="s">
        <v>1088</v>
      </c>
      <c r="J3250">
        <v>2.0299999999999998</v>
      </c>
    </row>
    <row r="3251" spans="1:10" hidden="1">
      <c r="A3251" t="s">
        <v>2227</v>
      </c>
      <c r="B3251" t="s">
        <v>2228</v>
      </c>
      <c r="C3251" t="s">
        <v>241</v>
      </c>
      <c r="D3251" t="s">
        <v>1673</v>
      </c>
      <c r="E3251" t="s">
        <v>561</v>
      </c>
      <c r="F3251" t="s">
        <v>1068</v>
      </c>
      <c r="G3251" t="s">
        <v>1089</v>
      </c>
      <c r="H3251">
        <v>-3.0809031995730801E-3</v>
      </c>
      <c r="I3251" t="s">
        <v>1090</v>
      </c>
      <c r="J3251">
        <v>2.0299999999999998</v>
      </c>
    </row>
    <row r="3252" spans="1:10" hidden="1">
      <c r="A3252" t="s">
        <v>2230</v>
      </c>
      <c r="B3252" t="s">
        <v>2231</v>
      </c>
      <c r="C3252" t="s">
        <v>241</v>
      </c>
      <c r="D3252" t="s">
        <v>1673</v>
      </c>
      <c r="E3252" t="s">
        <v>555</v>
      </c>
      <c r="F3252" t="s">
        <v>1068</v>
      </c>
      <c r="G3252" t="s">
        <v>1069</v>
      </c>
      <c r="H3252">
        <v>-9.4981096735186399E-2</v>
      </c>
      <c r="I3252" t="s">
        <v>1070</v>
      </c>
      <c r="J3252">
        <v>2.04</v>
      </c>
    </row>
    <row r="3253" spans="1:10" hidden="1">
      <c r="A3253" t="s">
        <v>2230</v>
      </c>
      <c r="B3253" t="s">
        <v>2231</v>
      </c>
      <c r="C3253" t="s">
        <v>241</v>
      </c>
      <c r="D3253" t="s">
        <v>1673</v>
      </c>
      <c r="E3253" t="s">
        <v>555</v>
      </c>
      <c r="F3253" t="s">
        <v>1068</v>
      </c>
      <c r="G3253" t="s">
        <v>1071</v>
      </c>
      <c r="H3253" s="170">
        <v>-2.054731309623E-10</v>
      </c>
      <c r="I3253" t="s">
        <v>1072</v>
      </c>
      <c r="J3253">
        <v>2.04</v>
      </c>
    </row>
    <row r="3254" spans="1:10" hidden="1">
      <c r="A3254" t="s">
        <v>2230</v>
      </c>
      <c r="B3254" t="s">
        <v>2231</v>
      </c>
      <c r="C3254" t="s">
        <v>241</v>
      </c>
      <c r="D3254" t="s">
        <v>1673</v>
      </c>
      <c r="E3254" t="s">
        <v>555</v>
      </c>
      <c r="F3254" t="s">
        <v>1068</v>
      </c>
      <c r="G3254" t="s">
        <v>1073</v>
      </c>
      <c r="H3254" s="170">
        <v>-3.8074882426492998E-8</v>
      </c>
      <c r="I3254" t="s">
        <v>1074</v>
      </c>
      <c r="J3254">
        <v>2.04</v>
      </c>
    </row>
    <row r="3255" spans="1:10" hidden="1">
      <c r="A3255" t="s">
        <v>2230</v>
      </c>
      <c r="B3255" t="s">
        <v>2231</v>
      </c>
      <c r="C3255" t="s">
        <v>241</v>
      </c>
      <c r="D3255" t="s">
        <v>1673</v>
      </c>
      <c r="E3255" t="s">
        <v>555</v>
      </c>
      <c r="F3255" t="s">
        <v>1068</v>
      </c>
      <c r="G3255" t="s">
        <v>1075</v>
      </c>
      <c r="H3255">
        <v>3.6541233260413701E-3</v>
      </c>
      <c r="I3255" t="s">
        <v>1077</v>
      </c>
      <c r="J3255">
        <v>2.04</v>
      </c>
    </row>
    <row r="3256" spans="1:10" hidden="1">
      <c r="A3256" t="s">
        <v>2230</v>
      </c>
      <c r="B3256" t="s">
        <v>2231</v>
      </c>
      <c r="C3256" t="s">
        <v>241</v>
      </c>
      <c r="D3256" t="s">
        <v>1673</v>
      </c>
      <c r="E3256" t="s">
        <v>555</v>
      </c>
      <c r="F3256" t="s">
        <v>1068</v>
      </c>
      <c r="G3256" t="s">
        <v>1078</v>
      </c>
      <c r="H3256">
        <v>-0.54312947672349599</v>
      </c>
      <c r="I3256" t="s">
        <v>1079</v>
      </c>
      <c r="J3256">
        <v>2.04</v>
      </c>
    </row>
    <row r="3257" spans="1:10" hidden="1">
      <c r="A3257" t="s">
        <v>2230</v>
      </c>
      <c r="B3257" t="s">
        <v>2231</v>
      </c>
      <c r="C3257" t="s">
        <v>241</v>
      </c>
      <c r="D3257" t="s">
        <v>1673</v>
      </c>
      <c r="E3257" t="s">
        <v>555</v>
      </c>
      <c r="F3257" t="s">
        <v>1068</v>
      </c>
      <c r="G3257" t="s">
        <v>1080</v>
      </c>
      <c r="H3257" s="171" t="s">
        <v>2232</v>
      </c>
      <c r="I3257" t="s">
        <v>1082</v>
      </c>
      <c r="J3257">
        <v>2.04</v>
      </c>
    </row>
    <row r="3258" spans="1:10" hidden="1">
      <c r="A3258" t="s">
        <v>2230</v>
      </c>
      <c r="B3258" t="s">
        <v>2231</v>
      </c>
      <c r="C3258" t="s">
        <v>241</v>
      </c>
      <c r="D3258" t="s">
        <v>1673</v>
      </c>
      <c r="E3258" t="s">
        <v>555</v>
      </c>
      <c r="F3258" t="s">
        <v>1068</v>
      </c>
      <c r="G3258" t="s">
        <v>1083</v>
      </c>
      <c r="H3258">
        <v>-4.3181805049222302E-4</v>
      </c>
      <c r="I3258" t="s">
        <v>1084</v>
      </c>
      <c r="J3258">
        <v>2.04</v>
      </c>
    </row>
    <row r="3259" spans="1:10" hidden="1">
      <c r="A3259" t="s">
        <v>2230</v>
      </c>
      <c r="B3259" t="s">
        <v>2231</v>
      </c>
      <c r="C3259" t="s">
        <v>241</v>
      </c>
      <c r="D3259" t="s">
        <v>1673</v>
      </c>
      <c r="E3259" t="s">
        <v>555</v>
      </c>
      <c r="F3259" t="s">
        <v>1068</v>
      </c>
      <c r="G3259" t="s">
        <v>1085</v>
      </c>
      <c r="H3259">
        <v>-1.2105185943771199E-2</v>
      </c>
      <c r="I3259" t="s">
        <v>1086</v>
      </c>
      <c r="J3259">
        <v>2.04</v>
      </c>
    </row>
    <row r="3260" spans="1:10" hidden="1">
      <c r="A3260" t="s">
        <v>2230</v>
      </c>
      <c r="B3260" t="s">
        <v>2231</v>
      </c>
      <c r="C3260" t="s">
        <v>241</v>
      </c>
      <c r="D3260" t="s">
        <v>1673</v>
      </c>
      <c r="E3260" t="s">
        <v>555</v>
      </c>
      <c r="F3260" t="s">
        <v>1068</v>
      </c>
      <c r="G3260" t="s">
        <v>1087</v>
      </c>
      <c r="H3260" s="170">
        <v>-5.7618908036920001E-6</v>
      </c>
      <c r="I3260" t="s">
        <v>1088</v>
      </c>
      <c r="J3260">
        <v>2.04</v>
      </c>
    </row>
    <row r="3261" spans="1:10" hidden="1">
      <c r="A3261" t="s">
        <v>2230</v>
      </c>
      <c r="B3261" t="s">
        <v>2231</v>
      </c>
      <c r="C3261" t="s">
        <v>241</v>
      </c>
      <c r="D3261" t="s">
        <v>1673</v>
      </c>
      <c r="E3261" t="s">
        <v>555</v>
      </c>
      <c r="F3261" t="s">
        <v>1068</v>
      </c>
      <c r="G3261" t="s">
        <v>1089</v>
      </c>
      <c r="H3261">
        <v>-3.0808654452762299E-3</v>
      </c>
      <c r="I3261" t="s">
        <v>1090</v>
      </c>
      <c r="J3261">
        <v>2.04</v>
      </c>
    </row>
    <row r="3262" spans="1:10" hidden="1">
      <c r="A3262" t="s">
        <v>2233</v>
      </c>
      <c r="B3262" t="s">
        <v>2234</v>
      </c>
      <c r="C3262" t="s">
        <v>241</v>
      </c>
      <c r="D3262" t="s">
        <v>1673</v>
      </c>
      <c r="E3262" t="s">
        <v>558</v>
      </c>
      <c r="F3262" t="s">
        <v>1068</v>
      </c>
      <c r="G3262" t="s">
        <v>1069</v>
      </c>
      <c r="H3262">
        <v>-9.5097088713859898E-2</v>
      </c>
      <c r="I3262" t="s">
        <v>1070</v>
      </c>
      <c r="J3262">
        <v>2.04</v>
      </c>
    </row>
    <row r="3263" spans="1:10" hidden="1">
      <c r="A3263" t="s">
        <v>2233</v>
      </c>
      <c r="B3263" t="s">
        <v>2234</v>
      </c>
      <c r="C3263" t="s">
        <v>241</v>
      </c>
      <c r="D3263" t="s">
        <v>1673</v>
      </c>
      <c r="E3263" t="s">
        <v>558</v>
      </c>
      <c r="F3263" t="s">
        <v>1068</v>
      </c>
      <c r="G3263" t="s">
        <v>1071</v>
      </c>
      <c r="H3263" s="170">
        <v>-2.05639509588526E-10</v>
      </c>
      <c r="I3263" t="s">
        <v>1072</v>
      </c>
      <c r="J3263">
        <v>2.04</v>
      </c>
    </row>
    <row r="3264" spans="1:10" hidden="1">
      <c r="A3264" t="s">
        <v>2233</v>
      </c>
      <c r="B3264" t="s">
        <v>2234</v>
      </c>
      <c r="C3264" t="s">
        <v>241</v>
      </c>
      <c r="D3264" t="s">
        <v>1673</v>
      </c>
      <c r="E3264" t="s">
        <v>558</v>
      </c>
      <c r="F3264" t="s">
        <v>1068</v>
      </c>
      <c r="G3264" t="s">
        <v>1073</v>
      </c>
      <c r="H3264" s="170">
        <v>-3.8116047120880899E-8</v>
      </c>
      <c r="I3264" t="s">
        <v>1074</v>
      </c>
      <c r="J3264">
        <v>2.04</v>
      </c>
    </row>
    <row r="3265" spans="1:10" hidden="1">
      <c r="A3265" t="s">
        <v>2233</v>
      </c>
      <c r="B3265" t="s">
        <v>2234</v>
      </c>
      <c r="C3265" t="s">
        <v>241</v>
      </c>
      <c r="D3265" t="s">
        <v>1673</v>
      </c>
      <c r="E3265" t="s">
        <v>558</v>
      </c>
      <c r="F3265" t="s">
        <v>1068</v>
      </c>
      <c r="G3265" t="s">
        <v>1075</v>
      </c>
      <c r="H3265">
        <v>3.6501984705670301E-3</v>
      </c>
      <c r="I3265" t="s">
        <v>1077</v>
      </c>
      <c r="J3265">
        <v>2.04</v>
      </c>
    </row>
    <row r="3266" spans="1:10" hidden="1">
      <c r="A3266" t="s">
        <v>2233</v>
      </c>
      <c r="B3266" t="s">
        <v>2234</v>
      </c>
      <c r="C3266" t="s">
        <v>241</v>
      </c>
      <c r="D3266" t="s">
        <v>1673</v>
      </c>
      <c r="E3266" t="s">
        <v>558</v>
      </c>
      <c r="F3266" t="s">
        <v>1068</v>
      </c>
      <c r="G3266" t="s">
        <v>1078</v>
      </c>
      <c r="H3266">
        <v>-0.54339733086706099</v>
      </c>
      <c r="I3266" t="s">
        <v>1079</v>
      </c>
      <c r="J3266">
        <v>2.04</v>
      </c>
    </row>
    <row r="3267" spans="1:10" hidden="1">
      <c r="A3267" t="s">
        <v>2233</v>
      </c>
      <c r="B3267" t="s">
        <v>2234</v>
      </c>
      <c r="C3267" t="s">
        <v>241</v>
      </c>
      <c r="D3267" t="s">
        <v>1673</v>
      </c>
      <c r="E3267" t="s">
        <v>558</v>
      </c>
      <c r="F3267" t="s">
        <v>1068</v>
      </c>
      <c r="G3267" t="s">
        <v>1080</v>
      </c>
      <c r="H3267" s="171" t="s">
        <v>2235</v>
      </c>
      <c r="I3267" t="s">
        <v>1082</v>
      </c>
      <c r="J3267">
        <v>2.04</v>
      </c>
    </row>
    <row r="3268" spans="1:10" hidden="1">
      <c r="A3268" t="s">
        <v>2233</v>
      </c>
      <c r="B3268" t="s">
        <v>2234</v>
      </c>
      <c r="C3268" t="s">
        <v>241</v>
      </c>
      <c r="D3268" t="s">
        <v>1673</v>
      </c>
      <c r="E3268" t="s">
        <v>558</v>
      </c>
      <c r="F3268" t="s">
        <v>1068</v>
      </c>
      <c r="G3268" t="s">
        <v>1083</v>
      </c>
      <c r="H3268">
        <v>-4.3183565593317799E-4</v>
      </c>
      <c r="I3268" t="s">
        <v>1084</v>
      </c>
      <c r="J3268">
        <v>2.04</v>
      </c>
    </row>
    <row r="3269" spans="1:10" hidden="1">
      <c r="A3269" t="s">
        <v>2233</v>
      </c>
      <c r="B3269" t="s">
        <v>2234</v>
      </c>
      <c r="C3269" t="s">
        <v>241</v>
      </c>
      <c r="D3269" t="s">
        <v>1673</v>
      </c>
      <c r="E3269" t="s">
        <v>558</v>
      </c>
      <c r="F3269" t="s">
        <v>1068</v>
      </c>
      <c r="G3269" t="s">
        <v>1085</v>
      </c>
      <c r="H3269">
        <v>-1.21053863089697E-2</v>
      </c>
      <c r="I3269" t="s">
        <v>1086</v>
      </c>
      <c r="J3269">
        <v>2.04</v>
      </c>
    </row>
    <row r="3270" spans="1:10" hidden="1">
      <c r="A3270" t="s">
        <v>2233</v>
      </c>
      <c r="B3270" t="s">
        <v>2234</v>
      </c>
      <c r="C3270" t="s">
        <v>241</v>
      </c>
      <c r="D3270" t="s">
        <v>1673</v>
      </c>
      <c r="E3270" t="s">
        <v>558</v>
      </c>
      <c r="F3270" t="s">
        <v>1068</v>
      </c>
      <c r="G3270" t="s">
        <v>1087</v>
      </c>
      <c r="H3270" s="170">
        <v>-5.7619995827431499E-6</v>
      </c>
      <c r="I3270" t="s">
        <v>1088</v>
      </c>
      <c r="J3270">
        <v>2.04</v>
      </c>
    </row>
    <row r="3271" spans="1:10" hidden="1">
      <c r="A3271" t="s">
        <v>2233</v>
      </c>
      <c r="B3271" t="s">
        <v>2234</v>
      </c>
      <c r="C3271" t="s">
        <v>241</v>
      </c>
      <c r="D3271" t="s">
        <v>1673</v>
      </c>
      <c r="E3271" t="s">
        <v>558</v>
      </c>
      <c r="F3271" t="s">
        <v>1068</v>
      </c>
      <c r="G3271" t="s">
        <v>1089</v>
      </c>
      <c r="H3271">
        <v>-3.0809065384236902E-3</v>
      </c>
      <c r="I3271" t="s">
        <v>1090</v>
      </c>
      <c r="J3271">
        <v>2.04</v>
      </c>
    </row>
    <row r="3272" spans="1:10" hidden="1">
      <c r="A3272" t="s">
        <v>2236</v>
      </c>
      <c r="B3272" t="s">
        <v>2237</v>
      </c>
      <c r="C3272" t="s">
        <v>241</v>
      </c>
      <c r="D3272" t="s">
        <v>1673</v>
      </c>
      <c r="E3272" t="s">
        <v>553</v>
      </c>
      <c r="F3272" t="s">
        <v>1068</v>
      </c>
      <c r="G3272" t="s">
        <v>1069</v>
      </c>
      <c r="H3272">
        <v>-9.5106147244794895E-2</v>
      </c>
      <c r="I3272" t="s">
        <v>1070</v>
      </c>
      <c r="J3272">
        <v>2.5499999999999998</v>
      </c>
    </row>
    <row r="3273" spans="1:10" hidden="1">
      <c r="A3273" t="s">
        <v>2236</v>
      </c>
      <c r="B3273" t="s">
        <v>2237</v>
      </c>
      <c r="C3273" t="s">
        <v>241</v>
      </c>
      <c r="D3273" t="s">
        <v>1673</v>
      </c>
      <c r="E3273" t="s">
        <v>553</v>
      </c>
      <c r="F3273" t="s">
        <v>1068</v>
      </c>
      <c r="G3273" t="s">
        <v>1071</v>
      </c>
      <c r="H3273" s="170">
        <v>-2.0565207966435799E-10</v>
      </c>
      <c r="I3273" t="s">
        <v>1072</v>
      </c>
      <c r="J3273">
        <v>2.5499999999999998</v>
      </c>
    </row>
    <row r="3274" spans="1:10" hidden="1">
      <c r="A3274" t="s">
        <v>2236</v>
      </c>
      <c r="B3274" t="s">
        <v>2237</v>
      </c>
      <c r="C3274" t="s">
        <v>241</v>
      </c>
      <c r="D3274" t="s">
        <v>1673</v>
      </c>
      <c r="E3274" t="s">
        <v>553</v>
      </c>
      <c r="F3274" t="s">
        <v>1068</v>
      </c>
      <c r="G3274" t="s">
        <v>1073</v>
      </c>
      <c r="H3274" s="170">
        <v>-3.8119300763196103E-8</v>
      </c>
      <c r="I3274" t="s">
        <v>1074</v>
      </c>
      <c r="J3274">
        <v>2.5499999999999998</v>
      </c>
    </row>
    <row r="3275" spans="1:10" hidden="1">
      <c r="A3275" t="s">
        <v>2236</v>
      </c>
      <c r="B3275" t="s">
        <v>2237</v>
      </c>
      <c r="C3275" t="s">
        <v>241</v>
      </c>
      <c r="D3275" t="s">
        <v>1673</v>
      </c>
      <c r="E3275" t="s">
        <v>553</v>
      </c>
      <c r="F3275" t="s">
        <v>1068</v>
      </c>
      <c r="G3275" t="s">
        <v>1075</v>
      </c>
      <c r="H3275">
        <v>3.65017034584777E-3</v>
      </c>
      <c r="I3275" t="s">
        <v>1077</v>
      </c>
      <c r="J3275">
        <v>2.5499999999999998</v>
      </c>
    </row>
    <row r="3276" spans="1:10" hidden="1">
      <c r="A3276" t="s">
        <v>2236</v>
      </c>
      <c r="B3276" t="s">
        <v>2237</v>
      </c>
      <c r="C3276" t="s">
        <v>241</v>
      </c>
      <c r="D3276" t="s">
        <v>1673</v>
      </c>
      <c r="E3276" t="s">
        <v>553</v>
      </c>
      <c r="F3276" t="s">
        <v>1068</v>
      </c>
      <c r="G3276" t="s">
        <v>1078</v>
      </c>
      <c r="H3276">
        <v>-0.54330041883521596</v>
      </c>
      <c r="I3276" t="s">
        <v>1079</v>
      </c>
      <c r="J3276">
        <v>2.5499999999999998</v>
      </c>
    </row>
    <row r="3277" spans="1:10" hidden="1">
      <c r="A3277" t="s">
        <v>2236</v>
      </c>
      <c r="B3277" t="s">
        <v>2237</v>
      </c>
      <c r="C3277" t="s">
        <v>241</v>
      </c>
      <c r="D3277" t="s">
        <v>1673</v>
      </c>
      <c r="E3277" t="s">
        <v>553</v>
      </c>
      <c r="F3277" t="s">
        <v>1068</v>
      </c>
      <c r="G3277" t="s">
        <v>1080</v>
      </c>
      <c r="H3277" s="171" t="s">
        <v>2238</v>
      </c>
      <c r="I3277" t="s">
        <v>1082</v>
      </c>
      <c r="J3277">
        <v>2.5499999999999998</v>
      </c>
    </row>
    <row r="3278" spans="1:10" hidden="1">
      <c r="A3278" t="s">
        <v>2236</v>
      </c>
      <c r="B3278" t="s">
        <v>2237</v>
      </c>
      <c r="C3278" t="s">
        <v>241</v>
      </c>
      <c r="D3278" t="s">
        <v>1673</v>
      </c>
      <c r="E3278" t="s">
        <v>553</v>
      </c>
      <c r="F3278" t="s">
        <v>1068</v>
      </c>
      <c r="G3278" t="s">
        <v>1083</v>
      </c>
      <c r="H3278">
        <v>-4.3183705825063101E-4</v>
      </c>
      <c r="I3278" t="s">
        <v>1084</v>
      </c>
      <c r="J3278">
        <v>2.5499999999999998</v>
      </c>
    </row>
    <row r="3279" spans="1:10" hidden="1">
      <c r="A3279" t="s">
        <v>2236</v>
      </c>
      <c r="B3279" t="s">
        <v>2237</v>
      </c>
      <c r="C3279" t="s">
        <v>241</v>
      </c>
      <c r="D3279" t="s">
        <v>1673</v>
      </c>
      <c r="E3279" t="s">
        <v>553</v>
      </c>
      <c r="F3279" t="s">
        <v>1068</v>
      </c>
      <c r="G3279" t="s">
        <v>1085</v>
      </c>
      <c r="H3279">
        <v>-1.2105400770018799E-2</v>
      </c>
      <c r="I3279" t="s">
        <v>1086</v>
      </c>
      <c r="J3279">
        <v>2.5499999999999998</v>
      </c>
    </row>
    <row r="3280" spans="1:10" hidden="1">
      <c r="A3280" t="s">
        <v>2236</v>
      </c>
      <c r="B3280" t="s">
        <v>2237</v>
      </c>
      <c r="C3280" t="s">
        <v>241</v>
      </c>
      <c r="D3280" t="s">
        <v>1673</v>
      </c>
      <c r="E3280" t="s">
        <v>553</v>
      </c>
      <c r="F3280" t="s">
        <v>1068</v>
      </c>
      <c r="G3280" t="s">
        <v>1087</v>
      </c>
      <c r="H3280" s="170">
        <v>-5.7619944798199999E-6</v>
      </c>
      <c r="I3280" t="s">
        <v>1088</v>
      </c>
      <c r="J3280">
        <v>2.5499999999999998</v>
      </c>
    </row>
    <row r="3281" spans="1:10" hidden="1">
      <c r="A3281" t="s">
        <v>2236</v>
      </c>
      <c r="B3281" t="s">
        <v>2237</v>
      </c>
      <c r="C3281" t="s">
        <v>241</v>
      </c>
      <c r="D3281" t="s">
        <v>1673</v>
      </c>
      <c r="E3281" t="s">
        <v>553</v>
      </c>
      <c r="F3281" t="s">
        <v>1068</v>
      </c>
      <c r="G3281" t="s">
        <v>1089</v>
      </c>
      <c r="H3281">
        <v>-3.0809097635068998E-3</v>
      </c>
      <c r="I3281" t="s">
        <v>1090</v>
      </c>
      <c r="J3281">
        <v>2.5499999999999998</v>
      </c>
    </row>
    <row r="3282" spans="1:10" hidden="1">
      <c r="A3282" t="s">
        <v>2239</v>
      </c>
      <c r="B3282" t="s">
        <v>2240</v>
      </c>
      <c r="C3282" t="s">
        <v>241</v>
      </c>
      <c r="D3282" t="s">
        <v>1673</v>
      </c>
      <c r="E3282" t="s">
        <v>556</v>
      </c>
      <c r="F3282" t="s">
        <v>1068</v>
      </c>
      <c r="G3282" t="s">
        <v>1069</v>
      </c>
      <c r="H3282">
        <v>-9.4992848450557402E-2</v>
      </c>
      <c r="I3282" t="s">
        <v>1070</v>
      </c>
      <c r="J3282">
        <v>2.04</v>
      </c>
    </row>
    <row r="3283" spans="1:10" hidden="1">
      <c r="A3283" t="s">
        <v>2239</v>
      </c>
      <c r="B3283" t="s">
        <v>2240</v>
      </c>
      <c r="C3283" t="s">
        <v>241</v>
      </c>
      <c r="D3283" t="s">
        <v>1673</v>
      </c>
      <c r="E3283" t="s">
        <v>556</v>
      </c>
      <c r="F3283" t="s">
        <v>1068</v>
      </c>
      <c r="G3283" t="s">
        <v>1071</v>
      </c>
      <c r="H3283" s="170">
        <v>-2.0548775851456501E-10</v>
      </c>
      <c r="I3283" t="s">
        <v>1072</v>
      </c>
      <c r="J3283">
        <v>2.04</v>
      </c>
    </row>
    <row r="3284" spans="1:10" hidden="1">
      <c r="A3284" t="s">
        <v>2239</v>
      </c>
      <c r="B3284" t="s">
        <v>2240</v>
      </c>
      <c r="C3284" t="s">
        <v>241</v>
      </c>
      <c r="D3284" t="s">
        <v>1673</v>
      </c>
      <c r="E3284" t="s">
        <v>556</v>
      </c>
      <c r="F3284" t="s">
        <v>1068</v>
      </c>
      <c r="G3284" t="s">
        <v>1073</v>
      </c>
      <c r="H3284" s="170">
        <v>-3.8078993988840703E-8</v>
      </c>
      <c r="I3284" t="s">
        <v>1074</v>
      </c>
      <c r="J3284">
        <v>2.04</v>
      </c>
    </row>
    <row r="3285" spans="1:10" hidden="1">
      <c r="A3285" t="s">
        <v>2239</v>
      </c>
      <c r="B3285" t="s">
        <v>2240</v>
      </c>
      <c r="C3285" t="s">
        <v>241</v>
      </c>
      <c r="D3285" t="s">
        <v>1673</v>
      </c>
      <c r="E3285" t="s">
        <v>556</v>
      </c>
      <c r="F3285" t="s">
        <v>1068</v>
      </c>
      <c r="G3285" t="s">
        <v>1075</v>
      </c>
      <c r="H3285">
        <v>3.6547098139353201E-3</v>
      </c>
      <c r="I3285" t="s">
        <v>1077</v>
      </c>
      <c r="J3285">
        <v>2.04</v>
      </c>
    </row>
    <row r="3286" spans="1:10" hidden="1">
      <c r="A3286" t="s">
        <v>2239</v>
      </c>
      <c r="B3286" t="s">
        <v>2240</v>
      </c>
      <c r="C3286" t="s">
        <v>241</v>
      </c>
      <c r="D3286" t="s">
        <v>1673</v>
      </c>
      <c r="E3286" t="s">
        <v>556</v>
      </c>
      <c r="F3286" t="s">
        <v>1068</v>
      </c>
      <c r="G3286" t="s">
        <v>1078</v>
      </c>
      <c r="H3286">
        <v>-0.54274589725327604</v>
      </c>
      <c r="I3286" t="s">
        <v>1079</v>
      </c>
      <c r="J3286">
        <v>2.04</v>
      </c>
    </row>
    <row r="3287" spans="1:10" hidden="1">
      <c r="A3287" t="s">
        <v>2239</v>
      </c>
      <c r="B3287" t="s">
        <v>2240</v>
      </c>
      <c r="C3287" t="s">
        <v>241</v>
      </c>
      <c r="D3287" t="s">
        <v>1673</v>
      </c>
      <c r="E3287" t="s">
        <v>556</v>
      </c>
      <c r="F3287" t="s">
        <v>1068</v>
      </c>
      <c r="G3287" t="s">
        <v>1080</v>
      </c>
      <c r="H3287" s="171" t="s">
        <v>2241</v>
      </c>
      <c r="I3287" t="s">
        <v>1082</v>
      </c>
      <c r="J3287">
        <v>2.04</v>
      </c>
    </row>
    <row r="3288" spans="1:10" hidden="1">
      <c r="A3288" t="s">
        <v>2239</v>
      </c>
      <c r="B3288" t="s">
        <v>2240</v>
      </c>
      <c r="C3288" t="s">
        <v>241</v>
      </c>
      <c r="D3288" t="s">
        <v>1673</v>
      </c>
      <c r="E3288" t="s">
        <v>556</v>
      </c>
      <c r="F3288" t="s">
        <v>1068</v>
      </c>
      <c r="G3288" t="s">
        <v>1083</v>
      </c>
      <c r="H3288">
        <v>-4.3181983647617501E-4</v>
      </c>
      <c r="I3288" t="s">
        <v>1084</v>
      </c>
      <c r="J3288">
        <v>2.04</v>
      </c>
    </row>
    <row r="3289" spans="1:10" hidden="1">
      <c r="A3289" t="s">
        <v>2239</v>
      </c>
      <c r="B3289" t="s">
        <v>2240</v>
      </c>
      <c r="C3289" t="s">
        <v>241</v>
      </c>
      <c r="D3289" t="s">
        <v>1673</v>
      </c>
      <c r="E3289" t="s">
        <v>556</v>
      </c>
      <c r="F3289" t="s">
        <v>1068</v>
      </c>
      <c r="G3289" t="s">
        <v>1085</v>
      </c>
      <c r="H3289">
        <v>-1.2105201090407899E-2</v>
      </c>
      <c r="I3289" t="s">
        <v>1086</v>
      </c>
      <c r="J3289">
        <v>2.04</v>
      </c>
    </row>
    <row r="3290" spans="1:10" hidden="1">
      <c r="A3290" t="s">
        <v>2239</v>
      </c>
      <c r="B3290" t="s">
        <v>2240</v>
      </c>
      <c r="C3290" t="s">
        <v>241</v>
      </c>
      <c r="D3290" t="s">
        <v>1673</v>
      </c>
      <c r="E3290" t="s">
        <v>556</v>
      </c>
      <c r="F3290" t="s">
        <v>1068</v>
      </c>
      <c r="G3290" t="s">
        <v>1087</v>
      </c>
      <c r="H3290" s="170">
        <v>-5.7619005484443396E-6</v>
      </c>
      <c r="I3290" t="s">
        <v>1088</v>
      </c>
      <c r="J3290">
        <v>2.04</v>
      </c>
    </row>
    <row r="3291" spans="1:10" hidden="1">
      <c r="A3291" t="s">
        <v>2239</v>
      </c>
      <c r="B3291" t="s">
        <v>2240</v>
      </c>
      <c r="C3291" t="s">
        <v>241</v>
      </c>
      <c r="D3291" t="s">
        <v>1673</v>
      </c>
      <c r="E3291" t="s">
        <v>556</v>
      </c>
      <c r="F3291" t="s">
        <v>1068</v>
      </c>
      <c r="G3291" t="s">
        <v>1089</v>
      </c>
      <c r="H3291">
        <v>-3.08086961084636E-3</v>
      </c>
      <c r="I3291" t="s">
        <v>1090</v>
      </c>
      <c r="J3291">
        <v>2.04</v>
      </c>
    </row>
    <row r="3292" spans="1:10" hidden="1">
      <c r="A3292" t="s">
        <v>2242</v>
      </c>
      <c r="B3292" t="s">
        <v>2243</v>
      </c>
      <c r="C3292" t="s">
        <v>241</v>
      </c>
      <c r="D3292" t="s">
        <v>1673</v>
      </c>
      <c r="E3292" t="s">
        <v>557</v>
      </c>
      <c r="F3292" t="s">
        <v>1068</v>
      </c>
      <c r="G3292" t="s">
        <v>1069</v>
      </c>
      <c r="H3292">
        <v>-9.5058175615659699E-2</v>
      </c>
      <c r="I3292" t="s">
        <v>1070</v>
      </c>
      <c r="J3292">
        <v>2.54</v>
      </c>
    </row>
    <row r="3293" spans="1:10" hidden="1">
      <c r="A3293" t="s">
        <v>2242</v>
      </c>
      <c r="B3293" t="s">
        <v>2243</v>
      </c>
      <c r="C3293" t="s">
        <v>241</v>
      </c>
      <c r="D3293" t="s">
        <v>1673</v>
      </c>
      <c r="E3293" t="s">
        <v>557</v>
      </c>
      <c r="F3293" t="s">
        <v>1068</v>
      </c>
      <c r="G3293" t="s">
        <v>1071</v>
      </c>
      <c r="H3293" s="170">
        <v>-2.0558382450231601E-10</v>
      </c>
      <c r="I3293" t="s">
        <v>1072</v>
      </c>
      <c r="J3293">
        <v>2.54</v>
      </c>
    </row>
    <row r="3294" spans="1:10" hidden="1">
      <c r="A3294" t="s">
        <v>2242</v>
      </c>
      <c r="B3294" t="s">
        <v>2243</v>
      </c>
      <c r="C3294" t="s">
        <v>241</v>
      </c>
      <c r="D3294" t="s">
        <v>1673</v>
      </c>
      <c r="E3294" t="s">
        <v>557</v>
      </c>
      <c r="F3294" t="s">
        <v>1068</v>
      </c>
      <c r="G3294" t="s">
        <v>1073</v>
      </c>
      <c r="H3294" s="170">
        <v>-3.8102225065272301E-8</v>
      </c>
      <c r="I3294" t="s">
        <v>1074</v>
      </c>
      <c r="J3294">
        <v>2.54</v>
      </c>
    </row>
    <row r="3295" spans="1:10" hidden="1">
      <c r="A3295" t="s">
        <v>2242</v>
      </c>
      <c r="B3295" t="s">
        <v>2243</v>
      </c>
      <c r="C3295" t="s">
        <v>241</v>
      </c>
      <c r="D3295" t="s">
        <v>1673</v>
      </c>
      <c r="E3295" t="s">
        <v>557</v>
      </c>
      <c r="F3295" t="s">
        <v>1068</v>
      </c>
      <c r="G3295" t="s">
        <v>1075</v>
      </c>
      <c r="H3295">
        <v>3.6514285551706E-3</v>
      </c>
      <c r="I3295" t="s">
        <v>1077</v>
      </c>
      <c r="J3295">
        <v>2.54</v>
      </c>
    </row>
    <row r="3296" spans="1:10" hidden="1">
      <c r="A3296" t="s">
        <v>2242</v>
      </c>
      <c r="B3296" t="s">
        <v>2243</v>
      </c>
      <c r="C3296" t="s">
        <v>241</v>
      </c>
      <c r="D3296" t="s">
        <v>1673</v>
      </c>
      <c r="E3296" t="s">
        <v>557</v>
      </c>
      <c r="F3296" t="s">
        <v>1068</v>
      </c>
      <c r="G3296" t="s">
        <v>1078</v>
      </c>
      <c r="H3296">
        <v>-0.54334413726387398</v>
      </c>
      <c r="I3296" t="s">
        <v>1079</v>
      </c>
      <c r="J3296">
        <v>2.54</v>
      </c>
    </row>
    <row r="3297" spans="1:10" hidden="1">
      <c r="A3297" t="s">
        <v>2242</v>
      </c>
      <c r="B3297" t="s">
        <v>2243</v>
      </c>
      <c r="C3297" t="s">
        <v>241</v>
      </c>
      <c r="D3297" t="s">
        <v>1673</v>
      </c>
      <c r="E3297" t="s">
        <v>557</v>
      </c>
      <c r="F3297" t="s">
        <v>1068</v>
      </c>
      <c r="G3297" t="s">
        <v>1080</v>
      </c>
      <c r="H3297" s="171" t="s">
        <v>2244</v>
      </c>
      <c r="I3297" t="s">
        <v>1082</v>
      </c>
      <c r="J3297">
        <v>2.54</v>
      </c>
    </row>
    <row r="3298" spans="1:10" hidden="1">
      <c r="A3298" t="s">
        <v>2242</v>
      </c>
      <c r="B3298" t="s">
        <v>2243</v>
      </c>
      <c r="C3298" t="s">
        <v>241</v>
      </c>
      <c r="D3298" t="s">
        <v>1673</v>
      </c>
      <c r="E3298" t="s">
        <v>557</v>
      </c>
      <c r="F3298" t="s">
        <v>1068</v>
      </c>
      <c r="G3298" t="s">
        <v>1083</v>
      </c>
      <c r="H3298">
        <v>-4.3182974111705802E-4</v>
      </c>
      <c r="I3298" t="s">
        <v>1084</v>
      </c>
      <c r="J3298">
        <v>2.54</v>
      </c>
    </row>
    <row r="3299" spans="1:10" hidden="1">
      <c r="A3299" t="s">
        <v>2242</v>
      </c>
      <c r="B3299" t="s">
        <v>2243</v>
      </c>
      <c r="C3299" t="s">
        <v>241</v>
      </c>
      <c r="D3299" t="s">
        <v>1673</v>
      </c>
      <c r="E3299" t="s">
        <v>557</v>
      </c>
      <c r="F3299" t="s">
        <v>1068</v>
      </c>
      <c r="G3299" t="s">
        <v>1085</v>
      </c>
      <c r="H3299">
        <v>-1.2105319459543001E-2</v>
      </c>
      <c r="I3299" t="s">
        <v>1086</v>
      </c>
      <c r="J3299">
        <v>2.54</v>
      </c>
    </row>
    <row r="3300" spans="1:10" hidden="1">
      <c r="A3300" t="s">
        <v>2242</v>
      </c>
      <c r="B3300" t="s">
        <v>2243</v>
      </c>
      <c r="C3300" t="s">
        <v>241</v>
      </c>
      <c r="D3300" t="s">
        <v>1673</v>
      </c>
      <c r="E3300" t="s">
        <v>557</v>
      </c>
      <c r="F3300" t="s">
        <v>1068</v>
      </c>
      <c r="G3300" t="s">
        <v>1087</v>
      </c>
      <c r="H3300" s="170">
        <v>-5.7619673209045703E-6</v>
      </c>
      <c r="I3300" t="s">
        <v>1088</v>
      </c>
      <c r="J3300">
        <v>2.54</v>
      </c>
    </row>
    <row r="3301" spans="1:10" hidden="1">
      <c r="A3301" t="s">
        <v>2242</v>
      </c>
      <c r="B3301" t="s">
        <v>2243</v>
      </c>
      <c r="C3301" t="s">
        <v>241</v>
      </c>
      <c r="D3301" t="s">
        <v>1673</v>
      </c>
      <c r="E3301" t="s">
        <v>557</v>
      </c>
      <c r="F3301" t="s">
        <v>1068</v>
      </c>
      <c r="G3301" t="s">
        <v>1089</v>
      </c>
      <c r="H3301">
        <v>-3.0808927475189699E-3</v>
      </c>
      <c r="I3301" t="s">
        <v>1090</v>
      </c>
      <c r="J3301">
        <v>2.54</v>
      </c>
    </row>
    <row r="3302" spans="1:10" hidden="1">
      <c r="A3302" t="s">
        <v>2245</v>
      </c>
      <c r="B3302" t="s">
        <v>2246</v>
      </c>
      <c r="C3302" t="s">
        <v>241</v>
      </c>
      <c r="D3302" t="s">
        <v>1673</v>
      </c>
      <c r="E3302" t="s">
        <v>559</v>
      </c>
      <c r="F3302" t="s">
        <v>1068</v>
      </c>
      <c r="G3302" t="s">
        <v>1069</v>
      </c>
      <c r="H3302">
        <v>-9.5026527070125794E-2</v>
      </c>
      <c r="I3302" t="s">
        <v>1070</v>
      </c>
      <c r="J3302">
        <v>2.5499999999999998</v>
      </c>
    </row>
    <row r="3303" spans="1:10" hidden="1">
      <c r="A3303" t="s">
        <v>2245</v>
      </c>
      <c r="B3303" t="s">
        <v>2246</v>
      </c>
      <c r="C3303" t="s">
        <v>241</v>
      </c>
      <c r="D3303" t="s">
        <v>1673</v>
      </c>
      <c r="E3303" t="s">
        <v>559</v>
      </c>
      <c r="F3303" t="s">
        <v>1068</v>
      </c>
      <c r="G3303" t="s">
        <v>1071</v>
      </c>
      <c r="H3303" s="170">
        <v>-2.0553814228848099E-10</v>
      </c>
      <c r="I3303" t="s">
        <v>1072</v>
      </c>
      <c r="J3303">
        <v>2.5499999999999998</v>
      </c>
    </row>
    <row r="3304" spans="1:10" hidden="1">
      <c r="A3304" t="s">
        <v>2245</v>
      </c>
      <c r="B3304" t="s">
        <v>2246</v>
      </c>
      <c r="C3304" t="s">
        <v>241</v>
      </c>
      <c r="D3304" t="s">
        <v>1673</v>
      </c>
      <c r="E3304" t="s">
        <v>559</v>
      </c>
      <c r="F3304" t="s">
        <v>1068</v>
      </c>
      <c r="G3304" t="s">
        <v>1073</v>
      </c>
      <c r="H3304" s="170">
        <v>-3.80910194252154E-8</v>
      </c>
      <c r="I3304" t="s">
        <v>1074</v>
      </c>
      <c r="J3304">
        <v>2.5499999999999998</v>
      </c>
    </row>
    <row r="3305" spans="1:10" hidden="1">
      <c r="A3305" t="s">
        <v>2245</v>
      </c>
      <c r="B3305" t="s">
        <v>2246</v>
      </c>
      <c r="C3305" t="s">
        <v>241</v>
      </c>
      <c r="D3305" t="s">
        <v>1673</v>
      </c>
      <c r="E3305" t="s">
        <v>559</v>
      </c>
      <c r="F3305" t="s">
        <v>1068</v>
      </c>
      <c r="G3305" t="s">
        <v>1075</v>
      </c>
      <c r="H3305">
        <v>3.65268722462363E-3</v>
      </c>
      <c r="I3305" t="s">
        <v>1077</v>
      </c>
      <c r="J3305">
        <v>2.5499999999999998</v>
      </c>
    </row>
    <row r="3306" spans="1:10" hidden="1">
      <c r="A3306" t="s">
        <v>2245</v>
      </c>
      <c r="B3306" t="s">
        <v>2246</v>
      </c>
      <c r="C3306" t="s">
        <v>241</v>
      </c>
      <c r="D3306" t="s">
        <v>1673</v>
      </c>
      <c r="E3306" t="s">
        <v>559</v>
      </c>
      <c r="F3306" t="s">
        <v>1068</v>
      </c>
      <c r="G3306" t="s">
        <v>1078</v>
      </c>
      <c r="H3306">
        <v>-0.543191579288413</v>
      </c>
      <c r="I3306" t="s">
        <v>1079</v>
      </c>
      <c r="J3306">
        <v>2.5499999999999998</v>
      </c>
    </row>
    <row r="3307" spans="1:10" hidden="1">
      <c r="A3307" t="s">
        <v>2245</v>
      </c>
      <c r="B3307" t="s">
        <v>2246</v>
      </c>
      <c r="C3307" t="s">
        <v>241</v>
      </c>
      <c r="D3307" t="s">
        <v>1673</v>
      </c>
      <c r="E3307" t="s">
        <v>559</v>
      </c>
      <c r="F3307" t="s">
        <v>1068</v>
      </c>
      <c r="G3307" t="s">
        <v>1080</v>
      </c>
      <c r="H3307" s="171" t="s">
        <v>2247</v>
      </c>
      <c r="I3307" t="s">
        <v>1082</v>
      </c>
      <c r="J3307">
        <v>2.5499999999999998</v>
      </c>
    </row>
    <row r="3308" spans="1:10" hidden="1">
      <c r="A3308" t="s">
        <v>2245</v>
      </c>
      <c r="B3308" t="s">
        <v>2246</v>
      </c>
      <c r="C3308" t="s">
        <v>241</v>
      </c>
      <c r="D3308" t="s">
        <v>1673</v>
      </c>
      <c r="E3308" t="s">
        <v>559</v>
      </c>
      <c r="F3308" t="s">
        <v>1068</v>
      </c>
      <c r="G3308" t="s">
        <v>1083</v>
      </c>
      <c r="H3308">
        <v>-4.3182495593254301E-4</v>
      </c>
      <c r="I3308" t="s">
        <v>1084</v>
      </c>
      <c r="J3308">
        <v>2.5499999999999998</v>
      </c>
    </row>
    <row r="3309" spans="1:10" hidden="1">
      <c r="A3309" t="s">
        <v>2245</v>
      </c>
      <c r="B3309" t="s">
        <v>2246</v>
      </c>
      <c r="C3309" t="s">
        <v>241</v>
      </c>
      <c r="D3309" t="s">
        <v>1673</v>
      </c>
      <c r="E3309" t="s">
        <v>559</v>
      </c>
      <c r="F3309" t="s">
        <v>1068</v>
      </c>
      <c r="G3309" t="s">
        <v>1085</v>
      </c>
      <c r="H3309">
        <v>-1.21052639892619E-2</v>
      </c>
      <c r="I3309" t="s">
        <v>1086</v>
      </c>
      <c r="J3309">
        <v>2.5499999999999998</v>
      </c>
    </row>
    <row r="3310" spans="1:10" hidden="1">
      <c r="A3310" t="s">
        <v>2245</v>
      </c>
      <c r="B3310" t="s">
        <v>2246</v>
      </c>
      <c r="C3310" t="s">
        <v>241</v>
      </c>
      <c r="D3310" t="s">
        <v>1673</v>
      </c>
      <c r="E3310" t="s">
        <v>559</v>
      </c>
      <c r="F3310" t="s">
        <v>1068</v>
      </c>
      <c r="G3310" t="s">
        <v>1087</v>
      </c>
      <c r="H3310" s="170">
        <v>-5.7619284688021599E-6</v>
      </c>
      <c r="I3310" t="s">
        <v>1088</v>
      </c>
      <c r="J3310">
        <v>2.5499999999999998</v>
      </c>
    </row>
    <row r="3311" spans="1:10" hidden="1">
      <c r="A3311" t="s">
        <v>2245</v>
      </c>
      <c r="B3311" t="s">
        <v>2246</v>
      </c>
      <c r="C3311" t="s">
        <v>241</v>
      </c>
      <c r="D3311" t="s">
        <v>1673</v>
      </c>
      <c r="E3311" t="s">
        <v>559</v>
      </c>
      <c r="F3311" t="s">
        <v>1068</v>
      </c>
      <c r="G3311" t="s">
        <v>1089</v>
      </c>
      <c r="H3311">
        <v>-3.0808815459068399E-3</v>
      </c>
      <c r="I3311" t="s">
        <v>1090</v>
      </c>
      <c r="J3311">
        <v>2.5499999999999998</v>
      </c>
    </row>
    <row r="3312" spans="1:10" hidden="1">
      <c r="A3312" t="s">
        <v>2248</v>
      </c>
      <c r="B3312" t="s">
        <v>2249</v>
      </c>
      <c r="C3312" t="s">
        <v>241</v>
      </c>
      <c r="D3312" t="s">
        <v>1673</v>
      </c>
      <c r="E3312" t="s">
        <v>560</v>
      </c>
      <c r="F3312" t="s">
        <v>1068</v>
      </c>
      <c r="G3312" t="s">
        <v>1069</v>
      </c>
      <c r="H3312">
        <v>-9.5037421963077198E-2</v>
      </c>
      <c r="I3312" t="s">
        <v>1070</v>
      </c>
      <c r="J3312">
        <v>2.54</v>
      </c>
    </row>
    <row r="3313" spans="1:10" hidden="1">
      <c r="A3313" t="s">
        <v>2248</v>
      </c>
      <c r="B3313" t="s">
        <v>2249</v>
      </c>
      <c r="C3313" t="s">
        <v>241</v>
      </c>
      <c r="D3313" t="s">
        <v>1673</v>
      </c>
      <c r="E3313" t="s">
        <v>560</v>
      </c>
      <c r="F3313" t="s">
        <v>1068</v>
      </c>
      <c r="G3313" t="s">
        <v>1071</v>
      </c>
      <c r="H3313" s="170">
        <v>-2.05554125789216E-10</v>
      </c>
      <c r="I3313" t="s">
        <v>1072</v>
      </c>
      <c r="J3313">
        <v>2.54</v>
      </c>
    </row>
    <row r="3314" spans="1:10" hidden="1">
      <c r="A3314" t="s">
        <v>2248</v>
      </c>
      <c r="B3314" t="s">
        <v>2249</v>
      </c>
      <c r="C3314" t="s">
        <v>241</v>
      </c>
      <c r="D3314" t="s">
        <v>1673</v>
      </c>
      <c r="E3314" t="s">
        <v>560</v>
      </c>
      <c r="F3314" t="s">
        <v>1068</v>
      </c>
      <c r="G3314" t="s">
        <v>1073</v>
      </c>
      <c r="H3314" s="170">
        <v>-3.8094853302199201E-8</v>
      </c>
      <c r="I3314" t="s">
        <v>1074</v>
      </c>
      <c r="J3314">
        <v>2.54</v>
      </c>
    </row>
    <row r="3315" spans="1:10" hidden="1">
      <c r="A3315" t="s">
        <v>2248</v>
      </c>
      <c r="B3315" t="s">
        <v>2249</v>
      </c>
      <c r="C3315" t="s">
        <v>241</v>
      </c>
      <c r="D3315" t="s">
        <v>1673</v>
      </c>
      <c r="E3315" t="s">
        <v>560</v>
      </c>
      <c r="F3315" t="s">
        <v>1068</v>
      </c>
      <c r="G3315" t="s">
        <v>1075</v>
      </c>
      <c r="H3315">
        <v>3.6520846002942998E-3</v>
      </c>
      <c r="I3315" t="s">
        <v>1077</v>
      </c>
      <c r="J3315">
        <v>2.54</v>
      </c>
    </row>
    <row r="3316" spans="1:10" hidden="1">
      <c r="A3316" t="s">
        <v>2248</v>
      </c>
      <c r="B3316" t="s">
        <v>2249</v>
      </c>
      <c r="C3316" t="s">
        <v>241</v>
      </c>
      <c r="D3316" t="s">
        <v>1673</v>
      </c>
      <c r="E3316" t="s">
        <v>560</v>
      </c>
      <c r="F3316" t="s">
        <v>1068</v>
      </c>
      <c r="G3316" t="s">
        <v>1078</v>
      </c>
      <c r="H3316">
        <v>-0.54331576734213405</v>
      </c>
      <c r="I3316" t="s">
        <v>1079</v>
      </c>
      <c r="J3316">
        <v>2.54</v>
      </c>
    </row>
    <row r="3317" spans="1:10" hidden="1">
      <c r="A3317" t="s">
        <v>2248</v>
      </c>
      <c r="B3317" t="s">
        <v>2249</v>
      </c>
      <c r="C3317" t="s">
        <v>241</v>
      </c>
      <c r="D3317" t="s">
        <v>1673</v>
      </c>
      <c r="E3317" t="s">
        <v>560</v>
      </c>
      <c r="F3317" t="s">
        <v>1068</v>
      </c>
      <c r="G3317" t="s">
        <v>1080</v>
      </c>
      <c r="H3317" s="171" t="s">
        <v>2250</v>
      </c>
      <c r="I3317" t="s">
        <v>1082</v>
      </c>
      <c r="J3317">
        <v>2.54</v>
      </c>
    </row>
    <row r="3318" spans="1:10" hidden="1">
      <c r="A3318" t="s">
        <v>2248</v>
      </c>
      <c r="B3318" t="s">
        <v>2249</v>
      </c>
      <c r="C3318" t="s">
        <v>241</v>
      </c>
      <c r="D3318" t="s">
        <v>1673</v>
      </c>
      <c r="E3318" t="s">
        <v>560</v>
      </c>
      <c r="F3318" t="s">
        <v>1068</v>
      </c>
      <c r="G3318" t="s">
        <v>1083</v>
      </c>
      <c r="H3318">
        <v>-4.3182658654845597E-4</v>
      </c>
      <c r="I3318" t="s">
        <v>1084</v>
      </c>
      <c r="J3318">
        <v>2.54</v>
      </c>
    </row>
    <row r="3319" spans="1:10" hidden="1">
      <c r="A3319" t="s">
        <v>2248</v>
      </c>
      <c r="B3319" t="s">
        <v>2249</v>
      </c>
      <c r="C3319" t="s">
        <v>241</v>
      </c>
      <c r="D3319" t="s">
        <v>1673</v>
      </c>
      <c r="E3319" t="s">
        <v>560</v>
      </c>
      <c r="F3319" t="s">
        <v>1068</v>
      </c>
      <c r="G3319" t="s">
        <v>1085</v>
      </c>
      <c r="H3319">
        <v>-1.2105283806515399E-2</v>
      </c>
      <c r="I3319" t="s">
        <v>1086</v>
      </c>
      <c r="J3319">
        <v>2.54</v>
      </c>
    </row>
    <row r="3320" spans="1:10" hidden="1">
      <c r="A3320" t="s">
        <v>2248</v>
      </c>
      <c r="B3320" t="s">
        <v>2249</v>
      </c>
      <c r="C3320" t="s">
        <v>241</v>
      </c>
      <c r="D3320" t="s">
        <v>1673</v>
      </c>
      <c r="E3320" t="s">
        <v>560</v>
      </c>
      <c r="F3320" t="s">
        <v>1068</v>
      </c>
      <c r="G3320" t="s">
        <v>1087</v>
      </c>
      <c r="H3320" s="170">
        <v>-5.7619501145906599E-6</v>
      </c>
      <c r="I3320" t="s">
        <v>1088</v>
      </c>
      <c r="J3320">
        <v>2.54</v>
      </c>
    </row>
    <row r="3321" spans="1:10" hidden="1">
      <c r="A3321" t="s">
        <v>2248</v>
      </c>
      <c r="B3321" t="s">
        <v>2249</v>
      </c>
      <c r="C3321" t="s">
        <v>241</v>
      </c>
      <c r="D3321" t="s">
        <v>1673</v>
      </c>
      <c r="E3321" t="s">
        <v>560</v>
      </c>
      <c r="F3321" t="s">
        <v>1068</v>
      </c>
      <c r="G3321" t="s">
        <v>1089</v>
      </c>
      <c r="H3321">
        <v>-3.0808853923697701E-3</v>
      </c>
      <c r="I3321" t="s">
        <v>1090</v>
      </c>
      <c r="J3321">
        <v>2.54</v>
      </c>
    </row>
    <row r="3322" spans="1:10" hidden="1">
      <c r="A3322" t="s">
        <v>2251</v>
      </c>
      <c r="B3322" t="s">
        <v>2252</v>
      </c>
      <c r="C3322" t="s">
        <v>241</v>
      </c>
      <c r="D3322" t="s">
        <v>1673</v>
      </c>
      <c r="E3322" t="s">
        <v>1116</v>
      </c>
      <c r="F3322" t="s">
        <v>1068</v>
      </c>
      <c r="G3322" t="s">
        <v>1069</v>
      </c>
      <c r="H3322">
        <v>-9.5100411385357297E-2</v>
      </c>
      <c r="I3322" t="s">
        <v>1070</v>
      </c>
      <c r="J3322">
        <v>2.04</v>
      </c>
    </row>
    <row r="3323" spans="1:10" hidden="1">
      <c r="A3323" t="s">
        <v>2251</v>
      </c>
      <c r="B3323" t="s">
        <v>2252</v>
      </c>
      <c r="C3323" t="s">
        <v>241</v>
      </c>
      <c r="D3323" t="s">
        <v>1673</v>
      </c>
      <c r="E3323" t="s">
        <v>1116</v>
      </c>
      <c r="F3323" t="s">
        <v>1068</v>
      </c>
      <c r="G3323" t="s">
        <v>1071</v>
      </c>
      <c r="H3323" s="170">
        <v>-2.0564426436926501E-10</v>
      </c>
      <c r="I3323" t="s">
        <v>1072</v>
      </c>
      <c r="J3323">
        <v>2.04</v>
      </c>
    </row>
    <row r="3324" spans="1:10" hidden="1">
      <c r="A3324" t="s">
        <v>2251</v>
      </c>
      <c r="B3324" t="s">
        <v>2252</v>
      </c>
      <c r="C3324" t="s">
        <v>241</v>
      </c>
      <c r="D3324" t="s">
        <v>1673</v>
      </c>
      <c r="E3324" t="s">
        <v>1116</v>
      </c>
      <c r="F3324" t="s">
        <v>1068</v>
      </c>
      <c r="G3324" t="s">
        <v>1073</v>
      </c>
      <c r="H3324" s="170">
        <v>-3.8117227344310998E-8</v>
      </c>
      <c r="I3324" t="s">
        <v>1074</v>
      </c>
      <c r="J3324">
        <v>2.04</v>
      </c>
    </row>
    <row r="3325" spans="1:10" hidden="1">
      <c r="A3325" t="s">
        <v>2251</v>
      </c>
      <c r="B3325" t="s">
        <v>2252</v>
      </c>
      <c r="C3325" t="s">
        <v>241</v>
      </c>
      <c r="D3325" t="s">
        <v>1673</v>
      </c>
      <c r="E3325" t="s">
        <v>1116</v>
      </c>
      <c r="F3325" t="s">
        <v>1068</v>
      </c>
      <c r="G3325" t="s">
        <v>1075</v>
      </c>
      <c r="H3325">
        <v>3.65009343737126E-3</v>
      </c>
      <c r="I3325" t="s">
        <v>1077</v>
      </c>
      <c r="J3325">
        <v>2.04</v>
      </c>
    </row>
    <row r="3326" spans="1:10" hidden="1">
      <c r="A3326" t="s">
        <v>2251</v>
      </c>
      <c r="B3326" t="s">
        <v>2252</v>
      </c>
      <c r="C3326" t="s">
        <v>241</v>
      </c>
      <c r="D3326" t="s">
        <v>1673</v>
      </c>
      <c r="E3326" t="s">
        <v>1116</v>
      </c>
      <c r="F3326" t="s">
        <v>1068</v>
      </c>
      <c r="G3326" t="s">
        <v>1078</v>
      </c>
      <c r="H3326">
        <v>-0.54340187290759301</v>
      </c>
      <c r="I3326" t="s">
        <v>1079</v>
      </c>
      <c r="J3326">
        <v>2.04</v>
      </c>
    </row>
    <row r="3327" spans="1:10" hidden="1">
      <c r="A3327" t="s">
        <v>2251</v>
      </c>
      <c r="B3327" t="s">
        <v>2252</v>
      </c>
      <c r="C3327" t="s">
        <v>241</v>
      </c>
      <c r="D3327" t="s">
        <v>1673</v>
      </c>
      <c r="E3327" t="s">
        <v>1116</v>
      </c>
      <c r="F3327" t="s">
        <v>1068</v>
      </c>
      <c r="G3327" t="s">
        <v>1080</v>
      </c>
      <c r="H3327" s="171" t="s">
        <v>2253</v>
      </c>
      <c r="I3327" t="s">
        <v>1082</v>
      </c>
      <c r="J3327">
        <v>2.04</v>
      </c>
    </row>
    <row r="3328" spans="1:10" hidden="1">
      <c r="A3328" t="s">
        <v>2251</v>
      </c>
      <c r="B3328" t="s">
        <v>2252</v>
      </c>
      <c r="C3328" t="s">
        <v>241</v>
      </c>
      <c r="D3328" t="s">
        <v>1673</v>
      </c>
      <c r="E3328" t="s">
        <v>1116</v>
      </c>
      <c r="F3328" t="s">
        <v>1068</v>
      </c>
      <c r="G3328" t="s">
        <v>1083</v>
      </c>
      <c r="H3328">
        <v>-4.3183616098139797E-4</v>
      </c>
      <c r="I3328" t="s">
        <v>1084</v>
      </c>
      <c r="J3328">
        <v>2.04</v>
      </c>
    </row>
    <row r="3329" spans="1:10" hidden="1">
      <c r="A3329" t="s">
        <v>2251</v>
      </c>
      <c r="B3329" t="s">
        <v>2252</v>
      </c>
      <c r="C3329" t="s">
        <v>241</v>
      </c>
      <c r="D3329" t="s">
        <v>1673</v>
      </c>
      <c r="E3329" t="s">
        <v>1116</v>
      </c>
      <c r="F3329" t="s">
        <v>1068</v>
      </c>
      <c r="G3329" t="s">
        <v>1085</v>
      </c>
      <c r="H3329">
        <v>-1.21053920170396E-2</v>
      </c>
      <c r="I3329" t="s">
        <v>1086</v>
      </c>
      <c r="J3329">
        <v>2.04</v>
      </c>
    </row>
    <row r="3330" spans="1:10" hidden="1">
      <c r="A3330" t="s">
        <v>2251</v>
      </c>
      <c r="B3330" t="s">
        <v>2252</v>
      </c>
      <c r="C3330" t="s">
        <v>241</v>
      </c>
      <c r="D3330" t="s">
        <v>1673</v>
      </c>
      <c r="E3330" t="s">
        <v>1116</v>
      </c>
      <c r="F3330" t="s">
        <v>1068</v>
      </c>
      <c r="G3330" t="s">
        <v>1087</v>
      </c>
      <c r="H3330" s="170">
        <v>-5.7620023374837401E-6</v>
      </c>
      <c r="I3330" t="s">
        <v>1088</v>
      </c>
      <c r="J3330">
        <v>2.04</v>
      </c>
    </row>
    <row r="3331" spans="1:10" hidden="1">
      <c r="A3331" t="s">
        <v>2251</v>
      </c>
      <c r="B3331" t="s">
        <v>2252</v>
      </c>
      <c r="C3331" t="s">
        <v>241</v>
      </c>
      <c r="D3331" t="s">
        <v>1673</v>
      </c>
      <c r="E3331" t="s">
        <v>1116</v>
      </c>
      <c r="F3331" t="s">
        <v>1068</v>
      </c>
      <c r="G3331" t="s">
        <v>1089</v>
      </c>
      <c r="H3331">
        <v>-3.0809077159872399E-3</v>
      </c>
      <c r="I3331" t="s">
        <v>1090</v>
      </c>
      <c r="J3331">
        <v>2.04</v>
      </c>
    </row>
    <row r="3332" spans="1:10" hidden="1">
      <c r="A3332" t="s">
        <v>2254</v>
      </c>
      <c r="B3332" t="s">
        <v>2255</v>
      </c>
      <c r="C3332" t="s">
        <v>241</v>
      </c>
      <c r="D3332" t="s">
        <v>1707</v>
      </c>
      <c r="E3332" t="s">
        <v>561</v>
      </c>
      <c r="F3332" t="s">
        <v>1068</v>
      </c>
      <c r="G3332" t="s">
        <v>1069</v>
      </c>
      <c r="H3332">
        <v>-0.407004633948928</v>
      </c>
      <c r="I3332" t="s">
        <v>1070</v>
      </c>
      <c r="J3332">
        <v>2.0299999999999998</v>
      </c>
    </row>
    <row r="3333" spans="1:10" hidden="1">
      <c r="A3333" t="s">
        <v>2254</v>
      </c>
      <c r="B3333" t="s">
        <v>2255</v>
      </c>
      <c r="C3333" t="s">
        <v>241</v>
      </c>
      <c r="D3333" t="s">
        <v>1707</v>
      </c>
      <c r="E3333" t="s">
        <v>561</v>
      </c>
      <c r="F3333" t="s">
        <v>1068</v>
      </c>
      <c r="G3333" t="s">
        <v>1071</v>
      </c>
      <c r="H3333" s="170">
        <v>-8.9658904572029904E-10</v>
      </c>
      <c r="I3333" t="s">
        <v>1072</v>
      </c>
      <c r="J3333">
        <v>2.0299999999999998</v>
      </c>
    </row>
    <row r="3334" spans="1:10" hidden="1">
      <c r="A3334" t="s">
        <v>2254</v>
      </c>
      <c r="B3334" t="s">
        <v>2255</v>
      </c>
      <c r="C3334" t="s">
        <v>241</v>
      </c>
      <c r="D3334" t="s">
        <v>1707</v>
      </c>
      <c r="E3334" t="s">
        <v>561</v>
      </c>
      <c r="F3334" t="s">
        <v>1068</v>
      </c>
      <c r="G3334" t="s">
        <v>1073</v>
      </c>
      <c r="H3334" s="170">
        <v>-1.62746033626606E-7</v>
      </c>
      <c r="I3334" t="s">
        <v>1074</v>
      </c>
      <c r="J3334">
        <v>2.0299999999999998</v>
      </c>
    </row>
    <row r="3335" spans="1:10" hidden="1">
      <c r="A3335" t="s">
        <v>2254</v>
      </c>
      <c r="B3335" t="s">
        <v>2255</v>
      </c>
      <c r="C3335" t="s">
        <v>241</v>
      </c>
      <c r="D3335" t="s">
        <v>1707</v>
      </c>
      <c r="E3335" t="s">
        <v>561</v>
      </c>
      <c r="F3335" t="s">
        <v>1068</v>
      </c>
      <c r="G3335" t="s">
        <v>1075</v>
      </c>
      <c r="H3335">
        <v>2.18471975689504E-3</v>
      </c>
      <c r="I3335" t="s">
        <v>1077</v>
      </c>
      <c r="J3335">
        <v>2.0299999999999998</v>
      </c>
    </row>
    <row r="3336" spans="1:10" hidden="1">
      <c r="A3336" t="s">
        <v>2254</v>
      </c>
      <c r="B3336" t="s">
        <v>2255</v>
      </c>
      <c r="C3336" t="s">
        <v>241</v>
      </c>
      <c r="D3336" t="s">
        <v>1707</v>
      </c>
      <c r="E3336" t="s">
        <v>561</v>
      </c>
      <c r="F3336" t="s">
        <v>1068</v>
      </c>
      <c r="G3336" t="s">
        <v>1078</v>
      </c>
      <c r="H3336">
        <v>-1.7445491769864401</v>
      </c>
      <c r="I3336" t="s">
        <v>1079</v>
      </c>
      <c r="J3336">
        <v>2.0299999999999998</v>
      </c>
    </row>
    <row r="3337" spans="1:10" hidden="1">
      <c r="A3337" t="s">
        <v>2254</v>
      </c>
      <c r="B3337" t="s">
        <v>2255</v>
      </c>
      <c r="C3337" t="s">
        <v>241</v>
      </c>
      <c r="D3337" t="s">
        <v>1707</v>
      </c>
      <c r="E3337" t="s">
        <v>561</v>
      </c>
      <c r="F3337" t="s">
        <v>1068</v>
      </c>
      <c r="G3337" t="s">
        <v>1080</v>
      </c>
      <c r="H3337" s="171" t="s">
        <v>2256</v>
      </c>
      <c r="I3337" t="s">
        <v>1082</v>
      </c>
      <c r="J3337">
        <v>2.0299999999999998</v>
      </c>
    </row>
    <row r="3338" spans="1:10" hidden="1">
      <c r="A3338" t="s">
        <v>2254</v>
      </c>
      <c r="B3338" t="s">
        <v>2255</v>
      </c>
      <c r="C3338" t="s">
        <v>241</v>
      </c>
      <c r="D3338" t="s">
        <v>1707</v>
      </c>
      <c r="E3338" t="s">
        <v>561</v>
      </c>
      <c r="F3338" t="s">
        <v>1068</v>
      </c>
      <c r="G3338" t="s">
        <v>1083</v>
      </c>
      <c r="H3338">
        <v>-1.3933554297502601E-3</v>
      </c>
      <c r="I3338" t="s">
        <v>1084</v>
      </c>
      <c r="J3338">
        <v>2.0299999999999998</v>
      </c>
    </row>
    <row r="3339" spans="1:10" hidden="1">
      <c r="A3339" t="s">
        <v>2254</v>
      </c>
      <c r="B3339" t="s">
        <v>2255</v>
      </c>
      <c r="C3339" t="s">
        <v>241</v>
      </c>
      <c r="D3339" t="s">
        <v>1707</v>
      </c>
      <c r="E3339" t="s">
        <v>561</v>
      </c>
      <c r="F3339" t="s">
        <v>1068</v>
      </c>
      <c r="G3339" t="s">
        <v>1085</v>
      </c>
      <c r="H3339">
        <v>-3.9150480147741799E-2</v>
      </c>
      <c r="I3339" t="s">
        <v>1086</v>
      </c>
      <c r="J3339">
        <v>2.0299999999999998</v>
      </c>
    </row>
    <row r="3340" spans="1:10" hidden="1">
      <c r="A3340" t="s">
        <v>2254</v>
      </c>
      <c r="B3340" t="s">
        <v>2255</v>
      </c>
      <c r="C3340" t="s">
        <v>241</v>
      </c>
      <c r="D3340" t="s">
        <v>1707</v>
      </c>
      <c r="E3340" t="s">
        <v>561</v>
      </c>
      <c r="F3340" t="s">
        <v>1068</v>
      </c>
      <c r="G3340" t="s">
        <v>1087</v>
      </c>
      <c r="H3340" s="170">
        <v>-1.7618489411168299E-5</v>
      </c>
      <c r="I3340" t="s">
        <v>1088</v>
      </c>
      <c r="J3340">
        <v>2.0299999999999998</v>
      </c>
    </row>
    <row r="3341" spans="1:10" hidden="1">
      <c r="A3341" t="s">
        <v>2254</v>
      </c>
      <c r="B3341" t="s">
        <v>2255</v>
      </c>
      <c r="C3341" t="s">
        <v>241</v>
      </c>
      <c r="D3341" t="s">
        <v>1707</v>
      </c>
      <c r="E3341" t="s">
        <v>561</v>
      </c>
      <c r="F3341" t="s">
        <v>1068</v>
      </c>
      <c r="G3341" t="s">
        <v>1089</v>
      </c>
      <c r="H3341">
        <v>-1.0297314165277001E-2</v>
      </c>
      <c r="I3341" t="s">
        <v>1090</v>
      </c>
      <c r="J3341">
        <v>2.0299999999999998</v>
      </c>
    </row>
    <row r="3342" spans="1:10" hidden="1">
      <c r="A3342" t="s">
        <v>2257</v>
      </c>
      <c r="B3342" t="s">
        <v>2258</v>
      </c>
      <c r="C3342" t="s">
        <v>241</v>
      </c>
      <c r="D3342" t="s">
        <v>1707</v>
      </c>
      <c r="E3342" t="s">
        <v>555</v>
      </c>
      <c r="F3342" t="s">
        <v>1068</v>
      </c>
      <c r="G3342" t="s">
        <v>1069</v>
      </c>
      <c r="H3342">
        <v>-0.40684370523162899</v>
      </c>
      <c r="I3342" t="s">
        <v>1070</v>
      </c>
      <c r="J3342">
        <v>2.04</v>
      </c>
    </row>
    <row r="3343" spans="1:10" hidden="1">
      <c r="A3343" t="s">
        <v>2257</v>
      </c>
      <c r="B3343" t="s">
        <v>2258</v>
      </c>
      <c r="C3343" t="s">
        <v>241</v>
      </c>
      <c r="D3343" t="s">
        <v>1707</v>
      </c>
      <c r="E3343" t="s">
        <v>555</v>
      </c>
      <c r="F3343" t="s">
        <v>1068</v>
      </c>
      <c r="G3343" t="s">
        <v>1071</v>
      </c>
      <c r="H3343" s="170">
        <v>-8.9635757915121195E-10</v>
      </c>
      <c r="I3343" t="s">
        <v>1072</v>
      </c>
      <c r="J3343">
        <v>2.04</v>
      </c>
    </row>
    <row r="3344" spans="1:10" hidden="1">
      <c r="A3344" t="s">
        <v>2257</v>
      </c>
      <c r="B3344" t="s">
        <v>2258</v>
      </c>
      <c r="C3344" t="s">
        <v>241</v>
      </c>
      <c r="D3344" t="s">
        <v>1707</v>
      </c>
      <c r="E3344" t="s">
        <v>555</v>
      </c>
      <c r="F3344" t="s">
        <v>1068</v>
      </c>
      <c r="G3344" t="s">
        <v>1073</v>
      </c>
      <c r="H3344" s="170">
        <v>-1.6268897906775701E-7</v>
      </c>
      <c r="I3344" t="s">
        <v>1074</v>
      </c>
      <c r="J3344">
        <v>2.04</v>
      </c>
    </row>
    <row r="3345" spans="1:10" hidden="1">
      <c r="A3345" t="s">
        <v>2257</v>
      </c>
      <c r="B3345" t="s">
        <v>2258</v>
      </c>
      <c r="C3345" t="s">
        <v>241</v>
      </c>
      <c r="D3345" t="s">
        <v>1707</v>
      </c>
      <c r="E3345" t="s">
        <v>555</v>
      </c>
      <c r="F3345" t="s">
        <v>1068</v>
      </c>
      <c r="G3345" t="s">
        <v>1075</v>
      </c>
      <c r="H3345">
        <v>2.19057984346374E-3</v>
      </c>
      <c r="I3345" t="s">
        <v>1077</v>
      </c>
      <c r="J3345">
        <v>2.04</v>
      </c>
    </row>
    <row r="3346" spans="1:10" hidden="1">
      <c r="A3346" t="s">
        <v>2257</v>
      </c>
      <c r="B3346" t="s">
        <v>2258</v>
      </c>
      <c r="C3346" t="s">
        <v>241</v>
      </c>
      <c r="D3346" t="s">
        <v>1707</v>
      </c>
      <c r="E3346" t="s">
        <v>555</v>
      </c>
      <c r="F3346" t="s">
        <v>1068</v>
      </c>
      <c r="G3346" t="s">
        <v>1078</v>
      </c>
      <c r="H3346">
        <v>-1.7440020321218299</v>
      </c>
      <c r="I3346" t="s">
        <v>1079</v>
      </c>
      <c r="J3346">
        <v>2.04</v>
      </c>
    </row>
    <row r="3347" spans="1:10" hidden="1">
      <c r="A3347" t="s">
        <v>2257</v>
      </c>
      <c r="B3347" t="s">
        <v>2258</v>
      </c>
      <c r="C3347" t="s">
        <v>241</v>
      </c>
      <c r="D3347" t="s">
        <v>1707</v>
      </c>
      <c r="E3347" t="s">
        <v>555</v>
      </c>
      <c r="F3347" t="s">
        <v>1068</v>
      </c>
      <c r="G3347" t="s">
        <v>1080</v>
      </c>
      <c r="H3347" s="171" t="s">
        <v>2259</v>
      </c>
      <c r="I3347" t="s">
        <v>1082</v>
      </c>
      <c r="J3347">
        <v>2.04</v>
      </c>
    </row>
    <row r="3348" spans="1:10" hidden="1">
      <c r="A3348" t="s">
        <v>2257</v>
      </c>
      <c r="B3348" t="s">
        <v>2258</v>
      </c>
      <c r="C3348" t="s">
        <v>241</v>
      </c>
      <c r="D3348" t="s">
        <v>1707</v>
      </c>
      <c r="E3348" t="s">
        <v>555</v>
      </c>
      <c r="F3348" t="s">
        <v>1068</v>
      </c>
      <c r="G3348" t="s">
        <v>1083</v>
      </c>
      <c r="H3348">
        <v>-1.39333104455684E-3</v>
      </c>
      <c r="I3348" t="s">
        <v>1084</v>
      </c>
      <c r="J3348">
        <v>2.04</v>
      </c>
    </row>
    <row r="3349" spans="1:10" hidden="1">
      <c r="A3349" t="s">
        <v>2257</v>
      </c>
      <c r="B3349" t="s">
        <v>2258</v>
      </c>
      <c r="C3349" t="s">
        <v>241</v>
      </c>
      <c r="D3349" t="s">
        <v>1707</v>
      </c>
      <c r="E3349" t="s">
        <v>555</v>
      </c>
      <c r="F3349" t="s">
        <v>1068</v>
      </c>
      <c r="G3349" t="s">
        <v>1085</v>
      </c>
      <c r="H3349">
        <v>-3.9150200390843402E-2</v>
      </c>
      <c r="I3349" t="s">
        <v>1086</v>
      </c>
      <c r="J3349">
        <v>2.04</v>
      </c>
    </row>
    <row r="3350" spans="1:10" hidden="1">
      <c r="A3350" t="s">
        <v>2257</v>
      </c>
      <c r="B3350" t="s">
        <v>2258</v>
      </c>
      <c r="C3350" t="s">
        <v>241</v>
      </c>
      <c r="D3350" t="s">
        <v>1707</v>
      </c>
      <c r="E3350" t="s">
        <v>555</v>
      </c>
      <c r="F3350" t="s">
        <v>1068</v>
      </c>
      <c r="G3350" t="s">
        <v>1087</v>
      </c>
      <c r="H3350" s="170">
        <v>-1.7618318233893E-5</v>
      </c>
      <c r="I3350" t="s">
        <v>1088</v>
      </c>
      <c r="J3350">
        <v>2.04</v>
      </c>
    </row>
    <row r="3351" spans="1:10" hidden="1">
      <c r="A3351" t="s">
        <v>2257</v>
      </c>
      <c r="B3351" t="s">
        <v>2258</v>
      </c>
      <c r="C3351" t="s">
        <v>241</v>
      </c>
      <c r="D3351" t="s">
        <v>1707</v>
      </c>
      <c r="E3351" t="s">
        <v>555</v>
      </c>
      <c r="F3351" t="s">
        <v>1068</v>
      </c>
      <c r="G3351" t="s">
        <v>1089</v>
      </c>
      <c r="H3351">
        <v>-1.0297257175765099E-2</v>
      </c>
      <c r="I3351" t="s">
        <v>1090</v>
      </c>
      <c r="J3351">
        <v>2.04</v>
      </c>
    </row>
    <row r="3352" spans="1:10" hidden="1">
      <c r="A3352" t="s">
        <v>2260</v>
      </c>
      <c r="B3352" t="s">
        <v>2261</v>
      </c>
      <c r="C3352" t="s">
        <v>241</v>
      </c>
      <c r="D3352" t="s">
        <v>1707</v>
      </c>
      <c r="E3352" t="s">
        <v>558</v>
      </c>
      <c r="F3352" t="s">
        <v>1068</v>
      </c>
      <c r="G3352" t="s">
        <v>1069</v>
      </c>
      <c r="H3352">
        <v>-0.407018838243278</v>
      </c>
      <c r="I3352" t="s">
        <v>1070</v>
      </c>
      <c r="J3352">
        <v>2.54</v>
      </c>
    </row>
    <row r="3353" spans="1:10" hidden="1">
      <c r="A3353" t="s">
        <v>2260</v>
      </c>
      <c r="B3353" t="s">
        <v>2261</v>
      </c>
      <c r="C3353" t="s">
        <v>241</v>
      </c>
      <c r="D3353" t="s">
        <v>1707</v>
      </c>
      <c r="E3353" t="s">
        <v>558</v>
      </c>
      <c r="F3353" t="s">
        <v>1068</v>
      </c>
      <c r="G3353" t="s">
        <v>1071</v>
      </c>
      <c r="H3353" s="170">
        <v>-8.9660937222673904E-10</v>
      </c>
      <c r="I3353" t="s">
        <v>1072</v>
      </c>
      <c r="J3353">
        <v>2.54</v>
      </c>
    </row>
    <row r="3354" spans="1:10" hidden="1">
      <c r="A3354" t="s">
        <v>2260</v>
      </c>
      <c r="B3354" t="s">
        <v>2261</v>
      </c>
      <c r="C3354" t="s">
        <v>241</v>
      </c>
      <c r="D3354" t="s">
        <v>1707</v>
      </c>
      <c r="E3354" t="s">
        <v>558</v>
      </c>
      <c r="F3354" t="s">
        <v>1068</v>
      </c>
      <c r="G3354" t="s">
        <v>1073</v>
      </c>
      <c r="H3354" s="170">
        <v>-1.6275107903688399E-7</v>
      </c>
      <c r="I3354" t="s">
        <v>1074</v>
      </c>
      <c r="J3354">
        <v>2.54</v>
      </c>
    </row>
    <row r="3355" spans="1:10" hidden="1">
      <c r="A3355" t="s">
        <v>2260</v>
      </c>
      <c r="B3355" t="s">
        <v>2261</v>
      </c>
      <c r="C3355" t="s">
        <v>241</v>
      </c>
      <c r="D3355" t="s">
        <v>1707</v>
      </c>
      <c r="E3355" t="s">
        <v>558</v>
      </c>
      <c r="F3355" t="s">
        <v>1068</v>
      </c>
      <c r="G3355" t="s">
        <v>1075</v>
      </c>
      <c r="H3355">
        <v>2.1842707439672202E-3</v>
      </c>
      <c r="I3355" t="s">
        <v>1077</v>
      </c>
      <c r="J3355">
        <v>2.54</v>
      </c>
    </row>
    <row r="3356" spans="1:10" hidden="1">
      <c r="A3356" t="s">
        <v>2260</v>
      </c>
      <c r="B3356" t="s">
        <v>2261</v>
      </c>
      <c r="C3356" t="s">
        <v>241</v>
      </c>
      <c r="D3356" t="s">
        <v>1707</v>
      </c>
      <c r="E3356" t="s">
        <v>558</v>
      </c>
      <c r="F3356" t="s">
        <v>1068</v>
      </c>
      <c r="G3356" t="s">
        <v>1078</v>
      </c>
      <c r="H3356">
        <v>-1.7445685940376101</v>
      </c>
      <c r="I3356" t="s">
        <v>1079</v>
      </c>
      <c r="J3356">
        <v>2.54</v>
      </c>
    </row>
    <row r="3357" spans="1:10" hidden="1">
      <c r="A3357" t="s">
        <v>2260</v>
      </c>
      <c r="B3357" t="s">
        <v>2261</v>
      </c>
      <c r="C3357" t="s">
        <v>241</v>
      </c>
      <c r="D3357" t="s">
        <v>1707</v>
      </c>
      <c r="E3357" t="s">
        <v>558</v>
      </c>
      <c r="F3357" t="s">
        <v>1068</v>
      </c>
      <c r="G3357" t="s">
        <v>1080</v>
      </c>
      <c r="H3357" s="171" t="s">
        <v>2262</v>
      </c>
      <c r="I3357" t="s">
        <v>1082</v>
      </c>
      <c r="J3357">
        <v>2.54</v>
      </c>
    </row>
    <row r="3358" spans="1:10" hidden="1">
      <c r="A3358" t="s">
        <v>2260</v>
      </c>
      <c r="B3358" t="s">
        <v>2261</v>
      </c>
      <c r="C3358" t="s">
        <v>241</v>
      </c>
      <c r="D3358" t="s">
        <v>1707</v>
      </c>
      <c r="E3358" t="s">
        <v>558</v>
      </c>
      <c r="F3358" t="s">
        <v>1068</v>
      </c>
      <c r="G3358" t="s">
        <v>1083</v>
      </c>
      <c r="H3358">
        <v>-1.39335758881226E-3</v>
      </c>
      <c r="I3358" t="s">
        <v>1084</v>
      </c>
      <c r="J3358">
        <v>2.54</v>
      </c>
    </row>
    <row r="3359" spans="1:10" hidden="1">
      <c r="A3359" t="s">
        <v>2260</v>
      </c>
      <c r="B3359" t="s">
        <v>2261</v>
      </c>
      <c r="C3359" t="s">
        <v>241</v>
      </c>
      <c r="D3359" t="s">
        <v>1707</v>
      </c>
      <c r="E3359" t="s">
        <v>558</v>
      </c>
      <c r="F3359" t="s">
        <v>1068</v>
      </c>
      <c r="G3359" t="s">
        <v>1085</v>
      </c>
      <c r="H3359">
        <v>-3.9150504549524297E-2</v>
      </c>
      <c r="I3359" t="s">
        <v>1086</v>
      </c>
      <c r="J3359">
        <v>2.54</v>
      </c>
    </row>
    <row r="3360" spans="1:10" hidden="1">
      <c r="A3360" t="s">
        <v>2260</v>
      </c>
      <c r="B3360" t="s">
        <v>2261</v>
      </c>
      <c r="C3360" t="s">
        <v>241</v>
      </c>
      <c r="D3360" t="s">
        <v>1707</v>
      </c>
      <c r="E3360" t="s">
        <v>558</v>
      </c>
      <c r="F3360" t="s">
        <v>1068</v>
      </c>
      <c r="G3360" t="s">
        <v>1087</v>
      </c>
      <c r="H3360" s="170">
        <v>-1.761850118758E-5</v>
      </c>
      <c r="I3360" t="s">
        <v>1088</v>
      </c>
      <c r="J3360">
        <v>2.54</v>
      </c>
    </row>
    <row r="3361" spans="1:10" hidden="1">
      <c r="A3361" t="s">
        <v>2260</v>
      </c>
      <c r="B3361" t="s">
        <v>2261</v>
      </c>
      <c r="C3361" t="s">
        <v>241</v>
      </c>
      <c r="D3361" t="s">
        <v>1707</v>
      </c>
      <c r="E3361" t="s">
        <v>558</v>
      </c>
      <c r="F3361" t="s">
        <v>1068</v>
      </c>
      <c r="G3361" t="s">
        <v>1089</v>
      </c>
      <c r="H3361">
        <v>-1.02973191993165E-2</v>
      </c>
      <c r="I3361" t="s">
        <v>1090</v>
      </c>
      <c r="J3361">
        <v>2.54</v>
      </c>
    </row>
    <row r="3362" spans="1:10" hidden="1">
      <c r="A3362" t="s">
        <v>2263</v>
      </c>
      <c r="B3362" s="170" t="s">
        <v>2264</v>
      </c>
      <c r="C3362" t="s">
        <v>241</v>
      </c>
      <c r="D3362" t="s">
        <v>1707</v>
      </c>
      <c r="E3362" t="s">
        <v>553</v>
      </c>
      <c r="F3362" t="s">
        <v>1068</v>
      </c>
      <c r="G3362" t="s">
        <v>1069</v>
      </c>
      <c r="H3362">
        <v>-0.40703224592672299</v>
      </c>
      <c r="I3362" t="s">
        <v>1070</v>
      </c>
      <c r="J3362">
        <v>2.5499999999999998</v>
      </c>
    </row>
    <row r="3363" spans="1:10" hidden="1">
      <c r="A3363" t="s">
        <v>2263</v>
      </c>
      <c r="B3363" s="170" t="s">
        <v>2264</v>
      </c>
      <c r="C3363" t="s">
        <v>241</v>
      </c>
      <c r="D3363" t="s">
        <v>1707</v>
      </c>
      <c r="E3363" t="s">
        <v>553</v>
      </c>
      <c r="F3363" t="s">
        <v>1068</v>
      </c>
      <c r="G3363" t="s">
        <v>1071</v>
      </c>
      <c r="H3363" s="170">
        <v>-8.9662738303161999E-10</v>
      </c>
      <c r="I3363" t="s">
        <v>1072</v>
      </c>
      <c r="J3363">
        <v>2.5499999999999998</v>
      </c>
    </row>
    <row r="3364" spans="1:10" hidden="1">
      <c r="A3364" t="s">
        <v>2263</v>
      </c>
      <c r="B3364" s="170" t="s">
        <v>2264</v>
      </c>
      <c r="C3364" t="s">
        <v>241</v>
      </c>
      <c r="D3364" t="s">
        <v>1707</v>
      </c>
      <c r="E3364" t="s">
        <v>553</v>
      </c>
      <c r="F3364" t="s">
        <v>1068</v>
      </c>
      <c r="G3364" t="s">
        <v>1073</v>
      </c>
      <c r="H3364" s="170">
        <v>-1.6275594931926999E-7</v>
      </c>
      <c r="I3364" t="s">
        <v>1074</v>
      </c>
      <c r="J3364">
        <v>2.5499999999999998</v>
      </c>
    </row>
    <row r="3365" spans="1:10" hidden="1">
      <c r="A3365" t="s">
        <v>2263</v>
      </c>
      <c r="B3365" s="170" t="s">
        <v>2264</v>
      </c>
      <c r="C3365" t="s">
        <v>241</v>
      </c>
      <c r="D3365" t="s">
        <v>1707</v>
      </c>
      <c r="E3365" t="s">
        <v>553</v>
      </c>
      <c r="F3365" t="s">
        <v>1068</v>
      </c>
      <c r="G3365" t="s">
        <v>1075</v>
      </c>
      <c r="H3365">
        <v>2.1846198707005699E-3</v>
      </c>
      <c r="I3365" t="s">
        <v>1077</v>
      </c>
      <c r="J3365">
        <v>2.5499999999999998</v>
      </c>
    </row>
    <row r="3366" spans="1:10" hidden="1">
      <c r="A3366" t="s">
        <v>2263</v>
      </c>
      <c r="B3366" s="170" t="s">
        <v>2264</v>
      </c>
      <c r="C3366" t="s">
        <v>241</v>
      </c>
      <c r="D3366" t="s">
        <v>1707</v>
      </c>
      <c r="E3366" t="s">
        <v>553</v>
      </c>
      <c r="F3366" t="s">
        <v>1068</v>
      </c>
      <c r="G3366" t="s">
        <v>1078</v>
      </c>
      <c r="H3366">
        <v>-1.74425976433385</v>
      </c>
      <c r="I3366" t="s">
        <v>1079</v>
      </c>
      <c r="J3366">
        <v>2.5499999999999998</v>
      </c>
    </row>
    <row r="3367" spans="1:10" hidden="1">
      <c r="A3367" t="s">
        <v>2263</v>
      </c>
      <c r="B3367" s="170" t="s">
        <v>2264</v>
      </c>
      <c r="C3367" t="s">
        <v>241</v>
      </c>
      <c r="D3367" t="s">
        <v>1707</v>
      </c>
      <c r="E3367" t="s">
        <v>553</v>
      </c>
      <c r="F3367" t="s">
        <v>1068</v>
      </c>
      <c r="G3367" t="s">
        <v>1080</v>
      </c>
      <c r="H3367" s="171" t="s">
        <v>2265</v>
      </c>
      <c r="I3367" t="s">
        <v>1082</v>
      </c>
      <c r="J3367">
        <v>2.5499999999999998</v>
      </c>
    </row>
    <row r="3368" spans="1:10" hidden="1">
      <c r="A3368" t="s">
        <v>2263</v>
      </c>
      <c r="B3368" s="170" t="s">
        <v>2264</v>
      </c>
      <c r="C3368" t="s">
        <v>241</v>
      </c>
      <c r="D3368" t="s">
        <v>1707</v>
      </c>
      <c r="E3368" t="s">
        <v>553</v>
      </c>
      <c r="F3368" t="s">
        <v>1068</v>
      </c>
      <c r="G3368" t="s">
        <v>1083</v>
      </c>
      <c r="H3368">
        <v>-1.3933597028644401E-3</v>
      </c>
      <c r="I3368" t="s">
        <v>1084</v>
      </c>
      <c r="J3368">
        <v>2.5499999999999998</v>
      </c>
    </row>
    <row r="3369" spans="1:10" hidden="1">
      <c r="A3369" t="s">
        <v>2263</v>
      </c>
      <c r="B3369" s="170" t="s">
        <v>2264</v>
      </c>
      <c r="C3369" t="s">
        <v>241</v>
      </c>
      <c r="D3369" t="s">
        <v>1707</v>
      </c>
      <c r="E3369" t="s">
        <v>553</v>
      </c>
      <c r="F3369" t="s">
        <v>1068</v>
      </c>
      <c r="G3369" t="s">
        <v>1085</v>
      </c>
      <c r="H3369">
        <v>-3.9150524287883397E-2</v>
      </c>
      <c r="I3369" t="s">
        <v>1086</v>
      </c>
      <c r="J3369">
        <v>2.5499999999999998</v>
      </c>
    </row>
    <row r="3370" spans="1:10" hidden="1">
      <c r="A3370" t="s">
        <v>2263</v>
      </c>
      <c r="B3370" s="170" t="s">
        <v>2264</v>
      </c>
      <c r="C3370" t="s">
        <v>241</v>
      </c>
      <c r="D3370" t="s">
        <v>1707</v>
      </c>
      <c r="E3370" t="s">
        <v>553</v>
      </c>
      <c r="F3370" t="s">
        <v>1068</v>
      </c>
      <c r="G3370" t="s">
        <v>1087</v>
      </c>
      <c r="H3370" s="170">
        <v>-1.7618474548083398E-5</v>
      </c>
      <c r="I3370" t="s">
        <v>1088</v>
      </c>
      <c r="J3370">
        <v>2.5499999999999998</v>
      </c>
    </row>
    <row r="3371" spans="1:10" hidden="1">
      <c r="A3371" t="s">
        <v>2263</v>
      </c>
      <c r="B3371" s="170" t="s">
        <v>2264</v>
      </c>
      <c r="C3371" t="s">
        <v>241</v>
      </c>
      <c r="D3371" t="s">
        <v>1707</v>
      </c>
      <c r="E3371" t="s">
        <v>553</v>
      </c>
      <c r="F3371" t="s">
        <v>1068</v>
      </c>
      <c r="G3371" t="s">
        <v>1089</v>
      </c>
      <c r="H3371">
        <v>-1.02973239950848E-2</v>
      </c>
      <c r="I3371" t="s">
        <v>1090</v>
      </c>
      <c r="J3371">
        <v>2.5499999999999998</v>
      </c>
    </row>
    <row r="3372" spans="1:10" hidden="1">
      <c r="A3372" t="s">
        <v>2266</v>
      </c>
      <c r="B3372" t="s">
        <v>2267</v>
      </c>
      <c r="C3372" t="s">
        <v>241</v>
      </c>
      <c r="D3372" t="s">
        <v>1707</v>
      </c>
      <c r="E3372" t="s">
        <v>556</v>
      </c>
      <c r="F3372" t="s">
        <v>1068</v>
      </c>
      <c r="G3372" t="s">
        <v>1069</v>
      </c>
      <c r="H3372">
        <v>-0.40686142042012602</v>
      </c>
      <c r="I3372" t="s">
        <v>1070</v>
      </c>
      <c r="J3372">
        <v>2.04</v>
      </c>
    </row>
    <row r="3373" spans="1:10" hidden="1">
      <c r="A3373" t="s">
        <v>2266</v>
      </c>
      <c r="B3373" t="s">
        <v>2267</v>
      </c>
      <c r="C3373" t="s">
        <v>241</v>
      </c>
      <c r="D3373" t="s">
        <v>1707</v>
      </c>
      <c r="E3373" t="s">
        <v>556</v>
      </c>
      <c r="F3373" t="s">
        <v>1068</v>
      </c>
      <c r="G3373" t="s">
        <v>1071</v>
      </c>
      <c r="H3373" s="170">
        <v>-8.9637637649020903E-10</v>
      </c>
      <c r="I3373" t="s">
        <v>1072</v>
      </c>
      <c r="J3373">
        <v>2.04</v>
      </c>
    </row>
    <row r="3374" spans="1:10" hidden="1">
      <c r="A3374" t="s">
        <v>2266</v>
      </c>
      <c r="B3374" t="s">
        <v>2267</v>
      </c>
      <c r="C3374" t="s">
        <v>241</v>
      </c>
      <c r="D3374" t="s">
        <v>1707</v>
      </c>
      <c r="E3374" t="s">
        <v>556</v>
      </c>
      <c r="F3374" t="s">
        <v>1068</v>
      </c>
      <c r="G3374" t="s">
        <v>1073</v>
      </c>
      <c r="H3374" s="170">
        <v>-1.6269508392327999E-7</v>
      </c>
      <c r="I3374" t="s">
        <v>1074</v>
      </c>
      <c r="J3374">
        <v>2.04</v>
      </c>
    </row>
    <row r="3375" spans="1:10" hidden="1">
      <c r="A3375" t="s">
        <v>2266</v>
      </c>
      <c r="B3375" t="s">
        <v>2267</v>
      </c>
      <c r="C3375" t="s">
        <v>241</v>
      </c>
      <c r="D3375" t="s">
        <v>1707</v>
      </c>
      <c r="E3375" t="s">
        <v>556</v>
      </c>
      <c r="F3375" t="s">
        <v>1068</v>
      </c>
      <c r="G3375" t="s">
        <v>1075</v>
      </c>
      <c r="H3375">
        <v>2.19288739256643E-3</v>
      </c>
      <c r="I3375" t="s">
        <v>1077</v>
      </c>
      <c r="J3375">
        <v>2.04</v>
      </c>
    </row>
    <row r="3376" spans="1:10" hidden="1">
      <c r="A3376" t="s">
        <v>2266</v>
      </c>
      <c r="B3376" t="s">
        <v>2267</v>
      </c>
      <c r="C3376" t="s">
        <v>241</v>
      </c>
      <c r="D3376" t="s">
        <v>1707</v>
      </c>
      <c r="E3376" t="s">
        <v>556</v>
      </c>
      <c r="F3376" t="s">
        <v>1068</v>
      </c>
      <c r="G3376" t="s">
        <v>1078</v>
      </c>
      <c r="H3376">
        <v>-1.7428299748564999</v>
      </c>
      <c r="I3376" t="s">
        <v>1079</v>
      </c>
      <c r="J3376">
        <v>2.04</v>
      </c>
    </row>
    <row r="3377" spans="1:10" hidden="1">
      <c r="A3377" t="s">
        <v>2266</v>
      </c>
      <c r="B3377" t="s">
        <v>2267</v>
      </c>
      <c r="C3377" t="s">
        <v>241</v>
      </c>
      <c r="D3377" t="s">
        <v>1707</v>
      </c>
      <c r="E3377" t="s">
        <v>556</v>
      </c>
      <c r="F3377" t="s">
        <v>1068</v>
      </c>
      <c r="G3377" t="s">
        <v>1080</v>
      </c>
      <c r="H3377" s="171" t="s">
        <v>2268</v>
      </c>
      <c r="I3377" t="s">
        <v>1082</v>
      </c>
      <c r="J3377">
        <v>2.04</v>
      </c>
    </row>
    <row r="3378" spans="1:10" hidden="1">
      <c r="A3378" t="s">
        <v>2266</v>
      </c>
      <c r="B3378" t="s">
        <v>2267</v>
      </c>
      <c r="C3378" t="s">
        <v>241</v>
      </c>
      <c r="D3378" t="s">
        <v>1707</v>
      </c>
      <c r="E3378" t="s">
        <v>556</v>
      </c>
      <c r="F3378" t="s">
        <v>1068</v>
      </c>
      <c r="G3378" t="s">
        <v>1083</v>
      </c>
      <c r="H3378">
        <v>-1.3933337364256E-3</v>
      </c>
      <c r="I3378" t="s">
        <v>1084</v>
      </c>
      <c r="J3378">
        <v>2.04</v>
      </c>
    </row>
    <row r="3379" spans="1:10" hidden="1">
      <c r="A3379" t="s">
        <v>2266</v>
      </c>
      <c r="B3379" t="s">
        <v>2267</v>
      </c>
      <c r="C3379" t="s">
        <v>241</v>
      </c>
      <c r="D3379" t="s">
        <v>1707</v>
      </c>
      <c r="E3379" t="s">
        <v>556</v>
      </c>
      <c r="F3379" t="s">
        <v>1068</v>
      </c>
      <c r="G3379" t="s">
        <v>1085</v>
      </c>
      <c r="H3379">
        <v>-3.9150215732114899E-2</v>
      </c>
      <c r="I3379" t="s">
        <v>1086</v>
      </c>
      <c r="J3379">
        <v>2.04</v>
      </c>
    </row>
    <row r="3380" spans="1:10" hidden="1">
      <c r="A3380" t="s">
        <v>2266</v>
      </c>
      <c r="B3380" t="s">
        <v>2267</v>
      </c>
      <c r="C3380" t="s">
        <v>241</v>
      </c>
      <c r="D3380" t="s">
        <v>1707</v>
      </c>
      <c r="E3380" t="s">
        <v>556</v>
      </c>
      <c r="F3380" t="s">
        <v>1068</v>
      </c>
      <c r="G3380" t="s">
        <v>1087</v>
      </c>
      <c r="H3380" s="170">
        <v>-1.7618332926215201E-5</v>
      </c>
      <c r="I3380" t="s">
        <v>1088</v>
      </c>
      <c r="J3380">
        <v>2.04</v>
      </c>
    </row>
    <row r="3381" spans="1:10" hidden="1">
      <c r="A3381" t="s">
        <v>2266</v>
      </c>
      <c r="B3381" t="s">
        <v>2267</v>
      </c>
      <c r="C3381" t="s">
        <v>241</v>
      </c>
      <c r="D3381" t="s">
        <v>1707</v>
      </c>
      <c r="E3381" t="s">
        <v>556</v>
      </c>
      <c r="F3381" t="s">
        <v>1068</v>
      </c>
      <c r="G3381" t="s">
        <v>1089</v>
      </c>
      <c r="H3381">
        <v>-1.02972634562632E-2</v>
      </c>
      <c r="I3381" t="s">
        <v>1090</v>
      </c>
      <c r="J3381">
        <v>2.04</v>
      </c>
    </row>
    <row r="3382" spans="1:10" hidden="1">
      <c r="A3382" t="s">
        <v>2269</v>
      </c>
      <c r="B3382" t="s">
        <v>2270</v>
      </c>
      <c r="C3382" t="s">
        <v>241</v>
      </c>
      <c r="D3382" t="s">
        <v>1707</v>
      </c>
      <c r="E3382" t="s">
        <v>557</v>
      </c>
      <c r="F3382" t="s">
        <v>1068</v>
      </c>
      <c r="G3382" t="s">
        <v>1069</v>
      </c>
      <c r="H3382">
        <v>-0.40696016832935999</v>
      </c>
      <c r="I3382" t="s">
        <v>1070</v>
      </c>
      <c r="J3382">
        <v>2.54</v>
      </c>
    </row>
    <row r="3383" spans="1:10" hidden="1">
      <c r="A3383" t="s">
        <v>2269</v>
      </c>
      <c r="B3383" t="s">
        <v>2270</v>
      </c>
      <c r="C3383" t="s">
        <v>241</v>
      </c>
      <c r="D3383" t="s">
        <v>1707</v>
      </c>
      <c r="E3383" t="s">
        <v>557</v>
      </c>
      <c r="F3383" t="s">
        <v>1068</v>
      </c>
      <c r="G3383" t="s">
        <v>1071</v>
      </c>
      <c r="H3383" s="170">
        <v>-8.9652541491202195E-10</v>
      </c>
      <c r="I3383" t="s">
        <v>1072</v>
      </c>
      <c r="J3383">
        <v>2.54</v>
      </c>
    </row>
    <row r="3384" spans="1:10" hidden="1">
      <c r="A3384" t="s">
        <v>2269</v>
      </c>
      <c r="B3384" t="s">
        <v>2270</v>
      </c>
      <c r="C3384" t="s">
        <v>241</v>
      </c>
      <c r="D3384" t="s">
        <v>1707</v>
      </c>
      <c r="E3384" t="s">
        <v>557</v>
      </c>
      <c r="F3384" t="s">
        <v>1068</v>
      </c>
      <c r="G3384" t="s">
        <v>1073</v>
      </c>
      <c r="H3384" s="170">
        <v>-1.62730239297795E-7</v>
      </c>
      <c r="I3384" t="s">
        <v>1074</v>
      </c>
      <c r="J3384">
        <v>2.54</v>
      </c>
    </row>
    <row r="3385" spans="1:10" hidden="1">
      <c r="A3385" t="s">
        <v>2269</v>
      </c>
      <c r="B3385" t="s">
        <v>2270</v>
      </c>
      <c r="C3385" t="s">
        <v>241</v>
      </c>
      <c r="D3385" t="s">
        <v>1707</v>
      </c>
      <c r="E3385" t="s">
        <v>557</v>
      </c>
      <c r="F3385" t="s">
        <v>1068</v>
      </c>
      <c r="G3385" t="s">
        <v>1075</v>
      </c>
      <c r="H3385">
        <v>2.18612536260481E-3</v>
      </c>
      <c r="I3385" t="s">
        <v>1077</v>
      </c>
      <c r="J3385">
        <v>2.54</v>
      </c>
    </row>
    <row r="3386" spans="1:10" hidden="1">
      <c r="A3386" t="s">
        <v>2269</v>
      </c>
      <c r="B3386" t="s">
        <v>2270</v>
      </c>
      <c r="C3386" t="s">
        <v>241</v>
      </c>
      <c r="D3386" t="s">
        <v>1707</v>
      </c>
      <c r="E3386" t="s">
        <v>557</v>
      </c>
      <c r="F3386" t="s">
        <v>1068</v>
      </c>
      <c r="G3386" t="s">
        <v>1078</v>
      </c>
      <c r="H3386">
        <v>-1.74448839317378</v>
      </c>
      <c r="I3386" t="s">
        <v>1079</v>
      </c>
      <c r="J3386">
        <v>2.54</v>
      </c>
    </row>
    <row r="3387" spans="1:10" hidden="1">
      <c r="A3387" t="s">
        <v>2269</v>
      </c>
      <c r="B3387" t="s">
        <v>2270</v>
      </c>
      <c r="C3387" t="s">
        <v>241</v>
      </c>
      <c r="D3387" t="s">
        <v>1707</v>
      </c>
      <c r="E3387" t="s">
        <v>557</v>
      </c>
      <c r="F3387" t="s">
        <v>1068</v>
      </c>
      <c r="G3387" t="s">
        <v>1080</v>
      </c>
      <c r="H3387" s="171" t="s">
        <v>2271</v>
      </c>
      <c r="I3387" t="s">
        <v>1082</v>
      </c>
      <c r="J3387">
        <v>2.54</v>
      </c>
    </row>
    <row r="3388" spans="1:10" hidden="1">
      <c r="A3388" t="s">
        <v>2269</v>
      </c>
      <c r="B3388" t="s">
        <v>2270</v>
      </c>
      <c r="C3388" t="s">
        <v>241</v>
      </c>
      <c r="D3388" t="s">
        <v>1707</v>
      </c>
      <c r="E3388" t="s">
        <v>557</v>
      </c>
      <c r="F3388" t="s">
        <v>1068</v>
      </c>
      <c r="G3388" t="s">
        <v>1083</v>
      </c>
      <c r="H3388">
        <v>-1.39334867094744E-3</v>
      </c>
      <c r="I3388" t="s">
        <v>1084</v>
      </c>
      <c r="J3388">
        <v>2.54</v>
      </c>
    </row>
    <row r="3389" spans="1:10" hidden="1">
      <c r="A3389" t="s">
        <v>2269</v>
      </c>
      <c r="B3389" t="s">
        <v>2270</v>
      </c>
      <c r="C3389" t="s">
        <v>241</v>
      </c>
      <c r="D3389" t="s">
        <v>1707</v>
      </c>
      <c r="E3389" t="s">
        <v>557</v>
      </c>
      <c r="F3389" t="s">
        <v>1068</v>
      </c>
      <c r="G3389" t="s">
        <v>1085</v>
      </c>
      <c r="H3389">
        <v>-3.91504037595524E-2</v>
      </c>
      <c r="I3389" t="s">
        <v>1086</v>
      </c>
      <c r="J3389">
        <v>2.54</v>
      </c>
    </row>
    <row r="3390" spans="1:10" hidden="1">
      <c r="A3390" t="s">
        <v>2269</v>
      </c>
      <c r="B3390" t="s">
        <v>2270</v>
      </c>
      <c r="C3390" t="s">
        <v>241</v>
      </c>
      <c r="D3390" t="s">
        <v>1707</v>
      </c>
      <c r="E3390" t="s">
        <v>557</v>
      </c>
      <c r="F3390" t="s">
        <v>1068</v>
      </c>
      <c r="G3390" t="s">
        <v>1087</v>
      </c>
      <c r="H3390" s="170">
        <v>-1.7618452545879402E-5</v>
      </c>
      <c r="I3390" t="s">
        <v>1088</v>
      </c>
      <c r="J3390">
        <v>2.54</v>
      </c>
    </row>
    <row r="3391" spans="1:10" hidden="1">
      <c r="A3391" t="s">
        <v>2269</v>
      </c>
      <c r="B3391" t="s">
        <v>2270</v>
      </c>
      <c r="C3391" t="s">
        <v>241</v>
      </c>
      <c r="D3391" t="s">
        <v>1707</v>
      </c>
      <c r="E3391" t="s">
        <v>557</v>
      </c>
      <c r="F3391" t="s">
        <v>1068</v>
      </c>
      <c r="G3391" t="s">
        <v>1089</v>
      </c>
      <c r="H3391">
        <v>-1.02972984065444E-2</v>
      </c>
      <c r="I3391" t="s">
        <v>1090</v>
      </c>
      <c r="J3391">
        <v>2.54</v>
      </c>
    </row>
    <row r="3392" spans="1:10" hidden="1">
      <c r="A3392" t="s">
        <v>2272</v>
      </c>
      <c r="B3392" t="s">
        <v>2273</v>
      </c>
      <c r="C3392" t="s">
        <v>241</v>
      </c>
      <c r="D3392" t="s">
        <v>1707</v>
      </c>
      <c r="E3392" t="s">
        <v>559</v>
      </c>
      <c r="F3392" t="s">
        <v>1068</v>
      </c>
      <c r="G3392" t="s">
        <v>1069</v>
      </c>
      <c r="H3392">
        <v>-0.40691220128965599</v>
      </c>
      <c r="I3392" t="s">
        <v>1070</v>
      </c>
      <c r="J3392">
        <v>2.0299999999999998</v>
      </c>
    </row>
    <row r="3393" spans="1:10" hidden="1">
      <c r="A3393" t="s">
        <v>2272</v>
      </c>
      <c r="B3393" t="s">
        <v>2273</v>
      </c>
      <c r="C3393" t="s">
        <v>241</v>
      </c>
      <c r="D3393" t="s">
        <v>1707</v>
      </c>
      <c r="E3393" t="s">
        <v>559</v>
      </c>
      <c r="F3393" t="s">
        <v>1068</v>
      </c>
      <c r="G3393" t="s">
        <v>1071</v>
      </c>
      <c r="H3393" s="170">
        <v>-8.9645559778994201E-10</v>
      </c>
      <c r="I3393" t="s">
        <v>1072</v>
      </c>
      <c r="J3393">
        <v>2.0299999999999998</v>
      </c>
    </row>
    <row r="3394" spans="1:10" hidden="1">
      <c r="A3394" t="s">
        <v>2272</v>
      </c>
      <c r="B3394" t="s">
        <v>2273</v>
      </c>
      <c r="C3394" t="s">
        <v>241</v>
      </c>
      <c r="D3394" t="s">
        <v>1707</v>
      </c>
      <c r="E3394" t="s">
        <v>559</v>
      </c>
      <c r="F3394" t="s">
        <v>1068</v>
      </c>
      <c r="G3394" t="s">
        <v>1073</v>
      </c>
      <c r="H3394" s="170">
        <v>-1.6271330908432501E-7</v>
      </c>
      <c r="I3394" t="s">
        <v>1074</v>
      </c>
      <c r="J3394">
        <v>2.0299999999999998</v>
      </c>
    </row>
    <row r="3395" spans="1:10" hidden="1">
      <c r="A3395" t="s">
        <v>2272</v>
      </c>
      <c r="B3395" t="s">
        <v>2273</v>
      </c>
      <c r="C3395" t="s">
        <v>241</v>
      </c>
      <c r="D3395" t="s">
        <v>1707</v>
      </c>
      <c r="E3395" t="s">
        <v>559</v>
      </c>
      <c r="F3395" t="s">
        <v>1068</v>
      </c>
      <c r="G3395" t="s">
        <v>1075</v>
      </c>
      <c r="H3395">
        <v>2.1884146099142099E-3</v>
      </c>
      <c r="I3395" t="s">
        <v>1077</v>
      </c>
      <c r="J3395">
        <v>2.0299999999999998</v>
      </c>
    </row>
    <row r="3396" spans="1:10" hidden="1">
      <c r="A3396" t="s">
        <v>2272</v>
      </c>
      <c r="B3396" t="s">
        <v>2273</v>
      </c>
      <c r="C3396" t="s">
        <v>241</v>
      </c>
      <c r="D3396" t="s">
        <v>1707</v>
      </c>
      <c r="E3396" t="s">
        <v>559</v>
      </c>
      <c r="F3396" t="s">
        <v>1068</v>
      </c>
      <c r="G3396" t="s">
        <v>1078</v>
      </c>
      <c r="H3396">
        <v>-1.74409566517263</v>
      </c>
      <c r="I3396" t="s">
        <v>1079</v>
      </c>
      <c r="J3396">
        <v>2.0299999999999998</v>
      </c>
    </row>
    <row r="3397" spans="1:10" hidden="1">
      <c r="A3397" t="s">
        <v>2272</v>
      </c>
      <c r="B3397" t="s">
        <v>2273</v>
      </c>
      <c r="C3397" t="s">
        <v>241</v>
      </c>
      <c r="D3397" t="s">
        <v>1707</v>
      </c>
      <c r="E3397" t="s">
        <v>559</v>
      </c>
      <c r="F3397" t="s">
        <v>1068</v>
      </c>
      <c r="G3397" t="s">
        <v>1080</v>
      </c>
      <c r="H3397" s="171" t="s">
        <v>2274</v>
      </c>
      <c r="I3397" t="s">
        <v>1082</v>
      </c>
      <c r="J3397">
        <v>2.0299999999999998</v>
      </c>
    </row>
    <row r="3398" spans="1:10" hidden="1">
      <c r="A3398" t="s">
        <v>2272</v>
      </c>
      <c r="B3398" t="s">
        <v>2273</v>
      </c>
      <c r="C3398" t="s">
        <v>241</v>
      </c>
      <c r="D3398" t="s">
        <v>1707</v>
      </c>
      <c r="E3398" t="s">
        <v>559</v>
      </c>
      <c r="F3398" t="s">
        <v>1068</v>
      </c>
      <c r="G3398" t="s">
        <v>1083</v>
      </c>
      <c r="H3398">
        <v>-1.39334145600192E-3</v>
      </c>
      <c r="I3398" t="s">
        <v>1084</v>
      </c>
      <c r="J3398">
        <v>2.0299999999999998</v>
      </c>
    </row>
    <row r="3399" spans="1:10" hidden="1">
      <c r="A3399" t="s">
        <v>2272</v>
      </c>
      <c r="B3399" t="s">
        <v>2273</v>
      </c>
      <c r="C3399" t="s">
        <v>241</v>
      </c>
      <c r="D3399" t="s">
        <v>1707</v>
      </c>
      <c r="E3399" t="s">
        <v>559</v>
      </c>
      <c r="F3399" t="s">
        <v>1068</v>
      </c>
      <c r="G3399" t="s">
        <v>1085</v>
      </c>
      <c r="H3399">
        <v>-3.9150318061303598E-2</v>
      </c>
      <c r="I3399" t="s">
        <v>1086</v>
      </c>
      <c r="J3399">
        <v>2.0299999999999998</v>
      </c>
    </row>
    <row r="3400" spans="1:10" hidden="1">
      <c r="A3400" t="s">
        <v>2272</v>
      </c>
      <c r="B3400" t="s">
        <v>2273</v>
      </c>
      <c r="C3400" t="s">
        <v>241</v>
      </c>
      <c r="D3400" t="s">
        <v>1707</v>
      </c>
      <c r="E3400" t="s">
        <v>559</v>
      </c>
      <c r="F3400" t="s">
        <v>1068</v>
      </c>
      <c r="G3400" t="s">
        <v>1087</v>
      </c>
      <c r="H3400" s="170">
        <v>-1.76183750221944E-5</v>
      </c>
      <c r="I3400" t="s">
        <v>1088</v>
      </c>
      <c r="J3400">
        <v>2.0299999999999998</v>
      </c>
    </row>
    <row r="3401" spans="1:10" hidden="1">
      <c r="A3401" t="s">
        <v>2272</v>
      </c>
      <c r="B3401" t="s">
        <v>2273</v>
      </c>
      <c r="C3401" t="s">
        <v>241</v>
      </c>
      <c r="D3401" t="s">
        <v>1707</v>
      </c>
      <c r="E3401" t="s">
        <v>559</v>
      </c>
      <c r="F3401" t="s">
        <v>1068</v>
      </c>
      <c r="G3401" t="s">
        <v>1089</v>
      </c>
      <c r="H3401">
        <v>-1.02972814509487E-2</v>
      </c>
      <c r="I3401" t="s">
        <v>1090</v>
      </c>
      <c r="J3401">
        <v>2.0299999999999998</v>
      </c>
    </row>
    <row r="3402" spans="1:10" hidden="1">
      <c r="A3402" t="s">
        <v>2275</v>
      </c>
      <c r="B3402" t="s">
        <v>2276</v>
      </c>
      <c r="C3402" t="s">
        <v>241</v>
      </c>
      <c r="D3402" t="s">
        <v>1707</v>
      </c>
      <c r="E3402" t="s">
        <v>560</v>
      </c>
      <c r="F3402" t="s">
        <v>1068</v>
      </c>
      <c r="G3402" t="s">
        <v>1069</v>
      </c>
      <c r="H3402">
        <v>-0.40692887770953101</v>
      </c>
      <c r="I3402" t="s">
        <v>1070</v>
      </c>
      <c r="J3402">
        <v>2.04</v>
      </c>
    </row>
    <row r="3403" spans="1:10" hidden="1">
      <c r="A3403" t="s">
        <v>2275</v>
      </c>
      <c r="B3403" t="s">
        <v>2276</v>
      </c>
      <c r="C3403" t="s">
        <v>241</v>
      </c>
      <c r="D3403" t="s">
        <v>1707</v>
      </c>
      <c r="E3403" t="s">
        <v>560</v>
      </c>
      <c r="F3403" t="s">
        <v>1068</v>
      </c>
      <c r="G3403" t="s">
        <v>1071</v>
      </c>
      <c r="H3403" s="170">
        <v>-8.9648063767947905E-10</v>
      </c>
      <c r="I3403" t="s">
        <v>1072</v>
      </c>
      <c r="J3403">
        <v>2.04</v>
      </c>
    </row>
    <row r="3404" spans="1:10" hidden="1">
      <c r="A3404" t="s">
        <v>2275</v>
      </c>
      <c r="B3404" t="s">
        <v>2276</v>
      </c>
      <c r="C3404" t="s">
        <v>241</v>
      </c>
      <c r="D3404" t="s">
        <v>1707</v>
      </c>
      <c r="E3404" t="s">
        <v>560</v>
      </c>
      <c r="F3404" t="s">
        <v>1068</v>
      </c>
      <c r="G3404" t="s">
        <v>1073</v>
      </c>
      <c r="H3404" s="170">
        <v>-1.6271912477064499E-7</v>
      </c>
      <c r="I3404" t="s">
        <v>1074</v>
      </c>
      <c r="J3404">
        <v>2.04</v>
      </c>
    </row>
    <row r="3405" spans="1:10" hidden="1">
      <c r="A3405" t="s">
        <v>2275</v>
      </c>
      <c r="B3405" t="s">
        <v>2276</v>
      </c>
      <c r="C3405" t="s">
        <v>241</v>
      </c>
      <c r="D3405" t="s">
        <v>1707</v>
      </c>
      <c r="E3405" t="s">
        <v>560</v>
      </c>
      <c r="F3405" t="s">
        <v>1068</v>
      </c>
      <c r="G3405" t="s">
        <v>1075</v>
      </c>
      <c r="H3405">
        <v>2.1871144925414898E-3</v>
      </c>
      <c r="I3405" t="s">
        <v>1077</v>
      </c>
      <c r="J3405">
        <v>2.04</v>
      </c>
    </row>
    <row r="3406" spans="1:10" hidden="1">
      <c r="A3406" t="s">
        <v>2275</v>
      </c>
      <c r="B3406" t="s">
        <v>2276</v>
      </c>
      <c r="C3406" t="s">
        <v>241</v>
      </c>
      <c r="D3406" t="s">
        <v>1707</v>
      </c>
      <c r="E3406" t="s">
        <v>560</v>
      </c>
      <c r="F3406" t="s">
        <v>1068</v>
      </c>
      <c r="G3406" t="s">
        <v>1078</v>
      </c>
      <c r="H3406">
        <v>-1.7444456193798099</v>
      </c>
      <c r="I3406" t="s">
        <v>1079</v>
      </c>
      <c r="J3406">
        <v>2.04</v>
      </c>
    </row>
    <row r="3407" spans="1:10" hidden="1">
      <c r="A3407" t="s">
        <v>2275</v>
      </c>
      <c r="B3407" t="s">
        <v>2276</v>
      </c>
      <c r="C3407" t="s">
        <v>241</v>
      </c>
      <c r="D3407" t="s">
        <v>1707</v>
      </c>
      <c r="E3407" t="s">
        <v>560</v>
      </c>
      <c r="F3407" t="s">
        <v>1068</v>
      </c>
      <c r="G3407" t="s">
        <v>1080</v>
      </c>
      <c r="H3407" s="171" t="s">
        <v>2277</v>
      </c>
      <c r="I3407" t="s">
        <v>1082</v>
      </c>
      <c r="J3407">
        <v>2.04</v>
      </c>
    </row>
    <row r="3408" spans="1:10" hidden="1">
      <c r="A3408" t="s">
        <v>2275</v>
      </c>
      <c r="B3408" t="s">
        <v>2276</v>
      </c>
      <c r="C3408" t="s">
        <v>241</v>
      </c>
      <c r="D3408" t="s">
        <v>1707</v>
      </c>
      <c r="E3408" t="s">
        <v>560</v>
      </c>
      <c r="F3408" t="s">
        <v>1068</v>
      </c>
      <c r="G3408" t="s">
        <v>1083</v>
      </c>
      <c r="H3408">
        <v>-1.39334391475288E-3</v>
      </c>
      <c r="I3408" t="s">
        <v>1084</v>
      </c>
      <c r="J3408">
        <v>2.04</v>
      </c>
    </row>
    <row r="3409" spans="1:10" hidden="1">
      <c r="A3409" t="s">
        <v>2275</v>
      </c>
      <c r="B3409" t="s">
        <v>2276</v>
      </c>
      <c r="C3409" t="s">
        <v>241</v>
      </c>
      <c r="D3409" t="s">
        <v>1707</v>
      </c>
      <c r="E3409" t="s">
        <v>560</v>
      </c>
      <c r="F3409" t="s">
        <v>1068</v>
      </c>
      <c r="G3409" t="s">
        <v>1085</v>
      </c>
      <c r="H3409">
        <v>-3.9150350004900802E-2</v>
      </c>
      <c r="I3409" t="s">
        <v>1086</v>
      </c>
      <c r="J3409">
        <v>2.04</v>
      </c>
    </row>
    <row r="3410" spans="1:10" hidden="1">
      <c r="A3410" t="s">
        <v>2275</v>
      </c>
      <c r="B3410" t="s">
        <v>2276</v>
      </c>
      <c r="C3410" t="s">
        <v>241</v>
      </c>
      <c r="D3410" t="s">
        <v>1707</v>
      </c>
      <c r="E3410" t="s">
        <v>560</v>
      </c>
      <c r="F3410" t="s">
        <v>1068</v>
      </c>
      <c r="G3410" t="s">
        <v>1087</v>
      </c>
      <c r="H3410" s="170">
        <v>-1.7618426603639099E-5</v>
      </c>
      <c r="I3410" t="s">
        <v>1088</v>
      </c>
      <c r="J3410">
        <v>2.04</v>
      </c>
    </row>
    <row r="3411" spans="1:10" hidden="1">
      <c r="A3411" t="s">
        <v>2275</v>
      </c>
      <c r="B3411" t="s">
        <v>2276</v>
      </c>
      <c r="C3411" t="s">
        <v>241</v>
      </c>
      <c r="D3411" t="s">
        <v>1707</v>
      </c>
      <c r="E3411" t="s">
        <v>560</v>
      </c>
      <c r="F3411" t="s">
        <v>1068</v>
      </c>
      <c r="G3411" t="s">
        <v>1089</v>
      </c>
      <c r="H3411">
        <v>-1.02972873170659E-2</v>
      </c>
      <c r="I3411" t="s">
        <v>1090</v>
      </c>
      <c r="J3411">
        <v>2.04</v>
      </c>
    </row>
    <row r="3412" spans="1:10" hidden="1">
      <c r="A3412" t="s">
        <v>2278</v>
      </c>
      <c r="B3412" t="s">
        <v>2279</v>
      </c>
      <c r="C3412" t="s">
        <v>241</v>
      </c>
      <c r="D3412" t="s">
        <v>1707</v>
      </c>
      <c r="E3412" t="s">
        <v>1116</v>
      </c>
      <c r="F3412" t="s">
        <v>1068</v>
      </c>
      <c r="G3412" t="s">
        <v>1069</v>
      </c>
      <c r="H3412">
        <v>-0.40702384788917501</v>
      </c>
      <c r="I3412" t="s">
        <v>1070</v>
      </c>
      <c r="J3412">
        <v>2.04</v>
      </c>
    </row>
    <row r="3413" spans="1:10" hidden="1">
      <c r="A3413" t="s">
        <v>2278</v>
      </c>
      <c r="B3413" t="s">
        <v>2279</v>
      </c>
      <c r="C3413" t="s">
        <v>241</v>
      </c>
      <c r="D3413" t="s">
        <v>1707</v>
      </c>
      <c r="E3413" t="s">
        <v>1116</v>
      </c>
      <c r="F3413" t="s">
        <v>1068</v>
      </c>
      <c r="G3413" t="s">
        <v>1071</v>
      </c>
      <c r="H3413" s="170">
        <v>-8.9661654108693698E-10</v>
      </c>
      <c r="I3413" t="s">
        <v>1072</v>
      </c>
      <c r="J3413">
        <v>2.04</v>
      </c>
    </row>
    <row r="3414" spans="1:10" hidden="1">
      <c r="A3414" t="s">
        <v>2278</v>
      </c>
      <c r="B3414" t="s">
        <v>2279</v>
      </c>
      <c r="C3414" t="s">
        <v>241</v>
      </c>
      <c r="D3414" t="s">
        <v>1707</v>
      </c>
      <c r="E3414" t="s">
        <v>1116</v>
      </c>
      <c r="F3414" t="s">
        <v>1068</v>
      </c>
      <c r="G3414" t="s">
        <v>1073</v>
      </c>
      <c r="H3414" s="170">
        <v>-1.62752858478954E-7</v>
      </c>
      <c r="I3414" t="s">
        <v>1074</v>
      </c>
      <c r="J3414">
        <v>2.04</v>
      </c>
    </row>
    <row r="3415" spans="1:10" hidden="1">
      <c r="A3415" t="s">
        <v>2278</v>
      </c>
      <c r="B3415" t="s">
        <v>2279</v>
      </c>
      <c r="C3415" t="s">
        <v>241</v>
      </c>
      <c r="D3415" t="s">
        <v>1707</v>
      </c>
      <c r="E3415" t="s">
        <v>1116</v>
      </c>
      <c r="F3415" t="s">
        <v>1068</v>
      </c>
      <c r="G3415" t="s">
        <v>1075</v>
      </c>
      <c r="H3415">
        <v>2.1841123837046698E-3</v>
      </c>
      <c r="I3415" t="s">
        <v>1077</v>
      </c>
      <c r="J3415">
        <v>2.04</v>
      </c>
    </row>
    <row r="3416" spans="1:10" hidden="1">
      <c r="A3416" t="s">
        <v>2278</v>
      </c>
      <c r="B3416" t="s">
        <v>2279</v>
      </c>
      <c r="C3416" t="s">
        <v>241</v>
      </c>
      <c r="D3416" t="s">
        <v>1707</v>
      </c>
      <c r="E3416" t="s">
        <v>1116</v>
      </c>
      <c r="F3416" t="s">
        <v>1068</v>
      </c>
      <c r="G3416" t="s">
        <v>1078</v>
      </c>
      <c r="H3416">
        <v>-1.7445754421462201</v>
      </c>
      <c r="I3416" t="s">
        <v>1079</v>
      </c>
      <c r="J3416">
        <v>2.04</v>
      </c>
    </row>
    <row r="3417" spans="1:10" hidden="1">
      <c r="A3417" t="s">
        <v>2278</v>
      </c>
      <c r="B3417" t="s">
        <v>2279</v>
      </c>
      <c r="C3417" t="s">
        <v>241</v>
      </c>
      <c r="D3417" t="s">
        <v>1707</v>
      </c>
      <c r="E3417" t="s">
        <v>1116</v>
      </c>
      <c r="F3417" t="s">
        <v>1068</v>
      </c>
      <c r="G3417" t="s">
        <v>1080</v>
      </c>
      <c r="H3417" s="171" t="s">
        <v>2280</v>
      </c>
      <c r="I3417" t="s">
        <v>1082</v>
      </c>
      <c r="J3417">
        <v>2.04</v>
      </c>
    </row>
    <row r="3418" spans="1:10" hidden="1">
      <c r="A3418" t="s">
        <v>2278</v>
      </c>
      <c r="B3418" t="s">
        <v>2279</v>
      </c>
      <c r="C3418" t="s">
        <v>241</v>
      </c>
      <c r="D3418" t="s">
        <v>1707</v>
      </c>
      <c r="E3418" t="s">
        <v>1116</v>
      </c>
      <c r="F3418" t="s">
        <v>1068</v>
      </c>
      <c r="G3418" t="s">
        <v>1083</v>
      </c>
      <c r="H3418">
        <v>-1.3933583502816901E-3</v>
      </c>
      <c r="I3418" t="s">
        <v>1084</v>
      </c>
      <c r="J3418">
        <v>2.04</v>
      </c>
    </row>
    <row r="3419" spans="1:10" hidden="1">
      <c r="A3419" t="s">
        <v>2278</v>
      </c>
      <c r="B3419" t="s">
        <v>2279</v>
      </c>
      <c r="C3419" t="s">
        <v>241</v>
      </c>
      <c r="D3419" t="s">
        <v>1707</v>
      </c>
      <c r="E3419" t="s">
        <v>1116</v>
      </c>
      <c r="F3419" t="s">
        <v>1068</v>
      </c>
      <c r="G3419" t="s">
        <v>1085</v>
      </c>
      <c r="H3419">
        <v>-3.9150513155674402E-2</v>
      </c>
      <c r="I3419" t="s">
        <v>1086</v>
      </c>
      <c r="J3419">
        <v>2.04</v>
      </c>
    </row>
    <row r="3420" spans="1:10" hidden="1">
      <c r="A3420" t="s">
        <v>2278</v>
      </c>
      <c r="B3420" t="s">
        <v>2279</v>
      </c>
      <c r="C3420" t="s">
        <v>241</v>
      </c>
      <c r="D3420" t="s">
        <v>1707</v>
      </c>
      <c r="E3420" t="s">
        <v>1116</v>
      </c>
      <c r="F3420" t="s">
        <v>1068</v>
      </c>
      <c r="G3420" t="s">
        <v>1087</v>
      </c>
      <c r="H3420" s="170">
        <v>-1.76185053409473E-5</v>
      </c>
      <c r="I3420" t="s">
        <v>1088</v>
      </c>
      <c r="J3420">
        <v>2.04</v>
      </c>
    </row>
    <row r="3421" spans="1:10" hidden="1">
      <c r="A3421" t="s">
        <v>2278</v>
      </c>
      <c r="B3421" t="s">
        <v>2279</v>
      </c>
      <c r="C3421" t="s">
        <v>241</v>
      </c>
      <c r="D3421" t="s">
        <v>1707</v>
      </c>
      <c r="E3421" t="s">
        <v>1116</v>
      </c>
      <c r="F3421" t="s">
        <v>1068</v>
      </c>
      <c r="G3421" t="s">
        <v>1089</v>
      </c>
      <c r="H3421">
        <v>-1.02973209747483E-2</v>
      </c>
      <c r="I3421" t="s">
        <v>1090</v>
      </c>
      <c r="J3421">
        <v>2.04</v>
      </c>
    </row>
    <row r="3422" spans="1:10" hidden="1">
      <c r="A3422" t="s">
        <v>2281</v>
      </c>
      <c r="B3422" t="s">
        <v>2282</v>
      </c>
      <c r="C3422" t="s">
        <v>235</v>
      </c>
      <c r="D3422" t="s">
        <v>551</v>
      </c>
      <c r="E3422" t="s">
        <v>555</v>
      </c>
      <c r="F3422" t="s">
        <v>1068</v>
      </c>
      <c r="G3422" t="s">
        <v>1069</v>
      </c>
      <c r="H3422">
        <v>7.3478109088387006E-2</v>
      </c>
      <c r="I3422" t="s">
        <v>1070</v>
      </c>
      <c r="J3422">
        <v>10.38</v>
      </c>
    </row>
    <row r="3423" spans="1:10" hidden="1">
      <c r="A3423" t="s">
        <v>2281</v>
      </c>
      <c r="B3423" t="s">
        <v>2282</v>
      </c>
      <c r="C3423" t="s">
        <v>235</v>
      </c>
      <c r="D3423" t="s">
        <v>551</v>
      </c>
      <c r="E3423" t="s">
        <v>555</v>
      </c>
      <c r="F3423" t="s">
        <v>1068</v>
      </c>
      <c r="G3423" t="s">
        <v>1071</v>
      </c>
      <c r="H3423" s="171" t="s">
        <v>2283</v>
      </c>
      <c r="I3423" t="s">
        <v>1072</v>
      </c>
      <c r="J3423">
        <v>10.38</v>
      </c>
    </row>
    <row r="3424" spans="1:10" hidden="1">
      <c r="A3424" t="s">
        <v>2281</v>
      </c>
      <c r="B3424" t="s">
        <v>2282</v>
      </c>
      <c r="C3424" t="s">
        <v>235</v>
      </c>
      <c r="D3424" t="s">
        <v>551</v>
      </c>
      <c r="E3424" t="s">
        <v>555</v>
      </c>
      <c r="F3424" t="s">
        <v>1068</v>
      </c>
      <c r="G3424" t="s">
        <v>1073</v>
      </c>
      <c r="H3424" s="171" t="s">
        <v>2284</v>
      </c>
      <c r="I3424" t="s">
        <v>1074</v>
      </c>
      <c r="J3424">
        <v>10.38</v>
      </c>
    </row>
    <row r="3425" spans="1:10" hidden="1">
      <c r="A3425" t="s">
        <v>2281</v>
      </c>
      <c r="B3425" t="s">
        <v>2282</v>
      </c>
      <c r="C3425" t="s">
        <v>235</v>
      </c>
      <c r="D3425" t="s">
        <v>551</v>
      </c>
      <c r="E3425" t="s">
        <v>555</v>
      </c>
      <c r="F3425" t="s">
        <v>1068</v>
      </c>
      <c r="G3425" t="s">
        <v>1075</v>
      </c>
      <c r="H3425">
        <v>3.4712812463794898E-3</v>
      </c>
      <c r="I3425" t="s">
        <v>1077</v>
      </c>
      <c r="J3425">
        <v>10.38</v>
      </c>
    </row>
    <row r="3426" spans="1:10" hidden="1">
      <c r="A3426" t="s">
        <v>2281</v>
      </c>
      <c r="B3426" t="s">
        <v>2282</v>
      </c>
      <c r="C3426" t="s">
        <v>235</v>
      </c>
      <c r="D3426" t="s">
        <v>551</v>
      </c>
      <c r="E3426" t="s">
        <v>555</v>
      </c>
      <c r="F3426" t="s">
        <v>1068</v>
      </c>
      <c r="G3426" t="s">
        <v>1078</v>
      </c>
      <c r="H3426">
        <v>2.6042873003266701E-2</v>
      </c>
      <c r="I3426" t="s">
        <v>1079</v>
      </c>
      <c r="J3426">
        <v>10.38</v>
      </c>
    </row>
    <row r="3427" spans="1:10" hidden="1">
      <c r="A3427" t="s">
        <v>2281</v>
      </c>
      <c r="B3427" t="s">
        <v>2282</v>
      </c>
      <c r="C3427" t="s">
        <v>235</v>
      </c>
      <c r="D3427" t="s">
        <v>551</v>
      </c>
      <c r="E3427" t="s">
        <v>555</v>
      </c>
      <c r="F3427" t="s">
        <v>1068</v>
      </c>
      <c r="G3427" t="s">
        <v>1080</v>
      </c>
      <c r="H3427" s="171" t="s">
        <v>2285</v>
      </c>
      <c r="I3427" t="s">
        <v>1082</v>
      </c>
      <c r="J3427">
        <v>10.38</v>
      </c>
    </row>
    <row r="3428" spans="1:10" hidden="1">
      <c r="A3428" t="s">
        <v>2281</v>
      </c>
      <c r="B3428" t="s">
        <v>2282</v>
      </c>
      <c r="C3428" t="s">
        <v>235</v>
      </c>
      <c r="D3428" t="s">
        <v>551</v>
      </c>
      <c r="E3428" t="s">
        <v>555</v>
      </c>
      <c r="F3428" t="s">
        <v>1068</v>
      </c>
      <c r="G3428" t="s">
        <v>1083</v>
      </c>
      <c r="H3428" s="171" t="s">
        <v>2286</v>
      </c>
      <c r="I3428" t="s">
        <v>1084</v>
      </c>
      <c r="J3428">
        <v>10.38</v>
      </c>
    </row>
    <row r="3429" spans="1:10" hidden="1">
      <c r="A3429" t="s">
        <v>2281</v>
      </c>
      <c r="B3429" t="s">
        <v>2282</v>
      </c>
      <c r="C3429" t="s">
        <v>235</v>
      </c>
      <c r="D3429" t="s">
        <v>551</v>
      </c>
      <c r="E3429" t="s">
        <v>555</v>
      </c>
      <c r="F3429" t="s">
        <v>1068</v>
      </c>
      <c r="G3429" t="s">
        <v>1085</v>
      </c>
      <c r="H3429" s="171" t="s">
        <v>2287</v>
      </c>
      <c r="I3429" t="s">
        <v>1086</v>
      </c>
      <c r="J3429">
        <v>10.38</v>
      </c>
    </row>
    <row r="3430" spans="1:10" hidden="1">
      <c r="A3430" t="s">
        <v>2281</v>
      </c>
      <c r="B3430" t="s">
        <v>2282</v>
      </c>
      <c r="C3430" t="s">
        <v>235</v>
      </c>
      <c r="D3430" t="s">
        <v>551</v>
      </c>
      <c r="E3430" t="s">
        <v>555</v>
      </c>
      <c r="F3430" t="s">
        <v>1068</v>
      </c>
      <c r="G3430" t="s">
        <v>1087</v>
      </c>
      <c r="H3430" s="171" t="s">
        <v>2288</v>
      </c>
      <c r="I3430" t="s">
        <v>1088</v>
      </c>
      <c r="J3430">
        <v>10.38</v>
      </c>
    </row>
    <row r="3431" spans="1:10" hidden="1">
      <c r="A3431" t="s">
        <v>2281</v>
      </c>
      <c r="B3431" t="s">
        <v>2282</v>
      </c>
      <c r="C3431" t="s">
        <v>235</v>
      </c>
      <c r="D3431" t="s">
        <v>551</v>
      </c>
      <c r="E3431" t="s">
        <v>555</v>
      </c>
      <c r="F3431" t="s">
        <v>1068</v>
      </c>
      <c r="G3431" t="s">
        <v>1089</v>
      </c>
      <c r="H3431" s="171" t="s">
        <v>2289</v>
      </c>
      <c r="I3431" t="s">
        <v>1090</v>
      </c>
      <c r="J3431">
        <v>10.38</v>
      </c>
    </row>
    <row r="3432" spans="1:10" hidden="1">
      <c r="A3432" t="s">
        <v>2290</v>
      </c>
      <c r="B3432" t="s">
        <v>2291</v>
      </c>
      <c r="C3432" t="s">
        <v>235</v>
      </c>
      <c r="D3432" t="s">
        <v>551</v>
      </c>
      <c r="E3432" t="s">
        <v>558</v>
      </c>
      <c r="F3432" t="s">
        <v>1068</v>
      </c>
      <c r="G3432" t="s">
        <v>1069</v>
      </c>
      <c r="H3432">
        <v>7.3408699132862604E-2</v>
      </c>
      <c r="I3432" t="s">
        <v>1070</v>
      </c>
      <c r="J3432">
        <v>7.28</v>
      </c>
    </row>
    <row r="3433" spans="1:10" hidden="1">
      <c r="A3433" t="s">
        <v>2290</v>
      </c>
      <c r="B3433" t="s">
        <v>2291</v>
      </c>
      <c r="C3433" t="s">
        <v>235</v>
      </c>
      <c r="D3433" t="s">
        <v>551</v>
      </c>
      <c r="E3433" t="s">
        <v>558</v>
      </c>
      <c r="F3433" t="s">
        <v>1068</v>
      </c>
      <c r="G3433" t="s">
        <v>1071</v>
      </c>
      <c r="H3433" s="171" t="s">
        <v>2292</v>
      </c>
      <c r="I3433" t="s">
        <v>1072</v>
      </c>
      <c r="J3433">
        <v>7.28</v>
      </c>
    </row>
    <row r="3434" spans="1:10" hidden="1">
      <c r="A3434" t="s">
        <v>2290</v>
      </c>
      <c r="B3434" t="s">
        <v>2291</v>
      </c>
      <c r="C3434" t="s">
        <v>235</v>
      </c>
      <c r="D3434" t="s">
        <v>551</v>
      </c>
      <c r="E3434" t="s">
        <v>558</v>
      </c>
      <c r="F3434" t="s">
        <v>1068</v>
      </c>
      <c r="G3434" t="s">
        <v>1073</v>
      </c>
      <c r="H3434" s="171" t="s">
        <v>2293</v>
      </c>
      <c r="I3434" t="s">
        <v>1074</v>
      </c>
      <c r="J3434">
        <v>7.28</v>
      </c>
    </row>
    <row r="3435" spans="1:10" hidden="1">
      <c r="A3435" t="s">
        <v>2290</v>
      </c>
      <c r="B3435" t="s">
        <v>2291</v>
      </c>
      <c r="C3435" t="s">
        <v>235</v>
      </c>
      <c r="D3435" t="s">
        <v>551</v>
      </c>
      <c r="E3435" t="s">
        <v>558</v>
      </c>
      <c r="F3435" t="s">
        <v>1068</v>
      </c>
      <c r="G3435" t="s">
        <v>1075</v>
      </c>
      <c r="H3435">
        <v>3.47076519583683E-3</v>
      </c>
      <c r="I3435" t="s">
        <v>1077</v>
      </c>
      <c r="J3435">
        <v>7.28</v>
      </c>
    </row>
    <row r="3436" spans="1:10" hidden="1">
      <c r="A3436" t="s">
        <v>2290</v>
      </c>
      <c r="B3436" t="s">
        <v>2291</v>
      </c>
      <c r="C3436" t="s">
        <v>235</v>
      </c>
      <c r="D3436" t="s">
        <v>551</v>
      </c>
      <c r="E3436" t="s">
        <v>558</v>
      </c>
      <c r="F3436" t="s">
        <v>1068</v>
      </c>
      <c r="G3436" t="s">
        <v>1078</v>
      </c>
      <c r="H3436">
        <v>2.6020560809673701E-2</v>
      </c>
      <c r="I3436" t="s">
        <v>1079</v>
      </c>
      <c r="J3436">
        <v>7.28</v>
      </c>
    </row>
    <row r="3437" spans="1:10" hidden="1">
      <c r="A3437" t="s">
        <v>2290</v>
      </c>
      <c r="B3437" t="s">
        <v>2291</v>
      </c>
      <c r="C3437" t="s">
        <v>235</v>
      </c>
      <c r="D3437" t="s">
        <v>551</v>
      </c>
      <c r="E3437" t="s">
        <v>558</v>
      </c>
      <c r="F3437" t="s">
        <v>1068</v>
      </c>
      <c r="G3437" t="s">
        <v>1080</v>
      </c>
      <c r="H3437" s="171" t="s">
        <v>2294</v>
      </c>
      <c r="I3437" t="s">
        <v>1082</v>
      </c>
      <c r="J3437">
        <v>7.28</v>
      </c>
    </row>
    <row r="3438" spans="1:10" hidden="1">
      <c r="A3438" t="s">
        <v>2290</v>
      </c>
      <c r="B3438" t="s">
        <v>2291</v>
      </c>
      <c r="C3438" t="s">
        <v>235</v>
      </c>
      <c r="D3438" t="s">
        <v>551</v>
      </c>
      <c r="E3438" t="s">
        <v>558</v>
      </c>
      <c r="F3438" t="s">
        <v>1068</v>
      </c>
      <c r="G3438" t="s">
        <v>1083</v>
      </c>
      <c r="H3438" s="171" t="s">
        <v>2295</v>
      </c>
      <c r="I3438" t="s">
        <v>1084</v>
      </c>
      <c r="J3438">
        <v>7.28</v>
      </c>
    </row>
    <row r="3439" spans="1:10" hidden="1">
      <c r="A3439" t="s">
        <v>2290</v>
      </c>
      <c r="B3439" t="s">
        <v>2291</v>
      </c>
      <c r="C3439" t="s">
        <v>235</v>
      </c>
      <c r="D3439" t="s">
        <v>551</v>
      </c>
      <c r="E3439" t="s">
        <v>558</v>
      </c>
      <c r="F3439" t="s">
        <v>1068</v>
      </c>
      <c r="G3439" t="s">
        <v>1085</v>
      </c>
      <c r="H3439" s="171" t="s">
        <v>2296</v>
      </c>
      <c r="I3439" t="s">
        <v>1086</v>
      </c>
      <c r="J3439">
        <v>7.28</v>
      </c>
    </row>
    <row r="3440" spans="1:10" hidden="1">
      <c r="A3440" t="s">
        <v>2290</v>
      </c>
      <c r="B3440" t="s">
        <v>2291</v>
      </c>
      <c r="C3440" t="s">
        <v>235</v>
      </c>
      <c r="D3440" t="s">
        <v>551</v>
      </c>
      <c r="E3440" t="s">
        <v>558</v>
      </c>
      <c r="F3440" t="s">
        <v>1068</v>
      </c>
      <c r="G3440" t="s">
        <v>1087</v>
      </c>
      <c r="H3440" s="171" t="s">
        <v>2297</v>
      </c>
      <c r="I3440" t="s">
        <v>1088</v>
      </c>
      <c r="J3440">
        <v>7.28</v>
      </c>
    </row>
    <row r="3441" spans="1:10" hidden="1">
      <c r="A3441" t="s">
        <v>2290</v>
      </c>
      <c r="B3441" t="s">
        <v>2291</v>
      </c>
      <c r="C3441" t="s">
        <v>235</v>
      </c>
      <c r="D3441" t="s">
        <v>551</v>
      </c>
      <c r="E3441" t="s">
        <v>558</v>
      </c>
      <c r="F3441" t="s">
        <v>1068</v>
      </c>
      <c r="G3441" t="s">
        <v>1089</v>
      </c>
      <c r="H3441" s="171" t="s">
        <v>2298</v>
      </c>
      <c r="I3441" t="s">
        <v>1090</v>
      </c>
      <c r="J3441">
        <v>7.28</v>
      </c>
    </row>
    <row r="3442" spans="1:10" hidden="1">
      <c r="A3442" t="s">
        <v>2299</v>
      </c>
      <c r="B3442" t="s">
        <v>2300</v>
      </c>
      <c r="C3442" t="s">
        <v>235</v>
      </c>
      <c r="D3442" t="s">
        <v>551</v>
      </c>
      <c r="E3442" t="s">
        <v>553</v>
      </c>
      <c r="F3442" t="s">
        <v>1068</v>
      </c>
      <c r="G3442" t="s">
        <v>1069</v>
      </c>
      <c r="H3442">
        <v>7.3461272722678703E-2</v>
      </c>
      <c r="I3442" t="s">
        <v>1070</v>
      </c>
      <c r="J3442">
        <v>7.02</v>
      </c>
    </row>
    <row r="3443" spans="1:10" hidden="1">
      <c r="A3443" t="s">
        <v>2299</v>
      </c>
      <c r="B3443" t="s">
        <v>2300</v>
      </c>
      <c r="C3443" t="s">
        <v>235</v>
      </c>
      <c r="D3443" t="s">
        <v>551</v>
      </c>
      <c r="E3443" t="s">
        <v>553</v>
      </c>
      <c r="F3443" t="s">
        <v>1068</v>
      </c>
      <c r="G3443" t="s">
        <v>1071</v>
      </c>
      <c r="H3443" s="171" t="s">
        <v>2301</v>
      </c>
      <c r="I3443" t="s">
        <v>1072</v>
      </c>
      <c r="J3443">
        <v>7.02</v>
      </c>
    </row>
    <row r="3444" spans="1:10" hidden="1">
      <c r="A3444" t="s">
        <v>2299</v>
      </c>
      <c r="B3444" t="s">
        <v>2300</v>
      </c>
      <c r="C3444" t="s">
        <v>235</v>
      </c>
      <c r="D3444" t="s">
        <v>551</v>
      </c>
      <c r="E3444" t="s">
        <v>553</v>
      </c>
      <c r="F3444" t="s">
        <v>1068</v>
      </c>
      <c r="G3444" t="s">
        <v>1073</v>
      </c>
      <c r="H3444" s="171" t="s">
        <v>2302</v>
      </c>
      <c r="I3444" t="s">
        <v>1074</v>
      </c>
      <c r="J3444">
        <v>7.02</v>
      </c>
    </row>
    <row r="3445" spans="1:10" hidden="1">
      <c r="A3445" t="s">
        <v>2299</v>
      </c>
      <c r="B3445" t="s">
        <v>2300</v>
      </c>
      <c r="C3445" t="s">
        <v>235</v>
      </c>
      <c r="D3445" t="s">
        <v>551</v>
      </c>
      <c r="E3445" t="s">
        <v>553</v>
      </c>
      <c r="F3445" t="s">
        <v>1068</v>
      </c>
      <c r="G3445" t="s">
        <v>1075</v>
      </c>
      <c r="H3445">
        <v>3.4707490308736699E-3</v>
      </c>
      <c r="I3445" t="s">
        <v>1077</v>
      </c>
      <c r="J3445">
        <v>7.02</v>
      </c>
    </row>
    <row r="3446" spans="1:10" hidden="1">
      <c r="A3446" t="s">
        <v>2299</v>
      </c>
      <c r="B3446" t="s">
        <v>2300</v>
      </c>
      <c r="C3446" t="s">
        <v>235</v>
      </c>
      <c r="D3446" t="s">
        <v>551</v>
      </c>
      <c r="E3446" t="s">
        <v>553</v>
      </c>
      <c r="F3446" t="s">
        <v>1068</v>
      </c>
      <c r="G3446" t="s">
        <v>1078</v>
      </c>
      <c r="H3446" s="171" t="s">
        <v>2303</v>
      </c>
      <c r="I3446" t="s">
        <v>1079</v>
      </c>
      <c r="J3446">
        <v>7.02</v>
      </c>
    </row>
    <row r="3447" spans="1:10" hidden="1">
      <c r="A3447" t="s">
        <v>2299</v>
      </c>
      <c r="B3447" t="s">
        <v>2300</v>
      </c>
      <c r="C3447" t="s">
        <v>235</v>
      </c>
      <c r="D3447" t="s">
        <v>551</v>
      </c>
      <c r="E3447" t="s">
        <v>553</v>
      </c>
      <c r="F3447" t="s">
        <v>1068</v>
      </c>
      <c r="G3447" t="s">
        <v>1080</v>
      </c>
      <c r="H3447" s="171" t="s">
        <v>2304</v>
      </c>
      <c r="I3447" t="s">
        <v>1082</v>
      </c>
      <c r="J3447">
        <v>7.02</v>
      </c>
    </row>
    <row r="3448" spans="1:10" hidden="1">
      <c r="A3448" t="s">
        <v>2299</v>
      </c>
      <c r="B3448" t="s">
        <v>2300</v>
      </c>
      <c r="C3448" t="s">
        <v>235</v>
      </c>
      <c r="D3448" t="s">
        <v>551</v>
      </c>
      <c r="E3448" t="s">
        <v>553</v>
      </c>
      <c r="F3448" t="s">
        <v>1068</v>
      </c>
      <c r="G3448" t="s">
        <v>1083</v>
      </c>
      <c r="H3448" s="171" t="s">
        <v>2305</v>
      </c>
      <c r="I3448" t="s">
        <v>1084</v>
      </c>
      <c r="J3448">
        <v>7.02</v>
      </c>
    </row>
    <row r="3449" spans="1:10" hidden="1">
      <c r="A3449" t="s">
        <v>2299</v>
      </c>
      <c r="B3449" t="s">
        <v>2300</v>
      </c>
      <c r="C3449" t="s">
        <v>235</v>
      </c>
      <c r="D3449" t="s">
        <v>551</v>
      </c>
      <c r="E3449" t="s">
        <v>553</v>
      </c>
      <c r="F3449" t="s">
        <v>1068</v>
      </c>
      <c r="G3449" t="s">
        <v>1085</v>
      </c>
      <c r="H3449" s="171" t="s">
        <v>2306</v>
      </c>
      <c r="I3449" t="s">
        <v>1086</v>
      </c>
      <c r="J3449">
        <v>7.02</v>
      </c>
    </row>
    <row r="3450" spans="1:10" hidden="1">
      <c r="A3450" t="s">
        <v>2299</v>
      </c>
      <c r="B3450" t="s">
        <v>2300</v>
      </c>
      <c r="C3450" t="s">
        <v>235</v>
      </c>
      <c r="D3450" t="s">
        <v>551</v>
      </c>
      <c r="E3450" t="s">
        <v>553</v>
      </c>
      <c r="F3450" t="s">
        <v>1068</v>
      </c>
      <c r="G3450" t="s">
        <v>1087</v>
      </c>
      <c r="H3450" s="171" t="s">
        <v>2307</v>
      </c>
      <c r="I3450" t="s">
        <v>1088</v>
      </c>
      <c r="J3450">
        <v>7.02</v>
      </c>
    </row>
    <row r="3451" spans="1:10" hidden="1">
      <c r="A3451" t="s">
        <v>2299</v>
      </c>
      <c r="B3451" t="s">
        <v>2300</v>
      </c>
      <c r="C3451" t="s">
        <v>235</v>
      </c>
      <c r="D3451" t="s">
        <v>551</v>
      </c>
      <c r="E3451" t="s">
        <v>553</v>
      </c>
      <c r="F3451" t="s">
        <v>1068</v>
      </c>
      <c r="G3451" t="s">
        <v>1089</v>
      </c>
      <c r="H3451" s="171" t="s">
        <v>2308</v>
      </c>
      <c r="I3451" t="s">
        <v>1090</v>
      </c>
      <c r="J3451">
        <v>7.02</v>
      </c>
    </row>
    <row r="3452" spans="1:10" hidden="1">
      <c r="A3452" t="s">
        <v>2309</v>
      </c>
      <c r="B3452" t="s">
        <v>2310</v>
      </c>
      <c r="C3452" t="s">
        <v>235</v>
      </c>
      <c r="D3452" t="s">
        <v>551</v>
      </c>
      <c r="E3452" t="s">
        <v>556</v>
      </c>
      <c r="F3452" t="s">
        <v>1068</v>
      </c>
      <c r="G3452" t="s">
        <v>1069</v>
      </c>
      <c r="H3452">
        <v>7.3476526600525005E-2</v>
      </c>
      <c r="I3452" t="s">
        <v>1070</v>
      </c>
      <c r="J3452">
        <v>7.12</v>
      </c>
    </row>
    <row r="3453" spans="1:10" hidden="1">
      <c r="A3453" t="s">
        <v>2309</v>
      </c>
      <c r="B3453" t="s">
        <v>2310</v>
      </c>
      <c r="C3453" t="s">
        <v>235</v>
      </c>
      <c r="D3453" t="s">
        <v>551</v>
      </c>
      <c r="E3453" t="s">
        <v>556</v>
      </c>
      <c r="F3453" t="s">
        <v>1068</v>
      </c>
      <c r="G3453" t="s">
        <v>1071</v>
      </c>
      <c r="H3453" s="171" t="s">
        <v>2311</v>
      </c>
      <c r="I3453" t="s">
        <v>1072</v>
      </c>
      <c r="J3453">
        <v>7.12</v>
      </c>
    </row>
    <row r="3454" spans="1:10" hidden="1">
      <c r="A3454" t="s">
        <v>2309</v>
      </c>
      <c r="B3454" t="s">
        <v>2310</v>
      </c>
      <c r="C3454" t="s">
        <v>235</v>
      </c>
      <c r="D3454" t="s">
        <v>551</v>
      </c>
      <c r="E3454" t="s">
        <v>556</v>
      </c>
      <c r="F3454" t="s">
        <v>1068</v>
      </c>
      <c r="G3454" t="s">
        <v>1073</v>
      </c>
      <c r="H3454" s="171" t="s">
        <v>2312</v>
      </c>
      <c r="I3454" t="s">
        <v>1074</v>
      </c>
      <c r="J3454">
        <v>7.12</v>
      </c>
    </row>
    <row r="3455" spans="1:10" hidden="1">
      <c r="A3455" t="s">
        <v>2309</v>
      </c>
      <c r="B3455" t="s">
        <v>2310</v>
      </c>
      <c r="C3455" t="s">
        <v>235</v>
      </c>
      <c r="D3455" t="s">
        <v>551</v>
      </c>
      <c r="E3455" t="s">
        <v>556</v>
      </c>
      <c r="F3455" t="s">
        <v>1068</v>
      </c>
      <c r="G3455" t="s">
        <v>1075</v>
      </c>
      <c r="H3455">
        <v>3.47123122224764E-3</v>
      </c>
      <c r="I3455" t="s">
        <v>1077</v>
      </c>
      <c r="J3455">
        <v>7.12</v>
      </c>
    </row>
    <row r="3456" spans="1:10" hidden="1">
      <c r="A3456" t="s">
        <v>2309</v>
      </c>
      <c r="B3456" t="s">
        <v>2310</v>
      </c>
      <c r="C3456" t="s">
        <v>235</v>
      </c>
      <c r="D3456" t="s">
        <v>551</v>
      </c>
      <c r="E3456" t="s">
        <v>556</v>
      </c>
      <c r="F3456" t="s">
        <v>1068</v>
      </c>
      <c r="G3456" t="s">
        <v>1078</v>
      </c>
      <c r="H3456" s="171" t="s">
        <v>2313</v>
      </c>
      <c r="I3456" t="s">
        <v>1079</v>
      </c>
      <c r="J3456">
        <v>7.12</v>
      </c>
    </row>
    <row r="3457" spans="1:10" hidden="1">
      <c r="A3457" t="s">
        <v>2309</v>
      </c>
      <c r="B3457" t="s">
        <v>2310</v>
      </c>
      <c r="C3457" t="s">
        <v>235</v>
      </c>
      <c r="D3457" t="s">
        <v>551</v>
      </c>
      <c r="E3457" t="s">
        <v>556</v>
      </c>
      <c r="F3457" t="s">
        <v>1068</v>
      </c>
      <c r="G3457" t="s">
        <v>1080</v>
      </c>
      <c r="H3457" s="171" t="s">
        <v>2314</v>
      </c>
      <c r="I3457" t="s">
        <v>1082</v>
      </c>
      <c r="J3457">
        <v>7.12</v>
      </c>
    </row>
    <row r="3458" spans="1:10" hidden="1">
      <c r="A3458" t="s">
        <v>2309</v>
      </c>
      <c r="B3458" t="s">
        <v>2310</v>
      </c>
      <c r="C3458" t="s">
        <v>235</v>
      </c>
      <c r="D3458" t="s">
        <v>551</v>
      </c>
      <c r="E3458" t="s">
        <v>556</v>
      </c>
      <c r="F3458" t="s">
        <v>1068</v>
      </c>
      <c r="G3458" t="s">
        <v>1083</v>
      </c>
      <c r="H3458" s="171" t="s">
        <v>2315</v>
      </c>
      <c r="I3458" t="s">
        <v>1084</v>
      </c>
      <c r="J3458">
        <v>7.12</v>
      </c>
    </row>
    <row r="3459" spans="1:10" hidden="1">
      <c r="A3459" t="s">
        <v>2309</v>
      </c>
      <c r="B3459" t="s">
        <v>2310</v>
      </c>
      <c r="C3459" t="s">
        <v>235</v>
      </c>
      <c r="D3459" t="s">
        <v>551</v>
      </c>
      <c r="E3459" t="s">
        <v>556</v>
      </c>
      <c r="F3459" t="s">
        <v>1068</v>
      </c>
      <c r="G3459" t="s">
        <v>1085</v>
      </c>
      <c r="H3459" s="171" t="s">
        <v>2316</v>
      </c>
      <c r="I3459" t="s">
        <v>1086</v>
      </c>
      <c r="J3459">
        <v>7.12</v>
      </c>
    </row>
    <row r="3460" spans="1:10" hidden="1">
      <c r="A3460" t="s">
        <v>2309</v>
      </c>
      <c r="B3460" t="s">
        <v>2310</v>
      </c>
      <c r="C3460" t="s">
        <v>235</v>
      </c>
      <c r="D3460" t="s">
        <v>551</v>
      </c>
      <c r="E3460" t="s">
        <v>556</v>
      </c>
      <c r="F3460" t="s">
        <v>1068</v>
      </c>
      <c r="G3460" t="s">
        <v>1087</v>
      </c>
      <c r="H3460" s="171" t="s">
        <v>2317</v>
      </c>
      <c r="I3460" t="s">
        <v>1088</v>
      </c>
      <c r="J3460">
        <v>7.12</v>
      </c>
    </row>
    <row r="3461" spans="1:10" hidden="1">
      <c r="A3461" t="s">
        <v>2309</v>
      </c>
      <c r="B3461" t="s">
        <v>2310</v>
      </c>
      <c r="C3461" t="s">
        <v>235</v>
      </c>
      <c r="D3461" t="s">
        <v>551</v>
      </c>
      <c r="E3461" t="s">
        <v>556</v>
      </c>
      <c r="F3461" t="s">
        <v>1068</v>
      </c>
      <c r="G3461" t="s">
        <v>1089</v>
      </c>
      <c r="H3461" s="171" t="s">
        <v>2318</v>
      </c>
      <c r="I3461" t="s">
        <v>1090</v>
      </c>
      <c r="J3461">
        <v>7.12</v>
      </c>
    </row>
    <row r="3462" spans="1:10" hidden="1">
      <c r="A3462" t="s">
        <v>2319</v>
      </c>
      <c r="B3462" t="s">
        <v>2320</v>
      </c>
      <c r="C3462" t="s">
        <v>235</v>
      </c>
      <c r="D3462" t="s">
        <v>551</v>
      </c>
      <c r="E3462" t="s">
        <v>557</v>
      </c>
      <c r="F3462" t="s">
        <v>1068</v>
      </c>
      <c r="G3462" t="s">
        <v>1069</v>
      </c>
      <c r="H3462">
        <v>7.3413906677419705E-2</v>
      </c>
      <c r="I3462" t="s">
        <v>1070</v>
      </c>
      <c r="J3462">
        <v>7.11</v>
      </c>
    </row>
    <row r="3463" spans="1:10" hidden="1">
      <c r="A3463" t="s">
        <v>2319</v>
      </c>
      <c r="B3463" t="s">
        <v>2320</v>
      </c>
      <c r="C3463" t="s">
        <v>235</v>
      </c>
      <c r="D3463" t="s">
        <v>551</v>
      </c>
      <c r="E3463" t="s">
        <v>557</v>
      </c>
      <c r="F3463" t="s">
        <v>1068</v>
      </c>
      <c r="G3463" t="s">
        <v>1071</v>
      </c>
      <c r="H3463" s="171" t="s">
        <v>2321</v>
      </c>
      <c r="I3463" t="s">
        <v>1072</v>
      </c>
      <c r="J3463">
        <v>7.11</v>
      </c>
    </row>
    <row r="3464" spans="1:10" hidden="1">
      <c r="A3464" t="s">
        <v>2319</v>
      </c>
      <c r="B3464" t="s">
        <v>2320</v>
      </c>
      <c r="C3464" t="s">
        <v>235</v>
      </c>
      <c r="D3464" t="s">
        <v>551</v>
      </c>
      <c r="E3464" t="s">
        <v>557</v>
      </c>
      <c r="F3464" t="s">
        <v>1068</v>
      </c>
      <c r="G3464" t="s">
        <v>1073</v>
      </c>
      <c r="H3464" s="171" t="s">
        <v>2322</v>
      </c>
      <c r="I3464" t="s">
        <v>1074</v>
      </c>
      <c r="J3464">
        <v>7.11</v>
      </c>
    </row>
    <row r="3465" spans="1:10" hidden="1">
      <c r="A3465" t="s">
        <v>2319</v>
      </c>
      <c r="B3465" t="s">
        <v>2320</v>
      </c>
      <c r="C3465" t="s">
        <v>235</v>
      </c>
      <c r="D3465" t="s">
        <v>551</v>
      </c>
      <c r="E3465" t="s">
        <v>557</v>
      </c>
      <c r="F3465" t="s">
        <v>1068</v>
      </c>
      <c r="G3465" t="s">
        <v>1075</v>
      </c>
      <c r="H3465">
        <v>3.4709298118833299E-3</v>
      </c>
      <c r="I3465" t="s">
        <v>1077</v>
      </c>
      <c r="J3465">
        <v>7.11</v>
      </c>
    </row>
    <row r="3466" spans="1:10" hidden="1">
      <c r="A3466" t="s">
        <v>2319</v>
      </c>
      <c r="B3466" t="s">
        <v>2320</v>
      </c>
      <c r="C3466" t="s">
        <v>235</v>
      </c>
      <c r="D3466" t="s">
        <v>551</v>
      </c>
      <c r="E3466" t="s">
        <v>557</v>
      </c>
      <c r="F3466" t="s">
        <v>1068</v>
      </c>
      <c r="G3466" t="s">
        <v>1078</v>
      </c>
      <c r="H3466">
        <v>2.6027679442513801E-2</v>
      </c>
      <c r="I3466" t="s">
        <v>1079</v>
      </c>
      <c r="J3466">
        <v>7.11</v>
      </c>
    </row>
    <row r="3467" spans="1:10" hidden="1">
      <c r="A3467" t="s">
        <v>2319</v>
      </c>
      <c r="B3467" t="s">
        <v>2320</v>
      </c>
      <c r="C3467" t="s">
        <v>235</v>
      </c>
      <c r="D3467" t="s">
        <v>551</v>
      </c>
      <c r="E3467" t="s">
        <v>557</v>
      </c>
      <c r="F3467" t="s">
        <v>1068</v>
      </c>
      <c r="G3467" t="s">
        <v>1080</v>
      </c>
      <c r="H3467" s="171" t="s">
        <v>2323</v>
      </c>
      <c r="I3467" t="s">
        <v>1082</v>
      </c>
      <c r="J3467">
        <v>7.11</v>
      </c>
    </row>
    <row r="3468" spans="1:10" hidden="1">
      <c r="A3468" t="s">
        <v>2319</v>
      </c>
      <c r="B3468" t="s">
        <v>2320</v>
      </c>
      <c r="C3468" t="s">
        <v>235</v>
      </c>
      <c r="D3468" t="s">
        <v>551</v>
      </c>
      <c r="E3468" t="s">
        <v>557</v>
      </c>
      <c r="F3468" t="s">
        <v>1068</v>
      </c>
      <c r="G3468" t="s">
        <v>1083</v>
      </c>
      <c r="H3468" s="171" t="s">
        <v>2324</v>
      </c>
      <c r="I3468" t="s">
        <v>1084</v>
      </c>
      <c r="J3468">
        <v>7.11</v>
      </c>
    </row>
    <row r="3469" spans="1:10" hidden="1">
      <c r="A3469" t="s">
        <v>2319</v>
      </c>
      <c r="B3469" t="s">
        <v>2320</v>
      </c>
      <c r="C3469" t="s">
        <v>235</v>
      </c>
      <c r="D3469" t="s">
        <v>551</v>
      </c>
      <c r="E3469" t="s">
        <v>557</v>
      </c>
      <c r="F3469" t="s">
        <v>1068</v>
      </c>
      <c r="G3469" t="s">
        <v>1085</v>
      </c>
      <c r="H3469" s="171" t="s">
        <v>2325</v>
      </c>
      <c r="I3469" t="s">
        <v>1086</v>
      </c>
      <c r="J3469">
        <v>7.11</v>
      </c>
    </row>
    <row r="3470" spans="1:10" hidden="1">
      <c r="A3470" t="s">
        <v>2319</v>
      </c>
      <c r="B3470" t="s">
        <v>2320</v>
      </c>
      <c r="C3470" t="s">
        <v>235</v>
      </c>
      <c r="D3470" t="s">
        <v>551</v>
      </c>
      <c r="E3470" t="s">
        <v>557</v>
      </c>
      <c r="F3470" t="s">
        <v>1068</v>
      </c>
      <c r="G3470" t="s">
        <v>1087</v>
      </c>
      <c r="H3470" s="171" t="s">
        <v>2326</v>
      </c>
      <c r="I3470" t="s">
        <v>1088</v>
      </c>
      <c r="J3470">
        <v>7.11</v>
      </c>
    </row>
    <row r="3471" spans="1:10" hidden="1">
      <c r="A3471" t="s">
        <v>2319</v>
      </c>
      <c r="B3471" t="s">
        <v>2320</v>
      </c>
      <c r="C3471" t="s">
        <v>235</v>
      </c>
      <c r="D3471" t="s">
        <v>551</v>
      </c>
      <c r="E3471" t="s">
        <v>557</v>
      </c>
      <c r="F3471" t="s">
        <v>1068</v>
      </c>
      <c r="G3471" t="s">
        <v>1089</v>
      </c>
      <c r="H3471" s="171" t="s">
        <v>2327</v>
      </c>
      <c r="I3471" t="s">
        <v>1090</v>
      </c>
      <c r="J3471">
        <v>7.11</v>
      </c>
    </row>
    <row r="3472" spans="1:10" hidden="1">
      <c r="A3472" t="s">
        <v>2328</v>
      </c>
      <c r="B3472" t="s">
        <v>2329</v>
      </c>
      <c r="C3472" t="s">
        <v>235</v>
      </c>
      <c r="D3472" t="s">
        <v>551</v>
      </c>
      <c r="E3472" t="s">
        <v>559</v>
      </c>
      <c r="F3472" t="s">
        <v>1068</v>
      </c>
      <c r="G3472" t="s">
        <v>1069</v>
      </c>
      <c r="H3472">
        <v>7.3471992506088504E-2</v>
      </c>
      <c r="I3472" t="s">
        <v>1070</v>
      </c>
      <c r="J3472">
        <v>6.46</v>
      </c>
    </row>
    <row r="3473" spans="1:10" hidden="1">
      <c r="A3473" t="s">
        <v>2328</v>
      </c>
      <c r="B3473" t="s">
        <v>2329</v>
      </c>
      <c r="C3473" t="s">
        <v>235</v>
      </c>
      <c r="D3473" t="s">
        <v>551</v>
      </c>
      <c r="E3473" t="s">
        <v>559</v>
      </c>
      <c r="F3473" t="s">
        <v>1068</v>
      </c>
      <c r="G3473" t="s">
        <v>1071</v>
      </c>
      <c r="H3473" s="171" t="s">
        <v>2330</v>
      </c>
      <c r="I3473" t="s">
        <v>1072</v>
      </c>
      <c r="J3473">
        <v>6.46</v>
      </c>
    </row>
    <row r="3474" spans="1:10" hidden="1">
      <c r="A3474" t="s">
        <v>2328</v>
      </c>
      <c r="B3474" t="s">
        <v>2329</v>
      </c>
      <c r="C3474" t="s">
        <v>235</v>
      </c>
      <c r="D3474" t="s">
        <v>551</v>
      </c>
      <c r="E3474" t="s">
        <v>559</v>
      </c>
      <c r="F3474" t="s">
        <v>1068</v>
      </c>
      <c r="G3474" t="s">
        <v>1073</v>
      </c>
      <c r="H3474" s="171" t="s">
        <v>2331</v>
      </c>
      <c r="I3474" t="s">
        <v>1074</v>
      </c>
      <c r="J3474">
        <v>6.46</v>
      </c>
    </row>
    <row r="3475" spans="1:10" hidden="1">
      <c r="A3475" t="s">
        <v>2328</v>
      </c>
      <c r="B3475" t="s">
        <v>2329</v>
      </c>
      <c r="C3475" t="s">
        <v>235</v>
      </c>
      <c r="D3475" t="s">
        <v>551</v>
      </c>
      <c r="E3475" t="s">
        <v>559</v>
      </c>
      <c r="F3475" t="s">
        <v>1068</v>
      </c>
      <c r="G3475" t="s">
        <v>1075</v>
      </c>
      <c r="H3475">
        <v>3.4710878946788699E-3</v>
      </c>
      <c r="I3475" t="s">
        <v>1077</v>
      </c>
      <c r="J3475">
        <v>6.46</v>
      </c>
    </row>
    <row r="3476" spans="1:10" hidden="1">
      <c r="A3476" t="s">
        <v>2328</v>
      </c>
      <c r="B3476" t="s">
        <v>2329</v>
      </c>
      <c r="C3476" t="s">
        <v>235</v>
      </c>
      <c r="D3476" t="s">
        <v>551</v>
      </c>
      <c r="E3476" t="s">
        <v>559</v>
      </c>
      <c r="F3476" t="s">
        <v>1068</v>
      </c>
      <c r="G3476" t="s">
        <v>1078</v>
      </c>
      <c r="H3476" s="171" t="s">
        <v>2332</v>
      </c>
      <c r="I3476" t="s">
        <v>1079</v>
      </c>
      <c r="J3476">
        <v>6.46</v>
      </c>
    </row>
    <row r="3477" spans="1:10" hidden="1">
      <c r="A3477" t="s">
        <v>2328</v>
      </c>
      <c r="B3477" t="s">
        <v>2329</v>
      </c>
      <c r="C3477" t="s">
        <v>235</v>
      </c>
      <c r="D3477" t="s">
        <v>551</v>
      </c>
      <c r="E3477" t="s">
        <v>559</v>
      </c>
      <c r="F3477" t="s">
        <v>1068</v>
      </c>
      <c r="G3477" t="s">
        <v>1080</v>
      </c>
      <c r="H3477" s="171" t="s">
        <v>2333</v>
      </c>
      <c r="I3477" t="s">
        <v>1082</v>
      </c>
      <c r="J3477">
        <v>6.46</v>
      </c>
    </row>
    <row r="3478" spans="1:10" hidden="1">
      <c r="A3478" t="s">
        <v>2328</v>
      </c>
      <c r="B3478" t="s">
        <v>2329</v>
      </c>
      <c r="C3478" t="s">
        <v>235</v>
      </c>
      <c r="D3478" t="s">
        <v>551</v>
      </c>
      <c r="E3478" t="s">
        <v>559</v>
      </c>
      <c r="F3478" t="s">
        <v>1068</v>
      </c>
      <c r="G3478" t="s">
        <v>1083</v>
      </c>
      <c r="H3478" s="171" t="s">
        <v>2334</v>
      </c>
      <c r="I3478" t="s">
        <v>1084</v>
      </c>
      <c r="J3478">
        <v>6.46</v>
      </c>
    </row>
    <row r="3479" spans="1:10" hidden="1">
      <c r="A3479" t="s">
        <v>2328</v>
      </c>
      <c r="B3479" t="s">
        <v>2329</v>
      </c>
      <c r="C3479" t="s">
        <v>235</v>
      </c>
      <c r="D3479" t="s">
        <v>551</v>
      </c>
      <c r="E3479" t="s">
        <v>559</v>
      </c>
      <c r="F3479" t="s">
        <v>1068</v>
      </c>
      <c r="G3479" t="s">
        <v>1085</v>
      </c>
      <c r="H3479" s="171" t="s">
        <v>2335</v>
      </c>
      <c r="I3479" t="s">
        <v>1086</v>
      </c>
      <c r="J3479">
        <v>6.46</v>
      </c>
    </row>
    <row r="3480" spans="1:10" hidden="1">
      <c r="A3480" t="s">
        <v>2328</v>
      </c>
      <c r="B3480" t="s">
        <v>2329</v>
      </c>
      <c r="C3480" t="s">
        <v>235</v>
      </c>
      <c r="D3480" t="s">
        <v>551</v>
      </c>
      <c r="E3480" t="s">
        <v>559</v>
      </c>
      <c r="F3480" t="s">
        <v>1068</v>
      </c>
      <c r="G3480" t="s">
        <v>1087</v>
      </c>
      <c r="H3480" s="171" t="s">
        <v>2336</v>
      </c>
      <c r="I3480" t="s">
        <v>1088</v>
      </c>
      <c r="J3480">
        <v>6.46</v>
      </c>
    </row>
    <row r="3481" spans="1:10" hidden="1">
      <c r="A3481" t="s">
        <v>2328</v>
      </c>
      <c r="B3481" t="s">
        <v>2329</v>
      </c>
      <c r="C3481" t="s">
        <v>235</v>
      </c>
      <c r="D3481" t="s">
        <v>551</v>
      </c>
      <c r="E3481" t="s">
        <v>559</v>
      </c>
      <c r="F3481" t="s">
        <v>1068</v>
      </c>
      <c r="G3481" t="s">
        <v>1089</v>
      </c>
      <c r="H3481" s="171" t="s">
        <v>2337</v>
      </c>
      <c r="I3481" t="s">
        <v>1090</v>
      </c>
      <c r="J3481">
        <v>6.46</v>
      </c>
    </row>
    <row r="3482" spans="1:10" hidden="1">
      <c r="A3482" t="s">
        <v>2338</v>
      </c>
      <c r="B3482" t="s">
        <v>2339</v>
      </c>
      <c r="C3482" t="s">
        <v>235</v>
      </c>
      <c r="D3482" t="s">
        <v>551</v>
      </c>
      <c r="E3482" t="s">
        <v>560</v>
      </c>
      <c r="F3482" t="s">
        <v>1068</v>
      </c>
      <c r="G3482" t="s">
        <v>1069</v>
      </c>
      <c r="H3482">
        <v>7.3416684034516802E-2</v>
      </c>
      <c r="I3482" t="s">
        <v>1070</v>
      </c>
      <c r="J3482">
        <v>7.05</v>
      </c>
    </row>
    <row r="3483" spans="1:10" hidden="1">
      <c r="A3483" t="s">
        <v>2338</v>
      </c>
      <c r="B3483" t="s">
        <v>2339</v>
      </c>
      <c r="C3483" t="s">
        <v>235</v>
      </c>
      <c r="D3483" t="s">
        <v>551</v>
      </c>
      <c r="E3483" t="s">
        <v>560</v>
      </c>
      <c r="F3483" t="s">
        <v>1068</v>
      </c>
      <c r="G3483" t="s">
        <v>1071</v>
      </c>
      <c r="H3483" s="171" t="s">
        <v>2340</v>
      </c>
      <c r="I3483" t="s">
        <v>1072</v>
      </c>
      <c r="J3483">
        <v>7.05</v>
      </c>
    </row>
    <row r="3484" spans="1:10" hidden="1">
      <c r="A3484" t="s">
        <v>2338</v>
      </c>
      <c r="B3484" t="s">
        <v>2339</v>
      </c>
      <c r="C3484" t="s">
        <v>235</v>
      </c>
      <c r="D3484" t="s">
        <v>551</v>
      </c>
      <c r="E3484" t="s">
        <v>560</v>
      </c>
      <c r="F3484" t="s">
        <v>1068</v>
      </c>
      <c r="G3484" t="s">
        <v>1073</v>
      </c>
      <c r="H3484" s="171" t="s">
        <v>2341</v>
      </c>
      <c r="I3484" t="s">
        <v>1074</v>
      </c>
      <c r="J3484">
        <v>7.05</v>
      </c>
    </row>
    <row r="3485" spans="1:10" hidden="1">
      <c r="A3485" t="s">
        <v>2338</v>
      </c>
      <c r="B3485" t="s">
        <v>2339</v>
      </c>
      <c r="C3485" t="s">
        <v>235</v>
      </c>
      <c r="D3485" t="s">
        <v>551</v>
      </c>
      <c r="E3485" t="s">
        <v>560</v>
      </c>
      <c r="F3485" t="s">
        <v>1068</v>
      </c>
      <c r="G3485" t="s">
        <v>1075</v>
      </c>
      <c r="H3485">
        <v>3.4710176071081401E-3</v>
      </c>
      <c r="I3485" t="s">
        <v>1077</v>
      </c>
      <c r="J3485">
        <v>7.05</v>
      </c>
    </row>
    <row r="3486" spans="1:10" hidden="1">
      <c r="A3486" t="s">
        <v>2338</v>
      </c>
      <c r="B3486" t="s">
        <v>2339</v>
      </c>
      <c r="C3486" t="s">
        <v>235</v>
      </c>
      <c r="D3486" t="s">
        <v>551</v>
      </c>
      <c r="E3486" t="s">
        <v>560</v>
      </c>
      <c r="F3486" t="s">
        <v>1068</v>
      </c>
      <c r="G3486" t="s">
        <v>1078</v>
      </c>
      <c r="H3486" s="171" t="s">
        <v>2342</v>
      </c>
      <c r="I3486" t="s">
        <v>1079</v>
      </c>
      <c r="J3486">
        <v>7.05</v>
      </c>
    </row>
    <row r="3487" spans="1:10" hidden="1">
      <c r="A3487" t="s">
        <v>2338</v>
      </c>
      <c r="B3487" t="s">
        <v>2339</v>
      </c>
      <c r="C3487" t="s">
        <v>235</v>
      </c>
      <c r="D3487" t="s">
        <v>551</v>
      </c>
      <c r="E3487" t="s">
        <v>560</v>
      </c>
      <c r="F3487" t="s">
        <v>1068</v>
      </c>
      <c r="G3487" t="s">
        <v>1080</v>
      </c>
      <c r="H3487" s="171" t="s">
        <v>2343</v>
      </c>
      <c r="I3487" t="s">
        <v>1082</v>
      </c>
      <c r="J3487">
        <v>7.05</v>
      </c>
    </row>
    <row r="3488" spans="1:10" hidden="1">
      <c r="A3488" t="s">
        <v>2338</v>
      </c>
      <c r="B3488" t="s">
        <v>2339</v>
      </c>
      <c r="C3488" t="s">
        <v>235</v>
      </c>
      <c r="D3488" t="s">
        <v>551</v>
      </c>
      <c r="E3488" t="s">
        <v>560</v>
      </c>
      <c r="F3488" t="s">
        <v>1068</v>
      </c>
      <c r="G3488" t="s">
        <v>1083</v>
      </c>
      <c r="H3488" s="171" t="s">
        <v>2344</v>
      </c>
      <c r="I3488" t="s">
        <v>1084</v>
      </c>
      <c r="J3488">
        <v>7.05</v>
      </c>
    </row>
    <row r="3489" spans="1:10" hidden="1">
      <c r="A3489" t="s">
        <v>2338</v>
      </c>
      <c r="B3489" t="s">
        <v>2339</v>
      </c>
      <c r="C3489" t="s">
        <v>235</v>
      </c>
      <c r="D3489" t="s">
        <v>551</v>
      </c>
      <c r="E3489" t="s">
        <v>560</v>
      </c>
      <c r="F3489" t="s">
        <v>1068</v>
      </c>
      <c r="G3489" t="s">
        <v>1085</v>
      </c>
      <c r="H3489" s="171" t="s">
        <v>2345</v>
      </c>
      <c r="I3489" t="s">
        <v>1086</v>
      </c>
      <c r="J3489">
        <v>7.05</v>
      </c>
    </row>
    <row r="3490" spans="1:10" hidden="1">
      <c r="A3490" t="s">
        <v>2338</v>
      </c>
      <c r="B3490" t="s">
        <v>2339</v>
      </c>
      <c r="C3490" t="s">
        <v>235</v>
      </c>
      <c r="D3490" t="s">
        <v>551</v>
      </c>
      <c r="E3490" t="s">
        <v>560</v>
      </c>
      <c r="F3490" t="s">
        <v>1068</v>
      </c>
      <c r="G3490" t="s">
        <v>1087</v>
      </c>
      <c r="H3490" s="171" t="s">
        <v>2346</v>
      </c>
      <c r="I3490" t="s">
        <v>1088</v>
      </c>
      <c r="J3490">
        <v>7.05</v>
      </c>
    </row>
    <row r="3491" spans="1:10" hidden="1">
      <c r="A3491" t="s">
        <v>2338</v>
      </c>
      <c r="B3491" t="s">
        <v>2339</v>
      </c>
      <c r="C3491" t="s">
        <v>235</v>
      </c>
      <c r="D3491" t="s">
        <v>551</v>
      </c>
      <c r="E3491" t="s">
        <v>560</v>
      </c>
      <c r="F3491" t="s">
        <v>1068</v>
      </c>
      <c r="G3491" t="s">
        <v>1089</v>
      </c>
      <c r="H3491" s="171" t="s">
        <v>2347</v>
      </c>
      <c r="I3491" t="s">
        <v>1090</v>
      </c>
      <c r="J3491">
        <v>7.05</v>
      </c>
    </row>
    <row r="3492" spans="1:10" hidden="1">
      <c r="A3492" t="s">
        <v>2348</v>
      </c>
      <c r="B3492" t="s">
        <v>2349</v>
      </c>
      <c r="C3492" t="s">
        <v>235</v>
      </c>
      <c r="D3492" t="s">
        <v>551</v>
      </c>
      <c r="E3492" t="s">
        <v>1116</v>
      </c>
      <c r="F3492" t="s">
        <v>1068</v>
      </c>
      <c r="G3492" t="s">
        <v>1069</v>
      </c>
      <c r="H3492">
        <v>7.3408254476421603E-2</v>
      </c>
      <c r="I3492" t="s">
        <v>1070</v>
      </c>
      <c r="J3492">
        <v>7.24</v>
      </c>
    </row>
    <row r="3493" spans="1:10" hidden="1">
      <c r="A3493" t="s">
        <v>2348</v>
      </c>
      <c r="B3493" t="s">
        <v>2349</v>
      </c>
      <c r="C3493" t="s">
        <v>235</v>
      </c>
      <c r="D3493" t="s">
        <v>551</v>
      </c>
      <c r="E3493" t="s">
        <v>1116</v>
      </c>
      <c r="F3493" t="s">
        <v>1068</v>
      </c>
      <c r="G3493" t="s">
        <v>1071</v>
      </c>
      <c r="H3493" s="171" t="s">
        <v>2350</v>
      </c>
      <c r="I3493" t="s">
        <v>1072</v>
      </c>
      <c r="J3493">
        <v>7.24</v>
      </c>
    </row>
    <row r="3494" spans="1:10" hidden="1">
      <c r="A3494" t="s">
        <v>2348</v>
      </c>
      <c r="B3494" t="s">
        <v>2349</v>
      </c>
      <c r="C3494" t="s">
        <v>235</v>
      </c>
      <c r="D3494" t="s">
        <v>551</v>
      </c>
      <c r="E3494" t="s">
        <v>1116</v>
      </c>
      <c r="F3494" t="s">
        <v>1068</v>
      </c>
      <c r="G3494" t="s">
        <v>1073</v>
      </c>
      <c r="H3494" s="171" t="s">
        <v>2351</v>
      </c>
      <c r="I3494" t="s">
        <v>1074</v>
      </c>
      <c r="J3494">
        <v>7.24</v>
      </c>
    </row>
    <row r="3495" spans="1:10" hidden="1">
      <c r="A3495" t="s">
        <v>2348</v>
      </c>
      <c r="B3495" t="s">
        <v>2349</v>
      </c>
      <c r="C3495" t="s">
        <v>235</v>
      </c>
      <c r="D3495" t="s">
        <v>551</v>
      </c>
      <c r="E3495" t="s">
        <v>1116</v>
      </c>
      <c r="F3495" t="s">
        <v>1068</v>
      </c>
      <c r="G3495" t="s">
        <v>1075</v>
      </c>
      <c r="H3495">
        <v>3.47075113977171E-3</v>
      </c>
      <c r="I3495" t="s">
        <v>1077</v>
      </c>
      <c r="J3495">
        <v>7.24</v>
      </c>
    </row>
    <row r="3496" spans="1:10" hidden="1">
      <c r="A3496" t="s">
        <v>2348</v>
      </c>
      <c r="B3496" t="s">
        <v>2349</v>
      </c>
      <c r="C3496" t="s">
        <v>235</v>
      </c>
      <c r="D3496" t="s">
        <v>551</v>
      </c>
      <c r="E3496" t="s">
        <v>1116</v>
      </c>
      <c r="F3496" t="s">
        <v>1068</v>
      </c>
      <c r="G3496" t="s">
        <v>1078</v>
      </c>
      <c r="H3496" s="171" t="s">
        <v>2352</v>
      </c>
      <c r="I3496" t="s">
        <v>1079</v>
      </c>
      <c r="J3496">
        <v>7.24</v>
      </c>
    </row>
    <row r="3497" spans="1:10" hidden="1">
      <c r="A3497" t="s">
        <v>2348</v>
      </c>
      <c r="B3497" t="s">
        <v>2349</v>
      </c>
      <c r="C3497" t="s">
        <v>235</v>
      </c>
      <c r="D3497" t="s">
        <v>551</v>
      </c>
      <c r="E3497" t="s">
        <v>1116</v>
      </c>
      <c r="F3497" t="s">
        <v>1068</v>
      </c>
      <c r="G3497" t="s">
        <v>1080</v>
      </c>
      <c r="H3497" s="171" t="s">
        <v>2353</v>
      </c>
      <c r="I3497" t="s">
        <v>1082</v>
      </c>
      <c r="J3497">
        <v>7.24</v>
      </c>
    </row>
    <row r="3498" spans="1:10" hidden="1">
      <c r="A3498" t="s">
        <v>2348</v>
      </c>
      <c r="B3498" t="s">
        <v>2349</v>
      </c>
      <c r="C3498" t="s">
        <v>235</v>
      </c>
      <c r="D3498" t="s">
        <v>551</v>
      </c>
      <c r="E3498" t="s">
        <v>1116</v>
      </c>
      <c r="F3498" t="s">
        <v>1068</v>
      </c>
      <c r="G3498" t="s">
        <v>1083</v>
      </c>
      <c r="H3498" s="171" t="s">
        <v>2354</v>
      </c>
      <c r="I3498" t="s">
        <v>1084</v>
      </c>
      <c r="J3498">
        <v>7.24</v>
      </c>
    </row>
    <row r="3499" spans="1:10" hidden="1">
      <c r="A3499" t="s">
        <v>2348</v>
      </c>
      <c r="B3499" t="s">
        <v>2349</v>
      </c>
      <c r="C3499" t="s">
        <v>235</v>
      </c>
      <c r="D3499" t="s">
        <v>551</v>
      </c>
      <c r="E3499" t="s">
        <v>1116</v>
      </c>
      <c r="F3499" t="s">
        <v>1068</v>
      </c>
      <c r="G3499" t="s">
        <v>1085</v>
      </c>
      <c r="H3499" s="171" t="s">
        <v>2355</v>
      </c>
      <c r="I3499" t="s">
        <v>1086</v>
      </c>
      <c r="J3499">
        <v>7.24</v>
      </c>
    </row>
    <row r="3500" spans="1:10" hidden="1">
      <c r="A3500" t="s">
        <v>2348</v>
      </c>
      <c r="B3500" t="s">
        <v>2349</v>
      </c>
      <c r="C3500" t="s">
        <v>235</v>
      </c>
      <c r="D3500" t="s">
        <v>551</v>
      </c>
      <c r="E3500" t="s">
        <v>1116</v>
      </c>
      <c r="F3500" t="s">
        <v>1068</v>
      </c>
      <c r="G3500" t="s">
        <v>1087</v>
      </c>
      <c r="H3500" s="171" t="s">
        <v>2356</v>
      </c>
      <c r="I3500" t="s">
        <v>1088</v>
      </c>
      <c r="J3500">
        <v>7.24</v>
      </c>
    </row>
    <row r="3501" spans="1:10" hidden="1">
      <c r="A3501" t="s">
        <v>2348</v>
      </c>
      <c r="B3501" t="s">
        <v>2349</v>
      </c>
      <c r="C3501" t="s">
        <v>235</v>
      </c>
      <c r="D3501" t="s">
        <v>551</v>
      </c>
      <c r="E3501" t="s">
        <v>1116</v>
      </c>
      <c r="F3501" t="s">
        <v>1068</v>
      </c>
      <c r="G3501" t="s">
        <v>1089</v>
      </c>
      <c r="H3501" s="171" t="s">
        <v>2357</v>
      </c>
      <c r="I3501" t="s">
        <v>1090</v>
      </c>
      <c r="J3501">
        <v>7.24</v>
      </c>
    </row>
    <row r="3502" spans="1:10" hidden="1">
      <c r="A3502" t="s">
        <v>2358</v>
      </c>
      <c r="B3502" t="s">
        <v>2359</v>
      </c>
      <c r="C3502" t="s">
        <v>235</v>
      </c>
      <c r="D3502" t="s">
        <v>2360</v>
      </c>
      <c r="E3502" t="s">
        <v>561</v>
      </c>
      <c r="F3502" t="s">
        <v>1068</v>
      </c>
      <c r="G3502" t="s">
        <v>1069</v>
      </c>
      <c r="H3502">
        <v>7.3409959906901398E-2</v>
      </c>
      <c r="I3502" t="s">
        <v>1070</v>
      </c>
      <c r="J3502">
        <v>7.36</v>
      </c>
    </row>
    <row r="3503" spans="1:10" hidden="1">
      <c r="A3503" t="s">
        <v>2358</v>
      </c>
      <c r="B3503" t="s">
        <v>2359</v>
      </c>
      <c r="C3503" t="s">
        <v>235</v>
      </c>
      <c r="D3503" t="s">
        <v>2360</v>
      </c>
      <c r="E3503" t="s">
        <v>561</v>
      </c>
      <c r="F3503" t="s">
        <v>1068</v>
      </c>
      <c r="G3503" t="s">
        <v>1071</v>
      </c>
      <c r="H3503" s="171" t="s">
        <v>2361</v>
      </c>
      <c r="I3503" t="s">
        <v>1072</v>
      </c>
      <c r="J3503">
        <v>7.36</v>
      </c>
    </row>
    <row r="3504" spans="1:10" hidden="1">
      <c r="A3504" t="s">
        <v>2358</v>
      </c>
      <c r="B3504" t="s">
        <v>2359</v>
      </c>
      <c r="C3504" t="s">
        <v>235</v>
      </c>
      <c r="D3504" t="s">
        <v>2360</v>
      </c>
      <c r="E3504" t="s">
        <v>561</v>
      </c>
      <c r="F3504" t="s">
        <v>1068</v>
      </c>
      <c r="G3504" t="s">
        <v>1073</v>
      </c>
      <c r="H3504" s="171" t="s">
        <v>2362</v>
      </c>
      <c r="I3504" t="s">
        <v>1074</v>
      </c>
      <c r="J3504">
        <v>7.36</v>
      </c>
    </row>
    <row r="3505" spans="1:10" hidden="1">
      <c r="A3505" t="s">
        <v>2358</v>
      </c>
      <c r="B3505" t="s">
        <v>2359</v>
      </c>
      <c r="C3505" t="s">
        <v>235</v>
      </c>
      <c r="D3505" t="s">
        <v>2360</v>
      </c>
      <c r="E3505" t="s">
        <v>561</v>
      </c>
      <c r="F3505" t="s">
        <v>1068</v>
      </c>
      <c r="G3505" t="s">
        <v>1075</v>
      </c>
      <c r="H3505">
        <v>3.47080505025116E-3</v>
      </c>
      <c r="I3505" t="s">
        <v>1077</v>
      </c>
      <c r="J3505">
        <v>7.36</v>
      </c>
    </row>
    <row r="3506" spans="1:10" hidden="1">
      <c r="A3506" t="s">
        <v>2358</v>
      </c>
      <c r="B3506" t="s">
        <v>2359</v>
      </c>
      <c r="C3506" t="s">
        <v>235</v>
      </c>
      <c r="D3506" t="s">
        <v>2360</v>
      </c>
      <c r="E3506" t="s">
        <v>561</v>
      </c>
      <c r="F3506" t="s">
        <v>1068</v>
      </c>
      <c r="G3506" t="s">
        <v>1078</v>
      </c>
      <c r="H3506" s="171" t="s">
        <v>2363</v>
      </c>
      <c r="I3506" t="s">
        <v>1079</v>
      </c>
      <c r="J3506">
        <v>7.36</v>
      </c>
    </row>
    <row r="3507" spans="1:10" hidden="1">
      <c r="A3507" t="s">
        <v>2358</v>
      </c>
      <c r="B3507" t="s">
        <v>2359</v>
      </c>
      <c r="C3507" t="s">
        <v>235</v>
      </c>
      <c r="D3507" t="s">
        <v>2360</v>
      </c>
      <c r="E3507" t="s">
        <v>561</v>
      </c>
      <c r="F3507" t="s">
        <v>1068</v>
      </c>
      <c r="G3507" t="s">
        <v>1080</v>
      </c>
      <c r="H3507" s="171" t="s">
        <v>2364</v>
      </c>
      <c r="I3507" t="s">
        <v>1082</v>
      </c>
      <c r="J3507">
        <v>7.36</v>
      </c>
    </row>
    <row r="3508" spans="1:10" hidden="1">
      <c r="A3508" t="s">
        <v>2358</v>
      </c>
      <c r="B3508" t="s">
        <v>2359</v>
      </c>
      <c r="C3508" t="s">
        <v>235</v>
      </c>
      <c r="D3508" t="s">
        <v>2360</v>
      </c>
      <c r="E3508" t="s">
        <v>561</v>
      </c>
      <c r="F3508" t="s">
        <v>1068</v>
      </c>
      <c r="G3508" t="s">
        <v>1083</v>
      </c>
      <c r="H3508" s="171" t="s">
        <v>2365</v>
      </c>
      <c r="I3508" t="s">
        <v>1084</v>
      </c>
      <c r="J3508">
        <v>7.36</v>
      </c>
    </row>
    <row r="3509" spans="1:10" hidden="1">
      <c r="A3509" t="s">
        <v>2358</v>
      </c>
      <c r="B3509" t="s">
        <v>2359</v>
      </c>
      <c r="C3509" t="s">
        <v>235</v>
      </c>
      <c r="D3509" t="s">
        <v>2360</v>
      </c>
      <c r="E3509" t="s">
        <v>561</v>
      </c>
      <c r="F3509" t="s">
        <v>1068</v>
      </c>
      <c r="G3509" t="s">
        <v>1085</v>
      </c>
      <c r="H3509" s="171" t="s">
        <v>2366</v>
      </c>
      <c r="I3509" t="s">
        <v>1086</v>
      </c>
      <c r="J3509">
        <v>7.36</v>
      </c>
    </row>
    <row r="3510" spans="1:10" hidden="1">
      <c r="A3510" t="s">
        <v>2358</v>
      </c>
      <c r="B3510" t="s">
        <v>2359</v>
      </c>
      <c r="C3510" t="s">
        <v>235</v>
      </c>
      <c r="D3510" t="s">
        <v>2360</v>
      </c>
      <c r="E3510" t="s">
        <v>561</v>
      </c>
      <c r="F3510" t="s">
        <v>1068</v>
      </c>
      <c r="G3510" t="s">
        <v>1087</v>
      </c>
      <c r="H3510" s="171" t="s">
        <v>2367</v>
      </c>
      <c r="I3510" t="s">
        <v>1088</v>
      </c>
      <c r="J3510">
        <v>7.36</v>
      </c>
    </row>
    <row r="3511" spans="1:10" hidden="1">
      <c r="A3511" t="s">
        <v>2358</v>
      </c>
      <c r="B3511" t="s">
        <v>2359</v>
      </c>
      <c r="C3511" t="s">
        <v>235</v>
      </c>
      <c r="D3511" t="s">
        <v>2360</v>
      </c>
      <c r="E3511" t="s">
        <v>561</v>
      </c>
      <c r="F3511" t="s">
        <v>1068</v>
      </c>
      <c r="G3511" t="s">
        <v>1089</v>
      </c>
      <c r="H3511" s="171" t="s">
        <v>2368</v>
      </c>
      <c r="I3511" t="s">
        <v>1090</v>
      </c>
      <c r="J3511">
        <v>7.36</v>
      </c>
    </row>
    <row r="3512" spans="1:10" hidden="1">
      <c r="A3512" t="s">
        <v>2369</v>
      </c>
      <c r="B3512" t="s">
        <v>2370</v>
      </c>
      <c r="C3512" t="s">
        <v>235</v>
      </c>
      <c r="D3512" t="s">
        <v>2360</v>
      </c>
      <c r="E3512" t="s">
        <v>555</v>
      </c>
      <c r="F3512" t="s">
        <v>1068</v>
      </c>
      <c r="G3512" t="s">
        <v>1069</v>
      </c>
      <c r="H3512">
        <v>7.3478109088387006E-2</v>
      </c>
      <c r="I3512" t="s">
        <v>1070</v>
      </c>
      <c r="J3512">
        <v>7.79</v>
      </c>
    </row>
    <row r="3513" spans="1:10" hidden="1">
      <c r="A3513" t="s">
        <v>2369</v>
      </c>
      <c r="B3513" t="s">
        <v>2370</v>
      </c>
      <c r="C3513" t="s">
        <v>235</v>
      </c>
      <c r="D3513" t="s">
        <v>2360</v>
      </c>
      <c r="E3513" t="s">
        <v>555</v>
      </c>
      <c r="F3513" t="s">
        <v>1068</v>
      </c>
      <c r="G3513" t="s">
        <v>1071</v>
      </c>
      <c r="H3513" s="171" t="s">
        <v>2283</v>
      </c>
      <c r="I3513" t="s">
        <v>1072</v>
      </c>
      <c r="J3513">
        <v>7.79</v>
      </c>
    </row>
    <row r="3514" spans="1:10" hidden="1">
      <c r="A3514" t="s">
        <v>2369</v>
      </c>
      <c r="B3514" t="s">
        <v>2370</v>
      </c>
      <c r="C3514" t="s">
        <v>235</v>
      </c>
      <c r="D3514" t="s">
        <v>2360</v>
      </c>
      <c r="E3514" t="s">
        <v>555</v>
      </c>
      <c r="F3514" t="s">
        <v>1068</v>
      </c>
      <c r="G3514" t="s">
        <v>1073</v>
      </c>
      <c r="H3514" s="171" t="s">
        <v>2284</v>
      </c>
      <c r="I3514" t="s">
        <v>1074</v>
      </c>
      <c r="J3514">
        <v>7.79</v>
      </c>
    </row>
    <row r="3515" spans="1:10" hidden="1">
      <c r="A3515" t="s">
        <v>2369</v>
      </c>
      <c r="B3515" t="s">
        <v>2370</v>
      </c>
      <c r="C3515" t="s">
        <v>235</v>
      </c>
      <c r="D3515" t="s">
        <v>2360</v>
      </c>
      <c r="E3515" t="s">
        <v>555</v>
      </c>
      <c r="F3515" t="s">
        <v>1068</v>
      </c>
      <c r="G3515" t="s">
        <v>1075</v>
      </c>
      <c r="H3515">
        <v>3.4712812463794898E-3</v>
      </c>
      <c r="I3515" t="s">
        <v>1077</v>
      </c>
      <c r="J3515">
        <v>7.79</v>
      </c>
    </row>
    <row r="3516" spans="1:10" hidden="1">
      <c r="A3516" t="s">
        <v>2369</v>
      </c>
      <c r="B3516" t="s">
        <v>2370</v>
      </c>
      <c r="C3516" t="s">
        <v>235</v>
      </c>
      <c r="D3516" t="s">
        <v>2360</v>
      </c>
      <c r="E3516" t="s">
        <v>555</v>
      </c>
      <c r="F3516" t="s">
        <v>1068</v>
      </c>
      <c r="G3516" t="s">
        <v>1078</v>
      </c>
      <c r="H3516">
        <v>2.6042873003266701E-2</v>
      </c>
      <c r="I3516" t="s">
        <v>1079</v>
      </c>
      <c r="J3516">
        <v>7.79</v>
      </c>
    </row>
    <row r="3517" spans="1:10" hidden="1">
      <c r="A3517" t="s">
        <v>2369</v>
      </c>
      <c r="B3517" t="s">
        <v>2370</v>
      </c>
      <c r="C3517" t="s">
        <v>235</v>
      </c>
      <c r="D3517" t="s">
        <v>2360</v>
      </c>
      <c r="E3517" t="s">
        <v>555</v>
      </c>
      <c r="F3517" t="s">
        <v>1068</v>
      </c>
      <c r="G3517" t="s">
        <v>1080</v>
      </c>
      <c r="H3517" s="171" t="s">
        <v>2285</v>
      </c>
      <c r="I3517" t="s">
        <v>1082</v>
      </c>
      <c r="J3517">
        <v>7.79</v>
      </c>
    </row>
    <row r="3518" spans="1:10" hidden="1">
      <c r="A3518" t="s">
        <v>2369</v>
      </c>
      <c r="B3518" t="s">
        <v>2370</v>
      </c>
      <c r="C3518" t="s">
        <v>235</v>
      </c>
      <c r="D3518" t="s">
        <v>2360</v>
      </c>
      <c r="E3518" t="s">
        <v>555</v>
      </c>
      <c r="F3518" t="s">
        <v>1068</v>
      </c>
      <c r="G3518" t="s">
        <v>1083</v>
      </c>
      <c r="H3518" s="171" t="s">
        <v>2286</v>
      </c>
      <c r="I3518" t="s">
        <v>1084</v>
      </c>
      <c r="J3518">
        <v>7.79</v>
      </c>
    </row>
    <row r="3519" spans="1:10" hidden="1">
      <c r="A3519" t="s">
        <v>2369</v>
      </c>
      <c r="B3519" t="s">
        <v>2370</v>
      </c>
      <c r="C3519" t="s">
        <v>235</v>
      </c>
      <c r="D3519" t="s">
        <v>2360</v>
      </c>
      <c r="E3519" t="s">
        <v>555</v>
      </c>
      <c r="F3519" t="s">
        <v>1068</v>
      </c>
      <c r="G3519" t="s">
        <v>1085</v>
      </c>
      <c r="H3519" s="171" t="s">
        <v>2287</v>
      </c>
      <c r="I3519" t="s">
        <v>1086</v>
      </c>
      <c r="J3519">
        <v>7.79</v>
      </c>
    </row>
    <row r="3520" spans="1:10" hidden="1">
      <c r="A3520" t="s">
        <v>2369</v>
      </c>
      <c r="B3520" t="s">
        <v>2370</v>
      </c>
      <c r="C3520" t="s">
        <v>235</v>
      </c>
      <c r="D3520" t="s">
        <v>2360</v>
      </c>
      <c r="E3520" t="s">
        <v>555</v>
      </c>
      <c r="F3520" t="s">
        <v>1068</v>
      </c>
      <c r="G3520" t="s">
        <v>1087</v>
      </c>
      <c r="H3520" s="171" t="s">
        <v>2288</v>
      </c>
      <c r="I3520" t="s">
        <v>1088</v>
      </c>
      <c r="J3520">
        <v>7.79</v>
      </c>
    </row>
    <row r="3521" spans="1:10" hidden="1">
      <c r="A3521" t="s">
        <v>2369</v>
      </c>
      <c r="B3521" t="s">
        <v>2370</v>
      </c>
      <c r="C3521" t="s">
        <v>235</v>
      </c>
      <c r="D3521" t="s">
        <v>2360</v>
      </c>
      <c r="E3521" t="s">
        <v>555</v>
      </c>
      <c r="F3521" t="s">
        <v>1068</v>
      </c>
      <c r="G3521" t="s">
        <v>1089</v>
      </c>
      <c r="H3521" s="171" t="s">
        <v>2289</v>
      </c>
      <c r="I3521" t="s">
        <v>1090</v>
      </c>
      <c r="J3521">
        <v>7.79</v>
      </c>
    </row>
    <row r="3522" spans="1:10" hidden="1">
      <c r="A3522" t="s">
        <v>2371</v>
      </c>
      <c r="B3522" t="s">
        <v>2372</v>
      </c>
      <c r="C3522" t="s">
        <v>235</v>
      </c>
      <c r="D3522" t="s">
        <v>2360</v>
      </c>
      <c r="E3522" t="s">
        <v>558</v>
      </c>
      <c r="F3522" t="s">
        <v>1068</v>
      </c>
      <c r="G3522" t="s">
        <v>1069</v>
      </c>
      <c r="H3522">
        <v>7.3408699132862604E-2</v>
      </c>
      <c r="I3522" t="s">
        <v>1070</v>
      </c>
      <c r="J3522">
        <v>7.85</v>
      </c>
    </row>
    <row r="3523" spans="1:10" hidden="1">
      <c r="A3523" t="s">
        <v>2371</v>
      </c>
      <c r="B3523" t="s">
        <v>2372</v>
      </c>
      <c r="C3523" t="s">
        <v>235</v>
      </c>
      <c r="D3523" t="s">
        <v>2360</v>
      </c>
      <c r="E3523" t="s">
        <v>558</v>
      </c>
      <c r="F3523" t="s">
        <v>1068</v>
      </c>
      <c r="G3523" t="s">
        <v>1071</v>
      </c>
      <c r="H3523" s="171" t="s">
        <v>2373</v>
      </c>
      <c r="I3523" t="s">
        <v>1072</v>
      </c>
      <c r="J3523">
        <v>7.85</v>
      </c>
    </row>
    <row r="3524" spans="1:10" hidden="1">
      <c r="A3524" t="s">
        <v>2371</v>
      </c>
      <c r="B3524" t="s">
        <v>2372</v>
      </c>
      <c r="C3524" t="s">
        <v>235</v>
      </c>
      <c r="D3524" t="s">
        <v>2360</v>
      </c>
      <c r="E3524" t="s">
        <v>558</v>
      </c>
      <c r="F3524" t="s">
        <v>1068</v>
      </c>
      <c r="G3524" t="s">
        <v>1073</v>
      </c>
      <c r="H3524" s="171" t="s">
        <v>2374</v>
      </c>
      <c r="I3524" t="s">
        <v>1074</v>
      </c>
      <c r="J3524">
        <v>7.85</v>
      </c>
    </row>
    <row r="3525" spans="1:10" hidden="1">
      <c r="A3525" t="s">
        <v>2371</v>
      </c>
      <c r="B3525" t="s">
        <v>2372</v>
      </c>
      <c r="C3525" t="s">
        <v>235</v>
      </c>
      <c r="D3525" t="s">
        <v>2360</v>
      </c>
      <c r="E3525" t="s">
        <v>558</v>
      </c>
      <c r="F3525" t="s">
        <v>1068</v>
      </c>
      <c r="G3525" t="s">
        <v>1075</v>
      </c>
      <c r="H3525">
        <v>3.47076519583683E-3</v>
      </c>
      <c r="I3525" t="s">
        <v>1077</v>
      </c>
      <c r="J3525">
        <v>7.85</v>
      </c>
    </row>
    <row r="3526" spans="1:10" hidden="1">
      <c r="A3526" t="s">
        <v>2371</v>
      </c>
      <c r="B3526" t="s">
        <v>2372</v>
      </c>
      <c r="C3526" t="s">
        <v>235</v>
      </c>
      <c r="D3526" t="s">
        <v>2360</v>
      </c>
      <c r="E3526" t="s">
        <v>558</v>
      </c>
      <c r="F3526" t="s">
        <v>1068</v>
      </c>
      <c r="G3526" t="s">
        <v>1078</v>
      </c>
      <c r="H3526">
        <v>2.6020560809673701E-2</v>
      </c>
      <c r="I3526" t="s">
        <v>1079</v>
      </c>
      <c r="J3526">
        <v>7.85</v>
      </c>
    </row>
    <row r="3527" spans="1:10" hidden="1">
      <c r="A3527" t="s">
        <v>2371</v>
      </c>
      <c r="B3527" t="s">
        <v>2372</v>
      </c>
      <c r="C3527" t="s">
        <v>235</v>
      </c>
      <c r="D3527" t="s">
        <v>2360</v>
      </c>
      <c r="E3527" t="s">
        <v>558</v>
      </c>
      <c r="F3527" t="s">
        <v>1068</v>
      </c>
      <c r="G3527" t="s">
        <v>1080</v>
      </c>
      <c r="H3527" s="171" t="s">
        <v>2375</v>
      </c>
      <c r="I3527" t="s">
        <v>1082</v>
      </c>
      <c r="J3527">
        <v>7.85</v>
      </c>
    </row>
    <row r="3528" spans="1:10" hidden="1">
      <c r="A3528" t="s">
        <v>2371</v>
      </c>
      <c r="B3528" t="s">
        <v>2372</v>
      </c>
      <c r="C3528" t="s">
        <v>235</v>
      </c>
      <c r="D3528" t="s">
        <v>2360</v>
      </c>
      <c r="E3528" t="s">
        <v>558</v>
      </c>
      <c r="F3528" t="s">
        <v>1068</v>
      </c>
      <c r="G3528" t="s">
        <v>1083</v>
      </c>
      <c r="H3528" s="171" t="s">
        <v>2376</v>
      </c>
      <c r="I3528" t="s">
        <v>1084</v>
      </c>
      <c r="J3528">
        <v>7.85</v>
      </c>
    </row>
    <row r="3529" spans="1:10" hidden="1">
      <c r="A3529" t="s">
        <v>2371</v>
      </c>
      <c r="B3529" t="s">
        <v>2372</v>
      </c>
      <c r="C3529" t="s">
        <v>235</v>
      </c>
      <c r="D3529" t="s">
        <v>2360</v>
      </c>
      <c r="E3529" t="s">
        <v>558</v>
      </c>
      <c r="F3529" t="s">
        <v>1068</v>
      </c>
      <c r="G3529" t="s">
        <v>1085</v>
      </c>
      <c r="H3529" s="171" t="s">
        <v>2296</v>
      </c>
      <c r="I3529" t="s">
        <v>1086</v>
      </c>
      <c r="J3529">
        <v>7.85</v>
      </c>
    </row>
    <row r="3530" spans="1:10" hidden="1">
      <c r="A3530" t="s">
        <v>2371</v>
      </c>
      <c r="B3530" t="s">
        <v>2372</v>
      </c>
      <c r="C3530" t="s">
        <v>235</v>
      </c>
      <c r="D3530" t="s">
        <v>2360</v>
      </c>
      <c r="E3530" t="s">
        <v>558</v>
      </c>
      <c r="F3530" t="s">
        <v>1068</v>
      </c>
      <c r="G3530" t="s">
        <v>1087</v>
      </c>
      <c r="H3530" s="171" t="s">
        <v>2297</v>
      </c>
      <c r="I3530" t="s">
        <v>1088</v>
      </c>
      <c r="J3530">
        <v>7.85</v>
      </c>
    </row>
    <row r="3531" spans="1:10" hidden="1">
      <c r="A3531" t="s">
        <v>2371</v>
      </c>
      <c r="B3531" t="s">
        <v>2372</v>
      </c>
      <c r="C3531" t="s">
        <v>235</v>
      </c>
      <c r="D3531" t="s">
        <v>2360</v>
      </c>
      <c r="E3531" t="s">
        <v>558</v>
      </c>
      <c r="F3531" t="s">
        <v>1068</v>
      </c>
      <c r="G3531" t="s">
        <v>1089</v>
      </c>
      <c r="H3531" s="171" t="s">
        <v>2298</v>
      </c>
      <c r="I3531" t="s">
        <v>1090</v>
      </c>
      <c r="J3531">
        <v>7.85</v>
      </c>
    </row>
    <row r="3532" spans="1:10" hidden="1">
      <c r="A3532" t="s">
        <v>2377</v>
      </c>
      <c r="B3532" t="s">
        <v>2378</v>
      </c>
      <c r="C3532" t="s">
        <v>235</v>
      </c>
      <c r="D3532" t="s">
        <v>2360</v>
      </c>
      <c r="E3532" t="s">
        <v>553</v>
      </c>
      <c r="F3532" t="s">
        <v>1068</v>
      </c>
      <c r="G3532" t="s">
        <v>1069</v>
      </c>
      <c r="H3532">
        <v>7.3461272722678606E-2</v>
      </c>
      <c r="I3532" t="s">
        <v>1070</v>
      </c>
      <c r="J3532">
        <v>7.29</v>
      </c>
    </row>
    <row r="3533" spans="1:10" hidden="1">
      <c r="A3533" t="s">
        <v>2377</v>
      </c>
      <c r="B3533" t="s">
        <v>2378</v>
      </c>
      <c r="C3533" t="s">
        <v>235</v>
      </c>
      <c r="D3533" t="s">
        <v>2360</v>
      </c>
      <c r="E3533" t="s">
        <v>553</v>
      </c>
      <c r="F3533" t="s">
        <v>1068</v>
      </c>
      <c r="G3533" t="s">
        <v>1071</v>
      </c>
      <c r="H3533" s="171" t="s">
        <v>2379</v>
      </c>
      <c r="I3533" t="s">
        <v>1072</v>
      </c>
      <c r="J3533">
        <v>7.29</v>
      </c>
    </row>
    <row r="3534" spans="1:10" hidden="1">
      <c r="A3534" t="s">
        <v>2377</v>
      </c>
      <c r="B3534" t="s">
        <v>2378</v>
      </c>
      <c r="C3534" t="s">
        <v>235</v>
      </c>
      <c r="D3534" t="s">
        <v>2360</v>
      </c>
      <c r="E3534" t="s">
        <v>553</v>
      </c>
      <c r="F3534" t="s">
        <v>1068</v>
      </c>
      <c r="G3534" t="s">
        <v>1073</v>
      </c>
      <c r="H3534" s="171" t="s">
        <v>2380</v>
      </c>
      <c r="I3534" t="s">
        <v>1074</v>
      </c>
      <c r="J3534">
        <v>7.29</v>
      </c>
    </row>
    <row r="3535" spans="1:10" hidden="1">
      <c r="A3535" t="s">
        <v>2377</v>
      </c>
      <c r="B3535" t="s">
        <v>2378</v>
      </c>
      <c r="C3535" t="s">
        <v>235</v>
      </c>
      <c r="D3535" t="s">
        <v>2360</v>
      </c>
      <c r="E3535" t="s">
        <v>553</v>
      </c>
      <c r="F3535" t="s">
        <v>1068</v>
      </c>
      <c r="G3535" t="s">
        <v>1075</v>
      </c>
      <c r="H3535">
        <v>3.4707490308736699E-3</v>
      </c>
      <c r="I3535" t="s">
        <v>1077</v>
      </c>
      <c r="J3535">
        <v>7.29</v>
      </c>
    </row>
    <row r="3536" spans="1:10" hidden="1">
      <c r="A3536" t="s">
        <v>2377</v>
      </c>
      <c r="B3536" t="s">
        <v>2378</v>
      </c>
      <c r="C3536" t="s">
        <v>235</v>
      </c>
      <c r="D3536" t="s">
        <v>2360</v>
      </c>
      <c r="E3536" t="s">
        <v>553</v>
      </c>
      <c r="F3536" t="s">
        <v>1068</v>
      </c>
      <c r="G3536" t="s">
        <v>1078</v>
      </c>
      <c r="H3536" s="171" t="s">
        <v>2381</v>
      </c>
      <c r="I3536" t="s">
        <v>1079</v>
      </c>
      <c r="J3536">
        <v>7.29</v>
      </c>
    </row>
    <row r="3537" spans="1:10" hidden="1">
      <c r="A3537" t="s">
        <v>2377</v>
      </c>
      <c r="B3537" t="s">
        <v>2378</v>
      </c>
      <c r="C3537" t="s">
        <v>235</v>
      </c>
      <c r="D3537" t="s">
        <v>2360</v>
      </c>
      <c r="E3537" t="s">
        <v>553</v>
      </c>
      <c r="F3537" t="s">
        <v>1068</v>
      </c>
      <c r="G3537" t="s">
        <v>1080</v>
      </c>
      <c r="H3537" s="171" t="s">
        <v>2382</v>
      </c>
      <c r="I3537" t="s">
        <v>1082</v>
      </c>
      <c r="J3537">
        <v>7.29</v>
      </c>
    </row>
    <row r="3538" spans="1:10" hidden="1">
      <c r="A3538" t="s">
        <v>2377</v>
      </c>
      <c r="B3538" t="s">
        <v>2378</v>
      </c>
      <c r="C3538" t="s">
        <v>235</v>
      </c>
      <c r="D3538" t="s">
        <v>2360</v>
      </c>
      <c r="E3538" t="s">
        <v>553</v>
      </c>
      <c r="F3538" t="s">
        <v>1068</v>
      </c>
      <c r="G3538" t="s">
        <v>1083</v>
      </c>
      <c r="H3538" s="171" t="s">
        <v>2383</v>
      </c>
      <c r="I3538" t="s">
        <v>1084</v>
      </c>
      <c r="J3538">
        <v>7.29</v>
      </c>
    </row>
    <row r="3539" spans="1:10" hidden="1">
      <c r="A3539" t="s">
        <v>2377</v>
      </c>
      <c r="B3539" t="s">
        <v>2378</v>
      </c>
      <c r="C3539" t="s">
        <v>235</v>
      </c>
      <c r="D3539" t="s">
        <v>2360</v>
      </c>
      <c r="E3539" t="s">
        <v>553</v>
      </c>
      <c r="F3539" t="s">
        <v>1068</v>
      </c>
      <c r="G3539" t="s">
        <v>1085</v>
      </c>
      <c r="H3539" s="171" t="s">
        <v>2384</v>
      </c>
      <c r="I3539" t="s">
        <v>1086</v>
      </c>
      <c r="J3539">
        <v>7.29</v>
      </c>
    </row>
    <row r="3540" spans="1:10" hidden="1">
      <c r="A3540" t="s">
        <v>2377</v>
      </c>
      <c r="B3540" t="s">
        <v>2378</v>
      </c>
      <c r="C3540" t="s">
        <v>235</v>
      </c>
      <c r="D3540" t="s">
        <v>2360</v>
      </c>
      <c r="E3540" t="s">
        <v>553</v>
      </c>
      <c r="F3540" t="s">
        <v>1068</v>
      </c>
      <c r="G3540" t="s">
        <v>1087</v>
      </c>
      <c r="H3540" s="171" t="s">
        <v>2307</v>
      </c>
      <c r="I3540" t="s">
        <v>1088</v>
      </c>
      <c r="J3540">
        <v>7.29</v>
      </c>
    </row>
    <row r="3541" spans="1:10" hidden="1">
      <c r="A3541" t="s">
        <v>2377</v>
      </c>
      <c r="B3541" t="s">
        <v>2378</v>
      </c>
      <c r="C3541" t="s">
        <v>235</v>
      </c>
      <c r="D3541" t="s">
        <v>2360</v>
      </c>
      <c r="E3541" t="s">
        <v>553</v>
      </c>
      <c r="F3541" t="s">
        <v>1068</v>
      </c>
      <c r="G3541" t="s">
        <v>1089</v>
      </c>
      <c r="H3541" s="171" t="s">
        <v>2385</v>
      </c>
      <c r="I3541" t="s">
        <v>1090</v>
      </c>
      <c r="J3541">
        <v>7.29</v>
      </c>
    </row>
    <row r="3542" spans="1:10" hidden="1">
      <c r="A3542" t="s">
        <v>2386</v>
      </c>
      <c r="B3542" t="s">
        <v>2387</v>
      </c>
      <c r="C3542" t="s">
        <v>235</v>
      </c>
      <c r="D3542" t="s">
        <v>2360</v>
      </c>
      <c r="E3542" t="s">
        <v>556</v>
      </c>
      <c r="F3542" t="s">
        <v>1068</v>
      </c>
      <c r="G3542" t="s">
        <v>1069</v>
      </c>
      <c r="H3542">
        <v>7.3476526600524894E-2</v>
      </c>
      <c r="I3542" t="s">
        <v>1070</v>
      </c>
      <c r="J3542">
        <v>7.76</v>
      </c>
    </row>
    <row r="3543" spans="1:10" hidden="1">
      <c r="A3543" t="s">
        <v>2386</v>
      </c>
      <c r="B3543" t="s">
        <v>2387</v>
      </c>
      <c r="C3543" t="s">
        <v>235</v>
      </c>
      <c r="D3543" t="s">
        <v>2360</v>
      </c>
      <c r="E3543" t="s">
        <v>556</v>
      </c>
      <c r="F3543" t="s">
        <v>1068</v>
      </c>
      <c r="G3543" t="s">
        <v>1071</v>
      </c>
      <c r="H3543" s="171" t="s">
        <v>2388</v>
      </c>
      <c r="I3543" t="s">
        <v>1072</v>
      </c>
      <c r="J3543">
        <v>7.76</v>
      </c>
    </row>
    <row r="3544" spans="1:10" hidden="1">
      <c r="A3544" t="s">
        <v>2386</v>
      </c>
      <c r="B3544" t="s">
        <v>2387</v>
      </c>
      <c r="C3544" t="s">
        <v>235</v>
      </c>
      <c r="D3544" t="s">
        <v>2360</v>
      </c>
      <c r="E3544" t="s">
        <v>556</v>
      </c>
      <c r="F3544" t="s">
        <v>1068</v>
      </c>
      <c r="G3544" t="s">
        <v>1073</v>
      </c>
      <c r="H3544" s="171" t="s">
        <v>2389</v>
      </c>
      <c r="I3544" t="s">
        <v>1074</v>
      </c>
      <c r="J3544">
        <v>7.76</v>
      </c>
    </row>
    <row r="3545" spans="1:10" hidden="1">
      <c r="A3545" t="s">
        <v>2386</v>
      </c>
      <c r="B3545" t="s">
        <v>2387</v>
      </c>
      <c r="C3545" t="s">
        <v>235</v>
      </c>
      <c r="D3545" t="s">
        <v>2360</v>
      </c>
      <c r="E3545" t="s">
        <v>556</v>
      </c>
      <c r="F3545" t="s">
        <v>1068</v>
      </c>
      <c r="G3545" t="s">
        <v>1075</v>
      </c>
      <c r="H3545">
        <v>3.47123122224764E-3</v>
      </c>
      <c r="I3545" t="s">
        <v>1077</v>
      </c>
      <c r="J3545">
        <v>7.76</v>
      </c>
    </row>
    <row r="3546" spans="1:10" hidden="1">
      <c r="A3546" t="s">
        <v>2386</v>
      </c>
      <c r="B3546" t="s">
        <v>2387</v>
      </c>
      <c r="C3546" t="s">
        <v>235</v>
      </c>
      <c r="D3546" t="s">
        <v>2360</v>
      </c>
      <c r="E3546" t="s">
        <v>556</v>
      </c>
      <c r="F3546" t="s">
        <v>1068</v>
      </c>
      <c r="G3546" t="s">
        <v>1078</v>
      </c>
      <c r="H3546">
        <v>2.60407097668429E-2</v>
      </c>
      <c r="I3546" t="s">
        <v>1079</v>
      </c>
      <c r="J3546">
        <v>7.76</v>
      </c>
    </row>
    <row r="3547" spans="1:10" hidden="1">
      <c r="A3547" t="s">
        <v>2386</v>
      </c>
      <c r="B3547" t="s">
        <v>2387</v>
      </c>
      <c r="C3547" t="s">
        <v>235</v>
      </c>
      <c r="D3547" t="s">
        <v>2360</v>
      </c>
      <c r="E3547" t="s">
        <v>556</v>
      </c>
      <c r="F3547" t="s">
        <v>1068</v>
      </c>
      <c r="G3547" t="s">
        <v>1080</v>
      </c>
      <c r="H3547" s="171" t="s">
        <v>2390</v>
      </c>
      <c r="I3547" t="s">
        <v>1082</v>
      </c>
      <c r="J3547">
        <v>7.76</v>
      </c>
    </row>
    <row r="3548" spans="1:10" hidden="1">
      <c r="A3548" t="s">
        <v>2386</v>
      </c>
      <c r="B3548" t="s">
        <v>2387</v>
      </c>
      <c r="C3548" t="s">
        <v>235</v>
      </c>
      <c r="D3548" t="s">
        <v>2360</v>
      </c>
      <c r="E3548" t="s">
        <v>556</v>
      </c>
      <c r="F3548" t="s">
        <v>1068</v>
      </c>
      <c r="G3548" t="s">
        <v>1083</v>
      </c>
      <c r="H3548" s="171" t="s">
        <v>2391</v>
      </c>
      <c r="I3548" t="s">
        <v>1084</v>
      </c>
      <c r="J3548">
        <v>7.76</v>
      </c>
    </row>
    <row r="3549" spans="1:10" hidden="1">
      <c r="A3549" t="s">
        <v>2386</v>
      </c>
      <c r="B3549" t="s">
        <v>2387</v>
      </c>
      <c r="C3549" t="s">
        <v>235</v>
      </c>
      <c r="D3549" t="s">
        <v>2360</v>
      </c>
      <c r="E3549" t="s">
        <v>556</v>
      </c>
      <c r="F3549" t="s">
        <v>1068</v>
      </c>
      <c r="G3549" t="s">
        <v>1085</v>
      </c>
      <c r="H3549" s="171" t="s">
        <v>2392</v>
      </c>
      <c r="I3549" t="s">
        <v>1086</v>
      </c>
      <c r="J3549">
        <v>7.76</v>
      </c>
    </row>
    <row r="3550" spans="1:10" hidden="1">
      <c r="A3550" t="s">
        <v>2386</v>
      </c>
      <c r="B3550" t="s">
        <v>2387</v>
      </c>
      <c r="C3550" t="s">
        <v>235</v>
      </c>
      <c r="D3550" t="s">
        <v>2360</v>
      </c>
      <c r="E3550" t="s">
        <v>556</v>
      </c>
      <c r="F3550" t="s">
        <v>1068</v>
      </c>
      <c r="G3550" t="s">
        <v>1087</v>
      </c>
      <c r="H3550" s="171" t="s">
        <v>2393</v>
      </c>
      <c r="I3550" t="s">
        <v>1088</v>
      </c>
      <c r="J3550">
        <v>7.76</v>
      </c>
    </row>
    <row r="3551" spans="1:10" hidden="1">
      <c r="A3551" t="s">
        <v>2386</v>
      </c>
      <c r="B3551" t="s">
        <v>2387</v>
      </c>
      <c r="C3551" t="s">
        <v>235</v>
      </c>
      <c r="D3551" t="s">
        <v>2360</v>
      </c>
      <c r="E3551" t="s">
        <v>556</v>
      </c>
      <c r="F3551" t="s">
        <v>1068</v>
      </c>
      <c r="G3551" t="s">
        <v>1089</v>
      </c>
      <c r="H3551" s="171" t="s">
        <v>2318</v>
      </c>
      <c r="I3551" t="s">
        <v>1090</v>
      </c>
      <c r="J3551">
        <v>7.76</v>
      </c>
    </row>
    <row r="3552" spans="1:10" hidden="1">
      <c r="A3552" t="s">
        <v>2394</v>
      </c>
      <c r="B3552" t="s">
        <v>2395</v>
      </c>
      <c r="C3552" t="s">
        <v>235</v>
      </c>
      <c r="D3552" t="s">
        <v>2360</v>
      </c>
      <c r="E3552" t="s">
        <v>557</v>
      </c>
      <c r="F3552" t="s">
        <v>1068</v>
      </c>
      <c r="G3552" t="s">
        <v>1069</v>
      </c>
      <c r="H3552">
        <v>7.3413906677417706E-2</v>
      </c>
      <c r="I3552" t="s">
        <v>1070</v>
      </c>
      <c r="J3552">
        <v>11.06</v>
      </c>
    </row>
    <row r="3553" spans="1:10" hidden="1">
      <c r="A3553" t="s">
        <v>2394</v>
      </c>
      <c r="B3553" t="s">
        <v>2395</v>
      </c>
      <c r="C3553" t="s">
        <v>235</v>
      </c>
      <c r="D3553" t="s">
        <v>2360</v>
      </c>
      <c r="E3553" t="s">
        <v>557</v>
      </c>
      <c r="F3553" t="s">
        <v>1068</v>
      </c>
      <c r="G3553" t="s">
        <v>1071</v>
      </c>
      <c r="H3553" s="171" t="s">
        <v>2396</v>
      </c>
      <c r="I3553" t="s">
        <v>1072</v>
      </c>
      <c r="J3553">
        <v>11.06</v>
      </c>
    </row>
    <row r="3554" spans="1:10" hidden="1">
      <c r="A3554" t="s">
        <v>2394</v>
      </c>
      <c r="B3554" t="s">
        <v>2395</v>
      </c>
      <c r="C3554" t="s">
        <v>235</v>
      </c>
      <c r="D3554" t="s">
        <v>2360</v>
      </c>
      <c r="E3554" t="s">
        <v>557</v>
      </c>
      <c r="F3554" t="s">
        <v>1068</v>
      </c>
      <c r="G3554" t="s">
        <v>1073</v>
      </c>
      <c r="H3554" s="171" t="s">
        <v>2397</v>
      </c>
      <c r="I3554" t="s">
        <v>1074</v>
      </c>
      <c r="J3554">
        <v>11.06</v>
      </c>
    </row>
    <row r="3555" spans="1:10" hidden="1">
      <c r="A3555" t="s">
        <v>2394</v>
      </c>
      <c r="B3555" t="s">
        <v>2395</v>
      </c>
      <c r="C3555" t="s">
        <v>235</v>
      </c>
      <c r="D3555" t="s">
        <v>2360</v>
      </c>
      <c r="E3555" t="s">
        <v>557</v>
      </c>
      <c r="F3555" t="s">
        <v>1068</v>
      </c>
      <c r="G3555" t="s">
        <v>1075</v>
      </c>
      <c r="H3555">
        <v>3.4709298118832999E-3</v>
      </c>
      <c r="I3555" t="s">
        <v>1077</v>
      </c>
      <c r="J3555">
        <v>11.06</v>
      </c>
    </row>
    <row r="3556" spans="1:10" hidden="1">
      <c r="A3556" t="s">
        <v>2394</v>
      </c>
      <c r="B3556" t="s">
        <v>2395</v>
      </c>
      <c r="C3556" t="s">
        <v>235</v>
      </c>
      <c r="D3556" t="s">
        <v>2360</v>
      </c>
      <c r="E3556" t="s">
        <v>557</v>
      </c>
      <c r="F3556" t="s">
        <v>1068</v>
      </c>
      <c r="G3556" t="s">
        <v>1078</v>
      </c>
      <c r="H3556" s="171" t="s">
        <v>2398</v>
      </c>
      <c r="I3556" t="s">
        <v>1079</v>
      </c>
      <c r="J3556">
        <v>11.06</v>
      </c>
    </row>
    <row r="3557" spans="1:10" hidden="1">
      <c r="A3557" t="s">
        <v>2394</v>
      </c>
      <c r="B3557" t="s">
        <v>2395</v>
      </c>
      <c r="C3557" t="s">
        <v>235</v>
      </c>
      <c r="D3557" t="s">
        <v>2360</v>
      </c>
      <c r="E3557" t="s">
        <v>557</v>
      </c>
      <c r="F3557" t="s">
        <v>1068</v>
      </c>
      <c r="G3557" t="s">
        <v>1080</v>
      </c>
      <c r="H3557" s="171" t="s">
        <v>2399</v>
      </c>
      <c r="I3557" t="s">
        <v>1082</v>
      </c>
      <c r="J3557">
        <v>11.06</v>
      </c>
    </row>
    <row r="3558" spans="1:10" hidden="1">
      <c r="A3558" t="s">
        <v>2394</v>
      </c>
      <c r="B3558" t="s">
        <v>2395</v>
      </c>
      <c r="C3558" t="s">
        <v>235</v>
      </c>
      <c r="D3558" t="s">
        <v>2360</v>
      </c>
      <c r="E3558" t="s">
        <v>557</v>
      </c>
      <c r="F3558" t="s">
        <v>1068</v>
      </c>
      <c r="G3558" t="s">
        <v>1083</v>
      </c>
      <c r="H3558" s="171" t="s">
        <v>2400</v>
      </c>
      <c r="I3558" t="s">
        <v>1084</v>
      </c>
      <c r="J3558">
        <v>11.06</v>
      </c>
    </row>
    <row r="3559" spans="1:10" hidden="1">
      <c r="A3559" t="s">
        <v>2394</v>
      </c>
      <c r="B3559" t="s">
        <v>2395</v>
      </c>
      <c r="C3559" t="s">
        <v>235</v>
      </c>
      <c r="D3559" t="s">
        <v>2360</v>
      </c>
      <c r="E3559" t="s">
        <v>557</v>
      </c>
      <c r="F3559" t="s">
        <v>1068</v>
      </c>
      <c r="G3559" t="s">
        <v>1085</v>
      </c>
      <c r="H3559" s="171" t="s">
        <v>2401</v>
      </c>
      <c r="I3559" t="s">
        <v>1086</v>
      </c>
      <c r="J3559">
        <v>11.06</v>
      </c>
    </row>
    <row r="3560" spans="1:10" hidden="1">
      <c r="A3560" t="s">
        <v>2394</v>
      </c>
      <c r="B3560" t="s">
        <v>2395</v>
      </c>
      <c r="C3560" t="s">
        <v>235</v>
      </c>
      <c r="D3560" t="s">
        <v>2360</v>
      </c>
      <c r="E3560" t="s">
        <v>557</v>
      </c>
      <c r="F3560" t="s">
        <v>1068</v>
      </c>
      <c r="G3560" t="s">
        <v>1087</v>
      </c>
      <c r="H3560" s="171" t="s">
        <v>2402</v>
      </c>
      <c r="I3560" t="s">
        <v>1088</v>
      </c>
      <c r="J3560">
        <v>11.06</v>
      </c>
    </row>
    <row r="3561" spans="1:10" hidden="1">
      <c r="A3561" t="s">
        <v>2394</v>
      </c>
      <c r="B3561" t="s">
        <v>2395</v>
      </c>
      <c r="C3561" t="s">
        <v>235</v>
      </c>
      <c r="D3561" t="s">
        <v>2360</v>
      </c>
      <c r="E3561" t="s">
        <v>557</v>
      </c>
      <c r="F3561" t="s">
        <v>1068</v>
      </c>
      <c r="G3561" t="s">
        <v>1089</v>
      </c>
      <c r="H3561" s="171" t="s">
        <v>2403</v>
      </c>
      <c r="I3561" t="s">
        <v>1090</v>
      </c>
      <c r="J3561">
        <v>11.06</v>
      </c>
    </row>
    <row r="3562" spans="1:10" hidden="1">
      <c r="A3562" t="s">
        <v>2404</v>
      </c>
      <c r="B3562" t="s">
        <v>2405</v>
      </c>
      <c r="C3562" t="s">
        <v>235</v>
      </c>
      <c r="D3562" t="s">
        <v>2360</v>
      </c>
      <c r="E3562" t="s">
        <v>559</v>
      </c>
      <c r="F3562" t="s">
        <v>1068</v>
      </c>
      <c r="G3562" t="s">
        <v>1069</v>
      </c>
      <c r="H3562">
        <v>7.3471992506088504E-2</v>
      </c>
      <c r="I3562" t="s">
        <v>1070</v>
      </c>
      <c r="J3562">
        <v>7.24</v>
      </c>
    </row>
    <row r="3563" spans="1:10" hidden="1">
      <c r="A3563" t="s">
        <v>2404</v>
      </c>
      <c r="B3563" t="s">
        <v>2405</v>
      </c>
      <c r="C3563" t="s">
        <v>235</v>
      </c>
      <c r="D3563" t="s">
        <v>2360</v>
      </c>
      <c r="E3563" t="s">
        <v>559</v>
      </c>
      <c r="F3563" t="s">
        <v>1068</v>
      </c>
      <c r="G3563" t="s">
        <v>1071</v>
      </c>
      <c r="H3563" s="171" t="s">
        <v>2330</v>
      </c>
      <c r="I3563" t="s">
        <v>1072</v>
      </c>
      <c r="J3563">
        <v>7.24</v>
      </c>
    </row>
    <row r="3564" spans="1:10" hidden="1">
      <c r="A3564" t="s">
        <v>2404</v>
      </c>
      <c r="B3564" t="s">
        <v>2405</v>
      </c>
      <c r="C3564" t="s">
        <v>235</v>
      </c>
      <c r="D3564" t="s">
        <v>2360</v>
      </c>
      <c r="E3564" t="s">
        <v>559</v>
      </c>
      <c r="F3564" t="s">
        <v>1068</v>
      </c>
      <c r="G3564" t="s">
        <v>1073</v>
      </c>
      <c r="H3564" s="171" t="s">
        <v>2331</v>
      </c>
      <c r="I3564" t="s">
        <v>1074</v>
      </c>
      <c r="J3564">
        <v>7.24</v>
      </c>
    </row>
    <row r="3565" spans="1:10" hidden="1">
      <c r="A3565" t="s">
        <v>2404</v>
      </c>
      <c r="B3565" t="s">
        <v>2405</v>
      </c>
      <c r="C3565" t="s">
        <v>235</v>
      </c>
      <c r="D3565" t="s">
        <v>2360</v>
      </c>
      <c r="E3565" t="s">
        <v>559</v>
      </c>
      <c r="F3565" t="s">
        <v>1068</v>
      </c>
      <c r="G3565" t="s">
        <v>1075</v>
      </c>
      <c r="H3565">
        <v>3.4710878946788699E-3</v>
      </c>
      <c r="I3565" t="s">
        <v>1077</v>
      </c>
      <c r="J3565">
        <v>7.25</v>
      </c>
    </row>
    <row r="3566" spans="1:10" hidden="1">
      <c r="A3566" t="s">
        <v>2404</v>
      </c>
      <c r="B3566" t="s">
        <v>2405</v>
      </c>
      <c r="C3566" t="s">
        <v>235</v>
      </c>
      <c r="D3566" t="s">
        <v>2360</v>
      </c>
      <c r="E3566" t="s">
        <v>559</v>
      </c>
      <c r="F3566" t="s">
        <v>1068</v>
      </c>
      <c r="G3566" t="s">
        <v>1078</v>
      </c>
      <c r="H3566" s="171" t="s">
        <v>2332</v>
      </c>
      <c r="I3566" t="s">
        <v>1079</v>
      </c>
      <c r="J3566">
        <v>7.25</v>
      </c>
    </row>
    <row r="3567" spans="1:10" hidden="1">
      <c r="A3567" t="s">
        <v>2404</v>
      </c>
      <c r="B3567" t="s">
        <v>2405</v>
      </c>
      <c r="C3567" t="s">
        <v>235</v>
      </c>
      <c r="D3567" t="s">
        <v>2360</v>
      </c>
      <c r="E3567" t="s">
        <v>559</v>
      </c>
      <c r="F3567" t="s">
        <v>1068</v>
      </c>
      <c r="G3567" t="s">
        <v>1080</v>
      </c>
      <c r="H3567" s="171" t="s">
        <v>2333</v>
      </c>
      <c r="I3567" t="s">
        <v>1082</v>
      </c>
      <c r="J3567">
        <v>7.25</v>
      </c>
    </row>
    <row r="3568" spans="1:10" hidden="1">
      <c r="A3568" t="s">
        <v>2404</v>
      </c>
      <c r="B3568" t="s">
        <v>2405</v>
      </c>
      <c r="C3568" t="s">
        <v>235</v>
      </c>
      <c r="D3568" t="s">
        <v>2360</v>
      </c>
      <c r="E3568" t="s">
        <v>559</v>
      </c>
      <c r="F3568" t="s">
        <v>1068</v>
      </c>
      <c r="G3568" t="s">
        <v>1083</v>
      </c>
      <c r="H3568" s="171" t="s">
        <v>2334</v>
      </c>
      <c r="I3568" t="s">
        <v>1084</v>
      </c>
      <c r="J3568">
        <v>7.25</v>
      </c>
    </row>
    <row r="3569" spans="1:10" hidden="1">
      <c r="A3569" t="s">
        <v>2404</v>
      </c>
      <c r="B3569" t="s">
        <v>2405</v>
      </c>
      <c r="C3569" t="s">
        <v>235</v>
      </c>
      <c r="D3569" t="s">
        <v>2360</v>
      </c>
      <c r="E3569" t="s">
        <v>559</v>
      </c>
      <c r="F3569" t="s">
        <v>1068</v>
      </c>
      <c r="G3569" t="s">
        <v>1085</v>
      </c>
      <c r="H3569" s="171" t="s">
        <v>2335</v>
      </c>
      <c r="I3569" t="s">
        <v>1086</v>
      </c>
      <c r="J3569">
        <v>7.25</v>
      </c>
    </row>
    <row r="3570" spans="1:10" hidden="1">
      <c r="A3570" t="s">
        <v>2404</v>
      </c>
      <c r="B3570" t="s">
        <v>2405</v>
      </c>
      <c r="C3570" t="s">
        <v>235</v>
      </c>
      <c r="D3570" t="s">
        <v>2360</v>
      </c>
      <c r="E3570" t="s">
        <v>559</v>
      </c>
      <c r="F3570" t="s">
        <v>1068</v>
      </c>
      <c r="G3570" t="s">
        <v>1087</v>
      </c>
      <c r="H3570" s="171" t="s">
        <v>2336</v>
      </c>
      <c r="I3570" t="s">
        <v>1088</v>
      </c>
      <c r="J3570">
        <v>7.25</v>
      </c>
    </row>
    <row r="3571" spans="1:10" hidden="1">
      <c r="A3571" t="s">
        <v>2404</v>
      </c>
      <c r="B3571" t="s">
        <v>2405</v>
      </c>
      <c r="C3571" t="s">
        <v>235</v>
      </c>
      <c r="D3571" t="s">
        <v>2360</v>
      </c>
      <c r="E3571" t="s">
        <v>559</v>
      </c>
      <c r="F3571" t="s">
        <v>1068</v>
      </c>
      <c r="G3571" t="s">
        <v>1089</v>
      </c>
      <c r="H3571" s="171" t="s">
        <v>2337</v>
      </c>
      <c r="I3571" t="s">
        <v>1090</v>
      </c>
      <c r="J3571">
        <v>7.25</v>
      </c>
    </row>
    <row r="3572" spans="1:10" hidden="1">
      <c r="A3572" t="s">
        <v>2406</v>
      </c>
      <c r="B3572" t="s">
        <v>2407</v>
      </c>
      <c r="C3572" t="s">
        <v>235</v>
      </c>
      <c r="D3572" t="s">
        <v>2360</v>
      </c>
      <c r="E3572" t="s">
        <v>560</v>
      </c>
      <c r="F3572" t="s">
        <v>1068</v>
      </c>
      <c r="G3572" t="s">
        <v>1069</v>
      </c>
      <c r="H3572">
        <v>7.3416684034516802E-2</v>
      </c>
      <c r="I3572" t="s">
        <v>1070</v>
      </c>
      <c r="J3572">
        <v>6.54</v>
      </c>
    </row>
    <row r="3573" spans="1:10" hidden="1">
      <c r="A3573" t="s">
        <v>2406</v>
      </c>
      <c r="B3573" t="s">
        <v>2407</v>
      </c>
      <c r="C3573" t="s">
        <v>235</v>
      </c>
      <c r="D3573" t="s">
        <v>2360</v>
      </c>
      <c r="E3573" t="s">
        <v>560</v>
      </c>
      <c r="F3573" t="s">
        <v>1068</v>
      </c>
      <c r="G3573" t="s">
        <v>1071</v>
      </c>
      <c r="H3573" s="171" t="s">
        <v>2408</v>
      </c>
      <c r="I3573" t="s">
        <v>1072</v>
      </c>
      <c r="J3573">
        <v>6.54</v>
      </c>
    </row>
    <row r="3574" spans="1:10" hidden="1">
      <c r="A3574" t="s">
        <v>2406</v>
      </c>
      <c r="B3574" t="s">
        <v>2407</v>
      </c>
      <c r="C3574" t="s">
        <v>235</v>
      </c>
      <c r="D3574" t="s">
        <v>2360</v>
      </c>
      <c r="E3574" t="s">
        <v>560</v>
      </c>
      <c r="F3574" t="s">
        <v>1068</v>
      </c>
      <c r="G3574" t="s">
        <v>1073</v>
      </c>
      <c r="H3574" s="171" t="s">
        <v>2341</v>
      </c>
      <c r="I3574" t="s">
        <v>1074</v>
      </c>
      <c r="J3574">
        <v>6.54</v>
      </c>
    </row>
    <row r="3575" spans="1:10" hidden="1">
      <c r="A3575" t="s">
        <v>2406</v>
      </c>
      <c r="B3575" t="s">
        <v>2407</v>
      </c>
      <c r="C3575" t="s">
        <v>235</v>
      </c>
      <c r="D3575" t="s">
        <v>2360</v>
      </c>
      <c r="E3575" t="s">
        <v>560</v>
      </c>
      <c r="F3575" t="s">
        <v>1068</v>
      </c>
      <c r="G3575" t="s">
        <v>1075</v>
      </c>
      <c r="H3575">
        <v>3.4710176071081401E-3</v>
      </c>
      <c r="I3575" t="s">
        <v>1077</v>
      </c>
      <c r="J3575">
        <v>6.54</v>
      </c>
    </row>
    <row r="3576" spans="1:10" hidden="1">
      <c r="A3576" t="s">
        <v>2406</v>
      </c>
      <c r="B3576" t="s">
        <v>2407</v>
      </c>
      <c r="C3576" t="s">
        <v>235</v>
      </c>
      <c r="D3576" t="s">
        <v>2360</v>
      </c>
      <c r="E3576" t="s">
        <v>560</v>
      </c>
      <c r="F3576" t="s">
        <v>1068</v>
      </c>
      <c r="G3576" t="s">
        <v>1078</v>
      </c>
      <c r="H3576" s="171" t="s">
        <v>2342</v>
      </c>
      <c r="I3576" t="s">
        <v>1079</v>
      </c>
      <c r="J3576">
        <v>6.54</v>
      </c>
    </row>
    <row r="3577" spans="1:10" hidden="1">
      <c r="A3577" t="s">
        <v>2406</v>
      </c>
      <c r="B3577" t="s">
        <v>2407</v>
      </c>
      <c r="C3577" t="s">
        <v>235</v>
      </c>
      <c r="D3577" t="s">
        <v>2360</v>
      </c>
      <c r="E3577" t="s">
        <v>560</v>
      </c>
      <c r="F3577" t="s">
        <v>1068</v>
      </c>
      <c r="G3577" t="s">
        <v>1080</v>
      </c>
      <c r="H3577" s="171" t="s">
        <v>2343</v>
      </c>
      <c r="I3577" t="s">
        <v>1082</v>
      </c>
      <c r="J3577">
        <v>6.54</v>
      </c>
    </row>
    <row r="3578" spans="1:10" hidden="1">
      <c r="A3578" t="s">
        <v>2406</v>
      </c>
      <c r="B3578" t="s">
        <v>2407</v>
      </c>
      <c r="C3578" t="s">
        <v>235</v>
      </c>
      <c r="D3578" t="s">
        <v>2360</v>
      </c>
      <c r="E3578" t="s">
        <v>560</v>
      </c>
      <c r="F3578" t="s">
        <v>1068</v>
      </c>
      <c r="G3578" t="s">
        <v>1083</v>
      </c>
      <c r="H3578" s="171" t="s">
        <v>2344</v>
      </c>
      <c r="I3578" t="s">
        <v>1084</v>
      </c>
      <c r="J3578">
        <v>6.54</v>
      </c>
    </row>
    <row r="3579" spans="1:10" hidden="1">
      <c r="A3579" t="s">
        <v>2406</v>
      </c>
      <c r="B3579" t="s">
        <v>2407</v>
      </c>
      <c r="C3579" t="s">
        <v>235</v>
      </c>
      <c r="D3579" t="s">
        <v>2360</v>
      </c>
      <c r="E3579" t="s">
        <v>560</v>
      </c>
      <c r="F3579" t="s">
        <v>1068</v>
      </c>
      <c r="G3579" t="s">
        <v>1085</v>
      </c>
      <c r="H3579" s="171" t="s">
        <v>2345</v>
      </c>
      <c r="I3579" t="s">
        <v>1086</v>
      </c>
      <c r="J3579">
        <v>6.54</v>
      </c>
    </row>
    <row r="3580" spans="1:10" hidden="1">
      <c r="A3580" t="s">
        <v>2406</v>
      </c>
      <c r="B3580" t="s">
        <v>2407</v>
      </c>
      <c r="C3580" t="s">
        <v>235</v>
      </c>
      <c r="D3580" t="s">
        <v>2360</v>
      </c>
      <c r="E3580" t="s">
        <v>560</v>
      </c>
      <c r="F3580" t="s">
        <v>1068</v>
      </c>
      <c r="G3580" t="s">
        <v>1087</v>
      </c>
      <c r="H3580" s="171" t="s">
        <v>2346</v>
      </c>
      <c r="I3580" t="s">
        <v>1088</v>
      </c>
      <c r="J3580">
        <v>6.54</v>
      </c>
    </row>
    <row r="3581" spans="1:10" hidden="1">
      <c r="A3581" t="s">
        <v>2406</v>
      </c>
      <c r="B3581" t="s">
        <v>2407</v>
      </c>
      <c r="C3581" t="s">
        <v>235</v>
      </c>
      <c r="D3581" t="s">
        <v>2360</v>
      </c>
      <c r="E3581" t="s">
        <v>560</v>
      </c>
      <c r="F3581" t="s">
        <v>1068</v>
      </c>
      <c r="G3581" t="s">
        <v>1089</v>
      </c>
      <c r="H3581" s="171" t="s">
        <v>2347</v>
      </c>
      <c r="I3581" t="s">
        <v>1090</v>
      </c>
      <c r="J3581">
        <v>6.54</v>
      </c>
    </row>
    <row r="3582" spans="1:10" hidden="1">
      <c r="A3582" t="s">
        <v>2409</v>
      </c>
      <c r="B3582" t="s">
        <v>2410</v>
      </c>
      <c r="C3582" t="s">
        <v>235</v>
      </c>
      <c r="D3582" t="s">
        <v>2360</v>
      </c>
      <c r="E3582" t="s">
        <v>1116</v>
      </c>
      <c r="F3582" t="s">
        <v>1068</v>
      </c>
      <c r="G3582" t="s">
        <v>1069</v>
      </c>
      <c r="H3582">
        <v>7.3408254476421603E-2</v>
      </c>
      <c r="I3582" t="s">
        <v>1070</v>
      </c>
      <c r="J3582">
        <v>7.21</v>
      </c>
    </row>
    <row r="3583" spans="1:10" hidden="1">
      <c r="A3583" t="s">
        <v>2409</v>
      </c>
      <c r="B3583" t="s">
        <v>2410</v>
      </c>
      <c r="C3583" t="s">
        <v>235</v>
      </c>
      <c r="D3583" t="s">
        <v>2360</v>
      </c>
      <c r="E3583" t="s">
        <v>1116</v>
      </c>
      <c r="F3583" t="s">
        <v>1068</v>
      </c>
      <c r="G3583" t="s">
        <v>1071</v>
      </c>
      <c r="H3583" s="171" t="s">
        <v>2350</v>
      </c>
      <c r="I3583" t="s">
        <v>1072</v>
      </c>
      <c r="J3583">
        <v>7.21</v>
      </c>
    </row>
    <row r="3584" spans="1:10" hidden="1">
      <c r="A3584" t="s">
        <v>2409</v>
      </c>
      <c r="B3584" t="s">
        <v>2410</v>
      </c>
      <c r="C3584" t="s">
        <v>235</v>
      </c>
      <c r="D3584" t="s">
        <v>2360</v>
      </c>
      <c r="E3584" t="s">
        <v>1116</v>
      </c>
      <c r="F3584" t="s">
        <v>1068</v>
      </c>
      <c r="G3584" t="s">
        <v>1073</v>
      </c>
      <c r="H3584" s="171" t="s">
        <v>2351</v>
      </c>
      <c r="I3584" t="s">
        <v>1074</v>
      </c>
      <c r="J3584">
        <v>7.21</v>
      </c>
    </row>
    <row r="3585" spans="1:10" hidden="1">
      <c r="A3585" t="s">
        <v>2409</v>
      </c>
      <c r="B3585" t="s">
        <v>2410</v>
      </c>
      <c r="C3585" t="s">
        <v>235</v>
      </c>
      <c r="D3585" t="s">
        <v>2360</v>
      </c>
      <c r="E3585" t="s">
        <v>1116</v>
      </c>
      <c r="F3585" t="s">
        <v>1068</v>
      </c>
      <c r="G3585" t="s">
        <v>1075</v>
      </c>
      <c r="H3585">
        <v>3.47075113977171E-3</v>
      </c>
      <c r="I3585" t="s">
        <v>1077</v>
      </c>
      <c r="J3585">
        <v>7.21</v>
      </c>
    </row>
    <row r="3586" spans="1:10" hidden="1">
      <c r="A3586" t="s">
        <v>2409</v>
      </c>
      <c r="B3586" t="s">
        <v>2410</v>
      </c>
      <c r="C3586" t="s">
        <v>235</v>
      </c>
      <c r="D3586" t="s">
        <v>2360</v>
      </c>
      <c r="E3586" t="s">
        <v>1116</v>
      </c>
      <c r="F3586" t="s">
        <v>1068</v>
      </c>
      <c r="G3586" t="s">
        <v>1078</v>
      </c>
      <c r="H3586" s="171" t="s">
        <v>2352</v>
      </c>
      <c r="I3586" t="s">
        <v>1079</v>
      </c>
      <c r="J3586">
        <v>7.21</v>
      </c>
    </row>
    <row r="3587" spans="1:10" hidden="1">
      <c r="A3587" t="s">
        <v>2409</v>
      </c>
      <c r="B3587" t="s">
        <v>2410</v>
      </c>
      <c r="C3587" t="s">
        <v>235</v>
      </c>
      <c r="D3587" t="s">
        <v>2360</v>
      </c>
      <c r="E3587" t="s">
        <v>1116</v>
      </c>
      <c r="F3587" t="s">
        <v>1068</v>
      </c>
      <c r="G3587" t="s">
        <v>1080</v>
      </c>
      <c r="H3587" s="171" t="s">
        <v>2353</v>
      </c>
      <c r="I3587" t="s">
        <v>1082</v>
      </c>
      <c r="J3587">
        <v>7.21</v>
      </c>
    </row>
    <row r="3588" spans="1:10" hidden="1">
      <c r="A3588" t="s">
        <v>2409</v>
      </c>
      <c r="B3588" t="s">
        <v>2410</v>
      </c>
      <c r="C3588" t="s">
        <v>235</v>
      </c>
      <c r="D3588" t="s">
        <v>2360</v>
      </c>
      <c r="E3588" t="s">
        <v>1116</v>
      </c>
      <c r="F3588" t="s">
        <v>1068</v>
      </c>
      <c r="G3588" t="s">
        <v>1083</v>
      </c>
      <c r="H3588" s="171" t="s">
        <v>2411</v>
      </c>
      <c r="I3588" t="s">
        <v>1084</v>
      </c>
      <c r="J3588">
        <v>7.21</v>
      </c>
    </row>
    <row r="3589" spans="1:10" hidden="1">
      <c r="A3589" t="s">
        <v>2409</v>
      </c>
      <c r="B3589" t="s">
        <v>2410</v>
      </c>
      <c r="C3589" t="s">
        <v>235</v>
      </c>
      <c r="D3589" t="s">
        <v>2360</v>
      </c>
      <c r="E3589" t="s">
        <v>1116</v>
      </c>
      <c r="F3589" t="s">
        <v>1068</v>
      </c>
      <c r="G3589" t="s">
        <v>1085</v>
      </c>
      <c r="H3589" s="171" t="s">
        <v>2355</v>
      </c>
      <c r="I3589" t="s">
        <v>1086</v>
      </c>
      <c r="J3589">
        <v>7.21</v>
      </c>
    </row>
    <row r="3590" spans="1:10" hidden="1">
      <c r="A3590" t="s">
        <v>2409</v>
      </c>
      <c r="B3590" t="s">
        <v>2410</v>
      </c>
      <c r="C3590" t="s">
        <v>235</v>
      </c>
      <c r="D3590" t="s">
        <v>2360</v>
      </c>
      <c r="E3590" t="s">
        <v>1116</v>
      </c>
      <c r="F3590" t="s">
        <v>1068</v>
      </c>
      <c r="G3590" t="s">
        <v>1087</v>
      </c>
      <c r="H3590" s="171" t="s">
        <v>2356</v>
      </c>
      <c r="I3590" t="s">
        <v>1088</v>
      </c>
      <c r="J3590">
        <v>7.21</v>
      </c>
    </row>
    <row r="3591" spans="1:10" hidden="1">
      <c r="A3591" t="s">
        <v>2409</v>
      </c>
      <c r="B3591" t="s">
        <v>2410</v>
      </c>
      <c r="C3591" t="s">
        <v>235</v>
      </c>
      <c r="D3591" t="s">
        <v>2360</v>
      </c>
      <c r="E3591" t="s">
        <v>1116</v>
      </c>
      <c r="F3591" t="s">
        <v>1068</v>
      </c>
      <c r="G3591" t="s">
        <v>1089</v>
      </c>
      <c r="H3591" s="171" t="s">
        <v>2357</v>
      </c>
      <c r="I3591" t="s">
        <v>1090</v>
      </c>
      <c r="J3591">
        <v>7.21</v>
      </c>
    </row>
    <row r="3592" spans="1:10" hidden="1">
      <c r="A3592" t="s">
        <v>2412</v>
      </c>
      <c r="B3592" t="s">
        <v>2413</v>
      </c>
      <c r="C3592" t="s">
        <v>235</v>
      </c>
      <c r="D3592" t="s">
        <v>2414</v>
      </c>
      <c r="E3592" t="s">
        <v>561</v>
      </c>
      <c r="F3592" t="s">
        <v>1068</v>
      </c>
      <c r="G3592" t="s">
        <v>1069</v>
      </c>
      <c r="H3592">
        <v>7.3810111757466698E-2</v>
      </c>
      <c r="I3592" t="s">
        <v>1070</v>
      </c>
      <c r="J3592">
        <v>7.19</v>
      </c>
    </row>
    <row r="3593" spans="1:10" hidden="1">
      <c r="A3593" t="s">
        <v>2412</v>
      </c>
      <c r="B3593" t="s">
        <v>2413</v>
      </c>
      <c r="C3593" t="s">
        <v>235</v>
      </c>
      <c r="D3593" t="s">
        <v>2414</v>
      </c>
      <c r="E3593" t="s">
        <v>561</v>
      </c>
      <c r="F3593" t="s">
        <v>1068</v>
      </c>
      <c r="G3593" t="s">
        <v>1071</v>
      </c>
      <c r="H3593" s="171" t="s">
        <v>2415</v>
      </c>
      <c r="I3593" t="s">
        <v>1072</v>
      </c>
      <c r="J3593">
        <v>7.19</v>
      </c>
    </row>
    <row r="3594" spans="1:10" hidden="1">
      <c r="A3594" t="s">
        <v>2412</v>
      </c>
      <c r="B3594" t="s">
        <v>2413</v>
      </c>
      <c r="C3594" t="s">
        <v>235</v>
      </c>
      <c r="D3594" t="s">
        <v>2414</v>
      </c>
      <c r="E3594" t="s">
        <v>561</v>
      </c>
      <c r="F3594" t="s">
        <v>1068</v>
      </c>
      <c r="G3594" t="s">
        <v>1073</v>
      </c>
      <c r="H3594" s="171" t="s">
        <v>2416</v>
      </c>
      <c r="I3594" t="s">
        <v>1074</v>
      </c>
      <c r="J3594">
        <v>7.19</v>
      </c>
    </row>
    <row r="3595" spans="1:10" hidden="1">
      <c r="A3595" t="s">
        <v>2412</v>
      </c>
      <c r="B3595" t="s">
        <v>2413</v>
      </c>
      <c r="C3595" t="s">
        <v>235</v>
      </c>
      <c r="D3595" t="s">
        <v>2414</v>
      </c>
      <c r="E3595" t="s">
        <v>561</v>
      </c>
      <c r="F3595" t="s">
        <v>1068</v>
      </c>
      <c r="G3595" t="s">
        <v>1075</v>
      </c>
      <c r="H3595">
        <v>3.47080657567988E-3</v>
      </c>
      <c r="I3595" t="s">
        <v>1077</v>
      </c>
      <c r="J3595">
        <v>7.19</v>
      </c>
    </row>
    <row r="3596" spans="1:10" hidden="1">
      <c r="A3596" t="s">
        <v>2412</v>
      </c>
      <c r="B3596" t="s">
        <v>2413</v>
      </c>
      <c r="C3596" t="s">
        <v>235</v>
      </c>
      <c r="D3596" t="s">
        <v>2414</v>
      </c>
      <c r="E3596" t="s">
        <v>561</v>
      </c>
      <c r="F3596" t="s">
        <v>1068</v>
      </c>
      <c r="G3596" t="s">
        <v>1078</v>
      </c>
      <c r="H3596" s="171" t="s">
        <v>2417</v>
      </c>
      <c r="I3596" t="s">
        <v>1079</v>
      </c>
      <c r="J3596">
        <v>7.19</v>
      </c>
    </row>
    <row r="3597" spans="1:10" hidden="1">
      <c r="A3597" t="s">
        <v>2412</v>
      </c>
      <c r="B3597" t="s">
        <v>2413</v>
      </c>
      <c r="C3597" t="s">
        <v>235</v>
      </c>
      <c r="D3597" t="s">
        <v>2414</v>
      </c>
      <c r="E3597" t="s">
        <v>561</v>
      </c>
      <c r="F3597" t="s">
        <v>1068</v>
      </c>
      <c r="G3597" t="s">
        <v>1080</v>
      </c>
      <c r="H3597" s="171" t="s">
        <v>2418</v>
      </c>
      <c r="I3597" t="s">
        <v>1082</v>
      </c>
      <c r="J3597">
        <v>7.19</v>
      </c>
    </row>
    <row r="3598" spans="1:10" hidden="1">
      <c r="A3598" t="s">
        <v>2412</v>
      </c>
      <c r="B3598" t="s">
        <v>2413</v>
      </c>
      <c r="C3598" t="s">
        <v>235</v>
      </c>
      <c r="D3598" t="s">
        <v>2414</v>
      </c>
      <c r="E3598" t="s">
        <v>561</v>
      </c>
      <c r="F3598" t="s">
        <v>1068</v>
      </c>
      <c r="G3598" t="s">
        <v>1083</v>
      </c>
      <c r="H3598" s="171" t="s">
        <v>2419</v>
      </c>
      <c r="I3598" t="s">
        <v>1084</v>
      </c>
      <c r="J3598">
        <v>7.19</v>
      </c>
    </row>
    <row r="3599" spans="1:10" hidden="1">
      <c r="A3599" t="s">
        <v>2412</v>
      </c>
      <c r="B3599" t="s">
        <v>2413</v>
      </c>
      <c r="C3599" t="s">
        <v>235</v>
      </c>
      <c r="D3599" t="s">
        <v>2414</v>
      </c>
      <c r="E3599" t="s">
        <v>561</v>
      </c>
      <c r="F3599" t="s">
        <v>1068</v>
      </c>
      <c r="G3599" t="s">
        <v>1085</v>
      </c>
      <c r="H3599" s="171" t="s">
        <v>2420</v>
      </c>
      <c r="I3599" t="s">
        <v>1086</v>
      </c>
      <c r="J3599">
        <v>7.19</v>
      </c>
    </row>
    <row r="3600" spans="1:10" hidden="1">
      <c r="A3600" t="s">
        <v>2412</v>
      </c>
      <c r="B3600" t="s">
        <v>2413</v>
      </c>
      <c r="C3600" t="s">
        <v>235</v>
      </c>
      <c r="D3600" t="s">
        <v>2414</v>
      </c>
      <c r="E3600" t="s">
        <v>561</v>
      </c>
      <c r="F3600" t="s">
        <v>1068</v>
      </c>
      <c r="G3600" t="s">
        <v>1087</v>
      </c>
      <c r="H3600" s="171" t="s">
        <v>2421</v>
      </c>
      <c r="I3600" t="s">
        <v>1088</v>
      </c>
      <c r="J3600">
        <v>7.19</v>
      </c>
    </row>
    <row r="3601" spans="1:10" hidden="1">
      <c r="A3601" t="s">
        <v>2412</v>
      </c>
      <c r="B3601" t="s">
        <v>2413</v>
      </c>
      <c r="C3601" t="s">
        <v>235</v>
      </c>
      <c r="D3601" t="s">
        <v>2414</v>
      </c>
      <c r="E3601" t="s">
        <v>561</v>
      </c>
      <c r="F3601" t="s">
        <v>1068</v>
      </c>
      <c r="G3601" t="s">
        <v>1089</v>
      </c>
      <c r="H3601" s="171" t="s">
        <v>2422</v>
      </c>
      <c r="I3601" t="s">
        <v>1090</v>
      </c>
      <c r="J3601">
        <v>7.19</v>
      </c>
    </row>
    <row r="3602" spans="1:10" hidden="1">
      <c r="A3602" t="s">
        <v>2423</v>
      </c>
      <c r="B3602" t="s">
        <v>2424</v>
      </c>
      <c r="C3602" t="s">
        <v>235</v>
      </c>
      <c r="D3602" t="s">
        <v>2414</v>
      </c>
      <c r="E3602" t="s">
        <v>555</v>
      </c>
      <c r="F3602" t="s">
        <v>1068</v>
      </c>
      <c r="G3602" t="s">
        <v>1069</v>
      </c>
      <c r="H3602">
        <v>7.3885939414370896E-2</v>
      </c>
      <c r="I3602" t="s">
        <v>1070</v>
      </c>
      <c r="J3602">
        <v>8.39</v>
      </c>
    </row>
    <row r="3603" spans="1:10" hidden="1">
      <c r="A3603" t="s">
        <v>2423</v>
      </c>
      <c r="B3603" t="s">
        <v>2424</v>
      </c>
      <c r="C3603" t="s">
        <v>235</v>
      </c>
      <c r="D3603" t="s">
        <v>2414</v>
      </c>
      <c r="E3603" t="s">
        <v>555</v>
      </c>
      <c r="F3603" t="s">
        <v>1068</v>
      </c>
      <c r="G3603" t="s">
        <v>1071</v>
      </c>
      <c r="H3603" s="171" t="s">
        <v>2425</v>
      </c>
      <c r="I3603" t="s">
        <v>1072</v>
      </c>
      <c r="J3603">
        <v>8.39</v>
      </c>
    </row>
    <row r="3604" spans="1:10" hidden="1">
      <c r="A3604" t="s">
        <v>2423</v>
      </c>
      <c r="B3604" t="s">
        <v>2424</v>
      </c>
      <c r="C3604" t="s">
        <v>235</v>
      </c>
      <c r="D3604" t="s">
        <v>2414</v>
      </c>
      <c r="E3604" t="s">
        <v>555</v>
      </c>
      <c r="F3604" t="s">
        <v>1068</v>
      </c>
      <c r="G3604" t="s">
        <v>1073</v>
      </c>
      <c r="H3604" s="171" t="s">
        <v>2426</v>
      </c>
      <c r="I3604" t="s">
        <v>1074</v>
      </c>
      <c r="J3604">
        <v>8.39</v>
      </c>
    </row>
    <row r="3605" spans="1:10" hidden="1">
      <c r="A3605" t="s">
        <v>2423</v>
      </c>
      <c r="B3605" t="s">
        <v>2424</v>
      </c>
      <c r="C3605" t="s">
        <v>235</v>
      </c>
      <c r="D3605" t="s">
        <v>2414</v>
      </c>
      <c r="E3605" t="s">
        <v>555</v>
      </c>
      <c r="F3605" t="s">
        <v>1068</v>
      </c>
      <c r="G3605" t="s">
        <v>1075</v>
      </c>
      <c r="H3605">
        <v>3.4712827899258301E-3</v>
      </c>
      <c r="I3605" t="s">
        <v>1077</v>
      </c>
      <c r="J3605">
        <v>8.39</v>
      </c>
    </row>
    <row r="3606" spans="1:10" hidden="1">
      <c r="A3606" t="s">
        <v>2423</v>
      </c>
      <c r="B3606" t="s">
        <v>2424</v>
      </c>
      <c r="C3606" t="s">
        <v>235</v>
      </c>
      <c r="D3606" t="s">
        <v>2414</v>
      </c>
      <c r="E3606" t="s">
        <v>555</v>
      </c>
      <c r="F3606" t="s">
        <v>1068</v>
      </c>
      <c r="G3606" t="s">
        <v>1078</v>
      </c>
      <c r="H3606" s="171" t="s">
        <v>2427</v>
      </c>
      <c r="I3606" t="s">
        <v>1079</v>
      </c>
      <c r="J3606">
        <v>8.39</v>
      </c>
    </row>
    <row r="3607" spans="1:10" hidden="1">
      <c r="A3607" t="s">
        <v>2423</v>
      </c>
      <c r="B3607" t="s">
        <v>2424</v>
      </c>
      <c r="C3607" t="s">
        <v>235</v>
      </c>
      <c r="D3607" t="s">
        <v>2414</v>
      </c>
      <c r="E3607" t="s">
        <v>555</v>
      </c>
      <c r="F3607" t="s">
        <v>1068</v>
      </c>
      <c r="G3607" t="s">
        <v>1080</v>
      </c>
      <c r="H3607" s="171" t="s">
        <v>2428</v>
      </c>
      <c r="I3607" t="s">
        <v>1082</v>
      </c>
      <c r="J3607">
        <v>8.39</v>
      </c>
    </row>
    <row r="3608" spans="1:10" hidden="1">
      <c r="A3608" t="s">
        <v>2423</v>
      </c>
      <c r="B3608" t="s">
        <v>2424</v>
      </c>
      <c r="C3608" t="s">
        <v>235</v>
      </c>
      <c r="D3608" t="s">
        <v>2414</v>
      </c>
      <c r="E3608" t="s">
        <v>555</v>
      </c>
      <c r="F3608" t="s">
        <v>1068</v>
      </c>
      <c r="G3608" t="s">
        <v>1083</v>
      </c>
      <c r="H3608" s="171" t="s">
        <v>2429</v>
      </c>
      <c r="I3608" t="s">
        <v>1084</v>
      </c>
      <c r="J3608">
        <v>8.39</v>
      </c>
    </row>
    <row r="3609" spans="1:10" hidden="1">
      <c r="A3609" t="s">
        <v>2423</v>
      </c>
      <c r="B3609" t="s">
        <v>2424</v>
      </c>
      <c r="C3609" t="s">
        <v>235</v>
      </c>
      <c r="D3609" t="s">
        <v>2414</v>
      </c>
      <c r="E3609" t="s">
        <v>555</v>
      </c>
      <c r="F3609" t="s">
        <v>1068</v>
      </c>
      <c r="G3609" t="s">
        <v>1085</v>
      </c>
      <c r="H3609" s="171" t="s">
        <v>2430</v>
      </c>
      <c r="I3609" t="s">
        <v>1086</v>
      </c>
      <c r="J3609">
        <v>8.39</v>
      </c>
    </row>
    <row r="3610" spans="1:10" hidden="1">
      <c r="A3610" t="s">
        <v>2423</v>
      </c>
      <c r="B3610" t="s">
        <v>2424</v>
      </c>
      <c r="C3610" t="s">
        <v>235</v>
      </c>
      <c r="D3610" t="s">
        <v>2414</v>
      </c>
      <c r="E3610" t="s">
        <v>555</v>
      </c>
      <c r="F3610" t="s">
        <v>1068</v>
      </c>
      <c r="G3610" t="s">
        <v>1087</v>
      </c>
      <c r="H3610" s="171" t="s">
        <v>2431</v>
      </c>
      <c r="I3610" t="s">
        <v>1088</v>
      </c>
      <c r="J3610">
        <v>8.39</v>
      </c>
    </row>
    <row r="3611" spans="1:10" hidden="1">
      <c r="A3611" t="s">
        <v>2423</v>
      </c>
      <c r="B3611" t="s">
        <v>2424</v>
      </c>
      <c r="C3611" t="s">
        <v>235</v>
      </c>
      <c r="D3611" t="s">
        <v>2414</v>
      </c>
      <c r="E3611" t="s">
        <v>555</v>
      </c>
      <c r="F3611" t="s">
        <v>1068</v>
      </c>
      <c r="G3611" t="s">
        <v>1089</v>
      </c>
      <c r="H3611" s="171" t="s">
        <v>2432</v>
      </c>
      <c r="I3611" t="s">
        <v>1090</v>
      </c>
      <c r="J3611">
        <v>8.39</v>
      </c>
    </row>
    <row r="3612" spans="1:10" hidden="1">
      <c r="A3612" t="s">
        <v>2433</v>
      </c>
      <c r="B3612" t="s">
        <v>2434</v>
      </c>
      <c r="C3612" t="s">
        <v>235</v>
      </c>
      <c r="D3612" t="s">
        <v>2414</v>
      </c>
      <c r="E3612" t="s">
        <v>558</v>
      </c>
      <c r="F3612" t="s">
        <v>1068</v>
      </c>
      <c r="G3612" t="s">
        <v>1069</v>
      </c>
      <c r="H3612">
        <v>7.3808850983521301E-2</v>
      </c>
      <c r="I3612" t="s">
        <v>1070</v>
      </c>
      <c r="J3612">
        <v>6.83</v>
      </c>
    </row>
    <row r="3613" spans="1:10" hidden="1">
      <c r="A3613" t="s">
        <v>2433</v>
      </c>
      <c r="B3613" t="s">
        <v>2434</v>
      </c>
      <c r="C3613" t="s">
        <v>235</v>
      </c>
      <c r="D3613" t="s">
        <v>2414</v>
      </c>
      <c r="E3613" t="s">
        <v>558</v>
      </c>
      <c r="F3613" t="s">
        <v>1068</v>
      </c>
      <c r="G3613" t="s">
        <v>1071</v>
      </c>
      <c r="H3613" s="171" t="s">
        <v>2435</v>
      </c>
      <c r="I3613" t="s">
        <v>1072</v>
      </c>
      <c r="J3613">
        <v>6.83</v>
      </c>
    </row>
    <row r="3614" spans="1:10" hidden="1">
      <c r="A3614" t="s">
        <v>2433</v>
      </c>
      <c r="B3614" t="s">
        <v>2434</v>
      </c>
      <c r="C3614" t="s">
        <v>235</v>
      </c>
      <c r="D3614" t="s">
        <v>2414</v>
      </c>
      <c r="E3614" t="s">
        <v>558</v>
      </c>
      <c r="F3614" t="s">
        <v>1068</v>
      </c>
      <c r="G3614" t="s">
        <v>1073</v>
      </c>
      <c r="H3614" s="171" t="s">
        <v>2436</v>
      </c>
      <c r="I3614" t="s">
        <v>1074</v>
      </c>
      <c r="J3614">
        <v>6.83</v>
      </c>
    </row>
    <row r="3615" spans="1:10" hidden="1">
      <c r="A3615" t="s">
        <v>2433</v>
      </c>
      <c r="B3615" t="s">
        <v>2434</v>
      </c>
      <c r="C3615" t="s">
        <v>235</v>
      </c>
      <c r="D3615" t="s">
        <v>2414</v>
      </c>
      <c r="E3615" t="s">
        <v>558</v>
      </c>
      <c r="F3615" t="s">
        <v>1068</v>
      </c>
      <c r="G3615" t="s">
        <v>1075</v>
      </c>
      <c r="H3615">
        <v>3.4707667212686101E-3</v>
      </c>
      <c r="I3615" t="s">
        <v>1077</v>
      </c>
      <c r="J3615">
        <v>6.83</v>
      </c>
    </row>
    <row r="3616" spans="1:10" hidden="1">
      <c r="A3616" t="s">
        <v>2433</v>
      </c>
      <c r="B3616" t="s">
        <v>2434</v>
      </c>
      <c r="C3616" t="s">
        <v>235</v>
      </c>
      <c r="D3616" t="s">
        <v>2414</v>
      </c>
      <c r="E3616" t="s">
        <v>558</v>
      </c>
      <c r="F3616" t="s">
        <v>1068</v>
      </c>
      <c r="G3616" t="s">
        <v>1078</v>
      </c>
      <c r="H3616">
        <v>2.6020586359467499E-2</v>
      </c>
      <c r="I3616" t="s">
        <v>1079</v>
      </c>
      <c r="J3616">
        <v>6.83</v>
      </c>
    </row>
    <row r="3617" spans="1:10" hidden="1">
      <c r="A3617" t="s">
        <v>2433</v>
      </c>
      <c r="B3617" t="s">
        <v>2434</v>
      </c>
      <c r="C3617" t="s">
        <v>235</v>
      </c>
      <c r="D3617" t="s">
        <v>2414</v>
      </c>
      <c r="E3617" t="s">
        <v>558</v>
      </c>
      <c r="F3617" t="s">
        <v>1068</v>
      </c>
      <c r="G3617" t="s">
        <v>1080</v>
      </c>
      <c r="H3617" s="171" t="s">
        <v>2437</v>
      </c>
      <c r="I3617" t="s">
        <v>1082</v>
      </c>
      <c r="J3617">
        <v>6.83</v>
      </c>
    </row>
    <row r="3618" spans="1:10" hidden="1">
      <c r="A3618" t="s">
        <v>2433</v>
      </c>
      <c r="B3618" t="s">
        <v>2434</v>
      </c>
      <c r="C3618" t="s">
        <v>235</v>
      </c>
      <c r="D3618" t="s">
        <v>2414</v>
      </c>
      <c r="E3618" t="s">
        <v>558</v>
      </c>
      <c r="F3618" t="s">
        <v>1068</v>
      </c>
      <c r="G3618" t="s">
        <v>1083</v>
      </c>
      <c r="H3618" s="171" t="s">
        <v>2438</v>
      </c>
      <c r="I3618" t="s">
        <v>1084</v>
      </c>
      <c r="J3618">
        <v>6.83</v>
      </c>
    </row>
    <row r="3619" spans="1:10" hidden="1">
      <c r="A3619" t="s">
        <v>2433</v>
      </c>
      <c r="B3619" t="s">
        <v>2434</v>
      </c>
      <c r="C3619" t="s">
        <v>235</v>
      </c>
      <c r="D3619" t="s">
        <v>2414</v>
      </c>
      <c r="E3619" t="s">
        <v>558</v>
      </c>
      <c r="F3619" t="s">
        <v>1068</v>
      </c>
      <c r="G3619" t="s">
        <v>1085</v>
      </c>
      <c r="H3619" s="171" t="s">
        <v>2439</v>
      </c>
      <c r="I3619" t="s">
        <v>1086</v>
      </c>
      <c r="J3619">
        <v>6.83</v>
      </c>
    </row>
    <row r="3620" spans="1:10" hidden="1">
      <c r="A3620" t="s">
        <v>2433</v>
      </c>
      <c r="B3620" t="s">
        <v>2434</v>
      </c>
      <c r="C3620" t="s">
        <v>235</v>
      </c>
      <c r="D3620" t="s">
        <v>2414</v>
      </c>
      <c r="E3620" t="s">
        <v>558</v>
      </c>
      <c r="F3620" t="s">
        <v>1068</v>
      </c>
      <c r="G3620" t="s">
        <v>1087</v>
      </c>
      <c r="H3620" s="171" t="s">
        <v>2440</v>
      </c>
      <c r="I3620" t="s">
        <v>1088</v>
      </c>
      <c r="J3620">
        <v>6.83</v>
      </c>
    </row>
    <row r="3621" spans="1:10" hidden="1">
      <c r="A3621" t="s">
        <v>2433</v>
      </c>
      <c r="B3621" t="s">
        <v>2434</v>
      </c>
      <c r="C3621" t="s">
        <v>235</v>
      </c>
      <c r="D3621" t="s">
        <v>2414</v>
      </c>
      <c r="E3621" t="s">
        <v>558</v>
      </c>
      <c r="F3621" t="s">
        <v>1068</v>
      </c>
      <c r="G3621" t="s">
        <v>1089</v>
      </c>
      <c r="H3621" s="171" t="s">
        <v>2441</v>
      </c>
      <c r="I3621" t="s">
        <v>1090</v>
      </c>
      <c r="J3621">
        <v>6.83</v>
      </c>
    </row>
    <row r="3622" spans="1:10" hidden="1">
      <c r="A3622" t="s">
        <v>2442</v>
      </c>
      <c r="B3622" t="s">
        <v>2443</v>
      </c>
      <c r="C3622" t="s">
        <v>235</v>
      </c>
      <c r="D3622" t="s">
        <v>2414</v>
      </c>
      <c r="E3622" t="s">
        <v>553</v>
      </c>
      <c r="F3622" t="s">
        <v>1068</v>
      </c>
      <c r="G3622" t="s">
        <v>1069</v>
      </c>
      <c r="H3622">
        <v>7.3869103048659401E-2</v>
      </c>
      <c r="I3622" t="s">
        <v>1070</v>
      </c>
      <c r="J3622">
        <v>7.56</v>
      </c>
    </row>
    <row r="3623" spans="1:10" hidden="1">
      <c r="A3623" t="s">
        <v>2442</v>
      </c>
      <c r="B3623" t="s">
        <v>2443</v>
      </c>
      <c r="C3623" t="s">
        <v>235</v>
      </c>
      <c r="D3623" t="s">
        <v>2414</v>
      </c>
      <c r="E3623" t="s">
        <v>553</v>
      </c>
      <c r="F3623" t="s">
        <v>1068</v>
      </c>
      <c r="G3623" t="s">
        <v>1071</v>
      </c>
      <c r="H3623" s="171" t="s">
        <v>2444</v>
      </c>
      <c r="I3623" t="s">
        <v>1072</v>
      </c>
      <c r="J3623">
        <v>7.56</v>
      </c>
    </row>
    <row r="3624" spans="1:10" hidden="1">
      <c r="A3624" t="s">
        <v>2442</v>
      </c>
      <c r="B3624" t="s">
        <v>2443</v>
      </c>
      <c r="C3624" t="s">
        <v>235</v>
      </c>
      <c r="D3624" t="s">
        <v>2414</v>
      </c>
      <c r="E3624" t="s">
        <v>553</v>
      </c>
      <c r="F3624" t="s">
        <v>1068</v>
      </c>
      <c r="G3624" t="s">
        <v>1073</v>
      </c>
      <c r="H3624" s="171" t="s">
        <v>2445</v>
      </c>
      <c r="I3624" t="s">
        <v>1074</v>
      </c>
      <c r="J3624">
        <v>7.56</v>
      </c>
    </row>
    <row r="3625" spans="1:10" hidden="1">
      <c r="A3625" t="s">
        <v>2442</v>
      </c>
      <c r="B3625" t="s">
        <v>2443</v>
      </c>
      <c r="C3625" t="s">
        <v>235</v>
      </c>
      <c r="D3625" t="s">
        <v>2414</v>
      </c>
      <c r="E3625" t="s">
        <v>553</v>
      </c>
      <c r="F3625" t="s">
        <v>1068</v>
      </c>
      <c r="G3625" t="s">
        <v>1075</v>
      </c>
      <c r="H3625">
        <v>3.4707505744199598E-3</v>
      </c>
      <c r="I3625" t="s">
        <v>1077</v>
      </c>
      <c r="J3625">
        <v>7.56</v>
      </c>
    </row>
    <row r="3626" spans="1:10" hidden="1">
      <c r="A3626" t="s">
        <v>2442</v>
      </c>
      <c r="B3626" t="s">
        <v>2443</v>
      </c>
      <c r="C3626" t="s">
        <v>235</v>
      </c>
      <c r="D3626" t="s">
        <v>2414</v>
      </c>
      <c r="E3626" t="s">
        <v>553</v>
      </c>
      <c r="F3626" t="s">
        <v>1068</v>
      </c>
      <c r="G3626" t="s">
        <v>1078</v>
      </c>
      <c r="H3626" s="171" t="s">
        <v>2446</v>
      </c>
      <c r="I3626" t="s">
        <v>1079</v>
      </c>
      <c r="J3626">
        <v>7.56</v>
      </c>
    </row>
    <row r="3627" spans="1:10" hidden="1">
      <c r="A3627" t="s">
        <v>2442</v>
      </c>
      <c r="B3627" t="s">
        <v>2443</v>
      </c>
      <c r="C3627" t="s">
        <v>235</v>
      </c>
      <c r="D3627" t="s">
        <v>2414</v>
      </c>
      <c r="E3627" t="s">
        <v>553</v>
      </c>
      <c r="F3627" t="s">
        <v>1068</v>
      </c>
      <c r="G3627" t="s">
        <v>1080</v>
      </c>
      <c r="H3627" s="171" t="s">
        <v>2447</v>
      </c>
      <c r="I3627" t="s">
        <v>1082</v>
      </c>
      <c r="J3627">
        <v>7.56</v>
      </c>
    </row>
    <row r="3628" spans="1:10" hidden="1">
      <c r="A3628" t="s">
        <v>2442</v>
      </c>
      <c r="B3628" t="s">
        <v>2443</v>
      </c>
      <c r="C3628" t="s">
        <v>235</v>
      </c>
      <c r="D3628" t="s">
        <v>2414</v>
      </c>
      <c r="E3628" t="s">
        <v>553</v>
      </c>
      <c r="F3628" t="s">
        <v>1068</v>
      </c>
      <c r="G3628" t="s">
        <v>1083</v>
      </c>
      <c r="H3628" s="171" t="s">
        <v>2448</v>
      </c>
      <c r="I3628" t="s">
        <v>1084</v>
      </c>
      <c r="J3628">
        <v>7.56</v>
      </c>
    </row>
    <row r="3629" spans="1:10" hidden="1">
      <c r="A3629" t="s">
        <v>2442</v>
      </c>
      <c r="B3629" t="s">
        <v>2443</v>
      </c>
      <c r="C3629" t="s">
        <v>235</v>
      </c>
      <c r="D3629" t="s">
        <v>2414</v>
      </c>
      <c r="E3629" t="s">
        <v>553</v>
      </c>
      <c r="F3629" t="s">
        <v>1068</v>
      </c>
      <c r="G3629" t="s">
        <v>1085</v>
      </c>
      <c r="H3629" s="171" t="s">
        <v>2449</v>
      </c>
      <c r="I3629" t="s">
        <v>1086</v>
      </c>
      <c r="J3629">
        <v>7.56</v>
      </c>
    </row>
    <row r="3630" spans="1:10" hidden="1">
      <c r="A3630" t="s">
        <v>2442</v>
      </c>
      <c r="B3630" t="s">
        <v>2443</v>
      </c>
      <c r="C3630" t="s">
        <v>235</v>
      </c>
      <c r="D3630" t="s">
        <v>2414</v>
      </c>
      <c r="E3630" t="s">
        <v>553</v>
      </c>
      <c r="F3630" t="s">
        <v>1068</v>
      </c>
      <c r="G3630" t="s">
        <v>1087</v>
      </c>
      <c r="H3630" s="171" t="s">
        <v>2450</v>
      </c>
      <c r="I3630" t="s">
        <v>1088</v>
      </c>
      <c r="J3630">
        <v>7.56</v>
      </c>
    </row>
    <row r="3631" spans="1:10" hidden="1">
      <c r="A3631" t="s">
        <v>2442</v>
      </c>
      <c r="B3631" t="s">
        <v>2443</v>
      </c>
      <c r="C3631" t="s">
        <v>235</v>
      </c>
      <c r="D3631" t="s">
        <v>2414</v>
      </c>
      <c r="E3631" t="s">
        <v>553</v>
      </c>
      <c r="F3631" t="s">
        <v>1068</v>
      </c>
      <c r="G3631" t="s">
        <v>1089</v>
      </c>
      <c r="H3631" s="171" t="s">
        <v>2451</v>
      </c>
      <c r="I3631" t="s">
        <v>1090</v>
      </c>
      <c r="J3631">
        <v>7.56</v>
      </c>
    </row>
    <row r="3632" spans="1:10" hidden="1">
      <c r="A3632" t="s">
        <v>2452</v>
      </c>
      <c r="B3632" t="s">
        <v>2453</v>
      </c>
      <c r="C3632" t="s">
        <v>235</v>
      </c>
      <c r="D3632" t="s">
        <v>2414</v>
      </c>
      <c r="E3632" t="s">
        <v>556</v>
      </c>
      <c r="F3632" t="s">
        <v>1068</v>
      </c>
      <c r="G3632" t="s">
        <v>1069</v>
      </c>
      <c r="H3632">
        <v>7.3884356926508798E-2</v>
      </c>
      <c r="I3632" t="s">
        <v>1070</v>
      </c>
      <c r="J3632">
        <v>7.28</v>
      </c>
    </row>
    <row r="3633" spans="1:10" hidden="1">
      <c r="A3633" t="s">
        <v>2452</v>
      </c>
      <c r="B3633" t="s">
        <v>2453</v>
      </c>
      <c r="C3633" t="s">
        <v>235</v>
      </c>
      <c r="D3633" t="s">
        <v>2414</v>
      </c>
      <c r="E3633" t="s">
        <v>556</v>
      </c>
      <c r="F3633" t="s">
        <v>1068</v>
      </c>
      <c r="G3633" t="s">
        <v>1071</v>
      </c>
      <c r="H3633" s="171" t="s">
        <v>2454</v>
      </c>
      <c r="I3633" t="s">
        <v>1072</v>
      </c>
      <c r="J3633">
        <v>7.28</v>
      </c>
    </row>
    <row r="3634" spans="1:10" hidden="1">
      <c r="A3634" t="s">
        <v>2452</v>
      </c>
      <c r="B3634" t="s">
        <v>2453</v>
      </c>
      <c r="C3634" t="s">
        <v>235</v>
      </c>
      <c r="D3634" t="s">
        <v>2414</v>
      </c>
      <c r="E3634" t="s">
        <v>556</v>
      </c>
      <c r="F3634" t="s">
        <v>1068</v>
      </c>
      <c r="G3634" t="s">
        <v>1073</v>
      </c>
      <c r="H3634" s="171" t="s">
        <v>2455</v>
      </c>
      <c r="I3634" t="s">
        <v>1074</v>
      </c>
      <c r="J3634">
        <v>7.28</v>
      </c>
    </row>
    <row r="3635" spans="1:10" hidden="1">
      <c r="A3635" t="s">
        <v>2452</v>
      </c>
      <c r="B3635" t="s">
        <v>2453</v>
      </c>
      <c r="C3635" t="s">
        <v>235</v>
      </c>
      <c r="D3635" t="s">
        <v>2414</v>
      </c>
      <c r="E3635" t="s">
        <v>556</v>
      </c>
      <c r="F3635" t="s">
        <v>1068</v>
      </c>
      <c r="G3635" t="s">
        <v>1075</v>
      </c>
      <c r="H3635">
        <v>3.4712327657939902E-3</v>
      </c>
      <c r="I3635" t="s">
        <v>1077</v>
      </c>
      <c r="J3635">
        <v>7.28</v>
      </c>
    </row>
    <row r="3636" spans="1:10" hidden="1">
      <c r="A3636" t="s">
        <v>2452</v>
      </c>
      <c r="B3636" t="s">
        <v>2453</v>
      </c>
      <c r="C3636" t="s">
        <v>235</v>
      </c>
      <c r="D3636" t="s">
        <v>2414</v>
      </c>
      <c r="E3636" t="s">
        <v>556</v>
      </c>
      <c r="F3636" t="s">
        <v>1068</v>
      </c>
      <c r="G3636" t="s">
        <v>1078</v>
      </c>
      <c r="H3636">
        <v>2.60407356200416E-2</v>
      </c>
      <c r="I3636" t="s">
        <v>1079</v>
      </c>
      <c r="J3636">
        <v>7.28</v>
      </c>
    </row>
    <row r="3637" spans="1:10" hidden="1">
      <c r="A3637" t="s">
        <v>2452</v>
      </c>
      <c r="B3637" t="s">
        <v>2453</v>
      </c>
      <c r="C3637" t="s">
        <v>235</v>
      </c>
      <c r="D3637" t="s">
        <v>2414</v>
      </c>
      <c r="E3637" t="s">
        <v>556</v>
      </c>
      <c r="F3637" t="s">
        <v>1068</v>
      </c>
      <c r="G3637" t="s">
        <v>1080</v>
      </c>
      <c r="H3637" s="171" t="s">
        <v>2456</v>
      </c>
      <c r="I3637" t="s">
        <v>1082</v>
      </c>
      <c r="J3637">
        <v>7.28</v>
      </c>
    </row>
    <row r="3638" spans="1:10" hidden="1">
      <c r="A3638" t="s">
        <v>2452</v>
      </c>
      <c r="B3638" t="s">
        <v>2453</v>
      </c>
      <c r="C3638" t="s">
        <v>235</v>
      </c>
      <c r="D3638" t="s">
        <v>2414</v>
      </c>
      <c r="E3638" t="s">
        <v>556</v>
      </c>
      <c r="F3638" t="s">
        <v>1068</v>
      </c>
      <c r="G3638" t="s">
        <v>1083</v>
      </c>
      <c r="H3638" s="171" t="s">
        <v>2457</v>
      </c>
      <c r="I3638" t="s">
        <v>1084</v>
      </c>
      <c r="J3638">
        <v>7.28</v>
      </c>
    </row>
    <row r="3639" spans="1:10" hidden="1">
      <c r="A3639" t="s">
        <v>2452</v>
      </c>
      <c r="B3639" t="s">
        <v>2453</v>
      </c>
      <c r="C3639" t="s">
        <v>235</v>
      </c>
      <c r="D3639" t="s">
        <v>2414</v>
      </c>
      <c r="E3639" t="s">
        <v>556</v>
      </c>
      <c r="F3639" t="s">
        <v>1068</v>
      </c>
      <c r="G3639" t="s">
        <v>1085</v>
      </c>
      <c r="H3639" s="171" t="s">
        <v>2458</v>
      </c>
      <c r="I3639" t="s">
        <v>1086</v>
      </c>
      <c r="J3639">
        <v>7.28</v>
      </c>
    </row>
    <row r="3640" spans="1:10" hidden="1">
      <c r="A3640" t="s">
        <v>2452</v>
      </c>
      <c r="B3640" t="s">
        <v>2453</v>
      </c>
      <c r="C3640" t="s">
        <v>235</v>
      </c>
      <c r="D3640" t="s">
        <v>2414</v>
      </c>
      <c r="E3640" t="s">
        <v>556</v>
      </c>
      <c r="F3640" t="s">
        <v>1068</v>
      </c>
      <c r="G3640" t="s">
        <v>1087</v>
      </c>
      <c r="H3640" s="171" t="s">
        <v>2459</v>
      </c>
      <c r="I3640" t="s">
        <v>1088</v>
      </c>
      <c r="J3640">
        <v>7.28</v>
      </c>
    </row>
    <row r="3641" spans="1:10" hidden="1">
      <c r="A3641" t="s">
        <v>2452</v>
      </c>
      <c r="B3641" t="s">
        <v>2453</v>
      </c>
      <c r="C3641" t="s">
        <v>235</v>
      </c>
      <c r="D3641" t="s">
        <v>2414</v>
      </c>
      <c r="E3641" t="s">
        <v>556</v>
      </c>
      <c r="F3641" t="s">
        <v>1068</v>
      </c>
      <c r="G3641" t="s">
        <v>1089</v>
      </c>
      <c r="H3641" s="171" t="s">
        <v>2460</v>
      </c>
      <c r="I3641" t="s">
        <v>1090</v>
      </c>
      <c r="J3641">
        <v>7.28</v>
      </c>
    </row>
    <row r="3642" spans="1:10" hidden="1">
      <c r="A3642" t="s">
        <v>2461</v>
      </c>
      <c r="B3642" t="s">
        <v>2462</v>
      </c>
      <c r="C3642" t="s">
        <v>235</v>
      </c>
      <c r="D3642" t="s">
        <v>2414</v>
      </c>
      <c r="E3642" t="s">
        <v>557</v>
      </c>
      <c r="F3642" t="s">
        <v>1068</v>
      </c>
      <c r="G3642" t="s">
        <v>1069</v>
      </c>
      <c r="H3642">
        <v>7.3814058528078194E-2</v>
      </c>
      <c r="I3642" t="s">
        <v>1070</v>
      </c>
      <c r="J3642">
        <v>7.15</v>
      </c>
    </row>
    <row r="3643" spans="1:10" hidden="1">
      <c r="A3643" t="s">
        <v>2461</v>
      </c>
      <c r="B3643" t="s">
        <v>2462</v>
      </c>
      <c r="C3643" t="s">
        <v>235</v>
      </c>
      <c r="D3643" t="s">
        <v>2414</v>
      </c>
      <c r="E3643" t="s">
        <v>557</v>
      </c>
      <c r="F3643" t="s">
        <v>1068</v>
      </c>
      <c r="G3643" t="s">
        <v>1071</v>
      </c>
      <c r="H3643" s="171" t="s">
        <v>2463</v>
      </c>
      <c r="I3643" t="s">
        <v>1072</v>
      </c>
      <c r="J3643">
        <v>7.15</v>
      </c>
    </row>
    <row r="3644" spans="1:10" hidden="1">
      <c r="A3644" t="s">
        <v>2461</v>
      </c>
      <c r="B3644" t="s">
        <v>2462</v>
      </c>
      <c r="C3644" t="s">
        <v>235</v>
      </c>
      <c r="D3644" t="s">
        <v>2414</v>
      </c>
      <c r="E3644" t="s">
        <v>557</v>
      </c>
      <c r="F3644" t="s">
        <v>1068</v>
      </c>
      <c r="G3644" t="s">
        <v>1073</v>
      </c>
      <c r="H3644" s="171" t="s">
        <v>2464</v>
      </c>
      <c r="I3644" t="s">
        <v>1074</v>
      </c>
      <c r="J3644">
        <v>7.15</v>
      </c>
    </row>
    <row r="3645" spans="1:10" hidden="1">
      <c r="A3645" t="s">
        <v>2461</v>
      </c>
      <c r="B3645" t="s">
        <v>2462</v>
      </c>
      <c r="C3645" t="s">
        <v>235</v>
      </c>
      <c r="D3645" t="s">
        <v>2414</v>
      </c>
      <c r="E3645" t="s">
        <v>557</v>
      </c>
      <c r="F3645" t="s">
        <v>1068</v>
      </c>
      <c r="G3645" t="s">
        <v>1075</v>
      </c>
      <c r="H3645">
        <v>3.4709313373151199E-3</v>
      </c>
      <c r="I3645" t="s">
        <v>1077</v>
      </c>
      <c r="J3645">
        <v>7.15</v>
      </c>
    </row>
    <row r="3646" spans="1:10" hidden="1">
      <c r="A3646" t="s">
        <v>2461</v>
      </c>
      <c r="B3646" t="s">
        <v>2462</v>
      </c>
      <c r="C3646" t="s">
        <v>235</v>
      </c>
      <c r="D3646" t="s">
        <v>2414</v>
      </c>
      <c r="E3646" t="s">
        <v>557</v>
      </c>
      <c r="F3646" t="s">
        <v>1068</v>
      </c>
      <c r="G3646" t="s">
        <v>1078</v>
      </c>
      <c r="H3646" s="171" t="s">
        <v>2465</v>
      </c>
      <c r="I3646" t="s">
        <v>1079</v>
      </c>
      <c r="J3646">
        <v>7.15</v>
      </c>
    </row>
    <row r="3647" spans="1:10" hidden="1">
      <c r="A3647" t="s">
        <v>2461</v>
      </c>
      <c r="B3647" t="s">
        <v>2462</v>
      </c>
      <c r="C3647" t="s">
        <v>235</v>
      </c>
      <c r="D3647" t="s">
        <v>2414</v>
      </c>
      <c r="E3647" t="s">
        <v>557</v>
      </c>
      <c r="F3647" t="s">
        <v>1068</v>
      </c>
      <c r="G3647" t="s">
        <v>1080</v>
      </c>
      <c r="H3647" s="171" t="s">
        <v>2466</v>
      </c>
      <c r="I3647" t="s">
        <v>1082</v>
      </c>
      <c r="J3647">
        <v>7.15</v>
      </c>
    </row>
    <row r="3648" spans="1:10" hidden="1">
      <c r="A3648" t="s">
        <v>2461</v>
      </c>
      <c r="B3648" t="s">
        <v>2462</v>
      </c>
      <c r="C3648" t="s">
        <v>235</v>
      </c>
      <c r="D3648" t="s">
        <v>2414</v>
      </c>
      <c r="E3648" t="s">
        <v>557</v>
      </c>
      <c r="F3648" t="s">
        <v>1068</v>
      </c>
      <c r="G3648" t="s">
        <v>1083</v>
      </c>
      <c r="H3648" s="171" t="s">
        <v>2467</v>
      </c>
      <c r="I3648" t="s">
        <v>1084</v>
      </c>
      <c r="J3648">
        <v>7.15</v>
      </c>
    </row>
    <row r="3649" spans="1:10" hidden="1">
      <c r="A3649" t="s">
        <v>2461</v>
      </c>
      <c r="B3649" t="s">
        <v>2462</v>
      </c>
      <c r="C3649" t="s">
        <v>235</v>
      </c>
      <c r="D3649" t="s">
        <v>2414</v>
      </c>
      <c r="E3649" t="s">
        <v>557</v>
      </c>
      <c r="F3649" t="s">
        <v>1068</v>
      </c>
      <c r="G3649" t="s">
        <v>1085</v>
      </c>
      <c r="H3649" s="171" t="s">
        <v>2468</v>
      </c>
      <c r="I3649" t="s">
        <v>1086</v>
      </c>
      <c r="J3649">
        <v>7.15</v>
      </c>
    </row>
    <row r="3650" spans="1:10" hidden="1">
      <c r="A3650" t="s">
        <v>2461</v>
      </c>
      <c r="B3650" t="s">
        <v>2462</v>
      </c>
      <c r="C3650" t="s">
        <v>235</v>
      </c>
      <c r="D3650" t="s">
        <v>2414</v>
      </c>
      <c r="E3650" t="s">
        <v>557</v>
      </c>
      <c r="F3650" t="s">
        <v>1068</v>
      </c>
      <c r="G3650" t="s">
        <v>1087</v>
      </c>
      <c r="H3650" s="171" t="s">
        <v>2469</v>
      </c>
      <c r="I3650" t="s">
        <v>1088</v>
      </c>
      <c r="J3650">
        <v>7.15</v>
      </c>
    </row>
    <row r="3651" spans="1:10" hidden="1">
      <c r="A3651" t="s">
        <v>2461</v>
      </c>
      <c r="B3651" t="s">
        <v>2462</v>
      </c>
      <c r="C3651" t="s">
        <v>235</v>
      </c>
      <c r="D3651" t="s">
        <v>2414</v>
      </c>
      <c r="E3651" t="s">
        <v>557</v>
      </c>
      <c r="F3651" t="s">
        <v>1068</v>
      </c>
      <c r="G3651" t="s">
        <v>1089</v>
      </c>
      <c r="H3651" s="171" t="s">
        <v>2470</v>
      </c>
      <c r="I3651" t="s">
        <v>1090</v>
      </c>
      <c r="J3651">
        <v>7.15</v>
      </c>
    </row>
    <row r="3652" spans="1:10" hidden="1">
      <c r="A3652" t="s">
        <v>2471</v>
      </c>
      <c r="B3652" t="s">
        <v>2472</v>
      </c>
      <c r="C3652" t="s">
        <v>235</v>
      </c>
      <c r="D3652" t="s">
        <v>2414</v>
      </c>
      <c r="E3652" t="s">
        <v>559</v>
      </c>
      <c r="F3652" t="s">
        <v>1068</v>
      </c>
      <c r="G3652" t="s">
        <v>1069</v>
      </c>
      <c r="H3652">
        <v>7.3879822832072395E-2</v>
      </c>
      <c r="I3652" t="s">
        <v>1070</v>
      </c>
      <c r="J3652">
        <v>6.85</v>
      </c>
    </row>
    <row r="3653" spans="1:10" hidden="1">
      <c r="A3653" t="s">
        <v>2471</v>
      </c>
      <c r="B3653" t="s">
        <v>2472</v>
      </c>
      <c r="C3653" t="s">
        <v>235</v>
      </c>
      <c r="D3653" t="s">
        <v>2414</v>
      </c>
      <c r="E3653" t="s">
        <v>559</v>
      </c>
      <c r="F3653" t="s">
        <v>1068</v>
      </c>
      <c r="G3653" t="s">
        <v>1071</v>
      </c>
      <c r="H3653" s="171" t="s">
        <v>2473</v>
      </c>
      <c r="I3653" t="s">
        <v>1072</v>
      </c>
      <c r="J3653">
        <v>6.85</v>
      </c>
    </row>
    <row r="3654" spans="1:10" hidden="1">
      <c r="A3654" t="s">
        <v>2471</v>
      </c>
      <c r="B3654" t="s">
        <v>2472</v>
      </c>
      <c r="C3654" t="s">
        <v>235</v>
      </c>
      <c r="D3654" t="s">
        <v>2414</v>
      </c>
      <c r="E3654" t="s">
        <v>559</v>
      </c>
      <c r="F3654" t="s">
        <v>1068</v>
      </c>
      <c r="G3654" t="s">
        <v>1073</v>
      </c>
      <c r="H3654" s="171" t="s">
        <v>2474</v>
      </c>
      <c r="I3654" t="s">
        <v>1074</v>
      </c>
      <c r="J3654">
        <v>6.85</v>
      </c>
    </row>
    <row r="3655" spans="1:10" hidden="1">
      <c r="A3655" t="s">
        <v>2471</v>
      </c>
      <c r="B3655" t="s">
        <v>2472</v>
      </c>
      <c r="C3655" t="s">
        <v>235</v>
      </c>
      <c r="D3655" t="s">
        <v>2414</v>
      </c>
      <c r="E3655" t="s">
        <v>559</v>
      </c>
      <c r="F3655" t="s">
        <v>1068</v>
      </c>
      <c r="G3655" t="s">
        <v>1075</v>
      </c>
      <c r="H3655">
        <v>3.4710894382252201E-3</v>
      </c>
      <c r="I3655" t="s">
        <v>1077</v>
      </c>
      <c r="J3655">
        <v>6.85</v>
      </c>
    </row>
    <row r="3656" spans="1:10" hidden="1">
      <c r="A3656" t="s">
        <v>2471</v>
      </c>
      <c r="B3656" t="s">
        <v>2472</v>
      </c>
      <c r="C3656" t="s">
        <v>235</v>
      </c>
      <c r="D3656" t="s">
        <v>2414</v>
      </c>
      <c r="E3656" t="s">
        <v>559</v>
      </c>
      <c r="F3656" t="s">
        <v>1068</v>
      </c>
      <c r="G3656" t="s">
        <v>1078</v>
      </c>
      <c r="H3656" s="171" t="s">
        <v>2475</v>
      </c>
      <c r="I3656" t="s">
        <v>1079</v>
      </c>
      <c r="J3656">
        <v>6.85</v>
      </c>
    </row>
    <row r="3657" spans="1:10" hidden="1">
      <c r="A3657" t="s">
        <v>2471</v>
      </c>
      <c r="B3657" t="s">
        <v>2472</v>
      </c>
      <c r="C3657" t="s">
        <v>235</v>
      </c>
      <c r="D3657" t="s">
        <v>2414</v>
      </c>
      <c r="E3657" t="s">
        <v>559</v>
      </c>
      <c r="F3657" t="s">
        <v>1068</v>
      </c>
      <c r="G3657" t="s">
        <v>1080</v>
      </c>
      <c r="H3657" s="171" t="s">
        <v>2476</v>
      </c>
      <c r="I3657" t="s">
        <v>1082</v>
      </c>
      <c r="J3657">
        <v>6.85</v>
      </c>
    </row>
    <row r="3658" spans="1:10" hidden="1">
      <c r="A3658" t="s">
        <v>2471</v>
      </c>
      <c r="B3658" t="s">
        <v>2472</v>
      </c>
      <c r="C3658" t="s">
        <v>235</v>
      </c>
      <c r="D3658" t="s">
        <v>2414</v>
      </c>
      <c r="E3658" t="s">
        <v>559</v>
      </c>
      <c r="F3658" t="s">
        <v>1068</v>
      </c>
      <c r="G3658" t="s">
        <v>1083</v>
      </c>
      <c r="H3658" s="171" t="s">
        <v>2477</v>
      </c>
      <c r="I3658" t="s">
        <v>1084</v>
      </c>
      <c r="J3658">
        <v>6.85</v>
      </c>
    </row>
    <row r="3659" spans="1:10" hidden="1">
      <c r="A3659" t="s">
        <v>2471</v>
      </c>
      <c r="B3659" t="s">
        <v>2472</v>
      </c>
      <c r="C3659" t="s">
        <v>235</v>
      </c>
      <c r="D3659" t="s">
        <v>2414</v>
      </c>
      <c r="E3659" t="s">
        <v>559</v>
      </c>
      <c r="F3659" t="s">
        <v>1068</v>
      </c>
      <c r="G3659" t="s">
        <v>1085</v>
      </c>
      <c r="H3659" s="171" t="s">
        <v>2478</v>
      </c>
      <c r="I3659" t="s">
        <v>1086</v>
      </c>
      <c r="J3659">
        <v>6.85</v>
      </c>
    </row>
    <row r="3660" spans="1:10" hidden="1">
      <c r="A3660" t="s">
        <v>2471</v>
      </c>
      <c r="B3660" t="s">
        <v>2472</v>
      </c>
      <c r="C3660" t="s">
        <v>235</v>
      </c>
      <c r="D3660" t="s">
        <v>2414</v>
      </c>
      <c r="E3660" t="s">
        <v>559</v>
      </c>
      <c r="F3660" t="s">
        <v>1068</v>
      </c>
      <c r="G3660" t="s">
        <v>1087</v>
      </c>
      <c r="H3660" s="171" t="s">
        <v>2479</v>
      </c>
      <c r="I3660" t="s">
        <v>1088</v>
      </c>
      <c r="J3660">
        <v>6.85</v>
      </c>
    </row>
    <row r="3661" spans="1:10" hidden="1">
      <c r="A3661" t="s">
        <v>2471</v>
      </c>
      <c r="B3661" t="s">
        <v>2472</v>
      </c>
      <c r="C3661" t="s">
        <v>235</v>
      </c>
      <c r="D3661" t="s">
        <v>2414</v>
      </c>
      <c r="E3661" t="s">
        <v>559</v>
      </c>
      <c r="F3661" t="s">
        <v>1068</v>
      </c>
      <c r="G3661" t="s">
        <v>1089</v>
      </c>
      <c r="H3661" s="171" t="s">
        <v>2480</v>
      </c>
      <c r="I3661" t="s">
        <v>1090</v>
      </c>
      <c r="J3661">
        <v>6.85</v>
      </c>
    </row>
    <row r="3662" spans="1:10" hidden="1">
      <c r="A3662" t="s">
        <v>2481</v>
      </c>
      <c r="B3662" t="s">
        <v>2482</v>
      </c>
      <c r="C3662" t="s">
        <v>235</v>
      </c>
      <c r="D3662" t="s">
        <v>2414</v>
      </c>
      <c r="E3662" t="s">
        <v>560</v>
      </c>
      <c r="F3662" t="s">
        <v>1068</v>
      </c>
      <c r="G3662" t="s">
        <v>1069</v>
      </c>
      <c r="H3662">
        <v>7.3816835885175694E-2</v>
      </c>
      <c r="I3662" t="s">
        <v>1070</v>
      </c>
      <c r="J3662">
        <v>7.14</v>
      </c>
    </row>
    <row r="3663" spans="1:10" hidden="1">
      <c r="A3663" t="s">
        <v>2481</v>
      </c>
      <c r="B3663" t="s">
        <v>2482</v>
      </c>
      <c r="C3663" t="s">
        <v>235</v>
      </c>
      <c r="D3663" t="s">
        <v>2414</v>
      </c>
      <c r="E3663" t="s">
        <v>560</v>
      </c>
      <c r="F3663" t="s">
        <v>1068</v>
      </c>
      <c r="G3663" t="s">
        <v>1071</v>
      </c>
      <c r="H3663" s="171" t="s">
        <v>2483</v>
      </c>
      <c r="I3663" t="s">
        <v>1072</v>
      </c>
      <c r="J3663">
        <v>7.14</v>
      </c>
    </row>
    <row r="3664" spans="1:10" hidden="1">
      <c r="A3664" t="s">
        <v>2481</v>
      </c>
      <c r="B3664" t="s">
        <v>2482</v>
      </c>
      <c r="C3664" t="s">
        <v>235</v>
      </c>
      <c r="D3664" t="s">
        <v>2414</v>
      </c>
      <c r="E3664" t="s">
        <v>560</v>
      </c>
      <c r="F3664" t="s">
        <v>1068</v>
      </c>
      <c r="G3664" t="s">
        <v>1073</v>
      </c>
      <c r="H3664" s="171" t="s">
        <v>2484</v>
      </c>
      <c r="I3664" t="s">
        <v>1074</v>
      </c>
      <c r="J3664">
        <v>7.14</v>
      </c>
    </row>
    <row r="3665" spans="1:10" hidden="1">
      <c r="A3665" t="s">
        <v>2481</v>
      </c>
      <c r="B3665" t="s">
        <v>2482</v>
      </c>
      <c r="C3665" t="s">
        <v>235</v>
      </c>
      <c r="D3665" t="s">
        <v>2414</v>
      </c>
      <c r="E3665" t="s">
        <v>560</v>
      </c>
      <c r="F3665" t="s">
        <v>1068</v>
      </c>
      <c r="G3665" t="s">
        <v>1075</v>
      </c>
      <c r="H3665">
        <v>3.4710191325399401E-3</v>
      </c>
      <c r="I3665" t="s">
        <v>1077</v>
      </c>
      <c r="J3665">
        <v>7.14</v>
      </c>
    </row>
    <row r="3666" spans="1:10" hidden="1">
      <c r="A3666" t="s">
        <v>2481</v>
      </c>
      <c r="B3666" t="s">
        <v>2482</v>
      </c>
      <c r="C3666" t="s">
        <v>235</v>
      </c>
      <c r="D3666" t="s">
        <v>2414</v>
      </c>
      <c r="E3666" t="s">
        <v>560</v>
      </c>
      <c r="F3666" t="s">
        <v>1068</v>
      </c>
      <c r="G3666" t="s">
        <v>1078</v>
      </c>
      <c r="H3666" s="171" t="s">
        <v>2485</v>
      </c>
      <c r="I3666" t="s">
        <v>1079</v>
      </c>
      <c r="J3666">
        <v>7.14</v>
      </c>
    </row>
    <row r="3667" spans="1:10" hidden="1">
      <c r="A3667" t="s">
        <v>2481</v>
      </c>
      <c r="B3667" t="s">
        <v>2482</v>
      </c>
      <c r="C3667" t="s">
        <v>235</v>
      </c>
      <c r="D3667" t="s">
        <v>2414</v>
      </c>
      <c r="E3667" t="s">
        <v>560</v>
      </c>
      <c r="F3667" t="s">
        <v>1068</v>
      </c>
      <c r="G3667" t="s">
        <v>1080</v>
      </c>
      <c r="H3667" s="171" t="s">
        <v>2486</v>
      </c>
      <c r="I3667" t="s">
        <v>1082</v>
      </c>
      <c r="J3667">
        <v>7.14</v>
      </c>
    </row>
    <row r="3668" spans="1:10" hidden="1">
      <c r="A3668" t="s">
        <v>2481</v>
      </c>
      <c r="B3668" t="s">
        <v>2482</v>
      </c>
      <c r="C3668" t="s">
        <v>235</v>
      </c>
      <c r="D3668" t="s">
        <v>2414</v>
      </c>
      <c r="E3668" t="s">
        <v>560</v>
      </c>
      <c r="F3668" t="s">
        <v>1068</v>
      </c>
      <c r="G3668" t="s">
        <v>1083</v>
      </c>
      <c r="H3668" s="171" t="s">
        <v>2487</v>
      </c>
      <c r="I3668" t="s">
        <v>1084</v>
      </c>
      <c r="J3668">
        <v>7.14</v>
      </c>
    </row>
    <row r="3669" spans="1:10" hidden="1">
      <c r="A3669" t="s">
        <v>2481</v>
      </c>
      <c r="B3669" t="s">
        <v>2482</v>
      </c>
      <c r="C3669" t="s">
        <v>235</v>
      </c>
      <c r="D3669" t="s">
        <v>2414</v>
      </c>
      <c r="E3669" t="s">
        <v>560</v>
      </c>
      <c r="F3669" t="s">
        <v>1068</v>
      </c>
      <c r="G3669" t="s">
        <v>1085</v>
      </c>
      <c r="H3669" s="171" t="s">
        <v>2488</v>
      </c>
      <c r="I3669" t="s">
        <v>1086</v>
      </c>
      <c r="J3669">
        <v>7.14</v>
      </c>
    </row>
    <row r="3670" spans="1:10" hidden="1">
      <c r="A3670" t="s">
        <v>2481</v>
      </c>
      <c r="B3670" t="s">
        <v>2482</v>
      </c>
      <c r="C3670" t="s">
        <v>235</v>
      </c>
      <c r="D3670" t="s">
        <v>2414</v>
      </c>
      <c r="E3670" t="s">
        <v>560</v>
      </c>
      <c r="F3670" t="s">
        <v>1068</v>
      </c>
      <c r="G3670" t="s">
        <v>1087</v>
      </c>
      <c r="H3670" s="171" t="s">
        <v>2489</v>
      </c>
      <c r="I3670" t="s">
        <v>1088</v>
      </c>
      <c r="J3670">
        <v>7.14</v>
      </c>
    </row>
    <row r="3671" spans="1:10" hidden="1">
      <c r="A3671" t="s">
        <v>2481</v>
      </c>
      <c r="B3671" t="s">
        <v>2482</v>
      </c>
      <c r="C3671" t="s">
        <v>235</v>
      </c>
      <c r="D3671" t="s">
        <v>2414</v>
      </c>
      <c r="E3671" t="s">
        <v>560</v>
      </c>
      <c r="F3671" t="s">
        <v>1068</v>
      </c>
      <c r="G3671" t="s">
        <v>1089</v>
      </c>
      <c r="H3671" s="171" t="s">
        <v>2490</v>
      </c>
      <c r="I3671" t="s">
        <v>1090</v>
      </c>
      <c r="J3671">
        <v>7.14</v>
      </c>
    </row>
    <row r="3672" spans="1:10" hidden="1">
      <c r="A3672" t="s">
        <v>2491</v>
      </c>
      <c r="B3672" t="s">
        <v>2492</v>
      </c>
      <c r="C3672" t="s">
        <v>235</v>
      </c>
      <c r="D3672" t="s">
        <v>2414</v>
      </c>
      <c r="E3672" t="s">
        <v>1116</v>
      </c>
      <c r="F3672" t="s">
        <v>1068</v>
      </c>
      <c r="G3672" t="s">
        <v>1069</v>
      </c>
      <c r="H3672">
        <v>7.3808406327080203E-2</v>
      </c>
      <c r="I3672" t="s">
        <v>1070</v>
      </c>
      <c r="J3672">
        <v>7.36</v>
      </c>
    </row>
    <row r="3673" spans="1:10" hidden="1">
      <c r="A3673" t="s">
        <v>2491</v>
      </c>
      <c r="B3673" t="s">
        <v>2492</v>
      </c>
      <c r="C3673" t="s">
        <v>235</v>
      </c>
      <c r="D3673" t="s">
        <v>2414</v>
      </c>
      <c r="E3673" t="s">
        <v>1116</v>
      </c>
      <c r="F3673" t="s">
        <v>1068</v>
      </c>
      <c r="G3673" t="s">
        <v>1071</v>
      </c>
      <c r="H3673" s="171" t="s">
        <v>2493</v>
      </c>
      <c r="I3673" t="s">
        <v>1072</v>
      </c>
      <c r="J3673">
        <v>7.36</v>
      </c>
    </row>
    <row r="3674" spans="1:10" hidden="1">
      <c r="A3674" t="s">
        <v>2491</v>
      </c>
      <c r="B3674" t="s">
        <v>2492</v>
      </c>
      <c r="C3674" t="s">
        <v>235</v>
      </c>
      <c r="D3674" t="s">
        <v>2414</v>
      </c>
      <c r="E3674" t="s">
        <v>1116</v>
      </c>
      <c r="F3674" t="s">
        <v>1068</v>
      </c>
      <c r="G3674" t="s">
        <v>1073</v>
      </c>
      <c r="H3674" s="171" t="s">
        <v>2494</v>
      </c>
      <c r="I3674" t="s">
        <v>1074</v>
      </c>
      <c r="J3674">
        <v>7.36</v>
      </c>
    </row>
    <row r="3675" spans="1:10" hidden="1">
      <c r="A3675" t="s">
        <v>2491</v>
      </c>
      <c r="B3675" t="s">
        <v>2492</v>
      </c>
      <c r="C3675" t="s">
        <v>235</v>
      </c>
      <c r="D3675" t="s">
        <v>2414</v>
      </c>
      <c r="E3675" t="s">
        <v>1116</v>
      </c>
      <c r="F3675" t="s">
        <v>1068</v>
      </c>
      <c r="G3675" t="s">
        <v>1075</v>
      </c>
      <c r="H3675">
        <v>3.4707526652035E-3</v>
      </c>
      <c r="I3675" t="s">
        <v>1077</v>
      </c>
      <c r="J3675">
        <v>7.36</v>
      </c>
    </row>
    <row r="3676" spans="1:10" hidden="1">
      <c r="A3676" t="s">
        <v>2491</v>
      </c>
      <c r="B3676" t="s">
        <v>2492</v>
      </c>
      <c r="C3676" t="s">
        <v>235</v>
      </c>
      <c r="D3676" t="s">
        <v>2414</v>
      </c>
      <c r="E3676" t="s">
        <v>1116</v>
      </c>
      <c r="F3676" t="s">
        <v>1068</v>
      </c>
      <c r="G3676" t="s">
        <v>1078</v>
      </c>
      <c r="H3676">
        <v>2.60199785209922E-2</v>
      </c>
      <c r="I3676" t="s">
        <v>1079</v>
      </c>
      <c r="J3676">
        <v>7.36</v>
      </c>
    </row>
    <row r="3677" spans="1:10" hidden="1">
      <c r="A3677" t="s">
        <v>2491</v>
      </c>
      <c r="B3677" t="s">
        <v>2492</v>
      </c>
      <c r="C3677" t="s">
        <v>235</v>
      </c>
      <c r="D3677" t="s">
        <v>2414</v>
      </c>
      <c r="E3677" t="s">
        <v>1116</v>
      </c>
      <c r="F3677" t="s">
        <v>1068</v>
      </c>
      <c r="G3677" t="s">
        <v>1080</v>
      </c>
      <c r="H3677" s="171" t="s">
        <v>2495</v>
      </c>
      <c r="I3677" t="s">
        <v>1082</v>
      </c>
      <c r="J3677">
        <v>7.36</v>
      </c>
    </row>
    <row r="3678" spans="1:10" hidden="1">
      <c r="A3678" t="s">
        <v>2491</v>
      </c>
      <c r="B3678" t="s">
        <v>2492</v>
      </c>
      <c r="C3678" t="s">
        <v>235</v>
      </c>
      <c r="D3678" t="s">
        <v>2414</v>
      </c>
      <c r="E3678" t="s">
        <v>1116</v>
      </c>
      <c r="F3678" t="s">
        <v>1068</v>
      </c>
      <c r="G3678" t="s">
        <v>1083</v>
      </c>
      <c r="H3678" s="171" t="s">
        <v>2496</v>
      </c>
      <c r="I3678" t="s">
        <v>1084</v>
      </c>
      <c r="J3678">
        <v>7.36</v>
      </c>
    </row>
    <row r="3679" spans="1:10" hidden="1">
      <c r="A3679" t="s">
        <v>2491</v>
      </c>
      <c r="B3679" t="s">
        <v>2492</v>
      </c>
      <c r="C3679" t="s">
        <v>235</v>
      </c>
      <c r="D3679" t="s">
        <v>2414</v>
      </c>
      <c r="E3679" t="s">
        <v>1116</v>
      </c>
      <c r="F3679" t="s">
        <v>1068</v>
      </c>
      <c r="G3679" t="s">
        <v>1085</v>
      </c>
      <c r="H3679" s="171" t="s">
        <v>2497</v>
      </c>
      <c r="I3679" t="s">
        <v>1086</v>
      </c>
      <c r="J3679">
        <v>7.36</v>
      </c>
    </row>
    <row r="3680" spans="1:10" hidden="1">
      <c r="A3680" t="s">
        <v>2491</v>
      </c>
      <c r="B3680" t="s">
        <v>2492</v>
      </c>
      <c r="C3680" t="s">
        <v>235</v>
      </c>
      <c r="D3680" t="s">
        <v>2414</v>
      </c>
      <c r="E3680" t="s">
        <v>1116</v>
      </c>
      <c r="F3680" t="s">
        <v>1068</v>
      </c>
      <c r="G3680" t="s">
        <v>1087</v>
      </c>
      <c r="H3680" s="171" t="s">
        <v>2498</v>
      </c>
      <c r="I3680" t="s">
        <v>1088</v>
      </c>
      <c r="J3680">
        <v>7.36</v>
      </c>
    </row>
    <row r="3681" spans="1:10" hidden="1">
      <c r="A3681" t="s">
        <v>2491</v>
      </c>
      <c r="B3681" t="s">
        <v>2492</v>
      </c>
      <c r="C3681" t="s">
        <v>235</v>
      </c>
      <c r="D3681" t="s">
        <v>2414</v>
      </c>
      <c r="E3681" t="s">
        <v>1116</v>
      </c>
      <c r="F3681" t="s">
        <v>1068</v>
      </c>
      <c r="G3681" t="s">
        <v>1089</v>
      </c>
      <c r="H3681" s="171" t="s">
        <v>2499</v>
      </c>
      <c r="I3681" t="s">
        <v>1090</v>
      </c>
      <c r="J3681">
        <v>7.36</v>
      </c>
    </row>
    <row r="3682" spans="1:10" hidden="1">
      <c r="A3682" t="s">
        <v>2500</v>
      </c>
      <c r="B3682" t="s">
        <v>2501</v>
      </c>
      <c r="C3682" t="s">
        <v>235</v>
      </c>
      <c r="D3682" t="s">
        <v>2502</v>
      </c>
      <c r="E3682" t="s">
        <v>561</v>
      </c>
      <c r="F3682" t="s">
        <v>1068</v>
      </c>
      <c r="G3682" t="s">
        <v>1069</v>
      </c>
      <c r="H3682">
        <v>7.1011497415979993E-2</v>
      </c>
      <c r="I3682" t="s">
        <v>1070</v>
      </c>
      <c r="J3682">
        <v>6.88</v>
      </c>
    </row>
    <row r="3683" spans="1:10" hidden="1">
      <c r="A3683" t="s">
        <v>2500</v>
      </c>
      <c r="B3683" t="s">
        <v>2501</v>
      </c>
      <c r="C3683" t="s">
        <v>235</v>
      </c>
      <c r="D3683" t="s">
        <v>2502</v>
      </c>
      <c r="E3683" t="s">
        <v>561</v>
      </c>
      <c r="F3683" t="s">
        <v>1068</v>
      </c>
      <c r="G3683" t="s">
        <v>1071</v>
      </c>
      <c r="H3683" s="171" t="s">
        <v>2503</v>
      </c>
      <c r="I3683" t="s">
        <v>1072</v>
      </c>
      <c r="J3683">
        <v>6.88</v>
      </c>
    </row>
    <row r="3684" spans="1:10" hidden="1">
      <c r="A3684" t="s">
        <v>2500</v>
      </c>
      <c r="B3684" t="s">
        <v>2501</v>
      </c>
      <c r="C3684" t="s">
        <v>235</v>
      </c>
      <c r="D3684" t="s">
        <v>2502</v>
      </c>
      <c r="E3684" t="s">
        <v>561</v>
      </c>
      <c r="F3684" t="s">
        <v>1068</v>
      </c>
      <c r="G3684" t="s">
        <v>1073</v>
      </c>
      <c r="H3684" s="171" t="s">
        <v>2504</v>
      </c>
      <c r="I3684" t="s">
        <v>1074</v>
      </c>
      <c r="J3684">
        <v>6.88</v>
      </c>
    </row>
    <row r="3685" spans="1:10" hidden="1">
      <c r="A3685" t="s">
        <v>2500</v>
      </c>
      <c r="B3685" t="s">
        <v>2501</v>
      </c>
      <c r="C3685" t="s">
        <v>235</v>
      </c>
      <c r="D3685" t="s">
        <v>2502</v>
      </c>
      <c r="E3685" t="s">
        <v>561</v>
      </c>
      <c r="F3685" t="s">
        <v>1068</v>
      </c>
      <c r="G3685" t="s">
        <v>1075</v>
      </c>
      <c r="H3685">
        <v>3.4708061312655799E-3</v>
      </c>
      <c r="I3685" t="s">
        <v>1077</v>
      </c>
      <c r="J3685">
        <v>6.88</v>
      </c>
    </row>
    <row r="3686" spans="1:10" hidden="1">
      <c r="A3686" t="s">
        <v>2500</v>
      </c>
      <c r="B3686" t="s">
        <v>2501</v>
      </c>
      <c r="C3686" t="s">
        <v>235</v>
      </c>
      <c r="D3686" t="s">
        <v>2502</v>
      </c>
      <c r="E3686" t="s">
        <v>561</v>
      </c>
      <c r="F3686" t="s">
        <v>1068</v>
      </c>
      <c r="G3686" t="s">
        <v>1078</v>
      </c>
      <c r="H3686" s="171" t="s">
        <v>2505</v>
      </c>
      <c r="I3686" t="s">
        <v>1079</v>
      </c>
      <c r="J3686">
        <v>6.88</v>
      </c>
    </row>
    <row r="3687" spans="1:10" hidden="1">
      <c r="A3687" t="s">
        <v>2500</v>
      </c>
      <c r="B3687" t="s">
        <v>2501</v>
      </c>
      <c r="C3687" t="s">
        <v>235</v>
      </c>
      <c r="D3687" t="s">
        <v>2502</v>
      </c>
      <c r="E3687" t="s">
        <v>561</v>
      </c>
      <c r="F3687" t="s">
        <v>1068</v>
      </c>
      <c r="G3687" t="s">
        <v>1080</v>
      </c>
      <c r="H3687" s="171" t="s">
        <v>2506</v>
      </c>
      <c r="I3687" t="s">
        <v>1082</v>
      </c>
      <c r="J3687">
        <v>6.88</v>
      </c>
    </row>
    <row r="3688" spans="1:10" hidden="1">
      <c r="A3688" t="s">
        <v>2500</v>
      </c>
      <c r="B3688" t="s">
        <v>2501</v>
      </c>
      <c r="C3688" t="s">
        <v>235</v>
      </c>
      <c r="D3688" t="s">
        <v>2502</v>
      </c>
      <c r="E3688" t="s">
        <v>561</v>
      </c>
      <c r="F3688" t="s">
        <v>1068</v>
      </c>
      <c r="G3688" t="s">
        <v>1083</v>
      </c>
      <c r="H3688" s="171" t="s">
        <v>2507</v>
      </c>
      <c r="I3688" t="s">
        <v>1084</v>
      </c>
      <c r="J3688">
        <v>6.88</v>
      </c>
    </row>
    <row r="3689" spans="1:10" hidden="1">
      <c r="A3689" t="s">
        <v>2500</v>
      </c>
      <c r="B3689" t="s">
        <v>2501</v>
      </c>
      <c r="C3689" t="s">
        <v>235</v>
      </c>
      <c r="D3689" t="s">
        <v>2502</v>
      </c>
      <c r="E3689" t="s">
        <v>561</v>
      </c>
      <c r="F3689" t="s">
        <v>1068</v>
      </c>
      <c r="G3689" t="s">
        <v>1085</v>
      </c>
      <c r="H3689" s="171" t="s">
        <v>2508</v>
      </c>
      <c r="I3689" t="s">
        <v>1086</v>
      </c>
      <c r="J3689">
        <v>6.88</v>
      </c>
    </row>
    <row r="3690" spans="1:10" hidden="1">
      <c r="A3690" t="s">
        <v>2500</v>
      </c>
      <c r="B3690" t="s">
        <v>2501</v>
      </c>
      <c r="C3690" t="s">
        <v>235</v>
      </c>
      <c r="D3690" t="s">
        <v>2502</v>
      </c>
      <c r="E3690" t="s">
        <v>561</v>
      </c>
      <c r="F3690" t="s">
        <v>1068</v>
      </c>
      <c r="G3690" t="s">
        <v>1087</v>
      </c>
      <c r="H3690" s="171" t="s">
        <v>2509</v>
      </c>
      <c r="I3690" t="s">
        <v>1088</v>
      </c>
      <c r="J3690">
        <v>6.88</v>
      </c>
    </row>
    <row r="3691" spans="1:10" hidden="1">
      <c r="A3691" t="s">
        <v>2500</v>
      </c>
      <c r="B3691" t="s">
        <v>2501</v>
      </c>
      <c r="C3691" t="s">
        <v>235</v>
      </c>
      <c r="D3691" t="s">
        <v>2502</v>
      </c>
      <c r="E3691" t="s">
        <v>561</v>
      </c>
      <c r="F3691" t="s">
        <v>1068</v>
      </c>
      <c r="G3691" t="s">
        <v>1089</v>
      </c>
      <c r="H3691" s="171" t="s">
        <v>2510</v>
      </c>
      <c r="I3691" t="s">
        <v>1090</v>
      </c>
      <c r="J3691">
        <v>6.88</v>
      </c>
    </row>
    <row r="3692" spans="1:10" hidden="1">
      <c r="A3692" t="s">
        <v>2511</v>
      </c>
      <c r="B3692" t="s">
        <v>2512</v>
      </c>
      <c r="C3692" t="s">
        <v>235</v>
      </c>
      <c r="D3692" t="s">
        <v>2502</v>
      </c>
      <c r="E3692" t="s">
        <v>555</v>
      </c>
      <c r="F3692" t="s">
        <v>1068</v>
      </c>
      <c r="G3692" t="s">
        <v>1069</v>
      </c>
      <c r="H3692">
        <v>7.1034203651529695E-2</v>
      </c>
      <c r="I3692" t="s">
        <v>1070</v>
      </c>
      <c r="J3692">
        <v>7.32</v>
      </c>
    </row>
    <row r="3693" spans="1:10" hidden="1">
      <c r="A3693" t="s">
        <v>2511</v>
      </c>
      <c r="B3693" t="s">
        <v>2512</v>
      </c>
      <c r="C3693" t="s">
        <v>235</v>
      </c>
      <c r="D3693" t="s">
        <v>2502</v>
      </c>
      <c r="E3693" t="s">
        <v>555</v>
      </c>
      <c r="F3693" t="s">
        <v>1068</v>
      </c>
      <c r="G3693" t="s">
        <v>1071</v>
      </c>
      <c r="H3693" s="171" t="s">
        <v>2513</v>
      </c>
      <c r="I3693" t="s">
        <v>1072</v>
      </c>
      <c r="J3693">
        <v>7.32</v>
      </c>
    </row>
    <row r="3694" spans="1:10" hidden="1">
      <c r="A3694" t="s">
        <v>2511</v>
      </c>
      <c r="B3694" t="s">
        <v>2512</v>
      </c>
      <c r="C3694" t="s">
        <v>235</v>
      </c>
      <c r="D3694" t="s">
        <v>2502</v>
      </c>
      <c r="E3694" t="s">
        <v>555</v>
      </c>
      <c r="F3694" t="s">
        <v>1068</v>
      </c>
      <c r="G3694" t="s">
        <v>1073</v>
      </c>
      <c r="H3694" s="171" t="s">
        <v>2514</v>
      </c>
      <c r="I3694" t="s">
        <v>1074</v>
      </c>
      <c r="J3694">
        <v>7.32</v>
      </c>
    </row>
    <row r="3695" spans="1:10" hidden="1">
      <c r="A3695" t="s">
        <v>2511</v>
      </c>
      <c r="B3695" t="s">
        <v>2512</v>
      </c>
      <c r="C3695" t="s">
        <v>235</v>
      </c>
      <c r="D3695" t="s">
        <v>2502</v>
      </c>
      <c r="E3695" t="s">
        <v>555</v>
      </c>
      <c r="F3695" t="s">
        <v>1068</v>
      </c>
      <c r="G3695" t="s">
        <v>1075</v>
      </c>
      <c r="H3695">
        <v>3.47128233802807E-3</v>
      </c>
      <c r="I3695" t="s">
        <v>1077</v>
      </c>
      <c r="J3695">
        <v>7.32</v>
      </c>
    </row>
    <row r="3696" spans="1:10" hidden="1">
      <c r="A3696" t="s">
        <v>2511</v>
      </c>
      <c r="B3696" t="s">
        <v>2512</v>
      </c>
      <c r="C3696" t="s">
        <v>235</v>
      </c>
      <c r="D3696" t="s">
        <v>2502</v>
      </c>
      <c r="E3696" t="s">
        <v>555</v>
      </c>
      <c r="F3696" t="s">
        <v>1068</v>
      </c>
      <c r="G3696" t="s">
        <v>1078</v>
      </c>
      <c r="H3696">
        <v>2.6042891287529901E-2</v>
      </c>
      <c r="I3696" t="s">
        <v>1079</v>
      </c>
      <c r="J3696">
        <v>7.32</v>
      </c>
    </row>
    <row r="3697" spans="1:10" hidden="1">
      <c r="A3697" t="s">
        <v>2511</v>
      </c>
      <c r="B3697" t="s">
        <v>2512</v>
      </c>
      <c r="C3697" t="s">
        <v>235</v>
      </c>
      <c r="D3697" t="s">
        <v>2502</v>
      </c>
      <c r="E3697" t="s">
        <v>555</v>
      </c>
      <c r="F3697" t="s">
        <v>1068</v>
      </c>
      <c r="G3697" t="s">
        <v>1080</v>
      </c>
      <c r="H3697" s="171" t="s">
        <v>2515</v>
      </c>
      <c r="I3697" t="s">
        <v>1082</v>
      </c>
      <c r="J3697">
        <v>7.32</v>
      </c>
    </row>
    <row r="3698" spans="1:10" hidden="1">
      <c r="A3698" t="s">
        <v>2511</v>
      </c>
      <c r="B3698" t="s">
        <v>2512</v>
      </c>
      <c r="C3698" t="s">
        <v>235</v>
      </c>
      <c r="D3698" t="s">
        <v>2502</v>
      </c>
      <c r="E3698" t="s">
        <v>555</v>
      </c>
      <c r="F3698" t="s">
        <v>1068</v>
      </c>
      <c r="G3698" t="s">
        <v>1083</v>
      </c>
      <c r="H3698" s="171" t="s">
        <v>2516</v>
      </c>
      <c r="I3698" t="s">
        <v>1084</v>
      </c>
      <c r="J3698">
        <v>7.32</v>
      </c>
    </row>
    <row r="3699" spans="1:10" hidden="1">
      <c r="A3699" t="s">
        <v>2511</v>
      </c>
      <c r="B3699" t="s">
        <v>2512</v>
      </c>
      <c r="C3699" t="s">
        <v>235</v>
      </c>
      <c r="D3699" t="s">
        <v>2502</v>
      </c>
      <c r="E3699" t="s">
        <v>555</v>
      </c>
      <c r="F3699" t="s">
        <v>1068</v>
      </c>
      <c r="G3699" t="s">
        <v>1085</v>
      </c>
      <c r="H3699" s="171" t="s">
        <v>2517</v>
      </c>
      <c r="I3699" t="s">
        <v>1086</v>
      </c>
      <c r="J3699">
        <v>7.32</v>
      </c>
    </row>
    <row r="3700" spans="1:10" hidden="1">
      <c r="A3700" t="s">
        <v>2511</v>
      </c>
      <c r="B3700" t="s">
        <v>2512</v>
      </c>
      <c r="C3700" t="s">
        <v>235</v>
      </c>
      <c r="D3700" t="s">
        <v>2502</v>
      </c>
      <c r="E3700" t="s">
        <v>555</v>
      </c>
      <c r="F3700" t="s">
        <v>1068</v>
      </c>
      <c r="G3700" t="s">
        <v>1087</v>
      </c>
      <c r="H3700" s="171" t="s">
        <v>2518</v>
      </c>
      <c r="I3700" t="s">
        <v>1088</v>
      </c>
      <c r="J3700">
        <v>7.32</v>
      </c>
    </row>
    <row r="3701" spans="1:10" hidden="1">
      <c r="A3701" t="s">
        <v>2511</v>
      </c>
      <c r="B3701" t="s">
        <v>2512</v>
      </c>
      <c r="C3701" t="s">
        <v>235</v>
      </c>
      <c r="D3701" t="s">
        <v>2502</v>
      </c>
      <c r="E3701" t="s">
        <v>555</v>
      </c>
      <c r="F3701" t="s">
        <v>1068</v>
      </c>
      <c r="G3701" t="s">
        <v>1089</v>
      </c>
      <c r="H3701" s="171" t="s">
        <v>2519</v>
      </c>
      <c r="I3701" t="s">
        <v>1090</v>
      </c>
      <c r="J3701">
        <v>7.32</v>
      </c>
    </row>
    <row r="3702" spans="1:10" hidden="1">
      <c r="A3702" t="s">
        <v>2520</v>
      </c>
      <c r="B3702" t="s">
        <v>2521</v>
      </c>
      <c r="C3702" t="s">
        <v>235</v>
      </c>
      <c r="D3702" t="s">
        <v>2502</v>
      </c>
      <c r="E3702" t="s">
        <v>558</v>
      </c>
      <c r="F3702" t="s">
        <v>1068</v>
      </c>
      <c r="G3702" t="s">
        <v>1069</v>
      </c>
      <c r="H3702">
        <v>7.1010236642034402E-2</v>
      </c>
      <c r="I3702" t="s">
        <v>1070</v>
      </c>
      <c r="J3702">
        <v>8.4499999999999993</v>
      </c>
    </row>
    <row r="3703" spans="1:10" hidden="1">
      <c r="A3703" t="s">
        <v>2520</v>
      </c>
      <c r="B3703" t="s">
        <v>2521</v>
      </c>
      <c r="C3703" t="s">
        <v>235</v>
      </c>
      <c r="D3703" t="s">
        <v>2502</v>
      </c>
      <c r="E3703" t="s">
        <v>558</v>
      </c>
      <c r="F3703" t="s">
        <v>1068</v>
      </c>
      <c r="G3703" t="s">
        <v>1071</v>
      </c>
      <c r="H3703" s="171" t="s">
        <v>2522</v>
      </c>
      <c r="I3703" t="s">
        <v>1072</v>
      </c>
      <c r="J3703">
        <v>8.4499999999999993</v>
      </c>
    </row>
    <row r="3704" spans="1:10" hidden="1">
      <c r="A3704" t="s">
        <v>2520</v>
      </c>
      <c r="B3704" t="s">
        <v>2521</v>
      </c>
      <c r="C3704" t="s">
        <v>235</v>
      </c>
      <c r="D3704" t="s">
        <v>2502</v>
      </c>
      <c r="E3704" t="s">
        <v>558</v>
      </c>
      <c r="F3704" t="s">
        <v>1068</v>
      </c>
      <c r="G3704" t="s">
        <v>1073</v>
      </c>
      <c r="H3704" s="171" t="s">
        <v>2523</v>
      </c>
      <c r="I3704" t="s">
        <v>1074</v>
      </c>
      <c r="J3704">
        <v>8.4499999999999993</v>
      </c>
    </row>
    <row r="3705" spans="1:10" hidden="1">
      <c r="A3705" t="s">
        <v>2520</v>
      </c>
      <c r="B3705" t="s">
        <v>2521</v>
      </c>
      <c r="C3705" t="s">
        <v>235</v>
      </c>
      <c r="D3705" t="s">
        <v>2502</v>
      </c>
      <c r="E3705" t="s">
        <v>558</v>
      </c>
      <c r="F3705" t="s">
        <v>1068</v>
      </c>
      <c r="G3705" t="s">
        <v>1075</v>
      </c>
      <c r="H3705">
        <v>3.47076627685432E-3</v>
      </c>
      <c r="I3705" t="s">
        <v>1077</v>
      </c>
      <c r="J3705">
        <v>8.4499999999999993</v>
      </c>
    </row>
    <row r="3706" spans="1:10" hidden="1">
      <c r="A3706" t="s">
        <v>2520</v>
      </c>
      <c r="B3706" t="s">
        <v>2521</v>
      </c>
      <c r="C3706" t="s">
        <v>235</v>
      </c>
      <c r="D3706" t="s">
        <v>2502</v>
      </c>
      <c r="E3706" t="s">
        <v>558</v>
      </c>
      <c r="F3706" t="s">
        <v>1068</v>
      </c>
      <c r="G3706" t="s">
        <v>1078</v>
      </c>
      <c r="H3706">
        <v>2.60205789158744E-2</v>
      </c>
      <c r="I3706" t="s">
        <v>1079</v>
      </c>
      <c r="J3706">
        <v>8.4499999999999993</v>
      </c>
    </row>
    <row r="3707" spans="1:10" hidden="1">
      <c r="A3707" t="s">
        <v>2520</v>
      </c>
      <c r="B3707" t="s">
        <v>2521</v>
      </c>
      <c r="C3707" t="s">
        <v>235</v>
      </c>
      <c r="D3707" t="s">
        <v>2502</v>
      </c>
      <c r="E3707" t="s">
        <v>558</v>
      </c>
      <c r="F3707" t="s">
        <v>1068</v>
      </c>
      <c r="G3707" t="s">
        <v>1080</v>
      </c>
      <c r="H3707" s="171" t="s">
        <v>2524</v>
      </c>
      <c r="I3707" t="s">
        <v>1082</v>
      </c>
      <c r="J3707">
        <v>8.4499999999999993</v>
      </c>
    </row>
    <row r="3708" spans="1:10" hidden="1">
      <c r="A3708" t="s">
        <v>2520</v>
      </c>
      <c r="B3708" t="s">
        <v>2521</v>
      </c>
      <c r="C3708" t="s">
        <v>235</v>
      </c>
      <c r="D3708" t="s">
        <v>2502</v>
      </c>
      <c r="E3708" t="s">
        <v>558</v>
      </c>
      <c r="F3708" t="s">
        <v>1068</v>
      </c>
      <c r="G3708" t="s">
        <v>1083</v>
      </c>
      <c r="H3708" s="171" t="s">
        <v>2525</v>
      </c>
      <c r="I3708" t="s">
        <v>1084</v>
      </c>
      <c r="J3708">
        <v>8.4499999999999993</v>
      </c>
    </row>
    <row r="3709" spans="1:10" hidden="1">
      <c r="A3709" t="s">
        <v>2520</v>
      </c>
      <c r="B3709" t="s">
        <v>2521</v>
      </c>
      <c r="C3709" t="s">
        <v>235</v>
      </c>
      <c r="D3709" t="s">
        <v>2502</v>
      </c>
      <c r="E3709" t="s">
        <v>558</v>
      </c>
      <c r="F3709" t="s">
        <v>1068</v>
      </c>
      <c r="G3709" t="s">
        <v>1085</v>
      </c>
      <c r="H3709" s="171" t="s">
        <v>2526</v>
      </c>
      <c r="I3709" t="s">
        <v>1086</v>
      </c>
      <c r="J3709">
        <v>8.4499999999999993</v>
      </c>
    </row>
    <row r="3710" spans="1:10" hidden="1">
      <c r="A3710" t="s">
        <v>2520</v>
      </c>
      <c r="B3710" t="s">
        <v>2521</v>
      </c>
      <c r="C3710" t="s">
        <v>235</v>
      </c>
      <c r="D3710" t="s">
        <v>2502</v>
      </c>
      <c r="E3710" t="s">
        <v>558</v>
      </c>
      <c r="F3710" t="s">
        <v>1068</v>
      </c>
      <c r="G3710" t="s">
        <v>1087</v>
      </c>
      <c r="H3710" s="171" t="s">
        <v>2527</v>
      </c>
      <c r="I3710" t="s">
        <v>1088</v>
      </c>
      <c r="J3710">
        <v>8.4499999999999993</v>
      </c>
    </row>
    <row r="3711" spans="1:10" hidden="1">
      <c r="A3711" t="s">
        <v>2520</v>
      </c>
      <c r="B3711" t="s">
        <v>2521</v>
      </c>
      <c r="C3711" t="s">
        <v>235</v>
      </c>
      <c r="D3711" t="s">
        <v>2502</v>
      </c>
      <c r="E3711" t="s">
        <v>558</v>
      </c>
      <c r="F3711" t="s">
        <v>1068</v>
      </c>
      <c r="G3711" t="s">
        <v>1089</v>
      </c>
      <c r="H3711" s="171" t="s">
        <v>2528</v>
      </c>
      <c r="I3711" t="s">
        <v>1090</v>
      </c>
      <c r="J3711">
        <v>8.4499999999999993</v>
      </c>
    </row>
    <row r="3712" spans="1:10" hidden="1">
      <c r="A3712" t="s">
        <v>2529</v>
      </c>
      <c r="B3712" t="s">
        <v>2530</v>
      </c>
      <c r="C3712" t="s">
        <v>235</v>
      </c>
      <c r="D3712" t="s">
        <v>2502</v>
      </c>
      <c r="E3712" t="s">
        <v>553</v>
      </c>
      <c r="F3712" t="s">
        <v>1068</v>
      </c>
      <c r="G3712" t="s">
        <v>1069</v>
      </c>
      <c r="H3712">
        <v>7.1017367285821295E-2</v>
      </c>
      <c r="I3712" t="s">
        <v>1070</v>
      </c>
      <c r="J3712">
        <v>6.43</v>
      </c>
    </row>
    <row r="3713" spans="1:10" hidden="1">
      <c r="A3713" t="s">
        <v>2529</v>
      </c>
      <c r="B3713" t="s">
        <v>2530</v>
      </c>
      <c r="C3713" t="s">
        <v>235</v>
      </c>
      <c r="D3713" t="s">
        <v>2502</v>
      </c>
      <c r="E3713" t="s">
        <v>553</v>
      </c>
      <c r="F3713" t="s">
        <v>1068</v>
      </c>
      <c r="G3713" t="s">
        <v>1071</v>
      </c>
      <c r="H3713" s="171" t="s">
        <v>2531</v>
      </c>
      <c r="I3713" t="s">
        <v>1072</v>
      </c>
      <c r="J3713">
        <v>6.43</v>
      </c>
    </row>
    <row r="3714" spans="1:10" hidden="1">
      <c r="A3714" t="s">
        <v>2529</v>
      </c>
      <c r="B3714" t="s">
        <v>2530</v>
      </c>
      <c r="C3714" t="s">
        <v>235</v>
      </c>
      <c r="D3714" t="s">
        <v>2502</v>
      </c>
      <c r="E3714" t="s">
        <v>553</v>
      </c>
      <c r="F3714" t="s">
        <v>1068</v>
      </c>
      <c r="G3714" t="s">
        <v>1073</v>
      </c>
      <c r="H3714" s="171" t="s">
        <v>2532</v>
      </c>
      <c r="I3714" t="s">
        <v>1074</v>
      </c>
      <c r="J3714">
        <v>6.43</v>
      </c>
    </row>
    <row r="3715" spans="1:10" hidden="1">
      <c r="A3715" t="s">
        <v>2529</v>
      </c>
      <c r="B3715" t="s">
        <v>2530</v>
      </c>
      <c r="C3715" t="s">
        <v>235</v>
      </c>
      <c r="D3715" t="s">
        <v>2502</v>
      </c>
      <c r="E3715" t="s">
        <v>553</v>
      </c>
      <c r="F3715" t="s">
        <v>1068</v>
      </c>
      <c r="G3715" t="s">
        <v>1075</v>
      </c>
      <c r="H3715">
        <v>3.47075012252226E-3</v>
      </c>
      <c r="I3715" t="s">
        <v>1077</v>
      </c>
      <c r="J3715">
        <v>6.43</v>
      </c>
    </row>
    <row r="3716" spans="1:10" hidden="1">
      <c r="A3716" t="s">
        <v>2529</v>
      </c>
      <c r="B3716" t="s">
        <v>2530</v>
      </c>
      <c r="C3716" t="s">
        <v>235</v>
      </c>
      <c r="D3716" t="s">
        <v>2502</v>
      </c>
      <c r="E3716" t="s">
        <v>553</v>
      </c>
      <c r="F3716" t="s">
        <v>1068</v>
      </c>
      <c r="G3716" t="s">
        <v>1078</v>
      </c>
      <c r="H3716" s="171" t="s">
        <v>2533</v>
      </c>
      <c r="I3716" t="s">
        <v>1079</v>
      </c>
      <c r="J3716">
        <v>6.43</v>
      </c>
    </row>
    <row r="3717" spans="1:10" hidden="1">
      <c r="A3717" t="s">
        <v>2529</v>
      </c>
      <c r="B3717" t="s">
        <v>2530</v>
      </c>
      <c r="C3717" t="s">
        <v>235</v>
      </c>
      <c r="D3717" t="s">
        <v>2502</v>
      </c>
      <c r="E3717" t="s">
        <v>553</v>
      </c>
      <c r="F3717" t="s">
        <v>1068</v>
      </c>
      <c r="G3717" t="s">
        <v>1080</v>
      </c>
      <c r="H3717" s="171" t="s">
        <v>2534</v>
      </c>
      <c r="I3717" t="s">
        <v>1082</v>
      </c>
      <c r="J3717">
        <v>6.43</v>
      </c>
    </row>
    <row r="3718" spans="1:10" hidden="1">
      <c r="A3718" t="s">
        <v>2529</v>
      </c>
      <c r="B3718" t="s">
        <v>2530</v>
      </c>
      <c r="C3718" t="s">
        <v>235</v>
      </c>
      <c r="D3718" t="s">
        <v>2502</v>
      </c>
      <c r="E3718" t="s">
        <v>553</v>
      </c>
      <c r="F3718" t="s">
        <v>1068</v>
      </c>
      <c r="G3718" t="s">
        <v>1083</v>
      </c>
      <c r="H3718" s="171" t="s">
        <v>2535</v>
      </c>
      <c r="I3718" t="s">
        <v>1084</v>
      </c>
      <c r="J3718">
        <v>6.43</v>
      </c>
    </row>
    <row r="3719" spans="1:10" hidden="1">
      <c r="A3719" t="s">
        <v>2529</v>
      </c>
      <c r="B3719" t="s">
        <v>2530</v>
      </c>
      <c r="C3719" t="s">
        <v>235</v>
      </c>
      <c r="D3719" t="s">
        <v>2502</v>
      </c>
      <c r="E3719" t="s">
        <v>553</v>
      </c>
      <c r="F3719" t="s">
        <v>1068</v>
      </c>
      <c r="G3719" t="s">
        <v>1085</v>
      </c>
      <c r="H3719" s="171" t="s">
        <v>2536</v>
      </c>
      <c r="I3719" t="s">
        <v>1086</v>
      </c>
      <c r="J3719">
        <v>6.43</v>
      </c>
    </row>
    <row r="3720" spans="1:10" hidden="1">
      <c r="A3720" t="s">
        <v>2529</v>
      </c>
      <c r="B3720" t="s">
        <v>2530</v>
      </c>
      <c r="C3720" t="s">
        <v>235</v>
      </c>
      <c r="D3720" t="s">
        <v>2502</v>
      </c>
      <c r="E3720" t="s">
        <v>553</v>
      </c>
      <c r="F3720" t="s">
        <v>1068</v>
      </c>
      <c r="G3720" t="s">
        <v>1087</v>
      </c>
      <c r="H3720" s="171" t="s">
        <v>2537</v>
      </c>
      <c r="I3720" t="s">
        <v>1088</v>
      </c>
      <c r="J3720">
        <v>6.43</v>
      </c>
    </row>
    <row r="3721" spans="1:10" hidden="1">
      <c r="A3721" t="s">
        <v>2529</v>
      </c>
      <c r="B3721" t="s">
        <v>2530</v>
      </c>
      <c r="C3721" t="s">
        <v>235</v>
      </c>
      <c r="D3721" t="s">
        <v>2502</v>
      </c>
      <c r="E3721" t="s">
        <v>553</v>
      </c>
      <c r="F3721" t="s">
        <v>1068</v>
      </c>
      <c r="G3721" t="s">
        <v>1089</v>
      </c>
      <c r="H3721" s="171" t="s">
        <v>2538</v>
      </c>
      <c r="I3721" t="s">
        <v>1090</v>
      </c>
      <c r="J3721">
        <v>6.43</v>
      </c>
    </row>
    <row r="3722" spans="1:10" hidden="1">
      <c r="A3722" t="s">
        <v>2539</v>
      </c>
      <c r="B3722" t="s">
        <v>2540</v>
      </c>
      <c r="C3722" t="s">
        <v>235</v>
      </c>
      <c r="D3722" t="s">
        <v>2502</v>
      </c>
      <c r="E3722" t="s">
        <v>556</v>
      </c>
      <c r="F3722" t="s">
        <v>1068</v>
      </c>
      <c r="G3722" t="s">
        <v>1069</v>
      </c>
      <c r="H3722">
        <v>7.10326211636675E-2</v>
      </c>
      <c r="I3722" t="s">
        <v>1070</v>
      </c>
      <c r="J3722">
        <v>7.05</v>
      </c>
    </row>
    <row r="3723" spans="1:10" hidden="1">
      <c r="A3723" t="s">
        <v>2539</v>
      </c>
      <c r="B3723" t="s">
        <v>2540</v>
      </c>
      <c r="C3723" t="s">
        <v>235</v>
      </c>
      <c r="D3723" t="s">
        <v>2502</v>
      </c>
      <c r="E3723" t="s">
        <v>556</v>
      </c>
      <c r="F3723" t="s">
        <v>1068</v>
      </c>
      <c r="G3723" t="s">
        <v>1071</v>
      </c>
      <c r="H3723" s="171" t="s">
        <v>2541</v>
      </c>
      <c r="I3723" t="s">
        <v>1072</v>
      </c>
      <c r="J3723">
        <v>7.05</v>
      </c>
    </row>
    <row r="3724" spans="1:10" hidden="1">
      <c r="A3724" t="s">
        <v>2539</v>
      </c>
      <c r="B3724" t="s">
        <v>2540</v>
      </c>
      <c r="C3724" t="s">
        <v>235</v>
      </c>
      <c r="D3724" t="s">
        <v>2502</v>
      </c>
      <c r="E3724" t="s">
        <v>556</v>
      </c>
      <c r="F3724" t="s">
        <v>1068</v>
      </c>
      <c r="G3724" t="s">
        <v>1073</v>
      </c>
      <c r="H3724" s="171" t="s">
        <v>2542</v>
      </c>
      <c r="I3724" t="s">
        <v>1074</v>
      </c>
      <c r="J3724">
        <v>7.05</v>
      </c>
    </row>
    <row r="3725" spans="1:10" hidden="1">
      <c r="A3725" t="s">
        <v>2539</v>
      </c>
      <c r="B3725" t="s">
        <v>2540</v>
      </c>
      <c r="C3725" t="s">
        <v>235</v>
      </c>
      <c r="D3725" t="s">
        <v>2502</v>
      </c>
      <c r="E3725" t="s">
        <v>556</v>
      </c>
      <c r="F3725" t="s">
        <v>1068</v>
      </c>
      <c r="G3725" t="s">
        <v>1075</v>
      </c>
      <c r="H3725">
        <v>3.4712323138962201E-3</v>
      </c>
      <c r="I3725" t="s">
        <v>1077</v>
      </c>
      <c r="J3725">
        <v>7.05</v>
      </c>
    </row>
    <row r="3726" spans="1:10" hidden="1">
      <c r="A3726" t="s">
        <v>2539</v>
      </c>
      <c r="B3726" t="s">
        <v>2540</v>
      </c>
      <c r="C3726" t="s">
        <v>235</v>
      </c>
      <c r="D3726" t="s">
        <v>2502</v>
      </c>
      <c r="E3726" t="s">
        <v>556</v>
      </c>
      <c r="F3726" t="s">
        <v>1068</v>
      </c>
      <c r="G3726" t="s">
        <v>1078</v>
      </c>
      <c r="H3726" s="171" t="s">
        <v>2543</v>
      </c>
      <c r="I3726" t="s">
        <v>1079</v>
      </c>
      <c r="J3726">
        <v>7.05</v>
      </c>
    </row>
    <row r="3727" spans="1:10" hidden="1">
      <c r="A3727" t="s">
        <v>2539</v>
      </c>
      <c r="B3727" t="s">
        <v>2540</v>
      </c>
      <c r="C3727" t="s">
        <v>235</v>
      </c>
      <c r="D3727" t="s">
        <v>2502</v>
      </c>
      <c r="E3727" t="s">
        <v>556</v>
      </c>
      <c r="F3727" t="s">
        <v>1068</v>
      </c>
      <c r="G3727" t="s">
        <v>1080</v>
      </c>
      <c r="H3727" s="171" t="s">
        <v>2544</v>
      </c>
      <c r="I3727" t="s">
        <v>1082</v>
      </c>
      <c r="J3727">
        <v>7.05</v>
      </c>
    </row>
    <row r="3728" spans="1:10" hidden="1">
      <c r="A3728" t="s">
        <v>2539</v>
      </c>
      <c r="B3728" t="s">
        <v>2540</v>
      </c>
      <c r="C3728" t="s">
        <v>235</v>
      </c>
      <c r="D3728" t="s">
        <v>2502</v>
      </c>
      <c r="E3728" t="s">
        <v>556</v>
      </c>
      <c r="F3728" t="s">
        <v>1068</v>
      </c>
      <c r="G3728" t="s">
        <v>1083</v>
      </c>
      <c r="H3728" s="171" t="s">
        <v>2545</v>
      </c>
      <c r="I3728" t="s">
        <v>1084</v>
      </c>
      <c r="J3728">
        <v>7.05</v>
      </c>
    </row>
    <row r="3729" spans="1:10" hidden="1">
      <c r="A3729" t="s">
        <v>2539</v>
      </c>
      <c r="B3729" t="s">
        <v>2540</v>
      </c>
      <c r="C3729" t="s">
        <v>235</v>
      </c>
      <c r="D3729" t="s">
        <v>2502</v>
      </c>
      <c r="E3729" t="s">
        <v>556</v>
      </c>
      <c r="F3729" t="s">
        <v>1068</v>
      </c>
      <c r="G3729" t="s">
        <v>1085</v>
      </c>
      <c r="H3729" s="171" t="s">
        <v>2546</v>
      </c>
      <c r="I3729" t="s">
        <v>1086</v>
      </c>
      <c r="J3729">
        <v>7.05</v>
      </c>
    </row>
    <row r="3730" spans="1:10" hidden="1">
      <c r="A3730" t="s">
        <v>2539</v>
      </c>
      <c r="B3730" t="s">
        <v>2540</v>
      </c>
      <c r="C3730" t="s">
        <v>235</v>
      </c>
      <c r="D3730" t="s">
        <v>2502</v>
      </c>
      <c r="E3730" t="s">
        <v>556</v>
      </c>
      <c r="F3730" t="s">
        <v>1068</v>
      </c>
      <c r="G3730" t="s">
        <v>1087</v>
      </c>
      <c r="H3730" s="171" t="s">
        <v>2547</v>
      </c>
      <c r="I3730" t="s">
        <v>1088</v>
      </c>
      <c r="J3730">
        <v>7.05</v>
      </c>
    </row>
    <row r="3731" spans="1:10" hidden="1">
      <c r="A3731" t="s">
        <v>2539</v>
      </c>
      <c r="B3731" t="s">
        <v>2540</v>
      </c>
      <c r="C3731" t="s">
        <v>235</v>
      </c>
      <c r="D3731" t="s">
        <v>2502</v>
      </c>
      <c r="E3731" t="s">
        <v>556</v>
      </c>
      <c r="F3731" t="s">
        <v>1068</v>
      </c>
      <c r="G3731" t="s">
        <v>1089</v>
      </c>
      <c r="H3731" s="171" t="s">
        <v>2548</v>
      </c>
      <c r="I3731" t="s">
        <v>1090</v>
      </c>
      <c r="J3731">
        <v>7.05</v>
      </c>
    </row>
    <row r="3732" spans="1:10" hidden="1">
      <c r="A3732" t="s">
        <v>2549</v>
      </c>
      <c r="B3732" t="s">
        <v>2550</v>
      </c>
      <c r="C3732" t="s">
        <v>235</v>
      </c>
      <c r="D3732" t="s">
        <v>2502</v>
      </c>
      <c r="E3732" t="s">
        <v>557</v>
      </c>
      <c r="F3732" t="s">
        <v>1068</v>
      </c>
      <c r="G3732" t="s">
        <v>1069</v>
      </c>
      <c r="H3732">
        <v>7.1015444186591697E-2</v>
      </c>
      <c r="I3732" t="s">
        <v>1070</v>
      </c>
      <c r="J3732">
        <v>7.18</v>
      </c>
    </row>
    <row r="3733" spans="1:10" hidden="1">
      <c r="A3733" t="s">
        <v>2549</v>
      </c>
      <c r="B3733" t="s">
        <v>2550</v>
      </c>
      <c r="C3733" t="s">
        <v>235</v>
      </c>
      <c r="D3733" t="s">
        <v>2502</v>
      </c>
      <c r="E3733" t="s">
        <v>557</v>
      </c>
      <c r="F3733" t="s">
        <v>1068</v>
      </c>
      <c r="G3733" t="s">
        <v>1071</v>
      </c>
      <c r="H3733" s="171" t="s">
        <v>2551</v>
      </c>
      <c r="I3733" t="s">
        <v>1072</v>
      </c>
      <c r="J3733">
        <v>7.18</v>
      </c>
    </row>
    <row r="3734" spans="1:10" hidden="1">
      <c r="A3734" t="s">
        <v>2549</v>
      </c>
      <c r="B3734" t="s">
        <v>2550</v>
      </c>
      <c r="C3734" t="s">
        <v>235</v>
      </c>
      <c r="D3734" t="s">
        <v>2502</v>
      </c>
      <c r="E3734" t="s">
        <v>557</v>
      </c>
      <c r="F3734" t="s">
        <v>1068</v>
      </c>
      <c r="G3734" t="s">
        <v>1073</v>
      </c>
      <c r="H3734" s="171" t="s">
        <v>2552</v>
      </c>
      <c r="I3734" t="s">
        <v>1074</v>
      </c>
      <c r="J3734">
        <v>7.18</v>
      </c>
    </row>
    <row r="3735" spans="1:10" hidden="1">
      <c r="A3735" t="s">
        <v>2549</v>
      </c>
      <c r="B3735" t="s">
        <v>2550</v>
      </c>
      <c r="C3735" t="s">
        <v>235</v>
      </c>
      <c r="D3735" t="s">
        <v>2502</v>
      </c>
      <c r="E3735" t="s">
        <v>557</v>
      </c>
      <c r="F3735" t="s">
        <v>1068</v>
      </c>
      <c r="G3735" t="s">
        <v>1075</v>
      </c>
      <c r="H3735">
        <v>3.4709308929008402E-3</v>
      </c>
      <c r="I3735" t="s">
        <v>1077</v>
      </c>
      <c r="J3735">
        <v>7.18</v>
      </c>
    </row>
    <row r="3736" spans="1:10" hidden="1">
      <c r="A3736" t="s">
        <v>2549</v>
      </c>
      <c r="B3736" t="s">
        <v>2550</v>
      </c>
      <c r="C3736" t="s">
        <v>235</v>
      </c>
      <c r="D3736" t="s">
        <v>2502</v>
      </c>
      <c r="E3736" t="s">
        <v>557</v>
      </c>
      <c r="F3736" t="s">
        <v>1068</v>
      </c>
      <c r="G3736" t="s">
        <v>1078</v>
      </c>
      <c r="H3736" s="171" t="s">
        <v>2553</v>
      </c>
      <c r="I3736" t="s">
        <v>1079</v>
      </c>
      <c r="J3736">
        <v>7.18</v>
      </c>
    </row>
    <row r="3737" spans="1:10" hidden="1">
      <c r="A3737" t="s">
        <v>2549</v>
      </c>
      <c r="B3737" t="s">
        <v>2550</v>
      </c>
      <c r="C3737" t="s">
        <v>235</v>
      </c>
      <c r="D3737" t="s">
        <v>2502</v>
      </c>
      <c r="E3737" t="s">
        <v>557</v>
      </c>
      <c r="F3737" t="s">
        <v>1068</v>
      </c>
      <c r="G3737" t="s">
        <v>1080</v>
      </c>
      <c r="H3737" s="171" t="s">
        <v>2554</v>
      </c>
      <c r="I3737" t="s">
        <v>1082</v>
      </c>
      <c r="J3737">
        <v>7.18</v>
      </c>
    </row>
    <row r="3738" spans="1:10" hidden="1">
      <c r="A3738" t="s">
        <v>2549</v>
      </c>
      <c r="B3738" t="s">
        <v>2550</v>
      </c>
      <c r="C3738" t="s">
        <v>235</v>
      </c>
      <c r="D3738" t="s">
        <v>2502</v>
      </c>
      <c r="E3738" t="s">
        <v>557</v>
      </c>
      <c r="F3738" t="s">
        <v>1068</v>
      </c>
      <c r="G3738" t="s">
        <v>1083</v>
      </c>
      <c r="H3738" s="171" t="s">
        <v>2555</v>
      </c>
      <c r="I3738" t="s">
        <v>1084</v>
      </c>
      <c r="J3738">
        <v>7.18</v>
      </c>
    </row>
    <row r="3739" spans="1:10" hidden="1">
      <c r="A3739" t="s">
        <v>2549</v>
      </c>
      <c r="B3739" t="s">
        <v>2550</v>
      </c>
      <c r="C3739" t="s">
        <v>235</v>
      </c>
      <c r="D3739" t="s">
        <v>2502</v>
      </c>
      <c r="E3739" t="s">
        <v>557</v>
      </c>
      <c r="F3739" t="s">
        <v>1068</v>
      </c>
      <c r="G3739" t="s">
        <v>1085</v>
      </c>
      <c r="H3739" s="171" t="s">
        <v>2556</v>
      </c>
      <c r="I3739" t="s">
        <v>1086</v>
      </c>
      <c r="J3739">
        <v>7.18</v>
      </c>
    </row>
    <row r="3740" spans="1:10" hidden="1">
      <c r="A3740" t="s">
        <v>2549</v>
      </c>
      <c r="B3740" t="s">
        <v>2550</v>
      </c>
      <c r="C3740" t="s">
        <v>235</v>
      </c>
      <c r="D3740" t="s">
        <v>2502</v>
      </c>
      <c r="E3740" t="s">
        <v>557</v>
      </c>
      <c r="F3740" t="s">
        <v>1068</v>
      </c>
      <c r="G3740" t="s">
        <v>1087</v>
      </c>
      <c r="H3740" s="171" t="s">
        <v>2557</v>
      </c>
      <c r="I3740" t="s">
        <v>1088</v>
      </c>
      <c r="J3740">
        <v>7.18</v>
      </c>
    </row>
    <row r="3741" spans="1:10" hidden="1">
      <c r="A3741" t="s">
        <v>2549</v>
      </c>
      <c r="B3741" t="s">
        <v>2550</v>
      </c>
      <c r="C3741" t="s">
        <v>235</v>
      </c>
      <c r="D3741" t="s">
        <v>2502</v>
      </c>
      <c r="E3741" t="s">
        <v>557</v>
      </c>
      <c r="F3741" t="s">
        <v>1068</v>
      </c>
      <c r="G3741" t="s">
        <v>1089</v>
      </c>
      <c r="H3741" s="171" t="s">
        <v>2558</v>
      </c>
      <c r="I3741" t="s">
        <v>1090</v>
      </c>
      <c r="J3741">
        <v>7.18</v>
      </c>
    </row>
    <row r="3742" spans="1:10" hidden="1">
      <c r="A3742" t="s">
        <v>2559</v>
      </c>
      <c r="B3742" t="s">
        <v>2560</v>
      </c>
      <c r="C3742" t="s">
        <v>235</v>
      </c>
      <c r="D3742" t="s">
        <v>2502</v>
      </c>
      <c r="E3742" t="s">
        <v>559</v>
      </c>
      <c r="F3742" t="s">
        <v>1068</v>
      </c>
      <c r="G3742" t="s">
        <v>1069</v>
      </c>
      <c r="H3742">
        <v>7.1028087069231097E-2</v>
      </c>
      <c r="I3742" t="s">
        <v>1070</v>
      </c>
      <c r="J3742">
        <v>8.01</v>
      </c>
    </row>
    <row r="3743" spans="1:10" hidden="1">
      <c r="A3743" t="s">
        <v>2559</v>
      </c>
      <c r="B3743" t="s">
        <v>2560</v>
      </c>
      <c r="C3743" t="s">
        <v>235</v>
      </c>
      <c r="D3743" t="s">
        <v>2502</v>
      </c>
      <c r="E3743" t="s">
        <v>559</v>
      </c>
      <c r="F3743" t="s">
        <v>1068</v>
      </c>
      <c r="G3743" t="s">
        <v>1071</v>
      </c>
      <c r="H3743" s="171" t="s">
        <v>2561</v>
      </c>
      <c r="I3743" t="s">
        <v>1072</v>
      </c>
      <c r="J3743">
        <v>8.01</v>
      </c>
    </row>
    <row r="3744" spans="1:10" hidden="1">
      <c r="A3744" t="s">
        <v>2559</v>
      </c>
      <c r="B3744" t="s">
        <v>2560</v>
      </c>
      <c r="C3744" t="s">
        <v>235</v>
      </c>
      <c r="D3744" t="s">
        <v>2502</v>
      </c>
      <c r="E3744" t="s">
        <v>559</v>
      </c>
      <c r="F3744" t="s">
        <v>1068</v>
      </c>
      <c r="G3744" t="s">
        <v>1073</v>
      </c>
      <c r="H3744" s="171" t="s">
        <v>2562</v>
      </c>
      <c r="I3744" t="s">
        <v>1074</v>
      </c>
      <c r="J3744">
        <v>8.01</v>
      </c>
    </row>
    <row r="3745" spans="1:10" hidden="1">
      <c r="A3745" t="s">
        <v>2559</v>
      </c>
      <c r="B3745" t="s">
        <v>2560</v>
      </c>
      <c r="C3745" t="s">
        <v>235</v>
      </c>
      <c r="D3745" t="s">
        <v>2502</v>
      </c>
      <c r="E3745" t="s">
        <v>559</v>
      </c>
      <c r="F3745" t="s">
        <v>1068</v>
      </c>
      <c r="G3745" t="s">
        <v>1075</v>
      </c>
      <c r="H3745">
        <v>3.47108898632746E-3</v>
      </c>
      <c r="I3745" t="s">
        <v>1077</v>
      </c>
      <c r="J3745">
        <v>8.01</v>
      </c>
    </row>
    <row r="3746" spans="1:10" hidden="1">
      <c r="A3746" t="s">
        <v>2559</v>
      </c>
      <c r="B3746" t="s">
        <v>2560</v>
      </c>
      <c r="C3746" t="s">
        <v>235</v>
      </c>
      <c r="D3746" t="s">
        <v>2502</v>
      </c>
      <c r="E3746" t="s">
        <v>559</v>
      </c>
      <c r="F3746" t="s">
        <v>1068</v>
      </c>
      <c r="G3746" t="s">
        <v>1078</v>
      </c>
      <c r="H3746">
        <v>2.6034530014161599E-2</v>
      </c>
      <c r="I3746" t="s">
        <v>1079</v>
      </c>
      <c r="J3746">
        <v>8.01</v>
      </c>
    </row>
    <row r="3747" spans="1:10" hidden="1">
      <c r="A3747" t="s">
        <v>2559</v>
      </c>
      <c r="B3747" t="s">
        <v>2560</v>
      </c>
      <c r="C3747" t="s">
        <v>235</v>
      </c>
      <c r="D3747" t="s">
        <v>2502</v>
      </c>
      <c r="E3747" t="s">
        <v>559</v>
      </c>
      <c r="F3747" t="s">
        <v>1068</v>
      </c>
      <c r="G3747" t="s">
        <v>1080</v>
      </c>
      <c r="H3747" s="171" t="s">
        <v>2563</v>
      </c>
      <c r="I3747" t="s">
        <v>1082</v>
      </c>
      <c r="J3747">
        <v>8.01</v>
      </c>
    </row>
    <row r="3748" spans="1:10" hidden="1">
      <c r="A3748" t="s">
        <v>2559</v>
      </c>
      <c r="B3748" t="s">
        <v>2560</v>
      </c>
      <c r="C3748" t="s">
        <v>235</v>
      </c>
      <c r="D3748" t="s">
        <v>2502</v>
      </c>
      <c r="E3748" t="s">
        <v>559</v>
      </c>
      <c r="F3748" t="s">
        <v>1068</v>
      </c>
      <c r="G3748" t="s">
        <v>1083</v>
      </c>
      <c r="H3748" s="171" t="s">
        <v>2564</v>
      </c>
      <c r="I3748" t="s">
        <v>1084</v>
      </c>
      <c r="J3748">
        <v>8.01</v>
      </c>
    </row>
    <row r="3749" spans="1:10" hidden="1">
      <c r="A3749" t="s">
        <v>2559</v>
      </c>
      <c r="B3749" t="s">
        <v>2560</v>
      </c>
      <c r="C3749" t="s">
        <v>235</v>
      </c>
      <c r="D3749" t="s">
        <v>2502</v>
      </c>
      <c r="E3749" t="s">
        <v>559</v>
      </c>
      <c r="F3749" t="s">
        <v>1068</v>
      </c>
      <c r="G3749" t="s">
        <v>1085</v>
      </c>
      <c r="H3749" s="171" t="s">
        <v>2565</v>
      </c>
      <c r="I3749" t="s">
        <v>1086</v>
      </c>
      <c r="J3749">
        <v>8.01</v>
      </c>
    </row>
    <row r="3750" spans="1:10" hidden="1">
      <c r="A3750" t="s">
        <v>2559</v>
      </c>
      <c r="B3750" t="s">
        <v>2560</v>
      </c>
      <c r="C3750" t="s">
        <v>235</v>
      </c>
      <c r="D3750" t="s">
        <v>2502</v>
      </c>
      <c r="E3750" t="s">
        <v>559</v>
      </c>
      <c r="F3750" t="s">
        <v>1068</v>
      </c>
      <c r="G3750" t="s">
        <v>1087</v>
      </c>
      <c r="H3750" s="171" t="s">
        <v>2566</v>
      </c>
      <c r="I3750" t="s">
        <v>1088</v>
      </c>
      <c r="J3750">
        <v>8.01</v>
      </c>
    </row>
    <row r="3751" spans="1:10" hidden="1">
      <c r="A3751" t="s">
        <v>2559</v>
      </c>
      <c r="B3751" t="s">
        <v>2560</v>
      </c>
      <c r="C3751" t="s">
        <v>235</v>
      </c>
      <c r="D3751" t="s">
        <v>2502</v>
      </c>
      <c r="E3751" t="s">
        <v>559</v>
      </c>
      <c r="F3751" t="s">
        <v>1068</v>
      </c>
      <c r="G3751" t="s">
        <v>1089</v>
      </c>
      <c r="H3751" s="171" t="s">
        <v>2567</v>
      </c>
      <c r="I3751" t="s">
        <v>1090</v>
      </c>
      <c r="J3751">
        <v>8.01</v>
      </c>
    </row>
    <row r="3752" spans="1:10" hidden="1">
      <c r="A3752" t="s">
        <v>2568</v>
      </c>
      <c r="B3752" t="s">
        <v>2569</v>
      </c>
      <c r="C3752" t="s">
        <v>235</v>
      </c>
      <c r="D3752" t="s">
        <v>2502</v>
      </c>
      <c r="E3752" t="s">
        <v>560</v>
      </c>
      <c r="F3752" t="s">
        <v>1068</v>
      </c>
      <c r="G3752" t="s">
        <v>1069</v>
      </c>
      <c r="H3752">
        <v>7.1018221543688795E-2</v>
      </c>
      <c r="I3752" t="s">
        <v>1070</v>
      </c>
      <c r="J3752">
        <v>7.04</v>
      </c>
    </row>
    <row r="3753" spans="1:10" hidden="1">
      <c r="A3753" t="s">
        <v>2568</v>
      </c>
      <c r="B3753" t="s">
        <v>2569</v>
      </c>
      <c r="C3753" t="s">
        <v>235</v>
      </c>
      <c r="D3753" t="s">
        <v>2502</v>
      </c>
      <c r="E3753" t="s">
        <v>560</v>
      </c>
      <c r="F3753" t="s">
        <v>1068</v>
      </c>
      <c r="G3753" t="s">
        <v>1071</v>
      </c>
      <c r="H3753" s="171" t="s">
        <v>2570</v>
      </c>
      <c r="I3753" t="s">
        <v>1072</v>
      </c>
      <c r="J3753">
        <v>7.04</v>
      </c>
    </row>
    <row r="3754" spans="1:10" hidden="1">
      <c r="A3754" t="s">
        <v>2568</v>
      </c>
      <c r="B3754" t="s">
        <v>2569</v>
      </c>
      <c r="C3754" t="s">
        <v>235</v>
      </c>
      <c r="D3754" t="s">
        <v>2502</v>
      </c>
      <c r="E3754" t="s">
        <v>560</v>
      </c>
      <c r="F3754" t="s">
        <v>1068</v>
      </c>
      <c r="G3754" t="s">
        <v>1073</v>
      </c>
      <c r="H3754" s="171" t="s">
        <v>2571</v>
      </c>
      <c r="I3754" t="s">
        <v>1074</v>
      </c>
      <c r="J3754">
        <v>7.04</v>
      </c>
    </row>
    <row r="3755" spans="1:10" hidden="1">
      <c r="A3755" t="s">
        <v>2568</v>
      </c>
      <c r="B3755" t="s">
        <v>2569</v>
      </c>
      <c r="C3755" t="s">
        <v>235</v>
      </c>
      <c r="D3755" t="s">
        <v>2502</v>
      </c>
      <c r="E3755" t="s">
        <v>560</v>
      </c>
      <c r="F3755" t="s">
        <v>1068</v>
      </c>
      <c r="G3755" t="s">
        <v>1075</v>
      </c>
      <c r="H3755">
        <v>3.47101868812564E-3</v>
      </c>
      <c r="I3755" t="s">
        <v>1077</v>
      </c>
      <c r="J3755">
        <v>7.04</v>
      </c>
    </row>
    <row r="3756" spans="1:10" hidden="1">
      <c r="A3756" t="s">
        <v>2568</v>
      </c>
      <c r="B3756" t="s">
        <v>2569</v>
      </c>
      <c r="C3756" t="s">
        <v>235</v>
      </c>
      <c r="D3756" t="s">
        <v>2502</v>
      </c>
      <c r="E3756" t="s">
        <v>560</v>
      </c>
      <c r="F3756" t="s">
        <v>1068</v>
      </c>
      <c r="G3756" t="s">
        <v>1078</v>
      </c>
      <c r="H3756">
        <v>2.6031494152896101E-2</v>
      </c>
      <c r="I3756" t="s">
        <v>1079</v>
      </c>
      <c r="J3756">
        <v>7.04</v>
      </c>
    </row>
    <row r="3757" spans="1:10" hidden="1">
      <c r="A3757" t="s">
        <v>2568</v>
      </c>
      <c r="B3757" t="s">
        <v>2569</v>
      </c>
      <c r="C3757" t="s">
        <v>235</v>
      </c>
      <c r="D3757" t="s">
        <v>2502</v>
      </c>
      <c r="E3757" t="s">
        <v>560</v>
      </c>
      <c r="F3757" t="s">
        <v>1068</v>
      </c>
      <c r="G3757" t="s">
        <v>1080</v>
      </c>
      <c r="H3757" s="171" t="s">
        <v>2572</v>
      </c>
      <c r="I3757" t="s">
        <v>1082</v>
      </c>
      <c r="J3757">
        <v>7.04</v>
      </c>
    </row>
    <row r="3758" spans="1:10" hidden="1">
      <c r="A3758" t="s">
        <v>2568</v>
      </c>
      <c r="B3758" t="s">
        <v>2569</v>
      </c>
      <c r="C3758" t="s">
        <v>235</v>
      </c>
      <c r="D3758" t="s">
        <v>2502</v>
      </c>
      <c r="E3758" t="s">
        <v>560</v>
      </c>
      <c r="F3758" t="s">
        <v>1068</v>
      </c>
      <c r="G3758" t="s">
        <v>1083</v>
      </c>
      <c r="H3758" s="171" t="s">
        <v>2573</v>
      </c>
      <c r="I3758" t="s">
        <v>1084</v>
      </c>
      <c r="J3758">
        <v>7.04</v>
      </c>
    </row>
    <row r="3759" spans="1:10" hidden="1">
      <c r="A3759" t="s">
        <v>2568</v>
      </c>
      <c r="B3759" t="s">
        <v>2569</v>
      </c>
      <c r="C3759" t="s">
        <v>235</v>
      </c>
      <c r="D3759" t="s">
        <v>2502</v>
      </c>
      <c r="E3759" t="s">
        <v>560</v>
      </c>
      <c r="F3759" t="s">
        <v>1068</v>
      </c>
      <c r="G3759" t="s">
        <v>1085</v>
      </c>
      <c r="H3759" s="171" t="s">
        <v>2574</v>
      </c>
      <c r="I3759" t="s">
        <v>1086</v>
      </c>
      <c r="J3759">
        <v>7.04</v>
      </c>
    </row>
    <row r="3760" spans="1:10" hidden="1">
      <c r="A3760" t="s">
        <v>2568</v>
      </c>
      <c r="B3760" t="s">
        <v>2569</v>
      </c>
      <c r="C3760" t="s">
        <v>235</v>
      </c>
      <c r="D3760" t="s">
        <v>2502</v>
      </c>
      <c r="E3760" t="s">
        <v>560</v>
      </c>
      <c r="F3760" t="s">
        <v>1068</v>
      </c>
      <c r="G3760" t="s">
        <v>1087</v>
      </c>
      <c r="H3760" s="171" t="s">
        <v>2575</v>
      </c>
      <c r="I3760" t="s">
        <v>1088</v>
      </c>
      <c r="J3760">
        <v>7.04</v>
      </c>
    </row>
    <row r="3761" spans="1:10" hidden="1">
      <c r="A3761" t="s">
        <v>2568</v>
      </c>
      <c r="B3761" t="s">
        <v>2569</v>
      </c>
      <c r="C3761" t="s">
        <v>235</v>
      </c>
      <c r="D3761" t="s">
        <v>2502</v>
      </c>
      <c r="E3761" t="s">
        <v>560</v>
      </c>
      <c r="F3761" t="s">
        <v>1068</v>
      </c>
      <c r="G3761" t="s">
        <v>1089</v>
      </c>
      <c r="H3761" s="171" t="s">
        <v>2576</v>
      </c>
      <c r="I3761" t="s">
        <v>1090</v>
      </c>
      <c r="J3761">
        <v>7.04</v>
      </c>
    </row>
    <row r="3762" spans="1:10" hidden="1">
      <c r="A3762" t="s">
        <v>2577</v>
      </c>
      <c r="B3762" t="s">
        <v>2578</v>
      </c>
      <c r="C3762" t="s">
        <v>235</v>
      </c>
      <c r="D3762" t="s">
        <v>2502</v>
      </c>
      <c r="E3762" t="s">
        <v>1116</v>
      </c>
      <c r="F3762" t="s">
        <v>1068</v>
      </c>
      <c r="G3762" t="s">
        <v>1069</v>
      </c>
      <c r="H3762">
        <v>7.1009791985593498E-2</v>
      </c>
      <c r="I3762" t="s">
        <v>1070</v>
      </c>
      <c r="J3762">
        <v>7.15</v>
      </c>
    </row>
    <row r="3763" spans="1:10" hidden="1">
      <c r="A3763" t="s">
        <v>2577</v>
      </c>
      <c r="B3763" t="s">
        <v>2578</v>
      </c>
      <c r="C3763" t="s">
        <v>235</v>
      </c>
      <c r="D3763" t="s">
        <v>2502</v>
      </c>
      <c r="E3763" t="s">
        <v>1116</v>
      </c>
      <c r="F3763" t="s">
        <v>1068</v>
      </c>
      <c r="G3763" t="s">
        <v>1071</v>
      </c>
      <c r="H3763" s="171" t="s">
        <v>2579</v>
      </c>
      <c r="I3763" t="s">
        <v>1072</v>
      </c>
      <c r="J3763">
        <v>7.15</v>
      </c>
    </row>
    <row r="3764" spans="1:10" hidden="1">
      <c r="A3764" t="s">
        <v>2577</v>
      </c>
      <c r="B3764" t="s">
        <v>2578</v>
      </c>
      <c r="C3764" t="s">
        <v>235</v>
      </c>
      <c r="D3764" t="s">
        <v>2502</v>
      </c>
      <c r="E3764" t="s">
        <v>1116</v>
      </c>
      <c r="F3764" t="s">
        <v>1068</v>
      </c>
      <c r="G3764" t="s">
        <v>1073</v>
      </c>
      <c r="H3764" s="171" t="s">
        <v>2580</v>
      </c>
      <c r="I3764" t="s">
        <v>1074</v>
      </c>
      <c r="J3764">
        <v>7.15</v>
      </c>
    </row>
    <row r="3765" spans="1:10" hidden="1">
      <c r="A3765" t="s">
        <v>2577</v>
      </c>
      <c r="B3765" t="s">
        <v>2578</v>
      </c>
      <c r="C3765" t="s">
        <v>235</v>
      </c>
      <c r="D3765" t="s">
        <v>2502</v>
      </c>
      <c r="E3765" t="s">
        <v>1116</v>
      </c>
      <c r="F3765" t="s">
        <v>1068</v>
      </c>
      <c r="G3765" t="s">
        <v>1075</v>
      </c>
      <c r="H3765">
        <v>3.47075222078921E-3</v>
      </c>
      <c r="I3765" t="s">
        <v>1077</v>
      </c>
      <c r="J3765">
        <v>7.15</v>
      </c>
    </row>
    <row r="3766" spans="1:10" hidden="1">
      <c r="A3766" t="s">
        <v>2577</v>
      </c>
      <c r="B3766" t="s">
        <v>2578</v>
      </c>
      <c r="C3766" t="s">
        <v>235</v>
      </c>
      <c r="D3766" t="s">
        <v>2502</v>
      </c>
      <c r="E3766" t="s">
        <v>1116</v>
      </c>
      <c r="F3766" t="s">
        <v>1068</v>
      </c>
      <c r="G3766" t="s">
        <v>1078</v>
      </c>
      <c r="H3766" s="171" t="s">
        <v>2581</v>
      </c>
      <c r="I3766" t="s">
        <v>1079</v>
      </c>
      <c r="J3766">
        <v>7.15</v>
      </c>
    </row>
    <row r="3767" spans="1:10" hidden="1">
      <c r="A3767" t="s">
        <v>2577</v>
      </c>
      <c r="B3767" t="s">
        <v>2578</v>
      </c>
      <c r="C3767" t="s">
        <v>235</v>
      </c>
      <c r="D3767" t="s">
        <v>2502</v>
      </c>
      <c r="E3767" t="s">
        <v>1116</v>
      </c>
      <c r="F3767" t="s">
        <v>1068</v>
      </c>
      <c r="G3767" t="s">
        <v>1080</v>
      </c>
      <c r="H3767" s="171" t="s">
        <v>2582</v>
      </c>
      <c r="I3767" t="s">
        <v>1082</v>
      </c>
      <c r="J3767">
        <v>7.15</v>
      </c>
    </row>
    <row r="3768" spans="1:10" hidden="1">
      <c r="A3768" t="s">
        <v>2577</v>
      </c>
      <c r="B3768" t="s">
        <v>2578</v>
      </c>
      <c r="C3768" t="s">
        <v>235</v>
      </c>
      <c r="D3768" t="s">
        <v>2502</v>
      </c>
      <c r="E3768" t="s">
        <v>1116</v>
      </c>
      <c r="F3768" t="s">
        <v>1068</v>
      </c>
      <c r="G3768" t="s">
        <v>1083</v>
      </c>
      <c r="H3768" s="171" t="s">
        <v>2583</v>
      </c>
      <c r="I3768" t="s">
        <v>1084</v>
      </c>
      <c r="J3768">
        <v>7.15</v>
      </c>
    </row>
    <row r="3769" spans="1:10" hidden="1">
      <c r="A3769" t="s">
        <v>2577</v>
      </c>
      <c r="B3769" t="s">
        <v>2578</v>
      </c>
      <c r="C3769" t="s">
        <v>235</v>
      </c>
      <c r="D3769" t="s">
        <v>2502</v>
      </c>
      <c r="E3769" t="s">
        <v>1116</v>
      </c>
      <c r="F3769" t="s">
        <v>1068</v>
      </c>
      <c r="G3769" t="s">
        <v>1085</v>
      </c>
      <c r="H3769" s="171" t="s">
        <v>2584</v>
      </c>
      <c r="I3769" t="s">
        <v>1086</v>
      </c>
      <c r="J3769">
        <v>7.15</v>
      </c>
    </row>
    <row r="3770" spans="1:10" hidden="1">
      <c r="A3770" t="s">
        <v>2577</v>
      </c>
      <c r="B3770" t="s">
        <v>2578</v>
      </c>
      <c r="C3770" t="s">
        <v>235</v>
      </c>
      <c r="D3770" t="s">
        <v>2502</v>
      </c>
      <c r="E3770" t="s">
        <v>1116</v>
      </c>
      <c r="F3770" t="s">
        <v>1068</v>
      </c>
      <c r="G3770" t="s">
        <v>1087</v>
      </c>
      <c r="H3770" s="171" t="s">
        <v>2585</v>
      </c>
      <c r="I3770" t="s">
        <v>1088</v>
      </c>
      <c r="J3770">
        <v>7.15</v>
      </c>
    </row>
    <row r="3771" spans="1:10" hidden="1">
      <c r="A3771" t="s">
        <v>2577</v>
      </c>
      <c r="B3771" t="s">
        <v>2578</v>
      </c>
      <c r="C3771" t="s">
        <v>235</v>
      </c>
      <c r="D3771" t="s">
        <v>2502</v>
      </c>
      <c r="E3771" t="s">
        <v>1116</v>
      </c>
      <c r="F3771" t="s">
        <v>1068</v>
      </c>
      <c r="G3771" t="s">
        <v>1089</v>
      </c>
      <c r="H3771" s="171" t="s">
        <v>2586</v>
      </c>
      <c r="I3771" t="s">
        <v>1090</v>
      </c>
      <c r="J3771">
        <v>7.15</v>
      </c>
    </row>
    <row r="3772" spans="1:10" hidden="1">
      <c r="A3772" t="s">
        <v>2587</v>
      </c>
      <c r="B3772" t="s">
        <v>2588</v>
      </c>
      <c r="C3772" t="s">
        <v>235</v>
      </c>
      <c r="D3772" t="s">
        <v>1148</v>
      </c>
      <c r="E3772" t="s">
        <v>561</v>
      </c>
      <c r="F3772" t="s">
        <v>1068</v>
      </c>
      <c r="G3772" t="s">
        <v>1069</v>
      </c>
      <c r="H3772">
        <v>-6.5855673481751698E-2</v>
      </c>
      <c r="I3772" t="s">
        <v>1070</v>
      </c>
      <c r="J3772">
        <v>7.3</v>
      </c>
    </row>
    <row r="3773" spans="1:10" hidden="1">
      <c r="A3773" t="s">
        <v>2587</v>
      </c>
      <c r="B3773" t="s">
        <v>2588</v>
      </c>
      <c r="C3773" t="s">
        <v>235</v>
      </c>
      <c r="D3773" t="s">
        <v>1148</v>
      </c>
      <c r="E3773" t="s">
        <v>561</v>
      </c>
      <c r="F3773" t="s">
        <v>1068</v>
      </c>
      <c r="G3773" t="s">
        <v>1071</v>
      </c>
      <c r="H3773" s="170">
        <v>-1.60035485838057E-10</v>
      </c>
      <c r="I3773" t="s">
        <v>1072</v>
      </c>
      <c r="J3773">
        <v>7.3</v>
      </c>
    </row>
    <row r="3774" spans="1:10" hidden="1">
      <c r="A3774" t="s">
        <v>2587</v>
      </c>
      <c r="B3774" t="s">
        <v>2588</v>
      </c>
      <c r="C3774" t="s">
        <v>235</v>
      </c>
      <c r="D3774" t="s">
        <v>1148</v>
      </c>
      <c r="E3774" t="s">
        <v>561</v>
      </c>
      <c r="F3774" t="s">
        <v>1068</v>
      </c>
      <c r="G3774" t="s">
        <v>1073</v>
      </c>
      <c r="H3774" s="170">
        <v>-2.0418001574387499E-8</v>
      </c>
      <c r="I3774" t="s">
        <v>1074</v>
      </c>
      <c r="J3774">
        <v>7.3</v>
      </c>
    </row>
    <row r="3775" spans="1:10" hidden="1">
      <c r="A3775" t="s">
        <v>2587</v>
      </c>
      <c r="B3775" t="s">
        <v>2588</v>
      </c>
      <c r="C3775" t="s">
        <v>235</v>
      </c>
      <c r="D3775" t="s">
        <v>1148</v>
      </c>
      <c r="E3775" t="s">
        <v>561</v>
      </c>
      <c r="F3775" t="s">
        <v>1068</v>
      </c>
      <c r="G3775" t="s">
        <v>1075</v>
      </c>
      <c r="H3775">
        <v>6.0388493044313905E-4</v>
      </c>
      <c r="I3775" t="s">
        <v>1077</v>
      </c>
      <c r="J3775">
        <v>7.3</v>
      </c>
    </row>
    <row r="3776" spans="1:10" hidden="1">
      <c r="A3776" t="s">
        <v>2587</v>
      </c>
      <c r="B3776" t="s">
        <v>2588</v>
      </c>
      <c r="C3776" t="s">
        <v>235</v>
      </c>
      <c r="D3776" t="s">
        <v>1148</v>
      </c>
      <c r="E3776" t="s">
        <v>561</v>
      </c>
      <c r="F3776" t="s">
        <v>1068</v>
      </c>
      <c r="G3776" t="s">
        <v>1078</v>
      </c>
      <c r="H3776">
        <v>-0.36803475835338001</v>
      </c>
      <c r="I3776" t="s">
        <v>1079</v>
      </c>
      <c r="J3776">
        <v>7.3</v>
      </c>
    </row>
    <row r="3777" spans="1:10" hidden="1">
      <c r="A3777" t="s">
        <v>2587</v>
      </c>
      <c r="B3777" t="s">
        <v>2588</v>
      </c>
      <c r="C3777" t="s">
        <v>235</v>
      </c>
      <c r="D3777" t="s">
        <v>1148</v>
      </c>
      <c r="E3777" t="s">
        <v>561</v>
      </c>
      <c r="F3777" t="s">
        <v>1068</v>
      </c>
      <c r="G3777" t="s">
        <v>1080</v>
      </c>
      <c r="H3777" s="171" t="s">
        <v>2589</v>
      </c>
      <c r="I3777" t="s">
        <v>1082</v>
      </c>
      <c r="J3777">
        <v>7.3</v>
      </c>
    </row>
    <row r="3778" spans="1:10" hidden="1">
      <c r="A3778" t="s">
        <v>2587</v>
      </c>
      <c r="B3778" t="s">
        <v>2588</v>
      </c>
      <c r="C3778" t="s">
        <v>235</v>
      </c>
      <c r="D3778" t="s">
        <v>1148</v>
      </c>
      <c r="E3778" t="s">
        <v>561</v>
      </c>
      <c r="F3778" t="s">
        <v>1068</v>
      </c>
      <c r="G3778" t="s">
        <v>1083</v>
      </c>
      <c r="H3778" s="170">
        <v>-1.6700547313835E-5</v>
      </c>
      <c r="I3778" t="s">
        <v>1084</v>
      </c>
      <c r="J3778">
        <v>7.3</v>
      </c>
    </row>
    <row r="3779" spans="1:10" hidden="1">
      <c r="A3779" t="s">
        <v>2587</v>
      </c>
      <c r="B3779" t="s">
        <v>2588</v>
      </c>
      <c r="C3779" t="s">
        <v>235</v>
      </c>
      <c r="D3779" t="s">
        <v>1148</v>
      </c>
      <c r="E3779" t="s">
        <v>561</v>
      </c>
      <c r="F3779" t="s">
        <v>1068</v>
      </c>
      <c r="G3779" t="s">
        <v>1085</v>
      </c>
      <c r="H3779">
        <v>-1.3205600008353799E-4</v>
      </c>
      <c r="I3779" t="s">
        <v>1086</v>
      </c>
      <c r="J3779">
        <v>7.3</v>
      </c>
    </row>
    <row r="3780" spans="1:10" hidden="1">
      <c r="A3780" t="s">
        <v>2587</v>
      </c>
      <c r="B3780" t="s">
        <v>2588</v>
      </c>
      <c r="C3780" t="s">
        <v>235</v>
      </c>
      <c r="D3780" t="s">
        <v>1148</v>
      </c>
      <c r="E3780" t="s">
        <v>561</v>
      </c>
      <c r="F3780" t="s">
        <v>1068</v>
      </c>
      <c r="G3780" t="s">
        <v>1087</v>
      </c>
      <c r="H3780" s="170">
        <v>-6.1685507763724794E-8</v>
      </c>
      <c r="I3780" t="s">
        <v>1088</v>
      </c>
      <c r="J3780">
        <v>7.3</v>
      </c>
    </row>
    <row r="3781" spans="1:10" hidden="1">
      <c r="A3781" t="s">
        <v>2587</v>
      </c>
      <c r="B3781" t="s">
        <v>2588</v>
      </c>
      <c r="C3781" t="s">
        <v>235</v>
      </c>
      <c r="D3781" t="s">
        <v>1148</v>
      </c>
      <c r="E3781" t="s">
        <v>561</v>
      </c>
      <c r="F3781" t="s">
        <v>1068</v>
      </c>
      <c r="G3781" t="s">
        <v>1089</v>
      </c>
      <c r="H3781" s="170">
        <v>-1.5940042714120801E-5</v>
      </c>
      <c r="I3781" t="s">
        <v>1090</v>
      </c>
      <c r="J3781">
        <v>7.3</v>
      </c>
    </row>
    <row r="3782" spans="1:10" hidden="1">
      <c r="A3782" t="s">
        <v>2590</v>
      </c>
      <c r="B3782" t="s">
        <v>2591</v>
      </c>
      <c r="C3782" t="s">
        <v>235</v>
      </c>
      <c r="D3782" t="s">
        <v>1148</v>
      </c>
      <c r="E3782" t="s">
        <v>555</v>
      </c>
      <c r="F3782" t="s">
        <v>1068</v>
      </c>
      <c r="G3782" t="s">
        <v>1069</v>
      </c>
      <c r="H3782">
        <v>-8.2188379625625502E-2</v>
      </c>
      <c r="I3782" t="s">
        <v>1070</v>
      </c>
      <c r="J3782">
        <v>9.18</v>
      </c>
    </row>
    <row r="3783" spans="1:10" hidden="1">
      <c r="A3783" t="s">
        <v>2590</v>
      </c>
      <c r="B3783" t="s">
        <v>2591</v>
      </c>
      <c r="C3783" t="s">
        <v>235</v>
      </c>
      <c r="D3783" t="s">
        <v>1148</v>
      </c>
      <c r="E3783" t="s">
        <v>555</v>
      </c>
      <c r="F3783" t="s">
        <v>1068</v>
      </c>
      <c r="G3783" t="s">
        <v>1071</v>
      </c>
      <c r="H3783" s="170">
        <v>-1.8339100050518901E-10</v>
      </c>
      <c r="I3783" t="s">
        <v>1072</v>
      </c>
      <c r="J3783">
        <v>9.18</v>
      </c>
    </row>
    <row r="3784" spans="1:10" hidden="1">
      <c r="A3784" t="s">
        <v>2590</v>
      </c>
      <c r="B3784" t="s">
        <v>2591</v>
      </c>
      <c r="C3784" t="s">
        <v>235</v>
      </c>
      <c r="D3784" t="s">
        <v>1148</v>
      </c>
      <c r="E3784" t="s">
        <v>555</v>
      </c>
      <c r="F3784" t="s">
        <v>1068</v>
      </c>
      <c r="G3784" t="s">
        <v>1073</v>
      </c>
      <c r="H3784" s="170">
        <v>-2.62240376181136E-8</v>
      </c>
      <c r="I3784" t="s">
        <v>1074</v>
      </c>
      <c r="J3784">
        <v>9.18</v>
      </c>
    </row>
    <row r="3785" spans="1:10" hidden="1">
      <c r="A3785" t="s">
        <v>2590</v>
      </c>
      <c r="B3785" t="s">
        <v>2591</v>
      </c>
      <c r="C3785" t="s">
        <v>235</v>
      </c>
      <c r="D3785" t="s">
        <v>1148</v>
      </c>
      <c r="E3785" t="s">
        <v>555</v>
      </c>
      <c r="F3785" t="s">
        <v>1068</v>
      </c>
      <c r="G3785" t="s">
        <v>1075</v>
      </c>
      <c r="H3785">
        <v>1.0149713435620199E-4</v>
      </c>
      <c r="I3785" t="s">
        <v>1077</v>
      </c>
      <c r="J3785">
        <v>9.18</v>
      </c>
    </row>
    <row r="3786" spans="1:10" hidden="1">
      <c r="A3786" t="s">
        <v>2590</v>
      </c>
      <c r="B3786" t="s">
        <v>2591</v>
      </c>
      <c r="C3786" t="s">
        <v>235</v>
      </c>
      <c r="D3786" t="s">
        <v>1148</v>
      </c>
      <c r="E3786" t="s">
        <v>555</v>
      </c>
      <c r="F3786" t="s">
        <v>1068</v>
      </c>
      <c r="G3786" t="s">
        <v>1078</v>
      </c>
      <c r="H3786">
        <v>-0.38444685255991901</v>
      </c>
      <c r="I3786" t="s">
        <v>1079</v>
      </c>
      <c r="J3786">
        <v>9.18</v>
      </c>
    </row>
    <row r="3787" spans="1:10" hidden="1">
      <c r="A3787" t="s">
        <v>2590</v>
      </c>
      <c r="B3787" t="s">
        <v>2591</v>
      </c>
      <c r="C3787" t="s">
        <v>235</v>
      </c>
      <c r="D3787" t="s">
        <v>1148</v>
      </c>
      <c r="E3787" t="s">
        <v>555</v>
      </c>
      <c r="F3787" t="s">
        <v>1068</v>
      </c>
      <c r="G3787" t="s">
        <v>1080</v>
      </c>
      <c r="H3787" s="171" t="s">
        <v>2592</v>
      </c>
      <c r="I3787" t="s">
        <v>1082</v>
      </c>
      <c r="J3787">
        <v>9.18</v>
      </c>
    </row>
    <row r="3788" spans="1:10" hidden="1">
      <c r="A3788" t="s">
        <v>2590</v>
      </c>
      <c r="B3788" t="s">
        <v>2591</v>
      </c>
      <c r="C3788" t="s">
        <v>235</v>
      </c>
      <c r="D3788" t="s">
        <v>1148</v>
      </c>
      <c r="E3788" t="s">
        <v>555</v>
      </c>
      <c r="F3788" t="s">
        <v>1068</v>
      </c>
      <c r="G3788" t="s">
        <v>1083</v>
      </c>
      <c r="H3788" s="170">
        <v>-1.91859300716022E-5</v>
      </c>
      <c r="I3788" t="s">
        <v>1084</v>
      </c>
      <c r="J3788">
        <v>9.18</v>
      </c>
    </row>
    <row r="3789" spans="1:10" hidden="1">
      <c r="A3789" t="s">
        <v>2590</v>
      </c>
      <c r="B3789" t="s">
        <v>2591</v>
      </c>
      <c r="C3789" t="s">
        <v>235</v>
      </c>
      <c r="D3789" t="s">
        <v>1148</v>
      </c>
      <c r="E3789" t="s">
        <v>555</v>
      </c>
      <c r="F3789" t="s">
        <v>1068</v>
      </c>
      <c r="G3789" t="s">
        <v>1085</v>
      </c>
      <c r="H3789">
        <v>-1.6006915054669099E-4</v>
      </c>
      <c r="I3789" t="s">
        <v>1086</v>
      </c>
      <c r="J3789">
        <v>9.18</v>
      </c>
    </row>
    <row r="3790" spans="1:10" hidden="1">
      <c r="A3790" t="s">
        <v>2590</v>
      </c>
      <c r="B3790" t="s">
        <v>2591</v>
      </c>
      <c r="C3790" t="s">
        <v>235</v>
      </c>
      <c r="D3790" t="s">
        <v>1148</v>
      </c>
      <c r="E3790" t="s">
        <v>555</v>
      </c>
      <c r="F3790" t="s">
        <v>1068</v>
      </c>
      <c r="G3790" t="s">
        <v>1087</v>
      </c>
      <c r="H3790" s="170">
        <v>-7.4823943709485901E-8</v>
      </c>
      <c r="I3790" t="s">
        <v>1088</v>
      </c>
      <c r="J3790">
        <v>9.18</v>
      </c>
    </row>
    <row r="3791" spans="1:10" hidden="1">
      <c r="A3791" t="s">
        <v>2590</v>
      </c>
      <c r="B3791" t="s">
        <v>2591</v>
      </c>
      <c r="C3791" t="s">
        <v>235</v>
      </c>
      <c r="D3791" t="s">
        <v>1148</v>
      </c>
      <c r="E3791" t="s">
        <v>555</v>
      </c>
      <c r="F3791" t="s">
        <v>1068</v>
      </c>
      <c r="G3791" t="s">
        <v>1089</v>
      </c>
      <c r="H3791" s="170">
        <v>-2.1733655655330999E-5</v>
      </c>
      <c r="I3791" t="s">
        <v>1090</v>
      </c>
      <c r="J3791">
        <v>9.18</v>
      </c>
    </row>
    <row r="3792" spans="1:10" hidden="1">
      <c r="A3792" t="s">
        <v>2593</v>
      </c>
      <c r="B3792" t="s">
        <v>2594</v>
      </c>
      <c r="C3792" t="s">
        <v>235</v>
      </c>
      <c r="D3792" t="s">
        <v>1148</v>
      </c>
      <c r="E3792" t="s">
        <v>558</v>
      </c>
      <c r="F3792" t="s">
        <v>1068</v>
      </c>
      <c r="G3792" t="s">
        <v>1069</v>
      </c>
      <c r="H3792">
        <v>-6.4425288952091403E-2</v>
      </c>
      <c r="I3792" t="s">
        <v>1070</v>
      </c>
      <c r="J3792">
        <v>7.32</v>
      </c>
    </row>
    <row r="3793" spans="1:10" hidden="1">
      <c r="A3793" t="s">
        <v>2593</v>
      </c>
      <c r="B3793" t="s">
        <v>2594</v>
      </c>
      <c r="C3793" t="s">
        <v>235</v>
      </c>
      <c r="D3793" t="s">
        <v>1148</v>
      </c>
      <c r="E3793" t="s">
        <v>558</v>
      </c>
      <c r="F3793" t="s">
        <v>1068</v>
      </c>
      <c r="G3793" t="s">
        <v>1071</v>
      </c>
      <c r="H3793" s="170">
        <v>-1.5798858930279401E-10</v>
      </c>
      <c r="I3793" t="s">
        <v>1072</v>
      </c>
      <c r="J3793">
        <v>7.32</v>
      </c>
    </row>
    <row r="3794" spans="1:10" hidden="1">
      <c r="A3794" t="s">
        <v>2593</v>
      </c>
      <c r="B3794" t="s">
        <v>2594</v>
      </c>
      <c r="C3794" t="s">
        <v>235</v>
      </c>
      <c r="D3794" t="s">
        <v>1148</v>
      </c>
      <c r="E3794" t="s">
        <v>558</v>
      </c>
      <c r="F3794" t="s">
        <v>1068</v>
      </c>
      <c r="G3794" t="s">
        <v>1073</v>
      </c>
      <c r="H3794" s="170">
        <v>-1.9909924463440002E-8</v>
      </c>
      <c r="I3794" t="s">
        <v>1074</v>
      </c>
      <c r="J3794">
        <v>7.32</v>
      </c>
    </row>
    <row r="3795" spans="1:10" hidden="1">
      <c r="A3795" t="s">
        <v>2593</v>
      </c>
      <c r="B3795" t="s">
        <v>2594</v>
      </c>
      <c r="C3795" t="s">
        <v>235</v>
      </c>
      <c r="D3795" t="s">
        <v>1148</v>
      </c>
      <c r="E3795" t="s">
        <v>558</v>
      </c>
      <c r="F3795" t="s">
        <v>1068</v>
      </c>
      <c r="G3795" t="s">
        <v>1075</v>
      </c>
      <c r="H3795">
        <v>6.4910091346183005E-4</v>
      </c>
      <c r="I3795" t="s">
        <v>1077</v>
      </c>
      <c r="J3795">
        <v>7.32</v>
      </c>
    </row>
    <row r="3796" spans="1:10" hidden="1">
      <c r="A3796" t="s">
        <v>2593</v>
      </c>
      <c r="B3796" t="s">
        <v>2594</v>
      </c>
      <c r="C3796" t="s">
        <v>235</v>
      </c>
      <c r="D3796" t="s">
        <v>1148</v>
      </c>
      <c r="E3796" t="s">
        <v>558</v>
      </c>
      <c r="F3796" t="s">
        <v>1068</v>
      </c>
      <c r="G3796" t="s">
        <v>1078</v>
      </c>
      <c r="H3796">
        <v>-0.366079444831788</v>
      </c>
      <c r="I3796" t="s">
        <v>1079</v>
      </c>
      <c r="J3796">
        <v>7.32</v>
      </c>
    </row>
    <row r="3797" spans="1:10" hidden="1">
      <c r="A3797" t="s">
        <v>2593</v>
      </c>
      <c r="B3797" t="s">
        <v>2594</v>
      </c>
      <c r="C3797" t="s">
        <v>235</v>
      </c>
      <c r="D3797" t="s">
        <v>1148</v>
      </c>
      <c r="E3797" t="s">
        <v>558</v>
      </c>
      <c r="F3797" t="s">
        <v>1068</v>
      </c>
      <c r="G3797" t="s">
        <v>1080</v>
      </c>
      <c r="H3797" s="171" t="s">
        <v>2595</v>
      </c>
      <c r="I3797" t="s">
        <v>1082</v>
      </c>
      <c r="J3797">
        <v>7.32</v>
      </c>
    </row>
    <row r="3798" spans="1:10" hidden="1">
      <c r="A3798" t="s">
        <v>2593</v>
      </c>
      <c r="B3798" t="s">
        <v>2594</v>
      </c>
      <c r="C3798" t="s">
        <v>235</v>
      </c>
      <c r="D3798" t="s">
        <v>1148</v>
      </c>
      <c r="E3798" t="s">
        <v>558</v>
      </c>
      <c r="F3798" t="s">
        <v>1068</v>
      </c>
      <c r="G3798" t="s">
        <v>1083</v>
      </c>
      <c r="H3798" s="170">
        <v>-1.6483127939210602E-5</v>
      </c>
      <c r="I3798" t="s">
        <v>1084</v>
      </c>
      <c r="J3798">
        <v>7.32</v>
      </c>
    </row>
    <row r="3799" spans="1:10" hidden="1">
      <c r="A3799" t="s">
        <v>2593</v>
      </c>
      <c r="B3799" t="s">
        <v>2594</v>
      </c>
      <c r="C3799" t="s">
        <v>235</v>
      </c>
      <c r="D3799" t="s">
        <v>1148</v>
      </c>
      <c r="E3799" t="s">
        <v>558</v>
      </c>
      <c r="F3799" t="s">
        <v>1068</v>
      </c>
      <c r="G3799" t="s">
        <v>1085</v>
      </c>
      <c r="H3799">
        <v>-1.2959871988175599E-4</v>
      </c>
      <c r="I3799" t="s">
        <v>1086</v>
      </c>
      <c r="J3799">
        <v>7.32</v>
      </c>
    </row>
    <row r="3800" spans="1:10" hidden="1">
      <c r="A3800" t="s">
        <v>2593</v>
      </c>
      <c r="B3800" t="s">
        <v>2594</v>
      </c>
      <c r="C3800" t="s">
        <v>235</v>
      </c>
      <c r="D3800" t="s">
        <v>1148</v>
      </c>
      <c r="E3800" t="s">
        <v>558</v>
      </c>
      <c r="F3800" t="s">
        <v>1068</v>
      </c>
      <c r="G3800" t="s">
        <v>1087</v>
      </c>
      <c r="H3800" s="170">
        <v>-6.0499613118366903E-8</v>
      </c>
      <c r="I3800" t="s">
        <v>1088</v>
      </c>
      <c r="J3800">
        <v>7.32</v>
      </c>
    </row>
    <row r="3801" spans="1:10" hidden="1">
      <c r="A3801" t="s">
        <v>2593</v>
      </c>
      <c r="B3801" t="s">
        <v>2594</v>
      </c>
      <c r="C3801" t="s">
        <v>235</v>
      </c>
      <c r="D3801" t="s">
        <v>1148</v>
      </c>
      <c r="E3801" t="s">
        <v>558</v>
      </c>
      <c r="F3801" t="s">
        <v>1068</v>
      </c>
      <c r="G3801" t="s">
        <v>1089</v>
      </c>
      <c r="H3801" s="170">
        <v>-1.5433110660973101E-5</v>
      </c>
      <c r="I3801" t="s">
        <v>1090</v>
      </c>
      <c r="J3801">
        <v>7.32</v>
      </c>
    </row>
    <row r="3802" spans="1:10" hidden="1">
      <c r="A3802" t="s">
        <v>2596</v>
      </c>
      <c r="B3802" t="s">
        <v>2597</v>
      </c>
      <c r="C3802" t="s">
        <v>235</v>
      </c>
      <c r="D3802" t="s">
        <v>1148</v>
      </c>
      <c r="E3802" t="s">
        <v>553</v>
      </c>
      <c r="F3802" t="s">
        <v>1068</v>
      </c>
      <c r="G3802" t="s">
        <v>1069</v>
      </c>
      <c r="H3802">
        <v>-6.3177871049817494E-2</v>
      </c>
      <c r="I3802" t="s">
        <v>1070</v>
      </c>
      <c r="J3802">
        <v>6.88</v>
      </c>
    </row>
    <row r="3803" spans="1:10" hidden="1">
      <c r="A3803" t="s">
        <v>2596</v>
      </c>
      <c r="B3803" t="s">
        <v>2597</v>
      </c>
      <c r="C3803" t="s">
        <v>235</v>
      </c>
      <c r="D3803" t="s">
        <v>1148</v>
      </c>
      <c r="E3803" t="s">
        <v>553</v>
      </c>
      <c r="F3803" t="s">
        <v>1068</v>
      </c>
      <c r="G3803" t="s">
        <v>1071</v>
      </c>
      <c r="H3803" s="170">
        <v>-1.5618674645284401E-10</v>
      </c>
      <c r="I3803" t="s">
        <v>1072</v>
      </c>
      <c r="J3803">
        <v>6.88</v>
      </c>
    </row>
    <row r="3804" spans="1:10" hidden="1">
      <c r="A3804" t="s">
        <v>2596</v>
      </c>
      <c r="B3804" t="s">
        <v>2597</v>
      </c>
      <c r="C3804" t="s">
        <v>235</v>
      </c>
      <c r="D3804" t="s">
        <v>1148</v>
      </c>
      <c r="E3804" t="s">
        <v>553</v>
      </c>
      <c r="F3804" t="s">
        <v>1068</v>
      </c>
      <c r="G3804" t="s">
        <v>1073</v>
      </c>
      <c r="H3804" s="170">
        <v>-1.9471444819074999E-8</v>
      </c>
      <c r="I3804" t="s">
        <v>1074</v>
      </c>
      <c r="J3804">
        <v>6.88</v>
      </c>
    </row>
    <row r="3805" spans="1:10" hidden="1">
      <c r="A3805" t="s">
        <v>2596</v>
      </c>
      <c r="B3805" t="s">
        <v>2597</v>
      </c>
      <c r="C3805" t="s">
        <v>235</v>
      </c>
      <c r="D3805" t="s">
        <v>1148</v>
      </c>
      <c r="E3805" t="s">
        <v>553</v>
      </c>
      <c r="F3805" t="s">
        <v>1068</v>
      </c>
      <c r="G3805" t="s">
        <v>1075</v>
      </c>
      <c r="H3805">
        <v>7.0243961878342696E-4</v>
      </c>
      <c r="I3805" t="s">
        <v>1077</v>
      </c>
      <c r="J3805">
        <v>6.88</v>
      </c>
    </row>
    <row r="3806" spans="1:10" hidden="1">
      <c r="A3806" t="s">
        <v>2596</v>
      </c>
      <c r="B3806" t="s">
        <v>2597</v>
      </c>
      <c r="C3806" t="s">
        <v>235</v>
      </c>
      <c r="D3806" t="s">
        <v>1148</v>
      </c>
      <c r="E3806" t="s">
        <v>553</v>
      </c>
      <c r="F3806" t="s">
        <v>1068</v>
      </c>
      <c r="G3806" t="s">
        <v>1078</v>
      </c>
      <c r="H3806">
        <v>-0.35845978146131702</v>
      </c>
      <c r="I3806" t="s">
        <v>1079</v>
      </c>
      <c r="J3806">
        <v>6.88</v>
      </c>
    </row>
    <row r="3807" spans="1:10" hidden="1">
      <c r="A3807" t="s">
        <v>2596</v>
      </c>
      <c r="B3807" t="s">
        <v>2597</v>
      </c>
      <c r="C3807" t="s">
        <v>235</v>
      </c>
      <c r="D3807" t="s">
        <v>1148</v>
      </c>
      <c r="E3807" t="s">
        <v>553</v>
      </c>
      <c r="F3807" t="s">
        <v>1068</v>
      </c>
      <c r="G3807" t="s">
        <v>1080</v>
      </c>
      <c r="H3807" s="171" t="s">
        <v>2598</v>
      </c>
      <c r="I3807" t="s">
        <v>1082</v>
      </c>
      <c r="J3807">
        <v>6.88</v>
      </c>
    </row>
    <row r="3808" spans="1:10" hidden="1">
      <c r="A3808" t="s">
        <v>2596</v>
      </c>
      <c r="B3808" t="s">
        <v>2597</v>
      </c>
      <c r="C3808" t="s">
        <v>235</v>
      </c>
      <c r="D3808" t="s">
        <v>1148</v>
      </c>
      <c r="E3808" t="s">
        <v>553</v>
      </c>
      <c r="F3808" t="s">
        <v>1068</v>
      </c>
      <c r="G3808" t="s">
        <v>1083</v>
      </c>
      <c r="H3808" s="170">
        <v>-1.6296320459545799E-5</v>
      </c>
      <c r="I3808" t="s">
        <v>1084</v>
      </c>
      <c r="J3808">
        <v>6.88</v>
      </c>
    </row>
    <row r="3809" spans="1:10" hidden="1">
      <c r="A3809" t="s">
        <v>2596</v>
      </c>
      <c r="B3809" t="s">
        <v>2597</v>
      </c>
      <c r="C3809" t="s">
        <v>235</v>
      </c>
      <c r="D3809" t="s">
        <v>1148</v>
      </c>
      <c r="E3809" t="s">
        <v>553</v>
      </c>
      <c r="F3809" t="s">
        <v>1068</v>
      </c>
      <c r="G3809" t="s">
        <v>1085</v>
      </c>
      <c r="H3809">
        <v>-1.27410697256355E-4</v>
      </c>
      <c r="I3809" t="s">
        <v>1086</v>
      </c>
      <c r="J3809">
        <v>6.88</v>
      </c>
    </row>
    <row r="3810" spans="1:10" hidden="1">
      <c r="A3810" t="s">
        <v>2596</v>
      </c>
      <c r="B3810" t="s">
        <v>2597</v>
      </c>
      <c r="C3810" t="s">
        <v>235</v>
      </c>
      <c r="D3810" t="s">
        <v>1148</v>
      </c>
      <c r="E3810" t="s">
        <v>553</v>
      </c>
      <c r="F3810" t="s">
        <v>1068</v>
      </c>
      <c r="G3810" t="s">
        <v>1087</v>
      </c>
      <c r="H3810" s="170">
        <v>-5.9062825032586103E-8</v>
      </c>
      <c r="I3810" t="s">
        <v>1088</v>
      </c>
      <c r="J3810">
        <v>6.88</v>
      </c>
    </row>
    <row r="3811" spans="1:10" hidden="1">
      <c r="A3811" t="s">
        <v>2596</v>
      </c>
      <c r="B3811" t="s">
        <v>2597</v>
      </c>
      <c r="C3811" t="s">
        <v>235</v>
      </c>
      <c r="D3811" t="s">
        <v>1148</v>
      </c>
      <c r="E3811" t="s">
        <v>553</v>
      </c>
      <c r="F3811" t="s">
        <v>1068</v>
      </c>
      <c r="G3811" t="s">
        <v>1089</v>
      </c>
      <c r="H3811" s="170">
        <v>-1.49962812333604E-5</v>
      </c>
      <c r="I3811" t="s">
        <v>1090</v>
      </c>
      <c r="J3811">
        <v>6.88</v>
      </c>
    </row>
    <row r="3812" spans="1:10" hidden="1">
      <c r="A3812" t="s">
        <v>2599</v>
      </c>
      <c r="B3812" t="s">
        <v>2600</v>
      </c>
      <c r="C3812" t="s">
        <v>235</v>
      </c>
      <c r="D3812" t="s">
        <v>1148</v>
      </c>
      <c r="E3812" t="s">
        <v>556</v>
      </c>
      <c r="F3812" t="s">
        <v>1068</v>
      </c>
      <c r="G3812" t="s">
        <v>1069</v>
      </c>
      <c r="H3812">
        <v>-7.4923818178223994E-2</v>
      </c>
      <c r="I3812" t="s">
        <v>1070</v>
      </c>
      <c r="J3812">
        <v>7.4</v>
      </c>
    </row>
    <row r="3813" spans="1:10" hidden="1">
      <c r="A3813" t="s">
        <v>2599</v>
      </c>
      <c r="B3813" t="s">
        <v>2600</v>
      </c>
      <c r="C3813" t="s">
        <v>235</v>
      </c>
      <c r="D3813" t="s">
        <v>1148</v>
      </c>
      <c r="E3813" t="s">
        <v>556</v>
      </c>
      <c r="F3813" t="s">
        <v>1068</v>
      </c>
      <c r="G3813" t="s">
        <v>1071</v>
      </c>
      <c r="H3813" s="170">
        <v>-1.7286853220538799E-10</v>
      </c>
      <c r="I3813" t="s">
        <v>1072</v>
      </c>
      <c r="J3813">
        <v>7.4</v>
      </c>
    </row>
    <row r="3814" spans="1:10" hidden="1">
      <c r="A3814" t="s">
        <v>2599</v>
      </c>
      <c r="B3814" t="s">
        <v>2600</v>
      </c>
      <c r="C3814" t="s">
        <v>235</v>
      </c>
      <c r="D3814" t="s">
        <v>1148</v>
      </c>
      <c r="E3814" t="s">
        <v>556</v>
      </c>
      <c r="F3814" t="s">
        <v>1068</v>
      </c>
      <c r="G3814" t="s">
        <v>1073</v>
      </c>
      <c r="H3814" s="170">
        <v>-2.36400118900837E-8</v>
      </c>
      <c r="I3814" t="s">
        <v>1074</v>
      </c>
      <c r="J3814">
        <v>7.4</v>
      </c>
    </row>
    <row r="3815" spans="1:10" hidden="1">
      <c r="A3815" t="s">
        <v>2599</v>
      </c>
      <c r="B3815" t="s">
        <v>2600</v>
      </c>
      <c r="C3815" t="s">
        <v>235</v>
      </c>
      <c r="D3815" t="s">
        <v>1148</v>
      </c>
      <c r="E3815" t="s">
        <v>556</v>
      </c>
      <c r="F3815" t="s">
        <v>1068</v>
      </c>
      <c r="G3815" t="s">
        <v>1075</v>
      </c>
      <c r="H3815">
        <v>3.8652600583187198E-4</v>
      </c>
      <c r="I3815" t="s">
        <v>1077</v>
      </c>
      <c r="J3815">
        <v>7.4</v>
      </c>
    </row>
    <row r="3816" spans="1:10" hidden="1">
      <c r="A3816" t="s">
        <v>2599</v>
      </c>
      <c r="B3816" t="s">
        <v>2600</v>
      </c>
      <c r="C3816" t="s">
        <v>235</v>
      </c>
      <c r="D3816" t="s">
        <v>1148</v>
      </c>
      <c r="E3816" t="s">
        <v>556</v>
      </c>
      <c r="F3816" t="s">
        <v>1068</v>
      </c>
      <c r="G3816" t="s">
        <v>1078</v>
      </c>
      <c r="H3816">
        <v>-0.35151709373397</v>
      </c>
      <c r="I3816" t="s">
        <v>1079</v>
      </c>
      <c r="J3816">
        <v>7.4</v>
      </c>
    </row>
    <row r="3817" spans="1:10" hidden="1">
      <c r="A3817" t="s">
        <v>2599</v>
      </c>
      <c r="B3817" t="s">
        <v>2600</v>
      </c>
      <c r="C3817" t="s">
        <v>235</v>
      </c>
      <c r="D3817" t="s">
        <v>1148</v>
      </c>
      <c r="E3817" t="s">
        <v>556</v>
      </c>
      <c r="F3817" t="s">
        <v>1068</v>
      </c>
      <c r="G3817" t="s">
        <v>1080</v>
      </c>
      <c r="H3817" s="171" t="s">
        <v>2601</v>
      </c>
      <c r="I3817" t="s">
        <v>1082</v>
      </c>
      <c r="J3817">
        <v>7.4</v>
      </c>
    </row>
    <row r="3818" spans="1:10" hidden="1">
      <c r="A3818" t="s">
        <v>2599</v>
      </c>
      <c r="B3818" t="s">
        <v>2600</v>
      </c>
      <c r="C3818" t="s">
        <v>235</v>
      </c>
      <c r="D3818" t="s">
        <v>1148</v>
      </c>
      <c r="E3818" t="s">
        <v>556</v>
      </c>
      <c r="F3818" t="s">
        <v>1068</v>
      </c>
      <c r="G3818" t="s">
        <v>1083</v>
      </c>
      <c r="H3818" s="170">
        <v>-1.8081695556992E-5</v>
      </c>
      <c r="I3818" t="s">
        <v>1084</v>
      </c>
      <c r="J3818">
        <v>7.4</v>
      </c>
    </row>
    <row r="3819" spans="1:10" hidden="1">
      <c r="A3819" t="s">
        <v>2599</v>
      </c>
      <c r="B3819" t="s">
        <v>2600</v>
      </c>
      <c r="C3819" t="s">
        <v>235</v>
      </c>
      <c r="D3819" t="s">
        <v>1148</v>
      </c>
      <c r="E3819" t="s">
        <v>556</v>
      </c>
      <c r="F3819" t="s">
        <v>1068</v>
      </c>
      <c r="G3819" t="s">
        <v>1085</v>
      </c>
      <c r="H3819">
        <v>-1.4729723535180801E-4</v>
      </c>
      <c r="I3819" t="s">
        <v>1086</v>
      </c>
      <c r="J3819">
        <v>7.4</v>
      </c>
    </row>
    <row r="3820" spans="1:10" hidden="1">
      <c r="A3820" t="s">
        <v>2599</v>
      </c>
      <c r="B3820" t="s">
        <v>2600</v>
      </c>
      <c r="C3820" t="s">
        <v>235</v>
      </c>
      <c r="D3820" t="s">
        <v>1148</v>
      </c>
      <c r="E3820" t="s">
        <v>556</v>
      </c>
      <c r="F3820" t="s">
        <v>1068</v>
      </c>
      <c r="G3820" t="s">
        <v>1087</v>
      </c>
      <c r="H3820" s="170">
        <v>-6.8801183650754102E-8</v>
      </c>
      <c r="I3820" t="s">
        <v>1088</v>
      </c>
      <c r="J3820">
        <v>7.4</v>
      </c>
    </row>
    <row r="3821" spans="1:10" hidden="1">
      <c r="A3821" t="s">
        <v>2599</v>
      </c>
      <c r="B3821" t="s">
        <v>2600</v>
      </c>
      <c r="C3821" t="s">
        <v>235</v>
      </c>
      <c r="D3821" t="s">
        <v>1148</v>
      </c>
      <c r="E3821" t="s">
        <v>556</v>
      </c>
      <c r="F3821" t="s">
        <v>1068</v>
      </c>
      <c r="G3821" t="s">
        <v>1089</v>
      </c>
      <c r="H3821" s="170">
        <v>-1.9159118250899199E-5</v>
      </c>
      <c r="I3821" t="s">
        <v>1090</v>
      </c>
      <c r="J3821">
        <v>7.4</v>
      </c>
    </row>
    <row r="3822" spans="1:10" hidden="1">
      <c r="A3822" t="s">
        <v>2602</v>
      </c>
      <c r="B3822" s="170" t="s">
        <v>2603</v>
      </c>
      <c r="C3822" t="s">
        <v>235</v>
      </c>
      <c r="D3822" t="s">
        <v>1148</v>
      </c>
      <c r="E3822" t="s">
        <v>557</v>
      </c>
      <c r="F3822" t="s">
        <v>1068</v>
      </c>
      <c r="G3822" t="s">
        <v>1069</v>
      </c>
      <c r="H3822">
        <v>-7.0333398965906194E-2</v>
      </c>
      <c r="I3822" t="s">
        <v>1070</v>
      </c>
      <c r="J3822">
        <v>8.32</v>
      </c>
    </row>
    <row r="3823" spans="1:10" hidden="1">
      <c r="A3823" t="s">
        <v>2602</v>
      </c>
      <c r="B3823" s="170" t="s">
        <v>2603</v>
      </c>
      <c r="C3823" t="s">
        <v>235</v>
      </c>
      <c r="D3823" t="s">
        <v>1148</v>
      </c>
      <c r="E3823" t="s">
        <v>557</v>
      </c>
      <c r="F3823" t="s">
        <v>1068</v>
      </c>
      <c r="G3823" t="s">
        <v>1071</v>
      </c>
      <c r="H3823" s="170">
        <v>-1.6644316194844801E-10</v>
      </c>
      <c r="I3823" t="s">
        <v>1072</v>
      </c>
      <c r="J3823">
        <v>8.32</v>
      </c>
    </row>
    <row r="3824" spans="1:10" hidden="1">
      <c r="A3824" t="s">
        <v>2602</v>
      </c>
      <c r="B3824" s="170" t="s">
        <v>2603</v>
      </c>
      <c r="C3824" t="s">
        <v>235</v>
      </c>
      <c r="D3824" t="s">
        <v>1148</v>
      </c>
      <c r="E3824" t="s">
        <v>557</v>
      </c>
      <c r="F3824" t="s">
        <v>1068</v>
      </c>
      <c r="G3824" t="s">
        <v>1073</v>
      </c>
      <c r="H3824" s="170">
        <v>-2.2008503834745301E-8</v>
      </c>
      <c r="I3824" t="s">
        <v>1074</v>
      </c>
      <c r="J3824">
        <v>8.32</v>
      </c>
    </row>
    <row r="3825" spans="1:10" hidden="1">
      <c r="A3825" t="s">
        <v>2602</v>
      </c>
      <c r="B3825" s="170" t="s">
        <v>2603</v>
      </c>
      <c r="C3825" t="s">
        <v>235</v>
      </c>
      <c r="D3825" t="s">
        <v>1148</v>
      </c>
      <c r="E3825" t="s">
        <v>557</v>
      </c>
      <c r="F3825" t="s">
        <v>1068</v>
      </c>
      <c r="G3825" t="s">
        <v>1075</v>
      </c>
      <c r="H3825">
        <v>4.6233924447157599E-4</v>
      </c>
      <c r="I3825" t="s">
        <v>1077</v>
      </c>
      <c r="J3825">
        <v>8.32</v>
      </c>
    </row>
    <row r="3826" spans="1:10" hidden="1">
      <c r="A3826" t="s">
        <v>2602</v>
      </c>
      <c r="B3826" s="170" t="s">
        <v>2603</v>
      </c>
      <c r="C3826" t="s">
        <v>235</v>
      </c>
      <c r="D3826" t="s">
        <v>1148</v>
      </c>
      <c r="E3826" t="s">
        <v>557</v>
      </c>
      <c r="F3826" t="s">
        <v>1068</v>
      </c>
      <c r="G3826" t="s">
        <v>1078</v>
      </c>
      <c r="H3826">
        <v>-0.37415573981227901</v>
      </c>
      <c r="I3826" t="s">
        <v>1079</v>
      </c>
      <c r="J3826">
        <v>8.32</v>
      </c>
    </row>
    <row r="3827" spans="1:10" hidden="1">
      <c r="A3827" t="s">
        <v>2602</v>
      </c>
      <c r="B3827" s="170" t="s">
        <v>2603</v>
      </c>
      <c r="C3827" t="s">
        <v>235</v>
      </c>
      <c r="D3827" t="s">
        <v>1148</v>
      </c>
      <c r="E3827" t="s">
        <v>557</v>
      </c>
      <c r="F3827" t="s">
        <v>1068</v>
      </c>
      <c r="G3827" t="s">
        <v>1080</v>
      </c>
      <c r="H3827" s="171" t="s">
        <v>2604</v>
      </c>
      <c r="I3827" t="s">
        <v>1082</v>
      </c>
      <c r="J3827">
        <v>8.32</v>
      </c>
    </row>
    <row r="3828" spans="1:10" hidden="1">
      <c r="A3828" t="s">
        <v>2602</v>
      </c>
      <c r="B3828" s="170" t="s">
        <v>2603</v>
      </c>
      <c r="C3828" t="s">
        <v>235</v>
      </c>
      <c r="D3828" t="s">
        <v>1148</v>
      </c>
      <c r="E3828" t="s">
        <v>557</v>
      </c>
      <c r="F3828" t="s">
        <v>1068</v>
      </c>
      <c r="G3828" t="s">
        <v>1083</v>
      </c>
      <c r="H3828" s="170">
        <v>-1.7381164486572199E-5</v>
      </c>
      <c r="I3828" t="s">
        <v>1084</v>
      </c>
      <c r="J3828">
        <v>8.32</v>
      </c>
    </row>
    <row r="3829" spans="1:10" hidden="1">
      <c r="A3829" t="s">
        <v>2602</v>
      </c>
      <c r="B3829" s="170" t="s">
        <v>2603</v>
      </c>
      <c r="C3829" t="s">
        <v>235</v>
      </c>
      <c r="D3829" t="s">
        <v>1148</v>
      </c>
      <c r="E3829" t="s">
        <v>557</v>
      </c>
      <c r="F3829" t="s">
        <v>1068</v>
      </c>
      <c r="G3829" t="s">
        <v>1085</v>
      </c>
      <c r="H3829">
        <v>-1.3974835549781199E-4</v>
      </c>
      <c r="I3829" t="s">
        <v>1086</v>
      </c>
      <c r="J3829">
        <v>8.32</v>
      </c>
    </row>
    <row r="3830" spans="1:10" hidden="1">
      <c r="A3830" t="s">
        <v>2602</v>
      </c>
      <c r="B3830" s="170" t="s">
        <v>2603</v>
      </c>
      <c r="C3830" t="s">
        <v>235</v>
      </c>
      <c r="D3830" t="s">
        <v>1148</v>
      </c>
      <c r="E3830" t="s">
        <v>557</v>
      </c>
      <c r="F3830" t="s">
        <v>1068</v>
      </c>
      <c r="G3830" t="s">
        <v>1087</v>
      </c>
      <c r="H3830" s="170">
        <v>-6.5397873610062805E-8</v>
      </c>
      <c r="I3830" t="s">
        <v>1088</v>
      </c>
      <c r="J3830">
        <v>8.32</v>
      </c>
    </row>
    <row r="3831" spans="1:10" hidden="1">
      <c r="A3831" t="s">
        <v>2602</v>
      </c>
      <c r="B3831" s="170" t="s">
        <v>2603</v>
      </c>
      <c r="C3831" t="s">
        <v>235</v>
      </c>
      <c r="D3831" t="s">
        <v>1148</v>
      </c>
      <c r="E3831" t="s">
        <v>557</v>
      </c>
      <c r="F3831" t="s">
        <v>1068</v>
      </c>
      <c r="G3831" t="s">
        <v>1089</v>
      </c>
      <c r="H3831" s="170">
        <v>-1.7526960445713799E-5</v>
      </c>
      <c r="I3831" t="s">
        <v>1090</v>
      </c>
      <c r="J3831">
        <v>8.32</v>
      </c>
    </row>
    <row r="3832" spans="1:10" hidden="1">
      <c r="A3832" t="s">
        <v>2605</v>
      </c>
      <c r="B3832" t="s">
        <v>2606</v>
      </c>
      <c r="C3832" t="s">
        <v>235</v>
      </c>
      <c r="D3832" t="s">
        <v>1148</v>
      </c>
      <c r="E3832" t="s">
        <v>559</v>
      </c>
      <c r="F3832" t="s">
        <v>1068</v>
      </c>
      <c r="G3832" t="s">
        <v>1069</v>
      </c>
      <c r="H3832">
        <v>-7.52819401804799E-2</v>
      </c>
      <c r="I3832" t="s">
        <v>1070</v>
      </c>
      <c r="J3832">
        <v>7.49</v>
      </c>
    </row>
    <row r="3833" spans="1:10" hidden="1">
      <c r="A3833" t="s">
        <v>2605</v>
      </c>
      <c r="B3833" t="s">
        <v>2606</v>
      </c>
      <c r="C3833" t="s">
        <v>235</v>
      </c>
      <c r="D3833" t="s">
        <v>1148</v>
      </c>
      <c r="E3833" t="s">
        <v>559</v>
      </c>
      <c r="F3833" t="s">
        <v>1068</v>
      </c>
      <c r="G3833" t="s">
        <v>1071</v>
      </c>
      <c r="H3833" s="170">
        <v>-1.73507807085419E-10</v>
      </c>
      <c r="I3833" t="s">
        <v>1072</v>
      </c>
      <c r="J3833">
        <v>7.49</v>
      </c>
    </row>
    <row r="3834" spans="1:10" hidden="1">
      <c r="A3834" t="s">
        <v>2605</v>
      </c>
      <c r="B3834" t="s">
        <v>2606</v>
      </c>
      <c r="C3834" t="s">
        <v>235</v>
      </c>
      <c r="D3834" t="s">
        <v>1148</v>
      </c>
      <c r="E3834" t="s">
        <v>559</v>
      </c>
      <c r="F3834" t="s">
        <v>1068</v>
      </c>
      <c r="G3834" t="s">
        <v>1073</v>
      </c>
      <c r="H3834" s="170">
        <v>-2.3770848473892801E-8</v>
      </c>
      <c r="I3834" t="s">
        <v>1074</v>
      </c>
      <c r="J3834">
        <v>7.49</v>
      </c>
    </row>
    <row r="3835" spans="1:10" hidden="1">
      <c r="A3835" t="s">
        <v>2605</v>
      </c>
      <c r="B3835" t="s">
        <v>2606</v>
      </c>
      <c r="C3835" t="s">
        <v>235</v>
      </c>
      <c r="D3835" t="s">
        <v>1148</v>
      </c>
      <c r="E3835" t="s">
        <v>559</v>
      </c>
      <c r="F3835" t="s">
        <v>1068</v>
      </c>
      <c r="G3835" t="s">
        <v>1075</v>
      </c>
      <c r="H3835">
        <v>3.1981706315564902E-4</v>
      </c>
      <c r="I3835" t="s">
        <v>1077</v>
      </c>
      <c r="J3835">
        <v>7.49</v>
      </c>
    </row>
    <row r="3836" spans="1:10" hidden="1">
      <c r="A3836" t="s">
        <v>2605</v>
      </c>
      <c r="B3836" t="s">
        <v>2606</v>
      </c>
      <c r="C3836" t="s">
        <v>235</v>
      </c>
      <c r="D3836" t="s">
        <v>1148</v>
      </c>
      <c r="E3836" t="s">
        <v>559</v>
      </c>
      <c r="F3836" t="s">
        <v>1068</v>
      </c>
      <c r="G3836" t="s">
        <v>1078</v>
      </c>
      <c r="H3836">
        <v>-0.37500585669263597</v>
      </c>
      <c r="I3836" t="s">
        <v>1079</v>
      </c>
      <c r="J3836">
        <v>7.49</v>
      </c>
    </row>
    <row r="3837" spans="1:10" hidden="1">
      <c r="A3837" t="s">
        <v>2605</v>
      </c>
      <c r="B3837" t="s">
        <v>2606</v>
      </c>
      <c r="C3837" t="s">
        <v>235</v>
      </c>
      <c r="D3837" t="s">
        <v>1148</v>
      </c>
      <c r="E3837" t="s">
        <v>559</v>
      </c>
      <c r="F3837" t="s">
        <v>1068</v>
      </c>
      <c r="G3837" t="s">
        <v>1080</v>
      </c>
      <c r="H3837" s="171" t="s">
        <v>2607</v>
      </c>
      <c r="I3837" t="s">
        <v>1082</v>
      </c>
      <c r="J3837">
        <v>7.49</v>
      </c>
    </row>
    <row r="3838" spans="1:10" hidden="1">
      <c r="A3838" t="s">
        <v>2605</v>
      </c>
      <c r="B3838" t="s">
        <v>2606</v>
      </c>
      <c r="C3838" t="s">
        <v>235</v>
      </c>
      <c r="D3838" t="s">
        <v>1148</v>
      </c>
      <c r="E3838" t="s">
        <v>559</v>
      </c>
      <c r="F3838" t="s">
        <v>1068</v>
      </c>
      <c r="G3838" t="s">
        <v>1083</v>
      </c>
      <c r="H3838" s="170">
        <v>-1.8136146804300701E-5</v>
      </c>
      <c r="I3838" t="s">
        <v>1084</v>
      </c>
      <c r="J3838">
        <v>7.49</v>
      </c>
    </row>
    <row r="3839" spans="1:10" hidden="1">
      <c r="A3839" t="s">
        <v>2605</v>
      </c>
      <c r="B3839" t="s">
        <v>2606</v>
      </c>
      <c r="C3839" t="s">
        <v>235</v>
      </c>
      <c r="D3839" t="s">
        <v>1148</v>
      </c>
      <c r="E3839" t="s">
        <v>559</v>
      </c>
      <c r="F3839" t="s">
        <v>1068</v>
      </c>
      <c r="G3839" t="s">
        <v>1085</v>
      </c>
      <c r="H3839">
        <v>-1.4820446901424601E-4</v>
      </c>
      <c r="I3839" t="s">
        <v>1086</v>
      </c>
      <c r="J3839">
        <v>7.49</v>
      </c>
    </row>
    <row r="3840" spans="1:10" hidden="1">
      <c r="A3840" t="s">
        <v>2605</v>
      </c>
      <c r="B3840" t="s">
        <v>2606</v>
      </c>
      <c r="C3840" t="s">
        <v>235</v>
      </c>
      <c r="D3840" t="s">
        <v>1148</v>
      </c>
      <c r="E3840" t="s">
        <v>559</v>
      </c>
      <c r="F3840" t="s">
        <v>1068</v>
      </c>
      <c r="G3840" t="s">
        <v>1087</v>
      </c>
      <c r="H3840" s="170">
        <v>-6.9097994227615705E-8</v>
      </c>
      <c r="I3840" t="s">
        <v>1088</v>
      </c>
      <c r="J3840">
        <v>7.49</v>
      </c>
    </row>
    <row r="3841" spans="1:10" hidden="1">
      <c r="A3841" t="s">
        <v>2605</v>
      </c>
      <c r="B3841" t="s">
        <v>2606</v>
      </c>
      <c r="C3841" t="s">
        <v>235</v>
      </c>
      <c r="D3841" t="s">
        <v>1148</v>
      </c>
      <c r="E3841" t="s">
        <v>559</v>
      </c>
      <c r="F3841" t="s">
        <v>1068</v>
      </c>
      <c r="G3841" t="s">
        <v>1089</v>
      </c>
      <c r="H3841" s="170">
        <v>-1.92859952848021E-5</v>
      </c>
      <c r="I3841" t="s">
        <v>1090</v>
      </c>
      <c r="J3841">
        <v>7.49</v>
      </c>
    </row>
    <row r="3842" spans="1:10" hidden="1">
      <c r="A3842" t="s">
        <v>2608</v>
      </c>
      <c r="B3842" t="s">
        <v>2609</v>
      </c>
      <c r="C3842" t="s">
        <v>235</v>
      </c>
      <c r="D3842" t="s">
        <v>1148</v>
      </c>
      <c r="E3842" t="s">
        <v>560</v>
      </c>
      <c r="F3842" t="s">
        <v>1068</v>
      </c>
      <c r="G3842" t="s">
        <v>1069</v>
      </c>
      <c r="H3842">
        <v>-7.3484390973274194E-2</v>
      </c>
      <c r="I3842" t="s">
        <v>1070</v>
      </c>
      <c r="J3842">
        <v>8.1</v>
      </c>
    </row>
    <row r="3843" spans="1:10" hidden="1">
      <c r="A3843" t="s">
        <v>2608</v>
      </c>
      <c r="B3843" t="s">
        <v>2609</v>
      </c>
      <c r="C3843" t="s">
        <v>235</v>
      </c>
      <c r="D3843" t="s">
        <v>1148</v>
      </c>
      <c r="E3843" t="s">
        <v>560</v>
      </c>
      <c r="F3843" t="s">
        <v>1068</v>
      </c>
      <c r="G3843" t="s">
        <v>1071</v>
      </c>
      <c r="H3843" s="170">
        <v>-1.7095226735946401E-10</v>
      </c>
      <c r="I3843" t="s">
        <v>1072</v>
      </c>
      <c r="J3843">
        <v>8.1</v>
      </c>
    </row>
    <row r="3844" spans="1:10" hidden="1">
      <c r="A3844" t="s">
        <v>2608</v>
      </c>
      <c r="B3844" t="s">
        <v>2609</v>
      </c>
      <c r="C3844" t="s">
        <v>235</v>
      </c>
      <c r="D3844" t="s">
        <v>1148</v>
      </c>
      <c r="E3844" t="s">
        <v>560</v>
      </c>
      <c r="F3844" t="s">
        <v>1068</v>
      </c>
      <c r="G3844" t="s">
        <v>1073</v>
      </c>
      <c r="H3844" s="170">
        <v>-2.3127746166108199E-8</v>
      </c>
      <c r="I3844" t="s">
        <v>1074</v>
      </c>
      <c r="J3844">
        <v>8.1</v>
      </c>
    </row>
    <row r="3845" spans="1:10" hidden="1">
      <c r="A3845" t="s">
        <v>2608</v>
      </c>
      <c r="B3845" t="s">
        <v>2609</v>
      </c>
      <c r="C3845" t="s">
        <v>235</v>
      </c>
      <c r="D3845" t="s">
        <v>1148</v>
      </c>
      <c r="E3845" t="s">
        <v>560</v>
      </c>
      <c r="F3845" t="s">
        <v>1068</v>
      </c>
      <c r="G3845" t="s">
        <v>1075</v>
      </c>
      <c r="H3845">
        <v>3.6273302101010301E-4</v>
      </c>
      <c r="I3845" t="s">
        <v>1077</v>
      </c>
      <c r="J3845">
        <v>8.1</v>
      </c>
    </row>
    <row r="3846" spans="1:10" hidden="1">
      <c r="A3846" t="s">
        <v>2608</v>
      </c>
      <c r="B3846" t="s">
        <v>2609</v>
      </c>
      <c r="C3846" t="s">
        <v>235</v>
      </c>
      <c r="D3846" t="s">
        <v>1148</v>
      </c>
      <c r="E3846" t="s">
        <v>560</v>
      </c>
      <c r="F3846" t="s">
        <v>1068</v>
      </c>
      <c r="G3846" t="s">
        <v>1078</v>
      </c>
      <c r="H3846">
        <v>-0.37846309713520798</v>
      </c>
      <c r="I3846" t="s">
        <v>1079</v>
      </c>
      <c r="J3846">
        <v>8.1</v>
      </c>
    </row>
    <row r="3847" spans="1:10" hidden="1">
      <c r="A3847" t="s">
        <v>2608</v>
      </c>
      <c r="B3847" t="s">
        <v>2609</v>
      </c>
      <c r="C3847" t="s">
        <v>235</v>
      </c>
      <c r="D3847" t="s">
        <v>1148</v>
      </c>
      <c r="E3847" t="s">
        <v>560</v>
      </c>
      <c r="F3847" t="s">
        <v>1068</v>
      </c>
      <c r="G3847" t="s">
        <v>1080</v>
      </c>
      <c r="H3847" s="171" t="s">
        <v>2610</v>
      </c>
      <c r="I3847" t="s">
        <v>1082</v>
      </c>
      <c r="J3847">
        <v>8.1</v>
      </c>
    </row>
    <row r="3848" spans="1:10" hidden="1">
      <c r="A3848" t="s">
        <v>2608</v>
      </c>
      <c r="B3848" t="s">
        <v>2609</v>
      </c>
      <c r="C3848" t="s">
        <v>235</v>
      </c>
      <c r="D3848" t="s">
        <v>1148</v>
      </c>
      <c r="E3848" t="s">
        <v>560</v>
      </c>
      <c r="F3848" t="s">
        <v>1068</v>
      </c>
      <c r="G3848" t="s">
        <v>1083</v>
      </c>
      <c r="H3848" s="170">
        <v>-1.78601173118318E-5</v>
      </c>
      <c r="I3848" t="s">
        <v>1084</v>
      </c>
      <c r="J3848">
        <v>8.1</v>
      </c>
    </row>
    <row r="3849" spans="1:10" hidden="1">
      <c r="A3849" t="s">
        <v>2608</v>
      </c>
      <c r="B3849" t="s">
        <v>2609</v>
      </c>
      <c r="C3849" t="s">
        <v>235</v>
      </c>
      <c r="D3849" t="s">
        <v>1148</v>
      </c>
      <c r="E3849" t="s">
        <v>560</v>
      </c>
      <c r="F3849" t="s">
        <v>1068</v>
      </c>
      <c r="G3849" t="s">
        <v>1085</v>
      </c>
      <c r="H3849">
        <v>-1.4516149449304199E-4</v>
      </c>
      <c r="I3849" t="s">
        <v>1086</v>
      </c>
      <c r="J3849">
        <v>8.1</v>
      </c>
    </row>
    <row r="3850" spans="1:10" hidden="1">
      <c r="A3850" t="s">
        <v>2608</v>
      </c>
      <c r="B3850" t="s">
        <v>2609</v>
      </c>
      <c r="C3850" t="s">
        <v>235</v>
      </c>
      <c r="D3850" t="s">
        <v>1148</v>
      </c>
      <c r="E3850" t="s">
        <v>560</v>
      </c>
      <c r="F3850" t="s">
        <v>1068</v>
      </c>
      <c r="G3850" t="s">
        <v>1087</v>
      </c>
      <c r="H3850" s="170">
        <v>-6.8010279205633995E-8</v>
      </c>
      <c r="I3850" t="s">
        <v>1088</v>
      </c>
      <c r="J3850">
        <v>8.1</v>
      </c>
    </row>
    <row r="3851" spans="1:10" hidden="1">
      <c r="A3851" t="s">
        <v>2608</v>
      </c>
      <c r="B3851" t="s">
        <v>2609</v>
      </c>
      <c r="C3851" t="s">
        <v>235</v>
      </c>
      <c r="D3851" t="s">
        <v>1148</v>
      </c>
      <c r="E3851" t="s">
        <v>560</v>
      </c>
      <c r="F3851" t="s">
        <v>1068</v>
      </c>
      <c r="G3851" t="s">
        <v>1089</v>
      </c>
      <c r="H3851" s="170">
        <v>-1.8643680330908899E-5</v>
      </c>
      <c r="I3851" t="s">
        <v>1090</v>
      </c>
      <c r="J3851">
        <v>8.1</v>
      </c>
    </row>
    <row r="3852" spans="1:10" hidden="1">
      <c r="A3852" t="s">
        <v>2611</v>
      </c>
      <c r="B3852" t="s">
        <v>2612</v>
      </c>
      <c r="C3852" t="s">
        <v>235</v>
      </c>
      <c r="D3852" t="s">
        <v>1148</v>
      </c>
      <c r="E3852" t="s">
        <v>1116</v>
      </c>
      <c r="F3852" t="s">
        <v>1068</v>
      </c>
      <c r="G3852" t="s">
        <v>1069</v>
      </c>
      <c r="H3852">
        <v>-6.3920813350784395E-2</v>
      </c>
      <c r="I3852" t="s">
        <v>1070</v>
      </c>
      <c r="J3852">
        <v>7.4</v>
      </c>
    </row>
    <row r="3853" spans="1:10" hidden="1">
      <c r="A3853" t="s">
        <v>2611</v>
      </c>
      <c r="B3853" t="s">
        <v>2612</v>
      </c>
      <c r="C3853" t="s">
        <v>235</v>
      </c>
      <c r="D3853" t="s">
        <v>1148</v>
      </c>
      <c r="E3853" t="s">
        <v>1116</v>
      </c>
      <c r="F3853" t="s">
        <v>1068</v>
      </c>
      <c r="G3853" t="s">
        <v>1071</v>
      </c>
      <c r="H3853" s="170">
        <v>-1.57266678977963E-10</v>
      </c>
      <c r="I3853" t="s">
        <v>1072</v>
      </c>
      <c r="J3853">
        <v>7.4</v>
      </c>
    </row>
    <row r="3854" spans="1:10" hidden="1">
      <c r="A3854" t="s">
        <v>2611</v>
      </c>
      <c r="B3854" t="s">
        <v>2612</v>
      </c>
      <c r="C3854" t="s">
        <v>235</v>
      </c>
      <c r="D3854" t="s">
        <v>1148</v>
      </c>
      <c r="E3854" t="s">
        <v>1116</v>
      </c>
      <c r="F3854" t="s">
        <v>1068</v>
      </c>
      <c r="G3854" t="s">
        <v>1073</v>
      </c>
      <c r="H3854" s="170">
        <v>-1.9730733133597799E-8</v>
      </c>
      <c r="I3854" t="s">
        <v>1074</v>
      </c>
      <c r="J3854">
        <v>7.4</v>
      </c>
    </row>
    <row r="3855" spans="1:10" hidden="1">
      <c r="A3855" t="s">
        <v>2611</v>
      </c>
      <c r="B3855" t="s">
        <v>2612</v>
      </c>
      <c r="C3855" t="s">
        <v>235</v>
      </c>
      <c r="D3855" t="s">
        <v>1148</v>
      </c>
      <c r="E3855" t="s">
        <v>1116</v>
      </c>
      <c r="F3855" t="s">
        <v>1068</v>
      </c>
      <c r="G3855" t="s">
        <v>1075</v>
      </c>
      <c r="H3855">
        <v>6.65047926135025E-4</v>
      </c>
      <c r="I3855" t="s">
        <v>1077</v>
      </c>
      <c r="J3855">
        <v>7.4</v>
      </c>
    </row>
    <row r="3856" spans="1:10" hidden="1">
      <c r="A3856" t="s">
        <v>2611</v>
      </c>
      <c r="B3856" t="s">
        <v>2612</v>
      </c>
      <c r="C3856" t="s">
        <v>235</v>
      </c>
      <c r="D3856" t="s">
        <v>1148</v>
      </c>
      <c r="E3856" t="s">
        <v>1116</v>
      </c>
      <c r="F3856" t="s">
        <v>1068</v>
      </c>
      <c r="G3856" t="s">
        <v>1078</v>
      </c>
      <c r="H3856">
        <v>-0.36538983448988699</v>
      </c>
      <c r="I3856" t="s">
        <v>1079</v>
      </c>
      <c r="J3856">
        <v>7.4</v>
      </c>
    </row>
    <row r="3857" spans="1:10" hidden="1">
      <c r="A3857" t="s">
        <v>2611</v>
      </c>
      <c r="B3857" t="s">
        <v>2612</v>
      </c>
      <c r="C3857" t="s">
        <v>235</v>
      </c>
      <c r="D3857" t="s">
        <v>1148</v>
      </c>
      <c r="E3857" t="s">
        <v>1116</v>
      </c>
      <c r="F3857" t="s">
        <v>1068</v>
      </c>
      <c r="G3857" t="s">
        <v>1080</v>
      </c>
      <c r="H3857" s="171" t="s">
        <v>2613</v>
      </c>
      <c r="I3857" t="s">
        <v>1082</v>
      </c>
      <c r="J3857">
        <v>7.4</v>
      </c>
    </row>
    <row r="3858" spans="1:10" hidden="1">
      <c r="A3858" t="s">
        <v>2611</v>
      </c>
      <c r="B3858" t="s">
        <v>2612</v>
      </c>
      <c r="C3858" t="s">
        <v>235</v>
      </c>
      <c r="D3858" t="s">
        <v>1148</v>
      </c>
      <c r="E3858" t="s">
        <v>1116</v>
      </c>
      <c r="F3858" t="s">
        <v>1068</v>
      </c>
      <c r="G3858" t="s">
        <v>1083</v>
      </c>
      <c r="H3858" s="170">
        <v>-1.6406447321184398E-5</v>
      </c>
      <c r="I3858" t="s">
        <v>1084</v>
      </c>
      <c r="J3858">
        <v>7.4</v>
      </c>
    </row>
    <row r="3859" spans="1:10" hidden="1">
      <c r="A3859" t="s">
        <v>2611</v>
      </c>
      <c r="B3859" t="s">
        <v>2612</v>
      </c>
      <c r="C3859" t="s">
        <v>235</v>
      </c>
      <c r="D3859" t="s">
        <v>1148</v>
      </c>
      <c r="E3859" t="s">
        <v>1116</v>
      </c>
      <c r="F3859" t="s">
        <v>1068</v>
      </c>
      <c r="G3859" t="s">
        <v>1085</v>
      </c>
      <c r="H3859">
        <v>-1.2873207326913699E-4</v>
      </c>
      <c r="I3859" t="s">
        <v>1086</v>
      </c>
      <c r="J3859">
        <v>7.4</v>
      </c>
    </row>
    <row r="3860" spans="1:10" hidden="1">
      <c r="A3860" t="s">
        <v>2611</v>
      </c>
      <c r="B3860" t="s">
        <v>2612</v>
      </c>
      <c r="C3860" t="s">
        <v>235</v>
      </c>
      <c r="D3860" t="s">
        <v>1148</v>
      </c>
      <c r="E3860" t="s">
        <v>1116</v>
      </c>
      <c r="F3860" t="s">
        <v>1068</v>
      </c>
      <c r="G3860" t="s">
        <v>1087</v>
      </c>
      <c r="H3860" s="170">
        <v>-6.0081365505995295E-8</v>
      </c>
      <c r="I3860" t="s">
        <v>1088</v>
      </c>
      <c r="J3860">
        <v>7.4</v>
      </c>
    </row>
    <row r="3861" spans="1:10" hidden="1">
      <c r="A3861" t="s">
        <v>2611</v>
      </c>
      <c r="B3861" t="s">
        <v>2612</v>
      </c>
      <c r="C3861" t="s">
        <v>235</v>
      </c>
      <c r="D3861" t="s">
        <v>1148</v>
      </c>
      <c r="E3861" t="s">
        <v>1116</v>
      </c>
      <c r="F3861" t="s">
        <v>1068</v>
      </c>
      <c r="G3861" t="s">
        <v>1089</v>
      </c>
      <c r="H3861" s="170">
        <v>-1.5254323176188E-5</v>
      </c>
      <c r="I3861" t="s">
        <v>1090</v>
      </c>
      <c r="J3861">
        <v>7.4</v>
      </c>
    </row>
    <row r="3862" spans="1:10" hidden="1">
      <c r="A3862" t="s">
        <v>2614</v>
      </c>
      <c r="B3862" t="s">
        <v>2615</v>
      </c>
      <c r="C3862" t="s">
        <v>235</v>
      </c>
      <c r="D3862" t="s">
        <v>1179</v>
      </c>
      <c r="E3862" t="s">
        <v>561</v>
      </c>
      <c r="F3862" t="s">
        <v>1068</v>
      </c>
      <c r="G3862" t="s">
        <v>1069</v>
      </c>
      <c r="H3862">
        <v>-2.8505043683816698E-2</v>
      </c>
      <c r="I3862" t="s">
        <v>1070</v>
      </c>
      <c r="J3862">
        <v>7.98</v>
      </c>
    </row>
    <row r="3863" spans="1:10" hidden="1">
      <c r="A3863" t="s">
        <v>2614</v>
      </c>
      <c r="B3863" t="s">
        <v>2615</v>
      </c>
      <c r="C3863" t="s">
        <v>235</v>
      </c>
      <c r="D3863" t="s">
        <v>1179</v>
      </c>
      <c r="E3863" t="s">
        <v>561</v>
      </c>
      <c r="F3863" t="s">
        <v>1068</v>
      </c>
      <c r="G3863" t="s">
        <v>1071</v>
      </c>
      <c r="H3863" s="170">
        <v>-1.07426300305149E-10</v>
      </c>
      <c r="I3863" t="s">
        <v>1072</v>
      </c>
      <c r="J3863">
        <v>7.98</v>
      </c>
    </row>
    <row r="3864" spans="1:10" hidden="1">
      <c r="A3864" t="s">
        <v>2614</v>
      </c>
      <c r="B3864" t="s">
        <v>2615</v>
      </c>
      <c r="C3864" t="s">
        <v>235</v>
      </c>
      <c r="D3864" t="s">
        <v>1179</v>
      </c>
      <c r="E3864" t="s">
        <v>561</v>
      </c>
      <c r="F3864" t="s">
        <v>1068</v>
      </c>
      <c r="G3864" t="s">
        <v>1073</v>
      </c>
      <c r="H3864" s="170">
        <v>-6.9897381170402797E-9</v>
      </c>
      <c r="I3864" t="s">
        <v>1074</v>
      </c>
      <c r="J3864">
        <v>7.98</v>
      </c>
    </row>
    <row r="3865" spans="1:10" hidden="1">
      <c r="A3865" t="s">
        <v>2614</v>
      </c>
      <c r="B3865" t="s">
        <v>2615</v>
      </c>
      <c r="C3865" t="s">
        <v>235</v>
      </c>
      <c r="D3865" t="s">
        <v>1179</v>
      </c>
      <c r="E3865" t="s">
        <v>561</v>
      </c>
      <c r="F3865" t="s">
        <v>1068</v>
      </c>
      <c r="G3865" t="s">
        <v>1075</v>
      </c>
      <c r="H3865">
        <v>1.25493769315347E-3</v>
      </c>
      <c r="I3865" t="s">
        <v>1077</v>
      </c>
      <c r="J3865">
        <v>7.98</v>
      </c>
    </row>
    <row r="3866" spans="1:10" hidden="1">
      <c r="A3866" t="s">
        <v>2614</v>
      </c>
      <c r="B3866" t="s">
        <v>2615</v>
      </c>
      <c r="C3866" t="s">
        <v>235</v>
      </c>
      <c r="D3866" t="s">
        <v>1179</v>
      </c>
      <c r="E3866" t="s">
        <v>561</v>
      </c>
      <c r="F3866" t="s">
        <v>1068</v>
      </c>
      <c r="G3866" t="s">
        <v>1078</v>
      </c>
      <c r="H3866" s="171" t="s">
        <v>2616</v>
      </c>
      <c r="I3866" t="s">
        <v>1079</v>
      </c>
      <c r="J3866">
        <v>7.98</v>
      </c>
    </row>
    <row r="3867" spans="1:10" hidden="1">
      <c r="A3867" t="s">
        <v>2614</v>
      </c>
      <c r="B3867" t="s">
        <v>2615</v>
      </c>
      <c r="C3867" t="s">
        <v>235</v>
      </c>
      <c r="D3867" t="s">
        <v>1179</v>
      </c>
      <c r="E3867" t="s">
        <v>561</v>
      </c>
      <c r="F3867" t="s">
        <v>1068</v>
      </c>
      <c r="G3867" t="s">
        <v>1080</v>
      </c>
      <c r="H3867" s="171" t="s">
        <v>2617</v>
      </c>
      <c r="I3867" t="s">
        <v>1082</v>
      </c>
      <c r="J3867">
        <v>7.98</v>
      </c>
    </row>
    <row r="3868" spans="1:10" hidden="1">
      <c r="A3868" t="s">
        <v>2614</v>
      </c>
      <c r="B3868" t="s">
        <v>2615</v>
      </c>
      <c r="C3868" t="s">
        <v>235</v>
      </c>
      <c r="D3868" t="s">
        <v>1179</v>
      </c>
      <c r="E3868" t="s">
        <v>561</v>
      </c>
      <c r="F3868" t="s">
        <v>1068</v>
      </c>
      <c r="G3868" t="s">
        <v>1083</v>
      </c>
      <c r="H3868" s="170">
        <v>-1.0923153790806701E-5</v>
      </c>
      <c r="I3868" t="s">
        <v>1084</v>
      </c>
      <c r="J3868">
        <v>7.98</v>
      </c>
    </row>
    <row r="3869" spans="1:10" hidden="1">
      <c r="A3869" t="s">
        <v>2614</v>
      </c>
      <c r="B3869" t="s">
        <v>2615</v>
      </c>
      <c r="C3869" t="s">
        <v>235</v>
      </c>
      <c r="D3869" t="s">
        <v>1179</v>
      </c>
      <c r="E3869" t="s">
        <v>561</v>
      </c>
      <c r="F3869" t="s">
        <v>1068</v>
      </c>
      <c r="G3869" t="s">
        <v>1085</v>
      </c>
      <c r="H3869" s="170">
        <v>-7.0034392603270099E-5</v>
      </c>
      <c r="I3869" t="s">
        <v>1086</v>
      </c>
      <c r="J3869">
        <v>7.98</v>
      </c>
    </row>
    <row r="3870" spans="1:10" hidden="1">
      <c r="A3870" t="s">
        <v>2614</v>
      </c>
      <c r="B3870" t="s">
        <v>2615</v>
      </c>
      <c r="C3870" t="s">
        <v>235</v>
      </c>
      <c r="D3870" t="s">
        <v>1179</v>
      </c>
      <c r="E3870" t="s">
        <v>561</v>
      </c>
      <c r="F3870" t="s">
        <v>1068</v>
      </c>
      <c r="G3870" t="s">
        <v>1087</v>
      </c>
      <c r="H3870" s="171" t="s">
        <v>2618</v>
      </c>
      <c r="I3870" t="s">
        <v>1088</v>
      </c>
      <c r="J3870">
        <v>7.98</v>
      </c>
    </row>
    <row r="3871" spans="1:10" hidden="1">
      <c r="A3871" t="s">
        <v>2614</v>
      </c>
      <c r="B3871" t="s">
        <v>2615</v>
      </c>
      <c r="C3871" t="s">
        <v>235</v>
      </c>
      <c r="D3871" t="s">
        <v>1179</v>
      </c>
      <c r="E3871" t="s">
        <v>561</v>
      </c>
      <c r="F3871" t="s">
        <v>1068</v>
      </c>
      <c r="G3871" t="s">
        <v>1089</v>
      </c>
      <c r="H3871" s="170">
        <v>-2.0929701409460399E-6</v>
      </c>
      <c r="I3871" t="s">
        <v>1090</v>
      </c>
      <c r="J3871">
        <v>7.98</v>
      </c>
    </row>
    <row r="3872" spans="1:10" hidden="1">
      <c r="A3872" t="s">
        <v>2619</v>
      </c>
      <c r="B3872" t="s">
        <v>2620</v>
      </c>
      <c r="C3872" t="s">
        <v>235</v>
      </c>
      <c r="D3872" t="s">
        <v>1179</v>
      </c>
      <c r="E3872" t="s">
        <v>555</v>
      </c>
      <c r="F3872" t="s">
        <v>1068</v>
      </c>
      <c r="G3872" t="s">
        <v>1069</v>
      </c>
      <c r="H3872">
        <v>-4.0662278662842298E-2</v>
      </c>
      <c r="I3872" t="s">
        <v>1070</v>
      </c>
      <c r="J3872">
        <v>7.26</v>
      </c>
    </row>
    <row r="3873" spans="1:10" hidden="1">
      <c r="A3873" t="s">
        <v>2619</v>
      </c>
      <c r="B3873" t="s">
        <v>2620</v>
      </c>
      <c r="C3873" t="s">
        <v>235</v>
      </c>
      <c r="D3873" t="s">
        <v>1179</v>
      </c>
      <c r="E3873" t="s">
        <v>555</v>
      </c>
      <c r="F3873" t="s">
        <v>1068</v>
      </c>
      <c r="G3873" t="s">
        <v>1071</v>
      </c>
      <c r="H3873" s="170">
        <v>-1.2463300056316799E-10</v>
      </c>
      <c r="I3873" t="s">
        <v>1072</v>
      </c>
      <c r="J3873">
        <v>7.26</v>
      </c>
    </row>
    <row r="3874" spans="1:10" hidden="1">
      <c r="A3874" t="s">
        <v>2619</v>
      </c>
      <c r="B3874" t="s">
        <v>2620</v>
      </c>
      <c r="C3874" t="s">
        <v>235</v>
      </c>
      <c r="D3874" t="s">
        <v>1179</v>
      </c>
      <c r="E3874" t="s">
        <v>555</v>
      </c>
      <c r="F3874" t="s">
        <v>1068</v>
      </c>
      <c r="G3874" t="s">
        <v>1073</v>
      </c>
      <c r="H3874" s="170">
        <v>-1.13040614891055E-8</v>
      </c>
      <c r="I3874" t="s">
        <v>1074</v>
      </c>
      <c r="J3874">
        <v>7.26</v>
      </c>
    </row>
    <row r="3875" spans="1:10" hidden="1">
      <c r="A3875" t="s">
        <v>2619</v>
      </c>
      <c r="B3875" t="s">
        <v>2620</v>
      </c>
      <c r="C3875" t="s">
        <v>235</v>
      </c>
      <c r="D3875" t="s">
        <v>1179</v>
      </c>
      <c r="E3875" t="s">
        <v>555</v>
      </c>
      <c r="F3875" t="s">
        <v>1068</v>
      </c>
      <c r="G3875" t="s">
        <v>1075</v>
      </c>
      <c r="H3875">
        <v>9.5547913767157896E-4</v>
      </c>
      <c r="I3875" t="s">
        <v>1077</v>
      </c>
      <c r="J3875">
        <v>7.26</v>
      </c>
    </row>
    <row r="3876" spans="1:10" hidden="1">
      <c r="A3876" t="s">
        <v>2619</v>
      </c>
      <c r="B3876" t="s">
        <v>2620</v>
      </c>
      <c r="C3876" t="s">
        <v>235</v>
      </c>
      <c r="D3876" t="s">
        <v>1179</v>
      </c>
      <c r="E3876" t="s">
        <v>555</v>
      </c>
      <c r="F3876" t="s">
        <v>1068</v>
      </c>
      <c r="G3876" t="s">
        <v>1078</v>
      </c>
      <c r="H3876" s="171" t="s">
        <v>2621</v>
      </c>
      <c r="I3876" t="s">
        <v>1079</v>
      </c>
      <c r="J3876">
        <v>7.26</v>
      </c>
    </row>
    <row r="3877" spans="1:10" hidden="1">
      <c r="A3877" t="s">
        <v>2619</v>
      </c>
      <c r="B3877" t="s">
        <v>2620</v>
      </c>
      <c r="C3877" t="s">
        <v>235</v>
      </c>
      <c r="D3877" t="s">
        <v>1179</v>
      </c>
      <c r="E3877" t="s">
        <v>555</v>
      </c>
      <c r="F3877" t="s">
        <v>1068</v>
      </c>
      <c r="G3877" t="s">
        <v>1080</v>
      </c>
      <c r="H3877" s="171" t="s">
        <v>2622</v>
      </c>
      <c r="I3877" t="s">
        <v>1082</v>
      </c>
      <c r="J3877">
        <v>7.26</v>
      </c>
    </row>
    <row r="3878" spans="1:10" hidden="1">
      <c r="A3878" t="s">
        <v>2619</v>
      </c>
      <c r="B3878" t="s">
        <v>2620</v>
      </c>
      <c r="C3878" t="s">
        <v>235</v>
      </c>
      <c r="D3878" t="s">
        <v>1179</v>
      </c>
      <c r="E3878" t="s">
        <v>555</v>
      </c>
      <c r="F3878" t="s">
        <v>1068</v>
      </c>
      <c r="G3878" t="s">
        <v>1083</v>
      </c>
      <c r="H3878" s="170">
        <v>-1.2771905630794E-5</v>
      </c>
      <c r="I3878" t="s">
        <v>1084</v>
      </c>
      <c r="J3878">
        <v>7.26</v>
      </c>
    </row>
    <row r="3879" spans="1:10" hidden="1">
      <c r="A3879" t="s">
        <v>2619</v>
      </c>
      <c r="B3879" t="s">
        <v>2620</v>
      </c>
      <c r="C3879" t="s">
        <v>235</v>
      </c>
      <c r="D3879" t="s">
        <v>1179</v>
      </c>
      <c r="E3879" t="s">
        <v>555</v>
      </c>
      <c r="F3879" t="s">
        <v>1068</v>
      </c>
      <c r="G3879" t="s">
        <v>1085</v>
      </c>
      <c r="H3879" s="170">
        <v>-9.0482195750373802E-5</v>
      </c>
      <c r="I3879" t="s">
        <v>1086</v>
      </c>
      <c r="J3879">
        <v>7.26</v>
      </c>
    </row>
    <row r="3880" spans="1:10" hidden="1">
      <c r="A3880" t="s">
        <v>2619</v>
      </c>
      <c r="B3880" t="s">
        <v>2620</v>
      </c>
      <c r="C3880" t="s">
        <v>235</v>
      </c>
      <c r="D3880" t="s">
        <v>1179</v>
      </c>
      <c r="E3880" t="s">
        <v>555</v>
      </c>
      <c r="F3880" t="s">
        <v>1068</v>
      </c>
      <c r="G3880" t="s">
        <v>1087</v>
      </c>
      <c r="H3880" s="171" t="s">
        <v>2623</v>
      </c>
      <c r="I3880" t="s">
        <v>1088</v>
      </c>
      <c r="J3880">
        <v>7.26</v>
      </c>
    </row>
    <row r="3881" spans="1:10" hidden="1">
      <c r="A3881" t="s">
        <v>2619</v>
      </c>
      <c r="B3881" t="s">
        <v>2620</v>
      </c>
      <c r="C3881" t="s">
        <v>235</v>
      </c>
      <c r="D3881" t="s">
        <v>1179</v>
      </c>
      <c r="E3881" t="s">
        <v>555</v>
      </c>
      <c r="F3881" t="s">
        <v>1068</v>
      </c>
      <c r="G3881" t="s">
        <v>1089</v>
      </c>
      <c r="H3881" s="170">
        <v>-6.3960704185241403E-6</v>
      </c>
      <c r="I3881" t="s">
        <v>1090</v>
      </c>
      <c r="J3881">
        <v>7.26</v>
      </c>
    </row>
    <row r="3882" spans="1:10" hidden="1">
      <c r="A3882" t="s">
        <v>2624</v>
      </c>
      <c r="B3882" t="s">
        <v>2625</v>
      </c>
      <c r="C3882" t="s">
        <v>235</v>
      </c>
      <c r="D3882" t="s">
        <v>1179</v>
      </c>
      <c r="E3882" t="s">
        <v>558</v>
      </c>
      <c r="F3882" t="s">
        <v>1068</v>
      </c>
      <c r="G3882" t="s">
        <v>1069</v>
      </c>
      <c r="H3882">
        <v>-2.7470618471183698E-2</v>
      </c>
      <c r="I3882" t="s">
        <v>1070</v>
      </c>
      <c r="J3882">
        <v>7.3</v>
      </c>
    </row>
    <row r="3883" spans="1:10" hidden="1">
      <c r="A3883" t="s">
        <v>2624</v>
      </c>
      <c r="B3883" t="s">
        <v>2625</v>
      </c>
      <c r="C3883" t="s">
        <v>235</v>
      </c>
      <c r="D3883" t="s">
        <v>1179</v>
      </c>
      <c r="E3883" t="s">
        <v>558</v>
      </c>
      <c r="F3883" t="s">
        <v>1068</v>
      </c>
      <c r="G3883" t="s">
        <v>1071</v>
      </c>
      <c r="H3883" s="170">
        <v>-1.05946026057335E-10</v>
      </c>
      <c r="I3883" t="s">
        <v>1072</v>
      </c>
      <c r="J3883">
        <v>7.3</v>
      </c>
    </row>
    <row r="3884" spans="1:10" hidden="1">
      <c r="A3884" t="s">
        <v>2624</v>
      </c>
      <c r="B3884" t="s">
        <v>2625</v>
      </c>
      <c r="C3884" t="s">
        <v>235</v>
      </c>
      <c r="D3884" t="s">
        <v>1179</v>
      </c>
      <c r="E3884" t="s">
        <v>558</v>
      </c>
      <c r="F3884" t="s">
        <v>1068</v>
      </c>
      <c r="G3884" t="s">
        <v>1073</v>
      </c>
      <c r="H3884" s="170">
        <v>-6.6223070083923602E-9</v>
      </c>
      <c r="I3884" t="s">
        <v>1074</v>
      </c>
      <c r="J3884">
        <v>7.3</v>
      </c>
    </row>
    <row r="3885" spans="1:10" hidden="1">
      <c r="A3885" t="s">
        <v>2624</v>
      </c>
      <c r="B3885" t="s">
        <v>2625</v>
      </c>
      <c r="C3885" t="s">
        <v>235</v>
      </c>
      <c r="D3885" t="s">
        <v>1179</v>
      </c>
      <c r="E3885" t="s">
        <v>558</v>
      </c>
      <c r="F3885" t="s">
        <v>1068</v>
      </c>
      <c r="G3885" t="s">
        <v>1075</v>
      </c>
      <c r="H3885">
        <v>1.28763697916968E-3</v>
      </c>
      <c r="I3885" t="s">
        <v>1077</v>
      </c>
      <c r="J3885">
        <v>7.3</v>
      </c>
    </row>
    <row r="3886" spans="1:10" hidden="1">
      <c r="A3886" t="s">
        <v>2624</v>
      </c>
      <c r="B3886" t="s">
        <v>2625</v>
      </c>
      <c r="C3886" t="s">
        <v>235</v>
      </c>
      <c r="D3886" t="s">
        <v>1179</v>
      </c>
      <c r="E3886" t="s">
        <v>558</v>
      </c>
      <c r="F3886" t="s">
        <v>1068</v>
      </c>
      <c r="G3886" t="s">
        <v>1078</v>
      </c>
      <c r="H3886" s="171" t="s">
        <v>2626</v>
      </c>
      <c r="I3886" t="s">
        <v>1079</v>
      </c>
      <c r="J3886">
        <v>7.3</v>
      </c>
    </row>
    <row r="3887" spans="1:10" hidden="1">
      <c r="A3887" t="s">
        <v>2624</v>
      </c>
      <c r="B3887" t="s">
        <v>2625</v>
      </c>
      <c r="C3887" t="s">
        <v>235</v>
      </c>
      <c r="D3887" t="s">
        <v>1179</v>
      </c>
      <c r="E3887" t="s">
        <v>558</v>
      </c>
      <c r="F3887" t="s">
        <v>1068</v>
      </c>
      <c r="G3887" t="s">
        <v>1080</v>
      </c>
      <c r="H3887" s="171" t="s">
        <v>2627</v>
      </c>
      <c r="I3887" t="s">
        <v>1082</v>
      </c>
      <c r="J3887">
        <v>7.3</v>
      </c>
    </row>
    <row r="3888" spans="1:10" hidden="1">
      <c r="A3888" t="s">
        <v>2624</v>
      </c>
      <c r="B3888" t="s">
        <v>2625</v>
      </c>
      <c r="C3888" t="s">
        <v>235</v>
      </c>
      <c r="D3888" t="s">
        <v>1179</v>
      </c>
      <c r="E3888" t="s">
        <v>558</v>
      </c>
      <c r="F3888" t="s">
        <v>1068</v>
      </c>
      <c r="G3888" t="s">
        <v>1083</v>
      </c>
      <c r="H3888" s="170">
        <v>-1.07659204887381E-5</v>
      </c>
      <c r="I3888" t="s">
        <v>1084</v>
      </c>
      <c r="J3888">
        <v>7.3</v>
      </c>
    </row>
    <row r="3889" spans="1:10" hidden="1">
      <c r="A3889" t="s">
        <v>2624</v>
      </c>
      <c r="B3889" t="s">
        <v>2625</v>
      </c>
      <c r="C3889" t="s">
        <v>235</v>
      </c>
      <c r="D3889" t="s">
        <v>1179</v>
      </c>
      <c r="E3889" t="s">
        <v>558</v>
      </c>
      <c r="F3889" t="s">
        <v>1068</v>
      </c>
      <c r="G3889" t="s">
        <v>1085</v>
      </c>
      <c r="H3889" s="170">
        <v>-6.8257337173405699E-5</v>
      </c>
      <c r="I3889" t="s">
        <v>1086</v>
      </c>
      <c r="J3889">
        <v>7.3</v>
      </c>
    </row>
    <row r="3890" spans="1:10" hidden="1">
      <c r="A3890" t="s">
        <v>2624</v>
      </c>
      <c r="B3890" t="s">
        <v>2625</v>
      </c>
      <c r="C3890" t="s">
        <v>235</v>
      </c>
      <c r="D3890" t="s">
        <v>1179</v>
      </c>
      <c r="E3890" t="s">
        <v>558</v>
      </c>
      <c r="F3890" t="s">
        <v>1068</v>
      </c>
      <c r="G3890" t="s">
        <v>1087</v>
      </c>
      <c r="H3890" s="171" t="s">
        <v>2628</v>
      </c>
      <c r="I3890" t="s">
        <v>1088</v>
      </c>
      <c r="J3890">
        <v>7.3</v>
      </c>
    </row>
    <row r="3891" spans="1:10" hidden="1">
      <c r="A3891" t="s">
        <v>2624</v>
      </c>
      <c r="B3891" t="s">
        <v>2625</v>
      </c>
      <c r="C3891" t="s">
        <v>235</v>
      </c>
      <c r="D3891" t="s">
        <v>1179</v>
      </c>
      <c r="E3891" t="s">
        <v>558</v>
      </c>
      <c r="F3891" t="s">
        <v>1068</v>
      </c>
      <c r="G3891" t="s">
        <v>1089</v>
      </c>
      <c r="H3891" s="170">
        <v>-1.72636711498049E-6</v>
      </c>
      <c r="I3891" t="s">
        <v>1090</v>
      </c>
      <c r="J3891">
        <v>7.3</v>
      </c>
    </row>
    <row r="3892" spans="1:10" hidden="1">
      <c r="A3892" t="s">
        <v>2629</v>
      </c>
      <c r="B3892" t="s">
        <v>2630</v>
      </c>
      <c r="C3892" t="s">
        <v>235</v>
      </c>
      <c r="D3892" t="s">
        <v>1179</v>
      </c>
      <c r="E3892" t="s">
        <v>553</v>
      </c>
      <c r="F3892" t="s">
        <v>1068</v>
      </c>
      <c r="G3892" t="s">
        <v>1069</v>
      </c>
      <c r="H3892">
        <v>-2.68724095290978E-2</v>
      </c>
      <c r="I3892" t="s">
        <v>1070</v>
      </c>
      <c r="J3892">
        <v>7.27</v>
      </c>
    </row>
    <row r="3893" spans="1:10" hidden="1">
      <c r="A3893" t="s">
        <v>2629</v>
      </c>
      <c r="B3893" t="s">
        <v>2630</v>
      </c>
      <c r="C3893" t="s">
        <v>235</v>
      </c>
      <c r="D3893" t="s">
        <v>1179</v>
      </c>
      <c r="E3893" t="s">
        <v>553</v>
      </c>
      <c r="F3893" t="s">
        <v>1068</v>
      </c>
      <c r="G3893" t="s">
        <v>1071</v>
      </c>
      <c r="H3893" s="170">
        <v>-1.0489954094703101E-10</v>
      </c>
      <c r="I3893" t="s">
        <v>1072</v>
      </c>
      <c r="J3893">
        <v>7.27</v>
      </c>
    </row>
    <row r="3894" spans="1:10" hidden="1">
      <c r="A3894" t="s">
        <v>2629</v>
      </c>
      <c r="B3894" t="s">
        <v>2630</v>
      </c>
      <c r="C3894" t="s">
        <v>235</v>
      </c>
      <c r="D3894" t="s">
        <v>1179</v>
      </c>
      <c r="E3894" t="s">
        <v>553</v>
      </c>
      <c r="F3894" t="s">
        <v>1068</v>
      </c>
      <c r="G3894" t="s">
        <v>1073</v>
      </c>
      <c r="H3894" s="170">
        <v>-6.4058563389969602E-9</v>
      </c>
      <c r="I3894" t="s">
        <v>1074</v>
      </c>
      <c r="J3894">
        <v>7.27</v>
      </c>
    </row>
    <row r="3895" spans="1:10" hidden="1">
      <c r="A3895" t="s">
        <v>2629</v>
      </c>
      <c r="B3895" t="s">
        <v>2630</v>
      </c>
      <c r="C3895" t="s">
        <v>235</v>
      </c>
      <c r="D3895" t="s">
        <v>1179</v>
      </c>
      <c r="E3895" t="s">
        <v>553</v>
      </c>
      <c r="F3895" t="s">
        <v>1068</v>
      </c>
      <c r="G3895" t="s">
        <v>1075</v>
      </c>
      <c r="H3895">
        <v>1.39139163228546E-3</v>
      </c>
      <c r="I3895" t="s">
        <v>1077</v>
      </c>
      <c r="J3895">
        <v>7.27</v>
      </c>
    </row>
    <row r="3896" spans="1:10" hidden="1">
      <c r="A3896" t="s">
        <v>2629</v>
      </c>
      <c r="B3896" t="s">
        <v>2630</v>
      </c>
      <c r="C3896" t="s">
        <v>235</v>
      </c>
      <c r="D3896" t="s">
        <v>1179</v>
      </c>
      <c r="E3896" t="s">
        <v>553</v>
      </c>
      <c r="F3896" t="s">
        <v>1068</v>
      </c>
      <c r="G3896" t="s">
        <v>1078</v>
      </c>
      <c r="H3896" s="171" t="s">
        <v>2631</v>
      </c>
      <c r="I3896" t="s">
        <v>1079</v>
      </c>
      <c r="J3896">
        <v>7.27</v>
      </c>
    </row>
    <row r="3897" spans="1:10" hidden="1">
      <c r="A3897" t="s">
        <v>2629</v>
      </c>
      <c r="B3897" t="s">
        <v>2630</v>
      </c>
      <c r="C3897" t="s">
        <v>235</v>
      </c>
      <c r="D3897" t="s">
        <v>1179</v>
      </c>
      <c r="E3897" t="s">
        <v>553</v>
      </c>
      <c r="F3897" t="s">
        <v>1068</v>
      </c>
      <c r="G3897" t="s">
        <v>1080</v>
      </c>
      <c r="H3897" s="171" t="s">
        <v>2632</v>
      </c>
      <c r="I3897" t="s">
        <v>1082</v>
      </c>
      <c r="J3897">
        <v>7.27</v>
      </c>
    </row>
    <row r="3898" spans="1:10" hidden="1">
      <c r="A3898" t="s">
        <v>2629</v>
      </c>
      <c r="B3898" t="s">
        <v>2630</v>
      </c>
      <c r="C3898" t="s">
        <v>235</v>
      </c>
      <c r="D3898" t="s">
        <v>1179</v>
      </c>
      <c r="E3898" t="s">
        <v>553</v>
      </c>
      <c r="F3898" t="s">
        <v>1068</v>
      </c>
      <c r="G3898" t="s">
        <v>1083</v>
      </c>
      <c r="H3898" s="170">
        <v>-1.06758365940834E-5</v>
      </c>
      <c r="I3898" t="s">
        <v>1084</v>
      </c>
      <c r="J3898">
        <v>7.27</v>
      </c>
    </row>
    <row r="3899" spans="1:10" hidden="1">
      <c r="A3899" t="s">
        <v>2629</v>
      </c>
      <c r="B3899" t="s">
        <v>2630</v>
      </c>
      <c r="C3899" t="s">
        <v>235</v>
      </c>
      <c r="D3899" t="s">
        <v>1179</v>
      </c>
      <c r="E3899" t="s">
        <v>553</v>
      </c>
      <c r="F3899" t="s">
        <v>1068</v>
      </c>
      <c r="G3899" t="s">
        <v>1085</v>
      </c>
      <c r="H3899" s="170">
        <v>-6.6792361510095602E-5</v>
      </c>
      <c r="I3899" t="s">
        <v>1086</v>
      </c>
      <c r="J3899">
        <v>7.27</v>
      </c>
    </row>
    <row r="3900" spans="1:10" hidden="1">
      <c r="A3900" t="s">
        <v>2629</v>
      </c>
      <c r="B3900" t="s">
        <v>2630</v>
      </c>
      <c r="C3900" t="s">
        <v>235</v>
      </c>
      <c r="D3900" t="s">
        <v>1179</v>
      </c>
      <c r="E3900" t="s">
        <v>553</v>
      </c>
      <c r="F3900" t="s">
        <v>1068</v>
      </c>
      <c r="G3900" t="s">
        <v>1087</v>
      </c>
      <c r="H3900" s="171" t="s">
        <v>2633</v>
      </c>
      <c r="I3900" t="s">
        <v>1088</v>
      </c>
      <c r="J3900">
        <v>7.27</v>
      </c>
    </row>
    <row r="3901" spans="1:10" hidden="1">
      <c r="A3901" t="s">
        <v>2629</v>
      </c>
      <c r="B3901" t="s">
        <v>2630</v>
      </c>
      <c r="C3901" t="s">
        <v>235</v>
      </c>
      <c r="D3901" t="s">
        <v>1179</v>
      </c>
      <c r="E3901" t="s">
        <v>553</v>
      </c>
      <c r="F3901" t="s">
        <v>1068</v>
      </c>
      <c r="G3901" t="s">
        <v>1089</v>
      </c>
      <c r="H3901" s="170">
        <v>-1.50890439592492E-6</v>
      </c>
      <c r="I3901" t="s">
        <v>1090</v>
      </c>
      <c r="J3901">
        <v>7.27</v>
      </c>
    </row>
    <row r="3902" spans="1:10" hidden="1">
      <c r="A3902" t="s">
        <v>2634</v>
      </c>
      <c r="B3902" t="s">
        <v>2635</v>
      </c>
      <c r="C3902" t="s">
        <v>235</v>
      </c>
      <c r="D3902" t="s">
        <v>1179</v>
      </c>
      <c r="E3902" t="s">
        <v>556</v>
      </c>
      <c r="F3902" t="s">
        <v>1068</v>
      </c>
      <c r="G3902" t="s">
        <v>1069</v>
      </c>
      <c r="H3902">
        <v>-2.1085372654182099E-2</v>
      </c>
      <c r="I3902" t="s">
        <v>1070</v>
      </c>
      <c r="J3902">
        <v>7.4</v>
      </c>
    </row>
    <row r="3903" spans="1:10" hidden="1">
      <c r="A3903" t="s">
        <v>2634</v>
      </c>
      <c r="B3903" t="s">
        <v>2635</v>
      </c>
      <c r="C3903" t="s">
        <v>235</v>
      </c>
      <c r="D3903" t="s">
        <v>1179</v>
      </c>
      <c r="E3903" t="s">
        <v>556</v>
      </c>
      <c r="F3903" t="s">
        <v>1068</v>
      </c>
      <c r="G3903" t="s">
        <v>1071</v>
      </c>
      <c r="H3903" s="170">
        <v>-9.5925995917144304E-11</v>
      </c>
      <c r="I3903" t="s">
        <v>1072</v>
      </c>
      <c r="J3903">
        <v>7.4</v>
      </c>
    </row>
    <row r="3904" spans="1:10" hidden="1">
      <c r="A3904" t="s">
        <v>2634</v>
      </c>
      <c r="B3904" t="s">
        <v>2635</v>
      </c>
      <c r="C3904" t="s">
        <v>235</v>
      </c>
      <c r="D3904" t="s">
        <v>1179</v>
      </c>
      <c r="E3904" t="s">
        <v>556</v>
      </c>
      <c r="F3904" t="s">
        <v>1068</v>
      </c>
      <c r="G3904" t="s">
        <v>1073</v>
      </c>
      <c r="H3904" s="170">
        <v>-4.3304624596923001E-9</v>
      </c>
      <c r="I3904" t="s">
        <v>1074</v>
      </c>
      <c r="J3904">
        <v>7.4</v>
      </c>
    </row>
    <row r="3905" spans="1:10" hidden="1">
      <c r="A3905" t="s">
        <v>2634</v>
      </c>
      <c r="B3905" t="s">
        <v>2635</v>
      </c>
      <c r="C3905" t="s">
        <v>235</v>
      </c>
      <c r="D3905" t="s">
        <v>1179</v>
      </c>
      <c r="E3905" t="s">
        <v>556</v>
      </c>
      <c r="F3905" t="s">
        <v>1068</v>
      </c>
      <c r="G3905" t="s">
        <v>1075</v>
      </c>
      <c r="H3905">
        <v>1.87755462714947E-3</v>
      </c>
      <c r="I3905" t="s">
        <v>1077</v>
      </c>
      <c r="J3905">
        <v>7.4</v>
      </c>
    </row>
    <row r="3906" spans="1:10" hidden="1">
      <c r="A3906" t="s">
        <v>2634</v>
      </c>
      <c r="B3906" t="s">
        <v>2635</v>
      </c>
      <c r="C3906" t="s">
        <v>235</v>
      </c>
      <c r="D3906" t="s">
        <v>1179</v>
      </c>
      <c r="E3906" t="s">
        <v>556</v>
      </c>
      <c r="F3906" t="s">
        <v>1068</v>
      </c>
      <c r="G3906" t="s">
        <v>1078</v>
      </c>
      <c r="H3906" s="171" t="s">
        <v>2636</v>
      </c>
      <c r="I3906" t="s">
        <v>1079</v>
      </c>
      <c r="J3906">
        <v>7.4</v>
      </c>
    </row>
    <row r="3907" spans="1:10" hidden="1">
      <c r="A3907" t="s">
        <v>2634</v>
      </c>
      <c r="B3907" t="s">
        <v>2635</v>
      </c>
      <c r="C3907" t="s">
        <v>235</v>
      </c>
      <c r="D3907" t="s">
        <v>1179</v>
      </c>
      <c r="E3907" t="s">
        <v>556</v>
      </c>
      <c r="F3907" t="s">
        <v>1068</v>
      </c>
      <c r="G3907" t="s">
        <v>1080</v>
      </c>
      <c r="H3907" s="171" t="s">
        <v>2637</v>
      </c>
      <c r="I3907" t="s">
        <v>1082</v>
      </c>
      <c r="J3907">
        <v>7.4</v>
      </c>
    </row>
    <row r="3908" spans="1:10" hidden="1">
      <c r="A3908" t="s">
        <v>2634</v>
      </c>
      <c r="B3908" t="s">
        <v>2635</v>
      </c>
      <c r="C3908" t="s">
        <v>235</v>
      </c>
      <c r="D3908" t="s">
        <v>1179</v>
      </c>
      <c r="E3908" t="s">
        <v>556</v>
      </c>
      <c r="F3908" t="s">
        <v>1068</v>
      </c>
      <c r="G3908" t="s">
        <v>1083</v>
      </c>
      <c r="H3908" s="170">
        <v>-9.7961133215810693E-6</v>
      </c>
      <c r="I3908" t="s">
        <v>1084</v>
      </c>
      <c r="J3908">
        <v>7.4</v>
      </c>
    </row>
    <row r="3909" spans="1:10" hidden="1">
      <c r="A3909" t="s">
        <v>2634</v>
      </c>
      <c r="B3909" t="s">
        <v>2635</v>
      </c>
      <c r="C3909" t="s">
        <v>235</v>
      </c>
      <c r="D3909" t="s">
        <v>1179</v>
      </c>
      <c r="E3909" t="s">
        <v>556</v>
      </c>
      <c r="F3909" t="s">
        <v>1068</v>
      </c>
      <c r="G3909" t="s">
        <v>1085</v>
      </c>
      <c r="H3909" s="170">
        <v>-5.52565482383214E-5</v>
      </c>
      <c r="I3909" t="s">
        <v>1086</v>
      </c>
      <c r="J3909">
        <v>7.4</v>
      </c>
    </row>
    <row r="3910" spans="1:10" hidden="1">
      <c r="A3910" t="s">
        <v>2634</v>
      </c>
      <c r="B3910" t="s">
        <v>2635</v>
      </c>
      <c r="C3910" t="s">
        <v>235</v>
      </c>
      <c r="D3910" t="s">
        <v>1179</v>
      </c>
      <c r="E3910" t="s">
        <v>556</v>
      </c>
      <c r="F3910" t="s">
        <v>1068</v>
      </c>
      <c r="G3910" t="s">
        <v>1087</v>
      </c>
      <c r="H3910" s="171" t="s">
        <v>2638</v>
      </c>
      <c r="I3910" t="s">
        <v>1088</v>
      </c>
      <c r="J3910">
        <v>7.4</v>
      </c>
    </row>
    <row r="3911" spans="1:10" hidden="1">
      <c r="A3911" t="s">
        <v>2634</v>
      </c>
      <c r="B3911" t="s">
        <v>2635</v>
      </c>
      <c r="C3911" t="s">
        <v>235</v>
      </c>
      <c r="D3911" t="s">
        <v>1179</v>
      </c>
      <c r="E3911" t="s">
        <v>556</v>
      </c>
      <c r="F3911" t="s">
        <v>1068</v>
      </c>
      <c r="G3911" t="s">
        <v>1089</v>
      </c>
      <c r="H3911" s="171" t="s">
        <v>2639</v>
      </c>
      <c r="I3911" t="s">
        <v>1090</v>
      </c>
      <c r="J3911">
        <v>7.4</v>
      </c>
    </row>
    <row r="3912" spans="1:10" hidden="1">
      <c r="A3912" t="s">
        <v>2640</v>
      </c>
      <c r="B3912" t="s">
        <v>2641</v>
      </c>
      <c r="C3912" t="s">
        <v>235</v>
      </c>
      <c r="D3912" t="s">
        <v>1179</v>
      </c>
      <c r="E3912" t="s">
        <v>557</v>
      </c>
      <c r="F3912" t="s">
        <v>1068</v>
      </c>
      <c r="G3912" t="s">
        <v>1069</v>
      </c>
      <c r="H3912">
        <v>-3.1743244349450798E-2</v>
      </c>
      <c r="I3912" t="s">
        <v>1070</v>
      </c>
      <c r="J3912">
        <v>7.74</v>
      </c>
    </row>
    <row r="3913" spans="1:10" hidden="1">
      <c r="A3913" t="s">
        <v>2640</v>
      </c>
      <c r="B3913" t="s">
        <v>2641</v>
      </c>
      <c r="C3913" t="s">
        <v>235</v>
      </c>
      <c r="D3913" t="s">
        <v>1179</v>
      </c>
      <c r="E3913" t="s">
        <v>557</v>
      </c>
      <c r="F3913" t="s">
        <v>1068</v>
      </c>
      <c r="G3913" t="s">
        <v>1071</v>
      </c>
      <c r="H3913" s="170">
        <v>-1.12060202298307E-10</v>
      </c>
      <c r="I3913" t="s">
        <v>1072</v>
      </c>
      <c r="J3913">
        <v>7.74</v>
      </c>
    </row>
    <row r="3914" spans="1:10" hidden="1">
      <c r="A3914" t="s">
        <v>2640</v>
      </c>
      <c r="B3914" t="s">
        <v>2641</v>
      </c>
      <c r="C3914" t="s">
        <v>235</v>
      </c>
      <c r="D3914" t="s">
        <v>1179</v>
      </c>
      <c r="E3914" t="s">
        <v>557</v>
      </c>
      <c r="F3914" t="s">
        <v>1068</v>
      </c>
      <c r="G3914" t="s">
        <v>1073</v>
      </c>
      <c r="H3914" s="170">
        <v>-8.1399572397642496E-9</v>
      </c>
      <c r="I3914" t="s">
        <v>1074</v>
      </c>
      <c r="J3914">
        <v>7.74</v>
      </c>
    </row>
    <row r="3915" spans="1:10" hidden="1">
      <c r="A3915" t="s">
        <v>2640</v>
      </c>
      <c r="B3915" t="s">
        <v>2641</v>
      </c>
      <c r="C3915" t="s">
        <v>235</v>
      </c>
      <c r="D3915" t="s">
        <v>1179</v>
      </c>
      <c r="E3915" t="s">
        <v>557</v>
      </c>
      <c r="F3915" t="s">
        <v>1068</v>
      </c>
      <c r="G3915" t="s">
        <v>1075</v>
      </c>
      <c r="H3915">
        <v>1.1525747108418599E-3</v>
      </c>
      <c r="I3915" t="s">
        <v>1077</v>
      </c>
      <c r="J3915">
        <v>7.74</v>
      </c>
    </row>
    <row r="3916" spans="1:10" hidden="1">
      <c r="A3916" t="s">
        <v>2640</v>
      </c>
      <c r="B3916" t="s">
        <v>2641</v>
      </c>
      <c r="C3916" t="s">
        <v>235</v>
      </c>
      <c r="D3916" t="s">
        <v>1179</v>
      </c>
      <c r="E3916" t="s">
        <v>557</v>
      </c>
      <c r="F3916" t="s">
        <v>1068</v>
      </c>
      <c r="G3916" t="s">
        <v>1078</v>
      </c>
      <c r="H3916" s="171" t="s">
        <v>2642</v>
      </c>
      <c r="I3916" t="s">
        <v>1079</v>
      </c>
      <c r="J3916">
        <v>7.74</v>
      </c>
    </row>
    <row r="3917" spans="1:10" hidden="1">
      <c r="A3917" t="s">
        <v>2640</v>
      </c>
      <c r="B3917" t="s">
        <v>2641</v>
      </c>
      <c r="C3917" t="s">
        <v>235</v>
      </c>
      <c r="D3917" t="s">
        <v>1179</v>
      </c>
      <c r="E3917" t="s">
        <v>557</v>
      </c>
      <c r="F3917" t="s">
        <v>1068</v>
      </c>
      <c r="G3917" t="s">
        <v>1080</v>
      </c>
      <c r="H3917" s="171" t="s">
        <v>2643</v>
      </c>
      <c r="I3917" t="s">
        <v>1082</v>
      </c>
      <c r="J3917">
        <v>7.74</v>
      </c>
    </row>
    <row r="3918" spans="1:10" hidden="1">
      <c r="A3918" t="s">
        <v>2640</v>
      </c>
      <c r="B3918" t="s">
        <v>2641</v>
      </c>
      <c r="C3918" t="s">
        <v>235</v>
      </c>
      <c r="D3918" t="s">
        <v>1179</v>
      </c>
      <c r="E3918" t="s">
        <v>557</v>
      </c>
      <c r="F3918" t="s">
        <v>1068</v>
      </c>
      <c r="G3918" t="s">
        <v>1083</v>
      </c>
      <c r="H3918" s="170">
        <v>-1.14153623885868E-5</v>
      </c>
      <c r="I3918" t="s">
        <v>1084</v>
      </c>
      <c r="J3918">
        <v>7.74</v>
      </c>
    </row>
    <row r="3919" spans="1:10" hidden="1">
      <c r="A3919" t="s">
        <v>2640</v>
      </c>
      <c r="B3919" t="s">
        <v>2641</v>
      </c>
      <c r="C3919" t="s">
        <v>235</v>
      </c>
      <c r="D3919" t="s">
        <v>1179</v>
      </c>
      <c r="E3919" t="s">
        <v>557</v>
      </c>
      <c r="F3919" t="s">
        <v>1068</v>
      </c>
      <c r="G3919" t="s">
        <v>1085</v>
      </c>
      <c r="H3919" s="170">
        <v>-7.5597348731542004E-5</v>
      </c>
      <c r="I3919" t="s">
        <v>1086</v>
      </c>
      <c r="J3919">
        <v>7.74</v>
      </c>
    </row>
    <row r="3920" spans="1:10" hidden="1">
      <c r="A3920" t="s">
        <v>2640</v>
      </c>
      <c r="B3920" t="s">
        <v>2641</v>
      </c>
      <c r="C3920" t="s">
        <v>235</v>
      </c>
      <c r="D3920" t="s">
        <v>1179</v>
      </c>
      <c r="E3920" t="s">
        <v>557</v>
      </c>
      <c r="F3920" t="s">
        <v>1068</v>
      </c>
      <c r="G3920" t="s">
        <v>1087</v>
      </c>
      <c r="H3920" s="171" t="s">
        <v>2644</v>
      </c>
      <c r="I3920" t="s">
        <v>1088</v>
      </c>
      <c r="J3920">
        <v>7.74</v>
      </c>
    </row>
    <row r="3921" spans="1:10" hidden="1">
      <c r="A3921" t="s">
        <v>2640</v>
      </c>
      <c r="B3921" t="s">
        <v>2641</v>
      </c>
      <c r="C3921" t="s">
        <v>235</v>
      </c>
      <c r="D3921" t="s">
        <v>1179</v>
      </c>
      <c r="E3921" t="s">
        <v>557</v>
      </c>
      <c r="F3921" t="s">
        <v>1068</v>
      </c>
      <c r="G3921" t="s">
        <v>1089</v>
      </c>
      <c r="H3921" s="170">
        <v>-3.24059700483842E-6</v>
      </c>
      <c r="I3921" t="s">
        <v>1090</v>
      </c>
      <c r="J3921">
        <v>7.74</v>
      </c>
    </row>
    <row r="3922" spans="1:10" hidden="1">
      <c r="A3922" t="s">
        <v>2645</v>
      </c>
      <c r="B3922" t="s">
        <v>2646</v>
      </c>
      <c r="C3922" t="s">
        <v>235</v>
      </c>
      <c r="D3922" t="s">
        <v>1179</v>
      </c>
      <c r="E3922" t="s">
        <v>559</v>
      </c>
      <c r="F3922" t="s">
        <v>1068</v>
      </c>
      <c r="G3922" t="s">
        <v>1069</v>
      </c>
      <c r="H3922">
        <v>-3.5652476018748103E-2</v>
      </c>
      <c r="I3922" t="s">
        <v>1070</v>
      </c>
      <c r="J3922">
        <v>6.76</v>
      </c>
    </row>
    <row r="3923" spans="1:10" hidden="1">
      <c r="A3923" t="s">
        <v>2645</v>
      </c>
      <c r="B3923" t="s">
        <v>2646</v>
      </c>
      <c r="C3923" t="s">
        <v>235</v>
      </c>
      <c r="D3923" t="s">
        <v>1179</v>
      </c>
      <c r="E3923" t="s">
        <v>559</v>
      </c>
      <c r="F3923" t="s">
        <v>1068</v>
      </c>
      <c r="G3923" t="s">
        <v>1071</v>
      </c>
      <c r="H3923" s="170">
        <v>-1.1746391598352299E-10</v>
      </c>
      <c r="I3923" t="s">
        <v>1072</v>
      </c>
      <c r="J3923">
        <v>6.76</v>
      </c>
    </row>
    <row r="3924" spans="1:10" hidden="1">
      <c r="A3924" t="s">
        <v>2645</v>
      </c>
      <c r="B3924" t="s">
        <v>2646</v>
      </c>
      <c r="C3924" t="s">
        <v>235</v>
      </c>
      <c r="D3924" t="s">
        <v>1179</v>
      </c>
      <c r="E3924" t="s">
        <v>559</v>
      </c>
      <c r="F3924" t="s">
        <v>1068</v>
      </c>
      <c r="G3924" t="s">
        <v>1073</v>
      </c>
      <c r="H3924" s="170">
        <v>-9.5245637379426001E-9</v>
      </c>
      <c r="I3924" t="s">
        <v>1074</v>
      </c>
      <c r="J3924">
        <v>6.76</v>
      </c>
    </row>
    <row r="3925" spans="1:10" hidden="1">
      <c r="A3925" t="s">
        <v>2645</v>
      </c>
      <c r="B3925" t="s">
        <v>2646</v>
      </c>
      <c r="C3925" t="s">
        <v>235</v>
      </c>
      <c r="D3925" t="s">
        <v>1179</v>
      </c>
      <c r="E3925" t="s">
        <v>559</v>
      </c>
      <c r="F3925" t="s">
        <v>1068</v>
      </c>
      <c r="G3925" t="s">
        <v>1075</v>
      </c>
      <c r="H3925">
        <v>1.11384435107062E-3</v>
      </c>
      <c r="I3925" t="s">
        <v>1077</v>
      </c>
      <c r="J3925">
        <v>6.76</v>
      </c>
    </row>
    <row r="3926" spans="1:10" hidden="1">
      <c r="A3926" t="s">
        <v>2645</v>
      </c>
      <c r="B3926" t="s">
        <v>2646</v>
      </c>
      <c r="C3926" t="s">
        <v>235</v>
      </c>
      <c r="D3926" t="s">
        <v>1179</v>
      </c>
      <c r="E3926" t="s">
        <v>559</v>
      </c>
      <c r="F3926" t="s">
        <v>1068</v>
      </c>
      <c r="G3926" t="s">
        <v>1078</v>
      </c>
      <c r="H3926" s="171" t="s">
        <v>2647</v>
      </c>
      <c r="I3926" t="s">
        <v>1079</v>
      </c>
      <c r="J3926">
        <v>6.76</v>
      </c>
    </row>
    <row r="3927" spans="1:10" hidden="1">
      <c r="A3927" t="s">
        <v>2645</v>
      </c>
      <c r="B3927" t="s">
        <v>2646</v>
      </c>
      <c r="C3927" t="s">
        <v>235</v>
      </c>
      <c r="D3927" t="s">
        <v>1179</v>
      </c>
      <c r="E3927" t="s">
        <v>559</v>
      </c>
      <c r="F3927" t="s">
        <v>1068</v>
      </c>
      <c r="G3927" t="s">
        <v>1080</v>
      </c>
      <c r="H3927" s="171" t="s">
        <v>2648</v>
      </c>
      <c r="I3927" t="s">
        <v>1082</v>
      </c>
      <c r="J3927">
        <v>6.76</v>
      </c>
    </row>
    <row r="3928" spans="1:10" hidden="1">
      <c r="A3928" t="s">
        <v>2645</v>
      </c>
      <c r="B3928" t="s">
        <v>2646</v>
      </c>
      <c r="C3928" t="s">
        <v>235</v>
      </c>
      <c r="D3928" t="s">
        <v>1179</v>
      </c>
      <c r="E3928" t="s">
        <v>559</v>
      </c>
      <c r="F3928" t="s">
        <v>1068</v>
      </c>
      <c r="G3928" t="s">
        <v>1083</v>
      </c>
      <c r="H3928" s="170">
        <v>-1.20104123852475E-5</v>
      </c>
      <c r="I3928" t="s">
        <v>1084</v>
      </c>
      <c r="J3928">
        <v>6.76</v>
      </c>
    </row>
    <row r="3929" spans="1:10" hidden="1">
      <c r="A3929" t="s">
        <v>2645</v>
      </c>
      <c r="B3929" t="s">
        <v>2646</v>
      </c>
      <c r="C3929" t="s">
        <v>235</v>
      </c>
      <c r="D3929" t="s">
        <v>1179</v>
      </c>
      <c r="E3929" t="s">
        <v>559</v>
      </c>
      <c r="F3929" t="s">
        <v>1068</v>
      </c>
      <c r="G3929" t="s">
        <v>1085</v>
      </c>
      <c r="H3929" s="170">
        <v>-8.1875776569448894E-5</v>
      </c>
      <c r="I3929" t="s">
        <v>1086</v>
      </c>
      <c r="J3929">
        <v>6.76</v>
      </c>
    </row>
    <row r="3930" spans="1:10" hidden="1">
      <c r="A3930" t="s">
        <v>2645</v>
      </c>
      <c r="B3930" t="s">
        <v>2646</v>
      </c>
      <c r="C3930" t="s">
        <v>235</v>
      </c>
      <c r="D3930" t="s">
        <v>1179</v>
      </c>
      <c r="E3930" t="s">
        <v>559</v>
      </c>
      <c r="F3930" t="s">
        <v>1068</v>
      </c>
      <c r="G3930" t="s">
        <v>1087</v>
      </c>
      <c r="H3930" s="171" t="s">
        <v>2649</v>
      </c>
      <c r="I3930" t="s">
        <v>1088</v>
      </c>
      <c r="J3930">
        <v>6.76</v>
      </c>
    </row>
    <row r="3931" spans="1:10" hidden="1">
      <c r="A3931" t="s">
        <v>2645</v>
      </c>
      <c r="B3931" t="s">
        <v>2646</v>
      </c>
      <c r="C3931" t="s">
        <v>235</v>
      </c>
      <c r="D3931" t="s">
        <v>1179</v>
      </c>
      <c r="E3931" t="s">
        <v>559</v>
      </c>
      <c r="F3931" t="s">
        <v>1068</v>
      </c>
      <c r="G3931" t="s">
        <v>1089</v>
      </c>
      <c r="H3931" s="170">
        <v>-4.6205831369057299E-6</v>
      </c>
      <c r="I3931" t="s">
        <v>1090</v>
      </c>
      <c r="J3931">
        <v>6.76</v>
      </c>
    </row>
    <row r="3932" spans="1:10" hidden="1">
      <c r="A3932" t="s">
        <v>2650</v>
      </c>
      <c r="B3932" t="s">
        <v>2651</v>
      </c>
      <c r="C3932" t="s">
        <v>235</v>
      </c>
      <c r="D3932" t="s">
        <v>1179</v>
      </c>
      <c r="E3932" t="s">
        <v>560</v>
      </c>
      <c r="F3932" t="s">
        <v>1068</v>
      </c>
      <c r="G3932" t="s">
        <v>1069</v>
      </c>
      <c r="H3932">
        <v>-3.4021978151193399E-2</v>
      </c>
      <c r="I3932" t="s">
        <v>1070</v>
      </c>
      <c r="J3932">
        <v>8.6</v>
      </c>
    </row>
    <row r="3933" spans="1:10" hidden="1">
      <c r="A3933" t="s">
        <v>2650</v>
      </c>
      <c r="B3933" t="s">
        <v>2651</v>
      </c>
      <c r="C3933" t="s">
        <v>235</v>
      </c>
      <c r="D3933" t="s">
        <v>1179</v>
      </c>
      <c r="E3933" t="s">
        <v>560</v>
      </c>
      <c r="F3933" t="s">
        <v>1068</v>
      </c>
      <c r="G3933" t="s">
        <v>1071</v>
      </c>
      <c r="H3933" s="170">
        <v>-1.15321096293492E-10</v>
      </c>
      <c r="I3933" t="s">
        <v>1072</v>
      </c>
      <c r="J3933">
        <v>8.6</v>
      </c>
    </row>
    <row r="3934" spans="1:10" hidden="1">
      <c r="A3934" t="s">
        <v>2650</v>
      </c>
      <c r="B3934" t="s">
        <v>2651</v>
      </c>
      <c r="C3934" t="s">
        <v>235</v>
      </c>
      <c r="D3934" t="s">
        <v>1179</v>
      </c>
      <c r="E3934" t="s">
        <v>560</v>
      </c>
      <c r="F3934" t="s">
        <v>1068</v>
      </c>
      <c r="G3934" t="s">
        <v>1073</v>
      </c>
      <c r="H3934" s="170">
        <v>-8.9493706964959507E-9</v>
      </c>
      <c r="I3934" t="s">
        <v>1074</v>
      </c>
      <c r="J3934">
        <v>8.6</v>
      </c>
    </row>
    <row r="3935" spans="1:10" hidden="1">
      <c r="A3935" t="s">
        <v>2650</v>
      </c>
      <c r="B3935" t="s">
        <v>2651</v>
      </c>
      <c r="C3935" t="s">
        <v>235</v>
      </c>
      <c r="D3935" t="s">
        <v>1179</v>
      </c>
      <c r="E3935" t="s">
        <v>560</v>
      </c>
      <c r="F3935" t="s">
        <v>1068</v>
      </c>
      <c r="G3935" t="s">
        <v>1075</v>
      </c>
      <c r="H3935">
        <v>1.0805415010670201E-3</v>
      </c>
      <c r="I3935" t="s">
        <v>1077</v>
      </c>
      <c r="J3935">
        <v>8.6</v>
      </c>
    </row>
    <row r="3936" spans="1:10" hidden="1">
      <c r="A3936" t="s">
        <v>2650</v>
      </c>
      <c r="B3936" t="s">
        <v>2651</v>
      </c>
      <c r="C3936" t="s">
        <v>235</v>
      </c>
      <c r="D3936" t="s">
        <v>1179</v>
      </c>
      <c r="E3936" t="s">
        <v>560</v>
      </c>
      <c r="F3936" t="s">
        <v>1068</v>
      </c>
      <c r="G3936" t="s">
        <v>1078</v>
      </c>
      <c r="H3936" s="171" t="s">
        <v>2652</v>
      </c>
      <c r="I3936" t="s">
        <v>1079</v>
      </c>
      <c r="J3936">
        <v>8.6</v>
      </c>
    </row>
    <row r="3937" spans="1:10" hidden="1">
      <c r="A3937" t="s">
        <v>2650</v>
      </c>
      <c r="B3937" t="s">
        <v>2651</v>
      </c>
      <c r="C3937" t="s">
        <v>235</v>
      </c>
      <c r="D3937" t="s">
        <v>1179</v>
      </c>
      <c r="E3937" t="s">
        <v>560</v>
      </c>
      <c r="F3937" t="s">
        <v>1068</v>
      </c>
      <c r="G3937" t="s">
        <v>1080</v>
      </c>
      <c r="H3937" s="171" t="s">
        <v>2653</v>
      </c>
      <c r="I3937" t="s">
        <v>1082</v>
      </c>
      <c r="J3937">
        <v>8.6</v>
      </c>
    </row>
    <row r="3938" spans="1:10" hidden="1">
      <c r="A3938" t="s">
        <v>2650</v>
      </c>
      <c r="B3938" t="s">
        <v>2651</v>
      </c>
      <c r="C3938" t="s">
        <v>235</v>
      </c>
      <c r="D3938" t="s">
        <v>1179</v>
      </c>
      <c r="E3938" t="s">
        <v>560</v>
      </c>
      <c r="F3938" t="s">
        <v>1068</v>
      </c>
      <c r="G3938" t="s">
        <v>1083</v>
      </c>
      <c r="H3938" s="170">
        <v>-1.1761731401839501E-5</v>
      </c>
      <c r="I3938" t="s">
        <v>1084</v>
      </c>
      <c r="J3938">
        <v>8.6</v>
      </c>
    </row>
    <row r="3939" spans="1:10" hidden="1">
      <c r="A3939" t="s">
        <v>2650</v>
      </c>
      <c r="B3939" t="s">
        <v>2651</v>
      </c>
      <c r="C3939" t="s">
        <v>235</v>
      </c>
      <c r="D3939" t="s">
        <v>1179</v>
      </c>
      <c r="E3939" t="s">
        <v>560</v>
      </c>
      <c r="F3939" t="s">
        <v>1068</v>
      </c>
      <c r="G3939" t="s">
        <v>1085</v>
      </c>
      <c r="H3939" s="170">
        <v>-7.95120215625481E-5</v>
      </c>
      <c r="I3939" t="s">
        <v>1086</v>
      </c>
      <c r="J3939">
        <v>8.6</v>
      </c>
    </row>
    <row r="3940" spans="1:10" hidden="1">
      <c r="A3940" t="s">
        <v>2650</v>
      </c>
      <c r="B3940" t="s">
        <v>2651</v>
      </c>
      <c r="C3940" t="s">
        <v>235</v>
      </c>
      <c r="D3940" t="s">
        <v>1179</v>
      </c>
      <c r="E3940" t="s">
        <v>560</v>
      </c>
      <c r="F3940" t="s">
        <v>1068</v>
      </c>
      <c r="G3940" t="s">
        <v>1087</v>
      </c>
      <c r="H3940" s="171" t="s">
        <v>2654</v>
      </c>
      <c r="I3940" t="s">
        <v>1088</v>
      </c>
      <c r="J3940">
        <v>8.6</v>
      </c>
    </row>
    <row r="3941" spans="1:10" hidden="1">
      <c r="A3941" t="s">
        <v>2650</v>
      </c>
      <c r="B3941" t="s">
        <v>2651</v>
      </c>
      <c r="C3941" t="s">
        <v>235</v>
      </c>
      <c r="D3941" t="s">
        <v>1179</v>
      </c>
      <c r="E3941" t="s">
        <v>560</v>
      </c>
      <c r="F3941" t="s">
        <v>1068</v>
      </c>
      <c r="G3941" t="s">
        <v>1089</v>
      </c>
      <c r="H3941" s="170">
        <v>-4.0481862794293402E-6</v>
      </c>
      <c r="I3941" t="s">
        <v>1090</v>
      </c>
      <c r="J3941">
        <v>8.6</v>
      </c>
    </row>
    <row r="3942" spans="1:10" hidden="1">
      <c r="A3942" t="s">
        <v>2655</v>
      </c>
      <c r="B3942" t="s">
        <v>2656</v>
      </c>
      <c r="C3942" t="s">
        <v>235</v>
      </c>
      <c r="D3942" t="s">
        <v>1179</v>
      </c>
      <c r="E3942" t="s">
        <v>1116</v>
      </c>
      <c r="F3942" t="s">
        <v>1068</v>
      </c>
      <c r="G3942" t="s">
        <v>1069</v>
      </c>
      <c r="H3942">
        <v>-2.7105791901593901E-2</v>
      </c>
      <c r="I3942" t="s">
        <v>1070</v>
      </c>
      <c r="J3942">
        <v>11.73</v>
      </c>
    </row>
    <row r="3943" spans="1:10" hidden="1">
      <c r="A3943" t="s">
        <v>2655</v>
      </c>
      <c r="B3943" t="s">
        <v>2656</v>
      </c>
      <c r="C3943" t="s">
        <v>235</v>
      </c>
      <c r="D3943" t="s">
        <v>1179</v>
      </c>
      <c r="E3943" t="s">
        <v>1116</v>
      </c>
      <c r="F3943" t="s">
        <v>1068</v>
      </c>
      <c r="G3943" t="s">
        <v>1071</v>
      </c>
      <c r="H3943" s="170">
        <v>-1.05423955085662E-10</v>
      </c>
      <c r="I3943" t="s">
        <v>1072</v>
      </c>
      <c r="J3943">
        <v>11.73</v>
      </c>
    </row>
    <row r="3944" spans="1:10" hidden="1">
      <c r="A3944" t="s">
        <v>2655</v>
      </c>
      <c r="B3944" t="s">
        <v>2656</v>
      </c>
      <c r="C3944" t="s">
        <v>235</v>
      </c>
      <c r="D3944" t="s">
        <v>1179</v>
      </c>
      <c r="E3944" t="s">
        <v>1116</v>
      </c>
      <c r="F3944" t="s">
        <v>1068</v>
      </c>
      <c r="G3944" t="s">
        <v>1073</v>
      </c>
      <c r="H3944" s="170">
        <v>-6.4927194564925097E-9</v>
      </c>
      <c r="I3944" t="s">
        <v>1074</v>
      </c>
      <c r="J3944">
        <v>11.73</v>
      </c>
    </row>
    <row r="3945" spans="1:10" hidden="1">
      <c r="A3945" t="s">
        <v>2655</v>
      </c>
      <c r="B3945" t="s">
        <v>2656</v>
      </c>
      <c r="C3945" t="s">
        <v>235</v>
      </c>
      <c r="D3945" t="s">
        <v>1179</v>
      </c>
      <c r="E3945" t="s">
        <v>1116</v>
      </c>
      <c r="F3945" t="s">
        <v>1068</v>
      </c>
      <c r="G3945" t="s">
        <v>1075</v>
      </c>
      <c r="H3945">
        <v>1.2991695367675E-3</v>
      </c>
      <c r="I3945" t="s">
        <v>1077</v>
      </c>
      <c r="J3945">
        <v>11.73</v>
      </c>
    </row>
    <row r="3946" spans="1:10" hidden="1">
      <c r="A3946" t="s">
        <v>2655</v>
      </c>
      <c r="B3946" t="s">
        <v>2656</v>
      </c>
      <c r="C3946" t="s">
        <v>235</v>
      </c>
      <c r="D3946" t="s">
        <v>1179</v>
      </c>
      <c r="E3946" t="s">
        <v>1116</v>
      </c>
      <c r="F3946" t="s">
        <v>1068</v>
      </c>
      <c r="G3946" t="s">
        <v>1078</v>
      </c>
      <c r="H3946" s="171" t="s">
        <v>2657</v>
      </c>
      <c r="I3946" t="s">
        <v>1079</v>
      </c>
      <c r="J3946">
        <v>11.73</v>
      </c>
    </row>
    <row r="3947" spans="1:10" hidden="1">
      <c r="A3947" t="s">
        <v>2655</v>
      </c>
      <c r="B3947" t="s">
        <v>2656</v>
      </c>
      <c r="C3947" t="s">
        <v>235</v>
      </c>
      <c r="D3947" t="s">
        <v>1179</v>
      </c>
      <c r="E3947" t="s">
        <v>1116</v>
      </c>
      <c r="F3947" t="s">
        <v>1068</v>
      </c>
      <c r="G3947" t="s">
        <v>1080</v>
      </c>
      <c r="H3947" s="171" t="s">
        <v>2658</v>
      </c>
      <c r="I3947" t="s">
        <v>1082</v>
      </c>
      <c r="J3947">
        <v>11.73</v>
      </c>
    </row>
    <row r="3948" spans="1:10" hidden="1">
      <c r="A3948" t="s">
        <v>2655</v>
      </c>
      <c r="B3948" t="s">
        <v>2656</v>
      </c>
      <c r="C3948" t="s">
        <v>235</v>
      </c>
      <c r="D3948" t="s">
        <v>1179</v>
      </c>
      <c r="E3948" t="s">
        <v>1116</v>
      </c>
      <c r="F3948" t="s">
        <v>1068</v>
      </c>
      <c r="G3948" t="s">
        <v>1083</v>
      </c>
      <c r="H3948" s="170">
        <v>-1.0710466613949999E-5</v>
      </c>
      <c r="I3948" t="s">
        <v>1084</v>
      </c>
      <c r="J3948">
        <v>11.73</v>
      </c>
    </row>
    <row r="3949" spans="1:10" hidden="1">
      <c r="A3949" t="s">
        <v>2655</v>
      </c>
      <c r="B3949" t="s">
        <v>2656</v>
      </c>
      <c r="C3949" t="s">
        <v>235</v>
      </c>
      <c r="D3949" t="s">
        <v>1179</v>
      </c>
      <c r="E3949" t="s">
        <v>1116</v>
      </c>
      <c r="F3949" t="s">
        <v>1068</v>
      </c>
      <c r="G3949" t="s">
        <v>1085</v>
      </c>
      <c r="H3949" s="170">
        <v>-6.7630595840604898E-5</v>
      </c>
      <c r="I3949" t="s">
        <v>1086</v>
      </c>
      <c r="J3949">
        <v>11.73</v>
      </c>
    </row>
    <row r="3950" spans="1:10" hidden="1">
      <c r="A3950" t="s">
        <v>2655</v>
      </c>
      <c r="B3950" t="s">
        <v>2656</v>
      </c>
      <c r="C3950" t="s">
        <v>235</v>
      </c>
      <c r="D3950" t="s">
        <v>1179</v>
      </c>
      <c r="E3950" t="s">
        <v>1116</v>
      </c>
      <c r="F3950" t="s">
        <v>1068</v>
      </c>
      <c r="G3950" t="s">
        <v>1087</v>
      </c>
      <c r="H3950" s="171" t="s">
        <v>2659</v>
      </c>
      <c r="I3950" t="s">
        <v>1088</v>
      </c>
      <c r="J3950">
        <v>11.73</v>
      </c>
    </row>
    <row r="3951" spans="1:10" hidden="1">
      <c r="A3951" t="s">
        <v>2655</v>
      </c>
      <c r="B3951" t="s">
        <v>2656</v>
      </c>
      <c r="C3951" t="s">
        <v>235</v>
      </c>
      <c r="D3951" t="s">
        <v>1179</v>
      </c>
      <c r="E3951" t="s">
        <v>1116</v>
      </c>
      <c r="F3951" t="s">
        <v>1068</v>
      </c>
      <c r="G3951" t="s">
        <v>1089</v>
      </c>
      <c r="H3951" s="170">
        <v>-1.59707161567239E-6</v>
      </c>
      <c r="I3951" t="s">
        <v>1090</v>
      </c>
      <c r="J3951">
        <v>11.73</v>
      </c>
    </row>
    <row r="3952" spans="1:10" hidden="1">
      <c r="A3952" t="s">
        <v>2660</v>
      </c>
      <c r="B3952" t="s">
        <v>2661</v>
      </c>
      <c r="C3952" t="s">
        <v>235</v>
      </c>
      <c r="D3952" t="s">
        <v>1210</v>
      </c>
      <c r="E3952" t="s">
        <v>561</v>
      </c>
      <c r="F3952" t="s">
        <v>1068</v>
      </c>
      <c r="G3952" t="s">
        <v>1069</v>
      </c>
      <c r="H3952">
        <v>-1.7372702699113798E-2</v>
      </c>
      <c r="I3952" t="s">
        <v>1070</v>
      </c>
      <c r="J3952">
        <v>9.91</v>
      </c>
    </row>
    <row r="3953" spans="1:10" hidden="1">
      <c r="A3953" t="s">
        <v>2660</v>
      </c>
      <c r="B3953" t="s">
        <v>2661</v>
      </c>
      <c r="C3953" t="s">
        <v>235</v>
      </c>
      <c r="D3953" t="s">
        <v>1210</v>
      </c>
      <c r="E3953" t="s">
        <v>561</v>
      </c>
      <c r="F3953" t="s">
        <v>1068</v>
      </c>
      <c r="G3953" t="s">
        <v>1071</v>
      </c>
      <c r="H3953" s="170">
        <v>-9.1621565035166299E-11</v>
      </c>
      <c r="I3953" t="s">
        <v>1072</v>
      </c>
      <c r="J3953">
        <v>9.91</v>
      </c>
    </row>
    <row r="3954" spans="1:10" hidden="1">
      <c r="A3954" t="s">
        <v>2660</v>
      </c>
      <c r="B3954" t="s">
        <v>2661</v>
      </c>
      <c r="C3954" t="s">
        <v>235</v>
      </c>
      <c r="D3954" t="s">
        <v>1210</v>
      </c>
      <c r="E3954" t="s">
        <v>561</v>
      </c>
      <c r="F3954" t="s">
        <v>1068</v>
      </c>
      <c r="G3954" t="s">
        <v>1073</v>
      </c>
      <c r="H3954" s="170">
        <v>-3.00417467153906E-9</v>
      </c>
      <c r="I3954" t="s">
        <v>1074</v>
      </c>
      <c r="J3954">
        <v>9.91</v>
      </c>
    </row>
    <row r="3955" spans="1:10" hidden="1">
      <c r="A3955" t="s">
        <v>2660</v>
      </c>
      <c r="B3955" t="s">
        <v>2661</v>
      </c>
      <c r="C3955" t="s">
        <v>235</v>
      </c>
      <c r="D3955" t="s">
        <v>1210</v>
      </c>
      <c r="E3955" t="s">
        <v>561</v>
      </c>
      <c r="F3955" t="s">
        <v>1068</v>
      </c>
      <c r="G3955" t="s">
        <v>1075</v>
      </c>
      <c r="H3955">
        <v>1.50586397201116E-3</v>
      </c>
      <c r="I3955" t="s">
        <v>1077</v>
      </c>
      <c r="J3955">
        <v>9.91</v>
      </c>
    </row>
    <row r="3956" spans="1:10" hidden="1">
      <c r="A3956" t="s">
        <v>2660</v>
      </c>
      <c r="B3956" t="s">
        <v>2661</v>
      </c>
      <c r="C3956" t="s">
        <v>235</v>
      </c>
      <c r="D3956" t="s">
        <v>1210</v>
      </c>
      <c r="E3956" t="s">
        <v>561</v>
      </c>
      <c r="F3956" t="s">
        <v>1068</v>
      </c>
      <c r="G3956" t="s">
        <v>1078</v>
      </c>
      <c r="H3956" s="171" t="s">
        <v>2662</v>
      </c>
      <c r="I3956" t="s">
        <v>1079</v>
      </c>
      <c r="J3956">
        <v>9.91</v>
      </c>
    </row>
    <row r="3957" spans="1:10" hidden="1">
      <c r="A3957" t="s">
        <v>2660</v>
      </c>
      <c r="B3957" t="s">
        <v>2661</v>
      </c>
      <c r="C3957" t="s">
        <v>235</v>
      </c>
      <c r="D3957" t="s">
        <v>1210</v>
      </c>
      <c r="E3957" t="s">
        <v>561</v>
      </c>
      <c r="F3957" t="s">
        <v>1068</v>
      </c>
      <c r="G3957" t="s">
        <v>1080</v>
      </c>
      <c r="H3957" s="171" t="s">
        <v>2663</v>
      </c>
      <c r="I3957" t="s">
        <v>1082</v>
      </c>
      <c r="J3957">
        <v>9.91</v>
      </c>
    </row>
    <row r="3958" spans="1:10" hidden="1">
      <c r="A3958" t="s">
        <v>2660</v>
      </c>
      <c r="B3958" t="s">
        <v>2661</v>
      </c>
      <c r="C3958" t="s">
        <v>235</v>
      </c>
      <c r="D3958" t="s">
        <v>1210</v>
      </c>
      <c r="E3958" t="s">
        <v>561</v>
      </c>
      <c r="F3958" t="s">
        <v>1068</v>
      </c>
      <c r="G3958" t="s">
        <v>1083</v>
      </c>
      <c r="H3958" s="170">
        <v>-9.2118835023454399E-6</v>
      </c>
      <c r="I3958" t="s">
        <v>1084</v>
      </c>
      <c r="J3958">
        <v>9.91</v>
      </c>
    </row>
    <row r="3959" spans="1:10" hidden="1">
      <c r="A3959" t="s">
        <v>2660</v>
      </c>
      <c r="B3959" t="s">
        <v>2661</v>
      </c>
      <c r="C3959" t="s">
        <v>235</v>
      </c>
      <c r="D3959" t="s">
        <v>1210</v>
      </c>
      <c r="E3959" t="s">
        <v>561</v>
      </c>
      <c r="F3959" t="s">
        <v>1068</v>
      </c>
      <c r="G3959" t="s">
        <v>1085</v>
      </c>
      <c r="H3959" s="170">
        <v>-5.1252189266473401E-5</v>
      </c>
      <c r="I3959" t="s">
        <v>1086</v>
      </c>
      <c r="J3959">
        <v>9.91</v>
      </c>
    </row>
    <row r="3960" spans="1:10" hidden="1">
      <c r="A3960" t="s">
        <v>2660</v>
      </c>
      <c r="B3960" t="s">
        <v>2661</v>
      </c>
      <c r="C3960" t="s">
        <v>235</v>
      </c>
      <c r="D3960" t="s">
        <v>1210</v>
      </c>
      <c r="E3960" t="s">
        <v>561</v>
      </c>
      <c r="F3960" t="s">
        <v>1068</v>
      </c>
      <c r="G3960" t="s">
        <v>1087</v>
      </c>
      <c r="H3960" s="171" t="s">
        <v>2664</v>
      </c>
      <c r="I3960" t="s">
        <v>1088</v>
      </c>
      <c r="J3960">
        <v>9.91</v>
      </c>
    </row>
    <row r="3961" spans="1:10" hidden="1">
      <c r="A3961" t="s">
        <v>2660</v>
      </c>
      <c r="B3961" t="s">
        <v>2661</v>
      </c>
      <c r="C3961" t="s">
        <v>235</v>
      </c>
      <c r="D3961" t="s">
        <v>1210</v>
      </c>
      <c r="E3961" t="s">
        <v>561</v>
      </c>
      <c r="F3961" t="s">
        <v>1068</v>
      </c>
      <c r="G3961" t="s">
        <v>1089</v>
      </c>
      <c r="H3961" s="171" t="s">
        <v>2665</v>
      </c>
      <c r="I3961" t="s">
        <v>1090</v>
      </c>
      <c r="J3961">
        <v>9.91</v>
      </c>
    </row>
    <row r="3962" spans="1:10" hidden="1">
      <c r="A3962" t="s">
        <v>2666</v>
      </c>
      <c r="B3962" t="s">
        <v>2667</v>
      </c>
      <c r="C3962" t="s">
        <v>235</v>
      </c>
      <c r="D3962" t="s">
        <v>1210</v>
      </c>
      <c r="E3962" t="s">
        <v>555</v>
      </c>
      <c r="F3962" t="s">
        <v>1068</v>
      </c>
      <c r="G3962" t="s">
        <v>1069</v>
      </c>
      <c r="H3962">
        <v>-2.81533206651907E-2</v>
      </c>
      <c r="I3962" t="s">
        <v>1070</v>
      </c>
      <c r="J3962">
        <v>8.5500000000000007</v>
      </c>
    </row>
    <row r="3963" spans="1:10" hidden="1">
      <c r="A3963" t="s">
        <v>2666</v>
      </c>
      <c r="B3963" t="s">
        <v>2667</v>
      </c>
      <c r="C3963" t="s">
        <v>235</v>
      </c>
      <c r="D3963" t="s">
        <v>1210</v>
      </c>
      <c r="E3963" t="s">
        <v>555</v>
      </c>
      <c r="F3963" t="s">
        <v>1068</v>
      </c>
      <c r="G3963" t="s">
        <v>1071</v>
      </c>
      <c r="H3963" s="170">
        <v>-1.06877804146002E-10</v>
      </c>
      <c r="I3963" t="s">
        <v>1072</v>
      </c>
      <c r="J3963">
        <v>8.5500000000000007</v>
      </c>
    </row>
    <row r="3964" spans="1:10" hidden="1">
      <c r="A3964" t="s">
        <v>2666</v>
      </c>
      <c r="B3964" t="s">
        <v>2667</v>
      </c>
      <c r="C3964" t="s">
        <v>235</v>
      </c>
      <c r="D3964" t="s">
        <v>1210</v>
      </c>
      <c r="E3964" t="s">
        <v>555</v>
      </c>
      <c r="F3964" t="s">
        <v>1068</v>
      </c>
      <c r="G3964" t="s">
        <v>1073</v>
      </c>
      <c r="H3964" s="170">
        <v>-6.8294016919029897E-9</v>
      </c>
      <c r="I3964" t="s">
        <v>1074</v>
      </c>
      <c r="J3964">
        <v>8.5500000000000007</v>
      </c>
    </row>
    <row r="3965" spans="1:10" hidden="1">
      <c r="A3965" t="s">
        <v>2666</v>
      </c>
      <c r="B3965" t="s">
        <v>2667</v>
      </c>
      <c r="C3965" t="s">
        <v>235</v>
      </c>
      <c r="D3965" t="s">
        <v>1210</v>
      </c>
      <c r="E3965" t="s">
        <v>555</v>
      </c>
      <c r="F3965" t="s">
        <v>1068</v>
      </c>
      <c r="G3965" t="s">
        <v>1075</v>
      </c>
      <c r="H3965">
        <v>1.2403706414817401E-3</v>
      </c>
      <c r="I3965" t="s">
        <v>1077</v>
      </c>
      <c r="J3965">
        <v>8.5500000000000007</v>
      </c>
    </row>
    <row r="3966" spans="1:10" hidden="1">
      <c r="A3966" t="s">
        <v>2666</v>
      </c>
      <c r="B3966" t="s">
        <v>2667</v>
      </c>
      <c r="C3966" t="s">
        <v>235</v>
      </c>
      <c r="D3966" t="s">
        <v>1210</v>
      </c>
      <c r="E3966" t="s">
        <v>555</v>
      </c>
      <c r="F3966" t="s">
        <v>1068</v>
      </c>
      <c r="G3966" t="s">
        <v>1078</v>
      </c>
      <c r="H3966" s="171" t="s">
        <v>2668</v>
      </c>
      <c r="I3966" t="s">
        <v>1079</v>
      </c>
      <c r="J3966">
        <v>8.5500000000000007</v>
      </c>
    </row>
    <row r="3967" spans="1:10" hidden="1">
      <c r="A3967" t="s">
        <v>2666</v>
      </c>
      <c r="B3967" t="s">
        <v>2667</v>
      </c>
      <c r="C3967" t="s">
        <v>235</v>
      </c>
      <c r="D3967" t="s">
        <v>1210</v>
      </c>
      <c r="E3967" t="s">
        <v>555</v>
      </c>
      <c r="F3967" t="s">
        <v>1068</v>
      </c>
      <c r="G3967" t="s">
        <v>1080</v>
      </c>
      <c r="H3967" s="171" t="s">
        <v>2669</v>
      </c>
      <c r="I3967" t="s">
        <v>1082</v>
      </c>
      <c r="J3967">
        <v>8.5500000000000007</v>
      </c>
    </row>
    <row r="3968" spans="1:10" hidden="1">
      <c r="A3968" t="s">
        <v>2666</v>
      </c>
      <c r="B3968" t="s">
        <v>2667</v>
      </c>
      <c r="C3968" t="s">
        <v>235</v>
      </c>
      <c r="D3968" t="s">
        <v>1210</v>
      </c>
      <c r="E3968" t="s">
        <v>555</v>
      </c>
      <c r="F3968" t="s">
        <v>1068</v>
      </c>
      <c r="G3968" t="s">
        <v>1083</v>
      </c>
      <c r="H3968" s="170">
        <v>-1.0851019468613199E-5</v>
      </c>
      <c r="I3968" t="s">
        <v>1084</v>
      </c>
      <c r="J3968">
        <v>8.5500000000000007</v>
      </c>
    </row>
    <row r="3969" spans="1:10" hidden="1">
      <c r="A3969" t="s">
        <v>2666</v>
      </c>
      <c r="B3969" t="s">
        <v>2667</v>
      </c>
      <c r="C3969" t="s">
        <v>235</v>
      </c>
      <c r="D3969" t="s">
        <v>1210</v>
      </c>
      <c r="E3969" t="s">
        <v>555</v>
      </c>
      <c r="F3969" t="s">
        <v>1068</v>
      </c>
      <c r="G3969" t="s">
        <v>1085</v>
      </c>
      <c r="H3969" s="170">
        <v>-6.9381509440576304E-5</v>
      </c>
      <c r="I3969" t="s">
        <v>1086</v>
      </c>
      <c r="J3969">
        <v>8.5500000000000007</v>
      </c>
    </row>
    <row r="3970" spans="1:10" hidden="1">
      <c r="A3970" t="s">
        <v>2666</v>
      </c>
      <c r="B3970" t="s">
        <v>2667</v>
      </c>
      <c r="C3970" t="s">
        <v>235</v>
      </c>
      <c r="D3970" t="s">
        <v>1210</v>
      </c>
      <c r="E3970" t="s">
        <v>555</v>
      </c>
      <c r="F3970" t="s">
        <v>1068</v>
      </c>
      <c r="G3970" t="s">
        <v>1087</v>
      </c>
      <c r="H3970" s="171" t="s">
        <v>2670</v>
      </c>
      <c r="I3970" t="s">
        <v>1088</v>
      </c>
      <c r="J3970">
        <v>8.5500000000000007</v>
      </c>
    </row>
    <row r="3971" spans="1:10" hidden="1">
      <c r="A3971" t="s">
        <v>2666</v>
      </c>
      <c r="B3971" t="s">
        <v>2667</v>
      </c>
      <c r="C3971" t="s">
        <v>235</v>
      </c>
      <c r="D3971" t="s">
        <v>1210</v>
      </c>
      <c r="E3971" t="s">
        <v>555</v>
      </c>
      <c r="F3971" t="s">
        <v>1068</v>
      </c>
      <c r="G3971" t="s">
        <v>1089</v>
      </c>
      <c r="H3971" s="170">
        <v>-2.1819145078831301E-6</v>
      </c>
      <c r="I3971" t="s">
        <v>1090</v>
      </c>
      <c r="J3971">
        <v>8.5500000000000007</v>
      </c>
    </row>
    <row r="3972" spans="1:10" hidden="1">
      <c r="A3972" t="s">
        <v>2671</v>
      </c>
      <c r="B3972" t="s">
        <v>2672</v>
      </c>
      <c r="C3972" t="s">
        <v>235</v>
      </c>
      <c r="D3972" t="s">
        <v>1210</v>
      </c>
      <c r="E3972" t="s">
        <v>558</v>
      </c>
      <c r="F3972" t="s">
        <v>1068</v>
      </c>
      <c r="G3972" t="s">
        <v>1069</v>
      </c>
      <c r="H3972">
        <v>-1.6455560830889501E-2</v>
      </c>
      <c r="I3972" t="s">
        <v>1070</v>
      </c>
      <c r="J3972">
        <v>7.62</v>
      </c>
    </row>
    <row r="3973" spans="1:10" hidden="1">
      <c r="A3973" t="s">
        <v>2671</v>
      </c>
      <c r="B3973" t="s">
        <v>2672</v>
      </c>
      <c r="C3973" t="s">
        <v>235</v>
      </c>
      <c r="D3973" t="s">
        <v>1210</v>
      </c>
      <c r="E3973" t="s">
        <v>558</v>
      </c>
      <c r="F3973" t="s">
        <v>1068</v>
      </c>
      <c r="G3973" t="s">
        <v>1071</v>
      </c>
      <c r="H3973" s="170">
        <v>-9.0309124587520095E-11</v>
      </c>
      <c r="I3973" t="s">
        <v>1072</v>
      </c>
      <c r="J3973">
        <v>7.62</v>
      </c>
    </row>
    <row r="3974" spans="1:10" hidden="1">
      <c r="A3974" t="s">
        <v>2671</v>
      </c>
      <c r="B3974" t="s">
        <v>2672</v>
      </c>
      <c r="C3974" t="s">
        <v>235</v>
      </c>
      <c r="D3974" t="s">
        <v>1210</v>
      </c>
      <c r="E3974" t="s">
        <v>558</v>
      </c>
      <c r="F3974" t="s">
        <v>1068</v>
      </c>
      <c r="G3974" t="s">
        <v>1073</v>
      </c>
      <c r="H3974" s="170">
        <v>-2.67840297793221E-9</v>
      </c>
      <c r="I3974" t="s">
        <v>1074</v>
      </c>
      <c r="J3974">
        <v>7.62</v>
      </c>
    </row>
    <row r="3975" spans="1:10" hidden="1">
      <c r="A3975" t="s">
        <v>2671</v>
      </c>
      <c r="B3975" t="s">
        <v>2672</v>
      </c>
      <c r="C3975" t="s">
        <v>235</v>
      </c>
      <c r="D3975" t="s">
        <v>1210</v>
      </c>
      <c r="E3975" t="s">
        <v>558</v>
      </c>
      <c r="F3975" t="s">
        <v>1068</v>
      </c>
      <c r="G3975" t="s">
        <v>1075</v>
      </c>
      <c r="H3975">
        <v>1.53485580622039E-3</v>
      </c>
      <c r="I3975" t="s">
        <v>1077</v>
      </c>
      <c r="J3975">
        <v>7.62</v>
      </c>
    </row>
    <row r="3976" spans="1:10" hidden="1">
      <c r="A3976" t="s">
        <v>2671</v>
      </c>
      <c r="B3976" t="s">
        <v>2672</v>
      </c>
      <c r="C3976" t="s">
        <v>235</v>
      </c>
      <c r="D3976" t="s">
        <v>1210</v>
      </c>
      <c r="E3976" t="s">
        <v>558</v>
      </c>
      <c r="F3976" t="s">
        <v>1068</v>
      </c>
      <c r="G3976" t="s">
        <v>1078</v>
      </c>
      <c r="H3976" s="171" t="s">
        <v>2673</v>
      </c>
      <c r="I3976" t="s">
        <v>1079</v>
      </c>
      <c r="J3976">
        <v>7.62</v>
      </c>
    </row>
    <row r="3977" spans="1:10" hidden="1">
      <c r="A3977" t="s">
        <v>2671</v>
      </c>
      <c r="B3977" t="s">
        <v>2672</v>
      </c>
      <c r="C3977" t="s">
        <v>235</v>
      </c>
      <c r="D3977" t="s">
        <v>1210</v>
      </c>
      <c r="E3977" t="s">
        <v>558</v>
      </c>
      <c r="F3977" t="s">
        <v>1068</v>
      </c>
      <c r="G3977" t="s">
        <v>1080</v>
      </c>
      <c r="H3977" s="171" t="s">
        <v>2674</v>
      </c>
      <c r="I3977" t="s">
        <v>1082</v>
      </c>
      <c r="J3977">
        <v>7.62</v>
      </c>
    </row>
    <row r="3978" spans="1:10" hidden="1">
      <c r="A3978" t="s">
        <v>2671</v>
      </c>
      <c r="B3978" t="s">
        <v>2672</v>
      </c>
      <c r="C3978" t="s">
        <v>235</v>
      </c>
      <c r="D3978" t="s">
        <v>1210</v>
      </c>
      <c r="E3978" t="s">
        <v>558</v>
      </c>
      <c r="F3978" t="s">
        <v>1068</v>
      </c>
      <c r="G3978" t="s">
        <v>1083</v>
      </c>
      <c r="H3978" s="170">
        <v>-9.0724773445631506E-6</v>
      </c>
      <c r="I3978" t="s">
        <v>1084</v>
      </c>
      <c r="J3978">
        <v>7.62</v>
      </c>
    </row>
    <row r="3979" spans="1:10" hidden="1">
      <c r="A3979" t="s">
        <v>2671</v>
      </c>
      <c r="B3979" t="s">
        <v>2672</v>
      </c>
      <c r="C3979" t="s">
        <v>235</v>
      </c>
      <c r="D3979" t="s">
        <v>1210</v>
      </c>
      <c r="E3979" t="s">
        <v>558</v>
      </c>
      <c r="F3979" t="s">
        <v>1068</v>
      </c>
      <c r="G3979" t="s">
        <v>1085</v>
      </c>
      <c r="H3979" s="170">
        <v>-4.9676616748538E-5</v>
      </c>
      <c r="I3979" t="s">
        <v>1086</v>
      </c>
      <c r="J3979">
        <v>7.62</v>
      </c>
    </row>
    <row r="3980" spans="1:10" hidden="1">
      <c r="A3980" t="s">
        <v>2671</v>
      </c>
      <c r="B3980" t="s">
        <v>2672</v>
      </c>
      <c r="C3980" t="s">
        <v>235</v>
      </c>
      <c r="D3980" t="s">
        <v>1210</v>
      </c>
      <c r="E3980" t="s">
        <v>558</v>
      </c>
      <c r="F3980" t="s">
        <v>1068</v>
      </c>
      <c r="G3980" t="s">
        <v>1087</v>
      </c>
      <c r="H3980" s="171" t="s">
        <v>2675</v>
      </c>
      <c r="I3980" t="s">
        <v>1088</v>
      </c>
      <c r="J3980">
        <v>7.62</v>
      </c>
    </row>
    <row r="3981" spans="1:10" hidden="1">
      <c r="A3981" t="s">
        <v>2671</v>
      </c>
      <c r="B3981" t="s">
        <v>2672</v>
      </c>
      <c r="C3981" t="s">
        <v>235</v>
      </c>
      <c r="D3981" t="s">
        <v>1210</v>
      </c>
      <c r="E3981" t="s">
        <v>558</v>
      </c>
      <c r="F3981" t="s">
        <v>1068</v>
      </c>
      <c r="G3981" t="s">
        <v>1089</v>
      </c>
      <c r="H3981" s="171" t="s">
        <v>2676</v>
      </c>
      <c r="I3981" t="s">
        <v>1090</v>
      </c>
      <c r="J3981">
        <v>7.62</v>
      </c>
    </row>
    <row r="3982" spans="1:10" hidden="1">
      <c r="A3982" t="s">
        <v>2677</v>
      </c>
      <c r="B3982" t="s">
        <v>2678</v>
      </c>
      <c r="C3982" t="s">
        <v>235</v>
      </c>
      <c r="D3982" t="s">
        <v>1210</v>
      </c>
      <c r="E3982" t="s">
        <v>553</v>
      </c>
      <c r="F3982" t="s">
        <v>1068</v>
      </c>
      <c r="G3982" t="s">
        <v>1069</v>
      </c>
      <c r="H3982">
        <v>-1.5926953034050999E-2</v>
      </c>
      <c r="I3982" t="s">
        <v>1070</v>
      </c>
      <c r="J3982">
        <v>7.07</v>
      </c>
    </row>
    <row r="3983" spans="1:10" hidden="1">
      <c r="A3983" t="s">
        <v>2677</v>
      </c>
      <c r="B3983" t="s">
        <v>2678</v>
      </c>
      <c r="C3983" t="s">
        <v>235</v>
      </c>
      <c r="D3983" t="s">
        <v>1210</v>
      </c>
      <c r="E3983" t="s">
        <v>553</v>
      </c>
      <c r="F3983" t="s">
        <v>1068</v>
      </c>
      <c r="G3983" t="s">
        <v>1071</v>
      </c>
      <c r="H3983" s="170">
        <v>-8.9381732967868497E-11</v>
      </c>
      <c r="I3983" t="s">
        <v>1072</v>
      </c>
      <c r="J3983">
        <v>7.07</v>
      </c>
    </row>
    <row r="3984" spans="1:10" hidden="1">
      <c r="A3984" t="s">
        <v>2677</v>
      </c>
      <c r="B3984" t="s">
        <v>2678</v>
      </c>
      <c r="C3984" t="s">
        <v>235</v>
      </c>
      <c r="D3984" t="s">
        <v>1210</v>
      </c>
      <c r="E3984" t="s">
        <v>553</v>
      </c>
      <c r="F3984" t="s">
        <v>1068</v>
      </c>
      <c r="G3984" t="s">
        <v>1073</v>
      </c>
      <c r="H3984" s="170">
        <v>-2.4865572227395802E-9</v>
      </c>
      <c r="I3984" t="s">
        <v>1074</v>
      </c>
      <c r="J3984">
        <v>7.07</v>
      </c>
    </row>
    <row r="3985" spans="1:10" hidden="1">
      <c r="A3985" t="s">
        <v>2677</v>
      </c>
      <c r="B3985" t="s">
        <v>2678</v>
      </c>
      <c r="C3985" t="s">
        <v>235</v>
      </c>
      <c r="D3985" t="s">
        <v>1210</v>
      </c>
      <c r="E3985" t="s">
        <v>553</v>
      </c>
      <c r="F3985" t="s">
        <v>1068</v>
      </c>
      <c r="G3985" t="s">
        <v>1075</v>
      </c>
      <c r="H3985">
        <v>1.6268591833573699E-3</v>
      </c>
      <c r="I3985" t="s">
        <v>1077</v>
      </c>
      <c r="J3985">
        <v>7.07</v>
      </c>
    </row>
    <row r="3986" spans="1:10" hidden="1">
      <c r="A3986" t="s">
        <v>2677</v>
      </c>
      <c r="B3986" t="s">
        <v>2678</v>
      </c>
      <c r="C3986" t="s">
        <v>235</v>
      </c>
      <c r="D3986" t="s">
        <v>1210</v>
      </c>
      <c r="E3986" t="s">
        <v>553</v>
      </c>
      <c r="F3986" t="s">
        <v>1068</v>
      </c>
      <c r="G3986" t="s">
        <v>1078</v>
      </c>
      <c r="H3986" s="171" t="s">
        <v>2679</v>
      </c>
      <c r="I3986" t="s">
        <v>1079</v>
      </c>
      <c r="J3986">
        <v>7.07</v>
      </c>
    </row>
    <row r="3987" spans="1:10" hidden="1">
      <c r="A3987" t="s">
        <v>2677</v>
      </c>
      <c r="B3987" t="s">
        <v>2678</v>
      </c>
      <c r="C3987" t="s">
        <v>235</v>
      </c>
      <c r="D3987" t="s">
        <v>1210</v>
      </c>
      <c r="E3987" t="s">
        <v>553</v>
      </c>
      <c r="F3987" t="s">
        <v>1068</v>
      </c>
      <c r="G3987" t="s">
        <v>1080</v>
      </c>
      <c r="H3987" s="171" t="s">
        <v>2680</v>
      </c>
      <c r="I3987" t="s">
        <v>1082</v>
      </c>
      <c r="J3987">
        <v>7.07</v>
      </c>
    </row>
    <row r="3988" spans="1:10" hidden="1">
      <c r="A3988" t="s">
        <v>2677</v>
      </c>
      <c r="B3988" t="s">
        <v>2678</v>
      </c>
      <c r="C3988" t="s">
        <v>235</v>
      </c>
      <c r="D3988" t="s">
        <v>1210</v>
      </c>
      <c r="E3988" t="s">
        <v>553</v>
      </c>
      <c r="F3988" t="s">
        <v>1068</v>
      </c>
      <c r="G3988" t="s">
        <v>1083</v>
      </c>
      <c r="H3988" s="170">
        <v>-8.9926036726024402E-6</v>
      </c>
      <c r="I3988" t="s">
        <v>1084</v>
      </c>
      <c r="J3988">
        <v>7.07</v>
      </c>
    </row>
    <row r="3989" spans="1:10" hidden="1">
      <c r="A3989" t="s">
        <v>2677</v>
      </c>
      <c r="B3989" t="s">
        <v>2678</v>
      </c>
      <c r="C3989" t="s">
        <v>235</v>
      </c>
      <c r="D3989" t="s">
        <v>1210</v>
      </c>
      <c r="E3989" t="s">
        <v>553</v>
      </c>
      <c r="F3989" t="s">
        <v>1068</v>
      </c>
      <c r="G3989" t="s">
        <v>1085</v>
      </c>
      <c r="H3989" s="170">
        <v>-4.8377639154843602E-5</v>
      </c>
      <c r="I3989" t="s">
        <v>1086</v>
      </c>
      <c r="J3989">
        <v>7.07</v>
      </c>
    </row>
    <row r="3990" spans="1:10" hidden="1">
      <c r="A3990" t="s">
        <v>2677</v>
      </c>
      <c r="B3990" t="s">
        <v>2678</v>
      </c>
      <c r="C3990" t="s">
        <v>235</v>
      </c>
      <c r="D3990" t="s">
        <v>1210</v>
      </c>
      <c r="E3990" t="s">
        <v>553</v>
      </c>
      <c r="F3990" t="s">
        <v>1068</v>
      </c>
      <c r="G3990" t="s">
        <v>1087</v>
      </c>
      <c r="H3990" s="171" t="s">
        <v>2681</v>
      </c>
      <c r="I3990" t="s">
        <v>1088</v>
      </c>
      <c r="J3990">
        <v>7.07</v>
      </c>
    </row>
    <row r="3991" spans="1:10" hidden="1">
      <c r="A3991" t="s">
        <v>2677</v>
      </c>
      <c r="B3991" t="s">
        <v>2678</v>
      </c>
      <c r="C3991" t="s">
        <v>235</v>
      </c>
      <c r="D3991" t="s">
        <v>1210</v>
      </c>
      <c r="E3991" t="s">
        <v>553</v>
      </c>
      <c r="F3991" t="s">
        <v>1068</v>
      </c>
      <c r="G3991" t="s">
        <v>1089</v>
      </c>
      <c r="H3991" s="171" t="s">
        <v>2682</v>
      </c>
      <c r="I3991" t="s">
        <v>1090</v>
      </c>
      <c r="J3991">
        <v>7.07</v>
      </c>
    </row>
    <row r="3992" spans="1:10" hidden="1">
      <c r="A3992" t="s">
        <v>2683</v>
      </c>
      <c r="B3992" t="s">
        <v>2684</v>
      </c>
      <c r="C3992" t="s">
        <v>235</v>
      </c>
      <c r="D3992" t="s">
        <v>1210</v>
      </c>
      <c r="E3992" t="s">
        <v>556</v>
      </c>
      <c r="F3992" t="s">
        <v>1068</v>
      </c>
      <c r="G3992" t="s">
        <v>1069</v>
      </c>
      <c r="H3992">
        <v>-1.07935254788218E-2</v>
      </c>
      <c r="I3992" t="s">
        <v>1070</v>
      </c>
      <c r="J3992">
        <v>7.92</v>
      </c>
    </row>
    <row r="3993" spans="1:10" hidden="1">
      <c r="A3993" t="s">
        <v>2683</v>
      </c>
      <c r="B3993" t="s">
        <v>2684</v>
      </c>
      <c r="C3993" t="s">
        <v>235</v>
      </c>
      <c r="D3993" t="s">
        <v>1210</v>
      </c>
      <c r="E3993" t="s">
        <v>556</v>
      </c>
      <c r="F3993" t="s">
        <v>1068</v>
      </c>
      <c r="G3993" t="s">
        <v>1071</v>
      </c>
      <c r="H3993" s="170">
        <v>-8.1421899883130404E-11</v>
      </c>
      <c r="I3993" t="s">
        <v>1072</v>
      </c>
      <c r="J3993">
        <v>7.92</v>
      </c>
    </row>
    <row r="3994" spans="1:10" hidden="1">
      <c r="A3994" t="s">
        <v>2683</v>
      </c>
      <c r="B3994" t="s">
        <v>2684</v>
      </c>
      <c r="C3994" t="s">
        <v>235</v>
      </c>
      <c r="D3994" t="s">
        <v>1210</v>
      </c>
      <c r="E3994" t="s">
        <v>556</v>
      </c>
      <c r="F3994" t="s">
        <v>1068</v>
      </c>
      <c r="G3994" t="s">
        <v>1073</v>
      </c>
      <c r="H3994" s="170">
        <v>-6.4557190997697698E-10</v>
      </c>
      <c r="I3994" t="s">
        <v>1074</v>
      </c>
      <c r="J3994">
        <v>7.92</v>
      </c>
    </row>
    <row r="3995" spans="1:10" hidden="1">
      <c r="A3995" t="s">
        <v>2683</v>
      </c>
      <c r="B3995" t="s">
        <v>2684</v>
      </c>
      <c r="C3995" t="s">
        <v>235</v>
      </c>
      <c r="D3995" t="s">
        <v>1210</v>
      </c>
      <c r="E3995" t="s">
        <v>556</v>
      </c>
      <c r="F3995" t="s">
        <v>1068</v>
      </c>
      <c r="G3995" t="s">
        <v>1075</v>
      </c>
      <c r="H3995">
        <v>2.05802262267405E-3</v>
      </c>
      <c r="I3995" t="s">
        <v>1077</v>
      </c>
      <c r="J3995">
        <v>7.92</v>
      </c>
    </row>
    <row r="3996" spans="1:10" hidden="1">
      <c r="A3996" t="s">
        <v>2683</v>
      </c>
      <c r="B3996" t="s">
        <v>2684</v>
      </c>
      <c r="C3996" t="s">
        <v>235</v>
      </c>
      <c r="D3996" t="s">
        <v>1210</v>
      </c>
      <c r="E3996" t="s">
        <v>556</v>
      </c>
      <c r="F3996" t="s">
        <v>1068</v>
      </c>
      <c r="G3996" t="s">
        <v>1078</v>
      </c>
      <c r="H3996" s="171" t="s">
        <v>2685</v>
      </c>
      <c r="I3996" t="s">
        <v>1079</v>
      </c>
      <c r="J3996">
        <v>7.92</v>
      </c>
    </row>
    <row r="3997" spans="1:10" hidden="1">
      <c r="A3997" t="s">
        <v>2683</v>
      </c>
      <c r="B3997" t="s">
        <v>2684</v>
      </c>
      <c r="C3997" t="s">
        <v>235</v>
      </c>
      <c r="D3997" t="s">
        <v>1210</v>
      </c>
      <c r="E3997" t="s">
        <v>556</v>
      </c>
      <c r="F3997" t="s">
        <v>1068</v>
      </c>
      <c r="G3997" t="s">
        <v>1080</v>
      </c>
      <c r="H3997" s="171" t="s">
        <v>2686</v>
      </c>
      <c r="I3997" t="s">
        <v>1082</v>
      </c>
      <c r="J3997">
        <v>7.92</v>
      </c>
    </row>
    <row r="3998" spans="1:10" hidden="1">
      <c r="A3998" t="s">
        <v>2683</v>
      </c>
      <c r="B3998" t="s">
        <v>2684</v>
      </c>
      <c r="C3998" t="s">
        <v>235</v>
      </c>
      <c r="D3998" t="s">
        <v>1210</v>
      </c>
      <c r="E3998" t="s">
        <v>556</v>
      </c>
      <c r="F3998" t="s">
        <v>1068</v>
      </c>
      <c r="G3998" t="s">
        <v>1083</v>
      </c>
      <c r="H3998" s="170">
        <v>-8.2122396226882895E-6</v>
      </c>
      <c r="I3998" t="s">
        <v>1084</v>
      </c>
      <c r="J3998">
        <v>7.92</v>
      </c>
    </row>
    <row r="3999" spans="1:10" hidden="1">
      <c r="A3999" t="s">
        <v>2683</v>
      </c>
      <c r="B3999" t="s">
        <v>2684</v>
      </c>
      <c r="C3999" t="s">
        <v>235</v>
      </c>
      <c r="D3999" t="s">
        <v>1210</v>
      </c>
      <c r="E3999" t="s">
        <v>556</v>
      </c>
      <c r="F3999" t="s">
        <v>1068</v>
      </c>
      <c r="G3999" t="s">
        <v>1085</v>
      </c>
      <c r="H3999" s="170">
        <v>-3.81451990895762E-5</v>
      </c>
      <c r="I3999" t="s">
        <v>1086</v>
      </c>
      <c r="J3999">
        <v>7.92</v>
      </c>
    </row>
    <row r="4000" spans="1:10" hidden="1">
      <c r="A4000" t="s">
        <v>2683</v>
      </c>
      <c r="B4000" t="s">
        <v>2684</v>
      </c>
      <c r="C4000" t="s">
        <v>235</v>
      </c>
      <c r="D4000" t="s">
        <v>1210</v>
      </c>
      <c r="E4000" t="s">
        <v>556</v>
      </c>
      <c r="F4000" t="s">
        <v>1068</v>
      </c>
      <c r="G4000" t="s">
        <v>1087</v>
      </c>
      <c r="H4000" s="171" t="s">
        <v>2687</v>
      </c>
      <c r="I4000" t="s">
        <v>1088</v>
      </c>
      <c r="J4000">
        <v>7.92</v>
      </c>
    </row>
    <row r="4001" spans="1:10" hidden="1">
      <c r="A4001" t="s">
        <v>2683</v>
      </c>
      <c r="B4001" t="s">
        <v>2684</v>
      </c>
      <c r="C4001" t="s">
        <v>235</v>
      </c>
      <c r="D4001" t="s">
        <v>1210</v>
      </c>
      <c r="E4001" t="s">
        <v>556</v>
      </c>
      <c r="F4001" t="s">
        <v>1068</v>
      </c>
      <c r="G4001" t="s">
        <v>1089</v>
      </c>
      <c r="H4001" s="171" t="s">
        <v>2688</v>
      </c>
      <c r="I4001" t="s">
        <v>1090</v>
      </c>
      <c r="J4001">
        <v>7.92</v>
      </c>
    </row>
    <row r="4002" spans="1:10" hidden="1">
      <c r="A4002" t="s">
        <v>2689</v>
      </c>
      <c r="B4002" t="s">
        <v>2690</v>
      </c>
      <c r="C4002" t="s">
        <v>235</v>
      </c>
      <c r="D4002" t="s">
        <v>1210</v>
      </c>
      <c r="E4002" t="s">
        <v>557</v>
      </c>
      <c r="F4002" t="s">
        <v>1068</v>
      </c>
      <c r="G4002" t="s">
        <v>1069</v>
      </c>
      <c r="H4002">
        <v>-2.0243755503990098E-2</v>
      </c>
      <c r="I4002" t="s">
        <v>1070</v>
      </c>
      <c r="J4002">
        <v>7.3</v>
      </c>
    </row>
    <row r="4003" spans="1:10" hidden="1">
      <c r="A4003" t="s">
        <v>2689</v>
      </c>
      <c r="B4003" t="s">
        <v>2690</v>
      </c>
      <c r="C4003" t="s">
        <v>235</v>
      </c>
      <c r="D4003" t="s">
        <v>1210</v>
      </c>
      <c r="E4003" t="s">
        <v>557</v>
      </c>
      <c r="F4003" t="s">
        <v>1068</v>
      </c>
      <c r="G4003" t="s">
        <v>1071</v>
      </c>
      <c r="H4003" s="170">
        <v>-9.5730074262580594E-11</v>
      </c>
      <c r="I4003" t="s">
        <v>1072</v>
      </c>
      <c r="J4003">
        <v>7.3</v>
      </c>
    </row>
    <row r="4004" spans="1:10" hidden="1">
      <c r="A4004" t="s">
        <v>2689</v>
      </c>
      <c r="B4004" t="s">
        <v>2690</v>
      </c>
      <c r="C4004" t="s">
        <v>235</v>
      </c>
      <c r="D4004" t="s">
        <v>1210</v>
      </c>
      <c r="E4004" t="s">
        <v>557</v>
      </c>
      <c r="F4004" t="s">
        <v>1068</v>
      </c>
      <c r="G4004" t="s">
        <v>1073</v>
      </c>
      <c r="H4004" s="170">
        <v>-4.02398171239529E-9</v>
      </c>
      <c r="I4004" t="s">
        <v>1074</v>
      </c>
      <c r="J4004">
        <v>7.3</v>
      </c>
    </row>
    <row r="4005" spans="1:10" hidden="1">
      <c r="A4005" t="s">
        <v>2689</v>
      </c>
      <c r="B4005" t="s">
        <v>2690</v>
      </c>
      <c r="C4005" t="s">
        <v>235</v>
      </c>
      <c r="D4005" t="s">
        <v>1210</v>
      </c>
      <c r="E4005" t="s">
        <v>557</v>
      </c>
      <c r="F4005" t="s">
        <v>1068</v>
      </c>
      <c r="G4005" t="s">
        <v>1075</v>
      </c>
      <c r="H4005">
        <v>1.4151069257909599E-3</v>
      </c>
      <c r="I4005" t="s">
        <v>1077</v>
      </c>
      <c r="J4005">
        <v>7.3</v>
      </c>
    </row>
    <row r="4006" spans="1:10" hidden="1">
      <c r="A4006" t="s">
        <v>2689</v>
      </c>
      <c r="B4006" t="s">
        <v>2690</v>
      </c>
      <c r="C4006" t="s">
        <v>235</v>
      </c>
      <c r="D4006" t="s">
        <v>1210</v>
      </c>
      <c r="E4006" t="s">
        <v>557</v>
      </c>
      <c r="F4006" t="s">
        <v>1068</v>
      </c>
      <c r="G4006" t="s">
        <v>1078</v>
      </c>
      <c r="H4006" s="171" t="s">
        <v>2691</v>
      </c>
      <c r="I4006" t="s">
        <v>1079</v>
      </c>
      <c r="J4006">
        <v>7.3</v>
      </c>
    </row>
    <row r="4007" spans="1:10" hidden="1">
      <c r="A4007" t="s">
        <v>2689</v>
      </c>
      <c r="B4007" t="s">
        <v>2690</v>
      </c>
      <c r="C4007" t="s">
        <v>235</v>
      </c>
      <c r="D4007" t="s">
        <v>1210</v>
      </c>
      <c r="E4007" t="s">
        <v>557</v>
      </c>
      <c r="F4007" t="s">
        <v>1068</v>
      </c>
      <c r="G4007" t="s">
        <v>1080</v>
      </c>
      <c r="H4007" s="171" t="s">
        <v>2692</v>
      </c>
      <c r="I4007" t="s">
        <v>1082</v>
      </c>
      <c r="J4007">
        <v>7.3</v>
      </c>
    </row>
    <row r="4008" spans="1:10" hidden="1">
      <c r="A4008" t="s">
        <v>2689</v>
      </c>
      <c r="B4008" t="s">
        <v>2690</v>
      </c>
      <c r="C4008" t="s">
        <v>235</v>
      </c>
      <c r="D4008" t="s">
        <v>1210</v>
      </c>
      <c r="E4008" t="s">
        <v>557</v>
      </c>
      <c r="F4008" t="s">
        <v>1068</v>
      </c>
      <c r="G4008" t="s">
        <v>1083</v>
      </c>
      <c r="H4008" s="170">
        <v>-9.6482853875769904E-6</v>
      </c>
      <c r="I4008" t="s">
        <v>1084</v>
      </c>
      <c r="J4008">
        <v>7.3</v>
      </c>
    </row>
    <row r="4009" spans="1:10" hidden="1">
      <c r="A4009" t="s">
        <v>2689</v>
      </c>
      <c r="B4009" t="s">
        <v>2690</v>
      </c>
      <c r="C4009" t="s">
        <v>235</v>
      </c>
      <c r="D4009" t="s">
        <v>1210</v>
      </c>
      <c r="E4009" t="s">
        <v>557</v>
      </c>
      <c r="F4009" t="s">
        <v>1068</v>
      </c>
      <c r="G4009" t="s">
        <v>1085</v>
      </c>
      <c r="H4009" s="170">
        <v>-5.6184416279140901E-5</v>
      </c>
      <c r="I4009" t="s">
        <v>1086</v>
      </c>
      <c r="J4009">
        <v>7.3</v>
      </c>
    </row>
    <row r="4010" spans="1:10" hidden="1">
      <c r="A4010" t="s">
        <v>2689</v>
      </c>
      <c r="B4010" t="s">
        <v>2690</v>
      </c>
      <c r="C4010" t="s">
        <v>235</v>
      </c>
      <c r="D4010" t="s">
        <v>1210</v>
      </c>
      <c r="E4010" t="s">
        <v>557</v>
      </c>
      <c r="F4010" t="s">
        <v>1068</v>
      </c>
      <c r="G4010" t="s">
        <v>1087</v>
      </c>
      <c r="H4010" s="171" t="s">
        <v>2693</v>
      </c>
      <c r="I4010" t="s">
        <v>1088</v>
      </c>
      <c r="J4010">
        <v>7.3</v>
      </c>
    </row>
    <row r="4011" spans="1:10" hidden="1">
      <c r="A4011" t="s">
        <v>2689</v>
      </c>
      <c r="B4011" t="s">
        <v>2690</v>
      </c>
      <c r="C4011" t="s">
        <v>235</v>
      </c>
      <c r="D4011" t="s">
        <v>1210</v>
      </c>
      <c r="E4011" t="s">
        <v>557</v>
      </c>
      <c r="F4011" t="s">
        <v>1068</v>
      </c>
      <c r="G4011" t="s">
        <v>1089</v>
      </c>
      <c r="H4011" s="171" t="s">
        <v>2694</v>
      </c>
      <c r="I4011" t="s">
        <v>1090</v>
      </c>
      <c r="J4011">
        <v>7.3</v>
      </c>
    </row>
    <row r="4012" spans="1:10" hidden="1">
      <c r="A4012" t="s">
        <v>2695</v>
      </c>
      <c r="B4012" t="s">
        <v>2696</v>
      </c>
      <c r="C4012" t="s">
        <v>235</v>
      </c>
      <c r="D4012" t="s">
        <v>1210</v>
      </c>
      <c r="E4012" t="s">
        <v>559</v>
      </c>
      <c r="F4012" t="s">
        <v>1068</v>
      </c>
      <c r="G4012" t="s">
        <v>1069</v>
      </c>
      <c r="H4012">
        <v>-2.37115316755966E-2</v>
      </c>
      <c r="I4012" t="s">
        <v>1070</v>
      </c>
      <c r="J4012">
        <v>7.84</v>
      </c>
    </row>
    <row r="4013" spans="1:10" hidden="1">
      <c r="A4013" t="s">
        <v>2695</v>
      </c>
      <c r="B4013" t="s">
        <v>2696</v>
      </c>
      <c r="C4013" t="s">
        <v>235</v>
      </c>
      <c r="D4013" t="s">
        <v>1210</v>
      </c>
      <c r="E4013" t="s">
        <v>559</v>
      </c>
      <c r="F4013" t="s">
        <v>1068</v>
      </c>
      <c r="G4013" t="s">
        <v>1071</v>
      </c>
      <c r="H4013" s="170">
        <v>-1.0052155356816799E-10</v>
      </c>
      <c r="I4013" t="s">
        <v>1072</v>
      </c>
      <c r="J4013">
        <v>7.84</v>
      </c>
    </row>
    <row r="4014" spans="1:10" hidden="1">
      <c r="A4014" t="s">
        <v>2695</v>
      </c>
      <c r="B4014" t="s">
        <v>2696</v>
      </c>
      <c r="C4014" t="s">
        <v>235</v>
      </c>
      <c r="D4014" t="s">
        <v>1210</v>
      </c>
      <c r="E4014" t="s">
        <v>559</v>
      </c>
      <c r="F4014" t="s">
        <v>1068</v>
      </c>
      <c r="G4014" t="s">
        <v>1073</v>
      </c>
      <c r="H4014" s="170">
        <v>-5.2516641881229298E-9</v>
      </c>
      <c r="I4014" t="s">
        <v>1074</v>
      </c>
      <c r="J4014">
        <v>7.84</v>
      </c>
    </row>
    <row r="4015" spans="1:10" hidden="1">
      <c r="A4015" t="s">
        <v>2695</v>
      </c>
      <c r="B4015" t="s">
        <v>2696</v>
      </c>
      <c r="C4015" t="s">
        <v>235</v>
      </c>
      <c r="D4015" t="s">
        <v>1210</v>
      </c>
      <c r="E4015" t="s">
        <v>559</v>
      </c>
      <c r="F4015" t="s">
        <v>1068</v>
      </c>
      <c r="G4015" t="s">
        <v>1075</v>
      </c>
      <c r="H4015">
        <v>1.38078033647006E-3</v>
      </c>
      <c r="I4015" t="s">
        <v>1077</v>
      </c>
      <c r="J4015">
        <v>7.84</v>
      </c>
    </row>
    <row r="4016" spans="1:10" hidden="1">
      <c r="A4016" t="s">
        <v>2695</v>
      </c>
      <c r="B4016" t="s">
        <v>2696</v>
      </c>
      <c r="C4016" t="s">
        <v>235</v>
      </c>
      <c r="D4016" t="s">
        <v>1210</v>
      </c>
      <c r="E4016" t="s">
        <v>559</v>
      </c>
      <c r="F4016" t="s">
        <v>1068</v>
      </c>
      <c r="G4016" t="s">
        <v>1078</v>
      </c>
      <c r="H4016" s="171" t="s">
        <v>2697</v>
      </c>
      <c r="I4016" t="s">
        <v>1079</v>
      </c>
      <c r="J4016">
        <v>7.84</v>
      </c>
    </row>
    <row r="4017" spans="1:10" hidden="1">
      <c r="A4017" t="s">
        <v>2695</v>
      </c>
      <c r="B4017" t="s">
        <v>2696</v>
      </c>
      <c r="C4017" t="s">
        <v>235</v>
      </c>
      <c r="D4017" t="s">
        <v>1210</v>
      </c>
      <c r="E4017" t="s">
        <v>559</v>
      </c>
      <c r="F4017" t="s">
        <v>1068</v>
      </c>
      <c r="G4017" t="s">
        <v>1080</v>
      </c>
      <c r="H4017" s="171" t="s">
        <v>2698</v>
      </c>
      <c r="I4017" t="s">
        <v>1082</v>
      </c>
      <c r="J4017">
        <v>7.84</v>
      </c>
    </row>
    <row r="4018" spans="1:10" hidden="1">
      <c r="A4018" t="s">
        <v>2695</v>
      </c>
      <c r="B4018" t="s">
        <v>2696</v>
      </c>
      <c r="C4018" t="s">
        <v>235</v>
      </c>
      <c r="D4018" t="s">
        <v>1210</v>
      </c>
      <c r="E4018" t="s">
        <v>559</v>
      </c>
      <c r="F4018" t="s">
        <v>1068</v>
      </c>
      <c r="G4018" t="s">
        <v>1083</v>
      </c>
      <c r="H4018" s="170">
        <v>-1.0175864666316999E-5</v>
      </c>
      <c r="I4018" t="s">
        <v>1084</v>
      </c>
      <c r="J4018">
        <v>7.84</v>
      </c>
    </row>
    <row r="4019" spans="1:10" hidden="1">
      <c r="A4019" t="s">
        <v>2695</v>
      </c>
      <c r="B4019" t="s">
        <v>2696</v>
      </c>
      <c r="C4019" t="s">
        <v>235</v>
      </c>
      <c r="D4019" t="s">
        <v>1210</v>
      </c>
      <c r="E4019" t="s">
        <v>559</v>
      </c>
      <c r="F4019" t="s">
        <v>1068</v>
      </c>
      <c r="G4019" t="s">
        <v>1085</v>
      </c>
      <c r="H4019" s="170">
        <v>-6.1750889898575195E-5</v>
      </c>
      <c r="I4019" t="s">
        <v>1086</v>
      </c>
      <c r="J4019">
        <v>7.84</v>
      </c>
    </row>
    <row r="4020" spans="1:10" hidden="1">
      <c r="A4020" t="s">
        <v>2695</v>
      </c>
      <c r="B4020" t="s">
        <v>2696</v>
      </c>
      <c r="C4020" t="s">
        <v>235</v>
      </c>
      <c r="D4020" t="s">
        <v>1210</v>
      </c>
      <c r="E4020" t="s">
        <v>559</v>
      </c>
      <c r="F4020" t="s">
        <v>1068</v>
      </c>
      <c r="G4020" t="s">
        <v>1087</v>
      </c>
      <c r="H4020" s="171" t="s">
        <v>2699</v>
      </c>
      <c r="I4020" t="s">
        <v>1088</v>
      </c>
      <c r="J4020">
        <v>7.84</v>
      </c>
    </row>
    <row r="4021" spans="1:10" hidden="1">
      <c r="A4021" t="s">
        <v>2695</v>
      </c>
      <c r="B4021" t="s">
        <v>2696</v>
      </c>
      <c r="C4021" t="s">
        <v>235</v>
      </c>
      <c r="D4021" t="s">
        <v>1210</v>
      </c>
      <c r="E4021" t="s">
        <v>559</v>
      </c>
      <c r="F4021" t="s">
        <v>1068</v>
      </c>
      <c r="G4021" t="s">
        <v>1089</v>
      </c>
      <c r="H4021" s="170">
        <v>-6.0773276482920902E-7</v>
      </c>
      <c r="I4021" t="s">
        <v>1090</v>
      </c>
      <c r="J4021">
        <v>7.84</v>
      </c>
    </row>
    <row r="4022" spans="1:10" hidden="1">
      <c r="A4022" t="s">
        <v>2700</v>
      </c>
      <c r="B4022" t="s">
        <v>2701</v>
      </c>
      <c r="C4022" t="s">
        <v>235</v>
      </c>
      <c r="D4022" t="s">
        <v>1210</v>
      </c>
      <c r="E4022" t="s">
        <v>560</v>
      </c>
      <c r="F4022" t="s">
        <v>1068</v>
      </c>
      <c r="G4022" t="s">
        <v>1069</v>
      </c>
      <c r="H4022">
        <v>-2.2264125996310401E-2</v>
      </c>
      <c r="I4022" t="s">
        <v>1070</v>
      </c>
      <c r="J4022">
        <v>7.65</v>
      </c>
    </row>
    <row r="4023" spans="1:10" hidden="1">
      <c r="A4023" t="s">
        <v>2700</v>
      </c>
      <c r="B4023" t="s">
        <v>2701</v>
      </c>
      <c r="C4023" t="s">
        <v>235</v>
      </c>
      <c r="D4023" t="s">
        <v>1210</v>
      </c>
      <c r="E4023" t="s">
        <v>560</v>
      </c>
      <c r="F4023" t="s">
        <v>1068</v>
      </c>
      <c r="G4023" t="s">
        <v>1071</v>
      </c>
      <c r="H4023" s="170">
        <v>-9.8621247422612695E-11</v>
      </c>
      <c r="I4023" t="s">
        <v>1072</v>
      </c>
      <c r="J4023">
        <v>7.65</v>
      </c>
    </row>
    <row r="4024" spans="1:10" hidden="1">
      <c r="A4024" t="s">
        <v>2700</v>
      </c>
      <c r="B4024" t="s">
        <v>2701</v>
      </c>
      <c r="C4024" t="s">
        <v>235</v>
      </c>
      <c r="D4024" t="s">
        <v>1210</v>
      </c>
      <c r="E4024" t="s">
        <v>560</v>
      </c>
      <c r="F4024" t="s">
        <v>1068</v>
      </c>
      <c r="G4024" t="s">
        <v>1073</v>
      </c>
      <c r="H4024" s="170">
        <v>-4.7416237041089299E-9</v>
      </c>
      <c r="I4024" t="s">
        <v>1074</v>
      </c>
      <c r="J4024">
        <v>7.65</v>
      </c>
    </row>
    <row r="4025" spans="1:10" hidden="1">
      <c r="A4025" t="s">
        <v>2700</v>
      </c>
      <c r="B4025" t="s">
        <v>2701</v>
      </c>
      <c r="C4025" t="s">
        <v>235</v>
      </c>
      <c r="D4025" t="s">
        <v>1210</v>
      </c>
      <c r="E4025" t="s">
        <v>560</v>
      </c>
      <c r="F4025" t="s">
        <v>1068</v>
      </c>
      <c r="G4025" t="s">
        <v>1075</v>
      </c>
      <c r="H4025">
        <v>1.3512408562285901E-3</v>
      </c>
      <c r="I4025" t="s">
        <v>1077</v>
      </c>
      <c r="J4025">
        <v>7.65</v>
      </c>
    </row>
    <row r="4026" spans="1:10" hidden="1">
      <c r="A4026" t="s">
        <v>2700</v>
      </c>
      <c r="B4026" t="s">
        <v>2701</v>
      </c>
      <c r="C4026" t="s">
        <v>235</v>
      </c>
      <c r="D4026" t="s">
        <v>1210</v>
      </c>
      <c r="E4026" t="s">
        <v>560</v>
      </c>
      <c r="F4026" t="s">
        <v>1068</v>
      </c>
      <c r="G4026" t="s">
        <v>1078</v>
      </c>
      <c r="H4026" s="171" t="s">
        <v>2702</v>
      </c>
      <c r="I4026" t="s">
        <v>1079</v>
      </c>
      <c r="J4026">
        <v>7.65</v>
      </c>
    </row>
    <row r="4027" spans="1:10" hidden="1">
      <c r="A4027" t="s">
        <v>2700</v>
      </c>
      <c r="B4027" t="s">
        <v>2701</v>
      </c>
      <c r="C4027" t="s">
        <v>235</v>
      </c>
      <c r="D4027" t="s">
        <v>1210</v>
      </c>
      <c r="E4027" t="s">
        <v>560</v>
      </c>
      <c r="F4027" t="s">
        <v>1068</v>
      </c>
      <c r="G4027" t="s">
        <v>1080</v>
      </c>
      <c r="H4027" s="171" t="s">
        <v>2703</v>
      </c>
      <c r="I4027" t="s">
        <v>1082</v>
      </c>
      <c r="J4027">
        <v>7.65</v>
      </c>
    </row>
    <row r="4028" spans="1:10" hidden="1">
      <c r="A4028" t="s">
        <v>2700</v>
      </c>
      <c r="B4028" t="s">
        <v>2701</v>
      </c>
      <c r="C4028" t="s">
        <v>235</v>
      </c>
      <c r="D4028" t="s">
        <v>1210</v>
      </c>
      <c r="E4028" t="s">
        <v>560</v>
      </c>
      <c r="F4028" t="s">
        <v>1068</v>
      </c>
      <c r="G4028" t="s">
        <v>1083</v>
      </c>
      <c r="H4028" s="170">
        <v>-9.9553830105176993E-6</v>
      </c>
      <c r="I4028" t="s">
        <v>1084</v>
      </c>
      <c r="J4028">
        <v>7.65</v>
      </c>
    </row>
    <row r="4029" spans="1:10" hidden="1">
      <c r="A4029" t="s">
        <v>2700</v>
      </c>
      <c r="B4029" t="s">
        <v>2701</v>
      </c>
      <c r="C4029" t="s">
        <v>235</v>
      </c>
      <c r="D4029" t="s">
        <v>1210</v>
      </c>
      <c r="E4029" t="s">
        <v>560</v>
      </c>
      <c r="F4029" t="s">
        <v>1068</v>
      </c>
      <c r="G4029" t="s">
        <v>1085</v>
      </c>
      <c r="H4029" s="170">
        <v>-5.9655242695462499E-5</v>
      </c>
      <c r="I4029" t="s">
        <v>1086</v>
      </c>
      <c r="J4029">
        <v>7.65</v>
      </c>
    </row>
    <row r="4030" spans="1:10" hidden="1">
      <c r="A4030" t="s">
        <v>2700</v>
      </c>
      <c r="B4030" t="s">
        <v>2701</v>
      </c>
      <c r="C4030" t="s">
        <v>235</v>
      </c>
      <c r="D4030" t="s">
        <v>1210</v>
      </c>
      <c r="E4030" t="s">
        <v>560</v>
      </c>
      <c r="F4030" t="s">
        <v>1068</v>
      </c>
      <c r="G4030" t="s">
        <v>1087</v>
      </c>
      <c r="H4030" s="171" t="s">
        <v>2704</v>
      </c>
      <c r="I4030" t="s">
        <v>1088</v>
      </c>
      <c r="J4030">
        <v>7.65</v>
      </c>
    </row>
    <row r="4031" spans="1:10" hidden="1">
      <c r="A4031" t="s">
        <v>2700</v>
      </c>
      <c r="B4031" t="s">
        <v>2701</v>
      </c>
      <c r="C4031" t="s">
        <v>235</v>
      </c>
      <c r="D4031" t="s">
        <v>1210</v>
      </c>
      <c r="E4031" t="s">
        <v>560</v>
      </c>
      <c r="F4031" t="s">
        <v>1068</v>
      </c>
      <c r="G4031" t="s">
        <v>1089</v>
      </c>
      <c r="H4031" s="170">
        <v>-9.6757804893358703E-8</v>
      </c>
      <c r="I4031" t="s">
        <v>1090</v>
      </c>
      <c r="J4031">
        <v>7.65</v>
      </c>
    </row>
    <row r="4032" spans="1:10" hidden="1">
      <c r="A4032" t="s">
        <v>2705</v>
      </c>
      <c r="B4032" t="s">
        <v>2706</v>
      </c>
      <c r="C4032" t="s">
        <v>235</v>
      </c>
      <c r="D4032" t="s">
        <v>1210</v>
      </c>
      <c r="E4032" t="s">
        <v>1116</v>
      </c>
      <c r="F4032" t="s">
        <v>1068</v>
      </c>
      <c r="G4032" t="s">
        <v>1069</v>
      </c>
      <c r="H4032">
        <v>-1.6132098373164101E-2</v>
      </c>
      <c r="I4032" t="s">
        <v>1070</v>
      </c>
      <c r="J4032">
        <v>7.14</v>
      </c>
    </row>
    <row r="4033" spans="1:10" hidden="1">
      <c r="A4033" t="s">
        <v>2705</v>
      </c>
      <c r="B4033" t="s">
        <v>2706</v>
      </c>
      <c r="C4033" t="s">
        <v>235</v>
      </c>
      <c r="D4033" t="s">
        <v>1210</v>
      </c>
      <c r="E4033" t="s">
        <v>1116</v>
      </c>
      <c r="F4033" t="s">
        <v>1068</v>
      </c>
      <c r="G4033" t="s">
        <v>1071</v>
      </c>
      <c r="H4033" s="170">
        <v>-8.9846246130519998E-11</v>
      </c>
      <c r="I4033" t="s">
        <v>1072</v>
      </c>
      <c r="J4033">
        <v>7.14</v>
      </c>
    </row>
    <row r="4034" spans="1:10" hidden="1">
      <c r="A4034" t="s">
        <v>2705</v>
      </c>
      <c r="B4034" t="s">
        <v>2706</v>
      </c>
      <c r="C4034" t="s">
        <v>235</v>
      </c>
      <c r="D4034" t="s">
        <v>1210</v>
      </c>
      <c r="E4034" t="s">
        <v>1116</v>
      </c>
      <c r="F4034" t="s">
        <v>1068</v>
      </c>
      <c r="G4034" t="s">
        <v>1073</v>
      </c>
      <c r="H4034" s="170">
        <v>-2.5635080894506399E-9</v>
      </c>
      <c r="I4034" t="s">
        <v>1074</v>
      </c>
      <c r="J4034">
        <v>7.14</v>
      </c>
    </row>
    <row r="4035" spans="1:10" hidden="1">
      <c r="A4035" t="s">
        <v>2705</v>
      </c>
      <c r="B4035" t="s">
        <v>2706</v>
      </c>
      <c r="C4035" t="s">
        <v>235</v>
      </c>
      <c r="D4035" t="s">
        <v>1210</v>
      </c>
      <c r="E4035" t="s">
        <v>1116</v>
      </c>
      <c r="F4035" t="s">
        <v>1068</v>
      </c>
      <c r="G4035" t="s">
        <v>1075</v>
      </c>
      <c r="H4035">
        <v>1.54508080005416E-3</v>
      </c>
      <c r="I4035" t="s">
        <v>1077</v>
      </c>
      <c r="J4035">
        <v>7.14</v>
      </c>
    </row>
    <row r="4036" spans="1:10" hidden="1">
      <c r="A4036" t="s">
        <v>2705</v>
      </c>
      <c r="B4036" t="s">
        <v>2706</v>
      </c>
      <c r="C4036" t="s">
        <v>235</v>
      </c>
      <c r="D4036" t="s">
        <v>1210</v>
      </c>
      <c r="E4036" t="s">
        <v>1116</v>
      </c>
      <c r="F4036" t="s">
        <v>1068</v>
      </c>
      <c r="G4036" t="s">
        <v>1078</v>
      </c>
      <c r="H4036" s="171" t="s">
        <v>2707</v>
      </c>
      <c r="I4036" t="s">
        <v>1079</v>
      </c>
      <c r="J4036">
        <v>7.14</v>
      </c>
    </row>
    <row r="4037" spans="1:10" hidden="1">
      <c r="A4037" t="s">
        <v>2705</v>
      </c>
      <c r="B4037" t="s">
        <v>2706</v>
      </c>
      <c r="C4037" t="s">
        <v>235</v>
      </c>
      <c r="D4037" t="s">
        <v>1210</v>
      </c>
      <c r="E4037" t="s">
        <v>1116</v>
      </c>
      <c r="F4037" t="s">
        <v>1068</v>
      </c>
      <c r="G4037" t="s">
        <v>1080</v>
      </c>
      <c r="H4037" s="171" t="s">
        <v>2708</v>
      </c>
      <c r="I4037" t="s">
        <v>1082</v>
      </c>
      <c r="J4037">
        <v>7.14</v>
      </c>
    </row>
    <row r="4038" spans="1:10" hidden="1">
      <c r="A4038" t="s">
        <v>2705</v>
      </c>
      <c r="B4038" t="s">
        <v>2706</v>
      </c>
      <c r="C4038" t="s">
        <v>235</v>
      </c>
      <c r="D4038" t="s">
        <v>1210</v>
      </c>
      <c r="E4038" t="s">
        <v>1116</v>
      </c>
      <c r="F4038" t="s">
        <v>1068</v>
      </c>
      <c r="G4038" t="s">
        <v>1083</v>
      </c>
      <c r="H4038" s="170">
        <v>-9.0233108415600602E-6</v>
      </c>
      <c r="I4038" t="s">
        <v>1084</v>
      </c>
      <c r="J4038">
        <v>7.14</v>
      </c>
    </row>
    <row r="4039" spans="1:10" hidden="1">
      <c r="A4039" t="s">
        <v>2705</v>
      </c>
      <c r="B4039" t="s">
        <v>2706</v>
      </c>
      <c r="C4039" t="s">
        <v>235</v>
      </c>
      <c r="D4039" t="s">
        <v>1210</v>
      </c>
      <c r="E4039" t="s">
        <v>1116</v>
      </c>
      <c r="F4039" t="s">
        <v>1068</v>
      </c>
      <c r="G4039" t="s">
        <v>1085</v>
      </c>
      <c r="H4039" s="170">
        <v>-4.9120935477588402E-5</v>
      </c>
      <c r="I4039" t="s">
        <v>1086</v>
      </c>
      <c r="J4039">
        <v>7.14</v>
      </c>
    </row>
    <row r="4040" spans="1:10" hidden="1">
      <c r="A4040" t="s">
        <v>2705</v>
      </c>
      <c r="B4040" t="s">
        <v>2706</v>
      </c>
      <c r="C4040" t="s">
        <v>235</v>
      </c>
      <c r="D4040" t="s">
        <v>1210</v>
      </c>
      <c r="E4040" t="s">
        <v>1116</v>
      </c>
      <c r="F4040" t="s">
        <v>1068</v>
      </c>
      <c r="G4040" t="s">
        <v>1087</v>
      </c>
      <c r="H4040" s="171" t="s">
        <v>2709</v>
      </c>
      <c r="I4040" t="s">
        <v>1088</v>
      </c>
      <c r="J4040">
        <v>7.14</v>
      </c>
    </row>
    <row r="4041" spans="1:10" hidden="1">
      <c r="A4041" t="s">
        <v>2705</v>
      </c>
      <c r="B4041" t="s">
        <v>2706</v>
      </c>
      <c r="C4041" t="s">
        <v>235</v>
      </c>
      <c r="D4041" t="s">
        <v>1210</v>
      </c>
      <c r="E4041" t="s">
        <v>1116</v>
      </c>
      <c r="F4041" t="s">
        <v>1068</v>
      </c>
      <c r="G4041" t="s">
        <v>1089</v>
      </c>
      <c r="H4041" s="171" t="s">
        <v>2710</v>
      </c>
      <c r="I4041" t="s">
        <v>1090</v>
      </c>
      <c r="J4041">
        <v>7.14</v>
      </c>
    </row>
    <row r="4042" spans="1:10" hidden="1">
      <c r="A4042" t="s">
        <v>2711</v>
      </c>
      <c r="B4042" t="s">
        <v>2712</v>
      </c>
      <c r="C4042" t="s">
        <v>235</v>
      </c>
      <c r="D4042" t="s">
        <v>2713</v>
      </c>
      <c r="E4042" t="s">
        <v>561</v>
      </c>
      <c r="F4042" t="s">
        <v>1068</v>
      </c>
      <c r="G4042" t="s">
        <v>1069</v>
      </c>
      <c r="H4042">
        <v>7.1401340098666E-2</v>
      </c>
      <c r="I4042" t="s">
        <v>1070</v>
      </c>
      <c r="J4042">
        <v>7.59</v>
      </c>
    </row>
    <row r="4043" spans="1:10" hidden="1">
      <c r="A4043" t="s">
        <v>2711</v>
      </c>
      <c r="B4043" t="s">
        <v>2712</v>
      </c>
      <c r="C4043" t="s">
        <v>235</v>
      </c>
      <c r="D4043" t="s">
        <v>2713</v>
      </c>
      <c r="E4043" t="s">
        <v>561</v>
      </c>
      <c r="F4043" t="s">
        <v>1068</v>
      </c>
      <c r="G4043" t="s">
        <v>1071</v>
      </c>
      <c r="H4043" s="171" t="s">
        <v>2714</v>
      </c>
      <c r="I4043" t="s">
        <v>1072</v>
      </c>
      <c r="J4043">
        <v>7.59</v>
      </c>
    </row>
    <row r="4044" spans="1:10" hidden="1">
      <c r="A4044" t="s">
        <v>2711</v>
      </c>
      <c r="B4044" t="s">
        <v>2712</v>
      </c>
      <c r="C4044" t="s">
        <v>235</v>
      </c>
      <c r="D4044" t="s">
        <v>2713</v>
      </c>
      <c r="E4044" t="s">
        <v>561</v>
      </c>
      <c r="F4044" t="s">
        <v>1068</v>
      </c>
      <c r="G4044" t="s">
        <v>1073</v>
      </c>
      <c r="H4044" s="171" t="s">
        <v>2715</v>
      </c>
      <c r="I4044" t="s">
        <v>1074</v>
      </c>
      <c r="J4044">
        <v>7.59</v>
      </c>
    </row>
    <row r="4045" spans="1:10" hidden="1">
      <c r="A4045" t="s">
        <v>2711</v>
      </c>
      <c r="B4045" t="s">
        <v>2712</v>
      </c>
      <c r="C4045" t="s">
        <v>235</v>
      </c>
      <c r="D4045" t="s">
        <v>2713</v>
      </c>
      <c r="E4045" t="s">
        <v>561</v>
      </c>
      <c r="F4045" t="s">
        <v>1068</v>
      </c>
      <c r="G4045" t="s">
        <v>1075</v>
      </c>
      <c r="H4045">
        <v>3.47080626327731E-3</v>
      </c>
      <c r="I4045" t="s">
        <v>1077</v>
      </c>
      <c r="J4045">
        <v>7.59</v>
      </c>
    </row>
    <row r="4046" spans="1:10" hidden="1">
      <c r="A4046" t="s">
        <v>2711</v>
      </c>
      <c r="B4046" t="s">
        <v>2712</v>
      </c>
      <c r="C4046" t="s">
        <v>235</v>
      </c>
      <c r="D4046" t="s">
        <v>2713</v>
      </c>
      <c r="E4046" t="s">
        <v>561</v>
      </c>
      <c r="F4046" t="s">
        <v>1068</v>
      </c>
      <c r="G4046" t="s">
        <v>1078</v>
      </c>
      <c r="H4046">
        <v>2.6022304585445001E-2</v>
      </c>
      <c r="I4046" t="s">
        <v>1079</v>
      </c>
      <c r="J4046">
        <v>7.59</v>
      </c>
    </row>
    <row r="4047" spans="1:10" hidden="1">
      <c r="A4047" t="s">
        <v>2711</v>
      </c>
      <c r="B4047" t="s">
        <v>2712</v>
      </c>
      <c r="C4047" t="s">
        <v>235</v>
      </c>
      <c r="D4047" t="s">
        <v>2713</v>
      </c>
      <c r="E4047" t="s">
        <v>561</v>
      </c>
      <c r="F4047" t="s">
        <v>1068</v>
      </c>
      <c r="G4047" t="s">
        <v>1080</v>
      </c>
      <c r="H4047" s="171" t="s">
        <v>2716</v>
      </c>
      <c r="I4047" t="s">
        <v>1082</v>
      </c>
      <c r="J4047">
        <v>7.59</v>
      </c>
    </row>
    <row r="4048" spans="1:10" hidden="1">
      <c r="A4048" t="s">
        <v>2711</v>
      </c>
      <c r="B4048" t="s">
        <v>2712</v>
      </c>
      <c r="C4048" t="s">
        <v>235</v>
      </c>
      <c r="D4048" t="s">
        <v>2713</v>
      </c>
      <c r="E4048" t="s">
        <v>561</v>
      </c>
      <c r="F4048" t="s">
        <v>1068</v>
      </c>
      <c r="G4048" t="s">
        <v>1083</v>
      </c>
      <c r="H4048" s="171" t="s">
        <v>2717</v>
      </c>
      <c r="I4048" t="s">
        <v>1084</v>
      </c>
      <c r="J4048">
        <v>7.59</v>
      </c>
    </row>
    <row r="4049" spans="1:10" hidden="1">
      <c r="A4049" t="s">
        <v>2711</v>
      </c>
      <c r="B4049" t="s">
        <v>2712</v>
      </c>
      <c r="C4049" t="s">
        <v>235</v>
      </c>
      <c r="D4049" t="s">
        <v>2713</v>
      </c>
      <c r="E4049" t="s">
        <v>561</v>
      </c>
      <c r="F4049" t="s">
        <v>1068</v>
      </c>
      <c r="G4049" t="s">
        <v>1085</v>
      </c>
      <c r="H4049" s="171" t="s">
        <v>2718</v>
      </c>
      <c r="I4049" t="s">
        <v>1086</v>
      </c>
      <c r="J4049">
        <v>7.59</v>
      </c>
    </row>
    <row r="4050" spans="1:10" hidden="1">
      <c r="A4050" t="s">
        <v>2711</v>
      </c>
      <c r="B4050" t="s">
        <v>2712</v>
      </c>
      <c r="C4050" t="s">
        <v>235</v>
      </c>
      <c r="D4050" t="s">
        <v>2713</v>
      </c>
      <c r="E4050" t="s">
        <v>561</v>
      </c>
      <c r="F4050" t="s">
        <v>1068</v>
      </c>
      <c r="G4050" t="s">
        <v>1087</v>
      </c>
      <c r="H4050" s="171" t="s">
        <v>2719</v>
      </c>
      <c r="I4050" t="s">
        <v>1088</v>
      </c>
      <c r="J4050">
        <v>7.59</v>
      </c>
    </row>
    <row r="4051" spans="1:10" hidden="1">
      <c r="A4051" t="s">
        <v>2711</v>
      </c>
      <c r="B4051" t="s">
        <v>2712</v>
      </c>
      <c r="C4051" t="s">
        <v>235</v>
      </c>
      <c r="D4051" t="s">
        <v>2713</v>
      </c>
      <c r="E4051" t="s">
        <v>561</v>
      </c>
      <c r="F4051" t="s">
        <v>1068</v>
      </c>
      <c r="G4051" t="s">
        <v>1089</v>
      </c>
      <c r="H4051" s="171" t="s">
        <v>2720</v>
      </c>
      <c r="I4051" t="s">
        <v>1090</v>
      </c>
      <c r="J4051">
        <v>7.59</v>
      </c>
    </row>
    <row r="4052" spans="1:10" hidden="1">
      <c r="A4052" t="s">
        <v>2721</v>
      </c>
      <c r="B4052" t="s">
        <v>2722</v>
      </c>
      <c r="C4052" t="s">
        <v>235</v>
      </c>
      <c r="D4052" t="s">
        <v>2713</v>
      </c>
      <c r="E4052" t="s">
        <v>555</v>
      </c>
      <c r="F4052" t="s">
        <v>1068</v>
      </c>
      <c r="G4052" t="s">
        <v>1069</v>
      </c>
      <c r="H4052">
        <v>7.1431391263061902E-2</v>
      </c>
      <c r="I4052" t="s">
        <v>1070</v>
      </c>
      <c r="J4052">
        <v>7.75</v>
      </c>
    </row>
    <row r="4053" spans="1:10" hidden="1">
      <c r="A4053" t="s">
        <v>2721</v>
      </c>
      <c r="B4053" t="s">
        <v>2722</v>
      </c>
      <c r="C4053" t="s">
        <v>235</v>
      </c>
      <c r="D4053" t="s">
        <v>2713</v>
      </c>
      <c r="E4053" t="s">
        <v>555</v>
      </c>
      <c r="F4053" t="s">
        <v>1068</v>
      </c>
      <c r="G4053" t="s">
        <v>1071</v>
      </c>
      <c r="H4053" s="171" t="s">
        <v>2723</v>
      </c>
      <c r="I4053" t="s">
        <v>1072</v>
      </c>
      <c r="J4053">
        <v>7.75</v>
      </c>
    </row>
    <row r="4054" spans="1:10" hidden="1">
      <c r="A4054" t="s">
        <v>2721</v>
      </c>
      <c r="B4054" t="s">
        <v>2722</v>
      </c>
      <c r="C4054" t="s">
        <v>235</v>
      </c>
      <c r="D4054" t="s">
        <v>2713</v>
      </c>
      <c r="E4054" t="s">
        <v>555</v>
      </c>
      <c r="F4054" t="s">
        <v>1068</v>
      </c>
      <c r="G4054" t="s">
        <v>1073</v>
      </c>
      <c r="H4054" s="171" t="s">
        <v>2724</v>
      </c>
      <c r="I4054" t="s">
        <v>1074</v>
      </c>
      <c r="J4054">
        <v>7.75</v>
      </c>
    </row>
    <row r="4055" spans="1:10" hidden="1">
      <c r="A4055" t="s">
        <v>2721</v>
      </c>
      <c r="B4055" t="s">
        <v>2722</v>
      </c>
      <c r="C4055" t="s">
        <v>235</v>
      </c>
      <c r="D4055" t="s">
        <v>2713</v>
      </c>
      <c r="E4055" t="s">
        <v>555</v>
      </c>
      <c r="F4055" t="s">
        <v>1068</v>
      </c>
      <c r="G4055" t="s">
        <v>1075</v>
      </c>
      <c r="H4055">
        <v>3.47128247514817E-3</v>
      </c>
      <c r="I4055" t="s">
        <v>1077</v>
      </c>
      <c r="J4055">
        <v>7.75</v>
      </c>
    </row>
    <row r="4056" spans="1:10" hidden="1">
      <c r="A4056" t="s">
        <v>2721</v>
      </c>
      <c r="B4056" t="s">
        <v>2722</v>
      </c>
      <c r="C4056" t="s">
        <v>235</v>
      </c>
      <c r="D4056" t="s">
        <v>2713</v>
      </c>
      <c r="E4056" t="s">
        <v>555</v>
      </c>
      <c r="F4056" t="s">
        <v>1068</v>
      </c>
      <c r="G4056" t="s">
        <v>1078</v>
      </c>
      <c r="H4056">
        <v>2.6042893584184702E-2</v>
      </c>
      <c r="I4056" t="s">
        <v>1079</v>
      </c>
      <c r="J4056">
        <v>7.75</v>
      </c>
    </row>
    <row r="4057" spans="1:10" hidden="1">
      <c r="A4057" t="s">
        <v>2721</v>
      </c>
      <c r="B4057" t="s">
        <v>2722</v>
      </c>
      <c r="C4057" t="s">
        <v>235</v>
      </c>
      <c r="D4057" t="s">
        <v>2713</v>
      </c>
      <c r="E4057" t="s">
        <v>555</v>
      </c>
      <c r="F4057" t="s">
        <v>1068</v>
      </c>
      <c r="G4057" t="s">
        <v>1080</v>
      </c>
      <c r="H4057" s="171" t="s">
        <v>2725</v>
      </c>
      <c r="I4057" t="s">
        <v>1082</v>
      </c>
      <c r="J4057">
        <v>7.75</v>
      </c>
    </row>
    <row r="4058" spans="1:10" hidden="1">
      <c r="A4058" t="s">
        <v>2721</v>
      </c>
      <c r="B4058" t="s">
        <v>2722</v>
      </c>
      <c r="C4058" t="s">
        <v>235</v>
      </c>
      <c r="D4058" t="s">
        <v>2713</v>
      </c>
      <c r="E4058" t="s">
        <v>555</v>
      </c>
      <c r="F4058" t="s">
        <v>1068</v>
      </c>
      <c r="G4058" t="s">
        <v>1083</v>
      </c>
      <c r="H4058" s="171" t="s">
        <v>2726</v>
      </c>
      <c r="I4058" t="s">
        <v>1084</v>
      </c>
      <c r="J4058">
        <v>7.75</v>
      </c>
    </row>
    <row r="4059" spans="1:10" hidden="1">
      <c r="A4059" t="s">
        <v>2721</v>
      </c>
      <c r="B4059" t="s">
        <v>2722</v>
      </c>
      <c r="C4059" t="s">
        <v>235</v>
      </c>
      <c r="D4059" t="s">
        <v>2713</v>
      </c>
      <c r="E4059" t="s">
        <v>555</v>
      </c>
      <c r="F4059" t="s">
        <v>1068</v>
      </c>
      <c r="G4059" t="s">
        <v>1085</v>
      </c>
      <c r="H4059" s="171" t="s">
        <v>2727</v>
      </c>
      <c r="I4059" t="s">
        <v>1086</v>
      </c>
      <c r="J4059">
        <v>7.75</v>
      </c>
    </row>
    <row r="4060" spans="1:10" hidden="1">
      <c r="A4060" t="s">
        <v>2721</v>
      </c>
      <c r="B4060" t="s">
        <v>2722</v>
      </c>
      <c r="C4060" t="s">
        <v>235</v>
      </c>
      <c r="D4060" t="s">
        <v>2713</v>
      </c>
      <c r="E4060" t="s">
        <v>555</v>
      </c>
      <c r="F4060" t="s">
        <v>1068</v>
      </c>
      <c r="G4060" t="s">
        <v>1087</v>
      </c>
      <c r="H4060" s="171" t="s">
        <v>2728</v>
      </c>
      <c r="I4060" t="s">
        <v>1088</v>
      </c>
      <c r="J4060">
        <v>7.75</v>
      </c>
    </row>
    <row r="4061" spans="1:10" hidden="1">
      <c r="A4061" t="s">
        <v>2721</v>
      </c>
      <c r="B4061" t="s">
        <v>2722</v>
      </c>
      <c r="C4061" t="s">
        <v>235</v>
      </c>
      <c r="D4061" t="s">
        <v>2713</v>
      </c>
      <c r="E4061" t="s">
        <v>555</v>
      </c>
      <c r="F4061" t="s">
        <v>1068</v>
      </c>
      <c r="G4061" t="s">
        <v>1089</v>
      </c>
      <c r="H4061" s="171" t="s">
        <v>2729</v>
      </c>
      <c r="I4061" t="s">
        <v>1090</v>
      </c>
      <c r="J4061">
        <v>7.75</v>
      </c>
    </row>
    <row r="4062" spans="1:10" hidden="1">
      <c r="A4062" t="s">
        <v>2730</v>
      </c>
      <c r="B4062" t="s">
        <v>2731</v>
      </c>
      <c r="C4062" t="s">
        <v>235</v>
      </c>
      <c r="D4062" t="s">
        <v>2713</v>
      </c>
      <c r="E4062" t="s">
        <v>558</v>
      </c>
      <c r="F4062" t="s">
        <v>1068</v>
      </c>
      <c r="G4062" t="s">
        <v>1069</v>
      </c>
      <c r="H4062">
        <v>7.1400079324720506E-2</v>
      </c>
      <c r="I4062" t="s">
        <v>1070</v>
      </c>
      <c r="J4062">
        <v>7.13</v>
      </c>
    </row>
    <row r="4063" spans="1:10" hidden="1">
      <c r="A4063" t="s">
        <v>2730</v>
      </c>
      <c r="B4063" t="s">
        <v>2731</v>
      </c>
      <c r="C4063" t="s">
        <v>235</v>
      </c>
      <c r="D4063" t="s">
        <v>2713</v>
      </c>
      <c r="E4063" t="s">
        <v>558</v>
      </c>
      <c r="F4063" t="s">
        <v>1068</v>
      </c>
      <c r="G4063" t="s">
        <v>1071</v>
      </c>
      <c r="H4063" s="171" t="s">
        <v>2732</v>
      </c>
      <c r="I4063" t="s">
        <v>1072</v>
      </c>
      <c r="J4063">
        <v>7.13</v>
      </c>
    </row>
    <row r="4064" spans="1:10" hidden="1">
      <c r="A4064" t="s">
        <v>2730</v>
      </c>
      <c r="B4064" t="s">
        <v>2731</v>
      </c>
      <c r="C4064" t="s">
        <v>235</v>
      </c>
      <c r="D4064" t="s">
        <v>2713</v>
      </c>
      <c r="E4064" t="s">
        <v>558</v>
      </c>
      <c r="F4064" t="s">
        <v>1068</v>
      </c>
      <c r="G4064" t="s">
        <v>1073</v>
      </c>
      <c r="H4064" s="171" t="s">
        <v>2733</v>
      </c>
      <c r="I4064" t="s">
        <v>1074</v>
      </c>
      <c r="J4064">
        <v>7.13</v>
      </c>
    </row>
    <row r="4065" spans="1:10" hidden="1">
      <c r="A4065" t="s">
        <v>2730</v>
      </c>
      <c r="B4065" t="s">
        <v>2731</v>
      </c>
      <c r="C4065" t="s">
        <v>235</v>
      </c>
      <c r="D4065" t="s">
        <v>2713</v>
      </c>
      <c r="E4065" t="s">
        <v>558</v>
      </c>
      <c r="F4065" t="s">
        <v>1068</v>
      </c>
      <c r="G4065" t="s">
        <v>1075</v>
      </c>
      <c r="H4065">
        <v>3.4707664088660401E-3</v>
      </c>
      <c r="I4065" t="s">
        <v>1077</v>
      </c>
      <c r="J4065">
        <v>7.13</v>
      </c>
    </row>
    <row r="4066" spans="1:10" hidden="1">
      <c r="A4066" t="s">
        <v>2730</v>
      </c>
      <c r="B4066" t="s">
        <v>2731</v>
      </c>
      <c r="C4066" t="s">
        <v>235</v>
      </c>
      <c r="D4066" t="s">
        <v>2713</v>
      </c>
      <c r="E4066" t="s">
        <v>558</v>
      </c>
      <c r="F4066" t="s">
        <v>1068</v>
      </c>
      <c r="G4066" t="s">
        <v>1078</v>
      </c>
      <c r="H4066">
        <v>2.6020581126967899E-2</v>
      </c>
      <c r="I4066" t="s">
        <v>1079</v>
      </c>
      <c r="J4066">
        <v>7.13</v>
      </c>
    </row>
    <row r="4067" spans="1:10" hidden="1">
      <c r="A4067" t="s">
        <v>2730</v>
      </c>
      <c r="B4067" t="s">
        <v>2731</v>
      </c>
      <c r="C4067" t="s">
        <v>235</v>
      </c>
      <c r="D4067" t="s">
        <v>2713</v>
      </c>
      <c r="E4067" t="s">
        <v>558</v>
      </c>
      <c r="F4067" t="s">
        <v>1068</v>
      </c>
      <c r="G4067" t="s">
        <v>1080</v>
      </c>
      <c r="H4067" s="171" t="s">
        <v>2734</v>
      </c>
      <c r="I4067" t="s">
        <v>1082</v>
      </c>
      <c r="J4067">
        <v>7.13</v>
      </c>
    </row>
    <row r="4068" spans="1:10" hidden="1">
      <c r="A4068" t="s">
        <v>2730</v>
      </c>
      <c r="B4068" t="s">
        <v>2731</v>
      </c>
      <c r="C4068" t="s">
        <v>235</v>
      </c>
      <c r="D4068" t="s">
        <v>2713</v>
      </c>
      <c r="E4068" t="s">
        <v>558</v>
      </c>
      <c r="F4068" t="s">
        <v>1068</v>
      </c>
      <c r="G4068" t="s">
        <v>1083</v>
      </c>
      <c r="H4068" s="171" t="s">
        <v>2735</v>
      </c>
      <c r="I4068" t="s">
        <v>1084</v>
      </c>
      <c r="J4068">
        <v>7.13</v>
      </c>
    </row>
    <row r="4069" spans="1:10" hidden="1">
      <c r="A4069" t="s">
        <v>2730</v>
      </c>
      <c r="B4069" t="s">
        <v>2731</v>
      </c>
      <c r="C4069" t="s">
        <v>235</v>
      </c>
      <c r="D4069" t="s">
        <v>2713</v>
      </c>
      <c r="E4069" t="s">
        <v>558</v>
      </c>
      <c r="F4069" t="s">
        <v>1068</v>
      </c>
      <c r="G4069" t="s">
        <v>1085</v>
      </c>
      <c r="H4069" s="171" t="s">
        <v>2736</v>
      </c>
      <c r="I4069" t="s">
        <v>1086</v>
      </c>
      <c r="J4069">
        <v>7.13</v>
      </c>
    </row>
    <row r="4070" spans="1:10" hidden="1">
      <c r="A4070" t="s">
        <v>2730</v>
      </c>
      <c r="B4070" t="s">
        <v>2731</v>
      </c>
      <c r="C4070" t="s">
        <v>235</v>
      </c>
      <c r="D4070" t="s">
        <v>2713</v>
      </c>
      <c r="E4070" t="s">
        <v>558</v>
      </c>
      <c r="F4070" t="s">
        <v>1068</v>
      </c>
      <c r="G4070" t="s">
        <v>1087</v>
      </c>
      <c r="H4070" s="171" t="s">
        <v>2737</v>
      </c>
      <c r="I4070" t="s">
        <v>1088</v>
      </c>
      <c r="J4070">
        <v>7.13</v>
      </c>
    </row>
    <row r="4071" spans="1:10" hidden="1">
      <c r="A4071" t="s">
        <v>2730</v>
      </c>
      <c r="B4071" t="s">
        <v>2731</v>
      </c>
      <c r="C4071" t="s">
        <v>235</v>
      </c>
      <c r="D4071" t="s">
        <v>2713</v>
      </c>
      <c r="E4071" t="s">
        <v>558</v>
      </c>
      <c r="F4071" t="s">
        <v>1068</v>
      </c>
      <c r="G4071" t="s">
        <v>1089</v>
      </c>
      <c r="H4071" s="171" t="s">
        <v>2738</v>
      </c>
      <c r="I4071" t="s">
        <v>1090</v>
      </c>
      <c r="J4071">
        <v>7.13</v>
      </c>
    </row>
    <row r="4072" spans="1:10" hidden="1">
      <c r="A4072" t="s">
        <v>2739</v>
      </c>
      <c r="B4072" t="s">
        <v>2740</v>
      </c>
      <c r="C4072" t="s">
        <v>235</v>
      </c>
      <c r="D4072" t="s">
        <v>2713</v>
      </c>
      <c r="E4072" t="s">
        <v>553</v>
      </c>
      <c r="F4072" t="s">
        <v>1068</v>
      </c>
      <c r="G4072" t="s">
        <v>1069</v>
      </c>
      <c r="H4072">
        <v>7.1414554897353696E-2</v>
      </c>
      <c r="I4072" t="s">
        <v>1070</v>
      </c>
      <c r="J4072">
        <v>7.89</v>
      </c>
    </row>
    <row r="4073" spans="1:10" hidden="1">
      <c r="A4073" t="s">
        <v>2739</v>
      </c>
      <c r="B4073" t="s">
        <v>2740</v>
      </c>
      <c r="C4073" t="s">
        <v>235</v>
      </c>
      <c r="D4073" t="s">
        <v>2713</v>
      </c>
      <c r="E4073" t="s">
        <v>553</v>
      </c>
      <c r="F4073" t="s">
        <v>1068</v>
      </c>
      <c r="G4073" t="s">
        <v>1071</v>
      </c>
      <c r="H4073" s="171" t="s">
        <v>2741</v>
      </c>
      <c r="I4073" t="s">
        <v>1072</v>
      </c>
      <c r="J4073">
        <v>7.89</v>
      </c>
    </row>
    <row r="4074" spans="1:10" hidden="1">
      <c r="A4074" t="s">
        <v>2739</v>
      </c>
      <c r="B4074" t="s">
        <v>2740</v>
      </c>
      <c r="C4074" t="s">
        <v>235</v>
      </c>
      <c r="D4074" t="s">
        <v>2713</v>
      </c>
      <c r="E4074" t="s">
        <v>553</v>
      </c>
      <c r="F4074" t="s">
        <v>1068</v>
      </c>
      <c r="G4074" t="s">
        <v>1073</v>
      </c>
      <c r="H4074" s="171" t="s">
        <v>2742</v>
      </c>
      <c r="I4074" t="s">
        <v>1074</v>
      </c>
      <c r="J4074">
        <v>7.89</v>
      </c>
    </row>
    <row r="4075" spans="1:10" hidden="1">
      <c r="A4075" t="s">
        <v>2739</v>
      </c>
      <c r="B4075" t="s">
        <v>2740</v>
      </c>
      <c r="C4075" t="s">
        <v>235</v>
      </c>
      <c r="D4075" t="s">
        <v>2713</v>
      </c>
      <c r="E4075" t="s">
        <v>553</v>
      </c>
      <c r="F4075" t="s">
        <v>1068</v>
      </c>
      <c r="G4075" t="s">
        <v>1075</v>
      </c>
      <c r="H4075">
        <v>3.47075025964235E-3</v>
      </c>
      <c r="I4075" t="s">
        <v>1077</v>
      </c>
      <c r="J4075">
        <v>7.89</v>
      </c>
    </row>
    <row r="4076" spans="1:10" hidden="1">
      <c r="A4076" t="s">
        <v>2739</v>
      </c>
      <c r="B4076" t="s">
        <v>2740</v>
      </c>
      <c r="C4076" t="s">
        <v>235</v>
      </c>
      <c r="D4076" t="s">
        <v>2713</v>
      </c>
      <c r="E4076" t="s">
        <v>553</v>
      </c>
      <c r="F4076" t="s">
        <v>1068</v>
      </c>
      <c r="G4076" t="s">
        <v>1078</v>
      </c>
      <c r="H4076" s="171" t="s">
        <v>2743</v>
      </c>
      <c r="I4076" t="s">
        <v>1079</v>
      </c>
      <c r="J4076">
        <v>7.89</v>
      </c>
    </row>
    <row r="4077" spans="1:10" hidden="1">
      <c r="A4077" t="s">
        <v>2739</v>
      </c>
      <c r="B4077" t="s">
        <v>2740</v>
      </c>
      <c r="C4077" t="s">
        <v>235</v>
      </c>
      <c r="D4077" t="s">
        <v>2713</v>
      </c>
      <c r="E4077" t="s">
        <v>553</v>
      </c>
      <c r="F4077" t="s">
        <v>1068</v>
      </c>
      <c r="G4077" t="s">
        <v>1080</v>
      </c>
      <c r="H4077" s="171" t="s">
        <v>2744</v>
      </c>
      <c r="I4077" t="s">
        <v>1082</v>
      </c>
      <c r="J4077">
        <v>7.89</v>
      </c>
    </row>
    <row r="4078" spans="1:10" hidden="1">
      <c r="A4078" t="s">
        <v>2739</v>
      </c>
      <c r="B4078" t="s">
        <v>2740</v>
      </c>
      <c r="C4078" t="s">
        <v>235</v>
      </c>
      <c r="D4078" t="s">
        <v>2713</v>
      </c>
      <c r="E4078" t="s">
        <v>553</v>
      </c>
      <c r="F4078" t="s">
        <v>1068</v>
      </c>
      <c r="G4078" t="s">
        <v>1083</v>
      </c>
      <c r="H4078" s="171" t="s">
        <v>2745</v>
      </c>
      <c r="I4078" t="s">
        <v>1084</v>
      </c>
      <c r="J4078">
        <v>7.89</v>
      </c>
    </row>
    <row r="4079" spans="1:10" hidden="1">
      <c r="A4079" t="s">
        <v>2739</v>
      </c>
      <c r="B4079" t="s">
        <v>2740</v>
      </c>
      <c r="C4079" t="s">
        <v>235</v>
      </c>
      <c r="D4079" t="s">
        <v>2713</v>
      </c>
      <c r="E4079" t="s">
        <v>553</v>
      </c>
      <c r="F4079" t="s">
        <v>1068</v>
      </c>
      <c r="G4079" t="s">
        <v>1085</v>
      </c>
      <c r="H4079" s="171" t="s">
        <v>2746</v>
      </c>
      <c r="I4079" t="s">
        <v>1086</v>
      </c>
      <c r="J4079">
        <v>7.89</v>
      </c>
    </row>
    <row r="4080" spans="1:10" hidden="1">
      <c r="A4080" t="s">
        <v>2739</v>
      </c>
      <c r="B4080" t="s">
        <v>2740</v>
      </c>
      <c r="C4080" t="s">
        <v>235</v>
      </c>
      <c r="D4080" t="s">
        <v>2713</v>
      </c>
      <c r="E4080" t="s">
        <v>553</v>
      </c>
      <c r="F4080" t="s">
        <v>1068</v>
      </c>
      <c r="G4080" t="s">
        <v>1087</v>
      </c>
      <c r="H4080" s="171" t="s">
        <v>2747</v>
      </c>
      <c r="I4080" t="s">
        <v>1088</v>
      </c>
      <c r="J4080">
        <v>7.89</v>
      </c>
    </row>
    <row r="4081" spans="1:10" hidden="1">
      <c r="A4081" t="s">
        <v>2739</v>
      </c>
      <c r="B4081" t="s">
        <v>2740</v>
      </c>
      <c r="C4081" t="s">
        <v>235</v>
      </c>
      <c r="D4081" t="s">
        <v>2713</v>
      </c>
      <c r="E4081" t="s">
        <v>553</v>
      </c>
      <c r="F4081" t="s">
        <v>1068</v>
      </c>
      <c r="G4081" t="s">
        <v>1089</v>
      </c>
      <c r="H4081" s="171" t="s">
        <v>2748</v>
      </c>
      <c r="I4081" t="s">
        <v>1090</v>
      </c>
      <c r="J4081">
        <v>7.89</v>
      </c>
    </row>
    <row r="4082" spans="1:10" hidden="1">
      <c r="A4082" t="s">
        <v>2749</v>
      </c>
      <c r="B4082" t="s">
        <v>2750</v>
      </c>
      <c r="C4082" t="s">
        <v>235</v>
      </c>
      <c r="D4082" t="s">
        <v>2713</v>
      </c>
      <c r="E4082" t="s">
        <v>556</v>
      </c>
      <c r="F4082" t="s">
        <v>1068</v>
      </c>
      <c r="G4082" t="s">
        <v>1069</v>
      </c>
      <c r="H4082">
        <v>7.1429808775199902E-2</v>
      </c>
      <c r="I4082" t="s">
        <v>1070</v>
      </c>
      <c r="J4082">
        <v>7.19</v>
      </c>
    </row>
    <row r="4083" spans="1:10" hidden="1">
      <c r="A4083" t="s">
        <v>2749</v>
      </c>
      <c r="B4083" t="s">
        <v>2750</v>
      </c>
      <c r="C4083" t="s">
        <v>235</v>
      </c>
      <c r="D4083" t="s">
        <v>2713</v>
      </c>
      <c r="E4083" t="s">
        <v>556</v>
      </c>
      <c r="F4083" t="s">
        <v>1068</v>
      </c>
      <c r="G4083" t="s">
        <v>1071</v>
      </c>
      <c r="H4083" s="171" t="s">
        <v>2751</v>
      </c>
      <c r="I4083" t="s">
        <v>1072</v>
      </c>
      <c r="J4083">
        <v>7.19</v>
      </c>
    </row>
    <row r="4084" spans="1:10" hidden="1">
      <c r="A4084" t="s">
        <v>2749</v>
      </c>
      <c r="B4084" t="s">
        <v>2750</v>
      </c>
      <c r="C4084" t="s">
        <v>235</v>
      </c>
      <c r="D4084" t="s">
        <v>2713</v>
      </c>
      <c r="E4084" t="s">
        <v>556</v>
      </c>
      <c r="F4084" t="s">
        <v>1068</v>
      </c>
      <c r="G4084" t="s">
        <v>1073</v>
      </c>
      <c r="H4084" s="171" t="s">
        <v>2752</v>
      </c>
      <c r="I4084" t="s">
        <v>1074</v>
      </c>
      <c r="J4084">
        <v>7.19</v>
      </c>
    </row>
    <row r="4085" spans="1:10" hidden="1">
      <c r="A4085" t="s">
        <v>2749</v>
      </c>
      <c r="B4085" t="s">
        <v>2750</v>
      </c>
      <c r="C4085" t="s">
        <v>235</v>
      </c>
      <c r="D4085" t="s">
        <v>2713</v>
      </c>
      <c r="E4085" t="s">
        <v>556</v>
      </c>
      <c r="F4085" t="s">
        <v>1068</v>
      </c>
      <c r="G4085" t="s">
        <v>1075</v>
      </c>
      <c r="H4085">
        <v>3.4712324510163301E-3</v>
      </c>
      <c r="I4085" t="s">
        <v>1077</v>
      </c>
      <c r="J4085">
        <v>7.19</v>
      </c>
    </row>
    <row r="4086" spans="1:10" hidden="1">
      <c r="A4086" t="s">
        <v>2749</v>
      </c>
      <c r="B4086" t="s">
        <v>2750</v>
      </c>
      <c r="C4086" t="s">
        <v>235</v>
      </c>
      <c r="D4086" t="s">
        <v>2713</v>
      </c>
      <c r="E4086" t="s">
        <v>556</v>
      </c>
      <c r="F4086" t="s">
        <v>1068</v>
      </c>
      <c r="G4086" t="s">
        <v>1078</v>
      </c>
      <c r="H4086" s="171" t="s">
        <v>2753</v>
      </c>
      <c r="I4086" t="s">
        <v>1079</v>
      </c>
      <c r="J4086">
        <v>7.19</v>
      </c>
    </row>
    <row r="4087" spans="1:10" hidden="1">
      <c r="A4087" t="s">
        <v>2749</v>
      </c>
      <c r="B4087" t="s">
        <v>2750</v>
      </c>
      <c r="C4087" t="s">
        <v>235</v>
      </c>
      <c r="D4087" t="s">
        <v>2713</v>
      </c>
      <c r="E4087" t="s">
        <v>556</v>
      </c>
      <c r="F4087" t="s">
        <v>1068</v>
      </c>
      <c r="G4087" t="s">
        <v>1080</v>
      </c>
      <c r="H4087" s="171" t="s">
        <v>2754</v>
      </c>
      <c r="I4087" t="s">
        <v>1082</v>
      </c>
      <c r="J4087">
        <v>7.19</v>
      </c>
    </row>
    <row r="4088" spans="1:10" hidden="1">
      <c r="A4088" t="s">
        <v>2749</v>
      </c>
      <c r="B4088" t="s">
        <v>2750</v>
      </c>
      <c r="C4088" t="s">
        <v>235</v>
      </c>
      <c r="D4088" t="s">
        <v>2713</v>
      </c>
      <c r="E4088" t="s">
        <v>556</v>
      </c>
      <c r="F4088" t="s">
        <v>1068</v>
      </c>
      <c r="G4088" t="s">
        <v>1083</v>
      </c>
      <c r="H4088" s="171" t="s">
        <v>2755</v>
      </c>
      <c r="I4088" t="s">
        <v>1084</v>
      </c>
      <c r="J4088">
        <v>7.19</v>
      </c>
    </row>
    <row r="4089" spans="1:10" hidden="1">
      <c r="A4089" t="s">
        <v>2749</v>
      </c>
      <c r="B4089" t="s">
        <v>2750</v>
      </c>
      <c r="C4089" t="s">
        <v>235</v>
      </c>
      <c r="D4089" t="s">
        <v>2713</v>
      </c>
      <c r="E4089" t="s">
        <v>556</v>
      </c>
      <c r="F4089" t="s">
        <v>1068</v>
      </c>
      <c r="G4089" t="s">
        <v>1085</v>
      </c>
      <c r="H4089" s="171" t="s">
        <v>2756</v>
      </c>
      <c r="I4089" t="s">
        <v>1086</v>
      </c>
      <c r="J4089">
        <v>7.19</v>
      </c>
    </row>
    <row r="4090" spans="1:10" hidden="1">
      <c r="A4090" t="s">
        <v>2749</v>
      </c>
      <c r="B4090" t="s">
        <v>2750</v>
      </c>
      <c r="C4090" t="s">
        <v>235</v>
      </c>
      <c r="D4090" t="s">
        <v>2713</v>
      </c>
      <c r="E4090" t="s">
        <v>556</v>
      </c>
      <c r="F4090" t="s">
        <v>1068</v>
      </c>
      <c r="G4090" t="s">
        <v>1087</v>
      </c>
      <c r="H4090" s="171" t="s">
        <v>2757</v>
      </c>
      <c r="I4090" t="s">
        <v>1088</v>
      </c>
      <c r="J4090">
        <v>7.19</v>
      </c>
    </row>
    <row r="4091" spans="1:10" hidden="1">
      <c r="A4091" t="s">
        <v>2749</v>
      </c>
      <c r="B4091" t="s">
        <v>2750</v>
      </c>
      <c r="C4091" t="s">
        <v>235</v>
      </c>
      <c r="D4091" t="s">
        <v>2713</v>
      </c>
      <c r="E4091" t="s">
        <v>556</v>
      </c>
      <c r="F4091" t="s">
        <v>1068</v>
      </c>
      <c r="G4091" t="s">
        <v>1089</v>
      </c>
      <c r="H4091" s="171" t="s">
        <v>2758</v>
      </c>
      <c r="I4091" t="s">
        <v>1090</v>
      </c>
      <c r="J4091">
        <v>7.19</v>
      </c>
    </row>
    <row r="4092" spans="1:10" hidden="1">
      <c r="A4092" t="s">
        <v>2759</v>
      </c>
      <c r="B4092" t="s">
        <v>2760</v>
      </c>
      <c r="C4092" t="s">
        <v>235</v>
      </c>
      <c r="D4092" t="s">
        <v>2713</v>
      </c>
      <c r="E4092" t="s">
        <v>557</v>
      </c>
      <c r="F4092" t="s">
        <v>1068</v>
      </c>
      <c r="G4092" t="s">
        <v>1069</v>
      </c>
      <c r="H4092">
        <v>7.1405286869277704E-2</v>
      </c>
      <c r="I4092" t="s">
        <v>1070</v>
      </c>
      <c r="J4092">
        <v>7.86</v>
      </c>
    </row>
    <row r="4093" spans="1:10" hidden="1">
      <c r="A4093" t="s">
        <v>2759</v>
      </c>
      <c r="B4093" t="s">
        <v>2760</v>
      </c>
      <c r="C4093" t="s">
        <v>235</v>
      </c>
      <c r="D4093" t="s">
        <v>2713</v>
      </c>
      <c r="E4093" t="s">
        <v>557</v>
      </c>
      <c r="F4093" t="s">
        <v>1068</v>
      </c>
      <c r="G4093" t="s">
        <v>1071</v>
      </c>
      <c r="H4093" s="171" t="s">
        <v>2761</v>
      </c>
      <c r="I4093" t="s">
        <v>1072</v>
      </c>
      <c r="J4093">
        <v>7.86</v>
      </c>
    </row>
    <row r="4094" spans="1:10" hidden="1">
      <c r="A4094" t="s">
        <v>2759</v>
      </c>
      <c r="B4094" t="s">
        <v>2760</v>
      </c>
      <c r="C4094" t="s">
        <v>235</v>
      </c>
      <c r="D4094" t="s">
        <v>2713</v>
      </c>
      <c r="E4094" t="s">
        <v>557</v>
      </c>
      <c r="F4094" t="s">
        <v>1068</v>
      </c>
      <c r="G4094" t="s">
        <v>1073</v>
      </c>
      <c r="H4094" s="171" t="s">
        <v>2762</v>
      </c>
      <c r="I4094" t="s">
        <v>1074</v>
      </c>
      <c r="J4094">
        <v>7.86</v>
      </c>
    </row>
    <row r="4095" spans="1:10" hidden="1">
      <c r="A4095" t="s">
        <v>2759</v>
      </c>
      <c r="B4095" t="s">
        <v>2760</v>
      </c>
      <c r="C4095" t="s">
        <v>235</v>
      </c>
      <c r="D4095" t="s">
        <v>2713</v>
      </c>
      <c r="E4095" t="s">
        <v>557</v>
      </c>
      <c r="F4095" t="s">
        <v>1068</v>
      </c>
      <c r="G4095" t="s">
        <v>1075</v>
      </c>
      <c r="H4095">
        <v>3.4709310249125599E-3</v>
      </c>
      <c r="I4095" t="s">
        <v>1077</v>
      </c>
      <c r="J4095">
        <v>7.86</v>
      </c>
    </row>
    <row r="4096" spans="1:10" hidden="1">
      <c r="A4096" t="s">
        <v>2759</v>
      </c>
      <c r="B4096" t="s">
        <v>2760</v>
      </c>
      <c r="C4096" t="s">
        <v>235</v>
      </c>
      <c r="D4096" t="s">
        <v>2713</v>
      </c>
      <c r="E4096" t="s">
        <v>557</v>
      </c>
      <c r="F4096" t="s">
        <v>1068</v>
      </c>
      <c r="G4096" t="s">
        <v>1078</v>
      </c>
      <c r="H4096">
        <v>2.60276997598081E-2</v>
      </c>
      <c r="I4096" t="s">
        <v>1079</v>
      </c>
      <c r="J4096">
        <v>7.86</v>
      </c>
    </row>
    <row r="4097" spans="1:10" hidden="1">
      <c r="A4097" t="s">
        <v>2759</v>
      </c>
      <c r="B4097" t="s">
        <v>2760</v>
      </c>
      <c r="C4097" t="s">
        <v>235</v>
      </c>
      <c r="D4097" t="s">
        <v>2713</v>
      </c>
      <c r="E4097" t="s">
        <v>557</v>
      </c>
      <c r="F4097" t="s">
        <v>1068</v>
      </c>
      <c r="G4097" t="s">
        <v>1080</v>
      </c>
      <c r="H4097" s="171" t="s">
        <v>2763</v>
      </c>
      <c r="I4097" t="s">
        <v>1082</v>
      </c>
      <c r="J4097">
        <v>7.86</v>
      </c>
    </row>
    <row r="4098" spans="1:10" hidden="1">
      <c r="A4098" t="s">
        <v>2759</v>
      </c>
      <c r="B4098" t="s">
        <v>2760</v>
      </c>
      <c r="C4098" t="s">
        <v>235</v>
      </c>
      <c r="D4098" t="s">
        <v>2713</v>
      </c>
      <c r="E4098" t="s">
        <v>557</v>
      </c>
      <c r="F4098" t="s">
        <v>1068</v>
      </c>
      <c r="G4098" t="s">
        <v>1083</v>
      </c>
      <c r="H4098" s="171" t="s">
        <v>2764</v>
      </c>
      <c r="I4098" t="s">
        <v>1084</v>
      </c>
      <c r="J4098">
        <v>7.86</v>
      </c>
    </row>
    <row r="4099" spans="1:10" hidden="1">
      <c r="A4099" t="s">
        <v>2759</v>
      </c>
      <c r="B4099" t="s">
        <v>2760</v>
      </c>
      <c r="C4099" t="s">
        <v>235</v>
      </c>
      <c r="D4099" t="s">
        <v>2713</v>
      </c>
      <c r="E4099" t="s">
        <v>557</v>
      </c>
      <c r="F4099" t="s">
        <v>1068</v>
      </c>
      <c r="G4099" t="s">
        <v>1085</v>
      </c>
      <c r="H4099" s="171" t="s">
        <v>2765</v>
      </c>
      <c r="I4099" t="s">
        <v>1086</v>
      </c>
      <c r="J4099">
        <v>7.86</v>
      </c>
    </row>
    <row r="4100" spans="1:10" hidden="1">
      <c r="A4100" t="s">
        <v>2759</v>
      </c>
      <c r="B4100" t="s">
        <v>2760</v>
      </c>
      <c r="C4100" t="s">
        <v>235</v>
      </c>
      <c r="D4100" t="s">
        <v>2713</v>
      </c>
      <c r="E4100" t="s">
        <v>557</v>
      </c>
      <c r="F4100" t="s">
        <v>1068</v>
      </c>
      <c r="G4100" t="s">
        <v>1087</v>
      </c>
      <c r="H4100" s="171" t="s">
        <v>2766</v>
      </c>
      <c r="I4100" t="s">
        <v>1088</v>
      </c>
      <c r="J4100">
        <v>7.86</v>
      </c>
    </row>
    <row r="4101" spans="1:10" hidden="1">
      <c r="A4101" t="s">
        <v>2759</v>
      </c>
      <c r="B4101" t="s">
        <v>2760</v>
      </c>
      <c r="C4101" t="s">
        <v>235</v>
      </c>
      <c r="D4101" t="s">
        <v>2713</v>
      </c>
      <c r="E4101" t="s">
        <v>557</v>
      </c>
      <c r="F4101" t="s">
        <v>1068</v>
      </c>
      <c r="G4101" t="s">
        <v>1089</v>
      </c>
      <c r="H4101" s="171" t="s">
        <v>2767</v>
      </c>
      <c r="I4101" t="s">
        <v>1090</v>
      </c>
      <c r="J4101">
        <v>7.86</v>
      </c>
    </row>
    <row r="4102" spans="1:10" hidden="1">
      <c r="A4102" t="s">
        <v>2768</v>
      </c>
      <c r="B4102" t="s">
        <v>2769</v>
      </c>
      <c r="C4102" t="s">
        <v>235</v>
      </c>
      <c r="D4102" t="s">
        <v>2713</v>
      </c>
      <c r="E4102" t="s">
        <v>559</v>
      </c>
      <c r="F4102" t="s">
        <v>1068</v>
      </c>
      <c r="G4102" t="s">
        <v>1069</v>
      </c>
      <c r="H4102">
        <v>7.1425274680763401E-2</v>
      </c>
      <c r="I4102" t="s">
        <v>1070</v>
      </c>
      <c r="J4102">
        <v>7.46</v>
      </c>
    </row>
    <row r="4103" spans="1:10" hidden="1">
      <c r="A4103" t="s">
        <v>2768</v>
      </c>
      <c r="B4103" t="s">
        <v>2769</v>
      </c>
      <c r="C4103" t="s">
        <v>235</v>
      </c>
      <c r="D4103" t="s">
        <v>2713</v>
      </c>
      <c r="E4103" t="s">
        <v>559</v>
      </c>
      <c r="F4103" t="s">
        <v>1068</v>
      </c>
      <c r="G4103" t="s">
        <v>1071</v>
      </c>
      <c r="H4103" s="171" t="s">
        <v>2770</v>
      </c>
      <c r="I4103" t="s">
        <v>1072</v>
      </c>
      <c r="J4103">
        <v>7.46</v>
      </c>
    </row>
    <row r="4104" spans="1:10" hidden="1">
      <c r="A4104" t="s">
        <v>2768</v>
      </c>
      <c r="B4104" t="s">
        <v>2769</v>
      </c>
      <c r="C4104" t="s">
        <v>235</v>
      </c>
      <c r="D4104" t="s">
        <v>2713</v>
      </c>
      <c r="E4104" t="s">
        <v>559</v>
      </c>
      <c r="F4104" t="s">
        <v>1068</v>
      </c>
      <c r="G4104" t="s">
        <v>1073</v>
      </c>
      <c r="H4104" s="171" t="s">
        <v>2771</v>
      </c>
      <c r="I4104" t="s">
        <v>1074</v>
      </c>
      <c r="J4104">
        <v>7.46</v>
      </c>
    </row>
    <row r="4105" spans="1:10" hidden="1">
      <c r="A4105" t="s">
        <v>2768</v>
      </c>
      <c r="B4105" t="s">
        <v>2769</v>
      </c>
      <c r="C4105" t="s">
        <v>235</v>
      </c>
      <c r="D4105" t="s">
        <v>2713</v>
      </c>
      <c r="E4105" t="s">
        <v>559</v>
      </c>
      <c r="F4105" t="s">
        <v>1068</v>
      </c>
      <c r="G4105" t="s">
        <v>1075</v>
      </c>
      <c r="H4105">
        <v>3.47108912344755E-3</v>
      </c>
      <c r="I4105" t="s">
        <v>1077</v>
      </c>
      <c r="J4105">
        <v>7.46</v>
      </c>
    </row>
    <row r="4106" spans="1:10" hidden="1">
      <c r="A4106" t="s">
        <v>2768</v>
      </c>
      <c r="B4106" t="s">
        <v>2769</v>
      </c>
      <c r="C4106" t="s">
        <v>235</v>
      </c>
      <c r="D4106" t="s">
        <v>2713</v>
      </c>
      <c r="E4106" t="s">
        <v>559</v>
      </c>
      <c r="F4106" t="s">
        <v>1068</v>
      </c>
      <c r="G4106" t="s">
        <v>1078</v>
      </c>
      <c r="H4106">
        <v>2.60345323108164E-2</v>
      </c>
      <c r="I4106" t="s">
        <v>1079</v>
      </c>
      <c r="J4106">
        <v>7.46</v>
      </c>
    </row>
    <row r="4107" spans="1:10" hidden="1">
      <c r="A4107" t="s">
        <v>2768</v>
      </c>
      <c r="B4107" t="s">
        <v>2769</v>
      </c>
      <c r="C4107" t="s">
        <v>235</v>
      </c>
      <c r="D4107" t="s">
        <v>2713</v>
      </c>
      <c r="E4107" t="s">
        <v>559</v>
      </c>
      <c r="F4107" t="s">
        <v>1068</v>
      </c>
      <c r="G4107" t="s">
        <v>1080</v>
      </c>
      <c r="H4107" s="171" t="s">
        <v>2772</v>
      </c>
      <c r="I4107" t="s">
        <v>1082</v>
      </c>
      <c r="J4107">
        <v>7.46</v>
      </c>
    </row>
    <row r="4108" spans="1:10" hidden="1">
      <c r="A4108" t="s">
        <v>2768</v>
      </c>
      <c r="B4108" t="s">
        <v>2769</v>
      </c>
      <c r="C4108" t="s">
        <v>235</v>
      </c>
      <c r="D4108" t="s">
        <v>2713</v>
      </c>
      <c r="E4108" t="s">
        <v>559</v>
      </c>
      <c r="F4108" t="s">
        <v>1068</v>
      </c>
      <c r="G4108" t="s">
        <v>1083</v>
      </c>
      <c r="H4108" s="171" t="s">
        <v>2773</v>
      </c>
      <c r="I4108" t="s">
        <v>1084</v>
      </c>
      <c r="J4108">
        <v>7.46</v>
      </c>
    </row>
    <row r="4109" spans="1:10" hidden="1">
      <c r="A4109" t="s">
        <v>2768</v>
      </c>
      <c r="B4109" t="s">
        <v>2769</v>
      </c>
      <c r="C4109" t="s">
        <v>235</v>
      </c>
      <c r="D4109" t="s">
        <v>2713</v>
      </c>
      <c r="E4109" t="s">
        <v>559</v>
      </c>
      <c r="F4109" t="s">
        <v>1068</v>
      </c>
      <c r="G4109" t="s">
        <v>1085</v>
      </c>
      <c r="H4109" s="171" t="s">
        <v>2774</v>
      </c>
      <c r="I4109" t="s">
        <v>1086</v>
      </c>
      <c r="J4109">
        <v>7.46</v>
      </c>
    </row>
    <row r="4110" spans="1:10" hidden="1">
      <c r="A4110" t="s">
        <v>2768</v>
      </c>
      <c r="B4110" t="s">
        <v>2769</v>
      </c>
      <c r="C4110" t="s">
        <v>235</v>
      </c>
      <c r="D4110" t="s">
        <v>2713</v>
      </c>
      <c r="E4110" t="s">
        <v>559</v>
      </c>
      <c r="F4110" t="s">
        <v>1068</v>
      </c>
      <c r="G4110" t="s">
        <v>1087</v>
      </c>
      <c r="H4110" s="171" t="s">
        <v>2775</v>
      </c>
      <c r="I4110" t="s">
        <v>1088</v>
      </c>
      <c r="J4110">
        <v>7.46</v>
      </c>
    </row>
    <row r="4111" spans="1:10" hidden="1">
      <c r="A4111" t="s">
        <v>2768</v>
      </c>
      <c r="B4111" t="s">
        <v>2769</v>
      </c>
      <c r="C4111" t="s">
        <v>235</v>
      </c>
      <c r="D4111" t="s">
        <v>2713</v>
      </c>
      <c r="E4111" t="s">
        <v>559</v>
      </c>
      <c r="F4111" t="s">
        <v>1068</v>
      </c>
      <c r="G4111" t="s">
        <v>1089</v>
      </c>
      <c r="H4111" s="171" t="s">
        <v>2776</v>
      </c>
      <c r="I4111" t="s">
        <v>1090</v>
      </c>
      <c r="J4111">
        <v>7.46</v>
      </c>
    </row>
    <row r="4112" spans="1:10" hidden="1">
      <c r="A4112" t="s">
        <v>2777</v>
      </c>
      <c r="B4112" t="s">
        <v>2778</v>
      </c>
      <c r="C4112" t="s">
        <v>235</v>
      </c>
      <c r="D4112" t="s">
        <v>2713</v>
      </c>
      <c r="E4112" t="s">
        <v>560</v>
      </c>
      <c r="F4112" t="s">
        <v>1068</v>
      </c>
      <c r="G4112" t="s">
        <v>1069</v>
      </c>
      <c r="H4112">
        <v>7.1408064226374898E-2</v>
      </c>
      <c r="I4112" t="s">
        <v>1070</v>
      </c>
      <c r="J4112">
        <v>8</v>
      </c>
    </row>
    <row r="4113" spans="1:10" hidden="1">
      <c r="A4113" t="s">
        <v>2777</v>
      </c>
      <c r="B4113" t="s">
        <v>2778</v>
      </c>
      <c r="C4113" t="s">
        <v>235</v>
      </c>
      <c r="D4113" t="s">
        <v>2713</v>
      </c>
      <c r="E4113" t="s">
        <v>560</v>
      </c>
      <c r="F4113" t="s">
        <v>1068</v>
      </c>
      <c r="G4113" t="s">
        <v>1071</v>
      </c>
      <c r="H4113" s="171" t="s">
        <v>2779</v>
      </c>
      <c r="I4113" t="s">
        <v>1072</v>
      </c>
      <c r="J4113">
        <v>8</v>
      </c>
    </row>
    <row r="4114" spans="1:10" hidden="1">
      <c r="A4114" t="s">
        <v>2777</v>
      </c>
      <c r="B4114" t="s">
        <v>2778</v>
      </c>
      <c r="C4114" t="s">
        <v>235</v>
      </c>
      <c r="D4114" t="s">
        <v>2713</v>
      </c>
      <c r="E4114" t="s">
        <v>560</v>
      </c>
      <c r="F4114" t="s">
        <v>1068</v>
      </c>
      <c r="G4114" t="s">
        <v>1073</v>
      </c>
      <c r="H4114" s="171" t="s">
        <v>2780</v>
      </c>
      <c r="I4114" t="s">
        <v>1074</v>
      </c>
      <c r="J4114">
        <v>8</v>
      </c>
    </row>
    <row r="4115" spans="1:10" hidden="1">
      <c r="A4115" t="s">
        <v>2777</v>
      </c>
      <c r="B4115" t="s">
        <v>2778</v>
      </c>
      <c r="C4115" t="s">
        <v>235</v>
      </c>
      <c r="D4115" t="s">
        <v>2713</v>
      </c>
      <c r="E4115" t="s">
        <v>560</v>
      </c>
      <c r="F4115" t="s">
        <v>1068</v>
      </c>
      <c r="G4115" t="s">
        <v>1075</v>
      </c>
      <c r="H4115">
        <v>3.4710188201373601E-3</v>
      </c>
      <c r="I4115" t="s">
        <v>1077</v>
      </c>
      <c r="J4115">
        <v>8</v>
      </c>
    </row>
    <row r="4116" spans="1:10" hidden="1">
      <c r="A4116" t="s">
        <v>2777</v>
      </c>
      <c r="B4116" t="s">
        <v>2778</v>
      </c>
      <c r="C4116" t="s">
        <v>235</v>
      </c>
      <c r="D4116" t="s">
        <v>2713</v>
      </c>
      <c r="E4116" t="s">
        <v>560</v>
      </c>
      <c r="F4116" t="s">
        <v>1068</v>
      </c>
      <c r="G4116" t="s">
        <v>1078</v>
      </c>
      <c r="H4116" s="171" t="s">
        <v>2781</v>
      </c>
      <c r="I4116" t="s">
        <v>1079</v>
      </c>
      <c r="J4116">
        <v>8</v>
      </c>
    </row>
    <row r="4117" spans="1:10" hidden="1">
      <c r="A4117" t="s">
        <v>2777</v>
      </c>
      <c r="B4117" t="s">
        <v>2778</v>
      </c>
      <c r="C4117" t="s">
        <v>235</v>
      </c>
      <c r="D4117" t="s">
        <v>2713</v>
      </c>
      <c r="E4117" t="s">
        <v>560</v>
      </c>
      <c r="F4117" t="s">
        <v>1068</v>
      </c>
      <c r="G4117" t="s">
        <v>1080</v>
      </c>
      <c r="H4117" s="171" t="s">
        <v>2782</v>
      </c>
      <c r="I4117" t="s">
        <v>1082</v>
      </c>
      <c r="J4117">
        <v>8</v>
      </c>
    </row>
    <row r="4118" spans="1:10" hidden="1">
      <c r="A4118" t="s">
        <v>2777</v>
      </c>
      <c r="B4118" t="s">
        <v>2778</v>
      </c>
      <c r="C4118" t="s">
        <v>235</v>
      </c>
      <c r="D4118" t="s">
        <v>2713</v>
      </c>
      <c r="E4118" t="s">
        <v>560</v>
      </c>
      <c r="F4118" t="s">
        <v>1068</v>
      </c>
      <c r="G4118" t="s">
        <v>1083</v>
      </c>
      <c r="H4118" s="171" t="s">
        <v>2783</v>
      </c>
      <c r="I4118" t="s">
        <v>1084</v>
      </c>
      <c r="J4118">
        <v>8</v>
      </c>
    </row>
    <row r="4119" spans="1:10" hidden="1">
      <c r="A4119" t="s">
        <v>2777</v>
      </c>
      <c r="B4119" t="s">
        <v>2778</v>
      </c>
      <c r="C4119" t="s">
        <v>235</v>
      </c>
      <c r="D4119" t="s">
        <v>2713</v>
      </c>
      <c r="E4119" t="s">
        <v>560</v>
      </c>
      <c r="F4119" t="s">
        <v>1068</v>
      </c>
      <c r="G4119" t="s">
        <v>1085</v>
      </c>
      <c r="H4119" s="171" t="s">
        <v>2784</v>
      </c>
      <c r="I4119" t="s">
        <v>1086</v>
      </c>
      <c r="J4119">
        <v>8</v>
      </c>
    </row>
    <row r="4120" spans="1:10" hidden="1">
      <c r="A4120" t="s">
        <v>2777</v>
      </c>
      <c r="B4120" t="s">
        <v>2778</v>
      </c>
      <c r="C4120" t="s">
        <v>235</v>
      </c>
      <c r="D4120" t="s">
        <v>2713</v>
      </c>
      <c r="E4120" t="s">
        <v>560</v>
      </c>
      <c r="F4120" t="s">
        <v>1068</v>
      </c>
      <c r="G4120" t="s">
        <v>1087</v>
      </c>
      <c r="H4120" s="171" t="s">
        <v>2785</v>
      </c>
      <c r="I4120" t="s">
        <v>1088</v>
      </c>
      <c r="J4120">
        <v>8</v>
      </c>
    </row>
    <row r="4121" spans="1:10" hidden="1">
      <c r="A4121" t="s">
        <v>2777</v>
      </c>
      <c r="B4121" t="s">
        <v>2778</v>
      </c>
      <c r="C4121" t="s">
        <v>235</v>
      </c>
      <c r="D4121" t="s">
        <v>2713</v>
      </c>
      <c r="E4121" t="s">
        <v>560</v>
      </c>
      <c r="F4121" t="s">
        <v>1068</v>
      </c>
      <c r="G4121" t="s">
        <v>1089</v>
      </c>
      <c r="H4121" s="171" t="s">
        <v>2786</v>
      </c>
      <c r="I4121" t="s">
        <v>1090</v>
      </c>
      <c r="J4121">
        <v>8</v>
      </c>
    </row>
    <row r="4122" spans="1:10" hidden="1">
      <c r="A4122" t="s">
        <v>2787</v>
      </c>
      <c r="B4122" t="s">
        <v>2788</v>
      </c>
      <c r="C4122" t="s">
        <v>235</v>
      </c>
      <c r="D4122" t="s">
        <v>2713</v>
      </c>
      <c r="E4122" t="s">
        <v>1116</v>
      </c>
      <c r="F4122" t="s">
        <v>1068</v>
      </c>
      <c r="G4122" t="s">
        <v>1069</v>
      </c>
      <c r="H4122">
        <v>7.1399634668276299E-2</v>
      </c>
      <c r="I4122" t="s">
        <v>1070</v>
      </c>
      <c r="J4122">
        <v>7.26</v>
      </c>
    </row>
    <row r="4123" spans="1:10" hidden="1">
      <c r="A4123" t="s">
        <v>2787</v>
      </c>
      <c r="B4123" t="s">
        <v>2788</v>
      </c>
      <c r="C4123" t="s">
        <v>235</v>
      </c>
      <c r="D4123" t="s">
        <v>2713</v>
      </c>
      <c r="E4123" t="s">
        <v>1116</v>
      </c>
      <c r="F4123" t="s">
        <v>1068</v>
      </c>
      <c r="G4123" t="s">
        <v>1071</v>
      </c>
      <c r="H4123" s="171" t="s">
        <v>2789</v>
      </c>
      <c r="I4123" t="s">
        <v>1072</v>
      </c>
      <c r="J4123">
        <v>7.26</v>
      </c>
    </row>
    <row r="4124" spans="1:10" hidden="1">
      <c r="A4124" t="s">
        <v>2787</v>
      </c>
      <c r="B4124" t="s">
        <v>2788</v>
      </c>
      <c r="C4124" t="s">
        <v>235</v>
      </c>
      <c r="D4124" t="s">
        <v>2713</v>
      </c>
      <c r="E4124" t="s">
        <v>1116</v>
      </c>
      <c r="F4124" t="s">
        <v>1068</v>
      </c>
      <c r="G4124" t="s">
        <v>1073</v>
      </c>
      <c r="H4124" s="171" t="s">
        <v>2790</v>
      </c>
      <c r="I4124" t="s">
        <v>1074</v>
      </c>
      <c r="J4124">
        <v>7.26</v>
      </c>
    </row>
    <row r="4125" spans="1:10" hidden="1">
      <c r="A4125" t="s">
        <v>2787</v>
      </c>
      <c r="B4125" t="s">
        <v>2788</v>
      </c>
      <c r="C4125" t="s">
        <v>235</v>
      </c>
      <c r="D4125" t="s">
        <v>2713</v>
      </c>
      <c r="E4125" t="s">
        <v>1116</v>
      </c>
      <c r="F4125" t="s">
        <v>1068</v>
      </c>
      <c r="G4125" t="s">
        <v>1075</v>
      </c>
      <c r="H4125">
        <v>3.4707523528008598E-3</v>
      </c>
      <c r="I4125" t="s">
        <v>1077</v>
      </c>
      <c r="J4125">
        <v>7.26</v>
      </c>
    </row>
    <row r="4126" spans="1:10" hidden="1">
      <c r="A4126" t="s">
        <v>2787</v>
      </c>
      <c r="B4126" t="s">
        <v>2788</v>
      </c>
      <c r="C4126" t="s">
        <v>235</v>
      </c>
      <c r="D4126" t="s">
        <v>2713</v>
      </c>
      <c r="E4126" t="s">
        <v>1116</v>
      </c>
      <c r="F4126" t="s">
        <v>1068</v>
      </c>
      <c r="G4126" t="s">
        <v>1078</v>
      </c>
      <c r="H4126">
        <v>2.6019973288491701E-2</v>
      </c>
      <c r="I4126" t="s">
        <v>1079</v>
      </c>
      <c r="J4126">
        <v>7.26</v>
      </c>
    </row>
    <row r="4127" spans="1:10" hidden="1">
      <c r="A4127" t="s">
        <v>2787</v>
      </c>
      <c r="B4127" t="s">
        <v>2788</v>
      </c>
      <c r="C4127" t="s">
        <v>235</v>
      </c>
      <c r="D4127" t="s">
        <v>2713</v>
      </c>
      <c r="E4127" t="s">
        <v>1116</v>
      </c>
      <c r="F4127" t="s">
        <v>1068</v>
      </c>
      <c r="G4127" t="s">
        <v>1080</v>
      </c>
      <c r="H4127" s="171" t="s">
        <v>2791</v>
      </c>
      <c r="I4127" t="s">
        <v>1082</v>
      </c>
      <c r="J4127">
        <v>7.26</v>
      </c>
    </row>
    <row r="4128" spans="1:10" hidden="1">
      <c r="A4128" t="s">
        <v>2787</v>
      </c>
      <c r="B4128" t="s">
        <v>2788</v>
      </c>
      <c r="C4128" t="s">
        <v>235</v>
      </c>
      <c r="D4128" t="s">
        <v>2713</v>
      </c>
      <c r="E4128" t="s">
        <v>1116</v>
      </c>
      <c r="F4128" t="s">
        <v>1068</v>
      </c>
      <c r="G4128" t="s">
        <v>1083</v>
      </c>
      <c r="H4128" s="171" t="s">
        <v>2792</v>
      </c>
      <c r="I4128" t="s">
        <v>1084</v>
      </c>
      <c r="J4128">
        <v>7.26</v>
      </c>
    </row>
    <row r="4129" spans="1:10" hidden="1">
      <c r="A4129" t="s">
        <v>2787</v>
      </c>
      <c r="B4129" t="s">
        <v>2788</v>
      </c>
      <c r="C4129" t="s">
        <v>235</v>
      </c>
      <c r="D4129" t="s">
        <v>2713</v>
      </c>
      <c r="E4129" t="s">
        <v>1116</v>
      </c>
      <c r="F4129" t="s">
        <v>1068</v>
      </c>
      <c r="G4129" t="s">
        <v>1085</v>
      </c>
      <c r="H4129" s="171" t="s">
        <v>2793</v>
      </c>
      <c r="I4129" t="s">
        <v>1086</v>
      </c>
      <c r="J4129">
        <v>7.26</v>
      </c>
    </row>
    <row r="4130" spans="1:10" hidden="1">
      <c r="A4130" t="s">
        <v>2787</v>
      </c>
      <c r="B4130" t="s">
        <v>2788</v>
      </c>
      <c r="C4130" t="s">
        <v>235</v>
      </c>
      <c r="D4130" t="s">
        <v>2713</v>
      </c>
      <c r="E4130" t="s">
        <v>1116</v>
      </c>
      <c r="F4130" t="s">
        <v>1068</v>
      </c>
      <c r="G4130" t="s">
        <v>1087</v>
      </c>
      <c r="H4130" s="171" t="s">
        <v>2794</v>
      </c>
      <c r="I4130" t="s">
        <v>1088</v>
      </c>
      <c r="J4130">
        <v>7.26</v>
      </c>
    </row>
    <row r="4131" spans="1:10" hidden="1">
      <c r="A4131" t="s">
        <v>2787</v>
      </c>
      <c r="B4131" t="s">
        <v>2788</v>
      </c>
      <c r="C4131" t="s">
        <v>235</v>
      </c>
      <c r="D4131" t="s">
        <v>2713</v>
      </c>
      <c r="E4131" t="s">
        <v>1116</v>
      </c>
      <c r="F4131" t="s">
        <v>1068</v>
      </c>
      <c r="G4131" t="s">
        <v>1089</v>
      </c>
      <c r="H4131" s="171" t="s">
        <v>2795</v>
      </c>
      <c r="I4131" t="s">
        <v>1090</v>
      </c>
      <c r="J4131">
        <v>7.26</v>
      </c>
    </row>
    <row r="4132" spans="1:10" hidden="1">
      <c r="A4132" t="s">
        <v>2796</v>
      </c>
      <c r="B4132" t="s">
        <v>2797</v>
      </c>
      <c r="C4132" t="s">
        <v>235</v>
      </c>
      <c r="D4132" t="s">
        <v>2798</v>
      </c>
      <c r="E4132" t="s">
        <v>561</v>
      </c>
      <c r="F4132" t="s">
        <v>1068</v>
      </c>
      <c r="G4132" t="s">
        <v>1069</v>
      </c>
      <c r="H4132">
        <v>7.1265270216778906E-2</v>
      </c>
      <c r="I4132" t="s">
        <v>1070</v>
      </c>
      <c r="J4132">
        <v>8</v>
      </c>
    </row>
    <row r="4133" spans="1:10" hidden="1">
      <c r="A4133" t="s">
        <v>2796</v>
      </c>
      <c r="B4133" t="s">
        <v>2797</v>
      </c>
      <c r="C4133" t="s">
        <v>235</v>
      </c>
      <c r="D4133" t="s">
        <v>2798</v>
      </c>
      <c r="E4133" t="s">
        <v>561</v>
      </c>
      <c r="F4133" t="s">
        <v>1068</v>
      </c>
      <c r="G4133" t="s">
        <v>1071</v>
      </c>
      <c r="H4133" s="171" t="s">
        <v>2799</v>
      </c>
      <c r="I4133" t="s">
        <v>1072</v>
      </c>
      <c r="J4133">
        <v>8</v>
      </c>
    </row>
    <row r="4134" spans="1:10" hidden="1">
      <c r="A4134" t="s">
        <v>2796</v>
      </c>
      <c r="B4134" t="s">
        <v>2797</v>
      </c>
      <c r="C4134" t="s">
        <v>235</v>
      </c>
      <c r="D4134" t="s">
        <v>2798</v>
      </c>
      <c r="E4134" t="s">
        <v>561</v>
      </c>
      <c r="F4134" t="s">
        <v>1068</v>
      </c>
      <c r="G4134" t="s">
        <v>1073</v>
      </c>
      <c r="H4134" s="171" t="s">
        <v>2800</v>
      </c>
      <c r="I4134" t="s">
        <v>1074</v>
      </c>
      <c r="J4134">
        <v>8</v>
      </c>
    </row>
    <row r="4135" spans="1:10" hidden="1">
      <c r="A4135" t="s">
        <v>2796</v>
      </c>
      <c r="B4135" t="s">
        <v>2797</v>
      </c>
      <c r="C4135" t="s">
        <v>235</v>
      </c>
      <c r="D4135" t="s">
        <v>2798</v>
      </c>
      <c r="E4135" t="s">
        <v>561</v>
      </c>
      <c r="F4135" t="s">
        <v>1068</v>
      </c>
      <c r="G4135" t="s">
        <v>1075</v>
      </c>
      <c r="H4135">
        <v>3.4708053285763601E-3</v>
      </c>
      <c r="I4135" t="s">
        <v>1077</v>
      </c>
      <c r="J4135">
        <v>8</v>
      </c>
    </row>
    <row r="4136" spans="1:10" hidden="1">
      <c r="A4136" t="s">
        <v>2796</v>
      </c>
      <c r="B4136" t="s">
        <v>2797</v>
      </c>
      <c r="C4136" t="s">
        <v>235</v>
      </c>
      <c r="D4136" t="s">
        <v>2798</v>
      </c>
      <c r="E4136" t="s">
        <v>561</v>
      </c>
      <c r="F4136" t="s">
        <v>1068</v>
      </c>
      <c r="G4136" t="s">
        <v>1078</v>
      </c>
      <c r="H4136">
        <v>2.60222889299325E-2</v>
      </c>
      <c r="I4136" t="s">
        <v>1079</v>
      </c>
      <c r="J4136">
        <v>8</v>
      </c>
    </row>
    <row r="4137" spans="1:10" hidden="1">
      <c r="A4137" t="s">
        <v>2796</v>
      </c>
      <c r="B4137" t="s">
        <v>2797</v>
      </c>
      <c r="C4137" t="s">
        <v>235</v>
      </c>
      <c r="D4137" t="s">
        <v>2798</v>
      </c>
      <c r="E4137" t="s">
        <v>561</v>
      </c>
      <c r="F4137" t="s">
        <v>1068</v>
      </c>
      <c r="G4137" t="s">
        <v>1080</v>
      </c>
      <c r="H4137" s="171" t="s">
        <v>2801</v>
      </c>
      <c r="I4137" t="s">
        <v>1082</v>
      </c>
      <c r="J4137">
        <v>8</v>
      </c>
    </row>
    <row r="4138" spans="1:10" hidden="1">
      <c r="A4138" t="s">
        <v>2796</v>
      </c>
      <c r="B4138" t="s">
        <v>2797</v>
      </c>
      <c r="C4138" t="s">
        <v>235</v>
      </c>
      <c r="D4138" t="s">
        <v>2798</v>
      </c>
      <c r="E4138" t="s">
        <v>561</v>
      </c>
      <c r="F4138" t="s">
        <v>1068</v>
      </c>
      <c r="G4138" t="s">
        <v>1083</v>
      </c>
      <c r="H4138" s="171" t="s">
        <v>2802</v>
      </c>
      <c r="I4138" t="s">
        <v>1084</v>
      </c>
      <c r="J4138">
        <v>8</v>
      </c>
    </row>
    <row r="4139" spans="1:10" hidden="1">
      <c r="A4139" t="s">
        <v>2796</v>
      </c>
      <c r="B4139" t="s">
        <v>2797</v>
      </c>
      <c r="C4139" t="s">
        <v>235</v>
      </c>
      <c r="D4139" t="s">
        <v>2798</v>
      </c>
      <c r="E4139" t="s">
        <v>561</v>
      </c>
      <c r="F4139" t="s">
        <v>1068</v>
      </c>
      <c r="G4139" t="s">
        <v>1085</v>
      </c>
      <c r="H4139" s="171" t="s">
        <v>2803</v>
      </c>
      <c r="I4139" t="s">
        <v>1086</v>
      </c>
      <c r="J4139">
        <v>8</v>
      </c>
    </row>
    <row r="4140" spans="1:10" hidden="1">
      <c r="A4140" t="s">
        <v>2796</v>
      </c>
      <c r="B4140" t="s">
        <v>2797</v>
      </c>
      <c r="C4140" t="s">
        <v>235</v>
      </c>
      <c r="D4140" t="s">
        <v>2798</v>
      </c>
      <c r="E4140" t="s">
        <v>561</v>
      </c>
      <c r="F4140" t="s">
        <v>1068</v>
      </c>
      <c r="G4140" t="s">
        <v>1087</v>
      </c>
      <c r="H4140" s="171" t="s">
        <v>2804</v>
      </c>
      <c r="I4140" t="s">
        <v>1088</v>
      </c>
      <c r="J4140">
        <v>8</v>
      </c>
    </row>
    <row r="4141" spans="1:10" hidden="1">
      <c r="A4141" t="s">
        <v>2796</v>
      </c>
      <c r="B4141" t="s">
        <v>2797</v>
      </c>
      <c r="C4141" t="s">
        <v>235</v>
      </c>
      <c r="D4141" t="s">
        <v>2798</v>
      </c>
      <c r="E4141" t="s">
        <v>561</v>
      </c>
      <c r="F4141" t="s">
        <v>1068</v>
      </c>
      <c r="G4141" t="s">
        <v>1089</v>
      </c>
      <c r="H4141" s="171" t="s">
        <v>2805</v>
      </c>
      <c r="I4141" t="s">
        <v>1090</v>
      </c>
      <c r="J4141">
        <v>8</v>
      </c>
    </row>
    <row r="4142" spans="1:10" hidden="1">
      <c r="A4142" t="s">
        <v>2806</v>
      </c>
      <c r="B4142" t="s">
        <v>2807</v>
      </c>
      <c r="C4142" t="s">
        <v>235</v>
      </c>
      <c r="D4142" t="s">
        <v>2798</v>
      </c>
      <c r="E4142" t="s">
        <v>555</v>
      </c>
      <c r="F4142" t="s">
        <v>1068</v>
      </c>
      <c r="G4142" t="s">
        <v>1069</v>
      </c>
      <c r="H4142">
        <v>7.1292710954317703E-2</v>
      </c>
      <c r="I4142" t="s">
        <v>1070</v>
      </c>
      <c r="J4142">
        <v>7.16</v>
      </c>
    </row>
    <row r="4143" spans="1:10" hidden="1">
      <c r="A4143" t="s">
        <v>2806</v>
      </c>
      <c r="B4143" t="s">
        <v>2807</v>
      </c>
      <c r="C4143" t="s">
        <v>235</v>
      </c>
      <c r="D4143" t="s">
        <v>2798</v>
      </c>
      <c r="E4143" t="s">
        <v>555</v>
      </c>
      <c r="F4143" t="s">
        <v>1068</v>
      </c>
      <c r="G4143" t="s">
        <v>1071</v>
      </c>
      <c r="H4143" s="171" t="s">
        <v>2808</v>
      </c>
      <c r="I4143" t="s">
        <v>1072</v>
      </c>
      <c r="J4143">
        <v>7.16</v>
      </c>
    </row>
    <row r="4144" spans="1:10" hidden="1">
      <c r="A4144" t="s">
        <v>2806</v>
      </c>
      <c r="B4144" t="s">
        <v>2807</v>
      </c>
      <c r="C4144" t="s">
        <v>235</v>
      </c>
      <c r="D4144" t="s">
        <v>2798</v>
      </c>
      <c r="E4144" t="s">
        <v>555</v>
      </c>
      <c r="F4144" t="s">
        <v>1068</v>
      </c>
      <c r="G4144" t="s">
        <v>1073</v>
      </c>
      <c r="H4144" s="171" t="s">
        <v>2809</v>
      </c>
      <c r="I4144" t="s">
        <v>1074</v>
      </c>
      <c r="J4144">
        <v>7.16</v>
      </c>
    </row>
    <row r="4145" spans="1:10" hidden="1">
      <c r="A4145" t="s">
        <v>2806</v>
      </c>
      <c r="B4145" t="s">
        <v>2807</v>
      </c>
      <c r="C4145" t="s">
        <v>235</v>
      </c>
      <c r="D4145" t="s">
        <v>2798</v>
      </c>
      <c r="E4145" t="s">
        <v>555</v>
      </c>
      <c r="F4145" t="s">
        <v>1068</v>
      </c>
      <c r="G4145" t="s">
        <v>1075</v>
      </c>
      <c r="H4145">
        <v>3.4712815287060799E-3</v>
      </c>
      <c r="I4145" t="s">
        <v>1077</v>
      </c>
      <c r="J4145">
        <v>7.16</v>
      </c>
    </row>
    <row r="4146" spans="1:10" hidden="1">
      <c r="A4146" t="s">
        <v>2806</v>
      </c>
      <c r="B4146" t="s">
        <v>2807</v>
      </c>
      <c r="C4146" t="s">
        <v>235</v>
      </c>
      <c r="D4146" t="s">
        <v>2798</v>
      </c>
      <c r="E4146" t="s">
        <v>555</v>
      </c>
      <c r="F4146" t="s">
        <v>1068</v>
      </c>
      <c r="G4146" t="s">
        <v>1078</v>
      </c>
      <c r="H4146" s="171" t="s">
        <v>2810</v>
      </c>
      <c r="I4146" t="s">
        <v>1079</v>
      </c>
      <c r="J4146">
        <v>7.16</v>
      </c>
    </row>
    <row r="4147" spans="1:10" hidden="1">
      <c r="A4147" t="s">
        <v>2806</v>
      </c>
      <c r="B4147" t="s">
        <v>2807</v>
      </c>
      <c r="C4147" t="s">
        <v>235</v>
      </c>
      <c r="D4147" t="s">
        <v>2798</v>
      </c>
      <c r="E4147" t="s">
        <v>555</v>
      </c>
      <c r="F4147" t="s">
        <v>1068</v>
      </c>
      <c r="G4147" t="s">
        <v>1080</v>
      </c>
      <c r="H4147" s="171" t="s">
        <v>2811</v>
      </c>
      <c r="I4147" t="s">
        <v>1082</v>
      </c>
      <c r="J4147">
        <v>7.16</v>
      </c>
    </row>
    <row r="4148" spans="1:10" hidden="1">
      <c r="A4148" t="s">
        <v>2806</v>
      </c>
      <c r="B4148" t="s">
        <v>2807</v>
      </c>
      <c r="C4148" t="s">
        <v>235</v>
      </c>
      <c r="D4148" t="s">
        <v>2798</v>
      </c>
      <c r="E4148" t="s">
        <v>555</v>
      </c>
      <c r="F4148" t="s">
        <v>1068</v>
      </c>
      <c r="G4148" t="s">
        <v>1083</v>
      </c>
      <c r="H4148" s="171" t="s">
        <v>2812</v>
      </c>
      <c r="I4148" t="s">
        <v>1084</v>
      </c>
      <c r="J4148">
        <v>7.16</v>
      </c>
    </row>
    <row r="4149" spans="1:10" hidden="1">
      <c r="A4149" t="s">
        <v>2806</v>
      </c>
      <c r="B4149" t="s">
        <v>2807</v>
      </c>
      <c r="C4149" t="s">
        <v>235</v>
      </c>
      <c r="D4149" t="s">
        <v>2798</v>
      </c>
      <c r="E4149" t="s">
        <v>555</v>
      </c>
      <c r="F4149" t="s">
        <v>1068</v>
      </c>
      <c r="G4149" t="s">
        <v>1085</v>
      </c>
      <c r="H4149" s="171" t="s">
        <v>2813</v>
      </c>
      <c r="I4149" t="s">
        <v>1086</v>
      </c>
      <c r="J4149">
        <v>7.16</v>
      </c>
    </row>
    <row r="4150" spans="1:10" hidden="1">
      <c r="A4150" t="s">
        <v>2806</v>
      </c>
      <c r="B4150" t="s">
        <v>2807</v>
      </c>
      <c r="C4150" t="s">
        <v>235</v>
      </c>
      <c r="D4150" t="s">
        <v>2798</v>
      </c>
      <c r="E4150" t="s">
        <v>555</v>
      </c>
      <c r="F4150" t="s">
        <v>1068</v>
      </c>
      <c r="G4150" t="s">
        <v>1087</v>
      </c>
      <c r="H4150" s="171" t="s">
        <v>2814</v>
      </c>
      <c r="I4150" t="s">
        <v>1088</v>
      </c>
      <c r="J4150">
        <v>7.16</v>
      </c>
    </row>
    <row r="4151" spans="1:10" hidden="1">
      <c r="A4151" t="s">
        <v>2806</v>
      </c>
      <c r="B4151" t="s">
        <v>2807</v>
      </c>
      <c r="C4151" t="s">
        <v>235</v>
      </c>
      <c r="D4151" t="s">
        <v>2798</v>
      </c>
      <c r="E4151" t="s">
        <v>555</v>
      </c>
      <c r="F4151" t="s">
        <v>1068</v>
      </c>
      <c r="G4151" t="s">
        <v>1089</v>
      </c>
      <c r="H4151" s="171" t="s">
        <v>2815</v>
      </c>
      <c r="I4151" t="s">
        <v>1090</v>
      </c>
      <c r="J4151">
        <v>7.16</v>
      </c>
    </row>
    <row r="4152" spans="1:10" hidden="1">
      <c r="A4152" t="s">
        <v>2816</v>
      </c>
      <c r="B4152" s="170" t="s">
        <v>2817</v>
      </c>
      <c r="C4152" t="s">
        <v>235</v>
      </c>
      <c r="D4152" t="s">
        <v>2798</v>
      </c>
      <c r="E4152" t="s">
        <v>558</v>
      </c>
      <c r="F4152" t="s">
        <v>1068</v>
      </c>
      <c r="G4152" t="s">
        <v>1069</v>
      </c>
      <c r="H4152">
        <v>7.1264009442833495E-2</v>
      </c>
      <c r="I4152" t="s">
        <v>1070</v>
      </c>
      <c r="J4152">
        <v>10.02</v>
      </c>
    </row>
    <row r="4153" spans="1:10" hidden="1">
      <c r="A4153" t="s">
        <v>2816</v>
      </c>
      <c r="B4153" s="170" t="s">
        <v>2817</v>
      </c>
      <c r="C4153" t="s">
        <v>235</v>
      </c>
      <c r="D4153" t="s">
        <v>2798</v>
      </c>
      <c r="E4153" t="s">
        <v>558</v>
      </c>
      <c r="F4153" t="s">
        <v>1068</v>
      </c>
      <c r="G4153" t="s">
        <v>1071</v>
      </c>
      <c r="H4153" s="171" t="s">
        <v>2818</v>
      </c>
      <c r="I4153" t="s">
        <v>1072</v>
      </c>
      <c r="J4153">
        <v>10.02</v>
      </c>
    </row>
    <row r="4154" spans="1:10" hidden="1">
      <c r="A4154" t="s">
        <v>2816</v>
      </c>
      <c r="B4154" s="170" t="s">
        <v>2817</v>
      </c>
      <c r="C4154" t="s">
        <v>235</v>
      </c>
      <c r="D4154" t="s">
        <v>2798</v>
      </c>
      <c r="E4154" t="s">
        <v>558</v>
      </c>
      <c r="F4154" t="s">
        <v>1068</v>
      </c>
      <c r="G4154" t="s">
        <v>1073</v>
      </c>
      <c r="H4154" s="171" t="s">
        <v>2819</v>
      </c>
      <c r="I4154" t="s">
        <v>1074</v>
      </c>
      <c r="J4154">
        <v>10.02</v>
      </c>
    </row>
    <row r="4155" spans="1:10" hidden="1">
      <c r="A4155" t="s">
        <v>2816</v>
      </c>
      <c r="B4155" s="170" t="s">
        <v>2817</v>
      </c>
      <c r="C4155" t="s">
        <v>235</v>
      </c>
      <c r="D4155" t="s">
        <v>2798</v>
      </c>
      <c r="E4155" t="s">
        <v>558</v>
      </c>
      <c r="F4155" t="s">
        <v>1068</v>
      </c>
      <c r="G4155" t="s">
        <v>1075</v>
      </c>
      <c r="H4155">
        <v>3.4707654741651002E-3</v>
      </c>
      <c r="I4155" t="s">
        <v>1077</v>
      </c>
      <c r="J4155">
        <v>10.02</v>
      </c>
    </row>
    <row r="4156" spans="1:10" hidden="1">
      <c r="A4156" t="s">
        <v>2816</v>
      </c>
      <c r="B4156" s="170" t="s">
        <v>2817</v>
      </c>
      <c r="C4156" t="s">
        <v>235</v>
      </c>
      <c r="D4156" t="s">
        <v>2798</v>
      </c>
      <c r="E4156" t="s">
        <v>558</v>
      </c>
      <c r="F4156" t="s">
        <v>1068</v>
      </c>
      <c r="G4156" t="s">
        <v>1078</v>
      </c>
      <c r="H4156" s="171" t="s">
        <v>2820</v>
      </c>
      <c r="I4156" t="s">
        <v>1079</v>
      </c>
      <c r="J4156">
        <v>10.02</v>
      </c>
    </row>
    <row r="4157" spans="1:10" hidden="1">
      <c r="A4157" t="s">
        <v>2816</v>
      </c>
      <c r="B4157" s="170" t="s">
        <v>2817</v>
      </c>
      <c r="C4157" t="s">
        <v>235</v>
      </c>
      <c r="D4157" t="s">
        <v>2798</v>
      </c>
      <c r="E4157" t="s">
        <v>558</v>
      </c>
      <c r="F4157" t="s">
        <v>1068</v>
      </c>
      <c r="G4157" t="s">
        <v>1080</v>
      </c>
      <c r="H4157" s="171" t="s">
        <v>2821</v>
      </c>
      <c r="I4157" t="s">
        <v>1082</v>
      </c>
      <c r="J4157">
        <v>10.02</v>
      </c>
    </row>
    <row r="4158" spans="1:10" hidden="1">
      <c r="A4158" t="s">
        <v>2816</v>
      </c>
      <c r="B4158" s="170" t="s">
        <v>2817</v>
      </c>
      <c r="C4158" t="s">
        <v>235</v>
      </c>
      <c r="D4158" t="s">
        <v>2798</v>
      </c>
      <c r="E4158" t="s">
        <v>558</v>
      </c>
      <c r="F4158" t="s">
        <v>1068</v>
      </c>
      <c r="G4158" t="s">
        <v>1083</v>
      </c>
      <c r="H4158" s="171" t="s">
        <v>2822</v>
      </c>
      <c r="I4158" t="s">
        <v>1084</v>
      </c>
      <c r="J4158">
        <v>10.02</v>
      </c>
    </row>
    <row r="4159" spans="1:10" hidden="1">
      <c r="A4159" t="s">
        <v>2816</v>
      </c>
      <c r="B4159" s="170" t="s">
        <v>2817</v>
      </c>
      <c r="C4159" t="s">
        <v>235</v>
      </c>
      <c r="D4159" t="s">
        <v>2798</v>
      </c>
      <c r="E4159" t="s">
        <v>558</v>
      </c>
      <c r="F4159" t="s">
        <v>1068</v>
      </c>
      <c r="G4159" t="s">
        <v>1085</v>
      </c>
      <c r="H4159" s="171" t="s">
        <v>2823</v>
      </c>
      <c r="I4159" t="s">
        <v>1086</v>
      </c>
      <c r="J4159">
        <v>10.02</v>
      </c>
    </row>
    <row r="4160" spans="1:10" hidden="1">
      <c r="A4160" t="s">
        <v>2816</v>
      </c>
      <c r="B4160" s="170" t="s">
        <v>2817</v>
      </c>
      <c r="C4160" t="s">
        <v>235</v>
      </c>
      <c r="D4160" t="s">
        <v>2798</v>
      </c>
      <c r="E4160" t="s">
        <v>558</v>
      </c>
      <c r="F4160" t="s">
        <v>1068</v>
      </c>
      <c r="G4160" t="s">
        <v>1087</v>
      </c>
      <c r="H4160" s="171" t="s">
        <v>2824</v>
      </c>
      <c r="I4160" t="s">
        <v>1088</v>
      </c>
      <c r="J4160">
        <v>10.02</v>
      </c>
    </row>
    <row r="4161" spans="1:10" hidden="1">
      <c r="A4161" t="s">
        <v>2816</v>
      </c>
      <c r="B4161" s="170" t="s">
        <v>2817</v>
      </c>
      <c r="C4161" t="s">
        <v>235</v>
      </c>
      <c r="D4161" t="s">
        <v>2798</v>
      </c>
      <c r="E4161" t="s">
        <v>558</v>
      </c>
      <c r="F4161" t="s">
        <v>1068</v>
      </c>
      <c r="G4161" t="s">
        <v>1089</v>
      </c>
      <c r="H4161" s="171" t="s">
        <v>2825</v>
      </c>
      <c r="I4161" t="s">
        <v>1090</v>
      </c>
      <c r="J4161">
        <v>10.02</v>
      </c>
    </row>
    <row r="4162" spans="1:10" hidden="1">
      <c r="A4162" t="s">
        <v>2826</v>
      </c>
      <c r="B4162" t="s">
        <v>2827</v>
      </c>
      <c r="C4162" t="s">
        <v>235</v>
      </c>
      <c r="D4162" t="s">
        <v>2798</v>
      </c>
      <c r="E4162" t="s">
        <v>553</v>
      </c>
      <c r="F4162" t="s">
        <v>1068</v>
      </c>
      <c r="G4162" t="s">
        <v>1069</v>
      </c>
      <c r="H4162">
        <v>7.1275874588612301E-2</v>
      </c>
      <c r="I4162" t="s">
        <v>1070</v>
      </c>
      <c r="J4162">
        <v>8.33</v>
      </c>
    </row>
    <row r="4163" spans="1:10" hidden="1">
      <c r="A4163" t="s">
        <v>2826</v>
      </c>
      <c r="B4163" t="s">
        <v>2827</v>
      </c>
      <c r="C4163" t="s">
        <v>235</v>
      </c>
      <c r="D4163" t="s">
        <v>2798</v>
      </c>
      <c r="E4163" t="s">
        <v>553</v>
      </c>
      <c r="F4163" t="s">
        <v>1068</v>
      </c>
      <c r="G4163" t="s">
        <v>1071</v>
      </c>
      <c r="H4163" s="171" t="s">
        <v>2828</v>
      </c>
      <c r="I4163" t="s">
        <v>1072</v>
      </c>
      <c r="J4163">
        <v>8.33</v>
      </c>
    </row>
    <row r="4164" spans="1:10" hidden="1">
      <c r="A4164" t="s">
        <v>2826</v>
      </c>
      <c r="B4164" t="s">
        <v>2827</v>
      </c>
      <c r="C4164" t="s">
        <v>235</v>
      </c>
      <c r="D4164" t="s">
        <v>2798</v>
      </c>
      <c r="E4164" t="s">
        <v>553</v>
      </c>
      <c r="F4164" t="s">
        <v>1068</v>
      </c>
      <c r="G4164" t="s">
        <v>1073</v>
      </c>
      <c r="H4164" s="171" t="s">
        <v>2829</v>
      </c>
      <c r="I4164" t="s">
        <v>1074</v>
      </c>
      <c r="J4164">
        <v>8.33</v>
      </c>
    </row>
    <row r="4165" spans="1:10" hidden="1">
      <c r="A4165" t="s">
        <v>2826</v>
      </c>
      <c r="B4165" t="s">
        <v>2827</v>
      </c>
      <c r="C4165" t="s">
        <v>235</v>
      </c>
      <c r="D4165" t="s">
        <v>2798</v>
      </c>
      <c r="E4165" t="s">
        <v>553</v>
      </c>
      <c r="F4165" t="s">
        <v>1068</v>
      </c>
      <c r="G4165" t="s">
        <v>1075</v>
      </c>
      <c r="H4165">
        <v>3.4707493132003298E-3</v>
      </c>
      <c r="I4165" t="s">
        <v>1077</v>
      </c>
      <c r="J4165">
        <v>8.33</v>
      </c>
    </row>
    <row r="4166" spans="1:10" hidden="1">
      <c r="A4166" t="s">
        <v>2826</v>
      </c>
      <c r="B4166" t="s">
        <v>2827</v>
      </c>
      <c r="C4166" t="s">
        <v>235</v>
      </c>
      <c r="D4166" t="s">
        <v>2798</v>
      </c>
      <c r="E4166" t="s">
        <v>553</v>
      </c>
      <c r="F4166" t="s">
        <v>1068</v>
      </c>
      <c r="G4166" t="s">
        <v>1078</v>
      </c>
      <c r="H4166" s="171" t="s">
        <v>2830</v>
      </c>
      <c r="I4166" t="s">
        <v>1079</v>
      </c>
      <c r="J4166">
        <v>8.33</v>
      </c>
    </row>
    <row r="4167" spans="1:10" hidden="1">
      <c r="A4167" t="s">
        <v>2826</v>
      </c>
      <c r="B4167" t="s">
        <v>2827</v>
      </c>
      <c r="C4167" t="s">
        <v>235</v>
      </c>
      <c r="D4167" t="s">
        <v>2798</v>
      </c>
      <c r="E4167" t="s">
        <v>553</v>
      </c>
      <c r="F4167" t="s">
        <v>1068</v>
      </c>
      <c r="G4167" t="s">
        <v>1080</v>
      </c>
      <c r="H4167" s="171" t="s">
        <v>2831</v>
      </c>
      <c r="I4167" t="s">
        <v>1082</v>
      </c>
      <c r="J4167">
        <v>8.33</v>
      </c>
    </row>
    <row r="4168" spans="1:10" hidden="1">
      <c r="A4168" t="s">
        <v>2826</v>
      </c>
      <c r="B4168" t="s">
        <v>2827</v>
      </c>
      <c r="C4168" t="s">
        <v>235</v>
      </c>
      <c r="D4168" t="s">
        <v>2798</v>
      </c>
      <c r="E4168" t="s">
        <v>553</v>
      </c>
      <c r="F4168" t="s">
        <v>1068</v>
      </c>
      <c r="G4168" t="s">
        <v>1083</v>
      </c>
      <c r="H4168" s="171" t="s">
        <v>2832</v>
      </c>
      <c r="I4168" t="s">
        <v>1084</v>
      </c>
      <c r="J4168">
        <v>8.33</v>
      </c>
    </row>
    <row r="4169" spans="1:10" hidden="1">
      <c r="A4169" t="s">
        <v>2826</v>
      </c>
      <c r="B4169" t="s">
        <v>2827</v>
      </c>
      <c r="C4169" t="s">
        <v>235</v>
      </c>
      <c r="D4169" t="s">
        <v>2798</v>
      </c>
      <c r="E4169" t="s">
        <v>553</v>
      </c>
      <c r="F4169" t="s">
        <v>1068</v>
      </c>
      <c r="G4169" t="s">
        <v>1085</v>
      </c>
      <c r="H4169" s="171" t="s">
        <v>2833</v>
      </c>
      <c r="I4169" t="s">
        <v>1086</v>
      </c>
      <c r="J4169">
        <v>8.33</v>
      </c>
    </row>
    <row r="4170" spans="1:10" hidden="1">
      <c r="A4170" t="s">
        <v>2826</v>
      </c>
      <c r="B4170" t="s">
        <v>2827</v>
      </c>
      <c r="C4170" t="s">
        <v>235</v>
      </c>
      <c r="D4170" t="s">
        <v>2798</v>
      </c>
      <c r="E4170" t="s">
        <v>553</v>
      </c>
      <c r="F4170" t="s">
        <v>1068</v>
      </c>
      <c r="G4170" t="s">
        <v>1087</v>
      </c>
      <c r="H4170" s="171" t="s">
        <v>2834</v>
      </c>
      <c r="I4170" t="s">
        <v>1088</v>
      </c>
      <c r="J4170">
        <v>8.33</v>
      </c>
    </row>
    <row r="4171" spans="1:10" hidden="1">
      <c r="A4171" t="s">
        <v>2826</v>
      </c>
      <c r="B4171" t="s">
        <v>2827</v>
      </c>
      <c r="C4171" t="s">
        <v>235</v>
      </c>
      <c r="D4171" t="s">
        <v>2798</v>
      </c>
      <c r="E4171" t="s">
        <v>553</v>
      </c>
      <c r="F4171" t="s">
        <v>1068</v>
      </c>
      <c r="G4171" t="s">
        <v>1089</v>
      </c>
      <c r="H4171" s="171" t="s">
        <v>2835</v>
      </c>
      <c r="I4171" t="s">
        <v>1090</v>
      </c>
      <c r="J4171">
        <v>8.33</v>
      </c>
    </row>
    <row r="4172" spans="1:10" hidden="1">
      <c r="A4172" t="s">
        <v>2836</v>
      </c>
      <c r="B4172" t="s">
        <v>2837</v>
      </c>
      <c r="C4172" t="s">
        <v>235</v>
      </c>
      <c r="D4172" t="s">
        <v>2798</v>
      </c>
      <c r="E4172" t="s">
        <v>556</v>
      </c>
      <c r="F4172" t="s">
        <v>1068</v>
      </c>
      <c r="G4172" t="s">
        <v>1069</v>
      </c>
      <c r="H4172">
        <v>7.1291128466458797E-2</v>
      </c>
      <c r="I4172" t="s">
        <v>1070</v>
      </c>
      <c r="J4172">
        <v>8.09</v>
      </c>
    </row>
    <row r="4173" spans="1:10" hidden="1">
      <c r="A4173" t="s">
        <v>2836</v>
      </c>
      <c r="B4173" t="s">
        <v>2837</v>
      </c>
      <c r="C4173" t="s">
        <v>235</v>
      </c>
      <c r="D4173" t="s">
        <v>2798</v>
      </c>
      <c r="E4173" t="s">
        <v>556</v>
      </c>
      <c r="F4173" t="s">
        <v>1068</v>
      </c>
      <c r="G4173" t="s">
        <v>1071</v>
      </c>
      <c r="H4173" s="171" t="s">
        <v>2838</v>
      </c>
      <c r="I4173" t="s">
        <v>1072</v>
      </c>
      <c r="J4173">
        <v>8.09</v>
      </c>
    </row>
    <row r="4174" spans="1:10" hidden="1">
      <c r="A4174" t="s">
        <v>2836</v>
      </c>
      <c r="B4174" t="s">
        <v>2837</v>
      </c>
      <c r="C4174" t="s">
        <v>235</v>
      </c>
      <c r="D4174" t="s">
        <v>2798</v>
      </c>
      <c r="E4174" t="s">
        <v>556</v>
      </c>
      <c r="F4174" t="s">
        <v>1068</v>
      </c>
      <c r="G4174" t="s">
        <v>1073</v>
      </c>
      <c r="H4174" s="171" t="s">
        <v>2839</v>
      </c>
      <c r="I4174" t="s">
        <v>1074</v>
      </c>
      <c r="J4174">
        <v>8.09</v>
      </c>
    </row>
    <row r="4175" spans="1:10" hidden="1">
      <c r="A4175" t="s">
        <v>2836</v>
      </c>
      <c r="B4175" t="s">
        <v>2837</v>
      </c>
      <c r="C4175" t="s">
        <v>235</v>
      </c>
      <c r="D4175" t="s">
        <v>2798</v>
      </c>
      <c r="E4175" t="s">
        <v>556</v>
      </c>
      <c r="F4175" t="s">
        <v>1068</v>
      </c>
      <c r="G4175" t="s">
        <v>1075</v>
      </c>
      <c r="H4175">
        <v>3.4712315045742998E-3</v>
      </c>
      <c r="I4175" t="s">
        <v>1077</v>
      </c>
      <c r="J4175">
        <v>8.09</v>
      </c>
    </row>
    <row r="4176" spans="1:10" hidden="1">
      <c r="A4176" t="s">
        <v>2836</v>
      </c>
      <c r="B4176" t="s">
        <v>2837</v>
      </c>
      <c r="C4176" t="s">
        <v>235</v>
      </c>
      <c r="D4176" t="s">
        <v>2798</v>
      </c>
      <c r="E4176" t="s">
        <v>556</v>
      </c>
      <c r="F4176" t="s">
        <v>1068</v>
      </c>
      <c r="G4176" t="s">
        <v>1078</v>
      </c>
      <c r="H4176" s="171" t="s">
        <v>2840</v>
      </c>
      <c r="I4176" t="s">
        <v>1079</v>
      </c>
      <c r="J4176">
        <v>8.09</v>
      </c>
    </row>
    <row r="4177" spans="1:10" hidden="1">
      <c r="A4177" t="s">
        <v>2836</v>
      </c>
      <c r="B4177" t="s">
        <v>2837</v>
      </c>
      <c r="C4177" t="s">
        <v>235</v>
      </c>
      <c r="D4177" t="s">
        <v>2798</v>
      </c>
      <c r="E4177" t="s">
        <v>556</v>
      </c>
      <c r="F4177" t="s">
        <v>1068</v>
      </c>
      <c r="G4177" t="s">
        <v>1080</v>
      </c>
      <c r="H4177" s="171" t="s">
        <v>2841</v>
      </c>
      <c r="I4177" t="s">
        <v>1082</v>
      </c>
      <c r="J4177">
        <v>8.09</v>
      </c>
    </row>
    <row r="4178" spans="1:10" hidden="1">
      <c r="A4178" t="s">
        <v>2836</v>
      </c>
      <c r="B4178" t="s">
        <v>2837</v>
      </c>
      <c r="C4178" t="s">
        <v>235</v>
      </c>
      <c r="D4178" t="s">
        <v>2798</v>
      </c>
      <c r="E4178" t="s">
        <v>556</v>
      </c>
      <c r="F4178" t="s">
        <v>1068</v>
      </c>
      <c r="G4178" t="s">
        <v>1083</v>
      </c>
      <c r="H4178" s="171" t="s">
        <v>2842</v>
      </c>
      <c r="I4178" t="s">
        <v>1084</v>
      </c>
      <c r="J4178">
        <v>8.09</v>
      </c>
    </row>
    <row r="4179" spans="1:10" hidden="1">
      <c r="A4179" t="s">
        <v>2836</v>
      </c>
      <c r="B4179" t="s">
        <v>2837</v>
      </c>
      <c r="C4179" t="s">
        <v>235</v>
      </c>
      <c r="D4179" t="s">
        <v>2798</v>
      </c>
      <c r="E4179" t="s">
        <v>556</v>
      </c>
      <c r="F4179" t="s">
        <v>1068</v>
      </c>
      <c r="G4179" t="s">
        <v>1085</v>
      </c>
      <c r="H4179" s="171" t="s">
        <v>2843</v>
      </c>
      <c r="I4179" t="s">
        <v>1086</v>
      </c>
      <c r="J4179">
        <v>8.09</v>
      </c>
    </row>
    <row r="4180" spans="1:10" hidden="1">
      <c r="A4180" t="s">
        <v>2836</v>
      </c>
      <c r="B4180" t="s">
        <v>2837</v>
      </c>
      <c r="C4180" t="s">
        <v>235</v>
      </c>
      <c r="D4180" t="s">
        <v>2798</v>
      </c>
      <c r="E4180" t="s">
        <v>556</v>
      </c>
      <c r="F4180" t="s">
        <v>1068</v>
      </c>
      <c r="G4180" t="s">
        <v>1087</v>
      </c>
      <c r="H4180" s="171" t="s">
        <v>2844</v>
      </c>
      <c r="I4180" t="s">
        <v>1088</v>
      </c>
      <c r="J4180">
        <v>8.09</v>
      </c>
    </row>
    <row r="4181" spans="1:10" hidden="1">
      <c r="A4181" t="s">
        <v>2836</v>
      </c>
      <c r="B4181" t="s">
        <v>2837</v>
      </c>
      <c r="C4181" t="s">
        <v>235</v>
      </c>
      <c r="D4181" t="s">
        <v>2798</v>
      </c>
      <c r="E4181" t="s">
        <v>556</v>
      </c>
      <c r="F4181" t="s">
        <v>1068</v>
      </c>
      <c r="G4181" t="s">
        <v>1089</v>
      </c>
      <c r="H4181" s="171" t="s">
        <v>2845</v>
      </c>
      <c r="I4181" t="s">
        <v>1090</v>
      </c>
      <c r="J4181">
        <v>8.09</v>
      </c>
    </row>
    <row r="4182" spans="1:10" hidden="1">
      <c r="A4182" t="s">
        <v>2846</v>
      </c>
      <c r="B4182" t="s">
        <v>2847</v>
      </c>
      <c r="C4182" t="s">
        <v>235</v>
      </c>
      <c r="D4182" t="s">
        <v>2798</v>
      </c>
      <c r="E4182" t="s">
        <v>557</v>
      </c>
      <c r="F4182" t="s">
        <v>1068</v>
      </c>
      <c r="G4182" t="s">
        <v>1069</v>
      </c>
      <c r="H4182">
        <v>7.1269216987390693E-2</v>
      </c>
      <c r="I4182" t="s">
        <v>1070</v>
      </c>
      <c r="J4182">
        <v>7.1</v>
      </c>
    </row>
    <row r="4183" spans="1:10" hidden="1">
      <c r="A4183" t="s">
        <v>2846</v>
      </c>
      <c r="B4183" t="s">
        <v>2847</v>
      </c>
      <c r="C4183" t="s">
        <v>235</v>
      </c>
      <c r="D4183" t="s">
        <v>2798</v>
      </c>
      <c r="E4183" t="s">
        <v>557</v>
      </c>
      <c r="F4183" t="s">
        <v>1068</v>
      </c>
      <c r="G4183" t="s">
        <v>1071</v>
      </c>
      <c r="H4183" s="171" t="s">
        <v>2848</v>
      </c>
      <c r="I4183" t="s">
        <v>1072</v>
      </c>
      <c r="J4183">
        <v>7.1</v>
      </c>
    </row>
    <row r="4184" spans="1:10" hidden="1">
      <c r="A4184" t="s">
        <v>2846</v>
      </c>
      <c r="B4184" t="s">
        <v>2847</v>
      </c>
      <c r="C4184" t="s">
        <v>235</v>
      </c>
      <c r="D4184" t="s">
        <v>2798</v>
      </c>
      <c r="E4184" t="s">
        <v>557</v>
      </c>
      <c r="F4184" t="s">
        <v>1068</v>
      </c>
      <c r="G4184" t="s">
        <v>1073</v>
      </c>
      <c r="H4184" s="171" t="s">
        <v>2849</v>
      </c>
      <c r="I4184" t="s">
        <v>1074</v>
      </c>
      <c r="J4184">
        <v>7.1</v>
      </c>
    </row>
    <row r="4185" spans="1:10" hidden="1">
      <c r="A4185" t="s">
        <v>2846</v>
      </c>
      <c r="B4185" t="s">
        <v>2847</v>
      </c>
      <c r="C4185" t="s">
        <v>235</v>
      </c>
      <c r="D4185" t="s">
        <v>2798</v>
      </c>
      <c r="E4185" t="s">
        <v>557</v>
      </c>
      <c r="F4185" t="s">
        <v>1068</v>
      </c>
      <c r="G4185" t="s">
        <v>1075</v>
      </c>
      <c r="H4185">
        <v>3.47093009021162E-3</v>
      </c>
      <c r="I4185" t="s">
        <v>1077</v>
      </c>
      <c r="J4185">
        <v>7.1</v>
      </c>
    </row>
    <row r="4186" spans="1:10" hidden="1">
      <c r="A4186" t="s">
        <v>2846</v>
      </c>
      <c r="B4186" t="s">
        <v>2847</v>
      </c>
      <c r="C4186" t="s">
        <v>235</v>
      </c>
      <c r="D4186" t="s">
        <v>2798</v>
      </c>
      <c r="E4186" t="s">
        <v>557</v>
      </c>
      <c r="F4186" t="s">
        <v>1068</v>
      </c>
      <c r="G4186" t="s">
        <v>1078</v>
      </c>
      <c r="H4186">
        <v>2.6027684104295699E-2</v>
      </c>
      <c r="I4186" t="s">
        <v>1079</v>
      </c>
      <c r="J4186">
        <v>7.1</v>
      </c>
    </row>
    <row r="4187" spans="1:10" hidden="1">
      <c r="A4187" t="s">
        <v>2846</v>
      </c>
      <c r="B4187" t="s">
        <v>2847</v>
      </c>
      <c r="C4187" t="s">
        <v>235</v>
      </c>
      <c r="D4187" t="s">
        <v>2798</v>
      </c>
      <c r="E4187" t="s">
        <v>557</v>
      </c>
      <c r="F4187" t="s">
        <v>1068</v>
      </c>
      <c r="G4187" t="s">
        <v>1080</v>
      </c>
      <c r="H4187" s="171" t="s">
        <v>2850</v>
      </c>
      <c r="I4187" t="s">
        <v>1082</v>
      </c>
      <c r="J4187">
        <v>7.1</v>
      </c>
    </row>
    <row r="4188" spans="1:10" hidden="1">
      <c r="A4188" t="s">
        <v>2846</v>
      </c>
      <c r="B4188" t="s">
        <v>2847</v>
      </c>
      <c r="C4188" t="s">
        <v>235</v>
      </c>
      <c r="D4188" t="s">
        <v>2798</v>
      </c>
      <c r="E4188" t="s">
        <v>557</v>
      </c>
      <c r="F4188" t="s">
        <v>1068</v>
      </c>
      <c r="G4188" t="s">
        <v>1083</v>
      </c>
      <c r="H4188" s="171" t="s">
        <v>2851</v>
      </c>
      <c r="I4188" t="s">
        <v>1084</v>
      </c>
      <c r="J4188">
        <v>7.1</v>
      </c>
    </row>
    <row r="4189" spans="1:10" hidden="1">
      <c r="A4189" t="s">
        <v>2846</v>
      </c>
      <c r="B4189" t="s">
        <v>2847</v>
      </c>
      <c r="C4189" t="s">
        <v>235</v>
      </c>
      <c r="D4189" t="s">
        <v>2798</v>
      </c>
      <c r="E4189" t="s">
        <v>557</v>
      </c>
      <c r="F4189" t="s">
        <v>1068</v>
      </c>
      <c r="G4189" t="s">
        <v>1085</v>
      </c>
      <c r="H4189" s="171" t="s">
        <v>2852</v>
      </c>
      <c r="I4189" t="s">
        <v>1086</v>
      </c>
      <c r="J4189">
        <v>7.1</v>
      </c>
    </row>
    <row r="4190" spans="1:10" hidden="1">
      <c r="A4190" t="s">
        <v>2846</v>
      </c>
      <c r="B4190" t="s">
        <v>2847</v>
      </c>
      <c r="C4190" t="s">
        <v>235</v>
      </c>
      <c r="D4190" t="s">
        <v>2798</v>
      </c>
      <c r="E4190" t="s">
        <v>557</v>
      </c>
      <c r="F4190" t="s">
        <v>1068</v>
      </c>
      <c r="G4190" t="s">
        <v>1087</v>
      </c>
      <c r="H4190" s="171" t="s">
        <v>2853</v>
      </c>
      <c r="I4190" t="s">
        <v>1088</v>
      </c>
      <c r="J4190">
        <v>7.1</v>
      </c>
    </row>
    <row r="4191" spans="1:10" hidden="1">
      <c r="A4191" t="s">
        <v>2846</v>
      </c>
      <c r="B4191" t="s">
        <v>2847</v>
      </c>
      <c r="C4191" t="s">
        <v>235</v>
      </c>
      <c r="D4191" t="s">
        <v>2798</v>
      </c>
      <c r="E4191" t="s">
        <v>557</v>
      </c>
      <c r="F4191" t="s">
        <v>1068</v>
      </c>
      <c r="G4191" t="s">
        <v>1089</v>
      </c>
      <c r="H4191" s="171" t="s">
        <v>2854</v>
      </c>
      <c r="I4191" t="s">
        <v>1090</v>
      </c>
      <c r="J4191">
        <v>7.1</v>
      </c>
    </row>
    <row r="4192" spans="1:10" hidden="1">
      <c r="A4192" t="s">
        <v>2855</v>
      </c>
      <c r="B4192" t="s">
        <v>2856</v>
      </c>
      <c r="C4192" t="s">
        <v>235</v>
      </c>
      <c r="D4192" t="s">
        <v>2798</v>
      </c>
      <c r="E4192" t="s">
        <v>559</v>
      </c>
      <c r="F4192" t="s">
        <v>1068</v>
      </c>
      <c r="G4192" t="s">
        <v>1069</v>
      </c>
      <c r="H4192">
        <v>7.12865943720222E-2</v>
      </c>
      <c r="I4192" t="s">
        <v>1070</v>
      </c>
      <c r="J4192">
        <v>7.64</v>
      </c>
    </row>
    <row r="4193" spans="1:10" hidden="1">
      <c r="A4193" t="s">
        <v>2855</v>
      </c>
      <c r="B4193" t="s">
        <v>2856</v>
      </c>
      <c r="C4193" t="s">
        <v>235</v>
      </c>
      <c r="D4193" t="s">
        <v>2798</v>
      </c>
      <c r="E4193" t="s">
        <v>559</v>
      </c>
      <c r="F4193" t="s">
        <v>1068</v>
      </c>
      <c r="G4193" t="s">
        <v>1071</v>
      </c>
      <c r="H4193" s="171" t="s">
        <v>2857</v>
      </c>
      <c r="I4193" t="s">
        <v>1072</v>
      </c>
      <c r="J4193">
        <v>7.64</v>
      </c>
    </row>
    <row r="4194" spans="1:10" hidden="1">
      <c r="A4194" t="s">
        <v>2855</v>
      </c>
      <c r="B4194" t="s">
        <v>2856</v>
      </c>
      <c r="C4194" t="s">
        <v>235</v>
      </c>
      <c r="D4194" t="s">
        <v>2798</v>
      </c>
      <c r="E4194" t="s">
        <v>559</v>
      </c>
      <c r="F4194" t="s">
        <v>1068</v>
      </c>
      <c r="G4194" t="s">
        <v>1073</v>
      </c>
      <c r="H4194" s="171" t="s">
        <v>2858</v>
      </c>
      <c r="I4194" t="s">
        <v>1074</v>
      </c>
      <c r="J4194">
        <v>7.64</v>
      </c>
    </row>
    <row r="4195" spans="1:10" hidden="1">
      <c r="A4195" t="s">
        <v>2855</v>
      </c>
      <c r="B4195" t="s">
        <v>2856</v>
      </c>
      <c r="C4195" t="s">
        <v>235</v>
      </c>
      <c r="D4195" t="s">
        <v>2798</v>
      </c>
      <c r="E4195" t="s">
        <v>559</v>
      </c>
      <c r="F4195" t="s">
        <v>1068</v>
      </c>
      <c r="G4195" t="s">
        <v>1075</v>
      </c>
      <c r="H4195">
        <v>3.4710881770055298E-3</v>
      </c>
      <c r="I4195" t="s">
        <v>1077</v>
      </c>
      <c r="J4195">
        <v>7.64</v>
      </c>
    </row>
    <row r="4196" spans="1:10" hidden="1">
      <c r="A4196" t="s">
        <v>2855</v>
      </c>
      <c r="B4196" t="s">
        <v>2856</v>
      </c>
      <c r="C4196" t="s">
        <v>235</v>
      </c>
      <c r="D4196" t="s">
        <v>2798</v>
      </c>
      <c r="E4196" t="s">
        <v>559</v>
      </c>
      <c r="F4196" t="s">
        <v>1068</v>
      </c>
      <c r="G4196" t="s">
        <v>1078</v>
      </c>
      <c r="H4196" s="171" t="s">
        <v>2859</v>
      </c>
      <c r="I4196" t="s">
        <v>1079</v>
      </c>
      <c r="J4196">
        <v>7.64</v>
      </c>
    </row>
    <row r="4197" spans="1:10" hidden="1">
      <c r="A4197" t="s">
        <v>2855</v>
      </c>
      <c r="B4197" t="s">
        <v>2856</v>
      </c>
      <c r="C4197" t="s">
        <v>235</v>
      </c>
      <c r="D4197" t="s">
        <v>2798</v>
      </c>
      <c r="E4197" t="s">
        <v>559</v>
      </c>
      <c r="F4197" t="s">
        <v>1068</v>
      </c>
      <c r="G4197" t="s">
        <v>1080</v>
      </c>
      <c r="H4197" s="171" t="s">
        <v>2860</v>
      </c>
      <c r="I4197" t="s">
        <v>1082</v>
      </c>
      <c r="J4197">
        <v>7.64</v>
      </c>
    </row>
    <row r="4198" spans="1:10" hidden="1">
      <c r="A4198" t="s">
        <v>2855</v>
      </c>
      <c r="B4198" t="s">
        <v>2856</v>
      </c>
      <c r="C4198" t="s">
        <v>235</v>
      </c>
      <c r="D4198" t="s">
        <v>2798</v>
      </c>
      <c r="E4198" t="s">
        <v>559</v>
      </c>
      <c r="F4198" t="s">
        <v>1068</v>
      </c>
      <c r="G4198" t="s">
        <v>1083</v>
      </c>
      <c r="H4198" s="171" t="s">
        <v>2861</v>
      </c>
      <c r="I4198" t="s">
        <v>1084</v>
      </c>
      <c r="J4198">
        <v>7.64</v>
      </c>
    </row>
    <row r="4199" spans="1:10" hidden="1">
      <c r="A4199" t="s">
        <v>2855</v>
      </c>
      <c r="B4199" t="s">
        <v>2856</v>
      </c>
      <c r="C4199" t="s">
        <v>235</v>
      </c>
      <c r="D4199" t="s">
        <v>2798</v>
      </c>
      <c r="E4199" t="s">
        <v>559</v>
      </c>
      <c r="F4199" t="s">
        <v>1068</v>
      </c>
      <c r="G4199" t="s">
        <v>1085</v>
      </c>
      <c r="H4199" s="171" t="s">
        <v>2862</v>
      </c>
      <c r="I4199" t="s">
        <v>1086</v>
      </c>
      <c r="J4199">
        <v>7.64</v>
      </c>
    </row>
    <row r="4200" spans="1:10" hidden="1">
      <c r="A4200" t="s">
        <v>2855</v>
      </c>
      <c r="B4200" t="s">
        <v>2856</v>
      </c>
      <c r="C4200" t="s">
        <v>235</v>
      </c>
      <c r="D4200" t="s">
        <v>2798</v>
      </c>
      <c r="E4200" t="s">
        <v>559</v>
      </c>
      <c r="F4200" t="s">
        <v>1068</v>
      </c>
      <c r="G4200" t="s">
        <v>1087</v>
      </c>
      <c r="H4200" s="171" t="s">
        <v>2863</v>
      </c>
      <c r="I4200" t="s">
        <v>1088</v>
      </c>
      <c r="J4200">
        <v>7.64</v>
      </c>
    </row>
    <row r="4201" spans="1:10" hidden="1">
      <c r="A4201" t="s">
        <v>2855</v>
      </c>
      <c r="B4201" t="s">
        <v>2856</v>
      </c>
      <c r="C4201" t="s">
        <v>235</v>
      </c>
      <c r="D4201" t="s">
        <v>2798</v>
      </c>
      <c r="E4201" t="s">
        <v>559</v>
      </c>
      <c r="F4201" t="s">
        <v>1068</v>
      </c>
      <c r="G4201" t="s">
        <v>1089</v>
      </c>
      <c r="H4201" s="171" t="s">
        <v>2864</v>
      </c>
      <c r="I4201" t="s">
        <v>1090</v>
      </c>
      <c r="J4201">
        <v>7.64</v>
      </c>
    </row>
    <row r="4202" spans="1:10" hidden="1">
      <c r="A4202" t="s">
        <v>2865</v>
      </c>
      <c r="B4202" t="s">
        <v>2866</v>
      </c>
      <c r="C4202" t="s">
        <v>235</v>
      </c>
      <c r="D4202" t="s">
        <v>2798</v>
      </c>
      <c r="E4202" t="s">
        <v>560</v>
      </c>
      <c r="F4202" t="s">
        <v>1068</v>
      </c>
      <c r="G4202" t="s">
        <v>1069</v>
      </c>
      <c r="H4202">
        <v>7.1271994344487805E-2</v>
      </c>
      <c r="I4202" t="s">
        <v>1070</v>
      </c>
      <c r="J4202">
        <v>7.66</v>
      </c>
    </row>
    <row r="4203" spans="1:10" hidden="1">
      <c r="A4203" t="s">
        <v>2865</v>
      </c>
      <c r="B4203" t="s">
        <v>2866</v>
      </c>
      <c r="C4203" t="s">
        <v>235</v>
      </c>
      <c r="D4203" t="s">
        <v>2798</v>
      </c>
      <c r="E4203" t="s">
        <v>560</v>
      </c>
      <c r="F4203" t="s">
        <v>1068</v>
      </c>
      <c r="G4203" t="s">
        <v>1071</v>
      </c>
      <c r="H4203" s="171" t="s">
        <v>2867</v>
      </c>
      <c r="I4203" t="s">
        <v>1072</v>
      </c>
      <c r="J4203">
        <v>7.66</v>
      </c>
    </row>
    <row r="4204" spans="1:10" hidden="1">
      <c r="A4204" t="s">
        <v>2865</v>
      </c>
      <c r="B4204" t="s">
        <v>2866</v>
      </c>
      <c r="C4204" t="s">
        <v>235</v>
      </c>
      <c r="D4204" t="s">
        <v>2798</v>
      </c>
      <c r="E4204" t="s">
        <v>560</v>
      </c>
      <c r="F4204" t="s">
        <v>1068</v>
      </c>
      <c r="G4204" t="s">
        <v>1073</v>
      </c>
      <c r="H4204" s="171" t="s">
        <v>2868</v>
      </c>
      <c r="I4204" t="s">
        <v>1074</v>
      </c>
      <c r="J4204">
        <v>7.66</v>
      </c>
    </row>
    <row r="4205" spans="1:10" hidden="1">
      <c r="A4205" t="s">
        <v>2865</v>
      </c>
      <c r="B4205" t="s">
        <v>2866</v>
      </c>
      <c r="C4205" t="s">
        <v>235</v>
      </c>
      <c r="D4205" t="s">
        <v>2798</v>
      </c>
      <c r="E4205" t="s">
        <v>560</v>
      </c>
      <c r="F4205" t="s">
        <v>1068</v>
      </c>
      <c r="G4205" t="s">
        <v>1075</v>
      </c>
      <c r="H4205">
        <v>3.4710178854364202E-3</v>
      </c>
      <c r="I4205" t="s">
        <v>1077</v>
      </c>
      <c r="J4205">
        <v>7.66</v>
      </c>
    </row>
    <row r="4206" spans="1:10" hidden="1">
      <c r="A4206" t="s">
        <v>2865</v>
      </c>
      <c r="B4206" t="s">
        <v>2866</v>
      </c>
      <c r="C4206" t="s">
        <v>235</v>
      </c>
      <c r="D4206" t="s">
        <v>2798</v>
      </c>
      <c r="E4206" t="s">
        <v>560</v>
      </c>
      <c r="F4206" t="s">
        <v>1068</v>
      </c>
      <c r="G4206" t="s">
        <v>1078</v>
      </c>
      <c r="H4206" s="171" t="s">
        <v>2869</v>
      </c>
      <c r="I4206" t="s">
        <v>1079</v>
      </c>
      <c r="J4206">
        <v>7.66</v>
      </c>
    </row>
    <row r="4207" spans="1:10" hidden="1">
      <c r="A4207" t="s">
        <v>2865</v>
      </c>
      <c r="B4207" t="s">
        <v>2866</v>
      </c>
      <c r="C4207" t="s">
        <v>235</v>
      </c>
      <c r="D4207" t="s">
        <v>2798</v>
      </c>
      <c r="E4207" t="s">
        <v>560</v>
      </c>
      <c r="F4207" t="s">
        <v>1068</v>
      </c>
      <c r="G4207" t="s">
        <v>1080</v>
      </c>
      <c r="H4207" s="171" t="s">
        <v>2870</v>
      </c>
      <c r="I4207" t="s">
        <v>1082</v>
      </c>
      <c r="J4207">
        <v>7.66</v>
      </c>
    </row>
    <row r="4208" spans="1:10" hidden="1">
      <c r="A4208" t="s">
        <v>2865</v>
      </c>
      <c r="B4208" t="s">
        <v>2866</v>
      </c>
      <c r="C4208" t="s">
        <v>235</v>
      </c>
      <c r="D4208" t="s">
        <v>2798</v>
      </c>
      <c r="E4208" t="s">
        <v>560</v>
      </c>
      <c r="F4208" t="s">
        <v>1068</v>
      </c>
      <c r="G4208" t="s">
        <v>1083</v>
      </c>
      <c r="H4208" s="171" t="s">
        <v>2871</v>
      </c>
      <c r="I4208" t="s">
        <v>1084</v>
      </c>
      <c r="J4208">
        <v>7.66</v>
      </c>
    </row>
    <row r="4209" spans="1:10" hidden="1">
      <c r="A4209" t="s">
        <v>2865</v>
      </c>
      <c r="B4209" t="s">
        <v>2866</v>
      </c>
      <c r="C4209" t="s">
        <v>235</v>
      </c>
      <c r="D4209" t="s">
        <v>2798</v>
      </c>
      <c r="E4209" t="s">
        <v>560</v>
      </c>
      <c r="F4209" t="s">
        <v>1068</v>
      </c>
      <c r="G4209" t="s">
        <v>1085</v>
      </c>
      <c r="H4209" s="171" t="s">
        <v>2872</v>
      </c>
      <c r="I4209" t="s">
        <v>1086</v>
      </c>
      <c r="J4209">
        <v>7.66</v>
      </c>
    </row>
    <row r="4210" spans="1:10" hidden="1">
      <c r="A4210" t="s">
        <v>2865</v>
      </c>
      <c r="B4210" t="s">
        <v>2866</v>
      </c>
      <c r="C4210" t="s">
        <v>235</v>
      </c>
      <c r="D4210" t="s">
        <v>2798</v>
      </c>
      <c r="E4210" t="s">
        <v>560</v>
      </c>
      <c r="F4210" t="s">
        <v>1068</v>
      </c>
      <c r="G4210" t="s">
        <v>1087</v>
      </c>
      <c r="H4210" s="171" t="s">
        <v>2873</v>
      </c>
      <c r="I4210" t="s">
        <v>1088</v>
      </c>
      <c r="J4210">
        <v>7.66</v>
      </c>
    </row>
    <row r="4211" spans="1:10" hidden="1">
      <c r="A4211" t="s">
        <v>2865</v>
      </c>
      <c r="B4211" t="s">
        <v>2866</v>
      </c>
      <c r="C4211" t="s">
        <v>235</v>
      </c>
      <c r="D4211" t="s">
        <v>2798</v>
      </c>
      <c r="E4211" t="s">
        <v>560</v>
      </c>
      <c r="F4211" t="s">
        <v>1068</v>
      </c>
      <c r="G4211" t="s">
        <v>1089</v>
      </c>
      <c r="H4211" s="171" t="s">
        <v>2874</v>
      </c>
      <c r="I4211" t="s">
        <v>1090</v>
      </c>
      <c r="J4211">
        <v>7.66</v>
      </c>
    </row>
    <row r="4212" spans="1:10" hidden="1">
      <c r="A4212" t="s">
        <v>2875</v>
      </c>
      <c r="B4212" t="s">
        <v>2876</v>
      </c>
      <c r="C4212" t="s">
        <v>235</v>
      </c>
      <c r="D4212" t="s">
        <v>2798</v>
      </c>
      <c r="E4212" t="s">
        <v>1116</v>
      </c>
      <c r="F4212" t="s">
        <v>1068</v>
      </c>
      <c r="G4212" t="s">
        <v>1069</v>
      </c>
      <c r="H4212">
        <v>7.1263564786392494E-2</v>
      </c>
      <c r="I4212" t="s">
        <v>1070</v>
      </c>
      <c r="J4212">
        <v>7.16</v>
      </c>
    </row>
    <row r="4213" spans="1:10" hidden="1">
      <c r="A4213" t="s">
        <v>2875</v>
      </c>
      <c r="B4213" t="s">
        <v>2876</v>
      </c>
      <c r="C4213" t="s">
        <v>235</v>
      </c>
      <c r="D4213" t="s">
        <v>2798</v>
      </c>
      <c r="E4213" t="s">
        <v>1116</v>
      </c>
      <c r="F4213" t="s">
        <v>1068</v>
      </c>
      <c r="G4213" t="s">
        <v>1071</v>
      </c>
      <c r="H4213" s="171" t="s">
        <v>2877</v>
      </c>
      <c r="I4213" t="s">
        <v>1072</v>
      </c>
      <c r="J4213">
        <v>7.16</v>
      </c>
    </row>
    <row r="4214" spans="1:10" hidden="1">
      <c r="A4214" t="s">
        <v>2875</v>
      </c>
      <c r="B4214" t="s">
        <v>2876</v>
      </c>
      <c r="C4214" t="s">
        <v>235</v>
      </c>
      <c r="D4214" t="s">
        <v>2798</v>
      </c>
      <c r="E4214" t="s">
        <v>1116</v>
      </c>
      <c r="F4214" t="s">
        <v>1068</v>
      </c>
      <c r="G4214" t="s">
        <v>1073</v>
      </c>
      <c r="H4214" s="171" t="s">
        <v>2878</v>
      </c>
      <c r="I4214" t="s">
        <v>1074</v>
      </c>
      <c r="J4214">
        <v>7.16</v>
      </c>
    </row>
    <row r="4215" spans="1:10" hidden="1">
      <c r="A4215" t="s">
        <v>2875</v>
      </c>
      <c r="B4215" t="s">
        <v>2876</v>
      </c>
      <c r="C4215" t="s">
        <v>235</v>
      </c>
      <c r="D4215" t="s">
        <v>2798</v>
      </c>
      <c r="E4215" t="s">
        <v>1116</v>
      </c>
      <c r="F4215" t="s">
        <v>1068</v>
      </c>
      <c r="G4215" t="s">
        <v>1075</v>
      </c>
      <c r="H4215">
        <v>3.4707514180999902E-3</v>
      </c>
      <c r="I4215" t="s">
        <v>1077</v>
      </c>
      <c r="J4215">
        <v>7.16</v>
      </c>
    </row>
    <row r="4216" spans="1:10" hidden="1">
      <c r="A4216" t="s">
        <v>2875</v>
      </c>
      <c r="B4216" t="s">
        <v>2876</v>
      </c>
      <c r="C4216" t="s">
        <v>235</v>
      </c>
      <c r="D4216" t="s">
        <v>2798</v>
      </c>
      <c r="E4216" t="s">
        <v>1116</v>
      </c>
      <c r="F4216" t="s">
        <v>1068</v>
      </c>
      <c r="G4216" t="s">
        <v>1078</v>
      </c>
      <c r="H4216">
        <v>2.6019957632980099E-2</v>
      </c>
      <c r="I4216" t="s">
        <v>1079</v>
      </c>
      <c r="J4216">
        <v>7.16</v>
      </c>
    </row>
    <row r="4217" spans="1:10" hidden="1">
      <c r="A4217" t="s">
        <v>2875</v>
      </c>
      <c r="B4217" t="s">
        <v>2876</v>
      </c>
      <c r="C4217" t="s">
        <v>235</v>
      </c>
      <c r="D4217" t="s">
        <v>2798</v>
      </c>
      <c r="E4217" t="s">
        <v>1116</v>
      </c>
      <c r="F4217" t="s">
        <v>1068</v>
      </c>
      <c r="G4217" t="s">
        <v>1080</v>
      </c>
      <c r="H4217" s="171" t="s">
        <v>2879</v>
      </c>
      <c r="I4217" t="s">
        <v>1082</v>
      </c>
      <c r="J4217">
        <v>7.16</v>
      </c>
    </row>
    <row r="4218" spans="1:10" hidden="1">
      <c r="A4218" t="s">
        <v>2875</v>
      </c>
      <c r="B4218" t="s">
        <v>2876</v>
      </c>
      <c r="C4218" t="s">
        <v>235</v>
      </c>
      <c r="D4218" t="s">
        <v>2798</v>
      </c>
      <c r="E4218" t="s">
        <v>1116</v>
      </c>
      <c r="F4218" t="s">
        <v>1068</v>
      </c>
      <c r="G4218" t="s">
        <v>1083</v>
      </c>
      <c r="H4218" s="171" t="s">
        <v>2880</v>
      </c>
      <c r="I4218" t="s">
        <v>1084</v>
      </c>
      <c r="J4218">
        <v>7.16</v>
      </c>
    </row>
    <row r="4219" spans="1:10" hidden="1">
      <c r="A4219" t="s">
        <v>2875</v>
      </c>
      <c r="B4219" t="s">
        <v>2876</v>
      </c>
      <c r="C4219" t="s">
        <v>235</v>
      </c>
      <c r="D4219" t="s">
        <v>2798</v>
      </c>
      <c r="E4219" t="s">
        <v>1116</v>
      </c>
      <c r="F4219" t="s">
        <v>1068</v>
      </c>
      <c r="G4219" t="s">
        <v>1085</v>
      </c>
      <c r="H4219" s="171" t="s">
        <v>2881</v>
      </c>
      <c r="I4219" t="s">
        <v>1086</v>
      </c>
      <c r="J4219">
        <v>7.16</v>
      </c>
    </row>
    <row r="4220" spans="1:10" hidden="1">
      <c r="A4220" t="s">
        <v>2875</v>
      </c>
      <c r="B4220" t="s">
        <v>2876</v>
      </c>
      <c r="C4220" t="s">
        <v>235</v>
      </c>
      <c r="D4220" t="s">
        <v>2798</v>
      </c>
      <c r="E4220" t="s">
        <v>1116</v>
      </c>
      <c r="F4220" t="s">
        <v>1068</v>
      </c>
      <c r="G4220" t="s">
        <v>1087</v>
      </c>
      <c r="H4220" s="171" t="s">
        <v>2882</v>
      </c>
      <c r="I4220" t="s">
        <v>1088</v>
      </c>
      <c r="J4220">
        <v>7.16</v>
      </c>
    </row>
    <row r="4221" spans="1:10" hidden="1">
      <c r="A4221" t="s">
        <v>2875</v>
      </c>
      <c r="B4221" t="s">
        <v>2876</v>
      </c>
      <c r="C4221" t="s">
        <v>235</v>
      </c>
      <c r="D4221" t="s">
        <v>2798</v>
      </c>
      <c r="E4221" t="s">
        <v>1116</v>
      </c>
      <c r="F4221" t="s">
        <v>1068</v>
      </c>
      <c r="G4221" t="s">
        <v>1089</v>
      </c>
      <c r="H4221" s="171" t="s">
        <v>2883</v>
      </c>
      <c r="I4221" t="s">
        <v>1090</v>
      </c>
      <c r="J4221">
        <v>7.16</v>
      </c>
    </row>
    <row r="4222" spans="1:10" hidden="1">
      <c r="A4222" t="s">
        <v>2884</v>
      </c>
      <c r="B4222" t="s">
        <v>2885</v>
      </c>
      <c r="C4222" t="s">
        <v>235</v>
      </c>
      <c r="D4222" t="s">
        <v>2886</v>
      </c>
      <c r="E4222" t="s">
        <v>561</v>
      </c>
      <c r="F4222" t="s">
        <v>1068</v>
      </c>
      <c r="G4222" t="s">
        <v>1069</v>
      </c>
      <c r="H4222">
        <v>7.1449771916510099E-2</v>
      </c>
      <c r="I4222" t="s">
        <v>1070</v>
      </c>
      <c r="J4222">
        <v>8.6999999999999993</v>
      </c>
    </row>
    <row r="4223" spans="1:10" hidden="1">
      <c r="A4223" t="s">
        <v>2884</v>
      </c>
      <c r="B4223" t="s">
        <v>2885</v>
      </c>
      <c r="C4223" t="s">
        <v>235</v>
      </c>
      <c r="D4223" t="s">
        <v>2886</v>
      </c>
      <c r="E4223" t="s">
        <v>561</v>
      </c>
      <c r="F4223" t="s">
        <v>1068</v>
      </c>
      <c r="G4223" t="s">
        <v>1071</v>
      </c>
      <c r="H4223" s="171" t="s">
        <v>2887</v>
      </c>
      <c r="I4223" t="s">
        <v>1072</v>
      </c>
      <c r="J4223">
        <v>8.6999999999999993</v>
      </c>
    </row>
    <row r="4224" spans="1:10" hidden="1">
      <c r="A4224" t="s">
        <v>2884</v>
      </c>
      <c r="B4224" t="s">
        <v>2885</v>
      </c>
      <c r="C4224" t="s">
        <v>235</v>
      </c>
      <c r="D4224" t="s">
        <v>2886</v>
      </c>
      <c r="E4224" t="s">
        <v>561</v>
      </c>
      <c r="F4224" t="s">
        <v>1068</v>
      </c>
      <c r="G4224" t="s">
        <v>1073</v>
      </c>
      <c r="H4224" s="171" t="s">
        <v>2888</v>
      </c>
      <c r="I4224" t="s">
        <v>1074</v>
      </c>
      <c r="J4224">
        <v>8.6999999999999993</v>
      </c>
    </row>
    <row r="4225" spans="1:10" hidden="1">
      <c r="A4225" t="s">
        <v>2884</v>
      </c>
      <c r="B4225" t="s">
        <v>2885</v>
      </c>
      <c r="C4225" t="s">
        <v>235</v>
      </c>
      <c r="D4225" t="s">
        <v>2886</v>
      </c>
      <c r="E4225" t="s">
        <v>561</v>
      </c>
      <c r="F4225" t="s">
        <v>1068</v>
      </c>
      <c r="G4225" t="s">
        <v>1075</v>
      </c>
      <c r="H4225">
        <v>3.4708064845148799E-3</v>
      </c>
      <c r="I4225" t="s">
        <v>1077</v>
      </c>
      <c r="J4225">
        <v>8.6999999999999993</v>
      </c>
    </row>
    <row r="4226" spans="1:10" hidden="1">
      <c r="A4226" t="s">
        <v>2884</v>
      </c>
      <c r="B4226" t="s">
        <v>2885</v>
      </c>
      <c r="C4226" t="s">
        <v>235</v>
      </c>
      <c r="D4226" t="s">
        <v>2886</v>
      </c>
      <c r="E4226" t="s">
        <v>561</v>
      </c>
      <c r="F4226" t="s">
        <v>1068</v>
      </c>
      <c r="G4226" t="s">
        <v>1078</v>
      </c>
      <c r="H4226" s="171" t="s">
        <v>2889</v>
      </c>
      <c r="I4226" t="s">
        <v>1079</v>
      </c>
      <c r="J4226">
        <v>8.6999999999999993</v>
      </c>
    </row>
    <row r="4227" spans="1:10" hidden="1">
      <c r="A4227" t="s">
        <v>2884</v>
      </c>
      <c r="B4227" t="s">
        <v>2885</v>
      </c>
      <c r="C4227" t="s">
        <v>235</v>
      </c>
      <c r="D4227" t="s">
        <v>2886</v>
      </c>
      <c r="E4227" t="s">
        <v>561</v>
      </c>
      <c r="F4227" t="s">
        <v>1068</v>
      </c>
      <c r="G4227" t="s">
        <v>1080</v>
      </c>
      <c r="H4227" s="171" t="s">
        <v>2890</v>
      </c>
      <c r="I4227" t="s">
        <v>1082</v>
      </c>
      <c r="J4227">
        <v>8.6999999999999993</v>
      </c>
    </row>
    <row r="4228" spans="1:10" hidden="1">
      <c r="A4228" t="s">
        <v>2884</v>
      </c>
      <c r="B4228" t="s">
        <v>2885</v>
      </c>
      <c r="C4228" t="s">
        <v>235</v>
      </c>
      <c r="D4228" t="s">
        <v>2886</v>
      </c>
      <c r="E4228" t="s">
        <v>561</v>
      </c>
      <c r="F4228" t="s">
        <v>1068</v>
      </c>
      <c r="G4228" t="s">
        <v>1083</v>
      </c>
      <c r="H4228" s="171" t="s">
        <v>2891</v>
      </c>
      <c r="I4228" t="s">
        <v>1084</v>
      </c>
      <c r="J4228">
        <v>8.6999999999999993</v>
      </c>
    </row>
    <row r="4229" spans="1:10" hidden="1">
      <c r="A4229" t="s">
        <v>2884</v>
      </c>
      <c r="B4229" t="s">
        <v>2885</v>
      </c>
      <c r="C4229" t="s">
        <v>235</v>
      </c>
      <c r="D4229" t="s">
        <v>2886</v>
      </c>
      <c r="E4229" t="s">
        <v>561</v>
      </c>
      <c r="F4229" t="s">
        <v>1068</v>
      </c>
      <c r="G4229" t="s">
        <v>1085</v>
      </c>
      <c r="H4229" s="171" t="s">
        <v>2892</v>
      </c>
      <c r="I4229" t="s">
        <v>1086</v>
      </c>
      <c r="J4229">
        <v>8.6999999999999993</v>
      </c>
    </row>
    <row r="4230" spans="1:10" hidden="1">
      <c r="A4230" t="s">
        <v>2884</v>
      </c>
      <c r="B4230" t="s">
        <v>2885</v>
      </c>
      <c r="C4230" t="s">
        <v>235</v>
      </c>
      <c r="D4230" t="s">
        <v>2886</v>
      </c>
      <c r="E4230" t="s">
        <v>561</v>
      </c>
      <c r="F4230" t="s">
        <v>1068</v>
      </c>
      <c r="G4230" t="s">
        <v>1087</v>
      </c>
      <c r="H4230" s="171" t="s">
        <v>2893</v>
      </c>
      <c r="I4230" t="s">
        <v>1088</v>
      </c>
      <c r="J4230">
        <v>8.6999999999999993</v>
      </c>
    </row>
    <row r="4231" spans="1:10" hidden="1">
      <c r="A4231" t="s">
        <v>2884</v>
      </c>
      <c r="B4231" t="s">
        <v>2885</v>
      </c>
      <c r="C4231" t="s">
        <v>235</v>
      </c>
      <c r="D4231" t="s">
        <v>2886</v>
      </c>
      <c r="E4231" t="s">
        <v>561</v>
      </c>
      <c r="F4231" t="s">
        <v>1068</v>
      </c>
      <c r="G4231" t="s">
        <v>1089</v>
      </c>
      <c r="H4231" s="171" t="s">
        <v>2894</v>
      </c>
      <c r="I4231" t="s">
        <v>1090</v>
      </c>
      <c r="J4231">
        <v>8.6999999999999993</v>
      </c>
    </row>
    <row r="4232" spans="1:10" hidden="1">
      <c r="A4232" t="s">
        <v>2895</v>
      </c>
      <c r="B4232" t="s">
        <v>2896</v>
      </c>
      <c r="C4232" t="s">
        <v>235</v>
      </c>
      <c r="D4232" t="s">
        <v>2886</v>
      </c>
      <c r="E4232" t="s">
        <v>555</v>
      </c>
      <c r="F4232" t="s">
        <v>1068</v>
      </c>
      <c r="G4232" t="s">
        <v>1069</v>
      </c>
      <c r="H4232">
        <v>7.14807483279742E-2</v>
      </c>
      <c r="I4232" t="s">
        <v>1070</v>
      </c>
      <c r="J4232">
        <v>7.2</v>
      </c>
    </row>
    <row r="4233" spans="1:10" hidden="1">
      <c r="A4233" t="s">
        <v>2895</v>
      </c>
      <c r="B4233" t="s">
        <v>2896</v>
      </c>
      <c r="C4233" t="s">
        <v>235</v>
      </c>
      <c r="D4233" t="s">
        <v>2886</v>
      </c>
      <c r="E4233" t="s">
        <v>555</v>
      </c>
      <c r="F4233" t="s">
        <v>1068</v>
      </c>
      <c r="G4233" t="s">
        <v>1071</v>
      </c>
      <c r="H4233" s="171" t="s">
        <v>2897</v>
      </c>
      <c r="I4233" t="s">
        <v>1072</v>
      </c>
      <c r="J4233">
        <v>7.2</v>
      </c>
    </row>
    <row r="4234" spans="1:10" hidden="1">
      <c r="A4234" t="s">
        <v>2895</v>
      </c>
      <c r="B4234" t="s">
        <v>2896</v>
      </c>
      <c r="C4234" t="s">
        <v>235</v>
      </c>
      <c r="D4234" t="s">
        <v>2886</v>
      </c>
      <c r="E4234" t="s">
        <v>555</v>
      </c>
      <c r="F4234" t="s">
        <v>1068</v>
      </c>
      <c r="G4234" t="s">
        <v>1073</v>
      </c>
      <c r="H4234" s="171" t="s">
        <v>2898</v>
      </c>
      <c r="I4234" t="s">
        <v>1074</v>
      </c>
      <c r="J4234">
        <v>7.2</v>
      </c>
    </row>
    <row r="4235" spans="1:10" hidden="1">
      <c r="A4235" t="s">
        <v>2895</v>
      </c>
      <c r="B4235" t="s">
        <v>2896</v>
      </c>
      <c r="C4235" t="s">
        <v>235</v>
      </c>
      <c r="D4235" t="s">
        <v>2886</v>
      </c>
      <c r="E4235" t="s">
        <v>555</v>
      </c>
      <c r="F4235" t="s">
        <v>1068</v>
      </c>
      <c r="G4235" t="s">
        <v>1075</v>
      </c>
      <c r="H4235">
        <v>3.47128269919331E-3</v>
      </c>
      <c r="I4235" t="s">
        <v>1077</v>
      </c>
      <c r="J4235">
        <v>7.2</v>
      </c>
    </row>
    <row r="4236" spans="1:10" hidden="1">
      <c r="A4236" t="s">
        <v>2895</v>
      </c>
      <c r="B4236" t="s">
        <v>2896</v>
      </c>
      <c r="C4236" t="s">
        <v>235</v>
      </c>
      <c r="D4236" t="s">
        <v>2886</v>
      </c>
      <c r="E4236" t="s">
        <v>555</v>
      </c>
      <c r="F4236" t="s">
        <v>1068</v>
      </c>
      <c r="G4236" t="s">
        <v>1078</v>
      </c>
      <c r="H4236">
        <v>2.6042897336766301E-2</v>
      </c>
      <c r="I4236" t="s">
        <v>1079</v>
      </c>
      <c r="J4236">
        <v>7.2</v>
      </c>
    </row>
    <row r="4237" spans="1:10" hidden="1">
      <c r="A4237" t="s">
        <v>2895</v>
      </c>
      <c r="B4237" t="s">
        <v>2896</v>
      </c>
      <c r="C4237" t="s">
        <v>235</v>
      </c>
      <c r="D4237" t="s">
        <v>2886</v>
      </c>
      <c r="E4237" t="s">
        <v>555</v>
      </c>
      <c r="F4237" t="s">
        <v>1068</v>
      </c>
      <c r="G4237" t="s">
        <v>1080</v>
      </c>
      <c r="H4237" s="171" t="s">
        <v>2899</v>
      </c>
      <c r="I4237" t="s">
        <v>1082</v>
      </c>
      <c r="J4237">
        <v>7.2</v>
      </c>
    </row>
    <row r="4238" spans="1:10" hidden="1">
      <c r="A4238" t="s">
        <v>2895</v>
      </c>
      <c r="B4238" t="s">
        <v>2896</v>
      </c>
      <c r="C4238" t="s">
        <v>235</v>
      </c>
      <c r="D4238" t="s">
        <v>2886</v>
      </c>
      <c r="E4238" t="s">
        <v>555</v>
      </c>
      <c r="F4238" t="s">
        <v>1068</v>
      </c>
      <c r="G4238" t="s">
        <v>1083</v>
      </c>
      <c r="H4238" s="171" t="s">
        <v>2900</v>
      </c>
      <c r="I4238" t="s">
        <v>1084</v>
      </c>
      <c r="J4238">
        <v>7.2</v>
      </c>
    </row>
    <row r="4239" spans="1:10" hidden="1">
      <c r="A4239" t="s">
        <v>2895</v>
      </c>
      <c r="B4239" t="s">
        <v>2896</v>
      </c>
      <c r="C4239" t="s">
        <v>235</v>
      </c>
      <c r="D4239" t="s">
        <v>2886</v>
      </c>
      <c r="E4239" t="s">
        <v>555</v>
      </c>
      <c r="F4239" t="s">
        <v>1068</v>
      </c>
      <c r="G4239" t="s">
        <v>1085</v>
      </c>
      <c r="H4239" s="171" t="s">
        <v>2901</v>
      </c>
      <c r="I4239" t="s">
        <v>1086</v>
      </c>
      <c r="J4239">
        <v>7.2</v>
      </c>
    </row>
    <row r="4240" spans="1:10" hidden="1">
      <c r="A4240" t="s">
        <v>2895</v>
      </c>
      <c r="B4240" t="s">
        <v>2896</v>
      </c>
      <c r="C4240" t="s">
        <v>235</v>
      </c>
      <c r="D4240" t="s">
        <v>2886</v>
      </c>
      <c r="E4240" t="s">
        <v>555</v>
      </c>
      <c r="F4240" t="s">
        <v>1068</v>
      </c>
      <c r="G4240" t="s">
        <v>1087</v>
      </c>
      <c r="H4240" s="171" t="s">
        <v>2902</v>
      </c>
      <c r="I4240" t="s">
        <v>1088</v>
      </c>
      <c r="J4240">
        <v>7.2</v>
      </c>
    </row>
    <row r="4241" spans="1:10" hidden="1">
      <c r="A4241" t="s">
        <v>2895</v>
      </c>
      <c r="B4241" t="s">
        <v>2896</v>
      </c>
      <c r="C4241" t="s">
        <v>235</v>
      </c>
      <c r="D4241" t="s">
        <v>2886</v>
      </c>
      <c r="E4241" t="s">
        <v>555</v>
      </c>
      <c r="F4241" t="s">
        <v>1068</v>
      </c>
      <c r="G4241" t="s">
        <v>1089</v>
      </c>
      <c r="H4241" s="171" t="s">
        <v>2903</v>
      </c>
      <c r="I4241" t="s">
        <v>1090</v>
      </c>
      <c r="J4241">
        <v>7.2</v>
      </c>
    </row>
    <row r="4242" spans="1:10" hidden="1">
      <c r="A4242" t="s">
        <v>2904</v>
      </c>
      <c r="B4242" t="s">
        <v>2905</v>
      </c>
      <c r="C4242" t="s">
        <v>235</v>
      </c>
      <c r="D4242" t="s">
        <v>2886</v>
      </c>
      <c r="E4242" t="s">
        <v>558</v>
      </c>
      <c r="F4242" t="s">
        <v>1068</v>
      </c>
      <c r="G4242" t="s">
        <v>1069</v>
      </c>
      <c r="H4242">
        <v>7.1448511142564494E-2</v>
      </c>
      <c r="I4242" t="s">
        <v>1070</v>
      </c>
      <c r="J4242">
        <v>8.0299999999999994</v>
      </c>
    </row>
    <row r="4243" spans="1:10" hidden="1">
      <c r="A4243" t="s">
        <v>2904</v>
      </c>
      <c r="B4243" t="s">
        <v>2905</v>
      </c>
      <c r="C4243" t="s">
        <v>235</v>
      </c>
      <c r="D4243" t="s">
        <v>2886</v>
      </c>
      <c r="E4243" t="s">
        <v>558</v>
      </c>
      <c r="F4243" t="s">
        <v>1068</v>
      </c>
      <c r="G4243" t="s">
        <v>1071</v>
      </c>
      <c r="H4243" s="171" t="s">
        <v>2906</v>
      </c>
      <c r="I4243" t="s">
        <v>1072</v>
      </c>
      <c r="J4243">
        <v>8.0299999999999994</v>
      </c>
    </row>
    <row r="4244" spans="1:10" hidden="1">
      <c r="A4244" t="s">
        <v>2904</v>
      </c>
      <c r="B4244" t="s">
        <v>2905</v>
      </c>
      <c r="C4244" t="s">
        <v>235</v>
      </c>
      <c r="D4244" t="s">
        <v>2886</v>
      </c>
      <c r="E4244" t="s">
        <v>558</v>
      </c>
      <c r="F4244" t="s">
        <v>1068</v>
      </c>
      <c r="G4244" t="s">
        <v>1073</v>
      </c>
      <c r="H4244" s="171" t="s">
        <v>2907</v>
      </c>
      <c r="I4244" t="s">
        <v>1074</v>
      </c>
      <c r="J4244">
        <v>8.0299999999999994</v>
      </c>
    </row>
    <row r="4245" spans="1:10" hidden="1">
      <c r="A4245" t="s">
        <v>2904</v>
      </c>
      <c r="B4245" t="s">
        <v>2905</v>
      </c>
      <c r="C4245" t="s">
        <v>235</v>
      </c>
      <c r="D4245" t="s">
        <v>2886</v>
      </c>
      <c r="E4245" t="s">
        <v>558</v>
      </c>
      <c r="F4245" t="s">
        <v>1068</v>
      </c>
      <c r="G4245" t="s">
        <v>1075</v>
      </c>
      <c r="H4245">
        <v>3.47076663010362E-3</v>
      </c>
      <c r="I4245" t="s">
        <v>1077</v>
      </c>
      <c r="J4245">
        <v>8.0299999999999994</v>
      </c>
    </row>
    <row r="4246" spans="1:10" hidden="1">
      <c r="A4246" t="s">
        <v>2904</v>
      </c>
      <c r="B4246" t="s">
        <v>2905</v>
      </c>
      <c r="C4246" t="s">
        <v>235</v>
      </c>
      <c r="D4246" t="s">
        <v>2886</v>
      </c>
      <c r="E4246" t="s">
        <v>558</v>
      </c>
      <c r="F4246" t="s">
        <v>1068</v>
      </c>
      <c r="G4246" t="s">
        <v>1078</v>
      </c>
      <c r="H4246" s="171" t="s">
        <v>2908</v>
      </c>
      <c r="I4246" t="s">
        <v>1079</v>
      </c>
      <c r="J4246">
        <v>8.0299999999999994</v>
      </c>
    </row>
    <row r="4247" spans="1:10" hidden="1">
      <c r="A4247" t="s">
        <v>2904</v>
      </c>
      <c r="B4247" t="s">
        <v>2905</v>
      </c>
      <c r="C4247" t="s">
        <v>235</v>
      </c>
      <c r="D4247" t="s">
        <v>2886</v>
      </c>
      <c r="E4247" t="s">
        <v>558</v>
      </c>
      <c r="F4247" t="s">
        <v>1068</v>
      </c>
      <c r="G4247" t="s">
        <v>1080</v>
      </c>
      <c r="H4247" s="171" t="s">
        <v>2909</v>
      </c>
      <c r="I4247" t="s">
        <v>1082</v>
      </c>
      <c r="J4247">
        <v>8.0299999999999994</v>
      </c>
    </row>
    <row r="4248" spans="1:10" hidden="1">
      <c r="A4248" t="s">
        <v>2904</v>
      </c>
      <c r="B4248" t="s">
        <v>2905</v>
      </c>
      <c r="C4248" t="s">
        <v>235</v>
      </c>
      <c r="D4248" t="s">
        <v>2886</v>
      </c>
      <c r="E4248" t="s">
        <v>558</v>
      </c>
      <c r="F4248" t="s">
        <v>1068</v>
      </c>
      <c r="G4248" t="s">
        <v>1083</v>
      </c>
      <c r="H4248" s="171" t="s">
        <v>2910</v>
      </c>
      <c r="I4248" t="s">
        <v>1084</v>
      </c>
      <c r="J4248">
        <v>8.0299999999999994</v>
      </c>
    </row>
    <row r="4249" spans="1:10" hidden="1">
      <c r="A4249" t="s">
        <v>2904</v>
      </c>
      <c r="B4249" t="s">
        <v>2905</v>
      </c>
      <c r="C4249" t="s">
        <v>235</v>
      </c>
      <c r="D4249" t="s">
        <v>2886</v>
      </c>
      <c r="E4249" t="s">
        <v>558</v>
      </c>
      <c r="F4249" t="s">
        <v>1068</v>
      </c>
      <c r="G4249" t="s">
        <v>1085</v>
      </c>
      <c r="H4249" s="171" t="s">
        <v>2911</v>
      </c>
      <c r="I4249" t="s">
        <v>1086</v>
      </c>
      <c r="J4249">
        <v>8.0299999999999994</v>
      </c>
    </row>
    <row r="4250" spans="1:10" hidden="1">
      <c r="A4250" t="s">
        <v>2904</v>
      </c>
      <c r="B4250" t="s">
        <v>2905</v>
      </c>
      <c r="C4250" t="s">
        <v>235</v>
      </c>
      <c r="D4250" t="s">
        <v>2886</v>
      </c>
      <c r="E4250" t="s">
        <v>558</v>
      </c>
      <c r="F4250" t="s">
        <v>1068</v>
      </c>
      <c r="G4250" t="s">
        <v>1087</v>
      </c>
      <c r="H4250" s="171" t="s">
        <v>2912</v>
      </c>
      <c r="I4250" t="s">
        <v>1088</v>
      </c>
      <c r="J4250">
        <v>8.0299999999999994</v>
      </c>
    </row>
    <row r="4251" spans="1:10" hidden="1">
      <c r="A4251" t="s">
        <v>2904</v>
      </c>
      <c r="B4251" t="s">
        <v>2905</v>
      </c>
      <c r="C4251" t="s">
        <v>235</v>
      </c>
      <c r="D4251" t="s">
        <v>2886</v>
      </c>
      <c r="E4251" t="s">
        <v>558</v>
      </c>
      <c r="F4251" t="s">
        <v>1068</v>
      </c>
      <c r="G4251" t="s">
        <v>1089</v>
      </c>
      <c r="H4251" s="171" t="s">
        <v>2913</v>
      </c>
      <c r="I4251" t="s">
        <v>1090</v>
      </c>
      <c r="J4251">
        <v>8.0299999999999994</v>
      </c>
    </row>
    <row r="4252" spans="1:10" hidden="1">
      <c r="A4252" t="s">
        <v>2914</v>
      </c>
      <c r="B4252" t="s">
        <v>2915</v>
      </c>
      <c r="C4252" t="s">
        <v>235</v>
      </c>
      <c r="D4252" t="s">
        <v>2886</v>
      </c>
      <c r="E4252" t="s">
        <v>553</v>
      </c>
      <c r="F4252" t="s">
        <v>1068</v>
      </c>
      <c r="G4252" t="s">
        <v>1069</v>
      </c>
      <c r="H4252">
        <v>7.1463911962265897E-2</v>
      </c>
      <c r="I4252" t="s">
        <v>1070</v>
      </c>
      <c r="J4252">
        <v>8.32</v>
      </c>
    </row>
    <row r="4253" spans="1:10" hidden="1">
      <c r="A4253" t="s">
        <v>2914</v>
      </c>
      <c r="B4253" t="s">
        <v>2915</v>
      </c>
      <c r="C4253" t="s">
        <v>235</v>
      </c>
      <c r="D4253" t="s">
        <v>2886</v>
      </c>
      <c r="E4253" t="s">
        <v>553</v>
      </c>
      <c r="F4253" t="s">
        <v>1068</v>
      </c>
      <c r="G4253" t="s">
        <v>1071</v>
      </c>
      <c r="H4253" s="171" t="s">
        <v>2916</v>
      </c>
      <c r="I4253" t="s">
        <v>1072</v>
      </c>
      <c r="J4253">
        <v>8.32</v>
      </c>
    </row>
    <row r="4254" spans="1:10" hidden="1">
      <c r="A4254" t="s">
        <v>2914</v>
      </c>
      <c r="B4254" t="s">
        <v>2915</v>
      </c>
      <c r="C4254" t="s">
        <v>235</v>
      </c>
      <c r="D4254" t="s">
        <v>2886</v>
      </c>
      <c r="E4254" t="s">
        <v>553</v>
      </c>
      <c r="F4254" t="s">
        <v>1068</v>
      </c>
      <c r="G4254" t="s">
        <v>1073</v>
      </c>
      <c r="H4254" s="171" t="s">
        <v>2917</v>
      </c>
      <c r="I4254" t="s">
        <v>1074</v>
      </c>
      <c r="J4254">
        <v>8.32</v>
      </c>
    </row>
    <row r="4255" spans="1:10" hidden="1">
      <c r="A4255" t="s">
        <v>2914</v>
      </c>
      <c r="B4255" t="s">
        <v>2915</v>
      </c>
      <c r="C4255" t="s">
        <v>235</v>
      </c>
      <c r="D4255" t="s">
        <v>2886</v>
      </c>
      <c r="E4255" t="s">
        <v>553</v>
      </c>
      <c r="F4255" t="s">
        <v>1068</v>
      </c>
      <c r="G4255" t="s">
        <v>1075</v>
      </c>
      <c r="H4255">
        <v>3.4707504836875001E-3</v>
      </c>
      <c r="I4255" t="s">
        <v>1077</v>
      </c>
      <c r="J4255">
        <v>8.32</v>
      </c>
    </row>
    <row r="4256" spans="1:10" hidden="1">
      <c r="A4256" t="s">
        <v>2914</v>
      </c>
      <c r="B4256" t="s">
        <v>2915</v>
      </c>
      <c r="C4256" t="s">
        <v>235</v>
      </c>
      <c r="D4256" t="s">
        <v>2886</v>
      </c>
      <c r="E4256" t="s">
        <v>553</v>
      </c>
      <c r="F4256" t="s">
        <v>1068</v>
      </c>
      <c r="G4256" t="s">
        <v>1078</v>
      </c>
      <c r="H4256">
        <v>2.601988228533E-2</v>
      </c>
      <c r="I4256" t="s">
        <v>1079</v>
      </c>
      <c r="J4256">
        <v>8.32</v>
      </c>
    </row>
    <row r="4257" spans="1:10" hidden="1">
      <c r="A4257" t="s">
        <v>2914</v>
      </c>
      <c r="B4257" t="s">
        <v>2915</v>
      </c>
      <c r="C4257" t="s">
        <v>235</v>
      </c>
      <c r="D4257" t="s">
        <v>2886</v>
      </c>
      <c r="E4257" t="s">
        <v>553</v>
      </c>
      <c r="F4257" t="s">
        <v>1068</v>
      </c>
      <c r="G4257" t="s">
        <v>1080</v>
      </c>
      <c r="H4257" s="171" t="s">
        <v>2918</v>
      </c>
      <c r="I4257" t="s">
        <v>1082</v>
      </c>
      <c r="J4257">
        <v>8.32</v>
      </c>
    </row>
    <row r="4258" spans="1:10" hidden="1">
      <c r="A4258" t="s">
        <v>2914</v>
      </c>
      <c r="B4258" t="s">
        <v>2915</v>
      </c>
      <c r="C4258" t="s">
        <v>235</v>
      </c>
      <c r="D4258" t="s">
        <v>2886</v>
      </c>
      <c r="E4258" t="s">
        <v>553</v>
      </c>
      <c r="F4258" t="s">
        <v>1068</v>
      </c>
      <c r="G4258" t="s">
        <v>1083</v>
      </c>
      <c r="H4258" s="171" t="s">
        <v>2919</v>
      </c>
      <c r="I4258" t="s">
        <v>1084</v>
      </c>
      <c r="J4258">
        <v>8.32</v>
      </c>
    </row>
    <row r="4259" spans="1:10" hidden="1">
      <c r="A4259" t="s">
        <v>2914</v>
      </c>
      <c r="B4259" t="s">
        <v>2915</v>
      </c>
      <c r="C4259" t="s">
        <v>235</v>
      </c>
      <c r="D4259" t="s">
        <v>2886</v>
      </c>
      <c r="E4259" t="s">
        <v>553</v>
      </c>
      <c r="F4259" t="s">
        <v>1068</v>
      </c>
      <c r="G4259" t="s">
        <v>1085</v>
      </c>
      <c r="H4259" s="171" t="s">
        <v>2920</v>
      </c>
      <c r="I4259" t="s">
        <v>1086</v>
      </c>
      <c r="J4259">
        <v>8.32</v>
      </c>
    </row>
    <row r="4260" spans="1:10" hidden="1">
      <c r="A4260" t="s">
        <v>2914</v>
      </c>
      <c r="B4260" t="s">
        <v>2915</v>
      </c>
      <c r="C4260" t="s">
        <v>235</v>
      </c>
      <c r="D4260" t="s">
        <v>2886</v>
      </c>
      <c r="E4260" t="s">
        <v>553</v>
      </c>
      <c r="F4260" t="s">
        <v>1068</v>
      </c>
      <c r="G4260" t="s">
        <v>1087</v>
      </c>
      <c r="H4260" s="171" t="s">
        <v>2921</v>
      </c>
      <c r="I4260" t="s">
        <v>1088</v>
      </c>
      <c r="J4260">
        <v>8.32</v>
      </c>
    </row>
    <row r="4261" spans="1:10" hidden="1">
      <c r="A4261" t="s">
        <v>2914</v>
      </c>
      <c r="B4261" t="s">
        <v>2915</v>
      </c>
      <c r="C4261" t="s">
        <v>235</v>
      </c>
      <c r="D4261" t="s">
        <v>2886</v>
      </c>
      <c r="E4261" t="s">
        <v>553</v>
      </c>
      <c r="F4261" t="s">
        <v>1068</v>
      </c>
      <c r="G4261" t="s">
        <v>1089</v>
      </c>
      <c r="H4261" s="171" t="s">
        <v>2922</v>
      </c>
      <c r="I4261" t="s">
        <v>1090</v>
      </c>
      <c r="J4261">
        <v>8.32</v>
      </c>
    </row>
    <row r="4262" spans="1:10" hidden="1">
      <c r="A4262" t="s">
        <v>2923</v>
      </c>
      <c r="B4262" t="s">
        <v>2924</v>
      </c>
      <c r="C4262" t="s">
        <v>235</v>
      </c>
      <c r="D4262" t="s">
        <v>2886</v>
      </c>
      <c r="E4262" t="s">
        <v>556</v>
      </c>
      <c r="F4262" t="s">
        <v>1068</v>
      </c>
      <c r="G4262" t="s">
        <v>1069</v>
      </c>
      <c r="H4262">
        <v>7.1479165840112199E-2</v>
      </c>
      <c r="I4262" t="s">
        <v>1070</v>
      </c>
      <c r="J4262">
        <v>8</v>
      </c>
    </row>
    <row r="4263" spans="1:10" hidden="1">
      <c r="A4263" t="s">
        <v>2923</v>
      </c>
      <c r="B4263" t="s">
        <v>2924</v>
      </c>
      <c r="C4263" t="s">
        <v>235</v>
      </c>
      <c r="D4263" t="s">
        <v>2886</v>
      </c>
      <c r="E4263" t="s">
        <v>556</v>
      </c>
      <c r="F4263" t="s">
        <v>1068</v>
      </c>
      <c r="G4263" t="s">
        <v>1071</v>
      </c>
      <c r="H4263" s="171" t="s">
        <v>2925</v>
      </c>
      <c r="I4263" t="s">
        <v>1072</v>
      </c>
      <c r="J4263">
        <v>8</v>
      </c>
    </row>
    <row r="4264" spans="1:10" hidden="1">
      <c r="A4264" t="s">
        <v>2923</v>
      </c>
      <c r="B4264" t="s">
        <v>2924</v>
      </c>
      <c r="C4264" t="s">
        <v>235</v>
      </c>
      <c r="D4264" t="s">
        <v>2886</v>
      </c>
      <c r="E4264" t="s">
        <v>556</v>
      </c>
      <c r="F4264" t="s">
        <v>1068</v>
      </c>
      <c r="G4264" t="s">
        <v>1073</v>
      </c>
      <c r="H4264" s="171" t="s">
        <v>2926</v>
      </c>
      <c r="I4264" t="s">
        <v>1074</v>
      </c>
      <c r="J4264">
        <v>8</v>
      </c>
    </row>
    <row r="4265" spans="1:10" hidden="1">
      <c r="A4265" t="s">
        <v>2923</v>
      </c>
      <c r="B4265" t="s">
        <v>2924</v>
      </c>
      <c r="C4265" t="s">
        <v>235</v>
      </c>
      <c r="D4265" t="s">
        <v>2886</v>
      </c>
      <c r="E4265" t="s">
        <v>556</v>
      </c>
      <c r="F4265" t="s">
        <v>1068</v>
      </c>
      <c r="G4265" t="s">
        <v>1075</v>
      </c>
      <c r="H4265">
        <v>3.4712326750614801E-3</v>
      </c>
      <c r="I4265" t="s">
        <v>1077</v>
      </c>
      <c r="J4265">
        <v>8</v>
      </c>
    </row>
    <row r="4266" spans="1:10" hidden="1">
      <c r="A4266" t="s">
        <v>2923</v>
      </c>
      <c r="B4266" t="s">
        <v>2924</v>
      </c>
      <c r="C4266" t="s">
        <v>235</v>
      </c>
      <c r="D4266" t="s">
        <v>2886</v>
      </c>
      <c r="E4266" t="s">
        <v>556</v>
      </c>
      <c r="F4266" t="s">
        <v>1068</v>
      </c>
      <c r="G4266" t="s">
        <v>1078</v>
      </c>
      <c r="H4266" s="171" t="s">
        <v>2927</v>
      </c>
      <c r="I4266" t="s">
        <v>1079</v>
      </c>
      <c r="J4266">
        <v>8</v>
      </c>
    </row>
    <row r="4267" spans="1:10" hidden="1">
      <c r="A4267" t="s">
        <v>2923</v>
      </c>
      <c r="B4267" t="s">
        <v>2924</v>
      </c>
      <c r="C4267" t="s">
        <v>235</v>
      </c>
      <c r="D4267" t="s">
        <v>2886</v>
      </c>
      <c r="E4267" t="s">
        <v>556</v>
      </c>
      <c r="F4267" t="s">
        <v>1068</v>
      </c>
      <c r="G4267" t="s">
        <v>1080</v>
      </c>
      <c r="H4267" s="171" t="s">
        <v>2928</v>
      </c>
      <c r="I4267" t="s">
        <v>1082</v>
      </c>
      <c r="J4267">
        <v>8</v>
      </c>
    </row>
    <row r="4268" spans="1:10" hidden="1">
      <c r="A4268" t="s">
        <v>2923</v>
      </c>
      <c r="B4268" t="s">
        <v>2924</v>
      </c>
      <c r="C4268" t="s">
        <v>235</v>
      </c>
      <c r="D4268" t="s">
        <v>2886</v>
      </c>
      <c r="E4268" t="s">
        <v>556</v>
      </c>
      <c r="F4268" t="s">
        <v>1068</v>
      </c>
      <c r="G4268" t="s">
        <v>1083</v>
      </c>
      <c r="H4268" s="171" t="s">
        <v>2929</v>
      </c>
      <c r="I4268" t="s">
        <v>1084</v>
      </c>
      <c r="J4268">
        <v>8</v>
      </c>
    </row>
    <row r="4269" spans="1:10" hidden="1">
      <c r="A4269" t="s">
        <v>2923</v>
      </c>
      <c r="B4269" t="s">
        <v>2924</v>
      </c>
      <c r="C4269" t="s">
        <v>235</v>
      </c>
      <c r="D4269" t="s">
        <v>2886</v>
      </c>
      <c r="E4269" t="s">
        <v>556</v>
      </c>
      <c r="F4269" t="s">
        <v>1068</v>
      </c>
      <c r="G4269" t="s">
        <v>1085</v>
      </c>
      <c r="H4269" s="171" t="s">
        <v>2930</v>
      </c>
      <c r="I4269" t="s">
        <v>1086</v>
      </c>
      <c r="J4269">
        <v>8</v>
      </c>
    </row>
    <row r="4270" spans="1:10" hidden="1">
      <c r="A4270" t="s">
        <v>2923</v>
      </c>
      <c r="B4270" t="s">
        <v>2924</v>
      </c>
      <c r="C4270" t="s">
        <v>235</v>
      </c>
      <c r="D4270" t="s">
        <v>2886</v>
      </c>
      <c r="E4270" t="s">
        <v>556</v>
      </c>
      <c r="F4270" t="s">
        <v>1068</v>
      </c>
      <c r="G4270" t="s">
        <v>1087</v>
      </c>
      <c r="H4270" s="171" t="s">
        <v>2931</v>
      </c>
      <c r="I4270" t="s">
        <v>1088</v>
      </c>
      <c r="J4270">
        <v>8</v>
      </c>
    </row>
    <row r="4271" spans="1:10" hidden="1">
      <c r="A4271" t="s">
        <v>2923</v>
      </c>
      <c r="B4271" t="s">
        <v>2924</v>
      </c>
      <c r="C4271" t="s">
        <v>235</v>
      </c>
      <c r="D4271" t="s">
        <v>2886</v>
      </c>
      <c r="E4271" t="s">
        <v>556</v>
      </c>
      <c r="F4271" t="s">
        <v>1068</v>
      </c>
      <c r="G4271" t="s">
        <v>1089</v>
      </c>
      <c r="H4271" s="171" t="s">
        <v>2932</v>
      </c>
      <c r="I4271" t="s">
        <v>1090</v>
      </c>
      <c r="J4271">
        <v>8</v>
      </c>
    </row>
    <row r="4272" spans="1:10" hidden="1">
      <c r="A4272" t="s">
        <v>2933</v>
      </c>
      <c r="B4272" t="s">
        <v>2934</v>
      </c>
      <c r="C4272" t="s">
        <v>235</v>
      </c>
      <c r="D4272" t="s">
        <v>2886</v>
      </c>
      <c r="E4272" t="s">
        <v>557</v>
      </c>
      <c r="F4272" t="s">
        <v>1068</v>
      </c>
      <c r="G4272" t="s">
        <v>1069</v>
      </c>
      <c r="H4272">
        <v>7.1453718687121803E-2</v>
      </c>
      <c r="I4272" t="s">
        <v>1070</v>
      </c>
      <c r="J4272">
        <v>8.49</v>
      </c>
    </row>
    <row r="4273" spans="1:10" hidden="1">
      <c r="A4273" t="s">
        <v>2933</v>
      </c>
      <c r="B4273" t="s">
        <v>2934</v>
      </c>
      <c r="C4273" t="s">
        <v>235</v>
      </c>
      <c r="D4273" t="s">
        <v>2886</v>
      </c>
      <c r="E4273" t="s">
        <v>557</v>
      </c>
      <c r="F4273" t="s">
        <v>1068</v>
      </c>
      <c r="G4273" t="s">
        <v>1071</v>
      </c>
      <c r="H4273" s="171" t="s">
        <v>2935</v>
      </c>
      <c r="I4273" t="s">
        <v>1072</v>
      </c>
      <c r="J4273">
        <v>8.49</v>
      </c>
    </row>
    <row r="4274" spans="1:10" hidden="1">
      <c r="A4274" t="s">
        <v>2933</v>
      </c>
      <c r="B4274" t="s">
        <v>2934</v>
      </c>
      <c r="C4274" t="s">
        <v>235</v>
      </c>
      <c r="D4274" t="s">
        <v>2886</v>
      </c>
      <c r="E4274" t="s">
        <v>557</v>
      </c>
      <c r="F4274" t="s">
        <v>1068</v>
      </c>
      <c r="G4274" t="s">
        <v>1073</v>
      </c>
      <c r="H4274" s="171" t="s">
        <v>2936</v>
      </c>
      <c r="I4274" t="s">
        <v>1074</v>
      </c>
      <c r="J4274">
        <v>8.49</v>
      </c>
    </row>
    <row r="4275" spans="1:10" hidden="1">
      <c r="A4275" t="s">
        <v>2933</v>
      </c>
      <c r="B4275" t="s">
        <v>2934</v>
      </c>
      <c r="C4275" t="s">
        <v>235</v>
      </c>
      <c r="D4275" t="s">
        <v>2886</v>
      </c>
      <c r="E4275" t="s">
        <v>557</v>
      </c>
      <c r="F4275" t="s">
        <v>1068</v>
      </c>
      <c r="G4275" t="s">
        <v>1075</v>
      </c>
      <c r="H4275">
        <v>3.4709312461501398E-3</v>
      </c>
      <c r="I4275" t="s">
        <v>1077</v>
      </c>
      <c r="J4275">
        <v>8.49</v>
      </c>
    </row>
    <row r="4276" spans="1:10" hidden="1">
      <c r="A4276" t="s">
        <v>2933</v>
      </c>
      <c r="B4276" t="s">
        <v>2934</v>
      </c>
      <c r="C4276" t="s">
        <v>235</v>
      </c>
      <c r="D4276" t="s">
        <v>2886</v>
      </c>
      <c r="E4276" t="s">
        <v>557</v>
      </c>
      <c r="F4276" t="s">
        <v>1068</v>
      </c>
      <c r="G4276" t="s">
        <v>1078</v>
      </c>
      <c r="H4276" s="171" t="s">
        <v>2937</v>
      </c>
      <c r="I4276" t="s">
        <v>1079</v>
      </c>
      <c r="J4276">
        <v>8.49</v>
      </c>
    </row>
    <row r="4277" spans="1:10" hidden="1">
      <c r="A4277" t="s">
        <v>2933</v>
      </c>
      <c r="B4277" t="s">
        <v>2934</v>
      </c>
      <c r="C4277" t="s">
        <v>235</v>
      </c>
      <c r="D4277" t="s">
        <v>2886</v>
      </c>
      <c r="E4277" t="s">
        <v>557</v>
      </c>
      <c r="F4277" t="s">
        <v>1068</v>
      </c>
      <c r="G4277" t="s">
        <v>1080</v>
      </c>
      <c r="H4277" s="171" t="s">
        <v>2938</v>
      </c>
      <c r="I4277" t="s">
        <v>1082</v>
      </c>
      <c r="J4277">
        <v>8.49</v>
      </c>
    </row>
    <row r="4278" spans="1:10" hidden="1">
      <c r="A4278" t="s">
        <v>2933</v>
      </c>
      <c r="B4278" t="s">
        <v>2934</v>
      </c>
      <c r="C4278" t="s">
        <v>235</v>
      </c>
      <c r="D4278" t="s">
        <v>2886</v>
      </c>
      <c r="E4278" t="s">
        <v>557</v>
      </c>
      <c r="F4278" t="s">
        <v>1068</v>
      </c>
      <c r="G4278" t="s">
        <v>1083</v>
      </c>
      <c r="H4278" s="171" t="s">
        <v>2939</v>
      </c>
      <c r="I4278" t="s">
        <v>1084</v>
      </c>
      <c r="J4278">
        <v>8.49</v>
      </c>
    </row>
    <row r="4279" spans="1:10" hidden="1">
      <c r="A4279" t="s">
        <v>2933</v>
      </c>
      <c r="B4279" t="s">
        <v>2934</v>
      </c>
      <c r="C4279" t="s">
        <v>235</v>
      </c>
      <c r="D4279" t="s">
        <v>2886</v>
      </c>
      <c r="E4279" t="s">
        <v>557</v>
      </c>
      <c r="F4279" t="s">
        <v>1068</v>
      </c>
      <c r="G4279" t="s">
        <v>1085</v>
      </c>
      <c r="H4279" s="171" t="s">
        <v>2940</v>
      </c>
      <c r="I4279" t="s">
        <v>1086</v>
      </c>
      <c r="J4279">
        <v>8.49</v>
      </c>
    </row>
    <row r="4280" spans="1:10" hidden="1">
      <c r="A4280" t="s">
        <v>2933</v>
      </c>
      <c r="B4280" t="s">
        <v>2934</v>
      </c>
      <c r="C4280" t="s">
        <v>235</v>
      </c>
      <c r="D4280" t="s">
        <v>2886</v>
      </c>
      <c r="E4280" t="s">
        <v>557</v>
      </c>
      <c r="F4280" t="s">
        <v>1068</v>
      </c>
      <c r="G4280" t="s">
        <v>1087</v>
      </c>
      <c r="H4280" s="171" t="s">
        <v>2941</v>
      </c>
      <c r="I4280" t="s">
        <v>1088</v>
      </c>
      <c r="J4280">
        <v>8.49</v>
      </c>
    </row>
    <row r="4281" spans="1:10" hidden="1">
      <c r="A4281" t="s">
        <v>2933</v>
      </c>
      <c r="B4281" t="s">
        <v>2934</v>
      </c>
      <c r="C4281" t="s">
        <v>235</v>
      </c>
      <c r="D4281" t="s">
        <v>2886</v>
      </c>
      <c r="E4281" t="s">
        <v>557</v>
      </c>
      <c r="F4281" t="s">
        <v>1068</v>
      </c>
      <c r="G4281" t="s">
        <v>1089</v>
      </c>
      <c r="H4281" s="171" t="s">
        <v>2942</v>
      </c>
      <c r="I4281" t="s">
        <v>1090</v>
      </c>
      <c r="J4281">
        <v>8.49</v>
      </c>
    </row>
    <row r="4282" spans="1:10" hidden="1">
      <c r="A4282" t="s">
        <v>2943</v>
      </c>
      <c r="B4282" t="s">
        <v>2944</v>
      </c>
      <c r="C4282" t="s">
        <v>235</v>
      </c>
      <c r="D4282" t="s">
        <v>2886</v>
      </c>
      <c r="E4282" t="s">
        <v>559</v>
      </c>
      <c r="F4282" t="s">
        <v>1068</v>
      </c>
      <c r="G4282" t="s">
        <v>1069</v>
      </c>
      <c r="H4282">
        <v>7.1474631745675699E-2</v>
      </c>
      <c r="I4282" t="s">
        <v>1070</v>
      </c>
      <c r="J4282">
        <v>8.6199999999999992</v>
      </c>
    </row>
    <row r="4283" spans="1:10" hidden="1">
      <c r="A4283" t="s">
        <v>2943</v>
      </c>
      <c r="B4283" t="s">
        <v>2944</v>
      </c>
      <c r="C4283" t="s">
        <v>235</v>
      </c>
      <c r="D4283" t="s">
        <v>2886</v>
      </c>
      <c r="E4283" t="s">
        <v>559</v>
      </c>
      <c r="F4283" t="s">
        <v>1068</v>
      </c>
      <c r="G4283" t="s">
        <v>1071</v>
      </c>
      <c r="H4283" s="171" t="s">
        <v>2945</v>
      </c>
      <c r="I4283" t="s">
        <v>1072</v>
      </c>
      <c r="J4283">
        <v>8.6199999999999992</v>
      </c>
    </row>
    <row r="4284" spans="1:10" hidden="1">
      <c r="A4284" t="s">
        <v>2943</v>
      </c>
      <c r="B4284" t="s">
        <v>2944</v>
      </c>
      <c r="C4284" t="s">
        <v>235</v>
      </c>
      <c r="D4284" t="s">
        <v>2886</v>
      </c>
      <c r="E4284" t="s">
        <v>559</v>
      </c>
      <c r="F4284" t="s">
        <v>1068</v>
      </c>
      <c r="G4284" t="s">
        <v>1073</v>
      </c>
      <c r="H4284" s="171" t="s">
        <v>2946</v>
      </c>
      <c r="I4284" t="s">
        <v>1074</v>
      </c>
      <c r="J4284">
        <v>8.6199999999999992</v>
      </c>
    </row>
    <row r="4285" spans="1:10" hidden="1">
      <c r="A4285" t="s">
        <v>2943</v>
      </c>
      <c r="B4285" t="s">
        <v>2944</v>
      </c>
      <c r="C4285" t="s">
        <v>235</v>
      </c>
      <c r="D4285" t="s">
        <v>2886</v>
      </c>
      <c r="E4285" t="s">
        <v>559</v>
      </c>
      <c r="F4285" t="s">
        <v>1068</v>
      </c>
      <c r="G4285" t="s">
        <v>1075</v>
      </c>
      <c r="H4285">
        <v>3.4710893474927101E-3</v>
      </c>
      <c r="I4285" t="s">
        <v>1077</v>
      </c>
      <c r="J4285">
        <v>8.6199999999999992</v>
      </c>
    </row>
    <row r="4286" spans="1:10" hidden="1">
      <c r="A4286" t="s">
        <v>2943</v>
      </c>
      <c r="B4286" t="s">
        <v>2944</v>
      </c>
      <c r="C4286" t="s">
        <v>235</v>
      </c>
      <c r="D4286" t="s">
        <v>2886</v>
      </c>
      <c r="E4286" t="s">
        <v>559</v>
      </c>
      <c r="F4286" t="s">
        <v>1068</v>
      </c>
      <c r="G4286" t="s">
        <v>1078</v>
      </c>
      <c r="H4286" s="171" t="s">
        <v>2947</v>
      </c>
      <c r="I4286" t="s">
        <v>1079</v>
      </c>
      <c r="J4286">
        <v>8.6199999999999992</v>
      </c>
    </row>
    <row r="4287" spans="1:10" hidden="1">
      <c r="A4287" t="s">
        <v>2943</v>
      </c>
      <c r="B4287" t="s">
        <v>2944</v>
      </c>
      <c r="C4287" t="s">
        <v>235</v>
      </c>
      <c r="D4287" t="s">
        <v>2886</v>
      </c>
      <c r="E4287" t="s">
        <v>559</v>
      </c>
      <c r="F4287" t="s">
        <v>1068</v>
      </c>
      <c r="G4287" t="s">
        <v>1080</v>
      </c>
      <c r="H4287" s="171" t="s">
        <v>2948</v>
      </c>
      <c r="I4287" t="s">
        <v>1082</v>
      </c>
      <c r="J4287">
        <v>8.6199999999999992</v>
      </c>
    </row>
    <row r="4288" spans="1:10" hidden="1">
      <c r="A4288" t="s">
        <v>2943</v>
      </c>
      <c r="B4288" t="s">
        <v>2944</v>
      </c>
      <c r="C4288" t="s">
        <v>235</v>
      </c>
      <c r="D4288" t="s">
        <v>2886</v>
      </c>
      <c r="E4288" t="s">
        <v>559</v>
      </c>
      <c r="F4288" t="s">
        <v>1068</v>
      </c>
      <c r="G4288" t="s">
        <v>1083</v>
      </c>
      <c r="H4288" s="171" t="s">
        <v>2949</v>
      </c>
      <c r="I4288" t="s">
        <v>1084</v>
      </c>
      <c r="J4288">
        <v>8.6199999999999992</v>
      </c>
    </row>
    <row r="4289" spans="1:10" hidden="1">
      <c r="A4289" t="s">
        <v>2943</v>
      </c>
      <c r="B4289" t="s">
        <v>2944</v>
      </c>
      <c r="C4289" t="s">
        <v>235</v>
      </c>
      <c r="D4289" t="s">
        <v>2886</v>
      </c>
      <c r="E4289" t="s">
        <v>559</v>
      </c>
      <c r="F4289" t="s">
        <v>1068</v>
      </c>
      <c r="G4289" t="s">
        <v>1085</v>
      </c>
      <c r="H4289" s="171" t="s">
        <v>2950</v>
      </c>
      <c r="I4289" t="s">
        <v>1086</v>
      </c>
      <c r="J4289">
        <v>8.6199999999999992</v>
      </c>
    </row>
    <row r="4290" spans="1:10" hidden="1">
      <c r="A4290" t="s">
        <v>2943</v>
      </c>
      <c r="B4290" t="s">
        <v>2944</v>
      </c>
      <c r="C4290" t="s">
        <v>235</v>
      </c>
      <c r="D4290" t="s">
        <v>2886</v>
      </c>
      <c r="E4290" t="s">
        <v>559</v>
      </c>
      <c r="F4290" t="s">
        <v>1068</v>
      </c>
      <c r="G4290" t="s">
        <v>1087</v>
      </c>
      <c r="H4290" s="171" t="s">
        <v>2951</v>
      </c>
      <c r="I4290" t="s">
        <v>1088</v>
      </c>
      <c r="J4290">
        <v>8.6199999999999992</v>
      </c>
    </row>
    <row r="4291" spans="1:10" hidden="1">
      <c r="A4291" t="s">
        <v>2943</v>
      </c>
      <c r="B4291" t="s">
        <v>2944</v>
      </c>
      <c r="C4291" t="s">
        <v>235</v>
      </c>
      <c r="D4291" t="s">
        <v>2886</v>
      </c>
      <c r="E4291" t="s">
        <v>559</v>
      </c>
      <c r="F4291" t="s">
        <v>1068</v>
      </c>
      <c r="G4291" t="s">
        <v>1089</v>
      </c>
      <c r="H4291" s="171" t="s">
        <v>2952</v>
      </c>
      <c r="I4291" t="s">
        <v>1090</v>
      </c>
      <c r="J4291">
        <v>8.6199999999999992</v>
      </c>
    </row>
    <row r="4292" spans="1:10" hidden="1">
      <c r="A4292" t="s">
        <v>2953</v>
      </c>
      <c r="B4292" t="s">
        <v>2954</v>
      </c>
      <c r="C4292" t="s">
        <v>235</v>
      </c>
      <c r="D4292" t="s">
        <v>2886</v>
      </c>
      <c r="E4292" t="s">
        <v>560</v>
      </c>
      <c r="F4292" t="s">
        <v>1068</v>
      </c>
      <c r="G4292" t="s">
        <v>1069</v>
      </c>
      <c r="H4292">
        <v>7.1456496044218901E-2</v>
      </c>
      <c r="I4292" t="s">
        <v>1070</v>
      </c>
      <c r="J4292">
        <v>8.52</v>
      </c>
    </row>
    <row r="4293" spans="1:10" hidden="1">
      <c r="A4293" t="s">
        <v>2953</v>
      </c>
      <c r="B4293" t="s">
        <v>2954</v>
      </c>
      <c r="C4293" t="s">
        <v>235</v>
      </c>
      <c r="D4293" t="s">
        <v>2886</v>
      </c>
      <c r="E4293" t="s">
        <v>560</v>
      </c>
      <c r="F4293" t="s">
        <v>1068</v>
      </c>
      <c r="G4293" t="s">
        <v>1071</v>
      </c>
      <c r="H4293" s="171" t="s">
        <v>2955</v>
      </c>
      <c r="I4293" t="s">
        <v>1072</v>
      </c>
      <c r="J4293">
        <v>8.52</v>
      </c>
    </row>
    <row r="4294" spans="1:10" hidden="1">
      <c r="A4294" t="s">
        <v>2953</v>
      </c>
      <c r="B4294" t="s">
        <v>2954</v>
      </c>
      <c r="C4294" t="s">
        <v>235</v>
      </c>
      <c r="D4294" t="s">
        <v>2886</v>
      </c>
      <c r="E4294" t="s">
        <v>560</v>
      </c>
      <c r="F4294" t="s">
        <v>1068</v>
      </c>
      <c r="G4294" t="s">
        <v>1073</v>
      </c>
      <c r="H4294" s="171" t="s">
        <v>2956</v>
      </c>
      <c r="I4294" t="s">
        <v>1074</v>
      </c>
      <c r="J4294">
        <v>8.52</v>
      </c>
    </row>
    <row r="4295" spans="1:10" hidden="1">
      <c r="A4295" t="s">
        <v>2953</v>
      </c>
      <c r="B4295" t="s">
        <v>2954</v>
      </c>
      <c r="C4295" t="s">
        <v>235</v>
      </c>
      <c r="D4295" t="s">
        <v>2886</v>
      </c>
      <c r="E4295" t="s">
        <v>560</v>
      </c>
      <c r="F4295" t="s">
        <v>1068</v>
      </c>
      <c r="G4295" t="s">
        <v>1075</v>
      </c>
      <c r="H4295">
        <v>3.47101904137494E-3</v>
      </c>
      <c r="I4295" t="s">
        <v>1077</v>
      </c>
      <c r="J4295">
        <v>8.52</v>
      </c>
    </row>
    <row r="4296" spans="1:10" hidden="1">
      <c r="A4296" t="s">
        <v>2953</v>
      </c>
      <c r="B4296" t="s">
        <v>2954</v>
      </c>
      <c r="C4296" t="s">
        <v>235</v>
      </c>
      <c r="D4296" t="s">
        <v>2886</v>
      </c>
      <c r="E4296" t="s">
        <v>560</v>
      </c>
      <c r="F4296" t="s">
        <v>1068</v>
      </c>
      <c r="G4296" t="s">
        <v>1078</v>
      </c>
      <c r="H4296" s="171" t="s">
        <v>2957</v>
      </c>
      <c r="I4296" t="s">
        <v>1079</v>
      </c>
      <c r="J4296">
        <v>8.52</v>
      </c>
    </row>
    <row r="4297" spans="1:10" hidden="1">
      <c r="A4297" t="s">
        <v>2953</v>
      </c>
      <c r="B4297" t="s">
        <v>2954</v>
      </c>
      <c r="C4297" t="s">
        <v>235</v>
      </c>
      <c r="D4297" t="s">
        <v>2886</v>
      </c>
      <c r="E4297" t="s">
        <v>560</v>
      </c>
      <c r="F4297" t="s">
        <v>1068</v>
      </c>
      <c r="G4297" t="s">
        <v>1080</v>
      </c>
      <c r="H4297" s="171" t="s">
        <v>2958</v>
      </c>
      <c r="I4297" t="s">
        <v>1082</v>
      </c>
      <c r="J4297">
        <v>8.52</v>
      </c>
    </row>
    <row r="4298" spans="1:10" hidden="1">
      <c r="A4298" t="s">
        <v>2953</v>
      </c>
      <c r="B4298" t="s">
        <v>2954</v>
      </c>
      <c r="C4298" t="s">
        <v>235</v>
      </c>
      <c r="D4298" t="s">
        <v>2886</v>
      </c>
      <c r="E4298" t="s">
        <v>560</v>
      </c>
      <c r="F4298" t="s">
        <v>1068</v>
      </c>
      <c r="G4298" t="s">
        <v>1083</v>
      </c>
      <c r="H4298" s="171" t="s">
        <v>2959</v>
      </c>
      <c r="I4298" t="s">
        <v>1084</v>
      </c>
      <c r="J4298">
        <v>8.52</v>
      </c>
    </row>
    <row r="4299" spans="1:10" hidden="1">
      <c r="A4299" t="s">
        <v>2953</v>
      </c>
      <c r="B4299" t="s">
        <v>2954</v>
      </c>
      <c r="C4299" t="s">
        <v>235</v>
      </c>
      <c r="D4299" t="s">
        <v>2886</v>
      </c>
      <c r="E4299" t="s">
        <v>560</v>
      </c>
      <c r="F4299" t="s">
        <v>1068</v>
      </c>
      <c r="G4299" t="s">
        <v>1085</v>
      </c>
      <c r="H4299" s="171" t="s">
        <v>2960</v>
      </c>
      <c r="I4299" t="s">
        <v>1086</v>
      </c>
      <c r="J4299">
        <v>8.52</v>
      </c>
    </row>
    <row r="4300" spans="1:10" hidden="1">
      <c r="A4300" t="s">
        <v>2953</v>
      </c>
      <c r="B4300" t="s">
        <v>2954</v>
      </c>
      <c r="C4300" t="s">
        <v>235</v>
      </c>
      <c r="D4300" t="s">
        <v>2886</v>
      </c>
      <c r="E4300" t="s">
        <v>560</v>
      </c>
      <c r="F4300" t="s">
        <v>1068</v>
      </c>
      <c r="G4300" t="s">
        <v>1087</v>
      </c>
      <c r="H4300" s="171" t="s">
        <v>2961</v>
      </c>
      <c r="I4300" t="s">
        <v>1088</v>
      </c>
      <c r="J4300">
        <v>8.52</v>
      </c>
    </row>
    <row r="4301" spans="1:10" hidden="1">
      <c r="A4301" t="s">
        <v>2953</v>
      </c>
      <c r="B4301" t="s">
        <v>2954</v>
      </c>
      <c r="C4301" t="s">
        <v>235</v>
      </c>
      <c r="D4301" t="s">
        <v>2886</v>
      </c>
      <c r="E4301" t="s">
        <v>560</v>
      </c>
      <c r="F4301" t="s">
        <v>1068</v>
      </c>
      <c r="G4301" t="s">
        <v>1089</v>
      </c>
      <c r="H4301" s="171" t="s">
        <v>2962</v>
      </c>
      <c r="I4301" t="s">
        <v>1090</v>
      </c>
      <c r="J4301">
        <v>8.52</v>
      </c>
    </row>
    <row r="4302" spans="1:10" hidden="1">
      <c r="A4302" t="s">
        <v>2963</v>
      </c>
      <c r="B4302" t="s">
        <v>2964</v>
      </c>
      <c r="C4302" t="s">
        <v>235</v>
      </c>
      <c r="D4302" t="s">
        <v>2886</v>
      </c>
      <c r="E4302" t="s">
        <v>1116</v>
      </c>
      <c r="F4302" t="s">
        <v>1068</v>
      </c>
      <c r="G4302" t="s">
        <v>1069</v>
      </c>
      <c r="H4302">
        <v>7.1448066486144601E-2</v>
      </c>
      <c r="I4302" t="s">
        <v>1070</v>
      </c>
      <c r="J4302">
        <v>7.42</v>
      </c>
    </row>
    <row r="4303" spans="1:10" hidden="1">
      <c r="A4303" t="s">
        <v>2963</v>
      </c>
      <c r="B4303" t="s">
        <v>2964</v>
      </c>
      <c r="C4303" t="s">
        <v>235</v>
      </c>
      <c r="D4303" t="s">
        <v>2886</v>
      </c>
      <c r="E4303" t="s">
        <v>1116</v>
      </c>
      <c r="F4303" t="s">
        <v>1068</v>
      </c>
      <c r="G4303" t="s">
        <v>1071</v>
      </c>
      <c r="H4303" s="171" t="s">
        <v>2965</v>
      </c>
      <c r="I4303" t="s">
        <v>1072</v>
      </c>
      <c r="J4303">
        <v>7.42</v>
      </c>
    </row>
    <row r="4304" spans="1:10" hidden="1">
      <c r="A4304" t="s">
        <v>2963</v>
      </c>
      <c r="B4304" t="s">
        <v>2964</v>
      </c>
      <c r="C4304" t="s">
        <v>235</v>
      </c>
      <c r="D4304" t="s">
        <v>2886</v>
      </c>
      <c r="E4304" t="s">
        <v>1116</v>
      </c>
      <c r="F4304" t="s">
        <v>1068</v>
      </c>
      <c r="G4304" t="s">
        <v>1073</v>
      </c>
      <c r="H4304" s="171" t="s">
        <v>2966</v>
      </c>
      <c r="I4304" t="s">
        <v>1074</v>
      </c>
      <c r="J4304">
        <v>7.42</v>
      </c>
    </row>
    <row r="4305" spans="1:10" hidden="1">
      <c r="A4305" t="s">
        <v>2963</v>
      </c>
      <c r="B4305" t="s">
        <v>2964</v>
      </c>
      <c r="C4305" t="s">
        <v>235</v>
      </c>
      <c r="D4305" t="s">
        <v>2886</v>
      </c>
      <c r="E4305" t="s">
        <v>1116</v>
      </c>
      <c r="F4305" t="s">
        <v>1068</v>
      </c>
      <c r="G4305" t="s">
        <v>1075</v>
      </c>
      <c r="H4305">
        <v>3.4707525740394099E-3</v>
      </c>
      <c r="I4305" t="s">
        <v>1077</v>
      </c>
      <c r="J4305">
        <v>7.42</v>
      </c>
    </row>
    <row r="4306" spans="1:10" hidden="1">
      <c r="A4306" t="s">
        <v>2963</v>
      </c>
      <c r="B4306" t="s">
        <v>2964</v>
      </c>
      <c r="C4306" t="s">
        <v>235</v>
      </c>
      <c r="D4306" t="s">
        <v>2886</v>
      </c>
      <c r="E4306" t="s">
        <v>1116</v>
      </c>
      <c r="F4306" t="s">
        <v>1068</v>
      </c>
      <c r="G4306" t="s">
        <v>1078</v>
      </c>
      <c r="H4306" s="171" t="s">
        <v>2967</v>
      </c>
      <c r="I4306" t="s">
        <v>1079</v>
      </c>
      <c r="J4306">
        <v>7.42</v>
      </c>
    </row>
    <row r="4307" spans="1:10" hidden="1">
      <c r="A4307" t="s">
        <v>2963</v>
      </c>
      <c r="B4307" t="s">
        <v>2964</v>
      </c>
      <c r="C4307" t="s">
        <v>235</v>
      </c>
      <c r="D4307" t="s">
        <v>2886</v>
      </c>
      <c r="E4307" t="s">
        <v>1116</v>
      </c>
      <c r="F4307" t="s">
        <v>1068</v>
      </c>
      <c r="G4307" t="s">
        <v>1080</v>
      </c>
      <c r="H4307" s="171" t="s">
        <v>2968</v>
      </c>
      <c r="I4307" t="s">
        <v>1082</v>
      </c>
      <c r="J4307">
        <v>7.42</v>
      </c>
    </row>
    <row r="4308" spans="1:10" hidden="1">
      <c r="A4308" t="s">
        <v>2963</v>
      </c>
      <c r="B4308" t="s">
        <v>2964</v>
      </c>
      <c r="C4308" t="s">
        <v>235</v>
      </c>
      <c r="D4308" t="s">
        <v>2886</v>
      </c>
      <c r="E4308" t="s">
        <v>1116</v>
      </c>
      <c r="F4308" t="s">
        <v>1068</v>
      </c>
      <c r="G4308" t="s">
        <v>1083</v>
      </c>
      <c r="H4308" s="171" t="s">
        <v>2969</v>
      </c>
      <c r="I4308" t="s">
        <v>1084</v>
      </c>
      <c r="J4308">
        <v>7.42</v>
      </c>
    </row>
    <row r="4309" spans="1:10" hidden="1">
      <c r="A4309" t="s">
        <v>2963</v>
      </c>
      <c r="B4309" t="s">
        <v>2964</v>
      </c>
      <c r="C4309" t="s">
        <v>235</v>
      </c>
      <c r="D4309" t="s">
        <v>2886</v>
      </c>
      <c r="E4309" t="s">
        <v>1116</v>
      </c>
      <c r="F4309" t="s">
        <v>1068</v>
      </c>
      <c r="G4309" t="s">
        <v>1085</v>
      </c>
      <c r="H4309" s="171" t="s">
        <v>2970</v>
      </c>
      <c r="I4309" t="s">
        <v>1086</v>
      </c>
      <c r="J4309">
        <v>7.42</v>
      </c>
    </row>
    <row r="4310" spans="1:10" hidden="1">
      <c r="A4310" t="s">
        <v>2963</v>
      </c>
      <c r="B4310" t="s">
        <v>2964</v>
      </c>
      <c r="C4310" t="s">
        <v>235</v>
      </c>
      <c r="D4310" t="s">
        <v>2886</v>
      </c>
      <c r="E4310" t="s">
        <v>1116</v>
      </c>
      <c r="F4310" t="s">
        <v>1068</v>
      </c>
      <c r="G4310" t="s">
        <v>1087</v>
      </c>
      <c r="H4310" s="171" t="s">
        <v>2971</v>
      </c>
      <c r="I4310" t="s">
        <v>1088</v>
      </c>
      <c r="J4310">
        <v>7.42</v>
      </c>
    </row>
    <row r="4311" spans="1:10" hidden="1">
      <c r="A4311" t="s">
        <v>2963</v>
      </c>
      <c r="B4311" t="s">
        <v>2964</v>
      </c>
      <c r="C4311" t="s">
        <v>235</v>
      </c>
      <c r="D4311" t="s">
        <v>2886</v>
      </c>
      <c r="E4311" t="s">
        <v>1116</v>
      </c>
      <c r="F4311" t="s">
        <v>1068</v>
      </c>
      <c r="G4311" t="s">
        <v>1089</v>
      </c>
      <c r="H4311" s="171" t="s">
        <v>2972</v>
      </c>
      <c r="I4311" t="s">
        <v>1090</v>
      </c>
      <c r="J4311">
        <v>7.42</v>
      </c>
    </row>
    <row r="4312" spans="1:10" hidden="1">
      <c r="A4312" t="s">
        <v>2973</v>
      </c>
      <c r="B4312" t="s">
        <v>2974</v>
      </c>
      <c r="C4312" t="s">
        <v>235</v>
      </c>
      <c r="D4312" t="s">
        <v>2975</v>
      </c>
      <c r="E4312" t="s">
        <v>561</v>
      </c>
      <c r="F4312" t="s">
        <v>1068</v>
      </c>
      <c r="G4312" t="s">
        <v>1069</v>
      </c>
      <c r="H4312">
        <v>7.1289121759370494E-2</v>
      </c>
      <c r="I4312" t="s">
        <v>1070</v>
      </c>
      <c r="J4312">
        <v>7.22</v>
      </c>
    </row>
    <row r="4313" spans="1:10" hidden="1">
      <c r="A4313" t="s">
        <v>2973</v>
      </c>
      <c r="B4313" t="s">
        <v>2974</v>
      </c>
      <c r="C4313" t="s">
        <v>235</v>
      </c>
      <c r="D4313" t="s">
        <v>2975</v>
      </c>
      <c r="E4313" t="s">
        <v>561</v>
      </c>
      <c r="F4313" t="s">
        <v>1068</v>
      </c>
      <c r="G4313" t="s">
        <v>1071</v>
      </c>
      <c r="H4313" s="171" t="s">
        <v>2976</v>
      </c>
      <c r="I4313" t="s">
        <v>1072</v>
      </c>
      <c r="J4313">
        <v>7.22</v>
      </c>
    </row>
    <row r="4314" spans="1:10" hidden="1">
      <c r="A4314" t="s">
        <v>2973</v>
      </c>
      <c r="B4314" t="s">
        <v>2974</v>
      </c>
      <c r="C4314" t="s">
        <v>235</v>
      </c>
      <c r="D4314" t="s">
        <v>2975</v>
      </c>
      <c r="E4314" t="s">
        <v>561</v>
      </c>
      <c r="F4314" t="s">
        <v>1068</v>
      </c>
      <c r="G4314" t="s">
        <v>1073</v>
      </c>
      <c r="H4314" s="171" t="s">
        <v>2977</v>
      </c>
      <c r="I4314" t="s">
        <v>1074</v>
      </c>
      <c r="J4314">
        <v>7.22</v>
      </c>
    </row>
    <row r="4315" spans="1:10" hidden="1">
      <c r="A4315" t="s">
        <v>2973</v>
      </c>
      <c r="B4315" t="s">
        <v>2974</v>
      </c>
      <c r="C4315" t="s">
        <v>235</v>
      </c>
      <c r="D4315" t="s">
        <v>2975</v>
      </c>
      <c r="E4315" t="s">
        <v>561</v>
      </c>
      <c r="F4315" t="s">
        <v>1068</v>
      </c>
      <c r="G4315" t="s">
        <v>1075</v>
      </c>
      <c r="H4315">
        <v>3.4708049242086602E-3</v>
      </c>
      <c r="I4315" t="s">
        <v>1077</v>
      </c>
      <c r="J4315">
        <v>7.22</v>
      </c>
    </row>
    <row r="4316" spans="1:10" hidden="1">
      <c r="A4316" t="s">
        <v>2973</v>
      </c>
      <c r="B4316" t="s">
        <v>2974</v>
      </c>
      <c r="C4316" t="s">
        <v>235</v>
      </c>
      <c r="D4316" t="s">
        <v>2975</v>
      </c>
      <c r="E4316" t="s">
        <v>561</v>
      </c>
      <c r="F4316" t="s">
        <v>1068</v>
      </c>
      <c r="G4316" t="s">
        <v>1078</v>
      </c>
      <c r="H4316" s="171" t="s">
        <v>2978</v>
      </c>
      <c r="I4316" t="s">
        <v>1079</v>
      </c>
      <c r="J4316">
        <v>7.22</v>
      </c>
    </row>
    <row r="4317" spans="1:10" hidden="1">
      <c r="A4317" t="s">
        <v>2973</v>
      </c>
      <c r="B4317" t="s">
        <v>2974</v>
      </c>
      <c r="C4317" t="s">
        <v>235</v>
      </c>
      <c r="D4317" t="s">
        <v>2975</v>
      </c>
      <c r="E4317" t="s">
        <v>561</v>
      </c>
      <c r="F4317" t="s">
        <v>1068</v>
      </c>
      <c r="G4317" t="s">
        <v>1080</v>
      </c>
      <c r="H4317" s="171" t="s">
        <v>2979</v>
      </c>
      <c r="I4317" t="s">
        <v>1082</v>
      </c>
      <c r="J4317">
        <v>7.22</v>
      </c>
    </row>
    <row r="4318" spans="1:10" hidden="1">
      <c r="A4318" t="s">
        <v>2973</v>
      </c>
      <c r="B4318" t="s">
        <v>2974</v>
      </c>
      <c r="C4318" t="s">
        <v>235</v>
      </c>
      <c r="D4318" t="s">
        <v>2975</v>
      </c>
      <c r="E4318" t="s">
        <v>561</v>
      </c>
      <c r="F4318" t="s">
        <v>1068</v>
      </c>
      <c r="G4318" t="s">
        <v>1083</v>
      </c>
      <c r="H4318" s="171" t="s">
        <v>2980</v>
      </c>
      <c r="I4318" t="s">
        <v>1084</v>
      </c>
      <c r="J4318">
        <v>7.22</v>
      </c>
    </row>
    <row r="4319" spans="1:10" hidden="1">
      <c r="A4319" t="s">
        <v>2973</v>
      </c>
      <c r="B4319" t="s">
        <v>2974</v>
      </c>
      <c r="C4319" t="s">
        <v>235</v>
      </c>
      <c r="D4319" t="s">
        <v>2975</v>
      </c>
      <c r="E4319" t="s">
        <v>561</v>
      </c>
      <c r="F4319" t="s">
        <v>1068</v>
      </c>
      <c r="G4319" t="s">
        <v>1085</v>
      </c>
      <c r="H4319" s="171" t="s">
        <v>2981</v>
      </c>
      <c r="I4319" t="s">
        <v>1086</v>
      </c>
      <c r="J4319">
        <v>7.22</v>
      </c>
    </row>
    <row r="4320" spans="1:10" hidden="1">
      <c r="A4320" t="s">
        <v>2973</v>
      </c>
      <c r="B4320" t="s">
        <v>2974</v>
      </c>
      <c r="C4320" t="s">
        <v>235</v>
      </c>
      <c r="D4320" t="s">
        <v>2975</v>
      </c>
      <c r="E4320" t="s">
        <v>561</v>
      </c>
      <c r="F4320" t="s">
        <v>1068</v>
      </c>
      <c r="G4320" t="s">
        <v>1087</v>
      </c>
      <c r="H4320" s="171" t="s">
        <v>2982</v>
      </c>
      <c r="I4320" t="s">
        <v>1088</v>
      </c>
      <c r="J4320">
        <v>7.22</v>
      </c>
    </row>
    <row r="4321" spans="1:10" hidden="1">
      <c r="A4321" t="s">
        <v>2973</v>
      </c>
      <c r="B4321" t="s">
        <v>2974</v>
      </c>
      <c r="C4321" t="s">
        <v>235</v>
      </c>
      <c r="D4321" t="s">
        <v>2975</v>
      </c>
      <c r="E4321" t="s">
        <v>561</v>
      </c>
      <c r="F4321" t="s">
        <v>1068</v>
      </c>
      <c r="G4321" t="s">
        <v>1089</v>
      </c>
      <c r="H4321" s="171" t="s">
        <v>2983</v>
      </c>
      <c r="I4321" t="s">
        <v>1090</v>
      </c>
      <c r="J4321">
        <v>7.22</v>
      </c>
    </row>
    <row r="4322" spans="1:10" hidden="1">
      <c r="A4322" t="s">
        <v>2984</v>
      </c>
      <c r="B4322" t="s">
        <v>2985</v>
      </c>
      <c r="C4322" t="s">
        <v>235</v>
      </c>
      <c r="D4322" t="s">
        <v>2975</v>
      </c>
      <c r="E4322" t="s">
        <v>555</v>
      </c>
      <c r="F4322" t="s">
        <v>1068</v>
      </c>
      <c r="G4322" t="s">
        <v>1069</v>
      </c>
      <c r="H4322">
        <v>7.13170541795424E-2</v>
      </c>
      <c r="I4322" t="s">
        <v>1070</v>
      </c>
      <c r="J4322">
        <v>12.13</v>
      </c>
    </row>
    <row r="4323" spans="1:10" hidden="1">
      <c r="A4323" t="s">
        <v>2984</v>
      </c>
      <c r="B4323" t="s">
        <v>2985</v>
      </c>
      <c r="C4323" t="s">
        <v>235</v>
      </c>
      <c r="D4323" t="s">
        <v>2975</v>
      </c>
      <c r="E4323" t="s">
        <v>555</v>
      </c>
      <c r="F4323" t="s">
        <v>1068</v>
      </c>
      <c r="G4323" t="s">
        <v>1071</v>
      </c>
      <c r="H4323" s="171" t="s">
        <v>2986</v>
      </c>
      <c r="I4323" t="s">
        <v>1072</v>
      </c>
      <c r="J4323">
        <v>12.13</v>
      </c>
    </row>
    <row r="4324" spans="1:10" hidden="1">
      <c r="A4324" t="s">
        <v>2984</v>
      </c>
      <c r="B4324" t="s">
        <v>2985</v>
      </c>
      <c r="C4324" t="s">
        <v>235</v>
      </c>
      <c r="D4324" t="s">
        <v>2975</v>
      </c>
      <c r="E4324" t="s">
        <v>555</v>
      </c>
      <c r="F4324" t="s">
        <v>1068</v>
      </c>
      <c r="G4324" t="s">
        <v>1073</v>
      </c>
      <c r="H4324" s="171" t="s">
        <v>2987</v>
      </c>
      <c r="I4324" t="s">
        <v>1074</v>
      </c>
      <c r="J4324">
        <v>12.13</v>
      </c>
    </row>
    <row r="4325" spans="1:10" hidden="1">
      <c r="A4325" t="s">
        <v>2984</v>
      </c>
      <c r="B4325" t="s">
        <v>2985</v>
      </c>
      <c r="C4325" t="s">
        <v>235</v>
      </c>
      <c r="D4325" t="s">
        <v>2975</v>
      </c>
      <c r="E4325" t="s">
        <v>555</v>
      </c>
      <c r="F4325" t="s">
        <v>1068</v>
      </c>
      <c r="G4325" t="s">
        <v>1075</v>
      </c>
      <c r="H4325">
        <v>3.4712811166114801E-3</v>
      </c>
      <c r="I4325" t="s">
        <v>1077</v>
      </c>
      <c r="J4325">
        <v>12.13</v>
      </c>
    </row>
    <row r="4326" spans="1:10" hidden="1">
      <c r="A4326" t="s">
        <v>2984</v>
      </c>
      <c r="B4326" t="s">
        <v>2985</v>
      </c>
      <c r="C4326" t="s">
        <v>235</v>
      </c>
      <c r="D4326" t="s">
        <v>2975</v>
      </c>
      <c r="E4326" t="s">
        <v>555</v>
      </c>
      <c r="F4326" t="s">
        <v>1068</v>
      </c>
      <c r="G4326" t="s">
        <v>1078</v>
      </c>
      <c r="H4326" s="171" t="s">
        <v>2988</v>
      </c>
      <c r="I4326" t="s">
        <v>1079</v>
      </c>
      <c r="J4326">
        <v>12.13</v>
      </c>
    </row>
    <row r="4327" spans="1:10" hidden="1">
      <c r="A4327" t="s">
        <v>2984</v>
      </c>
      <c r="B4327" t="s">
        <v>2985</v>
      </c>
      <c r="C4327" t="s">
        <v>235</v>
      </c>
      <c r="D4327" t="s">
        <v>2975</v>
      </c>
      <c r="E4327" t="s">
        <v>555</v>
      </c>
      <c r="F4327" t="s">
        <v>1068</v>
      </c>
      <c r="G4327" t="s">
        <v>1080</v>
      </c>
      <c r="H4327" s="171" t="s">
        <v>2989</v>
      </c>
      <c r="I4327" t="s">
        <v>1082</v>
      </c>
      <c r="J4327">
        <v>12.13</v>
      </c>
    </row>
    <row r="4328" spans="1:10" hidden="1">
      <c r="A4328" t="s">
        <v>2984</v>
      </c>
      <c r="B4328" t="s">
        <v>2985</v>
      </c>
      <c r="C4328" t="s">
        <v>235</v>
      </c>
      <c r="D4328" t="s">
        <v>2975</v>
      </c>
      <c r="E4328" t="s">
        <v>555</v>
      </c>
      <c r="F4328" t="s">
        <v>1068</v>
      </c>
      <c r="G4328" t="s">
        <v>1083</v>
      </c>
      <c r="H4328" s="171" t="s">
        <v>2990</v>
      </c>
      <c r="I4328" t="s">
        <v>1084</v>
      </c>
      <c r="J4328">
        <v>12.13</v>
      </c>
    </row>
    <row r="4329" spans="1:10" hidden="1">
      <c r="A4329" t="s">
        <v>2984</v>
      </c>
      <c r="B4329" t="s">
        <v>2985</v>
      </c>
      <c r="C4329" t="s">
        <v>235</v>
      </c>
      <c r="D4329" t="s">
        <v>2975</v>
      </c>
      <c r="E4329" t="s">
        <v>555</v>
      </c>
      <c r="F4329" t="s">
        <v>1068</v>
      </c>
      <c r="G4329" t="s">
        <v>1085</v>
      </c>
      <c r="H4329" s="171" t="s">
        <v>2991</v>
      </c>
      <c r="I4329" t="s">
        <v>1086</v>
      </c>
      <c r="J4329">
        <v>12.13</v>
      </c>
    </row>
    <row r="4330" spans="1:10" hidden="1">
      <c r="A4330" t="s">
        <v>2984</v>
      </c>
      <c r="B4330" t="s">
        <v>2985</v>
      </c>
      <c r="C4330" t="s">
        <v>235</v>
      </c>
      <c r="D4330" t="s">
        <v>2975</v>
      </c>
      <c r="E4330" t="s">
        <v>555</v>
      </c>
      <c r="F4330" t="s">
        <v>1068</v>
      </c>
      <c r="G4330" t="s">
        <v>1087</v>
      </c>
      <c r="H4330" s="171" t="s">
        <v>2992</v>
      </c>
      <c r="I4330" t="s">
        <v>1088</v>
      </c>
      <c r="J4330">
        <v>12.13</v>
      </c>
    </row>
    <row r="4331" spans="1:10" hidden="1">
      <c r="A4331" t="s">
        <v>2984</v>
      </c>
      <c r="B4331" t="s">
        <v>2985</v>
      </c>
      <c r="C4331" t="s">
        <v>235</v>
      </c>
      <c r="D4331" t="s">
        <v>2975</v>
      </c>
      <c r="E4331" t="s">
        <v>555</v>
      </c>
      <c r="F4331" t="s">
        <v>1068</v>
      </c>
      <c r="G4331" t="s">
        <v>1089</v>
      </c>
      <c r="H4331" s="171" t="s">
        <v>2993</v>
      </c>
      <c r="I4331" t="s">
        <v>1090</v>
      </c>
      <c r="J4331">
        <v>12.13</v>
      </c>
    </row>
    <row r="4332" spans="1:10" hidden="1">
      <c r="A4332" t="s">
        <v>2994</v>
      </c>
      <c r="B4332" t="s">
        <v>2995</v>
      </c>
      <c r="C4332" t="s">
        <v>235</v>
      </c>
      <c r="D4332" t="s">
        <v>2975</v>
      </c>
      <c r="E4332" t="s">
        <v>558</v>
      </c>
      <c r="F4332" t="s">
        <v>1068</v>
      </c>
      <c r="G4332" t="s">
        <v>1069</v>
      </c>
      <c r="H4332">
        <v>7.1287860985425097E-2</v>
      </c>
      <c r="I4332" t="s">
        <v>1070</v>
      </c>
      <c r="J4332">
        <v>7.63</v>
      </c>
    </row>
    <row r="4333" spans="1:10" hidden="1">
      <c r="A4333" t="s">
        <v>2994</v>
      </c>
      <c r="B4333" t="s">
        <v>2995</v>
      </c>
      <c r="C4333" t="s">
        <v>235</v>
      </c>
      <c r="D4333" t="s">
        <v>2975</v>
      </c>
      <c r="E4333" t="s">
        <v>558</v>
      </c>
      <c r="F4333" t="s">
        <v>1068</v>
      </c>
      <c r="G4333" t="s">
        <v>1071</v>
      </c>
      <c r="H4333" s="171" t="s">
        <v>2996</v>
      </c>
      <c r="I4333" t="s">
        <v>1072</v>
      </c>
      <c r="J4333">
        <v>7.63</v>
      </c>
    </row>
    <row r="4334" spans="1:10" hidden="1">
      <c r="A4334" t="s">
        <v>2994</v>
      </c>
      <c r="B4334" t="s">
        <v>2995</v>
      </c>
      <c r="C4334" t="s">
        <v>235</v>
      </c>
      <c r="D4334" t="s">
        <v>2975</v>
      </c>
      <c r="E4334" t="s">
        <v>558</v>
      </c>
      <c r="F4334" t="s">
        <v>1068</v>
      </c>
      <c r="G4334" t="s">
        <v>1073</v>
      </c>
      <c r="H4334" s="171" t="s">
        <v>2997</v>
      </c>
      <c r="I4334" t="s">
        <v>1074</v>
      </c>
      <c r="J4334">
        <v>7.63</v>
      </c>
    </row>
    <row r="4335" spans="1:10" hidden="1">
      <c r="A4335" t="s">
        <v>2994</v>
      </c>
      <c r="B4335" t="s">
        <v>2995</v>
      </c>
      <c r="C4335" t="s">
        <v>235</v>
      </c>
      <c r="D4335" t="s">
        <v>2975</v>
      </c>
      <c r="E4335" t="s">
        <v>558</v>
      </c>
      <c r="F4335" t="s">
        <v>1068</v>
      </c>
      <c r="G4335" t="s">
        <v>1075</v>
      </c>
      <c r="H4335">
        <v>3.4707650697973999E-3</v>
      </c>
      <c r="I4335" t="s">
        <v>1077</v>
      </c>
      <c r="J4335">
        <v>7.63</v>
      </c>
    </row>
    <row r="4336" spans="1:10" hidden="1">
      <c r="A4336" t="s">
        <v>2994</v>
      </c>
      <c r="B4336" t="s">
        <v>2995</v>
      </c>
      <c r="C4336" t="s">
        <v>235</v>
      </c>
      <c r="D4336" t="s">
        <v>2975</v>
      </c>
      <c r="E4336" t="s">
        <v>558</v>
      </c>
      <c r="F4336" t="s">
        <v>1068</v>
      </c>
      <c r="G4336" t="s">
        <v>1078</v>
      </c>
      <c r="H4336">
        <v>2.6020558698611501E-2</v>
      </c>
      <c r="I4336" t="s">
        <v>1079</v>
      </c>
      <c r="J4336">
        <v>7.63</v>
      </c>
    </row>
    <row r="4337" spans="1:10" hidden="1">
      <c r="A4337" t="s">
        <v>2994</v>
      </c>
      <c r="B4337" t="s">
        <v>2995</v>
      </c>
      <c r="C4337" t="s">
        <v>235</v>
      </c>
      <c r="D4337" t="s">
        <v>2975</v>
      </c>
      <c r="E4337" t="s">
        <v>558</v>
      </c>
      <c r="F4337" t="s">
        <v>1068</v>
      </c>
      <c r="G4337" t="s">
        <v>1080</v>
      </c>
      <c r="H4337" s="171" t="s">
        <v>2998</v>
      </c>
      <c r="I4337" t="s">
        <v>1082</v>
      </c>
      <c r="J4337">
        <v>7.63</v>
      </c>
    </row>
    <row r="4338" spans="1:10" hidden="1">
      <c r="A4338" t="s">
        <v>2994</v>
      </c>
      <c r="B4338" t="s">
        <v>2995</v>
      </c>
      <c r="C4338" t="s">
        <v>235</v>
      </c>
      <c r="D4338" t="s">
        <v>2975</v>
      </c>
      <c r="E4338" t="s">
        <v>558</v>
      </c>
      <c r="F4338" t="s">
        <v>1068</v>
      </c>
      <c r="G4338" t="s">
        <v>1083</v>
      </c>
      <c r="H4338" s="171" t="s">
        <v>2999</v>
      </c>
      <c r="I4338" t="s">
        <v>1084</v>
      </c>
      <c r="J4338">
        <v>7.63</v>
      </c>
    </row>
    <row r="4339" spans="1:10" hidden="1">
      <c r="A4339" t="s">
        <v>2994</v>
      </c>
      <c r="B4339" t="s">
        <v>2995</v>
      </c>
      <c r="C4339" t="s">
        <v>235</v>
      </c>
      <c r="D4339" t="s">
        <v>2975</v>
      </c>
      <c r="E4339" t="s">
        <v>558</v>
      </c>
      <c r="F4339" t="s">
        <v>1068</v>
      </c>
      <c r="G4339" t="s">
        <v>1085</v>
      </c>
      <c r="H4339" s="171" t="s">
        <v>3000</v>
      </c>
      <c r="I4339" t="s">
        <v>1086</v>
      </c>
      <c r="J4339">
        <v>7.63</v>
      </c>
    </row>
    <row r="4340" spans="1:10" hidden="1">
      <c r="A4340" t="s">
        <v>2994</v>
      </c>
      <c r="B4340" t="s">
        <v>2995</v>
      </c>
      <c r="C4340" t="s">
        <v>235</v>
      </c>
      <c r="D4340" t="s">
        <v>2975</v>
      </c>
      <c r="E4340" t="s">
        <v>558</v>
      </c>
      <c r="F4340" t="s">
        <v>1068</v>
      </c>
      <c r="G4340" t="s">
        <v>1087</v>
      </c>
      <c r="H4340" s="171" t="s">
        <v>3001</v>
      </c>
      <c r="I4340" t="s">
        <v>1088</v>
      </c>
      <c r="J4340">
        <v>7.63</v>
      </c>
    </row>
    <row r="4341" spans="1:10" hidden="1">
      <c r="A4341" t="s">
        <v>2994</v>
      </c>
      <c r="B4341" t="s">
        <v>2995</v>
      </c>
      <c r="C4341" t="s">
        <v>235</v>
      </c>
      <c r="D4341" t="s">
        <v>2975</v>
      </c>
      <c r="E4341" t="s">
        <v>558</v>
      </c>
      <c r="F4341" t="s">
        <v>1068</v>
      </c>
      <c r="G4341" t="s">
        <v>1089</v>
      </c>
      <c r="H4341" s="171" t="s">
        <v>3002</v>
      </c>
      <c r="I4341" t="s">
        <v>1090</v>
      </c>
      <c r="J4341">
        <v>7.63</v>
      </c>
    </row>
    <row r="4342" spans="1:10" hidden="1">
      <c r="A4342" t="s">
        <v>3003</v>
      </c>
      <c r="B4342" t="s">
        <v>3004</v>
      </c>
      <c r="C4342" t="s">
        <v>235</v>
      </c>
      <c r="D4342" t="s">
        <v>2975</v>
      </c>
      <c r="E4342" t="s">
        <v>553</v>
      </c>
      <c r="F4342" t="s">
        <v>1068</v>
      </c>
      <c r="G4342" t="s">
        <v>1069</v>
      </c>
      <c r="H4342">
        <v>7.1300217813834194E-2</v>
      </c>
      <c r="I4342" t="s">
        <v>1070</v>
      </c>
      <c r="J4342">
        <v>7.78</v>
      </c>
    </row>
    <row r="4343" spans="1:10" hidden="1">
      <c r="A4343" t="s">
        <v>3003</v>
      </c>
      <c r="B4343" t="s">
        <v>3004</v>
      </c>
      <c r="C4343" t="s">
        <v>235</v>
      </c>
      <c r="D4343" t="s">
        <v>2975</v>
      </c>
      <c r="E4343" t="s">
        <v>553</v>
      </c>
      <c r="F4343" t="s">
        <v>1068</v>
      </c>
      <c r="G4343" t="s">
        <v>1071</v>
      </c>
      <c r="H4343" s="171" t="s">
        <v>3005</v>
      </c>
      <c r="I4343" t="s">
        <v>1072</v>
      </c>
      <c r="J4343">
        <v>7.78</v>
      </c>
    </row>
    <row r="4344" spans="1:10" hidden="1">
      <c r="A4344" t="s">
        <v>3003</v>
      </c>
      <c r="B4344" t="s">
        <v>3004</v>
      </c>
      <c r="C4344" t="s">
        <v>235</v>
      </c>
      <c r="D4344" t="s">
        <v>2975</v>
      </c>
      <c r="E4344" t="s">
        <v>553</v>
      </c>
      <c r="F4344" t="s">
        <v>1068</v>
      </c>
      <c r="G4344" t="s">
        <v>1073</v>
      </c>
      <c r="H4344" s="171" t="s">
        <v>3006</v>
      </c>
      <c r="I4344" t="s">
        <v>1074</v>
      </c>
      <c r="J4344">
        <v>7.78</v>
      </c>
    </row>
    <row r="4345" spans="1:10" hidden="1">
      <c r="A4345" t="s">
        <v>3003</v>
      </c>
      <c r="B4345" t="s">
        <v>3004</v>
      </c>
      <c r="C4345" t="s">
        <v>235</v>
      </c>
      <c r="D4345" t="s">
        <v>2975</v>
      </c>
      <c r="E4345" t="s">
        <v>553</v>
      </c>
      <c r="F4345" t="s">
        <v>1068</v>
      </c>
      <c r="G4345" t="s">
        <v>1075</v>
      </c>
      <c r="H4345">
        <v>3.4707489011056602E-3</v>
      </c>
      <c r="I4345" t="s">
        <v>1077</v>
      </c>
      <c r="J4345">
        <v>7.78</v>
      </c>
    </row>
    <row r="4346" spans="1:10" hidden="1">
      <c r="A4346" t="s">
        <v>3003</v>
      </c>
      <c r="B4346" t="s">
        <v>3004</v>
      </c>
      <c r="C4346" t="s">
        <v>235</v>
      </c>
      <c r="D4346" t="s">
        <v>2975</v>
      </c>
      <c r="E4346" t="s">
        <v>553</v>
      </c>
      <c r="F4346" t="s">
        <v>1068</v>
      </c>
      <c r="G4346" t="s">
        <v>1078</v>
      </c>
      <c r="H4346" s="171" t="s">
        <v>3007</v>
      </c>
      <c r="I4346" t="s">
        <v>1079</v>
      </c>
      <c r="J4346">
        <v>7.78</v>
      </c>
    </row>
    <row r="4347" spans="1:10" hidden="1">
      <c r="A4347" t="s">
        <v>3003</v>
      </c>
      <c r="B4347" t="s">
        <v>3004</v>
      </c>
      <c r="C4347" t="s">
        <v>235</v>
      </c>
      <c r="D4347" t="s">
        <v>2975</v>
      </c>
      <c r="E4347" t="s">
        <v>553</v>
      </c>
      <c r="F4347" t="s">
        <v>1068</v>
      </c>
      <c r="G4347" t="s">
        <v>1080</v>
      </c>
      <c r="H4347" s="171" t="s">
        <v>3008</v>
      </c>
      <c r="I4347" t="s">
        <v>1082</v>
      </c>
      <c r="J4347">
        <v>7.78</v>
      </c>
    </row>
    <row r="4348" spans="1:10" hidden="1">
      <c r="A4348" t="s">
        <v>3003</v>
      </c>
      <c r="B4348" t="s">
        <v>3004</v>
      </c>
      <c r="C4348" t="s">
        <v>235</v>
      </c>
      <c r="D4348" t="s">
        <v>2975</v>
      </c>
      <c r="E4348" t="s">
        <v>553</v>
      </c>
      <c r="F4348" t="s">
        <v>1068</v>
      </c>
      <c r="G4348" t="s">
        <v>1083</v>
      </c>
      <c r="H4348" s="171" t="s">
        <v>3009</v>
      </c>
      <c r="I4348" t="s">
        <v>1084</v>
      </c>
      <c r="J4348">
        <v>7.78</v>
      </c>
    </row>
    <row r="4349" spans="1:10" hidden="1">
      <c r="A4349" t="s">
        <v>3003</v>
      </c>
      <c r="B4349" t="s">
        <v>3004</v>
      </c>
      <c r="C4349" t="s">
        <v>235</v>
      </c>
      <c r="D4349" t="s">
        <v>2975</v>
      </c>
      <c r="E4349" t="s">
        <v>553</v>
      </c>
      <c r="F4349" t="s">
        <v>1068</v>
      </c>
      <c r="G4349" t="s">
        <v>1085</v>
      </c>
      <c r="H4349" s="171" t="s">
        <v>3010</v>
      </c>
      <c r="I4349" t="s">
        <v>1086</v>
      </c>
      <c r="J4349">
        <v>7.78</v>
      </c>
    </row>
    <row r="4350" spans="1:10" hidden="1">
      <c r="A4350" t="s">
        <v>3003</v>
      </c>
      <c r="B4350" t="s">
        <v>3004</v>
      </c>
      <c r="C4350" t="s">
        <v>235</v>
      </c>
      <c r="D4350" t="s">
        <v>2975</v>
      </c>
      <c r="E4350" t="s">
        <v>553</v>
      </c>
      <c r="F4350" t="s">
        <v>1068</v>
      </c>
      <c r="G4350" t="s">
        <v>1087</v>
      </c>
      <c r="H4350" s="171" t="s">
        <v>3011</v>
      </c>
      <c r="I4350" t="s">
        <v>1088</v>
      </c>
      <c r="J4350">
        <v>7.78</v>
      </c>
    </row>
    <row r="4351" spans="1:10" hidden="1">
      <c r="A4351" t="s">
        <v>3003</v>
      </c>
      <c r="B4351" t="s">
        <v>3004</v>
      </c>
      <c r="C4351" t="s">
        <v>235</v>
      </c>
      <c r="D4351" t="s">
        <v>2975</v>
      </c>
      <c r="E4351" t="s">
        <v>553</v>
      </c>
      <c r="F4351" t="s">
        <v>1068</v>
      </c>
      <c r="G4351" t="s">
        <v>1089</v>
      </c>
      <c r="H4351" s="171" t="s">
        <v>3012</v>
      </c>
      <c r="I4351" t="s">
        <v>1090</v>
      </c>
      <c r="J4351">
        <v>7.78</v>
      </c>
    </row>
    <row r="4352" spans="1:10" hidden="1">
      <c r="A4352" t="s">
        <v>3013</v>
      </c>
      <c r="B4352" t="s">
        <v>3014</v>
      </c>
      <c r="C4352" t="s">
        <v>235</v>
      </c>
      <c r="D4352" t="s">
        <v>2975</v>
      </c>
      <c r="E4352" t="s">
        <v>556</v>
      </c>
      <c r="F4352" t="s">
        <v>1068</v>
      </c>
      <c r="G4352" t="s">
        <v>1069</v>
      </c>
      <c r="H4352">
        <v>7.1315471691680205E-2</v>
      </c>
      <c r="I4352" t="s">
        <v>1070</v>
      </c>
      <c r="J4352">
        <v>7.08</v>
      </c>
    </row>
    <row r="4353" spans="1:10" hidden="1">
      <c r="A4353" t="s">
        <v>3013</v>
      </c>
      <c r="B4353" t="s">
        <v>3014</v>
      </c>
      <c r="C4353" t="s">
        <v>235</v>
      </c>
      <c r="D4353" t="s">
        <v>2975</v>
      </c>
      <c r="E4353" t="s">
        <v>556</v>
      </c>
      <c r="F4353" t="s">
        <v>1068</v>
      </c>
      <c r="G4353" t="s">
        <v>1071</v>
      </c>
      <c r="H4353" s="171" t="s">
        <v>3015</v>
      </c>
      <c r="I4353" t="s">
        <v>1072</v>
      </c>
      <c r="J4353">
        <v>7.08</v>
      </c>
    </row>
    <row r="4354" spans="1:10" hidden="1">
      <c r="A4354" t="s">
        <v>3013</v>
      </c>
      <c r="B4354" t="s">
        <v>3014</v>
      </c>
      <c r="C4354" t="s">
        <v>235</v>
      </c>
      <c r="D4354" t="s">
        <v>2975</v>
      </c>
      <c r="E4354" t="s">
        <v>556</v>
      </c>
      <c r="F4354" t="s">
        <v>1068</v>
      </c>
      <c r="G4354" t="s">
        <v>1073</v>
      </c>
      <c r="H4354" s="171" t="s">
        <v>3016</v>
      </c>
      <c r="I4354" t="s">
        <v>1074</v>
      </c>
      <c r="J4354">
        <v>7.08</v>
      </c>
    </row>
    <row r="4355" spans="1:10" hidden="1">
      <c r="A4355" t="s">
        <v>3013</v>
      </c>
      <c r="B4355" t="s">
        <v>3014</v>
      </c>
      <c r="C4355" t="s">
        <v>235</v>
      </c>
      <c r="D4355" t="s">
        <v>2975</v>
      </c>
      <c r="E4355" t="s">
        <v>556</v>
      </c>
      <c r="F4355" t="s">
        <v>1068</v>
      </c>
      <c r="G4355" t="s">
        <v>1075</v>
      </c>
      <c r="H4355">
        <v>3.4712310924796298E-3</v>
      </c>
      <c r="I4355" t="s">
        <v>1077</v>
      </c>
      <c r="J4355">
        <v>7.08</v>
      </c>
    </row>
    <row r="4356" spans="1:10" hidden="1">
      <c r="A4356" t="s">
        <v>3013</v>
      </c>
      <c r="B4356" t="s">
        <v>3014</v>
      </c>
      <c r="C4356" t="s">
        <v>235</v>
      </c>
      <c r="D4356" t="s">
        <v>2975</v>
      </c>
      <c r="E4356" t="s">
        <v>556</v>
      </c>
      <c r="F4356" t="s">
        <v>1068</v>
      </c>
      <c r="G4356" t="s">
        <v>1078</v>
      </c>
      <c r="H4356">
        <v>2.6040707593329899E-2</v>
      </c>
      <c r="I4356" t="s">
        <v>1079</v>
      </c>
      <c r="J4356">
        <v>7.08</v>
      </c>
    </row>
    <row r="4357" spans="1:10" hidden="1">
      <c r="A4357" t="s">
        <v>3013</v>
      </c>
      <c r="B4357" t="s">
        <v>3014</v>
      </c>
      <c r="C4357" t="s">
        <v>235</v>
      </c>
      <c r="D4357" t="s">
        <v>2975</v>
      </c>
      <c r="E4357" t="s">
        <v>556</v>
      </c>
      <c r="F4357" t="s">
        <v>1068</v>
      </c>
      <c r="G4357" t="s">
        <v>1080</v>
      </c>
      <c r="H4357" s="171" t="s">
        <v>3017</v>
      </c>
      <c r="I4357" t="s">
        <v>1082</v>
      </c>
      <c r="J4357">
        <v>7.08</v>
      </c>
    </row>
    <row r="4358" spans="1:10" hidden="1">
      <c r="A4358" t="s">
        <v>3013</v>
      </c>
      <c r="B4358" t="s">
        <v>3014</v>
      </c>
      <c r="C4358" t="s">
        <v>235</v>
      </c>
      <c r="D4358" t="s">
        <v>2975</v>
      </c>
      <c r="E4358" t="s">
        <v>556</v>
      </c>
      <c r="F4358" t="s">
        <v>1068</v>
      </c>
      <c r="G4358" t="s">
        <v>1083</v>
      </c>
      <c r="H4358" s="171" t="s">
        <v>3018</v>
      </c>
      <c r="I4358" t="s">
        <v>1084</v>
      </c>
      <c r="J4358">
        <v>7.08</v>
      </c>
    </row>
    <row r="4359" spans="1:10" hidden="1">
      <c r="A4359" t="s">
        <v>3013</v>
      </c>
      <c r="B4359" t="s">
        <v>3014</v>
      </c>
      <c r="C4359" t="s">
        <v>235</v>
      </c>
      <c r="D4359" t="s">
        <v>2975</v>
      </c>
      <c r="E4359" t="s">
        <v>556</v>
      </c>
      <c r="F4359" t="s">
        <v>1068</v>
      </c>
      <c r="G4359" t="s">
        <v>1085</v>
      </c>
      <c r="H4359" s="171" t="s">
        <v>3019</v>
      </c>
      <c r="I4359" t="s">
        <v>1086</v>
      </c>
      <c r="J4359">
        <v>7.08</v>
      </c>
    </row>
    <row r="4360" spans="1:10" hidden="1">
      <c r="A4360" t="s">
        <v>3013</v>
      </c>
      <c r="B4360" t="s">
        <v>3014</v>
      </c>
      <c r="C4360" t="s">
        <v>235</v>
      </c>
      <c r="D4360" t="s">
        <v>2975</v>
      </c>
      <c r="E4360" t="s">
        <v>556</v>
      </c>
      <c r="F4360" t="s">
        <v>1068</v>
      </c>
      <c r="G4360" t="s">
        <v>1087</v>
      </c>
      <c r="H4360" s="171" t="s">
        <v>3020</v>
      </c>
      <c r="I4360" t="s">
        <v>1088</v>
      </c>
      <c r="J4360">
        <v>7.08</v>
      </c>
    </row>
    <row r="4361" spans="1:10" hidden="1">
      <c r="A4361" t="s">
        <v>3013</v>
      </c>
      <c r="B4361" t="s">
        <v>3014</v>
      </c>
      <c r="C4361" t="s">
        <v>235</v>
      </c>
      <c r="D4361" t="s">
        <v>2975</v>
      </c>
      <c r="E4361" t="s">
        <v>556</v>
      </c>
      <c r="F4361" t="s">
        <v>1068</v>
      </c>
      <c r="G4361" t="s">
        <v>1089</v>
      </c>
      <c r="H4361" s="171" t="s">
        <v>3021</v>
      </c>
      <c r="I4361" t="s">
        <v>1090</v>
      </c>
      <c r="J4361">
        <v>7.08</v>
      </c>
    </row>
    <row r="4362" spans="1:10" hidden="1">
      <c r="A4362" t="s">
        <v>3022</v>
      </c>
      <c r="B4362" t="s">
        <v>3023</v>
      </c>
      <c r="C4362" t="s">
        <v>235</v>
      </c>
      <c r="D4362" t="s">
        <v>2975</v>
      </c>
      <c r="E4362" t="s">
        <v>557</v>
      </c>
      <c r="F4362" t="s">
        <v>1068</v>
      </c>
      <c r="G4362" t="s">
        <v>1069</v>
      </c>
      <c r="H4362">
        <v>7.1293068529982295E-2</v>
      </c>
      <c r="I4362" t="s">
        <v>1070</v>
      </c>
      <c r="J4362">
        <v>8.4</v>
      </c>
    </row>
    <row r="4363" spans="1:10" hidden="1">
      <c r="A4363" t="s">
        <v>3022</v>
      </c>
      <c r="B4363" t="s">
        <v>3023</v>
      </c>
      <c r="C4363" t="s">
        <v>235</v>
      </c>
      <c r="D4363" t="s">
        <v>2975</v>
      </c>
      <c r="E4363" t="s">
        <v>557</v>
      </c>
      <c r="F4363" t="s">
        <v>1068</v>
      </c>
      <c r="G4363" t="s">
        <v>1071</v>
      </c>
      <c r="H4363" s="171" t="s">
        <v>3024</v>
      </c>
      <c r="I4363" t="s">
        <v>1072</v>
      </c>
      <c r="J4363">
        <v>8.4</v>
      </c>
    </row>
    <row r="4364" spans="1:10" hidden="1">
      <c r="A4364" t="s">
        <v>3022</v>
      </c>
      <c r="B4364" t="s">
        <v>3023</v>
      </c>
      <c r="C4364" t="s">
        <v>235</v>
      </c>
      <c r="D4364" t="s">
        <v>2975</v>
      </c>
      <c r="E4364" t="s">
        <v>557</v>
      </c>
      <c r="F4364" t="s">
        <v>1068</v>
      </c>
      <c r="G4364" t="s">
        <v>1073</v>
      </c>
      <c r="H4364" s="171" t="s">
        <v>3025</v>
      </c>
      <c r="I4364" t="s">
        <v>1074</v>
      </c>
      <c r="J4364">
        <v>8.4</v>
      </c>
    </row>
    <row r="4365" spans="1:10" hidden="1">
      <c r="A4365" t="s">
        <v>3022</v>
      </c>
      <c r="B4365" t="s">
        <v>3023</v>
      </c>
      <c r="C4365" t="s">
        <v>235</v>
      </c>
      <c r="D4365" t="s">
        <v>2975</v>
      </c>
      <c r="E4365" t="s">
        <v>557</v>
      </c>
      <c r="F4365" t="s">
        <v>1068</v>
      </c>
      <c r="G4365" t="s">
        <v>1075</v>
      </c>
      <c r="H4365">
        <v>3.4709296858439101E-3</v>
      </c>
      <c r="I4365" t="s">
        <v>1077</v>
      </c>
      <c r="J4365">
        <v>8.4</v>
      </c>
    </row>
    <row r="4366" spans="1:10" hidden="1">
      <c r="A4366" t="s">
        <v>3022</v>
      </c>
      <c r="B4366" t="s">
        <v>3023</v>
      </c>
      <c r="C4366" t="s">
        <v>235</v>
      </c>
      <c r="D4366" t="s">
        <v>2975</v>
      </c>
      <c r="E4366" t="s">
        <v>557</v>
      </c>
      <c r="F4366" t="s">
        <v>1068</v>
      </c>
      <c r="G4366" t="s">
        <v>1078</v>
      </c>
      <c r="H4366" s="171" t="s">
        <v>3026</v>
      </c>
      <c r="I4366" t="s">
        <v>1079</v>
      </c>
      <c r="J4366">
        <v>8.4</v>
      </c>
    </row>
    <row r="4367" spans="1:10" hidden="1">
      <c r="A4367" t="s">
        <v>3022</v>
      </c>
      <c r="B4367" t="s">
        <v>3023</v>
      </c>
      <c r="C4367" t="s">
        <v>235</v>
      </c>
      <c r="D4367" t="s">
        <v>2975</v>
      </c>
      <c r="E4367" t="s">
        <v>557</v>
      </c>
      <c r="F4367" t="s">
        <v>1068</v>
      </c>
      <c r="G4367" t="s">
        <v>1080</v>
      </c>
      <c r="H4367" s="171" t="s">
        <v>3027</v>
      </c>
      <c r="I4367" t="s">
        <v>1082</v>
      </c>
      <c r="J4367">
        <v>8.4</v>
      </c>
    </row>
    <row r="4368" spans="1:10" hidden="1">
      <c r="A4368" t="s">
        <v>3022</v>
      </c>
      <c r="B4368" t="s">
        <v>3023</v>
      </c>
      <c r="C4368" t="s">
        <v>235</v>
      </c>
      <c r="D4368" t="s">
        <v>2975</v>
      </c>
      <c r="E4368" t="s">
        <v>557</v>
      </c>
      <c r="F4368" t="s">
        <v>1068</v>
      </c>
      <c r="G4368" t="s">
        <v>1083</v>
      </c>
      <c r="H4368" s="171" t="s">
        <v>3028</v>
      </c>
      <c r="I4368" t="s">
        <v>1084</v>
      </c>
      <c r="J4368">
        <v>8.4</v>
      </c>
    </row>
    <row r="4369" spans="1:10" hidden="1">
      <c r="A4369" t="s">
        <v>3022</v>
      </c>
      <c r="B4369" t="s">
        <v>3023</v>
      </c>
      <c r="C4369" t="s">
        <v>235</v>
      </c>
      <c r="D4369" t="s">
        <v>2975</v>
      </c>
      <c r="E4369" t="s">
        <v>557</v>
      </c>
      <c r="F4369" t="s">
        <v>1068</v>
      </c>
      <c r="G4369" t="s">
        <v>1085</v>
      </c>
      <c r="H4369" s="171" t="s">
        <v>3029</v>
      </c>
      <c r="I4369" t="s">
        <v>1086</v>
      </c>
      <c r="J4369">
        <v>8.4</v>
      </c>
    </row>
    <row r="4370" spans="1:10" hidden="1">
      <c r="A4370" t="s">
        <v>3022</v>
      </c>
      <c r="B4370" t="s">
        <v>3023</v>
      </c>
      <c r="C4370" t="s">
        <v>235</v>
      </c>
      <c r="D4370" t="s">
        <v>2975</v>
      </c>
      <c r="E4370" t="s">
        <v>557</v>
      </c>
      <c r="F4370" t="s">
        <v>1068</v>
      </c>
      <c r="G4370" t="s">
        <v>1087</v>
      </c>
      <c r="H4370" s="171" t="s">
        <v>3030</v>
      </c>
      <c r="I4370" t="s">
        <v>1088</v>
      </c>
      <c r="J4370">
        <v>8.4</v>
      </c>
    </row>
    <row r="4371" spans="1:10" hidden="1">
      <c r="A4371" t="s">
        <v>3022</v>
      </c>
      <c r="B4371" t="s">
        <v>3023</v>
      </c>
      <c r="C4371" t="s">
        <v>235</v>
      </c>
      <c r="D4371" t="s">
        <v>2975</v>
      </c>
      <c r="E4371" t="s">
        <v>557</v>
      </c>
      <c r="F4371" t="s">
        <v>1068</v>
      </c>
      <c r="G4371" t="s">
        <v>1089</v>
      </c>
      <c r="H4371" s="171" t="s">
        <v>3031</v>
      </c>
      <c r="I4371" t="s">
        <v>1090</v>
      </c>
      <c r="J4371">
        <v>8.4</v>
      </c>
    </row>
    <row r="4372" spans="1:10" hidden="1">
      <c r="A4372" t="s">
        <v>3032</v>
      </c>
      <c r="B4372" t="s">
        <v>3033</v>
      </c>
      <c r="C4372" t="s">
        <v>235</v>
      </c>
      <c r="D4372" t="s">
        <v>2975</v>
      </c>
      <c r="E4372" t="s">
        <v>559</v>
      </c>
      <c r="F4372" t="s">
        <v>1068</v>
      </c>
      <c r="G4372" t="s">
        <v>1069</v>
      </c>
      <c r="H4372">
        <v>7.1310937597240706E-2</v>
      </c>
      <c r="I4372" t="s">
        <v>1070</v>
      </c>
      <c r="J4372">
        <v>9.89</v>
      </c>
    </row>
    <row r="4373" spans="1:10" hidden="1">
      <c r="A4373" t="s">
        <v>3032</v>
      </c>
      <c r="B4373" t="s">
        <v>3033</v>
      </c>
      <c r="C4373" t="s">
        <v>235</v>
      </c>
      <c r="D4373" t="s">
        <v>2975</v>
      </c>
      <c r="E4373" t="s">
        <v>559</v>
      </c>
      <c r="F4373" t="s">
        <v>1068</v>
      </c>
      <c r="G4373" t="s">
        <v>1071</v>
      </c>
      <c r="H4373" s="171" t="s">
        <v>3034</v>
      </c>
      <c r="I4373" t="s">
        <v>1072</v>
      </c>
      <c r="J4373">
        <v>9.89</v>
      </c>
    </row>
    <row r="4374" spans="1:10" hidden="1">
      <c r="A4374" t="s">
        <v>3032</v>
      </c>
      <c r="B4374" t="s">
        <v>3033</v>
      </c>
      <c r="C4374" t="s">
        <v>235</v>
      </c>
      <c r="D4374" t="s">
        <v>2975</v>
      </c>
      <c r="E4374" t="s">
        <v>559</v>
      </c>
      <c r="F4374" t="s">
        <v>1068</v>
      </c>
      <c r="G4374" t="s">
        <v>1073</v>
      </c>
      <c r="H4374" s="171" t="s">
        <v>3035</v>
      </c>
      <c r="I4374" t="s">
        <v>1074</v>
      </c>
      <c r="J4374">
        <v>9.89</v>
      </c>
    </row>
    <row r="4375" spans="1:10" hidden="1">
      <c r="A4375" t="s">
        <v>3032</v>
      </c>
      <c r="B4375" t="s">
        <v>3033</v>
      </c>
      <c r="C4375" t="s">
        <v>235</v>
      </c>
      <c r="D4375" t="s">
        <v>2975</v>
      </c>
      <c r="E4375" t="s">
        <v>559</v>
      </c>
      <c r="F4375" t="s">
        <v>1068</v>
      </c>
      <c r="G4375" t="s">
        <v>1075</v>
      </c>
      <c r="H4375">
        <v>3.47108776491079E-3</v>
      </c>
      <c r="I4375" t="s">
        <v>1077</v>
      </c>
      <c r="J4375">
        <v>9.89</v>
      </c>
    </row>
    <row r="4376" spans="1:10" hidden="1">
      <c r="A4376" t="s">
        <v>3032</v>
      </c>
      <c r="B4376" t="s">
        <v>3033</v>
      </c>
      <c r="C4376" t="s">
        <v>235</v>
      </c>
      <c r="D4376" t="s">
        <v>2975</v>
      </c>
      <c r="E4376" t="s">
        <v>559</v>
      </c>
      <c r="F4376" t="s">
        <v>1068</v>
      </c>
      <c r="G4376" t="s">
        <v>1078</v>
      </c>
      <c r="H4376">
        <v>2.6034509556384401E-2</v>
      </c>
      <c r="I4376" t="s">
        <v>1079</v>
      </c>
      <c r="J4376">
        <v>9.89</v>
      </c>
    </row>
    <row r="4377" spans="1:10" hidden="1">
      <c r="A4377" t="s">
        <v>3032</v>
      </c>
      <c r="B4377" t="s">
        <v>3033</v>
      </c>
      <c r="C4377" t="s">
        <v>235</v>
      </c>
      <c r="D4377" t="s">
        <v>2975</v>
      </c>
      <c r="E4377" t="s">
        <v>559</v>
      </c>
      <c r="F4377" t="s">
        <v>1068</v>
      </c>
      <c r="G4377" t="s">
        <v>1080</v>
      </c>
      <c r="H4377" s="171" t="s">
        <v>3036</v>
      </c>
      <c r="I4377" t="s">
        <v>1082</v>
      </c>
      <c r="J4377">
        <v>9.89</v>
      </c>
    </row>
    <row r="4378" spans="1:10" hidden="1">
      <c r="A4378" t="s">
        <v>3032</v>
      </c>
      <c r="B4378" t="s">
        <v>3033</v>
      </c>
      <c r="C4378" t="s">
        <v>235</v>
      </c>
      <c r="D4378" t="s">
        <v>2975</v>
      </c>
      <c r="E4378" t="s">
        <v>559</v>
      </c>
      <c r="F4378" t="s">
        <v>1068</v>
      </c>
      <c r="G4378" t="s">
        <v>1083</v>
      </c>
      <c r="H4378" s="171" t="s">
        <v>3037</v>
      </c>
      <c r="I4378" t="s">
        <v>1084</v>
      </c>
      <c r="J4378">
        <v>9.89</v>
      </c>
    </row>
    <row r="4379" spans="1:10" hidden="1">
      <c r="A4379" t="s">
        <v>3032</v>
      </c>
      <c r="B4379" t="s">
        <v>3033</v>
      </c>
      <c r="C4379" t="s">
        <v>235</v>
      </c>
      <c r="D4379" t="s">
        <v>2975</v>
      </c>
      <c r="E4379" t="s">
        <v>559</v>
      </c>
      <c r="F4379" t="s">
        <v>1068</v>
      </c>
      <c r="G4379" t="s">
        <v>1085</v>
      </c>
      <c r="H4379" s="171" t="s">
        <v>3038</v>
      </c>
      <c r="I4379" t="s">
        <v>1086</v>
      </c>
      <c r="J4379">
        <v>9.89</v>
      </c>
    </row>
    <row r="4380" spans="1:10" hidden="1">
      <c r="A4380" t="s">
        <v>3032</v>
      </c>
      <c r="B4380" t="s">
        <v>3033</v>
      </c>
      <c r="C4380" t="s">
        <v>235</v>
      </c>
      <c r="D4380" t="s">
        <v>2975</v>
      </c>
      <c r="E4380" t="s">
        <v>559</v>
      </c>
      <c r="F4380" t="s">
        <v>1068</v>
      </c>
      <c r="G4380" t="s">
        <v>1087</v>
      </c>
      <c r="H4380" s="171" t="s">
        <v>3039</v>
      </c>
      <c r="I4380" t="s">
        <v>1088</v>
      </c>
      <c r="J4380">
        <v>9.89</v>
      </c>
    </row>
    <row r="4381" spans="1:10" hidden="1">
      <c r="A4381" t="s">
        <v>3032</v>
      </c>
      <c r="B4381" t="s">
        <v>3033</v>
      </c>
      <c r="C4381" t="s">
        <v>235</v>
      </c>
      <c r="D4381" t="s">
        <v>2975</v>
      </c>
      <c r="E4381" t="s">
        <v>559</v>
      </c>
      <c r="F4381" t="s">
        <v>1068</v>
      </c>
      <c r="G4381" t="s">
        <v>1089</v>
      </c>
      <c r="H4381" s="171" t="s">
        <v>3040</v>
      </c>
      <c r="I4381" t="s">
        <v>1090</v>
      </c>
      <c r="J4381">
        <v>9.89</v>
      </c>
    </row>
    <row r="4382" spans="1:10" hidden="1">
      <c r="A4382" t="s">
        <v>3041</v>
      </c>
      <c r="B4382" t="s">
        <v>3042</v>
      </c>
      <c r="C4382" t="s">
        <v>235</v>
      </c>
      <c r="D4382" t="s">
        <v>2975</v>
      </c>
      <c r="E4382" t="s">
        <v>560</v>
      </c>
      <c r="F4382" t="s">
        <v>1068</v>
      </c>
      <c r="G4382" t="s">
        <v>1069</v>
      </c>
      <c r="H4382">
        <v>7.1295845887079407E-2</v>
      </c>
      <c r="I4382" t="s">
        <v>1070</v>
      </c>
      <c r="J4382">
        <v>8.09</v>
      </c>
    </row>
    <row r="4383" spans="1:10" hidden="1">
      <c r="A4383" t="s">
        <v>3041</v>
      </c>
      <c r="B4383" t="s">
        <v>3042</v>
      </c>
      <c r="C4383" t="s">
        <v>235</v>
      </c>
      <c r="D4383" t="s">
        <v>2975</v>
      </c>
      <c r="E4383" t="s">
        <v>560</v>
      </c>
      <c r="F4383" t="s">
        <v>1068</v>
      </c>
      <c r="G4383" t="s">
        <v>1071</v>
      </c>
      <c r="H4383" s="171" t="s">
        <v>3043</v>
      </c>
      <c r="I4383" t="s">
        <v>1072</v>
      </c>
      <c r="J4383">
        <v>8.09</v>
      </c>
    </row>
    <row r="4384" spans="1:10" hidden="1">
      <c r="A4384" t="s">
        <v>3041</v>
      </c>
      <c r="B4384" t="s">
        <v>3042</v>
      </c>
      <c r="C4384" t="s">
        <v>235</v>
      </c>
      <c r="D4384" t="s">
        <v>2975</v>
      </c>
      <c r="E4384" t="s">
        <v>560</v>
      </c>
      <c r="F4384" t="s">
        <v>1068</v>
      </c>
      <c r="G4384" t="s">
        <v>1073</v>
      </c>
      <c r="H4384" s="171" t="s">
        <v>3044</v>
      </c>
      <c r="I4384" t="s">
        <v>1074</v>
      </c>
      <c r="J4384">
        <v>8.09</v>
      </c>
    </row>
    <row r="4385" spans="1:10" hidden="1">
      <c r="A4385" t="s">
        <v>3041</v>
      </c>
      <c r="B4385" t="s">
        <v>3042</v>
      </c>
      <c r="C4385" t="s">
        <v>235</v>
      </c>
      <c r="D4385" t="s">
        <v>2975</v>
      </c>
      <c r="E4385" t="s">
        <v>560</v>
      </c>
      <c r="F4385" t="s">
        <v>1068</v>
      </c>
      <c r="G4385" t="s">
        <v>1075</v>
      </c>
      <c r="H4385">
        <v>3.4710174810687199E-3</v>
      </c>
      <c r="I4385" t="s">
        <v>1077</v>
      </c>
      <c r="J4385">
        <v>8.09</v>
      </c>
    </row>
    <row r="4386" spans="1:10" hidden="1">
      <c r="A4386" t="s">
        <v>3041</v>
      </c>
      <c r="B4386" t="s">
        <v>3042</v>
      </c>
      <c r="C4386" t="s">
        <v>235</v>
      </c>
      <c r="D4386" t="s">
        <v>2975</v>
      </c>
      <c r="E4386" t="s">
        <v>560</v>
      </c>
      <c r="F4386" t="s">
        <v>1068</v>
      </c>
      <c r="G4386" t="s">
        <v>1078</v>
      </c>
      <c r="H4386">
        <v>2.6031473935633199E-2</v>
      </c>
      <c r="I4386" t="s">
        <v>1079</v>
      </c>
      <c r="J4386">
        <v>8.09</v>
      </c>
    </row>
    <row r="4387" spans="1:10" hidden="1">
      <c r="A4387" t="s">
        <v>3041</v>
      </c>
      <c r="B4387" t="s">
        <v>3042</v>
      </c>
      <c r="C4387" t="s">
        <v>235</v>
      </c>
      <c r="D4387" t="s">
        <v>2975</v>
      </c>
      <c r="E4387" t="s">
        <v>560</v>
      </c>
      <c r="F4387" t="s">
        <v>1068</v>
      </c>
      <c r="G4387" t="s">
        <v>1080</v>
      </c>
      <c r="H4387" s="171" t="s">
        <v>3045</v>
      </c>
      <c r="I4387" t="s">
        <v>1082</v>
      </c>
      <c r="J4387">
        <v>8.09</v>
      </c>
    </row>
    <row r="4388" spans="1:10" hidden="1">
      <c r="A4388" t="s">
        <v>3041</v>
      </c>
      <c r="B4388" t="s">
        <v>3042</v>
      </c>
      <c r="C4388" t="s">
        <v>235</v>
      </c>
      <c r="D4388" t="s">
        <v>2975</v>
      </c>
      <c r="E4388" t="s">
        <v>560</v>
      </c>
      <c r="F4388" t="s">
        <v>1068</v>
      </c>
      <c r="G4388" t="s">
        <v>1083</v>
      </c>
      <c r="H4388" s="171" t="s">
        <v>3046</v>
      </c>
      <c r="I4388" t="s">
        <v>1084</v>
      </c>
      <c r="J4388">
        <v>8.09</v>
      </c>
    </row>
    <row r="4389" spans="1:10" hidden="1">
      <c r="A4389" t="s">
        <v>3041</v>
      </c>
      <c r="B4389" t="s">
        <v>3042</v>
      </c>
      <c r="C4389" t="s">
        <v>235</v>
      </c>
      <c r="D4389" t="s">
        <v>2975</v>
      </c>
      <c r="E4389" t="s">
        <v>560</v>
      </c>
      <c r="F4389" t="s">
        <v>1068</v>
      </c>
      <c r="G4389" t="s">
        <v>1085</v>
      </c>
      <c r="H4389" s="171" t="s">
        <v>3047</v>
      </c>
      <c r="I4389" t="s">
        <v>1086</v>
      </c>
      <c r="J4389">
        <v>8.09</v>
      </c>
    </row>
    <row r="4390" spans="1:10" hidden="1">
      <c r="A4390" t="s">
        <v>3041</v>
      </c>
      <c r="B4390" t="s">
        <v>3042</v>
      </c>
      <c r="C4390" t="s">
        <v>235</v>
      </c>
      <c r="D4390" t="s">
        <v>2975</v>
      </c>
      <c r="E4390" t="s">
        <v>560</v>
      </c>
      <c r="F4390" t="s">
        <v>1068</v>
      </c>
      <c r="G4390" t="s">
        <v>1087</v>
      </c>
      <c r="H4390" s="171" t="s">
        <v>3048</v>
      </c>
      <c r="I4390" t="s">
        <v>1088</v>
      </c>
      <c r="J4390">
        <v>8.09</v>
      </c>
    </row>
    <row r="4391" spans="1:10" hidden="1">
      <c r="A4391" t="s">
        <v>3041</v>
      </c>
      <c r="B4391" t="s">
        <v>3042</v>
      </c>
      <c r="C4391" t="s">
        <v>235</v>
      </c>
      <c r="D4391" t="s">
        <v>2975</v>
      </c>
      <c r="E4391" t="s">
        <v>560</v>
      </c>
      <c r="F4391" t="s">
        <v>1068</v>
      </c>
      <c r="G4391" t="s">
        <v>1089</v>
      </c>
      <c r="H4391" s="171" t="s">
        <v>3049</v>
      </c>
      <c r="I4391" t="s">
        <v>1090</v>
      </c>
      <c r="J4391">
        <v>8.09</v>
      </c>
    </row>
    <row r="4392" spans="1:10" hidden="1">
      <c r="A4392" t="s">
        <v>3050</v>
      </c>
      <c r="B4392" t="s">
        <v>3051</v>
      </c>
      <c r="C4392" t="s">
        <v>235</v>
      </c>
      <c r="D4392" t="s">
        <v>2975</v>
      </c>
      <c r="E4392" t="s">
        <v>1116</v>
      </c>
      <c r="F4392" t="s">
        <v>1068</v>
      </c>
      <c r="G4392" t="s">
        <v>1069</v>
      </c>
      <c r="H4392">
        <v>7.1287416328983902E-2</v>
      </c>
      <c r="I4392" t="s">
        <v>1070</v>
      </c>
      <c r="J4392">
        <v>7.18</v>
      </c>
    </row>
    <row r="4393" spans="1:10" hidden="1">
      <c r="A4393" t="s">
        <v>3050</v>
      </c>
      <c r="B4393" t="s">
        <v>3051</v>
      </c>
      <c r="C4393" t="s">
        <v>235</v>
      </c>
      <c r="D4393" t="s">
        <v>2975</v>
      </c>
      <c r="E4393" t="s">
        <v>1116</v>
      </c>
      <c r="F4393" t="s">
        <v>1068</v>
      </c>
      <c r="G4393" t="s">
        <v>1071</v>
      </c>
      <c r="H4393" s="171" t="s">
        <v>3052</v>
      </c>
      <c r="I4393" t="s">
        <v>1072</v>
      </c>
      <c r="J4393">
        <v>7.18</v>
      </c>
    </row>
    <row r="4394" spans="1:10" hidden="1">
      <c r="A4394" t="s">
        <v>3050</v>
      </c>
      <c r="B4394" t="s">
        <v>3051</v>
      </c>
      <c r="C4394" t="s">
        <v>235</v>
      </c>
      <c r="D4394" t="s">
        <v>2975</v>
      </c>
      <c r="E4394" t="s">
        <v>1116</v>
      </c>
      <c r="F4394" t="s">
        <v>1068</v>
      </c>
      <c r="G4394" t="s">
        <v>1073</v>
      </c>
      <c r="H4394" s="171" t="s">
        <v>3053</v>
      </c>
      <c r="I4394" t="s">
        <v>1074</v>
      </c>
      <c r="J4394">
        <v>7.18</v>
      </c>
    </row>
    <row r="4395" spans="1:10" hidden="1">
      <c r="A4395" t="s">
        <v>3050</v>
      </c>
      <c r="B4395" t="s">
        <v>3051</v>
      </c>
      <c r="C4395" t="s">
        <v>235</v>
      </c>
      <c r="D4395" t="s">
        <v>2975</v>
      </c>
      <c r="E4395" t="s">
        <v>1116</v>
      </c>
      <c r="F4395" t="s">
        <v>1068</v>
      </c>
      <c r="G4395" t="s">
        <v>1075</v>
      </c>
      <c r="H4395">
        <v>3.4707510137322799E-3</v>
      </c>
      <c r="I4395" t="s">
        <v>1077</v>
      </c>
      <c r="J4395">
        <v>7.18</v>
      </c>
    </row>
    <row r="4396" spans="1:10" hidden="1">
      <c r="A4396" t="s">
        <v>3050</v>
      </c>
      <c r="B4396" t="s">
        <v>3051</v>
      </c>
      <c r="C4396" t="s">
        <v>235</v>
      </c>
      <c r="D4396" t="s">
        <v>2975</v>
      </c>
      <c r="E4396" t="s">
        <v>1116</v>
      </c>
      <c r="F4396" t="s">
        <v>1068</v>
      </c>
      <c r="G4396" t="s">
        <v>1078</v>
      </c>
      <c r="H4396" s="171" t="s">
        <v>3054</v>
      </c>
      <c r="I4396" t="s">
        <v>1079</v>
      </c>
      <c r="J4396">
        <v>7.18</v>
      </c>
    </row>
    <row r="4397" spans="1:10" hidden="1">
      <c r="A4397" t="s">
        <v>3050</v>
      </c>
      <c r="B4397" t="s">
        <v>3051</v>
      </c>
      <c r="C4397" t="s">
        <v>235</v>
      </c>
      <c r="D4397" t="s">
        <v>2975</v>
      </c>
      <c r="E4397" t="s">
        <v>1116</v>
      </c>
      <c r="F4397" t="s">
        <v>1068</v>
      </c>
      <c r="G4397" t="s">
        <v>1080</v>
      </c>
      <c r="H4397" s="171" t="s">
        <v>3055</v>
      </c>
      <c r="I4397" t="s">
        <v>1082</v>
      </c>
      <c r="J4397">
        <v>7.18</v>
      </c>
    </row>
    <row r="4398" spans="1:10" hidden="1">
      <c r="A4398" t="s">
        <v>3050</v>
      </c>
      <c r="B4398" t="s">
        <v>3051</v>
      </c>
      <c r="C4398" t="s">
        <v>235</v>
      </c>
      <c r="D4398" t="s">
        <v>2975</v>
      </c>
      <c r="E4398" t="s">
        <v>1116</v>
      </c>
      <c r="F4398" t="s">
        <v>1068</v>
      </c>
      <c r="G4398" t="s">
        <v>1083</v>
      </c>
      <c r="H4398" s="171" t="s">
        <v>3056</v>
      </c>
      <c r="I4398" t="s">
        <v>1084</v>
      </c>
      <c r="J4398">
        <v>7.18</v>
      </c>
    </row>
    <row r="4399" spans="1:10" hidden="1">
      <c r="A4399" t="s">
        <v>3050</v>
      </c>
      <c r="B4399" t="s">
        <v>3051</v>
      </c>
      <c r="C4399" t="s">
        <v>235</v>
      </c>
      <c r="D4399" t="s">
        <v>2975</v>
      </c>
      <c r="E4399" t="s">
        <v>1116</v>
      </c>
      <c r="F4399" t="s">
        <v>1068</v>
      </c>
      <c r="G4399" t="s">
        <v>1085</v>
      </c>
      <c r="H4399" s="171" t="s">
        <v>3057</v>
      </c>
      <c r="I4399" t="s">
        <v>1086</v>
      </c>
      <c r="J4399">
        <v>7.18</v>
      </c>
    </row>
    <row r="4400" spans="1:10" hidden="1">
      <c r="A4400" t="s">
        <v>3050</v>
      </c>
      <c r="B4400" t="s">
        <v>3051</v>
      </c>
      <c r="C4400" t="s">
        <v>235</v>
      </c>
      <c r="D4400" t="s">
        <v>2975</v>
      </c>
      <c r="E4400" t="s">
        <v>1116</v>
      </c>
      <c r="F4400" t="s">
        <v>1068</v>
      </c>
      <c r="G4400" t="s">
        <v>1087</v>
      </c>
      <c r="H4400" s="171" t="s">
        <v>3058</v>
      </c>
      <c r="I4400" t="s">
        <v>1088</v>
      </c>
      <c r="J4400">
        <v>7.18</v>
      </c>
    </row>
    <row r="4401" spans="1:10" hidden="1">
      <c r="A4401" t="s">
        <v>3050</v>
      </c>
      <c r="B4401" t="s">
        <v>3051</v>
      </c>
      <c r="C4401" t="s">
        <v>235</v>
      </c>
      <c r="D4401" t="s">
        <v>2975</v>
      </c>
      <c r="E4401" t="s">
        <v>1116</v>
      </c>
      <c r="F4401" t="s">
        <v>1068</v>
      </c>
      <c r="G4401" t="s">
        <v>1089</v>
      </c>
      <c r="H4401" s="171" t="s">
        <v>3059</v>
      </c>
      <c r="I4401" t="s">
        <v>1090</v>
      </c>
      <c r="J4401">
        <v>7.18</v>
      </c>
    </row>
    <row r="4402" spans="1:10" hidden="1">
      <c r="A4402" t="s">
        <v>3060</v>
      </c>
      <c r="B4402" t="s">
        <v>3061</v>
      </c>
      <c r="C4402" t="s">
        <v>235</v>
      </c>
      <c r="D4402" t="s">
        <v>3062</v>
      </c>
      <c r="E4402" t="s">
        <v>561</v>
      </c>
      <c r="F4402" t="s">
        <v>1068</v>
      </c>
      <c r="G4402" t="s">
        <v>1069</v>
      </c>
      <c r="H4402">
        <v>7.18956406665264E-2</v>
      </c>
      <c r="I4402" t="s">
        <v>1070</v>
      </c>
      <c r="J4402">
        <v>8.1999999999999993</v>
      </c>
    </row>
    <row r="4403" spans="1:10" hidden="1">
      <c r="A4403" t="s">
        <v>3060</v>
      </c>
      <c r="B4403" t="s">
        <v>3061</v>
      </c>
      <c r="C4403" t="s">
        <v>235</v>
      </c>
      <c r="D4403" t="s">
        <v>3062</v>
      </c>
      <c r="E4403" t="s">
        <v>561</v>
      </c>
      <c r="F4403" t="s">
        <v>1068</v>
      </c>
      <c r="G4403" t="s">
        <v>1071</v>
      </c>
      <c r="H4403" s="171" t="s">
        <v>3063</v>
      </c>
      <c r="I4403" t="s">
        <v>1072</v>
      </c>
      <c r="J4403">
        <v>8.1999999999999993</v>
      </c>
    </row>
    <row r="4404" spans="1:10" hidden="1">
      <c r="A4404" t="s">
        <v>3060</v>
      </c>
      <c r="B4404" t="s">
        <v>3061</v>
      </c>
      <c r="C4404" t="s">
        <v>235</v>
      </c>
      <c r="D4404" t="s">
        <v>3062</v>
      </c>
      <c r="E4404" t="s">
        <v>561</v>
      </c>
      <c r="F4404" t="s">
        <v>1068</v>
      </c>
      <c r="G4404" t="s">
        <v>1073</v>
      </c>
      <c r="H4404" s="171" t="s">
        <v>3064</v>
      </c>
      <c r="I4404" t="s">
        <v>1074</v>
      </c>
      <c r="J4404">
        <v>8.1999999999999993</v>
      </c>
    </row>
    <row r="4405" spans="1:10" hidden="1">
      <c r="A4405" t="s">
        <v>3060</v>
      </c>
      <c r="B4405" t="s">
        <v>3061</v>
      </c>
      <c r="C4405" t="s">
        <v>235</v>
      </c>
      <c r="D4405" t="s">
        <v>3062</v>
      </c>
      <c r="E4405" t="s">
        <v>561</v>
      </c>
      <c r="F4405" t="s">
        <v>1068</v>
      </c>
      <c r="G4405" t="s">
        <v>1075</v>
      </c>
      <c r="H4405">
        <v>3.47080613075433E-3</v>
      </c>
      <c r="I4405" t="s">
        <v>1077</v>
      </c>
      <c r="J4405">
        <v>8.1999999999999993</v>
      </c>
    </row>
    <row r="4406" spans="1:10" hidden="1">
      <c r="A4406" t="s">
        <v>3060</v>
      </c>
      <c r="B4406" t="s">
        <v>3061</v>
      </c>
      <c r="C4406" t="s">
        <v>235</v>
      </c>
      <c r="D4406" t="s">
        <v>3062</v>
      </c>
      <c r="E4406" t="s">
        <v>561</v>
      </c>
      <c r="F4406" t="s">
        <v>1068</v>
      </c>
      <c r="G4406" t="s">
        <v>1078</v>
      </c>
      <c r="H4406" s="171" t="s">
        <v>3065</v>
      </c>
      <c r="I4406" t="s">
        <v>1079</v>
      </c>
      <c r="J4406">
        <v>8.1999999999999993</v>
      </c>
    </row>
    <row r="4407" spans="1:10" hidden="1">
      <c r="A4407" t="s">
        <v>3060</v>
      </c>
      <c r="B4407" t="s">
        <v>3061</v>
      </c>
      <c r="C4407" t="s">
        <v>235</v>
      </c>
      <c r="D4407" t="s">
        <v>3062</v>
      </c>
      <c r="E4407" t="s">
        <v>561</v>
      </c>
      <c r="F4407" t="s">
        <v>1068</v>
      </c>
      <c r="G4407" t="s">
        <v>1080</v>
      </c>
      <c r="H4407" s="171" t="s">
        <v>3066</v>
      </c>
      <c r="I4407" t="s">
        <v>1082</v>
      </c>
      <c r="J4407">
        <v>8.1999999999999993</v>
      </c>
    </row>
    <row r="4408" spans="1:10" hidden="1">
      <c r="A4408" t="s">
        <v>3060</v>
      </c>
      <c r="B4408" t="s">
        <v>3061</v>
      </c>
      <c r="C4408" t="s">
        <v>235</v>
      </c>
      <c r="D4408" t="s">
        <v>3062</v>
      </c>
      <c r="E4408" t="s">
        <v>561</v>
      </c>
      <c r="F4408" t="s">
        <v>1068</v>
      </c>
      <c r="G4408" t="s">
        <v>1083</v>
      </c>
      <c r="H4408" s="171" t="s">
        <v>3067</v>
      </c>
      <c r="I4408" t="s">
        <v>1084</v>
      </c>
      <c r="J4408">
        <v>8.1999999999999993</v>
      </c>
    </row>
    <row r="4409" spans="1:10" hidden="1">
      <c r="A4409" t="s">
        <v>3060</v>
      </c>
      <c r="B4409" t="s">
        <v>3061</v>
      </c>
      <c r="C4409" t="s">
        <v>235</v>
      </c>
      <c r="D4409" t="s">
        <v>3062</v>
      </c>
      <c r="E4409" t="s">
        <v>561</v>
      </c>
      <c r="F4409" t="s">
        <v>1068</v>
      </c>
      <c r="G4409" t="s">
        <v>1085</v>
      </c>
      <c r="H4409" s="171" t="s">
        <v>3068</v>
      </c>
      <c r="I4409" t="s">
        <v>1086</v>
      </c>
      <c r="J4409">
        <v>8.1999999999999993</v>
      </c>
    </row>
    <row r="4410" spans="1:10" hidden="1">
      <c r="A4410" t="s">
        <v>3060</v>
      </c>
      <c r="B4410" t="s">
        <v>3061</v>
      </c>
      <c r="C4410" t="s">
        <v>235</v>
      </c>
      <c r="D4410" t="s">
        <v>3062</v>
      </c>
      <c r="E4410" t="s">
        <v>561</v>
      </c>
      <c r="F4410" t="s">
        <v>1068</v>
      </c>
      <c r="G4410" t="s">
        <v>1087</v>
      </c>
      <c r="H4410" s="171" t="s">
        <v>3069</v>
      </c>
      <c r="I4410" t="s">
        <v>1088</v>
      </c>
      <c r="J4410">
        <v>8.1999999999999993</v>
      </c>
    </row>
    <row r="4411" spans="1:10" hidden="1">
      <c r="A4411" t="s">
        <v>3060</v>
      </c>
      <c r="B4411" t="s">
        <v>3061</v>
      </c>
      <c r="C4411" t="s">
        <v>235</v>
      </c>
      <c r="D4411" t="s">
        <v>3062</v>
      </c>
      <c r="E4411" t="s">
        <v>561</v>
      </c>
      <c r="F4411" t="s">
        <v>1068</v>
      </c>
      <c r="G4411" t="s">
        <v>1089</v>
      </c>
      <c r="H4411" s="171" t="s">
        <v>3070</v>
      </c>
      <c r="I4411" t="s">
        <v>1090</v>
      </c>
      <c r="J4411">
        <v>8.1999999999999993</v>
      </c>
    </row>
    <row r="4412" spans="1:10" hidden="1">
      <c r="A4412" t="s">
        <v>3071</v>
      </c>
      <c r="B4412" t="s">
        <v>3072</v>
      </c>
      <c r="C4412" t="s">
        <v>235</v>
      </c>
      <c r="D4412" t="s">
        <v>3062</v>
      </c>
      <c r="E4412" t="s">
        <v>555</v>
      </c>
      <c r="F4412" t="s">
        <v>1068</v>
      </c>
      <c r="G4412" t="s">
        <v>1069</v>
      </c>
      <c r="H4412">
        <v>7.19351343433655E-2</v>
      </c>
      <c r="I4412" t="s">
        <v>1070</v>
      </c>
      <c r="J4412">
        <v>7.27</v>
      </c>
    </row>
    <row r="4413" spans="1:10" hidden="1">
      <c r="A4413" t="s">
        <v>3071</v>
      </c>
      <c r="B4413" t="s">
        <v>3072</v>
      </c>
      <c r="C4413" t="s">
        <v>235</v>
      </c>
      <c r="D4413" t="s">
        <v>3062</v>
      </c>
      <c r="E4413" t="s">
        <v>555</v>
      </c>
      <c r="F4413" t="s">
        <v>1068</v>
      </c>
      <c r="G4413" t="s">
        <v>1071</v>
      </c>
      <c r="H4413" s="171" t="s">
        <v>3073</v>
      </c>
      <c r="I4413" t="s">
        <v>1072</v>
      </c>
      <c r="J4413">
        <v>7.27</v>
      </c>
    </row>
    <row r="4414" spans="1:10" hidden="1">
      <c r="A4414" t="s">
        <v>3071</v>
      </c>
      <c r="B4414" t="s">
        <v>3072</v>
      </c>
      <c r="C4414" t="s">
        <v>235</v>
      </c>
      <c r="D4414" t="s">
        <v>3062</v>
      </c>
      <c r="E4414" t="s">
        <v>555</v>
      </c>
      <c r="F4414" t="s">
        <v>1068</v>
      </c>
      <c r="G4414" t="s">
        <v>1073</v>
      </c>
      <c r="H4414" s="171" t="s">
        <v>3074</v>
      </c>
      <c r="I4414" t="s">
        <v>1074</v>
      </c>
      <c r="J4414">
        <v>7.27</v>
      </c>
    </row>
    <row r="4415" spans="1:10" hidden="1">
      <c r="A4415" t="s">
        <v>3071</v>
      </c>
      <c r="B4415" t="s">
        <v>3072</v>
      </c>
      <c r="C4415" t="s">
        <v>235</v>
      </c>
      <c r="D4415" t="s">
        <v>3062</v>
      </c>
      <c r="E4415" t="s">
        <v>555</v>
      </c>
      <c r="F4415" t="s">
        <v>1068</v>
      </c>
      <c r="G4415" t="s">
        <v>1075</v>
      </c>
      <c r="H4415">
        <v>3.47128233762294E-3</v>
      </c>
      <c r="I4415" t="s">
        <v>1077</v>
      </c>
      <c r="J4415">
        <v>7.27</v>
      </c>
    </row>
    <row r="4416" spans="1:10" hidden="1">
      <c r="A4416" t="s">
        <v>3071</v>
      </c>
      <c r="B4416" t="s">
        <v>3072</v>
      </c>
      <c r="C4416" t="s">
        <v>235</v>
      </c>
      <c r="D4416" t="s">
        <v>3062</v>
      </c>
      <c r="E4416" t="s">
        <v>555</v>
      </c>
      <c r="F4416" t="s">
        <v>1068</v>
      </c>
      <c r="G4416" t="s">
        <v>1078</v>
      </c>
      <c r="H4416" s="171" t="s">
        <v>3075</v>
      </c>
      <c r="I4416" t="s">
        <v>1079</v>
      </c>
      <c r="J4416">
        <v>7.27</v>
      </c>
    </row>
    <row r="4417" spans="1:10" hidden="1">
      <c r="A4417" t="s">
        <v>3071</v>
      </c>
      <c r="B4417" t="s">
        <v>3072</v>
      </c>
      <c r="C4417" t="s">
        <v>235</v>
      </c>
      <c r="D4417" t="s">
        <v>3062</v>
      </c>
      <c r="E4417" t="s">
        <v>555</v>
      </c>
      <c r="F4417" t="s">
        <v>1068</v>
      </c>
      <c r="G4417" t="s">
        <v>1080</v>
      </c>
      <c r="H4417" s="171" t="s">
        <v>3076</v>
      </c>
      <c r="I4417" t="s">
        <v>1082</v>
      </c>
      <c r="J4417">
        <v>7.27</v>
      </c>
    </row>
    <row r="4418" spans="1:10" hidden="1">
      <c r="A4418" t="s">
        <v>3071</v>
      </c>
      <c r="B4418" t="s">
        <v>3072</v>
      </c>
      <c r="C4418" t="s">
        <v>235</v>
      </c>
      <c r="D4418" t="s">
        <v>3062</v>
      </c>
      <c r="E4418" t="s">
        <v>555</v>
      </c>
      <c r="F4418" t="s">
        <v>1068</v>
      </c>
      <c r="G4418" t="s">
        <v>1083</v>
      </c>
      <c r="H4418" s="171" t="s">
        <v>3077</v>
      </c>
      <c r="I4418" t="s">
        <v>1084</v>
      </c>
      <c r="J4418">
        <v>7.27</v>
      </c>
    </row>
    <row r="4419" spans="1:10" hidden="1">
      <c r="A4419" t="s">
        <v>3071</v>
      </c>
      <c r="B4419" t="s">
        <v>3072</v>
      </c>
      <c r="C4419" t="s">
        <v>235</v>
      </c>
      <c r="D4419" t="s">
        <v>3062</v>
      </c>
      <c r="E4419" t="s">
        <v>555</v>
      </c>
      <c r="F4419" t="s">
        <v>1068</v>
      </c>
      <c r="G4419" t="s">
        <v>1085</v>
      </c>
      <c r="H4419" s="171" t="s">
        <v>3078</v>
      </c>
      <c r="I4419" t="s">
        <v>1086</v>
      </c>
      <c r="J4419">
        <v>7.27</v>
      </c>
    </row>
    <row r="4420" spans="1:10" hidden="1">
      <c r="A4420" t="s">
        <v>3071</v>
      </c>
      <c r="B4420" t="s">
        <v>3072</v>
      </c>
      <c r="C4420" t="s">
        <v>235</v>
      </c>
      <c r="D4420" t="s">
        <v>3062</v>
      </c>
      <c r="E4420" t="s">
        <v>555</v>
      </c>
      <c r="F4420" t="s">
        <v>1068</v>
      </c>
      <c r="G4420" t="s">
        <v>1087</v>
      </c>
      <c r="H4420" s="171" t="s">
        <v>3079</v>
      </c>
      <c r="I4420" t="s">
        <v>1088</v>
      </c>
      <c r="J4420">
        <v>7.27</v>
      </c>
    </row>
    <row r="4421" spans="1:10" hidden="1">
      <c r="A4421" t="s">
        <v>3071</v>
      </c>
      <c r="B4421" t="s">
        <v>3072</v>
      </c>
      <c r="C4421" t="s">
        <v>235</v>
      </c>
      <c r="D4421" t="s">
        <v>3062</v>
      </c>
      <c r="E4421" t="s">
        <v>555</v>
      </c>
      <c r="F4421" t="s">
        <v>1068</v>
      </c>
      <c r="G4421" t="s">
        <v>1089</v>
      </c>
      <c r="H4421" s="171" t="s">
        <v>3080</v>
      </c>
      <c r="I4421" t="s">
        <v>1090</v>
      </c>
      <c r="J4421">
        <v>7.27</v>
      </c>
    </row>
    <row r="4422" spans="1:10" hidden="1">
      <c r="A4422" t="s">
        <v>3081</v>
      </c>
      <c r="B4422" t="s">
        <v>3082</v>
      </c>
      <c r="C4422" t="s">
        <v>235</v>
      </c>
      <c r="D4422" t="s">
        <v>3062</v>
      </c>
      <c r="E4422" t="s">
        <v>558</v>
      </c>
      <c r="F4422" t="s">
        <v>1068</v>
      </c>
      <c r="G4422" t="s">
        <v>1069</v>
      </c>
      <c r="H4422">
        <v>7.1894379892580906E-2</v>
      </c>
      <c r="I4422" t="s">
        <v>1070</v>
      </c>
      <c r="J4422">
        <v>7.53</v>
      </c>
    </row>
    <row r="4423" spans="1:10" hidden="1">
      <c r="A4423" t="s">
        <v>3081</v>
      </c>
      <c r="B4423" t="s">
        <v>3082</v>
      </c>
      <c r="C4423" t="s">
        <v>235</v>
      </c>
      <c r="D4423" t="s">
        <v>3062</v>
      </c>
      <c r="E4423" t="s">
        <v>558</v>
      </c>
      <c r="F4423" t="s">
        <v>1068</v>
      </c>
      <c r="G4423" t="s">
        <v>1071</v>
      </c>
      <c r="H4423" s="171" t="s">
        <v>3083</v>
      </c>
      <c r="I4423" t="s">
        <v>1072</v>
      </c>
      <c r="J4423">
        <v>7.53</v>
      </c>
    </row>
    <row r="4424" spans="1:10" hidden="1">
      <c r="A4424" t="s">
        <v>3081</v>
      </c>
      <c r="B4424" t="s">
        <v>3082</v>
      </c>
      <c r="C4424" t="s">
        <v>235</v>
      </c>
      <c r="D4424" t="s">
        <v>3062</v>
      </c>
      <c r="E4424" t="s">
        <v>558</v>
      </c>
      <c r="F4424" t="s">
        <v>1068</v>
      </c>
      <c r="G4424" t="s">
        <v>1073</v>
      </c>
      <c r="H4424" s="171" t="s">
        <v>3084</v>
      </c>
      <c r="I4424" t="s">
        <v>1074</v>
      </c>
      <c r="J4424">
        <v>7.53</v>
      </c>
    </row>
    <row r="4425" spans="1:10" hidden="1">
      <c r="A4425" t="s">
        <v>3081</v>
      </c>
      <c r="B4425" t="s">
        <v>3082</v>
      </c>
      <c r="C4425" t="s">
        <v>235</v>
      </c>
      <c r="D4425" t="s">
        <v>3062</v>
      </c>
      <c r="E4425" t="s">
        <v>558</v>
      </c>
      <c r="F4425" t="s">
        <v>1068</v>
      </c>
      <c r="G4425" t="s">
        <v>1075</v>
      </c>
      <c r="H4425">
        <v>3.4707662763430601E-3</v>
      </c>
      <c r="I4425" t="s">
        <v>1077</v>
      </c>
      <c r="J4425">
        <v>7.53</v>
      </c>
    </row>
    <row r="4426" spans="1:10" hidden="1">
      <c r="A4426" t="s">
        <v>3081</v>
      </c>
      <c r="B4426" t="s">
        <v>3082</v>
      </c>
      <c r="C4426" t="s">
        <v>235</v>
      </c>
      <c r="D4426" t="s">
        <v>3062</v>
      </c>
      <c r="E4426" t="s">
        <v>558</v>
      </c>
      <c r="F4426" t="s">
        <v>1068</v>
      </c>
      <c r="G4426" t="s">
        <v>1078</v>
      </c>
      <c r="H4426" s="171" t="s">
        <v>3085</v>
      </c>
      <c r="I4426" t="s">
        <v>1079</v>
      </c>
      <c r="J4426">
        <v>7.53</v>
      </c>
    </row>
    <row r="4427" spans="1:10" hidden="1">
      <c r="A4427" t="s">
        <v>3081</v>
      </c>
      <c r="B4427" t="s">
        <v>3082</v>
      </c>
      <c r="C4427" t="s">
        <v>235</v>
      </c>
      <c r="D4427" t="s">
        <v>3062</v>
      </c>
      <c r="E4427" t="s">
        <v>558</v>
      </c>
      <c r="F4427" t="s">
        <v>1068</v>
      </c>
      <c r="G4427" t="s">
        <v>1080</v>
      </c>
      <c r="H4427" s="171" t="s">
        <v>3086</v>
      </c>
      <c r="I4427" t="s">
        <v>1082</v>
      </c>
      <c r="J4427">
        <v>7.53</v>
      </c>
    </row>
    <row r="4428" spans="1:10" hidden="1">
      <c r="A4428" t="s">
        <v>3081</v>
      </c>
      <c r="B4428" t="s">
        <v>3082</v>
      </c>
      <c r="C4428" t="s">
        <v>235</v>
      </c>
      <c r="D4428" t="s">
        <v>3062</v>
      </c>
      <c r="E4428" t="s">
        <v>558</v>
      </c>
      <c r="F4428" t="s">
        <v>1068</v>
      </c>
      <c r="G4428" t="s">
        <v>1083</v>
      </c>
      <c r="H4428" s="171" t="s">
        <v>3087</v>
      </c>
      <c r="I4428" t="s">
        <v>1084</v>
      </c>
      <c r="J4428">
        <v>7.53</v>
      </c>
    </row>
    <row r="4429" spans="1:10" hidden="1">
      <c r="A4429" t="s">
        <v>3081</v>
      </c>
      <c r="B4429" t="s">
        <v>3082</v>
      </c>
      <c r="C4429" t="s">
        <v>235</v>
      </c>
      <c r="D4429" t="s">
        <v>3062</v>
      </c>
      <c r="E4429" t="s">
        <v>558</v>
      </c>
      <c r="F4429" t="s">
        <v>1068</v>
      </c>
      <c r="G4429" t="s">
        <v>1085</v>
      </c>
      <c r="H4429" s="171" t="s">
        <v>3088</v>
      </c>
      <c r="I4429" t="s">
        <v>1086</v>
      </c>
      <c r="J4429">
        <v>7.53</v>
      </c>
    </row>
    <row r="4430" spans="1:10" hidden="1">
      <c r="A4430" t="s">
        <v>3081</v>
      </c>
      <c r="B4430" t="s">
        <v>3082</v>
      </c>
      <c r="C4430" t="s">
        <v>235</v>
      </c>
      <c r="D4430" t="s">
        <v>3062</v>
      </c>
      <c r="E4430" t="s">
        <v>558</v>
      </c>
      <c r="F4430" t="s">
        <v>1068</v>
      </c>
      <c r="G4430" t="s">
        <v>1087</v>
      </c>
      <c r="H4430" s="171" t="s">
        <v>3089</v>
      </c>
      <c r="I4430" t="s">
        <v>1088</v>
      </c>
      <c r="J4430">
        <v>7.53</v>
      </c>
    </row>
    <row r="4431" spans="1:10" hidden="1">
      <c r="A4431" t="s">
        <v>3081</v>
      </c>
      <c r="B4431" t="s">
        <v>3082</v>
      </c>
      <c r="C4431" t="s">
        <v>235</v>
      </c>
      <c r="D4431" t="s">
        <v>3062</v>
      </c>
      <c r="E4431" t="s">
        <v>558</v>
      </c>
      <c r="F4431" t="s">
        <v>1068</v>
      </c>
      <c r="G4431" t="s">
        <v>1089</v>
      </c>
      <c r="H4431" s="171" t="s">
        <v>3090</v>
      </c>
      <c r="I4431" t="s">
        <v>1090</v>
      </c>
      <c r="J4431">
        <v>7.53</v>
      </c>
    </row>
    <row r="4432" spans="1:10" hidden="1">
      <c r="A4432" t="s">
        <v>3091</v>
      </c>
      <c r="B4432" t="s">
        <v>3092</v>
      </c>
      <c r="C4432" t="s">
        <v>235</v>
      </c>
      <c r="D4432" t="s">
        <v>3062</v>
      </c>
      <c r="E4432" t="s">
        <v>553</v>
      </c>
      <c r="F4432" t="s">
        <v>1068</v>
      </c>
      <c r="G4432" t="s">
        <v>1069</v>
      </c>
      <c r="H4432">
        <v>7.1918297977657003E-2</v>
      </c>
      <c r="I4432" t="s">
        <v>1070</v>
      </c>
      <c r="J4432">
        <v>7.25</v>
      </c>
    </row>
    <row r="4433" spans="1:10" hidden="1">
      <c r="A4433" t="s">
        <v>3091</v>
      </c>
      <c r="B4433" t="s">
        <v>3092</v>
      </c>
      <c r="C4433" t="s">
        <v>235</v>
      </c>
      <c r="D4433" t="s">
        <v>3062</v>
      </c>
      <c r="E4433" t="s">
        <v>553</v>
      </c>
      <c r="F4433" t="s">
        <v>1068</v>
      </c>
      <c r="G4433" t="s">
        <v>1071</v>
      </c>
      <c r="H4433" s="171" t="s">
        <v>3093</v>
      </c>
      <c r="I4433" t="s">
        <v>1072</v>
      </c>
      <c r="J4433">
        <v>7.25</v>
      </c>
    </row>
    <row r="4434" spans="1:10" hidden="1">
      <c r="A4434" t="s">
        <v>3091</v>
      </c>
      <c r="B4434" t="s">
        <v>3092</v>
      </c>
      <c r="C4434" t="s">
        <v>235</v>
      </c>
      <c r="D4434" t="s">
        <v>3062</v>
      </c>
      <c r="E4434" t="s">
        <v>553</v>
      </c>
      <c r="F4434" t="s">
        <v>1068</v>
      </c>
      <c r="G4434" t="s">
        <v>1073</v>
      </c>
      <c r="H4434" s="171" t="s">
        <v>3094</v>
      </c>
      <c r="I4434" t="s">
        <v>1074</v>
      </c>
      <c r="J4434">
        <v>7.25</v>
      </c>
    </row>
    <row r="4435" spans="1:10" hidden="1">
      <c r="A4435" t="s">
        <v>3091</v>
      </c>
      <c r="B4435" t="s">
        <v>3092</v>
      </c>
      <c r="C4435" t="s">
        <v>235</v>
      </c>
      <c r="D4435" t="s">
        <v>3062</v>
      </c>
      <c r="E4435" t="s">
        <v>553</v>
      </c>
      <c r="F4435" t="s">
        <v>1068</v>
      </c>
      <c r="G4435" t="s">
        <v>1075</v>
      </c>
      <c r="H4435">
        <v>3.4707501221171201E-3</v>
      </c>
      <c r="I4435" t="s">
        <v>1077</v>
      </c>
      <c r="J4435">
        <v>7.25</v>
      </c>
    </row>
    <row r="4436" spans="1:10" hidden="1">
      <c r="A4436" t="s">
        <v>3091</v>
      </c>
      <c r="B4436" t="s">
        <v>3092</v>
      </c>
      <c r="C4436" t="s">
        <v>235</v>
      </c>
      <c r="D4436" t="s">
        <v>3062</v>
      </c>
      <c r="E4436" t="s">
        <v>553</v>
      </c>
      <c r="F4436" t="s">
        <v>1068</v>
      </c>
      <c r="G4436" t="s">
        <v>1078</v>
      </c>
      <c r="H4436" s="171" t="s">
        <v>3095</v>
      </c>
      <c r="I4436" t="s">
        <v>1079</v>
      </c>
      <c r="J4436">
        <v>7.25</v>
      </c>
    </row>
    <row r="4437" spans="1:10" hidden="1">
      <c r="A4437" t="s">
        <v>3091</v>
      </c>
      <c r="B4437" t="s">
        <v>3092</v>
      </c>
      <c r="C4437" t="s">
        <v>235</v>
      </c>
      <c r="D4437" t="s">
        <v>3062</v>
      </c>
      <c r="E4437" t="s">
        <v>553</v>
      </c>
      <c r="F4437" t="s">
        <v>1068</v>
      </c>
      <c r="G4437" t="s">
        <v>1080</v>
      </c>
      <c r="H4437" s="171" t="s">
        <v>3096</v>
      </c>
      <c r="I4437" t="s">
        <v>1082</v>
      </c>
      <c r="J4437">
        <v>7.25</v>
      </c>
    </row>
    <row r="4438" spans="1:10" hidden="1">
      <c r="A4438" t="s">
        <v>3091</v>
      </c>
      <c r="B4438" t="s">
        <v>3092</v>
      </c>
      <c r="C4438" t="s">
        <v>235</v>
      </c>
      <c r="D4438" t="s">
        <v>3062</v>
      </c>
      <c r="E4438" t="s">
        <v>553</v>
      </c>
      <c r="F4438" t="s">
        <v>1068</v>
      </c>
      <c r="G4438" t="s">
        <v>1083</v>
      </c>
      <c r="H4438" s="171" t="s">
        <v>3097</v>
      </c>
      <c r="I4438" t="s">
        <v>1084</v>
      </c>
      <c r="J4438">
        <v>7.25</v>
      </c>
    </row>
    <row r="4439" spans="1:10" hidden="1">
      <c r="A4439" t="s">
        <v>3091</v>
      </c>
      <c r="B4439" t="s">
        <v>3092</v>
      </c>
      <c r="C4439" t="s">
        <v>235</v>
      </c>
      <c r="D4439" t="s">
        <v>3062</v>
      </c>
      <c r="E4439" t="s">
        <v>553</v>
      </c>
      <c r="F4439" t="s">
        <v>1068</v>
      </c>
      <c r="G4439" t="s">
        <v>1085</v>
      </c>
      <c r="H4439" s="171" t="s">
        <v>3098</v>
      </c>
      <c r="I4439" t="s">
        <v>1086</v>
      </c>
      <c r="J4439">
        <v>7.25</v>
      </c>
    </row>
    <row r="4440" spans="1:10" hidden="1">
      <c r="A4440" t="s">
        <v>3091</v>
      </c>
      <c r="B4440" t="s">
        <v>3092</v>
      </c>
      <c r="C4440" t="s">
        <v>235</v>
      </c>
      <c r="D4440" t="s">
        <v>3062</v>
      </c>
      <c r="E4440" t="s">
        <v>553</v>
      </c>
      <c r="F4440" t="s">
        <v>1068</v>
      </c>
      <c r="G4440" t="s">
        <v>1087</v>
      </c>
      <c r="H4440" s="171" t="s">
        <v>3099</v>
      </c>
      <c r="I4440" t="s">
        <v>1088</v>
      </c>
      <c r="J4440">
        <v>7.25</v>
      </c>
    </row>
    <row r="4441" spans="1:10" hidden="1">
      <c r="A4441" t="s">
        <v>3091</v>
      </c>
      <c r="B4441" t="s">
        <v>3092</v>
      </c>
      <c r="C4441" t="s">
        <v>235</v>
      </c>
      <c r="D4441" t="s">
        <v>3062</v>
      </c>
      <c r="E4441" t="s">
        <v>553</v>
      </c>
      <c r="F4441" t="s">
        <v>1068</v>
      </c>
      <c r="G4441" t="s">
        <v>1089</v>
      </c>
      <c r="H4441" s="171" t="s">
        <v>3100</v>
      </c>
      <c r="I4441" t="s">
        <v>1090</v>
      </c>
      <c r="J4441">
        <v>7.25</v>
      </c>
    </row>
    <row r="4442" spans="1:10" hidden="1">
      <c r="A4442" t="s">
        <v>3101</v>
      </c>
      <c r="B4442" t="s">
        <v>3102</v>
      </c>
      <c r="C4442" t="s">
        <v>235</v>
      </c>
      <c r="D4442" t="s">
        <v>3062</v>
      </c>
      <c r="E4442" t="s">
        <v>556</v>
      </c>
      <c r="F4442" t="s">
        <v>1068</v>
      </c>
      <c r="G4442" t="s">
        <v>1069</v>
      </c>
      <c r="H4442">
        <v>7.1933551855596606E-2</v>
      </c>
      <c r="I4442" t="s">
        <v>1070</v>
      </c>
      <c r="J4442">
        <v>7.21</v>
      </c>
    </row>
    <row r="4443" spans="1:10" hidden="1">
      <c r="A4443" t="s">
        <v>3101</v>
      </c>
      <c r="B4443" t="s">
        <v>3102</v>
      </c>
      <c r="C4443" t="s">
        <v>235</v>
      </c>
      <c r="D4443" t="s">
        <v>3062</v>
      </c>
      <c r="E4443" t="s">
        <v>556</v>
      </c>
      <c r="F4443" t="s">
        <v>1068</v>
      </c>
      <c r="G4443" t="s">
        <v>1071</v>
      </c>
      <c r="H4443" s="171" t="s">
        <v>3103</v>
      </c>
      <c r="I4443" t="s">
        <v>1072</v>
      </c>
      <c r="J4443">
        <v>7.21</v>
      </c>
    </row>
    <row r="4444" spans="1:10" hidden="1">
      <c r="A4444" t="s">
        <v>3101</v>
      </c>
      <c r="B4444" t="s">
        <v>3102</v>
      </c>
      <c r="C4444" t="s">
        <v>235</v>
      </c>
      <c r="D4444" t="s">
        <v>3062</v>
      </c>
      <c r="E4444" t="s">
        <v>556</v>
      </c>
      <c r="F4444" t="s">
        <v>1068</v>
      </c>
      <c r="G4444" t="s">
        <v>1073</v>
      </c>
      <c r="H4444" s="171" t="s">
        <v>3104</v>
      </c>
      <c r="I4444" t="s">
        <v>1074</v>
      </c>
      <c r="J4444">
        <v>7.21</v>
      </c>
    </row>
    <row r="4445" spans="1:10" hidden="1">
      <c r="A4445" t="s">
        <v>3101</v>
      </c>
      <c r="B4445" t="s">
        <v>3102</v>
      </c>
      <c r="C4445" t="s">
        <v>235</v>
      </c>
      <c r="D4445" t="s">
        <v>3062</v>
      </c>
      <c r="E4445" t="s">
        <v>556</v>
      </c>
      <c r="F4445" t="s">
        <v>1068</v>
      </c>
      <c r="G4445" t="s">
        <v>1075</v>
      </c>
      <c r="H4445">
        <v>3.4712323134941602E-3</v>
      </c>
      <c r="I4445" t="s">
        <v>1077</v>
      </c>
      <c r="J4445">
        <v>7.21</v>
      </c>
    </row>
    <row r="4446" spans="1:10" hidden="1">
      <c r="A4446" t="s">
        <v>3101</v>
      </c>
      <c r="B4446" t="s">
        <v>3102</v>
      </c>
      <c r="C4446" t="s">
        <v>235</v>
      </c>
      <c r="D4446" t="s">
        <v>3062</v>
      </c>
      <c r="E4446" t="s">
        <v>556</v>
      </c>
      <c r="F4446" t="s">
        <v>1068</v>
      </c>
      <c r="G4446" t="s">
        <v>1078</v>
      </c>
      <c r="H4446">
        <v>2.6040728044352601E-2</v>
      </c>
      <c r="I4446" t="s">
        <v>1079</v>
      </c>
      <c r="J4446">
        <v>7.21</v>
      </c>
    </row>
    <row r="4447" spans="1:10" hidden="1">
      <c r="A4447" t="s">
        <v>3101</v>
      </c>
      <c r="B4447" t="s">
        <v>3102</v>
      </c>
      <c r="C4447" t="s">
        <v>235</v>
      </c>
      <c r="D4447" t="s">
        <v>3062</v>
      </c>
      <c r="E4447" t="s">
        <v>556</v>
      </c>
      <c r="F4447" t="s">
        <v>1068</v>
      </c>
      <c r="G4447" t="s">
        <v>1080</v>
      </c>
      <c r="H4447" s="171" t="s">
        <v>3105</v>
      </c>
      <c r="I4447" t="s">
        <v>1082</v>
      </c>
      <c r="J4447">
        <v>7.21</v>
      </c>
    </row>
    <row r="4448" spans="1:10" hidden="1">
      <c r="A4448" t="s">
        <v>3101</v>
      </c>
      <c r="B4448" t="s">
        <v>3102</v>
      </c>
      <c r="C4448" t="s">
        <v>235</v>
      </c>
      <c r="D4448" t="s">
        <v>3062</v>
      </c>
      <c r="E4448" t="s">
        <v>556</v>
      </c>
      <c r="F4448" t="s">
        <v>1068</v>
      </c>
      <c r="G4448" t="s">
        <v>1083</v>
      </c>
      <c r="H4448" s="171" t="s">
        <v>3106</v>
      </c>
      <c r="I4448" t="s">
        <v>1084</v>
      </c>
      <c r="J4448">
        <v>7.21</v>
      </c>
    </row>
    <row r="4449" spans="1:10" hidden="1">
      <c r="A4449" t="s">
        <v>3101</v>
      </c>
      <c r="B4449" t="s">
        <v>3102</v>
      </c>
      <c r="C4449" t="s">
        <v>235</v>
      </c>
      <c r="D4449" t="s">
        <v>3062</v>
      </c>
      <c r="E4449" t="s">
        <v>556</v>
      </c>
      <c r="F4449" t="s">
        <v>1068</v>
      </c>
      <c r="G4449" t="s">
        <v>1085</v>
      </c>
      <c r="H4449" s="171" t="s">
        <v>3107</v>
      </c>
      <c r="I4449" t="s">
        <v>1086</v>
      </c>
      <c r="J4449">
        <v>7.21</v>
      </c>
    </row>
    <row r="4450" spans="1:10" hidden="1">
      <c r="A4450" t="s">
        <v>3101</v>
      </c>
      <c r="B4450" t="s">
        <v>3102</v>
      </c>
      <c r="C4450" t="s">
        <v>235</v>
      </c>
      <c r="D4450" t="s">
        <v>3062</v>
      </c>
      <c r="E4450" t="s">
        <v>556</v>
      </c>
      <c r="F4450" t="s">
        <v>1068</v>
      </c>
      <c r="G4450" t="s">
        <v>1087</v>
      </c>
      <c r="H4450" s="171" t="s">
        <v>3108</v>
      </c>
      <c r="I4450" t="s">
        <v>1088</v>
      </c>
      <c r="J4450">
        <v>7.21</v>
      </c>
    </row>
    <row r="4451" spans="1:10" hidden="1">
      <c r="A4451" t="s">
        <v>3101</v>
      </c>
      <c r="B4451" t="s">
        <v>3102</v>
      </c>
      <c r="C4451" t="s">
        <v>235</v>
      </c>
      <c r="D4451" t="s">
        <v>3062</v>
      </c>
      <c r="E4451" t="s">
        <v>556</v>
      </c>
      <c r="F4451" t="s">
        <v>1068</v>
      </c>
      <c r="G4451" t="s">
        <v>1089</v>
      </c>
      <c r="H4451" s="171" t="s">
        <v>3109</v>
      </c>
      <c r="I4451" t="s">
        <v>1090</v>
      </c>
      <c r="J4451">
        <v>7.21</v>
      </c>
    </row>
    <row r="4452" spans="1:10" hidden="1">
      <c r="A4452" t="s">
        <v>3110</v>
      </c>
      <c r="B4452" t="s">
        <v>3111</v>
      </c>
      <c r="C4452" t="s">
        <v>235</v>
      </c>
      <c r="D4452" t="s">
        <v>3062</v>
      </c>
      <c r="E4452" t="s">
        <v>557</v>
      </c>
      <c r="F4452" t="s">
        <v>1068</v>
      </c>
      <c r="G4452" t="s">
        <v>1069</v>
      </c>
      <c r="H4452">
        <v>7.1899587437138202E-2</v>
      </c>
      <c r="I4452" t="s">
        <v>1070</v>
      </c>
      <c r="J4452">
        <v>7.12</v>
      </c>
    </row>
    <row r="4453" spans="1:10" hidden="1">
      <c r="A4453" t="s">
        <v>3110</v>
      </c>
      <c r="B4453" t="s">
        <v>3111</v>
      </c>
      <c r="C4453" t="s">
        <v>235</v>
      </c>
      <c r="D4453" t="s">
        <v>3062</v>
      </c>
      <c r="E4453" t="s">
        <v>557</v>
      </c>
      <c r="F4453" t="s">
        <v>1068</v>
      </c>
      <c r="G4453" t="s">
        <v>1071</v>
      </c>
      <c r="H4453" s="171" t="s">
        <v>3112</v>
      </c>
      <c r="I4453" t="s">
        <v>1072</v>
      </c>
      <c r="J4453">
        <v>7.12</v>
      </c>
    </row>
    <row r="4454" spans="1:10" hidden="1">
      <c r="A4454" t="s">
        <v>3110</v>
      </c>
      <c r="B4454" t="s">
        <v>3111</v>
      </c>
      <c r="C4454" t="s">
        <v>235</v>
      </c>
      <c r="D4454" t="s">
        <v>3062</v>
      </c>
      <c r="E4454" t="s">
        <v>557</v>
      </c>
      <c r="F4454" t="s">
        <v>1068</v>
      </c>
      <c r="G4454" t="s">
        <v>1073</v>
      </c>
      <c r="H4454" s="171" t="s">
        <v>3113</v>
      </c>
      <c r="I4454" t="s">
        <v>1074</v>
      </c>
      <c r="J4454">
        <v>7.12</v>
      </c>
    </row>
    <row r="4455" spans="1:10" hidden="1">
      <c r="A4455" t="s">
        <v>3110</v>
      </c>
      <c r="B4455" t="s">
        <v>3111</v>
      </c>
      <c r="C4455" t="s">
        <v>235</v>
      </c>
      <c r="D4455" t="s">
        <v>3062</v>
      </c>
      <c r="E4455" t="s">
        <v>557</v>
      </c>
      <c r="F4455" t="s">
        <v>1068</v>
      </c>
      <c r="G4455" t="s">
        <v>1075</v>
      </c>
      <c r="H4455">
        <v>3.4709308923895799E-3</v>
      </c>
      <c r="I4455" t="s">
        <v>1077</v>
      </c>
      <c r="J4455">
        <v>7.12</v>
      </c>
    </row>
    <row r="4456" spans="1:10" hidden="1">
      <c r="A4456" t="s">
        <v>3110</v>
      </c>
      <c r="B4456" t="s">
        <v>3111</v>
      </c>
      <c r="C4456" t="s">
        <v>235</v>
      </c>
      <c r="D4456" t="s">
        <v>3062</v>
      </c>
      <c r="E4456" t="s">
        <v>557</v>
      </c>
      <c r="F4456" t="s">
        <v>1068</v>
      </c>
      <c r="G4456" t="s">
        <v>1078</v>
      </c>
      <c r="H4456" s="171" t="s">
        <v>3114</v>
      </c>
      <c r="I4456" t="s">
        <v>1079</v>
      </c>
      <c r="J4456">
        <v>7.12</v>
      </c>
    </row>
    <row r="4457" spans="1:10" hidden="1">
      <c r="A4457" t="s">
        <v>3110</v>
      </c>
      <c r="B4457" t="s">
        <v>3111</v>
      </c>
      <c r="C4457" t="s">
        <v>235</v>
      </c>
      <c r="D4457" t="s">
        <v>3062</v>
      </c>
      <c r="E4457" t="s">
        <v>557</v>
      </c>
      <c r="F4457" t="s">
        <v>1068</v>
      </c>
      <c r="G4457" t="s">
        <v>1080</v>
      </c>
      <c r="H4457" s="171" t="s">
        <v>3115</v>
      </c>
      <c r="I4457" t="s">
        <v>1082</v>
      </c>
      <c r="J4457">
        <v>7.12</v>
      </c>
    </row>
    <row r="4458" spans="1:10" hidden="1">
      <c r="A4458" t="s">
        <v>3110</v>
      </c>
      <c r="B4458" t="s">
        <v>3111</v>
      </c>
      <c r="C4458" t="s">
        <v>235</v>
      </c>
      <c r="D4458" t="s">
        <v>3062</v>
      </c>
      <c r="E4458" t="s">
        <v>557</v>
      </c>
      <c r="F4458" t="s">
        <v>1068</v>
      </c>
      <c r="G4458" t="s">
        <v>1083</v>
      </c>
      <c r="H4458" s="171" t="s">
        <v>3116</v>
      </c>
      <c r="I4458" t="s">
        <v>1084</v>
      </c>
      <c r="J4458">
        <v>7.12</v>
      </c>
    </row>
    <row r="4459" spans="1:10" hidden="1">
      <c r="A4459" t="s">
        <v>3110</v>
      </c>
      <c r="B4459" t="s">
        <v>3111</v>
      </c>
      <c r="C4459" t="s">
        <v>235</v>
      </c>
      <c r="D4459" t="s">
        <v>3062</v>
      </c>
      <c r="E4459" t="s">
        <v>557</v>
      </c>
      <c r="F4459" t="s">
        <v>1068</v>
      </c>
      <c r="G4459" t="s">
        <v>1085</v>
      </c>
      <c r="H4459" s="171" t="s">
        <v>3117</v>
      </c>
      <c r="I4459" t="s">
        <v>1086</v>
      </c>
      <c r="J4459">
        <v>7.12</v>
      </c>
    </row>
    <row r="4460" spans="1:10" hidden="1">
      <c r="A4460" t="s">
        <v>3110</v>
      </c>
      <c r="B4460" t="s">
        <v>3111</v>
      </c>
      <c r="C4460" t="s">
        <v>235</v>
      </c>
      <c r="D4460" t="s">
        <v>3062</v>
      </c>
      <c r="E4460" t="s">
        <v>557</v>
      </c>
      <c r="F4460" t="s">
        <v>1068</v>
      </c>
      <c r="G4460" t="s">
        <v>1087</v>
      </c>
      <c r="H4460" s="171" t="s">
        <v>3118</v>
      </c>
      <c r="I4460" t="s">
        <v>1088</v>
      </c>
      <c r="J4460">
        <v>7.12</v>
      </c>
    </row>
    <row r="4461" spans="1:10" hidden="1">
      <c r="A4461" t="s">
        <v>3110</v>
      </c>
      <c r="B4461" t="s">
        <v>3111</v>
      </c>
      <c r="C4461" t="s">
        <v>235</v>
      </c>
      <c r="D4461" t="s">
        <v>3062</v>
      </c>
      <c r="E4461" t="s">
        <v>557</v>
      </c>
      <c r="F4461" t="s">
        <v>1068</v>
      </c>
      <c r="G4461" t="s">
        <v>1089</v>
      </c>
      <c r="H4461" s="171" t="s">
        <v>3119</v>
      </c>
      <c r="I4461" t="s">
        <v>1090</v>
      </c>
      <c r="J4461">
        <v>7.12</v>
      </c>
    </row>
    <row r="4462" spans="1:10" hidden="1">
      <c r="A4462" t="s">
        <v>3120</v>
      </c>
      <c r="B4462" t="s">
        <v>3121</v>
      </c>
      <c r="C4462" t="s">
        <v>235</v>
      </c>
      <c r="D4462" t="s">
        <v>3062</v>
      </c>
      <c r="E4462" t="s">
        <v>559</v>
      </c>
      <c r="F4462" t="s">
        <v>1068</v>
      </c>
      <c r="G4462" t="s">
        <v>1069</v>
      </c>
      <c r="H4462">
        <v>7.1929017761066902E-2</v>
      </c>
      <c r="I4462" t="s">
        <v>1070</v>
      </c>
      <c r="J4462">
        <v>7.7</v>
      </c>
    </row>
    <row r="4463" spans="1:10" hidden="1">
      <c r="A4463" t="s">
        <v>3120</v>
      </c>
      <c r="B4463" t="s">
        <v>3121</v>
      </c>
      <c r="C4463" t="s">
        <v>235</v>
      </c>
      <c r="D4463" t="s">
        <v>3062</v>
      </c>
      <c r="E4463" t="s">
        <v>559</v>
      </c>
      <c r="F4463" t="s">
        <v>1068</v>
      </c>
      <c r="G4463" t="s">
        <v>1071</v>
      </c>
      <c r="H4463" s="171" t="s">
        <v>3122</v>
      </c>
      <c r="I4463" t="s">
        <v>1072</v>
      </c>
      <c r="J4463">
        <v>7.7</v>
      </c>
    </row>
    <row r="4464" spans="1:10" hidden="1">
      <c r="A4464" t="s">
        <v>3120</v>
      </c>
      <c r="B4464" t="s">
        <v>3121</v>
      </c>
      <c r="C4464" t="s">
        <v>235</v>
      </c>
      <c r="D4464" t="s">
        <v>3062</v>
      </c>
      <c r="E4464" t="s">
        <v>559</v>
      </c>
      <c r="F4464" t="s">
        <v>1068</v>
      </c>
      <c r="G4464" t="s">
        <v>1073</v>
      </c>
      <c r="H4464" s="171" t="s">
        <v>3123</v>
      </c>
      <c r="I4464" t="s">
        <v>1074</v>
      </c>
      <c r="J4464">
        <v>7.7</v>
      </c>
    </row>
    <row r="4465" spans="1:10" hidden="1">
      <c r="A4465" t="s">
        <v>3120</v>
      </c>
      <c r="B4465" t="s">
        <v>3121</v>
      </c>
      <c r="C4465" t="s">
        <v>235</v>
      </c>
      <c r="D4465" t="s">
        <v>3062</v>
      </c>
      <c r="E4465" t="s">
        <v>559</v>
      </c>
      <c r="F4465" t="s">
        <v>1068</v>
      </c>
      <c r="G4465" t="s">
        <v>1075</v>
      </c>
      <c r="H4465">
        <v>3.4710889859223201E-3</v>
      </c>
      <c r="I4465" t="s">
        <v>1077</v>
      </c>
      <c r="J4465">
        <v>7.7</v>
      </c>
    </row>
    <row r="4466" spans="1:10" hidden="1">
      <c r="A4466" t="s">
        <v>3120</v>
      </c>
      <c r="B4466" t="s">
        <v>3121</v>
      </c>
      <c r="C4466" t="s">
        <v>235</v>
      </c>
      <c r="D4466" t="s">
        <v>3062</v>
      </c>
      <c r="E4466" t="s">
        <v>559</v>
      </c>
      <c r="F4466" t="s">
        <v>1068</v>
      </c>
      <c r="G4466" t="s">
        <v>1078</v>
      </c>
      <c r="H4466">
        <v>2.6034530007375899E-2</v>
      </c>
      <c r="I4466" t="s">
        <v>1079</v>
      </c>
      <c r="J4466">
        <v>7.7</v>
      </c>
    </row>
    <row r="4467" spans="1:10" hidden="1">
      <c r="A4467" t="s">
        <v>3120</v>
      </c>
      <c r="B4467" t="s">
        <v>3121</v>
      </c>
      <c r="C4467" t="s">
        <v>235</v>
      </c>
      <c r="D4467" t="s">
        <v>3062</v>
      </c>
      <c r="E4467" t="s">
        <v>559</v>
      </c>
      <c r="F4467" t="s">
        <v>1068</v>
      </c>
      <c r="G4467" t="s">
        <v>1080</v>
      </c>
      <c r="H4467" s="171" t="s">
        <v>3124</v>
      </c>
      <c r="I4467" t="s">
        <v>1082</v>
      </c>
      <c r="J4467">
        <v>7.7</v>
      </c>
    </row>
    <row r="4468" spans="1:10" hidden="1">
      <c r="A4468" t="s">
        <v>3120</v>
      </c>
      <c r="B4468" t="s">
        <v>3121</v>
      </c>
      <c r="C4468" t="s">
        <v>235</v>
      </c>
      <c r="D4468" t="s">
        <v>3062</v>
      </c>
      <c r="E4468" t="s">
        <v>559</v>
      </c>
      <c r="F4468" t="s">
        <v>1068</v>
      </c>
      <c r="G4468" t="s">
        <v>1083</v>
      </c>
      <c r="H4468" s="171" t="s">
        <v>3125</v>
      </c>
      <c r="I4468" t="s">
        <v>1084</v>
      </c>
      <c r="J4468">
        <v>7.7</v>
      </c>
    </row>
    <row r="4469" spans="1:10" hidden="1">
      <c r="A4469" t="s">
        <v>3120</v>
      </c>
      <c r="B4469" t="s">
        <v>3121</v>
      </c>
      <c r="C4469" t="s">
        <v>235</v>
      </c>
      <c r="D4469" t="s">
        <v>3062</v>
      </c>
      <c r="E4469" t="s">
        <v>559</v>
      </c>
      <c r="F4469" t="s">
        <v>1068</v>
      </c>
      <c r="G4469" t="s">
        <v>1085</v>
      </c>
      <c r="H4469" s="171" t="s">
        <v>3126</v>
      </c>
      <c r="I4469" t="s">
        <v>1086</v>
      </c>
      <c r="J4469">
        <v>7.7</v>
      </c>
    </row>
    <row r="4470" spans="1:10" hidden="1">
      <c r="A4470" t="s">
        <v>3120</v>
      </c>
      <c r="B4470" t="s">
        <v>3121</v>
      </c>
      <c r="C4470" t="s">
        <v>235</v>
      </c>
      <c r="D4470" t="s">
        <v>3062</v>
      </c>
      <c r="E4470" t="s">
        <v>559</v>
      </c>
      <c r="F4470" t="s">
        <v>1068</v>
      </c>
      <c r="G4470" t="s">
        <v>1087</v>
      </c>
      <c r="H4470" s="171" t="s">
        <v>3127</v>
      </c>
      <c r="I4470" t="s">
        <v>1088</v>
      </c>
      <c r="J4470">
        <v>7.7</v>
      </c>
    </row>
    <row r="4471" spans="1:10" hidden="1">
      <c r="A4471" t="s">
        <v>3120</v>
      </c>
      <c r="B4471" t="s">
        <v>3121</v>
      </c>
      <c r="C4471" t="s">
        <v>235</v>
      </c>
      <c r="D4471" t="s">
        <v>3062</v>
      </c>
      <c r="E4471" t="s">
        <v>559</v>
      </c>
      <c r="F4471" t="s">
        <v>1068</v>
      </c>
      <c r="G4471" t="s">
        <v>1089</v>
      </c>
      <c r="H4471" s="171" t="s">
        <v>3128</v>
      </c>
      <c r="I4471" t="s">
        <v>1090</v>
      </c>
      <c r="J4471">
        <v>7.7</v>
      </c>
    </row>
    <row r="4472" spans="1:10" hidden="1">
      <c r="A4472" t="s">
        <v>3129</v>
      </c>
      <c r="B4472" t="s">
        <v>3130</v>
      </c>
      <c r="C4472" t="s">
        <v>235</v>
      </c>
      <c r="D4472" t="s">
        <v>3062</v>
      </c>
      <c r="E4472" t="s">
        <v>560</v>
      </c>
      <c r="F4472" t="s">
        <v>1068</v>
      </c>
      <c r="G4472" t="s">
        <v>1069</v>
      </c>
      <c r="H4472">
        <v>7.1902364794235396E-2</v>
      </c>
      <c r="I4472" t="s">
        <v>1070</v>
      </c>
      <c r="J4472">
        <v>6.68</v>
      </c>
    </row>
    <row r="4473" spans="1:10" hidden="1">
      <c r="A4473" t="s">
        <v>3129</v>
      </c>
      <c r="B4473" t="s">
        <v>3130</v>
      </c>
      <c r="C4473" t="s">
        <v>235</v>
      </c>
      <c r="D4473" t="s">
        <v>3062</v>
      </c>
      <c r="E4473" t="s">
        <v>560</v>
      </c>
      <c r="F4473" t="s">
        <v>1068</v>
      </c>
      <c r="G4473" t="s">
        <v>1071</v>
      </c>
      <c r="H4473" s="171" t="s">
        <v>3131</v>
      </c>
      <c r="I4473" t="s">
        <v>1072</v>
      </c>
      <c r="J4473">
        <v>6.68</v>
      </c>
    </row>
    <row r="4474" spans="1:10" hidden="1">
      <c r="A4474" t="s">
        <v>3129</v>
      </c>
      <c r="B4474" t="s">
        <v>3130</v>
      </c>
      <c r="C4474" t="s">
        <v>235</v>
      </c>
      <c r="D4474" t="s">
        <v>3062</v>
      </c>
      <c r="E4474" t="s">
        <v>560</v>
      </c>
      <c r="F4474" t="s">
        <v>1068</v>
      </c>
      <c r="G4474" t="s">
        <v>1073</v>
      </c>
      <c r="H4474" s="171" t="s">
        <v>3132</v>
      </c>
      <c r="I4474" t="s">
        <v>1074</v>
      </c>
      <c r="J4474">
        <v>6.68</v>
      </c>
    </row>
    <row r="4475" spans="1:10" hidden="1">
      <c r="A4475" t="s">
        <v>3129</v>
      </c>
      <c r="B4475" t="s">
        <v>3130</v>
      </c>
      <c r="C4475" t="s">
        <v>235</v>
      </c>
      <c r="D4475" t="s">
        <v>3062</v>
      </c>
      <c r="E4475" t="s">
        <v>560</v>
      </c>
      <c r="F4475" t="s">
        <v>1068</v>
      </c>
      <c r="G4475" t="s">
        <v>1075</v>
      </c>
      <c r="H4475">
        <v>3.4710186876143801E-3</v>
      </c>
      <c r="I4475" t="s">
        <v>1077</v>
      </c>
      <c r="J4475">
        <v>6.68</v>
      </c>
    </row>
    <row r="4476" spans="1:10" hidden="1">
      <c r="A4476" t="s">
        <v>3129</v>
      </c>
      <c r="B4476" t="s">
        <v>3130</v>
      </c>
      <c r="C4476" t="s">
        <v>235</v>
      </c>
      <c r="D4476" t="s">
        <v>3062</v>
      </c>
      <c r="E4476" t="s">
        <v>560</v>
      </c>
      <c r="F4476" t="s">
        <v>1068</v>
      </c>
      <c r="G4476" t="s">
        <v>1078</v>
      </c>
      <c r="H4476" s="171" t="s">
        <v>3133</v>
      </c>
      <c r="I4476" t="s">
        <v>1079</v>
      </c>
      <c r="J4476">
        <v>6.68</v>
      </c>
    </row>
    <row r="4477" spans="1:10" hidden="1">
      <c r="A4477" t="s">
        <v>3129</v>
      </c>
      <c r="B4477" t="s">
        <v>3130</v>
      </c>
      <c r="C4477" t="s">
        <v>235</v>
      </c>
      <c r="D4477" t="s">
        <v>3062</v>
      </c>
      <c r="E4477" t="s">
        <v>560</v>
      </c>
      <c r="F4477" t="s">
        <v>1068</v>
      </c>
      <c r="G4477" t="s">
        <v>1080</v>
      </c>
      <c r="H4477" s="171" t="s">
        <v>3134</v>
      </c>
      <c r="I4477" t="s">
        <v>1082</v>
      </c>
      <c r="J4477">
        <v>6.68</v>
      </c>
    </row>
    <row r="4478" spans="1:10" hidden="1">
      <c r="A4478" t="s">
        <v>3129</v>
      </c>
      <c r="B4478" t="s">
        <v>3130</v>
      </c>
      <c r="C4478" t="s">
        <v>235</v>
      </c>
      <c r="D4478" t="s">
        <v>3062</v>
      </c>
      <c r="E4478" t="s">
        <v>560</v>
      </c>
      <c r="F4478" t="s">
        <v>1068</v>
      </c>
      <c r="G4478" t="s">
        <v>1083</v>
      </c>
      <c r="H4478" s="171" t="s">
        <v>3135</v>
      </c>
      <c r="I4478" t="s">
        <v>1084</v>
      </c>
      <c r="J4478">
        <v>6.68</v>
      </c>
    </row>
    <row r="4479" spans="1:10" hidden="1">
      <c r="A4479" t="s">
        <v>3129</v>
      </c>
      <c r="B4479" t="s">
        <v>3130</v>
      </c>
      <c r="C4479" t="s">
        <v>235</v>
      </c>
      <c r="D4479" t="s">
        <v>3062</v>
      </c>
      <c r="E4479" t="s">
        <v>560</v>
      </c>
      <c r="F4479" t="s">
        <v>1068</v>
      </c>
      <c r="G4479" t="s">
        <v>1085</v>
      </c>
      <c r="H4479" s="171" t="s">
        <v>3136</v>
      </c>
      <c r="I4479" t="s">
        <v>1086</v>
      </c>
      <c r="J4479">
        <v>6.68</v>
      </c>
    </row>
    <row r="4480" spans="1:10" hidden="1">
      <c r="A4480" t="s">
        <v>3129</v>
      </c>
      <c r="B4480" t="s">
        <v>3130</v>
      </c>
      <c r="C4480" t="s">
        <v>235</v>
      </c>
      <c r="D4480" t="s">
        <v>3062</v>
      </c>
      <c r="E4480" t="s">
        <v>560</v>
      </c>
      <c r="F4480" t="s">
        <v>1068</v>
      </c>
      <c r="G4480" t="s">
        <v>1087</v>
      </c>
      <c r="H4480" s="171" t="s">
        <v>3137</v>
      </c>
      <c r="I4480" t="s">
        <v>1088</v>
      </c>
      <c r="J4480">
        <v>6.68</v>
      </c>
    </row>
    <row r="4481" spans="1:10" hidden="1">
      <c r="A4481" t="s">
        <v>3129</v>
      </c>
      <c r="B4481" t="s">
        <v>3130</v>
      </c>
      <c r="C4481" t="s">
        <v>235</v>
      </c>
      <c r="D4481" t="s">
        <v>3062</v>
      </c>
      <c r="E4481" t="s">
        <v>560</v>
      </c>
      <c r="F4481" t="s">
        <v>1068</v>
      </c>
      <c r="G4481" t="s">
        <v>1089</v>
      </c>
      <c r="H4481" s="171" t="s">
        <v>3138</v>
      </c>
      <c r="I4481" t="s">
        <v>1090</v>
      </c>
      <c r="J4481">
        <v>6.68</v>
      </c>
    </row>
    <row r="4482" spans="1:10" hidden="1">
      <c r="A4482" t="s">
        <v>3139</v>
      </c>
      <c r="B4482" t="s">
        <v>3140</v>
      </c>
      <c r="C4482" t="s">
        <v>235</v>
      </c>
      <c r="D4482" t="s">
        <v>3062</v>
      </c>
      <c r="E4482" t="s">
        <v>1116</v>
      </c>
      <c r="F4482" t="s">
        <v>1068</v>
      </c>
      <c r="G4482" t="s">
        <v>1069</v>
      </c>
      <c r="H4482">
        <v>7.1893935236140002E-2</v>
      </c>
      <c r="I4482" t="s">
        <v>1070</v>
      </c>
      <c r="J4482">
        <v>7.66</v>
      </c>
    </row>
    <row r="4483" spans="1:10" hidden="1">
      <c r="A4483" t="s">
        <v>3139</v>
      </c>
      <c r="B4483" t="s">
        <v>3140</v>
      </c>
      <c r="C4483" t="s">
        <v>235</v>
      </c>
      <c r="D4483" t="s">
        <v>3062</v>
      </c>
      <c r="E4483" t="s">
        <v>1116</v>
      </c>
      <c r="F4483" t="s">
        <v>1068</v>
      </c>
      <c r="G4483" t="s">
        <v>1071</v>
      </c>
      <c r="H4483" s="171" t="s">
        <v>3141</v>
      </c>
      <c r="I4483" t="s">
        <v>1072</v>
      </c>
      <c r="J4483">
        <v>7.66</v>
      </c>
    </row>
    <row r="4484" spans="1:10" hidden="1">
      <c r="A4484" t="s">
        <v>3139</v>
      </c>
      <c r="B4484" t="s">
        <v>3140</v>
      </c>
      <c r="C4484" t="s">
        <v>235</v>
      </c>
      <c r="D4484" t="s">
        <v>3062</v>
      </c>
      <c r="E4484" t="s">
        <v>1116</v>
      </c>
      <c r="F4484" t="s">
        <v>1068</v>
      </c>
      <c r="G4484" t="s">
        <v>1073</v>
      </c>
      <c r="H4484" s="171" t="s">
        <v>3142</v>
      </c>
      <c r="I4484" t="s">
        <v>1074</v>
      </c>
      <c r="J4484">
        <v>7.66</v>
      </c>
    </row>
    <row r="4485" spans="1:10" hidden="1">
      <c r="A4485" t="s">
        <v>3139</v>
      </c>
      <c r="B4485" t="s">
        <v>3140</v>
      </c>
      <c r="C4485" t="s">
        <v>235</v>
      </c>
      <c r="D4485" t="s">
        <v>3062</v>
      </c>
      <c r="E4485" t="s">
        <v>1116</v>
      </c>
      <c r="F4485" t="s">
        <v>1068</v>
      </c>
      <c r="G4485" t="s">
        <v>1075</v>
      </c>
      <c r="H4485">
        <v>3.4707522202779501E-3</v>
      </c>
      <c r="I4485" t="s">
        <v>1077</v>
      </c>
      <c r="J4485">
        <v>7.66</v>
      </c>
    </row>
    <row r="4486" spans="1:10" hidden="1">
      <c r="A4486" t="s">
        <v>3139</v>
      </c>
      <c r="B4486" t="s">
        <v>3140</v>
      </c>
      <c r="C4486" t="s">
        <v>235</v>
      </c>
      <c r="D4486" t="s">
        <v>3062</v>
      </c>
      <c r="E4486" t="s">
        <v>1116</v>
      </c>
      <c r="F4486" t="s">
        <v>1068</v>
      </c>
      <c r="G4486" t="s">
        <v>1078</v>
      </c>
      <c r="H4486" s="171" t="s">
        <v>3143</v>
      </c>
      <c r="I4486" t="s">
        <v>1079</v>
      </c>
      <c r="J4486">
        <v>7.66</v>
      </c>
    </row>
    <row r="4487" spans="1:10" hidden="1">
      <c r="A4487" t="s">
        <v>3139</v>
      </c>
      <c r="B4487" t="s">
        <v>3140</v>
      </c>
      <c r="C4487" t="s">
        <v>235</v>
      </c>
      <c r="D4487" t="s">
        <v>3062</v>
      </c>
      <c r="E4487" t="s">
        <v>1116</v>
      </c>
      <c r="F4487" t="s">
        <v>1068</v>
      </c>
      <c r="G4487" t="s">
        <v>1080</v>
      </c>
      <c r="H4487" s="171" t="s">
        <v>3144</v>
      </c>
      <c r="I4487" t="s">
        <v>1082</v>
      </c>
      <c r="J4487">
        <v>7.66</v>
      </c>
    </row>
    <row r="4488" spans="1:10" hidden="1">
      <c r="A4488" t="s">
        <v>3139</v>
      </c>
      <c r="B4488" t="s">
        <v>3140</v>
      </c>
      <c r="C4488" t="s">
        <v>235</v>
      </c>
      <c r="D4488" t="s">
        <v>3062</v>
      </c>
      <c r="E4488" t="s">
        <v>1116</v>
      </c>
      <c r="F4488" t="s">
        <v>1068</v>
      </c>
      <c r="G4488" t="s">
        <v>1083</v>
      </c>
      <c r="H4488" s="171" t="s">
        <v>3145</v>
      </c>
      <c r="I4488" t="s">
        <v>1084</v>
      </c>
      <c r="J4488">
        <v>7.66</v>
      </c>
    </row>
    <row r="4489" spans="1:10" hidden="1">
      <c r="A4489" t="s">
        <v>3139</v>
      </c>
      <c r="B4489" t="s">
        <v>3140</v>
      </c>
      <c r="C4489" t="s">
        <v>235</v>
      </c>
      <c r="D4489" t="s">
        <v>3062</v>
      </c>
      <c r="E4489" t="s">
        <v>1116</v>
      </c>
      <c r="F4489" t="s">
        <v>1068</v>
      </c>
      <c r="G4489" t="s">
        <v>1085</v>
      </c>
      <c r="H4489" s="171" t="s">
        <v>3146</v>
      </c>
      <c r="I4489" t="s">
        <v>1086</v>
      </c>
      <c r="J4489">
        <v>7.66</v>
      </c>
    </row>
    <row r="4490" spans="1:10" hidden="1">
      <c r="A4490" t="s">
        <v>3139</v>
      </c>
      <c r="B4490" t="s">
        <v>3140</v>
      </c>
      <c r="C4490" t="s">
        <v>235</v>
      </c>
      <c r="D4490" t="s">
        <v>3062</v>
      </c>
      <c r="E4490" t="s">
        <v>1116</v>
      </c>
      <c r="F4490" t="s">
        <v>1068</v>
      </c>
      <c r="G4490" t="s">
        <v>1087</v>
      </c>
      <c r="H4490" s="171" t="s">
        <v>3147</v>
      </c>
      <c r="I4490" t="s">
        <v>1088</v>
      </c>
      <c r="J4490">
        <v>7.66</v>
      </c>
    </row>
    <row r="4491" spans="1:10" hidden="1">
      <c r="A4491" t="s">
        <v>3139</v>
      </c>
      <c r="B4491" t="s">
        <v>3140</v>
      </c>
      <c r="C4491" t="s">
        <v>235</v>
      </c>
      <c r="D4491" t="s">
        <v>3062</v>
      </c>
      <c r="E4491" t="s">
        <v>1116</v>
      </c>
      <c r="F4491" t="s">
        <v>1068</v>
      </c>
      <c r="G4491" t="s">
        <v>1089</v>
      </c>
      <c r="H4491" s="171" t="s">
        <v>3148</v>
      </c>
      <c r="I4491" t="s">
        <v>1090</v>
      </c>
      <c r="J4491">
        <v>7.66</v>
      </c>
    </row>
    <row r="4492" spans="1:10" hidden="1">
      <c r="A4492" t="s">
        <v>3149</v>
      </c>
      <c r="B4492" t="s">
        <v>3150</v>
      </c>
      <c r="C4492" t="s">
        <v>235</v>
      </c>
      <c r="D4492" t="s">
        <v>3151</v>
      </c>
      <c r="E4492" t="s">
        <v>561</v>
      </c>
      <c r="F4492" t="s">
        <v>1068</v>
      </c>
      <c r="G4492" t="s">
        <v>1069</v>
      </c>
      <c r="H4492">
        <v>7.18956406665264E-2</v>
      </c>
      <c r="I4492" t="s">
        <v>1070</v>
      </c>
      <c r="J4492">
        <v>7.15</v>
      </c>
    </row>
    <row r="4493" spans="1:10" hidden="1">
      <c r="A4493" t="s">
        <v>3149</v>
      </c>
      <c r="B4493" t="s">
        <v>3150</v>
      </c>
      <c r="C4493" t="s">
        <v>235</v>
      </c>
      <c r="D4493" t="s">
        <v>3151</v>
      </c>
      <c r="E4493" t="s">
        <v>561</v>
      </c>
      <c r="F4493" t="s">
        <v>1068</v>
      </c>
      <c r="G4493" t="s">
        <v>1071</v>
      </c>
      <c r="H4493" s="171" t="s">
        <v>3152</v>
      </c>
      <c r="I4493" t="s">
        <v>1072</v>
      </c>
      <c r="J4493">
        <v>7.15</v>
      </c>
    </row>
    <row r="4494" spans="1:10" hidden="1">
      <c r="A4494" t="s">
        <v>3149</v>
      </c>
      <c r="B4494" t="s">
        <v>3150</v>
      </c>
      <c r="C4494" t="s">
        <v>235</v>
      </c>
      <c r="D4494" t="s">
        <v>3151</v>
      </c>
      <c r="E4494" t="s">
        <v>561</v>
      </c>
      <c r="F4494" t="s">
        <v>1068</v>
      </c>
      <c r="G4494" t="s">
        <v>1073</v>
      </c>
      <c r="H4494" s="171" t="s">
        <v>3064</v>
      </c>
      <c r="I4494" t="s">
        <v>1074</v>
      </c>
      <c r="J4494">
        <v>7.15</v>
      </c>
    </row>
    <row r="4495" spans="1:10" hidden="1">
      <c r="A4495" t="s">
        <v>3149</v>
      </c>
      <c r="B4495" t="s">
        <v>3150</v>
      </c>
      <c r="C4495" t="s">
        <v>235</v>
      </c>
      <c r="D4495" t="s">
        <v>3151</v>
      </c>
      <c r="E4495" t="s">
        <v>561</v>
      </c>
      <c r="F4495" t="s">
        <v>1068</v>
      </c>
      <c r="G4495" t="s">
        <v>1075</v>
      </c>
      <c r="H4495">
        <v>3.47080613075433E-3</v>
      </c>
      <c r="I4495" t="s">
        <v>1077</v>
      </c>
      <c r="J4495">
        <v>7.15</v>
      </c>
    </row>
    <row r="4496" spans="1:10" hidden="1">
      <c r="A4496" t="s">
        <v>3149</v>
      </c>
      <c r="B4496" t="s">
        <v>3150</v>
      </c>
      <c r="C4496" t="s">
        <v>235</v>
      </c>
      <c r="D4496" t="s">
        <v>3151</v>
      </c>
      <c r="E4496" t="s">
        <v>561</v>
      </c>
      <c r="F4496" t="s">
        <v>1068</v>
      </c>
      <c r="G4496" t="s">
        <v>1078</v>
      </c>
      <c r="H4496" s="171" t="s">
        <v>3065</v>
      </c>
      <c r="I4496" t="s">
        <v>1079</v>
      </c>
      <c r="J4496">
        <v>7.15</v>
      </c>
    </row>
    <row r="4497" spans="1:10" hidden="1">
      <c r="A4497" t="s">
        <v>3149</v>
      </c>
      <c r="B4497" t="s">
        <v>3150</v>
      </c>
      <c r="C4497" t="s">
        <v>235</v>
      </c>
      <c r="D4497" t="s">
        <v>3151</v>
      </c>
      <c r="E4497" t="s">
        <v>561</v>
      </c>
      <c r="F4497" t="s">
        <v>1068</v>
      </c>
      <c r="G4497" t="s">
        <v>1080</v>
      </c>
      <c r="H4497" s="171" t="s">
        <v>3066</v>
      </c>
      <c r="I4497" t="s">
        <v>1082</v>
      </c>
      <c r="J4497">
        <v>7.15</v>
      </c>
    </row>
    <row r="4498" spans="1:10" hidden="1">
      <c r="A4498" t="s">
        <v>3149</v>
      </c>
      <c r="B4498" t="s">
        <v>3150</v>
      </c>
      <c r="C4498" t="s">
        <v>235</v>
      </c>
      <c r="D4498" t="s">
        <v>3151</v>
      </c>
      <c r="E4498" t="s">
        <v>561</v>
      </c>
      <c r="F4498" t="s">
        <v>1068</v>
      </c>
      <c r="G4498" t="s">
        <v>1083</v>
      </c>
      <c r="H4498" s="171" t="s">
        <v>3067</v>
      </c>
      <c r="I4498" t="s">
        <v>1084</v>
      </c>
      <c r="J4498">
        <v>7.15</v>
      </c>
    </row>
    <row r="4499" spans="1:10" hidden="1">
      <c r="A4499" t="s">
        <v>3149</v>
      </c>
      <c r="B4499" t="s">
        <v>3150</v>
      </c>
      <c r="C4499" t="s">
        <v>235</v>
      </c>
      <c r="D4499" t="s">
        <v>3151</v>
      </c>
      <c r="E4499" t="s">
        <v>561</v>
      </c>
      <c r="F4499" t="s">
        <v>1068</v>
      </c>
      <c r="G4499" t="s">
        <v>1085</v>
      </c>
      <c r="H4499" s="171" t="s">
        <v>3153</v>
      </c>
      <c r="I4499" t="s">
        <v>1086</v>
      </c>
      <c r="J4499">
        <v>7.15</v>
      </c>
    </row>
    <row r="4500" spans="1:10" hidden="1">
      <c r="A4500" t="s">
        <v>3149</v>
      </c>
      <c r="B4500" t="s">
        <v>3150</v>
      </c>
      <c r="C4500" t="s">
        <v>235</v>
      </c>
      <c r="D4500" t="s">
        <v>3151</v>
      </c>
      <c r="E4500" t="s">
        <v>561</v>
      </c>
      <c r="F4500" t="s">
        <v>1068</v>
      </c>
      <c r="G4500" t="s">
        <v>1087</v>
      </c>
      <c r="H4500" s="171" t="s">
        <v>3069</v>
      </c>
      <c r="I4500" t="s">
        <v>1088</v>
      </c>
      <c r="J4500">
        <v>7.15</v>
      </c>
    </row>
    <row r="4501" spans="1:10" hidden="1">
      <c r="A4501" t="s">
        <v>3149</v>
      </c>
      <c r="B4501" t="s">
        <v>3150</v>
      </c>
      <c r="C4501" t="s">
        <v>235</v>
      </c>
      <c r="D4501" t="s">
        <v>3151</v>
      </c>
      <c r="E4501" t="s">
        <v>561</v>
      </c>
      <c r="F4501" t="s">
        <v>1068</v>
      </c>
      <c r="G4501" t="s">
        <v>1089</v>
      </c>
      <c r="H4501" s="171" t="s">
        <v>3070</v>
      </c>
      <c r="I4501" t="s">
        <v>1090</v>
      </c>
      <c r="J4501">
        <v>7.15</v>
      </c>
    </row>
    <row r="4502" spans="1:10" hidden="1">
      <c r="A4502" t="s">
        <v>3154</v>
      </c>
      <c r="B4502" t="s">
        <v>3155</v>
      </c>
      <c r="C4502" t="s">
        <v>235</v>
      </c>
      <c r="D4502" t="s">
        <v>3151</v>
      </c>
      <c r="E4502" t="s">
        <v>555</v>
      </c>
      <c r="F4502" t="s">
        <v>1068</v>
      </c>
      <c r="G4502" t="s">
        <v>1069</v>
      </c>
      <c r="H4502">
        <v>7.1935134343365403E-2</v>
      </c>
      <c r="I4502" t="s">
        <v>1070</v>
      </c>
      <c r="J4502">
        <v>7.65</v>
      </c>
    </row>
    <row r="4503" spans="1:10" hidden="1">
      <c r="A4503" t="s">
        <v>3154</v>
      </c>
      <c r="B4503" t="s">
        <v>3155</v>
      </c>
      <c r="C4503" t="s">
        <v>235</v>
      </c>
      <c r="D4503" t="s">
        <v>3151</v>
      </c>
      <c r="E4503" t="s">
        <v>555</v>
      </c>
      <c r="F4503" t="s">
        <v>1068</v>
      </c>
      <c r="G4503" t="s">
        <v>1071</v>
      </c>
      <c r="H4503" s="171" t="s">
        <v>3156</v>
      </c>
      <c r="I4503" t="s">
        <v>1072</v>
      </c>
      <c r="J4503">
        <v>7.65</v>
      </c>
    </row>
    <row r="4504" spans="1:10" hidden="1">
      <c r="A4504" t="s">
        <v>3154</v>
      </c>
      <c r="B4504" t="s">
        <v>3155</v>
      </c>
      <c r="C4504" t="s">
        <v>235</v>
      </c>
      <c r="D4504" t="s">
        <v>3151</v>
      </c>
      <c r="E4504" t="s">
        <v>555</v>
      </c>
      <c r="F4504" t="s">
        <v>1068</v>
      </c>
      <c r="G4504" t="s">
        <v>1073</v>
      </c>
      <c r="H4504" s="171" t="s">
        <v>3157</v>
      </c>
      <c r="I4504" t="s">
        <v>1074</v>
      </c>
      <c r="J4504">
        <v>7.65</v>
      </c>
    </row>
    <row r="4505" spans="1:10" hidden="1">
      <c r="A4505" t="s">
        <v>3154</v>
      </c>
      <c r="B4505" t="s">
        <v>3155</v>
      </c>
      <c r="C4505" t="s">
        <v>235</v>
      </c>
      <c r="D4505" t="s">
        <v>3151</v>
      </c>
      <c r="E4505" t="s">
        <v>555</v>
      </c>
      <c r="F4505" t="s">
        <v>1068</v>
      </c>
      <c r="G4505" t="s">
        <v>1075</v>
      </c>
      <c r="H4505">
        <v>3.47128233762294E-3</v>
      </c>
      <c r="I4505" t="s">
        <v>1077</v>
      </c>
      <c r="J4505">
        <v>7.65</v>
      </c>
    </row>
    <row r="4506" spans="1:10" hidden="1">
      <c r="A4506" t="s">
        <v>3154</v>
      </c>
      <c r="B4506" t="s">
        <v>3155</v>
      </c>
      <c r="C4506" t="s">
        <v>235</v>
      </c>
      <c r="D4506" t="s">
        <v>3151</v>
      </c>
      <c r="E4506" t="s">
        <v>555</v>
      </c>
      <c r="F4506" t="s">
        <v>1068</v>
      </c>
      <c r="G4506" t="s">
        <v>1078</v>
      </c>
      <c r="H4506">
        <v>2.6042891280744201E-2</v>
      </c>
      <c r="I4506" t="s">
        <v>1079</v>
      </c>
      <c r="J4506">
        <v>7.65</v>
      </c>
    </row>
    <row r="4507" spans="1:10" hidden="1">
      <c r="A4507" t="s">
        <v>3154</v>
      </c>
      <c r="B4507" t="s">
        <v>3155</v>
      </c>
      <c r="C4507" t="s">
        <v>235</v>
      </c>
      <c r="D4507" t="s">
        <v>3151</v>
      </c>
      <c r="E4507" t="s">
        <v>555</v>
      </c>
      <c r="F4507" t="s">
        <v>1068</v>
      </c>
      <c r="G4507" t="s">
        <v>1080</v>
      </c>
      <c r="H4507" s="171" t="s">
        <v>3158</v>
      </c>
      <c r="I4507" t="s">
        <v>1082</v>
      </c>
      <c r="J4507">
        <v>7.65</v>
      </c>
    </row>
    <row r="4508" spans="1:10" hidden="1">
      <c r="A4508" t="s">
        <v>3154</v>
      </c>
      <c r="B4508" t="s">
        <v>3155</v>
      </c>
      <c r="C4508" t="s">
        <v>235</v>
      </c>
      <c r="D4508" t="s">
        <v>3151</v>
      </c>
      <c r="E4508" t="s">
        <v>555</v>
      </c>
      <c r="F4508" t="s">
        <v>1068</v>
      </c>
      <c r="G4508" t="s">
        <v>1083</v>
      </c>
      <c r="H4508" s="171" t="s">
        <v>3159</v>
      </c>
      <c r="I4508" t="s">
        <v>1084</v>
      </c>
      <c r="J4508">
        <v>7.65</v>
      </c>
    </row>
    <row r="4509" spans="1:10" hidden="1">
      <c r="A4509" t="s">
        <v>3154</v>
      </c>
      <c r="B4509" t="s">
        <v>3155</v>
      </c>
      <c r="C4509" t="s">
        <v>235</v>
      </c>
      <c r="D4509" t="s">
        <v>3151</v>
      </c>
      <c r="E4509" t="s">
        <v>555</v>
      </c>
      <c r="F4509" t="s">
        <v>1068</v>
      </c>
      <c r="G4509" t="s">
        <v>1085</v>
      </c>
      <c r="H4509" s="171" t="s">
        <v>3160</v>
      </c>
      <c r="I4509" t="s">
        <v>1086</v>
      </c>
      <c r="J4509">
        <v>7.65</v>
      </c>
    </row>
    <row r="4510" spans="1:10" hidden="1">
      <c r="A4510" t="s">
        <v>3154</v>
      </c>
      <c r="B4510" t="s">
        <v>3155</v>
      </c>
      <c r="C4510" t="s">
        <v>235</v>
      </c>
      <c r="D4510" t="s">
        <v>3151</v>
      </c>
      <c r="E4510" t="s">
        <v>555</v>
      </c>
      <c r="F4510" t="s">
        <v>1068</v>
      </c>
      <c r="G4510" t="s">
        <v>1087</v>
      </c>
      <c r="H4510" s="171" t="s">
        <v>3161</v>
      </c>
      <c r="I4510" t="s">
        <v>1088</v>
      </c>
      <c r="J4510">
        <v>7.65</v>
      </c>
    </row>
    <row r="4511" spans="1:10" hidden="1">
      <c r="A4511" t="s">
        <v>3154</v>
      </c>
      <c r="B4511" t="s">
        <v>3155</v>
      </c>
      <c r="C4511" t="s">
        <v>235</v>
      </c>
      <c r="D4511" t="s">
        <v>3151</v>
      </c>
      <c r="E4511" t="s">
        <v>555</v>
      </c>
      <c r="F4511" t="s">
        <v>1068</v>
      </c>
      <c r="G4511" t="s">
        <v>1089</v>
      </c>
      <c r="H4511" s="171" t="s">
        <v>3162</v>
      </c>
      <c r="I4511" t="s">
        <v>1090</v>
      </c>
      <c r="J4511">
        <v>7.65</v>
      </c>
    </row>
    <row r="4512" spans="1:10" hidden="1">
      <c r="A4512" t="s">
        <v>3163</v>
      </c>
      <c r="B4512" t="s">
        <v>3164</v>
      </c>
      <c r="C4512" t="s">
        <v>235</v>
      </c>
      <c r="D4512" t="s">
        <v>3151</v>
      </c>
      <c r="E4512" t="s">
        <v>558</v>
      </c>
      <c r="F4512" t="s">
        <v>1068</v>
      </c>
      <c r="G4512" t="s">
        <v>1069</v>
      </c>
      <c r="H4512">
        <v>7.1894379892580795E-2</v>
      </c>
      <c r="I4512" t="s">
        <v>1070</v>
      </c>
      <c r="J4512">
        <v>6.93</v>
      </c>
    </row>
    <row r="4513" spans="1:10" hidden="1">
      <c r="A4513" t="s">
        <v>3163</v>
      </c>
      <c r="B4513" t="s">
        <v>3164</v>
      </c>
      <c r="C4513" t="s">
        <v>235</v>
      </c>
      <c r="D4513" t="s">
        <v>3151</v>
      </c>
      <c r="E4513" t="s">
        <v>558</v>
      </c>
      <c r="F4513" t="s">
        <v>1068</v>
      </c>
      <c r="G4513" t="s">
        <v>1071</v>
      </c>
      <c r="H4513" s="171" t="s">
        <v>3165</v>
      </c>
      <c r="I4513" t="s">
        <v>1072</v>
      </c>
      <c r="J4513">
        <v>6.93</v>
      </c>
    </row>
    <row r="4514" spans="1:10" hidden="1">
      <c r="A4514" t="s">
        <v>3163</v>
      </c>
      <c r="B4514" t="s">
        <v>3164</v>
      </c>
      <c r="C4514" t="s">
        <v>235</v>
      </c>
      <c r="D4514" t="s">
        <v>3151</v>
      </c>
      <c r="E4514" t="s">
        <v>558</v>
      </c>
      <c r="F4514" t="s">
        <v>1068</v>
      </c>
      <c r="G4514" t="s">
        <v>1073</v>
      </c>
      <c r="H4514" s="171" t="s">
        <v>3166</v>
      </c>
      <c r="I4514" t="s">
        <v>1074</v>
      </c>
      <c r="J4514">
        <v>6.93</v>
      </c>
    </row>
    <row r="4515" spans="1:10" hidden="1">
      <c r="A4515" t="s">
        <v>3163</v>
      </c>
      <c r="B4515" t="s">
        <v>3164</v>
      </c>
      <c r="C4515" t="s">
        <v>235</v>
      </c>
      <c r="D4515" t="s">
        <v>3151</v>
      </c>
      <c r="E4515" t="s">
        <v>558</v>
      </c>
      <c r="F4515" t="s">
        <v>1068</v>
      </c>
      <c r="G4515" t="s">
        <v>1075</v>
      </c>
      <c r="H4515">
        <v>3.4707662763430601E-3</v>
      </c>
      <c r="I4515" t="s">
        <v>1077</v>
      </c>
      <c r="J4515">
        <v>6.93</v>
      </c>
    </row>
    <row r="4516" spans="1:10" hidden="1">
      <c r="A4516" t="s">
        <v>3163</v>
      </c>
      <c r="B4516" t="s">
        <v>3164</v>
      </c>
      <c r="C4516" t="s">
        <v>235</v>
      </c>
      <c r="D4516" t="s">
        <v>3151</v>
      </c>
      <c r="E4516" t="s">
        <v>558</v>
      </c>
      <c r="F4516" t="s">
        <v>1068</v>
      </c>
      <c r="G4516" t="s">
        <v>1078</v>
      </c>
      <c r="H4516" s="171" t="s">
        <v>3167</v>
      </c>
      <c r="I4516" t="s">
        <v>1079</v>
      </c>
      <c r="J4516">
        <v>6.93</v>
      </c>
    </row>
    <row r="4517" spans="1:10" hidden="1">
      <c r="A4517" t="s">
        <v>3163</v>
      </c>
      <c r="B4517" t="s">
        <v>3164</v>
      </c>
      <c r="C4517" t="s">
        <v>235</v>
      </c>
      <c r="D4517" t="s">
        <v>3151</v>
      </c>
      <c r="E4517" t="s">
        <v>558</v>
      </c>
      <c r="F4517" t="s">
        <v>1068</v>
      </c>
      <c r="G4517" t="s">
        <v>1080</v>
      </c>
      <c r="H4517" s="171" t="s">
        <v>3168</v>
      </c>
      <c r="I4517" t="s">
        <v>1082</v>
      </c>
      <c r="J4517">
        <v>6.93</v>
      </c>
    </row>
    <row r="4518" spans="1:10" hidden="1">
      <c r="A4518" t="s">
        <v>3163</v>
      </c>
      <c r="B4518" t="s">
        <v>3164</v>
      </c>
      <c r="C4518" t="s">
        <v>235</v>
      </c>
      <c r="D4518" t="s">
        <v>3151</v>
      </c>
      <c r="E4518" t="s">
        <v>558</v>
      </c>
      <c r="F4518" t="s">
        <v>1068</v>
      </c>
      <c r="G4518" t="s">
        <v>1083</v>
      </c>
      <c r="H4518" s="171" t="s">
        <v>3169</v>
      </c>
      <c r="I4518" t="s">
        <v>1084</v>
      </c>
      <c r="J4518">
        <v>6.93</v>
      </c>
    </row>
    <row r="4519" spans="1:10" hidden="1">
      <c r="A4519" t="s">
        <v>3163</v>
      </c>
      <c r="B4519" t="s">
        <v>3164</v>
      </c>
      <c r="C4519" t="s">
        <v>235</v>
      </c>
      <c r="D4519" t="s">
        <v>3151</v>
      </c>
      <c r="E4519" t="s">
        <v>558</v>
      </c>
      <c r="F4519" t="s">
        <v>1068</v>
      </c>
      <c r="G4519" t="s">
        <v>1085</v>
      </c>
      <c r="H4519" s="171" t="s">
        <v>3170</v>
      </c>
      <c r="I4519" t="s">
        <v>1086</v>
      </c>
      <c r="J4519">
        <v>6.93</v>
      </c>
    </row>
    <row r="4520" spans="1:10" hidden="1">
      <c r="A4520" t="s">
        <v>3163</v>
      </c>
      <c r="B4520" t="s">
        <v>3164</v>
      </c>
      <c r="C4520" t="s">
        <v>235</v>
      </c>
      <c r="D4520" t="s">
        <v>3151</v>
      </c>
      <c r="E4520" t="s">
        <v>558</v>
      </c>
      <c r="F4520" t="s">
        <v>1068</v>
      </c>
      <c r="G4520" t="s">
        <v>1087</v>
      </c>
      <c r="H4520" s="171" t="s">
        <v>3171</v>
      </c>
      <c r="I4520" t="s">
        <v>1088</v>
      </c>
      <c r="J4520">
        <v>6.93</v>
      </c>
    </row>
    <row r="4521" spans="1:10" hidden="1">
      <c r="A4521" t="s">
        <v>3163</v>
      </c>
      <c r="B4521" t="s">
        <v>3164</v>
      </c>
      <c r="C4521" t="s">
        <v>235</v>
      </c>
      <c r="D4521" t="s">
        <v>3151</v>
      </c>
      <c r="E4521" t="s">
        <v>558</v>
      </c>
      <c r="F4521" t="s">
        <v>1068</v>
      </c>
      <c r="G4521" t="s">
        <v>1089</v>
      </c>
      <c r="H4521" s="171" t="s">
        <v>3172</v>
      </c>
      <c r="I4521" t="s">
        <v>1090</v>
      </c>
      <c r="J4521">
        <v>6.93</v>
      </c>
    </row>
    <row r="4522" spans="1:10" hidden="1">
      <c r="A4522" t="s">
        <v>3173</v>
      </c>
      <c r="B4522" t="s">
        <v>3174</v>
      </c>
      <c r="C4522" t="s">
        <v>235</v>
      </c>
      <c r="D4522" t="s">
        <v>3151</v>
      </c>
      <c r="E4522" t="s">
        <v>553</v>
      </c>
      <c r="F4522" t="s">
        <v>1068</v>
      </c>
      <c r="G4522" t="s">
        <v>1069</v>
      </c>
      <c r="H4522">
        <v>7.1918297977657003E-2</v>
      </c>
      <c r="I4522" t="s">
        <v>1070</v>
      </c>
      <c r="J4522">
        <v>8.5500000000000007</v>
      </c>
    </row>
    <row r="4523" spans="1:10" hidden="1">
      <c r="A4523" t="s">
        <v>3173</v>
      </c>
      <c r="B4523" t="s">
        <v>3174</v>
      </c>
      <c r="C4523" t="s">
        <v>235</v>
      </c>
      <c r="D4523" t="s">
        <v>3151</v>
      </c>
      <c r="E4523" t="s">
        <v>553</v>
      </c>
      <c r="F4523" t="s">
        <v>1068</v>
      </c>
      <c r="G4523" t="s">
        <v>1071</v>
      </c>
      <c r="H4523" s="171" t="s">
        <v>3093</v>
      </c>
      <c r="I4523" t="s">
        <v>1072</v>
      </c>
      <c r="J4523">
        <v>8.5500000000000007</v>
      </c>
    </row>
    <row r="4524" spans="1:10" hidden="1">
      <c r="A4524" t="s">
        <v>3173</v>
      </c>
      <c r="B4524" t="s">
        <v>3174</v>
      </c>
      <c r="C4524" t="s">
        <v>235</v>
      </c>
      <c r="D4524" t="s">
        <v>3151</v>
      </c>
      <c r="E4524" t="s">
        <v>553</v>
      </c>
      <c r="F4524" t="s">
        <v>1068</v>
      </c>
      <c r="G4524" t="s">
        <v>1073</v>
      </c>
      <c r="H4524" s="171" t="s">
        <v>3094</v>
      </c>
      <c r="I4524" t="s">
        <v>1074</v>
      </c>
      <c r="J4524">
        <v>8.5500000000000007</v>
      </c>
    </row>
    <row r="4525" spans="1:10" hidden="1">
      <c r="A4525" t="s">
        <v>3173</v>
      </c>
      <c r="B4525" t="s">
        <v>3174</v>
      </c>
      <c r="C4525" t="s">
        <v>235</v>
      </c>
      <c r="D4525" t="s">
        <v>3151</v>
      </c>
      <c r="E4525" t="s">
        <v>553</v>
      </c>
      <c r="F4525" t="s">
        <v>1068</v>
      </c>
      <c r="G4525" t="s">
        <v>1075</v>
      </c>
      <c r="H4525">
        <v>3.4707501221171201E-3</v>
      </c>
      <c r="I4525" t="s">
        <v>1077</v>
      </c>
      <c r="J4525">
        <v>8.5500000000000007</v>
      </c>
    </row>
    <row r="4526" spans="1:10" hidden="1">
      <c r="A4526" t="s">
        <v>3173</v>
      </c>
      <c r="B4526" t="s">
        <v>3174</v>
      </c>
      <c r="C4526" t="s">
        <v>235</v>
      </c>
      <c r="D4526" t="s">
        <v>3151</v>
      </c>
      <c r="E4526" t="s">
        <v>553</v>
      </c>
      <c r="F4526" t="s">
        <v>1068</v>
      </c>
      <c r="G4526" t="s">
        <v>1078</v>
      </c>
      <c r="H4526" s="171" t="s">
        <v>3095</v>
      </c>
      <c r="I4526" t="s">
        <v>1079</v>
      </c>
      <c r="J4526">
        <v>8.5500000000000007</v>
      </c>
    </row>
    <row r="4527" spans="1:10" hidden="1">
      <c r="A4527" t="s">
        <v>3173</v>
      </c>
      <c r="B4527" t="s">
        <v>3174</v>
      </c>
      <c r="C4527" t="s">
        <v>235</v>
      </c>
      <c r="D4527" t="s">
        <v>3151</v>
      </c>
      <c r="E4527" t="s">
        <v>553</v>
      </c>
      <c r="F4527" t="s">
        <v>1068</v>
      </c>
      <c r="G4527" t="s">
        <v>1080</v>
      </c>
      <c r="H4527" s="171" t="s">
        <v>3096</v>
      </c>
      <c r="I4527" t="s">
        <v>1082</v>
      </c>
      <c r="J4527">
        <v>8.5500000000000007</v>
      </c>
    </row>
    <row r="4528" spans="1:10" hidden="1">
      <c r="A4528" t="s">
        <v>3173</v>
      </c>
      <c r="B4528" t="s">
        <v>3174</v>
      </c>
      <c r="C4528" t="s">
        <v>235</v>
      </c>
      <c r="D4528" t="s">
        <v>3151</v>
      </c>
      <c r="E4528" t="s">
        <v>553</v>
      </c>
      <c r="F4528" t="s">
        <v>1068</v>
      </c>
      <c r="G4528" t="s">
        <v>1083</v>
      </c>
      <c r="H4528" s="171" t="s">
        <v>3097</v>
      </c>
      <c r="I4528" t="s">
        <v>1084</v>
      </c>
      <c r="J4528">
        <v>8.5500000000000007</v>
      </c>
    </row>
    <row r="4529" spans="1:10" hidden="1">
      <c r="A4529" t="s">
        <v>3173</v>
      </c>
      <c r="B4529" t="s">
        <v>3174</v>
      </c>
      <c r="C4529" t="s">
        <v>235</v>
      </c>
      <c r="D4529" t="s">
        <v>3151</v>
      </c>
      <c r="E4529" t="s">
        <v>553</v>
      </c>
      <c r="F4529" t="s">
        <v>1068</v>
      </c>
      <c r="G4529" t="s">
        <v>1085</v>
      </c>
      <c r="H4529" s="171" t="s">
        <v>3098</v>
      </c>
      <c r="I4529" t="s">
        <v>1086</v>
      </c>
      <c r="J4529">
        <v>8.5500000000000007</v>
      </c>
    </row>
    <row r="4530" spans="1:10" hidden="1">
      <c r="A4530" t="s">
        <v>3173</v>
      </c>
      <c r="B4530" t="s">
        <v>3174</v>
      </c>
      <c r="C4530" t="s">
        <v>235</v>
      </c>
      <c r="D4530" t="s">
        <v>3151</v>
      </c>
      <c r="E4530" t="s">
        <v>553</v>
      </c>
      <c r="F4530" t="s">
        <v>1068</v>
      </c>
      <c r="G4530" t="s">
        <v>1087</v>
      </c>
      <c r="H4530" s="171" t="s">
        <v>3099</v>
      </c>
      <c r="I4530" t="s">
        <v>1088</v>
      </c>
      <c r="J4530">
        <v>8.5500000000000007</v>
      </c>
    </row>
    <row r="4531" spans="1:10" hidden="1">
      <c r="A4531" t="s">
        <v>3173</v>
      </c>
      <c r="B4531" t="s">
        <v>3174</v>
      </c>
      <c r="C4531" t="s">
        <v>235</v>
      </c>
      <c r="D4531" t="s">
        <v>3151</v>
      </c>
      <c r="E4531" t="s">
        <v>553</v>
      </c>
      <c r="F4531" t="s">
        <v>1068</v>
      </c>
      <c r="G4531" t="s">
        <v>1089</v>
      </c>
      <c r="H4531" s="171" t="s">
        <v>3100</v>
      </c>
      <c r="I4531" t="s">
        <v>1090</v>
      </c>
      <c r="J4531">
        <v>8.5500000000000007</v>
      </c>
    </row>
    <row r="4532" spans="1:10" hidden="1">
      <c r="A4532" t="s">
        <v>3175</v>
      </c>
      <c r="B4532" t="s">
        <v>3176</v>
      </c>
      <c r="C4532" t="s">
        <v>235</v>
      </c>
      <c r="D4532" t="s">
        <v>3151</v>
      </c>
      <c r="E4532" t="s">
        <v>556</v>
      </c>
      <c r="F4532" t="s">
        <v>1068</v>
      </c>
      <c r="G4532" t="s">
        <v>1069</v>
      </c>
      <c r="H4532">
        <v>7.1933551855548797E-2</v>
      </c>
      <c r="I4532" t="s">
        <v>1070</v>
      </c>
      <c r="J4532">
        <v>7.39</v>
      </c>
    </row>
    <row r="4533" spans="1:10" hidden="1">
      <c r="A4533" t="s">
        <v>3175</v>
      </c>
      <c r="B4533" t="s">
        <v>3176</v>
      </c>
      <c r="C4533" t="s">
        <v>235</v>
      </c>
      <c r="D4533" t="s">
        <v>3151</v>
      </c>
      <c r="E4533" t="s">
        <v>556</v>
      </c>
      <c r="F4533" t="s">
        <v>1068</v>
      </c>
      <c r="G4533" t="s">
        <v>1071</v>
      </c>
      <c r="H4533" s="171" t="s">
        <v>3177</v>
      </c>
      <c r="I4533" t="s">
        <v>1072</v>
      </c>
      <c r="J4533">
        <v>7.39</v>
      </c>
    </row>
    <row r="4534" spans="1:10" hidden="1">
      <c r="A4534" t="s">
        <v>3175</v>
      </c>
      <c r="B4534" t="s">
        <v>3176</v>
      </c>
      <c r="C4534" t="s">
        <v>235</v>
      </c>
      <c r="D4534" t="s">
        <v>3151</v>
      </c>
      <c r="E4534" t="s">
        <v>556</v>
      </c>
      <c r="F4534" t="s">
        <v>1068</v>
      </c>
      <c r="G4534" t="s">
        <v>1073</v>
      </c>
      <c r="H4534" s="171" t="s">
        <v>3178</v>
      </c>
      <c r="I4534" t="s">
        <v>1074</v>
      </c>
      <c r="J4534">
        <v>7.39</v>
      </c>
    </row>
    <row r="4535" spans="1:10" hidden="1">
      <c r="A4535" t="s">
        <v>3175</v>
      </c>
      <c r="B4535" t="s">
        <v>3176</v>
      </c>
      <c r="C4535" t="s">
        <v>235</v>
      </c>
      <c r="D4535" t="s">
        <v>3151</v>
      </c>
      <c r="E4535" t="s">
        <v>556</v>
      </c>
      <c r="F4535" t="s">
        <v>1068</v>
      </c>
      <c r="G4535" t="s">
        <v>1075</v>
      </c>
      <c r="H4535">
        <v>3.4712323134918999E-3</v>
      </c>
      <c r="I4535" t="s">
        <v>1077</v>
      </c>
      <c r="J4535">
        <v>7.39</v>
      </c>
    </row>
    <row r="4536" spans="1:10" hidden="1">
      <c r="A4536" t="s">
        <v>3175</v>
      </c>
      <c r="B4536" t="s">
        <v>3176</v>
      </c>
      <c r="C4536" t="s">
        <v>235</v>
      </c>
      <c r="D4536" t="s">
        <v>3151</v>
      </c>
      <c r="E4536" t="s">
        <v>556</v>
      </c>
      <c r="F4536" t="s">
        <v>1068</v>
      </c>
      <c r="G4536" t="s">
        <v>1078</v>
      </c>
      <c r="H4536" s="171" t="s">
        <v>3179</v>
      </c>
      <c r="I4536" t="s">
        <v>1079</v>
      </c>
      <c r="J4536">
        <v>7.39</v>
      </c>
    </row>
    <row r="4537" spans="1:10" hidden="1">
      <c r="A4537" t="s">
        <v>3175</v>
      </c>
      <c r="B4537" t="s">
        <v>3176</v>
      </c>
      <c r="C4537" t="s">
        <v>235</v>
      </c>
      <c r="D4537" t="s">
        <v>3151</v>
      </c>
      <c r="E4537" t="s">
        <v>556</v>
      </c>
      <c r="F4537" t="s">
        <v>1068</v>
      </c>
      <c r="G4537" t="s">
        <v>1080</v>
      </c>
      <c r="H4537" s="171" t="s">
        <v>3180</v>
      </c>
      <c r="I4537" t="s">
        <v>1082</v>
      </c>
      <c r="J4537">
        <v>7.39</v>
      </c>
    </row>
    <row r="4538" spans="1:10" hidden="1">
      <c r="A4538" t="s">
        <v>3175</v>
      </c>
      <c r="B4538" t="s">
        <v>3176</v>
      </c>
      <c r="C4538" t="s">
        <v>235</v>
      </c>
      <c r="D4538" t="s">
        <v>3151</v>
      </c>
      <c r="E4538" t="s">
        <v>556</v>
      </c>
      <c r="F4538" t="s">
        <v>1068</v>
      </c>
      <c r="G4538" t="s">
        <v>1083</v>
      </c>
      <c r="H4538" s="171" t="s">
        <v>3181</v>
      </c>
      <c r="I4538" t="s">
        <v>1084</v>
      </c>
      <c r="J4538">
        <v>7.39</v>
      </c>
    </row>
    <row r="4539" spans="1:10" hidden="1">
      <c r="A4539" t="s">
        <v>3175</v>
      </c>
      <c r="B4539" t="s">
        <v>3176</v>
      </c>
      <c r="C4539" t="s">
        <v>235</v>
      </c>
      <c r="D4539" t="s">
        <v>3151</v>
      </c>
      <c r="E4539" t="s">
        <v>556</v>
      </c>
      <c r="F4539" t="s">
        <v>1068</v>
      </c>
      <c r="G4539" t="s">
        <v>1085</v>
      </c>
      <c r="H4539" s="171" t="s">
        <v>3182</v>
      </c>
      <c r="I4539" t="s">
        <v>1086</v>
      </c>
      <c r="J4539">
        <v>7.39</v>
      </c>
    </row>
    <row r="4540" spans="1:10" hidden="1">
      <c r="A4540" t="s">
        <v>3175</v>
      </c>
      <c r="B4540" t="s">
        <v>3176</v>
      </c>
      <c r="C4540" t="s">
        <v>235</v>
      </c>
      <c r="D4540" t="s">
        <v>3151</v>
      </c>
      <c r="E4540" t="s">
        <v>556</v>
      </c>
      <c r="F4540" t="s">
        <v>1068</v>
      </c>
      <c r="G4540" t="s">
        <v>1087</v>
      </c>
      <c r="H4540" s="171" t="s">
        <v>3183</v>
      </c>
      <c r="I4540" t="s">
        <v>1088</v>
      </c>
      <c r="J4540">
        <v>7.39</v>
      </c>
    </row>
    <row r="4541" spans="1:10" hidden="1">
      <c r="A4541" t="s">
        <v>3175</v>
      </c>
      <c r="B4541" t="s">
        <v>3176</v>
      </c>
      <c r="C4541" t="s">
        <v>235</v>
      </c>
      <c r="D4541" t="s">
        <v>3151</v>
      </c>
      <c r="E4541" t="s">
        <v>556</v>
      </c>
      <c r="F4541" t="s">
        <v>1068</v>
      </c>
      <c r="G4541" t="s">
        <v>1089</v>
      </c>
      <c r="H4541" s="171" t="s">
        <v>3184</v>
      </c>
      <c r="I4541" t="s">
        <v>1090</v>
      </c>
      <c r="J4541">
        <v>7.39</v>
      </c>
    </row>
    <row r="4542" spans="1:10" hidden="1">
      <c r="A4542" t="s">
        <v>3185</v>
      </c>
      <c r="B4542" t="s">
        <v>3186</v>
      </c>
      <c r="C4542" t="s">
        <v>235</v>
      </c>
      <c r="D4542" t="s">
        <v>3151</v>
      </c>
      <c r="E4542" t="s">
        <v>557</v>
      </c>
      <c r="F4542" t="s">
        <v>1068</v>
      </c>
      <c r="G4542" t="s">
        <v>1069</v>
      </c>
      <c r="H4542">
        <v>7.1899587437138202E-2</v>
      </c>
      <c r="I4542" t="s">
        <v>1070</v>
      </c>
      <c r="J4542">
        <v>7.76</v>
      </c>
    </row>
    <row r="4543" spans="1:10" hidden="1">
      <c r="A4543" t="s">
        <v>3185</v>
      </c>
      <c r="B4543" t="s">
        <v>3186</v>
      </c>
      <c r="C4543" t="s">
        <v>235</v>
      </c>
      <c r="D4543" t="s">
        <v>3151</v>
      </c>
      <c r="E4543" t="s">
        <v>557</v>
      </c>
      <c r="F4543" t="s">
        <v>1068</v>
      </c>
      <c r="G4543" t="s">
        <v>1071</v>
      </c>
      <c r="H4543" s="171" t="s">
        <v>3112</v>
      </c>
      <c r="I4543" t="s">
        <v>1072</v>
      </c>
      <c r="J4543">
        <v>7.76</v>
      </c>
    </row>
    <row r="4544" spans="1:10" hidden="1">
      <c r="A4544" t="s">
        <v>3185</v>
      </c>
      <c r="B4544" t="s">
        <v>3186</v>
      </c>
      <c r="C4544" t="s">
        <v>235</v>
      </c>
      <c r="D4544" t="s">
        <v>3151</v>
      </c>
      <c r="E4544" t="s">
        <v>557</v>
      </c>
      <c r="F4544" t="s">
        <v>1068</v>
      </c>
      <c r="G4544" t="s">
        <v>1073</v>
      </c>
      <c r="H4544" s="171" t="s">
        <v>3113</v>
      </c>
      <c r="I4544" t="s">
        <v>1074</v>
      </c>
      <c r="J4544">
        <v>7.76</v>
      </c>
    </row>
    <row r="4545" spans="1:10" hidden="1">
      <c r="A4545" t="s">
        <v>3185</v>
      </c>
      <c r="B4545" t="s">
        <v>3186</v>
      </c>
      <c r="C4545" t="s">
        <v>235</v>
      </c>
      <c r="D4545" t="s">
        <v>3151</v>
      </c>
      <c r="E4545" t="s">
        <v>557</v>
      </c>
      <c r="F4545" t="s">
        <v>1068</v>
      </c>
      <c r="G4545" t="s">
        <v>1075</v>
      </c>
      <c r="H4545">
        <v>3.4709308923895799E-3</v>
      </c>
      <c r="I4545" t="s">
        <v>1077</v>
      </c>
      <c r="J4545">
        <v>7.76</v>
      </c>
    </row>
    <row r="4546" spans="1:10" hidden="1">
      <c r="A4546" t="s">
        <v>3185</v>
      </c>
      <c r="B4546" t="s">
        <v>3186</v>
      </c>
      <c r="C4546" t="s">
        <v>235</v>
      </c>
      <c r="D4546" t="s">
        <v>3151</v>
      </c>
      <c r="E4546" t="s">
        <v>557</v>
      </c>
      <c r="F4546" t="s">
        <v>1068</v>
      </c>
      <c r="G4546" t="s">
        <v>1078</v>
      </c>
      <c r="H4546" s="171" t="s">
        <v>3114</v>
      </c>
      <c r="I4546" t="s">
        <v>1079</v>
      </c>
      <c r="J4546">
        <v>7.76</v>
      </c>
    </row>
    <row r="4547" spans="1:10" hidden="1">
      <c r="A4547" t="s">
        <v>3185</v>
      </c>
      <c r="B4547" t="s">
        <v>3186</v>
      </c>
      <c r="C4547" t="s">
        <v>235</v>
      </c>
      <c r="D4547" t="s">
        <v>3151</v>
      </c>
      <c r="E4547" t="s">
        <v>557</v>
      </c>
      <c r="F4547" t="s">
        <v>1068</v>
      </c>
      <c r="G4547" t="s">
        <v>1080</v>
      </c>
      <c r="H4547" s="171" t="s">
        <v>3115</v>
      </c>
      <c r="I4547" t="s">
        <v>1082</v>
      </c>
      <c r="J4547">
        <v>7.76</v>
      </c>
    </row>
    <row r="4548" spans="1:10" hidden="1">
      <c r="A4548" t="s">
        <v>3185</v>
      </c>
      <c r="B4548" t="s">
        <v>3186</v>
      </c>
      <c r="C4548" t="s">
        <v>235</v>
      </c>
      <c r="D4548" t="s">
        <v>3151</v>
      </c>
      <c r="E4548" t="s">
        <v>557</v>
      </c>
      <c r="F4548" t="s">
        <v>1068</v>
      </c>
      <c r="G4548" t="s">
        <v>1083</v>
      </c>
      <c r="H4548" s="171" t="s">
        <v>3116</v>
      </c>
      <c r="I4548" t="s">
        <v>1084</v>
      </c>
      <c r="J4548">
        <v>7.76</v>
      </c>
    </row>
    <row r="4549" spans="1:10" hidden="1">
      <c r="A4549" t="s">
        <v>3185</v>
      </c>
      <c r="B4549" t="s">
        <v>3186</v>
      </c>
      <c r="C4549" t="s">
        <v>235</v>
      </c>
      <c r="D4549" t="s">
        <v>3151</v>
      </c>
      <c r="E4549" t="s">
        <v>557</v>
      </c>
      <c r="F4549" t="s">
        <v>1068</v>
      </c>
      <c r="G4549" t="s">
        <v>1085</v>
      </c>
      <c r="H4549" s="171" t="s">
        <v>3117</v>
      </c>
      <c r="I4549" t="s">
        <v>1086</v>
      </c>
      <c r="J4549">
        <v>7.76</v>
      </c>
    </row>
    <row r="4550" spans="1:10" hidden="1">
      <c r="A4550" t="s">
        <v>3185</v>
      </c>
      <c r="B4550" t="s">
        <v>3186</v>
      </c>
      <c r="C4550" t="s">
        <v>235</v>
      </c>
      <c r="D4550" t="s">
        <v>3151</v>
      </c>
      <c r="E4550" t="s">
        <v>557</v>
      </c>
      <c r="F4550" t="s">
        <v>1068</v>
      </c>
      <c r="G4550" t="s">
        <v>1087</v>
      </c>
      <c r="H4550" s="171" t="s">
        <v>3118</v>
      </c>
      <c r="I4550" t="s">
        <v>1088</v>
      </c>
      <c r="J4550">
        <v>7.76</v>
      </c>
    </row>
    <row r="4551" spans="1:10" hidden="1">
      <c r="A4551" t="s">
        <v>3185</v>
      </c>
      <c r="B4551" t="s">
        <v>3186</v>
      </c>
      <c r="C4551" t="s">
        <v>235</v>
      </c>
      <c r="D4551" t="s">
        <v>3151</v>
      </c>
      <c r="E4551" t="s">
        <v>557</v>
      </c>
      <c r="F4551" t="s">
        <v>1068</v>
      </c>
      <c r="G4551" t="s">
        <v>1089</v>
      </c>
      <c r="H4551" s="171" t="s">
        <v>3119</v>
      </c>
      <c r="I4551" t="s">
        <v>1090</v>
      </c>
      <c r="J4551">
        <v>7.76</v>
      </c>
    </row>
    <row r="4552" spans="1:10" hidden="1">
      <c r="A4552" t="s">
        <v>3187</v>
      </c>
      <c r="B4552" t="s">
        <v>3188</v>
      </c>
      <c r="C4552" t="s">
        <v>235</v>
      </c>
      <c r="D4552" t="s">
        <v>3151</v>
      </c>
      <c r="E4552" t="s">
        <v>559</v>
      </c>
      <c r="F4552" t="s">
        <v>1068</v>
      </c>
      <c r="G4552" t="s">
        <v>1069</v>
      </c>
      <c r="H4552">
        <v>7.1929017761066902E-2</v>
      </c>
      <c r="I4552" t="s">
        <v>1070</v>
      </c>
      <c r="J4552">
        <v>7.76</v>
      </c>
    </row>
    <row r="4553" spans="1:10" hidden="1">
      <c r="A4553" t="s">
        <v>3187</v>
      </c>
      <c r="B4553" t="s">
        <v>3188</v>
      </c>
      <c r="C4553" t="s">
        <v>235</v>
      </c>
      <c r="D4553" t="s">
        <v>3151</v>
      </c>
      <c r="E4553" t="s">
        <v>559</v>
      </c>
      <c r="F4553" t="s">
        <v>1068</v>
      </c>
      <c r="G4553" t="s">
        <v>1071</v>
      </c>
      <c r="H4553" s="171" t="s">
        <v>3189</v>
      </c>
      <c r="I4553" t="s">
        <v>1072</v>
      </c>
      <c r="J4553">
        <v>7.76</v>
      </c>
    </row>
    <row r="4554" spans="1:10" hidden="1">
      <c r="A4554" t="s">
        <v>3187</v>
      </c>
      <c r="B4554" t="s">
        <v>3188</v>
      </c>
      <c r="C4554" t="s">
        <v>235</v>
      </c>
      <c r="D4554" t="s">
        <v>3151</v>
      </c>
      <c r="E4554" t="s">
        <v>559</v>
      </c>
      <c r="F4554" t="s">
        <v>1068</v>
      </c>
      <c r="G4554" t="s">
        <v>1073</v>
      </c>
      <c r="H4554" s="171" t="s">
        <v>3123</v>
      </c>
      <c r="I4554" t="s">
        <v>1074</v>
      </c>
      <c r="J4554">
        <v>7.76</v>
      </c>
    </row>
    <row r="4555" spans="1:10" hidden="1">
      <c r="A4555" t="s">
        <v>3187</v>
      </c>
      <c r="B4555" t="s">
        <v>3188</v>
      </c>
      <c r="C4555" t="s">
        <v>235</v>
      </c>
      <c r="D4555" t="s">
        <v>3151</v>
      </c>
      <c r="E4555" t="s">
        <v>559</v>
      </c>
      <c r="F4555" t="s">
        <v>1068</v>
      </c>
      <c r="G4555" t="s">
        <v>1075</v>
      </c>
      <c r="H4555">
        <v>3.4710889859223201E-3</v>
      </c>
      <c r="I4555" t="s">
        <v>1077</v>
      </c>
      <c r="J4555">
        <v>7.76</v>
      </c>
    </row>
    <row r="4556" spans="1:10" hidden="1">
      <c r="A4556" t="s">
        <v>3187</v>
      </c>
      <c r="B4556" t="s">
        <v>3188</v>
      </c>
      <c r="C4556" t="s">
        <v>235</v>
      </c>
      <c r="D4556" t="s">
        <v>3151</v>
      </c>
      <c r="E4556" t="s">
        <v>559</v>
      </c>
      <c r="F4556" t="s">
        <v>1068</v>
      </c>
      <c r="G4556" t="s">
        <v>1078</v>
      </c>
      <c r="H4556" s="171" t="s">
        <v>3190</v>
      </c>
      <c r="I4556" t="s">
        <v>1079</v>
      </c>
      <c r="J4556">
        <v>7.76</v>
      </c>
    </row>
    <row r="4557" spans="1:10" hidden="1">
      <c r="A4557" t="s">
        <v>3187</v>
      </c>
      <c r="B4557" t="s">
        <v>3188</v>
      </c>
      <c r="C4557" t="s">
        <v>235</v>
      </c>
      <c r="D4557" t="s">
        <v>3151</v>
      </c>
      <c r="E4557" t="s">
        <v>559</v>
      </c>
      <c r="F4557" t="s">
        <v>1068</v>
      </c>
      <c r="G4557" t="s">
        <v>1080</v>
      </c>
      <c r="H4557" s="171" t="s">
        <v>3191</v>
      </c>
      <c r="I4557" t="s">
        <v>1082</v>
      </c>
      <c r="J4557">
        <v>7.76</v>
      </c>
    </row>
    <row r="4558" spans="1:10" hidden="1">
      <c r="A4558" t="s">
        <v>3187</v>
      </c>
      <c r="B4558" t="s">
        <v>3188</v>
      </c>
      <c r="C4558" t="s">
        <v>235</v>
      </c>
      <c r="D4558" t="s">
        <v>3151</v>
      </c>
      <c r="E4558" t="s">
        <v>559</v>
      </c>
      <c r="F4558" t="s">
        <v>1068</v>
      </c>
      <c r="G4558" t="s">
        <v>1083</v>
      </c>
      <c r="H4558" s="171" t="s">
        <v>3192</v>
      </c>
      <c r="I4558" t="s">
        <v>1084</v>
      </c>
      <c r="J4558">
        <v>7.76</v>
      </c>
    </row>
    <row r="4559" spans="1:10" hidden="1">
      <c r="A4559" t="s">
        <v>3187</v>
      </c>
      <c r="B4559" t="s">
        <v>3188</v>
      </c>
      <c r="C4559" t="s">
        <v>235</v>
      </c>
      <c r="D4559" t="s">
        <v>3151</v>
      </c>
      <c r="E4559" t="s">
        <v>559</v>
      </c>
      <c r="F4559" t="s">
        <v>1068</v>
      </c>
      <c r="G4559" t="s">
        <v>1085</v>
      </c>
      <c r="H4559" s="171" t="s">
        <v>3126</v>
      </c>
      <c r="I4559" t="s">
        <v>1086</v>
      </c>
      <c r="J4559">
        <v>7.76</v>
      </c>
    </row>
    <row r="4560" spans="1:10" hidden="1">
      <c r="A4560" t="s">
        <v>3187</v>
      </c>
      <c r="B4560" t="s">
        <v>3188</v>
      </c>
      <c r="C4560" t="s">
        <v>235</v>
      </c>
      <c r="D4560" t="s">
        <v>3151</v>
      </c>
      <c r="E4560" t="s">
        <v>559</v>
      </c>
      <c r="F4560" t="s">
        <v>1068</v>
      </c>
      <c r="G4560" t="s">
        <v>1087</v>
      </c>
      <c r="H4560" s="171" t="s">
        <v>3127</v>
      </c>
      <c r="I4560" t="s">
        <v>1088</v>
      </c>
      <c r="J4560">
        <v>7.76</v>
      </c>
    </row>
    <row r="4561" spans="1:10" hidden="1">
      <c r="A4561" t="s">
        <v>3187</v>
      </c>
      <c r="B4561" t="s">
        <v>3188</v>
      </c>
      <c r="C4561" t="s">
        <v>235</v>
      </c>
      <c r="D4561" t="s">
        <v>3151</v>
      </c>
      <c r="E4561" t="s">
        <v>559</v>
      </c>
      <c r="F4561" t="s">
        <v>1068</v>
      </c>
      <c r="G4561" t="s">
        <v>1089</v>
      </c>
      <c r="H4561" s="171" t="s">
        <v>3128</v>
      </c>
      <c r="I4561" t="s">
        <v>1090</v>
      </c>
      <c r="J4561">
        <v>7.76</v>
      </c>
    </row>
    <row r="4562" spans="1:10" hidden="1">
      <c r="A4562" t="s">
        <v>3193</v>
      </c>
      <c r="B4562" t="s">
        <v>3194</v>
      </c>
      <c r="C4562" t="s">
        <v>235</v>
      </c>
      <c r="D4562" t="s">
        <v>3151</v>
      </c>
      <c r="E4562" t="s">
        <v>560</v>
      </c>
      <c r="F4562" t="s">
        <v>1068</v>
      </c>
      <c r="G4562" t="s">
        <v>1069</v>
      </c>
      <c r="H4562">
        <v>7.1902364794235299E-2</v>
      </c>
      <c r="I4562" t="s">
        <v>1070</v>
      </c>
      <c r="J4562">
        <v>8.76</v>
      </c>
    </row>
    <row r="4563" spans="1:10" hidden="1">
      <c r="A4563" t="s">
        <v>3193</v>
      </c>
      <c r="B4563" t="s">
        <v>3194</v>
      </c>
      <c r="C4563" t="s">
        <v>235</v>
      </c>
      <c r="D4563" t="s">
        <v>3151</v>
      </c>
      <c r="E4563" t="s">
        <v>560</v>
      </c>
      <c r="F4563" t="s">
        <v>1068</v>
      </c>
      <c r="G4563" t="s">
        <v>1071</v>
      </c>
      <c r="H4563" s="171" t="s">
        <v>3195</v>
      </c>
      <c r="I4563" t="s">
        <v>1072</v>
      </c>
      <c r="J4563">
        <v>8.76</v>
      </c>
    </row>
    <row r="4564" spans="1:10" hidden="1">
      <c r="A4564" t="s">
        <v>3193</v>
      </c>
      <c r="B4564" t="s">
        <v>3194</v>
      </c>
      <c r="C4564" t="s">
        <v>235</v>
      </c>
      <c r="D4564" t="s">
        <v>3151</v>
      </c>
      <c r="E4564" t="s">
        <v>560</v>
      </c>
      <c r="F4564" t="s">
        <v>1068</v>
      </c>
      <c r="G4564" t="s">
        <v>1073</v>
      </c>
      <c r="H4564" s="171" t="s">
        <v>3196</v>
      </c>
      <c r="I4564" t="s">
        <v>1074</v>
      </c>
      <c r="J4564">
        <v>8.76</v>
      </c>
    </row>
    <row r="4565" spans="1:10" hidden="1">
      <c r="A4565" t="s">
        <v>3193</v>
      </c>
      <c r="B4565" t="s">
        <v>3194</v>
      </c>
      <c r="C4565" t="s">
        <v>235</v>
      </c>
      <c r="D4565" t="s">
        <v>3151</v>
      </c>
      <c r="E4565" t="s">
        <v>560</v>
      </c>
      <c r="F4565" t="s">
        <v>1068</v>
      </c>
      <c r="G4565" t="s">
        <v>1075</v>
      </c>
      <c r="H4565">
        <v>3.4710186876143801E-3</v>
      </c>
      <c r="I4565" t="s">
        <v>1077</v>
      </c>
      <c r="J4565">
        <v>8.76</v>
      </c>
    </row>
    <row r="4566" spans="1:10" hidden="1">
      <c r="A4566" t="s">
        <v>3193</v>
      </c>
      <c r="B4566" t="s">
        <v>3194</v>
      </c>
      <c r="C4566" t="s">
        <v>235</v>
      </c>
      <c r="D4566" t="s">
        <v>3151</v>
      </c>
      <c r="E4566" t="s">
        <v>560</v>
      </c>
      <c r="F4566" t="s">
        <v>1068</v>
      </c>
      <c r="G4566" t="s">
        <v>1078</v>
      </c>
      <c r="H4566" s="171" t="s">
        <v>3197</v>
      </c>
      <c r="I4566" t="s">
        <v>1079</v>
      </c>
      <c r="J4566">
        <v>8.76</v>
      </c>
    </row>
    <row r="4567" spans="1:10" hidden="1">
      <c r="A4567" t="s">
        <v>3193</v>
      </c>
      <c r="B4567" t="s">
        <v>3194</v>
      </c>
      <c r="C4567" t="s">
        <v>235</v>
      </c>
      <c r="D4567" t="s">
        <v>3151</v>
      </c>
      <c r="E4567" t="s">
        <v>560</v>
      </c>
      <c r="F4567" t="s">
        <v>1068</v>
      </c>
      <c r="G4567" t="s">
        <v>1080</v>
      </c>
      <c r="H4567" s="171" t="s">
        <v>3198</v>
      </c>
      <c r="I4567" t="s">
        <v>1082</v>
      </c>
      <c r="J4567">
        <v>8.76</v>
      </c>
    </row>
    <row r="4568" spans="1:10" hidden="1">
      <c r="A4568" t="s">
        <v>3193</v>
      </c>
      <c r="B4568" t="s">
        <v>3194</v>
      </c>
      <c r="C4568" t="s">
        <v>235</v>
      </c>
      <c r="D4568" t="s">
        <v>3151</v>
      </c>
      <c r="E4568" t="s">
        <v>560</v>
      </c>
      <c r="F4568" t="s">
        <v>1068</v>
      </c>
      <c r="G4568" t="s">
        <v>1083</v>
      </c>
      <c r="H4568" s="171" t="s">
        <v>3135</v>
      </c>
      <c r="I4568" t="s">
        <v>1084</v>
      </c>
      <c r="J4568">
        <v>8.76</v>
      </c>
    </row>
    <row r="4569" spans="1:10" hidden="1">
      <c r="A4569" t="s">
        <v>3193</v>
      </c>
      <c r="B4569" t="s">
        <v>3194</v>
      </c>
      <c r="C4569" t="s">
        <v>235</v>
      </c>
      <c r="D4569" t="s">
        <v>3151</v>
      </c>
      <c r="E4569" t="s">
        <v>560</v>
      </c>
      <c r="F4569" t="s">
        <v>1068</v>
      </c>
      <c r="G4569" t="s">
        <v>1085</v>
      </c>
      <c r="H4569" s="171" t="s">
        <v>3199</v>
      </c>
      <c r="I4569" t="s">
        <v>1086</v>
      </c>
      <c r="J4569">
        <v>8.76</v>
      </c>
    </row>
    <row r="4570" spans="1:10" hidden="1">
      <c r="A4570" t="s">
        <v>3193</v>
      </c>
      <c r="B4570" t="s">
        <v>3194</v>
      </c>
      <c r="C4570" t="s">
        <v>235</v>
      </c>
      <c r="D4570" t="s">
        <v>3151</v>
      </c>
      <c r="E4570" t="s">
        <v>560</v>
      </c>
      <c r="F4570" t="s">
        <v>1068</v>
      </c>
      <c r="G4570" t="s">
        <v>1087</v>
      </c>
      <c r="H4570" s="171" t="s">
        <v>3200</v>
      </c>
      <c r="I4570" t="s">
        <v>1088</v>
      </c>
      <c r="J4570">
        <v>8.76</v>
      </c>
    </row>
    <row r="4571" spans="1:10" hidden="1">
      <c r="A4571" t="s">
        <v>3193</v>
      </c>
      <c r="B4571" t="s">
        <v>3194</v>
      </c>
      <c r="C4571" t="s">
        <v>235</v>
      </c>
      <c r="D4571" t="s">
        <v>3151</v>
      </c>
      <c r="E4571" t="s">
        <v>560</v>
      </c>
      <c r="F4571" t="s">
        <v>1068</v>
      </c>
      <c r="G4571" t="s">
        <v>1089</v>
      </c>
      <c r="H4571" s="171" t="s">
        <v>3138</v>
      </c>
      <c r="I4571" t="s">
        <v>1090</v>
      </c>
      <c r="J4571">
        <v>8.76</v>
      </c>
    </row>
    <row r="4572" spans="1:10" hidden="1">
      <c r="A4572" t="s">
        <v>3201</v>
      </c>
      <c r="B4572" t="s">
        <v>3202</v>
      </c>
      <c r="C4572" t="s">
        <v>235</v>
      </c>
      <c r="D4572" t="s">
        <v>3151</v>
      </c>
      <c r="E4572" t="s">
        <v>1116</v>
      </c>
      <c r="F4572" t="s">
        <v>1068</v>
      </c>
      <c r="G4572" t="s">
        <v>1069</v>
      </c>
      <c r="H4572">
        <v>7.18939352361401E-2</v>
      </c>
      <c r="I4572" t="s">
        <v>1070</v>
      </c>
      <c r="J4572">
        <v>6.88</v>
      </c>
    </row>
    <row r="4573" spans="1:10" hidden="1">
      <c r="A4573" t="s">
        <v>3201</v>
      </c>
      <c r="B4573" t="s">
        <v>3202</v>
      </c>
      <c r="C4573" t="s">
        <v>235</v>
      </c>
      <c r="D4573" t="s">
        <v>3151</v>
      </c>
      <c r="E4573" t="s">
        <v>1116</v>
      </c>
      <c r="F4573" t="s">
        <v>1068</v>
      </c>
      <c r="G4573" t="s">
        <v>1071</v>
      </c>
      <c r="H4573" s="171" t="s">
        <v>3203</v>
      </c>
      <c r="I4573" t="s">
        <v>1072</v>
      </c>
      <c r="J4573">
        <v>6.88</v>
      </c>
    </row>
    <row r="4574" spans="1:10" hidden="1">
      <c r="A4574" t="s">
        <v>3201</v>
      </c>
      <c r="B4574" t="s">
        <v>3202</v>
      </c>
      <c r="C4574" t="s">
        <v>235</v>
      </c>
      <c r="D4574" t="s">
        <v>3151</v>
      </c>
      <c r="E4574" t="s">
        <v>1116</v>
      </c>
      <c r="F4574" t="s">
        <v>1068</v>
      </c>
      <c r="G4574" t="s">
        <v>1073</v>
      </c>
      <c r="H4574" s="171" t="s">
        <v>3204</v>
      </c>
      <c r="I4574" t="s">
        <v>1074</v>
      </c>
      <c r="J4574">
        <v>6.88</v>
      </c>
    </row>
    <row r="4575" spans="1:10" hidden="1">
      <c r="A4575" t="s">
        <v>3201</v>
      </c>
      <c r="B4575" t="s">
        <v>3202</v>
      </c>
      <c r="C4575" t="s">
        <v>235</v>
      </c>
      <c r="D4575" t="s">
        <v>3151</v>
      </c>
      <c r="E4575" t="s">
        <v>1116</v>
      </c>
      <c r="F4575" t="s">
        <v>1068</v>
      </c>
      <c r="G4575" t="s">
        <v>1075</v>
      </c>
      <c r="H4575">
        <v>3.4707522202779501E-3</v>
      </c>
      <c r="I4575" t="s">
        <v>1077</v>
      </c>
      <c r="J4575">
        <v>6.88</v>
      </c>
    </row>
    <row r="4576" spans="1:10" hidden="1">
      <c r="A4576" t="s">
        <v>3201</v>
      </c>
      <c r="B4576" t="s">
        <v>3202</v>
      </c>
      <c r="C4576" t="s">
        <v>235</v>
      </c>
      <c r="D4576" t="s">
        <v>3151</v>
      </c>
      <c r="E4576" t="s">
        <v>1116</v>
      </c>
      <c r="F4576" t="s">
        <v>1068</v>
      </c>
      <c r="G4576" t="s">
        <v>1078</v>
      </c>
      <c r="H4576" s="171" t="s">
        <v>3205</v>
      </c>
      <c r="I4576" t="s">
        <v>1079</v>
      </c>
      <c r="J4576">
        <v>6.88</v>
      </c>
    </row>
    <row r="4577" spans="1:10" hidden="1">
      <c r="A4577" t="s">
        <v>3201</v>
      </c>
      <c r="B4577" t="s">
        <v>3202</v>
      </c>
      <c r="C4577" t="s">
        <v>235</v>
      </c>
      <c r="D4577" t="s">
        <v>3151</v>
      </c>
      <c r="E4577" t="s">
        <v>1116</v>
      </c>
      <c r="F4577" t="s">
        <v>1068</v>
      </c>
      <c r="G4577" t="s">
        <v>1080</v>
      </c>
      <c r="H4577" s="171" t="s">
        <v>3206</v>
      </c>
      <c r="I4577" t="s">
        <v>1082</v>
      </c>
      <c r="J4577">
        <v>6.88</v>
      </c>
    </row>
    <row r="4578" spans="1:10" hidden="1">
      <c r="A4578" t="s">
        <v>3201</v>
      </c>
      <c r="B4578" t="s">
        <v>3202</v>
      </c>
      <c r="C4578" t="s">
        <v>235</v>
      </c>
      <c r="D4578" t="s">
        <v>3151</v>
      </c>
      <c r="E4578" t="s">
        <v>1116</v>
      </c>
      <c r="F4578" t="s">
        <v>1068</v>
      </c>
      <c r="G4578" t="s">
        <v>1083</v>
      </c>
      <c r="H4578" s="171" t="s">
        <v>3145</v>
      </c>
      <c r="I4578" t="s">
        <v>1084</v>
      </c>
      <c r="J4578">
        <v>6.88</v>
      </c>
    </row>
    <row r="4579" spans="1:10" hidden="1">
      <c r="A4579" t="s">
        <v>3201</v>
      </c>
      <c r="B4579" t="s">
        <v>3202</v>
      </c>
      <c r="C4579" t="s">
        <v>235</v>
      </c>
      <c r="D4579" t="s">
        <v>3151</v>
      </c>
      <c r="E4579" t="s">
        <v>1116</v>
      </c>
      <c r="F4579" t="s">
        <v>1068</v>
      </c>
      <c r="G4579" t="s">
        <v>1085</v>
      </c>
      <c r="H4579" s="171" t="s">
        <v>3146</v>
      </c>
      <c r="I4579" t="s">
        <v>1086</v>
      </c>
      <c r="J4579">
        <v>6.88</v>
      </c>
    </row>
    <row r="4580" spans="1:10" hidden="1">
      <c r="A4580" t="s">
        <v>3201</v>
      </c>
      <c r="B4580" t="s">
        <v>3202</v>
      </c>
      <c r="C4580" t="s">
        <v>235</v>
      </c>
      <c r="D4580" t="s">
        <v>3151</v>
      </c>
      <c r="E4580" t="s">
        <v>1116</v>
      </c>
      <c r="F4580" t="s">
        <v>1068</v>
      </c>
      <c r="G4580" t="s">
        <v>1087</v>
      </c>
      <c r="H4580" s="171" t="s">
        <v>3207</v>
      </c>
      <c r="I4580" t="s">
        <v>1088</v>
      </c>
      <c r="J4580">
        <v>6.88</v>
      </c>
    </row>
    <row r="4581" spans="1:10" hidden="1">
      <c r="A4581" t="s">
        <v>3201</v>
      </c>
      <c r="B4581" t="s">
        <v>3202</v>
      </c>
      <c r="C4581" t="s">
        <v>235</v>
      </c>
      <c r="D4581" t="s">
        <v>3151</v>
      </c>
      <c r="E4581" t="s">
        <v>1116</v>
      </c>
      <c r="F4581" t="s">
        <v>1068</v>
      </c>
      <c r="G4581" t="s">
        <v>1089</v>
      </c>
      <c r="H4581" s="171" t="s">
        <v>3208</v>
      </c>
      <c r="I4581" t="s">
        <v>1090</v>
      </c>
      <c r="J4581">
        <v>6.88</v>
      </c>
    </row>
    <row r="4582" spans="1:10" hidden="1">
      <c r="A4582" t="s">
        <v>3209</v>
      </c>
      <c r="B4582" t="s">
        <v>3210</v>
      </c>
      <c r="C4582" t="s">
        <v>235</v>
      </c>
      <c r="D4582" t="s">
        <v>271</v>
      </c>
      <c r="E4582" t="s">
        <v>561</v>
      </c>
      <c r="F4582" t="s">
        <v>1068</v>
      </c>
      <c r="G4582" t="s">
        <v>1069</v>
      </c>
      <c r="H4582">
        <v>-2.22034570111285E-2</v>
      </c>
      <c r="I4582" t="s">
        <v>1070</v>
      </c>
      <c r="J4582">
        <v>7.06</v>
      </c>
    </row>
    <row r="4583" spans="1:10" hidden="1">
      <c r="A4583" t="s">
        <v>3209</v>
      </c>
      <c r="B4583" t="s">
        <v>3210</v>
      </c>
      <c r="C4583" t="s">
        <v>235</v>
      </c>
      <c r="D4583" t="s">
        <v>271</v>
      </c>
      <c r="E4583" t="s">
        <v>561</v>
      </c>
      <c r="F4583" t="s">
        <v>1068</v>
      </c>
      <c r="G4583" t="s">
        <v>1071</v>
      </c>
      <c r="H4583" s="170">
        <v>-9.9008463629607606E-11</v>
      </c>
      <c r="I4583" t="s">
        <v>1072</v>
      </c>
      <c r="J4583">
        <v>7.06</v>
      </c>
    </row>
    <row r="4584" spans="1:10" hidden="1">
      <c r="A4584" t="s">
        <v>3209</v>
      </c>
      <c r="B4584" t="s">
        <v>3210</v>
      </c>
      <c r="C4584" t="s">
        <v>235</v>
      </c>
      <c r="D4584" t="s">
        <v>271</v>
      </c>
      <c r="E4584" t="s">
        <v>561</v>
      </c>
      <c r="F4584" t="s">
        <v>1068</v>
      </c>
      <c r="G4584" t="s">
        <v>1073</v>
      </c>
      <c r="H4584" s="170">
        <v>-4.9037004128090498E-9</v>
      </c>
      <c r="I4584" t="s">
        <v>1074</v>
      </c>
      <c r="J4584">
        <v>7.06</v>
      </c>
    </row>
    <row r="4585" spans="1:10" hidden="1">
      <c r="A4585" t="s">
        <v>3209</v>
      </c>
      <c r="B4585" t="s">
        <v>3210</v>
      </c>
      <c r="C4585" t="s">
        <v>235</v>
      </c>
      <c r="D4585" t="s">
        <v>271</v>
      </c>
      <c r="E4585" t="s">
        <v>561</v>
      </c>
      <c r="F4585" t="s">
        <v>1068</v>
      </c>
      <c r="G4585" t="s">
        <v>1075</v>
      </c>
      <c r="H4585">
        <v>1.2590526012162099E-3</v>
      </c>
      <c r="I4585" t="s">
        <v>1077</v>
      </c>
      <c r="J4585">
        <v>7.06</v>
      </c>
    </row>
    <row r="4586" spans="1:10" hidden="1">
      <c r="A4586" t="s">
        <v>3209</v>
      </c>
      <c r="B4586" t="s">
        <v>3210</v>
      </c>
      <c r="C4586" t="s">
        <v>235</v>
      </c>
      <c r="D4586" t="s">
        <v>271</v>
      </c>
      <c r="E4586" t="s">
        <v>561</v>
      </c>
      <c r="F4586" t="s">
        <v>1068</v>
      </c>
      <c r="G4586" t="s">
        <v>1078</v>
      </c>
      <c r="H4586">
        <v>-0.66191224294392803</v>
      </c>
      <c r="I4586" t="s">
        <v>1079</v>
      </c>
      <c r="J4586">
        <v>7.06</v>
      </c>
    </row>
    <row r="4587" spans="1:10" hidden="1">
      <c r="A4587" t="s">
        <v>3209</v>
      </c>
      <c r="B4587" t="s">
        <v>3210</v>
      </c>
      <c r="C4587" t="s">
        <v>235</v>
      </c>
      <c r="D4587" t="s">
        <v>271</v>
      </c>
      <c r="E4587" t="s">
        <v>561</v>
      </c>
      <c r="F4587" t="s">
        <v>1068</v>
      </c>
      <c r="G4587" t="s">
        <v>1080</v>
      </c>
      <c r="H4587" s="171" t="s">
        <v>3211</v>
      </c>
      <c r="I4587" t="s">
        <v>1082</v>
      </c>
      <c r="J4587">
        <v>7.06</v>
      </c>
    </row>
    <row r="4588" spans="1:10" hidden="1">
      <c r="A4588" t="s">
        <v>3209</v>
      </c>
      <c r="B4588" t="s">
        <v>3210</v>
      </c>
      <c r="C4588" t="s">
        <v>235</v>
      </c>
      <c r="D4588" t="s">
        <v>271</v>
      </c>
      <c r="E4588" t="s">
        <v>561</v>
      </c>
      <c r="F4588" t="s">
        <v>1068</v>
      </c>
      <c r="G4588" t="s">
        <v>1083</v>
      </c>
      <c r="H4588" s="170">
        <v>-1.0038226825346499E-5</v>
      </c>
      <c r="I4588" t="s">
        <v>1084</v>
      </c>
      <c r="J4588">
        <v>7.06</v>
      </c>
    </row>
    <row r="4589" spans="1:10" hidden="1">
      <c r="A4589" t="s">
        <v>3209</v>
      </c>
      <c r="B4589" t="s">
        <v>3210</v>
      </c>
      <c r="C4589" t="s">
        <v>235</v>
      </c>
      <c r="D4589" t="s">
        <v>271</v>
      </c>
      <c r="E4589" t="s">
        <v>561</v>
      </c>
      <c r="F4589" t="s">
        <v>1068</v>
      </c>
      <c r="G4589" t="s">
        <v>1085</v>
      </c>
      <c r="H4589" s="170">
        <v>-6.09865572590445E-5</v>
      </c>
      <c r="I4589" t="s">
        <v>1086</v>
      </c>
      <c r="J4589">
        <v>7.06</v>
      </c>
    </row>
    <row r="4590" spans="1:10" hidden="1">
      <c r="A4590" t="s">
        <v>3209</v>
      </c>
      <c r="B4590" t="s">
        <v>3210</v>
      </c>
      <c r="C4590" t="s">
        <v>235</v>
      </c>
      <c r="D4590" t="s">
        <v>271</v>
      </c>
      <c r="E4590" t="s">
        <v>561</v>
      </c>
      <c r="F4590" t="s">
        <v>1068</v>
      </c>
      <c r="G4590" t="s">
        <v>1087</v>
      </c>
      <c r="H4590" s="171" t="s">
        <v>3212</v>
      </c>
      <c r="I4590" t="s">
        <v>1088</v>
      </c>
      <c r="J4590">
        <v>7.06</v>
      </c>
    </row>
    <row r="4591" spans="1:10" hidden="1">
      <c r="A4591" t="s">
        <v>3209</v>
      </c>
      <c r="B4591" t="s">
        <v>3210</v>
      </c>
      <c r="C4591" t="s">
        <v>235</v>
      </c>
      <c r="D4591" t="s">
        <v>271</v>
      </c>
      <c r="E4591" t="s">
        <v>561</v>
      </c>
      <c r="F4591" t="s">
        <v>1068</v>
      </c>
      <c r="G4591" t="s">
        <v>1089</v>
      </c>
      <c r="H4591" s="170">
        <v>-4.3080049197645598E-7</v>
      </c>
      <c r="I4591" t="s">
        <v>1090</v>
      </c>
      <c r="J4591">
        <v>7.06</v>
      </c>
    </row>
    <row r="4592" spans="1:10" hidden="1">
      <c r="A4592" t="s">
        <v>3213</v>
      </c>
      <c r="B4592" t="s">
        <v>3214</v>
      </c>
      <c r="C4592" t="s">
        <v>235</v>
      </c>
      <c r="D4592" t="s">
        <v>271</v>
      </c>
      <c r="E4592" t="s">
        <v>555</v>
      </c>
      <c r="F4592" t="s">
        <v>1068</v>
      </c>
      <c r="G4592" t="s">
        <v>1069</v>
      </c>
      <c r="H4592">
        <v>-3.3599427283994301E-2</v>
      </c>
      <c r="I4592" t="s">
        <v>1070</v>
      </c>
      <c r="J4592">
        <v>7.15</v>
      </c>
    </row>
    <row r="4593" spans="1:10" hidden="1">
      <c r="A4593" t="s">
        <v>3213</v>
      </c>
      <c r="B4593" t="s">
        <v>3214</v>
      </c>
      <c r="C4593" t="s">
        <v>235</v>
      </c>
      <c r="D4593" t="s">
        <v>271</v>
      </c>
      <c r="E4593" t="s">
        <v>555</v>
      </c>
      <c r="F4593" t="s">
        <v>1068</v>
      </c>
      <c r="G4593" t="s">
        <v>1071</v>
      </c>
      <c r="H4593" s="170">
        <v>-1.15183789389365E-10</v>
      </c>
      <c r="I4593" t="s">
        <v>1072</v>
      </c>
      <c r="J4593">
        <v>7.15</v>
      </c>
    </row>
    <row r="4594" spans="1:10" hidden="1">
      <c r="A4594" t="s">
        <v>3213</v>
      </c>
      <c r="B4594" t="s">
        <v>3214</v>
      </c>
      <c r="C4594" t="s">
        <v>235</v>
      </c>
      <c r="D4594" t="s">
        <v>271</v>
      </c>
      <c r="E4594" t="s">
        <v>555</v>
      </c>
      <c r="F4594" t="s">
        <v>1068</v>
      </c>
      <c r="G4594" t="s">
        <v>1073</v>
      </c>
      <c r="H4594" s="170">
        <v>-8.9519741091350499E-9</v>
      </c>
      <c r="I4594" t="s">
        <v>1074</v>
      </c>
      <c r="J4594">
        <v>7.15</v>
      </c>
    </row>
    <row r="4595" spans="1:10" hidden="1">
      <c r="A4595" t="s">
        <v>3213</v>
      </c>
      <c r="B4595" t="s">
        <v>3214</v>
      </c>
      <c r="C4595" t="s">
        <v>235</v>
      </c>
      <c r="D4595" t="s">
        <v>271</v>
      </c>
      <c r="E4595" t="s">
        <v>555</v>
      </c>
      <c r="F4595" t="s">
        <v>1068</v>
      </c>
      <c r="G4595" t="s">
        <v>1075</v>
      </c>
      <c r="H4595">
        <v>9.6060966771075004E-4</v>
      </c>
      <c r="I4595" t="s">
        <v>1077</v>
      </c>
      <c r="J4595">
        <v>7.15</v>
      </c>
    </row>
    <row r="4596" spans="1:10" hidden="1">
      <c r="A4596" t="s">
        <v>3213</v>
      </c>
      <c r="B4596" t="s">
        <v>3214</v>
      </c>
      <c r="C4596" t="s">
        <v>235</v>
      </c>
      <c r="D4596" t="s">
        <v>271</v>
      </c>
      <c r="E4596" t="s">
        <v>555</v>
      </c>
      <c r="F4596" t="s">
        <v>1068</v>
      </c>
      <c r="G4596" t="s">
        <v>1078</v>
      </c>
      <c r="H4596">
        <v>-0.65152926151439705</v>
      </c>
      <c r="I4596" t="s">
        <v>1079</v>
      </c>
      <c r="J4596">
        <v>7.15</v>
      </c>
    </row>
    <row r="4597" spans="1:10" hidden="1">
      <c r="A4597" t="s">
        <v>3213</v>
      </c>
      <c r="B4597" t="s">
        <v>3214</v>
      </c>
      <c r="C4597" t="s">
        <v>235</v>
      </c>
      <c r="D4597" t="s">
        <v>271</v>
      </c>
      <c r="E4597" t="s">
        <v>555</v>
      </c>
      <c r="F4597" t="s">
        <v>1068</v>
      </c>
      <c r="G4597" t="s">
        <v>1080</v>
      </c>
      <c r="H4597" s="171" t="s">
        <v>3215</v>
      </c>
      <c r="I4597" t="s">
        <v>1082</v>
      </c>
      <c r="J4597">
        <v>7.15</v>
      </c>
    </row>
    <row r="4598" spans="1:10" hidden="1">
      <c r="A4598" t="s">
        <v>3213</v>
      </c>
      <c r="B4598" t="s">
        <v>3214</v>
      </c>
      <c r="C4598" t="s">
        <v>235</v>
      </c>
      <c r="D4598" t="s">
        <v>271</v>
      </c>
      <c r="E4598" t="s">
        <v>555</v>
      </c>
      <c r="F4598" t="s">
        <v>1068</v>
      </c>
      <c r="G4598" t="s">
        <v>1083</v>
      </c>
      <c r="H4598" s="170">
        <v>-1.1772694248214699E-5</v>
      </c>
      <c r="I4598" t="s">
        <v>1084</v>
      </c>
      <c r="J4598">
        <v>7.15</v>
      </c>
    </row>
    <row r="4599" spans="1:10" hidden="1">
      <c r="A4599" t="s">
        <v>3213</v>
      </c>
      <c r="B4599" t="s">
        <v>3214</v>
      </c>
      <c r="C4599" t="s">
        <v>235</v>
      </c>
      <c r="D4599" t="s">
        <v>271</v>
      </c>
      <c r="E4599" t="s">
        <v>555</v>
      </c>
      <c r="F4599" t="s">
        <v>1068</v>
      </c>
      <c r="G4599" t="s">
        <v>1085</v>
      </c>
      <c r="H4599" s="170">
        <v>-8.0262029365445702E-5</v>
      </c>
      <c r="I4599" t="s">
        <v>1086</v>
      </c>
      <c r="J4599">
        <v>7.15</v>
      </c>
    </row>
    <row r="4600" spans="1:10" hidden="1">
      <c r="A4600" t="s">
        <v>3213</v>
      </c>
      <c r="B4600" t="s">
        <v>3214</v>
      </c>
      <c r="C4600" t="s">
        <v>235</v>
      </c>
      <c r="D4600" t="s">
        <v>271</v>
      </c>
      <c r="E4600" t="s">
        <v>555</v>
      </c>
      <c r="F4600" t="s">
        <v>1068</v>
      </c>
      <c r="G4600" t="s">
        <v>1087</v>
      </c>
      <c r="H4600" s="170">
        <v>-8.40897810142517E-9</v>
      </c>
      <c r="I4600" t="s">
        <v>1088</v>
      </c>
      <c r="J4600">
        <v>7.15</v>
      </c>
    </row>
    <row r="4601" spans="1:10" hidden="1">
      <c r="A4601" t="s">
        <v>3213</v>
      </c>
      <c r="B4601" t="s">
        <v>3214</v>
      </c>
      <c r="C4601" t="s">
        <v>235</v>
      </c>
      <c r="D4601" t="s">
        <v>271</v>
      </c>
      <c r="E4601" t="s">
        <v>555</v>
      </c>
      <c r="F4601" t="s">
        <v>1068</v>
      </c>
      <c r="G4601" t="s">
        <v>1089</v>
      </c>
      <c r="H4601" s="170">
        <v>-4.4740953815864502E-6</v>
      </c>
      <c r="I4601" t="s">
        <v>1090</v>
      </c>
      <c r="J4601">
        <v>7.15</v>
      </c>
    </row>
    <row r="4602" spans="1:10" hidden="1">
      <c r="A4602" t="s">
        <v>3216</v>
      </c>
      <c r="B4602" t="s">
        <v>3217</v>
      </c>
      <c r="C4602" t="s">
        <v>235</v>
      </c>
      <c r="D4602" t="s">
        <v>271</v>
      </c>
      <c r="E4602" t="s">
        <v>558</v>
      </c>
      <c r="F4602" t="s">
        <v>1068</v>
      </c>
      <c r="G4602" t="s">
        <v>1069</v>
      </c>
      <c r="H4602">
        <v>-2.1229689257805599E-2</v>
      </c>
      <c r="I4602" t="s">
        <v>1070</v>
      </c>
      <c r="J4602">
        <v>7.76</v>
      </c>
    </row>
    <row r="4603" spans="1:10" hidden="1">
      <c r="A4603" t="s">
        <v>3216</v>
      </c>
      <c r="B4603" t="s">
        <v>3217</v>
      </c>
      <c r="C4603" t="s">
        <v>235</v>
      </c>
      <c r="D4603" t="s">
        <v>271</v>
      </c>
      <c r="E4603" t="s">
        <v>558</v>
      </c>
      <c r="F4603" t="s">
        <v>1068</v>
      </c>
      <c r="G4603" t="s">
        <v>1071</v>
      </c>
      <c r="H4603" s="170">
        <v>-9.7614990896159396E-11</v>
      </c>
      <c r="I4603" t="s">
        <v>1072</v>
      </c>
      <c r="J4603">
        <v>7.76</v>
      </c>
    </row>
    <row r="4604" spans="1:10" hidden="1">
      <c r="A4604" t="s">
        <v>3216</v>
      </c>
      <c r="B4604" t="s">
        <v>3217</v>
      </c>
      <c r="C4604" t="s">
        <v>235</v>
      </c>
      <c r="D4604" t="s">
        <v>271</v>
      </c>
      <c r="E4604" t="s">
        <v>558</v>
      </c>
      <c r="F4604" t="s">
        <v>1068</v>
      </c>
      <c r="G4604" t="s">
        <v>1073</v>
      </c>
      <c r="H4604" s="170">
        <v>-4.5578150256399999E-9</v>
      </c>
      <c r="I4604" t="s">
        <v>1074</v>
      </c>
      <c r="J4604">
        <v>7.76</v>
      </c>
    </row>
    <row r="4605" spans="1:10" hidden="1">
      <c r="A4605" t="s">
        <v>3216</v>
      </c>
      <c r="B4605" t="s">
        <v>3217</v>
      </c>
      <c r="C4605" t="s">
        <v>235</v>
      </c>
      <c r="D4605" t="s">
        <v>271</v>
      </c>
      <c r="E4605" t="s">
        <v>558</v>
      </c>
      <c r="F4605" t="s">
        <v>1068</v>
      </c>
      <c r="G4605" t="s">
        <v>1075</v>
      </c>
      <c r="H4605">
        <v>1.2898344401451099E-3</v>
      </c>
      <c r="I4605" t="s">
        <v>1077</v>
      </c>
      <c r="J4605">
        <v>7.76</v>
      </c>
    </row>
    <row r="4606" spans="1:10" hidden="1">
      <c r="A4606" t="s">
        <v>3216</v>
      </c>
      <c r="B4606" t="s">
        <v>3217</v>
      </c>
      <c r="C4606" t="s">
        <v>235</v>
      </c>
      <c r="D4606" t="s">
        <v>271</v>
      </c>
      <c r="E4606" t="s">
        <v>558</v>
      </c>
      <c r="F4606" t="s">
        <v>1068</v>
      </c>
      <c r="G4606" t="s">
        <v>1078</v>
      </c>
      <c r="H4606">
        <v>-0.66058111749095905</v>
      </c>
      <c r="I4606" t="s">
        <v>1079</v>
      </c>
      <c r="J4606">
        <v>7.76</v>
      </c>
    </row>
    <row r="4607" spans="1:10" hidden="1">
      <c r="A4607" t="s">
        <v>3216</v>
      </c>
      <c r="B4607" t="s">
        <v>3217</v>
      </c>
      <c r="C4607" t="s">
        <v>235</v>
      </c>
      <c r="D4607" t="s">
        <v>271</v>
      </c>
      <c r="E4607" t="s">
        <v>558</v>
      </c>
      <c r="F4607" t="s">
        <v>1068</v>
      </c>
      <c r="G4607" t="s">
        <v>1080</v>
      </c>
      <c r="H4607" s="171" t="s">
        <v>3218</v>
      </c>
      <c r="I4607" t="s">
        <v>1082</v>
      </c>
      <c r="J4607">
        <v>7.76</v>
      </c>
    </row>
    <row r="4608" spans="1:10" hidden="1">
      <c r="A4608" t="s">
        <v>3216</v>
      </c>
      <c r="B4608" t="s">
        <v>3217</v>
      </c>
      <c r="C4608" t="s">
        <v>235</v>
      </c>
      <c r="D4608" t="s">
        <v>271</v>
      </c>
      <c r="E4608" t="s">
        <v>558</v>
      </c>
      <c r="F4608" t="s">
        <v>1068</v>
      </c>
      <c r="G4608" t="s">
        <v>1083</v>
      </c>
      <c r="H4608" s="170">
        <v>-9.89021349636626E-6</v>
      </c>
      <c r="I4608" t="s">
        <v>1084</v>
      </c>
      <c r="J4608">
        <v>7.76</v>
      </c>
    </row>
    <row r="4609" spans="1:10" hidden="1">
      <c r="A4609" t="s">
        <v>3216</v>
      </c>
      <c r="B4609" t="s">
        <v>3217</v>
      </c>
      <c r="C4609" t="s">
        <v>235</v>
      </c>
      <c r="D4609" t="s">
        <v>271</v>
      </c>
      <c r="E4609" t="s">
        <v>558</v>
      </c>
      <c r="F4609" t="s">
        <v>1068</v>
      </c>
      <c r="G4609" t="s">
        <v>1085</v>
      </c>
      <c r="H4609" s="170">
        <v>-5.9313706237688698E-5</v>
      </c>
      <c r="I4609" t="s">
        <v>1086</v>
      </c>
      <c r="J4609">
        <v>7.76</v>
      </c>
    </row>
    <row r="4610" spans="1:10" hidden="1">
      <c r="A4610" t="s">
        <v>3216</v>
      </c>
      <c r="B4610" t="s">
        <v>3217</v>
      </c>
      <c r="C4610" t="s">
        <v>235</v>
      </c>
      <c r="D4610" t="s">
        <v>271</v>
      </c>
      <c r="E4610" t="s">
        <v>558</v>
      </c>
      <c r="F4610" t="s">
        <v>1068</v>
      </c>
      <c r="G4610" t="s">
        <v>1087</v>
      </c>
      <c r="H4610" s="171" t="s">
        <v>3219</v>
      </c>
      <c r="I4610" t="s">
        <v>1088</v>
      </c>
      <c r="J4610">
        <v>7.76</v>
      </c>
    </row>
    <row r="4611" spans="1:10" hidden="1">
      <c r="A4611" t="s">
        <v>3216</v>
      </c>
      <c r="B4611" t="s">
        <v>3217</v>
      </c>
      <c r="C4611" t="s">
        <v>235</v>
      </c>
      <c r="D4611" t="s">
        <v>271</v>
      </c>
      <c r="E4611" t="s">
        <v>558</v>
      </c>
      <c r="F4611" t="s">
        <v>1068</v>
      </c>
      <c r="G4611" t="s">
        <v>1089</v>
      </c>
      <c r="H4611" s="170">
        <v>-8.5694629710015606E-8</v>
      </c>
      <c r="I4611" t="s">
        <v>1090</v>
      </c>
      <c r="J4611">
        <v>7.76</v>
      </c>
    </row>
    <row r="4612" spans="1:10" hidden="1">
      <c r="A4612" t="s">
        <v>3220</v>
      </c>
      <c r="B4612" t="s">
        <v>3221</v>
      </c>
      <c r="C4612" t="s">
        <v>235</v>
      </c>
      <c r="D4612" t="s">
        <v>271</v>
      </c>
      <c r="E4612" t="s">
        <v>553</v>
      </c>
      <c r="F4612" t="s">
        <v>1068</v>
      </c>
      <c r="G4612" t="s">
        <v>1069</v>
      </c>
      <c r="H4612">
        <v>-2.0622972517640701E-2</v>
      </c>
      <c r="I4612" t="s">
        <v>1070</v>
      </c>
      <c r="J4612">
        <v>7.39</v>
      </c>
    </row>
    <row r="4613" spans="1:10" hidden="1">
      <c r="A4613" t="s">
        <v>3220</v>
      </c>
      <c r="B4613" t="s">
        <v>3221</v>
      </c>
      <c r="C4613" t="s">
        <v>235</v>
      </c>
      <c r="D4613" t="s">
        <v>271</v>
      </c>
      <c r="E4613" t="s">
        <v>553</v>
      </c>
      <c r="F4613" t="s">
        <v>1068</v>
      </c>
      <c r="G4613" t="s">
        <v>1071</v>
      </c>
      <c r="H4613" s="170">
        <v>-9.6614334987087806E-11</v>
      </c>
      <c r="I4613" t="s">
        <v>1072</v>
      </c>
      <c r="J4613">
        <v>7.39</v>
      </c>
    </row>
    <row r="4614" spans="1:10" hidden="1">
      <c r="A4614" t="s">
        <v>3220</v>
      </c>
      <c r="B4614" t="s">
        <v>3221</v>
      </c>
      <c r="C4614" t="s">
        <v>235</v>
      </c>
      <c r="D4614" t="s">
        <v>271</v>
      </c>
      <c r="E4614" t="s">
        <v>553</v>
      </c>
      <c r="F4614" t="s">
        <v>1068</v>
      </c>
      <c r="G4614" t="s">
        <v>1073</v>
      </c>
      <c r="H4614" s="170">
        <v>-4.3426963161235397E-9</v>
      </c>
      <c r="I4614" t="s">
        <v>1074</v>
      </c>
      <c r="J4614">
        <v>7.39</v>
      </c>
    </row>
    <row r="4615" spans="1:10" hidden="1">
      <c r="A4615" t="s">
        <v>3220</v>
      </c>
      <c r="B4615" t="s">
        <v>3221</v>
      </c>
      <c r="C4615" t="s">
        <v>235</v>
      </c>
      <c r="D4615" t="s">
        <v>271</v>
      </c>
      <c r="E4615" t="s">
        <v>553</v>
      </c>
      <c r="F4615" t="s">
        <v>1068</v>
      </c>
      <c r="G4615" t="s">
        <v>1075</v>
      </c>
      <c r="H4615">
        <v>1.3708092652257001E-3</v>
      </c>
      <c r="I4615" t="s">
        <v>1077</v>
      </c>
      <c r="J4615">
        <v>7.39</v>
      </c>
    </row>
    <row r="4616" spans="1:10" hidden="1">
      <c r="A4616" t="s">
        <v>3220</v>
      </c>
      <c r="B4616" t="s">
        <v>3221</v>
      </c>
      <c r="C4616" t="s">
        <v>235</v>
      </c>
      <c r="D4616" t="s">
        <v>271</v>
      </c>
      <c r="E4616" t="s">
        <v>553</v>
      </c>
      <c r="F4616" t="s">
        <v>1068</v>
      </c>
      <c r="G4616" t="s">
        <v>1078</v>
      </c>
      <c r="H4616">
        <v>-0.63379064861635803</v>
      </c>
      <c r="I4616" t="s">
        <v>1079</v>
      </c>
      <c r="J4616">
        <v>7.39</v>
      </c>
    </row>
    <row r="4617" spans="1:10" hidden="1">
      <c r="A4617" t="s">
        <v>3220</v>
      </c>
      <c r="B4617" t="s">
        <v>3221</v>
      </c>
      <c r="C4617" t="s">
        <v>235</v>
      </c>
      <c r="D4617" t="s">
        <v>271</v>
      </c>
      <c r="E4617" t="s">
        <v>553</v>
      </c>
      <c r="F4617" t="s">
        <v>1068</v>
      </c>
      <c r="G4617" t="s">
        <v>1080</v>
      </c>
      <c r="H4617" s="171" t="s">
        <v>3222</v>
      </c>
      <c r="I4617" t="s">
        <v>1082</v>
      </c>
      <c r="J4617">
        <v>7.39</v>
      </c>
    </row>
    <row r="4618" spans="1:10" hidden="1">
      <c r="A4618" t="s">
        <v>3220</v>
      </c>
      <c r="B4618" t="s">
        <v>3221</v>
      </c>
      <c r="C4618" t="s">
        <v>235</v>
      </c>
      <c r="D4618" t="s">
        <v>271</v>
      </c>
      <c r="E4618" t="s">
        <v>553</v>
      </c>
      <c r="F4618" t="s">
        <v>1068</v>
      </c>
      <c r="G4618" t="s">
        <v>1083</v>
      </c>
      <c r="H4618" s="170">
        <v>-9.8002647220000793E-6</v>
      </c>
      <c r="I4618" t="s">
        <v>1084</v>
      </c>
      <c r="J4618">
        <v>7.39</v>
      </c>
    </row>
    <row r="4619" spans="1:10" hidden="1">
      <c r="A4619" t="s">
        <v>3220</v>
      </c>
      <c r="B4619" t="s">
        <v>3221</v>
      </c>
      <c r="C4619" t="s">
        <v>235</v>
      </c>
      <c r="D4619" t="s">
        <v>271</v>
      </c>
      <c r="E4619" t="s">
        <v>553</v>
      </c>
      <c r="F4619" t="s">
        <v>1068</v>
      </c>
      <c r="G4619" t="s">
        <v>1085</v>
      </c>
      <c r="H4619" s="170">
        <v>-5.79695725292041E-5</v>
      </c>
      <c r="I4619" t="s">
        <v>1086</v>
      </c>
      <c r="J4619">
        <v>7.39</v>
      </c>
    </row>
    <row r="4620" spans="1:10" hidden="1">
      <c r="A4620" t="s">
        <v>3220</v>
      </c>
      <c r="B4620" t="s">
        <v>3221</v>
      </c>
      <c r="C4620" t="s">
        <v>235</v>
      </c>
      <c r="D4620" t="s">
        <v>271</v>
      </c>
      <c r="E4620" t="s">
        <v>553</v>
      </c>
      <c r="F4620" t="s">
        <v>1068</v>
      </c>
      <c r="G4620" t="s">
        <v>1087</v>
      </c>
      <c r="H4620" s="171" t="s">
        <v>3223</v>
      </c>
      <c r="I4620" t="s">
        <v>1088</v>
      </c>
      <c r="J4620">
        <v>7.39</v>
      </c>
    </row>
    <row r="4621" spans="1:10" hidden="1">
      <c r="A4621" t="s">
        <v>3220</v>
      </c>
      <c r="B4621" t="s">
        <v>3221</v>
      </c>
      <c r="C4621" t="s">
        <v>235</v>
      </c>
      <c r="D4621" t="s">
        <v>271</v>
      </c>
      <c r="E4621" t="s">
        <v>553</v>
      </c>
      <c r="F4621" t="s">
        <v>1068</v>
      </c>
      <c r="G4621" t="s">
        <v>1089</v>
      </c>
      <c r="H4621" s="171" t="s">
        <v>3224</v>
      </c>
      <c r="I4621" t="s">
        <v>1090</v>
      </c>
      <c r="J4621">
        <v>7.39</v>
      </c>
    </row>
    <row r="4622" spans="1:10" hidden="1">
      <c r="A4622" t="s">
        <v>3225</v>
      </c>
      <c r="B4622" t="s">
        <v>3226</v>
      </c>
      <c r="C4622" t="s">
        <v>235</v>
      </c>
      <c r="D4622" t="s">
        <v>271</v>
      </c>
      <c r="E4622" t="s">
        <v>556</v>
      </c>
      <c r="F4622" t="s">
        <v>1068</v>
      </c>
      <c r="G4622" t="s">
        <v>1069</v>
      </c>
      <c r="H4622">
        <v>-1.7662513590101701E-2</v>
      </c>
      <c r="I4622" t="s">
        <v>1070</v>
      </c>
      <c r="J4622">
        <v>7.81</v>
      </c>
    </row>
    <row r="4623" spans="1:10" hidden="1">
      <c r="A4623" t="s">
        <v>3225</v>
      </c>
      <c r="B4623" t="s">
        <v>3226</v>
      </c>
      <c r="C4623" t="s">
        <v>235</v>
      </c>
      <c r="D4623" t="s">
        <v>271</v>
      </c>
      <c r="E4623" t="s">
        <v>556</v>
      </c>
      <c r="F4623" t="s">
        <v>1068</v>
      </c>
      <c r="G4623" t="s">
        <v>1071</v>
      </c>
      <c r="H4623" s="170">
        <v>-9.1867684764136896E-11</v>
      </c>
      <c r="I4623" t="s">
        <v>1072</v>
      </c>
      <c r="J4623">
        <v>7.81</v>
      </c>
    </row>
    <row r="4624" spans="1:10" hidden="1">
      <c r="A4624" t="s">
        <v>3225</v>
      </c>
      <c r="B4624" t="s">
        <v>3226</v>
      </c>
      <c r="C4624" t="s">
        <v>235</v>
      </c>
      <c r="D4624" t="s">
        <v>271</v>
      </c>
      <c r="E4624" t="s">
        <v>556</v>
      </c>
      <c r="F4624" t="s">
        <v>1068</v>
      </c>
      <c r="G4624" t="s">
        <v>1073</v>
      </c>
      <c r="H4624" s="170">
        <v>-3.27652378059323E-9</v>
      </c>
      <c r="I4624" t="s">
        <v>1074</v>
      </c>
      <c r="J4624">
        <v>7.81</v>
      </c>
    </row>
    <row r="4625" spans="1:10" hidden="1">
      <c r="A4625" t="s">
        <v>3225</v>
      </c>
      <c r="B4625" t="s">
        <v>3226</v>
      </c>
      <c r="C4625" t="s">
        <v>235</v>
      </c>
      <c r="D4625" t="s">
        <v>271</v>
      </c>
      <c r="E4625" t="s">
        <v>556</v>
      </c>
      <c r="F4625" t="s">
        <v>1068</v>
      </c>
      <c r="G4625" t="s">
        <v>1075</v>
      </c>
      <c r="H4625">
        <v>1.68779285103932E-3</v>
      </c>
      <c r="I4625" t="s">
        <v>1077</v>
      </c>
      <c r="J4625">
        <v>7.81</v>
      </c>
    </row>
    <row r="4626" spans="1:10" hidden="1">
      <c r="A4626" t="s">
        <v>3225</v>
      </c>
      <c r="B4626" t="s">
        <v>3226</v>
      </c>
      <c r="C4626" t="s">
        <v>235</v>
      </c>
      <c r="D4626" t="s">
        <v>271</v>
      </c>
      <c r="E4626" t="s">
        <v>556</v>
      </c>
      <c r="F4626" t="s">
        <v>1068</v>
      </c>
      <c r="G4626" t="s">
        <v>1078</v>
      </c>
      <c r="H4626">
        <v>-0.53637594297431002</v>
      </c>
      <c r="I4626" t="s">
        <v>1079</v>
      </c>
      <c r="J4626">
        <v>7.81</v>
      </c>
    </row>
    <row r="4627" spans="1:10" hidden="1">
      <c r="A4627" t="s">
        <v>3225</v>
      </c>
      <c r="B4627" t="s">
        <v>3226</v>
      </c>
      <c r="C4627" t="s">
        <v>235</v>
      </c>
      <c r="D4627" t="s">
        <v>271</v>
      </c>
      <c r="E4627" t="s">
        <v>556</v>
      </c>
      <c r="F4627" t="s">
        <v>1068</v>
      </c>
      <c r="G4627" t="s">
        <v>1080</v>
      </c>
      <c r="H4627" s="171" t="s">
        <v>3227</v>
      </c>
      <c r="I4627" t="s">
        <v>1082</v>
      </c>
      <c r="J4627">
        <v>7.81</v>
      </c>
    </row>
    <row r="4628" spans="1:10" hidden="1">
      <c r="A4628" t="s">
        <v>3225</v>
      </c>
      <c r="B4628" t="s">
        <v>3226</v>
      </c>
      <c r="C4628" t="s">
        <v>235</v>
      </c>
      <c r="D4628" t="s">
        <v>271</v>
      </c>
      <c r="E4628" t="s">
        <v>556</v>
      </c>
      <c r="F4628" t="s">
        <v>1068</v>
      </c>
      <c r="G4628" t="s">
        <v>1083</v>
      </c>
      <c r="H4628" s="170">
        <v>-9.3502067732508096E-6</v>
      </c>
      <c r="I4628" t="s">
        <v>1084</v>
      </c>
      <c r="J4628">
        <v>7.81</v>
      </c>
    </row>
    <row r="4629" spans="1:10" hidden="1">
      <c r="A4629" t="s">
        <v>3225</v>
      </c>
      <c r="B4629" t="s">
        <v>3226</v>
      </c>
      <c r="C4629" t="s">
        <v>235</v>
      </c>
      <c r="D4629" t="s">
        <v>271</v>
      </c>
      <c r="E4629" t="s">
        <v>556</v>
      </c>
      <c r="F4629" t="s">
        <v>1068</v>
      </c>
      <c r="G4629" t="s">
        <v>1085</v>
      </c>
      <c r="H4629" s="170">
        <v>-5.1708787650535201E-5</v>
      </c>
      <c r="I4629" t="s">
        <v>1086</v>
      </c>
      <c r="J4629">
        <v>7.81</v>
      </c>
    </row>
    <row r="4630" spans="1:10" hidden="1">
      <c r="A4630" t="s">
        <v>3225</v>
      </c>
      <c r="B4630" t="s">
        <v>3226</v>
      </c>
      <c r="C4630" t="s">
        <v>235</v>
      </c>
      <c r="D4630" t="s">
        <v>271</v>
      </c>
      <c r="E4630" t="s">
        <v>556</v>
      </c>
      <c r="F4630" t="s">
        <v>1068</v>
      </c>
      <c r="G4630" t="s">
        <v>1087</v>
      </c>
      <c r="H4630" s="171" t="s">
        <v>3228</v>
      </c>
      <c r="I4630" t="s">
        <v>1088</v>
      </c>
      <c r="J4630">
        <v>7.81</v>
      </c>
    </row>
    <row r="4631" spans="1:10" hidden="1">
      <c r="A4631" t="s">
        <v>3225</v>
      </c>
      <c r="B4631" t="s">
        <v>3226</v>
      </c>
      <c r="C4631" t="s">
        <v>235</v>
      </c>
      <c r="D4631" t="s">
        <v>271</v>
      </c>
      <c r="E4631" t="s">
        <v>556</v>
      </c>
      <c r="F4631" t="s">
        <v>1068</v>
      </c>
      <c r="G4631" t="s">
        <v>1089</v>
      </c>
      <c r="H4631" s="171" t="s">
        <v>3229</v>
      </c>
      <c r="I4631" t="s">
        <v>1090</v>
      </c>
      <c r="J4631">
        <v>7.81</v>
      </c>
    </row>
    <row r="4632" spans="1:10" hidden="1">
      <c r="A4632" t="s">
        <v>3230</v>
      </c>
      <c r="B4632" t="s">
        <v>3231</v>
      </c>
      <c r="C4632" t="s">
        <v>235</v>
      </c>
      <c r="D4632" t="s">
        <v>271</v>
      </c>
      <c r="E4632" t="s">
        <v>557</v>
      </c>
      <c r="F4632" t="s">
        <v>1068</v>
      </c>
      <c r="G4632" t="s">
        <v>1069</v>
      </c>
      <c r="H4632">
        <v>-2.5251773456313301E-2</v>
      </c>
      <c r="I4632" t="s">
        <v>1070</v>
      </c>
      <c r="J4632">
        <v>8.84</v>
      </c>
    </row>
    <row r="4633" spans="1:10" hidden="1">
      <c r="A4633" t="s">
        <v>3230</v>
      </c>
      <c r="B4633" t="s">
        <v>3231</v>
      </c>
      <c r="C4633" t="s">
        <v>235</v>
      </c>
      <c r="D4633" t="s">
        <v>271</v>
      </c>
      <c r="E4633" t="s">
        <v>557</v>
      </c>
      <c r="F4633" t="s">
        <v>1068</v>
      </c>
      <c r="G4633" t="s">
        <v>1071</v>
      </c>
      <c r="H4633" s="170">
        <v>-1.03370639143011E-10</v>
      </c>
      <c r="I4633" t="s">
        <v>1072</v>
      </c>
      <c r="J4633">
        <v>8.84</v>
      </c>
    </row>
    <row r="4634" spans="1:10" hidden="1">
      <c r="A4634" t="s">
        <v>3230</v>
      </c>
      <c r="B4634" t="s">
        <v>3231</v>
      </c>
      <c r="C4634" t="s">
        <v>235</v>
      </c>
      <c r="D4634" t="s">
        <v>271</v>
      </c>
      <c r="E4634" t="s">
        <v>557</v>
      </c>
      <c r="F4634" t="s">
        <v>1068</v>
      </c>
      <c r="G4634" t="s">
        <v>1073</v>
      </c>
      <c r="H4634" s="170">
        <v>-5.9864720595992E-9</v>
      </c>
      <c r="I4634" t="s">
        <v>1074</v>
      </c>
      <c r="J4634">
        <v>8.84</v>
      </c>
    </row>
    <row r="4635" spans="1:10" hidden="1">
      <c r="A4635" t="s">
        <v>3230</v>
      </c>
      <c r="B4635" t="s">
        <v>3231</v>
      </c>
      <c r="C4635" t="s">
        <v>235</v>
      </c>
      <c r="D4635" t="s">
        <v>271</v>
      </c>
      <c r="E4635" t="s">
        <v>557</v>
      </c>
      <c r="F4635" t="s">
        <v>1068</v>
      </c>
      <c r="G4635" t="s">
        <v>1075</v>
      </c>
      <c r="H4635">
        <v>1.1626920619605199E-3</v>
      </c>
      <c r="I4635" t="s">
        <v>1077</v>
      </c>
      <c r="J4635">
        <v>8.84</v>
      </c>
    </row>
    <row r="4636" spans="1:10" hidden="1">
      <c r="A4636" t="s">
        <v>3230</v>
      </c>
      <c r="B4636" t="s">
        <v>3231</v>
      </c>
      <c r="C4636" t="s">
        <v>235</v>
      </c>
      <c r="D4636" t="s">
        <v>271</v>
      </c>
      <c r="E4636" t="s">
        <v>557</v>
      </c>
      <c r="F4636" t="s">
        <v>1068</v>
      </c>
      <c r="G4636" t="s">
        <v>1078</v>
      </c>
      <c r="H4636">
        <v>-0.66607924436191601</v>
      </c>
      <c r="I4636" t="s">
        <v>1079</v>
      </c>
      <c r="J4636">
        <v>8.84</v>
      </c>
    </row>
    <row r="4637" spans="1:10" hidden="1">
      <c r="A4637" t="s">
        <v>3230</v>
      </c>
      <c r="B4637" t="s">
        <v>3231</v>
      </c>
      <c r="C4637" t="s">
        <v>235</v>
      </c>
      <c r="D4637" t="s">
        <v>271</v>
      </c>
      <c r="E4637" t="s">
        <v>557</v>
      </c>
      <c r="F4637" t="s">
        <v>1068</v>
      </c>
      <c r="G4637" t="s">
        <v>1080</v>
      </c>
      <c r="H4637" s="171" t="s">
        <v>3232</v>
      </c>
      <c r="I4637" t="s">
        <v>1082</v>
      </c>
      <c r="J4637">
        <v>8.84</v>
      </c>
    </row>
    <row r="4638" spans="1:10" hidden="1">
      <c r="A4638" t="s">
        <v>3230</v>
      </c>
      <c r="B4638" t="s">
        <v>3231</v>
      </c>
      <c r="C4638" t="s">
        <v>235</v>
      </c>
      <c r="D4638" t="s">
        <v>271</v>
      </c>
      <c r="E4638" t="s">
        <v>557</v>
      </c>
      <c r="F4638" t="s">
        <v>1068</v>
      </c>
      <c r="G4638" t="s">
        <v>1083</v>
      </c>
      <c r="H4638" s="170">
        <v>-1.05015728986759E-5</v>
      </c>
      <c r="I4638" t="s">
        <v>1084</v>
      </c>
      <c r="J4638">
        <v>8.84</v>
      </c>
    </row>
    <row r="4639" spans="1:10" hidden="1">
      <c r="A4639" t="s">
        <v>3230</v>
      </c>
      <c r="B4639" t="s">
        <v>3231</v>
      </c>
      <c r="C4639" t="s">
        <v>235</v>
      </c>
      <c r="D4639" t="s">
        <v>271</v>
      </c>
      <c r="E4639" t="s">
        <v>557</v>
      </c>
      <c r="F4639" t="s">
        <v>1068</v>
      </c>
      <c r="G4639" t="s">
        <v>1085</v>
      </c>
      <c r="H4639" s="170">
        <v>-6.6223308282419198E-5</v>
      </c>
      <c r="I4639" t="s">
        <v>1086</v>
      </c>
      <c r="J4639">
        <v>8.84</v>
      </c>
    </row>
    <row r="4640" spans="1:10" hidden="1">
      <c r="A4640" t="s">
        <v>3230</v>
      </c>
      <c r="B4640" t="s">
        <v>3231</v>
      </c>
      <c r="C4640" t="s">
        <v>235</v>
      </c>
      <c r="D4640" t="s">
        <v>271</v>
      </c>
      <c r="E4640" t="s">
        <v>557</v>
      </c>
      <c r="F4640" t="s">
        <v>1068</v>
      </c>
      <c r="G4640" t="s">
        <v>1087</v>
      </c>
      <c r="H4640" s="170">
        <v>-2.2048959856817299E-9</v>
      </c>
      <c r="I4640" t="s">
        <v>1088</v>
      </c>
      <c r="J4640">
        <v>8.84</v>
      </c>
    </row>
    <row r="4641" spans="1:10" hidden="1">
      <c r="A4641" t="s">
        <v>3230</v>
      </c>
      <c r="B4641" t="s">
        <v>3231</v>
      </c>
      <c r="C4641" t="s">
        <v>235</v>
      </c>
      <c r="D4641" t="s">
        <v>271</v>
      </c>
      <c r="E4641" t="s">
        <v>557</v>
      </c>
      <c r="F4641" t="s">
        <v>1068</v>
      </c>
      <c r="G4641" t="s">
        <v>1089</v>
      </c>
      <c r="H4641" s="170">
        <v>-1.51113188689752E-6</v>
      </c>
      <c r="I4641" t="s">
        <v>1090</v>
      </c>
      <c r="J4641">
        <v>8.84</v>
      </c>
    </row>
    <row r="4642" spans="1:10" hidden="1">
      <c r="A4642" t="s">
        <v>3233</v>
      </c>
      <c r="B4642" t="s">
        <v>3234</v>
      </c>
      <c r="C4642" t="s">
        <v>235</v>
      </c>
      <c r="D4642" t="s">
        <v>271</v>
      </c>
      <c r="E4642" t="s">
        <v>559</v>
      </c>
      <c r="F4642" t="s">
        <v>1068</v>
      </c>
      <c r="G4642" t="s">
        <v>1069</v>
      </c>
      <c r="H4642">
        <v>-2.8885134728426898E-2</v>
      </c>
      <c r="I4642" t="s">
        <v>1070</v>
      </c>
      <c r="J4642">
        <v>7.87</v>
      </c>
    </row>
    <row r="4643" spans="1:10" hidden="1">
      <c r="A4643" t="s">
        <v>3233</v>
      </c>
      <c r="B4643" t="s">
        <v>3234</v>
      </c>
      <c r="C4643" t="s">
        <v>235</v>
      </c>
      <c r="D4643" t="s">
        <v>271</v>
      </c>
      <c r="E4643" t="s">
        <v>559</v>
      </c>
      <c r="F4643" t="s">
        <v>1068</v>
      </c>
      <c r="G4643" t="s">
        <v>1071</v>
      </c>
      <c r="H4643" s="170">
        <v>-1.08437583108386E-10</v>
      </c>
      <c r="I4643" t="s">
        <v>1072</v>
      </c>
      <c r="J4643">
        <v>7.87</v>
      </c>
    </row>
    <row r="4644" spans="1:10" hidden="1">
      <c r="A4644" t="s">
        <v>3233</v>
      </c>
      <c r="B4644" t="s">
        <v>3234</v>
      </c>
      <c r="C4644" t="s">
        <v>235</v>
      </c>
      <c r="D4644" t="s">
        <v>271</v>
      </c>
      <c r="E4644" t="s">
        <v>559</v>
      </c>
      <c r="F4644" t="s">
        <v>1068</v>
      </c>
      <c r="G4644" t="s">
        <v>1073</v>
      </c>
      <c r="H4644" s="170">
        <v>-7.2774424764676298E-9</v>
      </c>
      <c r="I4644" t="s">
        <v>1074</v>
      </c>
      <c r="J4644">
        <v>7.87</v>
      </c>
    </row>
    <row r="4645" spans="1:10" hidden="1">
      <c r="A4645" t="s">
        <v>3233</v>
      </c>
      <c r="B4645" t="s">
        <v>3234</v>
      </c>
      <c r="C4645" t="s">
        <v>235</v>
      </c>
      <c r="D4645" t="s">
        <v>271</v>
      </c>
      <c r="E4645" t="s">
        <v>559</v>
      </c>
      <c r="F4645" t="s">
        <v>1068</v>
      </c>
      <c r="G4645" t="s">
        <v>1075</v>
      </c>
      <c r="H4645">
        <v>1.10963349152706E-3</v>
      </c>
      <c r="I4645" t="s">
        <v>1077</v>
      </c>
      <c r="J4645">
        <v>7.87</v>
      </c>
    </row>
    <row r="4646" spans="1:10" hidden="1">
      <c r="A4646" t="s">
        <v>3233</v>
      </c>
      <c r="B4646" t="s">
        <v>3234</v>
      </c>
      <c r="C4646" t="s">
        <v>235</v>
      </c>
      <c r="D4646" t="s">
        <v>271</v>
      </c>
      <c r="E4646" t="s">
        <v>559</v>
      </c>
      <c r="F4646" t="s">
        <v>1068</v>
      </c>
      <c r="G4646" t="s">
        <v>1078</v>
      </c>
      <c r="H4646">
        <v>-0.64508489652896694</v>
      </c>
      <c r="I4646" t="s">
        <v>1079</v>
      </c>
      <c r="J4646">
        <v>7.87</v>
      </c>
    </row>
    <row r="4647" spans="1:10" hidden="1">
      <c r="A4647" t="s">
        <v>3233</v>
      </c>
      <c r="B4647" t="s">
        <v>3234</v>
      </c>
      <c r="C4647" t="s">
        <v>235</v>
      </c>
      <c r="D4647" t="s">
        <v>271</v>
      </c>
      <c r="E4647" t="s">
        <v>559</v>
      </c>
      <c r="F4647" t="s">
        <v>1068</v>
      </c>
      <c r="G4647" t="s">
        <v>1080</v>
      </c>
      <c r="H4647" s="171" t="s">
        <v>3235</v>
      </c>
      <c r="I4647" t="s">
        <v>1082</v>
      </c>
      <c r="J4647">
        <v>7.87</v>
      </c>
    </row>
    <row r="4648" spans="1:10" hidden="1">
      <c r="A4648" t="s">
        <v>3233</v>
      </c>
      <c r="B4648" t="s">
        <v>3234</v>
      </c>
      <c r="C4648" t="s">
        <v>235</v>
      </c>
      <c r="D4648" t="s">
        <v>271</v>
      </c>
      <c r="E4648" t="s">
        <v>559</v>
      </c>
      <c r="F4648" t="s">
        <v>1068</v>
      </c>
      <c r="G4648" t="s">
        <v>1083</v>
      </c>
      <c r="H4648" s="170">
        <v>-1.1056118727455E-5</v>
      </c>
      <c r="I4648" t="s">
        <v>1084</v>
      </c>
      <c r="J4648">
        <v>7.87</v>
      </c>
    </row>
    <row r="4649" spans="1:10" hidden="1">
      <c r="A4649" t="s">
        <v>3233</v>
      </c>
      <c r="B4649" t="s">
        <v>3234</v>
      </c>
      <c r="C4649" t="s">
        <v>235</v>
      </c>
      <c r="D4649" t="s">
        <v>271</v>
      </c>
      <c r="E4649" t="s">
        <v>559</v>
      </c>
      <c r="F4649" t="s">
        <v>1068</v>
      </c>
      <c r="G4649" t="s">
        <v>1085</v>
      </c>
      <c r="H4649" s="170">
        <v>-7.21632716384211E-5</v>
      </c>
      <c r="I4649" t="s">
        <v>1086</v>
      </c>
      <c r="J4649">
        <v>7.87</v>
      </c>
    </row>
    <row r="4650" spans="1:10" hidden="1">
      <c r="A4650" t="s">
        <v>3233</v>
      </c>
      <c r="B4650" t="s">
        <v>3234</v>
      </c>
      <c r="C4650" t="s">
        <v>235</v>
      </c>
      <c r="D4650" t="s">
        <v>271</v>
      </c>
      <c r="E4650" t="s">
        <v>559</v>
      </c>
      <c r="F4650" t="s">
        <v>1068</v>
      </c>
      <c r="G4650" t="s">
        <v>1087</v>
      </c>
      <c r="H4650" s="170">
        <v>-4.5004806433147403E-9</v>
      </c>
      <c r="I4650" t="s">
        <v>1088</v>
      </c>
      <c r="J4650">
        <v>7.87</v>
      </c>
    </row>
    <row r="4651" spans="1:10" hidden="1">
      <c r="A4651" t="s">
        <v>3233</v>
      </c>
      <c r="B4651" t="s">
        <v>3234</v>
      </c>
      <c r="C4651" t="s">
        <v>235</v>
      </c>
      <c r="D4651" t="s">
        <v>271</v>
      </c>
      <c r="E4651" t="s">
        <v>559</v>
      </c>
      <c r="F4651" t="s">
        <v>1068</v>
      </c>
      <c r="G4651" t="s">
        <v>1089</v>
      </c>
      <c r="H4651" s="170">
        <v>-2.8033376554102598E-6</v>
      </c>
      <c r="I4651" t="s">
        <v>1090</v>
      </c>
      <c r="J4651">
        <v>7.87</v>
      </c>
    </row>
    <row r="4652" spans="1:10" hidden="1">
      <c r="A4652" t="s">
        <v>3236</v>
      </c>
      <c r="B4652" t="s">
        <v>3237</v>
      </c>
      <c r="C4652" t="s">
        <v>235</v>
      </c>
      <c r="D4652" t="s">
        <v>271</v>
      </c>
      <c r="E4652" t="s">
        <v>560</v>
      </c>
      <c r="F4652" t="s">
        <v>1068</v>
      </c>
      <c r="G4652" t="s">
        <v>1069</v>
      </c>
      <c r="H4652">
        <v>-2.7396885028850401E-2</v>
      </c>
      <c r="I4652" t="s">
        <v>1070</v>
      </c>
      <c r="J4652">
        <v>7.19</v>
      </c>
    </row>
    <row r="4653" spans="1:10" hidden="1">
      <c r="A4653" t="s">
        <v>3236</v>
      </c>
      <c r="B4653" t="s">
        <v>3237</v>
      </c>
      <c r="C4653" t="s">
        <v>235</v>
      </c>
      <c r="D4653" t="s">
        <v>271</v>
      </c>
      <c r="E4653" t="s">
        <v>560</v>
      </c>
      <c r="F4653" t="s">
        <v>1068</v>
      </c>
      <c r="G4653" t="s">
        <v>1071</v>
      </c>
      <c r="H4653" s="170">
        <v>-1.06440318207998E-10</v>
      </c>
      <c r="I4653" t="s">
        <v>1072</v>
      </c>
      <c r="J4653">
        <v>7.19</v>
      </c>
    </row>
    <row r="4654" spans="1:10" hidden="1">
      <c r="A4654" t="s">
        <v>3236</v>
      </c>
      <c r="B4654" t="s">
        <v>3237</v>
      </c>
      <c r="C4654" t="s">
        <v>235</v>
      </c>
      <c r="D4654" t="s">
        <v>271</v>
      </c>
      <c r="E4654" t="s">
        <v>560</v>
      </c>
      <c r="F4654" t="s">
        <v>1068</v>
      </c>
      <c r="G4654" t="s">
        <v>1073</v>
      </c>
      <c r="H4654" s="170">
        <v>-6.74842247771064E-9</v>
      </c>
      <c r="I4654" t="s">
        <v>1074</v>
      </c>
      <c r="J4654">
        <v>7.19</v>
      </c>
    </row>
    <row r="4655" spans="1:10" hidden="1">
      <c r="A4655" t="s">
        <v>3236</v>
      </c>
      <c r="B4655" t="s">
        <v>3237</v>
      </c>
      <c r="C4655" t="s">
        <v>235</v>
      </c>
      <c r="D4655" t="s">
        <v>271</v>
      </c>
      <c r="E4655" t="s">
        <v>560</v>
      </c>
      <c r="F4655" t="s">
        <v>1068</v>
      </c>
      <c r="G4655" t="s">
        <v>1075</v>
      </c>
      <c r="H4655">
        <v>1.09488279359541E-3</v>
      </c>
      <c r="I4655" t="s">
        <v>1077</v>
      </c>
      <c r="J4655">
        <v>7.19</v>
      </c>
    </row>
    <row r="4656" spans="1:10" hidden="1">
      <c r="A4656" t="s">
        <v>3236</v>
      </c>
      <c r="B4656" t="s">
        <v>3237</v>
      </c>
      <c r="C4656" t="s">
        <v>235</v>
      </c>
      <c r="D4656" t="s">
        <v>271</v>
      </c>
      <c r="E4656" t="s">
        <v>560</v>
      </c>
      <c r="F4656" t="s">
        <v>1068</v>
      </c>
      <c r="G4656" t="s">
        <v>1078</v>
      </c>
      <c r="H4656">
        <v>-0.66901157869309202</v>
      </c>
      <c r="I4656" t="s">
        <v>1079</v>
      </c>
      <c r="J4656">
        <v>7.19</v>
      </c>
    </row>
    <row r="4657" spans="1:10" hidden="1">
      <c r="A4657" t="s">
        <v>3236</v>
      </c>
      <c r="B4657" t="s">
        <v>3237</v>
      </c>
      <c r="C4657" t="s">
        <v>235</v>
      </c>
      <c r="D4657" t="s">
        <v>271</v>
      </c>
      <c r="E4657" t="s">
        <v>560</v>
      </c>
      <c r="F4657" t="s">
        <v>1068</v>
      </c>
      <c r="G4657" t="s">
        <v>1080</v>
      </c>
      <c r="H4657" s="171" t="s">
        <v>3238</v>
      </c>
      <c r="I4657" t="s">
        <v>1082</v>
      </c>
      <c r="J4657">
        <v>7.19</v>
      </c>
    </row>
    <row r="4658" spans="1:10" hidden="1">
      <c r="A4658" t="s">
        <v>3236</v>
      </c>
      <c r="B4658" t="s">
        <v>3237</v>
      </c>
      <c r="C4658" t="s">
        <v>235</v>
      </c>
      <c r="D4658" t="s">
        <v>271</v>
      </c>
      <c r="E4658" t="s">
        <v>560</v>
      </c>
      <c r="F4658" t="s">
        <v>1068</v>
      </c>
      <c r="G4658" t="s">
        <v>1083</v>
      </c>
      <c r="H4658" s="170">
        <v>-1.0827631246574401E-5</v>
      </c>
      <c r="I4658" t="s">
        <v>1084</v>
      </c>
      <c r="J4658">
        <v>7.19</v>
      </c>
    </row>
    <row r="4659" spans="1:10" hidden="1">
      <c r="A4659" t="s">
        <v>3236</v>
      </c>
      <c r="B4659" t="s">
        <v>3237</v>
      </c>
      <c r="C4659" t="s">
        <v>235</v>
      </c>
      <c r="D4659" t="s">
        <v>271</v>
      </c>
      <c r="E4659" t="s">
        <v>560</v>
      </c>
      <c r="F4659" t="s">
        <v>1068</v>
      </c>
      <c r="G4659" t="s">
        <v>1085</v>
      </c>
      <c r="H4659" s="170">
        <v>-6.9908429372941995E-5</v>
      </c>
      <c r="I4659" t="s">
        <v>1086</v>
      </c>
      <c r="J4659">
        <v>7.19</v>
      </c>
    </row>
    <row r="4660" spans="1:10" hidden="1">
      <c r="A4660" t="s">
        <v>3236</v>
      </c>
      <c r="B4660" t="s">
        <v>3237</v>
      </c>
      <c r="C4660" t="s">
        <v>235</v>
      </c>
      <c r="D4660" t="s">
        <v>271</v>
      </c>
      <c r="E4660" t="s">
        <v>560</v>
      </c>
      <c r="F4660" t="s">
        <v>1068</v>
      </c>
      <c r="G4660" t="s">
        <v>1087</v>
      </c>
      <c r="H4660" s="170">
        <v>-3.98335225028577E-9</v>
      </c>
      <c r="I4660" t="s">
        <v>1088</v>
      </c>
      <c r="J4660">
        <v>7.19</v>
      </c>
    </row>
    <row r="4661" spans="1:10" hidden="1">
      <c r="A4661" t="s">
        <v>3236</v>
      </c>
      <c r="B4661" t="s">
        <v>3237</v>
      </c>
      <c r="C4661" t="s">
        <v>235</v>
      </c>
      <c r="D4661" t="s">
        <v>271</v>
      </c>
      <c r="E4661" t="s">
        <v>560</v>
      </c>
      <c r="F4661" t="s">
        <v>1068</v>
      </c>
      <c r="G4661" t="s">
        <v>1089</v>
      </c>
      <c r="H4661" s="170">
        <v>-2.2713650907308299E-6</v>
      </c>
      <c r="I4661" t="s">
        <v>1090</v>
      </c>
      <c r="J4661">
        <v>7.19</v>
      </c>
    </row>
    <row r="4662" spans="1:10" hidden="1">
      <c r="A4662" t="s">
        <v>3239</v>
      </c>
      <c r="B4662" t="s">
        <v>3240</v>
      </c>
      <c r="C4662" t="s">
        <v>235</v>
      </c>
      <c r="D4662" t="s">
        <v>271</v>
      </c>
      <c r="E4662" t="s">
        <v>1116</v>
      </c>
      <c r="F4662" t="s">
        <v>1068</v>
      </c>
      <c r="G4662" t="s">
        <v>1069</v>
      </c>
      <c r="H4662">
        <v>-2.08862556826345E-2</v>
      </c>
      <c r="I4662" t="s">
        <v>1070</v>
      </c>
      <c r="J4662">
        <v>10</v>
      </c>
    </row>
    <row r="4663" spans="1:10" hidden="1">
      <c r="A4663" t="s">
        <v>3239</v>
      </c>
      <c r="B4663" t="s">
        <v>3240</v>
      </c>
      <c r="C4663" t="s">
        <v>235</v>
      </c>
      <c r="D4663" t="s">
        <v>271</v>
      </c>
      <c r="E4663" t="s">
        <v>1116</v>
      </c>
      <c r="F4663" t="s">
        <v>1068</v>
      </c>
      <c r="G4663" t="s">
        <v>1071</v>
      </c>
      <c r="H4663" s="170">
        <v>-9.7123533542885499E-11</v>
      </c>
      <c r="I4663" t="s">
        <v>1072</v>
      </c>
      <c r="J4663">
        <v>10</v>
      </c>
    </row>
    <row r="4664" spans="1:10" hidden="1">
      <c r="A4664" t="s">
        <v>3239</v>
      </c>
      <c r="B4664" t="s">
        <v>3240</v>
      </c>
      <c r="C4664" t="s">
        <v>235</v>
      </c>
      <c r="D4664" t="s">
        <v>271</v>
      </c>
      <c r="E4664" t="s">
        <v>1116</v>
      </c>
      <c r="F4664" t="s">
        <v>1068</v>
      </c>
      <c r="G4664" t="s">
        <v>1073</v>
      </c>
      <c r="H4664" s="170">
        <v>-4.4358263330492503E-9</v>
      </c>
      <c r="I4664" t="s">
        <v>1074</v>
      </c>
      <c r="J4664">
        <v>10</v>
      </c>
    </row>
    <row r="4665" spans="1:10" hidden="1">
      <c r="A4665" t="s">
        <v>3239</v>
      </c>
      <c r="B4665" t="s">
        <v>3240</v>
      </c>
      <c r="C4665" t="s">
        <v>235</v>
      </c>
      <c r="D4665" t="s">
        <v>271</v>
      </c>
      <c r="E4665" t="s">
        <v>1116</v>
      </c>
      <c r="F4665" t="s">
        <v>1068</v>
      </c>
      <c r="G4665" t="s">
        <v>1075</v>
      </c>
      <c r="H4665">
        <v>1.30069074233588E-3</v>
      </c>
      <c r="I4665" t="s">
        <v>1077</v>
      </c>
      <c r="J4665">
        <v>10</v>
      </c>
    </row>
    <row r="4666" spans="1:10" hidden="1">
      <c r="A4666" t="s">
        <v>3239</v>
      </c>
      <c r="B4666" t="s">
        <v>3240</v>
      </c>
      <c r="C4666" t="s">
        <v>235</v>
      </c>
      <c r="D4666" t="s">
        <v>271</v>
      </c>
      <c r="E4666" t="s">
        <v>1116</v>
      </c>
      <c r="F4666" t="s">
        <v>1068</v>
      </c>
      <c r="G4666" t="s">
        <v>1078</v>
      </c>
      <c r="H4666">
        <v>-0.660111649107195</v>
      </c>
      <c r="I4666" t="s">
        <v>1079</v>
      </c>
      <c r="J4666">
        <v>10</v>
      </c>
    </row>
    <row r="4667" spans="1:10" hidden="1">
      <c r="A4667" t="s">
        <v>3239</v>
      </c>
      <c r="B4667" t="s">
        <v>3240</v>
      </c>
      <c r="C4667" t="s">
        <v>235</v>
      </c>
      <c r="D4667" t="s">
        <v>271</v>
      </c>
      <c r="E4667" t="s">
        <v>1116</v>
      </c>
      <c r="F4667" t="s">
        <v>1068</v>
      </c>
      <c r="G4667" t="s">
        <v>1080</v>
      </c>
      <c r="H4667" s="171" t="s">
        <v>3241</v>
      </c>
      <c r="I4667" t="s">
        <v>1082</v>
      </c>
      <c r="J4667">
        <v>10</v>
      </c>
    </row>
    <row r="4668" spans="1:10" hidden="1">
      <c r="A4668" t="s">
        <v>3239</v>
      </c>
      <c r="B4668" t="s">
        <v>3240</v>
      </c>
      <c r="C4668" t="s">
        <v>235</v>
      </c>
      <c r="D4668" t="s">
        <v>271</v>
      </c>
      <c r="E4668" t="s">
        <v>1116</v>
      </c>
      <c r="F4668" t="s">
        <v>1068</v>
      </c>
      <c r="G4668" t="s">
        <v>1083</v>
      </c>
      <c r="H4668" s="170">
        <v>-9.8380113705809105E-6</v>
      </c>
      <c r="I4668" t="s">
        <v>1084</v>
      </c>
      <c r="J4668">
        <v>10</v>
      </c>
    </row>
    <row r="4669" spans="1:10" hidden="1">
      <c r="A4669" t="s">
        <v>3239</v>
      </c>
      <c r="B4669" t="s">
        <v>3240</v>
      </c>
      <c r="C4669" t="s">
        <v>235</v>
      </c>
      <c r="D4669" t="s">
        <v>271</v>
      </c>
      <c r="E4669" t="s">
        <v>1116</v>
      </c>
      <c r="F4669" t="s">
        <v>1068</v>
      </c>
      <c r="G4669" t="s">
        <v>1085</v>
      </c>
      <c r="H4669" s="170">
        <v>-5.8723716268281103E-5</v>
      </c>
      <c r="I4669" t="s">
        <v>1086</v>
      </c>
      <c r="J4669">
        <v>10</v>
      </c>
    </row>
    <row r="4670" spans="1:10" hidden="1">
      <c r="A4670" t="s">
        <v>3239</v>
      </c>
      <c r="B4670" t="s">
        <v>3240</v>
      </c>
      <c r="C4670" t="s">
        <v>235</v>
      </c>
      <c r="D4670" t="s">
        <v>271</v>
      </c>
      <c r="E4670" t="s">
        <v>1116</v>
      </c>
      <c r="F4670" t="s">
        <v>1068</v>
      </c>
      <c r="G4670" t="s">
        <v>1087</v>
      </c>
      <c r="H4670" s="171" t="s">
        <v>3242</v>
      </c>
      <c r="I4670" t="s">
        <v>1088</v>
      </c>
      <c r="J4670">
        <v>10</v>
      </c>
    </row>
    <row r="4671" spans="1:10" hidden="1">
      <c r="A4671" t="s">
        <v>3239</v>
      </c>
      <c r="B4671" t="s">
        <v>3240</v>
      </c>
      <c r="C4671" t="s">
        <v>235</v>
      </c>
      <c r="D4671" t="s">
        <v>271</v>
      </c>
      <c r="E4671" t="s">
        <v>1116</v>
      </c>
      <c r="F4671" t="s">
        <v>1068</v>
      </c>
      <c r="G4671" t="s">
        <v>1089</v>
      </c>
      <c r="H4671" s="171" t="s">
        <v>3243</v>
      </c>
      <c r="I4671" t="s">
        <v>1090</v>
      </c>
      <c r="J4671">
        <v>10</v>
      </c>
    </row>
    <row r="4672" spans="1:10" hidden="1">
      <c r="A4672" t="s">
        <v>3244</v>
      </c>
      <c r="B4672" t="s">
        <v>3245</v>
      </c>
      <c r="C4672" t="s">
        <v>235</v>
      </c>
      <c r="D4672" t="s">
        <v>3246</v>
      </c>
      <c r="E4672" t="s">
        <v>561</v>
      </c>
      <c r="F4672" t="s">
        <v>1068</v>
      </c>
      <c r="G4672" t="s">
        <v>1069</v>
      </c>
      <c r="H4672">
        <v>7.1723106616972301E-2</v>
      </c>
      <c r="I4672" t="s">
        <v>1070</v>
      </c>
      <c r="J4672">
        <v>7.84</v>
      </c>
    </row>
    <row r="4673" spans="1:10" hidden="1">
      <c r="A4673" t="s">
        <v>3244</v>
      </c>
      <c r="B4673" t="s">
        <v>3245</v>
      </c>
      <c r="C4673" t="s">
        <v>235</v>
      </c>
      <c r="D4673" t="s">
        <v>3246</v>
      </c>
      <c r="E4673" t="s">
        <v>561</v>
      </c>
      <c r="F4673" t="s">
        <v>1068</v>
      </c>
      <c r="G4673" t="s">
        <v>1071</v>
      </c>
      <c r="H4673" s="171" t="s">
        <v>3247</v>
      </c>
      <c r="I4673" t="s">
        <v>1072</v>
      </c>
      <c r="J4673">
        <v>7.84</v>
      </c>
    </row>
    <row r="4674" spans="1:10" hidden="1">
      <c r="A4674" t="s">
        <v>3244</v>
      </c>
      <c r="B4674" t="s">
        <v>3245</v>
      </c>
      <c r="C4674" t="s">
        <v>235</v>
      </c>
      <c r="D4674" t="s">
        <v>3246</v>
      </c>
      <c r="E4674" t="s">
        <v>561</v>
      </c>
      <c r="F4674" t="s">
        <v>1068</v>
      </c>
      <c r="G4674" t="s">
        <v>1073</v>
      </c>
      <c r="H4674" s="171" t="s">
        <v>3248</v>
      </c>
      <c r="I4674" t="s">
        <v>1074</v>
      </c>
      <c r="J4674">
        <v>7.84</v>
      </c>
    </row>
    <row r="4675" spans="1:10" hidden="1">
      <c r="A4675" t="s">
        <v>3244</v>
      </c>
      <c r="B4675" t="s">
        <v>3245</v>
      </c>
      <c r="C4675" t="s">
        <v>235</v>
      </c>
      <c r="D4675" t="s">
        <v>3246</v>
      </c>
      <c r="E4675" t="s">
        <v>561</v>
      </c>
      <c r="F4675" t="s">
        <v>1068</v>
      </c>
      <c r="G4675" t="s">
        <v>1075</v>
      </c>
      <c r="H4675">
        <v>3.4708079519816899E-3</v>
      </c>
      <c r="I4675" t="s">
        <v>1077</v>
      </c>
      <c r="J4675">
        <v>7.84</v>
      </c>
    </row>
    <row r="4676" spans="1:10" hidden="1">
      <c r="A4676" t="s">
        <v>3244</v>
      </c>
      <c r="B4676" t="s">
        <v>3245</v>
      </c>
      <c r="C4676" t="s">
        <v>235</v>
      </c>
      <c r="D4676" t="s">
        <v>3246</v>
      </c>
      <c r="E4676" t="s">
        <v>561</v>
      </c>
      <c r="F4676" t="s">
        <v>1068</v>
      </c>
      <c r="G4676" t="s">
        <v>1078</v>
      </c>
      <c r="H4676">
        <v>2.6022332869927601E-2</v>
      </c>
      <c r="I4676" t="s">
        <v>1079</v>
      </c>
      <c r="J4676">
        <v>7.84</v>
      </c>
    </row>
    <row r="4677" spans="1:10" hidden="1">
      <c r="A4677" t="s">
        <v>3244</v>
      </c>
      <c r="B4677" t="s">
        <v>3245</v>
      </c>
      <c r="C4677" t="s">
        <v>235</v>
      </c>
      <c r="D4677" t="s">
        <v>3246</v>
      </c>
      <c r="E4677" t="s">
        <v>561</v>
      </c>
      <c r="F4677" t="s">
        <v>1068</v>
      </c>
      <c r="G4677" t="s">
        <v>1080</v>
      </c>
      <c r="H4677" s="171" t="s">
        <v>3249</v>
      </c>
      <c r="I4677" t="s">
        <v>1082</v>
      </c>
      <c r="J4677">
        <v>7.84</v>
      </c>
    </row>
    <row r="4678" spans="1:10" hidden="1">
      <c r="A4678" t="s">
        <v>3244</v>
      </c>
      <c r="B4678" t="s">
        <v>3245</v>
      </c>
      <c r="C4678" t="s">
        <v>235</v>
      </c>
      <c r="D4678" t="s">
        <v>3246</v>
      </c>
      <c r="E4678" t="s">
        <v>561</v>
      </c>
      <c r="F4678" t="s">
        <v>1068</v>
      </c>
      <c r="G4678" t="s">
        <v>1083</v>
      </c>
      <c r="H4678" s="171" t="s">
        <v>3250</v>
      </c>
      <c r="I4678" t="s">
        <v>1084</v>
      </c>
      <c r="J4678">
        <v>7.84</v>
      </c>
    </row>
    <row r="4679" spans="1:10" hidden="1">
      <c r="A4679" t="s">
        <v>3244</v>
      </c>
      <c r="B4679" t="s">
        <v>3245</v>
      </c>
      <c r="C4679" t="s">
        <v>235</v>
      </c>
      <c r="D4679" t="s">
        <v>3246</v>
      </c>
      <c r="E4679" t="s">
        <v>561</v>
      </c>
      <c r="F4679" t="s">
        <v>1068</v>
      </c>
      <c r="G4679" t="s">
        <v>1085</v>
      </c>
      <c r="H4679" s="171" t="s">
        <v>3251</v>
      </c>
      <c r="I4679" t="s">
        <v>1086</v>
      </c>
      <c r="J4679">
        <v>7.84</v>
      </c>
    </row>
    <row r="4680" spans="1:10" hidden="1">
      <c r="A4680" t="s">
        <v>3244</v>
      </c>
      <c r="B4680" t="s">
        <v>3245</v>
      </c>
      <c r="C4680" t="s">
        <v>235</v>
      </c>
      <c r="D4680" t="s">
        <v>3246</v>
      </c>
      <c r="E4680" t="s">
        <v>561</v>
      </c>
      <c r="F4680" t="s">
        <v>1068</v>
      </c>
      <c r="G4680" t="s">
        <v>1087</v>
      </c>
      <c r="H4680" s="171" t="s">
        <v>3252</v>
      </c>
      <c r="I4680" t="s">
        <v>1088</v>
      </c>
      <c r="J4680">
        <v>7.84</v>
      </c>
    </row>
    <row r="4681" spans="1:10" hidden="1">
      <c r="A4681" t="s">
        <v>3244</v>
      </c>
      <c r="B4681" t="s">
        <v>3245</v>
      </c>
      <c r="C4681" t="s">
        <v>235</v>
      </c>
      <c r="D4681" t="s">
        <v>3246</v>
      </c>
      <c r="E4681" t="s">
        <v>561</v>
      </c>
      <c r="F4681" t="s">
        <v>1068</v>
      </c>
      <c r="G4681" t="s">
        <v>1089</v>
      </c>
      <c r="H4681" s="171" t="s">
        <v>3253</v>
      </c>
      <c r="I4681" t="s">
        <v>1090</v>
      </c>
      <c r="J4681">
        <v>7.84</v>
      </c>
    </row>
    <row r="4682" spans="1:10" hidden="1">
      <c r="A4682" t="s">
        <v>3254</v>
      </c>
      <c r="B4682" t="s">
        <v>3255</v>
      </c>
      <c r="C4682" t="s">
        <v>235</v>
      </c>
      <c r="D4682" t="s">
        <v>3246</v>
      </c>
      <c r="E4682" t="s">
        <v>555</v>
      </c>
      <c r="F4682" t="s">
        <v>1068</v>
      </c>
      <c r="G4682" t="s">
        <v>1069</v>
      </c>
      <c r="H4682">
        <v>7.1759216502027295E-2</v>
      </c>
      <c r="I4682" t="s">
        <v>1070</v>
      </c>
      <c r="J4682">
        <v>7.84</v>
      </c>
    </row>
    <row r="4683" spans="1:10" hidden="1">
      <c r="A4683" t="s">
        <v>3254</v>
      </c>
      <c r="B4683" t="s">
        <v>3255</v>
      </c>
      <c r="C4683" t="s">
        <v>235</v>
      </c>
      <c r="D4683" t="s">
        <v>3246</v>
      </c>
      <c r="E4683" t="s">
        <v>555</v>
      </c>
      <c r="F4683" t="s">
        <v>1068</v>
      </c>
      <c r="G4683" t="s">
        <v>1071</v>
      </c>
      <c r="H4683" s="171" t="s">
        <v>3256</v>
      </c>
      <c r="I4683" t="s">
        <v>1072</v>
      </c>
      <c r="J4683">
        <v>7.84</v>
      </c>
    </row>
    <row r="4684" spans="1:10" hidden="1">
      <c r="A4684" t="s">
        <v>3254</v>
      </c>
      <c r="B4684" t="s">
        <v>3255</v>
      </c>
      <c r="C4684" t="s">
        <v>235</v>
      </c>
      <c r="D4684" t="s">
        <v>3246</v>
      </c>
      <c r="E4684" t="s">
        <v>555</v>
      </c>
      <c r="F4684" t="s">
        <v>1068</v>
      </c>
      <c r="G4684" t="s">
        <v>1073</v>
      </c>
      <c r="H4684" s="171" t="s">
        <v>3257</v>
      </c>
      <c r="I4684" t="s">
        <v>1074</v>
      </c>
      <c r="J4684">
        <v>7.84</v>
      </c>
    </row>
    <row r="4685" spans="1:10" hidden="1">
      <c r="A4685" t="s">
        <v>3254</v>
      </c>
      <c r="B4685" t="s">
        <v>3255</v>
      </c>
      <c r="C4685" t="s">
        <v>235</v>
      </c>
      <c r="D4685" t="s">
        <v>3246</v>
      </c>
      <c r="E4685" t="s">
        <v>555</v>
      </c>
      <c r="F4685" t="s">
        <v>1068</v>
      </c>
      <c r="G4685" t="s">
        <v>1075</v>
      </c>
      <c r="H4685">
        <v>3.4712841894031501E-3</v>
      </c>
      <c r="I4685" t="s">
        <v>1077</v>
      </c>
      <c r="J4685">
        <v>7.84</v>
      </c>
    </row>
    <row r="4686" spans="1:10" hidden="1">
      <c r="A4686" t="s">
        <v>3254</v>
      </c>
      <c r="B4686" t="s">
        <v>3255</v>
      </c>
      <c r="C4686" t="s">
        <v>235</v>
      </c>
      <c r="D4686" t="s">
        <v>3246</v>
      </c>
      <c r="E4686" t="s">
        <v>555</v>
      </c>
      <c r="F4686" t="s">
        <v>1068</v>
      </c>
      <c r="G4686" t="s">
        <v>1078</v>
      </c>
      <c r="H4686">
        <v>2.6042922296619801E-2</v>
      </c>
      <c r="I4686" t="s">
        <v>1079</v>
      </c>
      <c r="J4686">
        <v>7.84</v>
      </c>
    </row>
    <row r="4687" spans="1:10" hidden="1">
      <c r="A4687" t="s">
        <v>3254</v>
      </c>
      <c r="B4687" t="s">
        <v>3255</v>
      </c>
      <c r="C4687" t="s">
        <v>235</v>
      </c>
      <c r="D4687" t="s">
        <v>3246</v>
      </c>
      <c r="E4687" t="s">
        <v>555</v>
      </c>
      <c r="F4687" t="s">
        <v>1068</v>
      </c>
      <c r="G4687" t="s">
        <v>1080</v>
      </c>
      <c r="H4687" s="171" t="s">
        <v>3258</v>
      </c>
      <c r="I4687" t="s">
        <v>1082</v>
      </c>
      <c r="J4687">
        <v>7.84</v>
      </c>
    </row>
    <row r="4688" spans="1:10" hidden="1">
      <c r="A4688" t="s">
        <v>3254</v>
      </c>
      <c r="B4688" t="s">
        <v>3255</v>
      </c>
      <c r="C4688" t="s">
        <v>235</v>
      </c>
      <c r="D4688" t="s">
        <v>3246</v>
      </c>
      <c r="E4688" t="s">
        <v>555</v>
      </c>
      <c r="F4688" t="s">
        <v>1068</v>
      </c>
      <c r="G4688" t="s">
        <v>1083</v>
      </c>
      <c r="H4688" s="171" t="s">
        <v>3259</v>
      </c>
      <c r="I4688" t="s">
        <v>1084</v>
      </c>
      <c r="J4688">
        <v>7.84</v>
      </c>
    </row>
    <row r="4689" spans="1:10" hidden="1">
      <c r="A4689" t="s">
        <v>3254</v>
      </c>
      <c r="B4689" t="s">
        <v>3255</v>
      </c>
      <c r="C4689" t="s">
        <v>235</v>
      </c>
      <c r="D4689" t="s">
        <v>3246</v>
      </c>
      <c r="E4689" t="s">
        <v>555</v>
      </c>
      <c r="F4689" t="s">
        <v>1068</v>
      </c>
      <c r="G4689" t="s">
        <v>1085</v>
      </c>
      <c r="H4689" s="171" t="s">
        <v>3260</v>
      </c>
      <c r="I4689" t="s">
        <v>1086</v>
      </c>
      <c r="J4689">
        <v>7.84</v>
      </c>
    </row>
    <row r="4690" spans="1:10" hidden="1">
      <c r="A4690" t="s">
        <v>3254</v>
      </c>
      <c r="B4690" t="s">
        <v>3255</v>
      </c>
      <c r="C4690" t="s">
        <v>235</v>
      </c>
      <c r="D4690" t="s">
        <v>3246</v>
      </c>
      <c r="E4690" t="s">
        <v>555</v>
      </c>
      <c r="F4690" t="s">
        <v>1068</v>
      </c>
      <c r="G4690" t="s">
        <v>1087</v>
      </c>
      <c r="H4690" s="171" t="s">
        <v>3261</v>
      </c>
      <c r="I4690" t="s">
        <v>1088</v>
      </c>
      <c r="J4690">
        <v>7.84</v>
      </c>
    </row>
    <row r="4691" spans="1:10" hidden="1">
      <c r="A4691" t="s">
        <v>3254</v>
      </c>
      <c r="B4691" t="s">
        <v>3255</v>
      </c>
      <c r="C4691" t="s">
        <v>235</v>
      </c>
      <c r="D4691" t="s">
        <v>3246</v>
      </c>
      <c r="E4691" t="s">
        <v>555</v>
      </c>
      <c r="F4691" t="s">
        <v>1068</v>
      </c>
      <c r="G4691" t="s">
        <v>1089</v>
      </c>
      <c r="H4691" s="171" t="s">
        <v>3262</v>
      </c>
      <c r="I4691" t="s">
        <v>1090</v>
      </c>
      <c r="J4691">
        <v>7.84</v>
      </c>
    </row>
    <row r="4692" spans="1:10" hidden="1">
      <c r="A4692" t="s">
        <v>3263</v>
      </c>
      <c r="B4692" t="s">
        <v>3264</v>
      </c>
      <c r="C4692" t="s">
        <v>235</v>
      </c>
      <c r="D4692" t="s">
        <v>3246</v>
      </c>
      <c r="E4692" t="s">
        <v>558</v>
      </c>
      <c r="F4692" t="s">
        <v>1068</v>
      </c>
      <c r="G4692" t="s">
        <v>1069</v>
      </c>
      <c r="H4692">
        <v>7.1721845843026905E-2</v>
      </c>
      <c r="I4692" t="s">
        <v>1070</v>
      </c>
      <c r="J4692">
        <v>7.97</v>
      </c>
    </row>
    <row r="4693" spans="1:10" hidden="1">
      <c r="A4693" t="s">
        <v>3263</v>
      </c>
      <c r="B4693" t="s">
        <v>3264</v>
      </c>
      <c r="C4693" t="s">
        <v>235</v>
      </c>
      <c r="D4693" t="s">
        <v>3246</v>
      </c>
      <c r="E4693" t="s">
        <v>558</v>
      </c>
      <c r="F4693" t="s">
        <v>1068</v>
      </c>
      <c r="G4693" t="s">
        <v>1071</v>
      </c>
      <c r="H4693" s="171" t="s">
        <v>3265</v>
      </c>
      <c r="I4693" t="s">
        <v>1072</v>
      </c>
      <c r="J4693">
        <v>7.97</v>
      </c>
    </row>
    <row r="4694" spans="1:10" hidden="1">
      <c r="A4694" t="s">
        <v>3263</v>
      </c>
      <c r="B4694" t="s">
        <v>3264</v>
      </c>
      <c r="C4694" t="s">
        <v>235</v>
      </c>
      <c r="D4694" t="s">
        <v>3246</v>
      </c>
      <c r="E4694" t="s">
        <v>558</v>
      </c>
      <c r="F4694" t="s">
        <v>1068</v>
      </c>
      <c r="G4694" t="s">
        <v>1073</v>
      </c>
      <c r="H4694" s="171" t="s">
        <v>3266</v>
      </c>
      <c r="I4694" t="s">
        <v>1074</v>
      </c>
      <c r="J4694">
        <v>7.97</v>
      </c>
    </row>
    <row r="4695" spans="1:10" hidden="1">
      <c r="A4695" t="s">
        <v>3263</v>
      </c>
      <c r="B4695" t="s">
        <v>3264</v>
      </c>
      <c r="C4695" t="s">
        <v>235</v>
      </c>
      <c r="D4695" t="s">
        <v>3246</v>
      </c>
      <c r="E4695" t="s">
        <v>558</v>
      </c>
      <c r="F4695" t="s">
        <v>1068</v>
      </c>
      <c r="G4695" t="s">
        <v>1075</v>
      </c>
      <c r="H4695">
        <v>3.47076809757043E-3</v>
      </c>
      <c r="I4695" t="s">
        <v>1077</v>
      </c>
      <c r="J4695">
        <v>7.97</v>
      </c>
    </row>
    <row r="4696" spans="1:10" hidden="1">
      <c r="A4696" t="s">
        <v>3263</v>
      </c>
      <c r="B4696" t="s">
        <v>3264</v>
      </c>
      <c r="C4696" t="s">
        <v>235</v>
      </c>
      <c r="D4696" t="s">
        <v>3246</v>
      </c>
      <c r="E4696" t="s">
        <v>558</v>
      </c>
      <c r="F4696" t="s">
        <v>1068</v>
      </c>
      <c r="G4696" t="s">
        <v>1078</v>
      </c>
      <c r="H4696" s="171" t="s">
        <v>3267</v>
      </c>
      <c r="I4696" t="s">
        <v>1079</v>
      </c>
      <c r="J4696">
        <v>7.97</v>
      </c>
    </row>
    <row r="4697" spans="1:10" hidden="1">
      <c r="A4697" t="s">
        <v>3263</v>
      </c>
      <c r="B4697" t="s">
        <v>3264</v>
      </c>
      <c r="C4697" t="s">
        <v>235</v>
      </c>
      <c r="D4697" t="s">
        <v>3246</v>
      </c>
      <c r="E4697" t="s">
        <v>558</v>
      </c>
      <c r="F4697" t="s">
        <v>1068</v>
      </c>
      <c r="G4697" t="s">
        <v>1080</v>
      </c>
      <c r="H4697" s="171" t="s">
        <v>3268</v>
      </c>
      <c r="I4697" t="s">
        <v>1082</v>
      </c>
      <c r="J4697">
        <v>7.97</v>
      </c>
    </row>
    <row r="4698" spans="1:10" hidden="1">
      <c r="A4698" t="s">
        <v>3263</v>
      </c>
      <c r="B4698" t="s">
        <v>3264</v>
      </c>
      <c r="C4698" t="s">
        <v>235</v>
      </c>
      <c r="D4698" t="s">
        <v>3246</v>
      </c>
      <c r="E4698" t="s">
        <v>558</v>
      </c>
      <c r="F4698" t="s">
        <v>1068</v>
      </c>
      <c r="G4698" t="s">
        <v>1083</v>
      </c>
      <c r="H4698" s="171" t="s">
        <v>3269</v>
      </c>
      <c r="I4698" t="s">
        <v>1084</v>
      </c>
      <c r="J4698">
        <v>7.97</v>
      </c>
    </row>
    <row r="4699" spans="1:10" hidden="1">
      <c r="A4699" t="s">
        <v>3263</v>
      </c>
      <c r="B4699" t="s">
        <v>3264</v>
      </c>
      <c r="C4699" t="s">
        <v>235</v>
      </c>
      <c r="D4699" t="s">
        <v>3246</v>
      </c>
      <c r="E4699" t="s">
        <v>558</v>
      </c>
      <c r="F4699" t="s">
        <v>1068</v>
      </c>
      <c r="G4699" t="s">
        <v>1085</v>
      </c>
      <c r="H4699" s="171" t="s">
        <v>3270</v>
      </c>
      <c r="I4699" t="s">
        <v>1086</v>
      </c>
      <c r="J4699">
        <v>7.97</v>
      </c>
    </row>
    <row r="4700" spans="1:10" hidden="1">
      <c r="A4700" t="s">
        <v>3263</v>
      </c>
      <c r="B4700" t="s">
        <v>3264</v>
      </c>
      <c r="C4700" t="s">
        <v>235</v>
      </c>
      <c r="D4700" t="s">
        <v>3246</v>
      </c>
      <c r="E4700" t="s">
        <v>558</v>
      </c>
      <c r="F4700" t="s">
        <v>1068</v>
      </c>
      <c r="G4700" t="s">
        <v>1087</v>
      </c>
      <c r="H4700" s="171" t="s">
        <v>3271</v>
      </c>
      <c r="I4700" t="s">
        <v>1088</v>
      </c>
      <c r="J4700">
        <v>7.97</v>
      </c>
    </row>
    <row r="4701" spans="1:10" hidden="1">
      <c r="A4701" t="s">
        <v>3263</v>
      </c>
      <c r="B4701" t="s">
        <v>3264</v>
      </c>
      <c r="C4701" t="s">
        <v>235</v>
      </c>
      <c r="D4701" t="s">
        <v>3246</v>
      </c>
      <c r="E4701" t="s">
        <v>558</v>
      </c>
      <c r="F4701" t="s">
        <v>1068</v>
      </c>
      <c r="G4701" t="s">
        <v>1089</v>
      </c>
      <c r="H4701" s="171" t="s">
        <v>3272</v>
      </c>
      <c r="I4701" t="s">
        <v>1090</v>
      </c>
      <c r="J4701">
        <v>7.97</v>
      </c>
    </row>
    <row r="4702" spans="1:10" hidden="1">
      <c r="A4702" t="s">
        <v>3273</v>
      </c>
      <c r="B4702" t="s">
        <v>3274</v>
      </c>
      <c r="C4702" t="s">
        <v>235</v>
      </c>
      <c r="D4702" t="s">
        <v>3246</v>
      </c>
      <c r="E4702" t="s">
        <v>553</v>
      </c>
      <c r="F4702" t="s">
        <v>1068</v>
      </c>
      <c r="G4702" t="s">
        <v>1069</v>
      </c>
      <c r="H4702">
        <v>7.1742380136319103E-2</v>
      </c>
      <c r="I4702" t="s">
        <v>1070</v>
      </c>
      <c r="J4702">
        <v>9.24</v>
      </c>
    </row>
    <row r="4703" spans="1:10" hidden="1">
      <c r="A4703" t="s">
        <v>3273</v>
      </c>
      <c r="B4703" t="s">
        <v>3274</v>
      </c>
      <c r="C4703" t="s">
        <v>235</v>
      </c>
      <c r="D4703" t="s">
        <v>3246</v>
      </c>
      <c r="E4703" t="s">
        <v>553</v>
      </c>
      <c r="F4703" t="s">
        <v>1068</v>
      </c>
      <c r="G4703" t="s">
        <v>1071</v>
      </c>
      <c r="H4703" s="171" t="s">
        <v>3275</v>
      </c>
      <c r="I4703" t="s">
        <v>1072</v>
      </c>
      <c r="J4703">
        <v>9.24</v>
      </c>
    </row>
    <row r="4704" spans="1:10" hidden="1">
      <c r="A4704" t="s">
        <v>3273</v>
      </c>
      <c r="B4704" t="s">
        <v>3274</v>
      </c>
      <c r="C4704" t="s">
        <v>235</v>
      </c>
      <c r="D4704" t="s">
        <v>3246</v>
      </c>
      <c r="E4704" t="s">
        <v>553</v>
      </c>
      <c r="F4704" t="s">
        <v>1068</v>
      </c>
      <c r="G4704" t="s">
        <v>1073</v>
      </c>
      <c r="H4704" s="171" t="s">
        <v>3276</v>
      </c>
      <c r="I4704" t="s">
        <v>1074</v>
      </c>
      <c r="J4704">
        <v>9.24</v>
      </c>
    </row>
    <row r="4705" spans="1:10" hidden="1">
      <c r="A4705" t="s">
        <v>3273</v>
      </c>
      <c r="B4705" t="s">
        <v>3274</v>
      </c>
      <c r="C4705" t="s">
        <v>235</v>
      </c>
      <c r="D4705" t="s">
        <v>3246</v>
      </c>
      <c r="E4705" t="s">
        <v>553</v>
      </c>
      <c r="F4705" t="s">
        <v>1068</v>
      </c>
      <c r="G4705" t="s">
        <v>1075</v>
      </c>
      <c r="H4705">
        <v>3.4707519738973402E-3</v>
      </c>
      <c r="I4705" t="s">
        <v>1077</v>
      </c>
      <c r="J4705">
        <v>9.24</v>
      </c>
    </row>
    <row r="4706" spans="1:10" hidden="1">
      <c r="A4706" t="s">
        <v>3273</v>
      </c>
      <c r="B4706" t="s">
        <v>3274</v>
      </c>
      <c r="C4706" t="s">
        <v>235</v>
      </c>
      <c r="D4706" t="s">
        <v>3246</v>
      </c>
      <c r="E4706" t="s">
        <v>553</v>
      </c>
      <c r="F4706" t="s">
        <v>1068</v>
      </c>
      <c r="G4706" t="s">
        <v>1078</v>
      </c>
      <c r="H4706" s="171" t="s">
        <v>3277</v>
      </c>
      <c r="I4706" t="s">
        <v>1079</v>
      </c>
      <c r="J4706">
        <v>9.24</v>
      </c>
    </row>
    <row r="4707" spans="1:10" hidden="1">
      <c r="A4707" t="s">
        <v>3273</v>
      </c>
      <c r="B4707" t="s">
        <v>3274</v>
      </c>
      <c r="C4707" t="s">
        <v>235</v>
      </c>
      <c r="D4707" t="s">
        <v>3246</v>
      </c>
      <c r="E4707" t="s">
        <v>553</v>
      </c>
      <c r="F4707" t="s">
        <v>1068</v>
      </c>
      <c r="G4707" t="s">
        <v>1080</v>
      </c>
      <c r="H4707" s="171" t="s">
        <v>3278</v>
      </c>
      <c r="I4707" t="s">
        <v>1082</v>
      </c>
      <c r="J4707">
        <v>9.24</v>
      </c>
    </row>
    <row r="4708" spans="1:10" hidden="1">
      <c r="A4708" t="s">
        <v>3273</v>
      </c>
      <c r="B4708" t="s">
        <v>3274</v>
      </c>
      <c r="C4708" t="s">
        <v>235</v>
      </c>
      <c r="D4708" t="s">
        <v>3246</v>
      </c>
      <c r="E4708" t="s">
        <v>553</v>
      </c>
      <c r="F4708" t="s">
        <v>1068</v>
      </c>
      <c r="G4708" t="s">
        <v>1083</v>
      </c>
      <c r="H4708" s="171" t="s">
        <v>3279</v>
      </c>
      <c r="I4708" t="s">
        <v>1084</v>
      </c>
      <c r="J4708">
        <v>9.24</v>
      </c>
    </row>
    <row r="4709" spans="1:10" hidden="1">
      <c r="A4709" t="s">
        <v>3273</v>
      </c>
      <c r="B4709" t="s">
        <v>3274</v>
      </c>
      <c r="C4709" t="s">
        <v>235</v>
      </c>
      <c r="D4709" t="s">
        <v>3246</v>
      </c>
      <c r="E4709" t="s">
        <v>553</v>
      </c>
      <c r="F4709" t="s">
        <v>1068</v>
      </c>
      <c r="G4709" t="s">
        <v>1085</v>
      </c>
      <c r="H4709" s="171" t="s">
        <v>3280</v>
      </c>
      <c r="I4709" t="s">
        <v>1086</v>
      </c>
      <c r="J4709">
        <v>9.24</v>
      </c>
    </row>
    <row r="4710" spans="1:10" hidden="1">
      <c r="A4710" t="s">
        <v>3273</v>
      </c>
      <c r="B4710" t="s">
        <v>3274</v>
      </c>
      <c r="C4710" t="s">
        <v>235</v>
      </c>
      <c r="D4710" t="s">
        <v>3246</v>
      </c>
      <c r="E4710" t="s">
        <v>553</v>
      </c>
      <c r="F4710" t="s">
        <v>1068</v>
      </c>
      <c r="G4710" t="s">
        <v>1087</v>
      </c>
      <c r="H4710" s="171" t="s">
        <v>3281</v>
      </c>
      <c r="I4710" t="s">
        <v>1088</v>
      </c>
      <c r="J4710">
        <v>9.24</v>
      </c>
    </row>
    <row r="4711" spans="1:10" hidden="1">
      <c r="A4711" t="s">
        <v>3273</v>
      </c>
      <c r="B4711" t="s">
        <v>3274</v>
      </c>
      <c r="C4711" t="s">
        <v>235</v>
      </c>
      <c r="D4711" t="s">
        <v>3246</v>
      </c>
      <c r="E4711" t="s">
        <v>553</v>
      </c>
      <c r="F4711" t="s">
        <v>1068</v>
      </c>
      <c r="G4711" t="s">
        <v>1089</v>
      </c>
      <c r="H4711" s="171" t="s">
        <v>3282</v>
      </c>
      <c r="I4711" t="s">
        <v>1090</v>
      </c>
      <c r="J4711">
        <v>9.24</v>
      </c>
    </row>
    <row r="4712" spans="1:10" hidden="1">
      <c r="A4712" t="s">
        <v>3283</v>
      </c>
      <c r="B4712" t="s">
        <v>3284</v>
      </c>
      <c r="C4712" t="s">
        <v>235</v>
      </c>
      <c r="D4712" t="s">
        <v>3246</v>
      </c>
      <c r="E4712" t="s">
        <v>556</v>
      </c>
      <c r="F4712" t="s">
        <v>1068</v>
      </c>
      <c r="G4712" t="s">
        <v>1069</v>
      </c>
      <c r="H4712">
        <v>7.17576340141651E-2</v>
      </c>
      <c r="I4712" t="s">
        <v>1070</v>
      </c>
      <c r="J4712">
        <v>7.55</v>
      </c>
    </row>
    <row r="4713" spans="1:10" hidden="1">
      <c r="A4713" t="s">
        <v>3283</v>
      </c>
      <c r="B4713" t="s">
        <v>3284</v>
      </c>
      <c r="C4713" t="s">
        <v>235</v>
      </c>
      <c r="D4713" t="s">
        <v>3246</v>
      </c>
      <c r="E4713" t="s">
        <v>556</v>
      </c>
      <c r="F4713" t="s">
        <v>1068</v>
      </c>
      <c r="G4713" t="s">
        <v>1071</v>
      </c>
      <c r="H4713" s="171" t="s">
        <v>3285</v>
      </c>
      <c r="I4713" t="s">
        <v>1072</v>
      </c>
      <c r="J4713">
        <v>7.55</v>
      </c>
    </row>
    <row r="4714" spans="1:10" hidden="1">
      <c r="A4714" t="s">
        <v>3283</v>
      </c>
      <c r="B4714" t="s">
        <v>3284</v>
      </c>
      <c r="C4714" t="s">
        <v>235</v>
      </c>
      <c r="D4714" t="s">
        <v>3246</v>
      </c>
      <c r="E4714" t="s">
        <v>556</v>
      </c>
      <c r="F4714" t="s">
        <v>1068</v>
      </c>
      <c r="G4714" t="s">
        <v>1073</v>
      </c>
      <c r="H4714" s="171" t="s">
        <v>3286</v>
      </c>
      <c r="I4714" t="s">
        <v>1074</v>
      </c>
      <c r="J4714">
        <v>7.55</v>
      </c>
    </row>
    <row r="4715" spans="1:10" hidden="1">
      <c r="A4715" t="s">
        <v>3283</v>
      </c>
      <c r="B4715" t="s">
        <v>3284</v>
      </c>
      <c r="C4715" t="s">
        <v>235</v>
      </c>
      <c r="D4715" t="s">
        <v>3246</v>
      </c>
      <c r="E4715" t="s">
        <v>556</v>
      </c>
      <c r="F4715" t="s">
        <v>1068</v>
      </c>
      <c r="G4715" t="s">
        <v>1075</v>
      </c>
      <c r="H4715">
        <v>3.4712341652712998E-3</v>
      </c>
      <c r="I4715" t="s">
        <v>1077</v>
      </c>
      <c r="J4715">
        <v>7.55</v>
      </c>
    </row>
    <row r="4716" spans="1:10" hidden="1">
      <c r="A4716" t="s">
        <v>3283</v>
      </c>
      <c r="B4716" t="s">
        <v>3284</v>
      </c>
      <c r="C4716" t="s">
        <v>235</v>
      </c>
      <c r="D4716" t="s">
        <v>3246</v>
      </c>
      <c r="E4716" t="s">
        <v>556</v>
      </c>
      <c r="F4716" t="s">
        <v>1068</v>
      </c>
      <c r="G4716" t="s">
        <v>1078</v>
      </c>
      <c r="H4716">
        <v>2.60407590601959E-2</v>
      </c>
      <c r="I4716" t="s">
        <v>1079</v>
      </c>
      <c r="J4716">
        <v>7.55</v>
      </c>
    </row>
    <row r="4717" spans="1:10" hidden="1">
      <c r="A4717" t="s">
        <v>3283</v>
      </c>
      <c r="B4717" t="s">
        <v>3284</v>
      </c>
      <c r="C4717" t="s">
        <v>235</v>
      </c>
      <c r="D4717" t="s">
        <v>3246</v>
      </c>
      <c r="E4717" t="s">
        <v>556</v>
      </c>
      <c r="F4717" t="s">
        <v>1068</v>
      </c>
      <c r="G4717" t="s">
        <v>1080</v>
      </c>
      <c r="H4717" s="171" t="s">
        <v>3287</v>
      </c>
      <c r="I4717" t="s">
        <v>1082</v>
      </c>
      <c r="J4717">
        <v>7.55</v>
      </c>
    </row>
    <row r="4718" spans="1:10" hidden="1">
      <c r="A4718" t="s">
        <v>3283</v>
      </c>
      <c r="B4718" t="s">
        <v>3284</v>
      </c>
      <c r="C4718" t="s">
        <v>235</v>
      </c>
      <c r="D4718" t="s">
        <v>3246</v>
      </c>
      <c r="E4718" t="s">
        <v>556</v>
      </c>
      <c r="F4718" t="s">
        <v>1068</v>
      </c>
      <c r="G4718" t="s">
        <v>1083</v>
      </c>
      <c r="H4718" s="171" t="s">
        <v>3288</v>
      </c>
      <c r="I4718" t="s">
        <v>1084</v>
      </c>
      <c r="J4718">
        <v>7.55</v>
      </c>
    </row>
    <row r="4719" spans="1:10" hidden="1">
      <c r="A4719" t="s">
        <v>3283</v>
      </c>
      <c r="B4719" t="s">
        <v>3284</v>
      </c>
      <c r="C4719" t="s">
        <v>235</v>
      </c>
      <c r="D4719" t="s">
        <v>3246</v>
      </c>
      <c r="E4719" t="s">
        <v>556</v>
      </c>
      <c r="F4719" t="s">
        <v>1068</v>
      </c>
      <c r="G4719" t="s">
        <v>1085</v>
      </c>
      <c r="H4719" s="171" t="s">
        <v>3289</v>
      </c>
      <c r="I4719" t="s">
        <v>1086</v>
      </c>
      <c r="J4719">
        <v>7.55</v>
      </c>
    </row>
    <row r="4720" spans="1:10" hidden="1">
      <c r="A4720" t="s">
        <v>3283</v>
      </c>
      <c r="B4720" t="s">
        <v>3284</v>
      </c>
      <c r="C4720" t="s">
        <v>235</v>
      </c>
      <c r="D4720" t="s">
        <v>3246</v>
      </c>
      <c r="E4720" t="s">
        <v>556</v>
      </c>
      <c r="F4720" t="s">
        <v>1068</v>
      </c>
      <c r="G4720" t="s">
        <v>1087</v>
      </c>
      <c r="H4720" s="171" t="s">
        <v>3290</v>
      </c>
      <c r="I4720" t="s">
        <v>1088</v>
      </c>
      <c r="J4720">
        <v>7.55</v>
      </c>
    </row>
    <row r="4721" spans="1:10" hidden="1">
      <c r="A4721" t="s">
        <v>3283</v>
      </c>
      <c r="B4721" t="s">
        <v>3284</v>
      </c>
      <c r="C4721" t="s">
        <v>235</v>
      </c>
      <c r="D4721" t="s">
        <v>3246</v>
      </c>
      <c r="E4721" t="s">
        <v>556</v>
      </c>
      <c r="F4721" t="s">
        <v>1068</v>
      </c>
      <c r="G4721" t="s">
        <v>1089</v>
      </c>
      <c r="H4721" s="171" t="s">
        <v>3291</v>
      </c>
      <c r="I4721" t="s">
        <v>1090</v>
      </c>
      <c r="J4721">
        <v>7.55</v>
      </c>
    </row>
    <row r="4722" spans="1:10" hidden="1">
      <c r="A4722" t="s">
        <v>3292</v>
      </c>
      <c r="B4722" t="s">
        <v>3293</v>
      </c>
      <c r="C4722" t="s">
        <v>235</v>
      </c>
      <c r="D4722" t="s">
        <v>3246</v>
      </c>
      <c r="E4722" t="s">
        <v>557</v>
      </c>
      <c r="F4722" t="s">
        <v>1068</v>
      </c>
      <c r="G4722" t="s">
        <v>1069</v>
      </c>
      <c r="H4722">
        <v>7.1727053387584103E-2</v>
      </c>
      <c r="I4722" t="s">
        <v>1070</v>
      </c>
      <c r="J4722">
        <v>11.55</v>
      </c>
    </row>
    <row r="4723" spans="1:10" hidden="1">
      <c r="A4723" t="s">
        <v>3292</v>
      </c>
      <c r="B4723" t="s">
        <v>3293</v>
      </c>
      <c r="C4723" t="s">
        <v>235</v>
      </c>
      <c r="D4723" t="s">
        <v>3246</v>
      </c>
      <c r="E4723" t="s">
        <v>557</v>
      </c>
      <c r="F4723" t="s">
        <v>1068</v>
      </c>
      <c r="G4723" t="s">
        <v>1071</v>
      </c>
      <c r="H4723" s="171" t="s">
        <v>3294</v>
      </c>
      <c r="I4723" t="s">
        <v>1072</v>
      </c>
      <c r="J4723">
        <v>11.55</v>
      </c>
    </row>
    <row r="4724" spans="1:10" hidden="1">
      <c r="A4724" t="s">
        <v>3292</v>
      </c>
      <c r="B4724" t="s">
        <v>3293</v>
      </c>
      <c r="C4724" t="s">
        <v>235</v>
      </c>
      <c r="D4724" t="s">
        <v>3246</v>
      </c>
      <c r="E4724" t="s">
        <v>557</v>
      </c>
      <c r="F4724" t="s">
        <v>1068</v>
      </c>
      <c r="G4724" t="s">
        <v>1073</v>
      </c>
      <c r="H4724" s="171" t="s">
        <v>3295</v>
      </c>
      <c r="I4724" t="s">
        <v>1074</v>
      </c>
      <c r="J4724">
        <v>11.55</v>
      </c>
    </row>
    <row r="4725" spans="1:10" hidden="1">
      <c r="A4725" t="s">
        <v>3292</v>
      </c>
      <c r="B4725" t="s">
        <v>3293</v>
      </c>
      <c r="C4725" t="s">
        <v>235</v>
      </c>
      <c r="D4725" t="s">
        <v>3246</v>
      </c>
      <c r="E4725" t="s">
        <v>557</v>
      </c>
      <c r="F4725" t="s">
        <v>1068</v>
      </c>
      <c r="G4725" t="s">
        <v>1075</v>
      </c>
      <c r="H4725">
        <v>3.4709327136169402E-3</v>
      </c>
      <c r="I4725" t="s">
        <v>1077</v>
      </c>
      <c r="J4725">
        <v>11.55</v>
      </c>
    </row>
    <row r="4726" spans="1:10" hidden="1">
      <c r="A4726" t="s">
        <v>3292</v>
      </c>
      <c r="B4726" t="s">
        <v>3293</v>
      </c>
      <c r="C4726" t="s">
        <v>235</v>
      </c>
      <c r="D4726" t="s">
        <v>3246</v>
      </c>
      <c r="E4726" t="s">
        <v>557</v>
      </c>
      <c r="F4726" t="s">
        <v>1068</v>
      </c>
      <c r="G4726" t="s">
        <v>1078</v>
      </c>
      <c r="H4726" s="171" t="s">
        <v>3296</v>
      </c>
      <c r="I4726" t="s">
        <v>1079</v>
      </c>
      <c r="J4726">
        <v>11.55</v>
      </c>
    </row>
    <row r="4727" spans="1:10" hidden="1">
      <c r="A4727" t="s">
        <v>3292</v>
      </c>
      <c r="B4727" t="s">
        <v>3293</v>
      </c>
      <c r="C4727" t="s">
        <v>235</v>
      </c>
      <c r="D4727" t="s">
        <v>3246</v>
      </c>
      <c r="E4727" t="s">
        <v>557</v>
      </c>
      <c r="F4727" t="s">
        <v>1068</v>
      </c>
      <c r="G4727" t="s">
        <v>1080</v>
      </c>
      <c r="H4727" s="171" t="s">
        <v>3297</v>
      </c>
      <c r="I4727" t="s">
        <v>1082</v>
      </c>
      <c r="J4727">
        <v>11.55</v>
      </c>
    </row>
    <row r="4728" spans="1:10" hidden="1">
      <c r="A4728" t="s">
        <v>3292</v>
      </c>
      <c r="B4728" t="s">
        <v>3293</v>
      </c>
      <c r="C4728" t="s">
        <v>235</v>
      </c>
      <c r="D4728" t="s">
        <v>3246</v>
      </c>
      <c r="E4728" t="s">
        <v>557</v>
      </c>
      <c r="F4728" t="s">
        <v>1068</v>
      </c>
      <c r="G4728" t="s">
        <v>1083</v>
      </c>
      <c r="H4728" s="171" t="s">
        <v>3298</v>
      </c>
      <c r="I4728" t="s">
        <v>1084</v>
      </c>
      <c r="J4728">
        <v>11.55</v>
      </c>
    </row>
    <row r="4729" spans="1:10" hidden="1">
      <c r="A4729" t="s">
        <v>3292</v>
      </c>
      <c r="B4729" t="s">
        <v>3293</v>
      </c>
      <c r="C4729" t="s">
        <v>235</v>
      </c>
      <c r="D4729" t="s">
        <v>3246</v>
      </c>
      <c r="E4729" t="s">
        <v>557</v>
      </c>
      <c r="F4729" t="s">
        <v>1068</v>
      </c>
      <c r="G4729" t="s">
        <v>1085</v>
      </c>
      <c r="H4729" s="171" t="s">
        <v>3299</v>
      </c>
      <c r="I4729" t="s">
        <v>1086</v>
      </c>
      <c r="J4729">
        <v>11.55</v>
      </c>
    </row>
    <row r="4730" spans="1:10" hidden="1">
      <c r="A4730" t="s">
        <v>3292</v>
      </c>
      <c r="B4730" t="s">
        <v>3293</v>
      </c>
      <c r="C4730" t="s">
        <v>235</v>
      </c>
      <c r="D4730" t="s">
        <v>3246</v>
      </c>
      <c r="E4730" t="s">
        <v>557</v>
      </c>
      <c r="F4730" t="s">
        <v>1068</v>
      </c>
      <c r="G4730" t="s">
        <v>1087</v>
      </c>
      <c r="H4730" s="171" t="s">
        <v>3300</v>
      </c>
      <c r="I4730" t="s">
        <v>1088</v>
      </c>
      <c r="J4730">
        <v>11.55</v>
      </c>
    </row>
    <row r="4731" spans="1:10" hidden="1">
      <c r="A4731" t="s">
        <v>3292</v>
      </c>
      <c r="B4731" t="s">
        <v>3293</v>
      </c>
      <c r="C4731" t="s">
        <v>235</v>
      </c>
      <c r="D4731" t="s">
        <v>3246</v>
      </c>
      <c r="E4731" t="s">
        <v>557</v>
      </c>
      <c r="F4731" t="s">
        <v>1068</v>
      </c>
      <c r="G4731" t="s">
        <v>1089</v>
      </c>
      <c r="H4731" s="171" t="s">
        <v>3301</v>
      </c>
      <c r="I4731" t="s">
        <v>1090</v>
      </c>
      <c r="J4731">
        <v>11.55</v>
      </c>
    </row>
    <row r="4732" spans="1:10" hidden="1">
      <c r="A4732" t="s">
        <v>3302</v>
      </c>
      <c r="B4732" t="s">
        <v>3303</v>
      </c>
      <c r="C4732" t="s">
        <v>235</v>
      </c>
      <c r="D4732" t="s">
        <v>3246</v>
      </c>
      <c r="E4732" t="s">
        <v>559</v>
      </c>
      <c r="F4732" t="s">
        <v>1068</v>
      </c>
      <c r="G4732" t="s">
        <v>1069</v>
      </c>
      <c r="H4732">
        <v>7.17530999197286E-2</v>
      </c>
      <c r="I4732" t="s">
        <v>1070</v>
      </c>
      <c r="J4732">
        <v>8.7200000000000006</v>
      </c>
    </row>
    <row r="4733" spans="1:10" hidden="1">
      <c r="A4733" t="s">
        <v>3302</v>
      </c>
      <c r="B4733" t="s">
        <v>3303</v>
      </c>
      <c r="C4733" t="s">
        <v>235</v>
      </c>
      <c r="D4733" t="s">
        <v>3246</v>
      </c>
      <c r="E4733" t="s">
        <v>559</v>
      </c>
      <c r="F4733" t="s">
        <v>1068</v>
      </c>
      <c r="G4733" t="s">
        <v>1071</v>
      </c>
      <c r="H4733" s="171" t="s">
        <v>3304</v>
      </c>
      <c r="I4733" t="s">
        <v>1072</v>
      </c>
      <c r="J4733">
        <v>8.7200000000000006</v>
      </c>
    </row>
    <row r="4734" spans="1:10" hidden="1">
      <c r="A4734" t="s">
        <v>3302</v>
      </c>
      <c r="B4734" t="s">
        <v>3303</v>
      </c>
      <c r="C4734" t="s">
        <v>235</v>
      </c>
      <c r="D4734" t="s">
        <v>3246</v>
      </c>
      <c r="E4734" t="s">
        <v>559</v>
      </c>
      <c r="F4734" t="s">
        <v>1068</v>
      </c>
      <c r="G4734" t="s">
        <v>1073</v>
      </c>
      <c r="H4734" s="171" t="s">
        <v>3305</v>
      </c>
      <c r="I4734" t="s">
        <v>1074</v>
      </c>
      <c r="J4734">
        <v>8.7200000000000006</v>
      </c>
    </row>
    <row r="4735" spans="1:10" hidden="1">
      <c r="A4735" t="s">
        <v>3302</v>
      </c>
      <c r="B4735" t="s">
        <v>3303</v>
      </c>
      <c r="C4735" t="s">
        <v>235</v>
      </c>
      <c r="D4735" t="s">
        <v>3246</v>
      </c>
      <c r="E4735" t="s">
        <v>559</v>
      </c>
      <c r="F4735" t="s">
        <v>1068</v>
      </c>
      <c r="G4735" t="s">
        <v>1075</v>
      </c>
      <c r="H4735">
        <v>3.4710908377025302E-3</v>
      </c>
      <c r="I4735" t="s">
        <v>1077</v>
      </c>
      <c r="J4735">
        <v>8.7200000000000006</v>
      </c>
    </row>
    <row r="4736" spans="1:10" hidden="1">
      <c r="A4736" t="s">
        <v>3302</v>
      </c>
      <c r="B4736" t="s">
        <v>3303</v>
      </c>
      <c r="C4736" t="s">
        <v>235</v>
      </c>
      <c r="D4736" t="s">
        <v>3246</v>
      </c>
      <c r="E4736" t="s">
        <v>559</v>
      </c>
      <c r="F4736" t="s">
        <v>1068</v>
      </c>
      <c r="G4736" t="s">
        <v>1078</v>
      </c>
      <c r="H4736">
        <v>2.6034561023251499E-2</v>
      </c>
      <c r="I4736" t="s">
        <v>1079</v>
      </c>
      <c r="J4736">
        <v>8.7200000000000006</v>
      </c>
    </row>
    <row r="4737" spans="1:10" hidden="1">
      <c r="A4737" t="s">
        <v>3302</v>
      </c>
      <c r="B4737" t="s">
        <v>3303</v>
      </c>
      <c r="C4737" t="s">
        <v>235</v>
      </c>
      <c r="D4737" t="s">
        <v>3246</v>
      </c>
      <c r="E4737" t="s">
        <v>559</v>
      </c>
      <c r="F4737" t="s">
        <v>1068</v>
      </c>
      <c r="G4737" t="s">
        <v>1080</v>
      </c>
      <c r="H4737" s="171" t="s">
        <v>3306</v>
      </c>
      <c r="I4737" t="s">
        <v>1082</v>
      </c>
      <c r="J4737">
        <v>8.7200000000000006</v>
      </c>
    </row>
    <row r="4738" spans="1:10" hidden="1">
      <c r="A4738" t="s">
        <v>3302</v>
      </c>
      <c r="B4738" t="s">
        <v>3303</v>
      </c>
      <c r="C4738" t="s">
        <v>235</v>
      </c>
      <c r="D4738" t="s">
        <v>3246</v>
      </c>
      <c r="E4738" t="s">
        <v>559</v>
      </c>
      <c r="F4738" t="s">
        <v>1068</v>
      </c>
      <c r="G4738" t="s">
        <v>1083</v>
      </c>
      <c r="H4738" s="171" t="s">
        <v>3307</v>
      </c>
      <c r="I4738" t="s">
        <v>1084</v>
      </c>
      <c r="J4738">
        <v>8.7200000000000006</v>
      </c>
    </row>
    <row r="4739" spans="1:10" hidden="1">
      <c r="A4739" t="s">
        <v>3302</v>
      </c>
      <c r="B4739" t="s">
        <v>3303</v>
      </c>
      <c r="C4739" t="s">
        <v>235</v>
      </c>
      <c r="D4739" t="s">
        <v>3246</v>
      </c>
      <c r="E4739" t="s">
        <v>559</v>
      </c>
      <c r="F4739" t="s">
        <v>1068</v>
      </c>
      <c r="G4739" t="s">
        <v>1085</v>
      </c>
      <c r="H4739" s="171" t="s">
        <v>3308</v>
      </c>
      <c r="I4739" t="s">
        <v>1086</v>
      </c>
      <c r="J4739">
        <v>8.7200000000000006</v>
      </c>
    </row>
    <row r="4740" spans="1:10" hidden="1">
      <c r="A4740" t="s">
        <v>3302</v>
      </c>
      <c r="B4740" t="s">
        <v>3303</v>
      </c>
      <c r="C4740" t="s">
        <v>235</v>
      </c>
      <c r="D4740" t="s">
        <v>3246</v>
      </c>
      <c r="E4740" t="s">
        <v>559</v>
      </c>
      <c r="F4740" t="s">
        <v>1068</v>
      </c>
      <c r="G4740" t="s">
        <v>1087</v>
      </c>
      <c r="H4740" s="171" t="s">
        <v>3309</v>
      </c>
      <c r="I4740" t="s">
        <v>1088</v>
      </c>
      <c r="J4740">
        <v>8.7200000000000006</v>
      </c>
    </row>
    <row r="4741" spans="1:10" hidden="1">
      <c r="A4741" t="s">
        <v>3302</v>
      </c>
      <c r="B4741" t="s">
        <v>3303</v>
      </c>
      <c r="C4741" t="s">
        <v>235</v>
      </c>
      <c r="D4741" t="s">
        <v>3246</v>
      </c>
      <c r="E4741" t="s">
        <v>559</v>
      </c>
      <c r="F4741" t="s">
        <v>1068</v>
      </c>
      <c r="G4741" t="s">
        <v>1089</v>
      </c>
      <c r="H4741" s="171" t="s">
        <v>3310</v>
      </c>
      <c r="I4741" t="s">
        <v>1090</v>
      </c>
      <c r="J4741">
        <v>8.7200000000000006</v>
      </c>
    </row>
    <row r="4742" spans="1:10" hidden="1">
      <c r="A4742" t="s">
        <v>3311</v>
      </c>
      <c r="B4742" t="s">
        <v>3312</v>
      </c>
      <c r="C4742" t="s">
        <v>235</v>
      </c>
      <c r="D4742" t="s">
        <v>3246</v>
      </c>
      <c r="E4742" t="s">
        <v>560</v>
      </c>
      <c r="F4742" t="s">
        <v>1068</v>
      </c>
      <c r="G4742" t="s">
        <v>1069</v>
      </c>
      <c r="H4742">
        <v>7.1729830744681297E-2</v>
      </c>
      <c r="I4742" t="s">
        <v>1070</v>
      </c>
      <c r="J4742">
        <v>7.66</v>
      </c>
    </row>
    <row r="4743" spans="1:10" hidden="1">
      <c r="A4743" t="s">
        <v>3311</v>
      </c>
      <c r="B4743" t="s">
        <v>3312</v>
      </c>
      <c r="C4743" t="s">
        <v>235</v>
      </c>
      <c r="D4743" t="s">
        <v>3246</v>
      </c>
      <c r="E4743" t="s">
        <v>560</v>
      </c>
      <c r="F4743" t="s">
        <v>1068</v>
      </c>
      <c r="G4743" t="s">
        <v>1071</v>
      </c>
      <c r="H4743" s="171" t="s">
        <v>3313</v>
      </c>
      <c r="I4743" t="s">
        <v>1072</v>
      </c>
      <c r="J4743">
        <v>7.66</v>
      </c>
    </row>
    <row r="4744" spans="1:10" hidden="1">
      <c r="A4744" t="s">
        <v>3311</v>
      </c>
      <c r="B4744" t="s">
        <v>3312</v>
      </c>
      <c r="C4744" t="s">
        <v>235</v>
      </c>
      <c r="D4744" t="s">
        <v>3246</v>
      </c>
      <c r="E4744" t="s">
        <v>560</v>
      </c>
      <c r="F4744" t="s">
        <v>1068</v>
      </c>
      <c r="G4744" t="s">
        <v>1073</v>
      </c>
      <c r="H4744" s="171" t="s">
        <v>3314</v>
      </c>
      <c r="I4744" t="s">
        <v>1074</v>
      </c>
      <c r="J4744">
        <v>7.66</v>
      </c>
    </row>
    <row r="4745" spans="1:10" hidden="1">
      <c r="A4745" t="s">
        <v>3311</v>
      </c>
      <c r="B4745" t="s">
        <v>3312</v>
      </c>
      <c r="C4745" t="s">
        <v>235</v>
      </c>
      <c r="D4745" t="s">
        <v>3246</v>
      </c>
      <c r="E4745" t="s">
        <v>560</v>
      </c>
      <c r="F4745" t="s">
        <v>1068</v>
      </c>
      <c r="G4745" t="s">
        <v>1075</v>
      </c>
      <c r="H4745">
        <v>3.47102050884175E-3</v>
      </c>
      <c r="I4745" t="s">
        <v>1077</v>
      </c>
      <c r="J4745">
        <v>7.66</v>
      </c>
    </row>
    <row r="4746" spans="1:10" hidden="1">
      <c r="A4746" t="s">
        <v>3311</v>
      </c>
      <c r="B4746" t="s">
        <v>3312</v>
      </c>
      <c r="C4746" t="s">
        <v>235</v>
      </c>
      <c r="D4746" t="s">
        <v>3246</v>
      </c>
      <c r="E4746" t="s">
        <v>560</v>
      </c>
      <c r="F4746" t="s">
        <v>1068</v>
      </c>
      <c r="G4746" t="s">
        <v>1078</v>
      </c>
      <c r="H4746">
        <v>2.60315246484722E-2</v>
      </c>
      <c r="I4746" t="s">
        <v>1079</v>
      </c>
      <c r="J4746">
        <v>7.66</v>
      </c>
    </row>
    <row r="4747" spans="1:10" hidden="1">
      <c r="A4747" t="s">
        <v>3311</v>
      </c>
      <c r="B4747" t="s">
        <v>3312</v>
      </c>
      <c r="C4747" t="s">
        <v>235</v>
      </c>
      <c r="D4747" t="s">
        <v>3246</v>
      </c>
      <c r="E4747" t="s">
        <v>560</v>
      </c>
      <c r="F4747" t="s">
        <v>1068</v>
      </c>
      <c r="G4747" t="s">
        <v>1080</v>
      </c>
      <c r="H4747" s="171" t="s">
        <v>3315</v>
      </c>
      <c r="I4747" t="s">
        <v>1082</v>
      </c>
      <c r="J4747">
        <v>7.66</v>
      </c>
    </row>
    <row r="4748" spans="1:10" hidden="1">
      <c r="A4748" t="s">
        <v>3311</v>
      </c>
      <c r="B4748" t="s">
        <v>3312</v>
      </c>
      <c r="C4748" t="s">
        <v>235</v>
      </c>
      <c r="D4748" t="s">
        <v>3246</v>
      </c>
      <c r="E4748" t="s">
        <v>560</v>
      </c>
      <c r="F4748" t="s">
        <v>1068</v>
      </c>
      <c r="G4748" t="s">
        <v>1083</v>
      </c>
      <c r="H4748" s="171" t="s">
        <v>3316</v>
      </c>
      <c r="I4748" t="s">
        <v>1084</v>
      </c>
      <c r="J4748">
        <v>7.66</v>
      </c>
    </row>
    <row r="4749" spans="1:10" hidden="1">
      <c r="A4749" t="s">
        <v>3311</v>
      </c>
      <c r="B4749" t="s">
        <v>3312</v>
      </c>
      <c r="C4749" t="s">
        <v>235</v>
      </c>
      <c r="D4749" t="s">
        <v>3246</v>
      </c>
      <c r="E4749" t="s">
        <v>560</v>
      </c>
      <c r="F4749" t="s">
        <v>1068</v>
      </c>
      <c r="G4749" t="s">
        <v>1085</v>
      </c>
      <c r="H4749" s="171" t="s">
        <v>3317</v>
      </c>
      <c r="I4749" t="s">
        <v>1086</v>
      </c>
      <c r="J4749">
        <v>7.66</v>
      </c>
    </row>
    <row r="4750" spans="1:10" hidden="1">
      <c r="A4750" t="s">
        <v>3311</v>
      </c>
      <c r="B4750" t="s">
        <v>3312</v>
      </c>
      <c r="C4750" t="s">
        <v>235</v>
      </c>
      <c r="D4750" t="s">
        <v>3246</v>
      </c>
      <c r="E4750" t="s">
        <v>560</v>
      </c>
      <c r="F4750" t="s">
        <v>1068</v>
      </c>
      <c r="G4750" t="s">
        <v>1087</v>
      </c>
      <c r="H4750" s="171" t="s">
        <v>3318</v>
      </c>
      <c r="I4750" t="s">
        <v>1088</v>
      </c>
      <c r="J4750">
        <v>7.66</v>
      </c>
    </row>
    <row r="4751" spans="1:10" hidden="1">
      <c r="A4751" t="s">
        <v>3311</v>
      </c>
      <c r="B4751" t="s">
        <v>3312</v>
      </c>
      <c r="C4751" t="s">
        <v>235</v>
      </c>
      <c r="D4751" t="s">
        <v>3246</v>
      </c>
      <c r="E4751" t="s">
        <v>560</v>
      </c>
      <c r="F4751" t="s">
        <v>1068</v>
      </c>
      <c r="G4751" t="s">
        <v>1089</v>
      </c>
      <c r="H4751" s="171" t="s">
        <v>3319</v>
      </c>
      <c r="I4751" t="s">
        <v>1090</v>
      </c>
      <c r="J4751">
        <v>7.66</v>
      </c>
    </row>
    <row r="4752" spans="1:10" hidden="1">
      <c r="A4752" t="s">
        <v>3320</v>
      </c>
      <c r="B4752" t="s">
        <v>3321</v>
      </c>
      <c r="C4752" t="s">
        <v>235</v>
      </c>
      <c r="D4752" t="s">
        <v>3246</v>
      </c>
      <c r="E4752" t="s">
        <v>1116</v>
      </c>
      <c r="F4752" t="s">
        <v>1068</v>
      </c>
      <c r="G4752" t="s">
        <v>1069</v>
      </c>
      <c r="H4752">
        <v>7.1721401186586001E-2</v>
      </c>
      <c r="I4752" t="s">
        <v>1070</v>
      </c>
      <c r="J4752">
        <v>7.33</v>
      </c>
    </row>
    <row r="4753" spans="1:10" hidden="1">
      <c r="A4753" t="s">
        <v>3320</v>
      </c>
      <c r="B4753" t="s">
        <v>3321</v>
      </c>
      <c r="C4753" t="s">
        <v>235</v>
      </c>
      <c r="D4753" t="s">
        <v>3246</v>
      </c>
      <c r="E4753" t="s">
        <v>1116</v>
      </c>
      <c r="F4753" t="s">
        <v>1068</v>
      </c>
      <c r="G4753" t="s">
        <v>1071</v>
      </c>
      <c r="H4753" s="171" t="s">
        <v>3322</v>
      </c>
      <c r="I4753" t="s">
        <v>1072</v>
      </c>
      <c r="J4753">
        <v>7.33</v>
      </c>
    </row>
    <row r="4754" spans="1:10" hidden="1">
      <c r="A4754" t="s">
        <v>3320</v>
      </c>
      <c r="B4754" t="s">
        <v>3321</v>
      </c>
      <c r="C4754" t="s">
        <v>235</v>
      </c>
      <c r="D4754" t="s">
        <v>3246</v>
      </c>
      <c r="E4754" t="s">
        <v>1116</v>
      </c>
      <c r="F4754" t="s">
        <v>1068</v>
      </c>
      <c r="G4754" t="s">
        <v>1073</v>
      </c>
      <c r="H4754" s="171" t="s">
        <v>3323</v>
      </c>
      <c r="I4754" t="s">
        <v>1074</v>
      </c>
      <c r="J4754">
        <v>7.33</v>
      </c>
    </row>
    <row r="4755" spans="1:10" hidden="1">
      <c r="A4755" t="s">
        <v>3320</v>
      </c>
      <c r="B4755" t="s">
        <v>3321</v>
      </c>
      <c r="C4755" t="s">
        <v>235</v>
      </c>
      <c r="D4755" t="s">
        <v>3246</v>
      </c>
      <c r="E4755" t="s">
        <v>1116</v>
      </c>
      <c r="F4755" t="s">
        <v>1068</v>
      </c>
      <c r="G4755" t="s">
        <v>1075</v>
      </c>
      <c r="H4755">
        <v>3.47075404150532E-3</v>
      </c>
      <c r="I4755" t="s">
        <v>1077</v>
      </c>
      <c r="J4755">
        <v>7.33</v>
      </c>
    </row>
    <row r="4756" spans="1:10" hidden="1">
      <c r="A4756" t="s">
        <v>3320</v>
      </c>
      <c r="B4756" t="s">
        <v>3321</v>
      </c>
      <c r="C4756" t="s">
        <v>235</v>
      </c>
      <c r="D4756" t="s">
        <v>3246</v>
      </c>
      <c r="E4756" t="s">
        <v>1116</v>
      </c>
      <c r="F4756" t="s">
        <v>1068</v>
      </c>
      <c r="G4756" t="s">
        <v>1078</v>
      </c>
      <c r="H4756" s="171" t="s">
        <v>3324</v>
      </c>
      <c r="I4756" t="s">
        <v>1079</v>
      </c>
      <c r="J4756">
        <v>7.33</v>
      </c>
    </row>
    <row r="4757" spans="1:10" hidden="1">
      <c r="A4757" t="s">
        <v>3320</v>
      </c>
      <c r="B4757" t="s">
        <v>3321</v>
      </c>
      <c r="C4757" t="s">
        <v>235</v>
      </c>
      <c r="D4757" t="s">
        <v>3246</v>
      </c>
      <c r="E4757" t="s">
        <v>1116</v>
      </c>
      <c r="F4757" t="s">
        <v>1068</v>
      </c>
      <c r="G4757" t="s">
        <v>1080</v>
      </c>
      <c r="H4757" s="171" t="s">
        <v>3325</v>
      </c>
      <c r="I4757" t="s">
        <v>1082</v>
      </c>
      <c r="J4757">
        <v>7.33</v>
      </c>
    </row>
    <row r="4758" spans="1:10" hidden="1">
      <c r="A4758" t="s">
        <v>3320</v>
      </c>
      <c r="B4758" t="s">
        <v>3321</v>
      </c>
      <c r="C4758" t="s">
        <v>235</v>
      </c>
      <c r="D4758" t="s">
        <v>3246</v>
      </c>
      <c r="E4758" t="s">
        <v>1116</v>
      </c>
      <c r="F4758" t="s">
        <v>1068</v>
      </c>
      <c r="G4758" t="s">
        <v>1083</v>
      </c>
      <c r="H4758" s="171" t="s">
        <v>3326</v>
      </c>
      <c r="I4758" t="s">
        <v>1084</v>
      </c>
      <c r="J4758">
        <v>7.33</v>
      </c>
    </row>
    <row r="4759" spans="1:10" hidden="1">
      <c r="A4759" t="s">
        <v>3320</v>
      </c>
      <c r="B4759" t="s">
        <v>3321</v>
      </c>
      <c r="C4759" t="s">
        <v>235</v>
      </c>
      <c r="D4759" t="s">
        <v>3246</v>
      </c>
      <c r="E4759" t="s">
        <v>1116</v>
      </c>
      <c r="F4759" t="s">
        <v>1068</v>
      </c>
      <c r="G4759" t="s">
        <v>1085</v>
      </c>
      <c r="H4759" s="171" t="s">
        <v>3327</v>
      </c>
      <c r="I4759" t="s">
        <v>1086</v>
      </c>
      <c r="J4759">
        <v>7.33</v>
      </c>
    </row>
    <row r="4760" spans="1:10" hidden="1">
      <c r="A4760" t="s">
        <v>3320</v>
      </c>
      <c r="B4760" t="s">
        <v>3321</v>
      </c>
      <c r="C4760" t="s">
        <v>235</v>
      </c>
      <c r="D4760" t="s">
        <v>3246</v>
      </c>
      <c r="E4760" t="s">
        <v>1116</v>
      </c>
      <c r="F4760" t="s">
        <v>1068</v>
      </c>
      <c r="G4760" t="s">
        <v>1087</v>
      </c>
      <c r="H4760" s="171" t="s">
        <v>3328</v>
      </c>
      <c r="I4760" t="s">
        <v>1088</v>
      </c>
      <c r="J4760">
        <v>7.33</v>
      </c>
    </row>
    <row r="4761" spans="1:10" hidden="1">
      <c r="A4761" t="s">
        <v>3320</v>
      </c>
      <c r="B4761" t="s">
        <v>3321</v>
      </c>
      <c r="C4761" t="s">
        <v>235</v>
      </c>
      <c r="D4761" t="s">
        <v>3246</v>
      </c>
      <c r="E4761" t="s">
        <v>1116</v>
      </c>
      <c r="F4761" t="s">
        <v>1068</v>
      </c>
      <c r="G4761" t="s">
        <v>1089</v>
      </c>
      <c r="H4761" s="171" t="s">
        <v>3329</v>
      </c>
      <c r="I4761" t="s">
        <v>1090</v>
      </c>
      <c r="J4761">
        <v>7.33</v>
      </c>
    </row>
    <row r="4762" spans="1:10" hidden="1">
      <c r="A4762" t="s">
        <v>3330</v>
      </c>
      <c r="B4762" t="s">
        <v>3331</v>
      </c>
      <c r="C4762" t="s">
        <v>235</v>
      </c>
      <c r="D4762" t="s">
        <v>1273</v>
      </c>
      <c r="E4762" t="s">
        <v>561</v>
      </c>
      <c r="F4762" t="s">
        <v>1068</v>
      </c>
      <c r="G4762" t="s">
        <v>1069</v>
      </c>
      <c r="H4762">
        <v>-1.8312091379453901E-2</v>
      </c>
      <c r="I4762" t="s">
        <v>1070</v>
      </c>
      <c r="J4762">
        <v>8.34</v>
      </c>
    </row>
    <row r="4763" spans="1:10" hidden="1">
      <c r="A4763" t="s">
        <v>3330</v>
      </c>
      <c r="B4763" t="s">
        <v>3331</v>
      </c>
      <c r="C4763" t="s">
        <v>235</v>
      </c>
      <c r="D4763" t="s">
        <v>1273</v>
      </c>
      <c r="E4763" t="s">
        <v>561</v>
      </c>
      <c r="F4763" t="s">
        <v>1068</v>
      </c>
      <c r="G4763" t="s">
        <v>1071</v>
      </c>
      <c r="H4763" s="170">
        <v>-9.5039922856807504E-11</v>
      </c>
      <c r="I4763" t="s">
        <v>1072</v>
      </c>
      <c r="J4763">
        <v>8.34</v>
      </c>
    </row>
    <row r="4764" spans="1:10" hidden="1">
      <c r="A4764" t="s">
        <v>3330</v>
      </c>
      <c r="B4764" t="s">
        <v>3331</v>
      </c>
      <c r="C4764" t="s">
        <v>235</v>
      </c>
      <c r="D4764" t="s">
        <v>1273</v>
      </c>
      <c r="E4764" t="s">
        <v>561</v>
      </c>
      <c r="F4764" t="s">
        <v>1068</v>
      </c>
      <c r="G4764" t="s">
        <v>1073</v>
      </c>
      <c r="H4764" s="170">
        <v>-3.7177243317458701E-9</v>
      </c>
      <c r="I4764" t="s">
        <v>1074</v>
      </c>
      <c r="J4764">
        <v>8.34</v>
      </c>
    </row>
    <row r="4765" spans="1:10" hidden="1">
      <c r="A4765" t="s">
        <v>3330</v>
      </c>
      <c r="B4765" t="s">
        <v>3331</v>
      </c>
      <c r="C4765" t="s">
        <v>235</v>
      </c>
      <c r="D4765" t="s">
        <v>1273</v>
      </c>
      <c r="E4765" t="s">
        <v>561</v>
      </c>
      <c r="F4765" t="s">
        <v>1068</v>
      </c>
      <c r="G4765" t="s">
        <v>1075</v>
      </c>
      <c r="H4765">
        <v>1.19236324475312E-3</v>
      </c>
      <c r="I4765" t="s">
        <v>1077</v>
      </c>
      <c r="J4765">
        <v>8.34</v>
      </c>
    </row>
    <row r="4766" spans="1:10" hidden="1">
      <c r="A4766" t="s">
        <v>3330</v>
      </c>
      <c r="B4766" t="s">
        <v>3331</v>
      </c>
      <c r="C4766" t="s">
        <v>235</v>
      </c>
      <c r="D4766" t="s">
        <v>1273</v>
      </c>
      <c r="E4766" t="s">
        <v>561</v>
      </c>
      <c r="F4766" t="s">
        <v>1068</v>
      </c>
      <c r="G4766" t="s">
        <v>1078</v>
      </c>
      <c r="H4766">
        <v>-0.17470400001792399</v>
      </c>
      <c r="I4766" t="s">
        <v>1079</v>
      </c>
      <c r="J4766">
        <v>8.34</v>
      </c>
    </row>
    <row r="4767" spans="1:10" hidden="1">
      <c r="A4767" t="s">
        <v>3330</v>
      </c>
      <c r="B4767" t="s">
        <v>3331</v>
      </c>
      <c r="C4767" t="s">
        <v>235</v>
      </c>
      <c r="D4767" t="s">
        <v>1273</v>
      </c>
      <c r="E4767" t="s">
        <v>561</v>
      </c>
      <c r="F4767" t="s">
        <v>1068</v>
      </c>
      <c r="G4767" t="s">
        <v>1080</v>
      </c>
      <c r="H4767" s="171" t="s">
        <v>3332</v>
      </c>
      <c r="I4767" t="s">
        <v>1082</v>
      </c>
      <c r="J4767">
        <v>8.34</v>
      </c>
    </row>
    <row r="4768" spans="1:10" hidden="1">
      <c r="A4768" t="s">
        <v>3330</v>
      </c>
      <c r="B4768" t="s">
        <v>3331</v>
      </c>
      <c r="C4768" t="s">
        <v>235</v>
      </c>
      <c r="D4768" t="s">
        <v>1273</v>
      </c>
      <c r="E4768" t="s">
        <v>561</v>
      </c>
      <c r="F4768" t="s">
        <v>1068</v>
      </c>
      <c r="G4768" t="s">
        <v>1083</v>
      </c>
      <c r="H4768" s="170">
        <v>-9.5277718720309693E-6</v>
      </c>
      <c r="I4768" t="s">
        <v>1084</v>
      </c>
      <c r="J4768">
        <v>8.34</v>
      </c>
    </row>
    <row r="4769" spans="1:10" hidden="1">
      <c r="A4769" t="s">
        <v>3330</v>
      </c>
      <c r="B4769" t="s">
        <v>3331</v>
      </c>
      <c r="C4769" t="s">
        <v>235</v>
      </c>
      <c r="D4769" t="s">
        <v>1273</v>
      </c>
      <c r="E4769" t="s">
        <v>561</v>
      </c>
      <c r="F4769" t="s">
        <v>1068</v>
      </c>
      <c r="G4769" t="s">
        <v>1085</v>
      </c>
      <c r="H4769" s="170">
        <v>-5.6129509433713703E-5</v>
      </c>
      <c r="I4769" t="s">
        <v>1086</v>
      </c>
      <c r="J4769">
        <v>8.34</v>
      </c>
    </row>
    <row r="4770" spans="1:10" hidden="1">
      <c r="A4770" t="s">
        <v>3330</v>
      </c>
      <c r="B4770" t="s">
        <v>3331</v>
      </c>
      <c r="C4770" t="s">
        <v>235</v>
      </c>
      <c r="D4770" t="s">
        <v>1273</v>
      </c>
      <c r="E4770" t="s">
        <v>561</v>
      </c>
      <c r="F4770" t="s">
        <v>1068</v>
      </c>
      <c r="G4770" t="s">
        <v>1087</v>
      </c>
      <c r="H4770" s="171" t="s">
        <v>3333</v>
      </c>
      <c r="I4770" t="s">
        <v>1088</v>
      </c>
      <c r="J4770">
        <v>8.34</v>
      </c>
    </row>
    <row r="4771" spans="1:10" hidden="1">
      <c r="A4771" t="s">
        <v>3330</v>
      </c>
      <c r="B4771" t="s">
        <v>3331</v>
      </c>
      <c r="C4771" t="s">
        <v>235</v>
      </c>
      <c r="D4771" t="s">
        <v>1273</v>
      </c>
      <c r="E4771" t="s">
        <v>561</v>
      </c>
      <c r="F4771" t="s">
        <v>1068</v>
      </c>
      <c r="G4771" t="s">
        <v>1089</v>
      </c>
      <c r="H4771" s="171" t="s">
        <v>3334</v>
      </c>
      <c r="I4771" t="s">
        <v>1090</v>
      </c>
      <c r="J4771">
        <v>8.34</v>
      </c>
    </row>
    <row r="4772" spans="1:10" hidden="1">
      <c r="A4772" t="s">
        <v>3335</v>
      </c>
      <c r="B4772" t="s">
        <v>3336</v>
      </c>
      <c r="C4772" t="s">
        <v>235</v>
      </c>
      <c r="D4772" t="s">
        <v>1273</v>
      </c>
      <c r="E4772" t="s">
        <v>555</v>
      </c>
      <c r="F4772" t="s">
        <v>1068</v>
      </c>
      <c r="G4772" t="s">
        <v>1069</v>
      </c>
      <c r="H4772">
        <v>-2.92171697976677E-2</v>
      </c>
      <c r="I4772" t="s">
        <v>1070</v>
      </c>
      <c r="J4772">
        <v>12.04</v>
      </c>
    </row>
    <row r="4773" spans="1:10" hidden="1">
      <c r="A4773" t="s">
        <v>3335</v>
      </c>
      <c r="B4773" t="s">
        <v>3336</v>
      </c>
      <c r="C4773" t="s">
        <v>235</v>
      </c>
      <c r="D4773" t="s">
        <v>1273</v>
      </c>
      <c r="E4773" t="s">
        <v>555</v>
      </c>
      <c r="F4773" t="s">
        <v>1068</v>
      </c>
      <c r="G4773" t="s">
        <v>1071</v>
      </c>
      <c r="H4773" s="170">
        <v>-1.10587212792688E-10</v>
      </c>
      <c r="I4773" t="s">
        <v>1072</v>
      </c>
      <c r="J4773">
        <v>12.04</v>
      </c>
    </row>
    <row r="4774" spans="1:10" hidden="1">
      <c r="A4774" t="s">
        <v>3335</v>
      </c>
      <c r="B4774" t="s">
        <v>3336</v>
      </c>
      <c r="C4774" t="s">
        <v>235</v>
      </c>
      <c r="D4774" t="s">
        <v>1273</v>
      </c>
      <c r="E4774" t="s">
        <v>555</v>
      </c>
      <c r="F4774" t="s">
        <v>1068</v>
      </c>
      <c r="G4774" t="s">
        <v>1073</v>
      </c>
      <c r="H4774" s="170">
        <v>-7.5965115834541692E-9</v>
      </c>
      <c r="I4774" t="s">
        <v>1074</v>
      </c>
      <c r="J4774">
        <v>12.04</v>
      </c>
    </row>
    <row r="4775" spans="1:10" hidden="1">
      <c r="A4775" t="s">
        <v>3335</v>
      </c>
      <c r="B4775" t="s">
        <v>3336</v>
      </c>
      <c r="C4775" t="s">
        <v>235</v>
      </c>
      <c r="D4775" t="s">
        <v>1273</v>
      </c>
      <c r="E4775" t="s">
        <v>555</v>
      </c>
      <c r="F4775" t="s">
        <v>1068</v>
      </c>
      <c r="G4775" t="s">
        <v>1075</v>
      </c>
      <c r="H4775">
        <v>8.8553181046052503E-4</v>
      </c>
      <c r="I4775" t="s">
        <v>1077</v>
      </c>
      <c r="J4775">
        <v>12.04</v>
      </c>
    </row>
    <row r="4776" spans="1:10" hidden="1">
      <c r="A4776" t="s">
        <v>3335</v>
      </c>
      <c r="B4776" t="s">
        <v>3336</v>
      </c>
      <c r="C4776" t="s">
        <v>235</v>
      </c>
      <c r="D4776" t="s">
        <v>1273</v>
      </c>
      <c r="E4776" t="s">
        <v>555</v>
      </c>
      <c r="F4776" t="s">
        <v>1068</v>
      </c>
      <c r="G4776" t="s">
        <v>1078</v>
      </c>
      <c r="H4776">
        <v>-0.17357286847922601</v>
      </c>
      <c r="I4776" t="s">
        <v>1079</v>
      </c>
      <c r="J4776">
        <v>12.04</v>
      </c>
    </row>
    <row r="4777" spans="1:10" hidden="1">
      <c r="A4777" t="s">
        <v>3335</v>
      </c>
      <c r="B4777" t="s">
        <v>3336</v>
      </c>
      <c r="C4777" t="s">
        <v>235</v>
      </c>
      <c r="D4777" t="s">
        <v>1273</v>
      </c>
      <c r="E4777" t="s">
        <v>555</v>
      </c>
      <c r="F4777" t="s">
        <v>1068</v>
      </c>
      <c r="G4777" t="s">
        <v>1080</v>
      </c>
      <c r="H4777" s="171" t="s">
        <v>3337</v>
      </c>
      <c r="I4777" t="s">
        <v>1082</v>
      </c>
      <c r="J4777">
        <v>12.04</v>
      </c>
    </row>
    <row r="4778" spans="1:10" hidden="1">
      <c r="A4778" t="s">
        <v>3335</v>
      </c>
      <c r="B4778" t="s">
        <v>3336</v>
      </c>
      <c r="C4778" t="s">
        <v>235</v>
      </c>
      <c r="D4778" t="s">
        <v>1273</v>
      </c>
      <c r="E4778" t="s">
        <v>555</v>
      </c>
      <c r="F4778" t="s">
        <v>1068</v>
      </c>
      <c r="G4778" t="s">
        <v>1083</v>
      </c>
      <c r="H4778" s="170">
        <v>-1.1189126238975E-5</v>
      </c>
      <c r="I4778" t="s">
        <v>1084</v>
      </c>
      <c r="J4778">
        <v>12.04</v>
      </c>
    </row>
    <row r="4779" spans="1:10" hidden="1">
      <c r="A4779" t="s">
        <v>3335</v>
      </c>
      <c r="B4779" t="s">
        <v>3336</v>
      </c>
      <c r="C4779" t="s">
        <v>235</v>
      </c>
      <c r="D4779" t="s">
        <v>1273</v>
      </c>
      <c r="E4779" t="s">
        <v>555</v>
      </c>
      <c r="F4779" t="s">
        <v>1068</v>
      </c>
      <c r="G4779" t="s">
        <v>1085</v>
      </c>
      <c r="H4779" s="170">
        <v>-7.47024520419023E-5</v>
      </c>
      <c r="I4779" t="s">
        <v>1086</v>
      </c>
      <c r="J4779">
        <v>12.04</v>
      </c>
    </row>
    <row r="4780" spans="1:10" hidden="1">
      <c r="A4780" t="s">
        <v>3335</v>
      </c>
      <c r="B4780" t="s">
        <v>3336</v>
      </c>
      <c r="C4780" t="s">
        <v>235</v>
      </c>
      <c r="D4780" t="s">
        <v>1273</v>
      </c>
      <c r="E4780" t="s">
        <v>555</v>
      </c>
      <c r="F4780" t="s">
        <v>1068</v>
      </c>
      <c r="G4780" t="s">
        <v>1087</v>
      </c>
      <c r="H4780" s="171" t="s">
        <v>3338</v>
      </c>
      <c r="I4780" t="s">
        <v>1088</v>
      </c>
      <c r="J4780">
        <v>12.04</v>
      </c>
    </row>
    <row r="4781" spans="1:10" hidden="1">
      <c r="A4781" t="s">
        <v>3335</v>
      </c>
      <c r="B4781" t="s">
        <v>3336</v>
      </c>
      <c r="C4781" t="s">
        <v>235</v>
      </c>
      <c r="D4781" t="s">
        <v>1273</v>
      </c>
      <c r="E4781" t="s">
        <v>555</v>
      </c>
      <c r="F4781" t="s">
        <v>1068</v>
      </c>
      <c r="G4781" t="s">
        <v>1089</v>
      </c>
      <c r="H4781" s="170">
        <v>-2.7607370912883898E-6</v>
      </c>
      <c r="I4781" t="s">
        <v>1090</v>
      </c>
      <c r="J4781">
        <v>12.04</v>
      </c>
    </row>
    <row r="4782" spans="1:10" hidden="1">
      <c r="A4782" t="s">
        <v>3339</v>
      </c>
      <c r="B4782" t="s">
        <v>3340</v>
      </c>
      <c r="C4782" t="s">
        <v>235</v>
      </c>
      <c r="D4782" t="s">
        <v>1273</v>
      </c>
      <c r="E4782" t="s">
        <v>558</v>
      </c>
      <c r="F4782" t="s">
        <v>1068</v>
      </c>
      <c r="G4782" t="s">
        <v>1069</v>
      </c>
      <c r="H4782">
        <v>-1.73733192890193E-2</v>
      </c>
      <c r="I4782" t="s">
        <v>1070</v>
      </c>
      <c r="J4782">
        <v>8.23</v>
      </c>
    </row>
    <row r="4783" spans="1:10" hidden="1">
      <c r="A4783" t="s">
        <v>3339</v>
      </c>
      <c r="B4783" t="s">
        <v>3340</v>
      </c>
      <c r="C4783" t="s">
        <v>235</v>
      </c>
      <c r="D4783" t="s">
        <v>1273</v>
      </c>
      <c r="E4783" t="s">
        <v>558</v>
      </c>
      <c r="F4783" t="s">
        <v>1068</v>
      </c>
      <c r="G4783" t="s">
        <v>1071</v>
      </c>
      <c r="H4783" s="170">
        <v>-9.3696529315093894E-11</v>
      </c>
      <c r="I4783" t="s">
        <v>1072</v>
      </c>
      <c r="J4783">
        <v>8.23</v>
      </c>
    </row>
    <row r="4784" spans="1:10" hidden="1">
      <c r="A4784" t="s">
        <v>3339</v>
      </c>
      <c r="B4784" t="s">
        <v>3340</v>
      </c>
      <c r="C4784" t="s">
        <v>235</v>
      </c>
      <c r="D4784" t="s">
        <v>1273</v>
      </c>
      <c r="E4784" t="s">
        <v>558</v>
      </c>
      <c r="F4784" t="s">
        <v>1068</v>
      </c>
      <c r="G4784" t="s">
        <v>1073</v>
      </c>
      <c r="H4784" s="170">
        <v>-3.3842695147677599E-9</v>
      </c>
      <c r="I4784" t="s">
        <v>1074</v>
      </c>
      <c r="J4784">
        <v>8.23</v>
      </c>
    </row>
    <row r="4785" spans="1:10" hidden="1">
      <c r="A4785" t="s">
        <v>3339</v>
      </c>
      <c r="B4785" t="s">
        <v>3340</v>
      </c>
      <c r="C4785" t="s">
        <v>235</v>
      </c>
      <c r="D4785" t="s">
        <v>1273</v>
      </c>
      <c r="E4785" t="s">
        <v>558</v>
      </c>
      <c r="F4785" t="s">
        <v>1068</v>
      </c>
      <c r="G4785" t="s">
        <v>1075</v>
      </c>
      <c r="H4785">
        <v>1.22203883339332E-3</v>
      </c>
      <c r="I4785" t="s">
        <v>1077</v>
      </c>
      <c r="J4785">
        <v>8.23</v>
      </c>
    </row>
    <row r="4786" spans="1:10" hidden="1">
      <c r="A4786" t="s">
        <v>3339</v>
      </c>
      <c r="B4786" t="s">
        <v>3340</v>
      </c>
      <c r="C4786" t="s">
        <v>235</v>
      </c>
      <c r="D4786" t="s">
        <v>1273</v>
      </c>
      <c r="E4786" t="s">
        <v>558</v>
      </c>
      <c r="F4786" t="s">
        <v>1068</v>
      </c>
      <c r="G4786" t="s">
        <v>1078</v>
      </c>
      <c r="H4786">
        <v>-0.17342071309468199</v>
      </c>
      <c r="I4786" t="s">
        <v>1079</v>
      </c>
      <c r="J4786">
        <v>8.23</v>
      </c>
    </row>
    <row r="4787" spans="1:10" hidden="1">
      <c r="A4787" t="s">
        <v>3339</v>
      </c>
      <c r="B4787" t="s">
        <v>3340</v>
      </c>
      <c r="C4787" t="s">
        <v>235</v>
      </c>
      <c r="D4787" t="s">
        <v>1273</v>
      </c>
      <c r="E4787" t="s">
        <v>558</v>
      </c>
      <c r="F4787" t="s">
        <v>1068</v>
      </c>
      <c r="G4787" t="s">
        <v>1080</v>
      </c>
      <c r="H4787" s="171" t="s">
        <v>3341</v>
      </c>
      <c r="I4787" t="s">
        <v>1082</v>
      </c>
      <c r="J4787">
        <v>8.23</v>
      </c>
    </row>
    <row r="4788" spans="1:10" hidden="1">
      <c r="A4788" t="s">
        <v>3339</v>
      </c>
      <c r="B4788" t="s">
        <v>3340</v>
      </c>
      <c r="C4788" t="s">
        <v>235</v>
      </c>
      <c r="D4788" t="s">
        <v>1273</v>
      </c>
      <c r="E4788" t="s">
        <v>558</v>
      </c>
      <c r="F4788" t="s">
        <v>1068</v>
      </c>
      <c r="G4788" t="s">
        <v>1083</v>
      </c>
      <c r="H4788" s="170">
        <v>-9.3850779064680292E-6</v>
      </c>
      <c r="I4788" t="s">
        <v>1084</v>
      </c>
      <c r="J4788">
        <v>8.23</v>
      </c>
    </row>
    <row r="4789" spans="1:10" hidden="1">
      <c r="A4789" t="s">
        <v>3339</v>
      </c>
      <c r="B4789" t="s">
        <v>3340</v>
      </c>
      <c r="C4789" t="s">
        <v>235</v>
      </c>
      <c r="D4789" t="s">
        <v>1273</v>
      </c>
      <c r="E4789" t="s">
        <v>558</v>
      </c>
      <c r="F4789" t="s">
        <v>1068</v>
      </c>
      <c r="G4789" t="s">
        <v>1085</v>
      </c>
      <c r="H4789" s="170">
        <v>-5.4516778015010602E-5</v>
      </c>
      <c r="I4789" t="s">
        <v>1086</v>
      </c>
      <c r="J4789">
        <v>8.23</v>
      </c>
    </row>
    <row r="4790" spans="1:10" hidden="1">
      <c r="A4790" t="s">
        <v>3339</v>
      </c>
      <c r="B4790" t="s">
        <v>3340</v>
      </c>
      <c r="C4790" t="s">
        <v>235</v>
      </c>
      <c r="D4790" t="s">
        <v>1273</v>
      </c>
      <c r="E4790" t="s">
        <v>558</v>
      </c>
      <c r="F4790" t="s">
        <v>1068</v>
      </c>
      <c r="G4790" t="s">
        <v>1087</v>
      </c>
      <c r="H4790" s="171" t="s">
        <v>3342</v>
      </c>
      <c r="I4790" t="s">
        <v>1088</v>
      </c>
      <c r="J4790">
        <v>8.23</v>
      </c>
    </row>
    <row r="4791" spans="1:10" hidden="1">
      <c r="A4791" t="s">
        <v>3339</v>
      </c>
      <c r="B4791" t="s">
        <v>3340</v>
      </c>
      <c r="C4791" t="s">
        <v>235</v>
      </c>
      <c r="D4791" t="s">
        <v>1273</v>
      </c>
      <c r="E4791" t="s">
        <v>558</v>
      </c>
      <c r="F4791" t="s">
        <v>1068</v>
      </c>
      <c r="G4791" t="s">
        <v>1089</v>
      </c>
      <c r="H4791" s="171" t="s">
        <v>3343</v>
      </c>
      <c r="I4791" t="s">
        <v>1090</v>
      </c>
      <c r="J4791">
        <v>8.23</v>
      </c>
    </row>
    <row r="4792" spans="1:10" hidden="1">
      <c r="A4792" t="s">
        <v>3344</v>
      </c>
      <c r="B4792" t="s">
        <v>3345</v>
      </c>
      <c r="C4792" t="s">
        <v>235</v>
      </c>
      <c r="D4792" t="s">
        <v>1273</v>
      </c>
      <c r="E4792" t="s">
        <v>553</v>
      </c>
      <c r="F4792" t="s">
        <v>1068</v>
      </c>
      <c r="G4792" t="s">
        <v>1069</v>
      </c>
      <c r="H4792">
        <v>-1.67158541851899E-2</v>
      </c>
      <c r="I4792" t="s">
        <v>1070</v>
      </c>
      <c r="J4792">
        <v>8.15</v>
      </c>
    </row>
    <row r="4793" spans="1:10" hidden="1">
      <c r="A4793" t="s">
        <v>3344</v>
      </c>
      <c r="B4793" t="s">
        <v>3345</v>
      </c>
      <c r="C4793" t="s">
        <v>235</v>
      </c>
      <c r="D4793" t="s">
        <v>1273</v>
      </c>
      <c r="E4793" t="s">
        <v>553</v>
      </c>
      <c r="F4793" t="s">
        <v>1068</v>
      </c>
      <c r="G4793" t="s">
        <v>1071</v>
      </c>
      <c r="H4793" s="170">
        <v>-9.2697687925207903E-11</v>
      </c>
      <c r="I4793" t="s">
        <v>1072</v>
      </c>
      <c r="J4793">
        <v>8.15</v>
      </c>
    </row>
    <row r="4794" spans="1:10" hidden="1">
      <c r="A4794" t="s">
        <v>3344</v>
      </c>
      <c r="B4794" t="s">
        <v>3345</v>
      </c>
      <c r="C4794" t="s">
        <v>235</v>
      </c>
      <c r="D4794" t="s">
        <v>1273</v>
      </c>
      <c r="E4794" t="s">
        <v>553</v>
      </c>
      <c r="F4794" t="s">
        <v>1068</v>
      </c>
      <c r="G4794" t="s">
        <v>1073</v>
      </c>
      <c r="H4794" s="170">
        <v>-3.1560047213310401E-9</v>
      </c>
      <c r="I4794" t="s">
        <v>1074</v>
      </c>
      <c r="J4794">
        <v>8.15</v>
      </c>
    </row>
    <row r="4795" spans="1:10" hidden="1">
      <c r="A4795" t="s">
        <v>3344</v>
      </c>
      <c r="B4795" t="s">
        <v>3345</v>
      </c>
      <c r="C4795" t="s">
        <v>235</v>
      </c>
      <c r="D4795" t="s">
        <v>1273</v>
      </c>
      <c r="E4795" t="s">
        <v>553</v>
      </c>
      <c r="F4795" t="s">
        <v>1068</v>
      </c>
      <c r="G4795" t="s">
        <v>1075</v>
      </c>
      <c r="H4795">
        <v>1.2807117517447801E-3</v>
      </c>
      <c r="I4795" t="s">
        <v>1077</v>
      </c>
      <c r="J4795">
        <v>8.15</v>
      </c>
    </row>
    <row r="4796" spans="1:10" hidden="1">
      <c r="A4796" t="s">
        <v>3344</v>
      </c>
      <c r="B4796" t="s">
        <v>3345</v>
      </c>
      <c r="C4796" t="s">
        <v>235</v>
      </c>
      <c r="D4796" t="s">
        <v>1273</v>
      </c>
      <c r="E4796" t="s">
        <v>553</v>
      </c>
      <c r="F4796" t="s">
        <v>1068</v>
      </c>
      <c r="G4796" t="s">
        <v>1078</v>
      </c>
      <c r="H4796">
        <v>-0.15648376345333601</v>
      </c>
      <c r="I4796" t="s">
        <v>1079</v>
      </c>
      <c r="J4796">
        <v>8.15</v>
      </c>
    </row>
    <row r="4797" spans="1:10" hidden="1">
      <c r="A4797" t="s">
        <v>3344</v>
      </c>
      <c r="B4797" t="s">
        <v>3345</v>
      </c>
      <c r="C4797" t="s">
        <v>235</v>
      </c>
      <c r="D4797" t="s">
        <v>1273</v>
      </c>
      <c r="E4797" t="s">
        <v>553</v>
      </c>
      <c r="F4797" t="s">
        <v>1068</v>
      </c>
      <c r="G4797" t="s">
        <v>1080</v>
      </c>
      <c r="H4797" s="171" t="s">
        <v>3346</v>
      </c>
      <c r="I4797" t="s">
        <v>1082</v>
      </c>
      <c r="J4797">
        <v>8.15</v>
      </c>
    </row>
    <row r="4798" spans="1:10" hidden="1">
      <c r="A4798" t="s">
        <v>3344</v>
      </c>
      <c r="B4798" t="s">
        <v>3345</v>
      </c>
      <c r="C4798" t="s">
        <v>235</v>
      </c>
      <c r="D4798" t="s">
        <v>1273</v>
      </c>
      <c r="E4798" t="s">
        <v>553</v>
      </c>
      <c r="F4798" t="s">
        <v>1068</v>
      </c>
      <c r="G4798" t="s">
        <v>1083</v>
      </c>
      <c r="H4798" s="170">
        <v>-9.2889181717831108E-6</v>
      </c>
      <c r="I4798" t="s">
        <v>1084</v>
      </c>
      <c r="J4798">
        <v>8.15</v>
      </c>
    </row>
    <row r="4799" spans="1:10" hidden="1">
      <c r="A4799" t="s">
        <v>3344</v>
      </c>
      <c r="B4799" t="s">
        <v>3345</v>
      </c>
      <c r="C4799" t="s">
        <v>235</v>
      </c>
      <c r="D4799" t="s">
        <v>1273</v>
      </c>
      <c r="E4799" t="s">
        <v>553</v>
      </c>
      <c r="F4799" t="s">
        <v>1068</v>
      </c>
      <c r="G4799" t="s">
        <v>1085</v>
      </c>
      <c r="H4799" s="170">
        <v>-5.3226244271351703E-5</v>
      </c>
      <c r="I4799" t="s">
        <v>1086</v>
      </c>
      <c r="J4799">
        <v>8.15</v>
      </c>
    </row>
    <row r="4800" spans="1:10" hidden="1">
      <c r="A4800" t="s">
        <v>3344</v>
      </c>
      <c r="B4800" t="s">
        <v>3345</v>
      </c>
      <c r="C4800" t="s">
        <v>235</v>
      </c>
      <c r="D4800" t="s">
        <v>1273</v>
      </c>
      <c r="E4800" t="s">
        <v>553</v>
      </c>
      <c r="F4800" t="s">
        <v>1068</v>
      </c>
      <c r="G4800" t="s">
        <v>1087</v>
      </c>
      <c r="H4800" s="171" t="s">
        <v>3347</v>
      </c>
      <c r="I4800" t="s">
        <v>1088</v>
      </c>
      <c r="J4800">
        <v>8.15</v>
      </c>
    </row>
    <row r="4801" spans="1:10" hidden="1">
      <c r="A4801" t="s">
        <v>3344</v>
      </c>
      <c r="B4801" t="s">
        <v>3345</v>
      </c>
      <c r="C4801" t="s">
        <v>235</v>
      </c>
      <c r="D4801" t="s">
        <v>1273</v>
      </c>
      <c r="E4801" t="s">
        <v>553</v>
      </c>
      <c r="F4801" t="s">
        <v>1068</v>
      </c>
      <c r="G4801" t="s">
        <v>1089</v>
      </c>
      <c r="H4801" s="171" t="s">
        <v>3348</v>
      </c>
      <c r="I4801" t="s">
        <v>1090</v>
      </c>
      <c r="J4801">
        <v>8.15</v>
      </c>
    </row>
    <row r="4802" spans="1:10" hidden="1">
      <c r="A4802" t="s">
        <v>3349</v>
      </c>
      <c r="B4802" t="s">
        <v>3350</v>
      </c>
      <c r="C4802" t="s">
        <v>235</v>
      </c>
      <c r="D4802" t="s">
        <v>1273</v>
      </c>
      <c r="E4802" t="s">
        <v>556</v>
      </c>
      <c r="F4802" t="s">
        <v>1068</v>
      </c>
      <c r="G4802" t="s">
        <v>1069</v>
      </c>
      <c r="H4802">
        <v>-1.7473943206577001E-2</v>
      </c>
      <c r="I4802" t="s">
        <v>1070</v>
      </c>
      <c r="J4802">
        <v>8.02</v>
      </c>
    </row>
    <row r="4803" spans="1:10" hidden="1">
      <c r="A4803" t="s">
        <v>3349</v>
      </c>
      <c r="B4803" t="s">
        <v>3350</v>
      </c>
      <c r="C4803" t="s">
        <v>235</v>
      </c>
      <c r="D4803" t="s">
        <v>1273</v>
      </c>
      <c r="E4803" t="s">
        <v>556</v>
      </c>
      <c r="F4803" t="s">
        <v>1068</v>
      </c>
      <c r="G4803" t="s">
        <v>1071</v>
      </c>
      <c r="H4803" s="170">
        <v>-9.3461252562738201E-11</v>
      </c>
      <c r="I4803" t="s">
        <v>1072</v>
      </c>
      <c r="J4803">
        <v>8.02</v>
      </c>
    </row>
    <row r="4804" spans="1:10" hidden="1">
      <c r="A4804" t="s">
        <v>3349</v>
      </c>
      <c r="B4804" t="s">
        <v>3350</v>
      </c>
      <c r="C4804" t="s">
        <v>235</v>
      </c>
      <c r="D4804" t="s">
        <v>1273</v>
      </c>
      <c r="E4804" t="s">
        <v>556</v>
      </c>
      <c r="F4804" t="s">
        <v>1068</v>
      </c>
      <c r="G4804" t="s">
        <v>1073</v>
      </c>
      <c r="H4804" s="170">
        <v>-3.4160816827218102E-9</v>
      </c>
      <c r="I4804" t="s">
        <v>1074</v>
      </c>
      <c r="J4804">
        <v>8.02</v>
      </c>
    </row>
    <row r="4805" spans="1:10" hidden="1">
      <c r="A4805" t="s">
        <v>3349</v>
      </c>
      <c r="B4805" t="s">
        <v>3350</v>
      </c>
      <c r="C4805" t="s">
        <v>235</v>
      </c>
      <c r="D4805" t="s">
        <v>1273</v>
      </c>
      <c r="E4805" t="s">
        <v>556</v>
      </c>
      <c r="F4805" t="s">
        <v>1068</v>
      </c>
      <c r="G4805" t="s">
        <v>1075</v>
      </c>
      <c r="H4805">
        <v>1.3973265029035E-3</v>
      </c>
      <c r="I4805" t="s">
        <v>1077</v>
      </c>
      <c r="J4805">
        <v>8.02</v>
      </c>
    </row>
    <row r="4806" spans="1:10" hidden="1">
      <c r="A4806" t="s">
        <v>3349</v>
      </c>
      <c r="B4806" t="s">
        <v>3350</v>
      </c>
      <c r="C4806" t="s">
        <v>235</v>
      </c>
      <c r="D4806" t="s">
        <v>1273</v>
      </c>
      <c r="E4806" t="s">
        <v>556</v>
      </c>
      <c r="F4806" t="s">
        <v>1068</v>
      </c>
      <c r="G4806" t="s">
        <v>1078</v>
      </c>
      <c r="H4806">
        <v>-9.8873846785501499E-2</v>
      </c>
      <c r="I4806" t="s">
        <v>1079</v>
      </c>
      <c r="J4806">
        <v>8.02</v>
      </c>
    </row>
    <row r="4807" spans="1:10" hidden="1">
      <c r="A4807" t="s">
        <v>3349</v>
      </c>
      <c r="B4807" t="s">
        <v>3350</v>
      </c>
      <c r="C4807" t="s">
        <v>235</v>
      </c>
      <c r="D4807" t="s">
        <v>1273</v>
      </c>
      <c r="E4807" t="s">
        <v>556</v>
      </c>
      <c r="F4807" t="s">
        <v>1068</v>
      </c>
      <c r="G4807" t="s">
        <v>1080</v>
      </c>
      <c r="H4807" s="171" t="s">
        <v>3351</v>
      </c>
      <c r="I4807" t="s">
        <v>1082</v>
      </c>
      <c r="J4807">
        <v>8.02</v>
      </c>
    </row>
    <row r="4808" spans="1:10" hidden="1">
      <c r="A4808" t="s">
        <v>3349</v>
      </c>
      <c r="B4808" t="s">
        <v>3350</v>
      </c>
      <c r="C4808" t="s">
        <v>235</v>
      </c>
      <c r="D4808" t="s">
        <v>1273</v>
      </c>
      <c r="E4808" t="s">
        <v>556</v>
      </c>
      <c r="F4808" t="s">
        <v>1068</v>
      </c>
      <c r="G4808" t="s">
        <v>1083</v>
      </c>
      <c r="H4808" s="170">
        <v>-9.4041064609547895E-6</v>
      </c>
      <c r="I4808" t="s">
        <v>1084</v>
      </c>
      <c r="J4808">
        <v>8.02</v>
      </c>
    </row>
    <row r="4809" spans="1:10" hidden="1">
      <c r="A4809" t="s">
        <v>3349</v>
      </c>
      <c r="B4809" t="s">
        <v>3350</v>
      </c>
      <c r="C4809" t="s">
        <v>235</v>
      </c>
      <c r="D4809" t="s">
        <v>1273</v>
      </c>
      <c r="E4809" t="s">
        <v>556</v>
      </c>
      <c r="F4809" t="s">
        <v>1068</v>
      </c>
      <c r="G4809" t="s">
        <v>1085</v>
      </c>
      <c r="H4809" s="170">
        <v>-5.37887094439938E-5</v>
      </c>
      <c r="I4809" t="s">
        <v>1086</v>
      </c>
      <c r="J4809">
        <v>8.02</v>
      </c>
    </row>
    <row r="4810" spans="1:10" hidden="1">
      <c r="A4810" t="s">
        <v>3349</v>
      </c>
      <c r="B4810" t="s">
        <v>3350</v>
      </c>
      <c r="C4810" t="s">
        <v>235</v>
      </c>
      <c r="D4810" t="s">
        <v>1273</v>
      </c>
      <c r="E4810" t="s">
        <v>556</v>
      </c>
      <c r="F4810" t="s">
        <v>1068</v>
      </c>
      <c r="G4810" t="s">
        <v>1087</v>
      </c>
      <c r="H4810" s="171" t="s">
        <v>3352</v>
      </c>
      <c r="I4810" t="s">
        <v>1088</v>
      </c>
      <c r="J4810">
        <v>8.02</v>
      </c>
    </row>
    <row r="4811" spans="1:10" hidden="1">
      <c r="A4811" t="s">
        <v>3349</v>
      </c>
      <c r="B4811" t="s">
        <v>3350</v>
      </c>
      <c r="C4811" t="s">
        <v>235</v>
      </c>
      <c r="D4811" t="s">
        <v>1273</v>
      </c>
      <c r="E4811" t="s">
        <v>556</v>
      </c>
      <c r="F4811" t="s">
        <v>1068</v>
      </c>
      <c r="G4811" t="s">
        <v>1089</v>
      </c>
      <c r="H4811" s="171" t="s">
        <v>3353</v>
      </c>
      <c r="I4811" t="s">
        <v>1090</v>
      </c>
      <c r="J4811">
        <v>8.02</v>
      </c>
    </row>
    <row r="4812" spans="1:10" hidden="1">
      <c r="A4812" t="s">
        <v>3354</v>
      </c>
      <c r="B4812" t="s">
        <v>3355</v>
      </c>
      <c r="C4812" t="s">
        <v>235</v>
      </c>
      <c r="D4812" t="s">
        <v>1273</v>
      </c>
      <c r="E4812" t="s">
        <v>557</v>
      </c>
      <c r="F4812" t="s">
        <v>1068</v>
      </c>
      <c r="G4812" t="s">
        <v>1069</v>
      </c>
      <c r="H4812">
        <v>-2.12508561842925E-2</v>
      </c>
      <c r="I4812" t="s">
        <v>1070</v>
      </c>
      <c r="J4812">
        <v>7.76</v>
      </c>
    </row>
    <row r="4813" spans="1:10" hidden="1">
      <c r="A4813" t="s">
        <v>3354</v>
      </c>
      <c r="B4813" t="s">
        <v>3355</v>
      </c>
      <c r="C4813" t="s">
        <v>235</v>
      </c>
      <c r="D4813" t="s">
        <v>1273</v>
      </c>
      <c r="E4813" t="s">
        <v>557</v>
      </c>
      <c r="F4813" t="s">
        <v>1068</v>
      </c>
      <c r="G4813" t="s">
        <v>1071</v>
      </c>
      <c r="H4813" s="170">
        <v>-9.9245328726519502E-11</v>
      </c>
      <c r="I4813" t="s">
        <v>1072</v>
      </c>
      <c r="J4813">
        <v>7.76</v>
      </c>
    </row>
    <row r="4814" spans="1:10" hidden="1">
      <c r="A4814" t="s">
        <v>3354</v>
      </c>
      <c r="B4814" t="s">
        <v>3355</v>
      </c>
      <c r="C4814" t="s">
        <v>235</v>
      </c>
      <c r="D4814" t="s">
        <v>1273</v>
      </c>
      <c r="E4814" t="s">
        <v>557</v>
      </c>
      <c r="F4814" t="s">
        <v>1068</v>
      </c>
      <c r="G4814" t="s">
        <v>1073</v>
      </c>
      <c r="H4814" s="170">
        <v>-4.7615828892425899E-9</v>
      </c>
      <c r="I4814" t="s">
        <v>1074</v>
      </c>
      <c r="J4814">
        <v>7.76</v>
      </c>
    </row>
    <row r="4815" spans="1:10" hidden="1">
      <c r="A4815" t="s">
        <v>3354</v>
      </c>
      <c r="B4815" t="s">
        <v>3355</v>
      </c>
      <c r="C4815" t="s">
        <v>235</v>
      </c>
      <c r="D4815" t="s">
        <v>1273</v>
      </c>
      <c r="E4815" t="s">
        <v>557</v>
      </c>
      <c r="F4815" t="s">
        <v>1068</v>
      </c>
      <c r="G4815" t="s">
        <v>1075</v>
      </c>
      <c r="H4815">
        <v>1.09946574987944E-3</v>
      </c>
      <c r="I4815" t="s">
        <v>1077</v>
      </c>
      <c r="J4815">
        <v>7.76</v>
      </c>
    </row>
    <row r="4816" spans="1:10" hidden="1">
      <c r="A4816" t="s">
        <v>3354</v>
      </c>
      <c r="B4816" t="s">
        <v>3355</v>
      </c>
      <c r="C4816" t="s">
        <v>235</v>
      </c>
      <c r="D4816" t="s">
        <v>1273</v>
      </c>
      <c r="E4816" t="s">
        <v>557</v>
      </c>
      <c r="F4816" t="s">
        <v>1068</v>
      </c>
      <c r="G4816" t="s">
        <v>1078</v>
      </c>
      <c r="H4816">
        <v>-0.178721246038507</v>
      </c>
      <c r="I4816" t="s">
        <v>1079</v>
      </c>
      <c r="J4816">
        <v>7.76</v>
      </c>
    </row>
    <row r="4817" spans="1:10" hidden="1">
      <c r="A4817" t="s">
        <v>3354</v>
      </c>
      <c r="B4817" t="s">
        <v>3355</v>
      </c>
      <c r="C4817" t="s">
        <v>235</v>
      </c>
      <c r="D4817" t="s">
        <v>1273</v>
      </c>
      <c r="E4817" t="s">
        <v>557</v>
      </c>
      <c r="F4817" t="s">
        <v>1068</v>
      </c>
      <c r="G4817" t="s">
        <v>1080</v>
      </c>
      <c r="H4817" s="171" t="s">
        <v>3356</v>
      </c>
      <c r="I4817" t="s">
        <v>1082</v>
      </c>
      <c r="J4817">
        <v>7.76</v>
      </c>
    </row>
    <row r="4818" spans="1:10" hidden="1">
      <c r="A4818" t="s">
        <v>3354</v>
      </c>
      <c r="B4818" t="s">
        <v>3355</v>
      </c>
      <c r="C4818" t="s">
        <v>235</v>
      </c>
      <c r="D4818" t="s">
        <v>1273</v>
      </c>
      <c r="E4818" t="s">
        <v>557</v>
      </c>
      <c r="F4818" t="s">
        <v>1068</v>
      </c>
      <c r="G4818" t="s">
        <v>1083</v>
      </c>
      <c r="H4818" s="170">
        <v>-9.9744660250975806E-6</v>
      </c>
      <c r="I4818" t="s">
        <v>1084</v>
      </c>
      <c r="J4818">
        <v>7.76</v>
      </c>
    </row>
    <row r="4819" spans="1:10" hidden="1">
      <c r="A4819" t="s">
        <v>3354</v>
      </c>
      <c r="B4819" t="s">
        <v>3355</v>
      </c>
      <c r="C4819" t="s">
        <v>235</v>
      </c>
      <c r="D4819" t="s">
        <v>1273</v>
      </c>
      <c r="E4819" t="s">
        <v>557</v>
      </c>
      <c r="F4819" t="s">
        <v>1068</v>
      </c>
      <c r="G4819" t="s">
        <v>1085</v>
      </c>
      <c r="H4819" s="170">
        <v>-6.1178059961828095E-5</v>
      </c>
      <c r="I4819" t="s">
        <v>1086</v>
      </c>
      <c r="J4819">
        <v>7.76</v>
      </c>
    </row>
    <row r="4820" spans="1:10" hidden="1">
      <c r="A4820" t="s">
        <v>3354</v>
      </c>
      <c r="B4820" t="s">
        <v>3355</v>
      </c>
      <c r="C4820" t="s">
        <v>235</v>
      </c>
      <c r="D4820" t="s">
        <v>1273</v>
      </c>
      <c r="E4820" t="s">
        <v>557</v>
      </c>
      <c r="F4820" t="s">
        <v>1068</v>
      </c>
      <c r="G4820" t="s">
        <v>1087</v>
      </c>
      <c r="H4820" s="171" t="s">
        <v>3357</v>
      </c>
      <c r="I4820" t="s">
        <v>1088</v>
      </c>
      <c r="J4820">
        <v>7.76</v>
      </c>
    </row>
    <row r="4821" spans="1:10" hidden="1">
      <c r="A4821" t="s">
        <v>3354</v>
      </c>
      <c r="B4821" t="s">
        <v>3355</v>
      </c>
      <c r="C4821" t="s">
        <v>235</v>
      </c>
      <c r="D4821" t="s">
        <v>1273</v>
      </c>
      <c r="E4821" t="s">
        <v>557</v>
      </c>
      <c r="F4821" t="s">
        <v>1068</v>
      </c>
      <c r="G4821" t="s">
        <v>1089</v>
      </c>
      <c r="H4821" s="171" t="s">
        <v>3358</v>
      </c>
      <c r="I4821" t="s">
        <v>1090</v>
      </c>
      <c r="J4821">
        <v>7.76</v>
      </c>
    </row>
    <row r="4822" spans="1:10" hidden="1">
      <c r="A4822" t="s">
        <v>3359</v>
      </c>
      <c r="B4822" t="s">
        <v>3360</v>
      </c>
      <c r="C4822" t="s">
        <v>235</v>
      </c>
      <c r="D4822" t="s">
        <v>1273</v>
      </c>
      <c r="E4822" t="s">
        <v>559</v>
      </c>
      <c r="F4822" t="s">
        <v>1068</v>
      </c>
      <c r="G4822" t="s">
        <v>1069</v>
      </c>
      <c r="H4822">
        <v>-2.4675493339202E-2</v>
      </c>
      <c r="I4822" t="s">
        <v>1070</v>
      </c>
      <c r="J4822">
        <v>7.89</v>
      </c>
    </row>
    <row r="4823" spans="1:10" hidden="1">
      <c r="A4823" t="s">
        <v>3359</v>
      </c>
      <c r="B4823" t="s">
        <v>3360</v>
      </c>
      <c r="C4823" t="s">
        <v>235</v>
      </c>
      <c r="D4823" t="s">
        <v>1273</v>
      </c>
      <c r="E4823" t="s">
        <v>559</v>
      </c>
      <c r="F4823" t="s">
        <v>1068</v>
      </c>
      <c r="G4823" t="s">
        <v>1071</v>
      </c>
      <c r="H4823" s="170">
        <v>-1.04088022110495E-10</v>
      </c>
      <c r="I4823" t="s">
        <v>1072</v>
      </c>
      <c r="J4823">
        <v>7.89</v>
      </c>
    </row>
    <row r="4824" spans="1:10" hidden="1">
      <c r="A4824" t="s">
        <v>3359</v>
      </c>
      <c r="B4824" t="s">
        <v>3360</v>
      </c>
      <c r="C4824" t="s">
        <v>235</v>
      </c>
      <c r="D4824" t="s">
        <v>1273</v>
      </c>
      <c r="E4824" t="s">
        <v>559</v>
      </c>
      <c r="F4824" t="s">
        <v>1068</v>
      </c>
      <c r="G4824" t="s">
        <v>1073</v>
      </c>
      <c r="H4824" s="170">
        <v>-5.98329373466784E-9</v>
      </c>
      <c r="I4824" t="s">
        <v>1074</v>
      </c>
      <c r="J4824">
        <v>7.89</v>
      </c>
    </row>
    <row r="4825" spans="1:10" hidden="1">
      <c r="A4825" t="s">
        <v>3359</v>
      </c>
      <c r="B4825" t="s">
        <v>3360</v>
      </c>
      <c r="C4825" t="s">
        <v>235</v>
      </c>
      <c r="D4825" t="s">
        <v>1273</v>
      </c>
      <c r="E4825" t="s">
        <v>559</v>
      </c>
      <c r="F4825" t="s">
        <v>1068</v>
      </c>
      <c r="G4825" t="s">
        <v>1075</v>
      </c>
      <c r="H4825">
        <v>1.02909905504694E-3</v>
      </c>
      <c r="I4825" t="s">
        <v>1077</v>
      </c>
      <c r="J4825">
        <v>7.89</v>
      </c>
    </row>
    <row r="4826" spans="1:10" hidden="1">
      <c r="A4826" t="s">
        <v>3359</v>
      </c>
      <c r="B4826" t="s">
        <v>3360</v>
      </c>
      <c r="C4826" t="s">
        <v>235</v>
      </c>
      <c r="D4826" t="s">
        <v>1273</v>
      </c>
      <c r="E4826" t="s">
        <v>559</v>
      </c>
      <c r="F4826" t="s">
        <v>1068</v>
      </c>
      <c r="G4826" t="s">
        <v>1078</v>
      </c>
      <c r="H4826">
        <v>-0.167364467027872</v>
      </c>
      <c r="I4826" t="s">
        <v>1079</v>
      </c>
      <c r="J4826">
        <v>7.89</v>
      </c>
    </row>
    <row r="4827" spans="1:10" hidden="1">
      <c r="A4827" t="s">
        <v>3359</v>
      </c>
      <c r="B4827" t="s">
        <v>3360</v>
      </c>
      <c r="C4827" t="s">
        <v>235</v>
      </c>
      <c r="D4827" t="s">
        <v>1273</v>
      </c>
      <c r="E4827" t="s">
        <v>559</v>
      </c>
      <c r="F4827" t="s">
        <v>1068</v>
      </c>
      <c r="G4827" t="s">
        <v>1080</v>
      </c>
      <c r="H4827" s="171" t="s">
        <v>3361</v>
      </c>
      <c r="I4827" t="s">
        <v>1082</v>
      </c>
      <c r="J4827">
        <v>7.89</v>
      </c>
    </row>
    <row r="4828" spans="1:10" hidden="1">
      <c r="A4828" t="s">
        <v>3359</v>
      </c>
      <c r="B4828" t="s">
        <v>3360</v>
      </c>
      <c r="C4828" t="s">
        <v>235</v>
      </c>
      <c r="D4828" t="s">
        <v>1273</v>
      </c>
      <c r="E4828" t="s">
        <v>559</v>
      </c>
      <c r="F4828" t="s">
        <v>1068</v>
      </c>
      <c r="G4828" t="s">
        <v>1083</v>
      </c>
      <c r="H4828" s="170">
        <v>-1.04987884767367E-5</v>
      </c>
      <c r="I4828" t="s">
        <v>1084</v>
      </c>
      <c r="J4828">
        <v>7.89</v>
      </c>
    </row>
    <row r="4829" spans="1:10" hidden="1">
      <c r="A4829" t="s">
        <v>3359</v>
      </c>
      <c r="B4829" t="s">
        <v>3360</v>
      </c>
      <c r="C4829" t="s">
        <v>235</v>
      </c>
      <c r="D4829" t="s">
        <v>1273</v>
      </c>
      <c r="E4829" t="s">
        <v>559</v>
      </c>
      <c r="F4829" t="s">
        <v>1068</v>
      </c>
      <c r="G4829" t="s">
        <v>1085</v>
      </c>
      <c r="H4829" s="170">
        <v>-6.6900234237619901E-5</v>
      </c>
      <c r="I4829" t="s">
        <v>1086</v>
      </c>
      <c r="J4829">
        <v>7.89</v>
      </c>
    </row>
    <row r="4830" spans="1:10" hidden="1">
      <c r="A4830" t="s">
        <v>3359</v>
      </c>
      <c r="B4830" t="s">
        <v>3360</v>
      </c>
      <c r="C4830" t="s">
        <v>235</v>
      </c>
      <c r="D4830" t="s">
        <v>1273</v>
      </c>
      <c r="E4830" t="s">
        <v>559</v>
      </c>
      <c r="F4830" t="s">
        <v>1068</v>
      </c>
      <c r="G4830" t="s">
        <v>1087</v>
      </c>
      <c r="H4830" s="171" t="s">
        <v>3362</v>
      </c>
      <c r="I4830" t="s">
        <v>1088</v>
      </c>
      <c r="J4830">
        <v>7.89</v>
      </c>
    </row>
    <row r="4831" spans="1:10" hidden="1">
      <c r="A4831" t="s">
        <v>3359</v>
      </c>
      <c r="B4831" t="s">
        <v>3360</v>
      </c>
      <c r="C4831" t="s">
        <v>235</v>
      </c>
      <c r="D4831" t="s">
        <v>1273</v>
      </c>
      <c r="E4831" t="s">
        <v>559</v>
      </c>
      <c r="F4831" t="s">
        <v>1068</v>
      </c>
      <c r="G4831" t="s">
        <v>1089</v>
      </c>
      <c r="H4831" s="170">
        <v>-1.15115496558585E-6</v>
      </c>
      <c r="I4831" t="s">
        <v>1090</v>
      </c>
      <c r="J4831">
        <v>7.89</v>
      </c>
    </row>
    <row r="4832" spans="1:10" hidden="1">
      <c r="A4832" t="s">
        <v>3363</v>
      </c>
      <c r="B4832" t="s">
        <v>3364</v>
      </c>
      <c r="C4832" t="s">
        <v>235</v>
      </c>
      <c r="D4832" t="s">
        <v>1273</v>
      </c>
      <c r="E4832" t="s">
        <v>560</v>
      </c>
      <c r="F4832" t="s">
        <v>1068</v>
      </c>
      <c r="G4832" t="s">
        <v>1069</v>
      </c>
      <c r="H4832">
        <v>-2.3318875861771698E-2</v>
      </c>
      <c r="I4832" t="s">
        <v>1070</v>
      </c>
      <c r="J4832">
        <v>7.45</v>
      </c>
    </row>
    <row r="4833" spans="1:10" hidden="1">
      <c r="A4833" t="s">
        <v>3363</v>
      </c>
      <c r="B4833" t="s">
        <v>3364</v>
      </c>
      <c r="C4833" t="s">
        <v>235</v>
      </c>
      <c r="D4833" t="s">
        <v>1273</v>
      </c>
      <c r="E4833" t="s">
        <v>560</v>
      </c>
      <c r="F4833" t="s">
        <v>1068</v>
      </c>
      <c r="G4833" t="s">
        <v>1071</v>
      </c>
      <c r="H4833" s="170">
        <v>-1.02204688412613E-10</v>
      </c>
      <c r="I4833" t="s">
        <v>1072</v>
      </c>
      <c r="J4833">
        <v>7.45</v>
      </c>
    </row>
    <row r="4834" spans="1:10" hidden="1">
      <c r="A4834" t="s">
        <v>3363</v>
      </c>
      <c r="B4834" t="s">
        <v>3364</v>
      </c>
      <c r="C4834" t="s">
        <v>235</v>
      </c>
      <c r="D4834" t="s">
        <v>1273</v>
      </c>
      <c r="E4834" t="s">
        <v>560</v>
      </c>
      <c r="F4834" t="s">
        <v>1068</v>
      </c>
      <c r="G4834" t="s">
        <v>1073</v>
      </c>
      <c r="H4834" s="170">
        <v>-5.4961500222958203E-9</v>
      </c>
      <c r="I4834" t="s">
        <v>1074</v>
      </c>
      <c r="J4834">
        <v>7.45</v>
      </c>
    </row>
    <row r="4835" spans="1:10" hidden="1">
      <c r="A4835" t="s">
        <v>3363</v>
      </c>
      <c r="B4835" t="s">
        <v>3364</v>
      </c>
      <c r="C4835" t="s">
        <v>235</v>
      </c>
      <c r="D4835" t="s">
        <v>1273</v>
      </c>
      <c r="E4835" t="s">
        <v>560</v>
      </c>
      <c r="F4835" t="s">
        <v>1068</v>
      </c>
      <c r="G4835" t="s">
        <v>1075</v>
      </c>
      <c r="H4835">
        <v>1.0340934386720299E-3</v>
      </c>
      <c r="I4835" t="s">
        <v>1077</v>
      </c>
      <c r="J4835">
        <v>7.45</v>
      </c>
    </row>
    <row r="4836" spans="1:10" hidden="1">
      <c r="A4836" t="s">
        <v>3363</v>
      </c>
      <c r="B4836" t="s">
        <v>3364</v>
      </c>
      <c r="C4836" t="s">
        <v>235</v>
      </c>
      <c r="D4836" t="s">
        <v>1273</v>
      </c>
      <c r="E4836" t="s">
        <v>560</v>
      </c>
      <c r="F4836" t="s">
        <v>1068</v>
      </c>
      <c r="G4836" t="s">
        <v>1078</v>
      </c>
      <c r="H4836">
        <v>-0.18154819694188001</v>
      </c>
      <c r="I4836" t="s">
        <v>1079</v>
      </c>
      <c r="J4836">
        <v>7.45</v>
      </c>
    </row>
    <row r="4837" spans="1:10" hidden="1">
      <c r="A4837" t="s">
        <v>3363</v>
      </c>
      <c r="B4837" t="s">
        <v>3364</v>
      </c>
      <c r="C4837" t="s">
        <v>235</v>
      </c>
      <c r="D4837" t="s">
        <v>1273</v>
      </c>
      <c r="E4837" t="s">
        <v>560</v>
      </c>
      <c r="F4837" t="s">
        <v>1068</v>
      </c>
      <c r="G4837" t="s">
        <v>1080</v>
      </c>
      <c r="H4837" s="171" t="s">
        <v>3365</v>
      </c>
      <c r="I4837" t="s">
        <v>1082</v>
      </c>
      <c r="J4837">
        <v>7.45</v>
      </c>
    </row>
    <row r="4838" spans="1:10" hidden="1">
      <c r="A4838" t="s">
        <v>3363</v>
      </c>
      <c r="B4838" t="s">
        <v>3364</v>
      </c>
      <c r="C4838" t="s">
        <v>235</v>
      </c>
      <c r="D4838" t="s">
        <v>1273</v>
      </c>
      <c r="E4838" t="s">
        <v>560</v>
      </c>
      <c r="F4838" t="s">
        <v>1068</v>
      </c>
      <c r="G4838" t="s">
        <v>1083</v>
      </c>
      <c r="H4838" s="170">
        <v>-1.0288806355033299E-5</v>
      </c>
      <c r="I4838" t="s">
        <v>1084</v>
      </c>
      <c r="J4838">
        <v>7.45</v>
      </c>
    </row>
    <row r="4839" spans="1:10" hidden="1">
      <c r="A4839" t="s">
        <v>3363</v>
      </c>
      <c r="B4839" t="s">
        <v>3364</v>
      </c>
      <c r="C4839" t="s">
        <v>235</v>
      </c>
      <c r="D4839" t="s">
        <v>1273</v>
      </c>
      <c r="E4839" t="s">
        <v>560</v>
      </c>
      <c r="F4839" t="s">
        <v>1068</v>
      </c>
      <c r="G4839" t="s">
        <v>1085</v>
      </c>
      <c r="H4839" s="170">
        <v>-6.4730743666797398E-5</v>
      </c>
      <c r="I4839" t="s">
        <v>1086</v>
      </c>
      <c r="J4839">
        <v>7.45</v>
      </c>
    </row>
    <row r="4840" spans="1:10" hidden="1">
      <c r="A4840" t="s">
        <v>3363</v>
      </c>
      <c r="B4840" t="s">
        <v>3364</v>
      </c>
      <c r="C4840" t="s">
        <v>235</v>
      </c>
      <c r="D4840" t="s">
        <v>1273</v>
      </c>
      <c r="E4840" t="s">
        <v>560</v>
      </c>
      <c r="F4840" t="s">
        <v>1068</v>
      </c>
      <c r="G4840" t="s">
        <v>1087</v>
      </c>
      <c r="H4840" s="171" t="s">
        <v>3366</v>
      </c>
      <c r="I4840" t="s">
        <v>1088</v>
      </c>
      <c r="J4840">
        <v>7.45</v>
      </c>
    </row>
    <row r="4841" spans="1:10" hidden="1">
      <c r="A4841" t="s">
        <v>3363</v>
      </c>
      <c r="B4841" t="s">
        <v>3364</v>
      </c>
      <c r="C4841" t="s">
        <v>235</v>
      </c>
      <c r="D4841" t="s">
        <v>1273</v>
      </c>
      <c r="E4841" t="s">
        <v>560</v>
      </c>
      <c r="F4841" t="s">
        <v>1068</v>
      </c>
      <c r="G4841" t="s">
        <v>1089</v>
      </c>
      <c r="H4841" s="170">
        <v>-6.6813477074505095E-7</v>
      </c>
      <c r="I4841" t="s">
        <v>1090</v>
      </c>
      <c r="J4841">
        <v>7.45</v>
      </c>
    </row>
    <row r="4842" spans="1:10" hidden="1">
      <c r="A4842" t="s">
        <v>3367</v>
      </c>
      <c r="B4842" t="s">
        <v>3368</v>
      </c>
      <c r="C4842" t="s">
        <v>235</v>
      </c>
      <c r="D4842" t="s">
        <v>1273</v>
      </c>
      <c r="E4842" t="s">
        <v>1116</v>
      </c>
      <c r="F4842" t="s">
        <v>1068</v>
      </c>
      <c r="G4842" t="s">
        <v>1069</v>
      </c>
      <c r="H4842">
        <v>-1.7042228169818801E-2</v>
      </c>
      <c r="I4842" t="s">
        <v>1070</v>
      </c>
      <c r="J4842">
        <v>7.73</v>
      </c>
    </row>
    <row r="4843" spans="1:10" hidden="1">
      <c r="A4843" t="s">
        <v>3367</v>
      </c>
      <c r="B4843" t="s">
        <v>3368</v>
      </c>
      <c r="C4843" t="s">
        <v>235</v>
      </c>
      <c r="D4843" t="s">
        <v>1273</v>
      </c>
      <c r="E4843" t="s">
        <v>1116</v>
      </c>
      <c r="F4843" t="s">
        <v>1068</v>
      </c>
      <c r="G4843" t="s">
        <v>1071</v>
      </c>
      <c r="H4843" s="170">
        <v>-9.3222734156732596E-11</v>
      </c>
      <c r="I4843" t="s">
        <v>1072</v>
      </c>
      <c r="J4843">
        <v>7.73</v>
      </c>
    </row>
    <row r="4844" spans="1:10" hidden="1">
      <c r="A4844" t="s">
        <v>3367</v>
      </c>
      <c r="B4844" t="s">
        <v>3368</v>
      </c>
      <c r="C4844" t="s">
        <v>235</v>
      </c>
      <c r="D4844" t="s">
        <v>1273</v>
      </c>
      <c r="E4844" t="s">
        <v>1116</v>
      </c>
      <c r="F4844" t="s">
        <v>1068</v>
      </c>
      <c r="G4844" t="s">
        <v>1073</v>
      </c>
      <c r="H4844" s="170">
        <v>-3.2666649015916902E-9</v>
      </c>
      <c r="I4844" t="s">
        <v>1074</v>
      </c>
      <c r="J4844">
        <v>7.73</v>
      </c>
    </row>
    <row r="4845" spans="1:10" hidden="1">
      <c r="A4845" t="s">
        <v>3367</v>
      </c>
      <c r="B4845" t="s">
        <v>3368</v>
      </c>
      <c r="C4845" t="s">
        <v>235</v>
      </c>
      <c r="D4845" t="s">
        <v>1273</v>
      </c>
      <c r="E4845" t="s">
        <v>1116</v>
      </c>
      <c r="F4845" t="s">
        <v>1068</v>
      </c>
      <c r="G4845" t="s">
        <v>1075</v>
      </c>
      <c r="H4845">
        <v>1.23250497736578E-3</v>
      </c>
      <c r="I4845" t="s">
        <v>1077</v>
      </c>
      <c r="J4845">
        <v>7.73</v>
      </c>
    </row>
    <row r="4846" spans="1:10" hidden="1">
      <c r="A4846" t="s">
        <v>3367</v>
      </c>
      <c r="B4846" t="s">
        <v>3368</v>
      </c>
      <c r="C4846" t="s">
        <v>235</v>
      </c>
      <c r="D4846" t="s">
        <v>1273</v>
      </c>
      <c r="E4846" t="s">
        <v>1116</v>
      </c>
      <c r="F4846" t="s">
        <v>1068</v>
      </c>
      <c r="G4846" t="s">
        <v>1078</v>
      </c>
      <c r="H4846">
        <v>-0.17296811665727099</v>
      </c>
      <c r="I4846" t="s">
        <v>1079</v>
      </c>
      <c r="J4846">
        <v>7.73</v>
      </c>
    </row>
    <row r="4847" spans="1:10" hidden="1">
      <c r="A4847" t="s">
        <v>3367</v>
      </c>
      <c r="B4847" t="s">
        <v>3368</v>
      </c>
      <c r="C4847" t="s">
        <v>235</v>
      </c>
      <c r="D4847" t="s">
        <v>1273</v>
      </c>
      <c r="E4847" t="s">
        <v>1116</v>
      </c>
      <c r="F4847" t="s">
        <v>1068</v>
      </c>
      <c r="G4847" t="s">
        <v>1080</v>
      </c>
      <c r="H4847" s="171" t="s">
        <v>3369</v>
      </c>
      <c r="I4847" t="s">
        <v>1082</v>
      </c>
      <c r="J4847">
        <v>7.73</v>
      </c>
    </row>
    <row r="4848" spans="1:10" hidden="1">
      <c r="A4848" t="s">
        <v>3367</v>
      </c>
      <c r="B4848" t="s">
        <v>3368</v>
      </c>
      <c r="C4848" t="s">
        <v>235</v>
      </c>
      <c r="D4848" t="s">
        <v>1273</v>
      </c>
      <c r="E4848" t="s">
        <v>1116</v>
      </c>
      <c r="F4848" t="s">
        <v>1068</v>
      </c>
      <c r="G4848" t="s">
        <v>1083</v>
      </c>
      <c r="H4848" s="170">
        <v>-9.3347518419814902E-6</v>
      </c>
      <c r="I4848" t="s">
        <v>1084</v>
      </c>
      <c r="J4848">
        <v>7.73</v>
      </c>
    </row>
    <row r="4849" spans="1:10" hidden="1">
      <c r="A4849" t="s">
        <v>3367</v>
      </c>
      <c r="B4849" t="s">
        <v>3368</v>
      </c>
      <c r="C4849" t="s">
        <v>235</v>
      </c>
      <c r="D4849" t="s">
        <v>1273</v>
      </c>
      <c r="E4849" t="s">
        <v>1116</v>
      </c>
      <c r="F4849" t="s">
        <v>1068</v>
      </c>
      <c r="G4849" t="s">
        <v>1085</v>
      </c>
      <c r="H4849" s="170">
        <v>-5.3947991345883202E-5</v>
      </c>
      <c r="I4849" t="s">
        <v>1086</v>
      </c>
      <c r="J4849">
        <v>7.73</v>
      </c>
    </row>
    <row r="4850" spans="1:10" hidden="1">
      <c r="A4850" t="s">
        <v>3367</v>
      </c>
      <c r="B4850" t="s">
        <v>3368</v>
      </c>
      <c r="C4850" t="s">
        <v>235</v>
      </c>
      <c r="D4850" t="s">
        <v>1273</v>
      </c>
      <c r="E4850" t="s">
        <v>1116</v>
      </c>
      <c r="F4850" t="s">
        <v>1068</v>
      </c>
      <c r="G4850" t="s">
        <v>1087</v>
      </c>
      <c r="H4850" s="171" t="s">
        <v>3370</v>
      </c>
      <c r="I4850" t="s">
        <v>1088</v>
      </c>
      <c r="J4850">
        <v>7.73</v>
      </c>
    </row>
    <row r="4851" spans="1:10" hidden="1">
      <c r="A4851" t="s">
        <v>3367</v>
      </c>
      <c r="B4851" t="s">
        <v>3368</v>
      </c>
      <c r="C4851" t="s">
        <v>235</v>
      </c>
      <c r="D4851" t="s">
        <v>1273</v>
      </c>
      <c r="E4851" t="s">
        <v>1116</v>
      </c>
      <c r="F4851" t="s">
        <v>1068</v>
      </c>
      <c r="G4851" t="s">
        <v>1089</v>
      </c>
      <c r="H4851" s="171" t="s">
        <v>3371</v>
      </c>
      <c r="I4851" t="s">
        <v>1090</v>
      </c>
      <c r="J4851">
        <v>7.73</v>
      </c>
    </row>
    <row r="4852" spans="1:10" hidden="1">
      <c r="A4852" t="s">
        <v>3372</v>
      </c>
      <c r="B4852" t="s">
        <v>3373</v>
      </c>
      <c r="C4852" t="s">
        <v>235</v>
      </c>
      <c r="D4852" t="s">
        <v>3374</v>
      </c>
      <c r="E4852" t="s">
        <v>561</v>
      </c>
      <c r="F4852" t="s">
        <v>1068</v>
      </c>
      <c r="G4852" t="s">
        <v>1069</v>
      </c>
      <c r="H4852">
        <v>7.13365906253631E-2</v>
      </c>
      <c r="I4852" t="s">
        <v>1070</v>
      </c>
      <c r="J4852">
        <v>8.52</v>
      </c>
    </row>
    <row r="4853" spans="1:10" hidden="1">
      <c r="A4853" t="s">
        <v>3372</v>
      </c>
      <c r="B4853" t="s">
        <v>3373</v>
      </c>
      <c r="C4853" t="s">
        <v>235</v>
      </c>
      <c r="D4853" t="s">
        <v>3374</v>
      </c>
      <c r="E4853" t="s">
        <v>561</v>
      </c>
      <c r="F4853" t="s">
        <v>1068</v>
      </c>
      <c r="G4853" t="s">
        <v>1071</v>
      </c>
      <c r="H4853" s="171" t="s">
        <v>3375</v>
      </c>
      <c r="I4853" t="s">
        <v>1072</v>
      </c>
      <c r="J4853">
        <v>8.52</v>
      </c>
    </row>
    <row r="4854" spans="1:10" hidden="1">
      <c r="A4854" t="s">
        <v>3372</v>
      </c>
      <c r="B4854" t="s">
        <v>3373</v>
      </c>
      <c r="C4854" t="s">
        <v>235</v>
      </c>
      <c r="D4854" t="s">
        <v>3374</v>
      </c>
      <c r="E4854" t="s">
        <v>561</v>
      </c>
      <c r="F4854" t="s">
        <v>1068</v>
      </c>
      <c r="G4854" t="s">
        <v>1073</v>
      </c>
      <c r="H4854" s="171" t="s">
        <v>3376</v>
      </c>
      <c r="I4854" t="s">
        <v>1074</v>
      </c>
      <c r="J4854">
        <v>8.52</v>
      </c>
    </row>
    <row r="4855" spans="1:10" hidden="1">
      <c r="A4855" t="s">
        <v>3372</v>
      </c>
      <c r="B4855" t="s">
        <v>3373</v>
      </c>
      <c r="C4855" t="s">
        <v>235</v>
      </c>
      <c r="D4855" t="s">
        <v>3374</v>
      </c>
      <c r="E4855" t="s">
        <v>561</v>
      </c>
      <c r="F4855" t="s">
        <v>1068</v>
      </c>
      <c r="G4855" t="s">
        <v>1075</v>
      </c>
      <c r="H4855">
        <v>3.4708059062733901E-3</v>
      </c>
      <c r="I4855" t="s">
        <v>1077</v>
      </c>
      <c r="J4855">
        <v>8.52</v>
      </c>
    </row>
    <row r="4856" spans="1:10" hidden="1">
      <c r="A4856" t="s">
        <v>3372</v>
      </c>
      <c r="B4856" t="s">
        <v>3373</v>
      </c>
      <c r="C4856" t="s">
        <v>235</v>
      </c>
      <c r="D4856" t="s">
        <v>3374</v>
      </c>
      <c r="E4856" t="s">
        <v>561</v>
      </c>
      <c r="F4856" t="s">
        <v>1068</v>
      </c>
      <c r="G4856" t="s">
        <v>1078</v>
      </c>
      <c r="H4856" s="171" t="s">
        <v>3377</v>
      </c>
      <c r="I4856" t="s">
        <v>1079</v>
      </c>
      <c r="J4856">
        <v>8.52</v>
      </c>
    </row>
    <row r="4857" spans="1:10" hidden="1">
      <c r="A4857" t="s">
        <v>3372</v>
      </c>
      <c r="B4857" t="s">
        <v>3373</v>
      </c>
      <c r="C4857" t="s">
        <v>235</v>
      </c>
      <c r="D4857" t="s">
        <v>3374</v>
      </c>
      <c r="E4857" t="s">
        <v>561</v>
      </c>
      <c r="F4857" t="s">
        <v>1068</v>
      </c>
      <c r="G4857" t="s">
        <v>1080</v>
      </c>
      <c r="H4857" s="171" t="s">
        <v>3378</v>
      </c>
      <c r="I4857" t="s">
        <v>1082</v>
      </c>
      <c r="J4857">
        <v>8.52</v>
      </c>
    </row>
    <row r="4858" spans="1:10" hidden="1">
      <c r="A4858" t="s">
        <v>3372</v>
      </c>
      <c r="B4858" t="s">
        <v>3373</v>
      </c>
      <c r="C4858" t="s">
        <v>235</v>
      </c>
      <c r="D4858" t="s">
        <v>3374</v>
      </c>
      <c r="E4858" t="s">
        <v>561</v>
      </c>
      <c r="F4858" t="s">
        <v>1068</v>
      </c>
      <c r="G4858" t="s">
        <v>1083</v>
      </c>
      <c r="H4858" s="171" t="s">
        <v>3379</v>
      </c>
      <c r="I4858" t="s">
        <v>1084</v>
      </c>
      <c r="J4858">
        <v>8.52</v>
      </c>
    </row>
    <row r="4859" spans="1:10" hidden="1">
      <c r="A4859" t="s">
        <v>3372</v>
      </c>
      <c r="B4859" t="s">
        <v>3373</v>
      </c>
      <c r="C4859" t="s">
        <v>235</v>
      </c>
      <c r="D4859" t="s">
        <v>3374</v>
      </c>
      <c r="E4859" t="s">
        <v>561</v>
      </c>
      <c r="F4859" t="s">
        <v>1068</v>
      </c>
      <c r="G4859" t="s">
        <v>1085</v>
      </c>
      <c r="H4859" s="171" t="s">
        <v>3380</v>
      </c>
      <c r="I4859" t="s">
        <v>1086</v>
      </c>
      <c r="J4859">
        <v>8.52</v>
      </c>
    </row>
    <row r="4860" spans="1:10" hidden="1">
      <c r="A4860" t="s">
        <v>3372</v>
      </c>
      <c r="B4860" t="s">
        <v>3373</v>
      </c>
      <c r="C4860" t="s">
        <v>235</v>
      </c>
      <c r="D4860" t="s">
        <v>3374</v>
      </c>
      <c r="E4860" t="s">
        <v>561</v>
      </c>
      <c r="F4860" t="s">
        <v>1068</v>
      </c>
      <c r="G4860" t="s">
        <v>1087</v>
      </c>
      <c r="H4860" s="171" t="s">
        <v>3381</v>
      </c>
      <c r="I4860" t="s">
        <v>1088</v>
      </c>
      <c r="J4860">
        <v>8.52</v>
      </c>
    </row>
    <row r="4861" spans="1:10" hidden="1">
      <c r="A4861" t="s">
        <v>3372</v>
      </c>
      <c r="B4861" t="s">
        <v>3373</v>
      </c>
      <c r="C4861" t="s">
        <v>235</v>
      </c>
      <c r="D4861" t="s">
        <v>3374</v>
      </c>
      <c r="E4861" t="s">
        <v>561</v>
      </c>
      <c r="F4861" t="s">
        <v>1068</v>
      </c>
      <c r="G4861" t="s">
        <v>1089</v>
      </c>
      <c r="H4861" s="171" t="s">
        <v>3382</v>
      </c>
      <c r="I4861" t="s">
        <v>1090</v>
      </c>
      <c r="J4861">
        <v>8.52</v>
      </c>
    </row>
    <row r="4862" spans="1:10" hidden="1">
      <c r="A4862" t="s">
        <v>3383</v>
      </c>
      <c r="B4862" t="s">
        <v>3384</v>
      </c>
      <c r="C4862" t="s">
        <v>235</v>
      </c>
      <c r="D4862" t="s">
        <v>3374</v>
      </c>
      <c r="E4862" t="s">
        <v>555</v>
      </c>
      <c r="F4862" t="s">
        <v>1068</v>
      </c>
      <c r="G4862" t="s">
        <v>1069</v>
      </c>
      <c r="H4862">
        <v>7.1365401993504093E-2</v>
      </c>
      <c r="I4862" t="s">
        <v>1070</v>
      </c>
      <c r="J4862">
        <v>9.24</v>
      </c>
    </row>
    <row r="4863" spans="1:10" hidden="1">
      <c r="A4863" t="s">
        <v>3383</v>
      </c>
      <c r="B4863" t="s">
        <v>3384</v>
      </c>
      <c r="C4863" t="s">
        <v>235</v>
      </c>
      <c r="D4863" t="s">
        <v>3374</v>
      </c>
      <c r="E4863" t="s">
        <v>555</v>
      </c>
      <c r="F4863" t="s">
        <v>1068</v>
      </c>
      <c r="G4863" t="s">
        <v>1071</v>
      </c>
      <c r="H4863" s="171" t="s">
        <v>3385</v>
      </c>
      <c r="I4863" t="s">
        <v>1072</v>
      </c>
      <c r="J4863">
        <v>9.24</v>
      </c>
    </row>
    <row r="4864" spans="1:10" hidden="1">
      <c r="A4864" t="s">
        <v>3383</v>
      </c>
      <c r="B4864" t="s">
        <v>3384</v>
      </c>
      <c r="C4864" t="s">
        <v>235</v>
      </c>
      <c r="D4864" t="s">
        <v>3374</v>
      </c>
      <c r="E4864" t="s">
        <v>555</v>
      </c>
      <c r="F4864" t="s">
        <v>1068</v>
      </c>
      <c r="G4864" t="s">
        <v>1073</v>
      </c>
      <c r="H4864" s="171" t="s">
        <v>3386</v>
      </c>
      <c r="I4864" t="s">
        <v>1074</v>
      </c>
      <c r="J4864">
        <v>9.24</v>
      </c>
    </row>
    <row r="4865" spans="1:10" hidden="1">
      <c r="A4865" t="s">
        <v>3383</v>
      </c>
      <c r="B4865" t="s">
        <v>3384</v>
      </c>
      <c r="C4865" t="s">
        <v>235</v>
      </c>
      <c r="D4865" t="s">
        <v>3374</v>
      </c>
      <c r="E4865" t="s">
        <v>555</v>
      </c>
      <c r="F4865" t="s">
        <v>1068</v>
      </c>
      <c r="G4865" t="s">
        <v>1075</v>
      </c>
      <c r="H4865">
        <v>3.4712821136651498E-3</v>
      </c>
      <c r="I4865" t="s">
        <v>1077</v>
      </c>
      <c r="J4865">
        <v>9.24</v>
      </c>
    </row>
    <row r="4866" spans="1:10" hidden="1">
      <c r="A4866" t="s">
        <v>3383</v>
      </c>
      <c r="B4866" t="s">
        <v>3384</v>
      </c>
      <c r="C4866" t="s">
        <v>235</v>
      </c>
      <c r="D4866" t="s">
        <v>3374</v>
      </c>
      <c r="E4866" t="s">
        <v>555</v>
      </c>
      <c r="F4866" t="s">
        <v>1068</v>
      </c>
      <c r="G4866" t="s">
        <v>1078</v>
      </c>
      <c r="H4866">
        <v>2.60428875296266E-2</v>
      </c>
      <c r="I4866" t="s">
        <v>1079</v>
      </c>
      <c r="J4866">
        <v>9.24</v>
      </c>
    </row>
    <row r="4867" spans="1:10" hidden="1">
      <c r="A4867" t="s">
        <v>3383</v>
      </c>
      <c r="B4867" t="s">
        <v>3384</v>
      </c>
      <c r="C4867" t="s">
        <v>235</v>
      </c>
      <c r="D4867" t="s">
        <v>3374</v>
      </c>
      <c r="E4867" t="s">
        <v>555</v>
      </c>
      <c r="F4867" t="s">
        <v>1068</v>
      </c>
      <c r="G4867" t="s">
        <v>1080</v>
      </c>
      <c r="H4867" s="171" t="s">
        <v>3387</v>
      </c>
      <c r="I4867" t="s">
        <v>1082</v>
      </c>
      <c r="J4867">
        <v>9.24</v>
      </c>
    </row>
    <row r="4868" spans="1:10" hidden="1">
      <c r="A4868" t="s">
        <v>3383</v>
      </c>
      <c r="B4868" t="s">
        <v>3384</v>
      </c>
      <c r="C4868" t="s">
        <v>235</v>
      </c>
      <c r="D4868" t="s">
        <v>3374</v>
      </c>
      <c r="E4868" t="s">
        <v>555</v>
      </c>
      <c r="F4868" t="s">
        <v>1068</v>
      </c>
      <c r="G4868" t="s">
        <v>1083</v>
      </c>
      <c r="H4868" s="171" t="s">
        <v>3388</v>
      </c>
      <c r="I4868" t="s">
        <v>1084</v>
      </c>
      <c r="J4868">
        <v>9.24</v>
      </c>
    </row>
    <row r="4869" spans="1:10" hidden="1">
      <c r="A4869" t="s">
        <v>3383</v>
      </c>
      <c r="B4869" t="s">
        <v>3384</v>
      </c>
      <c r="C4869" t="s">
        <v>235</v>
      </c>
      <c r="D4869" t="s">
        <v>3374</v>
      </c>
      <c r="E4869" t="s">
        <v>555</v>
      </c>
      <c r="F4869" t="s">
        <v>1068</v>
      </c>
      <c r="G4869" t="s">
        <v>1085</v>
      </c>
      <c r="H4869" s="171" t="s">
        <v>3389</v>
      </c>
      <c r="I4869" t="s">
        <v>1086</v>
      </c>
      <c r="J4869">
        <v>9.24</v>
      </c>
    </row>
    <row r="4870" spans="1:10" hidden="1">
      <c r="A4870" t="s">
        <v>3383</v>
      </c>
      <c r="B4870" t="s">
        <v>3384</v>
      </c>
      <c r="C4870" t="s">
        <v>235</v>
      </c>
      <c r="D4870" t="s">
        <v>3374</v>
      </c>
      <c r="E4870" t="s">
        <v>555</v>
      </c>
      <c r="F4870" t="s">
        <v>1068</v>
      </c>
      <c r="G4870" t="s">
        <v>1087</v>
      </c>
      <c r="H4870" s="171" t="s">
        <v>3390</v>
      </c>
      <c r="I4870" t="s">
        <v>1088</v>
      </c>
      <c r="J4870">
        <v>9.24</v>
      </c>
    </row>
    <row r="4871" spans="1:10" hidden="1">
      <c r="A4871" t="s">
        <v>3383</v>
      </c>
      <c r="B4871" t="s">
        <v>3384</v>
      </c>
      <c r="C4871" t="s">
        <v>235</v>
      </c>
      <c r="D4871" t="s">
        <v>3374</v>
      </c>
      <c r="E4871" t="s">
        <v>555</v>
      </c>
      <c r="F4871" t="s">
        <v>1068</v>
      </c>
      <c r="G4871" t="s">
        <v>1089</v>
      </c>
      <c r="H4871" s="171" t="s">
        <v>3391</v>
      </c>
      <c r="I4871" t="s">
        <v>1090</v>
      </c>
      <c r="J4871">
        <v>9.24</v>
      </c>
    </row>
    <row r="4872" spans="1:10" hidden="1">
      <c r="A4872" t="s">
        <v>3392</v>
      </c>
      <c r="B4872" t="s">
        <v>3393</v>
      </c>
      <c r="C4872" t="s">
        <v>235</v>
      </c>
      <c r="D4872" t="s">
        <v>3374</v>
      </c>
      <c r="E4872" t="s">
        <v>558</v>
      </c>
      <c r="F4872" t="s">
        <v>1068</v>
      </c>
      <c r="G4872" t="s">
        <v>1069</v>
      </c>
      <c r="H4872">
        <v>7.1335329851417703E-2</v>
      </c>
      <c r="I4872" t="s">
        <v>1070</v>
      </c>
      <c r="J4872">
        <v>8.39</v>
      </c>
    </row>
    <row r="4873" spans="1:10" hidden="1">
      <c r="A4873" t="s">
        <v>3392</v>
      </c>
      <c r="B4873" t="s">
        <v>3393</v>
      </c>
      <c r="C4873" t="s">
        <v>235</v>
      </c>
      <c r="D4873" t="s">
        <v>3374</v>
      </c>
      <c r="E4873" t="s">
        <v>558</v>
      </c>
      <c r="F4873" t="s">
        <v>1068</v>
      </c>
      <c r="G4873" t="s">
        <v>1071</v>
      </c>
      <c r="H4873" s="171" t="s">
        <v>3394</v>
      </c>
      <c r="I4873" t="s">
        <v>1072</v>
      </c>
      <c r="J4873">
        <v>8.39</v>
      </c>
    </row>
    <row r="4874" spans="1:10" hidden="1">
      <c r="A4874" t="s">
        <v>3392</v>
      </c>
      <c r="B4874" t="s">
        <v>3393</v>
      </c>
      <c r="C4874" t="s">
        <v>235</v>
      </c>
      <c r="D4874" t="s">
        <v>3374</v>
      </c>
      <c r="E4874" t="s">
        <v>558</v>
      </c>
      <c r="F4874" t="s">
        <v>1068</v>
      </c>
      <c r="G4874" t="s">
        <v>1073</v>
      </c>
      <c r="H4874" s="171" t="s">
        <v>3395</v>
      </c>
      <c r="I4874" t="s">
        <v>1074</v>
      </c>
      <c r="J4874">
        <v>8.39</v>
      </c>
    </row>
    <row r="4875" spans="1:10" hidden="1">
      <c r="A4875" t="s">
        <v>3392</v>
      </c>
      <c r="B4875" t="s">
        <v>3393</v>
      </c>
      <c r="C4875" t="s">
        <v>235</v>
      </c>
      <c r="D4875" t="s">
        <v>3374</v>
      </c>
      <c r="E4875" t="s">
        <v>558</v>
      </c>
      <c r="F4875" t="s">
        <v>1068</v>
      </c>
      <c r="G4875" t="s">
        <v>1075</v>
      </c>
      <c r="H4875">
        <v>3.4707660518621302E-3</v>
      </c>
      <c r="I4875" t="s">
        <v>1077</v>
      </c>
      <c r="J4875">
        <v>8.39</v>
      </c>
    </row>
    <row r="4876" spans="1:10" hidden="1">
      <c r="A4876" t="s">
        <v>3392</v>
      </c>
      <c r="B4876" t="s">
        <v>3393</v>
      </c>
      <c r="C4876" t="s">
        <v>235</v>
      </c>
      <c r="D4876" t="s">
        <v>3374</v>
      </c>
      <c r="E4876" t="s">
        <v>558</v>
      </c>
      <c r="F4876" t="s">
        <v>1068</v>
      </c>
      <c r="G4876" t="s">
        <v>1078</v>
      </c>
      <c r="H4876">
        <v>2.6020575147430499E-2</v>
      </c>
      <c r="I4876" t="s">
        <v>1079</v>
      </c>
      <c r="J4876">
        <v>8.39</v>
      </c>
    </row>
    <row r="4877" spans="1:10" hidden="1">
      <c r="A4877" t="s">
        <v>3392</v>
      </c>
      <c r="B4877" t="s">
        <v>3393</v>
      </c>
      <c r="C4877" t="s">
        <v>235</v>
      </c>
      <c r="D4877" t="s">
        <v>3374</v>
      </c>
      <c r="E4877" t="s">
        <v>558</v>
      </c>
      <c r="F4877" t="s">
        <v>1068</v>
      </c>
      <c r="G4877" t="s">
        <v>1080</v>
      </c>
      <c r="H4877" s="171" t="s">
        <v>3396</v>
      </c>
      <c r="I4877" t="s">
        <v>1082</v>
      </c>
      <c r="J4877">
        <v>8.39</v>
      </c>
    </row>
    <row r="4878" spans="1:10" hidden="1">
      <c r="A4878" t="s">
        <v>3392</v>
      </c>
      <c r="B4878" t="s">
        <v>3393</v>
      </c>
      <c r="C4878" t="s">
        <v>235</v>
      </c>
      <c r="D4878" t="s">
        <v>3374</v>
      </c>
      <c r="E4878" t="s">
        <v>558</v>
      </c>
      <c r="F4878" t="s">
        <v>1068</v>
      </c>
      <c r="G4878" t="s">
        <v>1083</v>
      </c>
      <c r="H4878" s="171" t="s">
        <v>3397</v>
      </c>
      <c r="I4878" t="s">
        <v>1084</v>
      </c>
      <c r="J4878">
        <v>8.39</v>
      </c>
    </row>
    <row r="4879" spans="1:10" hidden="1">
      <c r="A4879" t="s">
        <v>3392</v>
      </c>
      <c r="B4879" t="s">
        <v>3393</v>
      </c>
      <c r="C4879" t="s">
        <v>235</v>
      </c>
      <c r="D4879" t="s">
        <v>3374</v>
      </c>
      <c r="E4879" t="s">
        <v>558</v>
      </c>
      <c r="F4879" t="s">
        <v>1068</v>
      </c>
      <c r="G4879" t="s">
        <v>1085</v>
      </c>
      <c r="H4879" s="171" t="s">
        <v>3398</v>
      </c>
      <c r="I4879" t="s">
        <v>1086</v>
      </c>
      <c r="J4879">
        <v>8.39</v>
      </c>
    </row>
    <row r="4880" spans="1:10" hidden="1">
      <c r="A4880" t="s">
        <v>3392</v>
      </c>
      <c r="B4880" t="s">
        <v>3393</v>
      </c>
      <c r="C4880" t="s">
        <v>235</v>
      </c>
      <c r="D4880" t="s">
        <v>3374</v>
      </c>
      <c r="E4880" t="s">
        <v>558</v>
      </c>
      <c r="F4880" t="s">
        <v>1068</v>
      </c>
      <c r="G4880" t="s">
        <v>1087</v>
      </c>
      <c r="H4880" s="171" t="s">
        <v>3399</v>
      </c>
      <c r="I4880" t="s">
        <v>1088</v>
      </c>
      <c r="J4880">
        <v>8.39</v>
      </c>
    </row>
    <row r="4881" spans="1:10" hidden="1">
      <c r="A4881" t="s">
        <v>3392</v>
      </c>
      <c r="B4881" t="s">
        <v>3393</v>
      </c>
      <c r="C4881" t="s">
        <v>235</v>
      </c>
      <c r="D4881" t="s">
        <v>3374</v>
      </c>
      <c r="E4881" t="s">
        <v>558</v>
      </c>
      <c r="F4881" t="s">
        <v>1068</v>
      </c>
      <c r="G4881" t="s">
        <v>1089</v>
      </c>
      <c r="H4881" s="171" t="s">
        <v>3400</v>
      </c>
      <c r="I4881" t="s">
        <v>1090</v>
      </c>
      <c r="J4881">
        <v>8.39</v>
      </c>
    </row>
    <row r="4882" spans="1:10" hidden="1">
      <c r="A4882" t="s">
        <v>3401</v>
      </c>
      <c r="B4882" t="s">
        <v>3402</v>
      </c>
      <c r="C4882" t="s">
        <v>235</v>
      </c>
      <c r="D4882" t="s">
        <v>3374</v>
      </c>
      <c r="E4882" t="s">
        <v>553</v>
      </c>
      <c r="F4882" t="s">
        <v>1068</v>
      </c>
      <c r="G4882" t="s">
        <v>1069</v>
      </c>
      <c r="H4882">
        <v>7.1348565627746302E-2</v>
      </c>
      <c r="I4882" t="s">
        <v>1070</v>
      </c>
      <c r="J4882">
        <v>13.63</v>
      </c>
    </row>
    <row r="4883" spans="1:10" hidden="1">
      <c r="A4883" t="s">
        <v>3401</v>
      </c>
      <c r="B4883" t="s">
        <v>3402</v>
      </c>
      <c r="C4883" t="s">
        <v>235</v>
      </c>
      <c r="D4883" t="s">
        <v>3374</v>
      </c>
      <c r="E4883" t="s">
        <v>553</v>
      </c>
      <c r="F4883" t="s">
        <v>1068</v>
      </c>
      <c r="G4883" t="s">
        <v>1071</v>
      </c>
      <c r="H4883" s="171" t="s">
        <v>3403</v>
      </c>
      <c r="I4883" t="s">
        <v>1072</v>
      </c>
      <c r="J4883">
        <v>13.63</v>
      </c>
    </row>
    <row r="4884" spans="1:10" hidden="1">
      <c r="A4884" t="s">
        <v>3401</v>
      </c>
      <c r="B4884" t="s">
        <v>3402</v>
      </c>
      <c r="C4884" t="s">
        <v>235</v>
      </c>
      <c r="D4884" t="s">
        <v>3374</v>
      </c>
      <c r="E4884" t="s">
        <v>553</v>
      </c>
      <c r="F4884" t="s">
        <v>1068</v>
      </c>
      <c r="G4884" t="s">
        <v>1073</v>
      </c>
      <c r="H4884" s="171" t="s">
        <v>3404</v>
      </c>
      <c r="I4884" t="s">
        <v>1074</v>
      </c>
      <c r="J4884">
        <v>13.63</v>
      </c>
    </row>
    <row r="4885" spans="1:10" hidden="1">
      <c r="A4885" t="s">
        <v>3401</v>
      </c>
      <c r="B4885" t="s">
        <v>3402</v>
      </c>
      <c r="C4885" t="s">
        <v>235</v>
      </c>
      <c r="D4885" t="s">
        <v>3374</v>
      </c>
      <c r="E4885" t="s">
        <v>553</v>
      </c>
      <c r="F4885" t="s">
        <v>1068</v>
      </c>
      <c r="G4885" t="s">
        <v>1075</v>
      </c>
      <c r="H4885">
        <v>3.4707498981584998E-3</v>
      </c>
      <c r="I4885" t="s">
        <v>1077</v>
      </c>
      <c r="J4885">
        <v>13.63</v>
      </c>
    </row>
    <row r="4886" spans="1:10" hidden="1">
      <c r="A4886" t="s">
        <v>3401</v>
      </c>
      <c r="B4886" t="s">
        <v>3402</v>
      </c>
      <c r="C4886" t="s">
        <v>235</v>
      </c>
      <c r="D4886" t="s">
        <v>3374</v>
      </c>
      <c r="E4886" t="s">
        <v>553</v>
      </c>
      <c r="F4886" t="s">
        <v>1068</v>
      </c>
      <c r="G4886" t="s">
        <v>1078</v>
      </c>
      <c r="H4886" s="171" t="s">
        <v>3405</v>
      </c>
      <c r="I4886" t="s">
        <v>1079</v>
      </c>
      <c r="J4886">
        <v>13.63</v>
      </c>
    </row>
    <row r="4887" spans="1:10" hidden="1">
      <c r="A4887" t="s">
        <v>3401</v>
      </c>
      <c r="B4887" t="s">
        <v>3402</v>
      </c>
      <c r="C4887" t="s">
        <v>235</v>
      </c>
      <c r="D4887" t="s">
        <v>3374</v>
      </c>
      <c r="E4887" t="s">
        <v>553</v>
      </c>
      <c r="F4887" t="s">
        <v>1068</v>
      </c>
      <c r="G4887" t="s">
        <v>1080</v>
      </c>
      <c r="H4887" s="171" t="s">
        <v>3406</v>
      </c>
      <c r="I4887" t="s">
        <v>1082</v>
      </c>
      <c r="J4887">
        <v>13.63</v>
      </c>
    </row>
    <row r="4888" spans="1:10" hidden="1">
      <c r="A4888" t="s">
        <v>3401</v>
      </c>
      <c r="B4888" t="s">
        <v>3402</v>
      </c>
      <c r="C4888" t="s">
        <v>235</v>
      </c>
      <c r="D4888" t="s">
        <v>3374</v>
      </c>
      <c r="E4888" t="s">
        <v>553</v>
      </c>
      <c r="F4888" t="s">
        <v>1068</v>
      </c>
      <c r="G4888" t="s">
        <v>1083</v>
      </c>
      <c r="H4888" s="171" t="s">
        <v>3407</v>
      </c>
      <c r="I4888" t="s">
        <v>1084</v>
      </c>
      <c r="J4888">
        <v>13.63</v>
      </c>
    </row>
    <row r="4889" spans="1:10" hidden="1">
      <c r="A4889" t="s">
        <v>3401</v>
      </c>
      <c r="B4889" t="s">
        <v>3402</v>
      </c>
      <c r="C4889" t="s">
        <v>235</v>
      </c>
      <c r="D4889" t="s">
        <v>3374</v>
      </c>
      <c r="E4889" t="s">
        <v>553</v>
      </c>
      <c r="F4889" t="s">
        <v>1068</v>
      </c>
      <c r="G4889" t="s">
        <v>1085</v>
      </c>
      <c r="H4889" s="171" t="s">
        <v>3408</v>
      </c>
      <c r="I4889" t="s">
        <v>1086</v>
      </c>
      <c r="J4889">
        <v>13.63</v>
      </c>
    </row>
    <row r="4890" spans="1:10" hidden="1">
      <c r="A4890" t="s">
        <v>3401</v>
      </c>
      <c r="B4890" t="s">
        <v>3402</v>
      </c>
      <c r="C4890" t="s">
        <v>235</v>
      </c>
      <c r="D4890" t="s">
        <v>3374</v>
      </c>
      <c r="E4890" t="s">
        <v>553</v>
      </c>
      <c r="F4890" t="s">
        <v>1068</v>
      </c>
      <c r="G4890" t="s">
        <v>1087</v>
      </c>
      <c r="H4890" s="171" t="s">
        <v>3409</v>
      </c>
      <c r="I4890" t="s">
        <v>1088</v>
      </c>
      <c r="J4890">
        <v>13.63</v>
      </c>
    </row>
    <row r="4891" spans="1:10" hidden="1">
      <c r="A4891" t="s">
        <v>3401</v>
      </c>
      <c r="B4891" t="s">
        <v>3402</v>
      </c>
      <c r="C4891" t="s">
        <v>235</v>
      </c>
      <c r="D4891" t="s">
        <v>3374</v>
      </c>
      <c r="E4891" t="s">
        <v>553</v>
      </c>
      <c r="F4891" t="s">
        <v>1068</v>
      </c>
      <c r="G4891" t="s">
        <v>1089</v>
      </c>
      <c r="H4891" s="171" t="s">
        <v>3410</v>
      </c>
      <c r="I4891" t="s">
        <v>1090</v>
      </c>
      <c r="J4891">
        <v>13.63</v>
      </c>
    </row>
    <row r="4892" spans="1:10" hidden="1">
      <c r="A4892" t="s">
        <v>3411</v>
      </c>
      <c r="B4892" t="s">
        <v>3412</v>
      </c>
      <c r="C4892" t="s">
        <v>235</v>
      </c>
      <c r="D4892" t="s">
        <v>3374</v>
      </c>
      <c r="E4892" t="s">
        <v>556</v>
      </c>
      <c r="F4892" t="s">
        <v>1068</v>
      </c>
      <c r="G4892" t="s">
        <v>1069</v>
      </c>
      <c r="H4892">
        <v>7.1363819505592493E-2</v>
      </c>
      <c r="I4892" t="s">
        <v>1070</v>
      </c>
      <c r="J4892">
        <v>27.08</v>
      </c>
    </row>
    <row r="4893" spans="1:10" hidden="1">
      <c r="A4893" t="s">
        <v>3411</v>
      </c>
      <c r="B4893" t="s">
        <v>3412</v>
      </c>
      <c r="C4893" t="s">
        <v>235</v>
      </c>
      <c r="D4893" t="s">
        <v>3374</v>
      </c>
      <c r="E4893" t="s">
        <v>556</v>
      </c>
      <c r="F4893" t="s">
        <v>1068</v>
      </c>
      <c r="G4893" t="s">
        <v>1071</v>
      </c>
      <c r="H4893" s="171" t="s">
        <v>3413</v>
      </c>
      <c r="I4893" t="s">
        <v>1072</v>
      </c>
      <c r="J4893">
        <v>27.08</v>
      </c>
    </row>
    <row r="4894" spans="1:10" hidden="1">
      <c r="A4894" t="s">
        <v>3411</v>
      </c>
      <c r="B4894" t="s">
        <v>3412</v>
      </c>
      <c r="C4894" t="s">
        <v>235</v>
      </c>
      <c r="D4894" t="s">
        <v>3374</v>
      </c>
      <c r="E4894" t="s">
        <v>556</v>
      </c>
      <c r="F4894" t="s">
        <v>1068</v>
      </c>
      <c r="G4894" t="s">
        <v>1073</v>
      </c>
      <c r="H4894" s="171" t="s">
        <v>3414</v>
      </c>
      <c r="I4894" t="s">
        <v>1074</v>
      </c>
      <c r="J4894">
        <v>27.08</v>
      </c>
    </row>
    <row r="4895" spans="1:10" hidden="1">
      <c r="A4895" t="s">
        <v>3411</v>
      </c>
      <c r="B4895" t="s">
        <v>3412</v>
      </c>
      <c r="C4895" t="s">
        <v>235</v>
      </c>
      <c r="D4895" t="s">
        <v>3374</v>
      </c>
      <c r="E4895" t="s">
        <v>556</v>
      </c>
      <c r="F4895" t="s">
        <v>1068</v>
      </c>
      <c r="G4895" t="s">
        <v>1075</v>
      </c>
      <c r="H4895">
        <v>3.4712320895324699E-3</v>
      </c>
      <c r="I4895" t="s">
        <v>1077</v>
      </c>
      <c r="J4895">
        <v>27.08</v>
      </c>
    </row>
    <row r="4896" spans="1:10" hidden="1">
      <c r="A4896" t="s">
        <v>3411</v>
      </c>
      <c r="B4896" t="s">
        <v>3412</v>
      </c>
      <c r="C4896" t="s">
        <v>235</v>
      </c>
      <c r="D4896" t="s">
        <v>3374</v>
      </c>
      <c r="E4896" t="s">
        <v>556</v>
      </c>
      <c r="F4896" t="s">
        <v>1068</v>
      </c>
      <c r="G4896" t="s">
        <v>1078</v>
      </c>
      <c r="H4896" s="171" t="s">
        <v>3415</v>
      </c>
      <c r="I4896" t="s">
        <v>1079</v>
      </c>
      <c r="J4896">
        <v>27.08</v>
      </c>
    </row>
    <row r="4897" spans="1:10" hidden="1">
      <c r="A4897" t="s">
        <v>3411</v>
      </c>
      <c r="B4897" t="s">
        <v>3412</v>
      </c>
      <c r="C4897" t="s">
        <v>235</v>
      </c>
      <c r="D4897" t="s">
        <v>3374</v>
      </c>
      <c r="E4897" t="s">
        <v>556</v>
      </c>
      <c r="F4897" t="s">
        <v>1068</v>
      </c>
      <c r="G4897" t="s">
        <v>1080</v>
      </c>
      <c r="H4897" s="171" t="s">
        <v>3416</v>
      </c>
      <c r="I4897" t="s">
        <v>1082</v>
      </c>
      <c r="J4897">
        <v>27.08</v>
      </c>
    </row>
    <row r="4898" spans="1:10" hidden="1">
      <c r="A4898" t="s">
        <v>3411</v>
      </c>
      <c r="B4898" t="s">
        <v>3412</v>
      </c>
      <c r="C4898" t="s">
        <v>235</v>
      </c>
      <c r="D4898" t="s">
        <v>3374</v>
      </c>
      <c r="E4898" t="s">
        <v>556</v>
      </c>
      <c r="F4898" t="s">
        <v>1068</v>
      </c>
      <c r="G4898" t="s">
        <v>1083</v>
      </c>
      <c r="H4898" s="171" t="s">
        <v>3417</v>
      </c>
      <c r="I4898" t="s">
        <v>1084</v>
      </c>
      <c r="J4898">
        <v>27.08</v>
      </c>
    </row>
    <row r="4899" spans="1:10" hidden="1">
      <c r="A4899" t="s">
        <v>3411</v>
      </c>
      <c r="B4899" t="s">
        <v>3412</v>
      </c>
      <c r="C4899" t="s">
        <v>235</v>
      </c>
      <c r="D4899" t="s">
        <v>3374</v>
      </c>
      <c r="E4899" t="s">
        <v>556</v>
      </c>
      <c r="F4899" t="s">
        <v>1068</v>
      </c>
      <c r="G4899" t="s">
        <v>1085</v>
      </c>
      <c r="H4899" s="171" t="s">
        <v>3418</v>
      </c>
      <c r="I4899" t="s">
        <v>1086</v>
      </c>
      <c r="J4899">
        <v>27.08</v>
      </c>
    </row>
    <row r="4900" spans="1:10" hidden="1">
      <c r="A4900" t="s">
        <v>3411</v>
      </c>
      <c r="B4900" t="s">
        <v>3412</v>
      </c>
      <c r="C4900" t="s">
        <v>235</v>
      </c>
      <c r="D4900" t="s">
        <v>3374</v>
      </c>
      <c r="E4900" t="s">
        <v>556</v>
      </c>
      <c r="F4900" t="s">
        <v>1068</v>
      </c>
      <c r="G4900" t="s">
        <v>1087</v>
      </c>
      <c r="H4900" s="171" t="s">
        <v>3419</v>
      </c>
      <c r="I4900" t="s">
        <v>1088</v>
      </c>
      <c r="J4900">
        <v>27.08</v>
      </c>
    </row>
    <row r="4901" spans="1:10" hidden="1">
      <c r="A4901" t="s">
        <v>3411</v>
      </c>
      <c r="B4901" t="s">
        <v>3412</v>
      </c>
      <c r="C4901" t="s">
        <v>235</v>
      </c>
      <c r="D4901" t="s">
        <v>3374</v>
      </c>
      <c r="E4901" t="s">
        <v>556</v>
      </c>
      <c r="F4901" t="s">
        <v>1068</v>
      </c>
      <c r="G4901" t="s">
        <v>1089</v>
      </c>
      <c r="H4901" s="171" t="s">
        <v>3420</v>
      </c>
      <c r="I4901" t="s">
        <v>1090</v>
      </c>
      <c r="J4901">
        <v>27.08</v>
      </c>
    </row>
    <row r="4902" spans="1:10" hidden="1">
      <c r="A4902" t="s">
        <v>3421</v>
      </c>
      <c r="B4902" t="s">
        <v>3422</v>
      </c>
      <c r="C4902" t="s">
        <v>235</v>
      </c>
      <c r="D4902" t="s">
        <v>3374</v>
      </c>
      <c r="E4902" t="s">
        <v>557</v>
      </c>
      <c r="F4902" t="s">
        <v>1068</v>
      </c>
      <c r="G4902" t="s">
        <v>1069</v>
      </c>
      <c r="H4902">
        <v>7.1340537395974998E-2</v>
      </c>
      <c r="I4902" t="s">
        <v>1070</v>
      </c>
      <c r="J4902">
        <v>13.12</v>
      </c>
    </row>
    <row r="4903" spans="1:10" hidden="1">
      <c r="A4903" t="s">
        <v>3421</v>
      </c>
      <c r="B4903" t="s">
        <v>3422</v>
      </c>
      <c r="C4903" t="s">
        <v>235</v>
      </c>
      <c r="D4903" t="s">
        <v>3374</v>
      </c>
      <c r="E4903" t="s">
        <v>557</v>
      </c>
      <c r="F4903" t="s">
        <v>1068</v>
      </c>
      <c r="G4903" t="s">
        <v>1071</v>
      </c>
      <c r="H4903" s="171" t="s">
        <v>3423</v>
      </c>
      <c r="I4903" t="s">
        <v>1072</v>
      </c>
      <c r="J4903">
        <v>13.12</v>
      </c>
    </row>
    <row r="4904" spans="1:10" hidden="1">
      <c r="A4904" t="s">
        <v>3421</v>
      </c>
      <c r="B4904" t="s">
        <v>3422</v>
      </c>
      <c r="C4904" t="s">
        <v>235</v>
      </c>
      <c r="D4904" t="s">
        <v>3374</v>
      </c>
      <c r="E4904" t="s">
        <v>557</v>
      </c>
      <c r="F4904" t="s">
        <v>1068</v>
      </c>
      <c r="G4904" t="s">
        <v>1073</v>
      </c>
      <c r="H4904" s="171" t="s">
        <v>3424</v>
      </c>
      <c r="I4904" t="s">
        <v>1074</v>
      </c>
      <c r="J4904">
        <v>13.12</v>
      </c>
    </row>
    <row r="4905" spans="1:10" hidden="1">
      <c r="A4905" t="s">
        <v>3421</v>
      </c>
      <c r="B4905" t="s">
        <v>3422</v>
      </c>
      <c r="C4905" t="s">
        <v>235</v>
      </c>
      <c r="D4905" t="s">
        <v>3374</v>
      </c>
      <c r="E4905" t="s">
        <v>557</v>
      </c>
      <c r="F4905" t="s">
        <v>1068</v>
      </c>
      <c r="G4905" t="s">
        <v>1075</v>
      </c>
      <c r="H4905">
        <v>3.47093066790864E-3</v>
      </c>
      <c r="I4905" t="s">
        <v>1077</v>
      </c>
      <c r="J4905">
        <v>13.12</v>
      </c>
    </row>
    <row r="4906" spans="1:10" hidden="1">
      <c r="A4906" t="s">
        <v>3421</v>
      </c>
      <c r="B4906" t="s">
        <v>3422</v>
      </c>
      <c r="C4906" t="s">
        <v>235</v>
      </c>
      <c r="D4906" t="s">
        <v>3374</v>
      </c>
      <c r="E4906" t="s">
        <v>557</v>
      </c>
      <c r="F4906" t="s">
        <v>1068</v>
      </c>
      <c r="G4906" t="s">
        <v>1078</v>
      </c>
      <c r="H4906" s="171" t="s">
        <v>3425</v>
      </c>
      <c r="I4906" t="s">
        <v>1079</v>
      </c>
      <c r="J4906">
        <v>13.12</v>
      </c>
    </row>
    <row r="4907" spans="1:10" hidden="1">
      <c r="A4907" t="s">
        <v>3421</v>
      </c>
      <c r="B4907" t="s">
        <v>3422</v>
      </c>
      <c r="C4907" t="s">
        <v>235</v>
      </c>
      <c r="D4907" t="s">
        <v>3374</v>
      </c>
      <c r="E4907" t="s">
        <v>557</v>
      </c>
      <c r="F4907" t="s">
        <v>1068</v>
      </c>
      <c r="G4907" t="s">
        <v>1080</v>
      </c>
      <c r="H4907" s="171" t="s">
        <v>3426</v>
      </c>
      <c r="I4907" t="s">
        <v>1082</v>
      </c>
      <c r="J4907">
        <v>13.12</v>
      </c>
    </row>
    <row r="4908" spans="1:10" hidden="1">
      <c r="A4908" t="s">
        <v>3421</v>
      </c>
      <c r="B4908" t="s">
        <v>3422</v>
      </c>
      <c r="C4908" t="s">
        <v>235</v>
      </c>
      <c r="D4908" t="s">
        <v>3374</v>
      </c>
      <c r="E4908" t="s">
        <v>557</v>
      </c>
      <c r="F4908" t="s">
        <v>1068</v>
      </c>
      <c r="G4908" t="s">
        <v>1083</v>
      </c>
      <c r="H4908" s="171" t="s">
        <v>3427</v>
      </c>
      <c r="I4908" t="s">
        <v>1084</v>
      </c>
      <c r="J4908">
        <v>13.12</v>
      </c>
    </row>
    <row r="4909" spans="1:10" hidden="1">
      <c r="A4909" t="s">
        <v>3421</v>
      </c>
      <c r="B4909" t="s">
        <v>3422</v>
      </c>
      <c r="C4909" t="s">
        <v>235</v>
      </c>
      <c r="D4909" t="s">
        <v>3374</v>
      </c>
      <c r="E4909" t="s">
        <v>557</v>
      </c>
      <c r="F4909" t="s">
        <v>1068</v>
      </c>
      <c r="G4909" t="s">
        <v>1085</v>
      </c>
      <c r="H4909" s="171" t="s">
        <v>3428</v>
      </c>
      <c r="I4909" t="s">
        <v>1086</v>
      </c>
      <c r="J4909">
        <v>13.12</v>
      </c>
    </row>
    <row r="4910" spans="1:10" hidden="1">
      <c r="A4910" t="s">
        <v>3421</v>
      </c>
      <c r="B4910" t="s">
        <v>3422</v>
      </c>
      <c r="C4910" t="s">
        <v>235</v>
      </c>
      <c r="D4910" t="s">
        <v>3374</v>
      </c>
      <c r="E4910" t="s">
        <v>557</v>
      </c>
      <c r="F4910" t="s">
        <v>1068</v>
      </c>
      <c r="G4910" t="s">
        <v>1087</v>
      </c>
      <c r="H4910" s="171" t="s">
        <v>3429</v>
      </c>
      <c r="I4910" t="s">
        <v>1088</v>
      </c>
      <c r="J4910">
        <v>13.12</v>
      </c>
    </row>
    <row r="4911" spans="1:10" hidden="1">
      <c r="A4911" t="s">
        <v>3421</v>
      </c>
      <c r="B4911" t="s">
        <v>3422</v>
      </c>
      <c r="C4911" t="s">
        <v>235</v>
      </c>
      <c r="D4911" t="s">
        <v>3374</v>
      </c>
      <c r="E4911" t="s">
        <v>557</v>
      </c>
      <c r="F4911" t="s">
        <v>1068</v>
      </c>
      <c r="G4911" t="s">
        <v>1089</v>
      </c>
      <c r="H4911" s="171" t="s">
        <v>3430</v>
      </c>
      <c r="I4911" t="s">
        <v>1090</v>
      </c>
      <c r="J4911">
        <v>13.12</v>
      </c>
    </row>
    <row r="4912" spans="1:10" hidden="1">
      <c r="A4912" t="s">
        <v>3431</v>
      </c>
      <c r="B4912" t="s">
        <v>3432</v>
      </c>
      <c r="C4912" t="s">
        <v>235</v>
      </c>
      <c r="D4912" t="s">
        <v>3374</v>
      </c>
      <c r="E4912" t="s">
        <v>559</v>
      </c>
      <c r="F4912" t="s">
        <v>1068</v>
      </c>
      <c r="G4912" t="s">
        <v>1069</v>
      </c>
      <c r="H4912">
        <v>7.1359285411155896E-2</v>
      </c>
      <c r="I4912" t="s">
        <v>1070</v>
      </c>
      <c r="J4912">
        <v>8.1300000000000008</v>
      </c>
    </row>
    <row r="4913" spans="1:10" hidden="1">
      <c r="A4913" t="s">
        <v>3431</v>
      </c>
      <c r="B4913" t="s">
        <v>3432</v>
      </c>
      <c r="C4913" t="s">
        <v>235</v>
      </c>
      <c r="D4913" t="s">
        <v>3374</v>
      </c>
      <c r="E4913" t="s">
        <v>559</v>
      </c>
      <c r="F4913" t="s">
        <v>1068</v>
      </c>
      <c r="G4913" t="s">
        <v>1071</v>
      </c>
      <c r="H4913" s="171" t="s">
        <v>3433</v>
      </c>
      <c r="I4913" t="s">
        <v>1072</v>
      </c>
      <c r="J4913">
        <v>8.1300000000000008</v>
      </c>
    </row>
    <row r="4914" spans="1:10" hidden="1">
      <c r="A4914" t="s">
        <v>3431</v>
      </c>
      <c r="B4914" t="s">
        <v>3432</v>
      </c>
      <c r="C4914" t="s">
        <v>235</v>
      </c>
      <c r="D4914" t="s">
        <v>3374</v>
      </c>
      <c r="E4914" t="s">
        <v>559</v>
      </c>
      <c r="F4914" t="s">
        <v>1068</v>
      </c>
      <c r="G4914" t="s">
        <v>1073</v>
      </c>
      <c r="H4914" s="171" t="s">
        <v>3434</v>
      </c>
      <c r="I4914" t="s">
        <v>1074</v>
      </c>
      <c r="J4914">
        <v>8.1300000000000008</v>
      </c>
    </row>
    <row r="4915" spans="1:10" hidden="1">
      <c r="A4915" t="s">
        <v>3431</v>
      </c>
      <c r="B4915" t="s">
        <v>3432</v>
      </c>
      <c r="C4915" t="s">
        <v>235</v>
      </c>
      <c r="D4915" t="s">
        <v>3374</v>
      </c>
      <c r="E4915" t="s">
        <v>559</v>
      </c>
      <c r="F4915" t="s">
        <v>1068</v>
      </c>
      <c r="G4915" t="s">
        <v>1075</v>
      </c>
      <c r="H4915">
        <v>3.4710887619636898E-3</v>
      </c>
      <c r="I4915" t="s">
        <v>1077</v>
      </c>
      <c r="J4915">
        <v>8.1300000000000008</v>
      </c>
    </row>
    <row r="4916" spans="1:10" hidden="1">
      <c r="A4916" t="s">
        <v>3431</v>
      </c>
      <c r="B4916" t="s">
        <v>3432</v>
      </c>
      <c r="C4916" t="s">
        <v>235</v>
      </c>
      <c r="D4916" t="s">
        <v>3374</v>
      </c>
      <c r="E4916" t="s">
        <v>559</v>
      </c>
      <c r="F4916" t="s">
        <v>1068</v>
      </c>
      <c r="G4916" t="s">
        <v>1078</v>
      </c>
      <c r="H4916" s="171" t="s">
        <v>3435</v>
      </c>
      <c r="I4916" t="s">
        <v>1079</v>
      </c>
      <c r="J4916">
        <v>8.1300000000000008</v>
      </c>
    </row>
    <row r="4917" spans="1:10" hidden="1">
      <c r="A4917" t="s">
        <v>3431</v>
      </c>
      <c r="B4917" t="s">
        <v>3432</v>
      </c>
      <c r="C4917" t="s">
        <v>235</v>
      </c>
      <c r="D4917" t="s">
        <v>3374</v>
      </c>
      <c r="E4917" t="s">
        <v>559</v>
      </c>
      <c r="F4917" t="s">
        <v>1068</v>
      </c>
      <c r="G4917" t="s">
        <v>1080</v>
      </c>
      <c r="H4917" s="171" t="s">
        <v>3436</v>
      </c>
      <c r="I4917" t="s">
        <v>1082</v>
      </c>
      <c r="J4917">
        <v>8.1300000000000008</v>
      </c>
    </row>
    <row r="4918" spans="1:10" hidden="1">
      <c r="A4918" t="s">
        <v>3431</v>
      </c>
      <c r="B4918" t="s">
        <v>3432</v>
      </c>
      <c r="C4918" t="s">
        <v>235</v>
      </c>
      <c r="D4918" t="s">
        <v>3374</v>
      </c>
      <c r="E4918" t="s">
        <v>559</v>
      </c>
      <c r="F4918" t="s">
        <v>1068</v>
      </c>
      <c r="G4918" t="s">
        <v>1083</v>
      </c>
      <c r="H4918" s="171" t="s">
        <v>3437</v>
      </c>
      <c r="I4918" t="s">
        <v>1084</v>
      </c>
      <c r="J4918">
        <v>8.1300000000000008</v>
      </c>
    </row>
    <row r="4919" spans="1:10" hidden="1">
      <c r="A4919" t="s">
        <v>3431</v>
      </c>
      <c r="B4919" t="s">
        <v>3432</v>
      </c>
      <c r="C4919" t="s">
        <v>235</v>
      </c>
      <c r="D4919" t="s">
        <v>3374</v>
      </c>
      <c r="E4919" t="s">
        <v>559</v>
      </c>
      <c r="F4919" t="s">
        <v>1068</v>
      </c>
      <c r="G4919" t="s">
        <v>1085</v>
      </c>
      <c r="H4919" s="171" t="s">
        <v>3438</v>
      </c>
      <c r="I4919" t="s">
        <v>1086</v>
      </c>
      <c r="J4919">
        <v>8.1300000000000008</v>
      </c>
    </row>
    <row r="4920" spans="1:10" hidden="1">
      <c r="A4920" t="s">
        <v>3431</v>
      </c>
      <c r="B4920" t="s">
        <v>3432</v>
      </c>
      <c r="C4920" t="s">
        <v>235</v>
      </c>
      <c r="D4920" t="s">
        <v>3374</v>
      </c>
      <c r="E4920" t="s">
        <v>559</v>
      </c>
      <c r="F4920" t="s">
        <v>1068</v>
      </c>
      <c r="G4920" t="s">
        <v>1087</v>
      </c>
      <c r="H4920" s="171" t="s">
        <v>3439</v>
      </c>
      <c r="I4920" t="s">
        <v>1088</v>
      </c>
      <c r="J4920">
        <v>8.1300000000000008</v>
      </c>
    </row>
    <row r="4921" spans="1:10" hidden="1">
      <c r="A4921" t="s">
        <v>3431</v>
      </c>
      <c r="B4921" t="s">
        <v>3432</v>
      </c>
      <c r="C4921" t="s">
        <v>235</v>
      </c>
      <c r="D4921" t="s">
        <v>3374</v>
      </c>
      <c r="E4921" t="s">
        <v>559</v>
      </c>
      <c r="F4921" t="s">
        <v>1068</v>
      </c>
      <c r="G4921" t="s">
        <v>1089</v>
      </c>
      <c r="H4921" s="171" t="s">
        <v>3440</v>
      </c>
      <c r="I4921" t="s">
        <v>1090</v>
      </c>
      <c r="J4921">
        <v>8.1300000000000008</v>
      </c>
    </row>
    <row r="4922" spans="1:10" hidden="1">
      <c r="A4922" t="s">
        <v>3441</v>
      </c>
      <c r="B4922" t="s">
        <v>3442</v>
      </c>
      <c r="C4922" t="s">
        <v>235</v>
      </c>
      <c r="D4922" t="s">
        <v>3374</v>
      </c>
      <c r="E4922" t="s">
        <v>560</v>
      </c>
      <c r="F4922" t="s">
        <v>1068</v>
      </c>
      <c r="G4922" t="s">
        <v>1069</v>
      </c>
      <c r="H4922">
        <v>7.1343314753071999E-2</v>
      </c>
      <c r="I4922" t="s">
        <v>1070</v>
      </c>
      <c r="J4922">
        <v>9.0399999999999991</v>
      </c>
    </row>
    <row r="4923" spans="1:10" hidden="1">
      <c r="A4923" t="s">
        <v>3441</v>
      </c>
      <c r="B4923" t="s">
        <v>3442</v>
      </c>
      <c r="C4923" t="s">
        <v>235</v>
      </c>
      <c r="D4923" t="s">
        <v>3374</v>
      </c>
      <c r="E4923" t="s">
        <v>560</v>
      </c>
      <c r="F4923" t="s">
        <v>1068</v>
      </c>
      <c r="G4923" t="s">
        <v>1071</v>
      </c>
      <c r="H4923" s="171" t="s">
        <v>3443</v>
      </c>
      <c r="I4923" t="s">
        <v>1072</v>
      </c>
      <c r="J4923">
        <v>9.0399999999999991</v>
      </c>
    </row>
    <row r="4924" spans="1:10" hidden="1">
      <c r="A4924" t="s">
        <v>3441</v>
      </c>
      <c r="B4924" t="s">
        <v>3442</v>
      </c>
      <c r="C4924" t="s">
        <v>235</v>
      </c>
      <c r="D4924" t="s">
        <v>3374</v>
      </c>
      <c r="E4924" t="s">
        <v>560</v>
      </c>
      <c r="F4924" t="s">
        <v>1068</v>
      </c>
      <c r="G4924" t="s">
        <v>1073</v>
      </c>
      <c r="H4924" s="171" t="s">
        <v>3444</v>
      </c>
      <c r="I4924" t="s">
        <v>1074</v>
      </c>
      <c r="J4924">
        <v>9.0399999999999991</v>
      </c>
    </row>
    <row r="4925" spans="1:10" hidden="1">
      <c r="A4925" t="s">
        <v>3441</v>
      </c>
      <c r="B4925" t="s">
        <v>3442</v>
      </c>
      <c r="C4925" t="s">
        <v>235</v>
      </c>
      <c r="D4925" t="s">
        <v>3374</v>
      </c>
      <c r="E4925" t="s">
        <v>560</v>
      </c>
      <c r="F4925" t="s">
        <v>1068</v>
      </c>
      <c r="G4925" t="s">
        <v>1075</v>
      </c>
      <c r="H4925">
        <v>3.4710184631334502E-3</v>
      </c>
      <c r="I4925" t="s">
        <v>1077</v>
      </c>
      <c r="J4925">
        <v>9.0399999999999991</v>
      </c>
    </row>
    <row r="4926" spans="1:10" hidden="1">
      <c r="A4926" t="s">
        <v>3441</v>
      </c>
      <c r="B4926" t="s">
        <v>3442</v>
      </c>
      <c r="C4926" t="s">
        <v>235</v>
      </c>
      <c r="D4926" t="s">
        <v>3374</v>
      </c>
      <c r="E4926" t="s">
        <v>560</v>
      </c>
      <c r="F4926" t="s">
        <v>1068</v>
      </c>
      <c r="G4926" t="s">
        <v>1078</v>
      </c>
      <c r="H4926">
        <v>2.60314903844522E-2</v>
      </c>
      <c r="I4926" t="s">
        <v>1079</v>
      </c>
      <c r="J4926">
        <v>9.0399999999999991</v>
      </c>
    </row>
    <row r="4927" spans="1:10" hidden="1">
      <c r="A4927" t="s">
        <v>3441</v>
      </c>
      <c r="B4927" t="s">
        <v>3442</v>
      </c>
      <c r="C4927" t="s">
        <v>235</v>
      </c>
      <c r="D4927" t="s">
        <v>3374</v>
      </c>
      <c r="E4927" t="s">
        <v>560</v>
      </c>
      <c r="F4927" t="s">
        <v>1068</v>
      </c>
      <c r="G4927" t="s">
        <v>1080</v>
      </c>
      <c r="H4927" s="171" t="s">
        <v>3445</v>
      </c>
      <c r="I4927" t="s">
        <v>1082</v>
      </c>
      <c r="J4927">
        <v>9.0399999999999991</v>
      </c>
    </row>
    <row r="4928" spans="1:10" hidden="1">
      <c r="A4928" t="s">
        <v>3441</v>
      </c>
      <c r="B4928" t="s">
        <v>3442</v>
      </c>
      <c r="C4928" t="s">
        <v>235</v>
      </c>
      <c r="D4928" t="s">
        <v>3374</v>
      </c>
      <c r="E4928" t="s">
        <v>560</v>
      </c>
      <c r="F4928" t="s">
        <v>1068</v>
      </c>
      <c r="G4928" t="s">
        <v>1083</v>
      </c>
      <c r="H4928" s="171" t="s">
        <v>3446</v>
      </c>
      <c r="I4928" t="s">
        <v>1084</v>
      </c>
      <c r="J4928">
        <v>9.0399999999999991</v>
      </c>
    </row>
    <row r="4929" spans="1:10" hidden="1">
      <c r="A4929" t="s">
        <v>3441</v>
      </c>
      <c r="B4929" t="s">
        <v>3442</v>
      </c>
      <c r="C4929" t="s">
        <v>235</v>
      </c>
      <c r="D4929" t="s">
        <v>3374</v>
      </c>
      <c r="E4929" t="s">
        <v>560</v>
      </c>
      <c r="F4929" t="s">
        <v>1068</v>
      </c>
      <c r="G4929" t="s">
        <v>1085</v>
      </c>
      <c r="H4929" s="171" t="s">
        <v>3447</v>
      </c>
      <c r="I4929" t="s">
        <v>1086</v>
      </c>
      <c r="J4929">
        <v>9.0399999999999991</v>
      </c>
    </row>
    <row r="4930" spans="1:10" hidden="1">
      <c r="A4930" t="s">
        <v>3441</v>
      </c>
      <c r="B4930" t="s">
        <v>3442</v>
      </c>
      <c r="C4930" t="s">
        <v>235</v>
      </c>
      <c r="D4930" t="s">
        <v>3374</v>
      </c>
      <c r="E4930" t="s">
        <v>560</v>
      </c>
      <c r="F4930" t="s">
        <v>1068</v>
      </c>
      <c r="G4930" t="s">
        <v>1087</v>
      </c>
      <c r="H4930" s="171" t="s">
        <v>3448</v>
      </c>
      <c r="I4930" t="s">
        <v>1088</v>
      </c>
      <c r="J4930">
        <v>9.0399999999999991</v>
      </c>
    </row>
    <row r="4931" spans="1:10" hidden="1">
      <c r="A4931" t="s">
        <v>3441</v>
      </c>
      <c r="B4931" t="s">
        <v>3442</v>
      </c>
      <c r="C4931" t="s">
        <v>235</v>
      </c>
      <c r="D4931" t="s">
        <v>3374</v>
      </c>
      <c r="E4931" t="s">
        <v>560</v>
      </c>
      <c r="F4931" t="s">
        <v>1068</v>
      </c>
      <c r="G4931" t="s">
        <v>1089</v>
      </c>
      <c r="H4931" s="171" t="s">
        <v>3449</v>
      </c>
      <c r="I4931" t="s">
        <v>1090</v>
      </c>
      <c r="J4931">
        <v>9.0399999999999991</v>
      </c>
    </row>
    <row r="4932" spans="1:10" hidden="1">
      <c r="A4932" t="s">
        <v>3450</v>
      </c>
      <c r="B4932" t="s">
        <v>3451</v>
      </c>
      <c r="C4932" t="s">
        <v>235</v>
      </c>
      <c r="D4932" t="s">
        <v>3374</v>
      </c>
      <c r="E4932" t="s">
        <v>1116</v>
      </c>
      <c r="F4932" t="s">
        <v>1068</v>
      </c>
      <c r="G4932" t="s">
        <v>1069</v>
      </c>
      <c r="H4932">
        <v>7.1334885194976494E-2</v>
      </c>
      <c r="I4932" t="s">
        <v>1070</v>
      </c>
      <c r="J4932">
        <v>7.97</v>
      </c>
    </row>
    <row r="4933" spans="1:10" hidden="1">
      <c r="A4933" t="s">
        <v>3450</v>
      </c>
      <c r="B4933" t="s">
        <v>3451</v>
      </c>
      <c r="C4933" t="s">
        <v>235</v>
      </c>
      <c r="D4933" t="s">
        <v>3374</v>
      </c>
      <c r="E4933" t="s">
        <v>1116</v>
      </c>
      <c r="F4933" t="s">
        <v>1068</v>
      </c>
      <c r="G4933" t="s">
        <v>1071</v>
      </c>
      <c r="H4933" s="171" t="s">
        <v>3452</v>
      </c>
      <c r="I4933" t="s">
        <v>1072</v>
      </c>
      <c r="J4933">
        <v>7.97</v>
      </c>
    </row>
    <row r="4934" spans="1:10" hidden="1">
      <c r="A4934" t="s">
        <v>3450</v>
      </c>
      <c r="B4934" t="s">
        <v>3451</v>
      </c>
      <c r="C4934" t="s">
        <v>235</v>
      </c>
      <c r="D4934" t="s">
        <v>3374</v>
      </c>
      <c r="E4934" t="s">
        <v>1116</v>
      </c>
      <c r="F4934" t="s">
        <v>1068</v>
      </c>
      <c r="G4934" t="s">
        <v>1073</v>
      </c>
      <c r="H4934" s="171" t="s">
        <v>3453</v>
      </c>
      <c r="I4934" t="s">
        <v>1074</v>
      </c>
      <c r="J4934">
        <v>7.97</v>
      </c>
    </row>
    <row r="4935" spans="1:10" hidden="1">
      <c r="A4935" t="s">
        <v>3450</v>
      </c>
      <c r="B4935" t="s">
        <v>3451</v>
      </c>
      <c r="C4935" t="s">
        <v>235</v>
      </c>
      <c r="D4935" t="s">
        <v>3374</v>
      </c>
      <c r="E4935" t="s">
        <v>1116</v>
      </c>
      <c r="F4935" t="s">
        <v>1068</v>
      </c>
      <c r="G4935" t="s">
        <v>1075</v>
      </c>
      <c r="H4935">
        <v>3.4707519957970102E-3</v>
      </c>
      <c r="I4935" t="s">
        <v>1077</v>
      </c>
      <c r="J4935">
        <v>7.97</v>
      </c>
    </row>
    <row r="4936" spans="1:10" hidden="1">
      <c r="A4936" t="s">
        <v>3450</v>
      </c>
      <c r="B4936" t="s">
        <v>3451</v>
      </c>
      <c r="C4936" t="s">
        <v>235</v>
      </c>
      <c r="D4936" t="s">
        <v>3374</v>
      </c>
      <c r="E4936" t="s">
        <v>1116</v>
      </c>
      <c r="F4936" t="s">
        <v>1068</v>
      </c>
      <c r="G4936" t="s">
        <v>1078</v>
      </c>
      <c r="H4936" s="171" t="s">
        <v>3454</v>
      </c>
      <c r="I4936" t="s">
        <v>1079</v>
      </c>
      <c r="J4936">
        <v>7.97</v>
      </c>
    </row>
    <row r="4937" spans="1:10" hidden="1">
      <c r="A4937" t="s">
        <v>3450</v>
      </c>
      <c r="B4937" t="s">
        <v>3451</v>
      </c>
      <c r="C4937" t="s">
        <v>235</v>
      </c>
      <c r="D4937" t="s">
        <v>3374</v>
      </c>
      <c r="E4937" t="s">
        <v>1116</v>
      </c>
      <c r="F4937" t="s">
        <v>1068</v>
      </c>
      <c r="G4937" t="s">
        <v>1080</v>
      </c>
      <c r="H4937" s="171" t="s">
        <v>3455</v>
      </c>
      <c r="I4937" t="s">
        <v>1082</v>
      </c>
      <c r="J4937">
        <v>7.97</v>
      </c>
    </row>
    <row r="4938" spans="1:10" hidden="1">
      <c r="A4938" t="s">
        <v>3450</v>
      </c>
      <c r="B4938" t="s">
        <v>3451</v>
      </c>
      <c r="C4938" t="s">
        <v>235</v>
      </c>
      <c r="D4938" t="s">
        <v>3374</v>
      </c>
      <c r="E4938" t="s">
        <v>1116</v>
      </c>
      <c r="F4938" t="s">
        <v>1068</v>
      </c>
      <c r="G4938" t="s">
        <v>1083</v>
      </c>
      <c r="H4938" s="171" t="s">
        <v>3456</v>
      </c>
      <c r="I4938" t="s">
        <v>1084</v>
      </c>
      <c r="J4938">
        <v>7.97</v>
      </c>
    </row>
    <row r="4939" spans="1:10" hidden="1">
      <c r="A4939" t="s">
        <v>3450</v>
      </c>
      <c r="B4939" t="s">
        <v>3451</v>
      </c>
      <c r="C4939" t="s">
        <v>235</v>
      </c>
      <c r="D4939" t="s">
        <v>3374</v>
      </c>
      <c r="E4939" t="s">
        <v>1116</v>
      </c>
      <c r="F4939" t="s">
        <v>1068</v>
      </c>
      <c r="G4939" t="s">
        <v>1085</v>
      </c>
      <c r="H4939" s="171" t="s">
        <v>3457</v>
      </c>
      <c r="I4939" t="s">
        <v>1086</v>
      </c>
      <c r="J4939">
        <v>7.97</v>
      </c>
    </row>
    <row r="4940" spans="1:10" hidden="1">
      <c r="A4940" t="s">
        <v>3450</v>
      </c>
      <c r="B4940" t="s">
        <v>3451</v>
      </c>
      <c r="C4940" t="s">
        <v>235</v>
      </c>
      <c r="D4940" t="s">
        <v>3374</v>
      </c>
      <c r="E4940" t="s">
        <v>1116</v>
      </c>
      <c r="F4940" t="s">
        <v>1068</v>
      </c>
      <c r="G4940" t="s">
        <v>1087</v>
      </c>
      <c r="H4940" s="171" t="s">
        <v>3458</v>
      </c>
      <c r="I4940" t="s">
        <v>1088</v>
      </c>
      <c r="J4940">
        <v>7.97</v>
      </c>
    </row>
    <row r="4941" spans="1:10" hidden="1">
      <c r="A4941" t="s">
        <v>3450</v>
      </c>
      <c r="B4941" t="s">
        <v>3451</v>
      </c>
      <c r="C4941" t="s">
        <v>235</v>
      </c>
      <c r="D4941" t="s">
        <v>3374</v>
      </c>
      <c r="E4941" t="s">
        <v>1116</v>
      </c>
      <c r="F4941" t="s">
        <v>1068</v>
      </c>
      <c r="G4941" t="s">
        <v>1089</v>
      </c>
      <c r="H4941" s="171" t="s">
        <v>3459</v>
      </c>
      <c r="I4941" t="s">
        <v>1090</v>
      </c>
      <c r="J4941">
        <v>7.97</v>
      </c>
    </row>
    <row r="4942" spans="1:10" hidden="1">
      <c r="A4942" t="s">
        <v>3460</v>
      </c>
      <c r="B4942" t="s">
        <v>3461</v>
      </c>
      <c r="C4942" t="s">
        <v>235</v>
      </c>
      <c r="D4942" t="s">
        <v>1307</v>
      </c>
      <c r="E4942" t="s">
        <v>561</v>
      </c>
      <c r="F4942" t="s">
        <v>1068</v>
      </c>
      <c r="G4942" t="s">
        <v>1069</v>
      </c>
      <c r="H4942">
        <v>-0.123799665179013</v>
      </c>
      <c r="I4942" t="s">
        <v>1070</v>
      </c>
      <c r="J4942">
        <v>7.72</v>
      </c>
    </row>
    <row r="4943" spans="1:10" hidden="1">
      <c r="A4943" t="s">
        <v>3460</v>
      </c>
      <c r="B4943" t="s">
        <v>3461</v>
      </c>
      <c r="C4943" t="s">
        <v>235</v>
      </c>
      <c r="D4943" t="s">
        <v>1307</v>
      </c>
      <c r="E4943" t="s">
        <v>561</v>
      </c>
      <c r="F4943" t="s">
        <v>1068</v>
      </c>
      <c r="G4943" t="s">
        <v>1071</v>
      </c>
      <c r="H4943" s="170">
        <v>-2.4311856504881798E-10</v>
      </c>
      <c r="I4943" t="s">
        <v>1072</v>
      </c>
      <c r="J4943">
        <v>7.72</v>
      </c>
    </row>
    <row r="4944" spans="1:10" hidden="1">
      <c r="A4944" t="s">
        <v>3460</v>
      </c>
      <c r="B4944" t="s">
        <v>3461</v>
      </c>
      <c r="C4944" t="s">
        <v>235</v>
      </c>
      <c r="D4944" t="s">
        <v>1307</v>
      </c>
      <c r="E4944" t="s">
        <v>561</v>
      </c>
      <c r="F4944" t="s">
        <v>1068</v>
      </c>
      <c r="G4944" t="s">
        <v>1073</v>
      </c>
      <c r="H4944" s="170">
        <v>-4.1022878487571001E-8</v>
      </c>
      <c r="I4944" t="s">
        <v>1074</v>
      </c>
      <c r="J4944">
        <v>7.72</v>
      </c>
    </row>
    <row r="4945" spans="1:10" hidden="1">
      <c r="A4945" t="s">
        <v>3460</v>
      </c>
      <c r="B4945" t="s">
        <v>3461</v>
      </c>
      <c r="C4945" t="s">
        <v>235</v>
      </c>
      <c r="D4945" t="s">
        <v>1307</v>
      </c>
      <c r="E4945" t="s">
        <v>561</v>
      </c>
      <c r="F4945" t="s">
        <v>1068</v>
      </c>
      <c r="G4945" t="s">
        <v>1075</v>
      </c>
      <c r="H4945">
        <v>-1.29073092467993E-3</v>
      </c>
      <c r="I4945" t="s">
        <v>1077</v>
      </c>
      <c r="J4945">
        <v>7.72</v>
      </c>
    </row>
    <row r="4946" spans="1:10" hidden="1">
      <c r="A4946" t="s">
        <v>3460</v>
      </c>
      <c r="B4946" t="s">
        <v>3461</v>
      </c>
      <c r="C4946" t="s">
        <v>235</v>
      </c>
      <c r="D4946" t="s">
        <v>1307</v>
      </c>
      <c r="E4946" t="s">
        <v>561</v>
      </c>
      <c r="F4946" t="s">
        <v>1068</v>
      </c>
      <c r="G4946" t="s">
        <v>1078</v>
      </c>
      <c r="H4946">
        <v>-0.64660766527578795</v>
      </c>
      <c r="I4946" t="s">
        <v>1079</v>
      </c>
      <c r="J4946">
        <v>7.72</v>
      </c>
    </row>
    <row r="4947" spans="1:10" hidden="1">
      <c r="A4947" t="s">
        <v>3460</v>
      </c>
      <c r="B4947" t="s">
        <v>3461</v>
      </c>
      <c r="C4947" t="s">
        <v>235</v>
      </c>
      <c r="D4947" t="s">
        <v>1307</v>
      </c>
      <c r="E4947" t="s">
        <v>561</v>
      </c>
      <c r="F4947" t="s">
        <v>1068</v>
      </c>
      <c r="G4947" t="s">
        <v>1080</v>
      </c>
      <c r="H4947" s="171" t="s">
        <v>3462</v>
      </c>
      <c r="I4947" t="s">
        <v>1082</v>
      </c>
      <c r="J4947">
        <v>7.72</v>
      </c>
    </row>
    <row r="4948" spans="1:10" hidden="1">
      <c r="A4948" t="s">
        <v>3460</v>
      </c>
      <c r="B4948" t="s">
        <v>3461</v>
      </c>
      <c r="C4948" t="s">
        <v>235</v>
      </c>
      <c r="D4948" t="s">
        <v>1307</v>
      </c>
      <c r="E4948" t="s">
        <v>561</v>
      </c>
      <c r="F4948" t="s">
        <v>1068</v>
      </c>
      <c r="G4948" t="s">
        <v>1083</v>
      </c>
      <c r="H4948" s="170">
        <v>-2.5518603352892399E-5</v>
      </c>
      <c r="I4948" t="s">
        <v>1084</v>
      </c>
      <c r="J4948">
        <v>7.72</v>
      </c>
    </row>
    <row r="4949" spans="1:10" hidden="1">
      <c r="A4949" t="s">
        <v>3460</v>
      </c>
      <c r="B4949" t="s">
        <v>3461</v>
      </c>
      <c r="C4949" t="s">
        <v>235</v>
      </c>
      <c r="D4949" t="s">
        <v>1307</v>
      </c>
      <c r="E4949" t="s">
        <v>561</v>
      </c>
      <c r="F4949" t="s">
        <v>1068</v>
      </c>
      <c r="G4949" t="s">
        <v>1085</v>
      </c>
      <c r="H4949">
        <v>-2.3215177461655801E-4</v>
      </c>
      <c r="I4949" t="s">
        <v>1086</v>
      </c>
      <c r="J4949">
        <v>7.72</v>
      </c>
    </row>
    <row r="4950" spans="1:10" hidden="1">
      <c r="A4950" t="s">
        <v>3460</v>
      </c>
      <c r="B4950" t="s">
        <v>3461</v>
      </c>
      <c r="C4950" t="s">
        <v>235</v>
      </c>
      <c r="D4950" t="s">
        <v>1307</v>
      </c>
      <c r="E4950" t="s">
        <v>561</v>
      </c>
      <c r="F4950" t="s">
        <v>1068</v>
      </c>
      <c r="G4950" t="s">
        <v>1087</v>
      </c>
      <c r="H4950" s="170">
        <v>-6.1742844810627103E-8</v>
      </c>
      <c r="I4950" t="s">
        <v>1088</v>
      </c>
      <c r="J4950">
        <v>7.72</v>
      </c>
    </row>
    <row r="4951" spans="1:10" hidden="1">
      <c r="A4951" t="s">
        <v>3460</v>
      </c>
      <c r="B4951" t="s">
        <v>3461</v>
      </c>
      <c r="C4951" t="s">
        <v>235</v>
      </c>
      <c r="D4951" t="s">
        <v>1307</v>
      </c>
      <c r="E4951" t="s">
        <v>561</v>
      </c>
      <c r="F4951" t="s">
        <v>1068</v>
      </c>
      <c r="G4951" t="s">
        <v>1089</v>
      </c>
      <c r="H4951" s="170">
        <v>-3.64569700840463E-5</v>
      </c>
      <c r="I4951" t="s">
        <v>1090</v>
      </c>
      <c r="J4951">
        <v>7.72</v>
      </c>
    </row>
    <row r="4952" spans="1:10" hidden="1">
      <c r="A4952" t="s">
        <v>3463</v>
      </c>
      <c r="B4952" t="s">
        <v>3464</v>
      </c>
      <c r="C4952" t="s">
        <v>235</v>
      </c>
      <c r="D4952" t="s">
        <v>1307</v>
      </c>
      <c r="E4952" t="s">
        <v>555</v>
      </c>
      <c r="F4952" t="s">
        <v>1068</v>
      </c>
      <c r="G4952" t="s">
        <v>1069</v>
      </c>
      <c r="H4952">
        <v>-0.14711861734491699</v>
      </c>
      <c r="I4952" t="s">
        <v>1070</v>
      </c>
      <c r="J4952">
        <v>7.32</v>
      </c>
    </row>
    <row r="4953" spans="1:10" hidden="1">
      <c r="A4953" t="s">
        <v>3463</v>
      </c>
      <c r="B4953" t="s">
        <v>3464</v>
      </c>
      <c r="C4953" t="s">
        <v>235</v>
      </c>
      <c r="D4953" t="s">
        <v>1307</v>
      </c>
      <c r="E4953" t="s">
        <v>555</v>
      </c>
      <c r="F4953" t="s">
        <v>1068</v>
      </c>
      <c r="G4953" t="s">
        <v>1071</v>
      </c>
      <c r="H4953" s="170">
        <v>-2.7644044507049998E-10</v>
      </c>
      <c r="I4953" t="s">
        <v>1072</v>
      </c>
      <c r="J4953">
        <v>7.32</v>
      </c>
    </row>
    <row r="4954" spans="1:10" hidden="1">
      <c r="A4954" t="s">
        <v>3463</v>
      </c>
      <c r="B4954" t="s">
        <v>3464</v>
      </c>
      <c r="C4954" t="s">
        <v>235</v>
      </c>
      <c r="D4954" t="s">
        <v>1307</v>
      </c>
      <c r="E4954" t="s">
        <v>555</v>
      </c>
      <c r="F4954" t="s">
        <v>1068</v>
      </c>
      <c r="G4954" t="s">
        <v>1073</v>
      </c>
      <c r="H4954" s="170">
        <v>-4.9309936871508297E-8</v>
      </c>
      <c r="I4954" t="s">
        <v>1074</v>
      </c>
      <c r="J4954">
        <v>7.32</v>
      </c>
    </row>
    <row r="4955" spans="1:10" hidden="1">
      <c r="A4955" t="s">
        <v>3463</v>
      </c>
      <c r="B4955" t="s">
        <v>3464</v>
      </c>
      <c r="C4955" t="s">
        <v>235</v>
      </c>
      <c r="D4955" t="s">
        <v>1307</v>
      </c>
      <c r="E4955" t="s">
        <v>555</v>
      </c>
      <c r="F4955" t="s">
        <v>1068</v>
      </c>
      <c r="G4955" t="s">
        <v>1075</v>
      </c>
      <c r="H4955">
        <v>-2.0004516090690802E-3</v>
      </c>
      <c r="I4955" t="s">
        <v>1077</v>
      </c>
      <c r="J4955">
        <v>7.32</v>
      </c>
    </row>
    <row r="4956" spans="1:10" hidden="1">
      <c r="A4956" t="s">
        <v>3463</v>
      </c>
      <c r="B4956" t="s">
        <v>3464</v>
      </c>
      <c r="C4956" t="s">
        <v>235</v>
      </c>
      <c r="D4956" t="s">
        <v>1307</v>
      </c>
      <c r="E4956" t="s">
        <v>555</v>
      </c>
      <c r="F4956" t="s">
        <v>1068</v>
      </c>
      <c r="G4956" t="s">
        <v>1078</v>
      </c>
      <c r="H4956">
        <v>-0.66697991340315199</v>
      </c>
      <c r="I4956" t="s">
        <v>1079</v>
      </c>
      <c r="J4956">
        <v>7.32</v>
      </c>
    </row>
    <row r="4957" spans="1:10" hidden="1">
      <c r="A4957" t="s">
        <v>3463</v>
      </c>
      <c r="B4957" t="s">
        <v>3464</v>
      </c>
      <c r="C4957" t="s">
        <v>235</v>
      </c>
      <c r="D4957" t="s">
        <v>1307</v>
      </c>
      <c r="E4957" t="s">
        <v>555</v>
      </c>
      <c r="F4957" t="s">
        <v>1068</v>
      </c>
      <c r="G4957" t="s">
        <v>1080</v>
      </c>
      <c r="H4957" s="171" t="s">
        <v>3465</v>
      </c>
      <c r="I4957" t="s">
        <v>1082</v>
      </c>
      <c r="J4957">
        <v>7.32</v>
      </c>
    </row>
    <row r="4958" spans="1:10" hidden="1">
      <c r="A4958" t="s">
        <v>3463</v>
      </c>
      <c r="B4958" t="s">
        <v>3464</v>
      </c>
      <c r="C4958" t="s">
        <v>235</v>
      </c>
      <c r="D4958" t="s">
        <v>1307</v>
      </c>
      <c r="E4958" t="s">
        <v>555</v>
      </c>
      <c r="F4958" t="s">
        <v>1068</v>
      </c>
      <c r="G4958" t="s">
        <v>1083</v>
      </c>
      <c r="H4958" s="170">
        <v>-2.9066113272718298E-5</v>
      </c>
      <c r="I4958" t="s">
        <v>1084</v>
      </c>
      <c r="J4958">
        <v>7.32</v>
      </c>
    </row>
    <row r="4959" spans="1:10" hidden="1">
      <c r="A4959" t="s">
        <v>3463</v>
      </c>
      <c r="B4959" t="s">
        <v>3464</v>
      </c>
      <c r="C4959" t="s">
        <v>235</v>
      </c>
      <c r="D4959" t="s">
        <v>1307</v>
      </c>
      <c r="E4959" t="s">
        <v>555</v>
      </c>
      <c r="F4959" t="s">
        <v>1068</v>
      </c>
      <c r="G4959" t="s">
        <v>1085</v>
      </c>
      <c r="H4959">
        <v>-2.72097526168509E-4</v>
      </c>
      <c r="I4959" t="s">
        <v>1086</v>
      </c>
      <c r="J4959">
        <v>7.32</v>
      </c>
    </row>
    <row r="4960" spans="1:10" hidden="1">
      <c r="A4960" t="s">
        <v>3463</v>
      </c>
      <c r="B4960" t="s">
        <v>3464</v>
      </c>
      <c r="C4960" t="s">
        <v>235</v>
      </c>
      <c r="D4960" t="s">
        <v>1307</v>
      </c>
      <c r="E4960" t="s">
        <v>555</v>
      </c>
      <c r="F4960" t="s">
        <v>1068</v>
      </c>
      <c r="G4960" t="s">
        <v>1087</v>
      </c>
      <c r="H4960" s="170">
        <v>-8.0091706781690701E-8</v>
      </c>
      <c r="I4960" t="s">
        <v>1088</v>
      </c>
      <c r="J4960">
        <v>7.32</v>
      </c>
    </row>
    <row r="4961" spans="1:10" hidden="1">
      <c r="A4961" t="s">
        <v>3463</v>
      </c>
      <c r="B4961" t="s">
        <v>3464</v>
      </c>
      <c r="C4961" t="s">
        <v>235</v>
      </c>
      <c r="D4961" t="s">
        <v>1307</v>
      </c>
      <c r="E4961" t="s">
        <v>555</v>
      </c>
      <c r="F4961" t="s">
        <v>1068</v>
      </c>
      <c r="G4961" t="s">
        <v>1089</v>
      </c>
      <c r="H4961" s="170">
        <v>-4.4726320304739097E-5</v>
      </c>
      <c r="I4961" t="s">
        <v>1090</v>
      </c>
      <c r="J4961">
        <v>7.32</v>
      </c>
    </row>
    <row r="4962" spans="1:10" hidden="1">
      <c r="A4962" t="s">
        <v>3466</v>
      </c>
      <c r="B4962" t="s">
        <v>3467</v>
      </c>
      <c r="C4962" t="s">
        <v>235</v>
      </c>
      <c r="D4962" t="s">
        <v>1307</v>
      </c>
      <c r="E4962" t="s">
        <v>558</v>
      </c>
      <c r="F4962" t="s">
        <v>1068</v>
      </c>
      <c r="G4962" t="s">
        <v>1069</v>
      </c>
      <c r="H4962">
        <v>-0.121764969285998</v>
      </c>
      <c r="I4962" t="s">
        <v>1070</v>
      </c>
      <c r="J4962">
        <v>9.17</v>
      </c>
    </row>
    <row r="4963" spans="1:10" hidden="1">
      <c r="A4963" t="s">
        <v>3466</v>
      </c>
      <c r="B4963" t="s">
        <v>3467</v>
      </c>
      <c r="C4963" t="s">
        <v>235</v>
      </c>
      <c r="D4963" t="s">
        <v>1307</v>
      </c>
      <c r="E4963" t="s">
        <v>558</v>
      </c>
      <c r="F4963" t="s">
        <v>1068</v>
      </c>
      <c r="G4963" t="s">
        <v>1071</v>
      </c>
      <c r="H4963" s="170">
        <v>-2.4020689207741199E-10</v>
      </c>
      <c r="I4963" t="s">
        <v>1072</v>
      </c>
      <c r="J4963">
        <v>9.17</v>
      </c>
    </row>
    <row r="4964" spans="1:10" hidden="1">
      <c r="A4964" t="s">
        <v>3466</v>
      </c>
      <c r="B4964" t="s">
        <v>3467</v>
      </c>
      <c r="C4964" t="s">
        <v>235</v>
      </c>
      <c r="D4964" t="s">
        <v>1307</v>
      </c>
      <c r="E4964" t="s">
        <v>558</v>
      </c>
      <c r="F4964" t="s">
        <v>1068</v>
      </c>
      <c r="G4964" t="s">
        <v>1073</v>
      </c>
      <c r="H4964" s="170">
        <v>-4.0300148068201999E-8</v>
      </c>
      <c r="I4964" t="s">
        <v>1074</v>
      </c>
      <c r="J4964">
        <v>9.17</v>
      </c>
    </row>
    <row r="4965" spans="1:10" hidden="1">
      <c r="A4965" t="s">
        <v>3466</v>
      </c>
      <c r="B4965" t="s">
        <v>3467</v>
      </c>
      <c r="C4965" t="s">
        <v>235</v>
      </c>
      <c r="D4965" t="s">
        <v>1307</v>
      </c>
      <c r="E4965" t="s">
        <v>558</v>
      </c>
      <c r="F4965" t="s">
        <v>1068</v>
      </c>
      <c r="G4965" t="s">
        <v>1075</v>
      </c>
      <c r="H4965">
        <v>-1.22641201389819E-3</v>
      </c>
      <c r="I4965" t="s">
        <v>1077</v>
      </c>
      <c r="J4965">
        <v>9.17</v>
      </c>
    </row>
    <row r="4966" spans="1:10" hidden="1">
      <c r="A4966" t="s">
        <v>3466</v>
      </c>
      <c r="B4966" t="s">
        <v>3467</v>
      </c>
      <c r="C4966" t="s">
        <v>235</v>
      </c>
      <c r="D4966" t="s">
        <v>1307</v>
      </c>
      <c r="E4966" t="s">
        <v>558</v>
      </c>
      <c r="F4966" t="s">
        <v>1068</v>
      </c>
      <c r="G4966" t="s">
        <v>1078</v>
      </c>
      <c r="H4966">
        <v>-0.643826267470201</v>
      </c>
      <c r="I4966" t="s">
        <v>1079</v>
      </c>
      <c r="J4966">
        <v>9.17</v>
      </c>
    </row>
    <row r="4967" spans="1:10" hidden="1">
      <c r="A4967" t="s">
        <v>3466</v>
      </c>
      <c r="B4967" t="s">
        <v>3467</v>
      </c>
      <c r="C4967" t="s">
        <v>235</v>
      </c>
      <c r="D4967" t="s">
        <v>1307</v>
      </c>
      <c r="E4967" t="s">
        <v>558</v>
      </c>
      <c r="F4967" t="s">
        <v>1068</v>
      </c>
      <c r="G4967" t="s">
        <v>1080</v>
      </c>
      <c r="H4967" s="171" t="s">
        <v>3468</v>
      </c>
      <c r="I4967" t="s">
        <v>1082</v>
      </c>
      <c r="J4967">
        <v>9.17</v>
      </c>
    </row>
    <row r="4968" spans="1:10" hidden="1">
      <c r="A4968" t="s">
        <v>3466</v>
      </c>
      <c r="B4968" t="s">
        <v>3467</v>
      </c>
      <c r="C4968" t="s">
        <v>235</v>
      </c>
      <c r="D4968" t="s">
        <v>1307</v>
      </c>
      <c r="E4968" t="s">
        <v>558</v>
      </c>
      <c r="F4968" t="s">
        <v>1068</v>
      </c>
      <c r="G4968" t="s">
        <v>1083</v>
      </c>
      <c r="H4968" s="170">
        <v>-2.5209328259770801E-5</v>
      </c>
      <c r="I4968" t="s">
        <v>1084</v>
      </c>
      <c r="J4968">
        <v>9.17</v>
      </c>
    </row>
    <row r="4969" spans="1:10" hidden="1">
      <c r="A4969" t="s">
        <v>3466</v>
      </c>
      <c r="B4969" t="s">
        <v>3467</v>
      </c>
      <c r="C4969" t="s">
        <v>235</v>
      </c>
      <c r="D4969" t="s">
        <v>1307</v>
      </c>
      <c r="E4969" t="s">
        <v>558</v>
      </c>
      <c r="F4969" t="s">
        <v>1068</v>
      </c>
      <c r="G4969" t="s">
        <v>1085</v>
      </c>
      <c r="H4969">
        <v>-2.28656338367858E-4</v>
      </c>
      <c r="I4969" t="s">
        <v>1086</v>
      </c>
      <c r="J4969">
        <v>9.17</v>
      </c>
    </row>
    <row r="4970" spans="1:10" hidden="1">
      <c r="A4970" t="s">
        <v>3466</v>
      </c>
      <c r="B4970" t="s">
        <v>3467</v>
      </c>
      <c r="C4970" t="s">
        <v>235</v>
      </c>
      <c r="D4970" t="s">
        <v>1307</v>
      </c>
      <c r="E4970" t="s">
        <v>558</v>
      </c>
      <c r="F4970" t="s">
        <v>1068</v>
      </c>
      <c r="G4970" t="s">
        <v>1087</v>
      </c>
      <c r="H4970" s="170">
        <v>-6.0055931316790395E-8</v>
      </c>
      <c r="I4970" t="s">
        <v>1088</v>
      </c>
      <c r="J4970">
        <v>9.17</v>
      </c>
    </row>
    <row r="4971" spans="1:10" hidden="1">
      <c r="A4971" t="s">
        <v>3466</v>
      </c>
      <c r="B4971" t="s">
        <v>3467</v>
      </c>
      <c r="C4971" t="s">
        <v>235</v>
      </c>
      <c r="D4971" t="s">
        <v>1307</v>
      </c>
      <c r="E4971" t="s">
        <v>558</v>
      </c>
      <c r="F4971" t="s">
        <v>1068</v>
      </c>
      <c r="G4971" t="s">
        <v>1089</v>
      </c>
      <c r="H4971" s="170">
        <v>-3.5735868488503501E-5</v>
      </c>
      <c r="I4971" t="s">
        <v>1090</v>
      </c>
      <c r="J4971">
        <v>9.17</v>
      </c>
    </row>
    <row r="4972" spans="1:10" hidden="1">
      <c r="A4972" t="s">
        <v>3469</v>
      </c>
      <c r="B4972" t="s">
        <v>3470</v>
      </c>
      <c r="C4972" t="s">
        <v>235</v>
      </c>
      <c r="D4972" t="s">
        <v>1307</v>
      </c>
      <c r="E4972" t="s">
        <v>553</v>
      </c>
      <c r="F4972" t="s">
        <v>1068</v>
      </c>
      <c r="G4972" t="s">
        <v>1069</v>
      </c>
      <c r="H4972">
        <v>-0.120066669629282</v>
      </c>
      <c r="I4972" t="s">
        <v>1070</v>
      </c>
      <c r="J4972">
        <v>7.24</v>
      </c>
    </row>
    <row r="4973" spans="1:10" hidden="1">
      <c r="A4973" t="s">
        <v>3469</v>
      </c>
      <c r="B4973" t="s">
        <v>3470</v>
      </c>
      <c r="C4973" t="s">
        <v>235</v>
      </c>
      <c r="D4973" t="s">
        <v>1307</v>
      </c>
      <c r="E4973" t="s">
        <v>553</v>
      </c>
      <c r="F4973" t="s">
        <v>1068</v>
      </c>
      <c r="G4973" t="s">
        <v>1071</v>
      </c>
      <c r="H4973" s="170">
        <v>-2.3772880012254101E-10</v>
      </c>
      <c r="I4973" t="s">
        <v>1072</v>
      </c>
      <c r="J4973">
        <v>7.24</v>
      </c>
    </row>
    <row r="4974" spans="1:10" hidden="1">
      <c r="A4974" t="s">
        <v>3469</v>
      </c>
      <c r="B4974" t="s">
        <v>3470</v>
      </c>
      <c r="C4974" t="s">
        <v>235</v>
      </c>
      <c r="D4974" t="s">
        <v>1307</v>
      </c>
      <c r="E4974" t="s">
        <v>553</v>
      </c>
      <c r="F4974" t="s">
        <v>1068</v>
      </c>
      <c r="G4974" t="s">
        <v>1073</v>
      </c>
      <c r="H4974" s="170">
        <v>-3.9700999445340803E-8</v>
      </c>
      <c r="I4974" t="s">
        <v>1074</v>
      </c>
      <c r="J4974">
        <v>7.24</v>
      </c>
    </row>
    <row r="4975" spans="1:10" hidden="1">
      <c r="A4975" t="s">
        <v>3469</v>
      </c>
      <c r="B4975" t="s">
        <v>3470</v>
      </c>
      <c r="C4975" t="s">
        <v>235</v>
      </c>
      <c r="D4975" t="s">
        <v>1307</v>
      </c>
      <c r="E4975" t="s">
        <v>553</v>
      </c>
      <c r="F4975" t="s">
        <v>1068</v>
      </c>
      <c r="G4975" t="s">
        <v>1075</v>
      </c>
      <c r="H4975">
        <v>-1.1453106430079601E-3</v>
      </c>
      <c r="I4975" t="s">
        <v>1077</v>
      </c>
      <c r="J4975">
        <v>7.24</v>
      </c>
    </row>
    <row r="4976" spans="1:10" hidden="1">
      <c r="A4976" t="s">
        <v>3469</v>
      </c>
      <c r="B4976" t="s">
        <v>3470</v>
      </c>
      <c r="C4976" t="s">
        <v>235</v>
      </c>
      <c r="D4976" t="s">
        <v>1307</v>
      </c>
      <c r="E4976" t="s">
        <v>553</v>
      </c>
      <c r="F4976" t="s">
        <v>1068</v>
      </c>
      <c r="G4976" t="s">
        <v>1078</v>
      </c>
      <c r="H4976">
        <v>-0.63000031941498502</v>
      </c>
      <c r="I4976" t="s">
        <v>1079</v>
      </c>
      <c r="J4976">
        <v>7.24</v>
      </c>
    </row>
    <row r="4977" spans="1:10" hidden="1">
      <c r="A4977" t="s">
        <v>3469</v>
      </c>
      <c r="B4977" t="s">
        <v>3470</v>
      </c>
      <c r="C4977" t="s">
        <v>235</v>
      </c>
      <c r="D4977" t="s">
        <v>1307</v>
      </c>
      <c r="E4977" t="s">
        <v>553</v>
      </c>
      <c r="F4977" t="s">
        <v>1068</v>
      </c>
      <c r="G4977" t="s">
        <v>1080</v>
      </c>
      <c r="H4977" s="171" t="s">
        <v>3471</v>
      </c>
      <c r="I4977" t="s">
        <v>1082</v>
      </c>
      <c r="J4977">
        <v>7.24</v>
      </c>
    </row>
    <row r="4978" spans="1:10" hidden="1">
      <c r="A4978" t="s">
        <v>3469</v>
      </c>
      <c r="B4978" t="s">
        <v>3470</v>
      </c>
      <c r="C4978" t="s">
        <v>235</v>
      </c>
      <c r="D4978" t="s">
        <v>1307</v>
      </c>
      <c r="E4978" t="s">
        <v>553</v>
      </c>
      <c r="F4978" t="s">
        <v>1068</v>
      </c>
      <c r="G4978" t="s">
        <v>1083</v>
      </c>
      <c r="H4978" s="170">
        <v>-2.4954199704902001E-5</v>
      </c>
      <c r="I4978" t="s">
        <v>1084</v>
      </c>
      <c r="J4978">
        <v>7.24</v>
      </c>
    </row>
    <row r="4979" spans="1:10" hidden="1">
      <c r="A4979" t="s">
        <v>3469</v>
      </c>
      <c r="B4979" t="s">
        <v>3470</v>
      </c>
      <c r="C4979" t="s">
        <v>235</v>
      </c>
      <c r="D4979" t="s">
        <v>1307</v>
      </c>
      <c r="E4979" t="s">
        <v>553</v>
      </c>
      <c r="F4979" t="s">
        <v>1068</v>
      </c>
      <c r="G4979" t="s">
        <v>1085</v>
      </c>
      <c r="H4979">
        <v>-2.2562455742279101E-4</v>
      </c>
      <c r="I4979" t="s">
        <v>1086</v>
      </c>
      <c r="J4979">
        <v>7.24</v>
      </c>
    </row>
    <row r="4980" spans="1:10" hidden="1">
      <c r="A4980" t="s">
        <v>3469</v>
      </c>
      <c r="B4980" t="s">
        <v>3470</v>
      </c>
      <c r="C4980" t="s">
        <v>235</v>
      </c>
      <c r="D4980" t="s">
        <v>1307</v>
      </c>
      <c r="E4980" t="s">
        <v>553</v>
      </c>
      <c r="F4980" t="s">
        <v>1068</v>
      </c>
      <c r="G4980" t="s">
        <v>1087</v>
      </c>
      <c r="H4980" s="170">
        <v>-5.7663639868739702E-8</v>
      </c>
      <c r="I4980" t="s">
        <v>1088</v>
      </c>
      <c r="J4980">
        <v>7.24</v>
      </c>
    </row>
    <row r="4981" spans="1:10" hidden="1">
      <c r="A4981" t="s">
        <v>3469</v>
      </c>
      <c r="B4981" t="s">
        <v>3470</v>
      </c>
      <c r="C4981" t="s">
        <v>235</v>
      </c>
      <c r="D4981" t="s">
        <v>1307</v>
      </c>
      <c r="E4981" t="s">
        <v>553</v>
      </c>
      <c r="F4981" t="s">
        <v>1068</v>
      </c>
      <c r="G4981" t="s">
        <v>1089</v>
      </c>
      <c r="H4981" s="170">
        <v>-3.51390386243451E-5</v>
      </c>
      <c r="I4981" t="s">
        <v>1090</v>
      </c>
      <c r="J4981">
        <v>7.24</v>
      </c>
    </row>
    <row r="4982" spans="1:10" hidden="1">
      <c r="A4982" t="s">
        <v>3472</v>
      </c>
      <c r="B4982" t="s">
        <v>3473</v>
      </c>
      <c r="C4982" t="s">
        <v>235</v>
      </c>
      <c r="D4982" t="s">
        <v>1307</v>
      </c>
      <c r="E4982" t="s">
        <v>556</v>
      </c>
      <c r="F4982" t="s">
        <v>1068</v>
      </c>
      <c r="G4982" t="s">
        <v>1069</v>
      </c>
      <c r="H4982">
        <v>-0.13456535334836101</v>
      </c>
      <c r="I4982" t="s">
        <v>1070</v>
      </c>
      <c r="J4982">
        <v>7.74</v>
      </c>
    </row>
    <row r="4983" spans="1:10" hidden="1">
      <c r="A4983" t="s">
        <v>3472</v>
      </c>
      <c r="B4983" t="s">
        <v>3473</v>
      </c>
      <c r="C4983" t="s">
        <v>235</v>
      </c>
      <c r="D4983" t="s">
        <v>1307</v>
      </c>
      <c r="E4983" t="s">
        <v>556</v>
      </c>
      <c r="F4983" t="s">
        <v>1068</v>
      </c>
      <c r="G4983" t="s">
        <v>1071</v>
      </c>
      <c r="H4983" s="170">
        <v>-2.5823398680790101E-10</v>
      </c>
      <c r="I4983" t="s">
        <v>1072</v>
      </c>
      <c r="J4983">
        <v>7.74</v>
      </c>
    </row>
    <row r="4984" spans="1:10" hidden="1">
      <c r="A4984" t="s">
        <v>3472</v>
      </c>
      <c r="B4984" t="s">
        <v>3473</v>
      </c>
      <c r="C4984" t="s">
        <v>235</v>
      </c>
      <c r="D4984" t="s">
        <v>1307</v>
      </c>
      <c r="E4984" t="s">
        <v>556</v>
      </c>
      <c r="F4984" t="s">
        <v>1068</v>
      </c>
      <c r="G4984" t="s">
        <v>1073</v>
      </c>
      <c r="H4984" s="170">
        <v>-4.4844031753409603E-8</v>
      </c>
      <c r="I4984" t="s">
        <v>1074</v>
      </c>
      <c r="J4984">
        <v>7.74</v>
      </c>
    </row>
    <row r="4985" spans="1:10" hidden="1">
      <c r="A4985" t="s">
        <v>3472</v>
      </c>
      <c r="B4985" t="s">
        <v>3473</v>
      </c>
      <c r="C4985" t="s">
        <v>235</v>
      </c>
      <c r="D4985" t="s">
        <v>1307</v>
      </c>
      <c r="E4985" t="s">
        <v>556</v>
      </c>
      <c r="F4985" t="s">
        <v>1068</v>
      </c>
      <c r="G4985" t="s">
        <v>1075</v>
      </c>
      <c r="H4985">
        <v>-1.4976245470395199E-3</v>
      </c>
      <c r="I4985" t="s">
        <v>1077</v>
      </c>
      <c r="J4985">
        <v>7.74</v>
      </c>
    </row>
    <row r="4986" spans="1:10" hidden="1">
      <c r="A4986" t="s">
        <v>3472</v>
      </c>
      <c r="B4986" t="s">
        <v>3473</v>
      </c>
      <c r="C4986" t="s">
        <v>235</v>
      </c>
      <c r="D4986" t="s">
        <v>1307</v>
      </c>
      <c r="E4986" t="s">
        <v>556</v>
      </c>
      <c r="F4986" t="s">
        <v>1068</v>
      </c>
      <c r="G4986" t="s">
        <v>1078</v>
      </c>
      <c r="H4986">
        <v>-0.60576406900190205</v>
      </c>
      <c r="I4986" t="s">
        <v>1079</v>
      </c>
      <c r="J4986">
        <v>7.74</v>
      </c>
    </row>
    <row r="4987" spans="1:10" hidden="1">
      <c r="A4987" t="s">
        <v>3472</v>
      </c>
      <c r="B4987" t="s">
        <v>3473</v>
      </c>
      <c r="C4987" t="s">
        <v>235</v>
      </c>
      <c r="D4987" t="s">
        <v>1307</v>
      </c>
      <c r="E4987" t="s">
        <v>556</v>
      </c>
      <c r="F4987" t="s">
        <v>1068</v>
      </c>
      <c r="G4987" t="s">
        <v>1080</v>
      </c>
      <c r="H4987" s="171" t="s">
        <v>3474</v>
      </c>
      <c r="I4987" t="s">
        <v>1082</v>
      </c>
      <c r="J4987">
        <v>7.74</v>
      </c>
    </row>
    <row r="4988" spans="1:10" hidden="1">
      <c r="A4988" t="s">
        <v>3472</v>
      </c>
      <c r="B4988" t="s">
        <v>3473</v>
      </c>
      <c r="C4988" t="s">
        <v>235</v>
      </c>
      <c r="D4988" t="s">
        <v>1307</v>
      </c>
      <c r="E4988" t="s">
        <v>556</v>
      </c>
      <c r="F4988" t="s">
        <v>1068</v>
      </c>
      <c r="G4988" t="s">
        <v>1083</v>
      </c>
      <c r="H4988" s="170">
        <v>-2.7157977504450601E-5</v>
      </c>
      <c r="I4988" t="s">
        <v>1084</v>
      </c>
      <c r="J4988">
        <v>7.74</v>
      </c>
    </row>
    <row r="4989" spans="1:10" hidden="1">
      <c r="A4989" t="s">
        <v>3472</v>
      </c>
      <c r="B4989" t="s">
        <v>3473</v>
      </c>
      <c r="C4989" t="s">
        <v>235</v>
      </c>
      <c r="D4989" t="s">
        <v>1307</v>
      </c>
      <c r="E4989" t="s">
        <v>556</v>
      </c>
      <c r="F4989" t="s">
        <v>1068</v>
      </c>
      <c r="G4989" t="s">
        <v>1085</v>
      </c>
      <c r="H4989">
        <v>-2.4997339158199601E-4</v>
      </c>
      <c r="I4989" t="s">
        <v>1086</v>
      </c>
      <c r="J4989">
        <v>7.74</v>
      </c>
    </row>
    <row r="4990" spans="1:10" hidden="1">
      <c r="A4990" t="s">
        <v>3472</v>
      </c>
      <c r="B4990" t="s">
        <v>3473</v>
      </c>
      <c r="C4990" t="s">
        <v>235</v>
      </c>
      <c r="D4990" t="s">
        <v>1307</v>
      </c>
      <c r="E4990" t="s">
        <v>556</v>
      </c>
      <c r="F4990" t="s">
        <v>1068</v>
      </c>
      <c r="G4990" t="s">
        <v>1087</v>
      </c>
      <c r="H4990" s="170">
        <v>-6.9684311338697606E-8</v>
      </c>
      <c r="I4990" t="s">
        <v>1088</v>
      </c>
      <c r="J4990">
        <v>7.74</v>
      </c>
    </row>
    <row r="4991" spans="1:10" hidden="1">
      <c r="A4991" t="s">
        <v>3472</v>
      </c>
      <c r="B4991" t="s">
        <v>3473</v>
      </c>
      <c r="C4991" t="s">
        <v>235</v>
      </c>
      <c r="D4991" t="s">
        <v>1307</v>
      </c>
      <c r="E4991" t="s">
        <v>556</v>
      </c>
      <c r="F4991" t="s">
        <v>1068</v>
      </c>
      <c r="G4991" t="s">
        <v>1089</v>
      </c>
      <c r="H4991" s="170">
        <v>-4.0277491430699703E-5</v>
      </c>
      <c r="I4991" t="s">
        <v>1090</v>
      </c>
      <c r="J4991">
        <v>7.74</v>
      </c>
    </row>
    <row r="4992" spans="1:10" hidden="1">
      <c r="A4992" t="s">
        <v>3475</v>
      </c>
      <c r="B4992" t="s">
        <v>3476</v>
      </c>
      <c r="C4992" t="s">
        <v>235</v>
      </c>
      <c r="D4992" t="s">
        <v>1307</v>
      </c>
      <c r="E4992" t="s">
        <v>557</v>
      </c>
      <c r="F4992" t="s">
        <v>1068</v>
      </c>
      <c r="G4992" t="s">
        <v>1069</v>
      </c>
      <c r="H4992">
        <v>-0.13016914797454099</v>
      </c>
      <c r="I4992" t="s">
        <v>1070</v>
      </c>
      <c r="J4992">
        <v>7.31</v>
      </c>
    </row>
    <row r="4993" spans="1:10" hidden="1">
      <c r="A4993" t="s">
        <v>3475</v>
      </c>
      <c r="B4993" t="s">
        <v>3476</v>
      </c>
      <c r="C4993" t="s">
        <v>235</v>
      </c>
      <c r="D4993" t="s">
        <v>1307</v>
      </c>
      <c r="E4993" t="s">
        <v>557</v>
      </c>
      <c r="F4993" t="s">
        <v>1068</v>
      </c>
      <c r="G4993" t="s">
        <v>1071</v>
      </c>
      <c r="H4993" s="170">
        <v>-2.5223336739408901E-10</v>
      </c>
      <c r="I4993" t="s">
        <v>1072</v>
      </c>
      <c r="J4993">
        <v>7.31</v>
      </c>
    </row>
    <row r="4994" spans="1:10" hidden="1">
      <c r="A4994" t="s">
        <v>3475</v>
      </c>
      <c r="B4994" t="s">
        <v>3476</v>
      </c>
      <c r="C4994" t="s">
        <v>235</v>
      </c>
      <c r="D4994" t="s">
        <v>1307</v>
      </c>
      <c r="E4994" t="s">
        <v>557</v>
      </c>
      <c r="F4994" t="s">
        <v>1068</v>
      </c>
      <c r="G4994" t="s">
        <v>1073</v>
      </c>
      <c r="H4994" s="170">
        <v>-4.3285338930813203E-8</v>
      </c>
      <c r="I4994" t="s">
        <v>1074</v>
      </c>
      <c r="J4994">
        <v>7.31</v>
      </c>
    </row>
    <row r="4995" spans="1:10" hidden="1">
      <c r="A4995" t="s">
        <v>3475</v>
      </c>
      <c r="B4995" t="s">
        <v>3476</v>
      </c>
      <c r="C4995" t="s">
        <v>235</v>
      </c>
      <c r="D4995" t="s">
        <v>1307</v>
      </c>
      <c r="E4995" t="s">
        <v>557</v>
      </c>
      <c r="F4995" t="s">
        <v>1068</v>
      </c>
      <c r="G4995" t="s">
        <v>1075</v>
      </c>
      <c r="H4995">
        <v>-1.4920770801706E-3</v>
      </c>
      <c r="I4995" t="s">
        <v>1077</v>
      </c>
      <c r="J4995">
        <v>7.31</v>
      </c>
    </row>
    <row r="4996" spans="1:10" hidden="1">
      <c r="A4996" t="s">
        <v>3475</v>
      </c>
      <c r="B4996" t="s">
        <v>3476</v>
      </c>
      <c r="C4996" t="s">
        <v>235</v>
      </c>
      <c r="D4996" t="s">
        <v>1307</v>
      </c>
      <c r="E4996" t="s">
        <v>557</v>
      </c>
      <c r="F4996" t="s">
        <v>1068</v>
      </c>
      <c r="G4996" t="s">
        <v>1078</v>
      </c>
      <c r="H4996">
        <v>-0.65531464971066899</v>
      </c>
      <c r="I4996" t="s">
        <v>1079</v>
      </c>
      <c r="J4996">
        <v>7.31</v>
      </c>
    </row>
    <row r="4997" spans="1:10" hidden="1">
      <c r="A4997" t="s">
        <v>3475</v>
      </c>
      <c r="B4997" t="s">
        <v>3476</v>
      </c>
      <c r="C4997" t="s">
        <v>235</v>
      </c>
      <c r="D4997" t="s">
        <v>1307</v>
      </c>
      <c r="E4997" t="s">
        <v>557</v>
      </c>
      <c r="F4997" t="s">
        <v>1068</v>
      </c>
      <c r="G4997" t="s">
        <v>1080</v>
      </c>
      <c r="H4997" s="171" t="s">
        <v>3477</v>
      </c>
      <c r="I4997" t="s">
        <v>1082</v>
      </c>
      <c r="J4997">
        <v>7.31</v>
      </c>
    </row>
    <row r="4998" spans="1:10" hidden="1">
      <c r="A4998" t="s">
        <v>3475</v>
      </c>
      <c r="B4998" t="s">
        <v>3476</v>
      </c>
      <c r="C4998" t="s">
        <v>235</v>
      </c>
      <c r="D4998" t="s">
        <v>1307</v>
      </c>
      <c r="E4998" t="s">
        <v>557</v>
      </c>
      <c r="F4998" t="s">
        <v>1068</v>
      </c>
      <c r="G4998" t="s">
        <v>1083</v>
      </c>
      <c r="H4998" s="170">
        <v>-2.6486768861794601E-5</v>
      </c>
      <c r="I4998" t="s">
        <v>1084</v>
      </c>
      <c r="J4998">
        <v>7.31</v>
      </c>
    </row>
    <row r="4999" spans="1:10" hidden="1">
      <c r="A4999" t="s">
        <v>3475</v>
      </c>
      <c r="B4999" t="s">
        <v>3476</v>
      </c>
      <c r="C4999" t="s">
        <v>235</v>
      </c>
      <c r="D4999" t="s">
        <v>1307</v>
      </c>
      <c r="E4999" t="s">
        <v>557</v>
      </c>
      <c r="F4999" t="s">
        <v>1068</v>
      </c>
      <c r="G4999" t="s">
        <v>1085</v>
      </c>
      <c r="H4999">
        <v>-2.4309400982988001E-4</v>
      </c>
      <c r="I4999" t="s">
        <v>1086</v>
      </c>
      <c r="J4999">
        <v>7.31</v>
      </c>
    </row>
    <row r="5000" spans="1:10" hidden="1">
      <c r="A5000" t="s">
        <v>3475</v>
      </c>
      <c r="B5000" t="s">
        <v>3476</v>
      </c>
      <c r="C5000" t="s">
        <v>235</v>
      </c>
      <c r="D5000" t="s">
        <v>1307</v>
      </c>
      <c r="E5000" t="s">
        <v>557</v>
      </c>
      <c r="F5000" t="s">
        <v>1068</v>
      </c>
      <c r="G5000" t="s">
        <v>1087</v>
      </c>
      <c r="H5000" s="170">
        <v>-6.7023617486985505E-8</v>
      </c>
      <c r="I5000" t="s">
        <v>1088</v>
      </c>
      <c r="J5000">
        <v>7.31</v>
      </c>
    </row>
    <row r="5001" spans="1:10" hidden="1">
      <c r="A5001" t="s">
        <v>3475</v>
      </c>
      <c r="B5001" t="s">
        <v>3476</v>
      </c>
      <c r="C5001" t="s">
        <v>235</v>
      </c>
      <c r="D5001" t="s">
        <v>1307</v>
      </c>
      <c r="E5001" t="s">
        <v>557</v>
      </c>
      <c r="F5001" t="s">
        <v>1068</v>
      </c>
      <c r="G5001" t="s">
        <v>1089</v>
      </c>
      <c r="H5001" s="170">
        <v>-3.87143316005282E-5</v>
      </c>
      <c r="I5001" t="s">
        <v>1090</v>
      </c>
      <c r="J5001">
        <v>7.31</v>
      </c>
    </row>
    <row r="5002" spans="1:10" hidden="1">
      <c r="A5002" t="s">
        <v>3478</v>
      </c>
      <c r="B5002" t="s">
        <v>3479</v>
      </c>
      <c r="C5002" t="s">
        <v>235</v>
      </c>
      <c r="D5002" t="s">
        <v>1307</v>
      </c>
      <c r="E5002" t="s">
        <v>559</v>
      </c>
      <c r="F5002" t="s">
        <v>1068</v>
      </c>
      <c r="G5002" t="s">
        <v>1069</v>
      </c>
      <c r="H5002">
        <v>-0.137290756189798</v>
      </c>
      <c r="I5002" t="s">
        <v>1070</v>
      </c>
      <c r="J5002">
        <v>7.86</v>
      </c>
    </row>
    <row r="5003" spans="1:10" hidden="1">
      <c r="A5003" t="s">
        <v>3478</v>
      </c>
      <c r="B5003" t="s">
        <v>3479</v>
      </c>
      <c r="C5003" t="s">
        <v>235</v>
      </c>
      <c r="D5003" t="s">
        <v>1307</v>
      </c>
      <c r="E5003" t="s">
        <v>559</v>
      </c>
      <c r="F5003" t="s">
        <v>1068</v>
      </c>
      <c r="G5003" t="s">
        <v>1071</v>
      </c>
      <c r="H5003" s="170">
        <v>-2.6237666394708398E-10</v>
      </c>
      <c r="I5003" t="s">
        <v>1072</v>
      </c>
      <c r="J5003">
        <v>7.86</v>
      </c>
    </row>
    <row r="5004" spans="1:10" hidden="1">
      <c r="A5004" t="s">
        <v>3478</v>
      </c>
      <c r="B5004" t="s">
        <v>3479</v>
      </c>
      <c r="C5004" t="s">
        <v>235</v>
      </c>
      <c r="D5004" t="s">
        <v>1307</v>
      </c>
      <c r="E5004" t="s">
        <v>559</v>
      </c>
      <c r="F5004" t="s">
        <v>1068</v>
      </c>
      <c r="G5004" t="s">
        <v>1073</v>
      </c>
      <c r="H5004" s="170">
        <v>-4.58190494919643E-8</v>
      </c>
      <c r="I5004" t="s">
        <v>1074</v>
      </c>
      <c r="J5004">
        <v>7.86</v>
      </c>
    </row>
    <row r="5005" spans="1:10" hidden="1">
      <c r="A5005" t="s">
        <v>3478</v>
      </c>
      <c r="B5005" t="s">
        <v>3479</v>
      </c>
      <c r="C5005" t="s">
        <v>235</v>
      </c>
      <c r="D5005" t="s">
        <v>1307</v>
      </c>
      <c r="E5005" t="s">
        <v>559</v>
      </c>
      <c r="F5005" t="s">
        <v>1068</v>
      </c>
      <c r="G5005" t="s">
        <v>1075</v>
      </c>
      <c r="H5005">
        <v>-1.6897824191517399E-3</v>
      </c>
      <c r="I5005" t="s">
        <v>1077</v>
      </c>
      <c r="J5005">
        <v>7.86</v>
      </c>
    </row>
    <row r="5006" spans="1:10" hidden="1">
      <c r="A5006" t="s">
        <v>3478</v>
      </c>
      <c r="B5006" t="s">
        <v>3479</v>
      </c>
      <c r="C5006" t="s">
        <v>235</v>
      </c>
      <c r="D5006" t="s">
        <v>1307</v>
      </c>
      <c r="E5006" t="s">
        <v>559</v>
      </c>
      <c r="F5006" t="s">
        <v>1068</v>
      </c>
      <c r="G5006" t="s">
        <v>1078</v>
      </c>
      <c r="H5006">
        <v>-0.653545379257638</v>
      </c>
      <c r="I5006" t="s">
        <v>1079</v>
      </c>
      <c r="J5006">
        <v>7.86</v>
      </c>
    </row>
    <row r="5007" spans="1:10" hidden="1">
      <c r="A5007" t="s">
        <v>3478</v>
      </c>
      <c r="B5007" t="s">
        <v>3479</v>
      </c>
      <c r="C5007" t="s">
        <v>235</v>
      </c>
      <c r="D5007" t="s">
        <v>1307</v>
      </c>
      <c r="E5007" t="s">
        <v>559</v>
      </c>
      <c r="F5007" t="s">
        <v>1068</v>
      </c>
      <c r="G5007" t="s">
        <v>1080</v>
      </c>
      <c r="H5007" s="171" t="s">
        <v>3480</v>
      </c>
      <c r="I5007" t="s">
        <v>1082</v>
      </c>
      <c r="J5007">
        <v>7.86</v>
      </c>
    </row>
    <row r="5008" spans="1:10" hidden="1">
      <c r="A5008" t="s">
        <v>3478</v>
      </c>
      <c r="B5008" t="s">
        <v>3479</v>
      </c>
      <c r="C5008" t="s">
        <v>235</v>
      </c>
      <c r="D5008" t="s">
        <v>1307</v>
      </c>
      <c r="E5008" t="s">
        <v>559</v>
      </c>
      <c r="F5008" t="s">
        <v>1068</v>
      </c>
      <c r="G5008" t="s">
        <v>1083</v>
      </c>
      <c r="H5008" s="170">
        <v>-2.7572272013998501E-5</v>
      </c>
      <c r="I5008" t="s">
        <v>1084</v>
      </c>
      <c r="J5008">
        <v>7.86</v>
      </c>
    </row>
    <row r="5009" spans="1:10" hidden="1">
      <c r="A5009" t="s">
        <v>3478</v>
      </c>
      <c r="B5009" t="s">
        <v>3479</v>
      </c>
      <c r="C5009" t="s">
        <v>235</v>
      </c>
      <c r="D5009" t="s">
        <v>1307</v>
      </c>
      <c r="E5009" t="s">
        <v>559</v>
      </c>
      <c r="F5009" t="s">
        <v>1068</v>
      </c>
      <c r="G5009" t="s">
        <v>1085</v>
      </c>
      <c r="H5009">
        <v>-2.5521408808485801E-4</v>
      </c>
      <c r="I5009" t="s">
        <v>1086</v>
      </c>
      <c r="J5009">
        <v>7.86</v>
      </c>
    </row>
    <row r="5010" spans="1:10" hidden="1">
      <c r="A5010" t="s">
        <v>3478</v>
      </c>
      <c r="B5010" t="s">
        <v>3479</v>
      </c>
      <c r="C5010" t="s">
        <v>235</v>
      </c>
      <c r="D5010" t="s">
        <v>1307</v>
      </c>
      <c r="E5010" t="s">
        <v>559</v>
      </c>
      <c r="F5010" t="s">
        <v>1068</v>
      </c>
      <c r="G5010" t="s">
        <v>1087</v>
      </c>
      <c r="H5010" s="170">
        <v>-7.1943682472491307E-8</v>
      </c>
      <c r="I5010" t="s">
        <v>1088</v>
      </c>
      <c r="J5010">
        <v>7.86</v>
      </c>
    </row>
    <row r="5011" spans="1:10" hidden="1">
      <c r="A5011" t="s">
        <v>3478</v>
      </c>
      <c r="B5011" t="s">
        <v>3479</v>
      </c>
      <c r="C5011" t="s">
        <v>235</v>
      </c>
      <c r="D5011" t="s">
        <v>1307</v>
      </c>
      <c r="E5011" t="s">
        <v>559</v>
      </c>
      <c r="F5011" t="s">
        <v>1068</v>
      </c>
      <c r="G5011" t="s">
        <v>1089</v>
      </c>
      <c r="H5011" s="170">
        <v>-4.12433003684162E-5</v>
      </c>
      <c r="I5011" t="s">
        <v>1090</v>
      </c>
      <c r="J5011">
        <v>7.86</v>
      </c>
    </row>
    <row r="5012" spans="1:10" hidden="1">
      <c r="A5012" t="s">
        <v>3481</v>
      </c>
      <c r="B5012" t="s">
        <v>3482</v>
      </c>
      <c r="C5012" t="s">
        <v>235</v>
      </c>
      <c r="D5012" t="s">
        <v>1307</v>
      </c>
      <c r="E5012" t="s">
        <v>560</v>
      </c>
      <c r="F5012" t="s">
        <v>1068</v>
      </c>
      <c r="G5012" t="s">
        <v>1069</v>
      </c>
      <c r="H5012">
        <v>-0.13465137660843199</v>
      </c>
      <c r="I5012" t="s">
        <v>1070</v>
      </c>
      <c r="J5012">
        <v>7.6</v>
      </c>
    </row>
    <row r="5013" spans="1:10" hidden="1">
      <c r="A5013" t="s">
        <v>3481</v>
      </c>
      <c r="B5013" t="s">
        <v>3482</v>
      </c>
      <c r="C5013" t="s">
        <v>235</v>
      </c>
      <c r="D5013" t="s">
        <v>1307</v>
      </c>
      <c r="E5013" t="s">
        <v>560</v>
      </c>
      <c r="F5013" t="s">
        <v>1068</v>
      </c>
      <c r="G5013" t="s">
        <v>1071</v>
      </c>
      <c r="H5013" s="170">
        <v>-2.5864748756298299E-10</v>
      </c>
      <c r="I5013" t="s">
        <v>1072</v>
      </c>
      <c r="J5013">
        <v>7.6</v>
      </c>
    </row>
    <row r="5014" spans="1:10" hidden="1">
      <c r="A5014" t="s">
        <v>3481</v>
      </c>
      <c r="B5014" t="s">
        <v>3482</v>
      </c>
      <c r="C5014" t="s">
        <v>235</v>
      </c>
      <c r="D5014" t="s">
        <v>1307</v>
      </c>
      <c r="E5014" t="s">
        <v>560</v>
      </c>
      <c r="F5014" t="s">
        <v>1068</v>
      </c>
      <c r="G5014" t="s">
        <v>1073</v>
      </c>
      <c r="H5014" s="170">
        <v>-4.4877440724205897E-8</v>
      </c>
      <c r="I5014" t="s">
        <v>1074</v>
      </c>
      <c r="J5014">
        <v>7.6</v>
      </c>
    </row>
    <row r="5015" spans="1:10" hidden="1">
      <c r="A5015" t="s">
        <v>3481</v>
      </c>
      <c r="B5015" t="s">
        <v>3482</v>
      </c>
      <c r="C5015" t="s">
        <v>235</v>
      </c>
      <c r="D5015" t="s">
        <v>1307</v>
      </c>
      <c r="E5015" t="s">
        <v>560</v>
      </c>
      <c r="F5015" t="s">
        <v>1068</v>
      </c>
      <c r="G5015" t="s">
        <v>1075</v>
      </c>
      <c r="H5015">
        <v>-1.63376511551589E-3</v>
      </c>
      <c r="I5015" t="s">
        <v>1077</v>
      </c>
      <c r="J5015">
        <v>7.6</v>
      </c>
    </row>
    <row r="5016" spans="1:10" hidden="1">
      <c r="A5016" t="s">
        <v>3481</v>
      </c>
      <c r="B5016" t="s">
        <v>3482</v>
      </c>
      <c r="C5016" t="s">
        <v>235</v>
      </c>
      <c r="D5016" t="s">
        <v>1307</v>
      </c>
      <c r="E5016" t="s">
        <v>560</v>
      </c>
      <c r="F5016" t="s">
        <v>1068</v>
      </c>
      <c r="G5016" t="s">
        <v>1078</v>
      </c>
      <c r="H5016">
        <v>-0.66144178690558597</v>
      </c>
      <c r="I5016" t="s">
        <v>1079</v>
      </c>
      <c r="J5016">
        <v>7.6</v>
      </c>
    </row>
    <row r="5017" spans="1:10" hidden="1">
      <c r="A5017" t="s">
        <v>3481</v>
      </c>
      <c r="B5017" t="s">
        <v>3482</v>
      </c>
      <c r="C5017" t="s">
        <v>235</v>
      </c>
      <c r="D5017" t="s">
        <v>1307</v>
      </c>
      <c r="E5017" t="s">
        <v>560</v>
      </c>
      <c r="F5017" t="s">
        <v>1068</v>
      </c>
      <c r="G5017" t="s">
        <v>1080</v>
      </c>
      <c r="H5017" s="171" t="s">
        <v>3483</v>
      </c>
      <c r="I5017" t="s">
        <v>1082</v>
      </c>
      <c r="J5017">
        <v>7.6</v>
      </c>
    </row>
    <row r="5018" spans="1:10" hidden="1">
      <c r="A5018" t="s">
        <v>3481</v>
      </c>
      <c r="B5018" t="s">
        <v>3482</v>
      </c>
      <c r="C5018" t="s">
        <v>235</v>
      </c>
      <c r="D5018" t="s">
        <v>1307</v>
      </c>
      <c r="E5018" t="s">
        <v>560</v>
      </c>
      <c r="F5018" t="s">
        <v>1068</v>
      </c>
      <c r="G5018" t="s">
        <v>1083</v>
      </c>
      <c r="H5018" s="170">
        <v>-2.71680705162074E-5</v>
      </c>
      <c r="I5018" t="s">
        <v>1084</v>
      </c>
      <c r="J5018">
        <v>7.6</v>
      </c>
    </row>
    <row r="5019" spans="1:10" hidden="1">
      <c r="A5019" t="s">
        <v>3481</v>
      </c>
      <c r="B5019" t="s">
        <v>3482</v>
      </c>
      <c r="C5019" t="s">
        <v>235</v>
      </c>
      <c r="D5019" t="s">
        <v>1307</v>
      </c>
      <c r="E5019" t="s">
        <v>560</v>
      </c>
      <c r="F5019" t="s">
        <v>1068</v>
      </c>
      <c r="G5019" t="s">
        <v>1085</v>
      </c>
      <c r="H5019">
        <v>-2.5079410127629202E-4</v>
      </c>
      <c r="I5019" t="s">
        <v>1086</v>
      </c>
      <c r="J5019">
        <v>7.6</v>
      </c>
    </row>
    <row r="5020" spans="1:10" hidden="1">
      <c r="A5020" t="s">
        <v>3481</v>
      </c>
      <c r="B5020" t="s">
        <v>3482</v>
      </c>
      <c r="C5020" t="s">
        <v>235</v>
      </c>
      <c r="D5020" t="s">
        <v>1307</v>
      </c>
      <c r="E5020" t="s">
        <v>560</v>
      </c>
      <c r="F5020" t="s">
        <v>1068</v>
      </c>
      <c r="G5020" t="s">
        <v>1087</v>
      </c>
      <c r="H5020" s="170">
        <v>-7.0739716777756093E-8</v>
      </c>
      <c r="I5020" t="s">
        <v>1088</v>
      </c>
      <c r="J5020">
        <v>7.6</v>
      </c>
    </row>
    <row r="5021" spans="1:10" hidden="1">
      <c r="A5021" t="s">
        <v>3481</v>
      </c>
      <c r="B5021" t="s">
        <v>3482</v>
      </c>
      <c r="C5021" t="s">
        <v>235</v>
      </c>
      <c r="D5021" t="s">
        <v>1307</v>
      </c>
      <c r="E5021" t="s">
        <v>560</v>
      </c>
      <c r="F5021" t="s">
        <v>1068</v>
      </c>
      <c r="G5021" t="s">
        <v>1089</v>
      </c>
      <c r="H5021" s="170">
        <v>-4.0302845260274698E-5</v>
      </c>
      <c r="I5021" t="s">
        <v>1090</v>
      </c>
      <c r="J5021">
        <v>7.6</v>
      </c>
    </row>
    <row r="5022" spans="1:10" hidden="1">
      <c r="A5022" t="s">
        <v>3484</v>
      </c>
      <c r="B5022" t="s">
        <v>3485</v>
      </c>
      <c r="C5022" t="s">
        <v>235</v>
      </c>
      <c r="D5022" t="s">
        <v>1307</v>
      </c>
      <c r="E5022" t="s">
        <v>1116</v>
      </c>
      <c r="F5022" t="s">
        <v>1068</v>
      </c>
      <c r="G5022" t="s">
        <v>1069</v>
      </c>
      <c r="H5022">
        <v>-0.121047361948375</v>
      </c>
      <c r="I5022" t="s">
        <v>1070</v>
      </c>
      <c r="J5022">
        <v>9.3000000000000007</v>
      </c>
    </row>
    <row r="5023" spans="1:10" hidden="1">
      <c r="A5023" t="s">
        <v>3484</v>
      </c>
      <c r="B5023" t="s">
        <v>3485</v>
      </c>
      <c r="C5023" t="s">
        <v>235</v>
      </c>
      <c r="D5023" t="s">
        <v>1307</v>
      </c>
      <c r="E5023" t="s">
        <v>1116</v>
      </c>
      <c r="F5023" t="s">
        <v>1068</v>
      </c>
      <c r="G5023" t="s">
        <v>1071</v>
      </c>
      <c r="H5023" s="170">
        <v>-2.39179987813138E-10</v>
      </c>
      <c r="I5023" t="s">
        <v>1072</v>
      </c>
      <c r="J5023">
        <v>9.3000000000000007</v>
      </c>
    </row>
    <row r="5024" spans="1:10" hidden="1">
      <c r="A5024" t="s">
        <v>3484</v>
      </c>
      <c r="B5024" t="s">
        <v>3485</v>
      </c>
      <c r="C5024" t="s">
        <v>235</v>
      </c>
      <c r="D5024" t="s">
        <v>1307</v>
      </c>
      <c r="E5024" t="s">
        <v>1116</v>
      </c>
      <c r="F5024" t="s">
        <v>1068</v>
      </c>
      <c r="G5024" t="s">
        <v>1073</v>
      </c>
      <c r="H5024" s="170">
        <v>-4.00452516712306E-8</v>
      </c>
      <c r="I5024" t="s">
        <v>1074</v>
      </c>
      <c r="J5024">
        <v>9.3000000000000007</v>
      </c>
    </row>
    <row r="5025" spans="1:10" hidden="1">
      <c r="A5025" t="s">
        <v>3484</v>
      </c>
      <c r="B5025" t="s">
        <v>3485</v>
      </c>
      <c r="C5025" t="s">
        <v>235</v>
      </c>
      <c r="D5025" t="s">
        <v>1307</v>
      </c>
      <c r="E5025" t="s">
        <v>1116</v>
      </c>
      <c r="F5025" t="s">
        <v>1068</v>
      </c>
      <c r="G5025" t="s">
        <v>1075</v>
      </c>
      <c r="H5025">
        <v>-1.2037276793579301E-3</v>
      </c>
      <c r="I5025" t="s">
        <v>1077</v>
      </c>
      <c r="J5025">
        <v>9.3000000000000007</v>
      </c>
    </row>
    <row r="5026" spans="1:10" hidden="1">
      <c r="A5026" t="s">
        <v>3484</v>
      </c>
      <c r="B5026" t="s">
        <v>3485</v>
      </c>
      <c r="C5026" t="s">
        <v>235</v>
      </c>
      <c r="D5026" t="s">
        <v>1307</v>
      </c>
      <c r="E5026" t="s">
        <v>1116</v>
      </c>
      <c r="F5026" t="s">
        <v>1068</v>
      </c>
      <c r="G5026" t="s">
        <v>1078</v>
      </c>
      <c r="H5026">
        <v>-0.64284530934226303</v>
      </c>
      <c r="I5026" t="s">
        <v>1079</v>
      </c>
      <c r="J5026">
        <v>9.3000000000000007</v>
      </c>
    </row>
    <row r="5027" spans="1:10" hidden="1">
      <c r="A5027" t="s">
        <v>3484</v>
      </c>
      <c r="B5027" t="s">
        <v>3485</v>
      </c>
      <c r="C5027" t="s">
        <v>235</v>
      </c>
      <c r="D5027" t="s">
        <v>1307</v>
      </c>
      <c r="E5027" t="s">
        <v>1116</v>
      </c>
      <c r="F5027" t="s">
        <v>1068</v>
      </c>
      <c r="G5027" t="s">
        <v>1080</v>
      </c>
      <c r="H5027" s="171" t="s">
        <v>3486</v>
      </c>
      <c r="I5027" t="s">
        <v>1082</v>
      </c>
      <c r="J5027">
        <v>9.3000000000000007</v>
      </c>
    </row>
    <row r="5028" spans="1:10" hidden="1">
      <c r="A5028" t="s">
        <v>3484</v>
      </c>
      <c r="B5028" t="s">
        <v>3485</v>
      </c>
      <c r="C5028" t="s">
        <v>235</v>
      </c>
      <c r="D5028" t="s">
        <v>1307</v>
      </c>
      <c r="E5028" t="s">
        <v>1116</v>
      </c>
      <c r="F5028" t="s">
        <v>1068</v>
      </c>
      <c r="G5028" t="s">
        <v>1083</v>
      </c>
      <c r="H5028" s="170">
        <v>-2.51002514798305E-5</v>
      </c>
      <c r="I5028" t="s">
        <v>1084</v>
      </c>
      <c r="J5028">
        <v>9.3000000000000007</v>
      </c>
    </row>
    <row r="5029" spans="1:10" hidden="1">
      <c r="A5029" t="s">
        <v>3484</v>
      </c>
      <c r="B5029" t="s">
        <v>3485</v>
      </c>
      <c r="C5029" t="s">
        <v>235</v>
      </c>
      <c r="D5029" t="s">
        <v>1307</v>
      </c>
      <c r="E5029" t="s">
        <v>1116</v>
      </c>
      <c r="F5029" t="s">
        <v>1068</v>
      </c>
      <c r="G5029" t="s">
        <v>1085</v>
      </c>
      <c r="H5029">
        <v>-2.2742354937522799E-4</v>
      </c>
      <c r="I5029" t="s">
        <v>1086</v>
      </c>
      <c r="J5029">
        <v>9.3000000000000007</v>
      </c>
    </row>
    <row r="5030" spans="1:10" hidden="1">
      <c r="A5030" t="s">
        <v>3484</v>
      </c>
      <c r="B5030" t="s">
        <v>3485</v>
      </c>
      <c r="C5030" t="s">
        <v>235</v>
      </c>
      <c r="D5030" t="s">
        <v>1307</v>
      </c>
      <c r="E5030" t="s">
        <v>1116</v>
      </c>
      <c r="F5030" t="s">
        <v>1068</v>
      </c>
      <c r="G5030" t="s">
        <v>1087</v>
      </c>
      <c r="H5030" s="170">
        <v>-5.9460981720014397E-8</v>
      </c>
      <c r="I5030" t="s">
        <v>1088</v>
      </c>
      <c r="J5030">
        <v>9.3000000000000007</v>
      </c>
    </row>
    <row r="5031" spans="1:10" hidden="1">
      <c r="A5031" t="s">
        <v>3484</v>
      </c>
      <c r="B5031" t="s">
        <v>3485</v>
      </c>
      <c r="C5031" t="s">
        <v>235</v>
      </c>
      <c r="D5031" t="s">
        <v>1307</v>
      </c>
      <c r="E5031" t="s">
        <v>1116</v>
      </c>
      <c r="F5031" t="s">
        <v>1068</v>
      </c>
      <c r="G5031" t="s">
        <v>1089</v>
      </c>
      <c r="H5031" s="170">
        <v>-3.5481546553756898E-5</v>
      </c>
      <c r="I5031" t="s">
        <v>1090</v>
      </c>
      <c r="J5031">
        <v>9.3000000000000007</v>
      </c>
    </row>
    <row r="5032" spans="1:10" hidden="1">
      <c r="A5032" t="s">
        <v>3487</v>
      </c>
      <c r="B5032" t="s">
        <v>3488</v>
      </c>
      <c r="C5032" t="s">
        <v>235</v>
      </c>
      <c r="D5032" t="s">
        <v>3489</v>
      </c>
      <c r="E5032" t="s">
        <v>561</v>
      </c>
      <c r="F5032" t="s">
        <v>1068</v>
      </c>
      <c r="G5032" t="s">
        <v>1069</v>
      </c>
      <c r="H5032">
        <v>7.1829881659634706E-2</v>
      </c>
      <c r="I5032" t="s">
        <v>1070</v>
      </c>
      <c r="J5032">
        <v>14</v>
      </c>
    </row>
    <row r="5033" spans="1:10" hidden="1">
      <c r="A5033" t="s">
        <v>3487</v>
      </c>
      <c r="B5033" t="s">
        <v>3488</v>
      </c>
      <c r="C5033" t="s">
        <v>235</v>
      </c>
      <c r="D5033" t="s">
        <v>3489</v>
      </c>
      <c r="E5033" t="s">
        <v>561</v>
      </c>
      <c r="F5033" t="s">
        <v>1068</v>
      </c>
      <c r="G5033" t="s">
        <v>1071</v>
      </c>
      <c r="H5033" s="171" t="s">
        <v>3490</v>
      </c>
      <c r="I5033" t="s">
        <v>1072</v>
      </c>
      <c r="J5033">
        <v>14</v>
      </c>
    </row>
    <row r="5034" spans="1:10" hidden="1">
      <c r="A5034" t="s">
        <v>3487</v>
      </c>
      <c r="B5034" t="s">
        <v>3488</v>
      </c>
      <c r="C5034" t="s">
        <v>235</v>
      </c>
      <c r="D5034" t="s">
        <v>3489</v>
      </c>
      <c r="E5034" t="s">
        <v>561</v>
      </c>
      <c r="F5034" t="s">
        <v>1068</v>
      </c>
      <c r="G5034" t="s">
        <v>1073</v>
      </c>
      <c r="H5034" s="171" t="s">
        <v>3491</v>
      </c>
      <c r="I5034" t="s">
        <v>1074</v>
      </c>
      <c r="J5034">
        <v>14</v>
      </c>
    </row>
    <row r="5035" spans="1:10" hidden="1">
      <c r="A5035" t="s">
        <v>3487</v>
      </c>
      <c r="B5035" t="s">
        <v>3488</v>
      </c>
      <c r="C5035" t="s">
        <v>235</v>
      </c>
      <c r="D5035" t="s">
        <v>3489</v>
      </c>
      <c r="E5035" t="s">
        <v>561</v>
      </c>
      <c r="F5035" t="s">
        <v>1068</v>
      </c>
      <c r="G5035" t="s">
        <v>1075</v>
      </c>
      <c r="H5035">
        <v>3.4708063087300501E-3</v>
      </c>
      <c r="I5035" t="s">
        <v>1077</v>
      </c>
      <c r="J5035">
        <v>14</v>
      </c>
    </row>
    <row r="5036" spans="1:10" hidden="1">
      <c r="A5036" t="s">
        <v>3487</v>
      </c>
      <c r="B5036" t="s">
        <v>3488</v>
      </c>
      <c r="C5036" t="s">
        <v>235</v>
      </c>
      <c r="D5036" t="s">
        <v>3489</v>
      </c>
      <c r="E5036" t="s">
        <v>561</v>
      </c>
      <c r="F5036" t="s">
        <v>1068</v>
      </c>
      <c r="G5036" t="s">
        <v>1078</v>
      </c>
      <c r="H5036" s="171" t="s">
        <v>3492</v>
      </c>
      <c r="I5036" t="s">
        <v>1079</v>
      </c>
      <c r="J5036">
        <v>14</v>
      </c>
    </row>
    <row r="5037" spans="1:10" hidden="1">
      <c r="A5037" t="s">
        <v>3487</v>
      </c>
      <c r="B5037" t="s">
        <v>3488</v>
      </c>
      <c r="C5037" t="s">
        <v>235</v>
      </c>
      <c r="D5037" t="s">
        <v>3489</v>
      </c>
      <c r="E5037" t="s">
        <v>561</v>
      </c>
      <c r="F5037" t="s">
        <v>1068</v>
      </c>
      <c r="G5037" t="s">
        <v>1080</v>
      </c>
      <c r="H5037" s="171" t="s">
        <v>3493</v>
      </c>
      <c r="I5037" t="s">
        <v>1082</v>
      </c>
      <c r="J5037">
        <v>14</v>
      </c>
    </row>
    <row r="5038" spans="1:10" hidden="1">
      <c r="A5038" t="s">
        <v>3487</v>
      </c>
      <c r="B5038" t="s">
        <v>3488</v>
      </c>
      <c r="C5038" t="s">
        <v>235</v>
      </c>
      <c r="D5038" t="s">
        <v>3489</v>
      </c>
      <c r="E5038" t="s">
        <v>561</v>
      </c>
      <c r="F5038" t="s">
        <v>1068</v>
      </c>
      <c r="G5038" t="s">
        <v>1083</v>
      </c>
      <c r="H5038" s="171" t="s">
        <v>3494</v>
      </c>
      <c r="I5038" t="s">
        <v>1084</v>
      </c>
      <c r="J5038">
        <v>14</v>
      </c>
    </row>
    <row r="5039" spans="1:10" hidden="1">
      <c r="A5039" t="s">
        <v>3487</v>
      </c>
      <c r="B5039" t="s">
        <v>3488</v>
      </c>
      <c r="C5039" t="s">
        <v>235</v>
      </c>
      <c r="D5039" t="s">
        <v>3489</v>
      </c>
      <c r="E5039" t="s">
        <v>561</v>
      </c>
      <c r="F5039" t="s">
        <v>1068</v>
      </c>
      <c r="G5039" t="s">
        <v>1085</v>
      </c>
      <c r="H5039" s="171" t="s">
        <v>3495</v>
      </c>
      <c r="I5039" t="s">
        <v>1086</v>
      </c>
      <c r="J5039">
        <v>14</v>
      </c>
    </row>
    <row r="5040" spans="1:10" hidden="1">
      <c r="A5040" t="s">
        <v>3487</v>
      </c>
      <c r="B5040" t="s">
        <v>3488</v>
      </c>
      <c r="C5040" t="s">
        <v>235</v>
      </c>
      <c r="D5040" t="s">
        <v>3489</v>
      </c>
      <c r="E5040" t="s">
        <v>561</v>
      </c>
      <c r="F5040" t="s">
        <v>1068</v>
      </c>
      <c r="G5040" t="s">
        <v>1087</v>
      </c>
      <c r="H5040" s="171" t="s">
        <v>3496</v>
      </c>
      <c r="I5040" t="s">
        <v>1088</v>
      </c>
      <c r="J5040">
        <v>14</v>
      </c>
    </row>
    <row r="5041" spans="1:10" hidden="1">
      <c r="A5041" t="s">
        <v>3487</v>
      </c>
      <c r="B5041" t="s">
        <v>3488</v>
      </c>
      <c r="C5041" t="s">
        <v>235</v>
      </c>
      <c r="D5041" t="s">
        <v>3489</v>
      </c>
      <c r="E5041" t="s">
        <v>561</v>
      </c>
      <c r="F5041" t="s">
        <v>1068</v>
      </c>
      <c r="G5041" t="s">
        <v>1089</v>
      </c>
      <c r="H5041" s="171" t="s">
        <v>3497</v>
      </c>
      <c r="I5041" t="s">
        <v>1090</v>
      </c>
      <c r="J5041">
        <v>14</v>
      </c>
    </row>
    <row r="5042" spans="1:10" hidden="1">
      <c r="A5042" t="s">
        <v>3498</v>
      </c>
      <c r="B5042" t="s">
        <v>3499</v>
      </c>
      <c r="C5042" t="s">
        <v>235</v>
      </c>
      <c r="D5042" t="s">
        <v>3489</v>
      </c>
      <c r="E5042" t="s">
        <v>555</v>
      </c>
      <c r="F5042" t="s">
        <v>1068</v>
      </c>
      <c r="G5042" t="s">
        <v>1069</v>
      </c>
      <c r="H5042">
        <v>7.1868087608914805E-2</v>
      </c>
      <c r="I5042" t="s">
        <v>1070</v>
      </c>
      <c r="J5042">
        <v>8.58</v>
      </c>
    </row>
    <row r="5043" spans="1:10" hidden="1">
      <c r="A5043" t="s">
        <v>3498</v>
      </c>
      <c r="B5043" t="s">
        <v>3499</v>
      </c>
      <c r="C5043" t="s">
        <v>235</v>
      </c>
      <c r="D5043" t="s">
        <v>3489</v>
      </c>
      <c r="E5043" t="s">
        <v>555</v>
      </c>
      <c r="F5043" t="s">
        <v>1068</v>
      </c>
      <c r="G5043" t="s">
        <v>1071</v>
      </c>
      <c r="H5043" s="171" t="s">
        <v>3500</v>
      </c>
      <c r="I5043" t="s">
        <v>1072</v>
      </c>
      <c r="J5043">
        <v>8.58</v>
      </c>
    </row>
    <row r="5044" spans="1:10" hidden="1">
      <c r="A5044" t="s">
        <v>3498</v>
      </c>
      <c r="B5044" t="s">
        <v>3499</v>
      </c>
      <c r="C5044" t="s">
        <v>235</v>
      </c>
      <c r="D5044" t="s">
        <v>3489</v>
      </c>
      <c r="E5044" t="s">
        <v>555</v>
      </c>
      <c r="F5044" t="s">
        <v>1068</v>
      </c>
      <c r="G5044" t="s">
        <v>1073</v>
      </c>
      <c r="H5044" s="171" t="s">
        <v>3501</v>
      </c>
      <c r="I5044" t="s">
        <v>1074</v>
      </c>
      <c r="J5044">
        <v>8.58</v>
      </c>
    </row>
    <row r="5045" spans="1:10" hidden="1">
      <c r="A5045" t="s">
        <v>3498</v>
      </c>
      <c r="B5045" t="s">
        <v>3499</v>
      </c>
      <c r="C5045" t="s">
        <v>235</v>
      </c>
      <c r="D5045" t="s">
        <v>3489</v>
      </c>
      <c r="E5045" t="s">
        <v>555</v>
      </c>
      <c r="F5045" t="s">
        <v>1068</v>
      </c>
      <c r="G5045" t="s">
        <v>1075</v>
      </c>
      <c r="H5045">
        <v>3.47128251962814E-3</v>
      </c>
      <c r="I5045" t="s">
        <v>1077</v>
      </c>
      <c r="J5045">
        <v>8.58</v>
      </c>
    </row>
    <row r="5046" spans="1:10" hidden="1">
      <c r="A5046" t="s">
        <v>3498</v>
      </c>
      <c r="B5046" t="s">
        <v>3499</v>
      </c>
      <c r="C5046" t="s">
        <v>235</v>
      </c>
      <c r="D5046" t="s">
        <v>3489</v>
      </c>
      <c r="E5046" t="s">
        <v>555</v>
      </c>
      <c r="F5046" t="s">
        <v>1068</v>
      </c>
      <c r="G5046" t="s">
        <v>1078</v>
      </c>
      <c r="H5046">
        <v>2.6042894329189499E-2</v>
      </c>
      <c r="I5046" t="s">
        <v>1079</v>
      </c>
      <c r="J5046">
        <v>8.58</v>
      </c>
    </row>
    <row r="5047" spans="1:10" hidden="1">
      <c r="A5047" t="s">
        <v>3498</v>
      </c>
      <c r="B5047" t="s">
        <v>3499</v>
      </c>
      <c r="C5047" t="s">
        <v>235</v>
      </c>
      <c r="D5047" t="s">
        <v>3489</v>
      </c>
      <c r="E5047" t="s">
        <v>555</v>
      </c>
      <c r="F5047" t="s">
        <v>1068</v>
      </c>
      <c r="G5047" t="s">
        <v>1080</v>
      </c>
      <c r="H5047" s="171" t="s">
        <v>3502</v>
      </c>
      <c r="I5047" t="s">
        <v>1082</v>
      </c>
      <c r="J5047">
        <v>8.58</v>
      </c>
    </row>
    <row r="5048" spans="1:10" hidden="1">
      <c r="A5048" t="s">
        <v>3498</v>
      </c>
      <c r="B5048" t="s">
        <v>3499</v>
      </c>
      <c r="C5048" t="s">
        <v>235</v>
      </c>
      <c r="D5048" t="s">
        <v>3489</v>
      </c>
      <c r="E5048" t="s">
        <v>555</v>
      </c>
      <c r="F5048" t="s">
        <v>1068</v>
      </c>
      <c r="G5048" t="s">
        <v>1083</v>
      </c>
      <c r="H5048" s="171" t="s">
        <v>3503</v>
      </c>
      <c r="I5048" t="s">
        <v>1084</v>
      </c>
      <c r="J5048">
        <v>8.58</v>
      </c>
    </row>
    <row r="5049" spans="1:10" hidden="1">
      <c r="A5049" t="s">
        <v>3498</v>
      </c>
      <c r="B5049" t="s">
        <v>3499</v>
      </c>
      <c r="C5049" t="s">
        <v>235</v>
      </c>
      <c r="D5049" t="s">
        <v>3489</v>
      </c>
      <c r="E5049" t="s">
        <v>555</v>
      </c>
      <c r="F5049" t="s">
        <v>1068</v>
      </c>
      <c r="G5049" t="s">
        <v>1085</v>
      </c>
      <c r="H5049" s="171" t="s">
        <v>3504</v>
      </c>
      <c r="I5049" t="s">
        <v>1086</v>
      </c>
      <c r="J5049">
        <v>8.58</v>
      </c>
    </row>
    <row r="5050" spans="1:10" hidden="1">
      <c r="A5050" t="s">
        <v>3498</v>
      </c>
      <c r="B5050" t="s">
        <v>3499</v>
      </c>
      <c r="C5050" t="s">
        <v>235</v>
      </c>
      <c r="D5050" t="s">
        <v>3489</v>
      </c>
      <c r="E5050" t="s">
        <v>555</v>
      </c>
      <c r="F5050" t="s">
        <v>1068</v>
      </c>
      <c r="G5050" t="s">
        <v>1087</v>
      </c>
      <c r="H5050" s="171" t="s">
        <v>3505</v>
      </c>
      <c r="I5050" t="s">
        <v>1088</v>
      </c>
      <c r="J5050">
        <v>8.58</v>
      </c>
    </row>
    <row r="5051" spans="1:10" hidden="1">
      <c r="A5051" t="s">
        <v>3498</v>
      </c>
      <c r="B5051" t="s">
        <v>3499</v>
      </c>
      <c r="C5051" t="s">
        <v>235</v>
      </c>
      <c r="D5051" t="s">
        <v>3489</v>
      </c>
      <c r="E5051" t="s">
        <v>555</v>
      </c>
      <c r="F5051" t="s">
        <v>1068</v>
      </c>
      <c r="G5051" t="s">
        <v>1089</v>
      </c>
      <c r="H5051" s="171" t="s">
        <v>3506</v>
      </c>
      <c r="I5051" t="s">
        <v>1090</v>
      </c>
      <c r="J5051">
        <v>8.58</v>
      </c>
    </row>
    <row r="5052" spans="1:10" hidden="1">
      <c r="A5052" t="s">
        <v>3507</v>
      </c>
      <c r="B5052" t="s">
        <v>3508</v>
      </c>
      <c r="C5052" t="s">
        <v>235</v>
      </c>
      <c r="D5052" t="s">
        <v>3489</v>
      </c>
      <c r="E5052" t="s">
        <v>558</v>
      </c>
      <c r="F5052" t="s">
        <v>1068</v>
      </c>
      <c r="G5052" t="s">
        <v>1069</v>
      </c>
      <c r="H5052">
        <v>7.1828620885721395E-2</v>
      </c>
      <c r="I5052" t="s">
        <v>1070</v>
      </c>
      <c r="J5052">
        <v>7.38</v>
      </c>
    </row>
    <row r="5053" spans="1:10" hidden="1">
      <c r="A5053" t="s">
        <v>3507</v>
      </c>
      <c r="B5053" t="s">
        <v>3508</v>
      </c>
      <c r="C5053" t="s">
        <v>235</v>
      </c>
      <c r="D5053" t="s">
        <v>3489</v>
      </c>
      <c r="E5053" t="s">
        <v>558</v>
      </c>
      <c r="F5053" t="s">
        <v>1068</v>
      </c>
      <c r="G5053" t="s">
        <v>1071</v>
      </c>
      <c r="H5053" s="171" t="s">
        <v>3509</v>
      </c>
      <c r="I5053" t="s">
        <v>1072</v>
      </c>
      <c r="J5053">
        <v>7.38</v>
      </c>
    </row>
    <row r="5054" spans="1:10" hidden="1">
      <c r="A5054" t="s">
        <v>3507</v>
      </c>
      <c r="B5054" t="s">
        <v>3508</v>
      </c>
      <c r="C5054" t="s">
        <v>235</v>
      </c>
      <c r="D5054" t="s">
        <v>3489</v>
      </c>
      <c r="E5054" t="s">
        <v>558</v>
      </c>
      <c r="F5054" t="s">
        <v>1068</v>
      </c>
      <c r="G5054" t="s">
        <v>1073</v>
      </c>
      <c r="H5054" s="171" t="s">
        <v>3510</v>
      </c>
      <c r="I5054" t="s">
        <v>1074</v>
      </c>
      <c r="J5054">
        <v>7.38</v>
      </c>
    </row>
    <row r="5055" spans="1:10" hidden="1">
      <c r="A5055" t="s">
        <v>3507</v>
      </c>
      <c r="B5055" t="s">
        <v>3508</v>
      </c>
      <c r="C5055" t="s">
        <v>235</v>
      </c>
      <c r="D5055" t="s">
        <v>3489</v>
      </c>
      <c r="E5055" t="s">
        <v>558</v>
      </c>
      <c r="F5055" t="s">
        <v>1068</v>
      </c>
      <c r="G5055" t="s">
        <v>1075</v>
      </c>
      <c r="H5055">
        <v>3.4707664543197699E-3</v>
      </c>
      <c r="I5055" t="s">
        <v>1077</v>
      </c>
      <c r="J5055">
        <v>7.38</v>
      </c>
    </row>
    <row r="5056" spans="1:10" hidden="1">
      <c r="A5056" t="s">
        <v>3507</v>
      </c>
      <c r="B5056" t="s">
        <v>3508</v>
      </c>
      <c r="C5056" t="s">
        <v>235</v>
      </c>
      <c r="D5056" t="s">
        <v>3489</v>
      </c>
      <c r="E5056" t="s">
        <v>558</v>
      </c>
      <c r="F5056" t="s">
        <v>1068</v>
      </c>
      <c r="G5056" t="s">
        <v>1078</v>
      </c>
      <c r="H5056" s="171" t="s">
        <v>3511</v>
      </c>
      <c r="I5056" t="s">
        <v>1079</v>
      </c>
      <c r="J5056">
        <v>7.38</v>
      </c>
    </row>
    <row r="5057" spans="1:10" hidden="1">
      <c r="A5057" t="s">
        <v>3507</v>
      </c>
      <c r="B5057" t="s">
        <v>3508</v>
      </c>
      <c r="C5057" t="s">
        <v>235</v>
      </c>
      <c r="D5057" t="s">
        <v>3489</v>
      </c>
      <c r="E5057" t="s">
        <v>558</v>
      </c>
      <c r="F5057" t="s">
        <v>1068</v>
      </c>
      <c r="G5057" t="s">
        <v>1080</v>
      </c>
      <c r="H5057" s="171" t="s">
        <v>3512</v>
      </c>
      <c r="I5057" t="s">
        <v>1082</v>
      </c>
      <c r="J5057">
        <v>7.38</v>
      </c>
    </row>
    <row r="5058" spans="1:10" hidden="1">
      <c r="A5058" t="s">
        <v>3507</v>
      </c>
      <c r="B5058" t="s">
        <v>3508</v>
      </c>
      <c r="C5058" t="s">
        <v>235</v>
      </c>
      <c r="D5058" t="s">
        <v>3489</v>
      </c>
      <c r="E5058" t="s">
        <v>558</v>
      </c>
      <c r="F5058" t="s">
        <v>1068</v>
      </c>
      <c r="G5058" t="s">
        <v>1083</v>
      </c>
      <c r="H5058" s="171" t="s">
        <v>3513</v>
      </c>
      <c r="I5058" t="s">
        <v>1084</v>
      </c>
      <c r="J5058">
        <v>7.38</v>
      </c>
    </row>
    <row r="5059" spans="1:10" hidden="1">
      <c r="A5059" t="s">
        <v>3507</v>
      </c>
      <c r="B5059" t="s">
        <v>3508</v>
      </c>
      <c r="C5059" t="s">
        <v>235</v>
      </c>
      <c r="D5059" t="s">
        <v>3489</v>
      </c>
      <c r="E5059" t="s">
        <v>558</v>
      </c>
      <c r="F5059" t="s">
        <v>1068</v>
      </c>
      <c r="G5059" t="s">
        <v>1085</v>
      </c>
      <c r="H5059" s="171" t="s">
        <v>3514</v>
      </c>
      <c r="I5059" t="s">
        <v>1086</v>
      </c>
      <c r="J5059">
        <v>7.38</v>
      </c>
    </row>
    <row r="5060" spans="1:10" hidden="1">
      <c r="A5060" t="s">
        <v>3507</v>
      </c>
      <c r="B5060" t="s">
        <v>3508</v>
      </c>
      <c r="C5060" t="s">
        <v>235</v>
      </c>
      <c r="D5060" t="s">
        <v>3489</v>
      </c>
      <c r="E5060" t="s">
        <v>558</v>
      </c>
      <c r="F5060" t="s">
        <v>1068</v>
      </c>
      <c r="G5060" t="s">
        <v>1087</v>
      </c>
      <c r="H5060" s="171" t="s">
        <v>3515</v>
      </c>
      <c r="I5060" t="s">
        <v>1088</v>
      </c>
      <c r="J5060">
        <v>7.38</v>
      </c>
    </row>
    <row r="5061" spans="1:10" hidden="1">
      <c r="A5061" t="s">
        <v>3507</v>
      </c>
      <c r="B5061" t="s">
        <v>3508</v>
      </c>
      <c r="C5061" t="s">
        <v>235</v>
      </c>
      <c r="D5061" t="s">
        <v>3489</v>
      </c>
      <c r="E5061" t="s">
        <v>558</v>
      </c>
      <c r="F5061" t="s">
        <v>1068</v>
      </c>
      <c r="G5061" t="s">
        <v>1089</v>
      </c>
      <c r="H5061" s="171" t="s">
        <v>3516</v>
      </c>
      <c r="I5061" t="s">
        <v>1090</v>
      </c>
      <c r="J5061">
        <v>7.38</v>
      </c>
    </row>
    <row r="5062" spans="1:10" hidden="1">
      <c r="A5062" t="s">
        <v>3517</v>
      </c>
      <c r="B5062" t="s">
        <v>3518</v>
      </c>
      <c r="C5062" t="s">
        <v>235</v>
      </c>
      <c r="D5062" t="s">
        <v>3489</v>
      </c>
      <c r="E5062" t="s">
        <v>553</v>
      </c>
      <c r="F5062" t="s">
        <v>1068</v>
      </c>
      <c r="G5062" t="s">
        <v>1069</v>
      </c>
      <c r="H5062">
        <v>7.1851251243206404E-2</v>
      </c>
      <c r="I5062" t="s">
        <v>1070</v>
      </c>
      <c r="J5062">
        <v>7.98</v>
      </c>
    </row>
    <row r="5063" spans="1:10" hidden="1">
      <c r="A5063" t="s">
        <v>3517</v>
      </c>
      <c r="B5063" t="s">
        <v>3518</v>
      </c>
      <c r="C5063" t="s">
        <v>235</v>
      </c>
      <c r="D5063" t="s">
        <v>3489</v>
      </c>
      <c r="E5063" t="s">
        <v>553</v>
      </c>
      <c r="F5063" t="s">
        <v>1068</v>
      </c>
      <c r="G5063" t="s">
        <v>1071</v>
      </c>
      <c r="H5063" s="171" t="s">
        <v>3519</v>
      </c>
      <c r="I5063" t="s">
        <v>1072</v>
      </c>
      <c r="J5063">
        <v>7.98</v>
      </c>
    </row>
    <row r="5064" spans="1:10" hidden="1">
      <c r="A5064" t="s">
        <v>3517</v>
      </c>
      <c r="B5064" t="s">
        <v>3518</v>
      </c>
      <c r="C5064" t="s">
        <v>235</v>
      </c>
      <c r="D5064" t="s">
        <v>3489</v>
      </c>
      <c r="E5064" t="s">
        <v>553</v>
      </c>
      <c r="F5064" t="s">
        <v>1068</v>
      </c>
      <c r="G5064" t="s">
        <v>1073</v>
      </c>
      <c r="H5064" s="171" t="s">
        <v>3520</v>
      </c>
      <c r="I5064" t="s">
        <v>1074</v>
      </c>
      <c r="J5064">
        <v>7.98</v>
      </c>
    </row>
    <row r="5065" spans="1:10" hidden="1">
      <c r="A5065" t="s">
        <v>3517</v>
      </c>
      <c r="B5065" t="s">
        <v>3518</v>
      </c>
      <c r="C5065" t="s">
        <v>235</v>
      </c>
      <c r="D5065" t="s">
        <v>3489</v>
      </c>
      <c r="E5065" t="s">
        <v>553</v>
      </c>
      <c r="F5065" t="s">
        <v>1068</v>
      </c>
      <c r="G5065" t="s">
        <v>1075</v>
      </c>
      <c r="H5065">
        <v>3.4707503041223301E-3</v>
      </c>
      <c r="I5065" t="s">
        <v>1077</v>
      </c>
      <c r="J5065">
        <v>7.98</v>
      </c>
    </row>
    <row r="5066" spans="1:10" hidden="1">
      <c r="A5066" t="s">
        <v>3517</v>
      </c>
      <c r="B5066" t="s">
        <v>3518</v>
      </c>
      <c r="C5066" t="s">
        <v>235</v>
      </c>
      <c r="D5066" t="s">
        <v>3489</v>
      </c>
      <c r="E5066" t="s">
        <v>553</v>
      </c>
      <c r="F5066" t="s">
        <v>1068</v>
      </c>
      <c r="G5066" t="s">
        <v>1078</v>
      </c>
      <c r="H5066">
        <v>2.6019879277753101E-2</v>
      </c>
      <c r="I5066" t="s">
        <v>1079</v>
      </c>
      <c r="J5066">
        <v>7.98</v>
      </c>
    </row>
    <row r="5067" spans="1:10" hidden="1">
      <c r="A5067" t="s">
        <v>3517</v>
      </c>
      <c r="B5067" t="s">
        <v>3518</v>
      </c>
      <c r="C5067" t="s">
        <v>235</v>
      </c>
      <c r="D5067" t="s">
        <v>3489</v>
      </c>
      <c r="E5067" t="s">
        <v>553</v>
      </c>
      <c r="F5067" t="s">
        <v>1068</v>
      </c>
      <c r="G5067" t="s">
        <v>1080</v>
      </c>
      <c r="H5067" s="171" t="s">
        <v>3521</v>
      </c>
      <c r="I5067" t="s">
        <v>1082</v>
      </c>
      <c r="J5067">
        <v>7.98</v>
      </c>
    </row>
    <row r="5068" spans="1:10" hidden="1">
      <c r="A5068" t="s">
        <v>3517</v>
      </c>
      <c r="B5068" t="s">
        <v>3518</v>
      </c>
      <c r="C5068" t="s">
        <v>235</v>
      </c>
      <c r="D5068" t="s">
        <v>3489</v>
      </c>
      <c r="E5068" t="s">
        <v>553</v>
      </c>
      <c r="F5068" t="s">
        <v>1068</v>
      </c>
      <c r="G5068" t="s">
        <v>1083</v>
      </c>
      <c r="H5068" s="171" t="s">
        <v>3522</v>
      </c>
      <c r="I5068" t="s">
        <v>1084</v>
      </c>
      <c r="J5068">
        <v>7.98</v>
      </c>
    </row>
    <row r="5069" spans="1:10" hidden="1">
      <c r="A5069" t="s">
        <v>3517</v>
      </c>
      <c r="B5069" t="s">
        <v>3518</v>
      </c>
      <c r="C5069" t="s">
        <v>235</v>
      </c>
      <c r="D5069" t="s">
        <v>3489</v>
      </c>
      <c r="E5069" t="s">
        <v>553</v>
      </c>
      <c r="F5069" t="s">
        <v>1068</v>
      </c>
      <c r="G5069" t="s">
        <v>1085</v>
      </c>
      <c r="H5069" s="171" t="s">
        <v>3523</v>
      </c>
      <c r="I5069" t="s">
        <v>1086</v>
      </c>
      <c r="J5069">
        <v>7.98</v>
      </c>
    </row>
    <row r="5070" spans="1:10" hidden="1">
      <c r="A5070" t="s">
        <v>3517</v>
      </c>
      <c r="B5070" t="s">
        <v>3518</v>
      </c>
      <c r="C5070" t="s">
        <v>235</v>
      </c>
      <c r="D5070" t="s">
        <v>3489</v>
      </c>
      <c r="E5070" t="s">
        <v>553</v>
      </c>
      <c r="F5070" t="s">
        <v>1068</v>
      </c>
      <c r="G5070" t="s">
        <v>1087</v>
      </c>
      <c r="H5070" s="171" t="s">
        <v>3524</v>
      </c>
      <c r="I5070" t="s">
        <v>1088</v>
      </c>
      <c r="J5070">
        <v>7.98</v>
      </c>
    </row>
    <row r="5071" spans="1:10" hidden="1">
      <c r="A5071" t="s">
        <v>3517</v>
      </c>
      <c r="B5071" t="s">
        <v>3518</v>
      </c>
      <c r="C5071" t="s">
        <v>235</v>
      </c>
      <c r="D5071" t="s">
        <v>3489</v>
      </c>
      <c r="E5071" t="s">
        <v>553</v>
      </c>
      <c r="F5071" t="s">
        <v>1068</v>
      </c>
      <c r="G5071" t="s">
        <v>1089</v>
      </c>
      <c r="H5071" s="171" t="s">
        <v>3525</v>
      </c>
      <c r="I5071" t="s">
        <v>1090</v>
      </c>
      <c r="J5071">
        <v>7.98</v>
      </c>
    </row>
    <row r="5072" spans="1:10" hidden="1">
      <c r="A5072" t="s">
        <v>3526</v>
      </c>
      <c r="B5072" s="170" t="s">
        <v>3527</v>
      </c>
      <c r="C5072" t="s">
        <v>235</v>
      </c>
      <c r="D5072" t="s">
        <v>3489</v>
      </c>
      <c r="E5072" t="s">
        <v>556</v>
      </c>
      <c r="F5072" t="s">
        <v>1068</v>
      </c>
      <c r="G5072" t="s">
        <v>1069</v>
      </c>
      <c r="H5072">
        <v>7.1866505121052707E-2</v>
      </c>
      <c r="I5072" t="s">
        <v>1070</v>
      </c>
      <c r="J5072">
        <v>7.54</v>
      </c>
    </row>
    <row r="5073" spans="1:10" hidden="1">
      <c r="A5073" t="s">
        <v>3526</v>
      </c>
      <c r="B5073" s="170" t="s">
        <v>3527</v>
      </c>
      <c r="C5073" t="s">
        <v>235</v>
      </c>
      <c r="D5073" t="s">
        <v>3489</v>
      </c>
      <c r="E5073" t="s">
        <v>556</v>
      </c>
      <c r="F5073" t="s">
        <v>1068</v>
      </c>
      <c r="G5073" t="s">
        <v>1071</v>
      </c>
      <c r="H5073" s="171" t="s">
        <v>3528</v>
      </c>
      <c r="I5073" t="s">
        <v>1072</v>
      </c>
      <c r="J5073">
        <v>7.54</v>
      </c>
    </row>
    <row r="5074" spans="1:10" hidden="1">
      <c r="A5074" t="s">
        <v>3526</v>
      </c>
      <c r="B5074" s="170" t="s">
        <v>3527</v>
      </c>
      <c r="C5074" t="s">
        <v>235</v>
      </c>
      <c r="D5074" t="s">
        <v>3489</v>
      </c>
      <c r="E5074" t="s">
        <v>556</v>
      </c>
      <c r="F5074" t="s">
        <v>1068</v>
      </c>
      <c r="G5074" t="s">
        <v>1073</v>
      </c>
      <c r="H5074" s="171" t="s">
        <v>3529</v>
      </c>
      <c r="I5074" t="s">
        <v>1074</v>
      </c>
      <c r="J5074">
        <v>7.54</v>
      </c>
    </row>
    <row r="5075" spans="1:10" hidden="1">
      <c r="A5075" t="s">
        <v>3526</v>
      </c>
      <c r="B5075" s="170" t="s">
        <v>3527</v>
      </c>
      <c r="C5075" t="s">
        <v>235</v>
      </c>
      <c r="D5075" t="s">
        <v>3489</v>
      </c>
      <c r="E5075" t="s">
        <v>556</v>
      </c>
      <c r="F5075" t="s">
        <v>1068</v>
      </c>
      <c r="G5075" t="s">
        <v>1075</v>
      </c>
      <c r="H5075">
        <v>3.4712324954963001E-3</v>
      </c>
      <c r="I5075" t="s">
        <v>1077</v>
      </c>
      <c r="J5075">
        <v>7.54</v>
      </c>
    </row>
    <row r="5076" spans="1:10" hidden="1">
      <c r="A5076" t="s">
        <v>3526</v>
      </c>
      <c r="B5076" s="170" t="s">
        <v>3527</v>
      </c>
      <c r="C5076" t="s">
        <v>235</v>
      </c>
      <c r="D5076" t="s">
        <v>3489</v>
      </c>
      <c r="E5076" t="s">
        <v>556</v>
      </c>
      <c r="F5076" t="s">
        <v>1068</v>
      </c>
      <c r="G5076" t="s">
        <v>1078</v>
      </c>
      <c r="H5076" s="171" t="s">
        <v>3530</v>
      </c>
      <c r="I5076" t="s">
        <v>1079</v>
      </c>
      <c r="J5076">
        <v>7.54</v>
      </c>
    </row>
    <row r="5077" spans="1:10" hidden="1">
      <c r="A5077" t="s">
        <v>3526</v>
      </c>
      <c r="B5077" s="170" t="s">
        <v>3527</v>
      </c>
      <c r="C5077" t="s">
        <v>235</v>
      </c>
      <c r="D5077" t="s">
        <v>3489</v>
      </c>
      <c r="E5077" t="s">
        <v>556</v>
      </c>
      <c r="F5077" t="s">
        <v>1068</v>
      </c>
      <c r="G5077" t="s">
        <v>1080</v>
      </c>
      <c r="H5077" s="171" t="s">
        <v>3531</v>
      </c>
      <c r="I5077" t="s">
        <v>1082</v>
      </c>
      <c r="J5077">
        <v>7.54</v>
      </c>
    </row>
    <row r="5078" spans="1:10" hidden="1">
      <c r="A5078" t="s">
        <v>3526</v>
      </c>
      <c r="B5078" s="170" t="s">
        <v>3527</v>
      </c>
      <c r="C5078" t="s">
        <v>235</v>
      </c>
      <c r="D5078" t="s">
        <v>3489</v>
      </c>
      <c r="E5078" t="s">
        <v>556</v>
      </c>
      <c r="F5078" t="s">
        <v>1068</v>
      </c>
      <c r="G5078" t="s">
        <v>1083</v>
      </c>
      <c r="H5078" s="171" t="s">
        <v>3532</v>
      </c>
      <c r="I5078" t="s">
        <v>1084</v>
      </c>
      <c r="J5078">
        <v>7.54</v>
      </c>
    </row>
    <row r="5079" spans="1:10" hidden="1">
      <c r="A5079" t="s">
        <v>3526</v>
      </c>
      <c r="B5079" s="170" t="s">
        <v>3527</v>
      </c>
      <c r="C5079" t="s">
        <v>235</v>
      </c>
      <c r="D5079" t="s">
        <v>3489</v>
      </c>
      <c r="E5079" t="s">
        <v>556</v>
      </c>
      <c r="F5079" t="s">
        <v>1068</v>
      </c>
      <c r="G5079" t="s">
        <v>1085</v>
      </c>
      <c r="H5079" s="171" t="s">
        <v>3533</v>
      </c>
      <c r="I5079" t="s">
        <v>1086</v>
      </c>
      <c r="J5079">
        <v>7.54</v>
      </c>
    </row>
    <row r="5080" spans="1:10" hidden="1">
      <c r="A5080" t="s">
        <v>3526</v>
      </c>
      <c r="B5080" s="170" t="s">
        <v>3527</v>
      </c>
      <c r="C5080" t="s">
        <v>235</v>
      </c>
      <c r="D5080" t="s">
        <v>3489</v>
      </c>
      <c r="E5080" t="s">
        <v>556</v>
      </c>
      <c r="F5080" t="s">
        <v>1068</v>
      </c>
      <c r="G5080" t="s">
        <v>1087</v>
      </c>
      <c r="H5080" s="171" t="s">
        <v>3534</v>
      </c>
      <c r="I5080" t="s">
        <v>1088</v>
      </c>
      <c r="J5080">
        <v>7.54</v>
      </c>
    </row>
    <row r="5081" spans="1:10" hidden="1">
      <c r="A5081" t="s">
        <v>3526</v>
      </c>
      <c r="B5081" s="170" t="s">
        <v>3527</v>
      </c>
      <c r="C5081" t="s">
        <v>235</v>
      </c>
      <c r="D5081" t="s">
        <v>3489</v>
      </c>
      <c r="E5081" t="s">
        <v>556</v>
      </c>
      <c r="F5081" t="s">
        <v>1068</v>
      </c>
      <c r="G5081" t="s">
        <v>1089</v>
      </c>
      <c r="H5081" s="171" t="s">
        <v>3535</v>
      </c>
      <c r="I5081" t="s">
        <v>1090</v>
      </c>
      <c r="J5081">
        <v>7.54</v>
      </c>
    </row>
    <row r="5082" spans="1:10" hidden="1">
      <c r="A5082" t="s">
        <v>3536</v>
      </c>
      <c r="B5082" t="s">
        <v>3537</v>
      </c>
      <c r="C5082" t="s">
        <v>235</v>
      </c>
      <c r="D5082" t="s">
        <v>3489</v>
      </c>
      <c r="E5082" t="s">
        <v>557</v>
      </c>
      <c r="F5082" t="s">
        <v>1068</v>
      </c>
      <c r="G5082" t="s">
        <v>1069</v>
      </c>
      <c r="H5082">
        <v>7.1833828430246494E-2</v>
      </c>
      <c r="I5082" t="s">
        <v>1070</v>
      </c>
      <c r="J5082">
        <v>8.3000000000000007</v>
      </c>
    </row>
    <row r="5083" spans="1:10" hidden="1">
      <c r="A5083" t="s">
        <v>3536</v>
      </c>
      <c r="B5083" t="s">
        <v>3537</v>
      </c>
      <c r="C5083" t="s">
        <v>235</v>
      </c>
      <c r="D5083" t="s">
        <v>3489</v>
      </c>
      <c r="E5083" t="s">
        <v>557</v>
      </c>
      <c r="F5083" t="s">
        <v>1068</v>
      </c>
      <c r="G5083" t="s">
        <v>1071</v>
      </c>
      <c r="H5083" s="171" t="s">
        <v>3538</v>
      </c>
      <c r="I5083" t="s">
        <v>1072</v>
      </c>
      <c r="J5083">
        <v>8.3000000000000007</v>
      </c>
    </row>
    <row r="5084" spans="1:10" hidden="1">
      <c r="A5084" t="s">
        <v>3536</v>
      </c>
      <c r="B5084" t="s">
        <v>3537</v>
      </c>
      <c r="C5084" t="s">
        <v>235</v>
      </c>
      <c r="D5084" t="s">
        <v>3489</v>
      </c>
      <c r="E5084" t="s">
        <v>557</v>
      </c>
      <c r="F5084" t="s">
        <v>1068</v>
      </c>
      <c r="G5084" t="s">
        <v>1073</v>
      </c>
      <c r="H5084" s="171" t="s">
        <v>3539</v>
      </c>
      <c r="I5084" t="s">
        <v>1074</v>
      </c>
      <c r="J5084">
        <v>8.3000000000000007</v>
      </c>
    </row>
    <row r="5085" spans="1:10" hidden="1">
      <c r="A5085" t="s">
        <v>3536</v>
      </c>
      <c r="B5085" t="s">
        <v>3537</v>
      </c>
      <c r="C5085" t="s">
        <v>235</v>
      </c>
      <c r="D5085" t="s">
        <v>3489</v>
      </c>
      <c r="E5085" t="s">
        <v>557</v>
      </c>
      <c r="F5085" t="s">
        <v>1068</v>
      </c>
      <c r="G5085" t="s">
        <v>1075</v>
      </c>
      <c r="H5085">
        <v>3.47093107036529E-3</v>
      </c>
      <c r="I5085" t="s">
        <v>1077</v>
      </c>
      <c r="J5085">
        <v>8.3000000000000007</v>
      </c>
    </row>
    <row r="5086" spans="1:10" hidden="1">
      <c r="A5086" t="s">
        <v>3536</v>
      </c>
      <c r="B5086" t="s">
        <v>3537</v>
      </c>
      <c r="C5086" t="s">
        <v>235</v>
      </c>
      <c r="D5086" t="s">
        <v>3489</v>
      </c>
      <c r="E5086" t="s">
        <v>557</v>
      </c>
      <c r="F5086" t="s">
        <v>1068</v>
      </c>
      <c r="G5086" t="s">
        <v>1078</v>
      </c>
      <c r="H5086" s="171" t="s">
        <v>3540</v>
      </c>
      <c r="I5086" t="s">
        <v>1079</v>
      </c>
      <c r="J5086">
        <v>8.3000000000000007</v>
      </c>
    </row>
    <row r="5087" spans="1:10" hidden="1">
      <c r="A5087" t="s">
        <v>3536</v>
      </c>
      <c r="B5087" t="s">
        <v>3537</v>
      </c>
      <c r="C5087" t="s">
        <v>235</v>
      </c>
      <c r="D5087" t="s">
        <v>3489</v>
      </c>
      <c r="E5087" t="s">
        <v>557</v>
      </c>
      <c r="F5087" t="s">
        <v>1068</v>
      </c>
      <c r="G5087" t="s">
        <v>1080</v>
      </c>
      <c r="H5087" s="171" t="s">
        <v>3541</v>
      </c>
      <c r="I5087" t="s">
        <v>1082</v>
      </c>
      <c r="J5087">
        <v>8.3000000000000007</v>
      </c>
    </row>
    <row r="5088" spans="1:10" hidden="1">
      <c r="A5088" t="s">
        <v>3536</v>
      </c>
      <c r="B5088" t="s">
        <v>3537</v>
      </c>
      <c r="C5088" t="s">
        <v>235</v>
      </c>
      <c r="D5088" t="s">
        <v>3489</v>
      </c>
      <c r="E5088" t="s">
        <v>557</v>
      </c>
      <c r="F5088" t="s">
        <v>1068</v>
      </c>
      <c r="G5088" t="s">
        <v>1083</v>
      </c>
      <c r="H5088" s="171" t="s">
        <v>3542</v>
      </c>
      <c r="I5088" t="s">
        <v>1084</v>
      </c>
      <c r="J5088">
        <v>8.3000000000000007</v>
      </c>
    </row>
    <row r="5089" spans="1:10" hidden="1">
      <c r="A5089" t="s">
        <v>3536</v>
      </c>
      <c r="B5089" t="s">
        <v>3537</v>
      </c>
      <c r="C5089" t="s">
        <v>235</v>
      </c>
      <c r="D5089" t="s">
        <v>3489</v>
      </c>
      <c r="E5089" t="s">
        <v>557</v>
      </c>
      <c r="F5089" t="s">
        <v>1068</v>
      </c>
      <c r="G5089" t="s">
        <v>1085</v>
      </c>
      <c r="H5089" s="171" t="s">
        <v>3543</v>
      </c>
      <c r="I5089" t="s">
        <v>1086</v>
      </c>
      <c r="J5089">
        <v>8.3000000000000007</v>
      </c>
    </row>
    <row r="5090" spans="1:10" hidden="1">
      <c r="A5090" t="s">
        <v>3536</v>
      </c>
      <c r="B5090" t="s">
        <v>3537</v>
      </c>
      <c r="C5090" t="s">
        <v>235</v>
      </c>
      <c r="D5090" t="s">
        <v>3489</v>
      </c>
      <c r="E5090" t="s">
        <v>557</v>
      </c>
      <c r="F5090" t="s">
        <v>1068</v>
      </c>
      <c r="G5090" t="s">
        <v>1087</v>
      </c>
      <c r="H5090" s="171" t="s">
        <v>3544</v>
      </c>
      <c r="I5090" t="s">
        <v>1088</v>
      </c>
      <c r="J5090">
        <v>8.3000000000000007</v>
      </c>
    </row>
    <row r="5091" spans="1:10" hidden="1">
      <c r="A5091" t="s">
        <v>3536</v>
      </c>
      <c r="B5091" t="s">
        <v>3537</v>
      </c>
      <c r="C5091" t="s">
        <v>235</v>
      </c>
      <c r="D5091" t="s">
        <v>3489</v>
      </c>
      <c r="E5091" t="s">
        <v>557</v>
      </c>
      <c r="F5091" t="s">
        <v>1068</v>
      </c>
      <c r="G5091" t="s">
        <v>1089</v>
      </c>
      <c r="H5091" s="171" t="s">
        <v>3545</v>
      </c>
      <c r="I5091" t="s">
        <v>1090</v>
      </c>
      <c r="J5091">
        <v>8.3000000000000007</v>
      </c>
    </row>
    <row r="5092" spans="1:10" hidden="1">
      <c r="A5092" t="s">
        <v>3546</v>
      </c>
      <c r="B5092" t="s">
        <v>3547</v>
      </c>
      <c r="C5092" t="s">
        <v>235</v>
      </c>
      <c r="D5092" t="s">
        <v>3489</v>
      </c>
      <c r="E5092" t="s">
        <v>559</v>
      </c>
      <c r="F5092" t="s">
        <v>1068</v>
      </c>
      <c r="G5092" t="s">
        <v>1069</v>
      </c>
      <c r="H5092">
        <v>7.1861971026616206E-2</v>
      </c>
      <c r="I5092" t="s">
        <v>1070</v>
      </c>
      <c r="J5092">
        <v>8.84</v>
      </c>
    </row>
    <row r="5093" spans="1:10" hidden="1">
      <c r="A5093" t="s">
        <v>3546</v>
      </c>
      <c r="B5093" t="s">
        <v>3547</v>
      </c>
      <c r="C5093" t="s">
        <v>235</v>
      </c>
      <c r="D5093" t="s">
        <v>3489</v>
      </c>
      <c r="E5093" t="s">
        <v>559</v>
      </c>
      <c r="F5093" t="s">
        <v>1068</v>
      </c>
      <c r="G5093" t="s">
        <v>1071</v>
      </c>
      <c r="H5093" s="171" t="s">
        <v>3548</v>
      </c>
      <c r="I5093" t="s">
        <v>1072</v>
      </c>
      <c r="J5093">
        <v>8.84</v>
      </c>
    </row>
    <row r="5094" spans="1:10" hidden="1">
      <c r="A5094" t="s">
        <v>3546</v>
      </c>
      <c r="B5094" t="s">
        <v>3547</v>
      </c>
      <c r="C5094" t="s">
        <v>235</v>
      </c>
      <c r="D5094" t="s">
        <v>3489</v>
      </c>
      <c r="E5094" t="s">
        <v>559</v>
      </c>
      <c r="F5094" t="s">
        <v>1068</v>
      </c>
      <c r="G5094" t="s">
        <v>1073</v>
      </c>
      <c r="H5094" s="171" t="s">
        <v>3549</v>
      </c>
      <c r="I5094" t="s">
        <v>1074</v>
      </c>
      <c r="J5094">
        <v>8.84</v>
      </c>
    </row>
    <row r="5095" spans="1:10" hidden="1">
      <c r="A5095" t="s">
        <v>3546</v>
      </c>
      <c r="B5095" t="s">
        <v>3547</v>
      </c>
      <c r="C5095" t="s">
        <v>235</v>
      </c>
      <c r="D5095" t="s">
        <v>3489</v>
      </c>
      <c r="E5095" t="s">
        <v>559</v>
      </c>
      <c r="F5095" t="s">
        <v>1068</v>
      </c>
      <c r="G5095" t="s">
        <v>1075</v>
      </c>
      <c r="H5095">
        <v>3.4710891679275301E-3</v>
      </c>
      <c r="I5095" t="s">
        <v>1077</v>
      </c>
      <c r="J5095">
        <v>8.84</v>
      </c>
    </row>
    <row r="5096" spans="1:10" hidden="1">
      <c r="A5096" t="s">
        <v>3546</v>
      </c>
      <c r="B5096" t="s">
        <v>3547</v>
      </c>
      <c r="C5096" t="s">
        <v>235</v>
      </c>
      <c r="D5096" t="s">
        <v>3489</v>
      </c>
      <c r="E5096" t="s">
        <v>559</v>
      </c>
      <c r="F5096" t="s">
        <v>1068</v>
      </c>
      <c r="G5096" t="s">
        <v>1078</v>
      </c>
      <c r="H5096" s="171" t="s">
        <v>3550</v>
      </c>
      <c r="I5096" t="s">
        <v>1079</v>
      </c>
      <c r="J5096">
        <v>8.84</v>
      </c>
    </row>
    <row r="5097" spans="1:10" hidden="1">
      <c r="A5097" t="s">
        <v>3546</v>
      </c>
      <c r="B5097" t="s">
        <v>3547</v>
      </c>
      <c r="C5097" t="s">
        <v>235</v>
      </c>
      <c r="D5097" t="s">
        <v>3489</v>
      </c>
      <c r="E5097" t="s">
        <v>559</v>
      </c>
      <c r="F5097" t="s">
        <v>1068</v>
      </c>
      <c r="G5097" t="s">
        <v>1080</v>
      </c>
      <c r="H5097" s="171" t="s">
        <v>3551</v>
      </c>
      <c r="I5097" t="s">
        <v>1082</v>
      </c>
      <c r="J5097">
        <v>8.84</v>
      </c>
    </row>
    <row r="5098" spans="1:10" hidden="1">
      <c r="A5098" t="s">
        <v>3546</v>
      </c>
      <c r="B5098" t="s">
        <v>3547</v>
      </c>
      <c r="C5098" t="s">
        <v>235</v>
      </c>
      <c r="D5098" t="s">
        <v>3489</v>
      </c>
      <c r="E5098" t="s">
        <v>559</v>
      </c>
      <c r="F5098" t="s">
        <v>1068</v>
      </c>
      <c r="G5098" t="s">
        <v>1083</v>
      </c>
      <c r="H5098" s="171" t="s">
        <v>3552</v>
      </c>
      <c r="I5098" t="s">
        <v>1084</v>
      </c>
      <c r="J5098">
        <v>8.84</v>
      </c>
    </row>
    <row r="5099" spans="1:10" hidden="1">
      <c r="A5099" t="s">
        <v>3546</v>
      </c>
      <c r="B5099" t="s">
        <v>3547</v>
      </c>
      <c r="C5099" t="s">
        <v>235</v>
      </c>
      <c r="D5099" t="s">
        <v>3489</v>
      </c>
      <c r="E5099" t="s">
        <v>559</v>
      </c>
      <c r="F5099" t="s">
        <v>1068</v>
      </c>
      <c r="G5099" t="s">
        <v>1085</v>
      </c>
      <c r="H5099" s="171" t="s">
        <v>3553</v>
      </c>
      <c r="I5099" t="s">
        <v>1086</v>
      </c>
      <c r="J5099">
        <v>8.84</v>
      </c>
    </row>
    <row r="5100" spans="1:10" hidden="1">
      <c r="A5100" t="s">
        <v>3546</v>
      </c>
      <c r="B5100" t="s">
        <v>3547</v>
      </c>
      <c r="C5100" t="s">
        <v>235</v>
      </c>
      <c r="D5100" t="s">
        <v>3489</v>
      </c>
      <c r="E5100" t="s">
        <v>559</v>
      </c>
      <c r="F5100" t="s">
        <v>1068</v>
      </c>
      <c r="G5100" t="s">
        <v>1087</v>
      </c>
      <c r="H5100" s="171" t="s">
        <v>3554</v>
      </c>
      <c r="I5100" t="s">
        <v>1088</v>
      </c>
      <c r="J5100">
        <v>8.84</v>
      </c>
    </row>
    <row r="5101" spans="1:10" hidden="1">
      <c r="A5101" t="s">
        <v>3546</v>
      </c>
      <c r="B5101" t="s">
        <v>3547</v>
      </c>
      <c r="C5101" t="s">
        <v>235</v>
      </c>
      <c r="D5101" t="s">
        <v>3489</v>
      </c>
      <c r="E5101" t="s">
        <v>559</v>
      </c>
      <c r="F5101" t="s">
        <v>1068</v>
      </c>
      <c r="G5101" t="s">
        <v>1089</v>
      </c>
      <c r="H5101" s="171" t="s">
        <v>3555</v>
      </c>
      <c r="I5101" t="s">
        <v>1090</v>
      </c>
      <c r="J5101">
        <v>8.84</v>
      </c>
    </row>
    <row r="5102" spans="1:10" hidden="1">
      <c r="A5102" t="s">
        <v>3556</v>
      </c>
      <c r="B5102" t="s">
        <v>3557</v>
      </c>
      <c r="C5102" t="s">
        <v>235</v>
      </c>
      <c r="D5102" t="s">
        <v>3489</v>
      </c>
      <c r="E5102" t="s">
        <v>560</v>
      </c>
      <c r="F5102" t="s">
        <v>1068</v>
      </c>
      <c r="G5102" t="s">
        <v>1069</v>
      </c>
      <c r="H5102">
        <v>7.1836605787341495E-2</v>
      </c>
      <c r="I5102" t="s">
        <v>1070</v>
      </c>
      <c r="J5102">
        <v>8.65</v>
      </c>
    </row>
    <row r="5103" spans="1:10" hidden="1">
      <c r="A5103" t="s">
        <v>3556</v>
      </c>
      <c r="B5103" t="s">
        <v>3557</v>
      </c>
      <c r="C5103" t="s">
        <v>235</v>
      </c>
      <c r="D5103" t="s">
        <v>3489</v>
      </c>
      <c r="E5103" t="s">
        <v>560</v>
      </c>
      <c r="F5103" t="s">
        <v>1068</v>
      </c>
      <c r="G5103" t="s">
        <v>1071</v>
      </c>
      <c r="H5103" s="171" t="s">
        <v>3558</v>
      </c>
      <c r="I5103" t="s">
        <v>1072</v>
      </c>
      <c r="J5103">
        <v>8.65</v>
      </c>
    </row>
    <row r="5104" spans="1:10" hidden="1">
      <c r="A5104" t="s">
        <v>3556</v>
      </c>
      <c r="B5104" t="s">
        <v>3557</v>
      </c>
      <c r="C5104" t="s">
        <v>235</v>
      </c>
      <c r="D5104" t="s">
        <v>3489</v>
      </c>
      <c r="E5104" t="s">
        <v>560</v>
      </c>
      <c r="F5104" t="s">
        <v>1068</v>
      </c>
      <c r="G5104" t="s">
        <v>1073</v>
      </c>
      <c r="H5104" s="171" t="s">
        <v>3559</v>
      </c>
      <c r="I5104" t="s">
        <v>1074</v>
      </c>
      <c r="J5104">
        <v>8.65</v>
      </c>
    </row>
    <row r="5105" spans="1:10" hidden="1">
      <c r="A5105" t="s">
        <v>3556</v>
      </c>
      <c r="B5105" t="s">
        <v>3557</v>
      </c>
      <c r="C5105" t="s">
        <v>235</v>
      </c>
      <c r="D5105" t="s">
        <v>3489</v>
      </c>
      <c r="E5105" t="s">
        <v>560</v>
      </c>
      <c r="F5105" t="s">
        <v>1068</v>
      </c>
      <c r="G5105" t="s">
        <v>1075</v>
      </c>
      <c r="H5105">
        <v>3.4710188655900599E-3</v>
      </c>
      <c r="I5105" t="s">
        <v>1077</v>
      </c>
      <c r="J5105">
        <v>8.65</v>
      </c>
    </row>
    <row r="5106" spans="1:10" hidden="1">
      <c r="A5106" t="s">
        <v>3556</v>
      </c>
      <c r="B5106" t="s">
        <v>3557</v>
      </c>
      <c r="C5106" t="s">
        <v>235</v>
      </c>
      <c r="D5106" t="s">
        <v>3489</v>
      </c>
      <c r="E5106" t="s">
        <v>560</v>
      </c>
      <c r="F5106" t="s">
        <v>1068</v>
      </c>
      <c r="G5106" t="s">
        <v>1078</v>
      </c>
      <c r="H5106" s="171" t="s">
        <v>3560</v>
      </c>
      <c r="I5106" t="s">
        <v>1079</v>
      </c>
      <c r="J5106">
        <v>8.65</v>
      </c>
    </row>
    <row r="5107" spans="1:10" hidden="1">
      <c r="A5107" t="s">
        <v>3556</v>
      </c>
      <c r="B5107" t="s">
        <v>3557</v>
      </c>
      <c r="C5107" t="s">
        <v>235</v>
      </c>
      <c r="D5107" t="s">
        <v>3489</v>
      </c>
      <c r="E5107" t="s">
        <v>560</v>
      </c>
      <c r="F5107" t="s">
        <v>1068</v>
      </c>
      <c r="G5107" t="s">
        <v>1080</v>
      </c>
      <c r="H5107" s="171" t="s">
        <v>3561</v>
      </c>
      <c r="I5107" t="s">
        <v>1082</v>
      </c>
      <c r="J5107">
        <v>8.65</v>
      </c>
    </row>
    <row r="5108" spans="1:10" hidden="1">
      <c r="A5108" t="s">
        <v>3556</v>
      </c>
      <c r="B5108" t="s">
        <v>3557</v>
      </c>
      <c r="C5108" t="s">
        <v>235</v>
      </c>
      <c r="D5108" t="s">
        <v>3489</v>
      </c>
      <c r="E5108" t="s">
        <v>560</v>
      </c>
      <c r="F5108" t="s">
        <v>1068</v>
      </c>
      <c r="G5108" t="s">
        <v>1083</v>
      </c>
      <c r="H5108" s="171" t="s">
        <v>3562</v>
      </c>
      <c r="I5108" t="s">
        <v>1084</v>
      </c>
      <c r="J5108">
        <v>8.65</v>
      </c>
    </row>
    <row r="5109" spans="1:10" hidden="1">
      <c r="A5109" t="s">
        <v>3556</v>
      </c>
      <c r="B5109" t="s">
        <v>3557</v>
      </c>
      <c r="C5109" t="s">
        <v>235</v>
      </c>
      <c r="D5109" t="s">
        <v>3489</v>
      </c>
      <c r="E5109" t="s">
        <v>560</v>
      </c>
      <c r="F5109" t="s">
        <v>1068</v>
      </c>
      <c r="G5109" t="s">
        <v>1085</v>
      </c>
      <c r="H5109" s="171" t="s">
        <v>3563</v>
      </c>
      <c r="I5109" t="s">
        <v>1086</v>
      </c>
      <c r="J5109">
        <v>8.65</v>
      </c>
    </row>
    <row r="5110" spans="1:10" hidden="1">
      <c r="A5110" t="s">
        <v>3556</v>
      </c>
      <c r="B5110" t="s">
        <v>3557</v>
      </c>
      <c r="C5110" t="s">
        <v>235</v>
      </c>
      <c r="D5110" t="s">
        <v>3489</v>
      </c>
      <c r="E5110" t="s">
        <v>560</v>
      </c>
      <c r="F5110" t="s">
        <v>1068</v>
      </c>
      <c r="G5110" t="s">
        <v>1087</v>
      </c>
      <c r="H5110" s="171" t="s">
        <v>3564</v>
      </c>
      <c r="I5110" t="s">
        <v>1088</v>
      </c>
      <c r="J5110">
        <v>8.65</v>
      </c>
    </row>
    <row r="5111" spans="1:10" hidden="1">
      <c r="A5111" t="s">
        <v>3556</v>
      </c>
      <c r="B5111" t="s">
        <v>3557</v>
      </c>
      <c r="C5111" t="s">
        <v>235</v>
      </c>
      <c r="D5111" t="s">
        <v>3489</v>
      </c>
      <c r="E5111" t="s">
        <v>560</v>
      </c>
      <c r="F5111" t="s">
        <v>1068</v>
      </c>
      <c r="G5111" t="s">
        <v>1089</v>
      </c>
      <c r="H5111" s="171" t="s">
        <v>3565</v>
      </c>
      <c r="I5111" t="s">
        <v>1090</v>
      </c>
      <c r="J5111">
        <v>8.65</v>
      </c>
    </row>
    <row r="5112" spans="1:10" hidden="1">
      <c r="A5112" t="s">
        <v>3566</v>
      </c>
      <c r="B5112" t="s">
        <v>3567</v>
      </c>
      <c r="C5112" t="s">
        <v>235</v>
      </c>
      <c r="D5112" t="s">
        <v>3489</v>
      </c>
      <c r="E5112" t="s">
        <v>1116</v>
      </c>
      <c r="F5112" t="s">
        <v>1068</v>
      </c>
      <c r="G5112" t="s">
        <v>1069</v>
      </c>
      <c r="H5112">
        <v>7.1828176229248294E-2</v>
      </c>
      <c r="I5112" t="s">
        <v>1070</v>
      </c>
      <c r="J5112">
        <v>7.3</v>
      </c>
    </row>
    <row r="5113" spans="1:10" hidden="1">
      <c r="A5113" t="s">
        <v>3566</v>
      </c>
      <c r="B5113" t="s">
        <v>3567</v>
      </c>
      <c r="C5113" t="s">
        <v>235</v>
      </c>
      <c r="D5113" t="s">
        <v>3489</v>
      </c>
      <c r="E5113" t="s">
        <v>1116</v>
      </c>
      <c r="F5113" t="s">
        <v>1068</v>
      </c>
      <c r="G5113" t="s">
        <v>1071</v>
      </c>
      <c r="H5113" s="171" t="s">
        <v>3568</v>
      </c>
      <c r="I5113" t="s">
        <v>1072</v>
      </c>
      <c r="J5113">
        <v>7.3</v>
      </c>
    </row>
    <row r="5114" spans="1:10" hidden="1">
      <c r="A5114" t="s">
        <v>3566</v>
      </c>
      <c r="B5114" t="s">
        <v>3567</v>
      </c>
      <c r="C5114" t="s">
        <v>235</v>
      </c>
      <c r="D5114" t="s">
        <v>3489</v>
      </c>
      <c r="E5114" t="s">
        <v>1116</v>
      </c>
      <c r="F5114" t="s">
        <v>1068</v>
      </c>
      <c r="G5114" t="s">
        <v>1073</v>
      </c>
      <c r="H5114" s="171" t="s">
        <v>3569</v>
      </c>
      <c r="I5114" t="s">
        <v>1074</v>
      </c>
      <c r="J5114">
        <v>7.3</v>
      </c>
    </row>
    <row r="5115" spans="1:10" hidden="1">
      <c r="A5115" t="s">
        <v>3566</v>
      </c>
      <c r="B5115" t="s">
        <v>3567</v>
      </c>
      <c r="C5115" t="s">
        <v>235</v>
      </c>
      <c r="D5115" t="s">
        <v>3489</v>
      </c>
      <c r="E5115" t="s">
        <v>1116</v>
      </c>
      <c r="F5115" t="s">
        <v>1068</v>
      </c>
      <c r="G5115" t="s">
        <v>1075</v>
      </c>
      <c r="H5115">
        <v>3.4707523982536702E-3</v>
      </c>
      <c r="I5115" t="s">
        <v>1077</v>
      </c>
      <c r="J5115">
        <v>7.3</v>
      </c>
    </row>
    <row r="5116" spans="1:10" hidden="1">
      <c r="A5116" t="s">
        <v>3566</v>
      </c>
      <c r="B5116" t="s">
        <v>3567</v>
      </c>
      <c r="C5116" t="s">
        <v>235</v>
      </c>
      <c r="D5116" t="s">
        <v>3489</v>
      </c>
      <c r="E5116" t="s">
        <v>1116</v>
      </c>
      <c r="F5116" t="s">
        <v>1068</v>
      </c>
      <c r="G5116" t="s">
        <v>1078</v>
      </c>
      <c r="H5116">
        <v>2.60199740497906E-2</v>
      </c>
      <c r="I5116" t="s">
        <v>1079</v>
      </c>
      <c r="J5116">
        <v>7.3</v>
      </c>
    </row>
    <row r="5117" spans="1:10" hidden="1">
      <c r="A5117" t="s">
        <v>3566</v>
      </c>
      <c r="B5117" t="s">
        <v>3567</v>
      </c>
      <c r="C5117" t="s">
        <v>235</v>
      </c>
      <c r="D5117" t="s">
        <v>3489</v>
      </c>
      <c r="E5117" t="s">
        <v>1116</v>
      </c>
      <c r="F5117" t="s">
        <v>1068</v>
      </c>
      <c r="G5117" t="s">
        <v>1080</v>
      </c>
      <c r="H5117" s="171" t="s">
        <v>3570</v>
      </c>
      <c r="I5117" t="s">
        <v>1082</v>
      </c>
      <c r="J5117">
        <v>7.3</v>
      </c>
    </row>
    <row r="5118" spans="1:10" hidden="1">
      <c r="A5118" t="s">
        <v>3566</v>
      </c>
      <c r="B5118" t="s">
        <v>3567</v>
      </c>
      <c r="C5118" t="s">
        <v>235</v>
      </c>
      <c r="D5118" t="s">
        <v>3489</v>
      </c>
      <c r="E5118" t="s">
        <v>1116</v>
      </c>
      <c r="F5118" t="s">
        <v>1068</v>
      </c>
      <c r="G5118" t="s">
        <v>1083</v>
      </c>
      <c r="H5118" s="171" t="s">
        <v>3571</v>
      </c>
      <c r="I5118" t="s">
        <v>1084</v>
      </c>
      <c r="J5118">
        <v>7.3</v>
      </c>
    </row>
    <row r="5119" spans="1:10" hidden="1">
      <c r="A5119" t="s">
        <v>3566</v>
      </c>
      <c r="B5119" t="s">
        <v>3567</v>
      </c>
      <c r="C5119" t="s">
        <v>235</v>
      </c>
      <c r="D5119" t="s">
        <v>3489</v>
      </c>
      <c r="E5119" t="s">
        <v>1116</v>
      </c>
      <c r="F5119" t="s">
        <v>1068</v>
      </c>
      <c r="G5119" t="s">
        <v>1085</v>
      </c>
      <c r="H5119" s="171" t="s">
        <v>3572</v>
      </c>
      <c r="I5119" t="s">
        <v>1086</v>
      </c>
      <c r="J5119">
        <v>7.3</v>
      </c>
    </row>
    <row r="5120" spans="1:10" hidden="1">
      <c r="A5120" t="s">
        <v>3566</v>
      </c>
      <c r="B5120" t="s">
        <v>3567</v>
      </c>
      <c r="C5120" t="s">
        <v>235</v>
      </c>
      <c r="D5120" t="s">
        <v>3489</v>
      </c>
      <c r="E5120" t="s">
        <v>1116</v>
      </c>
      <c r="F5120" t="s">
        <v>1068</v>
      </c>
      <c r="G5120" t="s">
        <v>1087</v>
      </c>
      <c r="H5120" s="171" t="s">
        <v>3573</v>
      </c>
      <c r="I5120" t="s">
        <v>1088</v>
      </c>
      <c r="J5120">
        <v>7.3</v>
      </c>
    </row>
    <row r="5121" spans="1:10" hidden="1">
      <c r="A5121" t="s">
        <v>3566</v>
      </c>
      <c r="B5121" t="s">
        <v>3567</v>
      </c>
      <c r="C5121" t="s">
        <v>235</v>
      </c>
      <c r="D5121" t="s">
        <v>3489</v>
      </c>
      <c r="E5121" t="s">
        <v>1116</v>
      </c>
      <c r="F5121" t="s">
        <v>1068</v>
      </c>
      <c r="G5121" t="s">
        <v>1089</v>
      </c>
      <c r="H5121" s="171" t="s">
        <v>3574</v>
      </c>
      <c r="I5121" t="s">
        <v>1090</v>
      </c>
      <c r="J5121">
        <v>7.3</v>
      </c>
    </row>
    <row r="5122" spans="1:10" hidden="1">
      <c r="A5122" t="s">
        <v>3575</v>
      </c>
      <c r="B5122" t="s">
        <v>3576</v>
      </c>
      <c r="C5122" t="s">
        <v>235</v>
      </c>
      <c r="D5122" t="s">
        <v>324</v>
      </c>
      <c r="E5122" t="s">
        <v>561</v>
      </c>
      <c r="F5122" t="s">
        <v>1068</v>
      </c>
      <c r="G5122" t="s">
        <v>1069</v>
      </c>
      <c r="H5122">
        <v>-2.4881952746967799E-2</v>
      </c>
      <c r="I5122" t="s">
        <v>1070</v>
      </c>
      <c r="J5122">
        <v>8.08</v>
      </c>
    </row>
    <row r="5123" spans="1:10" hidden="1">
      <c r="A5123" t="s">
        <v>3575</v>
      </c>
      <c r="B5123" t="s">
        <v>3576</v>
      </c>
      <c r="C5123" t="s">
        <v>235</v>
      </c>
      <c r="D5123" t="s">
        <v>324</v>
      </c>
      <c r="E5123" t="s">
        <v>561</v>
      </c>
      <c r="F5123" t="s">
        <v>1068</v>
      </c>
      <c r="G5123" t="s">
        <v>1071</v>
      </c>
      <c r="H5123" s="170">
        <v>-1.03450747673176E-10</v>
      </c>
      <c r="I5123" t="s">
        <v>1072</v>
      </c>
      <c r="J5123">
        <v>8.08</v>
      </c>
    </row>
    <row r="5124" spans="1:10" hidden="1">
      <c r="A5124" t="s">
        <v>3575</v>
      </c>
      <c r="B5124" t="s">
        <v>3576</v>
      </c>
      <c r="C5124" t="s">
        <v>235</v>
      </c>
      <c r="D5124" t="s">
        <v>324</v>
      </c>
      <c r="E5124" t="s">
        <v>561</v>
      </c>
      <c r="F5124" t="s">
        <v>1068</v>
      </c>
      <c r="G5124" t="s">
        <v>1073</v>
      </c>
      <c r="H5124" s="170">
        <v>-5.9527159494988502E-9</v>
      </c>
      <c r="I5124" t="s">
        <v>1074</v>
      </c>
      <c r="J5124">
        <v>8.08</v>
      </c>
    </row>
    <row r="5125" spans="1:10" hidden="1">
      <c r="A5125" t="s">
        <v>3575</v>
      </c>
      <c r="B5125" t="s">
        <v>3576</v>
      </c>
      <c r="C5125" t="s">
        <v>235</v>
      </c>
      <c r="D5125" t="s">
        <v>324</v>
      </c>
      <c r="E5125" t="s">
        <v>561</v>
      </c>
      <c r="F5125" t="s">
        <v>1068</v>
      </c>
      <c r="G5125" t="s">
        <v>1075</v>
      </c>
      <c r="H5125">
        <v>1.0916533504905599E-3</v>
      </c>
      <c r="I5125" t="s">
        <v>1077</v>
      </c>
      <c r="J5125">
        <v>8.08</v>
      </c>
    </row>
    <row r="5126" spans="1:10" hidden="1">
      <c r="A5126" t="s">
        <v>3575</v>
      </c>
      <c r="B5126" t="s">
        <v>3576</v>
      </c>
      <c r="C5126" t="s">
        <v>235</v>
      </c>
      <c r="D5126" t="s">
        <v>324</v>
      </c>
      <c r="E5126" t="s">
        <v>561</v>
      </c>
      <c r="F5126" t="s">
        <v>1068</v>
      </c>
      <c r="G5126" t="s">
        <v>1078</v>
      </c>
      <c r="H5126">
        <v>-1.1293815758271</v>
      </c>
      <c r="I5126" t="s">
        <v>1079</v>
      </c>
      <c r="J5126">
        <v>8.08</v>
      </c>
    </row>
    <row r="5127" spans="1:10" hidden="1">
      <c r="A5127" t="s">
        <v>3575</v>
      </c>
      <c r="B5127" t="s">
        <v>3576</v>
      </c>
      <c r="C5127" t="s">
        <v>235</v>
      </c>
      <c r="D5127" t="s">
        <v>324</v>
      </c>
      <c r="E5127" t="s">
        <v>561</v>
      </c>
      <c r="F5127" t="s">
        <v>1068</v>
      </c>
      <c r="G5127" t="s">
        <v>1080</v>
      </c>
      <c r="H5127" s="171" t="s">
        <v>3577</v>
      </c>
      <c r="I5127" t="s">
        <v>1082</v>
      </c>
      <c r="J5127">
        <v>8.08</v>
      </c>
    </row>
    <row r="5128" spans="1:10" hidden="1">
      <c r="A5128" t="s">
        <v>3575</v>
      </c>
      <c r="B5128" t="s">
        <v>3576</v>
      </c>
      <c r="C5128" t="s">
        <v>235</v>
      </c>
      <c r="D5128" t="s">
        <v>324</v>
      </c>
      <c r="E5128" t="s">
        <v>561</v>
      </c>
      <c r="F5128" t="s">
        <v>1068</v>
      </c>
      <c r="G5128" t="s">
        <v>1083</v>
      </c>
      <c r="H5128" s="170">
        <v>-1.04883849344478E-5</v>
      </c>
      <c r="I5128" t="s">
        <v>1084</v>
      </c>
      <c r="J5128">
        <v>8.08</v>
      </c>
    </row>
    <row r="5129" spans="1:10" hidden="1">
      <c r="A5129" t="s">
        <v>3575</v>
      </c>
      <c r="B5129" t="s">
        <v>3576</v>
      </c>
      <c r="C5129" t="s">
        <v>235</v>
      </c>
      <c r="D5129" t="s">
        <v>324</v>
      </c>
      <c r="E5129" t="s">
        <v>561</v>
      </c>
      <c r="F5129" t="s">
        <v>1068</v>
      </c>
      <c r="G5129" t="s">
        <v>1085</v>
      </c>
      <c r="H5129" s="170">
        <v>-6.6365667954911494E-5</v>
      </c>
      <c r="I5129" t="s">
        <v>1086</v>
      </c>
      <c r="J5129">
        <v>8.08</v>
      </c>
    </row>
    <row r="5130" spans="1:10" hidden="1">
      <c r="A5130" t="s">
        <v>3575</v>
      </c>
      <c r="B5130" t="s">
        <v>3576</v>
      </c>
      <c r="C5130" t="s">
        <v>235</v>
      </c>
      <c r="D5130" t="s">
        <v>324</v>
      </c>
      <c r="E5130" t="s">
        <v>561</v>
      </c>
      <c r="F5130" t="s">
        <v>1068</v>
      </c>
      <c r="G5130" t="s">
        <v>1087</v>
      </c>
      <c r="H5130" s="170">
        <v>-3.9831242314290998E-8</v>
      </c>
      <c r="I5130" t="s">
        <v>1088</v>
      </c>
      <c r="J5130">
        <v>8.08</v>
      </c>
    </row>
    <row r="5131" spans="1:10" hidden="1">
      <c r="A5131" t="s">
        <v>3575</v>
      </c>
      <c r="B5131" t="s">
        <v>3576</v>
      </c>
      <c r="C5131" t="s">
        <v>235</v>
      </c>
      <c r="D5131" t="s">
        <v>324</v>
      </c>
      <c r="E5131" t="s">
        <v>561</v>
      </c>
      <c r="F5131" t="s">
        <v>1068</v>
      </c>
      <c r="G5131" t="s">
        <v>1089</v>
      </c>
      <c r="H5131" s="170">
        <v>-1.48536404573479E-6</v>
      </c>
      <c r="I5131" t="s">
        <v>1090</v>
      </c>
      <c r="J5131">
        <v>8.08</v>
      </c>
    </row>
    <row r="5132" spans="1:10" hidden="1">
      <c r="A5132" t="s">
        <v>3578</v>
      </c>
      <c r="B5132" t="s">
        <v>3579</v>
      </c>
      <c r="C5132" t="s">
        <v>235</v>
      </c>
      <c r="D5132" t="s">
        <v>324</v>
      </c>
      <c r="E5132" t="s">
        <v>555</v>
      </c>
      <c r="F5132" t="s">
        <v>1068</v>
      </c>
      <c r="G5132" t="s">
        <v>1069</v>
      </c>
      <c r="H5132">
        <v>-3.6390256572762597E-2</v>
      </c>
      <c r="I5132" t="s">
        <v>1070</v>
      </c>
      <c r="J5132">
        <v>8.27</v>
      </c>
    </row>
    <row r="5133" spans="1:10" hidden="1">
      <c r="A5133" t="s">
        <v>3578</v>
      </c>
      <c r="B5133" t="s">
        <v>3579</v>
      </c>
      <c r="C5133" t="s">
        <v>235</v>
      </c>
      <c r="D5133" t="s">
        <v>324</v>
      </c>
      <c r="E5133" t="s">
        <v>555</v>
      </c>
      <c r="F5133" t="s">
        <v>1068</v>
      </c>
      <c r="G5133" t="s">
        <v>1071</v>
      </c>
      <c r="H5133" s="170">
        <v>-1.1990476460960699E-10</v>
      </c>
      <c r="I5133" t="s">
        <v>1072</v>
      </c>
      <c r="J5133">
        <v>8.27</v>
      </c>
    </row>
    <row r="5134" spans="1:10" hidden="1">
      <c r="A5134" t="s">
        <v>3578</v>
      </c>
      <c r="B5134" t="s">
        <v>3579</v>
      </c>
      <c r="C5134" t="s">
        <v>235</v>
      </c>
      <c r="D5134" t="s">
        <v>324</v>
      </c>
      <c r="E5134" t="s">
        <v>555</v>
      </c>
      <c r="F5134" t="s">
        <v>1068</v>
      </c>
      <c r="G5134" t="s">
        <v>1073</v>
      </c>
      <c r="H5134" s="170">
        <v>-1.00457731654344E-8</v>
      </c>
      <c r="I5134" t="s">
        <v>1074</v>
      </c>
      <c r="J5134">
        <v>8.27</v>
      </c>
    </row>
    <row r="5135" spans="1:10" hidden="1">
      <c r="A5135" t="s">
        <v>3578</v>
      </c>
      <c r="B5135" t="s">
        <v>3579</v>
      </c>
      <c r="C5135" t="s">
        <v>235</v>
      </c>
      <c r="D5135" t="s">
        <v>324</v>
      </c>
      <c r="E5135" t="s">
        <v>555</v>
      </c>
      <c r="F5135" t="s">
        <v>1068</v>
      </c>
      <c r="G5135" t="s">
        <v>1075</v>
      </c>
      <c r="H5135">
        <v>7.4167453250176501E-4</v>
      </c>
      <c r="I5135" t="s">
        <v>1077</v>
      </c>
      <c r="J5135">
        <v>8.27</v>
      </c>
    </row>
    <row r="5136" spans="1:10" hidden="1">
      <c r="A5136" t="s">
        <v>3578</v>
      </c>
      <c r="B5136" t="s">
        <v>3579</v>
      </c>
      <c r="C5136" t="s">
        <v>235</v>
      </c>
      <c r="D5136" t="s">
        <v>324</v>
      </c>
      <c r="E5136" t="s">
        <v>555</v>
      </c>
      <c r="F5136" t="s">
        <v>1068</v>
      </c>
      <c r="G5136" t="s">
        <v>1078</v>
      </c>
      <c r="H5136">
        <v>-1.1391950666710899</v>
      </c>
      <c r="I5136" t="s">
        <v>1079</v>
      </c>
      <c r="J5136">
        <v>8.27</v>
      </c>
    </row>
    <row r="5137" spans="1:10" hidden="1">
      <c r="A5137" t="s">
        <v>3578</v>
      </c>
      <c r="B5137" t="s">
        <v>3579</v>
      </c>
      <c r="C5137" t="s">
        <v>235</v>
      </c>
      <c r="D5137" t="s">
        <v>324</v>
      </c>
      <c r="E5137" t="s">
        <v>555</v>
      </c>
      <c r="F5137" t="s">
        <v>1068</v>
      </c>
      <c r="G5137" t="s">
        <v>1080</v>
      </c>
      <c r="H5137" s="171" t="s">
        <v>3580</v>
      </c>
      <c r="I5137" t="s">
        <v>1082</v>
      </c>
      <c r="J5137">
        <v>8.27</v>
      </c>
    </row>
    <row r="5138" spans="1:10" hidden="1">
      <c r="A5138" t="s">
        <v>3578</v>
      </c>
      <c r="B5138" t="s">
        <v>3579</v>
      </c>
      <c r="C5138" t="s">
        <v>235</v>
      </c>
      <c r="D5138" t="s">
        <v>324</v>
      </c>
      <c r="E5138" t="s">
        <v>555</v>
      </c>
      <c r="F5138" t="s">
        <v>1068</v>
      </c>
      <c r="G5138" t="s">
        <v>1083</v>
      </c>
      <c r="H5138" s="170">
        <v>-1.22407462541306E-5</v>
      </c>
      <c r="I5138" t="s">
        <v>1084</v>
      </c>
      <c r="J5138">
        <v>8.27</v>
      </c>
    </row>
    <row r="5139" spans="1:10" hidden="1">
      <c r="A5139" t="s">
        <v>3578</v>
      </c>
      <c r="B5139" t="s">
        <v>3579</v>
      </c>
      <c r="C5139" t="s">
        <v>235</v>
      </c>
      <c r="D5139" t="s">
        <v>324</v>
      </c>
      <c r="E5139" t="s">
        <v>555</v>
      </c>
      <c r="F5139" t="s">
        <v>1068</v>
      </c>
      <c r="G5139" t="s">
        <v>1085</v>
      </c>
      <c r="H5139" s="170">
        <v>-8.6094477455269202E-5</v>
      </c>
      <c r="I5139" t="s">
        <v>1086</v>
      </c>
      <c r="J5139">
        <v>8.27</v>
      </c>
    </row>
    <row r="5140" spans="1:10" hidden="1">
      <c r="A5140" t="s">
        <v>3578</v>
      </c>
      <c r="B5140" t="s">
        <v>3579</v>
      </c>
      <c r="C5140" t="s">
        <v>235</v>
      </c>
      <c r="D5140" t="s">
        <v>324</v>
      </c>
      <c r="E5140" t="s">
        <v>555</v>
      </c>
      <c r="F5140" t="s">
        <v>1068</v>
      </c>
      <c r="G5140" t="s">
        <v>1087</v>
      </c>
      <c r="H5140" s="170">
        <v>-4.9117464479004197E-8</v>
      </c>
      <c r="I5140" t="s">
        <v>1088</v>
      </c>
      <c r="J5140">
        <v>8.27</v>
      </c>
    </row>
    <row r="5141" spans="1:10" hidden="1">
      <c r="A5141" t="s">
        <v>3578</v>
      </c>
      <c r="B5141" t="s">
        <v>3579</v>
      </c>
      <c r="C5141" t="s">
        <v>235</v>
      </c>
      <c r="D5141" t="s">
        <v>324</v>
      </c>
      <c r="E5141" t="s">
        <v>555</v>
      </c>
      <c r="F5141" t="s">
        <v>1068</v>
      </c>
      <c r="G5141" t="s">
        <v>1089</v>
      </c>
      <c r="H5141" s="170">
        <v>-5.5703999169176799E-6</v>
      </c>
      <c r="I5141" t="s">
        <v>1090</v>
      </c>
      <c r="J5141">
        <v>8.27</v>
      </c>
    </row>
    <row r="5142" spans="1:10" hidden="1">
      <c r="A5142" t="s">
        <v>3581</v>
      </c>
      <c r="B5142" t="s">
        <v>3582</v>
      </c>
      <c r="C5142" t="s">
        <v>235</v>
      </c>
      <c r="D5142" t="s">
        <v>324</v>
      </c>
      <c r="E5142" t="s">
        <v>558</v>
      </c>
      <c r="F5142" t="s">
        <v>1068</v>
      </c>
      <c r="G5142" t="s">
        <v>1069</v>
      </c>
      <c r="H5142">
        <v>-2.3877344696972998E-2</v>
      </c>
      <c r="I5142" t="s">
        <v>1070</v>
      </c>
      <c r="J5142">
        <v>9.24</v>
      </c>
    </row>
    <row r="5143" spans="1:10" hidden="1">
      <c r="A5143" t="s">
        <v>3581</v>
      </c>
      <c r="B5143" t="s">
        <v>3582</v>
      </c>
      <c r="C5143" t="s">
        <v>235</v>
      </c>
      <c r="D5143" t="s">
        <v>324</v>
      </c>
      <c r="E5143" t="s">
        <v>558</v>
      </c>
      <c r="F5143" t="s">
        <v>1068</v>
      </c>
      <c r="G5143" t="s">
        <v>1071</v>
      </c>
      <c r="H5143" s="170">
        <v>-1.02013142124321E-10</v>
      </c>
      <c r="I5143" t="s">
        <v>1072</v>
      </c>
      <c r="J5143">
        <v>9.24</v>
      </c>
    </row>
    <row r="5144" spans="1:10" hidden="1">
      <c r="A5144" t="s">
        <v>3581</v>
      </c>
      <c r="B5144" t="s">
        <v>3582</v>
      </c>
      <c r="C5144" t="s">
        <v>235</v>
      </c>
      <c r="D5144" t="s">
        <v>324</v>
      </c>
      <c r="E5144" t="s">
        <v>558</v>
      </c>
      <c r="F5144" t="s">
        <v>1068</v>
      </c>
      <c r="G5144" t="s">
        <v>1073</v>
      </c>
      <c r="H5144" s="170">
        <v>-5.5958759913671803E-9</v>
      </c>
      <c r="I5144" t="s">
        <v>1074</v>
      </c>
      <c r="J5144">
        <v>9.24</v>
      </c>
    </row>
    <row r="5145" spans="1:10" hidden="1">
      <c r="A5145" t="s">
        <v>3581</v>
      </c>
      <c r="B5145" t="s">
        <v>3582</v>
      </c>
      <c r="C5145" t="s">
        <v>235</v>
      </c>
      <c r="D5145" t="s">
        <v>324</v>
      </c>
      <c r="E5145" t="s">
        <v>558</v>
      </c>
      <c r="F5145" t="s">
        <v>1068</v>
      </c>
      <c r="G5145" t="s">
        <v>1075</v>
      </c>
      <c r="H5145">
        <v>1.12341008414297E-3</v>
      </c>
      <c r="I5145" t="s">
        <v>1077</v>
      </c>
      <c r="J5145">
        <v>9.24</v>
      </c>
    </row>
    <row r="5146" spans="1:10" hidden="1">
      <c r="A5146" t="s">
        <v>3581</v>
      </c>
      <c r="B5146" t="s">
        <v>3582</v>
      </c>
      <c r="C5146" t="s">
        <v>235</v>
      </c>
      <c r="D5146" t="s">
        <v>324</v>
      </c>
      <c r="E5146" t="s">
        <v>558</v>
      </c>
      <c r="F5146" t="s">
        <v>1068</v>
      </c>
      <c r="G5146" t="s">
        <v>1078</v>
      </c>
      <c r="H5146">
        <v>-1.12800829216573</v>
      </c>
      <c r="I5146" t="s">
        <v>1079</v>
      </c>
      <c r="J5146">
        <v>9.24</v>
      </c>
    </row>
    <row r="5147" spans="1:10" hidden="1">
      <c r="A5147" t="s">
        <v>3581</v>
      </c>
      <c r="B5147" t="s">
        <v>3582</v>
      </c>
      <c r="C5147" t="s">
        <v>235</v>
      </c>
      <c r="D5147" t="s">
        <v>324</v>
      </c>
      <c r="E5147" t="s">
        <v>558</v>
      </c>
      <c r="F5147" t="s">
        <v>1068</v>
      </c>
      <c r="G5147" t="s">
        <v>1080</v>
      </c>
      <c r="H5147" s="171" t="s">
        <v>3583</v>
      </c>
      <c r="I5147" t="s">
        <v>1082</v>
      </c>
      <c r="J5147">
        <v>9.24</v>
      </c>
    </row>
    <row r="5148" spans="1:10" hidden="1">
      <c r="A5148" t="s">
        <v>3581</v>
      </c>
      <c r="B5148" t="s">
        <v>3582</v>
      </c>
      <c r="C5148" t="s">
        <v>235</v>
      </c>
      <c r="D5148" t="s">
        <v>324</v>
      </c>
      <c r="E5148" t="s">
        <v>558</v>
      </c>
      <c r="F5148" t="s">
        <v>1068</v>
      </c>
      <c r="G5148" t="s">
        <v>1083</v>
      </c>
      <c r="H5148" s="170">
        <v>-1.03356838604059E-5</v>
      </c>
      <c r="I5148" t="s">
        <v>1084</v>
      </c>
      <c r="J5148">
        <v>9.24</v>
      </c>
    </row>
    <row r="5149" spans="1:10" hidden="1">
      <c r="A5149" t="s">
        <v>3581</v>
      </c>
      <c r="B5149" t="s">
        <v>3582</v>
      </c>
      <c r="C5149" t="s">
        <v>235</v>
      </c>
      <c r="D5149" t="s">
        <v>324</v>
      </c>
      <c r="E5149" t="s">
        <v>558</v>
      </c>
      <c r="F5149" t="s">
        <v>1068</v>
      </c>
      <c r="G5149" t="s">
        <v>1085</v>
      </c>
      <c r="H5149" s="170">
        <v>-6.4639835900237404E-5</v>
      </c>
      <c r="I5149" t="s">
        <v>1086</v>
      </c>
      <c r="J5149">
        <v>9.24</v>
      </c>
    </row>
    <row r="5150" spans="1:10" hidden="1">
      <c r="A5150" t="s">
        <v>3581</v>
      </c>
      <c r="B5150" t="s">
        <v>3582</v>
      </c>
      <c r="C5150" t="s">
        <v>235</v>
      </c>
      <c r="D5150" t="s">
        <v>324</v>
      </c>
      <c r="E5150" t="s">
        <v>558</v>
      </c>
      <c r="F5150" t="s">
        <v>1068</v>
      </c>
      <c r="G5150" t="s">
        <v>1087</v>
      </c>
      <c r="H5150" s="170">
        <v>-3.8998347884530703E-8</v>
      </c>
      <c r="I5150" t="s">
        <v>1088</v>
      </c>
      <c r="J5150">
        <v>9.24</v>
      </c>
    </row>
    <row r="5151" spans="1:10" hidden="1">
      <c r="A5151" t="s">
        <v>3581</v>
      </c>
      <c r="B5151" t="s">
        <v>3582</v>
      </c>
      <c r="C5151" t="s">
        <v>235</v>
      </c>
      <c r="D5151" t="s">
        <v>324</v>
      </c>
      <c r="E5151" t="s">
        <v>558</v>
      </c>
      <c r="F5151" t="s">
        <v>1068</v>
      </c>
      <c r="G5151" t="s">
        <v>1089</v>
      </c>
      <c r="H5151" s="170">
        <v>-1.1293283009182101E-6</v>
      </c>
      <c r="I5151" t="s">
        <v>1090</v>
      </c>
      <c r="J5151">
        <v>9.24</v>
      </c>
    </row>
    <row r="5152" spans="1:10" hidden="1">
      <c r="A5152" t="s">
        <v>3584</v>
      </c>
      <c r="B5152" t="s">
        <v>3585</v>
      </c>
      <c r="C5152" t="s">
        <v>235</v>
      </c>
      <c r="D5152" t="s">
        <v>324</v>
      </c>
      <c r="E5152" t="s">
        <v>553</v>
      </c>
      <c r="F5152" t="s">
        <v>1068</v>
      </c>
      <c r="G5152" t="s">
        <v>1069</v>
      </c>
      <c r="H5152">
        <v>-2.30329973863851E-2</v>
      </c>
      <c r="I5152" t="s">
        <v>1070</v>
      </c>
      <c r="J5152">
        <v>7.51</v>
      </c>
    </row>
    <row r="5153" spans="1:10" hidden="1">
      <c r="A5153" t="s">
        <v>3584</v>
      </c>
      <c r="B5153" t="s">
        <v>3585</v>
      </c>
      <c r="C5153" t="s">
        <v>235</v>
      </c>
      <c r="D5153" t="s">
        <v>324</v>
      </c>
      <c r="E5153" t="s">
        <v>553</v>
      </c>
      <c r="F5153" t="s">
        <v>1068</v>
      </c>
      <c r="G5153" t="s">
        <v>1071</v>
      </c>
      <c r="H5153" s="170">
        <v>-1.00790374749905E-10</v>
      </c>
      <c r="I5153" t="s">
        <v>1072</v>
      </c>
      <c r="J5153">
        <v>7.51</v>
      </c>
    </row>
    <row r="5154" spans="1:10" hidden="1">
      <c r="A5154" t="s">
        <v>3584</v>
      </c>
      <c r="B5154" t="s">
        <v>3585</v>
      </c>
      <c r="C5154" t="s">
        <v>235</v>
      </c>
      <c r="D5154" t="s">
        <v>324</v>
      </c>
      <c r="E5154" t="s">
        <v>553</v>
      </c>
      <c r="F5154" t="s">
        <v>1068</v>
      </c>
      <c r="G5154" t="s">
        <v>1073</v>
      </c>
      <c r="H5154" s="170">
        <v>-5.3012324374918399E-9</v>
      </c>
      <c r="I5154" t="s">
        <v>1074</v>
      </c>
      <c r="J5154">
        <v>7.51</v>
      </c>
    </row>
    <row r="5155" spans="1:10" hidden="1">
      <c r="A5155" t="s">
        <v>3584</v>
      </c>
      <c r="B5155" t="s">
        <v>3585</v>
      </c>
      <c r="C5155" t="s">
        <v>235</v>
      </c>
      <c r="D5155" t="s">
        <v>324</v>
      </c>
      <c r="E5155" t="s">
        <v>553</v>
      </c>
      <c r="F5155" t="s">
        <v>1068</v>
      </c>
      <c r="G5155" t="s">
        <v>1075</v>
      </c>
      <c r="H5155">
        <v>1.16391176453538E-3</v>
      </c>
      <c r="I5155" t="s">
        <v>1077</v>
      </c>
      <c r="J5155">
        <v>7.51</v>
      </c>
    </row>
    <row r="5156" spans="1:10" hidden="1">
      <c r="A5156" t="s">
        <v>3584</v>
      </c>
      <c r="B5156" t="s">
        <v>3585</v>
      </c>
      <c r="C5156" t="s">
        <v>235</v>
      </c>
      <c r="D5156" t="s">
        <v>324</v>
      </c>
      <c r="E5156" t="s">
        <v>553</v>
      </c>
      <c r="F5156" t="s">
        <v>1068</v>
      </c>
      <c r="G5156" t="s">
        <v>1078</v>
      </c>
      <c r="H5156">
        <v>-1.1209359000225601</v>
      </c>
      <c r="I5156" t="s">
        <v>1079</v>
      </c>
      <c r="J5156">
        <v>7.51</v>
      </c>
    </row>
    <row r="5157" spans="1:10" hidden="1">
      <c r="A5157" t="s">
        <v>3584</v>
      </c>
      <c r="B5157" t="s">
        <v>3585</v>
      </c>
      <c r="C5157" t="s">
        <v>235</v>
      </c>
      <c r="D5157" t="s">
        <v>324</v>
      </c>
      <c r="E5157" t="s">
        <v>553</v>
      </c>
      <c r="F5157" t="s">
        <v>1068</v>
      </c>
      <c r="G5157" t="s">
        <v>1080</v>
      </c>
      <c r="H5157" s="171" t="s">
        <v>3586</v>
      </c>
      <c r="I5157" t="s">
        <v>1082</v>
      </c>
      <c r="J5157">
        <v>7.51</v>
      </c>
    </row>
    <row r="5158" spans="1:10" hidden="1">
      <c r="A5158" t="s">
        <v>3584</v>
      </c>
      <c r="B5158" t="s">
        <v>3585</v>
      </c>
      <c r="C5158" t="s">
        <v>235</v>
      </c>
      <c r="D5158" t="s">
        <v>324</v>
      </c>
      <c r="E5158" t="s">
        <v>553</v>
      </c>
      <c r="F5158" t="s">
        <v>1068</v>
      </c>
      <c r="G5158" t="s">
        <v>1083</v>
      </c>
      <c r="H5158" s="170">
        <v>-1.02104342095172E-5</v>
      </c>
      <c r="I5158" t="s">
        <v>1084</v>
      </c>
      <c r="J5158">
        <v>7.51</v>
      </c>
    </row>
    <row r="5159" spans="1:10" hidden="1">
      <c r="A5159" t="s">
        <v>3584</v>
      </c>
      <c r="B5159" t="s">
        <v>3585</v>
      </c>
      <c r="C5159" t="s">
        <v>235</v>
      </c>
      <c r="D5159" t="s">
        <v>324</v>
      </c>
      <c r="E5159" t="s">
        <v>553</v>
      </c>
      <c r="F5159" t="s">
        <v>1068</v>
      </c>
      <c r="G5159" t="s">
        <v>1085</v>
      </c>
      <c r="H5159" s="170">
        <v>-6.3147830684315195E-5</v>
      </c>
      <c r="I5159" t="s">
        <v>1086</v>
      </c>
      <c r="J5159">
        <v>7.51</v>
      </c>
    </row>
    <row r="5160" spans="1:10" hidden="1">
      <c r="A5160" t="s">
        <v>3584</v>
      </c>
      <c r="B5160" t="s">
        <v>3585</v>
      </c>
      <c r="C5160" t="s">
        <v>235</v>
      </c>
      <c r="D5160" t="s">
        <v>324</v>
      </c>
      <c r="E5160" t="s">
        <v>553</v>
      </c>
      <c r="F5160" t="s">
        <v>1068</v>
      </c>
      <c r="G5160" t="s">
        <v>1087</v>
      </c>
      <c r="H5160" s="170">
        <v>-3.8043307972610797E-8</v>
      </c>
      <c r="I5160" t="s">
        <v>1088</v>
      </c>
      <c r="J5160">
        <v>7.51</v>
      </c>
    </row>
    <row r="5161" spans="1:10" hidden="1">
      <c r="A5161" t="s">
        <v>3584</v>
      </c>
      <c r="B5161" t="s">
        <v>3585</v>
      </c>
      <c r="C5161" t="s">
        <v>235</v>
      </c>
      <c r="D5161" t="s">
        <v>324</v>
      </c>
      <c r="E5161" t="s">
        <v>553</v>
      </c>
      <c r="F5161" t="s">
        <v>1068</v>
      </c>
      <c r="G5161" t="s">
        <v>1089</v>
      </c>
      <c r="H5161" s="170">
        <v>-8.3655200164091395E-7</v>
      </c>
      <c r="I5161" t="s">
        <v>1090</v>
      </c>
      <c r="J5161">
        <v>7.51</v>
      </c>
    </row>
    <row r="5162" spans="1:10" hidden="1">
      <c r="A5162" t="s">
        <v>3587</v>
      </c>
      <c r="B5162" t="s">
        <v>3588</v>
      </c>
      <c r="C5162" t="s">
        <v>235</v>
      </c>
      <c r="D5162" t="s">
        <v>324</v>
      </c>
      <c r="E5162" t="s">
        <v>556</v>
      </c>
      <c r="F5162" t="s">
        <v>1068</v>
      </c>
      <c r="G5162" t="s">
        <v>1069</v>
      </c>
      <c r="H5162">
        <v>-3.00181933113901E-2</v>
      </c>
      <c r="I5162" t="s">
        <v>1070</v>
      </c>
      <c r="J5162">
        <v>7.96</v>
      </c>
    </row>
    <row r="5163" spans="1:10" hidden="1">
      <c r="A5163" t="s">
        <v>3587</v>
      </c>
      <c r="B5163" t="s">
        <v>3588</v>
      </c>
      <c r="C5163" t="s">
        <v>235</v>
      </c>
      <c r="D5163" t="s">
        <v>324</v>
      </c>
      <c r="E5163" t="s">
        <v>556</v>
      </c>
      <c r="F5163" t="s">
        <v>1068</v>
      </c>
      <c r="G5163" t="s">
        <v>1071</v>
      </c>
      <c r="H5163" s="170">
        <v>-1.1066143263922E-10</v>
      </c>
      <c r="I5163" t="s">
        <v>1072</v>
      </c>
      <c r="J5163">
        <v>7.96</v>
      </c>
    </row>
    <row r="5164" spans="1:10" hidden="1">
      <c r="A5164" t="s">
        <v>3587</v>
      </c>
      <c r="B5164" t="s">
        <v>3588</v>
      </c>
      <c r="C5164" t="s">
        <v>235</v>
      </c>
      <c r="D5164" t="s">
        <v>324</v>
      </c>
      <c r="E5164" t="s">
        <v>556</v>
      </c>
      <c r="F5164" t="s">
        <v>1068</v>
      </c>
      <c r="G5164" t="s">
        <v>1073</v>
      </c>
      <c r="H5164" s="170">
        <v>-7.7788217726850908E-9</v>
      </c>
      <c r="I5164" t="s">
        <v>1074</v>
      </c>
      <c r="J5164">
        <v>7.96</v>
      </c>
    </row>
    <row r="5165" spans="1:10" hidden="1">
      <c r="A5165" t="s">
        <v>3587</v>
      </c>
      <c r="B5165" t="s">
        <v>3588</v>
      </c>
      <c r="C5165" t="s">
        <v>235</v>
      </c>
      <c r="D5165" t="s">
        <v>324</v>
      </c>
      <c r="E5165" t="s">
        <v>556</v>
      </c>
      <c r="F5165" t="s">
        <v>1068</v>
      </c>
      <c r="G5165" t="s">
        <v>1075</v>
      </c>
      <c r="H5165">
        <v>9.9765395972792391E-4</v>
      </c>
      <c r="I5165" t="s">
        <v>1077</v>
      </c>
      <c r="J5165">
        <v>7.96</v>
      </c>
    </row>
    <row r="5166" spans="1:10" hidden="1">
      <c r="A5166" t="s">
        <v>3587</v>
      </c>
      <c r="B5166" t="s">
        <v>3588</v>
      </c>
      <c r="C5166" t="s">
        <v>235</v>
      </c>
      <c r="D5166" t="s">
        <v>324</v>
      </c>
      <c r="E5166" t="s">
        <v>556</v>
      </c>
      <c r="F5166" t="s">
        <v>1068</v>
      </c>
      <c r="G5166" t="s">
        <v>1078</v>
      </c>
      <c r="H5166">
        <v>-1.10780997520734</v>
      </c>
      <c r="I5166" t="s">
        <v>1079</v>
      </c>
      <c r="J5166">
        <v>7.96</v>
      </c>
    </row>
    <row r="5167" spans="1:10" hidden="1">
      <c r="A5167" t="s">
        <v>3587</v>
      </c>
      <c r="B5167" t="s">
        <v>3588</v>
      </c>
      <c r="C5167" t="s">
        <v>235</v>
      </c>
      <c r="D5167" t="s">
        <v>324</v>
      </c>
      <c r="E5167" t="s">
        <v>556</v>
      </c>
      <c r="F5167" t="s">
        <v>1068</v>
      </c>
      <c r="G5167" t="s">
        <v>1080</v>
      </c>
      <c r="H5167" s="171" t="s">
        <v>3589</v>
      </c>
      <c r="I5167" t="s">
        <v>1082</v>
      </c>
      <c r="J5167">
        <v>7.96</v>
      </c>
    </row>
    <row r="5168" spans="1:10" hidden="1">
      <c r="A5168" t="s">
        <v>3587</v>
      </c>
      <c r="B5168" t="s">
        <v>3588</v>
      </c>
      <c r="C5168" t="s">
        <v>235</v>
      </c>
      <c r="D5168" t="s">
        <v>324</v>
      </c>
      <c r="E5168" t="s">
        <v>556</v>
      </c>
      <c r="F5168" t="s">
        <v>1068</v>
      </c>
      <c r="G5168" t="s">
        <v>1083</v>
      </c>
      <c r="H5168" s="170">
        <v>-1.1272172296422201E-5</v>
      </c>
      <c r="I5168" t="s">
        <v>1084</v>
      </c>
      <c r="J5168">
        <v>7.96</v>
      </c>
    </row>
    <row r="5169" spans="1:10" hidden="1">
      <c r="A5169" t="s">
        <v>3587</v>
      </c>
      <c r="B5169" t="s">
        <v>3588</v>
      </c>
      <c r="C5169" t="s">
        <v>235</v>
      </c>
      <c r="D5169" t="s">
        <v>324</v>
      </c>
      <c r="E5169" t="s">
        <v>556</v>
      </c>
      <c r="F5169" t="s">
        <v>1068</v>
      </c>
      <c r="G5169" t="s">
        <v>1085</v>
      </c>
      <c r="H5169" s="170">
        <v>-7.48603157207254E-5</v>
      </c>
      <c r="I5169" t="s">
        <v>1086</v>
      </c>
      <c r="J5169">
        <v>7.96</v>
      </c>
    </row>
    <row r="5170" spans="1:10" hidden="1">
      <c r="A5170" t="s">
        <v>3587</v>
      </c>
      <c r="B5170" t="s">
        <v>3588</v>
      </c>
      <c r="C5170" t="s">
        <v>235</v>
      </c>
      <c r="D5170" t="s">
        <v>324</v>
      </c>
      <c r="E5170" t="s">
        <v>556</v>
      </c>
      <c r="F5170" t="s">
        <v>1068</v>
      </c>
      <c r="G5170" t="s">
        <v>1087</v>
      </c>
      <c r="H5170" s="170">
        <v>-4.3834649942592298E-8</v>
      </c>
      <c r="I5170" t="s">
        <v>1088</v>
      </c>
      <c r="J5170">
        <v>7.96</v>
      </c>
    </row>
    <row r="5171" spans="1:10" hidden="1">
      <c r="A5171" t="s">
        <v>3587</v>
      </c>
      <c r="B5171" t="s">
        <v>3588</v>
      </c>
      <c r="C5171" t="s">
        <v>235</v>
      </c>
      <c r="D5171" t="s">
        <v>324</v>
      </c>
      <c r="E5171" t="s">
        <v>556</v>
      </c>
      <c r="F5171" t="s">
        <v>1068</v>
      </c>
      <c r="G5171" t="s">
        <v>1089</v>
      </c>
      <c r="H5171" s="170">
        <v>-3.3121655705320498E-6</v>
      </c>
      <c r="I5171" t="s">
        <v>1090</v>
      </c>
      <c r="J5171">
        <v>7.96</v>
      </c>
    </row>
    <row r="5172" spans="1:10" hidden="1">
      <c r="A5172" t="s">
        <v>3590</v>
      </c>
      <c r="B5172" t="s">
        <v>3591</v>
      </c>
      <c r="C5172" t="s">
        <v>235</v>
      </c>
      <c r="D5172" t="s">
        <v>324</v>
      </c>
      <c r="E5172" t="s">
        <v>557</v>
      </c>
      <c r="F5172" t="s">
        <v>1068</v>
      </c>
      <c r="G5172" t="s">
        <v>1069</v>
      </c>
      <c r="H5172">
        <v>-2.8026812729548101E-2</v>
      </c>
      <c r="I5172" t="s">
        <v>1070</v>
      </c>
      <c r="J5172">
        <v>7.61</v>
      </c>
    </row>
    <row r="5173" spans="1:10" hidden="1">
      <c r="A5173" t="s">
        <v>3590</v>
      </c>
      <c r="B5173" t="s">
        <v>3591</v>
      </c>
      <c r="C5173" t="s">
        <v>235</v>
      </c>
      <c r="D5173" t="s">
        <v>324</v>
      </c>
      <c r="E5173" t="s">
        <v>557</v>
      </c>
      <c r="F5173" t="s">
        <v>1068</v>
      </c>
      <c r="G5173" t="s">
        <v>1071</v>
      </c>
      <c r="H5173" s="170">
        <v>-1.07951078086955E-10</v>
      </c>
      <c r="I5173" t="s">
        <v>1072</v>
      </c>
      <c r="J5173">
        <v>7.61</v>
      </c>
    </row>
    <row r="5174" spans="1:10" hidden="1">
      <c r="A5174" t="s">
        <v>3590</v>
      </c>
      <c r="B5174" t="s">
        <v>3591</v>
      </c>
      <c r="C5174" t="s">
        <v>235</v>
      </c>
      <c r="D5174" t="s">
        <v>324</v>
      </c>
      <c r="E5174" t="s">
        <v>557</v>
      </c>
      <c r="F5174" t="s">
        <v>1068</v>
      </c>
      <c r="G5174" t="s">
        <v>1073</v>
      </c>
      <c r="H5174" s="170">
        <v>-7.0697801662541197E-9</v>
      </c>
      <c r="I5174" t="s">
        <v>1074</v>
      </c>
      <c r="J5174">
        <v>7.61</v>
      </c>
    </row>
    <row r="5175" spans="1:10" hidden="1">
      <c r="A5175" t="s">
        <v>3590</v>
      </c>
      <c r="B5175" t="s">
        <v>3591</v>
      </c>
      <c r="C5175" t="s">
        <v>235</v>
      </c>
      <c r="D5175" t="s">
        <v>324</v>
      </c>
      <c r="E5175" t="s">
        <v>557</v>
      </c>
      <c r="F5175" t="s">
        <v>1068</v>
      </c>
      <c r="G5175" t="s">
        <v>1075</v>
      </c>
      <c r="H5175">
        <v>9.9224096688324895E-4</v>
      </c>
      <c r="I5175" t="s">
        <v>1077</v>
      </c>
      <c r="J5175">
        <v>7.61</v>
      </c>
    </row>
    <row r="5176" spans="1:10" hidden="1">
      <c r="A5176" t="s">
        <v>3590</v>
      </c>
      <c r="B5176" t="s">
        <v>3591</v>
      </c>
      <c r="C5176" t="s">
        <v>235</v>
      </c>
      <c r="D5176" t="s">
        <v>324</v>
      </c>
      <c r="E5176" t="s">
        <v>557</v>
      </c>
      <c r="F5176" t="s">
        <v>1068</v>
      </c>
      <c r="G5176" t="s">
        <v>1078</v>
      </c>
      <c r="H5176">
        <v>-1.13368055076702</v>
      </c>
      <c r="I5176" t="s">
        <v>1079</v>
      </c>
      <c r="J5176">
        <v>7.61</v>
      </c>
    </row>
    <row r="5177" spans="1:10" hidden="1">
      <c r="A5177" t="s">
        <v>3590</v>
      </c>
      <c r="B5177" t="s">
        <v>3591</v>
      </c>
      <c r="C5177" t="s">
        <v>235</v>
      </c>
      <c r="D5177" t="s">
        <v>324</v>
      </c>
      <c r="E5177" t="s">
        <v>557</v>
      </c>
      <c r="F5177" t="s">
        <v>1068</v>
      </c>
      <c r="G5177" t="s">
        <v>1080</v>
      </c>
      <c r="H5177" s="171" t="s">
        <v>3592</v>
      </c>
      <c r="I5177" t="s">
        <v>1082</v>
      </c>
      <c r="J5177">
        <v>7.61</v>
      </c>
    </row>
    <row r="5178" spans="1:10" hidden="1">
      <c r="A5178" t="s">
        <v>3590</v>
      </c>
      <c r="B5178" t="s">
        <v>3591</v>
      </c>
      <c r="C5178" t="s">
        <v>235</v>
      </c>
      <c r="D5178" t="s">
        <v>324</v>
      </c>
      <c r="E5178" t="s">
        <v>557</v>
      </c>
      <c r="F5178" t="s">
        <v>1068</v>
      </c>
      <c r="G5178" t="s">
        <v>1083</v>
      </c>
      <c r="H5178" s="170">
        <v>-1.09664056879698E-5</v>
      </c>
      <c r="I5178" t="s">
        <v>1084</v>
      </c>
      <c r="J5178">
        <v>7.61</v>
      </c>
    </row>
    <row r="5179" spans="1:10" hidden="1">
      <c r="A5179" t="s">
        <v>3590</v>
      </c>
      <c r="B5179" t="s">
        <v>3591</v>
      </c>
      <c r="C5179" t="s">
        <v>235</v>
      </c>
      <c r="D5179" t="s">
        <v>324</v>
      </c>
      <c r="E5179" t="s">
        <v>557</v>
      </c>
      <c r="F5179" t="s">
        <v>1068</v>
      </c>
      <c r="G5179" t="s">
        <v>1085</v>
      </c>
      <c r="H5179" s="170">
        <v>-7.1768272647798295E-5</v>
      </c>
      <c r="I5179" t="s">
        <v>1086</v>
      </c>
      <c r="J5179">
        <v>7.61</v>
      </c>
    </row>
    <row r="5180" spans="1:10" hidden="1">
      <c r="A5180" t="s">
        <v>3590</v>
      </c>
      <c r="B5180" t="s">
        <v>3591</v>
      </c>
      <c r="C5180" t="s">
        <v>235</v>
      </c>
      <c r="D5180" t="s">
        <v>324</v>
      </c>
      <c r="E5180" t="s">
        <v>557</v>
      </c>
      <c r="F5180" t="s">
        <v>1068</v>
      </c>
      <c r="G5180" t="s">
        <v>1087</v>
      </c>
      <c r="H5180" s="170">
        <v>-4.2438564007451998E-8</v>
      </c>
      <c r="I5180" t="s">
        <v>1088</v>
      </c>
      <c r="J5180">
        <v>7.61</v>
      </c>
    </row>
    <row r="5181" spans="1:10" hidden="1">
      <c r="A5181" t="s">
        <v>3590</v>
      </c>
      <c r="B5181" t="s">
        <v>3591</v>
      </c>
      <c r="C5181" t="s">
        <v>235</v>
      </c>
      <c r="D5181" t="s">
        <v>324</v>
      </c>
      <c r="E5181" t="s">
        <v>557</v>
      </c>
      <c r="F5181" t="s">
        <v>1068</v>
      </c>
      <c r="G5181" t="s">
        <v>1089</v>
      </c>
      <c r="H5181" s="170">
        <v>-2.5999107251588502E-6</v>
      </c>
      <c r="I5181" t="s">
        <v>1090</v>
      </c>
      <c r="J5181">
        <v>7.61</v>
      </c>
    </row>
    <row r="5182" spans="1:10" hidden="1">
      <c r="A5182" t="s">
        <v>3593</v>
      </c>
      <c r="B5182" t="s">
        <v>3594</v>
      </c>
      <c r="C5182" t="s">
        <v>235</v>
      </c>
      <c r="D5182" t="s">
        <v>324</v>
      </c>
      <c r="E5182" t="s">
        <v>559</v>
      </c>
      <c r="F5182" t="s">
        <v>1068</v>
      </c>
      <c r="G5182" t="s">
        <v>1069</v>
      </c>
      <c r="H5182">
        <v>-3.1537619340258498E-2</v>
      </c>
      <c r="I5182" t="s">
        <v>1070</v>
      </c>
      <c r="J5182">
        <v>8.2100000000000009</v>
      </c>
    </row>
    <row r="5183" spans="1:10" hidden="1">
      <c r="A5183" t="s">
        <v>3593</v>
      </c>
      <c r="B5183" t="s">
        <v>3594</v>
      </c>
      <c r="C5183" t="s">
        <v>235</v>
      </c>
      <c r="D5183" t="s">
        <v>324</v>
      </c>
      <c r="E5183" t="s">
        <v>559</v>
      </c>
      <c r="F5183" t="s">
        <v>1068</v>
      </c>
      <c r="G5183" t="s">
        <v>1071</v>
      </c>
      <c r="H5183" s="170">
        <v>-1.12960585522E-10</v>
      </c>
      <c r="I5183" t="s">
        <v>1072</v>
      </c>
      <c r="J5183">
        <v>8.2100000000000009</v>
      </c>
    </row>
    <row r="5184" spans="1:10" hidden="1">
      <c r="A5184" t="s">
        <v>3593</v>
      </c>
      <c r="B5184" t="s">
        <v>3594</v>
      </c>
      <c r="C5184" t="s">
        <v>235</v>
      </c>
      <c r="D5184" t="s">
        <v>324</v>
      </c>
      <c r="E5184" t="s">
        <v>559</v>
      </c>
      <c r="F5184" t="s">
        <v>1068</v>
      </c>
      <c r="G5184" t="s">
        <v>1073</v>
      </c>
      <c r="H5184" s="170">
        <v>-8.3221010657699303E-9</v>
      </c>
      <c r="I5184" t="s">
        <v>1074</v>
      </c>
      <c r="J5184">
        <v>8.2100000000000009</v>
      </c>
    </row>
    <row r="5185" spans="1:10" hidden="1">
      <c r="A5185" t="s">
        <v>3593</v>
      </c>
      <c r="B5185" t="s">
        <v>3594</v>
      </c>
      <c r="C5185" t="s">
        <v>235</v>
      </c>
      <c r="D5185" t="s">
        <v>324</v>
      </c>
      <c r="E5185" t="s">
        <v>559</v>
      </c>
      <c r="F5185" t="s">
        <v>1068</v>
      </c>
      <c r="G5185" t="s">
        <v>1075</v>
      </c>
      <c r="H5185">
        <v>8.9507157934544097E-4</v>
      </c>
      <c r="I5185" t="s">
        <v>1077</v>
      </c>
      <c r="J5185">
        <v>8.2100000000000009</v>
      </c>
    </row>
    <row r="5186" spans="1:10" hidden="1">
      <c r="A5186" t="s">
        <v>3593</v>
      </c>
      <c r="B5186" t="s">
        <v>3594</v>
      </c>
      <c r="C5186" t="s">
        <v>235</v>
      </c>
      <c r="D5186" t="s">
        <v>324</v>
      </c>
      <c r="E5186" t="s">
        <v>559</v>
      </c>
      <c r="F5186" t="s">
        <v>1068</v>
      </c>
      <c r="G5186" t="s">
        <v>1078</v>
      </c>
      <c r="H5186">
        <v>-1.1325615866527099</v>
      </c>
      <c r="I5186" t="s">
        <v>1079</v>
      </c>
      <c r="J5186">
        <v>8.2100000000000009</v>
      </c>
    </row>
    <row r="5187" spans="1:10" hidden="1">
      <c r="A5187" t="s">
        <v>3593</v>
      </c>
      <c r="B5187" t="s">
        <v>3594</v>
      </c>
      <c r="C5187" t="s">
        <v>235</v>
      </c>
      <c r="D5187" t="s">
        <v>324</v>
      </c>
      <c r="E5187" t="s">
        <v>559</v>
      </c>
      <c r="F5187" t="s">
        <v>1068</v>
      </c>
      <c r="G5187" t="s">
        <v>1080</v>
      </c>
      <c r="H5187" s="171" t="s">
        <v>3595</v>
      </c>
      <c r="I5187" t="s">
        <v>1082</v>
      </c>
      <c r="J5187">
        <v>8.2100000000000009</v>
      </c>
    </row>
    <row r="5188" spans="1:10" hidden="1">
      <c r="A5188" t="s">
        <v>3593</v>
      </c>
      <c r="B5188" t="s">
        <v>3594</v>
      </c>
      <c r="C5188" t="s">
        <v>235</v>
      </c>
      <c r="D5188" t="s">
        <v>324</v>
      </c>
      <c r="E5188" t="s">
        <v>559</v>
      </c>
      <c r="F5188" t="s">
        <v>1068</v>
      </c>
      <c r="G5188" t="s">
        <v>1083</v>
      </c>
      <c r="H5188" s="170">
        <v>-1.1503142252904001E-5</v>
      </c>
      <c r="I5188" t="s">
        <v>1084</v>
      </c>
      <c r="J5188">
        <v>8.2100000000000009</v>
      </c>
    </row>
    <row r="5189" spans="1:10" hidden="1">
      <c r="A5189" t="s">
        <v>3593</v>
      </c>
      <c r="B5189" t="s">
        <v>3594</v>
      </c>
      <c r="C5189" t="s">
        <v>235</v>
      </c>
      <c r="D5189" t="s">
        <v>324</v>
      </c>
      <c r="E5189" t="s">
        <v>559</v>
      </c>
      <c r="F5189" t="s">
        <v>1068</v>
      </c>
      <c r="G5189" t="s">
        <v>1085</v>
      </c>
      <c r="H5189" s="170">
        <v>-7.7758055220128596E-5</v>
      </c>
      <c r="I5189" t="s">
        <v>1086</v>
      </c>
      <c r="J5189">
        <v>8.2100000000000009</v>
      </c>
    </row>
    <row r="5190" spans="1:10" hidden="1">
      <c r="A5190" t="s">
        <v>3593</v>
      </c>
      <c r="B5190" t="s">
        <v>3594</v>
      </c>
      <c r="C5190" t="s">
        <v>235</v>
      </c>
      <c r="D5190" t="s">
        <v>324</v>
      </c>
      <c r="E5190" t="s">
        <v>559</v>
      </c>
      <c r="F5190" t="s">
        <v>1068</v>
      </c>
      <c r="G5190" t="s">
        <v>1087</v>
      </c>
      <c r="H5190" s="170">
        <v>-4.5094269044097299E-8</v>
      </c>
      <c r="I5190" t="s">
        <v>1088</v>
      </c>
      <c r="J5190">
        <v>8.2100000000000009</v>
      </c>
    </row>
    <row r="5191" spans="1:10" hidden="1">
      <c r="A5191" t="s">
        <v>3593</v>
      </c>
      <c r="B5191" t="s">
        <v>3594</v>
      </c>
      <c r="C5191" t="s">
        <v>235</v>
      </c>
      <c r="D5191" t="s">
        <v>324</v>
      </c>
      <c r="E5191" t="s">
        <v>559</v>
      </c>
      <c r="F5191" t="s">
        <v>1068</v>
      </c>
      <c r="G5191" t="s">
        <v>1089</v>
      </c>
      <c r="H5191" s="170">
        <v>-3.8506124720418497E-6</v>
      </c>
      <c r="I5191" t="s">
        <v>1090</v>
      </c>
      <c r="J5191">
        <v>8.2100000000000009</v>
      </c>
    </row>
    <row r="5192" spans="1:10" hidden="1">
      <c r="A5192" t="s">
        <v>3596</v>
      </c>
      <c r="B5192" t="s">
        <v>3597</v>
      </c>
      <c r="C5192" t="s">
        <v>235</v>
      </c>
      <c r="D5192" t="s">
        <v>324</v>
      </c>
      <c r="E5192" t="s">
        <v>560</v>
      </c>
      <c r="F5192" t="s">
        <v>1068</v>
      </c>
      <c r="G5192" t="s">
        <v>1069</v>
      </c>
      <c r="H5192">
        <v>-3.0239862346921501E-2</v>
      </c>
      <c r="I5192" t="s">
        <v>1070</v>
      </c>
      <c r="J5192">
        <v>20.65</v>
      </c>
    </row>
    <row r="5193" spans="1:10" hidden="1">
      <c r="A5193" t="s">
        <v>3596</v>
      </c>
      <c r="B5193" t="s">
        <v>3597</v>
      </c>
      <c r="C5193" t="s">
        <v>235</v>
      </c>
      <c r="D5193" t="s">
        <v>324</v>
      </c>
      <c r="E5193" t="s">
        <v>560</v>
      </c>
      <c r="F5193" t="s">
        <v>1068</v>
      </c>
      <c r="G5193" t="s">
        <v>1071</v>
      </c>
      <c r="H5193" s="170">
        <v>-1.11117977267026E-10</v>
      </c>
      <c r="I5193" t="s">
        <v>1072</v>
      </c>
      <c r="J5193">
        <v>20.65</v>
      </c>
    </row>
    <row r="5194" spans="1:10" hidden="1">
      <c r="A5194" t="s">
        <v>3596</v>
      </c>
      <c r="B5194" t="s">
        <v>3597</v>
      </c>
      <c r="C5194" t="s">
        <v>235</v>
      </c>
      <c r="D5194" t="s">
        <v>324</v>
      </c>
      <c r="E5194" t="s">
        <v>560</v>
      </c>
      <c r="F5194" t="s">
        <v>1068</v>
      </c>
      <c r="G5194" t="s">
        <v>1073</v>
      </c>
      <c r="H5194" s="170">
        <v>-7.8558623928604603E-9</v>
      </c>
      <c r="I5194" t="s">
        <v>1074</v>
      </c>
      <c r="J5194">
        <v>20.65</v>
      </c>
    </row>
    <row r="5195" spans="1:10" hidden="1">
      <c r="A5195" t="s">
        <v>3596</v>
      </c>
      <c r="B5195" t="s">
        <v>3597</v>
      </c>
      <c r="C5195" t="s">
        <v>235</v>
      </c>
      <c r="D5195" t="s">
        <v>324</v>
      </c>
      <c r="E5195" t="s">
        <v>560</v>
      </c>
      <c r="F5195" t="s">
        <v>1068</v>
      </c>
      <c r="G5195" t="s">
        <v>1075</v>
      </c>
      <c r="H5195">
        <v>9.2228410434472903E-4</v>
      </c>
      <c r="I5195" t="s">
        <v>1077</v>
      </c>
      <c r="J5195">
        <v>20.65</v>
      </c>
    </row>
    <row r="5196" spans="1:10" hidden="1">
      <c r="A5196" t="s">
        <v>3596</v>
      </c>
      <c r="B5196" t="s">
        <v>3597</v>
      </c>
      <c r="C5196" t="s">
        <v>235</v>
      </c>
      <c r="D5196" t="s">
        <v>324</v>
      </c>
      <c r="E5196" t="s">
        <v>560</v>
      </c>
      <c r="F5196" t="s">
        <v>1068</v>
      </c>
      <c r="G5196" t="s">
        <v>1078</v>
      </c>
      <c r="H5196">
        <v>-1.13670575535437</v>
      </c>
      <c r="I5196" t="s">
        <v>1079</v>
      </c>
      <c r="J5196">
        <v>20.65</v>
      </c>
    </row>
    <row r="5197" spans="1:10" hidden="1">
      <c r="A5197" t="s">
        <v>3596</v>
      </c>
      <c r="B5197" t="s">
        <v>3597</v>
      </c>
      <c r="C5197" t="s">
        <v>235</v>
      </c>
      <c r="D5197" t="s">
        <v>324</v>
      </c>
      <c r="E5197" t="s">
        <v>560</v>
      </c>
      <c r="F5197" t="s">
        <v>1068</v>
      </c>
      <c r="G5197" t="s">
        <v>1080</v>
      </c>
      <c r="H5197" s="171" t="s">
        <v>3598</v>
      </c>
      <c r="I5197" t="s">
        <v>1082</v>
      </c>
      <c r="J5197">
        <v>20.65</v>
      </c>
    </row>
    <row r="5198" spans="1:10" hidden="1">
      <c r="A5198" t="s">
        <v>3596</v>
      </c>
      <c r="B5198" t="s">
        <v>3597</v>
      </c>
      <c r="C5198" t="s">
        <v>235</v>
      </c>
      <c r="D5198" t="s">
        <v>324</v>
      </c>
      <c r="E5198" t="s">
        <v>560</v>
      </c>
      <c r="F5198" t="s">
        <v>1068</v>
      </c>
      <c r="G5198" t="s">
        <v>1083</v>
      </c>
      <c r="H5198" s="170">
        <v>-1.1302790662670499E-5</v>
      </c>
      <c r="I5198" t="s">
        <v>1084</v>
      </c>
      <c r="J5198">
        <v>20.65</v>
      </c>
    </row>
    <row r="5199" spans="1:10" hidden="1">
      <c r="A5199" t="s">
        <v>3596</v>
      </c>
      <c r="B5199" t="s">
        <v>3597</v>
      </c>
      <c r="C5199" t="s">
        <v>235</v>
      </c>
      <c r="D5199" t="s">
        <v>324</v>
      </c>
      <c r="E5199" t="s">
        <v>560</v>
      </c>
      <c r="F5199" t="s">
        <v>1068</v>
      </c>
      <c r="G5199" t="s">
        <v>1085</v>
      </c>
      <c r="H5199" s="170">
        <v>-7.5570105579830601E-5</v>
      </c>
      <c r="I5199" t="s">
        <v>1086</v>
      </c>
      <c r="J5199">
        <v>20.65</v>
      </c>
    </row>
    <row r="5200" spans="1:10" hidden="1">
      <c r="A5200" t="s">
        <v>3596</v>
      </c>
      <c r="B5200" t="s">
        <v>3597</v>
      </c>
      <c r="C5200" t="s">
        <v>235</v>
      </c>
      <c r="D5200" t="s">
        <v>324</v>
      </c>
      <c r="E5200" t="s">
        <v>560</v>
      </c>
      <c r="F5200" t="s">
        <v>1068</v>
      </c>
      <c r="G5200" t="s">
        <v>1087</v>
      </c>
      <c r="H5200" s="170">
        <v>-4.4273345939676702E-8</v>
      </c>
      <c r="I5200" t="s">
        <v>1088</v>
      </c>
      <c r="J5200">
        <v>20.65</v>
      </c>
    </row>
    <row r="5201" spans="1:10" hidden="1">
      <c r="A5201" t="s">
        <v>3596</v>
      </c>
      <c r="B5201" t="s">
        <v>3597</v>
      </c>
      <c r="C5201" t="s">
        <v>235</v>
      </c>
      <c r="D5201" t="s">
        <v>324</v>
      </c>
      <c r="E5201" t="s">
        <v>560</v>
      </c>
      <c r="F5201" t="s">
        <v>1068</v>
      </c>
      <c r="G5201" t="s">
        <v>1089</v>
      </c>
      <c r="H5201" s="170">
        <v>-3.3842213514204898E-6</v>
      </c>
      <c r="I5201" t="s">
        <v>1090</v>
      </c>
      <c r="J5201">
        <v>20.65</v>
      </c>
    </row>
    <row r="5202" spans="1:10" hidden="1">
      <c r="A5202" t="s">
        <v>3599</v>
      </c>
      <c r="B5202" t="s">
        <v>3600</v>
      </c>
      <c r="C5202" t="s">
        <v>235</v>
      </c>
      <c r="D5202" t="s">
        <v>324</v>
      </c>
      <c r="E5202" t="s">
        <v>1116</v>
      </c>
      <c r="F5202" t="s">
        <v>1068</v>
      </c>
      <c r="G5202" t="s">
        <v>1069</v>
      </c>
      <c r="H5202">
        <v>-2.3523034202424999E-2</v>
      </c>
      <c r="I5202" t="s">
        <v>1070</v>
      </c>
      <c r="J5202">
        <v>12.29</v>
      </c>
    </row>
    <row r="5203" spans="1:10" hidden="1">
      <c r="A5203" t="s">
        <v>3599</v>
      </c>
      <c r="B5203" t="s">
        <v>3600</v>
      </c>
      <c r="C5203" t="s">
        <v>235</v>
      </c>
      <c r="D5203" t="s">
        <v>324</v>
      </c>
      <c r="E5203" t="s">
        <v>1116</v>
      </c>
      <c r="F5203" t="s">
        <v>1068</v>
      </c>
      <c r="G5203" t="s">
        <v>1071</v>
      </c>
      <c r="H5203" s="170">
        <v>-1.01506119775673E-10</v>
      </c>
      <c r="I5203" t="s">
        <v>1072</v>
      </c>
      <c r="J5203">
        <v>12.29</v>
      </c>
    </row>
    <row r="5204" spans="1:10" hidden="1">
      <c r="A5204" t="s">
        <v>3599</v>
      </c>
      <c r="B5204" t="s">
        <v>3600</v>
      </c>
      <c r="C5204" t="s">
        <v>235</v>
      </c>
      <c r="D5204" t="s">
        <v>324</v>
      </c>
      <c r="E5204" t="s">
        <v>1116</v>
      </c>
      <c r="F5204" t="s">
        <v>1068</v>
      </c>
      <c r="G5204" t="s">
        <v>1073</v>
      </c>
      <c r="H5204" s="170">
        <v>-5.4700237825970799E-9</v>
      </c>
      <c r="I5204" t="s">
        <v>1074</v>
      </c>
      <c r="J5204">
        <v>12.29</v>
      </c>
    </row>
    <row r="5205" spans="1:10" hidden="1">
      <c r="A5205" t="s">
        <v>3599</v>
      </c>
      <c r="B5205" t="s">
        <v>3600</v>
      </c>
      <c r="C5205" t="s">
        <v>235</v>
      </c>
      <c r="D5205" t="s">
        <v>324</v>
      </c>
      <c r="E5205" t="s">
        <v>1116</v>
      </c>
      <c r="F5205" t="s">
        <v>1068</v>
      </c>
      <c r="G5205" t="s">
        <v>1075</v>
      </c>
      <c r="H5205">
        <v>1.1346102173747201E-3</v>
      </c>
      <c r="I5205" t="s">
        <v>1077</v>
      </c>
      <c r="J5205">
        <v>12.29</v>
      </c>
    </row>
    <row r="5206" spans="1:10" hidden="1">
      <c r="A5206" t="s">
        <v>3599</v>
      </c>
      <c r="B5206" t="s">
        <v>3600</v>
      </c>
      <c r="C5206" t="s">
        <v>235</v>
      </c>
      <c r="D5206" t="s">
        <v>324</v>
      </c>
      <c r="E5206" t="s">
        <v>1116</v>
      </c>
      <c r="F5206" t="s">
        <v>1068</v>
      </c>
      <c r="G5206" t="s">
        <v>1078</v>
      </c>
      <c r="H5206">
        <v>-1.12752395520147</v>
      </c>
      <c r="I5206" t="s">
        <v>1079</v>
      </c>
      <c r="J5206">
        <v>12.29</v>
      </c>
    </row>
    <row r="5207" spans="1:10" hidden="1">
      <c r="A5207" t="s">
        <v>3599</v>
      </c>
      <c r="B5207" t="s">
        <v>3600</v>
      </c>
      <c r="C5207" t="s">
        <v>235</v>
      </c>
      <c r="D5207" t="s">
        <v>324</v>
      </c>
      <c r="E5207" t="s">
        <v>1116</v>
      </c>
      <c r="F5207" t="s">
        <v>1068</v>
      </c>
      <c r="G5207" t="s">
        <v>1080</v>
      </c>
      <c r="H5207" s="171" t="s">
        <v>3601</v>
      </c>
      <c r="I5207" t="s">
        <v>1082</v>
      </c>
      <c r="J5207">
        <v>12.29</v>
      </c>
    </row>
    <row r="5208" spans="1:10" hidden="1">
      <c r="A5208" t="s">
        <v>3599</v>
      </c>
      <c r="B5208" t="s">
        <v>3600</v>
      </c>
      <c r="C5208" t="s">
        <v>235</v>
      </c>
      <c r="D5208" t="s">
        <v>324</v>
      </c>
      <c r="E5208" t="s">
        <v>1116</v>
      </c>
      <c r="F5208" t="s">
        <v>1068</v>
      </c>
      <c r="G5208" t="s">
        <v>1083</v>
      </c>
      <c r="H5208" s="170">
        <v>-1.0281828435833E-5</v>
      </c>
      <c r="I5208" t="s">
        <v>1084</v>
      </c>
      <c r="J5208">
        <v>12.29</v>
      </c>
    </row>
    <row r="5209" spans="1:10" hidden="1">
      <c r="A5209" t="s">
        <v>3599</v>
      </c>
      <c r="B5209" t="s">
        <v>3600</v>
      </c>
      <c r="C5209" t="s">
        <v>235</v>
      </c>
      <c r="D5209" t="s">
        <v>324</v>
      </c>
      <c r="E5209" t="s">
        <v>1116</v>
      </c>
      <c r="F5209" t="s">
        <v>1068</v>
      </c>
      <c r="G5209" t="s">
        <v>1085</v>
      </c>
      <c r="H5209" s="170">
        <v>-6.4031160299039E-5</v>
      </c>
      <c r="I5209" t="s">
        <v>1086</v>
      </c>
      <c r="J5209">
        <v>12.29</v>
      </c>
    </row>
    <row r="5210" spans="1:10" hidden="1">
      <c r="A5210" t="s">
        <v>3599</v>
      </c>
      <c r="B5210" t="s">
        <v>3600</v>
      </c>
      <c r="C5210" t="s">
        <v>235</v>
      </c>
      <c r="D5210" t="s">
        <v>324</v>
      </c>
      <c r="E5210" t="s">
        <v>1116</v>
      </c>
      <c r="F5210" t="s">
        <v>1068</v>
      </c>
      <c r="G5210" t="s">
        <v>1087</v>
      </c>
      <c r="H5210" s="170">
        <v>-3.8704598260170603E-8</v>
      </c>
      <c r="I5210" t="s">
        <v>1088</v>
      </c>
      <c r="J5210">
        <v>12.29</v>
      </c>
    </row>
    <row r="5211" spans="1:10" hidden="1">
      <c r="A5211" t="s">
        <v>3599</v>
      </c>
      <c r="B5211" t="s">
        <v>3600</v>
      </c>
      <c r="C5211" t="s">
        <v>235</v>
      </c>
      <c r="D5211" t="s">
        <v>324</v>
      </c>
      <c r="E5211" t="s">
        <v>1116</v>
      </c>
      <c r="F5211" t="s">
        <v>1068</v>
      </c>
      <c r="G5211" t="s">
        <v>1089</v>
      </c>
      <c r="H5211" s="170">
        <v>-1.0037597263646399E-6</v>
      </c>
      <c r="I5211" t="s">
        <v>1090</v>
      </c>
      <c r="J5211">
        <v>12.29</v>
      </c>
    </row>
    <row r="5212" spans="1:10" hidden="1">
      <c r="A5212" t="s">
        <v>3602</v>
      </c>
      <c r="B5212" t="s">
        <v>3603</v>
      </c>
      <c r="C5212" t="s">
        <v>235</v>
      </c>
      <c r="D5212" t="s">
        <v>1368</v>
      </c>
      <c r="E5212" t="s">
        <v>561</v>
      </c>
      <c r="F5212" t="s">
        <v>1068</v>
      </c>
      <c r="G5212" t="s">
        <v>1069</v>
      </c>
      <c r="H5212">
        <v>-0.34781255446544002</v>
      </c>
      <c r="I5212" t="s">
        <v>1070</v>
      </c>
      <c r="J5212">
        <v>8.6300000000000008</v>
      </c>
    </row>
    <row r="5213" spans="1:10" hidden="1">
      <c r="A5213" t="s">
        <v>3602</v>
      </c>
      <c r="B5213" t="s">
        <v>3603</v>
      </c>
      <c r="C5213" t="s">
        <v>235</v>
      </c>
      <c r="D5213" t="s">
        <v>1368</v>
      </c>
      <c r="E5213" t="s">
        <v>561</v>
      </c>
      <c r="F5213" t="s">
        <v>1068</v>
      </c>
      <c r="G5213" t="s">
        <v>1071</v>
      </c>
      <c r="H5213" s="170">
        <v>-5.5889393570140705E-10</v>
      </c>
      <c r="I5213" t="s">
        <v>1072</v>
      </c>
      <c r="J5213">
        <v>8.6300000000000008</v>
      </c>
    </row>
    <row r="5214" spans="1:10" hidden="1">
      <c r="A5214" t="s">
        <v>3602</v>
      </c>
      <c r="B5214" t="s">
        <v>3603</v>
      </c>
      <c r="C5214" t="s">
        <v>235</v>
      </c>
      <c r="D5214" t="s">
        <v>1368</v>
      </c>
      <c r="E5214" t="s">
        <v>561</v>
      </c>
      <c r="F5214" t="s">
        <v>1068</v>
      </c>
      <c r="G5214" t="s">
        <v>1073</v>
      </c>
      <c r="H5214" s="170">
        <v>-1.2034938992712999E-7</v>
      </c>
      <c r="I5214" t="s">
        <v>1074</v>
      </c>
      <c r="J5214">
        <v>8.6300000000000008</v>
      </c>
    </row>
    <row r="5215" spans="1:10" hidden="1">
      <c r="A5215" t="s">
        <v>3602</v>
      </c>
      <c r="B5215" t="s">
        <v>3603</v>
      </c>
      <c r="C5215" t="s">
        <v>235</v>
      </c>
      <c r="D5215" t="s">
        <v>1368</v>
      </c>
      <c r="E5215" t="s">
        <v>561</v>
      </c>
      <c r="F5215" t="s">
        <v>1068</v>
      </c>
      <c r="G5215" t="s">
        <v>1075</v>
      </c>
      <c r="H5215">
        <v>-6.5969115902075499E-3</v>
      </c>
      <c r="I5215" t="s">
        <v>1077</v>
      </c>
      <c r="J5215">
        <v>8.6300000000000008</v>
      </c>
    </row>
    <row r="5216" spans="1:10" hidden="1">
      <c r="A5216" t="s">
        <v>3602</v>
      </c>
      <c r="B5216" t="s">
        <v>3603</v>
      </c>
      <c r="C5216" t="s">
        <v>235</v>
      </c>
      <c r="D5216" t="s">
        <v>1368</v>
      </c>
      <c r="E5216" t="s">
        <v>561</v>
      </c>
      <c r="F5216" t="s">
        <v>1068</v>
      </c>
      <c r="G5216" t="s">
        <v>1078</v>
      </c>
      <c r="H5216" s="171" t="s">
        <v>3604</v>
      </c>
      <c r="I5216" t="s">
        <v>1079</v>
      </c>
      <c r="J5216">
        <v>8.6300000000000008</v>
      </c>
    </row>
    <row r="5217" spans="1:10" hidden="1">
      <c r="A5217" t="s">
        <v>3602</v>
      </c>
      <c r="B5217" t="s">
        <v>3603</v>
      </c>
      <c r="C5217" t="s">
        <v>235</v>
      </c>
      <c r="D5217" t="s">
        <v>1368</v>
      </c>
      <c r="E5217" t="s">
        <v>561</v>
      </c>
      <c r="F5217" t="s">
        <v>1068</v>
      </c>
      <c r="G5217" t="s">
        <v>1080</v>
      </c>
      <c r="H5217" s="171" t="s">
        <v>3605</v>
      </c>
      <c r="I5217" t="s">
        <v>1082</v>
      </c>
      <c r="J5217">
        <v>8.6300000000000008</v>
      </c>
    </row>
    <row r="5218" spans="1:10" hidden="1">
      <c r="A5218" t="s">
        <v>3602</v>
      </c>
      <c r="B5218" t="s">
        <v>3603</v>
      </c>
      <c r="C5218" t="s">
        <v>235</v>
      </c>
      <c r="D5218" t="s">
        <v>1368</v>
      </c>
      <c r="E5218" t="s">
        <v>561</v>
      </c>
      <c r="F5218" t="s">
        <v>1068</v>
      </c>
      <c r="G5218" t="s">
        <v>1083</v>
      </c>
      <c r="H5218" s="170">
        <v>-5.9513462728402102E-5</v>
      </c>
      <c r="I5218" t="s">
        <v>1084</v>
      </c>
      <c r="J5218">
        <v>8.6300000000000008</v>
      </c>
    </row>
    <row r="5219" spans="1:10" hidden="1">
      <c r="A5219" t="s">
        <v>3602</v>
      </c>
      <c r="B5219" t="s">
        <v>3603</v>
      </c>
      <c r="C5219" t="s">
        <v>235</v>
      </c>
      <c r="D5219" t="s">
        <v>1368</v>
      </c>
      <c r="E5219" t="s">
        <v>561</v>
      </c>
      <c r="F5219" t="s">
        <v>1068</v>
      </c>
      <c r="G5219" t="s">
        <v>1085</v>
      </c>
      <c r="H5219">
        <v>-6.0665212926132805E-4</v>
      </c>
      <c r="I5219" t="s">
        <v>1086</v>
      </c>
      <c r="J5219">
        <v>8.6300000000000008</v>
      </c>
    </row>
    <row r="5220" spans="1:10" hidden="1">
      <c r="A5220" t="s">
        <v>3602</v>
      </c>
      <c r="B5220" t="s">
        <v>3603</v>
      </c>
      <c r="C5220" t="s">
        <v>235</v>
      </c>
      <c r="D5220" t="s">
        <v>1368</v>
      </c>
      <c r="E5220" t="s">
        <v>561</v>
      </c>
      <c r="F5220" t="s">
        <v>1068</v>
      </c>
      <c r="G5220" t="s">
        <v>1087</v>
      </c>
      <c r="H5220" s="170">
        <v>-3.1724776878119701E-7</v>
      </c>
      <c r="I5220" t="s">
        <v>1088</v>
      </c>
      <c r="J5220">
        <v>8.6300000000000008</v>
      </c>
    </row>
    <row r="5221" spans="1:10" hidden="1">
      <c r="A5221" t="s">
        <v>3602</v>
      </c>
      <c r="B5221" t="s">
        <v>3603</v>
      </c>
      <c r="C5221" t="s">
        <v>235</v>
      </c>
      <c r="D5221" t="s">
        <v>1368</v>
      </c>
      <c r="E5221" t="s">
        <v>561</v>
      </c>
      <c r="F5221" t="s">
        <v>1068</v>
      </c>
      <c r="G5221" t="s">
        <v>1089</v>
      </c>
      <c r="H5221">
        <v>-1.1578897254906201E-4</v>
      </c>
      <c r="I5221" t="s">
        <v>1090</v>
      </c>
      <c r="J5221">
        <v>8.6300000000000008</v>
      </c>
    </row>
    <row r="5222" spans="1:10" hidden="1">
      <c r="A5222" t="s">
        <v>3606</v>
      </c>
      <c r="B5222" t="s">
        <v>3607</v>
      </c>
      <c r="C5222" t="s">
        <v>235</v>
      </c>
      <c r="D5222" t="s">
        <v>1368</v>
      </c>
      <c r="E5222" t="s">
        <v>555</v>
      </c>
      <c r="F5222" t="s">
        <v>1068</v>
      </c>
      <c r="G5222" t="s">
        <v>1069</v>
      </c>
      <c r="H5222">
        <v>-0.397836567642325</v>
      </c>
      <c r="I5222" t="s">
        <v>1070</v>
      </c>
      <c r="J5222">
        <v>7.64</v>
      </c>
    </row>
    <row r="5223" spans="1:10" hidden="1">
      <c r="A5223" t="s">
        <v>3606</v>
      </c>
      <c r="B5223" t="s">
        <v>3607</v>
      </c>
      <c r="C5223" t="s">
        <v>235</v>
      </c>
      <c r="D5223" t="s">
        <v>1368</v>
      </c>
      <c r="E5223" t="s">
        <v>555</v>
      </c>
      <c r="F5223" t="s">
        <v>1068</v>
      </c>
      <c r="G5223" t="s">
        <v>1071</v>
      </c>
      <c r="H5223" s="170">
        <v>-6.3035230259344698E-10</v>
      </c>
      <c r="I5223" t="s">
        <v>1072</v>
      </c>
      <c r="J5223">
        <v>7.64</v>
      </c>
    </row>
    <row r="5224" spans="1:10" hidden="1">
      <c r="A5224" t="s">
        <v>3606</v>
      </c>
      <c r="B5224" t="s">
        <v>3607</v>
      </c>
      <c r="C5224" t="s">
        <v>235</v>
      </c>
      <c r="D5224" t="s">
        <v>1368</v>
      </c>
      <c r="E5224" t="s">
        <v>555</v>
      </c>
      <c r="F5224" t="s">
        <v>1068</v>
      </c>
      <c r="G5224" t="s">
        <v>1073</v>
      </c>
      <c r="H5224" s="170">
        <v>-1.3811789629729301E-7</v>
      </c>
      <c r="I5224" t="s">
        <v>1074</v>
      </c>
      <c r="J5224">
        <v>7.64</v>
      </c>
    </row>
    <row r="5225" spans="1:10" hidden="1">
      <c r="A5225" t="s">
        <v>3606</v>
      </c>
      <c r="B5225" t="s">
        <v>3607</v>
      </c>
      <c r="C5225" t="s">
        <v>235</v>
      </c>
      <c r="D5225" t="s">
        <v>1368</v>
      </c>
      <c r="E5225" t="s">
        <v>555</v>
      </c>
      <c r="F5225" t="s">
        <v>1068</v>
      </c>
      <c r="G5225" t="s">
        <v>1075</v>
      </c>
      <c r="H5225">
        <v>-8.1211880116997606E-3</v>
      </c>
      <c r="I5225" t="s">
        <v>1077</v>
      </c>
      <c r="J5225">
        <v>7.64</v>
      </c>
    </row>
    <row r="5226" spans="1:10" hidden="1">
      <c r="A5226" t="s">
        <v>3606</v>
      </c>
      <c r="B5226" t="s">
        <v>3607</v>
      </c>
      <c r="C5226" t="s">
        <v>235</v>
      </c>
      <c r="D5226" t="s">
        <v>1368</v>
      </c>
      <c r="E5226" t="s">
        <v>555</v>
      </c>
      <c r="F5226" t="s">
        <v>1068</v>
      </c>
      <c r="G5226" t="s">
        <v>1078</v>
      </c>
      <c r="H5226" s="171" t="s">
        <v>3608</v>
      </c>
      <c r="I5226" t="s">
        <v>1079</v>
      </c>
      <c r="J5226">
        <v>7.64</v>
      </c>
    </row>
    <row r="5227" spans="1:10" hidden="1">
      <c r="A5227" t="s">
        <v>3606</v>
      </c>
      <c r="B5227" t="s">
        <v>3607</v>
      </c>
      <c r="C5227" t="s">
        <v>235</v>
      </c>
      <c r="D5227" t="s">
        <v>1368</v>
      </c>
      <c r="E5227" t="s">
        <v>555</v>
      </c>
      <c r="F5227" t="s">
        <v>1068</v>
      </c>
      <c r="G5227" t="s">
        <v>1080</v>
      </c>
      <c r="H5227" s="171" t="s">
        <v>3609</v>
      </c>
      <c r="I5227" t="s">
        <v>1082</v>
      </c>
      <c r="J5227">
        <v>7.64</v>
      </c>
    </row>
    <row r="5228" spans="1:10" hidden="1">
      <c r="A5228" t="s">
        <v>3606</v>
      </c>
      <c r="B5228" t="s">
        <v>3607</v>
      </c>
      <c r="C5228" t="s">
        <v>235</v>
      </c>
      <c r="D5228" t="s">
        <v>1368</v>
      </c>
      <c r="E5228" t="s">
        <v>555</v>
      </c>
      <c r="F5228" t="s">
        <v>1068</v>
      </c>
      <c r="G5228" t="s">
        <v>1083</v>
      </c>
      <c r="H5228" s="170">
        <v>-6.7119171967610798E-5</v>
      </c>
      <c r="I5228" t="s">
        <v>1084</v>
      </c>
      <c r="J5228">
        <v>7.64</v>
      </c>
    </row>
    <row r="5229" spans="1:10" hidden="1">
      <c r="A5229" t="s">
        <v>3606</v>
      </c>
      <c r="B5229" t="s">
        <v>3607</v>
      </c>
      <c r="C5229" t="s">
        <v>235</v>
      </c>
      <c r="D5229" t="s">
        <v>1368</v>
      </c>
      <c r="E5229" t="s">
        <v>555</v>
      </c>
      <c r="F5229" t="s">
        <v>1068</v>
      </c>
      <c r="G5229" t="s">
        <v>1085</v>
      </c>
      <c r="H5229">
        <v>-6.9230815528001398E-4</v>
      </c>
      <c r="I5229" t="s">
        <v>1086</v>
      </c>
      <c r="J5229">
        <v>7.64</v>
      </c>
    </row>
    <row r="5230" spans="1:10" hidden="1">
      <c r="A5230" t="s">
        <v>3606</v>
      </c>
      <c r="B5230" t="s">
        <v>3607</v>
      </c>
      <c r="C5230" t="s">
        <v>235</v>
      </c>
      <c r="D5230" t="s">
        <v>1368</v>
      </c>
      <c r="E5230" t="s">
        <v>555</v>
      </c>
      <c r="F5230" t="s">
        <v>1068</v>
      </c>
      <c r="G5230" t="s">
        <v>1087</v>
      </c>
      <c r="H5230" s="170">
        <v>-3.5858215812308598E-7</v>
      </c>
      <c r="I5230" t="s">
        <v>1088</v>
      </c>
      <c r="J5230">
        <v>7.64</v>
      </c>
    </row>
    <row r="5231" spans="1:10" hidden="1">
      <c r="A5231" t="s">
        <v>3606</v>
      </c>
      <c r="B5231" t="s">
        <v>3607</v>
      </c>
      <c r="C5231" t="s">
        <v>235</v>
      </c>
      <c r="D5231" t="s">
        <v>1368</v>
      </c>
      <c r="E5231" t="s">
        <v>555</v>
      </c>
      <c r="F5231" t="s">
        <v>1068</v>
      </c>
      <c r="G5231" t="s">
        <v>1089</v>
      </c>
      <c r="H5231">
        <v>-1.33521483459518E-4</v>
      </c>
      <c r="I5231" t="s">
        <v>1090</v>
      </c>
      <c r="J5231">
        <v>7.64</v>
      </c>
    </row>
    <row r="5232" spans="1:10" hidden="1">
      <c r="A5232" t="s">
        <v>3610</v>
      </c>
      <c r="B5232" t="s">
        <v>3611</v>
      </c>
      <c r="C5232" t="s">
        <v>235</v>
      </c>
      <c r="D5232" t="s">
        <v>1368</v>
      </c>
      <c r="E5232" t="s">
        <v>558</v>
      </c>
      <c r="F5232" t="s">
        <v>1068</v>
      </c>
      <c r="G5232" t="s">
        <v>1069</v>
      </c>
      <c r="H5232">
        <v>-0.34344803501209598</v>
      </c>
      <c r="I5232" t="s">
        <v>1070</v>
      </c>
      <c r="J5232">
        <v>12.65</v>
      </c>
    </row>
    <row r="5233" spans="1:10" hidden="1">
      <c r="A5233" t="s">
        <v>3610</v>
      </c>
      <c r="B5233" t="s">
        <v>3611</v>
      </c>
      <c r="C5233" t="s">
        <v>235</v>
      </c>
      <c r="D5233" t="s">
        <v>1368</v>
      </c>
      <c r="E5233" t="s">
        <v>558</v>
      </c>
      <c r="F5233" t="s">
        <v>1068</v>
      </c>
      <c r="G5233" t="s">
        <v>1071</v>
      </c>
      <c r="H5233" s="170">
        <v>-5.5264825870903695E-10</v>
      </c>
      <c r="I5233" t="s">
        <v>1072</v>
      </c>
      <c r="J5233">
        <v>12.65</v>
      </c>
    </row>
    <row r="5234" spans="1:10" hidden="1">
      <c r="A5234" t="s">
        <v>3610</v>
      </c>
      <c r="B5234" t="s">
        <v>3611</v>
      </c>
      <c r="C5234" t="s">
        <v>235</v>
      </c>
      <c r="D5234" t="s">
        <v>1368</v>
      </c>
      <c r="E5234" t="s">
        <v>558</v>
      </c>
      <c r="F5234" t="s">
        <v>1068</v>
      </c>
      <c r="G5234" t="s">
        <v>1073</v>
      </c>
      <c r="H5234" s="170">
        <v>-1.18799098807122E-7</v>
      </c>
      <c r="I5234" t="s">
        <v>1074</v>
      </c>
      <c r="J5234">
        <v>12.65</v>
      </c>
    </row>
    <row r="5235" spans="1:10" hidden="1">
      <c r="A5235" t="s">
        <v>3610</v>
      </c>
      <c r="B5235" t="s">
        <v>3611</v>
      </c>
      <c r="C5235" t="s">
        <v>235</v>
      </c>
      <c r="D5235" t="s">
        <v>1368</v>
      </c>
      <c r="E5235" t="s">
        <v>558</v>
      </c>
      <c r="F5235" t="s">
        <v>1068</v>
      </c>
      <c r="G5235" t="s">
        <v>1075</v>
      </c>
      <c r="H5235">
        <v>-6.45894446780445E-3</v>
      </c>
      <c r="I5235" t="s">
        <v>1077</v>
      </c>
      <c r="J5235">
        <v>12.65</v>
      </c>
    </row>
    <row r="5236" spans="1:10" hidden="1">
      <c r="A5236" t="s">
        <v>3610</v>
      </c>
      <c r="B5236" t="s">
        <v>3611</v>
      </c>
      <c r="C5236" t="s">
        <v>235</v>
      </c>
      <c r="D5236" t="s">
        <v>1368</v>
      </c>
      <c r="E5236" t="s">
        <v>558</v>
      </c>
      <c r="F5236" t="s">
        <v>1068</v>
      </c>
      <c r="G5236" t="s">
        <v>1078</v>
      </c>
      <c r="H5236" s="171" t="s">
        <v>3612</v>
      </c>
      <c r="I5236" t="s">
        <v>1079</v>
      </c>
      <c r="J5236">
        <v>12.65</v>
      </c>
    </row>
    <row r="5237" spans="1:10" hidden="1">
      <c r="A5237" t="s">
        <v>3610</v>
      </c>
      <c r="B5237" t="s">
        <v>3611</v>
      </c>
      <c r="C5237" t="s">
        <v>235</v>
      </c>
      <c r="D5237" t="s">
        <v>1368</v>
      </c>
      <c r="E5237" t="s">
        <v>558</v>
      </c>
      <c r="F5237" t="s">
        <v>1068</v>
      </c>
      <c r="G5237" t="s">
        <v>1080</v>
      </c>
      <c r="H5237" s="171" t="s">
        <v>3613</v>
      </c>
      <c r="I5237" t="s">
        <v>1082</v>
      </c>
      <c r="J5237">
        <v>12.65</v>
      </c>
    </row>
    <row r="5238" spans="1:10" hidden="1">
      <c r="A5238" t="s">
        <v>3610</v>
      </c>
      <c r="B5238" t="s">
        <v>3611</v>
      </c>
      <c r="C5238" t="s">
        <v>235</v>
      </c>
      <c r="D5238" t="s">
        <v>1368</v>
      </c>
      <c r="E5238" t="s">
        <v>558</v>
      </c>
      <c r="F5238" t="s">
        <v>1068</v>
      </c>
      <c r="G5238" t="s">
        <v>1083</v>
      </c>
      <c r="H5238" s="170">
        <v>-5.8850052945644397E-5</v>
      </c>
      <c r="I5238" t="s">
        <v>1084</v>
      </c>
      <c r="J5238">
        <v>12.65</v>
      </c>
    </row>
    <row r="5239" spans="1:10" hidden="1">
      <c r="A5239" t="s">
        <v>3610</v>
      </c>
      <c r="B5239" t="s">
        <v>3611</v>
      </c>
      <c r="C5239" t="s">
        <v>235</v>
      </c>
      <c r="D5239" t="s">
        <v>1368</v>
      </c>
      <c r="E5239" t="s">
        <v>558</v>
      </c>
      <c r="F5239" t="s">
        <v>1068</v>
      </c>
      <c r="G5239" t="s">
        <v>1085</v>
      </c>
      <c r="H5239">
        <v>-5.9915425227748001E-4</v>
      </c>
      <c r="I5239" t="s">
        <v>1086</v>
      </c>
      <c r="J5239">
        <v>12.65</v>
      </c>
    </row>
    <row r="5240" spans="1:10" hidden="1">
      <c r="A5240" t="s">
        <v>3610</v>
      </c>
      <c r="B5240" t="s">
        <v>3611</v>
      </c>
      <c r="C5240" t="s">
        <v>235</v>
      </c>
      <c r="D5240" t="s">
        <v>1368</v>
      </c>
      <c r="E5240" t="s">
        <v>558</v>
      </c>
      <c r="F5240" t="s">
        <v>1068</v>
      </c>
      <c r="G5240" t="s">
        <v>1087</v>
      </c>
      <c r="H5240" s="170">
        <v>-3.1362925911337398E-7</v>
      </c>
      <c r="I5240" t="s">
        <v>1088</v>
      </c>
      <c r="J5240">
        <v>12.65</v>
      </c>
    </row>
    <row r="5241" spans="1:10" hidden="1">
      <c r="A5241" t="s">
        <v>3610</v>
      </c>
      <c r="B5241" t="s">
        <v>3611</v>
      </c>
      <c r="C5241" t="s">
        <v>235</v>
      </c>
      <c r="D5241" t="s">
        <v>1368</v>
      </c>
      <c r="E5241" t="s">
        <v>558</v>
      </c>
      <c r="F5241" t="s">
        <v>1068</v>
      </c>
      <c r="G5241" t="s">
        <v>1089</v>
      </c>
      <c r="H5241">
        <v>-1.1424217533362201E-4</v>
      </c>
      <c r="I5241" t="s">
        <v>1090</v>
      </c>
      <c r="J5241">
        <v>12.65</v>
      </c>
    </row>
    <row r="5242" spans="1:10" hidden="1">
      <c r="A5242" t="s">
        <v>3614</v>
      </c>
      <c r="B5242" t="s">
        <v>3615</v>
      </c>
      <c r="C5242" t="s">
        <v>235</v>
      </c>
      <c r="D5242" t="s">
        <v>1368</v>
      </c>
      <c r="E5242" t="s">
        <v>553</v>
      </c>
      <c r="F5242" t="s">
        <v>1068</v>
      </c>
      <c r="G5242" t="s">
        <v>1069</v>
      </c>
      <c r="H5242">
        <v>-0.33981200252166499</v>
      </c>
      <c r="I5242" t="s">
        <v>1070</v>
      </c>
      <c r="J5242">
        <v>8.91</v>
      </c>
    </row>
    <row r="5243" spans="1:10" hidden="1">
      <c r="A5243" t="s">
        <v>3614</v>
      </c>
      <c r="B5243" t="s">
        <v>3615</v>
      </c>
      <c r="C5243" t="s">
        <v>235</v>
      </c>
      <c r="D5243" t="s">
        <v>1368</v>
      </c>
      <c r="E5243" t="s">
        <v>553</v>
      </c>
      <c r="F5243" t="s">
        <v>1068</v>
      </c>
      <c r="G5243" t="s">
        <v>1071</v>
      </c>
      <c r="H5243" s="170">
        <v>-5.4731848976700403E-10</v>
      </c>
      <c r="I5243" t="s">
        <v>1072</v>
      </c>
      <c r="J5243">
        <v>8.91</v>
      </c>
    </row>
    <row r="5244" spans="1:10" hidden="1">
      <c r="A5244" t="s">
        <v>3614</v>
      </c>
      <c r="B5244" t="s">
        <v>3615</v>
      </c>
      <c r="C5244" t="s">
        <v>235</v>
      </c>
      <c r="D5244" t="s">
        <v>1368</v>
      </c>
      <c r="E5244" t="s">
        <v>553</v>
      </c>
      <c r="F5244" t="s">
        <v>1068</v>
      </c>
      <c r="G5244" t="s">
        <v>1073</v>
      </c>
      <c r="H5244" s="170">
        <v>-1.17507387165532E-7</v>
      </c>
      <c r="I5244" t="s">
        <v>1074</v>
      </c>
      <c r="J5244">
        <v>8.91</v>
      </c>
    </row>
    <row r="5245" spans="1:10" hidden="1">
      <c r="A5245" t="s">
        <v>3614</v>
      </c>
      <c r="B5245" t="s">
        <v>3615</v>
      </c>
      <c r="C5245" t="s">
        <v>235</v>
      </c>
      <c r="D5245" t="s">
        <v>1368</v>
      </c>
      <c r="E5245" t="s">
        <v>553</v>
      </c>
      <c r="F5245" t="s">
        <v>1068</v>
      </c>
      <c r="G5245" t="s">
        <v>1075</v>
      </c>
      <c r="H5245">
        <v>-6.2869695223643296E-3</v>
      </c>
      <c r="I5245" t="s">
        <v>1077</v>
      </c>
      <c r="J5245">
        <v>8.91</v>
      </c>
    </row>
    <row r="5246" spans="1:10" hidden="1">
      <c r="A5246" t="s">
        <v>3614</v>
      </c>
      <c r="B5246" t="s">
        <v>3615</v>
      </c>
      <c r="C5246" t="s">
        <v>235</v>
      </c>
      <c r="D5246" t="s">
        <v>1368</v>
      </c>
      <c r="E5246" t="s">
        <v>553</v>
      </c>
      <c r="F5246" t="s">
        <v>1068</v>
      </c>
      <c r="G5246" t="s">
        <v>1078</v>
      </c>
      <c r="H5246" s="171" t="s">
        <v>3616</v>
      </c>
      <c r="I5246" t="s">
        <v>1079</v>
      </c>
      <c r="J5246">
        <v>8.91</v>
      </c>
    </row>
    <row r="5247" spans="1:10" hidden="1">
      <c r="A5247" t="s">
        <v>3614</v>
      </c>
      <c r="B5247" t="s">
        <v>3615</v>
      </c>
      <c r="C5247" t="s">
        <v>235</v>
      </c>
      <c r="D5247" t="s">
        <v>1368</v>
      </c>
      <c r="E5247" t="s">
        <v>553</v>
      </c>
      <c r="F5247" t="s">
        <v>1068</v>
      </c>
      <c r="G5247" t="s">
        <v>1080</v>
      </c>
      <c r="H5247" s="171" t="s">
        <v>3617</v>
      </c>
      <c r="I5247" t="s">
        <v>1082</v>
      </c>
      <c r="J5247">
        <v>8.91</v>
      </c>
    </row>
    <row r="5248" spans="1:10" hidden="1">
      <c r="A5248" t="s">
        <v>3614</v>
      </c>
      <c r="B5248" t="s">
        <v>3615</v>
      </c>
      <c r="C5248" t="s">
        <v>235</v>
      </c>
      <c r="D5248" t="s">
        <v>1368</v>
      </c>
      <c r="E5248" t="s">
        <v>553</v>
      </c>
      <c r="F5248" t="s">
        <v>1068</v>
      </c>
      <c r="G5248" t="s">
        <v>1083</v>
      </c>
      <c r="H5248" s="170">
        <v>-5.8299400500715801E-5</v>
      </c>
      <c r="I5248" t="s">
        <v>1084</v>
      </c>
      <c r="J5248">
        <v>8.91</v>
      </c>
    </row>
    <row r="5249" spans="1:10" hidden="1">
      <c r="A5249" t="s">
        <v>3614</v>
      </c>
      <c r="B5249" t="s">
        <v>3615</v>
      </c>
      <c r="C5249" t="s">
        <v>235</v>
      </c>
      <c r="D5249" t="s">
        <v>1368</v>
      </c>
      <c r="E5249" t="s">
        <v>553</v>
      </c>
      <c r="F5249" t="s">
        <v>1068</v>
      </c>
      <c r="G5249" t="s">
        <v>1085</v>
      </c>
      <c r="H5249">
        <v>-5.92626837332704E-4</v>
      </c>
      <c r="I5249" t="s">
        <v>1086</v>
      </c>
      <c r="J5249">
        <v>8.91</v>
      </c>
    </row>
    <row r="5250" spans="1:10" hidden="1">
      <c r="A5250" t="s">
        <v>3614</v>
      </c>
      <c r="B5250" t="s">
        <v>3615</v>
      </c>
      <c r="C5250" t="s">
        <v>235</v>
      </c>
      <c r="D5250" t="s">
        <v>1368</v>
      </c>
      <c r="E5250" t="s">
        <v>553</v>
      </c>
      <c r="F5250" t="s">
        <v>1068</v>
      </c>
      <c r="G5250" t="s">
        <v>1087</v>
      </c>
      <c r="H5250" s="170">
        <v>-3.1047549893532802E-7</v>
      </c>
      <c r="I5250" t="s">
        <v>1088</v>
      </c>
      <c r="J5250">
        <v>8.91</v>
      </c>
    </row>
    <row r="5251" spans="1:10" hidden="1">
      <c r="A5251" t="s">
        <v>3614</v>
      </c>
      <c r="B5251" t="s">
        <v>3615</v>
      </c>
      <c r="C5251" t="s">
        <v>235</v>
      </c>
      <c r="D5251" t="s">
        <v>1368</v>
      </c>
      <c r="E5251" t="s">
        <v>553</v>
      </c>
      <c r="F5251" t="s">
        <v>1068</v>
      </c>
      <c r="G5251" t="s">
        <v>1089</v>
      </c>
      <c r="H5251">
        <v>-1.12957424411283E-4</v>
      </c>
      <c r="I5251" t="s">
        <v>1090</v>
      </c>
      <c r="J5251">
        <v>8.91</v>
      </c>
    </row>
    <row r="5252" spans="1:10" hidden="1">
      <c r="A5252" t="s">
        <v>3618</v>
      </c>
      <c r="B5252" t="s">
        <v>3619</v>
      </c>
      <c r="C5252" t="s">
        <v>235</v>
      </c>
      <c r="D5252" t="s">
        <v>1368</v>
      </c>
      <c r="E5252" t="s">
        <v>556</v>
      </c>
      <c r="F5252" t="s">
        <v>1068</v>
      </c>
      <c r="G5252" t="s">
        <v>1069</v>
      </c>
      <c r="H5252">
        <v>-0.37168926940152103</v>
      </c>
      <c r="I5252" t="s">
        <v>1070</v>
      </c>
      <c r="J5252">
        <v>8.6</v>
      </c>
    </row>
    <row r="5253" spans="1:10" hidden="1">
      <c r="A5253" t="s">
        <v>3618</v>
      </c>
      <c r="B5253" t="s">
        <v>3619</v>
      </c>
      <c r="C5253" t="s">
        <v>235</v>
      </c>
      <c r="D5253" t="s">
        <v>1368</v>
      </c>
      <c r="E5253" t="s">
        <v>556</v>
      </c>
      <c r="F5253" t="s">
        <v>1068</v>
      </c>
      <c r="G5253" t="s">
        <v>1071</v>
      </c>
      <c r="H5253" s="170">
        <v>-5.9243731172775705E-10</v>
      </c>
      <c r="I5253" t="s">
        <v>1072</v>
      </c>
      <c r="J5253">
        <v>8.6</v>
      </c>
    </row>
    <row r="5254" spans="1:10" hidden="1">
      <c r="A5254" t="s">
        <v>3618</v>
      </c>
      <c r="B5254" t="s">
        <v>3619</v>
      </c>
      <c r="C5254" t="s">
        <v>235</v>
      </c>
      <c r="D5254" t="s">
        <v>1368</v>
      </c>
      <c r="E5254" t="s">
        <v>556</v>
      </c>
      <c r="F5254" t="s">
        <v>1068</v>
      </c>
      <c r="G5254" t="s">
        <v>1073</v>
      </c>
      <c r="H5254" s="170">
        <v>-1.2881603696610601E-7</v>
      </c>
      <c r="I5254" t="s">
        <v>1074</v>
      </c>
      <c r="J5254">
        <v>8.6</v>
      </c>
    </row>
    <row r="5255" spans="1:10" hidden="1">
      <c r="A5255" t="s">
        <v>3618</v>
      </c>
      <c r="B5255" t="s">
        <v>3619</v>
      </c>
      <c r="C5255" t="s">
        <v>235</v>
      </c>
      <c r="D5255" t="s">
        <v>1368</v>
      </c>
      <c r="E5255" t="s">
        <v>556</v>
      </c>
      <c r="F5255" t="s">
        <v>1068</v>
      </c>
      <c r="G5255" t="s">
        <v>1075</v>
      </c>
      <c r="H5255">
        <v>-7.07708645389446E-3</v>
      </c>
      <c r="I5255" t="s">
        <v>1077</v>
      </c>
      <c r="J5255">
        <v>8.6</v>
      </c>
    </row>
    <row r="5256" spans="1:10" hidden="1">
      <c r="A5256" t="s">
        <v>3618</v>
      </c>
      <c r="B5256" t="s">
        <v>3619</v>
      </c>
      <c r="C5256" t="s">
        <v>235</v>
      </c>
      <c r="D5256" t="s">
        <v>1368</v>
      </c>
      <c r="E5256" t="s">
        <v>556</v>
      </c>
      <c r="F5256" t="s">
        <v>1068</v>
      </c>
      <c r="G5256" t="s">
        <v>1078</v>
      </c>
      <c r="H5256" s="171" t="s">
        <v>3620</v>
      </c>
      <c r="I5256" t="s">
        <v>1079</v>
      </c>
      <c r="J5256">
        <v>8.6</v>
      </c>
    </row>
    <row r="5257" spans="1:10" hidden="1">
      <c r="A5257" t="s">
        <v>3618</v>
      </c>
      <c r="B5257" t="s">
        <v>3619</v>
      </c>
      <c r="C5257" t="s">
        <v>235</v>
      </c>
      <c r="D5257" t="s">
        <v>1368</v>
      </c>
      <c r="E5257" t="s">
        <v>556</v>
      </c>
      <c r="F5257" t="s">
        <v>1068</v>
      </c>
      <c r="G5257" t="s">
        <v>1080</v>
      </c>
      <c r="H5257" s="171" t="s">
        <v>3621</v>
      </c>
      <c r="I5257" t="s">
        <v>1082</v>
      </c>
      <c r="J5257">
        <v>8.6</v>
      </c>
    </row>
    <row r="5258" spans="1:10" hidden="1">
      <c r="A5258" t="s">
        <v>3618</v>
      </c>
      <c r="B5258" t="s">
        <v>3619</v>
      </c>
      <c r="C5258" t="s">
        <v>235</v>
      </c>
      <c r="D5258" t="s">
        <v>1368</v>
      </c>
      <c r="E5258" t="s">
        <v>556</v>
      </c>
      <c r="F5258" t="s">
        <v>1068</v>
      </c>
      <c r="G5258" t="s">
        <v>1083</v>
      </c>
      <c r="H5258" s="170">
        <v>-6.3144701027204904E-5</v>
      </c>
      <c r="I5258" t="s">
        <v>1084</v>
      </c>
      <c r="J5258">
        <v>8.6</v>
      </c>
    </row>
    <row r="5259" spans="1:10" hidden="1">
      <c r="A5259" t="s">
        <v>3618</v>
      </c>
      <c r="B5259" t="s">
        <v>3619</v>
      </c>
      <c r="C5259" t="s">
        <v>235</v>
      </c>
      <c r="D5259" t="s">
        <v>1368</v>
      </c>
      <c r="E5259" t="s">
        <v>556</v>
      </c>
      <c r="F5259" t="s">
        <v>1068</v>
      </c>
      <c r="G5259" t="s">
        <v>1085</v>
      </c>
      <c r="H5259">
        <v>-6.4624263625793002E-4</v>
      </c>
      <c r="I5259" t="s">
        <v>1086</v>
      </c>
      <c r="J5259">
        <v>8.6</v>
      </c>
    </row>
    <row r="5260" spans="1:10" hidden="1">
      <c r="A5260" t="s">
        <v>3618</v>
      </c>
      <c r="B5260" t="s">
        <v>3619</v>
      </c>
      <c r="C5260" t="s">
        <v>235</v>
      </c>
      <c r="D5260" t="s">
        <v>1368</v>
      </c>
      <c r="E5260" t="s">
        <v>556</v>
      </c>
      <c r="F5260" t="s">
        <v>1068</v>
      </c>
      <c r="G5260" t="s">
        <v>1087</v>
      </c>
      <c r="H5260" s="170">
        <v>-3.3690450160744701E-7</v>
      </c>
      <c r="I5260" t="s">
        <v>1088</v>
      </c>
      <c r="J5260">
        <v>8.6</v>
      </c>
    </row>
    <row r="5261" spans="1:10" hidden="1">
      <c r="A5261" t="s">
        <v>3618</v>
      </c>
      <c r="B5261" t="s">
        <v>3619</v>
      </c>
      <c r="C5261" t="s">
        <v>235</v>
      </c>
      <c r="D5261" t="s">
        <v>1368</v>
      </c>
      <c r="E5261" t="s">
        <v>556</v>
      </c>
      <c r="F5261" t="s">
        <v>1068</v>
      </c>
      <c r="G5261" t="s">
        <v>1089</v>
      </c>
      <c r="H5261">
        <v>-1.2425497823671401E-4</v>
      </c>
      <c r="I5261" t="s">
        <v>1090</v>
      </c>
      <c r="J5261">
        <v>8.6</v>
      </c>
    </row>
    <row r="5262" spans="1:10" hidden="1">
      <c r="A5262" t="s">
        <v>3622</v>
      </c>
      <c r="B5262" t="s">
        <v>3623</v>
      </c>
      <c r="C5262" t="s">
        <v>235</v>
      </c>
      <c r="D5262" t="s">
        <v>1368</v>
      </c>
      <c r="E5262" t="s">
        <v>557</v>
      </c>
      <c r="F5262" t="s">
        <v>1068</v>
      </c>
      <c r="G5262" t="s">
        <v>1069</v>
      </c>
      <c r="H5262">
        <v>-0.36147539797155898</v>
      </c>
      <c r="I5262" t="s">
        <v>1070</v>
      </c>
      <c r="J5262">
        <v>11.73</v>
      </c>
    </row>
    <row r="5263" spans="1:10" hidden="1">
      <c r="A5263" t="s">
        <v>3622</v>
      </c>
      <c r="B5263" t="s">
        <v>3623</v>
      </c>
      <c r="C5263" t="s">
        <v>235</v>
      </c>
      <c r="D5263" t="s">
        <v>1368</v>
      </c>
      <c r="E5263" t="s">
        <v>557</v>
      </c>
      <c r="F5263" t="s">
        <v>1068</v>
      </c>
      <c r="G5263" t="s">
        <v>1071</v>
      </c>
      <c r="H5263" s="170">
        <v>-5.7844562019925595E-10</v>
      </c>
      <c r="I5263" t="s">
        <v>1072</v>
      </c>
      <c r="J5263">
        <v>11.73</v>
      </c>
    </row>
    <row r="5264" spans="1:10" hidden="1">
      <c r="A5264" t="s">
        <v>3622</v>
      </c>
      <c r="B5264" t="s">
        <v>3623</v>
      </c>
      <c r="C5264" t="s">
        <v>235</v>
      </c>
      <c r="D5264" t="s">
        <v>1368</v>
      </c>
      <c r="E5264" t="s">
        <v>557</v>
      </c>
      <c r="F5264" t="s">
        <v>1068</v>
      </c>
      <c r="G5264" t="s">
        <v>1073</v>
      </c>
      <c r="H5264" s="170">
        <v>-1.2520247517237299E-7</v>
      </c>
      <c r="I5264" t="s">
        <v>1074</v>
      </c>
      <c r="J5264">
        <v>11.73</v>
      </c>
    </row>
    <row r="5265" spans="1:10" hidden="1">
      <c r="A5265" t="s">
        <v>3622</v>
      </c>
      <c r="B5265" t="s">
        <v>3623</v>
      </c>
      <c r="C5265" t="s">
        <v>235</v>
      </c>
      <c r="D5265" t="s">
        <v>1368</v>
      </c>
      <c r="E5265" t="s">
        <v>557</v>
      </c>
      <c r="F5265" t="s">
        <v>1068</v>
      </c>
      <c r="G5265" t="s">
        <v>1075</v>
      </c>
      <c r="H5265">
        <v>-7.0288086690346004E-3</v>
      </c>
      <c r="I5265" t="s">
        <v>1077</v>
      </c>
      <c r="J5265">
        <v>11.73</v>
      </c>
    </row>
    <row r="5266" spans="1:10" hidden="1">
      <c r="A5266" t="s">
        <v>3622</v>
      </c>
      <c r="B5266" t="s">
        <v>3623</v>
      </c>
      <c r="C5266" t="s">
        <v>235</v>
      </c>
      <c r="D5266" t="s">
        <v>1368</v>
      </c>
      <c r="E5266" t="s">
        <v>557</v>
      </c>
      <c r="F5266" t="s">
        <v>1068</v>
      </c>
      <c r="G5266" t="s">
        <v>1078</v>
      </c>
      <c r="H5266" s="171" t="s">
        <v>3624</v>
      </c>
      <c r="I5266" t="s">
        <v>1079</v>
      </c>
      <c r="J5266">
        <v>11.73</v>
      </c>
    </row>
    <row r="5267" spans="1:10" hidden="1">
      <c r="A5267" t="s">
        <v>3622</v>
      </c>
      <c r="B5267" t="s">
        <v>3623</v>
      </c>
      <c r="C5267" t="s">
        <v>235</v>
      </c>
      <c r="D5267" t="s">
        <v>1368</v>
      </c>
      <c r="E5267" t="s">
        <v>557</v>
      </c>
      <c r="F5267" t="s">
        <v>1068</v>
      </c>
      <c r="G5267" t="s">
        <v>1080</v>
      </c>
      <c r="H5267" s="171" t="s">
        <v>3625</v>
      </c>
      <c r="I5267" t="s">
        <v>1082</v>
      </c>
      <c r="J5267">
        <v>11.73</v>
      </c>
    </row>
    <row r="5268" spans="1:10" hidden="1">
      <c r="A5268" t="s">
        <v>3622</v>
      </c>
      <c r="B5268" t="s">
        <v>3623</v>
      </c>
      <c r="C5268" t="s">
        <v>235</v>
      </c>
      <c r="D5268" t="s">
        <v>1368</v>
      </c>
      <c r="E5268" t="s">
        <v>557</v>
      </c>
      <c r="F5268" t="s">
        <v>1068</v>
      </c>
      <c r="G5268" t="s">
        <v>1083</v>
      </c>
      <c r="H5268" s="170">
        <v>-6.1590223787469795E-5</v>
      </c>
      <c r="I5268" t="s">
        <v>1084</v>
      </c>
      <c r="J5268">
        <v>11.73</v>
      </c>
    </row>
    <row r="5269" spans="1:10" hidden="1">
      <c r="A5269" t="s">
        <v>3622</v>
      </c>
      <c r="B5269" t="s">
        <v>3623</v>
      </c>
      <c r="C5269" t="s">
        <v>235</v>
      </c>
      <c r="D5269" t="s">
        <v>1368</v>
      </c>
      <c r="E5269" t="s">
        <v>557</v>
      </c>
      <c r="F5269" t="s">
        <v>1068</v>
      </c>
      <c r="G5269" t="s">
        <v>1085</v>
      </c>
      <c r="H5269">
        <v>-6.3012374416728802E-4</v>
      </c>
      <c r="I5269" t="s">
        <v>1086</v>
      </c>
      <c r="J5269">
        <v>11.73</v>
      </c>
    </row>
    <row r="5270" spans="1:10" hidden="1">
      <c r="A5270" t="s">
        <v>3622</v>
      </c>
      <c r="B5270" t="s">
        <v>3623</v>
      </c>
      <c r="C5270" t="s">
        <v>235</v>
      </c>
      <c r="D5270" t="s">
        <v>1368</v>
      </c>
      <c r="E5270" t="s">
        <v>557</v>
      </c>
      <c r="F5270" t="s">
        <v>1068</v>
      </c>
      <c r="G5270" t="s">
        <v>1087</v>
      </c>
      <c r="H5270" s="170">
        <v>-3.2857527730655601E-7</v>
      </c>
      <c r="I5270" t="s">
        <v>1088</v>
      </c>
      <c r="J5270">
        <v>11.73</v>
      </c>
    </row>
    <row r="5271" spans="1:10" hidden="1">
      <c r="A5271" t="s">
        <v>3622</v>
      </c>
      <c r="B5271" t="s">
        <v>3623</v>
      </c>
      <c r="C5271" t="s">
        <v>235</v>
      </c>
      <c r="D5271" t="s">
        <v>1368</v>
      </c>
      <c r="E5271" t="s">
        <v>557</v>
      </c>
      <c r="F5271" t="s">
        <v>1068</v>
      </c>
      <c r="G5271" t="s">
        <v>1089</v>
      </c>
      <c r="H5271">
        <v>-1.20631120353917E-4</v>
      </c>
      <c r="I5271" t="s">
        <v>1090</v>
      </c>
      <c r="J5271">
        <v>11.73</v>
      </c>
    </row>
    <row r="5272" spans="1:10" hidden="1">
      <c r="A5272" t="s">
        <v>3626</v>
      </c>
      <c r="B5272" t="s">
        <v>3627</v>
      </c>
      <c r="C5272" t="s">
        <v>235</v>
      </c>
      <c r="D5272" t="s">
        <v>1368</v>
      </c>
      <c r="E5272" t="s">
        <v>559</v>
      </c>
      <c r="F5272" t="s">
        <v>1068</v>
      </c>
      <c r="G5272" t="s">
        <v>1069</v>
      </c>
      <c r="H5272">
        <v>-0.37675648218650498</v>
      </c>
      <c r="I5272" t="s">
        <v>1070</v>
      </c>
      <c r="J5272">
        <v>10.82</v>
      </c>
    </row>
    <row r="5273" spans="1:10" hidden="1">
      <c r="A5273" t="s">
        <v>3626</v>
      </c>
      <c r="B5273" t="s">
        <v>3627</v>
      </c>
      <c r="C5273" t="s">
        <v>235</v>
      </c>
      <c r="D5273" t="s">
        <v>1368</v>
      </c>
      <c r="E5273" t="s">
        <v>559</v>
      </c>
      <c r="F5273" t="s">
        <v>1068</v>
      </c>
      <c r="G5273" t="s">
        <v>1071</v>
      </c>
      <c r="H5273" s="170">
        <v>-6.0018646048046995E-10</v>
      </c>
      <c r="I5273" t="s">
        <v>1072</v>
      </c>
      <c r="J5273">
        <v>10.82</v>
      </c>
    </row>
    <row r="5274" spans="1:10" hidden="1">
      <c r="A5274" t="s">
        <v>3626</v>
      </c>
      <c r="B5274" t="s">
        <v>3627</v>
      </c>
      <c r="C5274" t="s">
        <v>235</v>
      </c>
      <c r="D5274" t="s">
        <v>1368</v>
      </c>
      <c r="E5274" t="s">
        <v>559</v>
      </c>
      <c r="F5274" t="s">
        <v>1068</v>
      </c>
      <c r="G5274" t="s">
        <v>1073</v>
      </c>
      <c r="H5274" s="170">
        <v>-1.30630183241934E-7</v>
      </c>
      <c r="I5274" t="s">
        <v>1074</v>
      </c>
      <c r="J5274">
        <v>10.82</v>
      </c>
    </row>
    <row r="5275" spans="1:10" hidden="1">
      <c r="A5275" t="s">
        <v>3626</v>
      </c>
      <c r="B5275" t="s">
        <v>3627</v>
      </c>
      <c r="C5275" t="s">
        <v>235</v>
      </c>
      <c r="D5275" t="s">
        <v>1368</v>
      </c>
      <c r="E5275" t="s">
        <v>559</v>
      </c>
      <c r="F5275" t="s">
        <v>1068</v>
      </c>
      <c r="G5275" t="s">
        <v>1075</v>
      </c>
      <c r="H5275">
        <v>-7.4548239912294997E-3</v>
      </c>
      <c r="I5275" t="s">
        <v>1077</v>
      </c>
      <c r="J5275">
        <v>10.82</v>
      </c>
    </row>
    <row r="5276" spans="1:10" hidden="1">
      <c r="A5276" t="s">
        <v>3626</v>
      </c>
      <c r="B5276" t="s">
        <v>3627</v>
      </c>
      <c r="C5276" t="s">
        <v>235</v>
      </c>
      <c r="D5276" t="s">
        <v>1368</v>
      </c>
      <c r="E5276" t="s">
        <v>559</v>
      </c>
      <c r="F5276" t="s">
        <v>1068</v>
      </c>
      <c r="G5276" t="s">
        <v>1078</v>
      </c>
      <c r="H5276" s="171" t="s">
        <v>3628</v>
      </c>
      <c r="I5276" t="s">
        <v>1079</v>
      </c>
      <c r="J5276">
        <v>10.82</v>
      </c>
    </row>
    <row r="5277" spans="1:10" hidden="1">
      <c r="A5277" t="s">
        <v>3626</v>
      </c>
      <c r="B5277" t="s">
        <v>3627</v>
      </c>
      <c r="C5277" t="s">
        <v>235</v>
      </c>
      <c r="D5277" t="s">
        <v>1368</v>
      </c>
      <c r="E5277" t="s">
        <v>559</v>
      </c>
      <c r="F5277" t="s">
        <v>1068</v>
      </c>
      <c r="G5277" t="s">
        <v>1080</v>
      </c>
      <c r="H5277" s="171" t="s">
        <v>3629</v>
      </c>
      <c r="I5277" t="s">
        <v>1082</v>
      </c>
      <c r="J5277">
        <v>10.82</v>
      </c>
    </row>
    <row r="5278" spans="1:10" hidden="1">
      <c r="A5278" t="s">
        <v>3626</v>
      </c>
      <c r="B5278" t="s">
        <v>3627</v>
      </c>
      <c r="C5278" t="s">
        <v>235</v>
      </c>
      <c r="D5278" t="s">
        <v>1368</v>
      </c>
      <c r="E5278" t="s">
        <v>559</v>
      </c>
      <c r="F5278" t="s">
        <v>1068</v>
      </c>
      <c r="G5278" t="s">
        <v>1083</v>
      </c>
      <c r="H5278" s="170">
        <v>-6.3914985329825E-5</v>
      </c>
      <c r="I5278" t="s">
        <v>1084</v>
      </c>
      <c r="J5278">
        <v>10.82</v>
      </c>
    </row>
    <row r="5279" spans="1:10" hidden="1">
      <c r="A5279" t="s">
        <v>3626</v>
      </c>
      <c r="B5279" t="s">
        <v>3627</v>
      </c>
      <c r="C5279" t="s">
        <v>235</v>
      </c>
      <c r="D5279" t="s">
        <v>1368</v>
      </c>
      <c r="E5279" t="s">
        <v>559</v>
      </c>
      <c r="F5279" t="s">
        <v>1068</v>
      </c>
      <c r="G5279" t="s">
        <v>1085</v>
      </c>
      <c r="H5279">
        <v>-6.5609434314184997E-4</v>
      </c>
      <c r="I5279" t="s">
        <v>1086</v>
      </c>
      <c r="J5279">
        <v>10.82</v>
      </c>
    </row>
    <row r="5280" spans="1:10" hidden="1">
      <c r="A5280" t="s">
        <v>3626</v>
      </c>
      <c r="B5280" t="s">
        <v>3627</v>
      </c>
      <c r="C5280" t="s">
        <v>235</v>
      </c>
      <c r="D5280" t="s">
        <v>1368</v>
      </c>
      <c r="E5280" t="s">
        <v>559</v>
      </c>
      <c r="F5280" t="s">
        <v>1068</v>
      </c>
      <c r="G5280" t="s">
        <v>1087</v>
      </c>
      <c r="H5280" s="170">
        <v>-3.4110520703240202E-7</v>
      </c>
      <c r="I5280" t="s">
        <v>1088</v>
      </c>
      <c r="J5280">
        <v>10.82</v>
      </c>
    </row>
    <row r="5281" spans="1:10" hidden="1">
      <c r="A5281" t="s">
        <v>3626</v>
      </c>
      <c r="B5281" t="s">
        <v>3627</v>
      </c>
      <c r="C5281" t="s">
        <v>235</v>
      </c>
      <c r="D5281" t="s">
        <v>1368</v>
      </c>
      <c r="E5281" t="s">
        <v>559</v>
      </c>
      <c r="F5281" t="s">
        <v>1068</v>
      </c>
      <c r="G5281" t="s">
        <v>1089</v>
      </c>
      <c r="H5281">
        <v>-1.2605064552813499E-4</v>
      </c>
      <c r="I5281" t="s">
        <v>1090</v>
      </c>
      <c r="J5281">
        <v>10.82</v>
      </c>
    </row>
    <row r="5282" spans="1:10" hidden="1">
      <c r="A5282" t="s">
        <v>3630</v>
      </c>
      <c r="B5282" t="s">
        <v>3631</v>
      </c>
      <c r="C5282" t="s">
        <v>235</v>
      </c>
      <c r="D5282" t="s">
        <v>1368</v>
      </c>
      <c r="E5282" t="s">
        <v>560</v>
      </c>
      <c r="F5282" t="s">
        <v>1068</v>
      </c>
      <c r="G5282" t="s">
        <v>1069</v>
      </c>
      <c r="H5282">
        <v>-0.37108999154993899</v>
      </c>
      <c r="I5282" t="s">
        <v>1070</v>
      </c>
      <c r="J5282">
        <v>9.02</v>
      </c>
    </row>
    <row r="5283" spans="1:10" hidden="1">
      <c r="A5283" t="s">
        <v>3630</v>
      </c>
      <c r="B5283" t="s">
        <v>3631</v>
      </c>
      <c r="C5283" t="s">
        <v>235</v>
      </c>
      <c r="D5283" t="s">
        <v>1368</v>
      </c>
      <c r="E5283" t="s">
        <v>560</v>
      </c>
      <c r="F5283" t="s">
        <v>1068</v>
      </c>
      <c r="G5283" t="s">
        <v>1071</v>
      </c>
      <c r="H5283" s="170">
        <v>-5.9220421299403898E-10</v>
      </c>
      <c r="I5283" t="s">
        <v>1072</v>
      </c>
      <c r="J5283">
        <v>9.02</v>
      </c>
    </row>
    <row r="5284" spans="1:10" hidden="1">
      <c r="A5284" t="s">
        <v>3630</v>
      </c>
      <c r="B5284" t="s">
        <v>3631</v>
      </c>
      <c r="C5284" t="s">
        <v>235</v>
      </c>
      <c r="D5284" t="s">
        <v>1368</v>
      </c>
      <c r="E5284" t="s">
        <v>560</v>
      </c>
      <c r="F5284" t="s">
        <v>1068</v>
      </c>
      <c r="G5284" t="s">
        <v>1073</v>
      </c>
      <c r="H5284" s="170">
        <v>-1.2861760923383899E-7</v>
      </c>
      <c r="I5284" t="s">
        <v>1074</v>
      </c>
      <c r="J5284">
        <v>9.02</v>
      </c>
    </row>
    <row r="5285" spans="1:10" hidden="1">
      <c r="A5285" t="s">
        <v>3630</v>
      </c>
      <c r="B5285" t="s">
        <v>3631</v>
      </c>
      <c r="C5285" t="s">
        <v>235</v>
      </c>
      <c r="D5285" t="s">
        <v>1368</v>
      </c>
      <c r="E5285" t="s">
        <v>560</v>
      </c>
      <c r="F5285" t="s">
        <v>1068</v>
      </c>
      <c r="G5285" t="s">
        <v>1075</v>
      </c>
      <c r="H5285">
        <v>-7.3327362430240101E-3</v>
      </c>
      <c r="I5285" t="s">
        <v>1077</v>
      </c>
      <c r="J5285">
        <v>9.02</v>
      </c>
    </row>
    <row r="5286" spans="1:10" hidden="1">
      <c r="A5286" t="s">
        <v>3630</v>
      </c>
      <c r="B5286" t="s">
        <v>3631</v>
      </c>
      <c r="C5286" t="s">
        <v>235</v>
      </c>
      <c r="D5286" t="s">
        <v>1368</v>
      </c>
      <c r="E5286" t="s">
        <v>560</v>
      </c>
      <c r="F5286" t="s">
        <v>1068</v>
      </c>
      <c r="G5286" t="s">
        <v>1078</v>
      </c>
      <c r="H5286" s="171" t="s">
        <v>3632</v>
      </c>
      <c r="I5286" t="s">
        <v>1079</v>
      </c>
      <c r="J5286">
        <v>9.02</v>
      </c>
    </row>
    <row r="5287" spans="1:10" hidden="1">
      <c r="A5287" t="s">
        <v>3630</v>
      </c>
      <c r="B5287" t="s">
        <v>3631</v>
      </c>
      <c r="C5287" t="s">
        <v>235</v>
      </c>
      <c r="D5287" t="s">
        <v>1368</v>
      </c>
      <c r="E5287" t="s">
        <v>560</v>
      </c>
      <c r="F5287" t="s">
        <v>1068</v>
      </c>
      <c r="G5287" t="s">
        <v>1080</v>
      </c>
      <c r="H5287" s="171" t="s">
        <v>3633</v>
      </c>
      <c r="I5287" t="s">
        <v>1082</v>
      </c>
      <c r="J5287">
        <v>9.02</v>
      </c>
    </row>
    <row r="5288" spans="1:10" hidden="1">
      <c r="A5288" t="s">
        <v>3630</v>
      </c>
      <c r="B5288" t="s">
        <v>3631</v>
      </c>
      <c r="C5288" t="s">
        <v>235</v>
      </c>
      <c r="D5288" t="s">
        <v>1368</v>
      </c>
      <c r="E5288" t="s">
        <v>560</v>
      </c>
      <c r="F5288" t="s">
        <v>1068</v>
      </c>
      <c r="G5288" t="s">
        <v>1083</v>
      </c>
      <c r="H5288" s="170">
        <v>-6.30516482364433E-5</v>
      </c>
      <c r="I5288" t="s">
        <v>1084</v>
      </c>
      <c r="J5288">
        <v>9.02</v>
      </c>
    </row>
    <row r="5289" spans="1:10" hidden="1">
      <c r="A5289" t="s">
        <v>3630</v>
      </c>
      <c r="B5289" t="s">
        <v>3631</v>
      </c>
      <c r="C5289" t="s">
        <v>235</v>
      </c>
      <c r="D5289" t="s">
        <v>1368</v>
      </c>
      <c r="E5289" t="s">
        <v>560</v>
      </c>
      <c r="F5289" t="s">
        <v>1068</v>
      </c>
      <c r="G5289" t="s">
        <v>1085</v>
      </c>
      <c r="H5289">
        <v>-6.4664080650851804E-4</v>
      </c>
      <c r="I5289" t="s">
        <v>1086</v>
      </c>
      <c r="J5289">
        <v>9.02</v>
      </c>
    </row>
    <row r="5290" spans="1:10" hidden="1">
      <c r="A5290" t="s">
        <v>3630</v>
      </c>
      <c r="B5290" t="s">
        <v>3631</v>
      </c>
      <c r="C5290" t="s">
        <v>235</v>
      </c>
      <c r="D5290" t="s">
        <v>1368</v>
      </c>
      <c r="E5290" t="s">
        <v>560</v>
      </c>
      <c r="F5290" t="s">
        <v>1068</v>
      </c>
      <c r="G5290" t="s">
        <v>1087</v>
      </c>
      <c r="H5290" s="170">
        <v>-3.3654648700958698E-7</v>
      </c>
      <c r="I5290" t="s">
        <v>1088</v>
      </c>
      <c r="J5290">
        <v>9.02</v>
      </c>
    </row>
    <row r="5291" spans="1:10" hidden="1">
      <c r="A5291" t="s">
        <v>3630</v>
      </c>
      <c r="B5291" t="s">
        <v>3631</v>
      </c>
      <c r="C5291" t="s">
        <v>235</v>
      </c>
      <c r="D5291" t="s">
        <v>1368</v>
      </c>
      <c r="E5291" t="s">
        <v>560</v>
      </c>
      <c r="F5291" t="s">
        <v>1068</v>
      </c>
      <c r="G5291" t="s">
        <v>1089</v>
      </c>
      <c r="H5291">
        <v>-1.2403855769807401E-4</v>
      </c>
      <c r="I5291" t="s">
        <v>1090</v>
      </c>
      <c r="J5291">
        <v>9.02</v>
      </c>
    </row>
    <row r="5292" spans="1:10" hidden="1">
      <c r="A5292" t="s">
        <v>3634</v>
      </c>
      <c r="B5292" t="s">
        <v>3635</v>
      </c>
      <c r="C5292" t="s">
        <v>235</v>
      </c>
      <c r="D5292" t="s">
        <v>1368</v>
      </c>
      <c r="E5292" t="s">
        <v>1116</v>
      </c>
      <c r="F5292" t="s">
        <v>1068</v>
      </c>
      <c r="G5292" t="s">
        <v>1069</v>
      </c>
      <c r="H5292">
        <v>-0.34190873314607001</v>
      </c>
      <c r="I5292" t="s">
        <v>1070</v>
      </c>
      <c r="J5292">
        <v>8.2200000000000006</v>
      </c>
    </row>
    <row r="5293" spans="1:10" hidden="1">
      <c r="A5293" t="s">
        <v>3634</v>
      </c>
      <c r="B5293" t="s">
        <v>3635</v>
      </c>
      <c r="C5293" t="s">
        <v>235</v>
      </c>
      <c r="D5293" t="s">
        <v>1368</v>
      </c>
      <c r="E5293" t="s">
        <v>1116</v>
      </c>
      <c r="F5293" t="s">
        <v>1068</v>
      </c>
      <c r="G5293" t="s">
        <v>1071</v>
      </c>
      <c r="H5293" s="170">
        <v>-5.5044550022629605E-10</v>
      </c>
      <c r="I5293" t="s">
        <v>1072</v>
      </c>
      <c r="J5293">
        <v>8.2200000000000006</v>
      </c>
    </row>
    <row r="5294" spans="1:10" hidden="1">
      <c r="A5294" t="s">
        <v>3634</v>
      </c>
      <c r="B5294" t="s">
        <v>3635</v>
      </c>
      <c r="C5294" t="s">
        <v>235</v>
      </c>
      <c r="D5294" t="s">
        <v>1368</v>
      </c>
      <c r="E5294" t="s">
        <v>1116</v>
      </c>
      <c r="F5294" t="s">
        <v>1068</v>
      </c>
      <c r="G5294" t="s">
        <v>1073</v>
      </c>
      <c r="H5294" s="170">
        <v>-1.18252333913662E-7</v>
      </c>
      <c r="I5294" t="s">
        <v>1074</v>
      </c>
      <c r="J5294">
        <v>8.2200000000000006</v>
      </c>
    </row>
    <row r="5295" spans="1:10" hidden="1">
      <c r="A5295" t="s">
        <v>3634</v>
      </c>
      <c r="B5295" t="s">
        <v>3635</v>
      </c>
      <c r="C5295" t="s">
        <v>235</v>
      </c>
      <c r="D5295" t="s">
        <v>1368</v>
      </c>
      <c r="E5295" t="s">
        <v>1116</v>
      </c>
      <c r="F5295" t="s">
        <v>1068</v>
      </c>
      <c r="G5295" t="s">
        <v>1075</v>
      </c>
      <c r="H5295">
        <v>-6.4102854914304397E-3</v>
      </c>
      <c r="I5295" t="s">
        <v>1077</v>
      </c>
      <c r="J5295">
        <v>8.2200000000000006</v>
      </c>
    </row>
    <row r="5296" spans="1:10" hidden="1">
      <c r="A5296" t="s">
        <v>3634</v>
      </c>
      <c r="B5296" t="s">
        <v>3635</v>
      </c>
      <c r="C5296" t="s">
        <v>235</v>
      </c>
      <c r="D5296" t="s">
        <v>1368</v>
      </c>
      <c r="E5296" t="s">
        <v>1116</v>
      </c>
      <c r="F5296" t="s">
        <v>1068</v>
      </c>
      <c r="G5296" t="s">
        <v>1078</v>
      </c>
      <c r="H5296" s="171" t="s">
        <v>3636</v>
      </c>
      <c r="I5296" t="s">
        <v>1079</v>
      </c>
      <c r="J5296">
        <v>8.2200000000000006</v>
      </c>
    </row>
    <row r="5297" spans="1:10" hidden="1">
      <c r="A5297" t="s">
        <v>3634</v>
      </c>
      <c r="B5297" t="s">
        <v>3635</v>
      </c>
      <c r="C5297" t="s">
        <v>235</v>
      </c>
      <c r="D5297" t="s">
        <v>1368</v>
      </c>
      <c r="E5297" t="s">
        <v>1116</v>
      </c>
      <c r="F5297" t="s">
        <v>1068</v>
      </c>
      <c r="G5297" t="s">
        <v>1080</v>
      </c>
      <c r="H5297" s="171" t="s">
        <v>3637</v>
      </c>
      <c r="I5297" t="s">
        <v>1082</v>
      </c>
      <c r="J5297">
        <v>8.2200000000000006</v>
      </c>
    </row>
    <row r="5298" spans="1:10" hidden="1">
      <c r="A5298" t="s">
        <v>3634</v>
      </c>
      <c r="B5298" t="s">
        <v>3635</v>
      </c>
      <c r="C5298" t="s">
        <v>235</v>
      </c>
      <c r="D5298" t="s">
        <v>1368</v>
      </c>
      <c r="E5298" t="s">
        <v>1116</v>
      </c>
      <c r="F5298" t="s">
        <v>1068</v>
      </c>
      <c r="G5298" t="s">
        <v>1083</v>
      </c>
      <c r="H5298" s="170">
        <v>-5.8616078065373003E-5</v>
      </c>
      <c r="I5298" t="s">
        <v>1084</v>
      </c>
      <c r="J5298">
        <v>8.2200000000000006</v>
      </c>
    </row>
    <row r="5299" spans="1:10" hidden="1">
      <c r="A5299" t="s">
        <v>3634</v>
      </c>
      <c r="B5299" t="s">
        <v>3635</v>
      </c>
      <c r="C5299" t="s">
        <v>235</v>
      </c>
      <c r="D5299" t="s">
        <v>1368</v>
      </c>
      <c r="E5299" t="s">
        <v>1116</v>
      </c>
      <c r="F5299" t="s">
        <v>1068</v>
      </c>
      <c r="G5299" t="s">
        <v>1085</v>
      </c>
      <c r="H5299">
        <v>-5.9650986126128305E-4</v>
      </c>
      <c r="I5299" t="s">
        <v>1086</v>
      </c>
      <c r="J5299">
        <v>8.2200000000000006</v>
      </c>
    </row>
    <row r="5300" spans="1:10" hidden="1">
      <c r="A5300" t="s">
        <v>3634</v>
      </c>
      <c r="B5300" t="s">
        <v>3635</v>
      </c>
      <c r="C5300" t="s">
        <v>235</v>
      </c>
      <c r="D5300" t="s">
        <v>1368</v>
      </c>
      <c r="E5300" t="s">
        <v>1116</v>
      </c>
      <c r="F5300" t="s">
        <v>1068</v>
      </c>
      <c r="G5300" t="s">
        <v>1087</v>
      </c>
      <c r="H5300" s="170">
        <v>-3.12353063934625E-7</v>
      </c>
      <c r="I5300" t="s">
        <v>1088</v>
      </c>
      <c r="J5300">
        <v>8.2200000000000006</v>
      </c>
    </row>
    <row r="5301" spans="1:10" hidden="1">
      <c r="A5301" t="s">
        <v>3634</v>
      </c>
      <c r="B5301" t="s">
        <v>3635</v>
      </c>
      <c r="C5301" t="s">
        <v>235</v>
      </c>
      <c r="D5301" t="s">
        <v>1368</v>
      </c>
      <c r="E5301" t="s">
        <v>1116</v>
      </c>
      <c r="F5301" t="s">
        <v>1068</v>
      </c>
      <c r="G5301" t="s">
        <v>1089</v>
      </c>
      <c r="H5301">
        <v>-1.13696642688956E-4</v>
      </c>
      <c r="I5301" t="s">
        <v>1090</v>
      </c>
      <c r="J5301">
        <v>8.2200000000000006</v>
      </c>
    </row>
    <row r="5302" spans="1:10" hidden="1">
      <c r="A5302" t="s">
        <v>3638</v>
      </c>
      <c r="B5302" t="s">
        <v>3639</v>
      </c>
      <c r="C5302" t="s">
        <v>235</v>
      </c>
      <c r="D5302" t="s">
        <v>3640</v>
      </c>
      <c r="E5302" t="s">
        <v>561</v>
      </c>
      <c r="F5302" t="s">
        <v>1068</v>
      </c>
      <c r="G5302" t="s">
        <v>1069</v>
      </c>
      <c r="H5302">
        <v>7.18956406665264E-2</v>
      </c>
      <c r="I5302" t="s">
        <v>1070</v>
      </c>
      <c r="J5302">
        <v>8.09</v>
      </c>
    </row>
    <row r="5303" spans="1:10" hidden="1">
      <c r="A5303" t="s">
        <v>3638</v>
      </c>
      <c r="B5303" t="s">
        <v>3639</v>
      </c>
      <c r="C5303" t="s">
        <v>235</v>
      </c>
      <c r="D5303" t="s">
        <v>3640</v>
      </c>
      <c r="E5303" t="s">
        <v>561</v>
      </c>
      <c r="F5303" t="s">
        <v>1068</v>
      </c>
      <c r="G5303" t="s">
        <v>1071</v>
      </c>
      <c r="H5303" s="171" t="s">
        <v>3152</v>
      </c>
      <c r="I5303" t="s">
        <v>1072</v>
      </c>
      <c r="J5303">
        <v>8.09</v>
      </c>
    </row>
    <row r="5304" spans="1:10" hidden="1">
      <c r="A5304" t="s">
        <v>3638</v>
      </c>
      <c r="B5304" t="s">
        <v>3639</v>
      </c>
      <c r="C5304" t="s">
        <v>235</v>
      </c>
      <c r="D5304" t="s">
        <v>3640</v>
      </c>
      <c r="E5304" t="s">
        <v>561</v>
      </c>
      <c r="F5304" t="s">
        <v>1068</v>
      </c>
      <c r="G5304" t="s">
        <v>1073</v>
      </c>
      <c r="H5304" s="171" t="s">
        <v>3064</v>
      </c>
      <c r="I5304" t="s">
        <v>1074</v>
      </c>
      <c r="J5304">
        <v>8.09</v>
      </c>
    </row>
    <row r="5305" spans="1:10" hidden="1">
      <c r="A5305" t="s">
        <v>3638</v>
      </c>
      <c r="B5305" t="s">
        <v>3639</v>
      </c>
      <c r="C5305" t="s">
        <v>235</v>
      </c>
      <c r="D5305" t="s">
        <v>3640</v>
      </c>
      <c r="E5305" t="s">
        <v>561</v>
      </c>
      <c r="F5305" t="s">
        <v>1068</v>
      </c>
      <c r="G5305" t="s">
        <v>1075</v>
      </c>
      <c r="H5305">
        <v>3.47080613075432E-3</v>
      </c>
      <c r="I5305" t="s">
        <v>1077</v>
      </c>
      <c r="J5305">
        <v>8.09</v>
      </c>
    </row>
    <row r="5306" spans="1:10" hidden="1">
      <c r="A5306" t="s">
        <v>3638</v>
      </c>
      <c r="B5306" t="s">
        <v>3639</v>
      </c>
      <c r="C5306" t="s">
        <v>235</v>
      </c>
      <c r="D5306" t="s">
        <v>3640</v>
      </c>
      <c r="E5306" t="s">
        <v>561</v>
      </c>
      <c r="F5306" t="s">
        <v>1068</v>
      </c>
      <c r="G5306" t="s">
        <v>1078</v>
      </c>
      <c r="H5306">
        <v>2.60223023657884E-2</v>
      </c>
      <c r="I5306" t="s">
        <v>1079</v>
      </c>
      <c r="J5306">
        <v>8.09</v>
      </c>
    </row>
    <row r="5307" spans="1:10" hidden="1">
      <c r="A5307" t="s">
        <v>3638</v>
      </c>
      <c r="B5307" t="s">
        <v>3639</v>
      </c>
      <c r="C5307" t="s">
        <v>235</v>
      </c>
      <c r="D5307" t="s">
        <v>3640</v>
      </c>
      <c r="E5307" t="s">
        <v>561</v>
      </c>
      <c r="F5307" t="s">
        <v>1068</v>
      </c>
      <c r="G5307" t="s">
        <v>1080</v>
      </c>
      <c r="H5307" s="171" t="s">
        <v>3641</v>
      </c>
      <c r="I5307" t="s">
        <v>1082</v>
      </c>
      <c r="J5307">
        <v>8.09</v>
      </c>
    </row>
    <row r="5308" spans="1:10" hidden="1">
      <c r="A5308" t="s">
        <v>3638</v>
      </c>
      <c r="B5308" t="s">
        <v>3639</v>
      </c>
      <c r="C5308" t="s">
        <v>235</v>
      </c>
      <c r="D5308" t="s">
        <v>3640</v>
      </c>
      <c r="E5308" t="s">
        <v>561</v>
      </c>
      <c r="F5308" t="s">
        <v>1068</v>
      </c>
      <c r="G5308" t="s">
        <v>1083</v>
      </c>
      <c r="H5308" s="171" t="s">
        <v>3642</v>
      </c>
      <c r="I5308" t="s">
        <v>1084</v>
      </c>
      <c r="J5308">
        <v>8.09</v>
      </c>
    </row>
    <row r="5309" spans="1:10" hidden="1">
      <c r="A5309" t="s">
        <v>3638</v>
      </c>
      <c r="B5309" t="s">
        <v>3639</v>
      </c>
      <c r="C5309" t="s">
        <v>235</v>
      </c>
      <c r="D5309" t="s">
        <v>3640</v>
      </c>
      <c r="E5309" t="s">
        <v>561</v>
      </c>
      <c r="F5309" t="s">
        <v>1068</v>
      </c>
      <c r="G5309" t="s">
        <v>1085</v>
      </c>
      <c r="H5309" s="171" t="s">
        <v>3643</v>
      </c>
      <c r="I5309" t="s">
        <v>1086</v>
      </c>
      <c r="J5309">
        <v>8.09</v>
      </c>
    </row>
    <row r="5310" spans="1:10" hidden="1">
      <c r="A5310" t="s">
        <v>3638</v>
      </c>
      <c r="B5310" t="s">
        <v>3639</v>
      </c>
      <c r="C5310" t="s">
        <v>235</v>
      </c>
      <c r="D5310" t="s">
        <v>3640</v>
      </c>
      <c r="E5310" t="s">
        <v>561</v>
      </c>
      <c r="F5310" t="s">
        <v>1068</v>
      </c>
      <c r="G5310" t="s">
        <v>1087</v>
      </c>
      <c r="H5310" s="171" t="s">
        <v>3069</v>
      </c>
      <c r="I5310" t="s">
        <v>1088</v>
      </c>
      <c r="J5310">
        <v>8.09</v>
      </c>
    </row>
    <row r="5311" spans="1:10" hidden="1">
      <c r="A5311" t="s">
        <v>3638</v>
      </c>
      <c r="B5311" t="s">
        <v>3639</v>
      </c>
      <c r="C5311" t="s">
        <v>235</v>
      </c>
      <c r="D5311" t="s">
        <v>3640</v>
      </c>
      <c r="E5311" t="s">
        <v>561</v>
      </c>
      <c r="F5311" t="s">
        <v>1068</v>
      </c>
      <c r="G5311" t="s">
        <v>1089</v>
      </c>
      <c r="H5311" s="171" t="s">
        <v>3644</v>
      </c>
      <c r="I5311" t="s">
        <v>1090</v>
      </c>
      <c r="J5311">
        <v>8.09</v>
      </c>
    </row>
    <row r="5312" spans="1:10" hidden="1">
      <c r="A5312" t="s">
        <v>3645</v>
      </c>
      <c r="B5312" t="s">
        <v>3646</v>
      </c>
      <c r="C5312" t="s">
        <v>235</v>
      </c>
      <c r="D5312" t="s">
        <v>3640</v>
      </c>
      <c r="E5312" t="s">
        <v>555</v>
      </c>
      <c r="F5312" t="s">
        <v>1068</v>
      </c>
      <c r="G5312" t="s">
        <v>1069</v>
      </c>
      <c r="H5312">
        <v>7.19351343433655E-2</v>
      </c>
      <c r="I5312" t="s">
        <v>1070</v>
      </c>
      <c r="J5312">
        <v>7.09</v>
      </c>
    </row>
    <row r="5313" spans="1:10" hidden="1">
      <c r="A5313" t="s">
        <v>3645</v>
      </c>
      <c r="B5313" t="s">
        <v>3646</v>
      </c>
      <c r="C5313" t="s">
        <v>235</v>
      </c>
      <c r="D5313" t="s">
        <v>3640</v>
      </c>
      <c r="E5313" t="s">
        <v>555</v>
      </c>
      <c r="F5313" t="s">
        <v>1068</v>
      </c>
      <c r="G5313" t="s">
        <v>1071</v>
      </c>
      <c r="H5313" s="171" t="s">
        <v>3073</v>
      </c>
      <c r="I5313" t="s">
        <v>1072</v>
      </c>
      <c r="J5313">
        <v>7.09</v>
      </c>
    </row>
    <row r="5314" spans="1:10" hidden="1">
      <c r="A5314" t="s">
        <v>3645</v>
      </c>
      <c r="B5314" t="s">
        <v>3646</v>
      </c>
      <c r="C5314" t="s">
        <v>235</v>
      </c>
      <c r="D5314" t="s">
        <v>3640</v>
      </c>
      <c r="E5314" t="s">
        <v>555</v>
      </c>
      <c r="F5314" t="s">
        <v>1068</v>
      </c>
      <c r="G5314" t="s">
        <v>1073</v>
      </c>
      <c r="H5314" s="171" t="s">
        <v>3074</v>
      </c>
      <c r="I5314" t="s">
        <v>1074</v>
      </c>
      <c r="J5314">
        <v>7.09</v>
      </c>
    </row>
    <row r="5315" spans="1:10" hidden="1">
      <c r="A5315" t="s">
        <v>3645</v>
      </c>
      <c r="B5315" t="s">
        <v>3646</v>
      </c>
      <c r="C5315" t="s">
        <v>235</v>
      </c>
      <c r="D5315" t="s">
        <v>3640</v>
      </c>
      <c r="E5315" t="s">
        <v>555</v>
      </c>
      <c r="F5315" t="s">
        <v>1068</v>
      </c>
      <c r="G5315" t="s">
        <v>1075</v>
      </c>
      <c r="H5315">
        <v>3.47128233762294E-3</v>
      </c>
      <c r="I5315" t="s">
        <v>1077</v>
      </c>
      <c r="J5315">
        <v>7.09</v>
      </c>
    </row>
    <row r="5316" spans="1:10" hidden="1">
      <c r="A5316" t="s">
        <v>3645</v>
      </c>
      <c r="B5316" t="s">
        <v>3646</v>
      </c>
      <c r="C5316" t="s">
        <v>235</v>
      </c>
      <c r="D5316" t="s">
        <v>3640</v>
      </c>
      <c r="E5316" t="s">
        <v>555</v>
      </c>
      <c r="F5316" t="s">
        <v>1068</v>
      </c>
      <c r="G5316" t="s">
        <v>1078</v>
      </c>
      <c r="H5316" s="171" t="s">
        <v>3647</v>
      </c>
      <c r="I5316" t="s">
        <v>1079</v>
      </c>
      <c r="J5316">
        <v>7.09</v>
      </c>
    </row>
    <row r="5317" spans="1:10" hidden="1">
      <c r="A5317" t="s">
        <v>3645</v>
      </c>
      <c r="B5317" t="s">
        <v>3646</v>
      </c>
      <c r="C5317" t="s">
        <v>235</v>
      </c>
      <c r="D5317" t="s">
        <v>3640</v>
      </c>
      <c r="E5317" t="s">
        <v>555</v>
      </c>
      <c r="F5317" t="s">
        <v>1068</v>
      </c>
      <c r="G5317" t="s">
        <v>1080</v>
      </c>
      <c r="H5317" s="171" t="s">
        <v>3076</v>
      </c>
      <c r="I5317" t="s">
        <v>1082</v>
      </c>
      <c r="J5317">
        <v>7.09</v>
      </c>
    </row>
    <row r="5318" spans="1:10" hidden="1">
      <c r="A5318" t="s">
        <v>3645</v>
      </c>
      <c r="B5318" t="s">
        <v>3646</v>
      </c>
      <c r="C5318" t="s">
        <v>235</v>
      </c>
      <c r="D5318" t="s">
        <v>3640</v>
      </c>
      <c r="E5318" t="s">
        <v>555</v>
      </c>
      <c r="F5318" t="s">
        <v>1068</v>
      </c>
      <c r="G5318" t="s">
        <v>1083</v>
      </c>
      <c r="H5318" s="171" t="s">
        <v>3077</v>
      </c>
      <c r="I5318" t="s">
        <v>1084</v>
      </c>
      <c r="J5318">
        <v>7.09</v>
      </c>
    </row>
    <row r="5319" spans="1:10" hidden="1">
      <c r="A5319" t="s">
        <v>3645</v>
      </c>
      <c r="B5319" t="s">
        <v>3646</v>
      </c>
      <c r="C5319" t="s">
        <v>235</v>
      </c>
      <c r="D5319" t="s">
        <v>3640</v>
      </c>
      <c r="E5319" t="s">
        <v>555</v>
      </c>
      <c r="F5319" t="s">
        <v>1068</v>
      </c>
      <c r="G5319" t="s">
        <v>1085</v>
      </c>
      <c r="H5319" s="171" t="s">
        <v>3648</v>
      </c>
      <c r="I5319" t="s">
        <v>1086</v>
      </c>
      <c r="J5319">
        <v>7.09</v>
      </c>
    </row>
    <row r="5320" spans="1:10" hidden="1">
      <c r="A5320" t="s">
        <v>3645</v>
      </c>
      <c r="B5320" t="s">
        <v>3646</v>
      </c>
      <c r="C5320" t="s">
        <v>235</v>
      </c>
      <c r="D5320" t="s">
        <v>3640</v>
      </c>
      <c r="E5320" t="s">
        <v>555</v>
      </c>
      <c r="F5320" t="s">
        <v>1068</v>
      </c>
      <c r="G5320" t="s">
        <v>1087</v>
      </c>
      <c r="H5320" s="171" t="s">
        <v>3079</v>
      </c>
      <c r="I5320" t="s">
        <v>1088</v>
      </c>
      <c r="J5320">
        <v>7.09</v>
      </c>
    </row>
    <row r="5321" spans="1:10" hidden="1">
      <c r="A5321" t="s">
        <v>3645</v>
      </c>
      <c r="B5321" t="s">
        <v>3646</v>
      </c>
      <c r="C5321" t="s">
        <v>235</v>
      </c>
      <c r="D5321" t="s">
        <v>3640</v>
      </c>
      <c r="E5321" t="s">
        <v>555</v>
      </c>
      <c r="F5321" t="s">
        <v>1068</v>
      </c>
      <c r="G5321" t="s">
        <v>1089</v>
      </c>
      <c r="H5321" s="171" t="s">
        <v>3080</v>
      </c>
      <c r="I5321" t="s">
        <v>1090</v>
      </c>
      <c r="J5321">
        <v>7.09</v>
      </c>
    </row>
    <row r="5322" spans="1:10" hidden="1">
      <c r="A5322" t="s">
        <v>3649</v>
      </c>
      <c r="B5322" t="s">
        <v>3650</v>
      </c>
      <c r="C5322" t="s">
        <v>235</v>
      </c>
      <c r="D5322" t="s">
        <v>3640</v>
      </c>
      <c r="E5322" t="s">
        <v>558</v>
      </c>
      <c r="F5322" t="s">
        <v>1068</v>
      </c>
      <c r="G5322" t="s">
        <v>1069</v>
      </c>
      <c r="H5322">
        <v>7.1894379892580795E-2</v>
      </c>
      <c r="I5322" t="s">
        <v>1070</v>
      </c>
      <c r="J5322">
        <v>7.85</v>
      </c>
    </row>
    <row r="5323" spans="1:10" hidden="1">
      <c r="A5323" t="s">
        <v>3649</v>
      </c>
      <c r="B5323" t="s">
        <v>3650</v>
      </c>
      <c r="C5323" t="s">
        <v>235</v>
      </c>
      <c r="D5323" t="s">
        <v>3640</v>
      </c>
      <c r="E5323" t="s">
        <v>558</v>
      </c>
      <c r="F5323" t="s">
        <v>1068</v>
      </c>
      <c r="G5323" t="s">
        <v>1071</v>
      </c>
      <c r="H5323" s="171" t="s">
        <v>3651</v>
      </c>
      <c r="I5323" t="s">
        <v>1072</v>
      </c>
      <c r="J5323">
        <v>7.85</v>
      </c>
    </row>
    <row r="5324" spans="1:10" hidden="1">
      <c r="A5324" t="s">
        <v>3649</v>
      </c>
      <c r="B5324" t="s">
        <v>3650</v>
      </c>
      <c r="C5324" t="s">
        <v>235</v>
      </c>
      <c r="D5324" t="s">
        <v>3640</v>
      </c>
      <c r="E5324" t="s">
        <v>558</v>
      </c>
      <c r="F5324" t="s">
        <v>1068</v>
      </c>
      <c r="G5324" t="s">
        <v>1073</v>
      </c>
      <c r="H5324" s="171" t="s">
        <v>3652</v>
      </c>
      <c r="I5324" t="s">
        <v>1074</v>
      </c>
      <c r="J5324">
        <v>7.85</v>
      </c>
    </row>
    <row r="5325" spans="1:10" hidden="1">
      <c r="A5325" t="s">
        <v>3649</v>
      </c>
      <c r="B5325" t="s">
        <v>3650</v>
      </c>
      <c r="C5325" t="s">
        <v>235</v>
      </c>
      <c r="D5325" t="s">
        <v>3640</v>
      </c>
      <c r="E5325" t="s">
        <v>558</v>
      </c>
      <c r="F5325" t="s">
        <v>1068</v>
      </c>
      <c r="G5325" t="s">
        <v>1075</v>
      </c>
      <c r="H5325">
        <v>3.4707662763430501E-3</v>
      </c>
      <c r="I5325" t="s">
        <v>1077</v>
      </c>
      <c r="J5325">
        <v>7.85</v>
      </c>
    </row>
    <row r="5326" spans="1:10" hidden="1">
      <c r="A5326" t="s">
        <v>3649</v>
      </c>
      <c r="B5326" t="s">
        <v>3650</v>
      </c>
      <c r="C5326" t="s">
        <v>235</v>
      </c>
      <c r="D5326" t="s">
        <v>3640</v>
      </c>
      <c r="E5326" t="s">
        <v>558</v>
      </c>
      <c r="F5326" t="s">
        <v>1068</v>
      </c>
      <c r="G5326" t="s">
        <v>1078</v>
      </c>
      <c r="H5326">
        <v>2.60205789073111E-2</v>
      </c>
      <c r="I5326" t="s">
        <v>1079</v>
      </c>
      <c r="J5326">
        <v>7.85</v>
      </c>
    </row>
    <row r="5327" spans="1:10" hidden="1">
      <c r="A5327" t="s">
        <v>3649</v>
      </c>
      <c r="B5327" t="s">
        <v>3650</v>
      </c>
      <c r="C5327" t="s">
        <v>235</v>
      </c>
      <c r="D5327" t="s">
        <v>3640</v>
      </c>
      <c r="E5327" t="s">
        <v>558</v>
      </c>
      <c r="F5327" t="s">
        <v>1068</v>
      </c>
      <c r="G5327" t="s">
        <v>1080</v>
      </c>
      <c r="H5327" s="171" t="s">
        <v>3653</v>
      </c>
      <c r="I5327" t="s">
        <v>1082</v>
      </c>
      <c r="J5327">
        <v>7.85</v>
      </c>
    </row>
    <row r="5328" spans="1:10" hidden="1">
      <c r="A5328" t="s">
        <v>3649</v>
      </c>
      <c r="B5328" t="s">
        <v>3650</v>
      </c>
      <c r="C5328" t="s">
        <v>235</v>
      </c>
      <c r="D5328" t="s">
        <v>3640</v>
      </c>
      <c r="E5328" t="s">
        <v>558</v>
      </c>
      <c r="F5328" t="s">
        <v>1068</v>
      </c>
      <c r="G5328" t="s">
        <v>1083</v>
      </c>
      <c r="H5328" s="171" t="s">
        <v>3654</v>
      </c>
      <c r="I5328" t="s">
        <v>1084</v>
      </c>
      <c r="J5328">
        <v>7.85</v>
      </c>
    </row>
    <row r="5329" spans="1:10" hidden="1">
      <c r="A5329" t="s">
        <v>3649</v>
      </c>
      <c r="B5329" t="s">
        <v>3650</v>
      </c>
      <c r="C5329" t="s">
        <v>235</v>
      </c>
      <c r="D5329" t="s">
        <v>3640</v>
      </c>
      <c r="E5329" t="s">
        <v>558</v>
      </c>
      <c r="F5329" t="s">
        <v>1068</v>
      </c>
      <c r="G5329" t="s">
        <v>1085</v>
      </c>
      <c r="H5329" s="171" t="s">
        <v>3655</v>
      </c>
      <c r="I5329" t="s">
        <v>1086</v>
      </c>
      <c r="J5329">
        <v>7.85</v>
      </c>
    </row>
    <row r="5330" spans="1:10" hidden="1">
      <c r="A5330" t="s">
        <v>3649</v>
      </c>
      <c r="B5330" t="s">
        <v>3650</v>
      </c>
      <c r="C5330" t="s">
        <v>235</v>
      </c>
      <c r="D5330" t="s">
        <v>3640</v>
      </c>
      <c r="E5330" t="s">
        <v>558</v>
      </c>
      <c r="F5330" t="s">
        <v>1068</v>
      </c>
      <c r="G5330" t="s">
        <v>1087</v>
      </c>
      <c r="H5330" s="171" t="s">
        <v>3656</v>
      </c>
      <c r="I5330" t="s">
        <v>1088</v>
      </c>
      <c r="J5330">
        <v>7.85</v>
      </c>
    </row>
    <row r="5331" spans="1:10" hidden="1">
      <c r="A5331" t="s">
        <v>3649</v>
      </c>
      <c r="B5331" t="s">
        <v>3650</v>
      </c>
      <c r="C5331" t="s">
        <v>235</v>
      </c>
      <c r="D5331" t="s">
        <v>3640</v>
      </c>
      <c r="E5331" t="s">
        <v>558</v>
      </c>
      <c r="F5331" t="s">
        <v>1068</v>
      </c>
      <c r="G5331" t="s">
        <v>1089</v>
      </c>
      <c r="H5331" s="171" t="s">
        <v>3657</v>
      </c>
      <c r="I5331" t="s">
        <v>1090</v>
      </c>
      <c r="J5331">
        <v>7.85</v>
      </c>
    </row>
    <row r="5332" spans="1:10" hidden="1">
      <c r="A5332" t="s">
        <v>3658</v>
      </c>
      <c r="B5332" t="s">
        <v>3659</v>
      </c>
      <c r="C5332" t="s">
        <v>235</v>
      </c>
      <c r="D5332" t="s">
        <v>3640</v>
      </c>
      <c r="E5332" t="s">
        <v>553</v>
      </c>
      <c r="F5332" t="s">
        <v>1068</v>
      </c>
      <c r="G5332" t="s">
        <v>1069</v>
      </c>
      <c r="H5332">
        <v>7.1918297977657003E-2</v>
      </c>
      <c r="I5332" t="s">
        <v>1070</v>
      </c>
      <c r="J5332">
        <v>7.95</v>
      </c>
    </row>
    <row r="5333" spans="1:10" hidden="1">
      <c r="A5333" t="s">
        <v>3658</v>
      </c>
      <c r="B5333" t="s">
        <v>3659</v>
      </c>
      <c r="C5333" t="s">
        <v>235</v>
      </c>
      <c r="D5333" t="s">
        <v>3640</v>
      </c>
      <c r="E5333" t="s">
        <v>553</v>
      </c>
      <c r="F5333" t="s">
        <v>1068</v>
      </c>
      <c r="G5333" t="s">
        <v>1071</v>
      </c>
      <c r="H5333" s="171" t="s">
        <v>3660</v>
      </c>
      <c r="I5333" t="s">
        <v>1072</v>
      </c>
      <c r="J5333">
        <v>7.95</v>
      </c>
    </row>
    <row r="5334" spans="1:10" hidden="1">
      <c r="A5334" t="s">
        <v>3658</v>
      </c>
      <c r="B5334" t="s">
        <v>3659</v>
      </c>
      <c r="C5334" t="s">
        <v>235</v>
      </c>
      <c r="D5334" t="s">
        <v>3640</v>
      </c>
      <c r="E5334" t="s">
        <v>553</v>
      </c>
      <c r="F5334" t="s">
        <v>1068</v>
      </c>
      <c r="G5334" t="s">
        <v>1073</v>
      </c>
      <c r="H5334" s="171" t="s">
        <v>3094</v>
      </c>
      <c r="I5334" t="s">
        <v>1074</v>
      </c>
      <c r="J5334">
        <v>7.95</v>
      </c>
    </row>
    <row r="5335" spans="1:10" hidden="1">
      <c r="A5335" t="s">
        <v>3658</v>
      </c>
      <c r="B5335" t="s">
        <v>3659</v>
      </c>
      <c r="C5335" t="s">
        <v>235</v>
      </c>
      <c r="D5335" t="s">
        <v>3640</v>
      </c>
      <c r="E5335" t="s">
        <v>553</v>
      </c>
      <c r="F5335" t="s">
        <v>1068</v>
      </c>
      <c r="G5335" t="s">
        <v>1075</v>
      </c>
      <c r="H5335">
        <v>3.4707501221171201E-3</v>
      </c>
      <c r="I5335" t="s">
        <v>1077</v>
      </c>
      <c r="J5335">
        <v>7.95</v>
      </c>
    </row>
    <row r="5336" spans="1:10" hidden="1">
      <c r="A5336" t="s">
        <v>3658</v>
      </c>
      <c r="B5336" t="s">
        <v>3659</v>
      </c>
      <c r="C5336" t="s">
        <v>235</v>
      </c>
      <c r="D5336" t="s">
        <v>3640</v>
      </c>
      <c r="E5336" t="s">
        <v>553</v>
      </c>
      <c r="F5336" t="s">
        <v>1068</v>
      </c>
      <c r="G5336" t="s">
        <v>1078</v>
      </c>
      <c r="H5336" s="171" t="s">
        <v>3095</v>
      </c>
      <c r="I5336" t="s">
        <v>1079</v>
      </c>
      <c r="J5336">
        <v>7.95</v>
      </c>
    </row>
    <row r="5337" spans="1:10" hidden="1">
      <c r="A5337" t="s">
        <v>3658</v>
      </c>
      <c r="B5337" t="s">
        <v>3659</v>
      </c>
      <c r="C5337" t="s">
        <v>235</v>
      </c>
      <c r="D5337" t="s">
        <v>3640</v>
      </c>
      <c r="E5337" t="s">
        <v>553</v>
      </c>
      <c r="F5337" t="s">
        <v>1068</v>
      </c>
      <c r="G5337" t="s">
        <v>1080</v>
      </c>
      <c r="H5337" s="171" t="s">
        <v>3096</v>
      </c>
      <c r="I5337" t="s">
        <v>1082</v>
      </c>
      <c r="J5337">
        <v>7.95</v>
      </c>
    </row>
    <row r="5338" spans="1:10" hidden="1">
      <c r="A5338" t="s">
        <v>3658</v>
      </c>
      <c r="B5338" t="s">
        <v>3659</v>
      </c>
      <c r="C5338" t="s">
        <v>235</v>
      </c>
      <c r="D5338" t="s">
        <v>3640</v>
      </c>
      <c r="E5338" t="s">
        <v>553</v>
      </c>
      <c r="F5338" t="s">
        <v>1068</v>
      </c>
      <c r="G5338" t="s">
        <v>1083</v>
      </c>
      <c r="H5338" s="171" t="s">
        <v>3097</v>
      </c>
      <c r="I5338" t="s">
        <v>1084</v>
      </c>
      <c r="J5338">
        <v>7.95</v>
      </c>
    </row>
    <row r="5339" spans="1:10" hidden="1">
      <c r="A5339" t="s">
        <v>3658</v>
      </c>
      <c r="B5339" t="s">
        <v>3659</v>
      </c>
      <c r="C5339" t="s">
        <v>235</v>
      </c>
      <c r="D5339" t="s">
        <v>3640</v>
      </c>
      <c r="E5339" t="s">
        <v>553</v>
      </c>
      <c r="F5339" t="s">
        <v>1068</v>
      </c>
      <c r="G5339" t="s">
        <v>1085</v>
      </c>
      <c r="H5339" s="171" t="s">
        <v>3661</v>
      </c>
      <c r="I5339" t="s">
        <v>1086</v>
      </c>
      <c r="J5339">
        <v>7.95</v>
      </c>
    </row>
    <row r="5340" spans="1:10" hidden="1">
      <c r="A5340" t="s">
        <v>3658</v>
      </c>
      <c r="B5340" t="s">
        <v>3659</v>
      </c>
      <c r="C5340" t="s">
        <v>235</v>
      </c>
      <c r="D5340" t="s">
        <v>3640</v>
      </c>
      <c r="E5340" t="s">
        <v>553</v>
      </c>
      <c r="F5340" t="s">
        <v>1068</v>
      </c>
      <c r="G5340" t="s">
        <v>1087</v>
      </c>
      <c r="H5340" s="171" t="s">
        <v>3662</v>
      </c>
      <c r="I5340" t="s">
        <v>1088</v>
      </c>
      <c r="J5340">
        <v>7.95</v>
      </c>
    </row>
    <row r="5341" spans="1:10" hidden="1">
      <c r="A5341" t="s">
        <v>3658</v>
      </c>
      <c r="B5341" t="s">
        <v>3659</v>
      </c>
      <c r="C5341" t="s">
        <v>235</v>
      </c>
      <c r="D5341" t="s">
        <v>3640</v>
      </c>
      <c r="E5341" t="s">
        <v>553</v>
      </c>
      <c r="F5341" t="s">
        <v>1068</v>
      </c>
      <c r="G5341" t="s">
        <v>1089</v>
      </c>
      <c r="H5341" s="171" t="s">
        <v>3100</v>
      </c>
      <c r="I5341" t="s">
        <v>1090</v>
      </c>
      <c r="J5341">
        <v>7.95</v>
      </c>
    </row>
    <row r="5342" spans="1:10" hidden="1">
      <c r="A5342" t="s">
        <v>3663</v>
      </c>
      <c r="B5342" s="170" t="s">
        <v>3664</v>
      </c>
      <c r="C5342" t="s">
        <v>235</v>
      </c>
      <c r="D5342" t="s">
        <v>3640</v>
      </c>
      <c r="E5342" t="s">
        <v>556</v>
      </c>
      <c r="F5342" t="s">
        <v>1068</v>
      </c>
      <c r="G5342" t="s">
        <v>1069</v>
      </c>
      <c r="H5342">
        <v>7.1933551855503097E-2</v>
      </c>
      <c r="I5342" t="s">
        <v>1070</v>
      </c>
      <c r="J5342">
        <v>8.23</v>
      </c>
    </row>
    <row r="5343" spans="1:10" hidden="1">
      <c r="A5343" t="s">
        <v>3663</v>
      </c>
      <c r="B5343" s="170" t="s">
        <v>3664</v>
      </c>
      <c r="C5343" t="s">
        <v>235</v>
      </c>
      <c r="D5343" t="s">
        <v>3640</v>
      </c>
      <c r="E5343" t="s">
        <v>556</v>
      </c>
      <c r="F5343" t="s">
        <v>1068</v>
      </c>
      <c r="G5343" t="s">
        <v>1071</v>
      </c>
      <c r="H5343" s="171" t="s">
        <v>3665</v>
      </c>
      <c r="I5343" t="s">
        <v>1072</v>
      </c>
      <c r="J5343">
        <v>8.23</v>
      </c>
    </row>
    <row r="5344" spans="1:10" hidden="1">
      <c r="A5344" t="s">
        <v>3663</v>
      </c>
      <c r="B5344" s="170" t="s">
        <v>3664</v>
      </c>
      <c r="C5344" t="s">
        <v>235</v>
      </c>
      <c r="D5344" t="s">
        <v>3640</v>
      </c>
      <c r="E5344" t="s">
        <v>556</v>
      </c>
      <c r="F5344" t="s">
        <v>1068</v>
      </c>
      <c r="G5344" t="s">
        <v>1073</v>
      </c>
      <c r="H5344" s="171" t="s">
        <v>3666</v>
      </c>
      <c r="I5344" t="s">
        <v>1074</v>
      </c>
      <c r="J5344">
        <v>8.23</v>
      </c>
    </row>
    <row r="5345" spans="1:10" hidden="1">
      <c r="A5345" t="s">
        <v>3663</v>
      </c>
      <c r="B5345" s="170" t="s">
        <v>3664</v>
      </c>
      <c r="C5345" t="s">
        <v>235</v>
      </c>
      <c r="D5345" t="s">
        <v>3640</v>
      </c>
      <c r="E5345" t="s">
        <v>556</v>
      </c>
      <c r="F5345" t="s">
        <v>1068</v>
      </c>
      <c r="G5345" t="s">
        <v>1075</v>
      </c>
      <c r="H5345">
        <v>3.4712323134910902E-3</v>
      </c>
      <c r="I5345" t="s">
        <v>1077</v>
      </c>
      <c r="J5345">
        <v>8.23</v>
      </c>
    </row>
    <row r="5346" spans="1:10" hidden="1">
      <c r="A5346" t="s">
        <v>3663</v>
      </c>
      <c r="B5346" s="170" t="s">
        <v>3664</v>
      </c>
      <c r="C5346" t="s">
        <v>235</v>
      </c>
      <c r="D5346" t="s">
        <v>3640</v>
      </c>
      <c r="E5346" t="s">
        <v>556</v>
      </c>
      <c r="F5346" t="s">
        <v>1068</v>
      </c>
      <c r="G5346" t="s">
        <v>1078</v>
      </c>
      <c r="H5346">
        <v>2.60407280443203E-2</v>
      </c>
      <c r="I5346" t="s">
        <v>1079</v>
      </c>
      <c r="J5346">
        <v>8.23</v>
      </c>
    </row>
    <row r="5347" spans="1:10" hidden="1">
      <c r="A5347" t="s">
        <v>3663</v>
      </c>
      <c r="B5347" s="170" t="s">
        <v>3664</v>
      </c>
      <c r="C5347" t="s">
        <v>235</v>
      </c>
      <c r="D5347" t="s">
        <v>3640</v>
      </c>
      <c r="E5347" t="s">
        <v>556</v>
      </c>
      <c r="F5347" t="s">
        <v>1068</v>
      </c>
      <c r="G5347" t="s">
        <v>1080</v>
      </c>
      <c r="H5347" s="171" t="s">
        <v>3667</v>
      </c>
      <c r="I5347" t="s">
        <v>1082</v>
      </c>
      <c r="J5347">
        <v>8.23</v>
      </c>
    </row>
    <row r="5348" spans="1:10" hidden="1">
      <c r="A5348" t="s">
        <v>3663</v>
      </c>
      <c r="B5348" s="170" t="s">
        <v>3664</v>
      </c>
      <c r="C5348" t="s">
        <v>235</v>
      </c>
      <c r="D5348" t="s">
        <v>3640</v>
      </c>
      <c r="E5348" t="s">
        <v>556</v>
      </c>
      <c r="F5348" t="s">
        <v>1068</v>
      </c>
      <c r="G5348" t="s">
        <v>1083</v>
      </c>
      <c r="H5348" s="171" t="s">
        <v>3668</v>
      </c>
      <c r="I5348" t="s">
        <v>1084</v>
      </c>
      <c r="J5348">
        <v>8.23</v>
      </c>
    </row>
    <row r="5349" spans="1:10" hidden="1">
      <c r="A5349" t="s">
        <v>3663</v>
      </c>
      <c r="B5349" s="170" t="s">
        <v>3664</v>
      </c>
      <c r="C5349" t="s">
        <v>235</v>
      </c>
      <c r="D5349" t="s">
        <v>3640</v>
      </c>
      <c r="E5349" t="s">
        <v>556</v>
      </c>
      <c r="F5349" t="s">
        <v>1068</v>
      </c>
      <c r="G5349" t="s">
        <v>1085</v>
      </c>
      <c r="H5349" s="171" t="s">
        <v>3669</v>
      </c>
      <c r="I5349" t="s">
        <v>1086</v>
      </c>
      <c r="J5349">
        <v>8.23</v>
      </c>
    </row>
    <row r="5350" spans="1:10" hidden="1">
      <c r="A5350" t="s">
        <v>3663</v>
      </c>
      <c r="B5350" s="170" t="s">
        <v>3664</v>
      </c>
      <c r="C5350" t="s">
        <v>235</v>
      </c>
      <c r="D5350" t="s">
        <v>3640</v>
      </c>
      <c r="E5350" t="s">
        <v>556</v>
      </c>
      <c r="F5350" t="s">
        <v>1068</v>
      </c>
      <c r="G5350" t="s">
        <v>1087</v>
      </c>
      <c r="H5350" s="171" t="s">
        <v>3670</v>
      </c>
      <c r="I5350" t="s">
        <v>1088</v>
      </c>
      <c r="J5350">
        <v>8.23</v>
      </c>
    </row>
    <row r="5351" spans="1:10" hidden="1">
      <c r="A5351" t="s">
        <v>3663</v>
      </c>
      <c r="B5351" s="170" t="s">
        <v>3664</v>
      </c>
      <c r="C5351" t="s">
        <v>235</v>
      </c>
      <c r="D5351" t="s">
        <v>3640</v>
      </c>
      <c r="E5351" t="s">
        <v>556</v>
      </c>
      <c r="F5351" t="s">
        <v>1068</v>
      </c>
      <c r="G5351" t="s">
        <v>1089</v>
      </c>
      <c r="H5351" s="171" t="s">
        <v>3671</v>
      </c>
      <c r="I5351" t="s">
        <v>1090</v>
      </c>
      <c r="J5351">
        <v>8.23</v>
      </c>
    </row>
    <row r="5352" spans="1:10" hidden="1">
      <c r="A5352" t="s">
        <v>3672</v>
      </c>
      <c r="B5352" t="s">
        <v>3673</v>
      </c>
      <c r="C5352" t="s">
        <v>235</v>
      </c>
      <c r="D5352" t="s">
        <v>3640</v>
      </c>
      <c r="E5352" t="s">
        <v>557</v>
      </c>
      <c r="F5352" t="s">
        <v>1068</v>
      </c>
      <c r="G5352" t="s">
        <v>1069</v>
      </c>
      <c r="H5352">
        <v>7.1899587437138202E-2</v>
      </c>
      <c r="I5352" t="s">
        <v>1070</v>
      </c>
      <c r="J5352">
        <v>8.35</v>
      </c>
    </row>
    <row r="5353" spans="1:10" hidden="1">
      <c r="A5353" t="s">
        <v>3672</v>
      </c>
      <c r="B5353" t="s">
        <v>3673</v>
      </c>
      <c r="C5353" t="s">
        <v>235</v>
      </c>
      <c r="D5353" t="s">
        <v>3640</v>
      </c>
      <c r="E5353" t="s">
        <v>557</v>
      </c>
      <c r="F5353" t="s">
        <v>1068</v>
      </c>
      <c r="G5353" t="s">
        <v>1071</v>
      </c>
      <c r="H5353" s="171" t="s">
        <v>3674</v>
      </c>
      <c r="I5353" t="s">
        <v>1072</v>
      </c>
      <c r="J5353">
        <v>8.35</v>
      </c>
    </row>
    <row r="5354" spans="1:10" hidden="1">
      <c r="A5354" t="s">
        <v>3672</v>
      </c>
      <c r="B5354" t="s">
        <v>3673</v>
      </c>
      <c r="C5354" t="s">
        <v>235</v>
      </c>
      <c r="D5354" t="s">
        <v>3640</v>
      </c>
      <c r="E5354" t="s">
        <v>557</v>
      </c>
      <c r="F5354" t="s">
        <v>1068</v>
      </c>
      <c r="G5354" t="s">
        <v>1073</v>
      </c>
      <c r="H5354" s="171" t="s">
        <v>3113</v>
      </c>
      <c r="I5354" t="s">
        <v>1074</v>
      </c>
      <c r="J5354">
        <v>8.35</v>
      </c>
    </row>
    <row r="5355" spans="1:10" hidden="1">
      <c r="A5355" t="s">
        <v>3672</v>
      </c>
      <c r="B5355" t="s">
        <v>3673</v>
      </c>
      <c r="C5355" t="s">
        <v>235</v>
      </c>
      <c r="D5355" t="s">
        <v>3640</v>
      </c>
      <c r="E5355" t="s">
        <v>557</v>
      </c>
      <c r="F5355" t="s">
        <v>1068</v>
      </c>
      <c r="G5355" t="s">
        <v>1075</v>
      </c>
      <c r="H5355">
        <v>3.4709308923895799E-3</v>
      </c>
      <c r="I5355" t="s">
        <v>1077</v>
      </c>
      <c r="J5355">
        <v>8.35</v>
      </c>
    </row>
    <row r="5356" spans="1:10" hidden="1">
      <c r="A5356" t="s">
        <v>3672</v>
      </c>
      <c r="B5356" t="s">
        <v>3673</v>
      </c>
      <c r="C5356" t="s">
        <v>235</v>
      </c>
      <c r="D5356" t="s">
        <v>3640</v>
      </c>
      <c r="E5356" t="s">
        <v>557</v>
      </c>
      <c r="F5356" t="s">
        <v>1068</v>
      </c>
      <c r="G5356" t="s">
        <v>1078</v>
      </c>
      <c r="H5356" s="171" t="s">
        <v>3114</v>
      </c>
      <c r="I5356" t="s">
        <v>1079</v>
      </c>
      <c r="J5356">
        <v>8.35</v>
      </c>
    </row>
    <row r="5357" spans="1:10" hidden="1">
      <c r="A5357" t="s">
        <v>3672</v>
      </c>
      <c r="B5357" t="s">
        <v>3673</v>
      </c>
      <c r="C5357" t="s">
        <v>235</v>
      </c>
      <c r="D5357" t="s">
        <v>3640</v>
      </c>
      <c r="E5357" t="s">
        <v>557</v>
      </c>
      <c r="F5357" t="s">
        <v>1068</v>
      </c>
      <c r="G5357" t="s">
        <v>1080</v>
      </c>
      <c r="H5357" s="171" t="s">
        <v>3115</v>
      </c>
      <c r="I5357" t="s">
        <v>1082</v>
      </c>
      <c r="J5357">
        <v>8.35</v>
      </c>
    </row>
    <row r="5358" spans="1:10" hidden="1">
      <c r="A5358" t="s">
        <v>3672</v>
      </c>
      <c r="B5358" t="s">
        <v>3673</v>
      </c>
      <c r="C5358" t="s">
        <v>235</v>
      </c>
      <c r="D5358" t="s">
        <v>3640</v>
      </c>
      <c r="E5358" t="s">
        <v>557</v>
      </c>
      <c r="F5358" t="s">
        <v>1068</v>
      </c>
      <c r="G5358" t="s">
        <v>1083</v>
      </c>
      <c r="H5358" s="171" t="s">
        <v>3116</v>
      </c>
      <c r="I5358" t="s">
        <v>1084</v>
      </c>
      <c r="J5358">
        <v>8.35</v>
      </c>
    </row>
    <row r="5359" spans="1:10" hidden="1">
      <c r="A5359" t="s">
        <v>3672</v>
      </c>
      <c r="B5359" t="s">
        <v>3673</v>
      </c>
      <c r="C5359" t="s">
        <v>235</v>
      </c>
      <c r="D5359" t="s">
        <v>3640</v>
      </c>
      <c r="E5359" t="s">
        <v>557</v>
      </c>
      <c r="F5359" t="s">
        <v>1068</v>
      </c>
      <c r="G5359" t="s">
        <v>1085</v>
      </c>
      <c r="H5359" s="171" t="s">
        <v>3675</v>
      </c>
      <c r="I5359" t="s">
        <v>1086</v>
      </c>
      <c r="J5359">
        <v>8.35</v>
      </c>
    </row>
    <row r="5360" spans="1:10" hidden="1">
      <c r="A5360" t="s">
        <v>3672</v>
      </c>
      <c r="B5360" t="s">
        <v>3673</v>
      </c>
      <c r="C5360" t="s">
        <v>235</v>
      </c>
      <c r="D5360" t="s">
        <v>3640</v>
      </c>
      <c r="E5360" t="s">
        <v>557</v>
      </c>
      <c r="F5360" t="s">
        <v>1068</v>
      </c>
      <c r="G5360" t="s">
        <v>1087</v>
      </c>
      <c r="H5360" s="171" t="s">
        <v>3676</v>
      </c>
      <c r="I5360" t="s">
        <v>1088</v>
      </c>
      <c r="J5360">
        <v>8.35</v>
      </c>
    </row>
    <row r="5361" spans="1:10" hidden="1">
      <c r="A5361" t="s">
        <v>3672</v>
      </c>
      <c r="B5361" t="s">
        <v>3673</v>
      </c>
      <c r="C5361" t="s">
        <v>235</v>
      </c>
      <c r="D5361" t="s">
        <v>3640</v>
      </c>
      <c r="E5361" t="s">
        <v>557</v>
      </c>
      <c r="F5361" t="s">
        <v>1068</v>
      </c>
      <c r="G5361" t="s">
        <v>1089</v>
      </c>
      <c r="H5361" s="171" t="s">
        <v>3119</v>
      </c>
      <c r="I5361" t="s">
        <v>1090</v>
      </c>
      <c r="J5361">
        <v>8.35</v>
      </c>
    </row>
    <row r="5362" spans="1:10" hidden="1">
      <c r="A5362" t="s">
        <v>3677</v>
      </c>
      <c r="B5362" s="170" t="s">
        <v>3678</v>
      </c>
      <c r="C5362" t="s">
        <v>235</v>
      </c>
      <c r="D5362" t="s">
        <v>3640</v>
      </c>
      <c r="E5362" t="s">
        <v>559</v>
      </c>
      <c r="F5362" t="s">
        <v>1068</v>
      </c>
      <c r="G5362" t="s">
        <v>1069</v>
      </c>
      <c r="H5362">
        <v>7.1929017761066902E-2</v>
      </c>
      <c r="I5362" t="s">
        <v>1070</v>
      </c>
      <c r="J5362">
        <v>9.27</v>
      </c>
    </row>
    <row r="5363" spans="1:10" hidden="1">
      <c r="A5363" t="s">
        <v>3677</v>
      </c>
      <c r="B5363" s="170" t="s">
        <v>3678</v>
      </c>
      <c r="C5363" t="s">
        <v>235</v>
      </c>
      <c r="D5363" t="s">
        <v>3640</v>
      </c>
      <c r="E5363" t="s">
        <v>559</v>
      </c>
      <c r="F5363" t="s">
        <v>1068</v>
      </c>
      <c r="G5363" t="s">
        <v>1071</v>
      </c>
      <c r="H5363" s="171" t="s">
        <v>3122</v>
      </c>
      <c r="I5363" t="s">
        <v>1072</v>
      </c>
      <c r="J5363">
        <v>9.27</v>
      </c>
    </row>
    <row r="5364" spans="1:10" hidden="1">
      <c r="A5364" t="s">
        <v>3677</v>
      </c>
      <c r="B5364" s="170" t="s">
        <v>3678</v>
      </c>
      <c r="C5364" t="s">
        <v>235</v>
      </c>
      <c r="D5364" t="s">
        <v>3640</v>
      </c>
      <c r="E5364" t="s">
        <v>559</v>
      </c>
      <c r="F5364" t="s">
        <v>1068</v>
      </c>
      <c r="G5364" t="s">
        <v>1073</v>
      </c>
      <c r="H5364" s="171" t="s">
        <v>3123</v>
      </c>
      <c r="I5364" t="s">
        <v>1074</v>
      </c>
      <c r="J5364">
        <v>9.27</v>
      </c>
    </row>
    <row r="5365" spans="1:10" hidden="1">
      <c r="A5365" t="s">
        <v>3677</v>
      </c>
      <c r="B5365" s="170" t="s">
        <v>3678</v>
      </c>
      <c r="C5365" t="s">
        <v>235</v>
      </c>
      <c r="D5365" t="s">
        <v>3640</v>
      </c>
      <c r="E5365" t="s">
        <v>559</v>
      </c>
      <c r="F5365" t="s">
        <v>1068</v>
      </c>
      <c r="G5365" t="s">
        <v>1075</v>
      </c>
      <c r="H5365">
        <v>3.4710889859223201E-3</v>
      </c>
      <c r="I5365" t="s">
        <v>1077</v>
      </c>
      <c r="J5365">
        <v>9.27</v>
      </c>
    </row>
    <row r="5366" spans="1:10" hidden="1">
      <c r="A5366" t="s">
        <v>3677</v>
      </c>
      <c r="B5366" s="170" t="s">
        <v>3678</v>
      </c>
      <c r="C5366" t="s">
        <v>235</v>
      </c>
      <c r="D5366" t="s">
        <v>3640</v>
      </c>
      <c r="E5366" t="s">
        <v>559</v>
      </c>
      <c r="F5366" t="s">
        <v>1068</v>
      </c>
      <c r="G5366" t="s">
        <v>1078</v>
      </c>
      <c r="H5366" s="171" t="s">
        <v>3679</v>
      </c>
      <c r="I5366" t="s">
        <v>1079</v>
      </c>
      <c r="J5366">
        <v>9.27</v>
      </c>
    </row>
    <row r="5367" spans="1:10" hidden="1">
      <c r="A5367" t="s">
        <v>3677</v>
      </c>
      <c r="B5367" s="170" t="s">
        <v>3678</v>
      </c>
      <c r="C5367" t="s">
        <v>235</v>
      </c>
      <c r="D5367" t="s">
        <v>3640</v>
      </c>
      <c r="E5367" t="s">
        <v>559</v>
      </c>
      <c r="F5367" t="s">
        <v>1068</v>
      </c>
      <c r="G5367" t="s">
        <v>1080</v>
      </c>
      <c r="H5367" s="171" t="s">
        <v>3191</v>
      </c>
      <c r="I5367" t="s">
        <v>1082</v>
      </c>
      <c r="J5367">
        <v>9.27</v>
      </c>
    </row>
    <row r="5368" spans="1:10" hidden="1">
      <c r="A5368" t="s">
        <v>3677</v>
      </c>
      <c r="B5368" s="170" t="s">
        <v>3678</v>
      </c>
      <c r="C5368" t="s">
        <v>235</v>
      </c>
      <c r="D5368" t="s">
        <v>3640</v>
      </c>
      <c r="E5368" t="s">
        <v>559</v>
      </c>
      <c r="F5368" t="s">
        <v>1068</v>
      </c>
      <c r="G5368" t="s">
        <v>1083</v>
      </c>
      <c r="H5368" s="171" t="s">
        <v>3192</v>
      </c>
      <c r="I5368" t="s">
        <v>1084</v>
      </c>
      <c r="J5368">
        <v>9.27</v>
      </c>
    </row>
    <row r="5369" spans="1:10" hidden="1">
      <c r="A5369" t="s">
        <v>3677</v>
      </c>
      <c r="B5369" s="170" t="s">
        <v>3678</v>
      </c>
      <c r="C5369" t="s">
        <v>235</v>
      </c>
      <c r="D5369" t="s">
        <v>3640</v>
      </c>
      <c r="E5369" t="s">
        <v>559</v>
      </c>
      <c r="F5369" t="s">
        <v>1068</v>
      </c>
      <c r="G5369" t="s">
        <v>1085</v>
      </c>
      <c r="H5369" s="171" t="s">
        <v>3126</v>
      </c>
      <c r="I5369" t="s">
        <v>1086</v>
      </c>
      <c r="J5369">
        <v>9.27</v>
      </c>
    </row>
    <row r="5370" spans="1:10" hidden="1">
      <c r="A5370" t="s">
        <v>3677</v>
      </c>
      <c r="B5370" s="170" t="s">
        <v>3678</v>
      </c>
      <c r="C5370" t="s">
        <v>235</v>
      </c>
      <c r="D5370" t="s">
        <v>3640</v>
      </c>
      <c r="E5370" t="s">
        <v>559</v>
      </c>
      <c r="F5370" t="s">
        <v>1068</v>
      </c>
      <c r="G5370" t="s">
        <v>1087</v>
      </c>
      <c r="H5370" s="171" t="s">
        <v>3680</v>
      </c>
      <c r="I5370" t="s">
        <v>1088</v>
      </c>
      <c r="J5370">
        <v>9.27</v>
      </c>
    </row>
    <row r="5371" spans="1:10" hidden="1">
      <c r="A5371" t="s">
        <v>3677</v>
      </c>
      <c r="B5371" s="170" t="s">
        <v>3678</v>
      </c>
      <c r="C5371" t="s">
        <v>235</v>
      </c>
      <c r="D5371" t="s">
        <v>3640</v>
      </c>
      <c r="E5371" t="s">
        <v>559</v>
      </c>
      <c r="F5371" t="s">
        <v>1068</v>
      </c>
      <c r="G5371" t="s">
        <v>1089</v>
      </c>
      <c r="H5371" s="171" t="s">
        <v>3128</v>
      </c>
      <c r="I5371" t="s">
        <v>1090</v>
      </c>
      <c r="J5371">
        <v>9.27</v>
      </c>
    </row>
    <row r="5372" spans="1:10" hidden="1">
      <c r="A5372" t="s">
        <v>3681</v>
      </c>
      <c r="B5372" t="s">
        <v>3682</v>
      </c>
      <c r="C5372" t="s">
        <v>235</v>
      </c>
      <c r="D5372" t="s">
        <v>3640</v>
      </c>
      <c r="E5372" t="s">
        <v>560</v>
      </c>
      <c r="F5372" t="s">
        <v>1068</v>
      </c>
      <c r="G5372" t="s">
        <v>1069</v>
      </c>
      <c r="H5372">
        <v>7.1902364794235202E-2</v>
      </c>
      <c r="I5372" t="s">
        <v>1070</v>
      </c>
      <c r="J5372">
        <v>7.66</v>
      </c>
    </row>
    <row r="5373" spans="1:10" hidden="1">
      <c r="A5373" t="s">
        <v>3681</v>
      </c>
      <c r="B5373" t="s">
        <v>3682</v>
      </c>
      <c r="C5373" t="s">
        <v>235</v>
      </c>
      <c r="D5373" t="s">
        <v>3640</v>
      </c>
      <c r="E5373" t="s">
        <v>560</v>
      </c>
      <c r="F5373" t="s">
        <v>1068</v>
      </c>
      <c r="G5373" t="s">
        <v>1071</v>
      </c>
      <c r="H5373" s="171" t="s">
        <v>3683</v>
      </c>
      <c r="I5373" t="s">
        <v>1072</v>
      </c>
      <c r="J5373">
        <v>7.66</v>
      </c>
    </row>
    <row r="5374" spans="1:10" hidden="1">
      <c r="A5374" t="s">
        <v>3681</v>
      </c>
      <c r="B5374" t="s">
        <v>3682</v>
      </c>
      <c r="C5374" t="s">
        <v>235</v>
      </c>
      <c r="D5374" t="s">
        <v>3640</v>
      </c>
      <c r="E5374" t="s">
        <v>560</v>
      </c>
      <c r="F5374" t="s">
        <v>1068</v>
      </c>
      <c r="G5374" t="s">
        <v>1073</v>
      </c>
      <c r="H5374" s="171" t="s">
        <v>3684</v>
      </c>
      <c r="I5374" t="s">
        <v>1074</v>
      </c>
      <c r="J5374">
        <v>7.66</v>
      </c>
    </row>
    <row r="5375" spans="1:10" hidden="1">
      <c r="A5375" t="s">
        <v>3681</v>
      </c>
      <c r="B5375" t="s">
        <v>3682</v>
      </c>
      <c r="C5375" t="s">
        <v>235</v>
      </c>
      <c r="D5375" t="s">
        <v>3640</v>
      </c>
      <c r="E5375" t="s">
        <v>560</v>
      </c>
      <c r="F5375" t="s">
        <v>1068</v>
      </c>
      <c r="G5375" t="s">
        <v>1075</v>
      </c>
      <c r="H5375">
        <v>3.4710186876143901E-3</v>
      </c>
      <c r="I5375" t="s">
        <v>1077</v>
      </c>
      <c r="J5375">
        <v>7.66</v>
      </c>
    </row>
    <row r="5376" spans="1:10" hidden="1">
      <c r="A5376" t="s">
        <v>3681</v>
      </c>
      <c r="B5376" t="s">
        <v>3682</v>
      </c>
      <c r="C5376" t="s">
        <v>235</v>
      </c>
      <c r="D5376" t="s">
        <v>3640</v>
      </c>
      <c r="E5376" t="s">
        <v>560</v>
      </c>
      <c r="F5376" t="s">
        <v>1068</v>
      </c>
      <c r="G5376" t="s">
        <v>1078</v>
      </c>
      <c r="H5376" s="171" t="s">
        <v>3685</v>
      </c>
      <c r="I5376" t="s">
        <v>1079</v>
      </c>
      <c r="J5376">
        <v>7.66</v>
      </c>
    </row>
    <row r="5377" spans="1:10" hidden="1">
      <c r="A5377" t="s">
        <v>3681</v>
      </c>
      <c r="B5377" t="s">
        <v>3682</v>
      </c>
      <c r="C5377" t="s">
        <v>235</v>
      </c>
      <c r="D5377" t="s">
        <v>3640</v>
      </c>
      <c r="E5377" t="s">
        <v>560</v>
      </c>
      <c r="F5377" t="s">
        <v>1068</v>
      </c>
      <c r="G5377" t="s">
        <v>1080</v>
      </c>
      <c r="H5377" s="171" t="s">
        <v>3134</v>
      </c>
      <c r="I5377" t="s">
        <v>1082</v>
      </c>
      <c r="J5377">
        <v>7.66</v>
      </c>
    </row>
    <row r="5378" spans="1:10" hidden="1">
      <c r="A5378" t="s">
        <v>3681</v>
      </c>
      <c r="B5378" t="s">
        <v>3682</v>
      </c>
      <c r="C5378" t="s">
        <v>235</v>
      </c>
      <c r="D5378" t="s">
        <v>3640</v>
      </c>
      <c r="E5378" t="s">
        <v>560</v>
      </c>
      <c r="F5378" t="s">
        <v>1068</v>
      </c>
      <c r="G5378" t="s">
        <v>1083</v>
      </c>
      <c r="H5378" s="171" t="s">
        <v>3686</v>
      </c>
      <c r="I5378" t="s">
        <v>1084</v>
      </c>
      <c r="J5378">
        <v>7.66</v>
      </c>
    </row>
    <row r="5379" spans="1:10" hidden="1">
      <c r="A5379" t="s">
        <v>3681</v>
      </c>
      <c r="B5379" t="s">
        <v>3682</v>
      </c>
      <c r="C5379" t="s">
        <v>235</v>
      </c>
      <c r="D5379" t="s">
        <v>3640</v>
      </c>
      <c r="E5379" t="s">
        <v>560</v>
      </c>
      <c r="F5379" t="s">
        <v>1068</v>
      </c>
      <c r="G5379" t="s">
        <v>1085</v>
      </c>
      <c r="H5379" s="171" t="s">
        <v>3687</v>
      </c>
      <c r="I5379" t="s">
        <v>1086</v>
      </c>
      <c r="J5379">
        <v>7.66</v>
      </c>
    </row>
    <row r="5380" spans="1:10" hidden="1">
      <c r="A5380" t="s">
        <v>3681</v>
      </c>
      <c r="B5380" t="s">
        <v>3682</v>
      </c>
      <c r="C5380" t="s">
        <v>235</v>
      </c>
      <c r="D5380" t="s">
        <v>3640</v>
      </c>
      <c r="E5380" t="s">
        <v>560</v>
      </c>
      <c r="F5380" t="s">
        <v>1068</v>
      </c>
      <c r="G5380" t="s">
        <v>1087</v>
      </c>
      <c r="H5380" s="171" t="s">
        <v>3688</v>
      </c>
      <c r="I5380" t="s">
        <v>1088</v>
      </c>
      <c r="J5380">
        <v>7.66</v>
      </c>
    </row>
    <row r="5381" spans="1:10" hidden="1">
      <c r="A5381" t="s">
        <v>3681</v>
      </c>
      <c r="B5381" t="s">
        <v>3682</v>
      </c>
      <c r="C5381" t="s">
        <v>235</v>
      </c>
      <c r="D5381" t="s">
        <v>3640</v>
      </c>
      <c r="E5381" t="s">
        <v>560</v>
      </c>
      <c r="F5381" t="s">
        <v>1068</v>
      </c>
      <c r="G5381" t="s">
        <v>1089</v>
      </c>
      <c r="H5381" s="171" t="s">
        <v>3689</v>
      </c>
      <c r="I5381" t="s">
        <v>1090</v>
      </c>
      <c r="J5381">
        <v>7.66</v>
      </c>
    </row>
    <row r="5382" spans="1:10" hidden="1">
      <c r="A5382" t="s">
        <v>3690</v>
      </c>
      <c r="B5382" t="s">
        <v>3691</v>
      </c>
      <c r="C5382" t="s">
        <v>235</v>
      </c>
      <c r="D5382" t="s">
        <v>3640</v>
      </c>
      <c r="E5382" t="s">
        <v>1116</v>
      </c>
      <c r="F5382" t="s">
        <v>1068</v>
      </c>
      <c r="G5382" t="s">
        <v>1069</v>
      </c>
      <c r="H5382">
        <v>7.1893935236140002E-2</v>
      </c>
      <c r="I5382" t="s">
        <v>1070</v>
      </c>
      <c r="J5382">
        <v>7.91</v>
      </c>
    </row>
    <row r="5383" spans="1:10" hidden="1">
      <c r="A5383" t="s">
        <v>3690</v>
      </c>
      <c r="B5383" t="s">
        <v>3691</v>
      </c>
      <c r="C5383" t="s">
        <v>235</v>
      </c>
      <c r="D5383" t="s">
        <v>3640</v>
      </c>
      <c r="E5383" t="s">
        <v>1116</v>
      </c>
      <c r="F5383" t="s">
        <v>1068</v>
      </c>
      <c r="G5383" t="s">
        <v>1071</v>
      </c>
      <c r="H5383" s="171" t="s">
        <v>3692</v>
      </c>
      <c r="I5383" t="s">
        <v>1072</v>
      </c>
      <c r="J5383">
        <v>7.91</v>
      </c>
    </row>
    <row r="5384" spans="1:10" hidden="1">
      <c r="A5384" t="s">
        <v>3690</v>
      </c>
      <c r="B5384" t="s">
        <v>3691</v>
      </c>
      <c r="C5384" t="s">
        <v>235</v>
      </c>
      <c r="D5384" t="s">
        <v>3640</v>
      </c>
      <c r="E5384" t="s">
        <v>1116</v>
      </c>
      <c r="F5384" t="s">
        <v>1068</v>
      </c>
      <c r="G5384" t="s">
        <v>1073</v>
      </c>
      <c r="H5384" s="171" t="s">
        <v>3693</v>
      </c>
      <c r="I5384" t="s">
        <v>1074</v>
      </c>
      <c r="J5384">
        <v>7.91</v>
      </c>
    </row>
    <row r="5385" spans="1:10" hidden="1">
      <c r="A5385" t="s">
        <v>3690</v>
      </c>
      <c r="B5385" t="s">
        <v>3691</v>
      </c>
      <c r="C5385" t="s">
        <v>235</v>
      </c>
      <c r="D5385" t="s">
        <v>3640</v>
      </c>
      <c r="E5385" t="s">
        <v>1116</v>
      </c>
      <c r="F5385" t="s">
        <v>1068</v>
      </c>
      <c r="G5385" t="s">
        <v>1075</v>
      </c>
      <c r="H5385">
        <v>3.4707522202779501E-3</v>
      </c>
      <c r="I5385" t="s">
        <v>1077</v>
      </c>
      <c r="J5385">
        <v>7.91</v>
      </c>
    </row>
    <row r="5386" spans="1:10" hidden="1">
      <c r="A5386" t="s">
        <v>3690</v>
      </c>
      <c r="B5386" t="s">
        <v>3691</v>
      </c>
      <c r="C5386" t="s">
        <v>235</v>
      </c>
      <c r="D5386" t="s">
        <v>3640</v>
      </c>
      <c r="E5386" t="s">
        <v>1116</v>
      </c>
      <c r="F5386" t="s">
        <v>1068</v>
      </c>
      <c r="G5386" t="s">
        <v>1078</v>
      </c>
      <c r="H5386">
        <v>2.6019971068835999E-2</v>
      </c>
      <c r="I5386" t="s">
        <v>1079</v>
      </c>
      <c r="J5386">
        <v>7.91</v>
      </c>
    </row>
    <row r="5387" spans="1:10" hidden="1">
      <c r="A5387" t="s">
        <v>3690</v>
      </c>
      <c r="B5387" t="s">
        <v>3691</v>
      </c>
      <c r="C5387" t="s">
        <v>235</v>
      </c>
      <c r="D5387" t="s">
        <v>3640</v>
      </c>
      <c r="E5387" t="s">
        <v>1116</v>
      </c>
      <c r="F5387" t="s">
        <v>1068</v>
      </c>
      <c r="G5387" t="s">
        <v>1080</v>
      </c>
      <c r="H5387" s="171" t="s">
        <v>3694</v>
      </c>
      <c r="I5387" t="s">
        <v>1082</v>
      </c>
      <c r="J5387">
        <v>7.91</v>
      </c>
    </row>
    <row r="5388" spans="1:10" hidden="1">
      <c r="A5388" t="s">
        <v>3690</v>
      </c>
      <c r="B5388" t="s">
        <v>3691</v>
      </c>
      <c r="C5388" t="s">
        <v>235</v>
      </c>
      <c r="D5388" t="s">
        <v>3640</v>
      </c>
      <c r="E5388" t="s">
        <v>1116</v>
      </c>
      <c r="F5388" t="s">
        <v>1068</v>
      </c>
      <c r="G5388" t="s">
        <v>1083</v>
      </c>
      <c r="H5388" s="171" t="s">
        <v>3695</v>
      </c>
      <c r="I5388" t="s">
        <v>1084</v>
      </c>
      <c r="J5388">
        <v>7.91</v>
      </c>
    </row>
    <row r="5389" spans="1:10" hidden="1">
      <c r="A5389" t="s">
        <v>3690</v>
      </c>
      <c r="B5389" t="s">
        <v>3691</v>
      </c>
      <c r="C5389" t="s">
        <v>235</v>
      </c>
      <c r="D5389" t="s">
        <v>3640</v>
      </c>
      <c r="E5389" t="s">
        <v>1116</v>
      </c>
      <c r="F5389" t="s">
        <v>1068</v>
      </c>
      <c r="G5389" t="s">
        <v>1085</v>
      </c>
      <c r="H5389" s="171" t="s">
        <v>3696</v>
      </c>
      <c r="I5389" t="s">
        <v>1086</v>
      </c>
      <c r="J5389">
        <v>7.91</v>
      </c>
    </row>
    <row r="5390" spans="1:10" hidden="1">
      <c r="A5390" t="s">
        <v>3690</v>
      </c>
      <c r="B5390" t="s">
        <v>3691</v>
      </c>
      <c r="C5390" t="s">
        <v>235</v>
      </c>
      <c r="D5390" t="s">
        <v>3640</v>
      </c>
      <c r="E5390" t="s">
        <v>1116</v>
      </c>
      <c r="F5390" t="s">
        <v>1068</v>
      </c>
      <c r="G5390" t="s">
        <v>1087</v>
      </c>
      <c r="H5390" s="171" t="s">
        <v>3147</v>
      </c>
      <c r="I5390" t="s">
        <v>1088</v>
      </c>
      <c r="J5390">
        <v>7.91</v>
      </c>
    </row>
    <row r="5391" spans="1:10" hidden="1">
      <c r="A5391" t="s">
        <v>3690</v>
      </c>
      <c r="B5391" t="s">
        <v>3691</v>
      </c>
      <c r="C5391" t="s">
        <v>235</v>
      </c>
      <c r="D5391" t="s">
        <v>3640</v>
      </c>
      <c r="E5391" t="s">
        <v>1116</v>
      </c>
      <c r="F5391" t="s">
        <v>1068</v>
      </c>
      <c r="G5391" t="s">
        <v>1089</v>
      </c>
      <c r="H5391" s="171" t="s">
        <v>3148</v>
      </c>
      <c r="I5391" t="s">
        <v>1090</v>
      </c>
      <c r="J5391">
        <v>7.91</v>
      </c>
    </row>
    <row r="5392" spans="1:10" hidden="1">
      <c r="A5392" t="s">
        <v>3697</v>
      </c>
      <c r="B5392" t="s">
        <v>3698</v>
      </c>
      <c r="C5392" t="s">
        <v>235</v>
      </c>
      <c r="D5392" t="s">
        <v>1396</v>
      </c>
      <c r="E5392" t="s">
        <v>561</v>
      </c>
      <c r="F5392" t="s">
        <v>1068</v>
      </c>
      <c r="G5392" t="s">
        <v>1069</v>
      </c>
      <c r="H5392">
        <v>-0.15498857982143299</v>
      </c>
      <c r="I5392" t="s">
        <v>1070</v>
      </c>
      <c r="J5392">
        <v>7.27</v>
      </c>
    </row>
    <row r="5393" spans="1:10" hidden="1">
      <c r="A5393" t="s">
        <v>3697</v>
      </c>
      <c r="B5393" t="s">
        <v>3698</v>
      </c>
      <c r="C5393" t="s">
        <v>235</v>
      </c>
      <c r="D5393" t="s">
        <v>1396</v>
      </c>
      <c r="E5393" t="s">
        <v>561</v>
      </c>
      <c r="F5393" t="s">
        <v>1068</v>
      </c>
      <c r="G5393" t="s">
        <v>1071</v>
      </c>
      <c r="H5393" s="170">
        <v>-2.8543730970457302E-10</v>
      </c>
      <c r="I5393" t="s">
        <v>1072</v>
      </c>
      <c r="J5393">
        <v>7.27</v>
      </c>
    </row>
    <row r="5394" spans="1:10" hidden="1">
      <c r="A5394" t="s">
        <v>3697</v>
      </c>
      <c r="B5394" t="s">
        <v>3698</v>
      </c>
      <c r="C5394" t="s">
        <v>235</v>
      </c>
      <c r="D5394" t="s">
        <v>1396</v>
      </c>
      <c r="E5394" t="s">
        <v>561</v>
      </c>
      <c r="F5394" t="s">
        <v>1068</v>
      </c>
      <c r="G5394" t="s">
        <v>1073</v>
      </c>
      <c r="H5394" s="170">
        <v>-5.2080960291774603E-8</v>
      </c>
      <c r="I5394" t="s">
        <v>1074</v>
      </c>
      <c r="J5394">
        <v>7.27</v>
      </c>
    </row>
    <row r="5395" spans="1:10" hidden="1">
      <c r="A5395" t="s">
        <v>3697</v>
      </c>
      <c r="B5395" t="s">
        <v>3698</v>
      </c>
      <c r="C5395" t="s">
        <v>235</v>
      </c>
      <c r="D5395" t="s">
        <v>1396</v>
      </c>
      <c r="E5395" t="s">
        <v>561</v>
      </c>
      <c r="F5395" t="s">
        <v>1068</v>
      </c>
      <c r="G5395" t="s">
        <v>1075</v>
      </c>
      <c r="H5395">
        <v>-1.26047765377721E-3</v>
      </c>
      <c r="I5395" t="s">
        <v>1077</v>
      </c>
      <c r="J5395">
        <v>7.27</v>
      </c>
    </row>
    <row r="5396" spans="1:10" hidden="1">
      <c r="A5396" t="s">
        <v>3697</v>
      </c>
      <c r="B5396" t="s">
        <v>3698</v>
      </c>
      <c r="C5396" t="s">
        <v>235</v>
      </c>
      <c r="D5396" t="s">
        <v>1396</v>
      </c>
      <c r="E5396" t="s">
        <v>561</v>
      </c>
      <c r="F5396" t="s">
        <v>1068</v>
      </c>
      <c r="G5396" t="s">
        <v>1078</v>
      </c>
      <c r="H5396">
        <v>-0.30485032701584303</v>
      </c>
      <c r="I5396" t="s">
        <v>1079</v>
      </c>
      <c r="J5396">
        <v>7.27</v>
      </c>
    </row>
    <row r="5397" spans="1:10" hidden="1">
      <c r="A5397" t="s">
        <v>3697</v>
      </c>
      <c r="B5397" t="s">
        <v>3698</v>
      </c>
      <c r="C5397" t="s">
        <v>235</v>
      </c>
      <c r="D5397" t="s">
        <v>1396</v>
      </c>
      <c r="E5397" t="s">
        <v>561</v>
      </c>
      <c r="F5397" t="s">
        <v>1068</v>
      </c>
      <c r="G5397" t="s">
        <v>1080</v>
      </c>
      <c r="H5397" s="171" t="s">
        <v>3699</v>
      </c>
      <c r="I5397" t="s">
        <v>1082</v>
      </c>
      <c r="J5397">
        <v>7.27</v>
      </c>
    </row>
    <row r="5398" spans="1:10" hidden="1">
      <c r="A5398" t="s">
        <v>3697</v>
      </c>
      <c r="B5398" t="s">
        <v>3698</v>
      </c>
      <c r="C5398" t="s">
        <v>235</v>
      </c>
      <c r="D5398" t="s">
        <v>1396</v>
      </c>
      <c r="E5398" t="s">
        <v>561</v>
      </c>
      <c r="F5398" t="s">
        <v>1068</v>
      </c>
      <c r="G5398" t="s">
        <v>1083</v>
      </c>
      <c r="H5398" s="170">
        <v>-3.02847403120804E-5</v>
      </c>
      <c r="I5398" t="s">
        <v>1084</v>
      </c>
      <c r="J5398">
        <v>7.27</v>
      </c>
    </row>
    <row r="5399" spans="1:10" hidden="1">
      <c r="A5399" t="s">
        <v>3697</v>
      </c>
      <c r="B5399" t="s">
        <v>3698</v>
      </c>
      <c r="C5399" t="s">
        <v>235</v>
      </c>
      <c r="D5399" t="s">
        <v>1396</v>
      </c>
      <c r="E5399" t="s">
        <v>561</v>
      </c>
      <c r="F5399" t="s">
        <v>1068</v>
      </c>
      <c r="G5399" t="s">
        <v>1085</v>
      </c>
      <c r="H5399">
        <v>-2.8024757911276102E-4</v>
      </c>
      <c r="I5399" t="s">
        <v>1086</v>
      </c>
      <c r="J5399">
        <v>7.27</v>
      </c>
    </row>
    <row r="5400" spans="1:10" hidden="1">
      <c r="A5400" t="s">
        <v>3697</v>
      </c>
      <c r="B5400" t="s">
        <v>3698</v>
      </c>
      <c r="C5400" t="s">
        <v>235</v>
      </c>
      <c r="D5400" t="s">
        <v>1396</v>
      </c>
      <c r="E5400" t="s">
        <v>561</v>
      </c>
      <c r="F5400" t="s">
        <v>1068</v>
      </c>
      <c r="G5400" t="s">
        <v>1087</v>
      </c>
      <c r="H5400" s="170">
        <v>-1.2697916038443399E-7</v>
      </c>
      <c r="I5400" t="s">
        <v>1088</v>
      </c>
      <c r="J5400">
        <v>7.27</v>
      </c>
    </row>
    <row r="5401" spans="1:10" hidden="1">
      <c r="A5401" t="s">
        <v>3697</v>
      </c>
      <c r="B5401" t="s">
        <v>3698</v>
      </c>
      <c r="C5401" t="s">
        <v>235</v>
      </c>
      <c r="D5401" t="s">
        <v>1396</v>
      </c>
      <c r="E5401" t="s">
        <v>561</v>
      </c>
      <c r="F5401" t="s">
        <v>1068</v>
      </c>
      <c r="G5401" t="s">
        <v>1089</v>
      </c>
      <c r="H5401" s="170">
        <v>-4.7687510724458797E-5</v>
      </c>
      <c r="I5401" t="s">
        <v>1090</v>
      </c>
      <c r="J5401">
        <v>7.27</v>
      </c>
    </row>
    <row r="5402" spans="1:10" hidden="1">
      <c r="A5402" t="s">
        <v>3700</v>
      </c>
      <c r="B5402" t="s">
        <v>3701</v>
      </c>
      <c r="C5402" t="s">
        <v>235</v>
      </c>
      <c r="D5402" t="s">
        <v>1396</v>
      </c>
      <c r="E5402" t="s">
        <v>555</v>
      </c>
      <c r="F5402" t="s">
        <v>1068</v>
      </c>
      <c r="G5402" t="s">
        <v>1069</v>
      </c>
      <c r="H5402">
        <v>-0.181959485245453</v>
      </c>
      <c r="I5402" t="s">
        <v>1070</v>
      </c>
      <c r="J5402">
        <v>15.68</v>
      </c>
    </row>
    <row r="5403" spans="1:10" hidden="1">
      <c r="A5403" t="s">
        <v>3700</v>
      </c>
      <c r="B5403" t="s">
        <v>3701</v>
      </c>
      <c r="C5403" t="s">
        <v>235</v>
      </c>
      <c r="D5403" t="s">
        <v>1396</v>
      </c>
      <c r="E5403" t="s">
        <v>555</v>
      </c>
      <c r="F5403" t="s">
        <v>1068</v>
      </c>
      <c r="G5403" t="s">
        <v>1071</v>
      </c>
      <c r="H5403" s="170">
        <v>-3.2399839011795501E-10</v>
      </c>
      <c r="I5403" t="s">
        <v>1072</v>
      </c>
      <c r="J5403">
        <v>15.68</v>
      </c>
    </row>
    <row r="5404" spans="1:10" hidden="1">
      <c r="A5404" t="s">
        <v>3700</v>
      </c>
      <c r="B5404" t="s">
        <v>3701</v>
      </c>
      <c r="C5404" t="s">
        <v>235</v>
      </c>
      <c r="D5404" t="s">
        <v>1396</v>
      </c>
      <c r="E5404" t="s">
        <v>555</v>
      </c>
      <c r="F5404" t="s">
        <v>1068</v>
      </c>
      <c r="G5404" t="s">
        <v>1073</v>
      </c>
      <c r="H5404" s="170">
        <v>-6.1666467373972197E-8</v>
      </c>
      <c r="I5404" t="s">
        <v>1074</v>
      </c>
      <c r="J5404">
        <v>15.68</v>
      </c>
    </row>
    <row r="5405" spans="1:10" hidden="1">
      <c r="A5405" t="s">
        <v>3700</v>
      </c>
      <c r="B5405" t="s">
        <v>3701</v>
      </c>
      <c r="C5405" t="s">
        <v>235</v>
      </c>
      <c r="D5405" t="s">
        <v>1396</v>
      </c>
      <c r="E5405" t="s">
        <v>555</v>
      </c>
      <c r="F5405" t="s">
        <v>1068</v>
      </c>
      <c r="G5405" t="s">
        <v>1075</v>
      </c>
      <c r="H5405">
        <v>-2.0898791493778601E-3</v>
      </c>
      <c r="I5405" t="s">
        <v>1077</v>
      </c>
      <c r="J5405">
        <v>15.68</v>
      </c>
    </row>
    <row r="5406" spans="1:10" hidden="1">
      <c r="A5406" t="s">
        <v>3700</v>
      </c>
      <c r="B5406" t="s">
        <v>3701</v>
      </c>
      <c r="C5406" t="s">
        <v>235</v>
      </c>
      <c r="D5406" t="s">
        <v>1396</v>
      </c>
      <c r="E5406" t="s">
        <v>555</v>
      </c>
      <c r="F5406" t="s">
        <v>1068</v>
      </c>
      <c r="G5406" t="s">
        <v>1078</v>
      </c>
      <c r="H5406">
        <v>-0.33194863615908099</v>
      </c>
      <c r="I5406" t="s">
        <v>1079</v>
      </c>
      <c r="J5406">
        <v>15.68</v>
      </c>
    </row>
    <row r="5407" spans="1:10" hidden="1">
      <c r="A5407" t="s">
        <v>3700</v>
      </c>
      <c r="B5407" t="s">
        <v>3701</v>
      </c>
      <c r="C5407" t="s">
        <v>235</v>
      </c>
      <c r="D5407" t="s">
        <v>1396</v>
      </c>
      <c r="E5407" t="s">
        <v>555</v>
      </c>
      <c r="F5407" t="s">
        <v>1068</v>
      </c>
      <c r="G5407" t="s">
        <v>1080</v>
      </c>
      <c r="H5407" s="171" t="s">
        <v>3702</v>
      </c>
      <c r="I5407" t="s">
        <v>1082</v>
      </c>
      <c r="J5407">
        <v>15.68</v>
      </c>
    </row>
    <row r="5408" spans="1:10" hidden="1">
      <c r="A5408" t="s">
        <v>3700</v>
      </c>
      <c r="B5408" t="s">
        <v>3701</v>
      </c>
      <c r="C5408" t="s">
        <v>235</v>
      </c>
      <c r="D5408" t="s">
        <v>1396</v>
      </c>
      <c r="E5408" t="s">
        <v>555</v>
      </c>
      <c r="F5408" t="s">
        <v>1068</v>
      </c>
      <c r="G5408" t="s">
        <v>1083</v>
      </c>
      <c r="H5408" s="170">
        <v>-3.4387862495407703E-5</v>
      </c>
      <c r="I5408" t="s">
        <v>1084</v>
      </c>
      <c r="J5408">
        <v>15.68</v>
      </c>
    </row>
    <row r="5409" spans="1:10" hidden="1">
      <c r="A5409" t="s">
        <v>3700</v>
      </c>
      <c r="B5409" t="s">
        <v>3701</v>
      </c>
      <c r="C5409" t="s">
        <v>235</v>
      </c>
      <c r="D5409" t="s">
        <v>1396</v>
      </c>
      <c r="E5409" t="s">
        <v>555</v>
      </c>
      <c r="F5409" t="s">
        <v>1068</v>
      </c>
      <c r="G5409" t="s">
        <v>1085</v>
      </c>
      <c r="H5409">
        <v>-3.2649457821847601E-4</v>
      </c>
      <c r="I5409" t="s">
        <v>1086</v>
      </c>
      <c r="J5409">
        <v>15.68</v>
      </c>
    </row>
    <row r="5410" spans="1:10" hidden="1">
      <c r="A5410" t="s">
        <v>3700</v>
      </c>
      <c r="B5410" t="s">
        <v>3701</v>
      </c>
      <c r="C5410" t="s">
        <v>235</v>
      </c>
      <c r="D5410" t="s">
        <v>1396</v>
      </c>
      <c r="E5410" t="s">
        <v>555</v>
      </c>
      <c r="F5410" t="s">
        <v>1068</v>
      </c>
      <c r="G5410" t="s">
        <v>1087</v>
      </c>
      <c r="H5410" s="170">
        <v>-1.4883464226374099E-7</v>
      </c>
      <c r="I5410" t="s">
        <v>1088</v>
      </c>
      <c r="J5410">
        <v>15.68</v>
      </c>
    </row>
    <row r="5411" spans="1:10" hidden="1">
      <c r="A5411" t="s">
        <v>3700</v>
      </c>
      <c r="B5411" t="s">
        <v>3701</v>
      </c>
      <c r="C5411" t="s">
        <v>235</v>
      </c>
      <c r="D5411" t="s">
        <v>1396</v>
      </c>
      <c r="E5411" t="s">
        <v>555</v>
      </c>
      <c r="F5411" t="s">
        <v>1068</v>
      </c>
      <c r="G5411" t="s">
        <v>1089</v>
      </c>
      <c r="H5411" s="170">
        <v>-5.7254236116055999E-5</v>
      </c>
      <c r="I5411" t="s">
        <v>1090</v>
      </c>
      <c r="J5411">
        <v>15.68</v>
      </c>
    </row>
    <row r="5412" spans="1:10" hidden="1">
      <c r="A5412" t="s">
        <v>3703</v>
      </c>
      <c r="B5412" t="s">
        <v>3704</v>
      </c>
      <c r="C5412" t="s">
        <v>235</v>
      </c>
      <c r="D5412" t="s">
        <v>1396</v>
      </c>
      <c r="E5412" t="s">
        <v>558</v>
      </c>
      <c r="F5412" t="s">
        <v>1068</v>
      </c>
      <c r="G5412" t="s">
        <v>1069</v>
      </c>
      <c r="H5412">
        <v>-0.152627192711773</v>
      </c>
      <c r="I5412" t="s">
        <v>1070</v>
      </c>
      <c r="J5412">
        <v>11.42</v>
      </c>
    </row>
    <row r="5413" spans="1:10" hidden="1">
      <c r="A5413" t="s">
        <v>3703</v>
      </c>
      <c r="B5413" t="s">
        <v>3704</v>
      </c>
      <c r="C5413" t="s">
        <v>235</v>
      </c>
      <c r="D5413" t="s">
        <v>1396</v>
      </c>
      <c r="E5413" t="s">
        <v>558</v>
      </c>
      <c r="F5413" t="s">
        <v>1068</v>
      </c>
      <c r="G5413" t="s">
        <v>1071</v>
      </c>
      <c r="H5413" s="170">
        <v>-2.82058137885422E-10</v>
      </c>
      <c r="I5413" t="s">
        <v>1072</v>
      </c>
      <c r="J5413">
        <v>11.42</v>
      </c>
    </row>
    <row r="5414" spans="1:10" hidden="1">
      <c r="A5414" t="s">
        <v>3703</v>
      </c>
      <c r="B5414" t="s">
        <v>3704</v>
      </c>
      <c r="C5414" t="s">
        <v>235</v>
      </c>
      <c r="D5414" t="s">
        <v>1396</v>
      </c>
      <c r="E5414" t="s">
        <v>558</v>
      </c>
      <c r="F5414" t="s">
        <v>1068</v>
      </c>
      <c r="G5414" t="s">
        <v>1073</v>
      </c>
      <c r="H5414" s="170">
        <v>-5.1242188118539803E-8</v>
      </c>
      <c r="I5414" t="s">
        <v>1074</v>
      </c>
      <c r="J5414">
        <v>11.42</v>
      </c>
    </row>
    <row r="5415" spans="1:10" hidden="1">
      <c r="A5415" t="s">
        <v>3703</v>
      </c>
      <c r="B5415" t="s">
        <v>3704</v>
      </c>
      <c r="C5415" t="s">
        <v>235</v>
      </c>
      <c r="D5415" t="s">
        <v>1396</v>
      </c>
      <c r="E5415" t="s">
        <v>558</v>
      </c>
      <c r="F5415" t="s">
        <v>1068</v>
      </c>
      <c r="G5415" t="s">
        <v>1075</v>
      </c>
      <c r="H5415">
        <v>-1.18583168464311E-3</v>
      </c>
      <c r="I5415" t="s">
        <v>1077</v>
      </c>
      <c r="J5415">
        <v>11.42</v>
      </c>
    </row>
    <row r="5416" spans="1:10" hidden="1">
      <c r="A5416" t="s">
        <v>3703</v>
      </c>
      <c r="B5416" t="s">
        <v>3704</v>
      </c>
      <c r="C5416" t="s">
        <v>235</v>
      </c>
      <c r="D5416" t="s">
        <v>1396</v>
      </c>
      <c r="E5416" t="s">
        <v>558</v>
      </c>
      <c r="F5416" t="s">
        <v>1068</v>
      </c>
      <c r="G5416" t="s">
        <v>1078</v>
      </c>
      <c r="H5416">
        <v>-0.30162234737156601</v>
      </c>
      <c r="I5416" t="s">
        <v>1079</v>
      </c>
      <c r="J5416">
        <v>11.42</v>
      </c>
    </row>
    <row r="5417" spans="1:10" hidden="1">
      <c r="A5417" t="s">
        <v>3703</v>
      </c>
      <c r="B5417" t="s">
        <v>3704</v>
      </c>
      <c r="C5417" t="s">
        <v>235</v>
      </c>
      <c r="D5417" t="s">
        <v>1396</v>
      </c>
      <c r="E5417" t="s">
        <v>558</v>
      </c>
      <c r="F5417" t="s">
        <v>1068</v>
      </c>
      <c r="G5417" t="s">
        <v>1080</v>
      </c>
      <c r="H5417" s="171" t="s">
        <v>3705</v>
      </c>
      <c r="I5417" t="s">
        <v>1082</v>
      </c>
      <c r="J5417">
        <v>11.42</v>
      </c>
    </row>
    <row r="5418" spans="1:10" hidden="1">
      <c r="A5418" t="s">
        <v>3703</v>
      </c>
      <c r="B5418" t="s">
        <v>3704</v>
      </c>
      <c r="C5418" t="s">
        <v>235</v>
      </c>
      <c r="D5418" t="s">
        <v>1396</v>
      </c>
      <c r="E5418" t="s">
        <v>558</v>
      </c>
      <c r="F5418" t="s">
        <v>1068</v>
      </c>
      <c r="G5418" t="s">
        <v>1083</v>
      </c>
      <c r="H5418" s="170">
        <v>-2.9925807942509701E-5</v>
      </c>
      <c r="I5418" t="s">
        <v>1084</v>
      </c>
      <c r="J5418">
        <v>11.42</v>
      </c>
    </row>
    <row r="5419" spans="1:10" hidden="1">
      <c r="A5419" t="s">
        <v>3703</v>
      </c>
      <c r="B5419" t="s">
        <v>3704</v>
      </c>
      <c r="C5419" t="s">
        <v>235</v>
      </c>
      <c r="D5419" t="s">
        <v>1396</v>
      </c>
      <c r="E5419" t="s">
        <v>558</v>
      </c>
      <c r="F5419" t="s">
        <v>1068</v>
      </c>
      <c r="G5419" t="s">
        <v>1085</v>
      </c>
      <c r="H5419">
        <v>-2.7619091485710999E-4</v>
      </c>
      <c r="I5419" t="s">
        <v>1086</v>
      </c>
      <c r="J5419">
        <v>11.42</v>
      </c>
    </row>
    <row r="5420" spans="1:10" hidden="1">
      <c r="A5420" t="s">
        <v>3703</v>
      </c>
      <c r="B5420" t="s">
        <v>3704</v>
      </c>
      <c r="C5420" t="s">
        <v>235</v>
      </c>
      <c r="D5420" t="s">
        <v>1396</v>
      </c>
      <c r="E5420" t="s">
        <v>558</v>
      </c>
      <c r="F5420" t="s">
        <v>1068</v>
      </c>
      <c r="G5420" t="s">
        <v>1087</v>
      </c>
      <c r="H5420" s="170">
        <v>-1.2502139569186799E-7</v>
      </c>
      <c r="I5420" t="s">
        <v>1088</v>
      </c>
      <c r="J5420">
        <v>11.42</v>
      </c>
    </row>
    <row r="5421" spans="1:10" hidden="1">
      <c r="A5421" t="s">
        <v>3703</v>
      </c>
      <c r="B5421" t="s">
        <v>3704</v>
      </c>
      <c r="C5421" t="s">
        <v>235</v>
      </c>
      <c r="D5421" t="s">
        <v>1396</v>
      </c>
      <c r="E5421" t="s">
        <v>558</v>
      </c>
      <c r="F5421" t="s">
        <v>1068</v>
      </c>
      <c r="G5421" t="s">
        <v>1089</v>
      </c>
      <c r="H5421" s="170">
        <v>-4.6850628899359199E-5</v>
      </c>
      <c r="I5421" t="s">
        <v>1090</v>
      </c>
      <c r="J5421">
        <v>11.42</v>
      </c>
    </row>
    <row r="5422" spans="1:10" hidden="1">
      <c r="A5422" t="s">
        <v>3706</v>
      </c>
      <c r="B5422" t="s">
        <v>3707</v>
      </c>
      <c r="C5422" t="s">
        <v>235</v>
      </c>
      <c r="D5422" t="s">
        <v>1396</v>
      </c>
      <c r="E5422" t="s">
        <v>553</v>
      </c>
      <c r="F5422" t="s">
        <v>1068</v>
      </c>
      <c r="G5422" t="s">
        <v>1069</v>
      </c>
      <c r="H5422">
        <v>-0.150575445889227</v>
      </c>
      <c r="I5422" t="s">
        <v>1070</v>
      </c>
      <c r="J5422">
        <v>9.07</v>
      </c>
    </row>
    <row r="5423" spans="1:10" hidden="1">
      <c r="A5423" t="s">
        <v>3706</v>
      </c>
      <c r="B5423" t="s">
        <v>3707</v>
      </c>
      <c r="C5423" t="s">
        <v>235</v>
      </c>
      <c r="D5423" t="s">
        <v>1396</v>
      </c>
      <c r="E5423" t="s">
        <v>553</v>
      </c>
      <c r="F5423" t="s">
        <v>1068</v>
      </c>
      <c r="G5423" t="s">
        <v>1071</v>
      </c>
      <c r="H5423" s="170">
        <v>-2.7908747274677101E-10</v>
      </c>
      <c r="I5423" t="s">
        <v>1072</v>
      </c>
      <c r="J5423">
        <v>9.07</v>
      </c>
    </row>
    <row r="5424" spans="1:10" hidden="1">
      <c r="A5424" t="s">
        <v>3706</v>
      </c>
      <c r="B5424" t="s">
        <v>3707</v>
      </c>
      <c r="C5424" t="s">
        <v>235</v>
      </c>
      <c r="D5424" t="s">
        <v>1396</v>
      </c>
      <c r="E5424" t="s">
        <v>553</v>
      </c>
      <c r="F5424" t="s">
        <v>1068</v>
      </c>
      <c r="G5424" t="s">
        <v>1073</v>
      </c>
      <c r="H5424" s="170">
        <v>-5.0518757289502397E-8</v>
      </c>
      <c r="I5424" t="s">
        <v>1074</v>
      </c>
      <c r="J5424">
        <v>9.07</v>
      </c>
    </row>
    <row r="5425" spans="1:10" hidden="1">
      <c r="A5425" t="s">
        <v>3706</v>
      </c>
      <c r="B5425" t="s">
        <v>3707</v>
      </c>
      <c r="C5425" t="s">
        <v>235</v>
      </c>
      <c r="D5425" t="s">
        <v>1396</v>
      </c>
      <c r="E5425" t="s">
        <v>553</v>
      </c>
      <c r="F5425" t="s">
        <v>1068</v>
      </c>
      <c r="G5425" t="s">
        <v>1075</v>
      </c>
      <c r="H5425">
        <v>-1.09779613871443E-3</v>
      </c>
      <c r="I5425" t="s">
        <v>1077</v>
      </c>
      <c r="J5425">
        <v>9.07</v>
      </c>
    </row>
    <row r="5426" spans="1:10" hidden="1">
      <c r="A5426" t="s">
        <v>3706</v>
      </c>
      <c r="B5426" t="s">
        <v>3707</v>
      </c>
      <c r="C5426" t="s">
        <v>235</v>
      </c>
      <c r="D5426" t="s">
        <v>1396</v>
      </c>
      <c r="E5426" t="s">
        <v>553</v>
      </c>
      <c r="F5426" t="s">
        <v>1068</v>
      </c>
      <c r="G5426" t="s">
        <v>1078</v>
      </c>
      <c r="H5426">
        <v>-0.28904713992276498</v>
      </c>
      <c r="I5426" t="s">
        <v>1079</v>
      </c>
      <c r="J5426">
        <v>9.07</v>
      </c>
    </row>
    <row r="5427" spans="1:10" hidden="1">
      <c r="A5427" t="s">
        <v>3706</v>
      </c>
      <c r="B5427" t="s">
        <v>3707</v>
      </c>
      <c r="C5427" t="s">
        <v>235</v>
      </c>
      <c r="D5427" t="s">
        <v>1396</v>
      </c>
      <c r="E5427" t="s">
        <v>553</v>
      </c>
      <c r="F5427" t="s">
        <v>1068</v>
      </c>
      <c r="G5427" t="s">
        <v>1080</v>
      </c>
      <c r="H5427" s="171" t="s">
        <v>3708</v>
      </c>
      <c r="I5427" t="s">
        <v>1082</v>
      </c>
      <c r="J5427">
        <v>9.07</v>
      </c>
    </row>
    <row r="5428" spans="1:10" hidden="1">
      <c r="A5428" t="s">
        <v>3706</v>
      </c>
      <c r="B5428" t="s">
        <v>3707</v>
      </c>
      <c r="C5428" t="s">
        <v>235</v>
      </c>
      <c r="D5428" t="s">
        <v>1396</v>
      </c>
      <c r="E5428" t="s">
        <v>553</v>
      </c>
      <c r="F5428" t="s">
        <v>1068</v>
      </c>
      <c r="G5428" t="s">
        <v>1083</v>
      </c>
      <c r="H5428" s="170">
        <v>-2.9617468193345301E-5</v>
      </c>
      <c r="I5428" t="s">
        <v>1084</v>
      </c>
      <c r="J5428">
        <v>9.07</v>
      </c>
    </row>
    <row r="5429" spans="1:10" hidden="1">
      <c r="A5429" t="s">
        <v>3706</v>
      </c>
      <c r="B5429" t="s">
        <v>3707</v>
      </c>
      <c r="C5429" t="s">
        <v>235</v>
      </c>
      <c r="D5429" t="s">
        <v>1396</v>
      </c>
      <c r="E5429" t="s">
        <v>553</v>
      </c>
      <c r="F5429" t="s">
        <v>1068</v>
      </c>
      <c r="G5429" t="s">
        <v>1085</v>
      </c>
      <c r="H5429">
        <v>-2.72579440740985E-4</v>
      </c>
      <c r="I5429" t="s">
        <v>1086</v>
      </c>
      <c r="J5429">
        <v>9.07</v>
      </c>
    </row>
    <row r="5430" spans="1:10" hidden="1">
      <c r="A5430" t="s">
        <v>3706</v>
      </c>
      <c r="B5430" t="s">
        <v>3707</v>
      </c>
      <c r="C5430" t="s">
        <v>235</v>
      </c>
      <c r="D5430" t="s">
        <v>1396</v>
      </c>
      <c r="E5430" t="s">
        <v>553</v>
      </c>
      <c r="F5430" t="s">
        <v>1068</v>
      </c>
      <c r="G5430" t="s">
        <v>1087</v>
      </c>
      <c r="H5430" s="170">
        <v>-1.2281495073976301E-7</v>
      </c>
      <c r="I5430" t="s">
        <v>1088</v>
      </c>
      <c r="J5430">
        <v>9.07</v>
      </c>
    </row>
    <row r="5431" spans="1:10" hidden="1">
      <c r="A5431" t="s">
        <v>3706</v>
      </c>
      <c r="B5431" t="s">
        <v>3707</v>
      </c>
      <c r="C5431" t="s">
        <v>235</v>
      </c>
      <c r="D5431" t="s">
        <v>1396</v>
      </c>
      <c r="E5431" t="s">
        <v>553</v>
      </c>
      <c r="F5431" t="s">
        <v>1068</v>
      </c>
      <c r="G5431" t="s">
        <v>1089</v>
      </c>
      <c r="H5431" s="170">
        <v>-4.6131649722626601E-5</v>
      </c>
      <c r="I5431" t="s">
        <v>1090</v>
      </c>
      <c r="J5431">
        <v>9.07</v>
      </c>
    </row>
    <row r="5432" spans="1:10" hidden="1">
      <c r="A5432" t="s">
        <v>3709</v>
      </c>
      <c r="B5432" t="s">
        <v>3710</v>
      </c>
      <c r="C5432" t="s">
        <v>235</v>
      </c>
      <c r="D5432" t="s">
        <v>1396</v>
      </c>
      <c r="E5432" t="s">
        <v>556</v>
      </c>
      <c r="F5432" t="s">
        <v>1068</v>
      </c>
      <c r="G5432" t="s">
        <v>1069</v>
      </c>
      <c r="H5432">
        <v>-0.16996973192751</v>
      </c>
      <c r="I5432" t="s">
        <v>1070</v>
      </c>
      <c r="J5432">
        <v>13.37</v>
      </c>
    </row>
    <row r="5433" spans="1:10" hidden="1">
      <c r="A5433" t="s">
        <v>3709</v>
      </c>
      <c r="B5433" t="s">
        <v>3710</v>
      </c>
      <c r="C5433" t="s">
        <v>235</v>
      </c>
      <c r="D5433" t="s">
        <v>1396</v>
      </c>
      <c r="E5433" t="s">
        <v>556</v>
      </c>
      <c r="F5433" t="s">
        <v>1068</v>
      </c>
      <c r="G5433" t="s">
        <v>1071</v>
      </c>
      <c r="H5433" s="170">
        <v>-3.0663166128852701E-10</v>
      </c>
      <c r="I5433" t="s">
        <v>1072</v>
      </c>
      <c r="J5433">
        <v>13.37</v>
      </c>
    </row>
    <row r="5434" spans="1:10" hidden="1">
      <c r="A5434" t="s">
        <v>3709</v>
      </c>
      <c r="B5434" t="s">
        <v>3710</v>
      </c>
      <c r="C5434" t="s">
        <v>235</v>
      </c>
      <c r="D5434" t="s">
        <v>1396</v>
      </c>
      <c r="E5434" t="s">
        <v>556</v>
      </c>
      <c r="F5434" t="s">
        <v>1068</v>
      </c>
      <c r="G5434" t="s">
        <v>1073</v>
      </c>
      <c r="H5434" s="170">
        <v>-5.7401677608697397E-8</v>
      </c>
      <c r="I5434" t="s">
        <v>1074</v>
      </c>
      <c r="J5434">
        <v>13.37</v>
      </c>
    </row>
    <row r="5435" spans="1:10" hidden="1">
      <c r="A5435" t="s">
        <v>3709</v>
      </c>
      <c r="B5435" t="s">
        <v>3710</v>
      </c>
      <c r="C5435" t="s">
        <v>235</v>
      </c>
      <c r="D5435" t="s">
        <v>1396</v>
      </c>
      <c r="E5435" t="s">
        <v>556</v>
      </c>
      <c r="F5435" t="s">
        <v>1068</v>
      </c>
      <c r="G5435" t="s">
        <v>1075</v>
      </c>
      <c r="H5435">
        <v>-1.6194627474576599E-3</v>
      </c>
      <c r="I5435" t="s">
        <v>1077</v>
      </c>
      <c r="J5435">
        <v>13.37</v>
      </c>
    </row>
    <row r="5436" spans="1:10" hidden="1">
      <c r="A5436" t="s">
        <v>3709</v>
      </c>
      <c r="B5436" t="s">
        <v>3710</v>
      </c>
      <c r="C5436" t="s">
        <v>235</v>
      </c>
      <c r="D5436" t="s">
        <v>1396</v>
      </c>
      <c r="E5436" t="s">
        <v>556</v>
      </c>
      <c r="F5436" t="s">
        <v>1068</v>
      </c>
      <c r="G5436" t="s">
        <v>1078</v>
      </c>
      <c r="H5436">
        <v>-0.27760316470718299</v>
      </c>
      <c r="I5436" t="s">
        <v>1079</v>
      </c>
      <c r="J5436">
        <v>13.37</v>
      </c>
    </row>
    <row r="5437" spans="1:10" hidden="1">
      <c r="A5437" t="s">
        <v>3709</v>
      </c>
      <c r="B5437" t="s">
        <v>3710</v>
      </c>
      <c r="C5437" t="s">
        <v>235</v>
      </c>
      <c r="D5437" t="s">
        <v>1396</v>
      </c>
      <c r="E5437" t="s">
        <v>556</v>
      </c>
      <c r="F5437" t="s">
        <v>1068</v>
      </c>
      <c r="G5437" t="s">
        <v>1080</v>
      </c>
      <c r="H5437" s="171" t="s">
        <v>3711</v>
      </c>
      <c r="I5437" t="s">
        <v>1082</v>
      </c>
      <c r="J5437">
        <v>13.37</v>
      </c>
    </row>
    <row r="5438" spans="1:10" hidden="1">
      <c r="A5438" t="s">
        <v>3709</v>
      </c>
      <c r="B5438" t="s">
        <v>3710</v>
      </c>
      <c r="C5438" t="s">
        <v>235</v>
      </c>
      <c r="D5438" t="s">
        <v>1396</v>
      </c>
      <c r="E5438" t="s">
        <v>556</v>
      </c>
      <c r="F5438" t="s">
        <v>1068</v>
      </c>
      <c r="G5438" t="s">
        <v>1083</v>
      </c>
      <c r="H5438" s="170">
        <v>-3.2565385045886401E-5</v>
      </c>
      <c r="I5438" t="s">
        <v>1084</v>
      </c>
      <c r="J5438">
        <v>13.37</v>
      </c>
    </row>
    <row r="5439" spans="1:10" hidden="1">
      <c r="A5439" t="s">
        <v>3709</v>
      </c>
      <c r="B5439" t="s">
        <v>3710</v>
      </c>
      <c r="C5439" t="s">
        <v>235</v>
      </c>
      <c r="D5439" t="s">
        <v>1396</v>
      </c>
      <c r="E5439" t="s">
        <v>556</v>
      </c>
      <c r="F5439" t="s">
        <v>1068</v>
      </c>
      <c r="G5439" t="s">
        <v>1085</v>
      </c>
      <c r="H5439">
        <v>-3.0541528620776199E-4</v>
      </c>
      <c r="I5439" t="s">
        <v>1086</v>
      </c>
      <c r="J5439">
        <v>13.37</v>
      </c>
    </row>
    <row r="5440" spans="1:10" hidden="1">
      <c r="A5440" t="s">
        <v>3709</v>
      </c>
      <c r="B5440" t="s">
        <v>3710</v>
      </c>
      <c r="C5440" t="s">
        <v>235</v>
      </c>
      <c r="D5440" t="s">
        <v>1396</v>
      </c>
      <c r="E5440" t="s">
        <v>556</v>
      </c>
      <c r="F5440" t="s">
        <v>1068</v>
      </c>
      <c r="G5440" t="s">
        <v>1087</v>
      </c>
      <c r="H5440" s="170">
        <v>-1.3889441283308601E-7</v>
      </c>
      <c r="I5440" t="s">
        <v>1088</v>
      </c>
      <c r="J5440">
        <v>13.37</v>
      </c>
    </row>
    <row r="5441" spans="1:10" hidden="1">
      <c r="A5441" t="s">
        <v>3709</v>
      </c>
      <c r="B5441" t="s">
        <v>3710</v>
      </c>
      <c r="C5441" t="s">
        <v>235</v>
      </c>
      <c r="D5441" t="s">
        <v>1396</v>
      </c>
      <c r="E5441" t="s">
        <v>556</v>
      </c>
      <c r="F5441" t="s">
        <v>1068</v>
      </c>
      <c r="G5441" t="s">
        <v>1089</v>
      </c>
      <c r="H5441" s="170">
        <v>-5.3005105779104197E-5</v>
      </c>
      <c r="I5441" t="s">
        <v>1090</v>
      </c>
      <c r="J5441">
        <v>13.37</v>
      </c>
    </row>
    <row r="5442" spans="1:10" hidden="1">
      <c r="A5442" t="s">
        <v>3712</v>
      </c>
      <c r="B5442" t="s">
        <v>3713</v>
      </c>
      <c r="C5442" t="s">
        <v>235</v>
      </c>
      <c r="D5442" t="s">
        <v>1396</v>
      </c>
      <c r="E5442" t="s">
        <v>557</v>
      </c>
      <c r="F5442" t="s">
        <v>1068</v>
      </c>
      <c r="G5442" t="s">
        <v>1069</v>
      </c>
      <c r="H5442">
        <v>-0.16238074816471501</v>
      </c>
      <c r="I5442" t="s">
        <v>1070</v>
      </c>
      <c r="J5442">
        <v>8.7799999999999994</v>
      </c>
    </row>
    <row r="5443" spans="1:10" hidden="1">
      <c r="A5443" t="s">
        <v>3712</v>
      </c>
      <c r="B5443" t="s">
        <v>3713</v>
      </c>
      <c r="C5443" t="s">
        <v>235</v>
      </c>
      <c r="D5443" t="s">
        <v>1396</v>
      </c>
      <c r="E5443" t="s">
        <v>557</v>
      </c>
      <c r="F5443" t="s">
        <v>1068</v>
      </c>
      <c r="G5443" t="s">
        <v>1071</v>
      </c>
      <c r="H5443" s="170">
        <v>-2.9601558670365597E-10</v>
      </c>
      <c r="I5443" t="s">
        <v>1072</v>
      </c>
      <c r="J5443">
        <v>8.7799999999999994</v>
      </c>
    </row>
    <row r="5444" spans="1:10" hidden="1">
      <c r="A5444" t="s">
        <v>3712</v>
      </c>
      <c r="B5444" t="s">
        <v>3713</v>
      </c>
      <c r="C5444" t="s">
        <v>235</v>
      </c>
      <c r="D5444" t="s">
        <v>1396</v>
      </c>
      <c r="E5444" t="s">
        <v>557</v>
      </c>
      <c r="F5444" t="s">
        <v>1068</v>
      </c>
      <c r="G5444" t="s">
        <v>1073</v>
      </c>
      <c r="H5444" s="170">
        <v>-5.4706681877553201E-8</v>
      </c>
      <c r="I5444" t="s">
        <v>1074</v>
      </c>
      <c r="J5444">
        <v>8.7799999999999994</v>
      </c>
    </row>
    <row r="5445" spans="1:10" hidden="1">
      <c r="A5445" t="s">
        <v>3712</v>
      </c>
      <c r="B5445" t="s">
        <v>3713</v>
      </c>
      <c r="C5445" t="s">
        <v>235</v>
      </c>
      <c r="D5445" t="s">
        <v>1396</v>
      </c>
      <c r="E5445" t="s">
        <v>557</v>
      </c>
      <c r="F5445" t="s">
        <v>1068</v>
      </c>
      <c r="G5445" t="s">
        <v>1075</v>
      </c>
      <c r="H5445">
        <v>-1.49415199193614E-3</v>
      </c>
      <c r="I5445" t="s">
        <v>1077</v>
      </c>
      <c r="J5445">
        <v>8.7799999999999994</v>
      </c>
    </row>
    <row r="5446" spans="1:10" hidden="1">
      <c r="A5446" t="s">
        <v>3712</v>
      </c>
      <c r="B5446" t="s">
        <v>3713</v>
      </c>
      <c r="C5446" t="s">
        <v>235</v>
      </c>
      <c r="D5446" t="s">
        <v>1396</v>
      </c>
      <c r="E5446" t="s">
        <v>557</v>
      </c>
      <c r="F5446" t="s">
        <v>1068</v>
      </c>
      <c r="G5446" t="s">
        <v>1078</v>
      </c>
      <c r="H5446">
        <v>-0.31495530677184003</v>
      </c>
      <c r="I5446" t="s">
        <v>1079</v>
      </c>
      <c r="J5446">
        <v>8.7799999999999994</v>
      </c>
    </row>
    <row r="5447" spans="1:10" hidden="1">
      <c r="A5447" t="s">
        <v>3712</v>
      </c>
      <c r="B5447" t="s">
        <v>3713</v>
      </c>
      <c r="C5447" t="s">
        <v>235</v>
      </c>
      <c r="D5447" t="s">
        <v>1396</v>
      </c>
      <c r="E5447" t="s">
        <v>557</v>
      </c>
      <c r="F5447" t="s">
        <v>1068</v>
      </c>
      <c r="G5447" t="s">
        <v>1080</v>
      </c>
      <c r="H5447" s="171" t="s">
        <v>3714</v>
      </c>
      <c r="I5447" t="s">
        <v>1082</v>
      </c>
      <c r="J5447">
        <v>8.7799999999999994</v>
      </c>
    </row>
    <row r="5448" spans="1:10" hidden="1">
      <c r="A5448" t="s">
        <v>3712</v>
      </c>
      <c r="B5448" t="s">
        <v>3713</v>
      </c>
      <c r="C5448" t="s">
        <v>235</v>
      </c>
      <c r="D5448" t="s">
        <v>1396</v>
      </c>
      <c r="E5448" t="s">
        <v>557</v>
      </c>
      <c r="F5448" t="s">
        <v>1068</v>
      </c>
      <c r="G5448" t="s">
        <v>1083</v>
      </c>
      <c r="H5448" s="170">
        <v>-3.1408354686388802E-5</v>
      </c>
      <c r="I5448" t="s">
        <v>1084</v>
      </c>
      <c r="J5448">
        <v>8.7799999999999994</v>
      </c>
    </row>
    <row r="5449" spans="1:10" hidden="1">
      <c r="A5449" t="s">
        <v>3712</v>
      </c>
      <c r="B5449" t="s">
        <v>3713</v>
      </c>
      <c r="C5449" t="s">
        <v>235</v>
      </c>
      <c r="D5449" t="s">
        <v>1396</v>
      </c>
      <c r="E5449" t="s">
        <v>557</v>
      </c>
      <c r="F5449" t="s">
        <v>1068</v>
      </c>
      <c r="G5449" t="s">
        <v>1085</v>
      </c>
      <c r="H5449">
        <v>-2.9294670200001599E-4</v>
      </c>
      <c r="I5449" t="s">
        <v>1086</v>
      </c>
      <c r="J5449">
        <v>8.7799999999999994</v>
      </c>
    </row>
    <row r="5450" spans="1:10" hidden="1">
      <c r="A5450" t="s">
        <v>3712</v>
      </c>
      <c r="B5450" t="s">
        <v>3713</v>
      </c>
      <c r="C5450" t="s">
        <v>235</v>
      </c>
      <c r="D5450" t="s">
        <v>1396</v>
      </c>
      <c r="E5450" t="s">
        <v>557</v>
      </c>
      <c r="F5450" t="s">
        <v>1068</v>
      </c>
      <c r="G5450" t="s">
        <v>1087</v>
      </c>
      <c r="H5450" s="170">
        <v>-1.3310781507420799E-7</v>
      </c>
      <c r="I5450" t="s">
        <v>1088</v>
      </c>
      <c r="J5450">
        <v>8.7799999999999994</v>
      </c>
    </row>
    <row r="5451" spans="1:10" hidden="1">
      <c r="A5451" t="s">
        <v>3712</v>
      </c>
      <c r="B5451" t="s">
        <v>3713</v>
      </c>
      <c r="C5451" t="s">
        <v>235</v>
      </c>
      <c r="D5451" t="s">
        <v>1396</v>
      </c>
      <c r="E5451" t="s">
        <v>557</v>
      </c>
      <c r="F5451" t="s">
        <v>1068</v>
      </c>
      <c r="G5451" t="s">
        <v>1089</v>
      </c>
      <c r="H5451" s="170">
        <v>-5.0307314698683499E-5</v>
      </c>
      <c r="I5451" t="s">
        <v>1090</v>
      </c>
      <c r="J5451">
        <v>8.7799999999999994</v>
      </c>
    </row>
    <row r="5452" spans="1:10" hidden="1">
      <c r="A5452" t="s">
        <v>3715</v>
      </c>
      <c r="B5452" t="s">
        <v>3716</v>
      </c>
      <c r="C5452" t="s">
        <v>235</v>
      </c>
      <c r="D5452" t="s">
        <v>1396</v>
      </c>
      <c r="E5452" t="s">
        <v>559</v>
      </c>
      <c r="F5452" t="s">
        <v>1068</v>
      </c>
      <c r="G5452" t="s">
        <v>1069</v>
      </c>
      <c r="H5452">
        <v>-0.17055779304499999</v>
      </c>
      <c r="I5452" t="s">
        <v>1070</v>
      </c>
      <c r="J5452">
        <v>7.33</v>
      </c>
    </row>
    <row r="5453" spans="1:10" hidden="1">
      <c r="A5453" t="s">
        <v>3715</v>
      </c>
      <c r="B5453" t="s">
        <v>3716</v>
      </c>
      <c r="C5453" t="s">
        <v>235</v>
      </c>
      <c r="D5453" t="s">
        <v>1396</v>
      </c>
      <c r="E5453" t="s">
        <v>559</v>
      </c>
      <c r="F5453" t="s">
        <v>1068</v>
      </c>
      <c r="G5453" t="s">
        <v>1071</v>
      </c>
      <c r="H5453" s="170">
        <v>-3.0768243886354098E-10</v>
      </c>
      <c r="I5453" t="s">
        <v>1072</v>
      </c>
      <c r="J5453">
        <v>7.33</v>
      </c>
    </row>
    <row r="5454" spans="1:10" hidden="1">
      <c r="A5454" t="s">
        <v>3715</v>
      </c>
      <c r="B5454" t="s">
        <v>3716</v>
      </c>
      <c r="C5454" t="s">
        <v>235</v>
      </c>
      <c r="D5454" t="s">
        <v>1396</v>
      </c>
      <c r="E5454" t="s">
        <v>559</v>
      </c>
      <c r="F5454" t="s">
        <v>1068</v>
      </c>
      <c r="G5454" t="s">
        <v>1073</v>
      </c>
      <c r="H5454" s="170">
        <v>-5.7616550227229103E-8</v>
      </c>
      <c r="I5454" t="s">
        <v>1074</v>
      </c>
      <c r="J5454">
        <v>7.33</v>
      </c>
    </row>
    <row r="5455" spans="1:10" hidden="1">
      <c r="A5455" t="s">
        <v>3715</v>
      </c>
      <c r="B5455" t="s">
        <v>3716</v>
      </c>
      <c r="C5455" t="s">
        <v>235</v>
      </c>
      <c r="D5455" t="s">
        <v>1396</v>
      </c>
      <c r="E5455" t="s">
        <v>559</v>
      </c>
      <c r="F5455" t="s">
        <v>1068</v>
      </c>
      <c r="G5455" t="s">
        <v>1075</v>
      </c>
      <c r="H5455">
        <v>-1.72945947883984E-3</v>
      </c>
      <c r="I5455" t="s">
        <v>1077</v>
      </c>
      <c r="J5455">
        <v>7.33</v>
      </c>
    </row>
    <row r="5456" spans="1:10" hidden="1">
      <c r="A5456" t="s">
        <v>3715</v>
      </c>
      <c r="B5456" t="s">
        <v>3716</v>
      </c>
      <c r="C5456" t="s">
        <v>235</v>
      </c>
      <c r="D5456" t="s">
        <v>1396</v>
      </c>
      <c r="E5456" t="s">
        <v>559</v>
      </c>
      <c r="F5456" t="s">
        <v>1068</v>
      </c>
      <c r="G5456" t="s">
        <v>1078</v>
      </c>
      <c r="H5456">
        <v>-0.31636269932420302</v>
      </c>
      <c r="I5456" t="s">
        <v>1079</v>
      </c>
      <c r="J5456">
        <v>7.33</v>
      </c>
    </row>
    <row r="5457" spans="1:10" hidden="1">
      <c r="A5457" t="s">
        <v>3715</v>
      </c>
      <c r="B5457" t="s">
        <v>3716</v>
      </c>
      <c r="C5457" t="s">
        <v>235</v>
      </c>
      <c r="D5457" t="s">
        <v>1396</v>
      </c>
      <c r="E5457" t="s">
        <v>559</v>
      </c>
      <c r="F5457" t="s">
        <v>1068</v>
      </c>
      <c r="G5457" t="s">
        <v>1080</v>
      </c>
      <c r="H5457" s="171" t="s">
        <v>3717</v>
      </c>
      <c r="I5457" t="s">
        <v>1082</v>
      </c>
      <c r="J5457">
        <v>7.33</v>
      </c>
    </row>
    <row r="5458" spans="1:10" hidden="1">
      <c r="A5458" t="s">
        <v>3715</v>
      </c>
      <c r="B5458" t="s">
        <v>3716</v>
      </c>
      <c r="C5458" t="s">
        <v>235</v>
      </c>
      <c r="D5458" t="s">
        <v>1396</v>
      </c>
      <c r="E5458" t="s">
        <v>559</v>
      </c>
      <c r="F5458" t="s">
        <v>1068</v>
      </c>
      <c r="G5458" t="s">
        <v>1083</v>
      </c>
      <c r="H5458" s="170">
        <v>-3.2654797898782503E-5</v>
      </c>
      <c r="I5458" t="s">
        <v>1084</v>
      </c>
      <c r="J5458">
        <v>7.33</v>
      </c>
    </row>
    <row r="5459" spans="1:10" hidden="1">
      <c r="A5459" t="s">
        <v>3715</v>
      </c>
      <c r="B5459" t="s">
        <v>3716</v>
      </c>
      <c r="C5459" t="s">
        <v>235</v>
      </c>
      <c r="D5459" t="s">
        <v>1396</v>
      </c>
      <c r="E5459" t="s">
        <v>559</v>
      </c>
      <c r="F5459" t="s">
        <v>1068</v>
      </c>
      <c r="G5459" t="s">
        <v>1085</v>
      </c>
      <c r="H5459">
        <v>-3.0690743089525902E-4</v>
      </c>
      <c r="I5459" t="s">
        <v>1086</v>
      </c>
      <c r="J5459">
        <v>7.33</v>
      </c>
    </row>
    <row r="5460" spans="1:10" hidden="1">
      <c r="A5460" t="s">
        <v>3715</v>
      </c>
      <c r="B5460" t="s">
        <v>3716</v>
      </c>
      <c r="C5460" t="s">
        <v>235</v>
      </c>
      <c r="D5460" t="s">
        <v>1396</v>
      </c>
      <c r="E5460" t="s">
        <v>559</v>
      </c>
      <c r="F5460" t="s">
        <v>1068</v>
      </c>
      <c r="G5460" t="s">
        <v>1087</v>
      </c>
      <c r="H5460" s="170">
        <v>-1.3938179553032899E-7</v>
      </c>
      <c r="I5460" t="s">
        <v>1088</v>
      </c>
      <c r="J5460">
        <v>7.33</v>
      </c>
    </row>
    <row r="5461" spans="1:10" hidden="1">
      <c r="A5461" t="s">
        <v>3715</v>
      </c>
      <c r="B5461" t="s">
        <v>3716</v>
      </c>
      <c r="C5461" t="s">
        <v>235</v>
      </c>
      <c r="D5461" t="s">
        <v>1396</v>
      </c>
      <c r="E5461" t="s">
        <v>559</v>
      </c>
      <c r="F5461" t="s">
        <v>1068</v>
      </c>
      <c r="G5461" t="s">
        <v>1089</v>
      </c>
      <c r="H5461" s="170">
        <v>-5.3213446302733099E-5</v>
      </c>
      <c r="I5461" t="s">
        <v>1090</v>
      </c>
      <c r="J5461">
        <v>7.33</v>
      </c>
    </row>
    <row r="5462" spans="1:10" hidden="1">
      <c r="A5462" t="s">
        <v>3718</v>
      </c>
      <c r="B5462" t="s">
        <v>3719</v>
      </c>
      <c r="C5462" t="s">
        <v>235</v>
      </c>
      <c r="D5462" t="s">
        <v>1396</v>
      </c>
      <c r="E5462" t="s">
        <v>560</v>
      </c>
      <c r="F5462" t="s">
        <v>1068</v>
      </c>
      <c r="G5462" t="s">
        <v>1069</v>
      </c>
      <c r="H5462">
        <v>-0.16758264440628401</v>
      </c>
      <c r="I5462" t="s">
        <v>1070</v>
      </c>
      <c r="J5462">
        <v>7.91</v>
      </c>
    </row>
    <row r="5463" spans="1:10" hidden="1">
      <c r="A5463" t="s">
        <v>3718</v>
      </c>
      <c r="B5463" t="s">
        <v>3719</v>
      </c>
      <c r="C5463" t="s">
        <v>235</v>
      </c>
      <c r="D5463" t="s">
        <v>1396</v>
      </c>
      <c r="E5463" t="s">
        <v>560</v>
      </c>
      <c r="F5463" t="s">
        <v>1068</v>
      </c>
      <c r="G5463" t="s">
        <v>1071</v>
      </c>
      <c r="H5463" s="170">
        <v>-3.0345955940671402E-10</v>
      </c>
      <c r="I5463" t="s">
        <v>1072</v>
      </c>
      <c r="J5463">
        <v>7.91</v>
      </c>
    </row>
    <row r="5464" spans="1:10" hidden="1">
      <c r="A5464" t="s">
        <v>3718</v>
      </c>
      <c r="B5464" t="s">
        <v>3719</v>
      </c>
      <c r="C5464" t="s">
        <v>235</v>
      </c>
      <c r="D5464" t="s">
        <v>1396</v>
      </c>
      <c r="E5464" t="s">
        <v>560</v>
      </c>
      <c r="F5464" t="s">
        <v>1068</v>
      </c>
      <c r="G5464" t="s">
        <v>1073</v>
      </c>
      <c r="H5464" s="170">
        <v>-5.6554411882360402E-8</v>
      </c>
      <c r="I5464" t="s">
        <v>1074</v>
      </c>
      <c r="J5464">
        <v>7.91</v>
      </c>
    </row>
    <row r="5465" spans="1:10" hidden="1">
      <c r="A5465" t="s">
        <v>3718</v>
      </c>
      <c r="B5465" t="s">
        <v>3719</v>
      </c>
      <c r="C5465" t="s">
        <v>235</v>
      </c>
      <c r="D5465" t="s">
        <v>1396</v>
      </c>
      <c r="E5465" t="s">
        <v>560</v>
      </c>
      <c r="F5465" t="s">
        <v>1068</v>
      </c>
      <c r="G5465" t="s">
        <v>1075</v>
      </c>
      <c r="H5465">
        <v>-1.65858948915909E-3</v>
      </c>
      <c r="I5465" t="s">
        <v>1077</v>
      </c>
      <c r="J5465">
        <v>7.91</v>
      </c>
    </row>
    <row r="5466" spans="1:10" hidden="1">
      <c r="A5466" t="s">
        <v>3718</v>
      </c>
      <c r="B5466" t="s">
        <v>3719</v>
      </c>
      <c r="C5466" t="s">
        <v>235</v>
      </c>
      <c r="D5466" t="s">
        <v>1396</v>
      </c>
      <c r="E5466" t="s">
        <v>560</v>
      </c>
      <c r="F5466" t="s">
        <v>1068</v>
      </c>
      <c r="G5466" t="s">
        <v>1078</v>
      </c>
      <c r="H5466">
        <v>-0.32206621845198502</v>
      </c>
      <c r="I5466" t="s">
        <v>1079</v>
      </c>
      <c r="J5466">
        <v>7.91</v>
      </c>
    </row>
    <row r="5467" spans="1:10" hidden="1">
      <c r="A5467" t="s">
        <v>3718</v>
      </c>
      <c r="B5467" t="s">
        <v>3719</v>
      </c>
      <c r="C5467" t="s">
        <v>235</v>
      </c>
      <c r="D5467" t="s">
        <v>1396</v>
      </c>
      <c r="E5467" t="s">
        <v>560</v>
      </c>
      <c r="F5467" t="s">
        <v>1068</v>
      </c>
      <c r="G5467" t="s">
        <v>1080</v>
      </c>
      <c r="H5467" s="171" t="s">
        <v>3720</v>
      </c>
      <c r="I5467" t="s">
        <v>1082</v>
      </c>
      <c r="J5467">
        <v>7.91</v>
      </c>
    </row>
    <row r="5468" spans="1:10" hidden="1">
      <c r="A5468" t="s">
        <v>3718</v>
      </c>
      <c r="B5468" t="s">
        <v>3719</v>
      </c>
      <c r="C5468" t="s">
        <v>235</v>
      </c>
      <c r="D5468" t="s">
        <v>1396</v>
      </c>
      <c r="E5468" t="s">
        <v>560</v>
      </c>
      <c r="F5468" t="s">
        <v>1068</v>
      </c>
      <c r="G5468" t="s">
        <v>1083</v>
      </c>
      <c r="H5468" s="170">
        <v>-3.21990462831243E-5</v>
      </c>
      <c r="I5468" t="s">
        <v>1084</v>
      </c>
      <c r="J5468">
        <v>7.91</v>
      </c>
    </row>
    <row r="5469" spans="1:10" hidden="1">
      <c r="A5469" t="s">
        <v>3718</v>
      </c>
      <c r="B5469" t="s">
        <v>3719</v>
      </c>
      <c r="C5469" t="s">
        <v>235</v>
      </c>
      <c r="D5469" t="s">
        <v>1396</v>
      </c>
      <c r="E5469" t="s">
        <v>560</v>
      </c>
      <c r="F5469" t="s">
        <v>1068</v>
      </c>
      <c r="G5469" t="s">
        <v>1085</v>
      </c>
      <c r="H5469">
        <v>-3.0188312180956598E-4</v>
      </c>
      <c r="I5469" t="s">
        <v>1086</v>
      </c>
      <c r="J5469">
        <v>7.91</v>
      </c>
    </row>
    <row r="5470" spans="1:10" hidden="1">
      <c r="A5470" t="s">
        <v>3718</v>
      </c>
      <c r="B5470" t="s">
        <v>3719</v>
      </c>
      <c r="C5470" t="s">
        <v>235</v>
      </c>
      <c r="D5470" t="s">
        <v>1396</v>
      </c>
      <c r="E5470" t="s">
        <v>560</v>
      </c>
      <c r="F5470" t="s">
        <v>1068</v>
      </c>
      <c r="G5470" t="s">
        <v>1087</v>
      </c>
      <c r="H5470" s="170">
        <v>-1.3742057207812299E-7</v>
      </c>
      <c r="I5470" t="s">
        <v>1088</v>
      </c>
      <c r="J5470">
        <v>7.91</v>
      </c>
    </row>
    <row r="5471" spans="1:10" hidden="1">
      <c r="A5471" t="s">
        <v>3718</v>
      </c>
      <c r="B5471" t="s">
        <v>3719</v>
      </c>
      <c r="C5471" t="s">
        <v>235</v>
      </c>
      <c r="D5471" t="s">
        <v>1396</v>
      </c>
      <c r="E5471" t="s">
        <v>560</v>
      </c>
      <c r="F5471" t="s">
        <v>1068</v>
      </c>
      <c r="G5471" t="s">
        <v>1089</v>
      </c>
      <c r="H5471" s="170">
        <v>-5.2150880458323098E-5</v>
      </c>
      <c r="I5471" t="s">
        <v>1090</v>
      </c>
      <c r="J5471">
        <v>7.91</v>
      </c>
    </row>
    <row r="5472" spans="1:10" hidden="1">
      <c r="A5472" t="s">
        <v>3721</v>
      </c>
      <c r="B5472" t="s">
        <v>3722</v>
      </c>
      <c r="C5472" t="s">
        <v>235</v>
      </c>
      <c r="D5472" t="s">
        <v>1396</v>
      </c>
      <c r="E5472" t="s">
        <v>1116</v>
      </c>
      <c r="F5472" t="s">
        <v>1068</v>
      </c>
      <c r="G5472" t="s">
        <v>1069</v>
      </c>
      <c r="H5472">
        <v>-0.151794366183408</v>
      </c>
      <c r="I5472" t="s">
        <v>1070</v>
      </c>
      <c r="J5472">
        <v>7.3</v>
      </c>
    </row>
    <row r="5473" spans="1:10" hidden="1">
      <c r="A5473" t="s">
        <v>3721</v>
      </c>
      <c r="B5473" t="s">
        <v>3722</v>
      </c>
      <c r="C5473" t="s">
        <v>235</v>
      </c>
      <c r="D5473" t="s">
        <v>1396</v>
      </c>
      <c r="E5473" t="s">
        <v>1116</v>
      </c>
      <c r="F5473" t="s">
        <v>1068</v>
      </c>
      <c r="G5473" t="s">
        <v>1071</v>
      </c>
      <c r="H5473" s="170">
        <v>-2.8086635364836101E-10</v>
      </c>
      <c r="I5473" t="s">
        <v>1072</v>
      </c>
      <c r="J5473">
        <v>7.3</v>
      </c>
    </row>
    <row r="5474" spans="1:10" hidden="1">
      <c r="A5474" t="s">
        <v>3721</v>
      </c>
      <c r="B5474" t="s">
        <v>3722</v>
      </c>
      <c r="C5474" t="s">
        <v>235</v>
      </c>
      <c r="D5474" t="s">
        <v>1396</v>
      </c>
      <c r="E5474" t="s">
        <v>1116</v>
      </c>
      <c r="F5474" t="s">
        <v>1068</v>
      </c>
      <c r="G5474" t="s">
        <v>1073</v>
      </c>
      <c r="H5474" s="170">
        <v>-5.09463655004411E-8</v>
      </c>
      <c r="I5474" t="s">
        <v>1074</v>
      </c>
      <c r="J5474">
        <v>7.3</v>
      </c>
    </row>
    <row r="5475" spans="1:10" hidden="1">
      <c r="A5475" t="s">
        <v>3721</v>
      </c>
      <c r="B5475" t="s">
        <v>3722</v>
      </c>
      <c r="C5475" t="s">
        <v>235</v>
      </c>
      <c r="D5475" t="s">
        <v>1396</v>
      </c>
      <c r="E5475" t="s">
        <v>1116</v>
      </c>
      <c r="F5475" t="s">
        <v>1068</v>
      </c>
      <c r="G5475" t="s">
        <v>1075</v>
      </c>
      <c r="H5475">
        <v>-1.15950514839834E-3</v>
      </c>
      <c r="I5475" t="s">
        <v>1077</v>
      </c>
      <c r="J5475">
        <v>7.3</v>
      </c>
    </row>
    <row r="5476" spans="1:10" hidden="1">
      <c r="A5476" t="s">
        <v>3721</v>
      </c>
      <c r="B5476" t="s">
        <v>3722</v>
      </c>
      <c r="C5476" t="s">
        <v>235</v>
      </c>
      <c r="D5476" t="s">
        <v>1396</v>
      </c>
      <c r="E5476" t="s">
        <v>1116</v>
      </c>
      <c r="F5476" t="s">
        <v>1068</v>
      </c>
      <c r="G5476" t="s">
        <v>1078</v>
      </c>
      <c r="H5476">
        <v>-0.300483886392518</v>
      </c>
      <c r="I5476" t="s">
        <v>1079</v>
      </c>
      <c r="J5476">
        <v>7.3</v>
      </c>
    </row>
    <row r="5477" spans="1:10" hidden="1">
      <c r="A5477" t="s">
        <v>3721</v>
      </c>
      <c r="B5477" t="s">
        <v>3722</v>
      </c>
      <c r="C5477" t="s">
        <v>235</v>
      </c>
      <c r="D5477" t="s">
        <v>1396</v>
      </c>
      <c r="E5477" t="s">
        <v>1116</v>
      </c>
      <c r="F5477" t="s">
        <v>1068</v>
      </c>
      <c r="G5477" t="s">
        <v>1080</v>
      </c>
      <c r="H5477" s="171" t="s">
        <v>3723</v>
      </c>
      <c r="I5477" t="s">
        <v>1082</v>
      </c>
      <c r="J5477">
        <v>7.3</v>
      </c>
    </row>
    <row r="5478" spans="1:10" hidden="1">
      <c r="A5478" t="s">
        <v>3721</v>
      </c>
      <c r="B5478" t="s">
        <v>3722</v>
      </c>
      <c r="C5478" t="s">
        <v>235</v>
      </c>
      <c r="D5478" t="s">
        <v>1396</v>
      </c>
      <c r="E5478" t="s">
        <v>1116</v>
      </c>
      <c r="F5478" t="s">
        <v>1068</v>
      </c>
      <c r="G5478" t="s">
        <v>1083</v>
      </c>
      <c r="H5478" s="170">
        <v>-2.9799217770976799E-5</v>
      </c>
      <c r="I5478" t="s">
        <v>1084</v>
      </c>
      <c r="J5478">
        <v>7.3</v>
      </c>
    </row>
    <row r="5479" spans="1:10" hidden="1">
      <c r="A5479" t="s">
        <v>3721</v>
      </c>
      <c r="B5479" t="s">
        <v>3722</v>
      </c>
      <c r="C5479" t="s">
        <v>235</v>
      </c>
      <c r="D5479" t="s">
        <v>1396</v>
      </c>
      <c r="E5479" t="s">
        <v>1116</v>
      </c>
      <c r="F5479" t="s">
        <v>1068</v>
      </c>
      <c r="G5479" t="s">
        <v>1085</v>
      </c>
      <c r="H5479">
        <v>-2.7476018899477402E-4</v>
      </c>
      <c r="I5479" t="s">
        <v>1086</v>
      </c>
      <c r="J5479">
        <v>7.3</v>
      </c>
    </row>
    <row r="5480" spans="1:10" hidden="1">
      <c r="A5480" t="s">
        <v>3721</v>
      </c>
      <c r="B5480" t="s">
        <v>3722</v>
      </c>
      <c r="C5480" t="s">
        <v>235</v>
      </c>
      <c r="D5480" t="s">
        <v>1396</v>
      </c>
      <c r="E5480" t="s">
        <v>1116</v>
      </c>
      <c r="F5480" t="s">
        <v>1068</v>
      </c>
      <c r="G5480" t="s">
        <v>1087</v>
      </c>
      <c r="H5480" s="170">
        <v>-1.2433092085798901E-7</v>
      </c>
      <c r="I5480" t="s">
        <v>1088</v>
      </c>
      <c r="J5480">
        <v>7.3</v>
      </c>
    </row>
    <row r="5481" spans="1:10" hidden="1">
      <c r="A5481" t="s">
        <v>3721</v>
      </c>
      <c r="B5481" t="s">
        <v>3722</v>
      </c>
      <c r="C5481" t="s">
        <v>235</v>
      </c>
      <c r="D5481" t="s">
        <v>1396</v>
      </c>
      <c r="E5481" t="s">
        <v>1116</v>
      </c>
      <c r="F5481" t="s">
        <v>1068</v>
      </c>
      <c r="G5481" t="s">
        <v>1089</v>
      </c>
      <c r="H5481" s="170">
        <v>-4.6555472979265397E-5</v>
      </c>
      <c r="I5481" t="s">
        <v>1090</v>
      </c>
      <c r="J5481">
        <v>7.3</v>
      </c>
    </row>
    <row r="5482" spans="1:10" hidden="1">
      <c r="A5482" t="s">
        <v>3724</v>
      </c>
      <c r="B5482" t="s">
        <v>3725</v>
      </c>
      <c r="C5482" t="s">
        <v>235</v>
      </c>
      <c r="D5482" t="s">
        <v>1427</v>
      </c>
      <c r="E5482" t="s">
        <v>561</v>
      </c>
      <c r="F5482" t="s">
        <v>1068</v>
      </c>
      <c r="G5482" t="s">
        <v>1069</v>
      </c>
      <c r="H5482">
        <v>-9.7256276361732896E-2</v>
      </c>
      <c r="I5482" t="s">
        <v>1070</v>
      </c>
      <c r="J5482">
        <v>7.91</v>
      </c>
    </row>
    <row r="5483" spans="1:10" hidden="1">
      <c r="A5483" t="s">
        <v>3724</v>
      </c>
      <c r="B5483" t="s">
        <v>3725</v>
      </c>
      <c r="C5483" t="s">
        <v>235</v>
      </c>
      <c r="D5483" t="s">
        <v>1427</v>
      </c>
      <c r="E5483" t="s">
        <v>561</v>
      </c>
      <c r="F5483" t="s">
        <v>1068</v>
      </c>
      <c r="G5483" t="s">
        <v>1071</v>
      </c>
      <c r="H5483" s="170">
        <v>-2.05366628655223E-10</v>
      </c>
      <c r="I5483" t="s">
        <v>1072</v>
      </c>
      <c r="J5483">
        <v>7.91</v>
      </c>
    </row>
    <row r="5484" spans="1:10" hidden="1">
      <c r="A5484" t="s">
        <v>3724</v>
      </c>
      <c r="B5484" t="s">
        <v>3725</v>
      </c>
      <c r="C5484" t="s">
        <v>235</v>
      </c>
      <c r="D5484" t="s">
        <v>1427</v>
      </c>
      <c r="E5484" t="s">
        <v>561</v>
      </c>
      <c r="F5484" t="s">
        <v>1068</v>
      </c>
      <c r="G5484" t="s">
        <v>1073</v>
      </c>
      <c r="H5484" s="170">
        <v>-3.1604446591916503E-8</v>
      </c>
      <c r="I5484" t="s">
        <v>1074</v>
      </c>
      <c r="J5484">
        <v>7.91</v>
      </c>
    </row>
    <row r="5485" spans="1:10" hidden="1">
      <c r="A5485" t="s">
        <v>3724</v>
      </c>
      <c r="B5485" t="s">
        <v>3725</v>
      </c>
      <c r="C5485" t="s">
        <v>235</v>
      </c>
      <c r="D5485" t="s">
        <v>1427</v>
      </c>
      <c r="E5485" t="s">
        <v>561</v>
      </c>
      <c r="F5485" t="s">
        <v>1068</v>
      </c>
      <c r="G5485" t="s">
        <v>1075</v>
      </c>
      <c r="H5485">
        <v>-5.20721364731277E-4</v>
      </c>
      <c r="I5485" t="s">
        <v>1077</v>
      </c>
      <c r="J5485">
        <v>7.91</v>
      </c>
    </row>
    <row r="5486" spans="1:10" hidden="1">
      <c r="A5486" t="s">
        <v>3724</v>
      </c>
      <c r="B5486" t="s">
        <v>3725</v>
      </c>
      <c r="C5486" t="s">
        <v>235</v>
      </c>
      <c r="D5486" t="s">
        <v>1427</v>
      </c>
      <c r="E5486" t="s">
        <v>561</v>
      </c>
      <c r="F5486" t="s">
        <v>1068</v>
      </c>
      <c r="G5486" t="s">
        <v>1078</v>
      </c>
      <c r="H5486">
        <v>-0.68789701723431895</v>
      </c>
      <c r="I5486" t="s">
        <v>1079</v>
      </c>
      <c r="J5486">
        <v>7.91</v>
      </c>
    </row>
    <row r="5487" spans="1:10" hidden="1">
      <c r="A5487" t="s">
        <v>3724</v>
      </c>
      <c r="B5487" t="s">
        <v>3725</v>
      </c>
      <c r="C5487" t="s">
        <v>235</v>
      </c>
      <c r="D5487" t="s">
        <v>1427</v>
      </c>
      <c r="E5487" t="s">
        <v>561</v>
      </c>
      <c r="F5487" t="s">
        <v>1068</v>
      </c>
      <c r="G5487" t="s">
        <v>1080</v>
      </c>
      <c r="H5487" s="171" t="s">
        <v>3726</v>
      </c>
      <c r="I5487" t="s">
        <v>1082</v>
      </c>
      <c r="J5487">
        <v>7.91</v>
      </c>
    </row>
    <row r="5488" spans="1:10" hidden="1">
      <c r="A5488" t="s">
        <v>3724</v>
      </c>
      <c r="B5488" t="s">
        <v>3725</v>
      </c>
      <c r="C5488" t="s">
        <v>235</v>
      </c>
      <c r="D5488" t="s">
        <v>1427</v>
      </c>
      <c r="E5488" t="s">
        <v>561</v>
      </c>
      <c r="F5488" t="s">
        <v>1068</v>
      </c>
      <c r="G5488" t="s">
        <v>1083</v>
      </c>
      <c r="H5488" s="170">
        <v>-2.1486322183709901E-5</v>
      </c>
      <c r="I5488" t="s">
        <v>1084</v>
      </c>
      <c r="J5488">
        <v>7.91</v>
      </c>
    </row>
    <row r="5489" spans="1:10" hidden="1">
      <c r="A5489" t="s">
        <v>3724</v>
      </c>
      <c r="B5489" t="s">
        <v>3725</v>
      </c>
      <c r="C5489" t="s">
        <v>235</v>
      </c>
      <c r="D5489" t="s">
        <v>1427</v>
      </c>
      <c r="E5489" t="s">
        <v>561</v>
      </c>
      <c r="F5489" t="s">
        <v>1068</v>
      </c>
      <c r="G5489" t="s">
        <v>1085</v>
      </c>
      <c r="H5489">
        <v>-1.8717125130568801E-4</v>
      </c>
      <c r="I5489" t="s">
        <v>1086</v>
      </c>
      <c r="J5489">
        <v>7.91</v>
      </c>
    </row>
    <row r="5490" spans="1:10" hidden="1">
      <c r="A5490" t="s">
        <v>3724</v>
      </c>
      <c r="B5490" t="s">
        <v>3725</v>
      </c>
      <c r="C5490" t="s">
        <v>235</v>
      </c>
      <c r="D5490" t="s">
        <v>1427</v>
      </c>
      <c r="E5490" t="s">
        <v>561</v>
      </c>
      <c r="F5490" t="s">
        <v>1068</v>
      </c>
      <c r="G5490" t="s">
        <v>1087</v>
      </c>
      <c r="H5490" s="171" t="s">
        <v>3727</v>
      </c>
      <c r="I5490" t="s">
        <v>1088</v>
      </c>
      <c r="J5490">
        <v>7.91</v>
      </c>
    </row>
    <row r="5491" spans="1:10" hidden="1">
      <c r="A5491" t="s">
        <v>3724</v>
      </c>
      <c r="B5491" t="s">
        <v>3725</v>
      </c>
      <c r="C5491" t="s">
        <v>235</v>
      </c>
      <c r="D5491" t="s">
        <v>1427</v>
      </c>
      <c r="E5491" t="s">
        <v>561</v>
      </c>
      <c r="F5491" t="s">
        <v>1068</v>
      </c>
      <c r="G5491" t="s">
        <v>1089</v>
      </c>
      <c r="H5491" s="170">
        <v>-2.7082590967343701E-5</v>
      </c>
      <c r="I5491" t="s">
        <v>1090</v>
      </c>
      <c r="J5491">
        <v>7.91</v>
      </c>
    </row>
    <row r="5492" spans="1:10" hidden="1">
      <c r="A5492" t="s">
        <v>3728</v>
      </c>
      <c r="B5492" t="s">
        <v>3729</v>
      </c>
      <c r="C5492" t="s">
        <v>235</v>
      </c>
      <c r="D5492" t="s">
        <v>1427</v>
      </c>
      <c r="E5492" t="s">
        <v>555</v>
      </c>
      <c r="F5492" t="s">
        <v>1068</v>
      </c>
      <c r="G5492" t="s">
        <v>1069</v>
      </c>
      <c r="H5492">
        <v>-0.117841553663975</v>
      </c>
      <c r="I5492" t="s">
        <v>1070</v>
      </c>
      <c r="J5492">
        <v>7.56</v>
      </c>
    </row>
    <row r="5493" spans="1:10" hidden="1">
      <c r="A5493" t="s">
        <v>3728</v>
      </c>
      <c r="B5493" t="s">
        <v>3729</v>
      </c>
      <c r="C5493" t="s">
        <v>235</v>
      </c>
      <c r="D5493" t="s">
        <v>1427</v>
      </c>
      <c r="E5493" t="s">
        <v>555</v>
      </c>
      <c r="F5493" t="s">
        <v>1068</v>
      </c>
      <c r="G5493" t="s">
        <v>1071</v>
      </c>
      <c r="H5493" s="170">
        <v>-2.34583906125838E-10</v>
      </c>
      <c r="I5493" t="s">
        <v>1072</v>
      </c>
      <c r="J5493">
        <v>7.56</v>
      </c>
    </row>
    <row r="5494" spans="1:10" hidden="1">
      <c r="A5494" t="s">
        <v>3728</v>
      </c>
      <c r="B5494" t="s">
        <v>3729</v>
      </c>
      <c r="C5494" t="s">
        <v>235</v>
      </c>
      <c r="D5494" t="s">
        <v>1427</v>
      </c>
      <c r="E5494" t="s">
        <v>555</v>
      </c>
      <c r="F5494" t="s">
        <v>1068</v>
      </c>
      <c r="G5494" t="s">
        <v>1073</v>
      </c>
      <c r="H5494" s="170">
        <v>-3.8915051380845602E-8</v>
      </c>
      <c r="I5494" t="s">
        <v>1074</v>
      </c>
      <c r="J5494">
        <v>7.56</v>
      </c>
    </row>
    <row r="5495" spans="1:10" hidden="1">
      <c r="A5495" t="s">
        <v>3728</v>
      </c>
      <c r="B5495" t="s">
        <v>3729</v>
      </c>
      <c r="C5495" t="s">
        <v>235</v>
      </c>
      <c r="D5495" t="s">
        <v>1427</v>
      </c>
      <c r="E5495" t="s">
        <v>555</v>
      </c>
      <c r="F5495" t="s">
        <v>1068</v>
      </c>
      <c r="G5495" t="s">
        <v>1075</v>
      </c>
      <c r="H5495">
        <v>-1.0597014017374601E-3</v>
      </c>
      <c r="I5495" t="s">
        <v>1077</v>
      </c>
      <c r="J5495">
        <v>7.56</v>
      </c>
    </row>
    <row r="5496" spans="1:10" hidden="1">
      <c r="A5496" t="s">
        <v>3728</v>
      </c>
      <c r="B5496" t="s">
        <v>3729</v>
      </c>
      <c r="C5496" t="s">
        <v>235</v>
      </c>
      <c r="D5496" t="s">
        <v>1427</v>
      </c>
      <c r="E5496" t="s">
        <v>555</v>
      </c>
      <c r="F5496" t="s">
        <v>1068</v>
      </c>
      <c r="G5496" t="s">
        <v>1078</v>
      </c>
      <c r="H5496">
        <v>-0.66917552633073896</v>
      </c>
      <c r="I5496" t="s">
        <v>1079</v>
      </c>
      <c r="J5496">
        <v>7.56</v>
      </c>
    </row>
    <row r="5497" spans="1:10" hidden="1">
      <c r="A5497" t="s">
        <v>3728</v>
      </c>
      <c r="B5497" t="s">
        <v>3729</v>
      </c>
      <c r="C5497" t="s">
        <v>235</v>
      </c>
      <c r="D5497" t="s">
        <v>1427</v>
      </c>
      <c r="E5497" t="s">
        <v>555</v>
      </c>
      <c r="F5497" t="s">
        <v>1068</v>
      </c>
      <c r="G5497" t="s">
        <v>1080</v>
      </c>
      <c r="H5497" s="171" t="s">
        <v>3730</v>
      </c>
      <c r="I5497" t="s">
        <v>1082</v>
      </c>
      <c r="J5497">
        <v>7.56</v>
      </c>
    </row>
    <row r="5498" spans="1:10" hidden="1">
      <c r="A5498" t="s">
        <v>3728</v>
      </c>
      <c r="B5498" t="s">
        <v>3729</v>
      </c>
      <c r="C5498" t="s">
        <v>235</v>
      </c>
      <c r="D5498" t="s">
        <v>1427</v>
      </c>
      <c r="E5498" t="s">
        <v>555</v>
      </c>
      <c r="F5498" t="s">
        <v>1068</v>
      </c>
      <c r="G5498" t="s">
        <v>1083</v>
      </c>
      <c r="H5498" s="170">
        <v>-2.4618339657725499E-5</v>
      </c>
      <c r="I5498" t="s">
        <v>1084</v>
      </c>
      <c r="J5498">
        <v>7.56</v>
      </c>
    </row>
    <row r="5499" spans="1:10" hidden="1">
      <c r="A5499" t="s">
        <v>3728</v>
      </c>
      <c r="B5499" t="s">
        <v>3729</v>
      </c>
      <c r="C5499" t="s">
        <v>235</v>
      </c>
      <c r="D5499" t="s">
        <v>1427</v>
      </c>
      <c r="E5499" t="s">
        <v>555</v>
      </c>
      <c r="F5499" t="s">
        <v>1068</v>
      </c>
      <c r="G5499" t="s">
        <v>1085</v>
      </c>
      <c r="H5499">
        <v>-2.2197831608554601E-4</v>
      </c>
      <c r="I5499" t="s">
        <v>1086</v>
      </c>
      <c r="J5499">
        <v>7.56</v>
      </c>
    </row>
    <row r="5500" spans="1:10" hidden="1">
      <c r="A5500" t="s">
        <v>3728</v>
      </c>
      <c r="B5500" t="s">
        <v>3729</v>
      </c>
      <c r="C5500" t="s">
        <v>235</v>
      </c>
      <c r="D5500" t="s">
        <v>1427</v>
      </c>
      <c r="E5500" t="s">
        <v>555</v>
      </c>
      <c r="F5500" t="s">
        <v>1068</v>
      </c>
      <c r="G5500" t="s">
        <v>1087</v>
      </c>
      <c r="H5500" s="171" t="s">
        <v>3731</v>
      </c>
      <c r="I5500" t="s">
        <v>1088</v>
      </c>
      <c r="J5500">
        <v>7.56</v>
      </c>
    </row>
    <row r="5501" spans="1:10" hidden="1">
      <c r="A5501" t="s">
        <v>3728</v>
      </c>
      <c r="B5501" t="s">
        <v>3729</v>
      </c>
      <c r="C5501" t="s">
        <v>235</v>
      </c>
      <c r="D5501" t="s">
        <v>1427</v>
      </c>
      <c r="E5501" t="s">
        <v>555</v>
      </c>
      <c r="F5501" t="s">
        <v>1068</v>
      </c>
      <c r="G5501" t="s">
        <v>1089</v>
      </c>
      <c r="H5501" s="170">
        <v>-3.4383759328912403E-5</v>
      </c>
      <c r="I5501" t="s">
        <v>1090</v>
      </c>
      <c r="J5501">
        <v>7.56</v>
      </c>
    </row>
    <row r="5502" spans="1:10" hidden="1">
      <c r="A5502" t="s">
        <v>3732</v>
      </c>
      <c r="B5502" t="s">
        <v>3733</v>
      </c>
      <c r="C5502" t="s">
        <v>235</v>
      </c>
      <c r="D5502" t="s">
        <v>1427</v>
      </c>
      <c r="E5502" t="s">
        <v>558</v>
      </c>
      <c r="F5502" t="s">
        <v>1068</v>
      </c>
      <c r="G5502" t="s">
        <v>1069</v>
      </c>
      <c r="H5502">
        <v>-9.5497913314924299E-2</v>
      </c>
      <c r="I5502" t="s">
        <v>1070</v>
      </c>
      <c r="J5502">
        <v>7.87</v>
      </c>
    </row>
    <row r="5503" spans="1:10" hidden="1">
      <c r="A5503" t="s">
        <v>3732</v>
      </c>
      <c r="B5503" t="s">
        <v>3733</v>
      </c>
      <c r="C5503" t="s">
        <v>235</v>
      </c>
      <c r="D5503" t="s">
        <v>1427</v>
      </c>
      <c r="E5503" t="s">
        <v>558</v>
      </c>
      <c r="F5503" t="s">
        <v>1068</v>
      </c>
      <c r="G5503" t="s">
        <v>1071</v>
      </c>
      <c r="H5503" s="170">
        <v>-2.0285039113054699E-10</v>
      </c>
      <c r="I5503" t="s">
        <v>1072</v>
      </c>
      <c r="J5503">
        <v>7.87</v>
      </c>
    </row>
    <row r="5504" spans="1:10" hidden="1">
      <c r="A5504" t="s">
        <v>3732</v>
      </c>
      <c r="B5504" t="s">
        <v>3733</v>
      </c>
      <c r="C5504" t="s">
        <v>235</v>
      </c>
      <c r="D5504" t="s">
        <v>1427</v>
      </c>
      <c r="E5504" t="s">
        <v>558</v>
      </c>
      <c r="F5504" t="s">
        <v>1068</v>
      </c>
      <c r="G5504" t="s">
        <v>1073</v>
      </c>
      <c r="H5504" s="170">
        <v>-3.0979870473890597E-8</v>
      </c>
      <c r="I5504" t="s">
        <v>1074</v>
      </c>
      <c r="J5504">
        <v>7.87</v>
      </c>
    </row>
    <row r="5505" spans="1:10" hidden="1">
      <c r="A5505" t="s">
        <v>3732</v>
      </c>
      <c r="B5505" t="s">
        <v>3733</v>
      </c>
      <c r="C5505" t="s">
        <v>235</v>
      </c>
      <c r="D5505" t="s">
        <v>1427</v>
      </c>
      <c r="E5505" t="s">
        <v>558</v>
      </c>
      <c r="F5505" t="s">
        <v>1068</v>
      </c>
      <c r="G5505" t="s">
        <v>1075</v>
      </c>
      <c r="H5505">
        <v>-4.6513763041609602E-4</v>
      </c>
      <c r="I5505" t="s">
        <v>1077</v>
      </c>
      <c r="J5505">
        <v>7.87</v>
      </c>
    </row>
    <row r="5506" spans="1:10" hidden="1">
      <c r="A5506" t="s">
        <v>3732</v>
      </c>
      <c r="B5506" t="s">
        <v>3733</v>
      </c>
      <c r="C5506" t="s">
        <v>235</v>
      </c>
      <c r="D5506" t="s">
        <v>1427</v>
      </c>
      <c r="E5506" t="s">
        <v>558</v>
      </c>
      <c r="F5506" t="s">
        <v>1068</v>
      </c>
      <c r="G5506" t="s">
        <v>1078</v>
      </c>
      <c r="H5506">
        <v>-0.68549336215416401</v>
      </c>
      <c r="I5506" t="s">
        <v>1079</v>
      </c>
      <c r="J5506">
        <v>7.87</v>
      </c>
    </row>
    <row r="5507" spans="1:10" hidden="1">
      <c r="A5507" t="s">
        <v>3732</v>
      </c>
      <c r="B5507" t="s">
        <v>3733</v>
      </c>
      <c r="C5507" t="s">
        <v>235</v>
      </c>
      <c r="D5507" t="s">
        <v>1427</v>
      </c>
      <c r="E5507" t="s">
        <v>558</v>
      </c>
      <c r="F5507" t="s">
        <v>1068</v>
      </c>
      <c r="G5507" t="s">
        <v>1080</v>
      </c>
      <c r="H5507" s="171" t="s">
        <v>3734</v>
      </c>
      <c r="I5507" t="s">
        <v>1082</v>
      </c>
      <c r="J5507">
        <v>7.87</v>
      </c>
    </row>
    <row r="5508" spans="1:10" hidden="1">
      <c r="A5508" t="s">
        <v>3732</v>
      </c>
      <c r="B5508" t="s">
        <v>3733</v>
      </c>
      <c r="C5508" t="s">
        <v>235</v>
      </c>
      <c r="D5508" t="s">
        <v>1427</v>
      </c>
      <c r="E5508" t="s">
        <v>558</v>
      </c>
      <c r="F5508" t="s">
        <v>1068</v>
      </c>
      <c r="G5508" t="s">
        <v>1083</v>
      </c>
      <c r="H5508" s="170">
        <v>-2.1219049862126101E-5</v>
      </c>
      <c r="I5508" t="s">
        <v>1084</v>
      </c>
      <c r="J5508">
        <v>7.87</v>
      </c>
    </row>
    <row r="5509" spans="1:10" hidden="1">
      <c r="A5509" t="s">
        <v>3732</v>
      </c>
      <c r="B5509" t="s">
        <v>3733</v>
      </c>
      <c r="C5509" t="s">
        <v>235</v>
      </c>
      <c r="D5509" t="s">
        <v>1427</v>
      </c>
      <c r="E5509" t="s">
        <v>558</v>
      </c>
      <c r="F5509" t="s">
        <v>1068</v>
      </c>
      <c r="G5509" t="s">
        <v>1085</v>
      </c>
      <c r="H5509">
        <v>-1.8415053162306301E-4</v>
      </c>
      <c r="I5509" t="s">
        <v>1086</v>
      </c>
      <c r="J5509">
        <v>7.87</v>
      </c>
    </row>
    <row r="5510" spans="1:10" hidden="1">
      <c r="A5510" t="s">
        <v>3732</v>
      </c>
      <c r="B5510" t="s">
        <v>3733</v>
      </c>
      <c r="C5510" t="s">
        <v>235</v>
      </c>
      <c r="D5510" t="s">
        <v>1427</v>
      </c>
      <c r="E5510" t="s">
        <v>558</v>
      </c>
      <c r="F5510" t="s">
        <v>1068</v>
      </c>
      <c r="G5510" t="s">
        <v>1087</v>
      </c>
      <c r="H5510" s="171" t="s">
        <v>3735</v>
      </c>
      <c r="I5510" t="s">
        <v>1088</v>
      </c>
      <c r="J5510">
        <v>7.87</v>
      </c>
    </row>
    <row r="5511" spans="1:10" hidden="1">
      <c r="A5511" t="s">
        <v>3732</v>
      </c>
      <c r="B5511" t="s">
        <v>3733</v>
      </c>
      <c r="C5511" t="s">
        <v>235</v>
      </c>
      <c r="D5511" t="s">
        <v>1427</v>
      </c>
      <c r="E5511" t="s">
        <v>558</v>
      </c>
      <c r="F5511" t="s">
        <v>1068</v>
      </c>
      <c r="G5511" t="s">
        <v>1089</v>
      </c>
      <c r="H5511" s="170">
        <v>-2.6459422461942299E-5</v>
      </c>
      <c r="I5511" t="s">
        <v>1090</v>
      </c>
      <c r="J5511">
        <v>7.87</v>
      </c>
    </row>
    <row r="5512" spans="1:10" hidden="1">
      <c r="A5512" t="s">
        <v>3736</v>
      </c>
      <c r="B5512" t="s">
        <v>3737</v>
      </c>
      <c r="C5512" t="s">
        <v>235</v>
      </c>
      <c r="D5512" t="s">
        <v>1427</v>
      </c>
      <c r="E5512" t="s">
        <v>553</v>
      </c>
      <c r="F5512" t="s">
        <v>1068</v>
      </c>
      <c r="G5512" t="s">
        <v>1069</v>
      </c>
      <c r="H5512">
        <v>-9.4409532948517894E-2</v>
      </c>
      <c r="I5512" t="s">
        <v>1070</v>
      </c>
      <c r="J5512">
        <v>7.42</v>
      </c>
    </row>
    <row r="5513" spans="1:10" hidden="1">
      <c r="A5513" t="s">
        <v>3736</v>
      </c>
      <c r="B5513" t="s">
        <v>3737</v>
      </c>
      <c r="C5513" t="s">
        <v>235</v>
      </c>
      <c r="D5513" t="s">
        <v>1427</v>
      </c>
      <c r="E5513" t="s">
        <v>553</v>
      </c>
      <c r="F5513" t="s">
        <v>1068</v>
      </c>
      <c r="G5513" t="s">
        <v>1071</v>
      </c>
      <c r="H5513" s="170">
        <v>-2.0105241789862401E-10</v>
      </c>
      <c r="I5513" t="s">
        <v>1072</v>
      </c>
      <c r="J5513">
        <v>7.42</v>
      </c>
    </row>
    <row r="5514" spans="1:10" hidden="1">
      <c r="A5514" t="s">
        <v>3736</v>
      </c>
      <c r="B5514" t="s">
        <v>3737</v>
      </c>
      <c r="C5514" t="s">
        <v>235</v>
      </c>
      <c r="D5514" t="s">
        <v>1427</v>
      </c>
      <c r="E5514" t="s">
        <v>553</v>
      </c>
      <c r="F5514" t="s">
        <v>1068</v>
      </c>
      <c r="G5514" t="s">
        <v>1073</v>
      </c>
      <c r="H5514" s="170">
        <v>-3.0591923479287603E-8</v>
      </c>
      <c r="I5514" t="s">
        <v>1074</v>
      </c>
      <c r="J5514">
        <v>7.42</v>
      </c>
    </row>
    <row r="5515" spans="1:10" hidden="1">
      <c r="A5515" t="s">
        <v>3736</v>
      </c>
      <c r="B5515" t="s">
        <v>3737</v>
      </c>
      <c r="C5515" t="s">
        <v>235</v>
      </c>
      <c r="D5515" t="s">
        <v>1427</v>
      </c>
      <c r="E5515" t="s">
        <v>553</v>
      </c>
      <c r="F5515" t="s">
        <v>1068</v>
      </c>
      <c r="G5515" t="s">
        <v>1075</v>
      </c>
      <c r="H5515">
        <v>-3.1899019520945402E-4</v>
      </c>
      <c r="I5515" t="s">
        <v>1077</v>
      </c>
      <c r="J5515">
        <v>7.42</v>
      </c>
    </row>
    <row r="5516" spans="1:10" hidden="1">
      <c r="A5516" t="s">
        <v>3736</v>
      </c>
      <c r="B5516" t="s">
        <v>3737</v>
      </c>
      <c r="C5516" t="s">
        <v>235</v>
      </c>
      <c r="D5516" t="s">
        <v>1427</v>
      </c>
      <c r="E5516" t="s">
        <v>553</v>
      </c>
      <c r="F5516" t="s">
        <v>1068</v>
      </c>
      <c r="G5516" t="s">
        <v>1078</v>
      </c>
      <c r="H5516">
        <v>-0.637144316545458</v>
      </c>
      <c r="I5516" t="s">
        <v>1079</v>
      </c>
      <c r="J5516">
        <v>7.42</v>
      </c>
    </row>
    <row r="5517" spans="1:10" hidden="1">
      <c r="A5517" t="s">
        <v>3736</v>
      </c>
      <c r="B5517" t="s">
        <v>3737</v>
      </c>
      <c r="C5517" t="s">
        <v>235</v>
      </c>
      <c r="D5517" t="s">
        <v>1427</v>
      </c>
      <c r="E5517" t="s">
        <v>553</v>
      </c>
      <c r="F5517" t="s">
        <v>1068</v>
      </c>
      <c r="G5517" t="s">
        <v>1080</v>
      </c>
      <c r="H5517" s="171" t="s">
        <v>3738</v>
      </c>
      <c r="I5517" t="s">
        <v>1082</v>
      </c>
      <c r="J5517">
        <v>7.42</v>
      </c>
    </row>
    <row r="5518" spans="1:10" hidden="1">
      <c r="A5518" t="s">
        <v>3736</v>
      </c>
      <c r="B5518" t="s">
        <v>3737</v>
      </c>
      <c r="C5518" t="s">
        <v>235</v>
      </c>
      <c r="D5518" t="s">
        <v>1427</v>
      </c>
      <c r="E5518" t="s">
        <v>553</v>
      </c>
      <c r="F5518" t="s">
        <v>1068</v>
      </c>
      <c r="G5518" t="s">
        <v>1083</v>
      </c>
      <c r="H5518" s="170">
        <v>-2.1056657337692101E-5</v>
      </c>
      <c r="I5518" t="s">
        <v>1084</v>
      </c>
      <c r="J5518">
        <v>7.42</v>
      </c>
    </row>
    <row r="5519" spans="1:10" hidden="1">
      <c r="A5519" t="s">
        <v>3736</v>
      </c>
      <c r="B5519" t="s">
        <v>3737</v>
      </c>
      <c r="C5519" t="s">
        <v>235</v>
      </c>
      <c r="D5519" t="s">
        <v>1427</v>
      </c>
      <c r="E5519" t="s">
        <v>553</v>
      </c>
      <c r="F5519" t="s">
        <v>1068</v>
      </c>
      <c r="G5519" t="s">
        <v>1085</v>
      </c>
      <c r="H5519">
        <v>-1.8172407717434501E-4</v>
      </c>
      <c r="I5519" t="s">
        <v>1086</v>
      </c>
      <c r="J5519">
        <v>7.42</v>
      </c>
    </row>
    <row r="5520" spans="1:10" hidden="1">
      <c r="A5520" t="s">
        <v>3736</v>
      </c>
      <c r="B5520" t="s">
        <v>3737</v>
      </c>
      <c r="C5520" t="s">
        <v>235</v>
      </c>
      <c r="D5520" t="s">
        <v>1427</v>
      </c>
      <c r="E5520" t="s">
        <v>553</v>
      </c>
      <c r="F5520" t="s">
        <v>1068</v>
      </c>
      <c r="G5520" t="s">
        <v>1087</v>
      </c>
      <c r="H5520" s="171" t="s">
        <v>3739</v>
      </c>
      <c r="I5520" t="s">
        <v>1088</v>
      </c>
      <c r="J5520">
        <v>7.42</v>
      </c>
    </row>
    <row r="5521" spans="1:10" hidden="1">
      <c r="A5521" t="s">
        <v>3736</v>
      </c>
      <c r="B5521" t="s">
        <v>3737</v>
      </c>
      <c r="C5521" t="s">
        <v>235</v>
      </c>
      <c r="D5521" t="s">
        <v>1427</v>
      </c>
      <c r="E5521" t="s">
        <v>553</v>
      </c>
      <c r="F5521" t="s">
        <v>1068</v>
      </c>
      <c r="G5521" t="s">
        <v>1089</v>
      </c>
      <c r="H5521" s="170">
        <v>-2.60793893330292E-5</v>
      </c>
      <c r="I5521" t="s">
        <v>1090</v>
      </c>
      <c r="J5521">
        <v>7.42</v>
      </c>
    </row>
    <row r="5522" spans="1:10" hidden="1">
      <c r="A5522" t="s">
        <v>3740</v>
      </c>
      <c r="B5522" t="s">
        <v>3741</v>
      </c>
      <c r="C5522" t="s">
        <v>235</v>
      </c>
      <c r="D5522" t="s">
        <v>1427</v>
      </c>
      <c r="E5522" t="s">
        <v>556</v>
      </c>
      <c r="F5522" t="s">
        <v>1068</v>
      </c>
      <c r="G5522" t="s">
        <v>1069</v>
      </c>
      <c r="H5522">
        <v>-8.9079098214416397E-2</v>
      </c>
      <c r="I5522" t="s">
        <v>1070</v>
      </c>
      <c r="J5522">
        <v>7.96</v>
      </c>
    </row>
    <row r="5523" spans="1:10" hidden="1">
      <c r="A5523" t="s">
        <v>3740</v>
      </c>
      <c r="B5523" t="s">
        <v>3741</v>
      </c>
      <c r="C5523" t="s">
        <v>235</v>
      </c>
      <c r="D5523" t="s">
        <v>1427</v>
      </c>
      <c r="E5523" t="s">
        <v>556</v>
      </c>
      <c r="F5523" t="s">
        <v>1068</v>
      </c>
      <c r="G5523" t="s">
        <v>1071</v>
      </c>
      <c r="H5523" s="170">
        <v>-1.9250375285858E-10</v>
      </c>
      <c r="I5523" t="s">
        <v>1072</v>
      </c>
      <c r="J5523">
        <v>7.96</v>
      </c>
    </row>
    <row r="5524" spans="1:10" hidden="1">
      <c r="A5524" t="s">
        <v>3740</v>
      </c>
      <c r="B5524" t="s">
        <v>3741</v>
      </c>
      <c r="C5524" t="s">
        <v>235</v>
      </c>
      <c r="D5524" t="s">
        <v>1427</v>
      </c>
      <c r="E5524" t="s">
        <v>556</v>
      </c>
      <c r="F5524" t="s">
        <v>1068</v>
      </c>
      <c r="G5524" t="s">
        <v>1073</v>
      </c>
      <c r="H5524" s="170">
        <v>-2.86721730065198E-8</v>
      </c>
      <c r="I5524" t="s">
        <v>1074</v>
      </c>
      <c r="J5524">
        <v>7.96</v>
      </c>
    </row>
    <row r="5525" spans="1:10" hidden="1">
      <c r="A5525" t="s">
        <v>3740</v>
      </c>
      <c r="B5525" t="s">
        <v>3741</v>
      </c>
      <c r="C5525" t="s">
        <v>235</v>
      </c>
      <c r="D5525" t="s">
        <v>1427</v>
      </c>
      <c r="E5525" t="s">
        <v>556</v>
      </c>
      <c r="F5525" t="s">
        <v>1068</v>
      </c>
      <c r="G5525" t="s">
        <v>1075</v>
      </c>
      <c r="H5525">
        <v>2.5267876391798502E-4</v>
      </c>
      <c r="I5525" t="s">
        <v>1077</v>
      </c>
      <c r="J5525">
        <v>7.96</v>
      </c>
    </row>
    <row r="5526" spans="1:10" hidden="1">
      <c r="A5526" t="s">
        <v>3740</v>
      </c>
      <c r="B5526" t="s">
        <v>3741</v>
      </c>
      <c r="C5526" t="s">
        <v>235</v>
      </c>
      <c r="D5526" t="s">
        <v>1427</v>
      </c>
      <c r="E5526" t="s">
        <v>556</v>
      </c>
      <c r="F5526" t="s">
        <v>1068</v>
      </c>
      <c r="G5526" t="s">
        <v>1078</v>
      </c>
      <c r="H5526">
        <v>-0.46135779183343001</v>
      </c>
      <c r="I5526" t="s">
        <v>1079</v>
      </c>
      <c r="J5526">
        <v>7.96</v>
      </c>
    </row>
    <row r="5527" spans="1:10" hidden="1">
      <c r="A5527" t="s">
        <v>3740</v>
      </c>
      <c r="B5527" t="s">
        <v>3741</v>
      </c>
      <c r="C5527" t="s">
        <v>235</v>
      </c>
      <c r="D5527" t="s">
        <v>1427</v>
      </c>
      <c r="E5527" t="s">
        <v>556</v>
      </c>
      <c r="F5527" t="s">
        <v>1068</v>
      </c>
      <c r="G5527" t="s">
        <v>1080</v>
      </c>
      <c r="H5527" s="171" t="s">
        <v>3742</v>
      </c>
      <c r="I5527" t="s">
        <v>1082</v>
      </c>
      <c r="J5527">
        <v>7.96</v>
      </c>
    </row>
    <row r="5528" spans="1:10" hidden="1">
      <c r="A5528" t="s">
        <v>3740</v>
      </c>
      <c r="B5528" t="s">
        <v>3741</v>
      </c>
      <c r="C5528" t="s">
        <v>235</v>
      </c>
      <c r="D5528" t="s">
        <v>1427</v>
      </c>
      <c r="E5528" t="s">
        <v>556</v>
      </c>
      <c r="F5528" t="s">
        <v>1068</v>
      </c>
      <c r="G5528" t="s">
        <v>1083</v>
      </c>
      <c r="H5528" s="170">
        <v>-2.02463082010908E-5</v>
      </c>
      <c r="I5528" t="s">
        <v>1084</v>
      </c>
      <c r="J5528">
        <v>7.96</v>
      </c>
    </row>
    <row r="5529" spans="1:10" hidden="1">
      <c r="A5529" t="s">
        <v>3740</v>
      </c>
      <c r="B5529" t="s">
        <v>3741</v>
      </c>
      <c r="C5529" t="s">
        <v>235</v>
      </c>
      <c r="D5529" t="s">
        <v>1427</v>
      </c>
      <c r="E5529" t="s">
        <v>556</v>
      </c>
      <c r="F5529" t="s">
        <v>1068</v>
      </c>
      <c r="G5529" t="s">
        <v>1085</v>
      </c>
      <c r="H5529">
        <v>-1.7044639075011801E-4</v>
      </c>
      <c r="I5529" t="s">
        <v>1086</v>
      </c>
      <c r="J5529">
        <v>7.96</v>
      </c>
    </row>
    <row r="5530" spans="1:10" hidden="1">
      <c r="A5530" t="s">
        <v>3740</v>
      </c>
      <c r="B5530" t="s">
        <v>3741</v>
      </c>
      <c r="C5530" t="s">
        <v>235</v>
      </c>
      <c r="D5530" t="s">
        <v>1427</v>
      </c>
      <c r="E5530" t="s">
        <v>556</v>
      </c>
      <c r="F5530" t="s">
        <v>1068</v>
      </c>
      <c r="G5530" t="s">
        <v>1087</v>
      </c>
      <c r="H5530" s="171" t="s">
        <v>3743</v>
      </c>
      <c r="I5530" t="s">
        <v>1088</v>
      </c>
      <c r="J5530">
        <v>7.96</v>
      </c>
    </row>
    <row r="5531" spans="1:10" hidden="1">
      <c r="A5531" t="s">
        <v>3740</v>
      </c>
      <c r="B5531" t="s">
        <v>3741</v>
      </c>
      <c r="C5531" t="s">
        <v>235</v>
      </c>
      <c r="D5531" t="s">
        <v>1427</v>
      </c>
      <c r="E5531" t="s">
        <v>556</v>
      </c>
      <c r="F5531" t="s">
        <v>1068</v>
      </c>
      <c r="G5531" t="s">
        <v>1089</v>
      </c>
      <c r="H5531" s="170">
        <v>-2.4190576712251201E-5</v>
      </c>
      <c r="I5531" t="s">
        <v>1090</v>
      </c>
      <c r="J5531">
        <v>7.96</v>
      </c>
    </row>
    <row r="5532" spans="1:10" hidden="1">
      <c r="A5532" t="s">
        <v>3744</v>
      </c>
      <c r="B5532" t="s">
        <v>3745</v>
      </c>
      <c r="C5532" t="s">
        <v>235</v>
      </c>
      <c r="D5532" t="s">
        <v>1427</v>
      </c>
      <c r="E5532" t="s">
        <v>557</v>
      </c>
      <c r="F5532" t="s">
        <v>1068</v>
      </c>
      <c r="G5532" t="s">
        <v>1069</v>
      </c>
      <c r="H5532">
        <v>-0.102760717203916</v>
      </c>
      <c r="I5532" t="s">
        <v>1070</v>
      </c>
      <c r="J5532">
        <v>8.0399999999999991</v>
      </c>
    </row>
    <row r="5533" spans="1:10" hidden="1">
      <c r="A5533" t="s">
        <v>3744</v>
      </c>
      <c r="B5533" t="s">
        <v>3745</v>
      </c>
      <c r="C5533" t="s">
        <v>235</v>
      </c>
      <c r="D5533" t="s">
        <v>1427</v>
      </c>
      <c r="E5533" t="s">
        <v>557</v>
      </c>
      <c r="F5533" t="s">
        <v>1068</v>
      </c>
      <c r="G5533" t="s">
        <v>1071</v>
      </c>
      <c r="H5533" s="170">
        <v>-2.13243546123776E-10</v>
      </c>
      <c r="I5533" t="s">
        <v>1072</v>
      </c>
      <c r="J5533">
        <v>8.0399999999999991</v>
      </c>
    </row>
    <row r="5534" spans="1:10" hidden="1">
      <c r="A5534" t="s">
        <v>3744</v>
      </c>
      <c r="B5534" t="s">
        <v>3745</v>
      </c>
      <c r="C5534" t="s">
        <v>235</v>
      </c>
      <c r="D5534" t="s">
        <v>1427</v>
      </c>
      <c r="E5534" t="s">
        <v>557</v>
      </c>
      <c r="F5534" t="s">
        <v>1068</v>
      </c>
      <c r="G5534" t="s">
        <v>1073</v>
      </c>
      <c r="H5534" s="170">
        <v>-3.3559641396171397E-8</v>
      </c>
      <c r="I5534" t="s">
        <v>1074</v>
      </c>
      <c r="J5534">
        <v>8.0399999999999991</v>
      </c>
    </row>
    <row r="5535" spans="1:10" hidden="1">
      <c r="A5535" t="s">
        <v>3744</v>
      </c>
      <c r="B5535" t="s">
        <v>3745</v>
      </c>
      <c r="C5535" t="s">
        <v>235</v>
      </c>
      <c r="D5535" t="s">
        <v>1427</v>
      </c>
      <c r="E5535" t="s">
        <v>557</v>
      </c>
      <c r="F5535" t="s">
        <v>1068</v>
      </c>
      <c r="G5535" t="s">
        <v>1075</v>
      </c>
      <c r="H5535">
        <v>-6.9472261997882202E-4</v>
      </c>
      <c r="I5535" t="s">
        <v>1077</v>
      </c>
      <c r="J5535">
        <v>8.0399999999999991</v>
      </c>
    </row>
    <row r="5536" spans="1:10" hidden="1">
      <c r="A5536" t="s">
        <v>3744</v>
      </c>
      <c r="B5536" t="s">
        <v>3745</v>
      </c>
      <c r="C5536" t="s">
        <v>235</v>
      </c>
      <c r="D5536" t="s">
        <v>1427</v>
      </c>
      <c r="E5536" t="s">
        <v>557</v>
      </c>
      <c r="F5536" t="s">
        <v>1068</v>
      </c>
      <c r="G5536" t="s">
        <v>1078</v>
      </c>
      <c r="H5536">
        <v>-0.69542150270263203</v>
      </c>
      <c r="I5536" t="s">
        <v>1079</v>
      </c>
      <c r="J5536">
        <v>8.0399999999999991</v>
      </c>
    </row>
    <row r="5537" spans="1:10" hidden="1">
      <c r="A5537" t="s">
        <v>3744</v>
      </c>
      <c r="B5537" t="s">
        <v>3745</v>
      </c>
      <c r="C5537" t="s">
        <v>235</v>
      </c>
      <c r="D5537" t="s">
        <v>1427</v>
      </c>
      <c r="E5537" t="s">
        <v>557</v>
      </c>
      <c r="F5537" t="s">
        <v>1068</v>
      </c>
      <c r="G5537" t="s">
        <v>1080</v>
      </c>
      <c r="H5537" s="171" t="s">
        <v>3746</v>
      </c>
      <c r="I5537" t="s">
        <v>1082</v>
      </c>
      <c r="J5537">
        <v>8.0399999999999991</v>
      </c>
    </row>
    <row r="5538" spans="1:10" hidden="1">
      <c r="A5538" t="s">
        <v>3744</v>
      </c>
      <c r="B5538" t="s">
        <v>3745</v>
      </c>
      <c r="C5538" t="s">
        <v>235</v>
      </c>
      <c r="D5538" t="s">
        <v>1427</v>
      </c>
      <c r="E5538" t="s">
        <v>557</v>
      </c>
      <c r="F5538" t="s">
        <v>1068</v>
      </c>
      <c r="G5538" t="s">
        <v>1083</v>
      </c>
      <c r="H5538" s="170">
        <v>-2.23230007556242E-5</v>
      </c>
      <c r="I5538" t="s">
        <v>1084</v>
      </c>
      <c r="J5538">
        <v>8.0399999999999991</v>
      </c>
    </row>
    <row r="5539" spans="1:10" hidden="1">
      <c r="A5539" t="s">
        <v>3744</v>
      </c>
      <c r="B5539" t="s">
        <v>3745</v>
      </c>
      <c r="C5539" t="s">
        <v>235</v>
      </c>
      <c r="D5539" t="s">
        <v>1427</v>
      </c>
      <c r="E5539" t="s">
        <v>557</v>
      </c>
      <c r="F5539" t="s">
        <v>1068</v>
      </c>
      <c r="G5539" t="s">
        <v>1085</v>
      </c>
      <c r="H5539">
        <v>-1.96627417268689E-4</v>
      </c>
      <c r="I5539" t="s">
        <v>1086</v>
      </c>
      <c r="J5539">
        <v>8.0399999999999991</v>
      </c>
    </row>
    <row r="5540" spans="1:10" hidden="1">
      <c r="A5540" t="s">
        <v>3744</v>
      </c>
      <c r="B5540" t="s">
        <v>3745</v>
      </c>
      <c r="C5540" t="s">
        <v>235</v>
      </c>
      <c r="D5540" t="s">
        <v>1427</v>
      </c>
      <c r="E5540" t="s">
        <v>557</v>
      </c>
      <c r="F5540" t="s">
        <v>1068</v>
      </c>
      <c r="G5540" t="s">
        <v>1087</v>
      </c>
      <c r="H5540" s="171" t="s">
        <v>3747</v>
      </c>
      <c r="I5540" t="s">
        <v>1088</v>
      </c>
      <c r="J5540">
        <v>8.0399999999999991</v>
      </c>
    </row>
    <row r="5541" spans="1:10" hidden="1">
      <c r="A5541" t="s">
        <v>3744</v>
      </c>
      <c r="B5541" t="s">
        <v>3745</v>
      </c>
      <c r="C5541" t="s">
        <v>235</v>
      </c>
      <c r="D5541" t="s">
        <v>1427</v>
      </c>
      <c r="E5541" t="s">
        <v>557</v>
      </c>
      <c r="F5541" t="s">
        <v>1068</v>
      </c>
      <c r="G5541" t="s">
        <v>1089</v>
      </c>
      <c r="H5541" s="170">
        <v>-2.9033379332078801E-5</v>
      </c>
      <c r="I5541" t="s">
        <v>1090</v>
      </c>
      <c r="J5541">
        <v>8.0399999999999991</v>
      </c>
    </row>
    <row r="5542" spans="1:10" hidden="1">
      <c r="A5542" t="s">
        <v>3748</v>
      </c>
      <c r="B5542" t="s">
        <v>3749</v>
      </c>
      <c r="C5542" t="s">
        <v>235</v>
      </c>
      <c r="D5542" t="s">
        <v>1427</v>
      </c>
      <c r="E5542" t="s">
        <v>559</v>
      </c>
      <c r="F5542" t="s">
        <v>1068</v>
      </c>
      <c r="G5542" t="s">
        <v>1069</v>
      </c>
      <c r="H5542">
        <v>-0.109328797074464</v>
      </c>
      <c r="I5542" t="s">
        <v>1070</v>
      </c>
      <c r="J5542">
        <v>8.51</v>
      </c>
    </row>
    <row r="5543" spans="1:10" hidden="1">
      <c r="A5543" t="s">
        <v>3748</v>
      </c>
      <c r="B5543" t="s">
        <v>3749</v>
      </c>
      <c r="C5543" t="s">
        <v>235</v>
      </c>
      <c r="D5543" t="s">
        <v>1427</v>
      </c>
      <c r="E5543" t="s">
        <v>559</v>
      </c>
      <c r="F5543" t="s">
        <v>1068</v>
      </c>
      <c r="G5543" t="s">
        <v>1071</v>
      </c>
      <c r="H5543" s="170">
        <v>-2.2240205459760001E-10</v>
      </c>
      <c r="I5543" t="s">
        <v>1072</v>
      </c>
      <c r="J5543">
        <v>8.51</v>
      </c>
    </row>
    <row r="5544" spans="1:10" hidden="1">
      <c r="A5544" t="s">
        <v>3748</v>
      </c>
      <c r="B5544" t="s">
        <v>3749</v>
      </c>
      <c r="C5544" t="s">
        <v>235</v>
      </c>
      <c r="D5544" t="s">
        <v>1427</v>
      </c>
      <c r="E5544" t="s">
        <v>559</v>
      </c>
      <c r="F5544" t="s">
        <v>1068</v>
      </c>
      <c r="G5544" t="s">
        <v>1073</v>
      </c>
      <c r="H5544" s="170">
        <v>-3.5891293304249799E-8</v>
      </c>
      <c r="I5544" t="s">
        <v>1074</v>
      </c>
      <c r="J5544">
        <v>8.51</v>
      </c>
    </row>
    <row r="5545" spans="1:10" hidden="1">
      <c r="A5545" t="s">
        <v>3748</v>
      </c>
      <c r="B5545" t="s">
        <v>3749</v>
      </c>
      <c r="C5545" t="s">
        <v>235</v>
      </c>
      <c r="D5545" t="s">
        <v>1427</v>
      </c>
      <c r="E5545" t="s">
        <v>559</v>
      </c>
      <c r="F5545" t="s">
        <v>1068</v>
      </c>
      <c r="G5545" t="s">
        <v>1075</v>
      </c>
      <c r="H5545">
        <v>-7.9060407202504498E-4</v>
      </c>
      <c r="I5545" t="s">
        <v>1077</v>
      </c>
      <c r="J5545">
        <v>8.51</v>
      </c>
    </row>
    <row r="5546" spans="1:10" hidden="1">
      <c r="A5546" t="s">
        <v>3748</v>
      </c>
      <c r="B5546" t="s">
        <v>3749</v>
      </c>
      <c r="C5546" t="s">
        <v>235</v>
      </c>
      <c r="D5546" t="s">
        <v>1427</v>
      </c>
      <c r="E5546" t="s">
        <v>559</v>
      </c>
      <c r="F5546" t="s">
        <v>1068</v>
      </c>
      <c r="G5546" t="s">
        <v>1078</v>
      </c>
      <c r="H5546">
        <v>-0.65753871977953204</v>
      </c>
      <c r="I5546" t="s">
        <v>1079</v>
      </c>
      <c r="J5546">
        <v>8.51</v>
      </c>
    </row>
    <row r="5547" spans="1:10" hidden="1">
      <c r="A5547" t="s">
        <v>3748</v>
      </c>
      <c r="B5547" t="s">
        <v>3749</v>
      </c>
      <c r="C5547" t="s">
        <v>235</v>
      </c>
      <c r="D5547" t="s">
        <v>1427</v>
      </c>
      <c r="E5547" t="s">
        <v>559</v>
      </c>
      <c r="F5547" t="s">
        <v>1068</v>
      </c>
      <c r="G5547" t="s">
        <v>1080</v>
      </c>
      <c r="H5547" s="171" t="s">
        <v>3750</v>
      </c>
      <c r="I5547" t="s">
        <v>1082</v>
      </c>
      <c r="J5547">
        <v>8.51</v>
      </c>
    </row>
    <row r="5548" spans="1:10" hidden="1">
      <c r="A5548" t="s">
        <v>3748</v>
      </c>
      <c r="B5548" t="s">
        <v>3749</v>
      </c>
      <c r="C5548" t="s">
        <v>235</v>
      </c>
      <c r="D5548" t="s">
        <v>1427</v>
      </c>
      <c r="E5548" t="s">
        <v>559</v>
      </c>
      <c r="F5548" t="s">
        <v>1068</v>
      </c>
      <c r="G5548" t="s">
        <v>1083</v>
      </c>
      <c r="H5548" s="170">
        <v>-2.3324395144454899E-5</v>
      </c>
      <c r="I5548" t="s">
        <v>1084</v>
      </c>
      <c r="J5548">
        <v>8.51</v>
      </c>
    </row>
    <row r="5549" spans="1:10" hidden="1">
      <c r="A5549" t="s">
        <v>3748</v>
      </c>
      <c r="B5549" t="s">
        <v>3749</v>
      </c>
      <c r="C5549" t="s">
        <v>235</v>
      </c>
      <c r="D5549" t="s">
        <v>1427</v>
      </c>
      <c r="E5549" t="s">
        <v>559</v>
      </c>
      <c r="F5549" t="s">
        <v>1068</v>
      </c>
      <c r="G5549" t="s">
        <v>1085</v>
      </c>
      <c r="H5549">
        <v>-2.0735411693053999E-4</v>
      </c>
      <c r="I5549" t="s">
        <v>1086</v>
      </c>
      <c r="J5549">
        <v>8.51</v>
      </c>
    </row>
    <row r="5550" spans="1:10" hidden="1">
      <c r="A5550" t="s">
        <v>3748</v>
      </c>
      <c r="B5550" t="s">
        <v>3749</v>
      </c>
      <c r="C5550" t="s">
        <v>235</v>
      </c>
      <c r="D5550" t="s">
        <v>1427</v>
      </c>
      <c r="E5550" t="s">
        <v>559</v>
      </c>
      <c r="F5550" t="s">
        <v>1068</v>
      </c>
      <c r="G5550" t="s">
        <v>1087</v>
      </c>
      <c r="H5550" s="171" t="s">
        <v>3751</v>
      </c>
      <c r="I5550" t="s">
        <v>1088</v>
      </c>
      <c r="J5550">
        <v>8.51</v>
      </c>
    </row>
    <row r="5551" spans="1:10" hidden="1">
      <c r="A5551" t="s">
        <v>3748</v>
      </c>
      <c r="B5551" t="s">
        <v>3749</v>
      </c>
      <c r="C5551" t="s">
        <v>235</v>
      </c>
      <c r="D5551" t="s">
        <v>1427</v>
      </c>
      <c r="E5551" t="s">
        <v>559</v>
      </c>
      <c r="F5551" t="s">
        <v>1068</v>
      </c>
      <c r="G5551" t="s">
        <v>1089</v>
      </c>
      <c r="H5551" s="170">
        <v>-3.1366815922168402E-5</v>
      </c>
      <c r="I5551" t="s">
        <v>1090</v>
      </c>
      <c r="J5551">
        <v>8.51</v>
      </c>
    </row>
    <row r="5552" spans="1:10" hidden="1">
      <c r="A5552" t="s">
        <v>3752</v>
      </c>
      <c r="B5552" t="s">
        <v>3753</v>
      </c>
      <c r="C5552" t="s">
        <v>235</v>
      </c>
      <c r="D5552" t="s">
        <v>1427</v>
      </c>
      <c r="E5552" t="s">
        <v>560</v>
      </c>
      <c r="F5552" t="s">
        <v>1068</v>
      </c>
      <c r="G5552" t="s">
        <v>1069</v>
      </c>
      <c r="H5552">
        <v>-0.106634212611379</v>
      </c>
      <c r="I5552" t="s">
        <v>1070</v>
      </c>
      <c r="J5552">
        <v>7.41</v>
      </c>
    </row>
    <row r="5553" spans="1:10" hidden="1">
      <c r="A5553" t="s">
        <v>3752</v>
      </c>
      <c r="B5553" t="s">
        <v>3753</v>
      </c>
      <c r="C5553" t="s">
        <v>235</v>
      </c>
      <c r="D5553" t="s">
        <v>1427</v>
      </c>
      <c r="E5553" t="s">
        <v>560</v>
      </c>
      <c r="F5553" t="s">
        <v>1068</v>
      </c>
      <c r="G5553" t="s">
        <v>1071</v>
      </c>
      <c r="H5553" s="170">
        <v>-2.1878656212016501E-10</v>
      </c>
      <c r="I5553" t="s">
        <v>1072</v>
      </c>
      <c r="J5553">
        <v>7.41</v>
      </c>
    </row>
    <row r="5554" spans="1:10" hidden="1">
      <c r="A5554" t="s">
        <v>3752</v>
      </c>
      <c r="B5554" t="s">
        <v>3753</v>
      </c>
      <c r="C5554" t="s">
        <v>235</v>
      </c>
      <c r="D5554" t="s">
        <v>1427</v>
      </c>
      <c r="E5554" t="s">
        <v>560</v>
      </c>
      <c r="F5554" t="s">
        <v>1068</v>
      </c>
      <c r="G5554" t="s">
        <v>1073</v>
      </c>
      <c r="H5554" s="170">
        <v>-3.4935519221387802E-8</v>
      </c>
      <c r="I5554" t="s">
        <v>1074</v>
      </c>
      <c r="J5554">
        <v>7.41</v>
      </c>
    </row>
    <row r="5555" spans="1:10" hidden="1">
      <c r="A5555" t="s">
        <v>3752</v>
      </c>
      <c r="B5555" t="s">
        <v>3753</v>
      </c>
      <c r="C5555" t="s">
        <v>235</v>
      </c>
      <c r="D5555" t="s">
        <v>1427</v>
      </c>
      <c r="E5555" t="s">
        <v>560</v>
      </c>
      <c r="F5555" t="s">
        <v>1068</v>
      </c>
      <c r="G5555" t="s">
        <v>1075</v>
      </c>
      <c r="H5555">
        <v>-8.1716794774561305E-4</v>
      </c>
      <c r="I5555" t="s">
        <v>1077</v>
      </c>
      <c r="J5555">
        <v>7.41</v>
      </c>
    </row>
    <row r="5556" spans="1:10" hidden="1">
      <c r="A5556" t="s">
        <v>3752</v>
      </c>
      <c r="B5556" t="s">
        <v>3753</v>
      </c>
      <c r="C5556" t="s">
        <v>235</v>
      </c>
      <c r="D5556" t="s">
        <v>1427</v>
      </c>
      <c r="E5556" t="s">
        <v>560</v>
      </c>
      <c r="F5556" t="s">
        <v>1068</v>
      </c>
      <c r="G5556" t="s">
        <v>1078</v>
      </c>
      <c r="H5556">
        <v>-0.70071651099514798</v>
      </c>
      <c r="I5556" t="s">
        <v>1079</v>
      </c>
      <c r="J5556">
        <v>7.41</v>
      </c>
    </row>
    <row r="5557" spans="1:10" hidden="1">
      <c r="A5557" t="s">
        <v>3752</v>
      </c>
      <c r="B5557" t="s">
        <v>3753</v>
      </c>
      <c r="C5557" t="s">
        <v>235</v>
      </c>
      <c r="D5557" t="s">
        <v>1427</v>
      </c>
      <c r="E5557" t="s">
        <v>560</v>
      </c>
      <c r="F5557" t="s">
        <v>1068</v>
      </c>
      <c r="G5557" t="s">
        <v>1080</v>
      </c>
      <c r="H5557" s="171" t="s">
        <v>3754</v>
      </c>
      <c r="I5557" t="s">
        <v>1082</v>
      </c>
      <c r="J5557">
        <v>7.41</v>
      </c>
    </row>
    <row r="5558" spans="1:10" hidden="1">
      <c r="A5558" t="s">
        <v>3752</v>
      </c>
      <c r="B5558" t="s">
        <v>3753</v>
      </c>
      <c r="C5558" t="s">
        <v>235</v>
      </c>
      <c r="D5558" t="s">
        <v>1427</v>
      </c>
      <c r="E5558" t="s">
        <v>560</v>
      </c>
      <c r="F5558" t="s">
        <v>1068</v>
      </c>
      <c r="G5558" t="s">
        <v>1083</v>
      </c>
      <c r="H5558" s="170">
        <v>-2.2911774565489799E-5</v>
      </c>
      <c r="I5558" t="s">
        <v>1084</v>
      </c>
      <c r="J5558">
        <v>7.41</v>
      </c>
    </row>
    <row r="5559" spans="1:10" hidden="1">
      <c r="A5559" t="s">
        <v>3752</v>
      </c>
      <c r="B5559" t="s">
        <v>3753</v>
      </c>
      <c r="C5559" t="s">
        <v>235</v>
      </c>
      <c r="D5559" t="s">
        <v>1427</v>
      </c>
      <c r="E5559" t="s">
        <v>560</v>
      </c>
      <c r="F5559" t="s">
        <v>1068</v>
      </c>
      <c r="G5559" t="s">
        <v>1085</v>
      </c>
      <c r="H5559">
        <v>-2.0328175627969E-4</v>
      </c>
      <c r="I5559" t="s">
        <v>1086</v>
      </c>
      <c r="J5559">
        <v>7.41</v>
      </c>
    </row>
    <row r="5560" spans="1:10" hidden="1">
      <c r="A5560" t="s">
        <v>3752</v>
      </c>
      <c r="B5560" t="s">
        <v>3753</v>
      </c>
      <c r="C5560" t="s">
        <v>235</v>
      </c>
      <c r="D5560" t="s">
        <v>1427</v>
      </c>
      <c r="E5560" t="s">
        <v>560</v>
      </c>
      <c r="F5560" t="s">
        <v>1068</v>
      </c>
      <c r="G5560" t="s">
        <v>1087</v>
      </c>
      <c r="H5560" s="171" t="s">
        <v>3755</v>
      </c>
      <c r="I5560" t="s">
        <v>1088</v>
      </c>
      <c r="J5560">
        <v>7.41</v>
      </c>
    </row>
    <row r="5561" spans="1:10" hidden="1">
      <c r="A5561" t="s">
        <v>3752</v>
      </c>
      <c r="B5561" t="s">
        <v>3753</v>
      </c>
      <c r="C5561" t="s">
        <v>235</v>
      </c>
      <c r="D5561" t="s">
        <v>1427</v>
      </c>
      <c r="E5561" t="s">
        <v>560</v>
      </c>
      <c r="F5561" t="s">
        <v>1068</v>
      </c>
      <c r="G5561" t="s">
        <v>1089</v>
      </c>
      <c r="H5561" s="170">
        <v>-3.0406156329485002E-5</v>
      </c>
      <c r="I5561" t="s">
        <v>1090</v>
      </c>
      <c r="J5561">
        <v>7.41</v>
      </c>
    </row>
    <row r="5562" spans="1:10" hidden="1">
      <c r="A5562" t="s">
        <v>3756</v>
      </c>
      <c r="B5562" t="s">
        <v>3757</v>
      </c>
      <c r="C5562" t="s">
        <v>235</v>
      </c>
      <c r="D5562" t="s">
        <v>1427</v>
      </c>
      <c r="E5562" t="s">
        <v>1116</v>
      </c>
      <c r="F5562" t="s">
        <v>1068</v>
      </c>
      <c r="G5562" t="s">
        <v>1069</v>
      </c>
      <c r="H5562">
        <v>-9.4877764510906099E-2</v>
      </c>
      <c r="I5562" t="s">
        <v>1070</v>
      </c>
      <c r="J5562">
        <v>7.86</v>
      </c>
    </row>
    <row r="5563" spans="1:10" hidden="1">
      <c r="A5563" t="s">
        <v>3756</v>
      </c>
      <c r="B5563" t="s">
        <v>3757</v>
      </c>
      <c r="C5563" t="s">
        <v>235</v>
      </c>
      <c r="D5563" t="s">
        <v>1427</v>
      </c>
      <c r="E5563" t="s">
        <v>1116</v>
      </c>
      <c r="F5563" t="s">
        <v>1068</v>
      </c>
      <c r="G5563" t="s">
        <v>1071</v>
      </c>
      <c r="H5563" s="170">
        <v>-2.0196295113663599E-10</v>
      </c>
      <c r="I5563" t="s">
        <v>1072</v>
      </c>
      <c r="J5563">
        <v>7.86</v>
      </c>
    </row>
    <row r="5564" spans="1:10" hidden="1">
      <c r="A5564" t="s">
        <v>3756</v>
      </c>
      <c r="B5564" t="s">
        <v>3757</v>
      </c>
      <c r="C5564" t="s">
        <v>235</v>
      </c>
      <c r="D5564" t="s">
        <v>1427</v>
      </c>
      <c r="E5564" t="s">
        <v>1116</v>
      </c>
      <c r="F5564" t="s">
        <v>1068</v>
      </c>
      <c r="G5564" t="s">
        <v>1073</v>
      </c>
      <c r="H5564" s="170">
        <v>-3.0759591656433101E-8</v>
      </c>
      <c r="I5564" t="s">
        <v>1074</v>
      </c>
      <c r="J5564">
        <v>7.86</v>
      </c>
    </row>
    <row r="5565" spans="1:10" hidden="1">
      <c r="A5565" t="s">
        <v>3756</v>
      </c>
      <c r="B5565" t="s">
        <v>3757</v>
      </c>
      <c r="C5565" t="s">
        <v>235</v>
      </c>
      <c r="D5565" t="s">
        <v>1427</v>
      </c>
      <c r="E5565" t="s">
        <v>1116</v>
      </c>
      <c r="F5565" t="s">
        <v>1068</v>
      </c>
      <c r="G5565" t="s">
        <v>1075</v>
      </c>
      <c r="H5565">
        <v>-4.4553406423504402E-4</v>
      </c>
      <c r="I5565" t="s">
        <v>1077</v>
      </c>
      <c r="J5565">
        <v>7.86</v>
      </c>
    </row>
    <row r="5566" spans="1:10" hidden="1">
      <c r="A5566" t="s">
        <v>3756</v>
      </c>
      <c r="B5566" t="s">
        <v>3757</v>
      </c>
      <c r="C5566" t="s">
        <v>235</v>
      </c>
      <c r="D5566" t="s">
        <v>1427</v>
      </c>
      <c r="E5566" t="s">
        <v>1116</v>
      </c>
      <c r="F5566" t="s">
        <v>1068</v>
      </c>
      <c r="G5566" t="s">
        <v>1078</v>
      </c>
      <c r="H5566">
        <v>-0.68464562833381604</v>
      </c>
      <c r="I5566" t="s">
        <v>1079</v>
      </c>
      <c r="J5566">
        <v>7.86</v>
      </c>
    </row>
    <row r="5567" spans="1:10" hidden="1">
      <c r="A5567" t="s">
        <v>3756</v>
      </c>
      <c r="B5567" t="s">
        <v>3757</v>
      </c>
      <c r="C5567" t="s">
        <v>235</v>
      </c>
      <c r="D5567" t="s">
        <v>1427</v>
      </c>
      <c r="E5567" t="s">
        <v>1116</v>
      </c>
      <c r="F5567" t="s">
        <v>1068</v>
      </c>
      <c r="G5567" t="s">
        <v>1080</v>
      </c>
      <c r="H5567" s="171" t="s">
        <v>3758</v>
      </c>
      <c r="I5567" t="s">
        <v>1082</v>
      </c>
      <c r="J5567">
        <v>7.86</v>
      </c>
    </row>
    <row r="5568" spans="1:10" hidden="1">
      <c r="A5568" t="s">
        <v>3756</v>
      </c>
      <c r="B5568" t="s">
        <v>3757</v>
      </c>
      <c r="C5568" t="s">
        <v>235</v>
      </c>
      <c r="D5568" t="s">
        <v>1427</v>
      </c>
      <c r="E5568" t="s">
        <v>1116</v>
      </c>
      <c r="F5568" t="s">
        <v>1068</v>
      </c>
      <c r="G5568" t="s">
        <v>1083</v>
      </c>
      <c r="H5568" s="170">
        <v>-2.1124786842394202E-5</v>
      </c>
      <c r="I5568" t="s">
        <v>1084</v>
      </c>
      <c r="J5568">
        <v>7.86</v>
      </c>
    </row>
    <row r="5569" spans="1:10" hidden="1">
      <c r="A5569" t="s">
        <v>3756</v>
      </c>
      <c r="B5569" t="s">
        <v>3757</v>
      </c>
      <c r="C5569" t="s">
        <v>235</v>
      </c>
      <c r="D5569" t="s">
        <v>1427</v>
      </c>
      <c r="E5569" t="s">
        <v>1116</v>
      </c>
      <c r="F5569" t="s">
        <v>1068</v>
      </c>
      <c r="G5569" t="s">
        <v>1085</v>
      </c>
      <c r="H5569">
        <v>-1.8308516818639701E-4</v>
      </c>
      <c r="I5569" t="s">
        <v>1086</v>
      </c>
      <c r="J5569">
        <v>7.86</v>
      </c>
    </row>
    <row r="5570" spans="1:10" hidden="1">
      <c r="A5570" t="s">
        <v>3756</v>
      </c>
      <c r="B5570" t="s">
        <v>3757</v>
      </c>
      <c r="C5570" t="s">
        <v>235</v>
      </c>
      <c r="D5570" t="s">
        <v>1427</v>
      </c>
      <c r="E5570" t="s">
        <v>1116</v>
      </c>
      <c r="F5570" t="s">
        <v>1068</v>
      </c>
      <c r="G5570" t="s">
        <v>1087</v>
      </c>
      <c r="H5570" s="171" t="s">
        <v>3759</v>
      </c>
      <c r="I5570" t="s">
        <v>1088</v>
      </c>
      <c r="J5570">
        <v>7.86</v>
      </c>
    </row>
    <row r="5571" spans="1:10" hidden="1">
      <c r="A5571" t="s">
        <v>3756</v>
      </c>
      <c r="B5571" t="s">
        <v>3757</v>
      </c>
      <c r="C5571" t="s">
        <v>235</v>
      </c>
      <c r="D5571" t="s">
        <v>1427</v>
      </c>
      <c r="E5571" t="s">
        <v>1116</v>
      </c>
      <c r="F5571" t="s">
        <v>1068</v>
      </c>
      <c r="G5571" t="s">
        <v>1089</v>
      </c>
      <c r="H5571" s="170">
        <v>-2.62396400887698E-5</v>
      </c>
      <c r="I5571" t="s">
        <v>1090</v>
      </c>
      <c r="J5571">
        <v>7.86</v>
      </c>
    </row>
    <row r="5572" spans="1:10" hidden="1">
      <c r="A5572" t="s">
        <v>3760</v>
      </c>
      <c r="B5572" t="s">
        <v>3761</v>
      </c>
      <c r="C5572" t="s">
        <v>235</v>
      </c>
      <c r="D5572" t="s">
        <v>3762</v>
      </c>
      <c r="E5572" t="s">
        <v>561</v>
      </c>
      <c r="F5572" t="s">
        <v>1068</v>
      </c>
      <c r="G5572" t="s">
        <v>1069</v>
      </c>
      <c r="H5572">
        <v>7.1979446524397306E-2</v>
      </c>
      <c r="I5572" t="s">
        <v>1070</v>
      </c>
      <c r="J5572">
        <v>7.03</v>
      </c>
    </row>
    <row r="5573" spans="1:10" hidden="1">
      <c r="A5573" t="s">
        <v>3760</v>
      </c>
      <c r="B5573" t="s">
        <v>3761</v>
      </c>
      <c r="C5573" t="s">
        <v>235</v>
      </c>
      <c r="D5573" t="s">
        <v>3762</v>
      </c>
      <c r="E5573" t="s">
        <v>561</v>
      </c>
      <c r="F5573" t="s">
        <v>1068</v>
      </c>
      <c r="G5573" t="s">
        <v>1071</v>
      </c>
      <c r="H5573" s="171" t="s">
        <v>3763</v>
      </c>
      <c r="I5573" t="s">
        <v>1072</v>
      </c>
      <c r="J5573">
        <v>7.03</v>
      </c>
    </row>
    <row r="5574" spans="1:10" hidden="1">
      <c r="A5574" t="s">
        <v>3760</v>
      </c>
      <c r="B5574" t="s">
        <v>3761</v>
      </c>
      <c r="C5574" t="s">
        <v>235</v>
      </c>
      <c r="D5574" t="s">
        <v>3762</v>
      </c>
      <c r="E5574" t="s">
        <v>561</v>
      </c>
      <c r="F5574" t="s">
        <v>1068</v>
      </c>
      <c r="G5574" t="s">
        <v>1073</v>
      </c>
      <c r="H5574" s="171" t="s">
        <v>3764</v>
      </c>
      <c r="I5574" t="s">
        <v>1074</v>
      </c>
      <c r="J5574">
        <v>7.03</v>
      </c>
    </row>
    <row r="5575" spans="1:10" hidden="1">
      <c r="A5575" t="s">
        <v>3760</v>
      </c>
      <c r="B5575" t="s">
        <v>3761</v>
      </c>
      <c r="C5575" t="s">
        <v>235</v>
      </c>
      <c r="D5575" t="s">
        <v>3762</v>
      </c>
      <c r="E5575" t="s">
        <v>561</v>
      </c>
      <c r="F5575" t="s">
        <v>1068</v>
      </c>
      <c r="G5575" t="s">
        <v>1075</v>
      </c>
      <c r="H5575">
        <v>3.47080617804005E-3</v>
      </c>
      <c r="I5575" t="s">
        <v>1077</v>
      </c>
      <c r="J5575">
        <v>7.03</v>
      </c>
    </row>
    <row r="5576" spans="1:10" hidden="1">
      <c r="A5576" t="s">
        <v>3760</v>
      </c>
      <c r="B5576" t="s">
        <v>3761</v>
      </c>
      <c r="C5576" t="s">
        <v>235</v>
      </c>
      <c r="D5576" t="s">
        <v>3762</v>
      </c>
      <c r="E5576" t="s">
        <v>561</v>
      </c>
      <c r="F5576" t="s">
        <v>1068</v>
      </c>
      <c r="G5576" t="s">
        <v>1078</v>
      </c>
      <c r="H5576" s="171" t="s">
        <v>3765</v>
      </c>
      <c r="I5576" t="s">
        <v>1079</v>
      </c>
      <c r="J5576">
        <v>7.03</v>
      </c>
    </row>
    <row r="5577" spans="1:10" hidden="1">
      <c r="A5577" t="s">
        <v>3760</v>
      </c>
      <c r="B5577" t="s">
        <v>3761</v>
      </c>
      <c r="C5577" t="s">
        <v>235</v>
      </c>
      <c r="D5577" t="s">
        <v>3762</v>
      </c>
      <c r="E5577" t="s">
        <v>561</v>
      </c>
      <c r="F5577" t="s">
        <v>1068</v>
      </c>
      <c r="G5577" t="s">
        <v>1080</v>
      </c>
      <c r="H5577" s="171" t="s">
        <v>3766</v>
      </c>
      <c r="I5577" t="s">
        <v>1082</v>
      </c>
      <c r="J5577">
        <v>7.03</v>
      </c>
    </row>
    <row r="5578" spans="1:10" hidden="1">
      <c r="A5578" t="s">
        <v>3760</v>
      </c>
      <c r="B5578" t="s">
        <v>3761</v>
      </c>
      <c r="C5578" t="s">
        <v>235</v>
      </c>
      <c r="D5578" t="s">
        <v>3762</v>
      </c>
      <c r="E5578" t="s">
        <v>561</v>
      </c>
      <c r="F5578" t="s">
        <v>1068</v>
      </c>
      <c r="G5578" t="s">
        <v>1083</v>
      </c>
      <c r="H5578" s="171" t="s">
        <v>3767</v>
      </c>
      <c r="I5578" t="s">
        <v>1084</v>
      </c>
      <c r="J5578">
        <v>7.03</v>
      </c>
    </row>
    <row r="5579" spans="1:10" hidden="1">
      <c r="A5579" t="s">
        <v>3760</v>
      </c>
      <c r="B5579" t="s">
        <v>3761</v>
      </c>
      <c r="C5579" t="s">
        <v>235</v>
      </c>
      <c r="D5579" t="s">
        <v>3762</v>
      </c>
      <c r="E5579" t="s">
        <v>561</v>
      </c>
      <c r="F5579" t="s">
        <v>1068</v>
      </c>
      <c r="G5579" t="s">
        <v>1085</v>
      </c>
      <c r="H5579" s="171" t="s">
        <v>3768</v>
      </c>
      <c r="I5579" t="s">
        <v>1086</v>
      </c>
      <c r="J5579">
        <v>7.03</v>
      </c>
    </row>
    <row r="5580" spans="1:10" hidden="1">
      <c r="A5580" t="s">
        <v>3760</v>
      </c>
      <c r="B5580" t="s">
        <v>3761</v>
      </c>
      <c r="C5580" t="s">
        <v>235</v>
      </c>
      <c r="D5580" t="s">
        <v>3762</v>
      </c>
      <c r="E5580" t="s">
        <v>561</v>
      </c>
      <c r="F5580" t="s">
        <v>1068</v>
      </c>
      <c r="G5580" t="s">
        <v>1087</v>
      </c>
      <c r="H5580" s="171" t="s">
        <v>3769</v>
      </c>
      <c r="I5580" t="s">
        <v>1088</v>
      </c>
      <c r="J5580">
        <v>7.03</v>
      </c>
    </row>
    <row r="5581" spans="1:10" hidden="1">
      <c r="A5581" t="s">
        <v>3760</v>
      </c>
      <c r="B5581" t="s">
        <v>3761</v>
      </c>
      <c r="C5581" t="s">
        <v>235</v>
      </c>
      <c r="D5581" t="s">
        <v>3762</v>
      </c>
      <c r="E5581" t="s">
        <v>561</v>
      </c>
      <c r="F5581" t="s">
        <v>1068</v>
      </c>
      <c r="G5581" t="s">
        <v>1089</v>
      </c>
      <c r="H5581" s="171" t="s">
        <v>3770</v>
      </c>
      <c r="I5581" t="s">
        <v>1090</v>
      </c>
      <c r="J5581">
        <v>7.03</v>
      </c>
    </row>
    <row r="5582" spans="1:10" hidden="1">
      <c r="A5582" t="s">
        <v>3771</v>
      </c>
      <c r="B5582" s="170" t="s">
        <v>3772</v>
      </c>
      <c r="C5582" t="s">
        <v>235</v>
      </c>
      <c r="D5582" t="s">
        <v>3762</v>
      </c>
      <c r="E5582" t="s">
        <v>555</v>
      </c>
      <c r="F5582" t="s">
        <v>1068</v>
      </c>
      <c r="G5582" t="s">
        <v>1069</v>
      </c>
      <c r="H5582">
        <v>7.2020532332944101E-2</v>
      </c>
      <c r="I5582" t="s">
        <v>1070</v>
      </c>
      <c r="J5582">
        <v>7.54</v>
      </c>
    </row>
    <row r="5583" spans="1:10" hidden="1">
      <c r="A5583" t="s">
        <v>3771</v>
      </c>
      <c r="B5583" s="170" t="s">
        <v>3772</v>
      </c>
      <c r="C5583" t="s">
        <v>235</v>
      </c>
      <c r="D5583" t="s">
        <v>3762</v>
      </c>
      <c r="E5583" t="s">
        <v>555</v>
      </c>
      <c r="F5583" t="s">
        <v>1068</v>
      </c>
      <c r="G5583" t="s">
        <v>1071</v>
      </c>
      <c r="H5583" s="171" t="s">
        <v>3773</v>
      </c>
      <c r="I5583" t="s">
        <v>1072</v>
      </c>
      <c r="J5583">
        <v>7.54</v>
      </c>
    </row>
    <row r="5584" spans="1:10" hidden="1">
      <c r="A5584" t="s">
        <v>3771</v>
      </c>
      <c r="B5584" s="170" t="s">
        <v>3772</v>
      </c>
      <c r="C5584" t="s">
        <v>235</v>
      </c>
      <c r="D5584" t="s">
        <v>3762</v>
      </c>
      <c r="E5584" t="s">
        <v>555</v>
      </c>
      <c r="F5584" t="s">
        <v>1068</v>
      </c>
      <c r="G5584" t="s">
        <v>1073</v>
      </c>
      <c r="H5584" s="171" t="s">
        <v>3774</v>
      </c>
      <c r="I5584" t="s">
        <v>1074</v>
      </c>
      <c r="J5584">
        <v>7.54</v>
      </c>
    </row>
    <row r="5585" spans="1:10" hidden="1">
      <c r="A5585" t="s">
        <v>3771</v>
      </c>
      <c r="B5585" s="170" t="s">
        <v>3772</v>
      </c>
      <c r="C5585" t="s">
        <v>235</v>
      </c>
      <c r="D5585" t="s">
        <v>3762</v>
      </c>
      <c r="E5585" t="s">
        <v>555</v>
      </c>
      <c r="F5585" t="s">
        <v>1068</v>
      </c>
      <c r="G5585" t="s">
        <v>1075</v>
      </c>
      <c r="H5585">
        <v>3.47128238559018E-3</v>
      </c>
      <c r="I5585" t="s">
        <v>1077</v>
      </c>
      <c r="J5585">
        <v>7.54</v>
      </c>
    </row>
    <row r="5586" spans="1:10" hidden="1">
      <c r="A5586" t="s">
        <v>3771</v>
      </c>
      <c r="B5586" s="170" t="s">
        <v>3772</v>
      </c>
      <c r="C5586" t="s">
        <v>235</v>
      </c>
      <c r="D5586" t="s">
        <v>3762</v>
      </c>
      <c r="E5586" t="s">
        <v>555</v>
      </c>
      <c r="F5586" t="s">
        <v>1068</v>
      </c>
      <c r="G5586" t="s">
        <v>1078</v>
      </c>
      <c r="H5586" s="171" t="s">
        <v>3775</v>
      </c>
      <c r="I5586" t="s">
        <v>1079</v>
      </c>
      <c r="J5586">
        <v>7.54</v>
      </c>
    </row>
    <row r="5587" spans="1:10" hidden="1">
      <c r="A5587" t="s">
        <v>3771</v>
      </c>
      <c r="B5587" s="170" t="s">
        <v>3772</v>
      </c>
      <c r="C5587" t="s">
        <v>235</v>
      </c>
      <c r="D5587" t="s">
        <v>3762</v>
      </c>
      <c r="E5587" t="s">
        <v>555</v>
      </c>
      <c r="F5587" t="s">
        <v>1068</v>
      </c>
      <c r="G5587" t="s">
        <v>1080</v>
      </c>
      <c r="H5587" s="171" t="s">
        <v>3776</v>
      </c>
      <c r="I5587" t="s">
        <v>1082</v>
      </c>
      <c r="J5587">
        <v>7.54</v>
      </c>
    </row>
    <row r="5588" spans="1:10" hidden="1">
      <c r="A5588" t="s">
        <v>3771</v>
      </c>
      <c r="B5588" s="170" t="s">
        <v>3772</v>
      </c>
      <c r="C5588" t="s">
        <v>235</v>
      </c>
      <c r="D5588" t="s">
        <v>3762</v>
      </c>
      <c r="E5588" t="s">
        <v>555</v>
      </c>
      <c r="F5588" t="s">
        <v>1068</v>
      </c>
      <c r="G5588" t="s">
        <v>1083</v>
      </c>
      <c r="H5588" s="171" t="s">
        <v>3777</v>
      </c>
      <c r="I5588" t="s">
        <v>1084</v>
      </c>
      <c r="J5588">
        <v>7.54</v>
      </c>
    </row>
    <row r="5589" spans="1:10" hidden="1">
      <c r="A5589" t="s">
        <v>3771</v>
      </c>
      <c r="B5589" s="170" t="s">
        <v>3772</v>
      </c>
      <c r="C5589" t="s">
        <v>235</v>
      </c>
      <c r="D5589" t="s">
        <v>3762</v>
      </c>
      <c r="E5589" t="s">
        <v>555</v>
      </c>
      <c r="F5589" t="s">
        <v>1068</v>
      </c>
      <c r="G5589" t="s">
        <v>1085</v>
      </c>
      <c r="H5589" s="171" t="s">
        <v>3778</v>
      </c>
      <c r="I5589" t="s">
        <v>1086</v>
      </c>
      <c r="J5589">
        <v>7.54</v>
      </c>
    </row>
    <row r="5590" spans="1:10" hidden="1">
      <c r="A5590" t="s">
        <v>3771</v>
      </c>
      <c r="B5590" s="170" t="s">
        <v>3772</v>
      </c>
      <c r="C5590" t="s">
        <v>235</v>
      </c>
      <c r="D5590" t="s">
        <v>3762</v>
      </c>
      <c r="E5590" t="s">
        <v>555</v>
      </c>
      <c r="F5590" t="s">
        <v>1068</v>
      </c>
      <c r="G5590" t="s">
        <v>1087</v>
      </c>
      <c r="H5590" s="171" t="s">
        <v>3779</v>
      </c>
      <c r="I5590" t="s">
        <v>1088</v>
      </c>
      <c r="J5590">
        <v>7.54</v>
      </c>
    </row>
    <row r="5591" spans="1:10" hidden="1">
      <c r="A5591" t="s">
        <v>3771</v>
      </c>
      <c r="B5591" s="170" t="s">
        <v>3772</v>
      </c>
      <c r="C5591" t="s">
        <v>235</v>
      </c>
      <c r="D5591" t="s">
        <v>3762</v>
      </c>
      <c r="E5591" t="s">
        <v>555</v>
      </c>
      <c r="F5591" t="s">
        <v>1068</v>
      </c>
      <c r="G5591" t="s">
        <v>1089</v>
      </c>
      <c r="H5591" s="171" t="s">
        <v>3780</v>
      </c>
      <c r="I5591" t="s">
        <v>1090</v>
      </c>
      <c r="J5591">
        <v>7.54</v>
      </c>
    </row>
    <row r="5592" spans="1:10" hidden="1">
      <c r="A5592" t="s">
        <v>3781</v>
      </c>
      <c r="B5592" t="s">
        <v>3782</v>
      </c>
      <c r="C5592" t="s">
        <v>235</v>
      </c>
      <c r="D5592" t="s">
        <v>3762</v>
      </c>
      <c r="E5592" t="s">
        <v>558</v>
      </c>
      <c r="F5592" t="s">
        <v>1068</v>
      </c>
      <c r="G5592" t="s">
        <v>1069</v>
      </c>
      <c r="H5592">
        <v>7.1978185750451798E-2</v>
      </c>
      <c r="I5592" t="s">
        <v>1070</v>
      </c>
      <c r="J5592">
        <v>7.29</v>
      </c>
    </row>
    <row r="5593" spans="1:10" hidden="1">
      <c r="A5593" t="s">
        <v>3781</v>
      </c>
      <c r="B5593" t="s">
        <v>3782</v>
      </c>
      <c r="C5593" t="s">
        <v>235</v>
      </c>
      <c r="D5593" t="s">
        <v>3762</v>
      </c>
      <c r="E5593" t="s">
        <v>558</v>
      </c>
      <c r="F5593" t="s">
        <v>1068</v>
      </c>
      <c r="G5593" t="s">
        <v>1071</v>
      </c>
      <c r="H5593" s="171" t="s">
        <v>3783</v>
      </c>
      <c r="I5593" t="s">
        <v>1072</v>
      </c>
      <c r="J5593">
        <v>7.29</v>
      </c>
    </row>
    <row r="5594" spans="1:10" hidden="1">
      <c r="A5594" t="s">
        <v>3781</v>
      </c>
      <c r="B5594" t="s">
        <v>3782</v>
      </c>
      <c r="C5594" t="s">
        <v>235</v>
      </c>
      <c r="D5594" t="s">
        <v>3762</v>
      </c>
      <c r="E5594" t="s">
        <v>558</v>
      </c>
      <c r="F5594" t="s">
        <v>1068</v>
      </c>
      <c r="G5594" t="s">
        <v>1073</v>
      </c>
      <c r="H5594" s="171" t="s">
        <v>3784</v>
      </c>
      <c r="I5594" t="s">
        <v>1074</v>
      </c>
      <c r="J5594">
        <v>7.29</v>
      </c>
    </row>
    <row r="5595" spans="1:10" hidden="1">
      <c r="A5595" t="s">
        <v>3781</v>
      </c>
      <c r="B5595" t="s">
        <v>3782</v>
      </c>
      <c r="C5595" t="s">
        <v>235</v>
      </c>
      <c r="D5595" t="s">
        <v>3762</v>
      </c>
      <c r="E5595" t="s">
        <v>558</v>
      </c>
      <c r="F5595" t="s">
        <v>1068</v>
      </c>
      <c r="G5595" t="s">
        <v>1075</v>
      </c>
      <c r="H5595">
        <v>3.4707663236287901E-3</v>
      </c>
      <c r="I5595" t="s">
        <v>1077</v>
      </c>
      <c r="J5595">
        <v>7.29</v>
      </c>
    </row>
    <row r="5596" spans="1:10" hidden="1">
      <c r="A5596" t="s">
        <v>3781</v>
      </c>
      <c r="B5596" t="s">
        <v>3782</v>
      </c>
      <c r="C5596" t="s">
        <v>235</v>
      </c>
      <c r="D5596" t="s">
        <v>3762</v>
      </c>
      <c r="E5596" t="s">
        <v>558</v>
      </c>
      <c r="F5596" t="s">
        <v>1068</v>
      </c>
      <c r="G5596" t="s">
        <v>1078</v>
      </c>
      <c r="H5596" s="171" t="s">
        <v>3785</v>
      </c>
      <c r="I5596" t="s">
        <v>1079</v>
      </c>
      <c r="J5596">
        <v>7.29</v>
      </c>
    </row>
    <row r="5597" spans="1:10" hidden="1">
      <c r="A5597" t="s">
        <v>3781</v>
      </c>
      <c r="B5597" t="s">
        <v>3782</v>
      </c>
      <c r="C5597" t="s">
        <v>235</v>
      </c>
      <c r="D5597" t="s">
        <v>3762</v>
      </c>
      <c r="E5597" t="s">
        <v>558</v>
      </c>
      <c r="F5597" t="s">
        <v>1068</v>
      </c>
      <c r="G5597" t="s">
        <v>1080</v>
      </c>
      <c r="H5597" s="171" t="s">
        <v>3786</v>
      </c>
      <c r="I5597" t="s">
        <v>1082</v>
      </c>
      <c r="J5597">
        <v>7.29</v>
      </c>
    </row>
    <row r="5598" spans="1:10" hidden="1">
      <c r="A5598" t="s">
        <v>3781</v>
      </c>
      <c r="B5598" t="s">
        <v>3782</v>
      </c>
      <c r="C5598" t="s">
        <v>235</v>
      </c>
      <c r="D5598" t="s">
        <v>3762</v>
      </c>
      <c r="E5598" t="s">
        <v>558</v>
      </c>
      <c r="F5598" t="s">
        <v>1068</v>
      </c>
      <c r="G5598" t="s">
        <v>1083</v>
      </c>
      <c r="H5598" s="171" t="s">
        <v>3787</v>
      </c>
      <c r="I5598" t="s">
        <v>1084</v>
      </c>
      <c r="J5598">
        <v>7.29</v>
      </c>
    </row>
    <row r="5599" spans="1:10" hidden="1">
      <c r="A5599" t="s">
        <v>3781</v>
      </c>
      <c r="B5599" t="s">
        <v>3782</v>
      </c>
      <c r="C5599" t="s">
        <v>235</v>
      </c>
      <c r="D5599" t="s">
        <v>3762</v>
      </c>
      <c r="E5599" t="s">
        <v>558</v>
      </c>
      <c r="F5599" t="s">
        <v>1068</v>
      </c>
      <c r="G5599" t="s">
        <v>1085</v>
      </c>
      <c r="H5599" s="171" t="s">
        <v>3788</v>
      </c>
      <c r="I5599" t="s">
        <v>1086</v>
      </c>
      <c r="J5599">
        <v>7.29</v>
      </c>
    </row>
    <row r="5600" spans="1:10" hidden="1">
      <c r="A5600" t="s">
        <v>3781</v>
      </c>
      <c r="B5600" t="s">
        <v>3782</v>
      </c>
      <c r="C5600" t="s">
        <v>235</v>
      </c>
      <c r="D5600" t="s">
        <v>3762</v>
      </c>
      <c r="E5600" t="s">
        <v>558</v>
      </c>
      <c r="F5600" t="s">
        <v>1068</v>
      </c>
      <c r="G5600" t="s">
        <v>1087</v>
      </c>
      <c r="H5600" s="171" t="s">
        <v>3789</v>
      </c>
      <c r="I5600" t="s">
        <v>1088</v>
      </c>
      <c r="J5600">
        <v>7.29</v>
      </c>
    </row>
    <row r="5601" spans="1:10" hidden="1">
      <c r="A5601" t="s">
        <v>3781</v>
      </c>
      <c r="B5601" t="s">
        <v>3782</v>
      </c>
      <c r="C5601" t="s">
        <v>235</v>
      </c>
      <c r="D5601" t="s">
        <v>3762</v>
      </c>
      <c r="E5601" t="s">
        <v>558</v>
      </c>
      <c r="F5601" t="s">
        <v>1068</v>
      </c>
      <c r="G5601" t="s">
        <v>1089</v>
      </c>
      <c r="H5601" s="171" t="s">
        <v>3790</v>
      </c>
      <c r="I5601" t="s">
        <v>1090</v>
      </c>
      <c r="J5601">
        <v>7.29</v>
      </c>
    </row>
    <row r="5602" spans="1:10" hidden="1">
      <c r="A5602" t="s">
        <v>3791</v>
      </c>
      <c r="B5602" t="s">
        <v>3792</v>
      </c>
      <c r="C5602" t="s">
        <v>235</v>
      </c>
      <c r="D5602" t="s">
        <v>3762</v>
      </c>
      <c r="E5602" t="s">
        <v>553</v>
      </c>
      <c r="F5602" t="s">
        <v>1068</v>
      </c>
      <c r="G5602" t="s">
        <v>1069</v>
      </c>
      <c r="H5602">
        <v>7.2003695967235798E-2</v>
      </c>
      <c r="I5602" t="s">
        <v>1070</v>
      </c>
      <c r="J5602">
        <v>7.83</v>
      </c>
    </row>
    <row r="5603" spans="1:10" hidden="1">
      <c r="A5603" t="s">
        <v>3791</v>
      </c>
      <c r="B5603" t="s">
        <v>3792</v>
      </c>
      <c r="C5603" t="s">
        <v>235</v>
      </c>
      <c r="D5603" t="s">
        <v>3762</v>
      </c>
      <c r="E5603" t="s">
        <v>553</v>
      </c>
      <c r="F5603" t="s">
        <v>1068</v>
      </c>
      <c r="G5603" t="s">
        <v>1071</v>
      </c>
      <c r="H5603" s="171" t="s">
        <v>3793</v>
      </c>
      <c r="I5603" t="s">
        <v>1072</v>
      </c>
      <c r="J5603">
        <v>7.83</v>
      </c>
    </row>
    <row r="5604" spans="1:10" hidden="1">
      <c r="A5604" t="s">
        <v>3791</v>
      </c>
      <c r="B5604" t="s">
        <v>3792</v>
      </c>
      <c r="C5604" t="s">
        <v>235</v>
      </c>
      <c r="D5604" t="s">
        <v>3762</v>
      </c>
      <c r="E5604" t="s">
        <v>553</v>
      </c>
      <c r="F5604" t="s">
        <v>1068</v>
      </c>
      <c r="G5604" t="s">
        <v>1073</v>
      </c>
      <c r="H5604" s="171" t="s">
        <v>3794</v>
      </c>
      <c r="I5604" t="s">
        <v>1074</v>
      </c>
      <c r="J5604">
        <v>7.83</v>
      </c>
    </row>
    <row r="5605" spans="1:10" hidden="1">
      <c r="A5605" t="s">
        <v>3791</v>
      </c>
      <c r="B5605" t="s">
        <v>3792</v>
      </c>
      <c r="C5605" t="s">
        <v>235</v>
      </c>
      <c r="D5605" t="s">
        <v>3762</v>
      </c>
      <c r="E5605" t="s">
        <v>553</v>
      </c>
      <c r="F5605" t="s">
        <v>1068</v>
      </c>
      <c r="G5605" t="s">
        <v>1075</v>
      </c>
      <c r="H5605">
        <v>3.4707501700843601E-3</v>
      </c>
      <c r="I5605" t="s">
        <v>1077</v>
      </c>
      <c r="J5605">
        <v>7.83</v>
      </c>
    </row>
    <row r="5606" spans="1:10" hidden="1">
      <c r="A5606" t="s">
        <v>3791</v>
      </c>
      <c r="B5606" t="s">
        <v>3792</v>
      </c>
      <c r="C5606" t="s">
        <v>235</v>
      </c>
      <c r="D5606" t="s">
        <v>3762</v>
      </c>
      <c r="E5606" t="s">
        <v>553</v>
      </c>
      <c r="F5606" t="s">
        <v>1068</v>
      </c>
      <c r="G5606" t="s">
        <v>1078</v>
      </c>
      <c r="H5606">
        <v>2.6019877032721701E-2</v>
      </c>
      <c r="I5606" t="s">
        <v>1079</v>
      </c>
      <c r="J5606">
        <v>7.83</v>
      </c>
    </row>
    <row r="5607" spans="1:10" hidden="1">
      <c r="A5607" t="s">
        <v>3791</v>
      </c>
      <c r="B5607" t="s">
        <v>3792</v>
      </c>
      <c r="C5607" t="s">
        <v>235</v>
      </c>
      <c r="D5607" t="s">
        <v>3762</v>
      </c>
      <c r="E5607" t="s">
        <v>553</v>
      </c>
      <c r="F5607" t="s">
        <v>1068</v>
      </c>
      <c r="G5607" t="s">
        <v>1080</v>
      </c>
      <c r="H5607" s="171" t="s">
        <v>3795</v>
      </c>
      <c r="I5607" t="s">
        <v>1082</v>
      </c>
      <c r="J5607">
        <v>7.83</v>
      </c>
    </row>
    <row r="5608" spans="1:10" hidden="1">
      <c r="A5608" t="s">
        <v>3791</v>
      </c>
      <c r="B5608" t="s">
        <v>3792</v>
      </c>
      <c r="C5608" t="s">
        <v>235</v>
      </c>
      <c r="D5608" t="s">
        <v>3762</v>
      </c>
      <c r="E5608" t="s">
        <v>553</v>
      </c>
      <c r="F5608" t="s">
        <v>1068</v>
      </c>
      <c r="G5608" t="s">
        <v>1083</v>
      </c>
      <c r="H5608" s="171" t="s">
        <v>3796</v>
      </c>
      <c r="I5608" t="s">
        <v>1084</v>
      </c>
      <c r="J5608">
        <v>7.83</v>
      </c>
    </row>
    <row r="5609" spans="1:10" hidden="1">
      <c r="A5609" t="s">
        <v>3791</v>
      </c>
      <c r="B5609" t="s">
        <v>3792</v>
      </c>
      <c r="C5609" t="s">
        <v>235</v>
      </c>
      <c r="D5609" t="s">
        <v>3762</v>
      </c>
      <c r="E5609" t="s">
        <v>553</v>
      </c>
      <c r="F5609" t="s">
        <v>1068</v>
      </c>
      <c r="G5609" t="s">
        <v>1085</v>
      </c>
      <c r="H5609" s="171" t="s">
        <v>3797</v>
      </c>
      <c r="I5609" t="s">
        <v>1086</v>
      </c>
      <c r="J5609">
        <v>7.83</v>
      </c>
    </row>
    <row r="5610" spans="1:10" hidden="1">
      <c r="A5610" t="s">
        <v>3791</v>
      </c>
      <c r="B5610" t="s">
        <v>3792</v>
      </c>
      <c r="C5610" t="s">
        <v>235</v>
      </c>
      <c r="D5610" t="s">
        <v>3762</v>
      </c>
      <c r="E5610" t="s">
        <v>553</v>
      </c>
      <c r="F5610" t="s">
        <v>1068</v>
      </c>
      <c r="G5610" t="s">
        <v>1087</v>
      </c>
      <c r="H5610" s="171" t="s">
        <v>3798</v>
      </c>
      <c r="I5610" t="s">
        <v>1088</v>
      </c>
      <c r="J5610">
        <v>7.83</v>
      </c>
    </row>
    <row r="5611" spans="1:10" hidden="1">
      <c r="A5611" t="s">
        <v>3791</v>
      </c>
      <c r="B5611" t="s">
        <v>3792</v>
      </c>
      <c r="C5611" t="s">
        <v>235</v>
      </c>
      <c r="D5611" t="s">
        <v>3762</v>
      </c>
      <c r="E5611" t="s">
        <v>553</v>
      </c>
      <c r="F5611" t="s">
        <v>1068</v>
      </c>
      <c r="G5611" t="s">
        <v>1089</v>
      </c>
      <c r="H5611" s="171" t="s">
        <v>3799</v>
      </c>
      <c r="I5611" t="s">
        <v>1090</v>
      </c>
      <c r="J5611">
        <v>7.83</v>
      </c>
    </row>
    <row r="5612" spans="1:10" hidden="1">
      <c r="A5612" t="s">
        <v>3800</v>
      </c>
      <c r="B5612" t="s">
        <v>3801</v>
      </c>
      <c r="C5612" t="s">
        <v>235</v>
      </c>
      <c r="D5612" t="s">
        <v>3762</v>
      </c>
      <c r="E5612" t="s">
        <v>556</v>
      </c>
      <c r="F5612" t="s">
        <v>1068</v>
      </c>
      <c r="G5612" t="s">
        <v>1069</v>
      </c>
      <c r="H5612">
        <v>7.20189498450821E-2</v>
      </c>
      <c r="I5612" t="s">
        <v>1070</v>
      </c>
      <c r="J5612">
        <v>8.11</v>
      </c>
    </row>
    <row r="5613" spans="1:10" hidden="1">
      <c r="A5613" t="s">
        <v>3800</v>
      </c>
      <c r="B5613" t="s">
        <v>3801</v>
      </c>
      <c r="C5613" t="s">
        <v>235</v>
      </c>
      <c r="D5613" t="s">
        <v>3762</v>
      </c>
      <c r="E5613" t="s">
        <v>556</v>
      </c>
      <c r="F5613" t="s">
        <v>1068</v>
      </c>
      <c r="G5613" t="s">
        <v>1071</v>
      </c>
      <c r="H5613" s="171" t="s">
        <v>3802</v>
      </c>
      <c r="I5613" t="s">
        <v>1072</v>
      </c>
      <c r="J5613">
        <v>8.11</v>
      </c>
    </row>
    <row r="5614" spans="1:10" hidden="1">
      <c r="A5614" t="s">
        <v>3800</v>
      </c>
      <c r="B5614" t="s">
        <v>3801</v>
      </c>
      <c r="C5614" t="s">
        <v>235</v>
      </c>
      <c r="D5614" t="s">
        <v>3762</v>
      </c>
      <c r="E5614" t="s">
        <v>556</v>
      </c>
      <c r="F5614" t="s">
        <v>1068</v>
      </c>
      <c r="G5614" t="s">
        <v>1073</v>
      </c>
      <c r="H5614" s="171" t="s">
        <v>3803</v>
      </c>
      <c r="I5614" t="s">
        <v>1074</v>
      </c>
      <c r="J5614">
        <v>8.11</v>
      </c>
    </row>
    <row r="5615" spans="1:10" hidden="1">
      <c r="A5615" t="s">
        <v>3800</v>
      </c>
      <c r="B5615" t="s">
        <v>3801</v>
      </c>
      <c r="C5615" t="s">
        <v>235</v>
      </c>
      <c r="D5615" t="s">
        <v>3762</v>
      </c>
      <c r="E5615" t="s">
        <v>556</v>
      </c>
      <c r="F5615" t="s">
        <v>1068</v>
      </c>
      <c r="G5615" t="s">
        <v>1075</v>
      </c>
      <c r="H5615">
        <v>3.4712323614583401E-3</v>
      </c>
      <c r="I5615" t="s">
        <v>1077</v>
      </c>
      <c r="J5615">
        <v>8.11</v>
      </c>
    </row>
    <row r="5616" spans="1:10" hidden="1">
      <c r="A5616" t="s">
        <v>3800</v>
      </c>
      <c r="B5616" t="s">
        <v>3801</v>
      </c>
      <c r="C5616" t="s">
        <v>235</v>
      </c>
      <c r="D5616" t="s">
        <v>3762</v>
      </c>
      <c r="E5616" t="s">
        <v>556</v>
      </c>
      <c r="F5616" t="s">
        <v>1068</v>
      </c>
      <c r="G5616" t="s">
        <v>1078</v>
      </c>
      <c r="H5616">
        <v>2.6040728847734299E-2</v>
      </c>
      <c r="I5616" t="s">
        <v>1079</v>
      </c>
      <c r="J5616">
        <v>8.11</v>
      </c>
    </row>
    <row r="5617" spans="1:10" hidden="1">
      <c r="A5617" t="s">
        <v>3800</v>
      </c>
      <c r="B5617" t="s">
        <v>3801</v>
      </c>
      <c r="C5617" t="s">
        <v>235</v>
      </c>
      <c r="D5617" t="s">
        <v>3762</v>
      </c>
      <c r="E5617" t="s">
        <v>556</v>
      </c>
      <c r="F5617" t="s">
        <v>1068</v>
      </c>
      <c r="G5617" t="s">
        <v>1080</v>
      </c>
      <c r="H5617" s="171" t="s">
        <v>3804</v>
      </c>
      <c r="I5617" t="s">
        <v>1082</v>
      </c>
      <c r="J5617">
        <v>8.11</v>
      </c>
    </row>
    <row r="5618" spans="1:10" hidden="1">
      <c r="A5618" t="s">
        <v>3800</v>
      </c>
      <c r="B5618" t="s">
        <v>3801</v>
      </c>
      <c r="C5618" t="s">
        <v>235</v>
      </c>
      <c r="D5618" t="s">
        <v>3762</v>
      </c>
      <c r="E5618" t="s">
        <v>556</v>
      </c>
      <c r="F5618" t="s">
        <v>1068</v>
      </c>
      <c r="G5618" t="s">
        <v>1083</v>
      </c>
      <c r="H5618" s="171" t="s">
        <v>3805</v>
      </c>
      <c r="I5618" t="s">
        <v>1084</v>
      </c>
      <c r="J5618">
        <v>8.11</v>
      </c>
    </row>
    <row r="5619" spans="1:10" hidden="1">
      <c r="A5619" t="s">
        <v>3800</v>
      </c>
      <c r="B5619" t="s">
        <v>3801</v>
      </c>
      <c r="C5619" t="s">
        <v>235</v>
      </c>
      <c r="D5619" t="s">
        <v>3762</v>
      </c>
      <c r="E5619" t="s">
        <v>556</v>
      </c>
      <c r="F5619" t="s">
        <v>1068</v>
      </c>
      <c r="G5619" t="s">
        <v>1085</v>
      </c>
      <c r="H5619" s="171" t="s">
        <v>3806</v>
      </c>
      <c r="I5619" t="s">
        <v>1086</v>
      </c>
      <c r="J5619">
        <v>8.11</v>
      </c>
    </row>
    <row r="5620" spans="1:10" hidden="1">
      <c r="A5620" t="s">
        <v>3800</v>
      </c>
      <c r="B5620" t="s">
        <v>3801</v>
      </c>
      <c r="C5620" t="s">
        <v>235</v>
      </c>
      <c r="D5620" t="s">
        <v>3762</v>
      </c>
      <c r="E5620" t="s">
        <v>556</v>
      </c>
      <c r="F5620" t="s">
        <v>1068</v>
      </c>
      <c r="G5620" t="s">
        <v>1087</v>
      </c>
      <c r="H5620" s="171" t="s">
        <v>3807</v>
      </c>
      <c r="I5620" t="s">
        <v>1088</v>
      </c>
      <c r="J5620">
        <v>8.11</v>
      </c>
    </row>
    <row r="5621" spans="1:10" hidden="1">
      <c r="A5621" t="s">
        <v>3800</v>
      </c>
      <c r="B5621" t="s">
        <v>3801</v>
      </c>
      <c r="C5621" t="s">
        <v>235</v>
      </c>
      <c r="D5621" t="s">
        <v>3762</v>
      </c>
      <c r="E5621" t="s">
        <v>556</v>
      </c>
      <c r="F5621" t="s">
        <v>1068</v>
      </c>
      <c r="G5621" t="s">
        <v>1089</v>
      </c>
      <c r="H5621" s="171" t="s">
        <v>3808</v>
      </c>
      <c r="I5621" t="s">
        <v>1090</v>
      </c>
      <c r="J5621">
        <v>8.11</v>
      </c>
    </row>
    <row r="5622" spans="1:10" hidden="1">
      <c r="A5622" t="s">
        <v>3809</v>
      </c>
      <c r="B5622" t="s">
        <v>3810</v>
      </c>
      <c r="C5622" t="s">
        <v>235</v>
      </c>
      <c r="D5622" t="s">
        <v>3762</v>
      </c>
      <c r="E5622" t="s">
        <v>557</v>
      </c>
      <c r="F5622" t="s">
        <v>1068</v>
      </c>
      <c r="G5622" t="s">
        <v>1069</v>
      </c>
      <c r="H5622">
        <v>7.1983393295008996E-2</v>
      </c>
      <c r="I5622" t="s">
        <v>1070</v>
      </c>
      <c r="J5622">
        <v>7.86</v>
      </c>
    </row>
    <row r="5623" spans="1:10" hidden="1">
      <c r="A5623" t="s">
        <v>3809</v>
      </c>
      <c r="B5623" t="s">
        <v>3810</v>
      </c>
      <c r="C5623" t="s">
        <v>235</v>
      </c>
      <c r="D5623" t="s">
        <v>3762</v>
      </c>
      <c r="E5623" t="s">
        <v>557</v>
      </c>
      <c r="F5623" t="s">
        <v>1068</v>
      </c>
      <c r="G5623" t="s">
        <v>1071</v>
      </c>
      <c r="H5623" s="171" t="s">
        <v>3811</v>
      </c>
      <c r="I5623" t="s">
        <v>1072</v>
      </c>
      <c r="J5623">
        <v>7.86</v>
      </c>
    </row>
    <row r="5624" spans="1:10" hidden="1">
      <c r="A5624" t="s">
        <v>3809</v>
      </c>
      <c r="B5624" t="s">
        <v>3810</v>
      </c>
      <c r="C5624" t="s">
        <v>235</v>
      </c>
      <c r="D5624" t="s">
        <v>3762</v>
      </c>
      <c r="E5624" t="s">
        <v>557</v>
      </c>
      <c r="F5624" t="s">
        <v>1068</v>
      </c>
      <c r="G5624" t="s">
        <v>1073</v>
      </c>
      <c r="H5624" s="171" t="s">
        <v>3812</v>
      </c>
      <c r="I5624" t="s">
        <v>1074</v>
      </c>
      <c r="J5624">
        <v>7.86</v>
      </c>
    </row>
    <row r="5625" spans="1:10" hidden="1">
      <c r="A5625" t="s">
        <v>3809</v>
      </c>
      <c r="B5625" t="s">
        <v>3810</v>
      </c>
      <c r="C5625" t="s">
        <v>235</v>
      </c>
      <c r="D5625" t="s">
        <v>3762</v>
      </c>
      <c r="E5625" t="s">
        <v>557</v>
      </c>
      <c r="F5625" t="s">
        <v>1068</v>
      </c>
      <c r="G5625" t="s">
        <v>1075</v>
      </c>
      <c r="H5625">
        <v>3.4709309396753099E-3</v>
      </c>
      <c r="I5625" t="s">
        <v>1077</v>
      </c>
      <c r="J5625">
        <v>7.86</v>
      </c>
    </row>
    <row r="5626" spans="1:10" hidden="1">
      <c r="A5626" t="s">
        <v>3809</v>
      </c>
      <c r="B5626" t="s">
        <v>3810</v>
      </c>
      <c r="C5626" t="s">
        <v>235</v>
      </c>
      <c r="D5626" t="s">
        <v>3762</v>
      </c>
      <c r="E5626" t="s">
        <v>557</v>
      </c>
      <c r="F5626" t="s">
        <v>1068</v>
      </c>
      <c r="G5626" t="s">
        <v>1078</v>
      </c>
      <c r="H5626" s="171" t="s">
        <v>3813</v>
      </c>
      <c r="I5626" t="s">
        <v>1079</v>
      </c>
      <c r="J5626">
        <v>7.86</v>
      </c>
    </row>
    <row r="5627" spans="1:10" hidden="1">
      <c r="A5627" t="s">
        <v>3809</v>
      </c>
      <c r="B5627" t="s">
        <v>3810</v>
      </c>
      <c r="C5627" t="s">
        <v>235</v>
      </c>
      <c r="D5627" t="s">
        <v>3762</v>
      </c>
      <c r="E5627" t="s">
        <v>557</v>
      </c>
      <c r="F5627" t="s">
        <v>1068</v>
      </c>
      <c r="G5627" t="s">
        <v>1080</v>
      </c>
      <c r="H5627" s="171" t="s">
        <v>3814</v>
      </c>
      <c r="I5627" t="s">
        <v>1082</v>
      </c>
      <c r="J5627">
        <v>7.86</v>
      </c>
    </row>
    <row r="5628" spans="1:10" hidden="1">
      <c r="A5628" t="s">
        <v>3809</v>
      </c>
      <c r="B5628" t="s">
        <v>3810</v>
      </c>
      <c r="C5628" t="s">
        <v>235</v>
      </c>
      <c r="D5628" t="s">
        <v>3762</v>
      </c>
      <c r="E5628" t="s">
        <v>557</v>
      </c>
      <c r="F5628" t="s">
        <v>1068</v>
      </c>
      <c r="G5628" t="s">
        <v>1083</v>
      </c>
      <c r="H5628" s="171" t="s">
        <v>3815</v>
      </c>
      <c r="I5628" t="s">
        <v>1084</v>
      </c>
      <c r="J5628">
        <v>7.86</v>
      </c>
    </row>
    <row r="5629" spans="1:10" hidden="1">
      <c r="A5629" t="s">
        <v>3809</v>
      </c>
      <c r="B5629" t="s">
        <v>3810</v>
      </c>
      <c r="C5629" t="s">
        <v>235</v>
      </c>
      <c r="D5629" t="s">
        <v>3762</v>
      </c>
      <c r="E5629" t="s">
        <v>557</v>
      </c>
      <c r="F5629" t="s">
        <v>1068</v>
      </c>
      <c r="G5629" t="s">
        <v>1085</v>
      </c>
      <c r="H5629" s="171" t="s">
        <v>3816</v>
      </c>
      <c r="I5629" t="s">
        <v>1086</v>
      </c>
      <c r="J5629">
        <v>7.86</v>
      </c>
    </row>
    <row r="5630" spans="1:10" hidden="1">
      <c r="A5630" t="s">
        <v>3809</v>
      </c>
      <c r="B5630" t="s">
        <v>3810</v>
      </c>
      <c r="C5630" t="s">
        <v>235</v>
      </c>
      <c r="D5630" t="s">
        <v>3762</v>
      </c>
      <c r="E5630" t="s">
        <v>557</v>
      </c>
      <c r="F5630" t="s">
        <v>1068</v>
      </c>
      <c r="G5630" t="s">
        <v>1087</v>
      </c>
      <c r="H5630" s="171" t="s">
        <v>3817</v>
      </c>
      <c r="I5630" t="s">
        <v>1088</v>
      </c>
      <c r="J5630">
        <v>7.86</v>
      </c>
    </row>
    <row r="5631" spans="1:10" hidden="1">
      <c r="A5631" t="s">
        <v>3809</v>
      </c>
      <c r="B5631" t="s">
        <v>3810</v>
      </c>
      <c r="C5631" t="s">
        <v>235</v>
      </c>
      <c r="D5631" t="s">
        <v>3762</v>
      </c>
      <c r="E5631" t="s">
        <v>557</v>
      </c>
      <c r="F5631" t="s">
        <v>1068</v>
      </c>
      <c r="G5631" t="s">
        <v>1089</v>
      </c>
      <c r="H5631" s="171" t="s">
        <v>3818</v>
      </c>
      <c r="I5631" t="s">
        <v>1090</v>
      </c>
      <c r="J5631">
        <v>7.86</v>
      </c>
    </row>
    <row r="5632" spans="1:10" hidden="1">
      <c r="A5632" t="s">
        <v>3819</v>
      </c>
      <c r="B5632" t="s">
        <v>3820</v>
      </c>
      <c r="C5632" t="s">
        <v>235</v>
      </c>
      <c r="D5632" t="s">
        <v>3762</v>
      </c>
      <c r="E5632" t="s">
        <v>559</v>
      </c>
      <c r="F5632" t="s">
        <v>1068</v>
      </c>
      <c r="G5632" t="s">
        <v>1069</v>
      </c>
      <c r="H5632">
        <v>7.20144157506456E-2</v>
      </c>
      <c r="I5632" t="s">
        <v>1070</v>
      </c>
      <c r="J5632">
        <v>7.06</v>
      </c>
    </row>
    <row r="5633" spans="1:10" hidden="1">
      <c r="A5633" t="s">
        <v>3819</v>
      </c>
      <c r="B5633" t="s">
        <v>3820</v>
      </c>
      <c r="C5633" t="s">
        <v>235</v>
      </c>
      <c r="D5633" t="s">
        <v>3762</v>
      </c>
      <c r="E5633" t="s">
        <v>559</v>
      </c>
      <c r="F5633" t="s">
        <v>1068</v>
      </c>
      <c r="G5633" t="s">
        <v>1071</v>
      </c>
      <c r="H5633" s="171" t="s">
        <v>3821</v>
      </c>
      <c r="I5633" t="s">
        <v>1072</v>
      </c>
      <c r="J5633">
        <v>7.06</v>
      </c>
    </row>
    <row r="5634" spans="1:10" hidden="1">
      <c r="A5634" t="s">
        <v>3819</v>
      </c>
      <c r="B5634" t="s">
        <v>3820</v>
      </c>
      <c r="C5634" t="s">
        <v>235</v>
      </c>
      <c r="D5634" t="s">
        <v>3762</v>
      </c>
      <c r="E5634" t="s">
        <v>559</v>
      </c>
      <c r="F5634" t="s">
        <v>1068</v>
      </c>
      <c r="G5634" t="s">
        <v>1073</v>
      </c>
      <c r="H5634" s="171" t="s">
        <v>3822</v>
      </c>
      <c r="I5634" t="s">
        <v>1074</v>
      </c>
      <c r="J5634">
        <v>7.06</v>
      </c>
    </row>
    <row r="5635" spans="1:10" hidden="1">
      <c r="A5635" t="s">
        <v>3819</v>
      </c>
      <c r="B5635" t="s">
        <v>3820</v>
      </c>
      <c r="C5635" t="s">
        <v>235</v>
      </c>
      <c r="D5635" t="s">
        <v>3762</v>
      </c>
      <c r="E5635" t="s">
        <v>559</v>
      </c>
      <c r="F5635" t="s">
        <v>1068</v>
      </c>
      <c r="G5635" t="s">
        <v>1075</v>
      </c>
      <c r="H5635">
        <v>3.4710890338895701E-3</v>
      </c>
      <c r="I5635" t="s">
        <v>1077</v>
      </c>
      <c r="J5635">
        <v>7.06</v>
      </c>
    </row>
    <row r="5636" spans="1:10" hidden="1">
      <c r="A5636" t="s">
        <v>3819</v>
      </c>
      <c r="B5636" t="s">
        <v>3820</v>
      </c>
      <c r="C5636" t="s">
        <v>235</v>
      </c>
      <c r="D5636" t="s">
        <v>3762</v>
      </c>
      <c r="E5636" t="s">
        <v>559</v>
      </c>
      <c r="F5636" t="s">
        <v>1068</v>
      </c>
      <c r="G5636" t="s">
        <v>1078</v>
      </c>
      <c r="H5636">
        <v>2.60345308107898E-2</v>
      </c>
      <c r="I5636" t="s">
        <v>1079</v>
      </c>
      <c r="J5636">
        <v>7.06</v>
      </c>
    </row>
    <row r="5637" spans="1:10" hidden="1">
      <c r="A5637" t="s">
        <v>3819</v>
      </c>
      <c r="B5637" t="s">
        <v>3820</v>
      </c>
      <c r="C5637" t="s">
        <v>235</v>
      </c>
      <c r="D5637" t="s">
        <v>3762</v>
      </c>
      <c r="E5637" t="s">
        <v>559</v>
      </c>
      <c r="F5637" t="s">
        <v>1068</v>
      </c>
      <c r="G5637" t="s">
        <v>1080</v>
      </c>
      <c r="H5637" s="171" t="s">
        <v>3823</v>
      </c>
      <c r="I5637" t="s">
        <v>1082</v>
      </c>
      <c r="J5637">
        <v>7.06</v>
      </c>
    </row>
    <row r="5638" spans="1:10" hidden="1">
      <c r="A5638" t="s">
        <v>3819</v>
      </c>
      <c r="B5638" t="s">
        <v>3820</v>
      </c>
      <c r="C5638" t="s">
        <v>235</v>
      </c>
      <c r="D5638" t="s">
        <v>3762</v>
      </c>
      <c r="E5638" t="s">
        <v>559</v>
      </c>
      <c r="F5638" t="s">
        <v>1068</v>
      </c>
      <c r="G5638" t="s">
        <v>1083</v>
      </c>
      <c r="H5638" s="171" t="s">
        <v>3824</v>
      </c>
      <c r="I5638" t="s">
        <v>1084</v>
      </c>
      <c r="J5638">
        <v>7.06</v>
      </c>
    </row>
    <row r="5639" spans="1:10" hidden="1">
      <c r="A5639" t="s">
        <v>3819</v>
      </c>
      <c r="B5639" t="s">
        <v>3820</v>
      </c>
      <c r="C5639" t="s">
        <v>235</v>
      </c>
      <c r="D5639" t="s">
        <v>3762</v>
      </c>
      <c r="E5639" t="s">
        <v>559</v>
      </c>
      <c r="F5639" t="s">
        <v>1068</v>
      </c>
      <c r="G5639" t="s">
        <v>1085</v>
      </c>
      <c r="H5639" s="171" t="s">
        <v>3825</v>
      </c>
      <c r="I5639" t="s">
        <v>1086</v>
      </c>
      <c r="J5639">
        <v>7.06</v>
      </c>
    </row>
    <row r="5640" spans="1:10" hidden="1">
      <c r="A5640" t="s">
        <v>3819</v>
      </c>
      <c r="B5640" t="s">
        <v>3820</v>
      </c>
      <c r="C5640" t="s">
        <v>235</v>
      </c>
      <c r="D5640" t="s">
        <v>3762</v>
      </c>
      <c r="E5640" t="s">
        <v>559</v>
      </c>
      <c r="F5640" t="s">
        <v>1068</v>
      </c>
      <c r="G5640" t="s">
        <v>1087</v>
      </c>
      <c r="H5640" s="171" t="s">
        <v>3826</v>
      </c>
      <c r="I5640" t="s">
        <v>1088</v>
      </c>
      <c r="J5640">
        <v>7.06</v>
      </c>
    </row>
    <row r="5641" spans="1:10" hidden="1">
      <c r="A5641" t="s">
        <v>3819</v>
      </c>
      <c r="B5641" t="s">
        <v>3820</v>
      </c>
      <c r="C5641" t="s">
        <v>235</v>
      </c>
      <c r="D5641" t="s">
        <v>3762</v>
      </c>
      <c r="E5641" t="s">
        <v>559</v>
      </c>
      <c r="F5641" t="s">
        <v>1068</v>
      </c>
      <c r="G5641" t="s">
        <v>1089</v>
      </c>
      <c r="H5641" s="171" t="s">
        <v>3827</v>
      </c>
      <c r="I5641" t="s">
        <v>1090</v>
      </c>
      <c r="J5641">
        <v>7.06</v>
      </c>
    </row>
    <row r="5642" spans="1:10" hidden="1">
      <c r="A5642" t="s">
        <v>3828</v>
      </c>
      <c r="B5642" t="s">
        <v>3829</v>
      </c>
      <c r="C5642" t="s">
        <v>235</v>
      </c>
      <c r="D5642" t="s">
        <v>3762</v>
      </c>
      <c r="E5642" t="s">
        <v>560</v>
      </c>
      <c r="F5642" t="s">
        <v>1068</v>
      </c>
      <c r="G5642" t="s">
        <v>1069</v>
      </c>
      <c r="H5642">
        <v>7.1986170652151696E-2</v>
      </c>
      <c r="I5642" t="s">
        <v>1070</v>
      </c>
      <c r="J5642">
        <v>8.5399999999999991</v>
      </c>
    </row>
    <row r="5643" spans="1:10" hidden="1">
      <c r="A5643" t="s">
        <v>3828</v>
      </c>
      <c r="B5643" t="s">
        <v>3829</v>
      </c>
      <c r="C5643" t="s">
        <v>235</v>
      </c>
      <c r="D5643" t="s">
        <v>3762</v>
      </c>
      <c r="E5643" t="s">
        <v>560</v>
      </c>
      <c r="F5643" t="s">
        <v>1068</v>
      </c>
      <c r="G5643" t="s">
        <v>1071</v>
      </c>
      <c r="H5643" s="171" t="s">
        <v>3830</v>
      </c>
      <c r="I5643" t="s">
        <v>1072</v>
      </c>
      <c r="J5643">
        <v>8.5399999999999991</v>
      </c>
    </row>
    <row r="5644" spans="1:10" hidden="1">
      <c r="A5644" t="s">
        <v>3828</v>
      </c>
      <c r="B5644" t="s">
        <v>3829</v>
      </c>
      <c r="C5644" t="s">
        <v>235</v>
      </c>
      <c r="D5644" t="s">
        <v>3762</v>
      </c>
      <c r="E5644" t="s">
        <v>560</v>
      </c>
      <c r="F5644" t="s">
        <v>1068</v>
      </c>
      <c r="G5644" t="s">
        <v>1073</v>
      </c>
      <c r="H5644" s="171" t="s">
        <v>3831</v>
      </c>
      <c r="I5644" t="s">
        <v>1074</v>
      </c>
      <c r="J5644">
        <v>8.5399999999999991</v>
      </c>
    </row>
    <row r="5645" spans="1:10" hidden="1">
      <c r="A5645" t="s">
        <v>3828</v>
      </c>
      <c r="B5645" t="s">
        <v>3829</v>
      </c>
      <c r="C5645" t="s">
        <v>235</v>
      </c>
      <c r="D5645" t="s">
        <v>3762</v>
      </c>
      <c r="E5645" t="s">
        <v>560</v>
      </c>
      <c r="F5645" t="s">
        <v>1068</v>
      </c>
      <c r="G5645" t="s">
        <v>1075</v>
      </c>
      <c r="H5645">
        <v>3.4710187349009198E-3</v>
      </c>
      <c r="I5645" t="s">
        <v>1077</v>
      </c>
      <c r="J5645">
        <v>8.5399999999999991</v>
      </c>
    </row>
    <row r="5646" spans="1:10" hidden="1">
      <c r="A5646" t="s">
        <v>3828</v>
      </c>
      <c r="B5646" t="s">
        <v>3829</v>
      </c>
      <c r="C5646" t="s">
        <v>235</v>
      </c>
      <c r="D5646" t="s">
        <v>3762</v>
      </c>
      <c r="E5646" t="s">
        <v>560</v>
      </c>
      <c r="F5646" t="s">
        <v>1068</v>
      </c>
      <c r="G5646" t="s">
        <v>1078</v>
      </c>
      <c r="H5646" s="171" t="s">
        <v>3832</v>
      </c>
      <c r="I5646" t="s">
        <v>1079</v>
      </c>
      <c r="J5646">
        <v>8.5399999999999991</v>
      </c>
    </row>
    <row r="5647" spans="1:10" hidden="1">
      <c r="A5647" t="s">
        <v>3828</v>
      </c>
      <c r="B5647" t="s">
        <v>3829</v>
      </c>
      <c r="C5647" t="s">
        <v>235</v>
      </c>
      <c r="D5647" t="s">
        <v>3762</v>
      </c>
      <c r="E5647" t="s">
        <v>560</v>
      </c>
      <c r="F5647" t="s">
        <v>1068</v>
      </c>
      <c r="G5647" t="s">
        <v>1080</v>
      </c>
      <c r="H5647" s="171" t="s">
        <v>3833</v>
      </c>
      <c r="I5647" t="s">
        <v>1082</v>
      </c>
      <c r="J5647">
        <v>8.5399999999999991</v>
      </c>
    </row>
    <row r="5648" spans="1:10" hidden="1">
      <c r="A5648" t="s">
        <v>3828</v>
      </c>
      <c r="B5648" t="s">
        <v>3829</v>
      </c>
      <c r="C5648" t="s">
        <v>235</v>
      </c>
      <c r="D5648" t="s">
        <v>3762</v>
      </c>
      <c r="E5648" t="s">
        <v>560</v>
      </c>
      <c r="F5648" t="s">
        <v>1068</v>
      </c>
      <c r="G5648" t="s">
        <v>1083</v>
      </c>
      <c r="H5648" s="171" t="s">
        <v>3834</v>
      </c>
      <c r="I5648" t="s">
        <v>1084</v>
      </c>
      <c r="J5648">
        <v>8.5399999999999991</v>
      </c>
    </row>
    <row r="5649" spans="1:10" hidden="1">
      <c r="A5649" t="s">
        <v>3828</v>
      </c>
      <c r="B5649" t="s">
        <v>3829</v>
      </c>
      <c r="C5649" t="s">
        <v>235</v>
      </c>
      <c r="D5649" t="s">
        <v>3762</v>
      </c>
      <c r="E5649" t="s">
        <v>560</v>
      </c>
      <c r="F5649" t="s">
        <v>1068</v>
      </c>
      <c r="G5649" t="s">
        <v>1085</v>
      </c>
      <c r="H5649" s="171" t="s">
        <v>3835</v>
      </c>
      <c r="I5649" t="s">
        <v>1086</v>
      </c>
      <c r="J5649">
        <v>8.5399999999999991</v>
      </c>
    </row>
    <row r="5650" spans="1:10" hidden="1">
      <c r="A5650" t="s">
        <v>3828</v>
      </c>
      <c r="B5650" t="s">
        <v>3829</v>
      </c>
      <c r="C5650" t="s">
        <v>235</v>
      </c>
      <c r="D5650" t="s">
        <v>3762</v>
      </c>
      <c r="E5650" t="s">
        <v>560</v>
      </c>
      <c r="F5650" t="s">
        <v>1068</v>
      </c>
      <c r="G5650" t="s">
        <v>1087</v>
      </c>
      <c r="H5650" s="171" t="s">
        <v>3836</v>
      </c>
      <c r="I5650" t="s">
        <v>1088</v>
      </c>
      <c r="J5650">
        <v>8.5399999999999991</v>
      </c>
    </row>
    <row r="5651" spans="1:10" hidden="1">
      <c r="A5651" t="s">
        <v>3828</v>
      </c>
      <c r="B5651" t="s">
        <v>3829</v>
      </c>
      <c r="C5651" t="s">
        <v>235</v>
      </c>
      <c r="D5651" t="s">
        <v>3762</v>
      </c>
      <c r="E5651" t="s">
        <v>560</v>
      </c>
      <c r="F5651" t="s">
        <v>1068</v>
      </c>
      <c r="G5651" t="s">
        <v>1089</v>
      </c>
      <c r="H5651" s="171" t="s">
        <v>3837</v>
      </c>
      <c r="I5651" t="s">
        <v>1090</v>
      </c>
      <c r="J5651">
        <v>8.5399999999999991</v>
      </c>
    </row>
    <row r="5652" spans="1:10" hidden="1">
      <c r="A5652" t="s">
        <v>3838</v>
      </c>
      <c r="B5652" t="s">
        <v>3839</v>
      </c>
      <c r="C5652" t="s">
        <v>235</v>
      </c>
      <c r="D5652" t="s">
        <v>3762</v>
      </c>
      <c r="E5652" t="s">
        <v>1116</v>
      </c>
      <c r="F5652" t="s">
        <v>1068</v>
      </c>
      <c r="G5652" t="s">
        <v>1069</v>
      </c>
      <c r="H5652">
        <v>7.1977741094011005E-2</v>
      </c>
      <c r="I5652" t="s">
        <v>1070</v>
      </c>
      <c r="J5652">
        <v>8.75</v>
      </c>
    </row>
    <row r="5653" spans="1:10" hidden="1">
      <c r="A5653" t="s">
        <v>3838</v>
      </c>
      <c r="B5653" t="s">
        <v>3839</v>
      </c>
      <c r="C5653" t="s">
        <v>235</v>
      </c>
      <c r="D5653" t="s">
        <v>3762</v>
      </c>
      <c r="E5653" t="s">
        <v>1116</v>
      </c>
      <c r="F5653" t="s">
        <v>1068</v>
      </c>
      <c r="G5653" t="s">
        <v>1071</v>
      </c>
      <c r="H5653" s="171" t="s">
        <v>3840</v>
      </c>
      <c r="I5653" t="s">
        <v>1072</v>
      </c>
      <c r="J5653">
        <v>8.75</v>
      </c>
    </row>
    <row r="5654" spans="1:10" hidden="1">
      <c r="A5654" t="s">
        <v>3838</v>
      </c>
      <c r="B5654" t="s">
        <v>3839</v>
      </c>
      <c r="C5654" t="s">
        <v>235</v>
      </c>
      <c r="D5654" t="s">
        <v>3762</v>
      </c>
      <c r="E5654" t="s">
        <v>1116</v>
      </c>
      <c r="F5654" t="s">
        <v>1068</v>
      </c>
      <c r="G5654" t="s">
        <v>1073</v>
      </c>
      <c r="H5654" s="171" t="s">
        <v>3841</v>
      </c>
      <c r="I5654" t="s">
        <v>1074</v>
      </c>
      <c r="J5654">
        <v>8.75</v>
      </c>
    </row>
    <row r="5655" spans="1:10" hidden="1">
      <c r="A5655" t="s">
        <v>3838</v>
      </c>
      <c r="B5655" t="s">
        <v>3839</v>
      </c>
      <c r="C5655" t="s">
        <v>235</v>
      </c>
      <c r="D5655" t="s">
        <v>3762</v>
      </c>
      <c r="E5655" t="s">
        <v>1116</v>
      </c>
      <c r="F5655" t="s">
        <v>1068</v>
      </c>
      <c r="G5655" t="s">
        <v>1075</v>
      </c>
      <c r="H5655">
        <v>3.4707522675636801E-3</v>
      </c>
      <c r="I5655" t="s">
        <v>1077</v>
      </c>
      <c r="J5655">
        <v>8.75</v>
      </c>
    </row>
    <row r="5656" spans="1:10" hidden="1">
      <c r="A5656" t="s">
        <v>3838</v>
      </c>
      <c r="B5656" t="s">
        <v>3839</v>
      </c>
      <c r="C5656" t="s">
        <v>235</v>
      </c>
      <c r="D5656" t="s">
        <v>3762</v>
      </c>
      <c r="E5656" t="s">
        <v>1116</v>
      </c>
      <c r="F5656" t="s">
        <v>1068</v>
      </c>
      <c r="G5656" t="s">
        <v>1078</v>
      </c>
      <c r="H5656" s="171" t="s">
        <v>3842</v>
      </c>
      <c r="I5656" t="s">
        <v>1079</v>
      </c>
      <c r="J5656">
        <v>8.75</v>
      </c>
    </row>
    <row r="5657" spans="1:10" hidden="1">
      <c r="A5657" t="s">
        <v>3838</v>
      </c>
      <c r="B5657" t="s">
        <v>3839</v>
      </c>
      <c r="C5657" t="s">
        <v>235</v>
      </c>
      <c r="D5657" t="s">
        <v>3762</v>
      </c>
      <c r="E5657" t="s">
        <v>1116</v>
      </c>
      <c r="F5657" t="s">
        <v>1068</v>
      </c>
      <c r="G5657" t="s">
        <v>1080</v>
      </c>
      <c r="H5657" s="171" t="s">
        <v>3843</v>
      </c>
      <c r="I5657" t="s">
        <v>1082</v>
      </c>
      <c r="J5657">
        <v>8.75</v>
      </c>
    </row>
    <row r="5658" spans="1:10" hidden="1">
      <c r="A5658" t="s">
        <v>3838</v>
      </c>
      <c r="B5658" t="s">
        <v>3839</v>
      </c>
      <c r="C5658" t="s">
        <v>235</v>
      </c>
      <c r="D5658" t="s">
        <v>3762</v>
      </c>
      <c r="E5658" t="s">
        <v>1116</v>
      </c>
      <c r="F5658" t="s">
        <v>1068</v>
      </c>
      <c r="G5658" t="s">
        <v>1083</v>
      </c>
      <c r="H5658" s="171" t="s">
        <v>3844</v>
      </c>
      <c r="I5658" t="s">
        <v>1084</v>
      </c>
      <c r="J5658">
        <v>8.75</v>
      </c>
    </row>
    <row r="5659" spans="1:10" hidden="1">
      <c r="A5659" t="s">
        <v>3838</v>
      </c>
      <c r="B5659" t="s">
        <v>3839</v>
      </c>
      <c r="C5659" t="s">
        <v>235</v>
      </c>
      <c r="D5659" t="s">
        <v>3762</v>
      </c>
      <c r="E5659" t="s">
        <v>1116</v>
      </c>
      <c r="F5659" t="s">
        <v>1068</v>
      </c>
      <c r="G5659" t="s">
        <v>1085</v>
      </c>
      <c r="H5659" s="171" t="s">
        <v>3845</v>
      </c>
      <c r="I5659" t="s">
        <v>1086</v>
      </c>
      <c r="J5659">
        <v>8.75</v>
      </c>
    </row>
    <row r="5660" spans="1:10" hidden="1">
      <c r="A5660" t="s">
        <v>3838</v>
      </c>
      <c r="B5660" t="s">
        <v>3839</v>
      </c>
      <c r="C5660" t="s">
        <v>235</v>
      </c>
      <c r="D5660" t="s">
        <v>3762</v>
      </c>
      <c r="E5660" t="s">
        <v>1116</v>
      </c>
      <c r="F5660" t="s">
        <v>1068</v>
      </c>
      <c r="G5660" t="s">
        <v>1087</v>
      </c>
      <c r="H5660" s="171" t="s">
        <v>3846</v>
      </c>
      <c r="I5660" t="s">
        <v>1088</v>
      </c>
      <c r="J5660">
        <v>8.75</v>
      </c>
    </row>
    <row r="5661" spans="1:10" hidden="1">
      <c r="A5661" t="s">
        <v>3838</v>
      </c>
      <c r="B5661" t="s">
        <v>3839</v>
      </c>
      <c r="C5661" t="s">
        <v>235</v>
      </c>
      <c r="D5661" t="s">
        <v>3762</v>
      </c>
      <c r="E5661" t="s">
        <v>1116</v>
      </c>
      <c r="F5661" t="s">
        <v>1068</v>
      </c>
      <c r="G5661" t="s">
        <v>1089</v>
      </c>
      <c r="H5661" s="171" t="s">
        <v>3847</v>
      </c>
      <c r="I5661" t="s">
        <v>1090</v>
      </c>
      <c r="J5661">
        <v>8.75</v>
      </c>
    </row>
    <row r="5662" spans="1:10" hidden="1">
      <c r="A5662" t="s">
        <v>3848</v>
      </c>
      <c r="B5662" t="s">
        <v>3849</v>
      </c>
      <c r="C5662" t="s">
        <v>235</v>
      </c>
      <c r="D5662" t="s">
        <v>3850</v>
      </c>
      <c r="E5662" t="s">
        <v>561</v>
      </c>
      <c r="F5662" t="s">
        <v>1068</v>
      </c>
      <c r="G5662" t="s">
        <v>1069</v>
      </c>
      <c r="H5662">
        <v>7.1709096987395804E-2</v>
      </c>
      <c r="I5662" t="s">
        <v>1070</v>
      </c>
      <c r="J5662">
        <v>10.39</v>
      </c>
    </row>
    <row r="5663" spans="1:10" hidden="1">
      <c r="A5663" t="s">
        <v>3848</v>
      </c>
      <c r="B5663" t="s">
        <v>3849</v>
      </c>
      <c r="C5663" t="s">
        <v>235</v>
      </c>
      <c r="D5663" t="s">
        <v>3850</v>
      </c>
      <c r="E5663" t="s">
        <v>561</v>
      </c>
      <c r="F5663" t="s">
        <v>1068</v>
      </c>
      <c r="G5663" t="s">
        <v>1071</v>
      </c>
      <c r="H5663" s="171" t="s">
        <v>3851</v>
      </c>
      <c r="I5663" t="s">
        <v>1072</v>
      </c>
      <c r="J5663">
        <v>10.39</v>
      </c>
    </row>
    <row r="5664" spans="1:10" hidden="1">
      <c r="A5664" t="s">
        <v>3848</v>
      </c>
      <c r="B5664" t="s">
        <v>3849</v>
      </c>
      <c r="C5664" t="s">
        <v>235</v>
      </c>
      <c r="D5664" t="s">
        <v>3850</v>
      </c>
      <c r="E5664" t="s">
        <v>561</v>
      </c>
      <c r="F5664" t="s">
        <v>1068</v>
      </c>
      <c r="G5664" t="s">
        <v>1073</v>
      </c>
      <c r="H5664" s="171" t="s">
        <v>3852</v>
      </c>
      <c r="I5664" t="s">
        <v>1074</v>
      </c>
      <c r="J5664">
        <v>10.39</v>
      </c>
    </row>
    <row r="5665" spans="1:10" hidden="1">
      <c r="A5665" t="s">
        <v>3848</v>
      </c>
      <c r="B5665" t="s">
        <v>3849</v>
      </c>
      <c r="C5665" t="s">
        <v>235</v>
      </c>
      <c r="D5665" t="s">
        <v>3850</v>
      </c>
      <c r="E5665" t="s">
        <v>561</v>
      </c>
      <c r="F5665" t="s">
        <v>1068</v>
      </c>
      <c r="G5665" t="s">
        <v>1075</v>
      </c>
      <c r="H5665">
        <v>3.4708059349020199E-3</v>
      </c>
      <c r="I5665" t="s">
        <v>1077</v>
      </c>
      <c r="J5665">
        <v>10.39</v>
      </c>
    </row>
    <row r="5666" spans="1:10" hidden="1">
      <c r="A5666" t="s">
        <v>3848</v>
      </c>
      <c r="B5666" t="s">
        <v>3849</v>
      </c>
      <c r="C5666" t="s">
        <v>235</v>
      </c>
      <c r="D5666" t="s">
        <v>3850</v>
      </c>
      <c r="E5666" t="s">
        <v>561</v>
      </c>
      <c r="F5666" t="s">
        <v>1068</v>
      </c>
      <c r="G5666" t="s">
        <v>1078</v>
      </c>
      <c r="H5666" s="171" t="s">
        <v>3853</v>
      </c>
      <c r="I5666" t="s">
        <v>1079</v>
      </c>
      <c r="J5666">
        <v>10.39</v>
      </c>
    </row>
    <row r="5667" spans="1:10" hidden="1">
      <c r="A5667" t="s">
        <v>3848</v>
      </c>
      <c r="B5667" t="s">
        <v>3849</v>
      </c>
      <c r="C5667" t="s">
        <v>235</v>
      </c>
      <c r="D5667" t="s">
        <v>3850</v>
      </c>
      <c r="E5667" t="s">
        <v>561</v>
      </c>
      <c r="F5667" t="s">
        <v>1068</v>
      </c>
      <c r="G5667" t="s">
        <v>1080</v>
      </c>
      <c r="H5667" s="171" t="s">
        <v>3854</v>
      </c>
      <c r="I5667" t="s">
        <v>1082</v>
      </c>
      <c r="J5667">
        <v>10.39</v>
      </c>
    </row>
    <row r="5668" spans="1:10" hidden="1">
      <c r="A5668" t="s">
        <v>3848</v>
      </c>
      <c r="B5668" t="s">
        <v>3849</v>
      </c>
      <c r="C5668" t="s">
        <v>235</v>
      </c>
      <c r="D5668" t="s">
        <v>3850</v>
      </c>
      <c r="E5668" t="s">
        <v>561</v>
      </c>
      <c r="F5668" t="s">
        <v>1068</v>
      </c>
      <c r="G5668" t="s">
        <v>1083</v>
      </c>
      <c r="H5668" s="171" t="s">
        <v>3855</v>
      </c>
      <c r="I5668" t="s">
        <v>1084</v>
      </c>
      <c r="J5668">
        <v>10.39</v>
      </c>
    </row>
    <row r="5669" spans="1:10" hidden="1">
      <c r="A5669" t="s">
        <v>3848</v>
      </c>
      <c r="B5669" t="s">
        <v>3849</v>
      </c>
      <c r="C5669" t="s">
        <v>235</v>
      </c>
      <c r="D5669" t="s">
        <v>3850</v>
      </c>
      <c r="E5669" t="s">
        <v>561</v>
      </c>
      <c r="F5669" t="s">
        <v>1068</v>
      </c>
      <c r="G5669" t="s">
        <v>1085</v>
      </c>
      <c r="H5669" s="171" t="s">
        <v>3856</v>
      </c>
      <c r="I5669" t="s">
        <v>1086</v>
      </c>
      <c r="J5669">
        <v>10.39</v>
      </c>
    </row>
    <row r="5670" spans="1:10" hidden="1">
      <c r="A5670" t="s">
        <v>3848</v>
      </c>
      <c r="B5670" t="s">
        <v>3849</v>
      </c>
      <c r="C5670" t="s">
        <v>235</v>
      </c>
      <c r="D5670" t="s">
        <v>3850</v>
      </c>
      <c r="E5670" t="s">
        <v>561</v>
      </c>
      <c r="F5670" t="s">
        <v>1068</v>
      </c>
      <c r="G5670" t="s">
        <v>1087</v>
      </c>
      <c r="H5670" s="171" t="s">
        <v>3857</v>
      </c>
      <c r="I5670" t="s">
        <v>1088</v>
      </c>
      <c r="J5670">
        <v>10.39</v>
      </c>
    </row>
    <row r="5671" spans="1:10" hidden="1">
      <c r="A5671" t="s">
        <v>3848</v>
      </c>
      <c r="B5671" t="s">
        <v>3849</v>
      </c>
      <c r="C5671" t="s">
        <v>235</v>
      </c>
      <c r="D5671" t="s">
        <v>3850</v>
      </c>
      <c r="E5671" t="s">
        <v>561</v>
      </c>
      <c r="F5671" t="s">
        <v>1068</v>
      </c>
      <c r="G5671" t="s">
        <v>1089</v>
      </c>
      <c r="H5671" s="171" t="s">
        <v>3858</v>
      </c>
      <c r="I5671" t="s">
        <v>1090</v>
      </c>
      <c r="J5671">
        <v>10.39</v>
      </c>
    </row>
    <row r="5672" spans="1:10" hidden="1">
      <c r="A5672" t="s">
        <v>3859</v>
      </c>
      <c r="B5672" t="s">
        <v>3860</v>
      </c>
      <c r="C5672" t="s">
        <v>235</v>
      </c>
      <c r="D5672" t="s">
        <v>3850</v>
      </c>
      <c r="E5672" t="s">
        <v>555</v>
      </c>
      <c r="F5672" t="s">
        <v>1068</v>
      </c>
      <c r="G5672" t="s">
        <v>1069</v>
      </c>
      <c r="H5672">
        <v>7.1744966012093694E-2</v>
      </c>
      <c r="I5672" t="s">
        <v>1070</v>
      </c>
      <c r="J5672">
        <v>7.8</v>
      </c>
    </row>
    <row r="5673" spans="1:10" hidden="1">
      <c r="A5673" t="s">
        <v>3859</v>
      </c>
      <c r="B5673" t="s">
        <v>3860</v>
      </c>
      <c r="C5673" t="s">
        <v>235</v>
      </c>
      <c r="D5673" t="s">
        <v>3850</v>
      </c>
      <c r="E5673" t="s">
        <v>555</v>
      </c>
      <c r="F5673" t="s">
        <v>1068</v>
      </c>
      <c r="G5673" t="s">
        <v>1071</v>
      </c>
      <c r="H5673" s="171" t="s">
        <v>3861</v>
      </c>
      <c r="I5673" t="s">
        <v>1072</v>
      </c>
      <c r="J5673">
        <v>7.8</v>
      </c>
    </row>
    <row r="5674" spans="1:10" hidden="1">
      <c r="A5674" t="s">
        <v>3859</v>
      </c>
      <c r="B5674" t="s">
        <v>3860</v>
      </c>
      <c r="C5674" t="s">
        <v>235</v>
      </c>
      <c r="D5674" t="s">
        <v>3850</v>
      </c>
      <c r="E5674" t="s">
        <v>555</v>
      </c>
      <c r="F5674" t="s">
        <v>1068</v>
      </c>
      <c r="G5674" t="s">
        <v>1073</v>
      </c>
      <c r="H5674" s="171" t="s">
        <v>3862</v>
      </c>
      <c r="I5674" t="s">
        <v>1074</v>
      </c>
      <c r="J5674">
        <v>7.8</v>
      </c>
    </row>
    <row r="5675" spans="1:10" hidden="1">
      <c r="A5675" t="s">
        <v>3859</v>
      </c>
      <c r="B5675" t="s">
        <v>3860</v>
      </c>
      <c r="C5675" t="s">
        <v>235</v>
      </c>
      <c r="D5675" t="s">
        <v>3850</v>
      </c>
      <c r="E5675" t="s">
        <v>555</v>
      </c>
      <c r="F5675" t="s">
        <v>1068</v>
      </c>
      <c r="G5675" t="s">
        <v>1075</v>
      </c>
      <c r="H5675">
        <v>3.4712821424481102E-3</v>
      </c>
      <c r="I5675" t="s">
        <v>1077</v>
      </c>
      <c r="J5675">
        <v>7.8</v>
      </c>
    </row>
    <row r="5676" spans="1:10" hidden="1">
      <c r="A5676" t="s">
        <v>3859</v>
      </c>
      <c r="B5676" t="s">
        <v>3860</v>
      </c>
      <c r="C5676" t="s">
        <v>235</v>
      </c>
      <c r="D5676" t="s">
        <v>3850</v>
      </c>
      <c r="E5676" t="s">
        <v>555</v>
      </c>
      <c r="F5676" t="s">
        <v>1068</v>
      </c>
      <c r="G5676" t="s">
        <v>1078</v>
      </c>
      <c r="H5676">
        <v>2.6042888011717901E-2</v>
      </c>
      <c r="I5676" t="s">
        <v>1079</v>
      </c>
      <c r="J5676">
        <v>7.8</v>
      </c>
    </row>
    <row r="5677" spans="1:10" hidden="1">
      <c r="A5677" t="s">
        <v>3859</v>
      </c>
      <c r="B5677" t="s">
        <v>3860</v>
      </c>
      <c r="C5677" t="s">
        <v>235</v>
      </c>
      <c r="D5677" t="s">
        <v>3850</v>
      </c>
      <c r="E5677" t="s">
        <v>555</v>
      </c>
      <c r="F5677" t="s">
        <v>1068</v>
      </c>
      <c r="G5677" t="s">
        <v>1080</v>
      </c>
      <c r="H5677" s="171" t="s">
        <v>3863</v>
      </c>
      <c r="I5677" t="s">
        <v>1082</v>
      </c>
      <c r="J5677">
        <v>7.8</v>
      </c>
    </row>
    <row r="5678" spans="1:10" hidden="1">
      <c r="A5678" t="s">
        <v>3859</v>
      </c>
      <c r="B5678" t="s">
        <v>3860</v>
      </c>
      <c r="C5678" t="s">
        <v>235</v>
      </c>
      <c r="D5678" t="s">
        <v>3850</v>
      </c>
      <c r="E5678" t="s">
        <v>555</v>
      </c>
      <c r="F5678" t="s">
        <v>1068</v>
      </c>
      <c r="G5678" t="s">
        <v>1083</v>
      </c>
      <c r="H5678" s="171" t="s">
        <v>3864</v>
      </c>
      <c r="I5678" t="s">
        <v>1084</v>
      </c>
      <c r="J5678">
        <v>7.8</v>
      </c>
    </row>
    <row r="5679" spans="1:10" hidden="1">
      <c r="A5679" t="s">
        <v>3859</v>
      </c>
      <c r="B5679" t="s">
        <v>3860</v>
      </c>
      <c r="C5679" t="s">
        <v>235</v>
      </c>
      <c r="D5679" t="s">
        <v>3850</v>
      </c>
      <c r="E5679" t="s">
        <v>555</v>
      </c>
      <c r="F5679" t="s">
        <v>1068</v>
      </c>
      <c r="G5679" t="s">
        <v>1085</v>
      </c>
      <c r="H5679" s="171" t="s">
        <v>3865</v>
      </c>
      <c r="I5679" t="s">
        <v>1086</v>
      </c>
      <c r="J5679">
        <v>7.8</v>
      </c>
    </row>
    <row r="5680" spans="1:10" hidden="1">
      <c r="A5680" t="s">
        <v>3859</v>
      </c>
      <c r="B5680" t="s">
        <v>3860</v>
      </c>
      <c r="C5680" t="s">
        <v>235</v>
      </c>
      <c r="D5680" t="s">
        <v>3850</v>
      </c>
      <c r="E5680" t="s">
        <v>555</v>
      </c>
      <c r="F5680" t="s">
        <v>1068</v>
      </c>
      <c r="G5680" t="s">
        <v>1087</v>
      </c>
      <c r="H5680" s="171" t="s">
        <v>3866</v>
      </c>
      <c r="I5680" t="s">
        <v>1088</v>
      </c>
      <c r="J5680">
        <v>7.8</v>
      </c>
    </row>
    <row r="5681" spans="1:10" hidden="1">
      <c r="A5681" t="s">
        <v>3859</v>
      </c>
      <c r="B5681" t="s">
        <v>3860</v>
      </c>
      <c r="C5681" t="s">
        <v>235</v>
      </c>
      <c r="D5681" t="s">
        <v>3850</v>
      </c>
      <c r="E5681" t="s">
        <v>555</v>
      </c>
      <c r="F5681" t="s">
        <v>1068</v>
      </c>
      <c r="G5681" t="s">
        <v>1089</v>
      </c>
      <c r="H5681" s="171" t="s">
        <v>3867</v>
      </c>
      <c r="I5681" t="s">
        <v>1090</v>
      </c>
      <c r="J5681">
        <v>7.8</v>
      </c>
    </row>
    <row r="5682" spans="1:10" hidden="1">
      <c r="A5682" t="s">
        <v>3868</v>
      </c>
      <c r="B5682" t="s">
        <v>3869</v>
      </c>
      <c r="C5682" t="s">
        <v>235</v>
      </c>
      <c r="D5682" t="s">
        <v>3850</v>
      </c>
      <c r="E5682" t="s">
        <v>558</v>
      </c>
      <c r="F5682" t="s">
        <v>1068</v>
      </c>
      <c r="G5682" t="s">
        <v>1069</v>
      </c>
      <c r="H5682">
        <v>7.1707836213453502E-2</v>
      </c>
      <c r="I5682" t="s">
        <v>1070</v>
      </c>
      <c r="J5682">
        <v>7.59</v>
      </c>
    </row>
    <row r="5683" spans="1:10" hidden="1">
      <c r="A5683" t="s">
        <v>3868</v>
      </c>
      <c r="B5683" t="s">
        <v>3869</v>
      </c>
      <c r="C5683" t="s">
        <v>235</v>
      </c>
      <c r="D5683" t="s">
        <v>3850</v>
      </c>
      <c r="E5683" t="s">
        <v>558</v>
      </c>
      <c r="F5683" t="s">
        <v>1068</v>
      </c>
      <c r="G5683" t="s">
        <v>1071</v>
      </c>
      <c r="H5683" s="171" t="s">
        <v>3870</v>
      </c>
      <c r="I5683" t="s">
        <v>1072</v>
      </c>
      <c r="J5683">
        <v>7.59</v>
      </c>
    </row>
    <row r="5684" spans="1:10" hidden="1">
      <c r="A5684" t="s">
        <v>3868</v>
      </c>
      <c r="B5684" t="s">
        <v>3869</v>
      </c>
      <c r="C5684" t="s">
        <v>235</v>
      </c>
      <c r="D5684" t="s">
        <v>3850</v>
      </c>
      <c r="E5684" t="s">
        <v>558</v>
      </c>
      <c r="F5684" t="s">
        <v>1068</v>
      </c>
      <c r="G5684" t="s">
        <v>1073</v>
      </c>
      <c r="H5684" s="171" t="s">
        <v>3871</v>
      </c>
      <c r="I5684" t="s">
        <v>1074</v>
      </c>
      <c r="J5684">
        <v>7.59</v>
      </c>
    </row>
    <row r="5685" spans="1:10" hidden="1">
      <c r="A5685" t="s">
        <v>3868</v>
      </c>
      <c r="B5685" t="s">
        <v>3869</v>
      </c>
      <c r="C5685" t="s">
        <v>235</v>
      </c>
      <c r="D5685" t="s">
        <v>3850</v>
      </c>
      <c r="E5685" t="s">
        <v>558</v>
      </c>
      <c r="F5685" t="s">
        <v>1068</v>
      </c>
      <c r="G5685" t="s">
        <v>1075</v>
      </c>
      <c r="H5685">
        <v>3.4707660804908199E-3</v>
      </c>
      <c r="I5685" t="s">
        <v>1077</v>
      </c>
      <c r="J5685">
        <v>7.59</v>
      </c>
    </row>
    <row r="5686" spans="1:10" hidden="1">
      <c r="A5686" t="s">
        <v>3868</v>
      </c>
      <c r="B5686" t="s">
        <v>3869</v>
      </c>
      <c r="C5686" t="s">
        <v>235</v>
      </c>
      <c r="D5686" t="s">
        <v>3850</v>
      </c>
      <c r="E5686" t="s">
        <v>558</v>
      </c>
      <c r="F5686" t="s">
        <v>1068</v>
      </c>
      <c r="G5686" t="s">
        <v>1078</v>
      </c>
      <c r="H5686" s="171" t="s">
        <v>3872</v>
      </c>
      <c r="I5686" t="s">
        <v>1079</v>
      </c>
      <c r="J5686">
        <v>7.59</v>
      </c>
    </row>
    <row r="5687" spans="1:10" hidden="1">
      <c r="A5687" t="s">
        <v>3868</v>
      </c>
      <c r="B5687" t="s">
        <v>3869</v>
      </c>
      <c r="C5687" t="s">
        <v>235</v>
      </c>
      <c r="D5687" t="s">
        <v>3850</v>
      </c>
      <c r="E5687" t="s">
        <v>558</v>
      </c>
      <c r="F5687" t="s">
        <v>1068</v>
      </c>
      <c r="G5687" t="s">
        <v>1080</v>
      </c>
      <c r="H5687" s="171" t="s">
        <v>3873</v>
      </c>
      <c r="I5687" t="s">
        <v>1082</v>
      </c>
      <c r="J5687">
        <v>7.59</v>
      </c>
    </row>
    <row r="5688" spans="1:10" hidden="1">
      <c r="A5688" t="s">
        <v>3868</v>
      </c>
      <c r="B5688" t="s">
        <v>3869</v>
      </c>
      <c r="C5688" t="s">
        <v>235</v>
      </c>
      <c r="D5688" t="s">
        <v>3850</v>
      </c>
      <c r="E5688" t="s">
        <v>558</v>
      </c>
      <c r="F5688" t="s">
        <v>1068</v>
      </c>
      <c r="G5688" t="s">
        <v>1083</v>
      </c>
      <c r="H5688" s="171" t="s">
        <v>3874</v>
      </c>
      <c r="I5688" t="s">
        <v>1084</v>
      </c>
      <c r="J5688">
        <v>7.59</v>
      </c>
    </row>
    <row r="5689" spans="1:10" hidden="1">
      <c r="A5689" t="s">
        <v>3868</v>
      </c>
      <c r="B5689" t="s">
        <v>3869</v>
      </c>
      <c r="C5689" t="s">
        <v>235</v>
      </c>
      <c r="D5689" t="s">
        <v>3850</v>
      </c>
      <c r="E5689" t="s">
        <v>558</v>
      </c>
      <c r="F5689" t="s">
        <v>1068</v>
      </c>
      <c r="G5689" t="s">
        <v>1085</v>
      </c>
      <c r="H5689" s="171" t="s">
        <v>3875</v>
      </c>
      <c r="I5689" t="s">
        <v>1086</v>
      </c>
      <c r="J5689">
        <v>7.59</v>
      </c>
    </row>
    <row r="5690" spans="1:10" hidden="1">
      <c r="A5690" t="s">
        <v>3868</v>
      </c>
      <c r="B5690" t="s">
        <v>3869</v>
      </c>
      <c r="C5690" t="s">
        <v>235</v>
      </c>
      <c r="D5690" t="s">
        <v>3850</v>
      </c>
      <c r="E5690" t="s">
        <v>558</v>
      </c>
      <c r="F5690" t="s">
        <v>1068</v>
      </c>
      <c r="G5690" t="s">
        <v>1087</v>
      </c>
      <c r="H5690" s="171" t="s">
        <v>3876</v>
      </c>
      <c r="I5690" t="s">
        <v>1088</v>
      </c>
      <c r="J5690">
        <v>7.59</v>
      </c>
    </row>
    <row r="5691" spans="1:10" hidden="1">
      <c r="A5691" t="s">
        <v>3868</v>
      </c>
      <c r="B5691" t="s">
        <v>3869</v>
      </c>
      <c r="C5691" t="s">
        <v>235</v>
      </c>
      <c r="D5691" t="s">
        <v>3850</v>
      </c>
      <c r="E5691" t="s">
        <v>558</v>
      </c>
      <c r="F5691" t="s">
        <v>1068</v>
      </c>
      <c r="G5691" t="s">
        <v>1089</v>
      </c>
      <c r="H5691" s="171" t="s">
        <v>3877</v>
      </c>
      <c r="I5691" t="s">
        <v>1090</v>
      </c>
      <c r="J5691">
        <v>7.59</v>
      </c>
    </row>
    <row r="5692" spans="1:10" hidden="1">
      <c r="A5692" t="s">
        <v>3878</v>
      </c>
      <c r="B5692" t="s">
        <v>3879</v>
      </c>
      <c r="C5692" t="s">
        <v>235</v>
      </c>
      <c r="D5692" t="s">
        <v>3850</v>
      </c>
      <c r="E5692" t="s">
        <v>553</v>
      </c>
      <c r="F5692" t="s">
        <v>1068</v>
      </c>
      <c r="G5692" t="s">
        <v>1069</v>
      </c>
      <c r="H5692">
        <v>7.1728129646385405E-2</v>
      </c>
      <c r="I5692" t="s">
        <v>1070</v>
      </c>
      <c r="J5692">
        <v>13</v>
      </c>
    </row>
    <row r="5693" spans="1:10" hidden="1">
      <c r="A5693" t="s">
        <v>3878</v>
      </c>
      <c r="B5693" t="s">
        <v>3879</v>
      </c>
      <c r="C5693" t="s">
        <v>235</v>
      </c>
      <c r="D5693" t="s">
        <v>3850</v>
      </c>
      <c r="E5693" t="s">
        <v>553</v>
      </c>
      <c r="F5693" t="s">
        <v>1068</v>
      </c>
      <c r="G5693" t="s">
        <v>1071</v>
      </c>
      <c r="H5693" s="171" t="s">
        <v>3880</v>
      </c>
      <c r="I5693" t="s">
        <v>1072</v>
      </c>
      <c r="J5693">
        <v>13</v>
      </c>
    </row>
    <row r="5694" spans="1:10" hidden="1">
      <c r="A5694" t="s">
        <v>3878</v>
      </c>
      <c r="B5694" t="s">
        <v>3879</v>
      </c>
      <c r="C5694" t="s">
        <v>235</v>
      </c>
      <c r="D5694" t="s">
        <v>3850</v>
      </c>
      <c r="E5694" t="s">
        <v>553</v>
      </c>
      <c r="F5694" t="s">
        <v>1068</v>
      </c>
      <c r="G5694" t="s">
        <v>1073</v>
      </c>
      <c r="H5694" s="171" t="s">
        <v>3881</v>
      </c>
      <c r="I5694" t="s">
        <v>1074</v>
      </c>
      <c r="J5694">
        <v>13</v>
      </c>
    </row>
    <row r="5695" spans="1:10" hidden="1">
      <c r="A5695" t="s">
        <v>3878</v>
      </c>
      <c r="B5695" t="s">
        <v>3879</v>
      </c>
      <c r="C5695" t="s">
        <v>235</v>
      </c>
      <c r="D5695" t="s">
        <v>3850</v>
      </c>
      <c r="E5695" t="s">
        <v>553</v>
      </c>
      <c r="F5695" t="s">
        <v>1068</v>
      </c>
      <c r="G5695" t="s">
        <v>1075</v>
      </c>
      <c r="H5695">
        <v>3.4707499269422998E-3</v>
      </c>
      <c r="I5695" t="s">
        <v>1077</v>
      </c>
      <c r="J5695">
        <v>13</v>
      </c>
    </row>
    <row r="5696" spans="1:10" hidden="1">
      <c r="A5696" t="s">
        <v>3878</v>
      </c>
      <c r="B5696" t="s">
        <v>3879</v>
      </c>
      <c r="C5696" t="s">
        <v>235</v>
      </c>
      <c r="D5696" t="s">
        <v>3850</v>
      </c>
      <c r="E5696" t="s">
        <v>553</v>
      </c>
      <c r="F5696" t="s">
        <v>1068</v>
      </c>
      <c r="G5696" t="s">
        <v>1078</v>
      </c>
      <c r="H5696">
        <v>2.60198729602815E-2</v>
      </c>
      <c r="I5696" t="s">
        <v>1079</v>
      </c>
      <c r="J5696">
        <v>13</v>
      </c>
    </row>
    <row r="5697" spans="1:10" hidden="1">
      <c r="A5697" t="s">
        <v>3878</v>
      </c>
      <c r="B5697" t="s">
        <v>3879</v>
      </c>
      <c r="C5697" t="s">
        <v>235</v>
      </c>
      <c r="D5697" t="s">
        <v>3850</v>
      </c>
      <c r="E5697" t="s">
        <v>553</v>
      </c>
      <c r="F5697" t="s">
        <v>1068</v>
      </c>
      <c r="G5697" t="s">
        <v>1080</v>
      </c>
      <c r="H5697" s="171" t="s">
        <v>3882</v>
      </c>
      <c r="I5697" t="s">
        <v>1082</v>
      </c>
      <c r="J5697">
        <v>13</v>
      </c>
    </row>
    <row r="5698" spans="1:10" hidden="1">
      <c r="A5698" t="s">
        <v>3878</v>
      </c>
      <c r="B5698" t="s">
        <v>3879</v>
      </c>
      <c r="C5698" t="s">
        <v>235</v>
      </c>
      <c r="D5698" t="s">
        <v>3850</v>
      </c>
      <c r="E5698" t="s">
        <v>553</v>
      </c>
      <c r="F5698" t="s">
        <v>1068</v>
      </c>
      <c r="G5698" t="s">
        <v>1083</v>
      </c>
      <c r="H5698" s="171" t="s">
        <v>3883</v>
      </c>
      <c r="I5698" t="s">
        <v>1084</v>
      </c>
      <c r="J5698">
        <v>13</v>
      </c>
    </row>
    <row r="5699" spans="1:10" hidden="1">
      <c r="A5699" t="s">
        <v>3878</v>
      </c>
      <c r="B5699" t="s">
        <v>3879</v>
      </c>
      <c r="C5699" t="s">
        <v>235</v>
      </c>
      <c r="D5699" t="s">
        <v>3850</v>
      </c>
      <c r="E5699" t="s">
        <v>553</v>
      </c>
      <c r="F5699" t="s">
        <v>1068</v>
      </c>
      <c r="G5699" t="s">
        <v>1085</v>
      </c>
      <c r="H5699" s="171" t="s">
        <v>3884</v>
      </c>
      <c r="I5699" t="s">
        <v>1086</v>
      </c>
      <c r="J5699">
        <v>13</v>
      </c>
    </row>
    <row r="5700" spans="1:10" hidden="1">
      <c r="A5700" t="s">
        <v>3878</v>
      </c>
      <c r="B5700" t="s">
        <v>3879</v>
      </c>
      <c r="C5700" t="s">
        <v>235</v>
      </c>
      <c r="D5700" t="s">
        <v>3850</v>
      </c>
      <c r="E5700" t="s">
        <v>553</v>
      </c>
      <c r="F5700" t="s">
        <v>1068</v>
      </c>
      <c r="G5700" t="s">
        <v>1087</v>
      </c>
      <c r="H5700" s="171" t="s">
        <v>3885</v>
      </c>
      <c r="I5700" t="s">
        <v>1088</v>
      </c>
      <c r="J5700">
        <v>13</v>
      </c>
    </row>
    <row r="5701" spans="1:10" hidden="1">
      <c r="A5701" t="s">
        <v>3878</v>
      </c>
      <c r="B5701" t="s">
        <v>3879</v>
      </c>
      <c r="C5701" t="s">
        <v>235</v>
      </c>
      <c r="D5701" t="s">
        <v>3850</v>
      </c>
      <c r="E5701" t="s">
        <v>553</v>
      </c>
      <c r="F5701" t="s">
        <v>1068</v>
      </c>
      <c r="G5701" t="s">
        <v>1089</v>
      </c>
      <c r="H5701" s="171" t="s">
        <v>3886</v>
      </c>
      <c r="I5701" t="s">
        <v>1090</v>
      </c>
      <c r="J5701">
        <v>13</v>
      </c>
    </row>
    <row r="5702" spans="1:10" hidden="1">
      <c r="A5702" t="s">
        <v>3887</v>
      </c>
      <c r="B5702" t="s">
        <v>3888</v>
      </c>
      <c r="C5702" t="s">
        <v>235</v>
      </c>
      <c r="D5702" t="s">
        <v>3850</v>
      </c>
      <c r="E5702" t="s">
        <v>556</v>
      </c>
      <c r="F5702" t="s">
        <v>1068</v>
      </c>
      <c r="G5702" t="s">
        <v>1069</v>
      </c>
      <c r="H5702">
        <v>7.1743383524231694E-2</v>
      </c>
      <c r="I5702" t="s">
        <v>1070</v>
      </c>
      <c r="J5702">
        <v>14.59</v>
      </c>
    </row>
    <row r="5703" spans="1:10" hidden="1">
      <c r="A5703" t="s">
        <v>3887</v>
      </c>
      <c r="B5703" t="s">
        <v>3888</v>
      </c>
      <c r="C5703" t="s">
        <v>235</v>
      </c>
      <c r="D5703" t="s">
        <v>3850</v>
      </c>
      <c r="E5703" t="s">
        <v>556</v>
      </c>
      <c r="F5703" t="s">
        <v>1068</v>
      </c>
      <c r="G5703" t="s">
        <v>1071</v>
      </c>
      <c r="H5703" s="171" t="s">
        <v>3889</v>
      </c>
      <c r="I5703" t="s">
        <v>1072</v>
      </c>
      <c r="J5703">
        <v>14.59</v>
      </c>
    </row>
    <row r="5704" spans="1:10" hidden="1">
      <c r="A5704" t="s">
        <v>3887</v>
      </c>
      <c r="B5704" t="s">
        <v>3888</v>
      </c>
      <c r="C5704" t="s">
        <v>235</v>
      </c>
      <c r="D5704" t="s">
        <v>3850</v>
      </c>
      <c r="E5704" t="s">
        <v>556</v>
      </c>
      <c r="F5704" t="s">
        <v>1068</v>
      </c>
      <c r="G5704" t="s">
        <v>1073</v>
      </c>
      <c r="H5704" s="171" t="s">
        <v>3890</v>
      </c>
      <c r="I5704" t="s">
        <v>1074</v>
      </c>
      <c r="J5704">
        <v>14.59</v>
      </c>
    </row>
    <row r="5705" spans="1:10" hidden="1">
      <c r="A5705" t="s">
        <v>3887</v>
      </c>
      <c r="B5705" t="s">
        <v>3888</v>
      </c>
      <c r="C5705" t="s">
        <v>235</v>
      </c>
      <c r="D5705" t="s">
        <v>3850</v>
      </c>
      <c r="E5705" t="s">
        <v>556</v>
      </c>
      <c r="F5705" t="s">
        <v>1068</v>
      </c>
      <c r="G5705" t="s">
        <v>1075</v>
      </c>
      <c r="H5705">
        <v>3.4712321183162699E-3</v>
      </c>
      <c r="I5705" t="s">
        <v>1077</v>
      </c>
      <c r="J5705">
        <v>14.59</v>
      </c>
    </row>
    <row r="5706" spans="1:10" hidden="1">
      <c r="A5706" t="s">
        <v>3887</v>
      </c>
      <c r="B5706" t="s">
        <v>3888</v>
      </c>
      <c r="C5706" t="s">
        <v>235</v>
      </c>
      <c r="D5706" t="s">
        <v>3850</v>
      </c>
      <c r="E5706" t="s">
        <v>556</v>
      </c>
      <c r="F5706" t="s">
        <v>1068</v>
      </c>
      <c r="G5706" t="s">
        <v>1078</v>
      </c>
      <c r="H5706">
        <v>2.6040724775294202E-2</v>
      </c>
      <c r="I5706" t="s">
        <v>1079</v>
      </c>
      <c r="J5706">
        <v>14.59</v>
      </c>
    </row>
    <row r="5707" spans="1:10" hidden="1">
      <c r="A5707" t="s">
        <v>3887</v>
      </c>
      <c r="B5707" t="s">
        <v>3888</v>
      </c>
      <c r="C5707" t="s">
        <v>235</v>
      </c>
      <c r="D5707" t="s">
        <v>3850</v>
      </c>
      <c r="E5707" t="s">
        <v>556</v>
      </c>
      <c r="F5707" t="s">
        <v>1068</v>
      </c>
      <c r="G5707" t="s">
        <v>1080</v>
      </c>
      <c r="H5707" s="171" t="s">
        <v>3891</v>
      </c>
      <c r="I5707" t="s">
        <v>1082</v>
      </c>
      <c r="J5707">
        <v>14.59</v>
      </c>
    </row>
    <row r="5708" spans="1:10" hidden="1">
      <c r="A5708" t="s">
        <v>3887</v>
      </c>
      <c r="B5708" t="s">
        <v>3888</v>
      </c>
      <c r="C5708" t="s">
        <v>235</v>
      </c>
      <c r="D5708" t="s">
        <v>3850</v>
      </c>
      <c r="E5708" t="s">
        <v>556</v>
      </c>
      <c r="F5708" t="s">
        <v>1068</v>
      </c>
      <c r="G5708" t="s">
        <v>1083</v>
      </c>
      <c r="H5708" s="171" t="s">
        <v>3892</v>
      </c>
      <c r="I5708" t="s">
        <v>1084</v>
      </c>
      <c r="J5708">
        <v>14.59</v>
      </c>
    </row>
    <row r="5709" spans="1:10" hidden="1">
      <c r="A5709" t="s">
        <v>3887</v>
      </c>
      <c r="B5709" t="s">
        <v>3888</v>
      </c>
      <c r="C5709" t="s">
        <v>235</v>
      </c>
      <c r="D5709" t="s">
        <v>3850</v>
      </c>
      <c r="E5709" t="s">
        <v>556</v>
      </c>
      <c r="F5709" t="s">
        <v>1068</v>
      </c>
      <c r="G5709" t="s">
        <v>1085</v>
      </c>
      <c r="H5709" s="171" t="s">
        <v>3893</v>
      </c>
      <c r="I5709" t="s">
        <v>1086</v>
      </c>
      <c r="J5709">
        <v>14.59</v>
      </c>
    </row>
    <row r="5710" spans="1:10" hidden="1">
      <c r="A5710" t="s">
        <v>3887</v>
      </c>
      <c r="B5710" t="s">
        <v>3888</v>
      </c>
      <c r="C5710" t="s">
        <v>235</v>
      </c>
      <c r="D5710" t="s">
        <v>3850</v>
      </c>
      <c r="E5710" t="s">
        <v>556</v>
      </c>
      <c r="F5710" t="s">
        <v>1068</v>
      </c>
      <c r="G5710" t="s">
        <v>1087</v>
      </c>
      <c r="H5710" s="171" t="s">
        <v>3894</v>
      </c>
      <c r="I5710" t="s">
        <v>1088</v>
      </c>
      <c r="J5710">
        <v>14.59</v>
      </c>
    </row>
    <row r="5711" spans="1:10" hidden="1">
      <c r="A5711" t="s">
        <v>3887</v>
      </c>
      <c r="B5711" t="s">
        <v>3888</v>
      </c>
      <c r="C5711" t="s">
        <v>235</v>
      </c>
      <c r="D5711" t="s">
        <v>3850</v>
      </c>
      <c r="E5711" t="s">
        <v>556</v>
      </c>
      <c r="F5711" t="s">
        <v>1068</v>
      </c>
      <c r="G5711" t="s">
        <v>1089</v>
      </c>
      <c r="H5711" s="171" t="s">
        <v>3895</v>
      </c>
      <c r="I5711" t="s">
        <v>1090</v>
      </c>
      <c r="J5711">
        <v>14.59</v>
      </c>
    </row>
    <row r="5712" spans="1:10" hidden="1">
      <c r="A5712" t="s">
        <v>3896</v>
      </c>
      <c r="B5712" t="s">
        <v>3897</v>
      </c>
      <c r="C5712" t="s">
        <v>235</v>
      </c>
      <c r="D5712" t="s">
        <v>3850</v>
      </c>
      <c r="E5712" t="s">
        <v>557</v>
      </c>
      <c r="F5712" t="s">
        <v>1068</v>
      </c>
      <c r="G5712" t="s">
        <v>1069</v>
      </c>
      <c r="H5712">
        <v>7.17130437580107E-2</v>
      </c>
      <c r="I5712" t="s">
        <v>1070</v>
      </c>
      <c r="J5712">
        <v>10.56</v>
      </c>
    </row>
    <row r="5713" spans="1:10" hidden="1">
      <c r="A5713" t="s">
        <v>3896</v>
      </c>
      <c r="B5713" t="s">
        <v>3897</v>
      </c>
      <c r="C5713" t="s">
        <v>235</v>
      </c>
      <c r="D5713" t="s">
        <v>3850</v>
      </c>
      <c r="E5713" t="s">
        <v>557</v>
      </c>
      <c r="F5713" t="s">
        <v>1068</v>
      </c>
      <c r="G5713" t="s">
        <v>1071</v>
      </c>
      <c r="H5713" s="171" t="s">
        <v>3898</v>
      </c>
      <c r="I5713" t="s">
        <v>1072</v>
      </c>
      <c r="J5713">
        <v>10.56</v>
      </c>
    </row>
    <row r="5714" spans="1:10" hidden="1">
      <c r="A5714" t="s">
        <v>3896</v>
      </c>
      <c r="B5714" t="s">
        <v>3897</v>
      </c>
      <c r="C5714" t="s">
        <v>235</v>
      </c>
      <c r="D5714" t="s">
        <v>3850</v>
      </c>
      <c r="E5714" t="s">
        <v>557</v>
      </c>
      <c r="F5714" t="s">
        <v>1068</v>
      </c>
      <c r="G5714" t="s">
        <v>1073</v>
      </c>
      <c r="H5714" s="171" t="s">
        <v>3899</v>
      </c>
      <c r="I5714" t="s">
        <v>1074</v>
      </c>
      <c r="J5714">
        <v>10.56</v>
      </c>
    </row>
    <row r="5715" spans="1:10" hidden="1">
      <c r="A5715" t="s">
        <v>3896</v>
      </c>
      <c r="B5715" t="s">
        <v>3897</v>
      </c>
      <c r="C5715" t="s">
        <v>235</v>
      </c>
      <c r="D5715" t="s">
        <v>3850</v>
      </c>
      <c r="E5715" t="s">
        <v>557</v>
      </c>
      <c r="F5715" t="s">
        <v>1068</v>
      </c>
      <c r="G5715" t="s">
        <v>1075</v>
      </c>
      <c r="H5715">
        <v>3.4709306965373401E-3</v>
      </c>
      <c r="I5715" t="s">
        <v>1077</v>
      </c>
      <c r="J5715">
        <v>10.56</v>
      </c>
    </row>
    <row r="5716" spans="1:10" hidden="1">
      <c r="A5716" t="s">
        <v>3896</v>
      </c>
      <c r="B5716" t="s">
        <v>3897</v>
      </c>
      <c r="C5716" t="s">
        <v>235</v>
      </c>
      <c r="D5716" t="s">
        <v>3850</v>
      </c>
      <c r="E5716" t="s">
        <v>557</v>
      </c>
      <c r="F5716" t="s">
        <v>1068</v>
      </c>
      <c r="G5716" t="s">
        <v>1078</v>
      </c>
      <c r="H5716">
        <v>2.6027694259779001E-2</v>
      </c>
      <c r="I5716" t="s">
        <v>1079</v>
      </c>
      <c r="J5716">
        <v>10.56</v>
      </c>
    </row>
    <row r="5717" spans="1:10" hidden="1">
      <c r="A5717" t="s">
        <v>3896</v>
      </c>
      <c r="B5717" t="s">
        <v>3897</v>
      </c>
      <c r="C5717" t="s">
        <v>235</v>
      </c>
      <c r="D5717" t="s">
        <v>3850</v>
      </c>
      <c r="E5717" t="s">
        <v>557</v>
      </c>
      <c r="F5717" t="s">
        <v>1068</v>
      </c>
      <c r="G5717" t="s">
        <v>1080</v>
      </c>
      <c r="H5717" s="171" t="s">
        <v>3900</v>
      </c>
      <c r="I5717" t="s">
        <v>1082</v>
      </c>
      <c r="J5717">
        <v>10.56</v>
      </c>
    </row>
    <row r="5718" spans="1:10" hidden="1">
      <c r="A5718" t="s">
        <v>3896</v>
      </c>
      <c r="B5718" t="s">
        <v>3897</v>
      </c>
      <c r="C5718" t="s">
        <v>235</v>
      </c>
      <c r="D5718" t="s">
        <v>3850</v>
      </c>
      <c r="E5718" t="s">
        <v>557</v>
      </c>
      <c r="F5718" t="s">
        <v>1068</v>
      </c>
      <c r="G5718" t="s">
        <v>1083</v>
      </c>
      <c r="H5718" s="171" t="s">
        <v>3901</v>
      </c>
      <c r="I5718" t="s">
        <v>1084</v>
      </c>
      <c r="J5718">
        <v>10.56</v>
      </c>
    </row>
    <row r="5719" spans="1:10" hidden="1">
      <c r="A5719" t="s">
        <v>3896</v>
      </c>
      <c r="B5719" t="s">
        <v>3897</v>
      </c>
      <c r="C5719" t="s">
        <v>235</v>
      </c>
      <c r="D5719" t="s">
        <v>3850</v>
      </c>
      <c r="E5719" t="s">
        <v>557</v>
      </c>
      <c r="F5719" t="s">
        <v>1068</v>
      </c>
      <c r="G5719" t="s">
        <v>1085</v>
      </c>
      <c r="H5719" s="171" t="s">
        <v>3902</v>
      </c>
      <c r="I5719" t="s">
        <v>1086</v>
      </c>
      <c r="J5719">
        <v>10.56</v>
      </c>
    </row>
    <row r="5720" spans="1:10" hidden="1">
      <c r="A5720" t="s">
        <v>3896</v>
      </c>
      <c r="B5720" t="s">
        <v>3897</v>
      </c>
      <c r="C5720" t="s">
        <v>235</v>
      </c>
      <c r="D5720" t="s">
        <v>3850</v>
      </c>
      <c r="E5720" t="s">
        <v>557</v>
      </c>
      <c r="F5720" t="s">
        <v>1068</v>
      </c>
      <c r="G5720" t="s">
        <v>1087</v>
      </c>
      <c r="H5720" s="171" t="s">
        <v>3903</v>
      </c>
      <c r="I5720" t="s">
        <v>1088</v>
      </c>
      <c r="J5720">
        <v>10.56</v>
      </c>
    </row>
    <row r="5721" spans="1:10" hidden="1">
      <c r="A5721" t="s">
        <v>3896</v>
      </c>
      <c r="B5721" t="s">
        <v>3897</v>
      </c>
      <c r="C5721" t="s">
        <v>235</v>
      </c>
      <c r="D5721" t="s">
        <v>3850</v>
      </c>
      <c r="E5721" t="s">
        <v>557</v>
      </c>
      <c r="F5721" t="s">
        <v>1068</v>
      </c>
      <c r="G5721" t="s">
        <v>1089</v>
      </c>
      <c r="H5721" s="171" t="s">
        <v>3904</v>
      </c>
      <c r="I5721" t="s">
        <v>1090</v>
      </c>
      <c r="J5721">
        <v>10.56</v>
      </c>
    </row>
    <row r="5722" spans="1:10" hidden="1">
      <c r="A5722" t="s">
        <v>3905</v>
      </c>
      <c r="B5722" t="s">
        <v>3906</v>
      </c>
      <c r="C5722" t="s">
        <v>235</v>
      </c>
      <c r="D5722" t="s">
        <v>3850</v>
      </c>
      <c r="E5722" t="s">
        <v>559</v>
      </c>
      <c r="F5722" t="s">
        <v>1068</v>
      </c>
      <c r="G5722" t="s">
        <v>1069</v>
      </c>
      <c r="H5722">
        <v>7.1738849429795096E-2</v>
      </c>
      <c r="I5722" t="s">
        <v>1070</v>
      </c>
      <c r="J5722">
        <v>7.97</v>
      </c>
    </row>
    <row r="5723" spans="1:10" hidden="1">
      <c r="A5723" t="s">
        <v>3905</v>
      </c>
      <c r="B5723" t="s">
        <v>3906</v>
      </c>
      <c r="C5723" t="s">
        <v>235</v>
      </c>
      <c r="D5723" t="s">
        <v>3850</v>
      </c>
      <c r="E5723" t="s">
        <v>559</v>
      </c>
      <c r="F5723" t="s">
        <v>1068</v>
      </c>
      <c r="G5723" t="s">
        <v>1071</v>
      </c>
      <c r="H5723" s="171" t="s">
        <v>3907</v>
      </c>
      <c r="I5723" t="s">
        <v>1072</v>
      </c>
      <c r="J5723">
        <v>7.97</v>
      </c>
    </row>
    <row r="5724" spans="1:10" hidden="1">
      <c r="A5724" t="s">
        <v>3905</v>
      </c>
      <c r="B5724" t="s">
        <v>3906</v>
      </c>
      <c r="C5724" t="s">
        <v>235</v>
      </c>
      <c r="D5724" t="s">
        <v>3850</v>
      </c>
      <c r="E5724" t="s">
        <v>559</v>
      </c>
      <c r="F5724" t="s">
        <v>1068</v>
      </c>
      <c r="G5724" t="s">
        <v>1073</v>
      </c>
      <c r="H5724" s="171" t="s">
        <v>3908</v>
      </c>
      <c r="I5724" t="s">
        <v>1074</v>
      </c>
      <c r="J5724">
        <v>7.97</v>
      </c>
    </row>
    <row r="5725" spans="1:10" hidden="1">
      <c r="A5725" t="s">
        <v>3905</v>
      </c>
      <c r="B5725" t="s">
        <v>3906</v>
      </c>
      <c r="C5725" t="s">
        <v>235</v>
      </c>
      <c r="D5725" t="s">
        <v>3850</v>
      </c>
      <c r="E5725" t="s">
        <v>559</v>
      </c>
      <c r="F5725" t="s">
        <v>1068</v>
      </c>
      <c r="G5725" t="s">
        <v>1075</v>
      </c>
      <c r="H5725">
        <v>3.4710887907474998E-3</v>
      </c>
      <c r="I5725" t="s">
        <v>1077</v>
      </c>
      <c r="J5725">
        <v>7.97</v>
      </c>
    </row>
    <row r="5726" spans="1:10" hidden="1">
      <c r="A5726" t="s">
        <v>3905</v>
      </c>
      <c r="B5726" t="s">
        <v>3906</v>
      </c>
      <c r="C5726" t="s">
        <v>235</v>
      </c>
      <c r="D5726" t="s">
        <v>3850</v>
      </c>
      <c r="E5726" t="s">
        <v>559</v>
      </c>
      <c r="F5726" t="s">
        <v>1068</v>
      </c>
      <c r="G5726" t="s">
        <v>1078</v>
      </c>
      <c r="H5726" s="171" t="s">
        <v>3909</v>
      </c>
      <c r="I5726" t="s">
        <v>1079</v>
      </c>
      <c r="J5726">
        <v>7.97</v>
      </c>
    </row>
    <row r="5727" spans="1:10" hidden="1">
      <c r="A5727" t="s">
        <v>3905</v>
      </c>
      <c r="B5727" t="s">
        <v>3906</v>
      </c>
      <c r="C5727" t="s">
        <v>235</v>
      </c>
      <c r="D5727" t="s">
        <v>3850</v>
      </c>
      <c r="E5727" t="s">
        <v>559</v>
      </c>
      <c r="F5727" t="s">
        <v>1068</v>
      </c>
      <c r="G5727" t="s">
        <v>1080</v>
      </c>
      <c r="H5727" s="171" t="s">
        <v>3910</v>
      </c>
      <c r="I5727" t="s">
        <v>1082</v>
      </c>
      <c r="J5727">
        <v>7.97</v>
      </c>
    </row>
    <row r="5728" spans="1:10" hidden="1">
      <c r="A5728" t="s">
        <v>3905</v>
      </c>
      <c r="B5728" t="s">
        <v>3906</v>
      </c>
      <c r="C5728" t="s">
        <v>235</v>
      </c>
      <c r="D5728" t="s">
        <v>3850</v>
      </c>
      <c r="E5728" t="s">
        <v>559</v>
      </c>
      <c r="F5728" t="s">
        <v>1068</v>
      </c>
      <c r="G5728" t="s">
        <v>1083</v>
      </c>
      <c r="H5728" s="171" t="s">
        <v>3911</v>
      </c>
      <c r="I5728" t="s">
        <v>1084</v>
      </c>
      <c r="J5728">
        <v>7.97</v>
      </c>
    </row>
    <row r="5729" spans="1:10" hidden="1">
      <c r="A5729" t="s">
        <v>3905</v>
      </c>
      <c r="B5729" t="s">
        <v>3906</v>
      </c>
      <c r="C5729" t="s">
        <v>235</v>
      </c>
      <c r="D5729" t="s">
        <v>3850</v>
      </c>
      <c r="E5729" t="s">
        <v>559</v>
      </c>
      <c r="F5729" t="s">
        <v>1068</v>
      </c>
      <c r="G5729" t="s">
        <v>1085</v>
      </c>
      <c r="H5729" s="171" t="s">
        <v>3912</v>
      </c>
      <c r="I5729" t="s">
        <v>1086</v>
      </c>
      <c r="J5729">
        <v>7.97</v>
      </c>
    </row>
    <row r="5730" spans="1:10" hidden="1">
      <c r="A5730" t="s">
        <v>3905</v>
      </c>
      <c r="B5730" t="s">
        <v>3906</v>
      </c>
      <c r="C5730" t="s">
        <v>235</v>
      </c>
      <c r="D5730" t="s">
        <v>3850</v>
      </c>
      <c r="E5730" t="s">
        <v>559</v>
      </c>
      <c r="F5730" t="s">
        <v>1068</v>
      </c>
      <c r="G5730" t="s">
        <v>1087</v>
      </c>
      <c r="H5730" s="171" t="s">
        <v>3913</v>
      </c>
      <c r="I5730" t="s">
        <v>1088</v>
      </c>
      <c r="J5730">
        <v>7.97</v>
      </c>
    </row>
    <row r="5731" spans="1:10" hidden="1">
      <c r="A5731" t="s">
        <v>3905</v>
      </c>
      <c r="B5731" t="s">
        <v>3906</v>
      </c>
      <c r="C5731" t="s">
        <v>235</v>
      </c>
      <c r="D5731" t="s">
        <v>3850</v>
      </c>
      <c r="E5731" t="s">
        <v>559</v>
      </c>
      <c r="F5731" t="s">
        <v>1068</v>
      </c>
      <c r="G5731" t="s">
        <v>1089</v>
      </c>
      <c r="H5731" s="171" t="s">
        <v>3914</v>
      </c>
      <c r="I5731" t="s">
        <v>1090</v>
      </c>
      <c r="J5731">
        <v>7.97</v>
      </c>
    </row>
    <row r="5732" spans="1:10" hidden="1">
      <c r="A5732" t="s">
        <v>3915</v>
      </c>
      <c r="B5732" t="s">
        <v>3916</v>
      </c>
      <c r="C5732" t="s">
        <v>235</v>
      </c>
      <c r="D5732" t="s">
        <v>3850</v>
      </c>
      <c r="E5732" t="s">
        <v>560</v>
      </c>
      <c r="F5732" t="s">
        <v>1068</v>
      </c>
      <c r="G5732" t="s">
        <v>1069</v>
      </c>
      <c r="H5732">
        <v>7.1715821115108006E-2</v>
      </c>
      <c r="I5732" t="s">
        <v>1070</v>
      </c>
      <c r="J5732">
        <v>7.52</v>
      </c>
    </row>
    <row r="5733" spans="1:10" hidden="1">
      <c r="A5733" t="s">
        <v>3915</v>
      </c>
      <c r="B5733" t="s">
        <v>3916</v>
      </c>
      <c r="C5733" t="s">
        <v>235</v>
      </c>
      <c r="D5733" t="s">
        <v>3850</v>
      </c>
      <c r="E5733" t="s">
        <v>560</v>
      </c>
      <c r="F5733" t="s">
        <v>1068</v>
      </c>
      <c r="G5733" t="s">
        <v>1071</v>
      </c>
      <c r="H5733" s="171" t="s">
        <v>3917</v>
      </c>
      <c r="I5733" t="s">
        <v>1072</v>
      </c>
      <c r="J5733">
        <v>7.52</v>
      </c>
    </row>
    <row r="5734" spans="1:10" hidden="1">
      <c r="A5734" t="s">
        <v>3915</v>
      </c>
      <c r="B5734" t="s">
        <v>3916</v>
      </c>
      <c r="C5734" t="s">
        <v>235</v>
      </c>
      <c r="D5734" t="s">
        <v>3850</v>
      </c>
      <c r="E5734" t="s">
        <v>560</v>
      </c>
      <c r="F5734" t="s">
        <v>1068</v>
      </c>
      <c r="G5734" t="s">
        <v>1073</v>
      </c>
      <c r="H5734" s="171" t="s">
        <v>3918</v>
      </c>
      <c r="I5734" t="s">
        <v>1074</v>
      </c>
      <c r="J5734">
        <v>7.52</v>
      </c>
    </row>
    <row r="5735" spans="1:10" hidden="1">
      <c r="A5735" t="s">
        <v>3915</v>
      </c>
      <c r="B5735" t="s">
        <v>3916</v>
      </c>
      <c r="C5735" t="s">
        <v>235</v>
      </c>
      <c r="D5735" t="s">
        <v>3850</v>
      </c>
      <c r="E5735" t="s">
        <v>560</v>
      </c>
      <c r="F5735" t="s">
        <v>1068</v>
      </c>
      <c r="G5735" t="s">
        <v>1075</v>
      </c>
      <c r="H5735">
        <v>3.4710184917621499E-3</v>
      </c>
      <c r="I5735" t="s">
        <v>1077</v>
      </c>
      <c r="J5735">
        <v>7.52</v>
      </c>
    </row>
    <row r="5736" spans="1:10" hidden="1">
      <c r="A5736" t="s">
        <v>3915</v>
      </c>
      <c r="B5736" t="s">
        <v>3916</v>
      </c>
      <c r="C5736" t="s">
        <v>235</v>
      </c>
      <c r="D5736" t="s">
        <v>3850</v>
      </c>
      <c r="E5736" t="s">
        <v>560</v>
      </c>
      <c r="F5736" t="s">
        <v>1068</v>
      </c>
      <c r="G5736" t="s">
        <v>1078</v>
      </c>
      <c r="H5736">
        <v>2.6031490863960501E-2</v>
      </c>
      <c r="I5736" t="s">
        <v>1079</v>
      </c>
      <c r="J5736">
        <v>7.52</v>
      </c>
    </row>
    <row r="5737" spans="1:10" hidden="1">
      <c r="A5737" t="s">
        <v>3915</v>
      </c>
      <c r="B5737" t="s">
        <v>3916</v>
      </c>
      <c r="C5737" t="s">
        <v>235</v>
      </c>
      <c r="D5737" t="s">
        <v>3850</v>
      </c>
      <c r="E5737" t="s">
        <v>560</v>
      </c>
      <c r="F5737" t="s">
        <v>1068</v>
      </c>
      <c r="G5737" t="s">
        <v>1080</v>
      </c>
      <c r="H5737" s="171" t="s">
        <v>3919</v>
      </c>
      <c r="I5737" t="s">
        <v>1082</v>
      </c>
      <c r="J5737">
        <v>7.52</v>
      </c>
    </row>
    <row r="5738" spans="1:10" hidden="1">
      <c r="A5738" t="s">
        <v>3915</v>
      </c>
      <c r="B5738" t="s">
        <v>3916</v>
      </c>
      <c r="C5738" t="s">
        <v>235</v>
      </c>
      <c r="D5738" t="s">
        <v>3850</v>
      </c>
      <c r="E5738" t="s">
        <v>560</v>
      </c>
      <c r="F5738" t="s">
        <v>1068</v>
      </c>
      <c r="G5738" t="s">
        <v>1083</v>
      </c>
      <c r="H5738" s="171" t="s">
        <v>3920</v>
      </c>
      <c r="I5738" t="s">
        <v>1084</v>
      </c>
      <c r="J5738">
        <v>7.52</v>
      </c>
    </row>
    <row r="5739" spans="1:10" hidden="1">
      <c r="A5739" t="s">
        <v>3915</v>
      </c>
      <c r="B5739" t="s">
        <v>3916</v>
      </c>
      <c r="C5739" t="s">
        <v>235</v>
      </c>
      <c r="D5739" t="s">
        <v>3850</v>
      </c>
      <c r="E5739" t="s">
        <v>560</v>
      </c>
      <c r="F5739" t="s">
        <v>1068</v>
      </c>
      <c r="G5739" t="s">
        <v>1085</v>
      </c>
      <c r="H5739" s="171" t="s">
        <v>3921</v>
      </c>
      <c r="I5739" t="s">
        <v>1086</v>
      </c>
      <c r="J5739">
        <v>7.52</v>
      </c>
    </row>
    <row r="5740" spans="1:10" hidden="1">
      <c r="A5740" t="s">
        <v>3915</v>
      </c>
      <c r="B5740" t="s">
        <v>3916</v>
      </c>
      <c r="C5740" t="s">
        <v>235</v>
      </c>
      <c r="D5740" t="s">
        <v>3850</v>
      </c>
      <c r="E5740" t="s">
        <v>560</v>
      </c>
      <c r="F5740" t="s">
        <v>1068</v>
      </c>
      <c r="G5740" t="s">
        <v>1087</v>
      </c>
      <c r="H5740" s="171" t="s">
        <v>3922</v>
      </c>
      <c r="I5740" t="s">
        <v>1088</v>
      </c>
      <c r="J5740">
        <v>7.52</v>
      </c>
    </row>
    <row r="5741" spans="1:10" hidden="1">
      <c r="A5741" t="s">
        <v>3915</v>
      </c>
      <c r="B5741" t="s">
        <v>3916</v>
      </c>
      <c r="C5741" t="s">
        <v>235</v>
      </c>
      <c r="D5741" t="s">
        <v>3850</v>
      </c>
      <c r="E5741" t="s">
        <v>560</v>
      </c>
      <c r="F5741" t="s">
        <v>1068</v>
      </c>
      <c r="G5741" t="s">
        <v>1089</v>
      </c>
      <c r="H5741" s="171" t="s">
        <v>3923</v>
      </c>
      <c r="I5741" t="s">
        <v>1090</v>
      </c>
      <c r="J5741">
        <v>7.52</v>
      </c>
    </row>
    <row r="5742" spans="1:10" hidden="1">
      <c r="A5742" t="s">
        <v>3924</v>
      </c>
      <c r="B5742" t="s">
        <v>3925</v>
      </c>
      <c r="C5742" t="s">
        <v>235</v>
      </c>
      <c r="D5742" t="s">
        <v>3850</v>
      </c>
      <c r="E5742" t="s">
        <v>1116</v>
      </c>
      <c r="F5742" t="s">
        <v>1068</v>
      </c>
      <c r="G5742" t="s">
        <v>1069</v>
      </c>
      <c r="H5742">
        <v>7.1707391557012598E-2</v>
      </c>
      <c r="I5742" t="s">
        <v>1070</v>
      </c>
      <c r="J5742">
        <v>9.01</v>
      </c>
    </row>
    <row r="5743" spans="1:10" hidden="1">
      <c r="A5743" t="s">
        <v>3924</v>
      </c>
      <c r="B5743" t="s">
        <v>3925</v>
      </c>
      <c r="C5743" t="s">
        <v>235</v>
      </c>
      <c r="D5743" t="s">
        <v>3850</v>
      </c>
      <c r="E5743" t="s">
        <v>1116</v>
      </c>
      <c r="F5743" t="s">
        <v>1068</v>
      </c>
      <c r="G5743" t="s">
        <v>1071</v>
      </c>
      <c r="H5743" s="171" t="s">
        <v>3926</v>
      </c>
      <c r="I5743" t="s">
        <v>1072</v>
      </c>
      <c r="J5743">
        <v>9.01</v>
      </c>
    </row>
    <row r="5744" spans="1:10" hidden="1">
      <c r="A5744" t="s">
        <v>3924</v>
      </c>
      <c r="B5744" t="s">
        <v>3925</v>
      </c>
      <c r="C5744" t="s">
        <v>235</v>
      </c>
      <c r="D5744" t="s">
        <v>3850</v>
      </c>
      <c r="E5744" t="s">
        <v>1116</v>
      </c>
      <c r="F5744" t="s">
        <v>1068</v>
      </c>
      <c r="G5744" t="s">
        <v>1073</v>
      </c>
      <c r="H5744" s="171" t="s">
        <v>3927</v>
      </c>
      <c r="I5744" t="s">
        <v>1074</v>
      </c>
      <c r="J5744">
        <v>9.01</v>
      </c>
    </row>
    <row r="5745" spans="1:10" hidden="1">
      <c r="A5745" t="s">
        <v>3924</v>
      </c>
      <c r="B5745" t="s">
        <v>3925</v>
      </c>
      <c r="C5745" t="s">
        <v>235</v>
      </c>
      <c r="D5745" t="s">
        <v>3850</v>
      </c>
      <c r="E5745" t="s">
        <v>1116</v>
      </c>
      <c r="F5745" t="s">
        <v>1068</v>
      </c>
      <c r="G5745" t="s">
        <v>1075</v>
      </c>
      <c r="H5745">
        <v>3.4707520244257098E-3</v>
      </c>
      <c r="I5745" t="s">
        <v>1077</v>
      </c>
      <c r="J5745">
        <v>9.01</v>
      </c>
    </row>
    <row r="5746" spans="1:10" hidden="1">
      <c r="A5746" t="s">
        <v>3924</v>
      </c>
      <c r="B5746" t="s">
        <v>3925</v>
      </c>
      <c r="C5746" t="s">
        <v>235</v>
      </c>
      <c r="D5746" t="s">
        <v>3850</v>
      </c>
      <c r="E5746" t="s">
        <v>1116</v>
      </c>
      <c r="F5746" t="s">
        <v>1068</v>
      </c>
      <c r="G5746" t="s">
        <v>1078</v>
      </c>
      <c r="H5746" s="171" t="s">
        <v>3928</v>
      </c>
      <c r="I5746" t="s">
        <v>1079</v>
      </c>
      <c r="J5746">
        <v>9.01</v>
      </c>
    </row>
    <row r="5747" spans="1:10" hidden="1">
      <c r="A5747" t="s">
        <v>3924</v>
      </c>
      <c r="B5747" t="s">
        <v>3925</v>
      </c>
      <c r="C5747" t="s">
        <v>235</v>
      </c>
      <c r="D5747" t="s">
        <v>3850</v>
      </c>
      <c r="E5747" t="s">
        <v>1116</v>
      </c>
      <c r="F5747" t="s">
        <v>1068</v>
      </c>
      <c r="G5747" t="s">
        <v>1080</v>
      </c>
      <c r="H5747" s="171" t="s">
        <v>3929</v>
      </c>
      <c r="I5747" t="s">
        <v>1082</v>
      </c>
      <c r="J5747">
        <v>9.01</v>
      </c>
    </row>
    <row r="5748" spans="1:10" hidden="1">
      <c r="A5748" t="s">
        <v>3924</v>
      </c>
      <c r="B5748" t="s">
        <v>3925</v>
      </c>
      <c r="C5748" t="s">
        <v>235</v>
      </c>
      <c r="D5748" t="s">
        <v>3850</v>
      </c>
      <c r="E5748" t="s">
        <v>1116</v>
      </c>
      <c r="F5748" t="s">
        <v>1068</v>
      </c>
      <c r="G5748" t="s">
        <v>1083</v>
      </c>
      <c r="H5748" s="171" t="s">
        <v>3930</v>
      </c>
      <c r="I5748" t="s">
        <v>1084</v>
      </c>
      <c r="J5748">
        <v>9.01</v>
      </c>
    </row>
    <row r="5749" spans="1:10" hidden="1">
      <c r="A5749" t="s">
        <v>3924</v>
      </c>
      <c r="B5749" t="s">
        <v>3925</v>
      </c>
      <c r="C5749" t="s">
        <v>235</v>
      </c>
      <c r="D5749" t="s">
        <v>3850</v>
      </c>
      <c r="E5749" t="s">
        <v>1116</v>
      </c>
      <c r="F5749" t="s">
        <v>1068</v>
      </c>
      <c r="G5749" t="s">
        <v>1085</v>
      </c>
      <c r="H5749" s="171" t="s">
        <v>3931</v>
      </c>
      <c r="I5749" t="s">
        <v>1086</v>
      </c>
      <c r="J5749">
        <v>9.01</v>
      </c>
    </row>
    <row r="5750" spans="1:10" hidden="1">
      <c r="A5750" t="s">
        <v>3924</v>
      </c>
      <c r="B5750" t="s">
        <v>3925</v>
      </c>
      <c r="C5750" t="s">
        <v>235</v>
      </c>
      <c r="D5750" t="s">
        <v>3850</v>
      </c>
      <c r="E5750" t="s">
        <v>1116</v>
      </c>
      <c r="F5750" t="s">
        <v>1068</v>
      </c>
      <c r="G5750" t="s">
        <v>1087</v>
      </c>
      <c r="H5750" s="171" t="s">
        <v>3932</v>
      </c>
      <c r="I5750" t="s">
        <v>1088</v>
      </c>
      <c r="J5750">
        <v>9.01</v>
      </c>
    </row>
    <row r="5751" spans="1:10" hidden="1">
      <c r="A5751" t="s">
        <v>3924</v>
      </c>
      <c r="B5751" t="s">
        <v>3925</v>
      </c>
      <c r="C5751" t="s">
        <v>235</v>
      </c>
      <c r="D5751" t="s">
        <v>3850</v>
      </c>
      <c r="E5751" t="s">
        <v>1116</v>
      </c>
      <c r="F5751" t="s">
        <v>1068</v>
      </c>
      <c r="G5751" t="s">
        <v>1089</v>
      </c>
      <c r="H5751" s="171" t="s">
        <v>3933</v>
      </c>
      <c r="I5751" t="s">
        <v>1090</v>
      </c>
      <c r="J5751">
        <v>9.01</v>
      </c>
    </row>
    <row r="5752" spans="1:10" hidden="1">
      <c r="A5752" t="s">
        <v>3934</v>
      </c>
      <c r="B5752" t="s">
        <v>3935</v>
      </c>
      <c r="C5752" t="s">
        <v>235</v>
      </c>
      <c r="D5752" t="s">
        <v>3936</v>
      </c>
      <c r="E5752" t="s">
        <v>561</v>
      </c>
      <c r="F5752" t="s">
        <v>1068</v>
      </c>
      <c r="G5752" t="s">
        <v>1069</v>
      </c>
      <c r="H5752">
        <v>7.4366642982699696E-2</v>
      </c>
      <c r="I5752" t="s">
        <v>1070</v>
      </c>
      <c r="J5752">
        <v>8.43</v>
      </c>
    </row>
    <row r="5753" spans="1:10" hidden="1">
      <c r="A5753" t="s">
        <v>3934</v>
      </c>
      <c r="B5753" t="s">
        <v>3935</v>
      </c>
      <c r="C5753" t="s">
        <v>235</v>
      </c>
      <c r="D5753" t="s">
        <v>3936</v>
      </c>
      <c r="E5753" t="s">
        <v>561</v>
      </c>
      <c r="F5753" t="s">
        <v>1068</v>
      </c>
      <c r="G5753" t="s">
        <v>1071</v>
      </c>
      <c r="H5753" s="171" t="s">
        <v>3937</v>
      </c>
      <c r="I5753" t="s">
        <v>1072</v>
      </c>
      <c r="J5753">
        <v>8.43</v>
      </c>
    </row>
    <row r="5754" spans="1:10" hidden="1">
      <c r="A5754" t="s">
        <v>3934</v>
      </c>
      <c r="B5754" t="s">
        <v>3935</v>
      </c>
      <c r="C5754" t="s">
        <v>235</v>
      </c>
      <c r="D5754" t="s">
        <v>3936</v>
      </c>
      <c r="E5754" t="s">
        <v>561</v>
      </c>
      <c r="F5754" t="s">
        <v>1068</v>
      </c>
      <c r="G5754" t="s">
        <v>1073</v>
      </c>
      <c r="H5754" s="171" t="s">
        <v>3938</v>
      </c>
      <c r="I5754" t="s">
        <v>1074</v>
      </c>
      <c r="J5754">
        <v>8.43</v>
      </c>
    </row>
    <row r="5755" spans="1:10" hidden="1">
      <c r="A5755" t="s">
        <v>3934</v>
      </c>
      <c r="B5755" t="s">
        <v>3935</v>
      </c>
      <c r="C5755" t="s">
        <v>235</v>
      </c>
      <c r="D5755" t="s">
        <v>3936</v>
      </c>
      <c r="E5755" t="s">
        <v>561</v>
      </c>
      <c r="F5755" t="s">
        <v>1068</v>
      </c>
      <c r="G5755" t="s">
        <v>1075</v>
      </c>
      <c r="H5755">
        <v>3.4708061850462499E-3</v>
      </c>
      <c r="I5755" t="s">
        <v>1077</v>
      </c>
      <c r="J5755">
        <v>8.43</v>
      </c>
    </row>
    <row r="5756" spans="1:10" hidden="1">
      <c r="A5756" t="s">
        <v>3934</v>
      </c>
      <c r="B5756" t="s">
        <v>3935</v>
      </c>
      <c r="C5756" t="s">
        <v>235</v>
      </c>
      <c r="D5756" t="s">
        <v>3936</v>
      </c>
      <c r="E5756" t="s">
        <v>561</v>
      </c>
      <c r="F5756" t="s">
        <v>1068</v>
      </c>
      <c r="G5756" t="s">
        <v>1078</v>
      </c>
      <c r="H5756" s="171" t="s">
        <v>3939</v>
      </c>
      <c r="I5756" t="s">
        <v>1079</v>
      </c>
      <c r="J5756">
        <v>8.43</v>
      </c>
    </row>
    <row r="5757" spans="1:10" hidden="1">
      <c r="A5757" t="s">
        <v>3934</v>
      </c>
      <c r="B5757" t="s">
        <v>3935</v>
      </c>
      <c r="C5757" t="s">
        <v>235</v>
      </c>
      <c r="D5757" t="s">
        <v>3936</v>
      </c>
      <c r="E5757" t="s">
        <v>561</v>
      </c>
      <c r="F5757" t="s">
        <v>1068</v>
      </c>
      <c r="G5757" t="s">
        <v>1080</v>
      </c>
      <c r="H5757" s="171" t="s">
        <v>3940</v>
      </c>
      <c r="I5757" t="s">
        <v>1082</v>
      </c>
      <c r="J5757">
        <v>8.43</v>
      </c>
    </row>
    <row r="5758" spans="1:10" hidden="1">
      <c r="A5758" t="s">
        <v>3934</v>
      </c>
      <c r="B5758" t="s">
        <v>3935</v>
      </c>
      <c r="C5758" t="s">
        <v>235</v>
      </c>
      <c r="D5758" t="s">
        <v>3936</v>
      </c>
      <c r="E5758" t="s">
        <v>561</v>
      </c>
      <c r="F5758" t="s">
        <v>1068</v>
      </c>
      <c r="G5758" t="s">
        <v>1083</v>
      </c>
      <c r="H5758" s="171" t="s">
        <v>3941</v>
      </c>
      <c r="I5758" t="s">
        <v>1084</v>
      </c>
      <c r="J5758">
        <v>8.43</v>
      </c>
    </row>
    <row r="5759" spans="1:10" hidden="1">
      <c r="A5759" t="s">
        <v>3934</v>
      </c>
      <c r="B5759" t="s">
        <v>3935</v>
      </c>
      <c r="C5759" t="s">
        <v>235</v>
      </c>
      <c r="D5759" t="s">
        <v>3936</v>
      </c>
      <c r="E5759" t="s">
        <v>561</v>
      </c>
      <c r="F5759" t="s">
        <v>1068</v>
      </c>
      <c r="G5759" t="s">
        <v>1085</v>
      </c>
      <c r="H5759" s="171" t="s">
        <v>3942</v>
      </c>
      <c r="I5759" t="s">
        <v>1086</v>
      </c>
      <c r="J5759">
        <v>8.43</v>
      </c>
    </row>
    <row r="5760" spans="1:10" hidden="1">
      <c r="A5760" t="s">
        <v>3934</v>
      </c>
      <c r="B5760" t="s">
        <v>3935</v>
      </c>
      <c r="C5760" t="s">
        <v>235</v>
      </c>
      <c r="D5760" t="s">
        <v>3936</v>
      </c>
      <c r="E5760" t="s">
        <v>561</v>
      </c>
      <c r="F5760" t="s">
        <v>1068</v>
      </c>
      <c r="G5760" t="s">
        <v>1087</v>
      </c>
      <c r="H5760" s="171" t="s">
        <v>3943</v>
      </c>
      <c r="I5760" t="s">
        <v>1088</v>
      </c>
      <c r="J5760">
        <v>8.43</v>
      </c>
    </row>
    <row r="5761" spans="1:10" hidden="1">
      <c r="A5761" t="s">
        <v>3934</v>
      </c>
      <c r="B5761" t="s">
        <v>3935</v>
      </c>
      <c r="C5761" t="s">
        <v>235</v>
      </c>
      <c r="D5761" t="s">
        <v>3936</v>
      </c>
      <c r="E5761" t="s">
        <v>561</v>
      </c>
      <c r="F5761" t="s">
        <v>1068</v>
      </c>
      <c r="G5761" t="s">
        <v>1089</v>
      </c>
      <c r="H5761" s="171" t="s">
        <v>3944</v>
      </c>
      <c r="I5761" t="s">
        <v>1090</v>
      </c>
      <c r="J5761">
        <v>8.43</v>
      </c>
    </row>
    <row r="5762" spans="1:10" hidden="1">
      <c r="A5762" t="s">
        <v>3945</v>
      </c>
      <c r="B5762" t="s">
        <v>3946</v>
      </c>
      <c r="C5762" t="s">
        <v>235</v>
      </c>
      <c r="D5762" t="s">
        <v>3936</v>
      </c>
      <c r="E5762" t="s">
        <v>555</v>
      </c>
      <c r="F5762" t="s">
        <v>1068</v>
      </c>
      <c r="G5762" t="s">
        <v>1069</v>
      </c>
      <c r="H5762">
        <v>7.4453053737918606E-2</v>
      </c>
      <c r="I5762" t="s">
        <v>1070</v>
      </c>
      <c r="J5762">
        <v>10.6</v>
      </c>
    </row>
    <row r="5763" spans="1:10" hidden="1">
      <c r="A5763" t="s">
        <v>3945</v>
      </c>
      <c r="B5763" t="s">
        <v>3946</v>
      </c>
      <c r="C5763" t="s">
        <v>235</v>
      </c>
      <c r="D5763" t="s">
        <v>3936</v>
      </c>
      <c r="E5763" t="s">
        <v>555</v>
      </c>
      <c r="F5763" t="s">
        <v>1068</v>
      </c>
      <c r="G5763" t="s">
        <v>1071</v>
      </c>
      <c r="H5763" s="171" t="s">
        <v>3947</v>
      </c>
      <c r="I5763" t="s">
        <v>1072</v>
      </c>
      <c r="J5763">
        <v>10.6</v>
      </c>
    </row>
    <row r="5764" spans="1:10" hidden="1">
      <c r="A5764" t="s">
        <v>3945</v>
      </c>
      <c r="B5764" t="s">
        <v>3946</v>
      </c>
      <c r="C5764" t="s">
        <v>235</v>
      </c>
      <c r="D5764" t="s">
        <v>3936</v>
      </c>
      <c r="E5764" t="s">
        <v>555</v>
      </c>
      <c r="F5764" t="s">
        <v>1068</v>
      </c>
      <c r="G5764" t="s">
        <v>1073</v>
      </c>
      <c r="H5764" s="171" t="s">
        <v>3948</v>
      </c>
      <c r="I5764" t="s">
        <v>1074</v>
      </c>
      <c r="J5764">
        <v>10.6</v>
      </c>
    </row>
    <row r="5765" spans="1:10" hidden="1">
      <c r="A5765" t="s">
        <v>3945</v>
      </c>
      <c r="B5765" t="s">
        <v>3946</v>
      </c>
      <c r="C5765" t="s">
        <v>235</v>
      </c>
      <c r="D5765" t="s">
        <v>3936</v>
      </c>
      <c r="E5765" t="s">
        <v>555</v>
      </c>
      <c r="F5765" t="s">
        <v>1068</v>
      </c>
      <c r="G5765" t="s">
        <v>1075</v>
      </c>
      <c r="H5765">
        <v>3.47128239282908E-3</v>
      </c>
      <c r="I5765" t="s">
        <v>1077</v>
      </c>
      <c r="J5765">
        <v>10.6</v>
      </c>
    </row>
    <row r="5766" spans="1:10" hidden="1">
      <c r="A5766" t="s">
        <v>3945</v>
      </c>
      <c r="B5766" t="s">
        <v>3946</v>
      </c>
      <c r="C5766" t="s">
        <v>235</v>
      </c>
      <c r="D5766" t="s">
        <v>3936</v>
      </c>
      <c r="E5766" t="s">
        <v>555</v>
      </c>
      <c r="F5766" t="s">
        <v>1068</v>
      </c>
      <c r="G5766" t="s">
        <v>1078</v>
      </c>
      <c r="H5766">
        <v>2.6042892205404101E-2</v>
      </c>
      <c r="I5766" t="s">
        <v>1079</v>
      </c>
      <c r="J5766">
        <v>10.6</v>
      </c>
    </row>
    <row r="5767" spans="1:10" hidden="1">
      <c r="A5767" t="s">
        <v>3945</v>
      </c>
      <c r="B5767" t="s">
        <v>3946</v>
      </c>
      <c r="C5767" t="s">
        <v>235</v>
      </c>
      <c r="D5767" t="s">
        <v>3936</v>
      </c>
      <c r="E5767" t="s">
        <v>555</v>
      </c>
      <c r="F5767" t="s">
        <v>1068</v>
      </c>
      <c r="G5767" t="s">
        <v>1080</v>
      </c>
      <c r="H5767" s="171" t="s">
        <v>3949</v>
      </c>
      <c r="I5767" t="s">
        <v>1082</v>
      </c>
      <c r="J5767">
        <v>10.6</v>
      </c>
    </row>
    <row r="5768" spans="1:10" hidden="1">
      <c r="A5768" t="s">
        <v>3945</v>
      </c>
      <c r="B5768" t="s">
        <v>3946</v>
      </c>
      <c r="C5768" t="s">
        <v>235</v>
      </c>
      <c r="D5768" t="s">
        <v>3936</v>
      </c>
      <c r="E5768" t="s">
        <v>555</v>
      </c>
      <c r="F5768" t="s">
        <v>1068</v>
      </c>
      <c r="G5768" t="s">
        <v>1083</v>
      </c>
      <c r="H5768" s="171" t="s">
        <v>3950</v>
      </c>
      <c r="I5768" t="s">
        <v>1084</v>
      </c>
      <c r="J5768">
        <v>10.6</v>
      </c>
    </row>
    <row r="5769" spans="1:10" hidden="1">
      <c r="A5769" t="s">
        <v>3945</v>
      </c>
      <c r="B5769" t="s">
        <v>3946</v>
      </c>
      <c r="C5769" t="s">
        <v>235</v>
      </c>
      <c r="D5769" t="s">
        <v>3936</v>
      </c>
      <c r="E5769" t="s">
        <v>555</v>
      </c>
      <c r="F5769" t="s">
        <v>1068</v>
      </c>
      <c r="G5769" t="s">
        <v>1085</v>
      </c>
      <c r="H5769" s="171" t="s">
        <v>3951</v>
      </c>
      <c r="I5769" t="s">
        <v>1086</v>
      </c>
      <c r="J5769">
        <v>10.6</v>
      </c>
    </row>
    <row r="5770" spans="1:10" hidden="1">
      <c r="A5770" t="s">
        <v>3945</v>
      </c>
      <c r="B5770" t="s">
        <v>3946</v>
      </c>
      <c r="C5770" t="s">
        <v>235</v>
      </c>
      <c r="D5770" t="s">
        <v>3936</v>
      </c>
      <c r="E5770" t="s">
        <v>555</v>
      </c>
      <c r="F5770" t="s">
        <v>1068</v>
      </c>
      <c r="G5770" t="s">
        <v>1087</v>
      </c>
      <c r="H5770" s="171" t="s">
        <v>3952</v>
      </c>
      <c r="I5770" t="s">
        <v>1088</v>
      </c>
      <c r="J5770">
        <v>10.6</v>
      </c>
    </row>
    <row r="5771" spans="1:10" hidden="1">
      <c r="A5771" t="s">
        <v>3945</v>
      </c>
      <c r="B5771" t="s">
        <v>3946</v>
      </c>
      <c r="C5771" t="s">
        <v>235</v>
      </c>
      <c r="D5771" t="s">
        <v>3936</v>
      </c>
      <c r="E5771" t="s">
        <v>555</v>
      </c>
      <c r="F5771" t="s">
        <v>1068</v>
      </c>
      <c r="G5771" t="s">
        <v>1089</v>
      </c>
      <c r="H5771" s="171" t="s">
        <v>3953</v>
      </c>
      <c r="I5771" t="s">
        <v>1090</v>
      </c>
      <c r="J5771">
        <v>10.6</v>
      </c>
    </row>
    <row r="5772" spans="1:10" hidden="1">
      <c r="A5772" t="s">
        <v>3954</v>
      </c>
      <c r="B5772" t="s">
        <v>3955</v>
      </c>
      <c r="C5772" t="s">
        <v>235</v>
      </c>
      <c r="D5772" t="s">
        <v>3936</v>
      </c>
      <c r="E5772" t="s">
        <v>558</v>
      </c>
      <c r="F5772" t="s">
        <v>1068</v>
      </c>
      <c r="G5772" t="s">
        <v>1069</v>
      </c>
      <c r="H5772">
        <v>7.4365382208751094E-2</v>
      </c>
      <c r="I5772" t="s">
        <v>1070</v>
      </c>
      <c r="J5772">
        <v>7.36</v>
      </c>
    </row>
    <row r="5773" spans="1:10" hidden="1">
      <c r="A5773" t="s">
        <v>3954</v>
      </c>
      <c r="B5773" t="s">
        <v>3955</v>
      </c>
      <c r="C5773" t="s">
        <v>235</v>
      </c>
      <c r="D5773" t="s">
        <v>3936</v>
      </c>
      <c r="E5773" t="s">
        <v>558</v>
      </c>
      <c r="F5773" t="s">
        <v>1068</v>
      </c>
      <c r="G5773" t="s">
        <v>1071</v>
      </c>
      <c r="H5773" s="171" t="s">
        <v>3956</v>
      </c>
      <c r="I5773" t="s">
        <v>1072</v>
      </c>
      <c r="J5773">
        <v>7.36</v>
      </c>
    </row>
    <row r="5774" spans="1:10" hidden="1">
      <c r="A5774" t="s">
        <v>3954</v>
      </c>
      <c r="B5774" t="s">
        <v>3955</v>
      </c>
      <c r="C5774" t="s">
        <v>235</v>
      </c>
      <c r="D5774" t="s">
        <v>3936</v>
      </c>
      <c r="E5774" t="s">
        <v>558</v>
      </c>
      <c r="F5774" t="s">
        <v>1068</v>
      </c>
      <c r="G5774" t="s">
        <v>1073</v>
      </c>
      <c r="H5774" s="171" t="s">
        <v>3957</v>
      </c>
      <c r="I5774" t="s">
        <v>1074</v>
      </c>
      <c r="J5774">
        <v>7.36</v>
      </c>
    </row>
    <row r="5775" spans="1:10" hidden="1">
      <c r="A5775" t="s">
        <v>3954</v>
      </c>
      <c r="B5775" t="s">
        <v>3955</v>
      </c>
      <c r="C5775" t="s">
        <v>235</v>
      </c>
      <c r="D5775" t="s">
        <v>3936</v>
      </c>
      <c r="E5775" t="s">
        <v>558</v>
      </c>
      <c r="F5775" t="s">
        <v>1068</v>
      </c>
      <c r="G5775" t="s">
        <v>1075</v>
      </c>
      <c r="H5775">
        <v>3.4707663306349202E-3</v>
      </c>
      <c r="I5775" t="s">
        <v>1077</v>
      </c>
      <c r="J5775">
        <v>7.36</v>
      </c>
    </row>
    <row r="5776" spans="1:10" hidden="1">
      <c r="A5776" t="s">
        <v>3954</v>
      </c>
      <c r="B5776" t="s">
        <v>3955</v>
      </c>
      <c r="C5776" t="s">
        <v>235</v>
      </c>
      <c r="D5776" t="s">
        <v>3936</v>
      </c>
      <c r="E5776" t="s">
        <v>558</v>
      </c>
      <c r="F5776" t="s">
        <v>1068</v>
      </c>
      <c r="G5776" t="s">
        <v>1078</v>
      </c>
      <c r="H5776">
        <v>2.6020579816657698E-2</v>
      </c>
      <c r="I5776" t="s">
        <v>1079</v>
      </c>
      <c r="J5776">
        <v>7.36</v>
      </c>
    </row>
    <row r="5777" spans="1:10" hidden="1">
      <c r="A5777" t="s">
        <v>3954</v>
      </c>
      <c r="B5777" t="s">
        <v>3955</v>
      </c>
      <c r="C5777" t="s">
        <v>235</v>
      </c>
      <c r="D5777" t="s">
        <v>3936</v>
      </c>
      <c r="E5777" t="s">
        <v>558</v>
      </c>
      <c r="F5777" t="s">
        <v>1068</v>
      </c>
      <c r="G5777" t="s">
        <v>1080</v>
      </c>
      <c r="H5777" s="171" t="s">
        <v>3958</v>
      </c>
      <c r="I5777" t="s">
        <v>1082</v>
      </c>
      <c r="J5777">
        <v>7.36</v>
      </c>
    </row>
    <row r="5778" spans="1:10" hidden="1">
      <c r="A5778" t="s">
        <v>3954</v>
      </c>
      <c r="B5778" t="s">
        <v>3955</v>
      </c>
      <c r="C5778" t="s">
        <v>235</v>
      </c>
      <c r="D5778" t="s">
        <v>3936</v>
      </c>
      <c r="E5778" t="s">
        <v>558</v>
      </c>
      <c r="F5778" t="s">
        <v>1068</v>
      </c>
      <c r="G5778" t="s">
        <v>1083</v>
      </c>
      <c r="H5778" s="171" t="s">
        <v>3959</v>
      </c>
      <c r="I5778" t="s">
        <v>1084</v>
      </c>
      <c r="J5778">
        <v>7.36</v>
      </c>
    </row>
    <row r="5779" spans="1:10" hidden="1">
      <c r="A5779" t="s">
        <v>3954</v>
      </c>
      <c r="B5779" t="s">
        <v>3955</v>
      </c>
      <c r="C5779" t="s">
        <v>235</v>
      </c>
      <c r="D5779" t="s">
        <v>3936</v>
      </c>
      <c r="E5779" t="s">
        <v>558</v>
      </c>
      <c r="F5779" t="s">
        <v>1068</v>
      </c>
      <c r="G5779" t="s">
        <v>1085</v>
      </c>
      <c r="H5779" s="171" t="s">
        <v>3960</v>
      </c>
      <c r="I5779" t="s">
        <v>1086</v>
      </c>
      <c r="J5779">
        <v>7.36</v>
      </c>
    </row>
    <row r="5780" spans="1:10" hidden="1">
      <c r="A5780" t="s">
        <v>3954</v>
      </c>
      <c r="B5780" t="s">
        <v>3955</v>
      </c>
      <c r="C5780" t="s">
        <v>235</v>
      </c>
      <c r="D5780" t="s">
        <v>3936</v>
      </c>
      <c r="E5780" t="s">
        <v>558</v>
      </c>
      <c r="F5780" t="s">
        <v>1068</v>
      </c>
      <c r="G5780" t="s">
        <v>1087</v>
      </c>
      <c r="H5780" s="171" t="s">
        <v>3961</v>
      </c>
      <c r="I5780" t="s">
        <v>1088</v>
      </c>
      <c r="J5780">
        <v>7.36</v>
      </c>
    </row>
    <row r="5781" spans="1:10" hidden="1">
      <c r="A5781" t="s">
        <v>3954</v>
      </c>
      <c r="B5781" t="s">
        <v>3955</v>
      </c>
      <c r="C5781" t="s">
        <v>235</v>
      </c>
      <c r="D5781" t="s">
        <v>3936</v>
      </c>
      <c r="E5781" t="s">
        <v>558</v>
      </c>
      <c r="F5781" t="s">
        <v>1068</v>
      </c>
      <c r="G5781" t="s">
        <v>1089</v>
      </c>
      <c r="H5781" s="171" t="s">
        <v>3962</v>
      </c>
      <c r="I5781" t="s">
        <v>1090</v>
      </c>
      <c r="J5781">
        <v>7.36</v>
      </c>
    </row>
    <row r="5782" spans="1:10" hidden="1">
      <c r="A5782" t="s">
        <v>3963</v>
      </c>
      <c r="B5782" t="s">
        <v>3964</v>
      </c>
      <c r="C5782" t="s">
        <v>235</v>
      </c>
      <c r="D5782" t="s">
        <v>3936</v>
      </c>
      <c r="E5782" t="s">
        <v>553</v>
      </c>
      <c r="F5782" t="s">
        <v>1068</v>
      </c>
      <c r="G5782" t="s">
        <v>1069</v>
      </c>
      <c r="H5782">
        <v>7.4436217372210095E-2</v>
      </c>
      <c r="I5782" t="s">
        <v>1070</v>
      </c>
      <c r="J5782">
        <v>8.66</v>
      </c>
    </row>
    <row r="5783" spans="1:10" hidden="1">
      <c r="A5783" t="s">
        <v>3963</v>
      </c>
      <c r="B5783" t="s">
        <v>3964</v>
      </c>
      <c r="C5783" t="s">
        <v>235</v>
      </c>
      <c r="D5783" t="s">
        <v>3936</v>
      </c>
      <c r="E5783" t="s">
        <v>553</v>
      </c>
      <c r="F5783" t="s">
        <v>1068</v>
      </c>
      <c r="G5783" t="s">
        <v>1071</v>
      </c>
      <c r="H5783" s="171" t="s">
        <v>3965</v>
      </c>
      <c r="I5783" t="s">
        <v>1072</v>
      </c>
      <c r="J5783">
        <v>8.66</v>
      </c>
    </row>
    <row r="5784" spans="1:10" hidden="1">
      <c r="A5784" t="s">
        <v>3963</v>
      </c>
      <c r="B5784" t="s">
        <v>3964</v>
      </c>
      <c r="C5784" t="s">
        <v>235</v>
      </c>
      <c r="D5784" t="s">
        <v>3936</v>
      </c>
      <c r="E5784" t="s">
        <v>553</v>
      </c>
      <c r="F5784" t="s">
        <v>1068</v>
      </c>
      <c r="G5784" t="s">
        <v>1073</v>
      </c>
      <c r="H5784" s="171" t="s">
        <v>3966</v>
      </c>
      <c r="I5784" t="s">
        <v>1074</v>
      </c>
      <c r="J5784">
        <v>8.66</v>
      </c>
    </row>
    <row r="5785" spans="1:10" hidden="1">
      <c r="A5785" t="s">
        <v>3963</v>
      </c>
      <c r="B5785" t="s">
        <v>3964</v>
      </c>
      <c r="C5785" t="s">
        <v>235</v>
      </c>
      <c r="D5785" t="s">
        <v>3936</v>
      </c>
      <c r="E5785" t="s">
        <v>553</v>
      </c>
      <c r="F5785" t="s">
        <v>1068</v>
      </c>
      <c r="G5785" t="s">
        <v>1075</v>
      </c>
      <c r="H5785">
        <v>3.4707501773232601E-3</v>
      </c>
      <c r="I5785" t="s">
        <v>1077</v>
      </c>
      <c r="J5785">
        <v>8.66</v>
      </c>
    </row>
    <row r="5786" spans="1:10" hidden="1">
      <c r="A5786" t="s">
        <v>3963</v>
      </c>
      <c r="B5786" t="s">
        <v>3964</v>
      </c>
      <c r="C5786" t="s">
        <v>235</v>
      </c>
      <c r="D5786" t="s">
        <v>3936</v>
      </c>
      <c r="E5786" t="s">
        <v>553</v>
      </c>
      <c r="F5786" t="s">
        <v>1068</v>
      </c>
      <c r="G5786" t="s">
        <v>1078</v>
      </c>
      <c r="H5786">
        <v>2.6019877153967599E-2</v>
      </c>
      <c r="I5786" t="s">
        <v>1079</v>
      </c>
      <c r="J5786">
        <v>8.66</v>
      </c>
    </row>
    <row r="5787" spans="1:10" hidden="1">
      <c r="A5787" t="s">
        <v>3963</v>
      </c>
      <c r="B5787" t="s">
        <v>3964</v>
      </c>
      <c r="C5787" t="s">
        <v>235</v>
      </c>
      <c r="D5787" t="s">
        <v>3936</v>
      </c>
      <c r="E5787" t="s">
        <v>553</v>
      </c>
      <c r="F5787" t="s">
        <v>1068</v>
      </c>
      <c r="G5787" t="s">
        <v>1080</v>
      </c>
      <c r="H5787" s="171" t="s">
        <v>3967</v>
      </c>
      <c r="I5787" t="s">
        <v>1082</v>
      </c>
      <c r="J5787">
        <v>8.66</v>
      </c>
    </row>
    <row r="5788" spans="1:10" hidden="1">
      <c r="A5788" t="s">
        <v>3963</v>
      </c>
      <c r="B5788" t="s">
        <v>3964</v>
      </c>
      <c r="C5788" t="s">
        <v>235</v>
      </c>
      <c r="D5788" t="s">
        <v>3936</v>
      </c>
      <c r="E5788" t="s">
        <v>553</v>
      </c>
      <c r="F5788" t="s">
        <v>1068</v>
      </c>
      <c r="G5788" t="s">
        <v>1083</v>
      </c>
      <c r="H5788" s="171" t="s">
        <v>3968</v>
      </c>
      <c r="I5788" t="s">
        <v>1084</v>
      </c>
      <c r="J5788">
        <v>8.66</v>
      </c>
    </row>
    <row r="5789" spans="1:10" hidden="1">
      <c r="A5789" t="s">
        <v>3963</v>
      </c>
      <c r="B5789" t="s">
        <v>3964</v>
      </c>
      <c r="C5789" t="s">
        <v>235</v>
      </c>
      <c r="D5789" t="s">
        <v>3936</v>
      </c>
      <c r="E5789" t="s">
        <v>553</v>
      </c>
      <c r="F5789" t="s">
        <v>1068</v>
      </c>
      <c r="G5789" t="s">
        <v>1085</v>
      </c>
      <c r="H5789" s="171" t="s">
        <v>3969</v>
      </c>
      <c r="I5789" t="s">
        <v>1086</v>
      </c>
      <c r="J5789">
        <v>8.66</v>
      </c>
    </row>
    <row r="5790" spans="1:10" hidden="1">
      <c r="A5790" t="s">
        <v>3963</v>
      </c>
      <c r="B5790" t="s">
        <v>3964</v>
      </c>
      <c r="C5790" t="s">
        <v>235</v>
      </c>
      <c r="D5790" t="s">
        <v>3936</v>
      </c>
      <c r="E5790" t="s">
        <v>553</v>
      </c>
      <c r="F5790" t="s">
        <v>1068</v>
      </c>
      <c r="G5790" t="s">
        <v>1087</v>
      </c>
      <c r="H5790" s="171" t="s">
        <v>3970</v>
      </c>
      <c r="I5790" t="s">
        <v>1088</v>
      </c>
      <c r="J5790">
        <v>8.66</v>
      </c>
    </row>
    <row r="5791" spans="1:10" hidden="1">
      <c r="A5791" t="s">
        <v>3963</v>
      </c>
      <c r="B5791" t="s">
        <v>3964</v>
      </c>
      <c r="C5791" t="s">
        <v>235</v>
      </c>
      <c r="D5791" t="s">
        <v>3936</v>
      </c>
      <c r="E5791" t="s">
        <v>553</v>
      </c>
      <c r="F5791" t="s">
        <v>1068</v>
      </c>
      <c r="G5791" t="s">
        <v>1089</v>
      </c>
      <c r="H5791" s="171" t="s">
        <v>3971</v>
      </c>
      <c r="I5791" t="s">
        <v>1090</v>
      </c>
      <c r="J5791">
        <v>8.66</v>
      </c>
    </row>
    <row r="5792" spans="1:10" hidden="1">
      <c r="A5792" t="s">
        <v>3972</v>
      </c>
      <c r="B5792" t="s">
        <v>3973</v>
      </c>
      <c r="C5792" t="s">
        <v>235</v>
      </c>
      <c r="D5792" t="s">
        <v>3936</v>
      </c>
      <c r="E5792" t="s">
        <v>556</v>
      </c>
      <c r="F5792" t="s">
        <v>1068</v>
      </c>
      <c r="G5792" t="s">
        <v>1069</v>
      </c>
      <c r="H5792">
        <v>7.4451471250056106E-2</v>
      </c>
      <c r="I5792" t="s">
        <v>1070</v>
      </c>
      <c r="J5792">
        <v>7.56</v>
      </c>
    </row>
    <row r="5793" spans="1:10" hidden="1">
      <c r="A5793" t="s">
        <v>3972</v>
      </c>
      <c r="B5793" t="s">
        <v>3973</v>
      </c>
      <c r="C5793" t="s">
        <v>235</v>
      </c>
      <c r="D5793" t="s">
        <v>3936</v>
      </c>
      <c r="E5793" t="s">
        <v>556</v>
      </c>
      <c r="F5793" t="s">
        <v>1068</v>
      </c>
      <c r="G5793" t="s">
        <v>1071</v>
      </c>
      <c r="H5793" s="171" t="s">
        <v>3974</v>
      </c>
      <c r="I5793" t="s">
        <v>1072</v>
      </c>
      <c r="J5793">
        <v>7.56</v>
      </c>
    </row>
    <row r="5794" spans="1:10" hidden="1">
      <c r="A5794" t="s">
        <v>3972</v>
      </c>
      <c r="B5794" t="s">
        <v>3973</v>
      </c>
      <c r="C5794" t="s">
        <v>235</v>
      </c>
      <c r="D5794" t="s">
        <v>3936</v>
      </c>
      <c r="E5794" t="s">
        <v>556</v>
      </c>
      <c r="F5794" t="s">
        <v>1068</v>
      </c>
      <c r="G5794" t="s">
        <v>1073</v>
      </c>
      <c r="H5794" s="171" t="s">
        <v>3975</v>
      </c>
      <c r="I5794" t="s">
        <v>1074</v>
      </c>
      <c r="J5794">
        <v>7.56</v>
      </c>
    </row>
    <row r="5795" spans="1:10" hidden="1">
      <c r="A5795" t="s">
        <v>3972</v>
      </c>
      <c r="B5795" t="s">
        <v>3973</v>
      </c>
      <c r="C5795" t="s">
        <v>235</v>
      </c>
      <c r="D5795" t="s">
        <v>3936</v>
      </c>
      <c r="E5795" t="s">
        <v>556</v>
      </c>
      <c r="F5795" t="s">
        <v>1068</v>
      </c>
      <c r="G5795" t="s">
        <v>1075</v>
      </c>
      <c r="H5795">
        <v>3.4712323686972302E-3</v>
      </c>
      <c r="I5795" t="s">
        <v>1077</v>
      </c>
      <c r="J5795">
        <v>7.56</v>
      </c>
    </row>
    <row r="5796" spans="1:10" hidden="1">
      <c r="A5796" t="s">
        <v>3972</v>
      </c>
      <c r="B5796" t="s">
        <v>3973</v>
      </c>
      <c r="C5796" t="s">
        <v>235</v>
      </c>
      <c r="D5796" t="s">
        <v>3936</v>
      </c>
      <c r="E5796" t="s">
        <v>556</v>
      </c>
      <c r="F5796" t="s">
        <v>1068</v>
      </c>
      <c r="G5796" t="s">
        <v>1078</v>
      </c>
      <c r="H5796">
        <v>2.6040728968980201E-2</v>
      </c>
      <c r="I5796" t="s">
        <v>1079</v>
      </c>
      <c r="J5796">
        <v>7.56</v>
      </c>
    </row>
    <row r="5797" spans="1:10" hidden="1">
      <c r="A5797" t="s">
        <v>3972</v>
      </c>
      <c r="B5797" t="s">
        <v>3973</v>
      </c>
      <c r="C5797" t="s">
        <v>235</v>
      </c>
      <c r="D5797" t="s">
        <v>3936</v>
      </c>
      <c r="E5797" t="s">
        <v>556</v>
      </c>
      <c r="F5797" t="s">
        <v>1068</v>
      </c>
      <c r="G5797" t="s">
        <v>1080</v>
      </c>
      <c r="H5797" s="171" t="s">
        <v>3976</v>
      </c>
      <c r="I5797" t="s">
        <v>1082</v>
      </c>
      <c r="J5797">
        <v>7.56</v>
      </c>
    </row>
    <row r="5798" spans="1:10" hidden="1">
      <c r="A5798" t="s">
        <v>3972</v>
      </c>
      <c r="B5798" t="s">
        <v>3973</v>
      </c>
      <c r="C5798" t="s">
        <v>235</v>
      </c>
      <c r="D5798" t="s">
        <v>3936</v>
      </c>
      <c r="E5798" t="s">
        <v>556</v>
      </c>
      <c r="F5798" t="s">
        <v>1068</v>
      </c>
      <c r="G5798" t="s">
        <v>1083</v>
      </c>
      <c r="H5798" s="171" t="s">
        <v>3977</v>
      </c>
      <c r="I5798" t="s">
        <v>1084</v>
      </c>
      <c r="J5798">
        <v>7.56</v>
      </c>
    </row>
    <row r="5799" spans="1:10" hidden="1">
      <c r="A5799" t="s">
        <v>3972</v>
      </c>
      <c r="B5799" t="s">
        <v>3973</v>
      </c>
      <c r="C5799" t="s">
        <v>235</v>
      </c>
      <c r="D5799" t="s">
        <v>3936</v>
      </c>
      <c r="E5799" t="s">
        <v>556</v>
      </c>
      <c r="F5799" t="s">
        <v>1068</v>
      </c>
      <c r="G5799" t="s">
        <v>1085</v>
      </c>
      <c r="H5799" s="171" t="s">
        <v>3978</v>
      </c>
      <c r="I5799" t="s">
        <v>1086</v>
      </c>
      <c r="J5799">
        <v>7.56</v>
      </c>
    </row>
    <row r="5800" spans="1:10" hidden="1">
      <c r="A5800" t="s">
        <v>3972</v>
      </c>
      <c r="B5800" t="s">
        <v>3973</v>
      </c>
      <c r="C5800" t="s">
        <v>235</v>
      </c>
      <c r="D5800" t="s">
        <v>3936</v>
      </c>
      <c r="E5800" t="s">
        <v>556</v>
      </c>
      <c r="F5800" t="s">
        <v>1068</v>
      </c>
      <c r="G5800" t="s">
        <v>1087</v>
      </c>
      <c r="H5800" s="171" t="s">
        <v>3979</v>
      </c>
      <c r="I5800" t="s">
        <v>1088</v>
      </c>
      <c r="J5800">
        <v>7.56</v>
      </c>
    </row>
    <row r="5801" spans="1:10" hidden="1">
      <c r="A5801" t="s">
        <v>3972</v>
      </c>
      <c r="B5801" t="s">
        <v>3973</v>
      </c>
      <c r="C5801" t="s">
        <v>235</v>
      </c>
      <c r="D5801" t="s">
        <v>3936</v>
      </c>
      <c r="E5801" t="s">
        <v>556</v>
      </c>
      <c r="F5801" t="s">
        <v>1068</v>
      </c>
      <c r="G5801" t="s">
        <v>1089</v>
      </c>
      <c r="H5801" s="171" t="s">
        <v>3980</v>
      </c>
      <c r="I5801" t="s">
        <v>1090</v>
      </c>
      <c r="J5801">
        <v>7.56</v>
      </c>
    </row>
    <row r="5802" spans="1:10" hidden="1">
      <c r="A5802" t="s">
        <v>3981</v>
      </c>
      <c r="B5802" t="s">
        <v>3982</v>
      </c>
      <c r="C5802" t="s">
        <v>235</v>
      </c>
      <c r="D5802" t="s">
        <v>3936</v>
      </c>
      <c r="E5802" t="s">
        <v>557</v>
      </c>
      <c r="F5802" t="s">
        <v>1068</v>
      </c>
      <c r="G5802" t="s">
        <v>1069</v>
      </c>
      <c r="H5802">
        <v>7.43705897533114E-2</v>
      </c>
      <c r="I5802" t="s">
        <v>1070</v>
      </c>
      <c r="J5802">
        <v>8.2799999999999994</v>
      </c>
    </row>
    <row r="5803" spans="1:10" hidden="1">
      <c r="A5803" t="s">
        <v>3981</v>
      </c>
      <c r="B5803" t="s">
        <v>3982</v>
      </c>
      <c r="C5803" t="s">
        <v>235</v>
      </c>
      <c r="D5803" t="s">
        <v>3936</v>
      </c>
      <c r="E5803" t="s">
        <v>557</v>
      </c>
      <c r="F5803" t="s">
        <v>1068</v>
      </c>
      <c r="G5803" t="s">
        <v>1071</v>
      </c>
      <c r="H5803" s="171" t="s">
        <v>3983</v>
      </c>
      <c r="I5803" t="s">
        <v>1072</v>
      </c>
      <c r="J5803">
        <v>8.2799999999999994</v>
      </c>
    </row>
    <row r="5804" spans="1:10" hidden="1">
      <c r="A5804" t="s">
        <v>3981</v>
      </c>
      <c r="B5804" t="s">
        <v>3982</v>
      </c>
      <c r="C5804" t="s">
        <v>235</v>
      </c>
      <c r="D5804" t="s">
        <v>3936</v>
      </c>
      <c r="E5804" t="s">
        <v>557</v>
      </c>
      <c r="F5804" t="s">
        <v>1068</v>
      </c>
      <c r="G5804" t="s">
        <v>1073</v>
      </c>
      <c r="H5804" s="171" t="s">
        <v>3984</v>
      </c>
      <c r="I5804" t="s">
        <v>1074</v>
      </c>
      <c r="J5804">
        <v>8.2799999999999994</v>
      </c>
    </row>
    <row r="5805" spans="1:10" hidden="1">
      <c r="A5805" t="s">
        <v>3981</v>
      </c>
      <c r="B5805" t="s">
        <v>3982</v>
      </c>
      <c r="C5805" t="s">
        <v>235</v>
      </c>
      <c r="D5805" t="s">
        <v>3936</v>
      </c>
      <c r="E5805" t="s">
        <v>557</v>
      </c>
      <c r="F5805" t="s">
        <v>1068</v>
      </c>
      <c r="G5805" t="s">
        <v>1075</v>
      </c>
      <c r="H5805">
        <v>3.4709309466814998E-3</v>
      </c>
      <c r="I5805" t="s">
        <v>1077</v>
      </c>
      <c r="J5805">
        <v>8.2799999999999994</v>
      </c>
    </row>
    <row r="5806" spans="1:10" hidden="1">
      <c r="A5806" t="s">
        <v>3981</v>
      </c>
      <c r="B5806" t="s">
        <v>3982</v>
      </c>
      <c r="C5806" t="s">
        <v>235</v>
      </c>
      <c r="D5806" t="s">
        <v>3936</v>
      </c>
      <c r="E5806" t="s">
        <v>557</v>
      </c>
      <c r="F5806" t="s">
        <v>1068</v>
      </c>
      <c r="G5806" t="s">
        <v>1078</v>
      </c>
      <c r="H5806">
        <v>2.6027698449498898E-2</v>
      </c>
      <c r="I5806" t="s">
        <v>1079</v>
      </c>
      <c r="J5806">
        <v>8.2799999999999994</v>
      </c>
    </row>
    <row r="5807" spans="1:10" hidden="1">
      <c r="A5807" t="s">
        <v>3981</v>
      </c>
      <c r="B5807" t="s">
        <v>3982</v>
      </c>
      <c r="C5807" t="s">
        <v>235</v>
      </c>
      <c r="D5807" t="s">
        <v>3936</v>
      </c>
      <c r="E5807" t="s">
        <v>557</v>
      </c>
      <c r="F5807" t="s">
        <v>1068</v>
      </c>
      <c r="G5807" t="s">
        <v>1080</v>
      </c>
      <c r="H5807" s="171" t="s">
        <v>3985</v>
      </c>
      <c r="I5807" t="s">
        <v>1082</v>
      </c>
      <c r="J5807">
        <v>8.2799999999999994</v>
      </c>
    </row>
    <row r="5808" spans="1:10" hidden="1">
      <c r="A5808" t="s">
        <v>3981</v>
      </c>
      <c r="B5808" t="s">
        <v>3982</v>
      </c>
      <c r="C5808" t="s">
        <v>235</v>
      </c>
      <c r="D5808" t="s">
        <v>3936</v>
      </c>
      <c r="E5808" t="s">
        <v>557</v>
      </c>
      <c r="F5808" t="s">
        <v>1068</v>
      </c>
      <c r="G5808" t="s">
        <v>1083</v>
      </c>
      <c r="H5808" s="171" t="s">
        <v>3986</v>
      </c>
      <c r="I5808" t="s">
        <v>1084</v>
      </c>
      <c r="J5808">
        <v>8.2799999999999994</v>
      </c>
    </row>
    <row r="5809" spans="1:10" hidden="1">
      <c r="A5809" t="s">
        <v>3981</v>
      </c>
      <c r="B5809" t="s">
        <v>3982</v>
      </c>
      <c r="C5809" t="s">
        <v>235</v>
      </c>
      <c r="D5809" t="s">
        <v>3936</v>
      </c>
      <c r="E5809" t="s">
        <v>557</v>
      </c>
      <c r="F5809" t="s">
        <v>1068</v>
      </c>
      <c r="G5809" t="s">
        <v>1085</v>
      </c>
      <c r="H5809" s="171" t="s">
        <v>3987</v>
      </c>
      <c r="I5809" t="s">
        <v>1086</v>
      </c>
      <c r="J5809">
        <v>8.2799999999999994</v>
      </c>
    </row>
    <row r="5810" spans="1:10" hidden="1">
      <c r="A5810" t="s">
        <v>3981</v>
      </c>
      <c r="B5810" t="s">
        <v>3982</v>
      </c>
      <c r="C5810" t="s">
        <v>235</v>
      </c>
      <c r="D5810" t="s">
        <v>3936</v>
      </c>
      <c r="E5810" t="s">
        <v>557</v>
      </c>
      <c r="F5810" t="s">
        <v>1068</v>
      </c>
      <c r="G5810" t="s">
        <v>1087</v>
      </c>
      <c r="H5810" s="171" t="s">
        <v>3988</v>
      </c>
      <c r="I5810" t="s">
        <v>1088</v>
      </c>
      <c r="J5810">
        <v>8.2799999999999994</v>
      </c>
    </row>
    <row r="5811" spans="1:10" hidden="1">
      <c r="A5811" t="s">
        <v>3981</v>
      </c>
      <c r="B5811" t="s">
        <v>3982</v>
      </c>
      <c r="C5811" t="s">
        <v>235</v>
      </c>
      <c r="D5811" t="s">
        <v>3936</v>
      </c>
      <c r="E5811" t="s">
        <v>557</v>
      </c>
      <c r="F5811" t="s">
        <v>1068</v>
      </c>
      <c r="G5811" t="s">
        <v>1089</v>
      </c>
      <c r="H5811" s="171" t="s">
        <v>3989</v>
      </c>
      <c r="I5811" t="s">
        <v>1090</v>
      </c>
      <c r="J5811">
        <v>8.2799999999999994</v>
      </c>
    </row>
    <row r="5812" spans="1:10" hidden="1">
      <c r="A5812" t="s">
        <v>3990</v>
      </c>
      <c r="B5812" t="s">
        <v>3991</v>
      </c>
      <c r="C5812" t="s">
        <v>235</v>
      </c>
      <c r="D5812" t="s">
        <v>3936</v>
      </c>
      <c r="E5812" t="s">
        <v>559</v>
      </c>
      <c r="F5812" t="s">
        <v>1068</v>
      </c>
      <c r="G5812" t="s">
        <v>1069</v>
      </c>
      <c r="H5812">
        <v>7.4446937155619994E-2</v>
      </c>
      <c r="I5812" t="s">
        <v>1070</v>
      </c>
      <c r="J5812">
        <v>7.39</v>
      </c>
    </row>
    <row r="5813" spans="1:10" hidden="1">
      <c r="A5813" t="s">
        <v>3990</v>
      </c>
      <c r="B5813" t="s">
        <v>3991</v>
      </c>
      <c r="C5813" t="s">
        <v>235</v>
      </c>
      <c r="D5813" t="s">
        <v>3936</v>
      </c>
      <c r="E5813" t="s">
        <v>559</v>
      </c>
      <c r="F5813" t="s">
        <v>1068</v>
      </c>
      <c r="G5813" t="s">
        <v>1071</v>
      </c>
      <c r="H5813" s="171" t="s">
        <v>3992</v>
      </c>
      <c r="I5813" t="s">
        <v>1072</v>
      </c>
      <c r="J5813">
        <v>7.39</v>
      </c>
    </row>
    <row r="5814" spans="1:10" hidden="1">
      <c r="A5814" t="s">
        <v>3990</v>
      </c>
      <c r="B5814" t="s">
        <v>3991</v>
      </c>
      <c r="C5814" t="s">
        <v>235</v>
      </c>
      <c r="D5814" t="s">
        <v>3936</v>
      </c>
      <c r="E5814" t="s">
        <v>559</v>
      </c>
      <c r="F5814" t="s">
        <v>1068</v>
      </c>
      <c r="G5814" t="s">
        <v>1073</v>
      </c>
      <c r="H5814" s="171" t="s">
        <v>3993</v>
      </c>
      <c r="I5814" t="s">
        <v>1074</v>
      </c>
      <c r="J5814">
        <v>7.39</v>
      </c>
    </row>
    <row r="5815" spans="1:10" hidden="1">
      <c r="A5815" t="s">
        <v>3990</v>
      </c>
      <c r="B5815" t="s">
        <v>3991</v>
      </c>
      <c r="C5815" t="s">
        <v>235</v>
      </c>
      <c r="D5815" t="s">
        <v>3936</v>
      </c>
      <c r="E5815" t="s">
        <v>559</v>
      </c>
      <c r="F5815" t="s">
        <v>1068</v>
      </c>
      <c r="G5815" t="s">
        <v>1075</v>
      </c>
      <c r="H5815">
        <v>3.4710890411284701E-3</v>
      </c>
      <c r="I5815" t="s">
        <v>1077</v>
      </c>
      <c r="J5815">
        <v>7.39</v>
      </c>
    </row>
    <row r="5816" spans="1:10" hidden="1">
      <c r="A5816" t="s">
        <v>3990</v>
      </c>
      <c r="B5816" t="s">
        <v>3991</v>
      </c>
      <c r="C5816" t="s">
        <v>235</v>
      </c>
      <c r="D5816" t="s">
        <v>3936</v>
      </c>
      <c r="E5816" t="s">
        <v>559</v>
      </c>
      <c r="F5816" t="s">
        <v>1068</v>
      </c>
      <c r="G5816" t="s">
        <v>1078</v>
      </c>
      <c r="H5816" s="171" t="s">
        <v>3994</v>
      </c>
      <c r="I5816" t="s">
        <v>1079</v>
      </c>
      <c r="J5816">
        <v>7.39</v>
      </c>
    </row>
    <row r="5817" spans="1:10" hidden="1">
      <c r="A5817" t="s">
        <v>3990</v>
      </c>
      <c r="B5817" t="s">
        <v>3991</v>
      </c>
      <c r="C5817" t="s">
        <v>235</v>
      </c>
      <c r="D5817" t="s">
        <v>3936</v>
      </c>
      <c r="E5817" t="s">
        <v>559</v>
      </c>
      <c r="F5817" t="s">
        <v>1068</v>
      </c>
      <c r="G5817" t="s">
        <v>1080</v>
      </c>
      <c r="H5817" s="171" t="s">
        <v>3995</v>
      </c>
      <c r="I5817" t="s">
        <v>1082</v>
      </c>
      <c r="J5817">
        <v>7.39</v>
      </c>
    </row>
    <row r="5818" spans="1:10" hidden="1">
      <c r="A5818" t="s">
        <v>3990</v>
      </c>
      <c r="B5818" t="s">
        <v>3991</v>
      </c>
      <c r="C5818" t="s">
        <v>235</v>
      </c>
      <c r="D5818" t="s">
        <v>3936</v>
      </c>
      <c r="E5818" t="s">
        <v>559</v>
      </c>
      <c r="F5818" t="s">
        <v>1068</v>
      </c>
      <c r="G5818" t="s">
        <v>1083</v>
      </c>
      <c r="H5818" s="171" t="s">
        <v>3996</v>
      </c>
      <c r="I5818" t="s">
        <v>1084</v>
      </c>
      <c r="J5818">
        <v>7.39</v>
      </c>
    </row>
    <row r="5819" spans="1:10" hidden="1">
      <c r="A5819" t="s">
        <v>3990</v>
      </c>
      <c r="B5819" t="s">
        <v>3991</v>
      </c>
      <c r="C5819" t="s">
        <v>235</v>
      </c>
      <c r="D5819" t="s">
        <v>3936</v>
      </c>
      <c r="E5819" t="s">
        <v>559</v>
      </c>
      <c r="F5819" t="s">
        <v>1068</v>
      </c>
      <c r="G5819" t="s">
        <v>1085</v>
      </c>
      <c r="H5819" s="171" t="s">
        <v>3997</v>
      </c>
      <c r="I5819" t="s">
        <v>1086</v>
      </c>
      <c r="J5819">
        <v>7.39</v>
      </c>
    </row>
    <row r="5820" spans="1:10" hidden="1">
      <c r="A5820" t="s">
        <v>3990</v>
      </c>
      <c r="B5820" t="s">
        <v>3991</v>
      </c>
      <c r="C5820" t="s">
        <v>235</v>
      </c>
      <c r="D5820" t="s">
        <v>3936</v>
      </c>
      <c r="E5820" t="s">
        <v>559</v>
      </c>
      <c r="F5820" t="s">
        <v>1068</v>
      </c>
      <c r="G5820" t="s">
        <v>1087</v>
      </c>
      <c r="H5820" s="171" t="s">
        <v>3998</v>
      </c>
      <c r="I5820" t="s">
        <v>1088</v>
      </c>
      <c r="J5820">
        <v>7.39</v>
      </c>
    </row>
    <row r="5821" spans="1:10" hidden="1">
      <c r="A5821" t="s">
        <v>3990</v>
      </c>
      <c r="B5821" t="s">
        <v>3991</v>
      </c>
      <c r="C5821" t="s">
        <v>235</v>
      </c>
      <c r="D5821" t="s">
        <v>3936</v>
      </c>
      <c r="E5821" t="s">
        <v>559</v>
      </c>
      <c r="F5821" t="s">
        <v>1068</v>
      </c>
      <c r="G5821" t="s">
        <v>1089</v>
      </c>
      <c r="H5821" s="171" t="s">
        <v>3999</v>
      </c>
      <c r="I5821" t="s">
        <v>1090</v>
      </c>
      <c r="J5821">
        <v>7.39</v>
      </c>
    </row>
    <row r="5822" spans="1:10" hidden="1">
      <c r="A5822" t="s">
        <v>4000</v>
      </c>
      <c r="B5822" t="s">
        <v>4001</v>
      </c>
      <c r="C5822" t="s">
        <v>235</v>
      </c>
      <c r="D5822" t="s">
        <v>3936</v>
      </c>
      <c r="E5822" t="s">
        <v>560</v>
      </c>
      <c r="F5822" t="s">
        <v>1068</v>
      </c>
      <c r="G5822" t="s">
        <v>1069</v>
      </c>
      <c r="H5822">
        <v>7.4373367110408595E-2</v>
      </c>
      <c r="I5822" t="s">
        <v>1070</v>
      </c>
      <c r="J5822">
        <v>8.25</v>
      </c>
    </row>
    <row r="5823" spans="1:10" hidden="1">
      <c r="A5823" t="s">
        <v>4000</v>
      </c>
      <c r="B5823" t="s">
        <v>4001</v>
      </c>
      <c r="C5823" t="s">
        <v>235</v>
      </c>
      <c r="D5823" t="s">
        <v>3936</v>
      </c>
      <c r="E5823" t="s">
        <v>560</v>
      </c>
      <c r="F5823" t="s">
        <v>1068</v>
      </c>
      <c r="G5823" t="s">
        <v>1071</v>
      </c>
      <c r="H5823" s="171" t="s">
        <v>4002</v>
      </c>
      <c r="I5823" t="s">
        <v>1072</v>
      </c>
      <c r="J5823">
        <v>8.25</v>
      </c>
    </row>
    <row r="5824" spans="1:10" hidden="1">
      <c r="A5824" t="s">
        <v>4000</v>
      </c>
      <c r="B5824" t="s">
        <v>4001</v>
      </c>
      <c r="C5824" t="s">
        <v>235</v>
      </c>
      <c r="D5824" t="s">
        <v>3936</v>
      </c>
      <c r="E5824" t="s">
        <v>560</v>
      </c>
      <c r="F5824" t="s">
        <v>1068</v>
      </c>
      <c r="G5824" t="s">
        <v>1073</v>
      </c>
      <c r="H5824" s="171" t="s">
        <v>4003</v>
      </c>
      <c r="I5824" t="s">
        <v>1074</v>
      </c>
      <c r="J5824">
        <v>8.25</v>
      </c>
    </row>
    <row r="5825" spans="1:10" hidden="1">
      <c r="A5825" t="s">
        <v>4000</v>
      </c>
      <c r="B5825" t="s">
        <v>4001</v>
      </c>
      <c r="C5825" t="s">
        <v>235</v>
      </c>
      <c r="D5825" t="s">
        <v>3936</v>
      </c>
      <c r="E5825" t="s">
        <v>560</v>
      </c>
      <c r="F5825" t="s">
        <v>1068</v>
      </c>
      <c r="G5825" t="s">
        <v>1075</v>
      </c>
      <c r="H5825">
        <v>3.47101874190631E-3</v>
      </c>
      <c r="I5825" t="s">
        <v>1077</v>
      </c>
      <c r="J5825">
        <v>8.25</v>
      </c>
    </row>
    <row r="5826" spans="1:10" hidden="1">
      <c r="A5826" t="s">
        <v>4000</v>
      </c>
      <c r="B5826" t="s">
        <v>4001</v>
      </c>
      <c r="C5826" t="s">
        <v>235</v>
      </c>
      <c r="D5826" t="s">
        <v>3936</v>
      </c>
      <c r="E5826" t="s">
        <v>560</v>
      </c>
      <c r="F5826" t="s">
        <v>1068</v>
      </c>
      <c r="G5826" t="s">
        <v>1078</v>
      </c>
      <c r="H5826" s="171" t="s">
        <v>4004</v>
      </c>
      <c r="I5826" t="s">
        <v>1079</v>
      </c>
      <c r="J5826">
        <v>8.25</v>
      </c>
    </row>
    <row r="5827" spans="1:10" hidden="1">
      <c r="A5827" t="s">
        <v>4000</v>
      </c>
      <c r="B5827" t="s">
        <v>4001</v>
      </c>
      <c r="C5827" t="s">
        <v>235</v>
      </c>
      <c r="D5827" t="s">
        <v>3936</v>
      </c>
      <c r="E5827" t="s">
        <v>560</v>
      </c>
      <c r="F5827" t="s">
        <v>1068</v>
      </c>
      <c r="G5827" t="s">
        <v>1080</v>
      </c>
      <c r="H5827" s="171" t="s">
        <v>4005</v>
      </c>
      <c r="I5827" t="s">
        <v>1082</v>
      </c>
      <c r="J5827">
        <v>8.25</v>
      </c>
    </row>
    <row r="5828" spans="1:10" hidden="1">
      <c r="A5828" t="s">
        <v>4000</v>
      </c>
      <c r="B5828" t="s">
        <v>4001</v>
      </c>
      <c r="C5828" t="s">
        <v>235</v>
      </c>
      <c r="D5828" t="s">
        <v>3936</v>
      </c>
      <c r="E5828" t="s">
        <v>560</v>
      </c>
      <c r="F5828" t="s">
        <v>1068</v>
      </c>
      <c r="G5828" t="s">
        <v>1083</v>
      </c>
      <c r="H5828" s="171" t="s">
        <v>4006</v>
      </c>
      <c r="I5828" t="s">
        <v>1084</v>
      </c>
      <c r="J5828">
        <v>8.25</v>
      </c>
    </row>
    <row r="5829" spans="1:10" hidden="1">
      <c r="A5829" t="s">
        <v>4000</v>
      </c>
      <c r="B5829" t="s">
        <v>4001</v>
      </c>
      <c r="C5829" t="s">
        <v>235</v>
      </c>
      <c r="D5829" t="s">
        <v>3936</v>
      </c>
      <c r="E5829" t="s">
        <v>560</v>
      </c>
      <c r="F5829" t="s">
        <v>1068</v>
      </c>
      <c r="G5829" t="s">
        <v>1085</v>
      </c>
      <c r="H5829" s="171" t="s">
        <v>4007</v>
      </c>
      <c r="I5829" t="s">
        <v>1086</v>
      </c>
      <c r="J5829">
        <v>8.25</v>
      </c>
    </row>
    <row r="5830" spans="1:10" hidden="1">
      <c r="A5830" t="s">
        <v>4000</v>
      </c>
      <c r="B5830" t="s">
        <v>4001</v>
      </c>
      <c r="C5830" t="s">
        <v>235</v>
      </c>
      <c r="D5830" t="s">
        <v>3936</v>
      </c>
      <c r="E5830" t="s">
        <v>560</v>
      </c>
      <c r="F5830" t="s">
        <v>1068</v>
      </c>
      <c r="G5830" t="s">
        <v>1087</v>
      </c>
      <c r="H5830" s="171" t="s">
        <v>4008</v>
      </c>
      <c r="I5830" t="s">
        <v>1088</v>
      </c>
      <c r="J5830">
        <v>8.25</v>
      </c>
    </row>
    <row r="5831" spans="1:10" hidden="1">
      <c r="A5831" t="s">
        <v>4000</v>
      </c>
      <c r="B5831" t="s">
        <v>4001</v>
      </c>
      <c r="C5831" t="s">
        <v>235</v>
      </c>
      <c r="D5831" t="s">
        <v>3936</v>
      </c>
      <c r="E5831" t="s">
        <v>560</v>
      </c>
      <c r="F5831" t="s">
        <v>1068</v>
      </c>
      <c r="G5831" t="s">
        <v>1089</v>
      </c>
      <c r="H5831" s="171" t="s">
        <v>4009</v>
      </c>
      <c r="I5831" t="s">
        <v>1090</v>
      </c>
      <c r="J5831">
        <v>8.25</v>
      </c>
    </row>
    <row r="5832" spans="1:10" hidden="1">
      <c r="A5832" t="s">
        <v>4010</v>
      </c>
      <c r="B5832" t="s">
        <v>4011</v>
      </c>
      <c r="C5832" t="s">
        <v>235</v>
      </c>
      <c r="D5832" t="s">
        <v>3936</v>
      </c>
      <c r="E5832" t="s">
        <v>1116</v>
      </c>
      <c r="F5832" t="s">
        <v>1068</v>
      </c>
      <c r="G5832" t="s">
        <v>1069</v>
      </c>
      <c r="H5832">
        <v>7.4364937552313298E-2</v>
      </c>
      <c r="I5832" t="s">
        <v>1070</v>
      </c>
      <c r="J5832">
        <v>13.56</v>
      </c>
    </row>
    <row r="5833" spans="1:10" hidden="1">
      <c r="A5833" t="s">
        <v>4010</v>
      </c>
      <c r="B5833" t="s">
        <v>4011</v>
      </c>
      <c r="C5833" t="s">
        <v>235</v>
      </c>
      <c r="D5833" t="s">
        <v>3936</v>
      </c>
      <c r="E5833" t="s">
        <v>1116</v>
      </c>
      <c r="F5833" t="s">
        <v>1068</v>
      </c>
      <c r="G5833" t="s">
        <v>1071</v>
      </c>
      <c r="H5833" s="171" t="s">
        <v>4012</v>
      </c>
      <c r="I5833" t="s">
        <v>1072</v>
      </c>
      <c r="J5833">
        <v>13.56</v>
      </c>
    </row>
    <row r="5834" spans="1:10" hidden="1">
      <c r="A5834" t="s">
        <v>4010</v>
      </c>
      <c r="B5834" t="s">
        <v>4011</v>
      </c>
      <c r="C5834" t="s">
        <v>235</v>
      </c>
      <c r="D5834" t="s">
        <v>3936</v>
      </c>
      <c r="E5834" t="s">
        <v>1116</v>
      </c>
      <c r="F5834" t="s">
        <v>1068</v>
      </c>
      <c r="G5834" t="s">
        <v>1073</v>
      </c>
      <c r="H5834" s="171" t="s">
        <v>4013</v>
      </c>
      <c r="I5834" t="s">
        <v>1074</v>
      </c>
      <c r="J5834">
        <v>13.56</v>
      </c>
    </row>
    <row r="5835" spans="1:10" hidden="1">
      <c r="A5835" t="s">
        <v>4010</v>
      </c>
      <c r="B5835" t="s">
        <v>4011</v>
      </c>
      <c r="C5835" t="s">
        <v>235</v>
      </c>
      <c r="D5835" t="s">
        <v>3936</v>
      </c>
      <c r="E5835" t="s">
        <v>1116</v>
      </c>
      <c r="F5835" t="s">
        <v>1068</v>
      </c>
      <c r="G5835" t="s">
        <v>1075</v>
      </c>
      <c r="H5835">
        <v>3.47075227456988E-3</v>
      </c>
      <c r="I5835" t="s">
        <v>1077</v>
      </c>
      <c r="J5835">
        <v>13.56</v>
      </c>
    </row>
    <row r="5836" spans="1:10" hidden="1">
      <c r="A5836" t="s">
        <v>4010</v>
      </c>
      <c r="B5836" t="s">
        <v>4011</v>
      </c>
      <c r="C5836" t="s">
        <v>235</v>
      </c>
      <c r="D5836" t="s">
        <v>3936</v>
      </c>
      <c r="E5836" t="s">
        <v>1116</v>
      </c>
      <c r="F5836" t="s">
        <v>1068</v>
      </c>
      <c r="G5836" t="s">
        <v>1078</v>
      </c>
      <c r="H5836" s="171" t="s">
        <v>4014</v>
      </c>
      <c r="I5836" t="s">
        <v>1079</v>
      </c>
      <c r="J5836">
        <v>13.56</v>
      </c>
    </row>
    <row r="5837" spans="1:10" hidden="1">
      <c r="A5837" t="s">
        <v>4010</v>
      </c>
      <c r="B5837" t="s">
        <v>4011</v>
      </c>
      <c r="C5837" t="s">
        <v>235</v>
      </c>
      <c r="D5837" t="s">
        <v>3936</v>
      </c>
      <c r="E5837" t="s">
        <v>1116</v>
      </c>
      <c r="F5837" t="s">
        <v>1068</v>
      </c>
      <c r="G5837" t="s">
        <v>1080</v>
      </c>
      <c r="H5837" s="171" t="s">
        <v>4015</v>
      </c>
      <c r="I5837" t="s">
        <v>1082</v>
      </c>
      <c r="J5837">
        <v>13.56</v>
      </c>
    </row>
    <row r="5838" spans="1:10" hidden="1">
      <c r="A5838" t="s">
        <v>4010</v>
      </c>
      <c r="B5838" t="s">
        <v>4011</v>
      </c>
      <c r="C5838" t="s">
        <v>235</v>
      </c>
      <c r="D5838" t="s">
        <v>3936</v>
      </c>
      <c r="E5838" t="s">
        <v>1116</v>
      </c>
      <c r="F5838" t="s">
        <v>1068</v>
      </c>
      <c r="G5838" t="s">
        <v>1083</v>
      </c>
      <c r="H5838" s="171" t="s">
        <v>4016</v>
      </c>
      <c r="I5838" t="s">
        <v>1084</v>
      </c>
      <c r="J5838">
        <v>13.56</v>
      </c>
    </row>
    <row r="5839" spans="1:10" hidden="1">
      <c r="A5839" t="s">
        <v>4010</v>
      </c>
      <c r="B5839" t="s">
        <v>4011</v>
      </c>
      <c r="C5839" t="s">
        <v>235</v>
      </c>
      <c r="D5839" t="s">
        <v>3936</v>
      </c>
      <c r="E5839" t="s">
        <v>1116</v>
      </c>
      <c r="F5839" t="s">
        <v>1068</v>
      </c>
      <c r="G5839" t="s">
        <v>1085</v>
      </c>
      <c r="H5839" s="171" t="s">
        <v>4017</v>
      </c>
      <c r="I5839" t="s">
        <v>1086</v>
      </c>
      <c r="J5839">
        <v>13.56</v>
      </c>
    </row>
    <row r="5840" spans="1:10" hidden="1">
      <c r="A5840" t="s">
        <v>4010</v>
      </c>
      <c r="B5840" t="s">
        <v>4011</v>
      </c>
      <c r="C5840" t="s">
        <v>235</v>
      </c>
      <c r="D5840" t="s">
        <v>3936</v>
      </c>
      <c r="E5840" t="s">
        <v>1116</v>
      </c>
      <c r="F5840" t="s">
        <v>1068</v>
      </c>
      <c r="G5840" t="s">
        <v>1087</v>
      </c>
      <c r="H5840" s="171" t="s">
        <v>4018</v>
      </c>
      <c r="I5840" t="s">
        <v>1088</v>
      </c>
      <c r="J5840">
        <v>13.56</v>
      </c>
    </row>
    <row r="5841" spans="1:10" hidden="1">
      <c r="A5841" t="s">
        <v>4010</v>
      </c>
      <c r="B5841" t="s">
        <v>4011</v>
      </c>
      <c r="C5841" t="s">
        <v>235</v>
      </c>
      <c r="D5841" t="s">
        <v>3936</v>
      </c>
      <c r="E5841" t="s">
        <v>1116</v>
      </c>
      <c r="F5841" t="s">
        <v>1068</v>
      </c>
      <c r="G5841" t="s">
        <v>1089</v>
      </c>
      <c r="H5841" s="171" t="s">
        <v>4019</v>
      </c>
      <c r="I5841" t="s">
        <v>1090</v>
      </c>
      <c r="J5841">
        <v>13.56</v>
      </c>
    </row>
    <row r="5842" spans="1:10" hidden="1">
      <c r="A5842" t="s">
        <v>4020</v>
      </c>
      <c r="B5842" t="s">
        <v>4021</v>
      </c>
      <c r="C5842" t="s">
        <v>235</v>
      </c>
      <c r="D5842" t="s">
        <v>4022</v>
      </c>
      <c r="E5842" t="s">
        <v>561</v>
      </c>
      <c r="F5842" t="s">
        <v>1068</v>
      </c>
      <c r="G5842" t="s">
        <v>1069</v>
      </c>
      <c r="H5842">
        <v>7.1870296027615493E-2</v>
      </c>
      <c r="I5842" t="s">
        <v>1070</v>
      </c>
      <c r="J5842">
        <v>9.65</v>
      </c>
    </row>
    <row r="5843" spans="1:10" hidden="1">
      <c r="A5843" t="s">
        <v>4020</v>
      </c>
      <c r="B5843" t="s">
        <v>4021</v>
      </c>
      <c r="C5843" t="s">
        <v>235</v>
      </c>
      <c r="D5843" t="s">
        <v>4022</v>
      </c>
      <c r="E5843" t="s">
        <v>561</v>
      </c>
      <c r="F5843" t="s">
        <v>1068</v>
      </c>
      <c r="G5843" t="s">
        <v>1071</v>
      </c>
      <c r="H5843" s="171" t="s">
        <v>4023</v>
      </c>
      <c r="I5843" t="s">
        <v>1072</v>
      </c>
      <c r="J5843">
        <v>9.65</v>
      </c>
    </row>
    <row r="5844" spans="1:10" hidden="1">
      <c r="A5844" t="s">
        <v>4020</v>
      </c>
      <c r="B5844" t="s">
        <v>4021</v>
      </c>
      <c r="C5844" t="s">
        <v>235</v>
      </c>
      <c r="D5844" t="s">
        <v>4022</v>
      </c>
      <c r="E5844" t="s">
        <v>561</v>
      </c>
      <c r="F5844" t="s">
        <v>1068</v>
      </c>
      <c r="G5844" t="s">
        <v>1073</v>
      </c>
      <c r="H5844" s="171" t="s">
        <v>4024</v>
      </c>
      <c r="I5844" t="s">
        <v>1074</v>
      </c>
      <c r="J5844">
        <v>9.65</v>
      </c>
    </row>
    <row r="5845" spans="1:10" hidden="1">
      <c r="A5845" t="s">
        <v>4020</v>
      </c>
      <c r="B5845" t="s">
        <v>4021</v>
      </c>
      <c r="C5845" t="s">
        <v>235</v>
      </c>
      <c r="D5845" t="s">
        <v>4022</v>
      </c>
      <c r="E5845" t="s">
        <v>561</v>
      </c>
      <c r="F5845" t="s">
        <v>1068</v>
      </c>
      <c r="G5845" t="s">
        <v>1075</v>
      </c>
      <c r="H5845">
        <v>3.4708058781422902E-3</v>
      </c>
      <c r="I5845" t="s">
        <v>1077</v>
      </c>
      <c r="J5845">
        <v>9.65</v>
      </c>
    </row>
    <row r="5846" spans="1:10" hidden="1">
      <c r="A5846" t="s">
        <v>4020</v>
      </c>
      <c r="B5846" t="s">
        <v>4021</v>
      </c>
      <c r="C5846" t="s">
        <v>235</v>
      </c>
      <c r="D5846" t="s">
        <v>4022</v>
      </c>
      <c r="E5846" t="s">
        <v>561</v>
      </c>
      <c r="F5846" t="s">
        <v>1068</v>
      </c>
      <c r="G5846" t="s">
        <v>1078</v>
      </c>
      <c r="H5846">
        <v>2.6022298134733599E-2</v>
      </c>
      <c r="I5846" t="s">
        <v>1079</v>
      </c>
      <c r="J5846">
        <v>9.65</v>
      </c>
    </row>
    <row r="5847" spans="1:10" hidden="1">
      <c r="A5847" t="s">
        <v>4020</v>
      </c>
      <c r="B5847" t="s">
        <v>4021</v>
      </c>
      <c r="C5847" t="s">
        <v>235</v>
      </c>
      <c r="D5847" t="s">
        <v>4022</v>
      </c>
      <c r="E5847" t="s">
        <v>561</v>
      </c>
      <c r="F5847" t="s">
        <v>1068</v>
      </c>
      <c r="G5847" t="s">
        <v>1080</v>
      </c>
      <c r="H5847" s="171" t="s">
        <v>4025</v>
      </c>
      <c r="I5847" t="s">
        <v>1082</v>
      </c>
      <c r="J5847">
        <v>9.65</v>
      </c>
    </row>
    <row r="5848" spans="1:10" hidden="1">
      <c r="A5848" t="s">
        <v>4020</v>
      </c>
      <c r="B5848" t="s">
        <v>4021</v>
      </c>
      <c r="C5848" t="s">
        <v>235</v>
      </c>
      <c r="D5848" t="s">
        <v>4022</v>
      </c>
      <c r="E5848" t="s">
        <v>561</v>
      </c>
      <c r="F5848" t="s">
        <v>1068</v>
      </c>
      <c r="G5848" t="s">
        <v>1083</v>
      </c>
      <c r="H5848" s="171" t="s">
        <v>4026</v>
      </c>
      <c r="I5848" t="s">
        <v>1084</v>
      </c>
      <c r="J5848">
        <v>9.65</v>
      </c>
    </row>
    <row r="5849" spans="1:10" hidden="1">
      <c r="A5849" t="s">
        <v>4020</v>
      </c>
      <c r="B5849" t="s">
        <v>4021</v>
      </c>
      <c r="C5849" t="s">
        <v>235</v>
      </c>
      <c r="D5849" t="s">
        <v>4022</v>
      </c>
      <c r="E5849" t="s">
        <v>561</v>
      </c>
      <c r="F5849" t="s">
        <v>1068</v>
      </c>
      <c r="G5849" t="s">
        <v>1085</v>
      </c>
      <c r="H5849" s="171" t="s">
        <v>4027</v>
      </c>
      <c r="I5849" t="s">
        <v>1086</v>
      </c>
      <c r="J5849">
        <v>9.65</v>
      </c>
    </row>
    <row r="5850" spans="1:10" hidden="1">
      <c r="A5850" t="s">
        <v>4020</v>
      </c>
      <c r="B5850" t="s">
        <v>4021</v>
      </c>
      <c r="C5850" t="s">
        <v>235</v>
      </c>
      <c r="D5850" t="s">
        <v>4022</v>
      </c>
      <c r="E5850" t="s">
        <v>561</v>
      </c>
      <c r="F5850" t="s">
        <v>1068</v>
      </c>
      <c r="G5850" t="s">
        <v>1087</v>
      </c>
      <c r="H5850" s="171" t="s">
        <v>4028</v>
      </c>
      <c r="I5850" t="s">
        <v>1088</v>
      </c>
      <c r="J5850">
        <v>9.65</v>
      </c>
    </row>
    <row r="5851" spans="1:10" hidden="1">
      <c r="A5851" t="s">
        <v>4020</v>
      </c>
      <c r="B5851" t="s">
        <v>4021</v>
      </c>
      <c r="C5851" t="s">
        <v>235</v>
      </c>
      <c r="D5851" t="s">
        <v>4022</v>
      </c>
      <c r="E5851" t="s">
        <v>561</v>
      </c>
      <c r="F5851" t="s">
        <v>1068</v>
      </c>
      <c r="G5851" t="s">
        <v>1089</v>
      </c>
      <c r="H5851" s="171" t="s">
        <v>4029</v>
      </c>
      <c r="I5851" t="s">
        <v>1090</v>
      </c>
      <c r="J5851">
        <v>9.65</v>
      </c>
    </row>
    <row r="5852" spans="1:10" hidden="1">
      <c r="A5852" t="s">
        <v>4030</v>
      </c>
      <c r="B5852" t="s">
        <v>4031</v>
      </c>
      <c r="C5852" t="s">
        <v>235</v>
      </c>
      <c r="D5852" t="s">
        <v>4022</v>
      </c>
      <c r="E5852" t="s">
        <v>555</v>
      </c>
      <c r="F5852" t="s">
        <v>1068</v>
      </c>
      <c r="G5852" t="s">
        <v>1069</v>
      </c>
      <c r="H5852">
        <v>7.1909300044745897E-2</v>
      </c>
      <c r="I5852" t="s">
        <v>1070</v>
      </c>
      <c r="J5852">
        <v>7.98</v>
      </c>
    </row>
    <row r="5853" spans="1:10" hidden="1">
      <c r="A5853" t="s">
        <v>4030</v>
      </c>
      <c r="B5853" t="s">
        <v>4031</v>
      </c>
      <c r="C5853" t="s">
        <v>235</v>
      </c>
      <c r="D5853" t="s">
        <v>4022</v>
      </c>
      <c r="E5853" t="s">
        <v>555</v>
      </c>
      <c r="F5853" t="s">
        <v>1068</v>
      </c>
      <c r="G5853" t="s">
        <v>1071</v>
      </c>
      <c r="H5853" s="171" t="s">
        <v>4032</v>
      </c>
      <c r="I5853" t="s">
        <v>1072</v>
      </c>
      <c r="J5853">
        <v>7.98</v>
      </c>
    </row>
    <row r="5854" spans="1:10" hidden="1">
      <c r="A5854" t="s">
        <v>4030</v>
      </c>
      <c r="B5854" t="s">
        <v>4031</v>
      </c>
      <c r="C5854" t="s">
        <v>235</v>
      </c>
      <c r="D5854" t="s">
        <v>4022</v>
      </c>
      <c r="E5854" t="s">
        <v>555</v>
      </c>
      <c r="F5854" t="s">
        <v>1068</v>
      </c>
      <c r="G5854" t="s">
        <v>1073</v>
      </c>
      <c r="H5854" s="171" t="s">
        <v>4033</v>
      </c>
      <c r="I5854" t="s">
        <v>1074</v>
      </c>
      <c r="J5854">
        <v>7.98</v>
      </c>
    </row>
    <row r="5855" spans="1:10" hidden="1">
      <c r="A5855" t="s">
        <v>4030</v>
      </c>
      <c r="B5855" t="s">
        <v>4031</v>
      </c>
      <c r="C5855" t="s">
        <v>235</v>
      </c>
      <c r="D5855" t="s">
        <v>4022</v>
      </c>
      <c r="E5855" t="s">
        <v>555</v>
      </c>
      <c r="F5855" t="s">
        <v>1068</v>
      </c>
      <c r="G5855" t="s">
        <v>1075</v>
      </c>
      <c r="H5855">
        <v>3.4712820819044702E-3</v>
      </c>
      <c r="I5855" t="s">
        <v>1077</v>
      </c>
      <c r="J5855">
        <v>7.98</v>
      </c>
    </row>
    <row r="5856" spans="1:10" hidden="1">
      <c r="A5856" t="s">
        <v>4030</v>
      </c>
      <c r="B5856" t="s">
        <v>4031</v>
      </c>
      <c r="C5856" t="s">
        <v>235</v>
      </c>
      <c r="D5856" t="s">
        <v>4022</v>
      </c>
      <c r="E5856" t="s">
        <v>555</v>
      </c>
      <c r="F5856" t="s">
        <v>1068</v>
      </c>
      <c r="G5856" t="s">
        <v>1078</v>
      </c>
      <c r="H5856" s="171" t="s">
        <v>4034</v>
      </c>
      <c r="I5856" t="s">
        <v>1079</v>
      </c>
      <c r="J5856">
        <v>7.98</v>
      </c>
    </row>
    <row r="5857" spans="1:10" hidden="1">
      <c r="A5857" t="s">
        <v>4030</v>
      </c>
      <c r="B5857" t="s">
        <v>4031</v>
      </c>
      <c r="C5857" t="s">
        <v>235</v>
      </c>
      <c r="D5857" t="s">
        <v>4022</v>
      </c>
      <c r="E5857" t="s">
        <v>555</v>
      </c>
      <c r="F5857" t="s">
        <v>1068</v>
      </c>
      <c r="G5857" t="s">
        <v>1080</v>
      </c>
      <c r="H5857" s="171" t="s">
        <v>4035</v>
      </c>
      <c r="I5857" t="s">
        <v>1082</v>
      </c>
      <c r="J5857">
        <v>7.98</v>
      </c>
    </row>
    <row r="5858" spans="1:10" hidden="1">
      <c r="A5858" t="s">
        <v>4030</v>
      </c>
      <c r="B5858" t="s">
        <v>4031</v>
      </c>
      <c r="C5858" t="s">
        <v>235</v>
      </c>
      <c r="D5858" t="s">
        <v>4022</v>
      </c>
      <c r="E5858" t="s">
        <v>555</v>
      </c>
      <c r="F5858" t="s">
        <v>1068</v>
      </c>
      <c r="G5858" t="s">
        <v>1083</v>
      </c>
      <c r="H5858" s="171" t="s">
        <v>4036</v>
      </c>
      <c r="I5858" t="s">
        <v>1084</v>
      </c>
      <c r="J5858">
        <v>7.98</v>
      </c>
    </row>
    <row r="5859" spans="1:10" hidden="1">
      <c r="A5859" t="s">
        <v>4030</v>
      </c>
      <c r="B5859" t="s">
        <v>4031</v>
      </c>
      <c r="C5859" t="s">
        <v>235</v>
      </c>
      <c r="D5859" t="s">
        <v>4022</v>
      </c>
      <c r="E5859" t="s">
        <v>555</v>
      </c>
      <c r="F5859" t="s">
        <v>1068</v>
      </c>
      <c r="G5859" t="s">
        <v>1085</v>
      </c>
      <c r="H5859" s="171" t="s">
        <v>4037</v>
      </c>
      <c r="I5859" t="s">
        <v>1086</v>
      </c>
      <c r="J5859">
        <v>7.98</v>
      </c>
    </row>
    <row r="5860" spans="1:10" hidden="1">
      <c r="A5860" t="s">
        <v>4030</v>
      </c>
      <c r="B5860" t="s">
        <v>4031</v>
      </c>
      <c r="C5860" t="s">
        <v>235</v>
      </c>
      <c r="D5860" t="s">
        <v>4022</v>
      </c>
      <c r="E5860" t="s">
        <v>555</v>
      </c>
      <c r="F5860" t="s">
        <v>1068</v>
      </c>
      <c r="G5860" t="s">
        <v>1087</v>
      </c>
      <c r="H5860" s="171" t="s">
        <v>4038</v>
      </c>
      <c r="I5860" t="s">
        <v>1088</v>
      </c>
      <c r="J5860">
        <v>7.98</v>
      </c>
    </row>
    <row r="5861" spans="1:10" hidden="1">
      <c r="A5861" t="s">
        <v>4030</v>
      </c>
      <c r="B5861" t="s">
        <v>4031</v>
      </c>
      <c r="C5861" t="s">
        <v>235</v>
      </c>
      <c r="D5861" t="s">
        <v>4022</v>
      </c>
      <c r="E5861" t="s">
        <v>555</v>
      </c>
      <c r="F5861" t="s">
        <v>1068</v>
      </c>
      <c r="G5861" t="s">
        <v>1089</v>
      </c>
      <c r="H5861" s="171" t="s">
        <v>4039</v>
      </c>
      <c r="I5861" t="s">
        <v>1090</v>
      </c>
      <c r="J5861">
        <v>7.98</v>
      </c>
    </row>
    <row r="5862" spans="1:10" hidden="1">
      <c r="A5862" t="s">
        <v>4040</v>
      </c>
      <c r="B5862" t="s">
        <v>4041</v>
      </c>
      <c r="C5862" t="s">
        <v>235</v>
      </c>
      <c r="D5862" t="s">
        <v>4022</v>
      </c>
      <c r="E5862" t="s">
        <v>558</v>
      </c>
      <c r="F5862" t="s">
        <v>1068</v>
      </c>
      <c r="G5862" t="s">
        <v>1069</v>
      </c>
      <c r="H5862">
        <v>7.1869035253731894E-2</v>
      </c>
      <c r="I5862" t="s">
        <v>1070</v>
      </c>
      <c r="J5862">
        <v>8.42</v>
      </c>
    </row>
    <row r="5863" spans="1:10" hidden="1">
      <c r="A5863" t="s">
        <v>4040</v>
      </c>
      <c r="B5863" t="s">
        <v>4041</v>
      </c>
      <c r="C5863" t="s">
        <v>235</v>
      </c>
      <c r="D5863" t="s">
        <v>4022</v>
      </c>
      <c r="E5863" t="s">
        <v>558</v>
      </c>
      <c r="F5863" t="s">
        <v>1068</v>
      </c>
      <c r="G5863" t="s">
        <v>1071</v>
      </c>
      <c r="H5863" s="171" t="s">
        <v>4042</v>
      </c>
      <c r="I5863" t="s">
        <v>1072</v>
      </c>
      <c r="J5863">
        <v>8.42</v>
      </c>
    </row>
    <row r="5864" spans="1:10" hidden="1">
      <c r="A5864" t="s">
        <v>4040</v>
      </c>
      <c r="B5864" t="s">
        <v>4041</v>
      </c>
      <c r="C5864" t="s">
        <v>235</v>
      </c>
      <c r="D5864" t="s">
        <v>4022</v>
      </c>
      <c r="E5864" t="s">
        <v>558</v>
      </c>
      <c r="F5864" t="s">
        <v>1068</v>
      </c>
      <c r="G5864" t="s">
        <v>1073</v>
      </c>
      <c r="H5864" s="171" t="s">
        <v>4043</v>
      </c>
      <c r="I5864" t="s">
        <v>1074</v>
      </c>
      <c r="J5864">
        <v>8.42</v>
      </c>
    </row>
    <row r="5865" spans="1:10" hidden="1">
      <c r="A5865" t="s">
        <v>4040</v>
      </c>
      <c r="B5865" t="s">
        <v>4041</v>
      </c>
      <c r="C5865" t="s">
        <v>235</v>
      </c>
      <c r="D5865" t="s">
        <v>4022</v>
      </c>
      <c r="E5865" t="s">
        <v>558</v>
      </c>
      <c r="F5865" t="s">
        <v>1068</v>
      </c>
      <c r="G5865" t="s">
        <v>1075</v>
      </c>
      <c r="H5865">
        <v>3.47076602373147E-3</v>
      </c>
      <c r="I5865" t="s">
        <v>1077</v>
      </c>
      <c r="J5865">
        <v>8.42</v>
      </c>
    </row>
    <row r="5866" spans="1:10" hidden="1">
      <c r="A5866" t="s">
        <v>4040</v>
      </c>
      <c r="B5866" t="s">
        <v>4041</v>
      </c>
      <c r="C5866" t="s">
        <v>235</v>
      </c>
      <c r="D5866" t="s">
        <v>4022</v>
      </c>
      <c r="E5866" t="s">
        <v>558</v>
      </c>
      <c r="F5866" t="s">
        <v>1068</v>
      </c>
      <c r="G5866" t="s">
        <v>1078</v>
      </c>
      <c r="H5866" s="171" t="s">
        <v>4044</v>
      </c>
      <c r="I5866" t="s">
        <v>1079</v>
      </c>
      <c r="J5866">
        <v>8.42</v>
      </c>
    </row>
    <row r="5867" spans="1:10" hidden="1">
      <c r="A5867" t="s">
        <v>4040</v>
      </c>
      <c r="B5867" t="s">
        <v>4041</v>
      </c>
      <c r="C5867" t="s">
        <v>235</v>
      </c>
      <c r="D5867" t="s">
        <v>4022</v>
      </c>
      <c r="E5867" t="s">
        <v>558</v>
      </c>
      <c r="F5867" t="s">
        <v>1068</v>
      </c>
      <c r="G5867" t="s">
        <v>1080</v>
      </c>
      <c r="H5867" s="171" t="s">
        <v>4045</v>
      </c>
      <c r="I5867" t="s">
        <v>1082</v>
      </c>
      <c r="J5867">
        <v>8.42</v>
      </c>
    </row>
    <row r="5868" spans="1:10" hidden="1">
      <c r="A5868" t="s">
        <v>4040</v>
      </c>
      <c r="B5868" t="s">
        <v>4041</v>
      </c>
      <c r="C5868" t="s">
        <v>235</v>
      </c>
      <c r="D5868" t="s">
        <v>4022</v>
      </c>
      <c r="E5868" t="s">
        <v>558</v>
      </c>
      <c r="F5868" t="s">
        <v>1068</v>
      </c>
      <c r="G5868" t="s">
        <v>1083</v>
      </c>
      <c r="H5868" s="171" t="s">
        <v>4046</v>
      </c>
      <c r="I5868" t="s">
        <v>1084</v>
      </c>
      <c r="J5868">
        <v>8.42</v>
      </c>
    </row>
    <row r="5869" spans="1:10" hidden="1">
      <c r="A5869" t="s">
        <v>4040</v>
      </c>
      <c r="B5869" t="s">
        <v>4041</v>
      </c>
      <c r="C5869" t="s">
        <v>235</v>
      </c>
      <c r="D5869" t="s">
        <v>4022</v>
      </c>
      <c r="E5869" t="s">
        <v>558</v>
      </c>
      <c r="F5869" t="s">
        <v>1068</v>
      </c>
      <c r="G5869" t="s">
        <v>1085</v>
      </c>
      <c r="H5869" s="171" t="s">
        <v>4047</v>
      </c>
      <c r="I5869" t="s">
        <v>1086</v>
      </c>
      <c r="J5869">
        <v>8.42</v>
      </c>
    </row>
    <row r="5870" spans="1:10" hidden="1">
      <c r="A5870" t="s">
        <v>4040</v>
      </c>
      <c r="B5870" t="s">
        <v>4041</v>
      </c>
      <c r="C5870" t="s">
        <v>235</v>
      </c>
      <c r="D5870" t="s">
        <v>4022</v>
      </c>
      <c r="E5870" t="s">
        <v>558</v>
      </c>
      <c r="F5870" t="s">
        <v>1068</v>
      </c>
      <c r="G5870" t="s">
        <v>1087</v>
      </c>
      <c r="H5870" s="171" t="s">
        <v>4048</v>
      </c>
      <c r="I5870" t="s">
        <v>1088</v>
      </c>
      <c r="J5870">
        <v>8.42</v>
      </c>
    </row>
    <row r="5871" spans="1:10" hidden="1">
      <c r="A5871" t="s">
        <v>4040</v>
      </c>
      <c r="B5871" t="s">
        <v>4041</v>
      </c>
      <c r="C5871" t="s">
        <v>235</v>
      </c>
      <c r="D5871" t="s">
        <v>4022</v>
      </c>
      <c r="E5871" t="s">
        <v>558</v>
      </c>
      <c r="F5871" t="s">
        <v>1068</v>
      </c>
      <c r="G5871" t="s">
        <v>1089</v>
      </c>
      <c r="H5871" s="171" t="s">
        <v>4049</v>
      </c>
      <c r="I5871" t="s">
        <v>1090</v>
      </c>
      <c r="J5871">
        <v>8.42</v>
      </c>
    </row>
    <row r="5872" spans="1:10" hidden="1">
      <c r="A5872" t="s">
        <v>4050</v>
      </c>
      <c r="B5872" t="s">
        <v>4051</v>
      </c>
      <c r="C5872" t="s">
        <v>235</v>
      </c>
      <c r="D5872" t="s">
        <v>4022</v>
      </c>
      <c r="E5872" t="s">
        <v>553</v>
      </c>
      <c r="F5872" t="s">
        <v>1068</v>
      </c>
      <c r="G5872" t="s">
        <v>1069</v>
      </c>
      <c r="H5872">
        <v>7.1892463679037594E-2</v>
      </c>
      <c r="I5872" t="s">
        <v>1070</v>
      </c>
      <c r="J5872">
        <v>8.34</v>
      </c>
    </row>
    <row r="5873" spans="1:10" hidden="1">
      <c r="A5873" t="s">
        <v>4050</v>
      </c>
      <c r="B5873" t="s">
        <v>4051</v>
      </c>
      <c r="C5873" t="s">
        <v>235</v>
      </c>
      <c r="D5873" t="s">
        <v>4022</v>
      </c>
      <c r="E5873" t="s">
        <v>553</v>
      </c>
      <c r="F5873" t="s">
        <v>1068</v>
      </c>
      <c r="G5873" t="s">
        <v>1071</v>
      </c>
      <c r="H5873" s="171" t="s">
        <v>4052</v>
      </c>
      <c r="I5873" t="s">
        <v>1072</v>
      </c>
      <c r="J5873">
        <v>8.34</v>
      </c>
    </row>
    <row r="5874" spans="1:10" hidden="1">
      <c r="A5874" t="s">
        <v>4050</v>
      </c>
      <c r="B5874" t="s">
        <v>4051</v>
      </c>
      <c r="C5874" t="s">
        <v>235</v>
      </c>
      <c r="D5874" t="s">
        <v>4022</v>
      </c>
      <c r="E5874" t="s">
        <v>553</v>
      </c>
      <c r="F5874" t="s">
        <v>1068</v>
      </c>
      <c r="G5874" t="s">
        <v>1073</v>
      </c>
      <c r="H5874" s="171" t="s">
        <v>4053</v>
      </c>
      <c r="I5874" t="s">
        <v>1074</v>
      </c>
      <c r="J5874">
        <v>8.34</v>
      </c>
    </row>
    <row r="5875" spans="1:10" hidden="1">
      <c r="A5875" t="s">
        <v>4050</v>
      </c>
      <c r="B5875" t="s">
        <v>4051</v>
      </c>
      <c r="C5875" t="s">
        <v>235</v>
      </c>
      <c r="D5875" t="s">
        <v>4022</v>
      </c>
      <c r="E5875" t="s">
        <v>553</v>
      </c>
      <c r="F5875" t="s">
        <v>1068</v>
      </c>
      <c r="G5875" t="s">
        <v>1075</v>
      </c>
      <c r="H5875">
        <v>3.4707498663986498E-3</v>
      </c>
      <c r="I5875" t="s">
        <v>1077</v>
      </c>
      <c r="J5875">
        <v>8.34</v>
      </c>
    </row>
    <row r="5876" spans="1:10" hidden="1">
      <c r="A5876" t="s">
        <v>4050</v>
      </c>
      <c r="B5876" t="s">
        <v>4051</v>
      </c>
      <c r="C5876" t="s">
        <v>235</v>
      </c>
      <c r="D5876" t="s">
        <v>4022</v>
      </c>
      <c r="E5876" t="s">
        <v>553</v>
      </c>
      <c r="F5876" t="s">
        <v>1068</v>
      </c>
      <c r="G5876" t="s">
        <v>1078</v>
      </c>
      <c r="H5876" s="171" t="s">
        <v>4054</v>
      </c>
      <c r="I5876" t="s">
        <v>1079</v>
      </c>
      <c r="J5876">
        <v>8.34</v>
      </c>
    </row>
    <row r="5877" spans="1:10" hidden="1">
      <c r="A5877" t="s">
        <v>4050</v>
      </c>
      <c r="B5877" t="s">
        <v>4051</v>
      </c>
      <c r="C5877" t="s">
        <v>235</v>
      </c>
      <c r="D5877" t="s">
        <v>4022</v>
      </c>
      <c r="E5877" t="s">
        <v>553</v>
      </c>
      <c r="F5877" t="s">
        <v>1068</v>
      </c>
      <c r="G5877" t="s">
        <v>1080</v>
      </c>
      <c r="H5877" s="171" t="s">
        <v>4055</v>
      </c>
      <c r="I5877" t="s">
        <v>1082</v>
      </c>
      <c r="J5877">
        <v>8.34</v>
      </c>
    </row>
    <row r="5878" spans="1:10" hidden="1">
      <c r="A5878" t="s">
        <v>4050</v>
      </c>
      <c r="B5878" t="s">
        <v>4051</v>
      </c>
      <c r="C5878" t="s">
        <v>235</v>
      </c>
      <c r="D5878" t="s">
        <v>4022</v>
      </c>
      <c r="E5878" t="s">
        <v>553</v>
      </c>
      <c r="F5878" t="s">
        <v>1068</v>
      </c>
      <c r="G5878" t="s">
        <v>1083</v>
      </c>
      <c r="H5878" s="171" t="s">
        <v>4056</v>
      </c>
      <c r="I5878" t="s">
        <v>1084</v>
      </c>
      <c r="J5878">
        <v>8.34</v>
      </c>
    </row>
    <row r="5879" spans="1:10" hidden="1">
      <c r="A5879" t="s">
        <v>4050</v>
      </c>
      <c r="B5879" t="s">
        <v>4051</v>
      </c>
      <c r="C5879" t="s">
        <v>235</v>
      </c>
      <c r="D5879" t="s">
        <v>4022</v>
      </c>
      <c r="E5879" t="s">
        <v>553</v>
      </c>
      <c r="F5879" t="s">
        <v>1068</v>
      </c>
      <c r="G5879" t="s">
        <v>1085</v>
      </c>
      <c r="H5879" s="171" t="s">
        <v>4057</v>
      </c>
      <c r="I5879" t="s">
        <v>1086</v>
      </c>
      <c r="J5879">
        <v>8.34</v>
      </c>
    </row>
    <row r="5880" spans="1:10" hidden="1">
      <c r="A5880" t="s">
        <v>4050</v>
      </c>
      <c r="B5880" t="s">
        <v>4051</v>
      </c>
      <c r="C5880" t="s">
        <v>235</v>
      </c>
      <c r="D5880" t="s">
        <v>4022</v>
      </c>
      <c r="E5880" t="s">
        <v>553</v>
      </c>
      <c r="F5880" t="s">
        <v>1068</v>
      </c>
      <c r="G5880" t="s">
        <v>1087</v>
      </c>
      <c r="H5880" s="171" t="s">
        <v>4058</v>
      </c>
      <c r="I5880" t="s">
        <v>1088</v>
      </c>
      <c r="J5880">
        <v>8.34</v>
      </c>
    </row>
    <row r="5881" spans="1:10" hidden="1">
      <c r="A5881" t="s">
        <v>4050</v>
      </c>
      <c r="B5881" t="s">
        <v>4051</v>
      </c>
      <c r="C5881" t="s">
        <v>235</v>
      </c>
      <c r="D5881" t="s">
        <v>4022</v>
      </c>
      <c r="E5881" t="s">
        <v>553</v>
      </c>
      <c r="F5881" t="s">
        <v>1068</v>
      </c>
      <c r="G5881" t="s">
        <v>1089</v>
      </c>
      <c r="H5881" s="171" t="s">
        <v>4059</v>
      </c>
      <c r="I5881" t="s">
        <v>1090</v>
      </c>
      <c r="J5881">
        <v>8.34</v>
      </c>
    </row>
    <row r="5882" spans="1:10" hidden="1">
      <c r="A5882" t="s">
        <v>4060</v>
      </c>
      <c r="B5882" t="s">
        <v>4061</v>
      </c>
      <c r="C5882" t="s">
        <v>235</v>
      </c>
      <c r="D5882" t="s">
        <v>4022</v>
      </c>
      <c r="E5882" t="s">
        <v>556</v>
      </c>
      <c r="F5882" t="s">
        <v>1068</v>
      </c>
      <c r="G5882" t="s">
        <v>1069</v>
      </c>
      <c r="H5882">
        <v>7.1907717556883605E-2</v>
      </c>
      <c r="I5882" t="s">
        <v>1070</v>
      </c>
      <c r="J5882">
        <v>8.82</v>
      </c>
    </row>
    <row r="5883" spans="1:10" hidden="1">
      <c r="A5883" t="s">
        <v>4060</v>
      </c>
      <c r="B5883" t="s">
        <v>4061</v>
      </c>
      <c r="C5883" t="s">
        <v>235</v>
      </c>
      <c r="D5883" t="s">
        <v>4022</v>
      </c>
      <c r="E5883" t="s">
        <v>556</v>
      </c>
      <c r="F5883" t="s">
        <v>1068</v>
      </c>
      <c r="G5883" t="s">
        <v>1071</v>
      </c>
      <c r="H5883" s="171" t="s">
        <v>4062</v>
      </c>
      <c r="I5883" t="s">
        <v>1072</v>
      </c>
      <c r="J5883">
        <v>8.82</v>
      </c>
    </row>
    <row r="5884" spans="1:10" hidden="1">
      <c r="A5884" t="s">
        <v>4060</v>
      </c>
      <c r="B5884" t="s">
        <v>4061</v>
      </c>
      <c r="C5884" t="s">
        <v>235</v>
      </c>
      <c r="D5884" t="s">
        <v>4022</v>
      </c>
      <c r="E5884" t="s">
        <v>556</v>
      </c>
      <c r="F5884" t="s">
        <v>1068</v>
      </c>
      <c r="G5884" t="s">
        <v>1073</v>
      </c>
      <c r="H5884" s="171" t="s">
        <v>4063</v>
      </c>
      <c r="I5884" t="s">
        <v>1074</v>
      </c>
      <c r="J5884">
        <v>8.82</v>
      </c>
    </row>
    <row r="5885" spans="1:10" hidden="1">
      <c r="A5885" t="s">
        <v>4060</v>
      </c>
      <c r="B5885" t="s">
        <v>4061</v>
      </c>
      <c r="C5885" t="s">
        <v>235</v>
      </c>
      <c r="D5885" t="s">
        <v>4022</v>
      </c>
      <c r="E5885" t="s">
        <v>556</v>
      </c>
      <c r="F5885" t="s">
        <v>1068</v>
      </c>
      <c r="G5885" t="s">
        <v>1075</v>
      </c>
      <c r="H5885">
        <v>3.4712320577726199E-3</v>
      </c>
      <c r="I5885" t="s">
        <v>1077</v>
      </c>
      <c r="J5885">
        <v>8.82</v>
      </c>
    </row>
    <row r="5886" spans="1:10" hidden="1">
      <c r="A5886" t="s">
        <v>4060</v>
      </c>
      <c r="B5886" t="s">
        <v>4061</v>
      </c>
      <c r="C5886" t="s">
        <v>235</v>
      </c>
      <c r="D5886" t="s">
        <v>4022</v>
      </c>
      <c r="E5886" t="s">
        <v>556</v>
      </c>
      <c r="F5886" t="s">
        <v>1068</v>
      </c>
      <c r="G5886" t="s">
        <v>1078</v>
      </c>
      <c r="H5886">
        <v>2.6040723761235202E-2</v>
      </c>
      <c r="I5886" t="s">
        <v>1079</v>
      </c>
      <c r="J5886">
        <v>8.82</v>
      </c>
    </row>
    <row r="5887" spans="1:10" hidden="1">
      <c r="A5887" t="s">
        <v>4060</v>
      </c>
      <c r="B5887" t="s">
        <v>4061</v>
      </c>
      <c r="C5887" t="s">
        <v>235</v>
      </c>
      <c r="D5887" t="s">
        <v>4022</v>
      </c>
      <c r="E5887" t="s">
        <v>556</v>
      </c>
      <c r="F5887" t="s">
        <v>1068</v>
      </c>
      <c r="G5887" t="s">
        <v>1080</v>
      </c>
      <c r="H5887" s="171" t="s">
        <v>4064</v>
      </c>
      <c r="I5887" t="s">
        <v>1082</v>
      </c>
      <c r="J5887">
        <v>8.82</v>
      </c>
    </row>
    <row r="5888" spans="1:10" hidden="1">
      <c r="A5888" t="s">
        <v>4060</v>
      </c>
      <c r="B5888" t="s">
        <v>4061</v>
      </c>
      <c r="C5888" t="s">
        <v>235</v>
      </c>
      <c r="D5888" t="s">
        <v>4022</v>
      </c>
      <c r="E5888" t="s">
        <v>556</v>
      </c>
      <c r="F5888" t="s">
        <v>1068</v>
      </c>
      <c r="G5888" t="s">
        <v>1083</v>
      </c>
      <c r="H5888" s="171" t="s">
        <v>4065</v>
      </c>
      <c r="I5888" t="s">
        <v>1084</v>
      </c>
      <c r="J5888">
        <v>8.82</v>
      </c>
    </row>
    <row r="5889" spans="1:10" hidden="1">
      <c r="A5889" t="s">
        <v>4060</v>
      </c>
      <c r="B5889" t="s">
        <v>4061</v>
      </c>
      <c r="C5889" t="s">
        <v>235</v>
      </c>
      <c r="D5889" t="s">
        <v>4022</v>
      </c>
      <c r="E5889" t="s">
        <v>556</v>
      </c>
      <c r="F5889" t="s">
        <v>1068</v>
      </c>
      <c r="G5889" t="s">
        <v>1085</v>
      </c>
      <c r="H5889" s="171" t="s">
        <v>4066</v>
      </c>
      <c r="I5889" t="s">
        <v>1086</v>
      </c>
      <c r="J5889">
        <v>8.82</v>
      </c>
    </row>
    <row r="5890" spans="1:10" hidden="1">
      <c r="A5890" t="s">
        <v>4060</v>
      </c>
      <c r="B5890" t="s">
        <v>4061</v>
      </c>
      <c r="C5890" t="s">
        <v>235</v>
      </c>
      <c r="D5890" t="s">
        <v>4022</v>
      </c>
      <c r="E5890" t="s">
        <v>556</v>
      </c>
      <c r="F5890" t="s">
        <v>1068</v>
      </c>
      <c r="G5890" t="s">
        <v>1087</v>
      </c>
      <c r="H5890" s="171" t="s">
        <v>4067</v>
      </c>
      <c r="I5890" t="s">
        <v>1088</v>
      </c>
      <c r="J5890">
        <v>8.82</v>
      </c>
    </row>
    <row r="5891" spans="1:10" hidden="1">
      <c r="A5891" t="s">
        <v>4060</v>
      </c>
      <c r="B5891" t="s">
        <v>4061</v>
      </c>
      <c r="C5891" t="s">
        <v>235</v>
      </c>
      <c r="D5891" t="s">
        <v>4022</v>
      </c>
      <c r="E5891" t="s">
        <v>556</v>
      </c>
      <c r="F5891" t="s">
        <v>1068</v>
      </c>
      <c r="G5891" t="s">
        <v>1089</v>
      </c>
      <c r="H5891" s="171" t="s">
        <v>4068</v>
      </c>
      <c r="I5891" t="s">
        <v>1090</v>
      </c>
      <c r="J5891">
        <v>8.82</v>
      </c>
    </row>
    <row r="5892" spans="1:10" hidden="1">
      <c r="A5892" t="s">
        <v>4069</v>
      </c>
      <c r="B5892" t="s">
        <v>4070</v>
      </c>
      <c r="C5892" t="s">
        <v>235</v>
      </c>
      <c r="D5892" t="s">
        <v>4022</v>
      </c>
      <c r="E5892" t="s">
        <v>557</v>
      </c>
      <c r="F5892" t="s">
        <v>1068</v>
      </c>
      <c r="G5892" t="s">
        <v>1069</v>
      </c>
      <c r="H5892">
        <v>7.1874242798227295E-2</v>
      </c>
      <c r="I5892" t="s">
        <v>1070</v>
      </c>
      <c r="J5892">
        <v>7.65</v>
      </c>
    </row>
    <row r="5893" spans="1:10" hidden="1">
      <c r="A5893" t="s">
        <v>4069</v>
      </c>
      <c r="B5893" t="s">
        <v>4070</v>
      </c>
      <c r="C5893" t="s">
        <v>235</v>
      </c>
      <c r="D5893" t="s">
        <v>4022</v>
      </c>
      <c r="E5893" t="s">
        <v>557</v>
      </c>
      <c r="F5893" t="s">
        <v>1068</v>
      </c>
      <c r="G5893" t="s">
        <v>1071</v>
      </c>
      <c r="H5893" s="171" t="s">
        <v>4071</v>
      </c>
      <c r="I5893" t="s">
        <v>1072</v>
      </c>
      <c r="J5893">
        <v>7.65</v>
      </c>
    </row>
    <row r="5894" spans="1:10" hidden="1">
      <c r="A5894" t="s">
        <v>4069</v>
      </c>
      <c r="B5894" t="s">
        <v>4070</v>
      </c>
      <c r="C5894" t="s">
        <v>235</v>
      </c>
      <c r="D5894" t="s">
        <v>4022</v>
      </c>
      <c r="E5894" t="s">
        <v>557</v>
      </c>
      <c r="F5894" t="s">
        <v>1068</v>
      </c>
      <c r="G5894" t="s">
        <v>1073</v>
      </c>
      <c r="H5894" s="171" t="s">
        <v>4072</v>
      </c>
      <c r="I5894" t="s">
        <v>1074</v>
      </c>
      <c r="J5894">
        <v>7.65</v>
      </c>
    </row>
    <row r="5895" spans="1:10" hidden="1">
      <c r="A5895" t="s">
        <v>4069</v>
      </c>
      <c r="B5895" t="s">
        <v>4070</v>
      </c>
      <c r="C5895" t="s">
        <v>235</v>
      </c>
      <c r="D5895" t="s">
        <v>4022</v>
      </c>
      <c r="E5895" t="s">
        <v>557</v>
      </c>
      <c r="F5895" t="s">
        <v>1068</v>
      </c>
      <c r="G5895" t="s">
        <v>1075</v>
      </c>
      <c r="H5895">
        <v>3.4709306397775401E-3</v>
      </c>
      <c r="I5895" t="s">
        <v>1077</v>
      </c>
      <c r="J5895">
        <v>7.65</v>
      </c>
    </row>
    <row r="5896" spans="1:10" hidden="1">
      <c r="A5896" t="s">
        <v>4069</v>
      </c>
      <c r="B5896" t="s">
        <v>4070</v>
      </c>
      <c r="C5896" t="s">
        <v>235</v>
      </c>
      <c r="D5896" t="s">
        <v>4022</v>
      </c>
      <c r="E5896" t="s">
        <v>557</v>
      </c>
      <c r="F5896" t="s">
        <v>1068</v>
      </c>
      <c r="G5896" t="s">
        <v>1078</v>
      </c>
      <c r="H5896">
        <v>2.6027693309096801E-2</v>
      </c>
      <c r="I5896" t="s">
        <v>1079</v>
      </c>
      <c r="J5896">
        <v>7.65</v>
      </c>
    </row>
    <row r="5897" spans="1:10" hidden="1">
      <c r="A5897" t="s">
        <v>4069</v>
      </c>
      <c r="B5897" t="s">
        <v>4070</v>
      </c>
      <c r="C5897" t="s">
        <v>235</v>
      </c>
      <c r="D5897" t="s">
        <v>4022</v>
      </c>
      <c r="E5897" t="s">
        <v>557</v>
      </c>
      <c r="F5897" t="s">
        <v>1068</v>
      </c>
      <c r="G5897" t="s">
        <v>1080</v>
      </c>
      <c r="H5897" s="171" t="s">
        <v>4073</v>
      </c>
      <c r="I5897" t="s">
        <v>1082</v>
      </c>
      <c r="J5897">
        <v>7.65</v>
      </c>
    </row>
    <row r="5898" spans="1:10" hidden="1">
      <c r="A5898" t="s">
        <v>4069</v>
      </c>
      <c r="B5898" t="s">
        <v>4070</v>
      </c>
      <c r="C5898" t="s">
        <v>235</v>
      </c>
      <c r="D5898" t="s">
        <v>4022</v>
      </c>
      <c r="E5898" t="s">
        <v>557</v>
      </c>
      <c r="F5898" t="s">
        <v>1068</v>
      </c>
      <c r="G5898" t="s">
        <v>1083</v>
      </c>
      <c r="H5898" s="171" t="s">
        <v>4074</v>
      </c>
      <c r="I5898" t="s">
        <v>1084</v>
      </c>
      <c r="J5898">
        <v>7.65</v>
      </c>
    </row>
    <row r="5899" spans="1:10" hidden="1">
      <c r="A5899" t="s">
        <v>4069</v>
      </c>
      <c r="B5899" t="s">
        <v>4070</v>
      </c>
      <c r="C5899" t="s">
        <v>235</v>
      </c>
      <c r="D5899" t="s">
        <v>4022</v>
      </c>
      <c r="E5899" t="s">
        <v>557</v>
      </c>
      <c r="F5899" t="s">
        <v>1068</v>
      </c>
      <c r="G5899" t="s">
        <v>1085</v>
      </c>
      <c r="H5899" s="171" t="s">
        <v>4075</v>
      </c>
      <c r="I5899" t="s">
        <v>1086</v>
      </c>
      <c r="J5899">
        <v>7.65</v>
      </c>
    </row>
    <row r="5900" spans="1:10" hidden="1">
      <c r="A5900" t="s">
        <v>4069</v>
      </c>
      <c r="B5900" t="s">
        <v>4070</v>
      </c>
      <c r="C5900" t="s">
        <v>235</v>
      </c>
      <c r="D5900" t="s">
        <v>4022</v>
      </c>
      <c r="E5900" t="s">
        <v>557</v>
      </c>
      <c r="F5900" t="s">
        <v>1068</v>
      </c>
      <c r="G5900" t="s">
        <v>1087</v>
      </c>
      <c r="H5900" s="171" t="s">
        <v>4076</v>
      </c>
      <c r="I5900" t="s">
        <v>1088</v>
      </c>
      <c r="J5900">
        <v>7.65</v>
      </c>
    </row>
    <row r="5901" spans="1:10" hidden="1">
      <c r="A5901" t="s">
        <v>4069</v>
      </c>
      <c r="B5901" t="s">
        <v>4070</v>
      </c>
      <c r="C5901" t="s">
        <v>235</v>
      </c>
      <c r="D5901" t="s">
        <v>4022</v>
      </c>
      <c r="E5901" t="s">
        <v>557</v>
      </c>
      <c r="F5901" t="s">
        <v>1068</v>
      </c>
      <c r="G5901" t="s">
        <v>1089</v>
      </c>
      <c r="H5901" s="171" t="s">
        <v>4077</v>
      </c>
      <c r="I5901" t="s">
        <v>1090</v>
      </c>
      <c r="J5901">
        <v>7.65</v>
      </c>
    </row>
    <row r="5902" spans="1:10" hidden="1">
      <c r="A5902" t="s">
        <v>4078</v>
      </c>
      <c r="B5902" t="s">
        <v>4079</v>
      </c>
      <c r="C5902" t="s">
        <v>235</v>
      </c>
      <c r="D5902" t="s">
        <v>4022</v>
      </c>
      <c r="E5902" t="s">
        <v>559</v>
      </c>
      <c r="F5902" t="s">
        <v>1068</v>
      </c>
      <c r="G5902" t="s">
        <v>1069</v>
      </c>
      <c r="H5902">
        <v>7.1903183462447506E-2</v>
      </c>
      <c r="I5902" t="s">
        <v>1070</v>
      </c>
      <c r="J5902">
        <v>8.0500000000000007</v>
      </c>
    </row>
    <row r="5903" spans="1:10" hidden="1">
      <c r="A5903" t="s">
        <v>4078</v>
      </c>
      <c r="B5903" t="s">
        <v>4079</v>
      </c>
      <c r="C5903" t="s">
        <v>235</v>
      </c>
      <c r="D5903" t="s">
        <v>4022</v>
      </c>
      <c r="E5903" t="s">
        <v>559</v>
      </c>
      <c r="F5903" t="s">
        <v>1068</v>
      </c>
      <c r="G5903" t="s">
        <v>1071</v>
      </c>
      <c r="H5903" s="171" t="s">
        <v>4080</v>
      </c>
      <c r="I5903" t="s">
        <v>1072</v>
      </c>
      <c r="J5903">
        <v>8.0500000000000007</v>
      </c>
    </row>
    <row r="5904" spans="1:10" hidden="1">
      <c r="A5904" t="s">
        <v>4078</v>
      </c>
      <c r="B5904" t="s">
        <v>4079</v>
      </c>
      <c r="C5904" t="s">
        <v>235</v>
      </c>
      <c r="D5904" t="s">
        <v>4022</v>
      </c>
      <c r="E5904" t="s">
        <v>559</v>
      </c>
      <c r="F5904" t="s">
        <v>1068</v>
      </c>
      <c r="G5904" t="s">
        <v>1073</v>
      </c>
      <c r="H5904" s="171" t="s">
        <v>4081</v>
      </c>
      <c r="I5904" t="s">
        <v>1074</v>
      </c>
      <c r="J5904">
        <v>8.0500000000000007</v>
      </c>
    </row>
    <row r="5905" spans="1:10" hidden="1">
      <c r="A5905" t="s">
        <v>4078</v>
      </c>
      <c r="B5905" t="s">
        <v>4079</v>
      </c>
      <c r="C5905" t="s">
        <v>235</v>
      </c>
      <c r="D5905" t="s">
        <v>4022</v>
      </c>
      <c r="E5905" t="s">
        <v>559</v>
      </c>
      <c r="F5905" t="s">
        <v>1068</v>
      </c>
      <c r="G5905" t="s">
        <v>1075</v>
      </c>
      <c r="H5905">
        <v>3.4710887302038598E-3</v>
      </c>
      <c r="I5905" t="s">
        <v>1077</v>
      </c>
      <c r="J5905">
        <v>8.0500000000000007</v>
      </c>
    </row>
    <row r="5906" spans="1:10" hidden="1">
      <c r="A5906" t="s">
        <v>4078</v>
      </c>
      <c r="B5906" t="s">
        <v>4079</v>
      </c>
      <c r="C5906" t="s">
        <v>235</v>
      </c>
      <c r="D5906" t="s">
        <v>4022</v>
      </c>
      <c r="E5906" t="s">
        <v>559</v>
      </c>
      <c r="F5906" t="s">
        <v>1068</v>
      </c>
      <c r="G5906" t="s">
        <v>1078</v>
      </c>
      <c r="H5906" s="171" t="s">
        <v>4082</v>
      </c>
      <c r="I5906" t="s">
        <v>1079</v>
      </c>
      <c r="J5906">
        <v>8.0500000000000007</v>
      </c>
    </row>
    <row r="5907" spans="1:10" hidden="1">
      <c r="A5907" t="s">
        <v>4078</v>
      </c>
      <c r="B5907" t="s">
        <v>4079</v>
      </c>
      <c r="C5907" t="s">
        <v>235</v>
      </c>
      <c r="D5907" t="s">
        <v>4022</v>
      </c>
      <c r="E5907" t="s">
        <v>559</v>
      </c>
      <c r="F5907" t="s">
        <v>1068</v>
      </c>
      <c r="G5907" t="s">
        <v>1080</v>
      </c>
      <c r="H5907" s="171" t="s">
        <v>4083</v>
      </c>
      <c r="I5907" t="s">
        <v>1082</v>
      </c>
      <c r="J5907">
        <v>8.0500000000000007</v>
      </c>
    </row>
    <row r="5908" spans="1:10" hidden="1">
      <c r="A5908" t="s">
        <v>4078</v>
      </c>
      <c r="B5908" t="s">
        <v>4079</v>
      </c>
      <c r="C5908" t="s">
        <v>235</v>
      </c>
      <c r="D5908" t="s">
        <v>4022</v>
      </c>
      <c r="E5908" t="s">
        <v>559</v>
      </c>
      <c r="F5908" t="s">
        <v>1068</v>
      </c>
      <c r="G5908" t="s">
        <v>1083</v>
      </c>
      <c r="H5908" s="171" t="s">
        <v>4084</v>
      </c>
      <c r="I5908" t="s">
        <v>1084</v>
      </c>
      <c r="J5908">
        <v>8.0500000000000007</v>
      </c>
    </row>
    <row r="5909" spans="1:10" hidden="1">
      <c r="A5909" t="s">
        <v>4078</v>
      </c>
      <c r="B5909" t="s">
        <v>4079</v>
      </c>
      <c r="C5909" t="s">
        <v>235</v>
      </c>
      <c r="D5909" t="s">
        <v>4022</v>
      </c>
      <c r="E5909" t="s">
        <v>559</v>
      </c>
      <c r="F5909" t="s">
        <v>1068</v>
      </c>
      <c r="G5909" t="s">
        <v>1085</v>
      </c>
      <c r="H5909" s="171" t="s">
        <v>4085</v>
      </c>
      <c r="I5909" t="s">
        <v>1086</v>
      </c>
      <c r="J5909">
        <v>8.0500000000000007</v>
      </c>
    </row>
    <row r="5910" spans="1:10" hidden="1">
      <c r="A5910" t="s">
        <v>4078</v>
      </c>
      <c r="B5910" t="s">
        <v>4079</v>
      </c>
      <c r="C5910" t="s">
        <v>235</v>
      </c>
      <c r="D5910" t="s">
        <v>4022</v>
      </c>
      <c r="E5910" t="s">
        <v>559</v>
      </c>
      <c r="F5910" t="s">
        <v>1068</v>
      </c>
      <c r="G5910" t="s">
        <v>1087</v>
      </c>
      <c r="H5910" s="171" t="s">
        <v>4086</v>
      </c>
      <c r="I5910" t="s">
        <v>1088</v>
      </c>
      <c r="J5910">
        <v>8.0500000000000007</v>
      </c>
    </row>
    <row r="5911" spans="1:10" hidden="1">
      <c r="A5911" t="s">
        <v>4078</v>
      </c>
      <c r="B5911" t="s">
        <v>4079</v>
      </c>
      <c r="C5911" t="s">
        <v>235</v>
      </c>
      <c r="D5911" t="s">
        <v>4022</v>
      </c>
      <c r="E5911" t="s">
        <v>559</v>
      </c>
      <c r="F5911" t="s">
        <v>1068</v>
      </c>
      <c r="G5911" t="s">
        <v>1089</v>
      </c>
      <c r="H5911" s="171" t="s">
        <v>4087</v>
      </c>
      <c r="I5911" t="s">
        <v>1090</v>
      </c>
      <c r="J5911">
        <v>8.0500000000000007</v>
      </c>
    </row>
    <row r="5912" spans="1:10" hidden="1">
      <c r="A5912" t="s">
        <v>4088</v>
      </c>
      <c r="B5912" t="s">
        <v>4089</v>
      </c>
      <c r="C5912" t="s">
        <v>235</v>
      </c>
      <c r="D5912" t="s">
        <v>4022</v>
      </c>
      <c r="E5912" t="s">
        <v>560</v>
      </c>
      <c r="F5912" t="s">
        <v>1068</v>
      </c>
      <c r="G5912" t="s">
        <v>1069</v>
      </c>
      <c r="H5912">
        <v>7.1877020155324406E-2</v>
      </c>
      <c r="I5912" t="s">
        <v>1070</v>
      </c>
      <c r="J5912">
        <v>12.16</v>
      </c>
    </row>
    <row r="5913" spans="1:10" hidden="1">
      <c r="A5913" t="s">
        <v>4088</v>
      </c>
      <c r="B5913" t="s">
        <v>4089</v>
      </c>
      <c r="C5913" t="s">
        <v>235</v>
      </c>
      <c r="D5913" t="s">
        <v>4022</v>
      </c>
      <c r="E5913" t="s">
        <v>560</v>
      </c>
      <c r="F5913" t="s">
        <v>1068</v>
      </c>
      <c r="G5913" t="s">
        <v>1071</v>
      </c>
      <c r="H5913" s="171" t="s">
        <v>4090</v>
      </c>
      <c r="I5913" t="s">
        <v>1072</v>
      </c>
      <c r="J5913">
        <v>12.16</v>
      </c>
    </row>
    <row r="5914" spans="1:10" hidden="1">
      <c r="A5914" t="s">
        <v>4088</v>
      </c>
      <c r="B5914" t="s">
        <v>4089</v>
      </c>
      <c r="C5914" t="s">
        <v>235</v>
      </c>
      <c r="D5914" t="s">
        <v>4022</v>
      </c>
      <c r="E5914" t="s">
        <v>560</v>
      </c>
      <c r="F5914" t="s">
        <v>1068</v>
      </c>
      <c r="G5914" t="s">
        <v>1073</v>
      </c>
      <c r="H5914" s="171" t="s">
        <v>4091</v>
      </c>
      <c r="I5914" t="s">
        <v>1074</v>
      </c>
      <c r="J5914">
        <v>12.16</v>
      </c>
    </row>
    <row r="5915" spans="1:10" hidden="1">
      <c r="A5915" t="s">
        <v>4088</v>
      </c>
      <c r="B5915" t="s">
        <v>4089</v>
      </c>
      <c r="C5915" t="s">
        <v>235</v>
      </c>
      <c r="D5915" t="s">
        <v>4022</v>
      </c>
      <c r="E5915" t="s">
        <v>560</v>
      </c>
      <c r="F5915" t="s">
        <v>1068</v>
      </c>
      <c r="G5915" t="s">
        <v>1075</v>
      </c>
      <c r="H5915">
        <v>3.4710184350023399E-3</v>
      </c>
      <c r="I5915" t="s">
        <v>1077</v>
      </c>
      <c r="J5915">
        <v>12.16</v>
      </c>
    </row>
    <row r="5916" spans="1:10" hidden="1">
      <c r="A5916" t="s">
        <v>4088</v>
      </c>
      <c r="B5916" t="s">
        <v>4089</v>
      </c>
      <c r="C5916" t="s">
        <v>235</v>
      </c>
      <c r="D5916" t="s">
        <v>4022</v>
      </c>
      <c r="E5916" t="s">
        <v>560</v>
      </c>
      <c r="F5916" t="s">
        <v>1068</v>
      </c>
      <c r="G5916" t="s">
        <v>1078</v>
      </c>
      <c r="H5916" s="171" t="s">
        <v>4092</v>
      </c>
      <c r="I5916" t="s">
        <v>1079</v>
      </c>
      <c r="J5916">
        <v>12.16</v>
      </c>
    </row>
    <row r="5917" spans="1:10" hidden="1">
      <c r="A5917" t="s">
        <v>4088</v>
      </c>
      <c r="B5917" t="s">
        <v>4089</v>
      </c>
      <c r="C5917" t="s">
        <v>235</v>
      </c>
      <c r="D5917" t="s">
        <v>4022</v>
      </c>
      <c r="E5917" t="s">
        <v>560</v>
      </c>
      <c r="F5917" t="s">
        <v>1068</v>
      </c>
      <c r="G5917" t="s">
        <v>1080</v>
      </c>
      <c r="H5917" s="171" t="s">
        <v>4093</v>
      </c>
      <c r="I5917" t="s">
        <v>1082</v>
      </c>
      <c r="J5917">
        <v>12.16</v>
      </c>
    </row>
    <row r="5918" spans="1:10" hidden="1">
      <c r="A5918" t="s">
        <v>4088</v>
      </c>
      <c r="B5918" t="s">
        <v>4089</v>
      </c>
      <c r="C5918" t="s">
        <v>235</v>
      </c>
      <c r="D5918" t="s">
        <v>4022</v>
      </c>
      <c r="E5918" t="s">
        <v>560</v>
      </c>
      <c r="F5918" t="s">
        <v>1068</v>
      </c>
      <c r="G5918" t="s">
        <v>1083</v>
      </c>
      <c r="H5918" s="171" t="s">
        <v>4094</v>
      </c>
      <c r="I5918" t="s">
        <v>1084</v>
      </c>
      <c r="J5918">
        <v>12.16</v>
      </c>
    </row>
    <row r="5919" spans="1:10" hidden="1">
      <c r="A5919" t="s">
        <v>4088</v>
      </c>
      <c r="B5919" t="s">
        <v>4089</v>
      </c>
      <c r="C5919" t="s">
        <v>235</v>
      </c>
      <c r="D5919" t="s">
        <v>4022</v>
      </c>
      <c r="E5919" t="s">
        <v>560</v>
      </c>
      <c r="F5919" t="s">
        <v>1068</v>
      </c>
      <c r="G5919" t="s">
        <v>1085</v>
      </c>
      <c r="H5919" s="171" t="s">
        <v>4095</v>
      </c>
      <c r="I5919" t="s">
        <v>1086</v>
      </c>
      <c r="J5919">
        <v>12.16</v>
      </c>
    </row>
    <row r="5920" spans="1:10" hidden="1">
      <c r="A5920" t="s">
        <v>4088</v>
      </c>
      <c r="B5920" t="s">
        <v>4089</v>
      </c>
      <c r="C5920" t="s">
        <v>235</v>
      </c>
      <c r="D5920" t="s">
        <v>4022</v>
      </c>
      <c r="E5920" t="s">
        <v>560</v>
      </c>
      <c r="F5920" t="s">
        <v>1068</v>
      </c>
      <c r="G5920" t="s">
        <v>1087</v>
      </c>
      <c r="H5920" s="171" t="s">
        <v>4096</v>
      </c>
      <c r="I5920" t="s">
        <v>1088</v>
      </c>
      <c r="J5920">
        <v>12.16</v>
      </c>
    </row>
    <row r="5921" spans="1:10" hidden="1">
      <c r="A5921" t="s">
        <v>4088</v>
      </c>
      <c r="B5921" t="s">
        <v>4089</v>
      </c>
      <c r="C5921" t="s">
        <v>235</v>
      </c>
      <c r="D5921" t="s">
        <v>4022</v>
      </c>
      <c r="E5921" t="s">
        <v>560</v>
      </c>
      <c r="F5921" t="s">
        <v>1068</v>
      </c>
      <c r="G5921" t="s">
        <v>1089</v>
      </c>
      <c r="H5921" s="171" t="s">
        <v>4097</v>
      </c>
      <c r="I5921" t="s">
        <v>1090</v>
      </c>
      <c r="J5921">
        <v>12.16</v>
      </c>
    </row>
    <row r="5922" spans="1:10" hidden="1">
      <c r="A5922" t="s">
        <v>4098</v>
      </c>
      <c r="B5922" t="s">
        <v>4099</v>
      </c>
      <c r="C5922" t="s">
        <v>235</v>
      </c>
      <c r="D5922" t="s">
        <v>4022</v>
      </c>
      <c r="E5922" t="s">
        <v>1116</v>
      </c>
      <c r="F5922" t="s">
        <v>1068</v>
      </c>
      <c r="G5922" t="s">
        <v>1069</v>
      </c>
      <c r="H5922">
        <v>7.1868590597229096E-2</v>
      </c>
      <c r="I5922" t="s">
        <v>1070</v>
      </c>
      <c r="J5922">
        <v>7.77</v>
      </c>
    </row>
    <row r="5923" spans="1:10" hidden="1">
      <c r="A5923" t="s">
        <v>4098</v>
      </c>
      <c r="B5923" t="s">
        <v>4099</v>
      </c>
      <c r="C5923" t="s">
        <v>235</v>
      </c>
      <c r="D5923" t="s">
        <v>4022</v>
      </c>
      <c r="E5923" t="s">
        <v>1116</v>
      </c>
      <c r="F5923" t="s">
        <v>1068</v>
      </c>
      <c r="G5923" t="s">
        <v>1071</v>
      </c>
      <c r="H5923" s="171" t="s">
        <v>4100</v>
      </c>
      <c r="I5923" t="s">
        <v>1072</v>
      </c>
      <c r="J5923">
        <v>7.77</v>
      </c>
    </row>
    <row r="5924" spans="1:10" hidden="1">
      <c r="A5924" t="s">
        <v>4098</v>
      </c>
      <c r="B5924" t="s">
        <v>4099</v>
      </c>
      <c r="C5924" t="s">
        <v>235</v>
      </c>
      <c r="D5924" t="s">
        <v>4022</v>
      </c>
      <c r="E5924" t="s">
        <v>1116</v>
      </c>
      <c r="F5924" t="s">
        <v>1068</v>
      </c>
      <c r="G5924" t="s">
        <v>1073</v>
      </c>
      <c r="H5924" s="171" t="s">
        <v>4101</v>
      </c>
      <c r="I5924" t="s">
        <v>1074</v>
      </c>
      <c r="J5924">
        <v>7.77</v>
      </c>
    </row>
    <row r="5925" spans="1:10" hidden="1">
      <c r="A5925" t="s">
        <v>4098</v>
      </c>
      <c r="B5925" t="s">
        <v>4099</v>
      </c>
      <c r="C5925" t="s">
        <v>235</v>
      </c>
      <c r="D5925" t="s">
        <v>4022</v>
      </c>
      <c r="E5925" t="s">
        <v>1116</v>
      </c>
      <c r="F5925" t="s">
        <v>1068</v>
      </c>
      <c r="G5925" t="s">
        <v>1075</v>
      </c>
      <c r="H5925">
        <v>3.4707519676659198E-3</v>
      </c>
      <c r="I5925" t="s">
        <v>1077</v>
      </c>
      <c r="J5925">
        <v>7.77</v>
      </c>
    </row>
    <row r="5926" spans="1:10" hidden="1">
      <c r="A5926" t="s">
        <v>4098</v>
      </c>
      <c r="B5926" t="s">
        <v>4099</v>
      </c>
      <c r="C5926" t="s">
        <v>235</v>
      </c>
      <c r="D5926" t="s">
        <v>4022</v>
      </c>
      <c r="E5926" t="s">
        <v>1116</v>
      </c>
      <c r="F5926" t="s">
        <v>1068</v>
      </c>
      <c r="G5926" t="s">
        <v>1078</v>
      </c>
      <c r="H5926" s="171" t="s">
        <v>4102</v>
      </c>
      <c r="I5926" t="s">
        <v>1079</v>
      </c>
      <c r="J5926">
        <v>7.77</v>
      </c>
    </row>
    <row r="5927" spans="1:10" hidden="1">
      <c r="A5927" t="s">
        <v>4098</v>
      </c>
      <c r="B5927" t="s">
        <v>4099</v>
      </c>
      <c r="C5927" t="s">
        <v>235</v>
      </c>
      <c r="D5927" t="s">
        <v>4022</v>
      </c>
      <c r="E5927" t="s">
        <v>1116</v>
      </c>
      <c r="F5927" t="s">
        <v>1068</v>
      </c>
      <c r="G5927" t="s">
        <v>1080</v>
      </c>
      <c r="H5927" s="171" t="s">
        <v>4103</v>
      </c>
      <c r="I5927" t="s">
        <v>1082</v>
      </c>
      <c r="J5927">
        <v>7.77</v>
      </c>
    </row>
    <row r="5928" spans="1:10" hidden="1">
      <c r="A5928" t="s">
        <v>4098</v>
      </c>
      <c r="B5928" t="s">
        <v>4099</v>
      </c>
      <c r="C5928" t="s">
        <v>235</v>
      </c>
      <c r="D5928" t="s">
        <v>4022</v>
      </c>
      <c r="E5928" t="s">
        <v>1116</v>
      </c>
      <c r="F5928" t="s">
        <v>1068</v>
      </c>
      <c r="G5928" t="s">
        <v>1083</v>
      </c>
      <c r="H5928" s="171" t="s">
        <v>4104</v>
      </c>
      <c r="I5928" t="s">
        <v>1084</v>
      </c>
      <c r="J5928">
        <v>7.77</v>
      </c>
    </row>
    <row r="5929" spans="1:10" hidden="1">
      <c r="A5929" t="s">
        <v>4098</v>
      </c>
      <c r="B5929" t="s">
        <v>4099</v>
      </c>
      <c r="C5929" t="s">
        <v>235</v>
      </c>
      <c r="D5929" t="s">
        <v>4022</v>
      </c>
      <c r="E5929" t="s">
        <v>1116</v>
      </c>
      <c r="F5929" t="s">
        <v>1068</v>
      </c>
      <c r="G5929" t="s">
        <v>1085</v>
      </c>
      <c r="H5929" s="171" t="s">
        <v>4105</v>
      </c>
      <c r="I5929" t="s">
        <v>1086</v>
      </c>
      <c r="J5929">
        <v>7.77</v>
      </c>
    </row>
    <row r="5930" spans="1:10" hidden="1">
      <c r="A5930" t="s">
        <v>4098</v>
      </c>
      <c r="B5930" t="s">
        <v>4099</v>
      </c>
      <c r="C5930" t="s">
        <v>235</v>
      </c>
      <c r="D5930" t="s">
        <v>4022</v>
      </c>
      <c r="E5930" t="s">
        <v>1116</v>
      </c>
      <c r="F5930" t="s">
        <v>1068</v>
      </c>
      <c r="G5930" t="s">
        <v>1087</v>
      </c>
      <c r="H5930" s="171" t="s">
        <v>4106</v>
      </c>
      <c r="I5930" t="s">
        <v>1088</v>
      </c>
      <c r="J5930">
        <v>7.77</v>
      </c>
    </row>
    <row r="5931" spans="1:10" hidden="1">
      <c r="A5931" t="s">
        <v>4098</v>
      </c>
      <c r="B5931" t="s">
        <v>4099</v>
      </c>
      <c r="C5931" t="s">
        <v>235</v>
      </c>
      <c r="D5931" t="s">
        <v>4022</v>
      </c>
      <c r="E5931" t="s">
        <v>1116</v>
      </c>
      <c r="F5931" t="s">
        <v>1068</v>
      </c>
      <c r="G5931" t="s">
        <v>1089</v>
      </c>
      <c r="H5931" s="171" t="s">
        <v>4107</v>
      </c>
      <c r="I5931" t="s">
        <v>1090</v>
      </c>
      <c r="J5931">
        <v>7.77</v>
      </c>
    </row>
    <row r="5932" spans="1:10" hidden="1">
      <c r="A5932" t="s">
        <v>4108</v>
      </c>
      <c r="B5932" t="s">
        <v>4109</v>
      </c>
      <c r="C5932" t="s">
        <v>235</v>
      </c>
      <c r="D5932" t="s">
        <v>1455</v>
      </c>
      <c r="E5932" t="s">
        <v>561</v>
      </c>
      <c r="F5932" t="s">
        <v>1068</v>
      </c>
      <c r="G5932" t="s">
        <v>1069</v>
      </c>
      <c r="H5932" s="171" t="s">
        <v>4110</v>
      </c>
      <c r="I5932" t="s">
        <v>1070</v>
      </c>
      <c r="J5932">
        <v>7.61</v>
      </c>
    </row>
    <row r="5933" spans="1:10" hidden="1">
      <c r="A5933" t="s">
        <v>4108</v>
      </c>
      <c r="B5933" t="s">
        <v>4109</v>
      </c>
      <c r="C5933" t="s">
        <v>235</v>
      </c>
      <c r="D5933" t="s">
        <v>1455</v>
      </c>
      <c r="E5933" t="s">
        <v>561</v>
      </c>
      <c r="F5933" t="s">
        <v>1068</v>
      </c>
      <c r="G5933" t="s">
        <v>1071</v>
      </c>
      <c r="H5933" s="171" t="s">
        <v>4111</v>
      </c>
      <c r="I5933" t="s">
        <v>1072</v>
      </c>
      <c r="J5933">
        <v>7.61</v>
      </c>
    </row>
    <row r="5934" spans="1:10" hidden="1">
      <c r="A5934" t="s">
        <v>4108</v>
      </c>
      <c r="B5934" t="s">
        <v>4109</v>
      </c>
      <c r="C5934" t="s">
        <v>235</v>
      </c>
      <c r="D5934" t="s">
        <v>1455</v>
      </c>
      <c r="E5934" t="s">
        <v>561</v>
      </c>
      <c r="F5934" t="s">
        <v>1068</v>
      </c>
      <c r="G5934" t="s">
        <v>1073</v>
      </c>
      <c r="H5934" s="171" t="s">
        <v>4112</v>
      </c>
      <c r="I5934" t="s">
        <v>1074</v>
      </c>
      <c r="J5934">
        <v>7.61</v>
      </c>
    </row>
    <row r="5935" spans="1:10" hidden="1">
      <c r="A5935" t="s">
        <v>4108</v>
      </c>
      <c r="B5935" t="s">
        <v>4109</v>
      </c>
      <c r="C5935" t="s">
        <v>235</v>
      </c>
      <c r="D5935" t="s">
        <v>1455</v>
      </c>
      <c r="E5935" t="s">
        <v>561</v>
      </c>
      <c r="F5935" t="s">
        <v>1068</v>
      </c>
      <c r="G5935" t="s">
        <v>1075</v>
      </c>
      <c r="H5935">
        <v>3.4708050891990101E-3</v>
      </c>
      <c r="I5935" t="s">
        <v>1077</v>
      </c>
      <c r="J5935">
        <v>7.61</v>
      </c>
    </row>
    <row r="5936" spans="1:10" hidden="1">
      <c r="A5936" t="s">
        <v>4108</v>
      </c>
      <c r="B5936" t="s">
        <v>4109</v>
      </c>
      <c r="C5936" t="s">
        <v>235</v>
      </c>
      <c r="D5936" t="s">
        <v>1455</v>
      </c>
      <c r="E5936" t="s">
        <v>561</v>
      </c>
      <c r="F5936" t="s">
        <v>1068</v>
      </c>
      <c r="G5936" t="s">
        <v>1078</v>
      </c>
      <c r="H5936">
        <v>-0.76267771507945104</v>
      </c>
      <c r="I5936" t="s">
        <v>1079</v>
      </c>
      <c r="J5936">
        <v>7.61</v>
      </c>
    </row>
    <row r="5937" spans="1:10" hidden="1">
      <c r="A5937" t="s">
        <v>4108</v>
      </c>
      <c r="B5937" t="s">
        <v>4109</v>
      </c>
      <c r="C5937" t="s">
        <v>235</v>
      </c>
      <c r="D5937" t="s">
        <v>1455</v>
      </c>
      <c r="E5937" t="s">
        <v>561</v>
      </c>
      <c r="F5937" t="s">
        <v>1068</v>
      </c>
      <c r="G5937" t="s">
        <v>1080</v>
      </c>
      <c r="H5937" s="171" t="s">
        <v>4113</v>
      </c>
      <c r="I5937" t="s">
        <v>1082</v>
      </c>
      <c r="J5937">
        <v>7.61</v>
      </c>
    </row>
    <row r="5938" spans="1:10" hidden="1">
      <c r="A5938" t="s">
        <v>4108</v>
      </c>
      <c r="B5938" t="s">
        <v>4109</v>
      </c>
      <c r="C5938" t="s">
        <v>235</v>
      </c>
      <c r="D5938" t="s">
        <v>1455</v>
      </c>
      <c r="E5938" t="s">
        <v>561</v>
      </c>
      <c r="F5938" t="s">
        <v>1068</v>
      </c>
      <c r="G5938" t="s">
        <v>1083</v>
      </c>
      <c r="H5938" s="171" t="s">
        <v>4114</v>
      </c>
      <c r="I5938" t="s">
        <v>1084</v>
      </c>
      <c r="J5938">
        <v>7.61</v>
      </c>
    </row>
    <row r="5939" spans="1:10" hidden="1">
      <c r="A5939" t="s">
        <v>4108</v>
      </c>
      <c r="B5939" t="s">
        <v>4109</v>
      </c>
      <c r="C5939" t="s">
        <v>235</v>
      </c>
      <c r="D5939" t="s">
        <v>1455</v>
      </c>
      <c r="E5939" t="s">
        <v>561</v>
      </c>
      <c r="F5939" t="s">
        <v>1068</v>
      </c>
      <c r="G5939" t="s">
        <v>1085</v>
      </c>
      <c r="H5939" s="171" t="s">
        <v>4115</v>
      </c>
      <c r="I5939" t="s">
        <v>1086</v>
      </c>
      <c r="J5939">
        <v>7.61</v>
      </c>
    </row>
    <row r="5940" spans="1:10" hidden="1">
      <c r="A5940" t="s">
        <v>4108</v>
      </c>
      <c r="B5940" t="s">
        <v>4109</v>
      </c>
      <c r="C5940" t="s">
        <v>235</v>
      </c>
      <c r="D5940" t="s">
        <v>1455</v>
      </c>
      <c r="E5940" t="s">
        <v>561</v>
      </c>
      <c r="F5940" t="s">
        <v>1068</v>
      </c>
      <c r="G5940" t="s">
        <v>1087</v>
      </c>
      <c r="H5940" s="171" t="s">
        <v>4116</v>
      </c>
      <c r="I5940" t="s">
        <v>1088</v>
      </c>
      <c r="J5940">
        <v>7.61</v>
      </c>
    </row>
    <row r="5941" spans="1:10" hidden="1">
      <c r="A5941" t="s">
        <v>4108</v>
      </c>
      <c r="B5941" t="s">
        <v>4109</v>
      </c>
      <c r="C5941" t="s">
        <v>235</v>
      </c>
      <c r="D5941" t="s">
        <v>1455</v>
      </c>
      <c r="E5941" t="s">
        <v>561</v>
      </c>
      <c r="F5941" t="s">
        <v>1068</v>
      </c>
      <c r="G5941" t="s">
        <v>1089</v>
      </c>
      <c r="H5941" s="171" t="s">
        <v>4117</v>
      </c>
      <c r="I5941" t="s">
        <v>1090</v>
      </c>
      <c r="J5941">
        <v>7.61</v>
      </c>
    </row>
    <row r="5942" spans="1:10" hidden="1">
      <c r="A5942" t="s">
        <v>4118</v>
      </c>
      <c r="B5942" t="s">
        <v>4119</v>
      </c>
      <c r="C5942" t="s">
        <v>235</v>
      </c>
      <c r="D5942" t="s">
        <v>1455</v>
      </c>
      <c r="E5942" t="s">
        <v>555</v>
      </c>
      <c r="F5942" t="s">
        <v>1068</v>
      </c>
      <c r="G5942" t="s">
        <v>1069</v>
      </c>
      <c r="H5942" s="171" t="s">
        <v>4120</v>
      </c>
      <c r="I5942" t="s">
        <v>1070</v>
      </c>
      <c r="J5942">
        <v>15.4</v>
      </c>
    </row>
    <row r="5943" spans="1:10" hidden="1">
      <c r="A5943" t="s">
        <v>4118</v>
      </c>
      <c r="B5943" t="s">
        <v>4119</v>
      </c>
      <c r="C5943" t="s">
        <v>235</v>
      </c>
      <c r="D5943" t="s">
        <v>1455</v>
      </c>
      <c r="E5943" t="s">
        <v>555</v>
      </c>
      <c r="F5943" t="s">
        <v>1068</v>
      </c>
      <c r="G5943" t="s">
        <v>1071</v>
      </c>
      <c r="H5943" s="171" t="s">
        <v>4121</v>
      </c>
      <c r="I5943" t="s">
        <v>1072</v>
      </c>
      <c r="J5943">
        <v>15.4</v>
      </c>
    </row>
    <row r="5944" spans="1:10" hidden="1">
      <c r="A5944" t="s">
        <v>4118</v>
      </c>
      <c r="B5944" t="s">
        <v>4119</v>
      </c>
      <c r="C5944" t="s">
        <v>235</v>
      </c>
      <c r="D5944" t="s">
        <v>1455</v>
      </c>
      <c r="E5944" t="s">
        <v>555</v>
      </c>
      <c r="F5944" t="s">
        <v>1068</v>
      </c>
      <c r="G5944" t="s">
        <v>1073</v>
      </c>
      <c r="H5944" s="171" t="s">
        <v>4122</v>
      </c>
      <c r="I5944" t="s">
        <v>1074</v>
      </c>
      <c r="J5944">
        <v>15.4</v>
      </c>
    </row>
    <row r="5945" spans="1:10" hidden="1">
      <c r="A5945" t="s">
        <v>4118</v>
      </c>
      <c r="B5945" t="s">
        <v>4119</v>
      </c>
      <c r="C5945" t="s">
        <v>235</v>
      </c>
      <c r="D5945" t="s">
        <v>1455</v>
      </c>
      <c r="E5945" t="s">
        <v>555</v>
      </c>
      <c r="F5945" t="s">
        <v>1068</v>
      </c>
      <c r="G5945" t="s">
        <v>1075</v>
      </c>
      <c r="H5945">
        <v>3.4712812841506502E-3</v>
      </c>
      <c r="I5945" t="s">
        <v>1077</v>
      </c>
      <c r="J5945">
        <v>15.4</v>
      </c>
    </row>
    <row r="5946" spans="1:10" hidden="1">
      <c r="A5946" t="s">
        <v>4118</v>
      </c>
      <c r="B5946" t="s">
        <v>4119</v>
      </c>
      <c r="C5946" t="s">
        <v>235</v>
      </c>
      <c r="D5946" t="s">
        <v>1455</v>
      </c>
      <c r="E5946" t="s">
        <v>555</v>
      </c>
      <c r="F5946" t="s">
        <v>1068</v>
      </c>
      <c r="G5946" t="s">
        <v>1078</v>
      </c>
      <c r="H5946">
        <v>-0.76265712636409499</v>
      </c>
      <c r="I5946" t="s">
        <v>1079</v>
      </c>
      <c r="J5946">
        <v>15.4</v>
      </c>
    </row>
    <row r="5947" spans="1:10" hidden="1">
      <c r="A5947" t="s">
        <v>4118</v>
      </c>
      <c r="B5947" t="s">
        <v>4119</v>
      </c>
      <c r="C5947" t="s">
        <v>235</v>
      </c>
      <c r="D5947" t="s">
        <v>1455</v>
      </c>
      <c r="E5947" t="s">
        <v>555</v>
      </c>
      <c r="F5947" t="s">
        <v>1068</v>
      </c>
      <c r="G5947" t="s">
        <v>1080</v>
      </c>
      <c r="H5947" s="171" t="s">
        <v>4123</v>
      </c>
      <c r="I5947" t="s">
        <v>1082</v>
      </c>
      <c r="J5947">
        <v>15.4</v>
      </c>
    </row>
    <row r="5948" spans="1:10" hidden="1">
      <c r="A5948" t="s">
        <v>4118</v>
      </c>
      <c r="B5948" t="s">
        <v>4119</v>
      </c>
      <c r="C5948" t="s">
        <v>235</v>
      </c>
      <c r="D5948" t="s">
        <v>1455</v>
      </c>
      <c r="E5948" t="s">
        <v>555</v>
      </c>
      <c r="F5948" t="s">
        <v>1068</v>
      </c>
      <c r="G5948" t="s">
        <v>1083</v>
      </c>
      <c r="H5948" s="171" t="s">
        <v>4124</v>
      </c>
      <c r="I5948" t="s">
        <v>1084</v>
      </c>
      <c r="J5948">
        <v>15.4</v>
      </c>
    </row>
    <row r="5949" spans="1:10" hidden="1">
      <c r="A5949" t="s">
        <v>4118</v>
      </c>
      <c r="B5949" t="s">
        <v>4119</v>
      </c>
      <c r="C5949" t="s">
        <v>235</v>
      </c>
      <c r="D5949" t="s">
        <v>1455</v>
      </c>
      <c r="E5949" t="s">
        <v>555</v>
      </c>
      <c r="F5949" t="s">
        <v>1068</v>
      </c>
      <c r="G5949" t="s">
        <v>1085</v>
      </c>
      <c r="H5949" s="171" t="s">
        <v>4125</v>
      </c>
      <c r="I5949" t="s">
        <v>1086</v>
      </c>
      <c r="J5949">
        <v>15.4</v>
      </c>
    </row>
    <row r="5950" spans="1:10" hidden="1">
      <c r="A5950" t="s">
        <v>4118</v>
      </c>
      <c r="B5950" t="s">
        <v>4119</v>
      </c>
      <c r="C5950" t="s">
        <v>235</v>
      </c>
      <c r="D5950" t="s">
        <v>1455</v>
      </c>
      <c r="E5950" t="s">
        <v>555</v>
      </c>
      <c r="F5950" t="s">
        <v>1068</v>
      </c>
      <c r="G5950" t="s">
        <v>1087</v>
      </c>
      <c r="H5950" s="171" t="s">
        <v>4126</v>
      </c>
      <c r="I5950" t="s">
        <v>1088</v>
      </c>
      <c r="J5950">
        <v>15.4</v>
      </c>
    </row>
    <row r="5951" spans="1:10" hidden="1">
      <c r="A5951" t="s">
        <v>4118</v>
      </c>
      <c r="B5951" t="s">
        <v>4119</v>
      </c>
      <c r="C5951" t="s">
        <v>235</v>
      </c>
      <c r="D5951" t="s">
        <v>1455</v>
      </c>
      <c r="E5951" t="s">
        <v>555</v>
      </c>
      <c r="F5951" t="s">
        <v>1068</v>
      </c>
      <c r="G5951" t="s">
        <v>1089</v>
      </c>
      <c r="H5951" s="171" t="s">
        <v>4127</v>
      </c>
      <c r="I5951" t="s">
        <v>1090</v>
      </c>
      <c r="J5951">
        <v>15.4</v>
      </c>
    </row>
    <row r="5952" spans="1:10" hidden="1">
      <c r="A5952" t="s">
        <v>4128</v>
      </c>
      <c r="B5952" t="s">
        <v>4129</v>
      </c>
      <c r="C5952" t="s">
        <v>235</v>
      </c>
      <c r="D5952" t="s">
        <v>1455</v>
      </c>
      <c r="E5952" t="s">
        <v>558</v>
      </c>
      <c r="F5952" t="s">
        <v>1068</v>
      </c>
      <c r="G5952" t="s">
        <v>1069</v>
      </c>
      <c r="H5952" s="171" t="s">
        <v>4130</v>
      </c>
      <c r="I5952" t="s">
        <v>1070</v>
      </c>
      <c r="J5952">
        <v>8.4700000000000006</v>
      </c>
    </row>
    <row r="5953" spans="1:10" hidden="1">
      <c r="A5953" t="s">
        <v>4128</v>
      </c>
      <c r="B5953" t="s">
        <v>4129</v>
      </c>
      <c r="C5953" t="s">
        <v>235</v>
      </c>
      <c r="D5953" t="s">
        <v>1455</v>
      </c>
      <c r="E5953" t="s">
        <v>558</v>
      </c>
      <c r="F5953" t="s">
        <v>1068</v>
      </c>
      <c r="G5953" t="s">
        <v>1071</v>
      </c>
      <c r="H5953" s="171" t="s">
        <v>4131</v>
      </c>
      <c r="I5953" t="s">
        <v>1072</v>
      </c>
      <c r="J5953">
        <v>8.4700000000000006</v>
      </c>
    </row>
    <row r="5954" spans="1:10" hidden="1">
      <c r="A5954" t="s">
        <v>4128</v>
      </c>
      <c r="B5954" t="s">
        <v>4129</v>
      </c>
      <c r="C5954" t="s">
        <v>235</v>
      </c>
      <c r="D5954" t="s">
        <v>1455</v>
      </c>
      <c r="E5954" t="s">
        <v>558</v>
      </c>
      <c r="F5954" t="s">
        <v>1068</v>
      </c>
      <c r="G5954" t="s">
        <v>1073</v>
      </c>
      <c r="H5954" s="171" t="s">
        <v>4132</v>
      </c>
      <c r="I5954" t="s">
        <v>1074</v>
      </c>
      <c r="J5954">
        <v>8.4700000000000006</v>
      </c>
    </row>
    <row r="5955" spans="1:10" hidden="1">
      <c r="A5955" t="s">
        <v>4128</v>
      </c>
      <c r="B5955" t="s">
        <v>4129</v>
      </c>
      <c r="C5955" t="s">
        <v>235</v>
      </c>
      <c r="D5955" t="s">
        <v>1455</v>
      </c>
      <c r="E5955" t="s">
        <v>558</v>
      </c>
      <c r="F5955" t="s">
        <v>1068</v>
      </c>
      <c r="G5955" t="s">
        <v>1075</v>
      </c>
      <c r="H5955">
        <v>3.4707652347877602E-3</v>
      </c>
      <c r="I5955" t="s">
        <v>1077</v>
      </c>
      <c r="J5955">
        <v>8.4700000000000006</v>
      </c>
    </row>
    <row r="5956" spans="1:10" hidden="1">
      <c r="A5956" t="s">
        <v>4128</v>
      </c>
      <c r="B5956" t="s">
        <v>4129</v>
      </c>
      <c r="C5956" t="s">
        <v>235</v>
      </c>
      <c r="D5956" t="s">
        <v>1455</v>
      </c>
      <c r="E5956" t="s">
        <v>558</v>
      </c>
      <c r="F5956" t="s">
        <v>1068</v>
      </c>
      <c r="G5956" t="s">
        <v>1078</v>
      </c>
      <c r="H5956">
        <v>-0.76267943853792697</v>
      </c>
      <c r="I5956" t="s">
        <v>1079</v>
      </c>
      <c r="J5956">
        <v>8.4700000000000006</v>
      </c>
    </row>
    <row r="5957" spans="1:10" hidden="1">
      <c r="A5957" t="s">
        <v>4128</v>
      </c>
      <c r="B5957" t="s">
        <v>4129</v>
      </c>
      <c r="C5957" t="s">
        <v>235</v>
      </c>
      <c r="D5957" t="s">
        <v>1455</v>
      </c>
      <c r="E5957" t="s">
        <v>558</v>
      </c>
      <c r="F5957" t="s">
        <v>1068</v>
      </c>
      <c r="G5957" t="s">
        <v>1080</v>
      </c>
      <c r="H5957" s="171" t="s">
        <v>4133</v>
      </c>
      <c r="I5957" t="s">
        <v>1082</v>
      </c>
      <c r="J5957">
        <v>8.4700000000000006</v>
      </c>
    </row>
    <row r="5958" spans="1:10" hidden="1">
      <c r="A5958" t="s">
        <v>4128</v>
      </c>
      <c r="B5958" t="s">
        <v>4129</v>
      </c>
      <c r="C5958" t="s">
        <v>235</v>
      </c>
      <c r="D5958" t="s">
        <v>1455</v>
      </c>
      <c r="E5958" t="s">
        <v>558</v>
      </c>
      <c r="F5958" t="s">
        <v>1068</v>
      </c>
      <c r="G5958" t="s">
        <v>1083</v>
      </c>
      <c r="H5958" s="171" t="s">
        <v>4134</v>
      </c>
      <c r="I5958" t="s">
        <v>1084</v>
      </c>
      <c r="J5958">
        <v>8.4700000000000006</v>
      </c>
    </row>
    <row r="5959" spans="1:10" hidden="1">
      <c r="A5959" t="s">
        <v>4128</v>
      </c>
      <c r="B5959" t="s">
        <v>4129</v>
      </c>
      <c r="C5959" t="s">
        <v>235</v>
      </c>
      <c r="D5959" t="s">
        <v>1455</v>
      </c>
      <c r="E5959" t="s">
        <v>558</v>
      </c>
      <c r="F5959" t="s">
        <v>1068</v>
      </c>
      <c r="G5959" t="s">
        <v>1085</v>
      </c>
      <c r="H5959" s="171" t="s">
        <v>4135</v>
      </c>
      <c r="I5959" t="s">
        <v>1086</v>
      </c>
      <c r="J5959">
        <v>8.4700000000000006</v>
      </c>
    </row>
    <row r="5960" spans="1:10" hidden="1">
      <c r="A5960" t="s">
        <v>4128</v>
      </c>
      <c r="B5960" t="s">
        <v>4129</v>
      </c>
      <c r="C5960" t="s">
        <v>235</v>
      </c>
      <c r="D5960" t="s">
        <v>1455</v>
      </c>
      <c r="E5960" t="s">
        <v>558</v>
      </c>
      <c r="F5960" t="s">
        <v>1068</v>
      </c>
      <c r="G5960" t="s">
        <v>1087</v>
      </c>
      <c r="H5960" s="171" t="s">
        <v>4136</v>
      </c>
      <c r="I5960" t="s">
        <v>1088</v>
      </c>
      <c r="J5960">
        <v>8.4700000000000006</v>
      </c>
    </row>
    <row r="5961" spans="1:10" hidden="1">
      <c r="A5961" t="s">
        <v>4128</v>
      </c>
      <c r="B5961" t="s">
        <v>4129</v>
      </c>
      <c r="C5961" t="s">
        <v>235</v>
      </c>
      <c r="D5961" t="s">
        <v>1455</v>
      </c>
      <c r="E5961" t="s">
        <v>558</v>
      </c>
      <c r="F5961" t="s">
        <v>1068</v>
      </c>
      <c r="G5961" t="s">
        <v>1089</v>
      </c>
      <c r="H5961" s="171" t="s">
        <v>4137</v>
      </c>
      <c r="I5961" t="s">
        <v>1090</v>
      </c>
      <c r="J5961">
        <v>8.4700000000000006</v>
      </c>
    </row>
    <row r="5962" spans="1:10" hidden="1">
      <c r="A5962" t="s">
        <v>4138</v>
      </c>
      <c r="B5962" t="s">
        <v>4139</v>
      </c>
      <c r="C5962" t="s">
        <v>235</v>
      </c>
      <c r="D5962" t="s">
        <v>1455</v>
      </c>
      <c r="E5962" t="s">
        <v>553</v>
      </c>
      <c r="F5962" t="s">
        <v>1068</v>
      </c>
      <c r="G5962" t="s">
        <v>1069</v>
      </c>
      <c r="H5962" s="171" t="s">
        <v>4140</v>
      </c>
      <c r="I5962" t="s">
        <v>1070</v>
      </c>
      <c r="J5962">
        <v>8.16</v>
      </c>
    </row>
    <row r="5963" spans="1:10" hidden="1">
      <c r="A5963" t="s">
        <v>4138</v>
      </c>
      <c r="B5963" t="s">
        <v>4139</v>
      </c>
      <c r="C5963" t="s">
        <v>235</v>
      </c>
      <c r="D5963" t="s">
        <v>1455</v>
      </c>
      <c r="E5963" t="s">
        <v>553</v>
      </c>
      <c r="F5963" t="s">
        <v>1068</v>
      </c>
      <c r="G5963" t="s">
        <v>1071</v>
      </c>
      <c r="H5963" s="171" t="s">
        <v>4141</v>
      </c>
      <c r="I5963" t="s">
        <v>1072</v>
      </c>
      <c r="J5963">
        <v>8.16</v>
      </c>
    </row>
    <row r="5964" spans="1:10" hidden="1">
      <c r="A5964" t="s">
        <v>4138</v>
      </c>
      <c r="B5964" t="s">
        <v>4139</v>
      </c>
      <c r="C5964" t="s">
        <v>235</v>
      </c>
      <c r="D5964" t="s">
        <v>1455</v>
      </c>
      <c r="E5964" t="s">
        <v>553</v>
      </c>
      <c r="F5964" t="s">
        <v>1068</v>
      </c>
      <c r="G5964" t="s">
        <v>1073</v>
      </c>
      <c r="H5964" s="171" t="s">
        <v>4142</v>
      </c>
      <c r="I5964" t="s">
        <v>1074</v>
      </c>
      <c r="J5964">
        <v>8.16</v>
      </c>
    </row>
    <row r="5965" spans="1:10" hidden="1">
      <c r="A5965" t="s">
        <v>4138</v>
      </c>
      <c r="B5965" t="s">
        <v>4139</v>
      </c>
      <c r="C5965" t="s">
        <v>235</v>
      </c>
      <c r="D5965" t="s">
        <v>1455</v>
      </c>
      <c r="E5965" t="s">
        <v>553</v>
      </c>
      <c r="F5965" t="s">
        <v>1068</v>
      </c>
      <c r="G5965" t="s">
        <v>1075</v>
      </c>
      <c r="H5965">
        <v>3.4707490686448402E-3</v>
      </c>
      <c r="I5965" t="s">
        <v>1077</v>
      </c>
      <c r="J5965">
        <v>8.16</v>
      </c>
    </row>
    <row r="5966" spans="1:10" hidden="1">
      <c r="A5966" t="s">
        <v>4138</v>
      </c>
      <c r="B5966" t="s">
        <v>4139</v>
      </c>
      <c r="C5966" t="s">
        <v>235</v>
      </c>
      <c r="D5966" t="s">
        <v>1455</v>
      </c>
      <c r="E5966" t="s">
        <v>553</v>
      </c>
      <c r="F5966" t="s">
        <v>1068</v>
      </c>
      <c r="G5966" t="s">
        <v>1078</v>
      </c>
      <c r="H5966">
        <v>-0.76268014141553098</v>
      </c>
      <c r="I5966" t="s">
        <v>1079</v>
      </c>
      <c r="J5966">
        <v>8.16</v>
      </c>
    </row>
    <row r="5967" spans="1:10" hidden="1">
      <c r="A5967" t="s">
        <v>4138</v>
      </c>
      <c r="B5967" t="s">
        <v>4139</v>
      </c>
      <c r="C5967" t="s">
        <v>235</v>
      </c>
      <c r="D5967" t="s">
        <v>1455</v>
      </c>
      <c r="E5967" t="s">
        <v>553</v>
      </c>
      <c r="F5967" t="s">
        <v>1068</v>
      </c>
      <c r="G5967" t="s">
        <v>1080</v>
      </c>
      <c r="H5967" s="171" t="s">
        <v>4143</v>
      </c>
      <c r="I5967" t="s">
        <v>1082</v>
      </c>
      <c r="J5967">
        <v>8.16</v>
      </c>
    </row>
    <row r="5968" spans="1:10" hidden="1">
      <c r="A5968" t="s">
        <v>4138</v>
      </c>
      <c r="B5968" t="s">
        <v>4139</v>
      </c>
      <c r="C5968" t="s">
        <v>235</v>
      </c>
      <c r="D5968" t="s">
        <v>1455</v>
      </c>
      <c r="E5968" t="s">
        <v>553</v>
      </c>
      <c r="F5968" t="s">
        <v>1068</v>
      </c>
      <c r="G5968" t="s">
        <v>1083</v>
      </c>
      <c r="H5968" s="171" t="s">
        <v>4144</v>
      </c>
      <c r="I5968" t="s">
        <v>1084</v>
      </c>
      <c r="J5968">
        <v>8.16</v>
      </c>
    </row>
    <row r="5969" spans="1:10" hidden="1">
      <c r="A5969" t="s">
        <v>4138</v>
      </c>
      <c r="B5969" t="s">
        <v>4139</v>
      </c>
      <c r="C5969" t="s">
        <v>235</v>
      </c>
      <c r="D5969" t="s">
        <v>1455</v>
      </c>
      <c r="E5969" t="s">
        <v>553</v>
      </c>
      <c r="F5969" t="s">
        <v>1068</v>
      </c>
      <c r="G5969" t="s">
        <v>1085</v>
      </c>
      <c r="H5969" s="171" t="s">
        <v>4145</v>
      </c>
      <c r="I5969" t="s">
        <v>1086</v>
      </c>
      <c r="J5969">
        <v>8.16</v>
      </c>
    </row>
    <row r="5970" spans="1:10" hidden="1">
      <c r="A5970" t="s">
        <v>4138</v>
      </c>
      <c r="B5970" t="s">
        <v>4139</v>
      </c>
      <c r="C5970" t="s">
        <v>235</v>
      </c>
      <c r="D5970" t="s">
        <v>1455</v>
      </c>
      <c r="E5970" t="s">
        <v>553</v>
      </c>
      <c r="F5970" t="s">
        <v>1068</v>
      </c>
      <c r="G5970" t="s">
        <v>1087</v>
      </c>
      <c r="H5970" s="171" t="s">
        <v>4146</v>
      </c>
      <c r="I5970" t="s">
        <v>1088</v>
      </c>
      <c r="J5970">
        <v>8.16</v>
      </c>
    </row>
    <row r="5971" spans="1:10" hidden="1">
      <c r="A5971" t="s">
        <v>4138</v>
      </c>
      <c r="B5971" t="s">
        <v>4139</v>
      </c>
      <c r="C5971" t="s">
        <v>235</v>
      </c>
      <c r="D5971" t="s">
        <v>1455</v>
      </c>
      <c r="E5971" t="s">
        <v>553</v>
      </c>
      <c r="F5971" t="s">
        <v>1068</v>
      </c>
      <c r="G5971" t="s">
        <v>1089</v>
      </c>
      <c r="H5971" s="171" t="s">
        <v>4147</v>
      </c>
      <c r="I5971" t="s">
        <v>1090</v>
      </c>
      <c r="J5971">
        <v>8.16</v>
      </c>
    </row>
    <row r="5972" spans="1:10" hidden="1">
      <c r="A5972" t="s">
        <v>4148</v>
      </c>
      <c r="B5972" t="s">
        <v>4149</v>
      </c>
      <c r="C5972" t="s">
        <v>235</v>
      </c>
      <c r="D5972" t="s">
        <v>1455</v>
      </c>
      <c r="E5972" t="s">
        <v>556</v>
      </c>
      <c r="F5972" t="s">
        <v>1068</v>
      </c>
      <c r="G5972" t="s">
        <v>1069</v>
      </c>
      <c r="H5972" s="171" t="s">
        <v>4150</v>
      </c>
      <c r="I5972" t="s">
        <v>1070</v>
      </c>
      <c r="J5972">
        <v>7.49</v>
      </c>
    </row>
    <row r="5973" spans="1:10" hidden="1">
      <c r="A5973" t="s">
        <v>4148</v>
      </c>
      <c r="B5973" t="s">
        <v>4149</v>
      </c>
      <c r="C5973" t="s">
        <v>235</v>
      </c>
      <c r="D5973" t="s">
        <v>1455</v>
      </c>
      <c r="E5973" t="s">
        <v>556</v>
      </c>
      <c r="F5973" t="s">
        <v>1068</v>
      </c>
      <c r="G5973" t="s">
        <v>1071</v>
      </c>
      <c r="H5973" s="171" t="s">
        <v>4151</v>
      </c>
      <c r="I5973" t="s">
        <v>1072</v>
      </c>
      <c r="J5973">
        <v>7.49</v>
      </c>
    </row>
    <row r="5974" spans="1:10" hidden="1">
      <c r="A5974" t="s">
        <v>4148</v>
      </c>
      <c r="B5974" t="s">
        <v>4149</v>
      </c>
      <c r="C5974" t="s">
        <v>235</v>
      </c>
      <c r="D5974" t="s">
        <v>1455</v>
      </c>
      <c r="E5974" t="s">
        <v>556</v>
      </c>
      <c r="F5974" t="s">
        <v>1068</v>
      </c>
      <c r="G5974" t="s">
        <v>1073</v>
      </c>
      <c r="H5974" s="171" t="s">
        <v>4152</v>
      </c>
      <c r="I5974" t="s">
        <v>1074</v>
      </c>
      <c r="J5974">
        <v>7.49</v>
      </c>
    </row>
    <row r="5975" spans="1:10" hidden="1">
      <c r="A5975" t="s">
        <v>4148</v>
      </c>
      <c r="B5975" t="s">
        <v>4149</v>
      </c>
      <c r="C5975" t="s">
        <v>235</v>
      </c>
      <c r="D5975" t="s">
        <v>1455</v>
      </c>
      <c r="E5975" t="s">
        <v>556</v>
      </c>
      <c r="F5975" t="s">
        <v>1068</v>
      </c>
      <c r="G5975" t="s">
        <v>1075</v>
      </c>
      <c r="H5975">
        <v>3.4712312600188098E-3</v>
      </c>
      <c r="I5975" t="s">
        <v>1077</v>
      </c>
      <c r="J5975">
        <v>7.49</v>
      </c>
    </row>
    <row r="5976" spans="1:10" hidden="1">
      <c r="A5976" t="s">
        <v>4148</v>
      </c>
      <c r="B5976" t="s">
        <v>4149</v>
      </c>
      <c r="C5976" t="s">
        <v>235</v>
      </c>
      <c r="D5976" t="s">
        <v>1455</v>
      </c>
      <c r="E5976" t="s">
        <v>556</v>
      </c>
      <c r="F5976" t="s">
        <v>1068</v>
      </c>
      <c r="G5976" t="s">
        <v>1078</v>
      </c>
      <c r="H5976">
        <v>-0.76265928960051899</v>
      </c>
      <c r="I5976" t="s">
        <v>1079</v>
      </c>
      <c r="J5976">
        <v>7.49</v>
      </c>
    </row>
    <row r="5977" spans="1:10" hidden="1">
      <c r="A5977" t="s">
        <v>4148</v>
      </c>
      <c r="B5977" t="s">
        <v>4149</v>
      </c>
      <c r="C5977" t="s">
        <v>235</v>
      </c>
      <c r="D5977" t="s">
        <v>1455</v>
      </c>
      <c r="E5977" t="s">
        <v>556</v>
      </c>
      <c r="F5977" t="s">
        <v>1068</v>
      </c>
      <c r="G5977" t="s">
        <v>1080</v>
      </c>
      <c r="H5977" s="171" t="s">
        <v>4153</v>
      </c>
      <c r="I5977" t="s">
        <v>1082</v>
      </c>
      <c r="J5977">
        <v>7.49</v>
      </c>
    </row>
    <row r="5978" spans="1:10" hidden="1">
      <c r="A5978" t="s">
        <v>4148</v>
      </c>
      <c r="B5978" t="s">
        <v>4149</v>
      </c>
      <c r="C5978" t="s">
        <v>235</v>
      </c>
      <c r="D5978" t="s">
        <v>1455</v>
      </c>
      <c r="E5978" t="s">
        <v>556</v>
      </c>
      <c r="F5978" t="s">
        <v>1068</v>
      </c>
      <c r="G5978" t="s">
        <v>1083</v>
      </c>
      <c r="H5978" s="171" t="s">
        <v>4154</v>
      </c>
      <c r="I5978" t="s">
        <v>1084</v>
      </c>
      <c r="J5978">
        <v>7.49</v>
      </c>
    </row>
    <row r="5979" spans="1:10" hidden="1">
      <c r="A5979" t="s">
        <v>4148</v>
      </c>
      <c r="B5979" t="s">
        <v>4149</v>
      </c>
      <c r="C5979" t="s">
        <v>235</v>
      </c>
      <c r="D5979" t="s">
        <v>1455</v>
      </c>
      <c r="E5979" t="s">
        <v>556</v>
      </c>
      <c r="F5979" t="s">
        <v>1068</v>
      </c>
      <c r="G5979" t="s">
        <v>1085</v>
      </c>
      <c r="H5979" s="171" t="s">
        <v>4155</v>
      </c>
      <c r="I5979" t="s">
        <v>1086</v>
      </c>
      <c r="J5979">
        <v>7.49</v>
      </c>
    </row>
    <row r="5980" spans="1:10" hidden="1">
      <c r="A5980" t="s">
        <v>4148</v>
      </c>
      <c r="B5980" t="s">
        <v>4149</v>
      </c>
      <c r="C5980" t="s">
        <v>235</v>
      </c>
      <c r="D5980" t="s">
        <v>1455</v>
      </c>
      <c r="E5980" t="s">
        <v>556</v>
      </c>
      <c r="F5980" t="s">
        <v>1068</v>
      </c>
      <c r="G5980" t="s">
        <v>1087</v>
      </c>
      <c r="H5980" s="171" t="s">
        <v>4156</v>
      </c>
      <c r="I5980" t="s">
        <v>1088</v>
      </c>
      <c r="J5980">
        <v>7.49</v>
      </c>
    </row>
    <row r="5981" spans="1:10" hidden="1">
      <c r="A5981" t="s">
        <v>4148</v>
      </c>
      <c r="B5981" t="s">
        <v>4149</v>
      </c>
      <c r="C5981" t="s">
        <v>235</v>
      </c>
      <c r="D5981" t="s">
        <v>1455</v>
      </c>
      <c r="E5981" t="s">
        <v>556</v>
      </c>
      <c r="F5981" t="s">
        <v>1068</v>
      </c>
      <c r="G5981" t="s">
        <v>1089</v>
      </c>
      <c r="H5981" s="171" t="s">
        <v>4157</v>
      </c>
      <c r="I5981" t="s">
        <v>1090</v>
      </c>
      <c r="J5981">
        <v>7.49</v>
      </c>
    </row>
    <row r="5982" spans="1:10" hidden="1">
      <c r="A5982" t="s">
        <v>4158</v>
      </c>
      <c r="B5982" t="s">
        <v>4159</v>
      </c>
      <c r="C5982" t="s">
        <v>235</v>
      </c>
      <c r="D5982" t="s">
        <v>1455</v>
      </c>
      <c r="E5982" t="s">
        <v>557</v>
      </c>
      <c r="F5982" t="s">
        <v>1068</v>
      </c>
      <c r="G5982" t="s">
        <v>1069</v>
      </c>
      <c r="H5982" s="171" t="s">
        <v>4160</v>
      </c>
      <c r="I5982" t="s">
        <v>1070</v>
      </c>
      <c r="J5982">
        <v>7.95</v>
      </c>
    </row>
    <row r="5983" spans="1:10" hidden="1">
      <c r="A5983" t="s">
        <v>4158</v>
      </c>
      <c r="B5983" t="s">
        <v>4159</v>
      </c>
      <c r="C5983" t="s">
        <v>235</v>
      </c>
      <c r="D5983" t="s">
        <v>1455</v>
      </c>
      <c r="E5983" t="s">
        <v>557</v>
      </c>
      <c r="F5983" t="s">
        <v>1068</v>
      </c>
      <c r="G5983" t="s">
        <v>1071</v>
      </c>
      <c r="H5983" s="171" t="s">
        <v>4161</v>
      </c>
      <c r="I5983" t="s">
        <v>1072</v>
      </c>
      <c r="J5983">
        <v>7.95</v>
      </c>
    </row>
    <row r="5984" spans="1:10" hidden="1">
      <c r="A5984" t="s">
        <v>4158</v>
      </c>
      <c r="B5984" t="s">
        <v>4159</v>
      </c>
      <c r="C5984" t="s">
        <v>235</v>
      </c>
      <c r="D5984" t="s">
        <v>1455</v>
      </c>
      <c r="E5984" t="s">
        <v>557</v>
      </c>
      <c r="F5984" t="s">
        <v>1068</v>
      </c>
      <c r="G5984" t="s">
        <v>1073</v>
      </c>
      <c r="H5984" s="171" t="s">
        <v>4162</v>
      </c>
      <c r="I5984" t="s">
        <v>1074</v>
      </c>
      <c r="J5984">
        <v>7.95</v>
      </c>
    </row>
    <row r="5985" spans="1:10" hidden="1">
      <c r="A5985" t="s">
        <v>4158</v>
      </c>
      <c r="B5985" t="s">
        <v>4159</v>
      </c>
      <c r="C5985" t="s">
        <v>235</v>
      </c>
      <c r="D5985" t="s">
        <v>1455</v>
      </c>
      <c r="E5985" t="s">
        <v>557</v>
      </c>
      <c r="F5985" t="s">
        <v>1068</v>
      </c>
      <c r="G5985" t="s">
        <v>1075</v>
      </c>
      <c r="H5985">
        <v>3.47092985083428E-3</v>
      </c>
      <c r="I5985" t="s">
        <v>1077</v>
      </c>
      <c r="J5985">
        <v>7.95</v>
      </c>
    </row>
    <row r="5986" spans="1:10" hidden="1">
      <c r="A5986" t="s">
        <v>4158</v>
      </c>
      <c r="B5986" t="s">
        <v>4159</v>
      </c>
      <c r="C5986" t="s">
        <v>235</v>
      </c>
      <c r="D5986" t="s">
        <v>1455</v>
      </c>
      <c r="E5986" t="s">
        <v>557</v>
      </c>
      <c r="F5986" t="s">
        <v>1068</v>
      </c>
      <c r="G5986" t="s">
        <v>1078</v>
      </c>
      <c r="H5986">
        <v>-0.76267231990508699</v>
      </c>
      <c r="I5986" t="s">
        <v>1079</v>
      </c>
      <c r="J5986">
        <v>7.95</v>
      </c>
    </row>
    <row r="5987" spans="1:10" hidden="1">
      <c r="A5987" t="s">
        <v>4158</v>
      </c>
      <c r="B5987" t="s">
        <v>4159</v>
      </c>
      <c r="C5987" t="s">
        <v>235</v>
      </c>
      <c r="D5987" t="s">
        <v>1455</v>
      </c>
      <c r="E5987" t="s">
        <v>557</v>
      </c>
      <c r="F5987" t="s">
        <v>1068</v>
      </c>
      <c r="G5987" t="s">
        <v>1080</v>
      </c>
      <c r="H5987" s="171" t="s">
        <v>4163</v>
      </c>
      <c r="I5987" t="s">
        <v>1082</v>
      </c>
      <c r="J5987">
        <v>7.95</v>
      </c>
    </row>
    <row r="5988" spans="1:10" hidden="1">
      <c r="A5988" t="s">
        <v>4158</v>
      </c>
      <c r="B5988" t="s">
        <v>4159</v>
      </c>
      <c r="C5988" t="s">
        <v>235</v>
      </c>
      <c r="D5988" t="s">
        <v>1455</v>
      </c>
      <c r="E5988" t="s">
        <v>557</v>
      </c>
      <c r="F5988" t="s">
        <v>1068</v>
      </c>
      <c r="G5988" t="s">
        <v>1083</v>
      </c>
      <c r="H5988" s="171" t="s">
        <v>4164</v>
      </c>
      <c r="I5988" t="s">
        <v>1084</v>
      </c>
      <c r="J5988">
        <v>7.95</v>
      </c>
    </row>
    <row r="5989" spans="1:10" hidden="1">
      <c r="A5989" t="s">
        <v>4158</v>
      </c>
      <c r="B5989" t="s">
        <v>4159</v>
      </c>
      <c r="C5989" t="s">
        <v>235</v>
      </c>
      <c r="D5989" t="s">
        <v>1455</v>
      </c>
      <c r="E5989" t="s">
        <v>557</v>
      </c>
      <c r="F5989" t="s">
        <v>1068</v>
      </c>
      <c r="G5989" t="s">
        <v>1085</v>
      </c>
      <c r="H5989" s="171" t="s">
        <v>4165</v>
      </c>
      <c r="I5989" t="s">
        <v>1086</v>
      </c>
      <c r="J5989">
        <v>7.95</v>
      </c>
    </row>
    <row r="5990" spans="1:10" hidden="1">
      <c r="A5990" t="s">
        <v>4158</v>
      </c>
      <c r="B5990" t="s">
        <v>4159</v>
      </c>
      <c r="C5990" t="s">
        <v>235</v>
      </c>
      <c r="D5990" t="s">
        <v>1455</v>
      </c>
      <c r="E5990" t="s">
        <v>557</v>
      </c>
      <c r="F5990" t="s">
        <v>1068</v>
      </c>
      <c r="G5990" t="s">
        <v>1087</v>
      </c>
      <c r="H5990" s="171" t="s">
        <v>4166</v>
      </c>
      <c r="I5990" t="s">
        <v>1088</v>
      </c>
      <c r="J5990">
        <v>7.95</v>
      </c>
    </row>
    <row r="5991" spans="1:10" hidden="1">
      <c r="A5991" t="s">
        <v>4158</v>
      </c>
      <c r="B5991" t="s">
        <v>4159</v>
      </c>
      <c r="C5991" t="s">
        <v>235</v>
      </c>
      <c r="D5991" t="s">
        <v>1455</v>
      </c>
      <c r="E5991" t="s">
        <v>557</v>
      </c>
      <c r="F5991" t="s">
        <v>1068</v>
      </c>
      <c r="G5991" t="s">
        <v>1089</v>
      </c>
      <c r="H5991" s="171" t="s">
        <v>4167</v>
      </c>
      <c r="I5991" t="s">
        <v>1090</v>
      </c>
      <c r="J5991">
        <v>7.95</v>
      </c>
    </row>
    <row r="5992" spans="1:10" hidden="1">
      <c r="A5992" t="s">
        <v>4168</v>
      </c>
      <c r="B5992" t="s">
        <v>4169</v>
      </c>
      <c r="C5992" t="s">
        <v>235</v>
      </c>
      <c r="D5992" t="s">
        <v>1455</v>
      </c>
      <c r="E5992" t="s">
        <v>559</v>
      </c>
      <c r="F5992" t="s">
        <v>1068</v>
      </c>
      <c r="G5992" t="s">
        <v>1069</v>
      </c>
      <c r="H5992" s="171" t="s">
        <v>4170</v>
      </c>
      <c r="I5992" t="s">
        <v>1070</v>
      </c>
      <c r="J5992">
        <v>6.95</v>
      </c>
    </row>
    <row r="5993" spans="1:10" hidden="1">
      <c r="A5993" t="s">
        <v>4168</v>
      </c>
      <c r="B5993" t="s">
        <v>4169</v>
      </c>
      <c r="C5993" t="s">
        <v>235</v>
      </c>
      <c r="D5993" t="s">
        <v>1455</v>
      </c>
      <c r="E5993" t="s">
        <v>559</v>
      </c>
      <c r="F5993" t="s">
        <v>1068</v>
      </c>
      <c r="G5993" t="s">
        <v>1071</v>
      </c>
      <c r="H5993" s="171" t="s">
        <v>4171</v>
      </c>
      <c r="I5993" t="s">
        <v>1072</v>
      </c>
      <c r="J5993">
        <v>6.95</v>
      </c>
    </row>
    <row r="5994" spans="1:10" hidden="1">
      <c r="A5994" t="s">
        <v>4168</v>
      </c>
      <c r="B5994" t="s">
        <v>4169</v>
      </c>
      <c r="C5994" t="s">
        <v>235</v>
      </c>
      <c r="D5994" t="s">
        <v>1455</v>
      </c>
      <c r="E5994" t="s">
        <v>559</v>
      </c>
      <c r="F5994" t="s">
        <v>1068</v>
      </c>
      <c r="G5994" t="s">
        <v>1073</v>
      </c>
      <c r="H5994" s="171" t="s">
        <v>4172</v>
      </c>
      <c r="I5994" t="s">
        <v>1074</v>
      </c>
      <c r="J5994">
        <v>6.95</v>
      </c>
    </row>
    <row r="5995" spans="1:10" hidden="1">
      <c r="A5995" t="s">
        <v>4168</v>
      </c>
      <c r="B5995" t="s">
        <v>4169</v>
      </c>
      <c r="C5995" t="s">
        <v>235</v>
      </c>
      <c r="D5995" t="s">
        <v>1455</v>
      </c>
      <c r="E5995" t="s">
        <v>559</v>
      </c>
      <c r="F5995" t="s">
        <v>1068</v>
      </c>
      <c r="G5995" t="s">
        <v>1075</v>
      </c>
      <c r="H5995">
        <v>3.4710879324500398E-3</v>
      </c>
      <c r="I5995" t="s">
        <v>1077</v>
      </c>
      <c r="J5995">
        <v>6.95</v>
      </c>
    </row>
    <row r="5996" spans="1:10" hidden="1">
      <c r="A5996" t="s">
        <v>4168</v>
      </c>
      <c r="B5996" t="s">
        <v>4169</v>
      </c>
      <c r="C5996" t="s">
        <v>235</v>
      </c>
      <c r="D5996" t="s">
        <v>1455</v>
      </c>
      <c r="E5996" t="s">
        <v>559</v>
      </c>
      <c r="F5996" t="s">
        <v>1068</v>
      </c>
      <c r="G5996" t="s">
        <v>1078</v>
      </c>
      <c r="H5996">
        <v>-0.762665487637463</v>
      </c>
      <c r="I5996" t="s">
        <v>1079</v>
      </c>
      <c r="J5996">
        <v>6.95</v>
      </c>
    </row>
    <row r="5997" spans="1:10" hidden="1">
      <c r="A5997" t="s">
        <v>4168</v>
      </c>
      <c r="B5997" t="s">
        <v>4169</v>
      </c>
      <c r="C5997" t="s">
        <v>235</v>
      </c>
      <c r="D5997" t="s">
        <v>1455</v>
      </c>
      <c r="E5997" t="s">
        <v>559</v>
      </c>
      <c r="F5997" t="s">
        <v>1068</v>
      </c>
      <c r="G5997" t="s">
        <v>1080</v>
      </c>
      <c r="H5997" s="171" t="s">
        <v>4173</v>
      </c>
      <c r="I5997" t="s">
        <v>1082</v>
      </c>
      <c r="J5997">
        <v>6.95</v>
      </c>
    </row>
    <row r="5998" spans="1:10" hidden="1">
      <c r="A5998" t="s">
        <v>4168</v>
      </c>
      <c r="B5998" t="s">
        <v>4169</v>
      </c>
      <c r="C5998" t="s">
        <v>235</v>
      </c>
      <c r="D5998" t="s">
        <v>1455</v>
      </c>
      <c r="E5998" t="s">
        <v>559</v>
      </c>
      <c r="F5998" t="s">
        <v>1068</v>
      </c>
      <c r="G5998" t="s">
        <v>1083</v>
      </c>
      <c r="H5998" s="171" t="s">
        <v>4174</v>
      </c>
      <c r="I5998" t="s">
        <v>1084</v>
      </c>
      <c r="J5998">
        <v>6.95</v>
      </c>
    </row>
    <row r="5999" spans="1:10" hidden="1">
      <c r="A5999" t="s">
        <v>4168</v>
      </c>
      <c r="B5999" t="s">
        <v>4169</v>
      </c>
      <c r="C5999" t="s">
        <v>235</v>
      </c>
      <c r="D5999" t="s">
        <v>1455</v>
      </c>
      <c r="E5999" t="s">
        <v>559</v>
      </c>
      <c r="F5999" t="s">
        <v>1068</v>
      </c>
      <c r="G5999" t="s">
        <v>1085</v>
      </c>
      <c r="H5999" s="171" t="s">
        <v>4175</v>
      </c>
      <c r="I5999" t="s">
        <v>1086</v>
      </c>
      <c r="J5999">
        <v>6.95</v>
      </c>
    </row>
    <row r="6000" spans="1:10" hidden="1">
      <c r="A6000" t="s">
        <v>4168</v>
      </c>
      <c r="B6000" t="s">
        <v>4169</v>
      </c>
      <c r="C6000" t="s">
        <v>235</v>
      </c>
      <c r="D6000" t="s">
        <v>1455</v>
      </c>
      <c r="E6000" t="s">
        <v>559</v>
      </c>
      <c r="F6000" t="s">
        <v>1068</v>
      </c>
      <c r="G6000" t="s">
        <v>1087</v>
      </c>
      <c r="H6000" s="171" t="s">
        <v>4176</v>
      </c>
      <c r="I6000" t="s">
        <v>1088</v>
      </c>
      <c r="J6000">
        <v>6.95</v>
      </c>
    </row>
    <row r="6001" spans="1:10" hidden="1">
      <c r="A6001" t="s">
        <v>4168</v>
      </c>
      <c r="B6001" t="s">
        <v>4169</v>
      </c>
      <c r="C6001" t="s">
        <v>235</v>
      </c>
      <c r="D6001" t="s">
        <v>1455</v>
      </c>
      <c r="E6001" t="s">
        <v>559</v>
      </c>
      <c r="F6001" t="s">
        <v>1068</v>
      </c>
      <c r="G6001" t="s">
        <v>1089</v>
      </c>
      <c r="H6001" s="171" t="s">
        <v>4177</v>
      </c>
      <c r="I6001" t="s">
        <v>1090</v>
      </c>
      <c r="J6001">
        <v>6.95</v>
      </c>
    </row>
    <row r="6002" spans="1:10" hidden="1">
      <c r="A6002" t="s">
        <v>4178</v>
      </c>
      <c r="B6002" t="s">
        <v>4179</v>
      </c>
      <c r="C6002" t="s">
        <v>235</v>
      </c>
      <c r="D6002" t="s">
        <v>1455</v>
      </c>
      <c r="E6002" t="s">
        <v>560</v>
      </c>
      <c r="F6002" t="s">
        <v>1068</v>
      </c>
      <c r="G6002" t="s">
        <v>1069</v>
      </c>
      <c r="H6002" s="171" t="s">
        <v>4180</v>
      </c>
      <c r="I6002" t="s">
        <v>1070</v>
      </c>
      <c r="J6002">
        <v>7.99</v>
      </c>
    </row>
    <row r="6003" spans="1:10" hidden="1">
      <c r="A6003" t="s">
        <v>4178</v>
      </c>
      <c r="B6003" t="s">
        <v>4179</v>
      </c>
      <c r="C6003" t="s">
        <v>235</v>
      </c>
      <c r="D6003" t="s">
        <v>1455</v>
      </c>
      <c r="E6003" t="s">
        <v>560</v>
      </c>
      <c r="F6003" t="s">
        <v>1068</v>
      </c>
      <c r="G6003" t="s">
        <v>1071</v>
      </c>
      <c r="H6003" s="171" t="s">
        <v>4181</v>
      </c>
      <c r="I6003" t="s">
        <v>1072</v>
      </c>
      <c r="J6003">
        <v>7.99</v>
      </c>
    </row>
    <row r="6004" spans="1:10" hidden="1">
      <c r="A6004" t="s">
        <v>4178</v>
      </c>
      <c r="B6004" t="s">
        <v>4179</v>
      </c>
      <c r="C6004" t="s">
        <v>235</v>
      </c>
      <c r="D6004" t="s">
        <v>1455</v>
      </c>
      <c r="E6004" t="s">
        <v>560</v>
      </c>
      <c r="F6004" t="s">
        <v>1068</v>
      </c>
      <c r="G6004" t="s">
        <v>1073</v>
      </c>
      <c r="H6004" s="171" t="s">
        <v>4182</v>
      </c>
      <c r="I6004" t="s">
        <v>1074</v>
      </c>
      <c r="J6004">
        <v>7.99</v>
      </c>
    </row>
    <row r="6005" spans="1:10" hidden="1">
      <c r="A6005" t="s">
        <v>4178</v>
      </c>
      <c r="B6005" t="s">
        <v>4179</v>
      </c>
      <c r="C6005" t="s">
        <v>235</v>
      </c>
      <c r="D6005" t="s">
        <v>1455</v>
      </c>
      <c r="E6005" t="s">
        <v>560</v>
      </c>
      <c r="F6005" t="s">
        <v>1068</v>
      </c>
      <c r="G6005" t="s">
        <v>1075</v>
      </c>
      <c r="H6005">
        <v>3.47101764605898E-3</v>
      </c>
      <c r="I6005" t="s">
        <v>1077</v>
      </c>
      <c r="J6005">
        <v>7.99</v>
      </c>
    </row>
    <row r="6006" spans="1:10" hidden="1">
      <c r="A6006" t="s">
        <v>4178</v>
      </c>
      <c r="B6006" t="s">
        <v>4179</v>
      </c>
      <c r="C6006" t="s">
        <v>235</v>
      </c>
      <c r="D6006" t="s">
        <v>1455</v>
      </c>
      <c r="E6006" t="s">
        <v>560</v>
      </c>
      <c r="F6006" t="s">
        <v>1068</v>
      </c>
      <c r="G6006" t="s">
        <v>1078</v>
      </c>
      <c r="H6006">
        <v>-0.76266852330090595</v>
      </c>
      <c r="I6006" t="s">
        <v>1079</v>
      </c>
      <c r="J6006">
        <v>7.99</v>
      </c>
    </row>
    <row r="6007" spans="1:10" hidden="1">
      <c r="A6007" t="s">
        <v>4178</v>
      </c>
      <c r="B6007" t="s">
        <v>4179</v>
      </c>
      <c r="C6007" t="s">
        <v>235</v>
      </c>
      <c r="D6007" t="s">
        <v>1455</v>
      </c>
      <c r="E6007" t="s">
        <v>560</v>
      </c>
      <c r="F6007" t="s">
        <v>1068</v>
      </c>
      <c r="G6007" t="s">
        <v>1080</v>
      </c>
      <c r="H6007" s="171" t="s">
        <v>4183</v>
      </c>
      <c r="I6007" t="s">
        <v>1082</v>
      </c>
      <c r="J6007">
        <v>7.99</v>
      </c>
    </row>
    <row r="6008" spans="1:10" hidden="1">
      <c r="A6008" t="s">
        <v>4178</v>
      </c>
      <c r="B6008" t="s">
        <v>4179</v>
      </c>
      <c r="C6008" t="s">
        <v>235</v>
      </c>
      <c r="D6008" t="s">
        <v>1455</v>
      </c>
      <c r="E6008" t="s">
        <v>560</v>
      </c>
      <c r="F6008" t="s">
        <v>1068</v>
      </c>
      <c r="G6008" t="s">
        <v>1083</v>
      </c>
      <c r="H6008" s="171" t="s">
        <v>4184</v>
      </c>
      <c r="I6008" t="s">
        <v>1084</v>
      </c>
      <c r="J6008">
        <v>7.99</v>
      </c>
    </row>
    <row r="6009" spans="1:10" hidden="1">
      <c r="A6009" t="s">
        <v>4178</v>
      </c>
      <c r="B6009" t="s">
        <v>4179</v>
      </c>
      <c r="C6009" t="s">
        <v>235</v>
      </c>
      <c r="D6009" t="s">
        <v>1455</v>
      </c>
      <c r="E6009" t="s">
        <v>560</v>
      </c>
      <c r="F6009" t="s">
        <v>1068</v>
      </c>
      <c r="G6009" t="s">
        <v>1085</v>
      </c>
      <c r="H6009" s="171" t="s">
        <v>4185</v>
      </c>
      <c r="I6009" t="s">
        <v>1086</v>
      </c>
      <c r="J6009">
        <v>7.99</v>
      </c>
    </row>
    <row r="6010" spans="1:10" hidden="1">
      <c r="A6010" t="s">
        <v>4178</v>
      </c>
      <c r="B6010" t="s">
        <v>4179</v>
      </c>
      <c r="C6010" t="s">
        <v>235</v>
      </c>
      <c r="D6010" t="s">
        <v>1455</v>
      </c>
      <c r="E6010" t="s">
        <v>560</v>
      </c>
      <c r="F6010" t="s">
        <v>1068</v>
      </c>
      <c r="G6010" t="s">
        <v>1087</v>
      </c>
      <c r="H6010" s="171" t="s">
        <v>4186</v>
      </c>
      <c r="I6010" t="s">
        <v>1088</v>
      </c>
      <c r="J6010">
        <v>7.99</v>
      </c>
    </row>
    <row r="6011" spans="1:10" hidden="1">
      <c r="A6011" t="s">
        <v>4178</v>
      </c>
      <c r="B6011" t="s">
        <v>4179</v>
      </c>
      <c r="C6011" t="s">
        <v>235</v>
      </c>
      <c r="D6011" t="s">
        <v>1455</v>
      </c>
      <c r="E6011" t="s">
        <v>560</v>
      </c>
      <c r="F6011" t="s">
        <v>1068</v>
      </c>
      <c r="G6011" t="s">
        <v>1089</v>
      </c>
      <c r="H6011" s="171" t="s">
        <v>4187</v>
      </c>
      <c r="I6011" t="s">
        <v>1090</v>
      </c>
      <c r="J6011">
        <v>7.99</v>
      </c>
    </row>
    <row r="6012" spans="1:10" hidden="1">
      <c r="A6012" t="s">
        <v>4188</v>
      </c>
      <c r="B6012" t="s">
        <v>4189</v>
      </c>
      <c r="C6012" t="s">
        <v>235</v>
      </c>
      <c r="D6012" t="s">
        <v>1455</v>
      </c>
      <c r="E6012" t="s">
        <v>1116</v>
      </c>
      <c r="F6012" t="s">
        <v>1068</v>
      </c>
      <c r="G6012" t="s">
        <v>1069</v>
      </c>
      <c r="H6012" s="171" t="s">
        <v>4190</v>
      </c>
      <c r="I6012" t="s">
        <v>1070</v>
      </c>
      <c r="J6012">
        <v>7.57</v>
      </c>
    </row>
    <row r="6013" spans="1:10" hidden="1">
      <c r="A6013" t="s">
        <v>4188</v>
      </c>
      <c r="B6013" t="s">
        <v>4189</v>
      </c>
      <c r="C6013" t="s">
        <v>235</v>
      </c>
      <c r="D6013" t="s">
        <v>1455</v>
      </c>
      <c r="E6013" t="s">
        <v>1116</v>
      </c>
      <c r="F6013" t="s">
        <v>1068</v>
      </c>
      <c r="G6013" t="s">
        <v>1071</v>
      </c>
      <c r="H6013" s="171" t="s">
        <v>4191</v>
      </c>
      <c r="I6013" t="s">
        <v>1072</v>
      </c>
      <c r="J6013">
        <v>7.57</v>
      </c>
    </row>
    <row r="6014" spans="1:10" hidden="1">
      <c r="A6014" t="s">
        <v>4188</v>
      </c>
      <c r="B6014" t="s">
        <v>4189</v>
      </c>
      <c r="C6014" t="s">
        <v>235</v>
      </c>
      <c r="D6014" t="s">
        <v>1455</v>
      </c>
      <c r="E6014" t="s">
        <v>1116</v>
      </c>
      <c r="F6014" t="s">
        <v>1068</v>
      </c>
      <c r="G6014" t="s">
        <v>1073</v>
      </c>
      <c r="H6014" s="171" t="s">
        <v>4192</v>
      </c>
      <c r="I6014" t="s">
        <v>1074</v>
      </c>
      <c r="J6014">
        <v>7.57</v>
      </c>
    </row>
    <row r="6015" spans="1:10" hidden="1">
      <c r="A6015" t="s">
        <v>4188</v>
      </c>
      <c r="B6015" t="s">
        <v>4189</v>
      </c>
      <c r="C6015" t="s">
        <v>235</v>
      </c>
      <c r="D6015" t="s">
        <v>1455</v>
      </c>
      <c r="E6015" t="s">
        <v>1116</v>
      </c>
      <c r="F6015" t="s">
        <v>1068</v>
      </c>
      <c r="G6015" t="s">
        <v>1075</v>
      </c>
      <c r="H6015">
        <v>3.4707511787226502E-3</v>
      </c>
      <c r="I6015" t="s">
        <v>1077</v>
      </c>
      <c r="J6015">
        <v>7.57</v>
      </c>
    </row>
    <row r="6016" spans="1:10" hidden="1">
      <c r="A6016" t="s">
        <v>4188</v>
      </c>
      <c r="B6016" t="s">
        <v>4189</v>
      </c>
      <c r="C6016" t="s">
        <v>235</v>
      </c>
      <c r="D6016" t="s">
        <v>1455</v>
      </c>
      <c r="E6016" t="s">
        <v>1116</v>
      </c>
      <c r="F6016" t="s">
        <v>1068</v>
      </c>
      <c r="G6016" t="s">
        <v>1078</v>
      </c>
      <c r="H6016">
        <v>-0.76268004637640296</v>
      </c>
      <c r="I6016" t="s">
        <v>1079</v>
      </c>
      <c r="J6016">
        <v>7.57</v>
      </c>
    </row>
    <row r="6017" spans="1:10" hidden="1">
      <c r="A6017" t="s">
        <v>4188</v>
      </c>
      <c r="B6017" t="s">
        <v>4189</v>
      </c>
      <c r="C6017" t="s">
        <v>235</v>
      </c>
      <c r="D6017" t="s">
        <v>1455</v>
      </c>
      <c r="E6017" t="s">
        <v>1116</v>
      </c>
      <c r="F6017" t="s">
        <v>1068</v>
      </c>
      <c r="G6017" t="s">
        <v>1080</v>
      </c>
      <c r="H6017" s="171" t="s">
        <v>4193</v>
      </c>
      <c r="I6017" t="s">
        <v>1082</v>
      </c>
      <c r="J6017">
        <v>7.57</v>
      </c>
    </row>
    <row r="6018" spans="1:10" hidden="1">
      <c r="A6018" t="s">
        <v>4188</v>
      </c>
      <c r="B6018" t="s">
        <v>4189</v>
      </c>
      <c r="C6018" t="s">
        <v>235</v>
      </c>
      <c r="D6018" t="s">
        <v>1455</v>
      </c>
      <c r="E6018" t="s">
        <v>1116</v>
      </c>
      <c r="F6018" t="s">
        <v>1068</v>
      </c>
      <c r="G6018" t="s">
        <v>1083</v>
      </c>
      <c r="H6018" s="171" t="s">
        <v>4194</v>
      </c>
      <c r="I6018" t="s">
        <v>1084</v>
      </c>
      <c r="J6018">
        <v>7.57</v>
      </c>
    </row>
    <row r="6019" spans="1:10" hidden="1">
      <c r="A6019" t="s">
        <v>4188</v>
      </c>
      <c r="B6019" t="s">
        <v>4189</v>
      </c>
      <c r="C6019" t="s">
        <v>235</v>
      </c>
      <c r="D6019" t="s">
        <v>1455</v>
      </c>
      <c r="E6019" t="s">
        <v>1116</v>
      </c>
      <c r="F6019" t="s">
        <v>1068</v>
      </c>
      <c r="G6019" t="s">
        <v>1085</v>
      </c>
      <c r="H6019" s="171" t="s">
        <v>4195</v>
      </c>
      <c r="I6019" t="s">
        <v>1086</v>
      </c>
      <c r="J6019">
        <v>7.57</v>
      </c>
    </row>
    <row r="6020" spans="1:10" hidden="1">
      <c r="A6020" t="s">
        <v>4188</v>
      </c>
      <c r="B6020" t="s">
        <v>4189</v>
      </c>
      <c r="C6020" t="s">
        <v>235</v>
      </c>
      <c r="D6020" t="s">
        <v>1455</v>
      </c>
      <c r="E6020" t="s">
        <v>1116</v>
      </c>
      <c r="F6020" t="s">
        <v>1068</v>
      </c>
      <c r="G6020" t="s">
        <v>1087</v>
      </c>
      <c r="H6020" s="171" t="s">
        <v>4196</v>
      </c>
      <c r="I6020" t="s">
        <v>1088</v>
      </c>
      <c r="J6020">
        <v>7.57</v>
      </c>
    </row>
    <row r="6021" spans="1:10" hidden="1">
      <c r="A6021" t="s">
        <v>4188</v>
      </c>
      <c r="B6021" t="s">
        <v>4189</v>
      </c>
      <c r="C6021" t="s">
        <v>235</v>
      </c>
      <c r="D6021" t="s">
        <v>1455</v>
      </c>
      <c r="E6021" t="s">
        <v>1116</v>
      </c>
      <c r="F6021" t="s">
        <v>1068</v>
      </c>
      <c r="G6021" t="s">
        <v>1089</v>
      </c>
      <c r="H6021" s="171" t="s">
        <v>4197</v>
      </c>
      <c r="I6021" t="s">
        <v>1090</v>
      </c>
      <c r="J6021">
        <v>7.57</v>
      </c>
    </row>
    <row r="6022" spans="1:10" hidden="1">
      <c r="A6022" t="s">
        <v>4198</v>
      </c>
      <c r="B6022" t="s">
        <v>4199</v>
      </c>
      <c r="C6022" t="s">
        <v>235</v>
      </c>
      <c r="D6022" t="s">
        <v>544</v>
      </c>
      <c r="E6022" t="s">
        <v>561</v>
      </c>
      <c r="F6022" t="s">
        <v>1068</v>
      </c>
      <c r="G6022" t="s">
        <v>1069</v>
      </c>
      <c r="H6022">
        <v>-0.207720793875835</v>
      </c>
      <c r="I6022" t="s">
        <v>1070</v>
      </c>
      <c r="J6022">
        <v>7.93</v>
      </c>
    </row>
    <row r="6023" spans="1:10" hidden="1">
      <c r="A6023" t="s">
        <v>4198</v>
      </c>
      <c r="B6023" t="s">
        <v>4199</v>
      </c>
      <c r="C6023" t="s">
        <v>235</v>
      </c>
      <c r="D6023" t="s">
        <v>544</v>
      </c>
      <c r="E6023" t="s">
        <v>561</v>
      </c>
      <c r="F6023" t="s">
        <v>1068</v>
      </c>
      <c r="G6023" t="s">
        <v>1071</v>
      </c>
      <c r="H6023" s="170">
        <v>-3.6303450102424101E-10</v>
      </c>
      <c r="I6023" t="s">
        <v>1072</v>
      </c>
      <c r="J6023">
        <v>7.93</v>
      </c>
    </row>
    <row r="6024" spans="1:10" hidden="1">
      <c r="A6024" t="s">
        <v>4198</v>
      </c>
      <c r="B6024" t="s">
        <v>4199</v>
      </c>
      <c r="C6024" t="s">
        <v>235</v>
      </c>
      <c r="D6024" t="s">
        <v>544</v>
      </c>
      <c r="E6024" t="s">
        <v>561</v>
      </c>
      <c r="F6024" t="s">
        <v>1068</v>
      </c>
      <c r="G6024" t="s">
        <v>1073</v>
      </c>
      <c r="H6024" s="170">
        <v>-7.1113418035032095E-8</v>
      </c>
      <c r="I6024" t="s">
        <v>1074</v>
      </c>
      <c r="J6024">
        <v>7.93</v>
      </c>
    </row>
    <row r="6025" spans="1:10" hidden="1">
      <c r="A6025" t="s">
        <v>4198</v>
      </c>
      <c r="B6025" t="s">
        <v>4199</v>
      </c>
      <c r="C6025" t="s">
        <v>235</v>
      </c>
      <c r="D6025" t="s">
        <v>544</v>
      </c>
      <c r="E6025" t="s">
        <v>561</v>
      </c>
      <c r="F6025" t="s">
        <v>1068</v>
      </c>
      <c r="G6025" t="s">
        <v>1075</v>
      </c>
      <c r="H6025">
        <v>-3.26486682859033E-3</v>
      </c>
      <c r="I6025" t="s">
        <v>1077</v>
      </c>
      <c r="J6025">
        <v>7.93</v>
      </c>
    </row>
    <row r="6026" spans="1:10" hidden="1">
      <c r="A6026" t="s">
        <v>4198</v>
      </c>
      <c r="B6026" t="s">
        <v>4199</v>
      </c>
      <c r="C6026" t="s">
        <v>235</v>
      </c>
      <c r="D6026" t="s">
        <v>544</v>
      </c>
      <c r="E6026" t="s">
        <v>561</v>
      </c>
      <c r="F6026" t="s">
        <v>1068</v>
      </c>
      <c r="G6026" t="s">
        <v>1078</v>
      </c>
      <c r="H6026">
        <v>0.31587097894786598</v>
      </c>
      <c r="I6026" t="s">
        <v>1079</v>
      </c>
      <c r="J6026">
        <v>7.93</v>
      </c>
    </row>
    <row r="6027" spans="1:10" hidden="1">
      <c r="A6027" t="s">
        <v>4198</v>
      </c>
      <c r="B6027" t="s">
        <v>4199</v>
      </c>
      <c r="C6027" t="s">
        <v>235</v>
      </c>
      <c r="D6027" t="s">
        <v>544</v>
      </c>
      <c r="E6027" t="s">
        <v>561</v>
      </c>
      <c r="F6027" t="s">
        <v>1068</v>
      </c>
      <c r="G6027" t="s">
        <v>1080</v>
      </c>
      <c r="H6027" s="171" t="s">
        <v>4200</v>
      </c>
      <c r="I6027" t="s">
        <v>1082</v>
      </c>
      <c r="J6027">
        <v>7.93</v>
      </c>
    </row>
    <row r="6028" spans="1:10" hidden="1">
      <c r="A6028" t="s">
        <v>4198</v>
      </c>
      <c r="B6028" t="s">
        <v>4199</v>
      </c>
      <c r="C6028" t="s">
        <v>235</v>
      </c>
      <c r="D6028" t="s">
        <v>544</v>
      </c>
      <c r="E6028" t="s">
        <v>561</v>
      </c>
      <c r="F6028" t="s">
        <v>1068</v>
      </c>
      <c r="G6028" t="s">
        <v>1083</v>
      </c>
      <c r="H6028" s="170">
        <v>-3.8430451630482798E-5</v>
      </c>
      <c r="I6028" t="s">
        <v>1084</v>
      </c>
      <c r="J6028">
        <v>7.93</v>
      </c>
    </row>
    <row r="6029" spans="1:10" hidden="1">
      <c r="A6029" t="s">
        <v>4198</v>
      </c>
      <c r="B6029" t="s">
        <v>4199</v>
      </c>
      <c r="C6029" t="s">
        <v>235</v>
      </c>
      <c r="D6029" t="s">
        <v>544</v>
      </c>
      <c r="E6029" t="s">
        <v>561</v>
      </c>
      <c r="F6029" t="s">
        <v>1068</v>
      </c>
      <c r="G6029" t="s">
        <v>1085</v>
      </c>
      <c r="H6029">
        <v>-3.74157944456283E-4</v>
      </c>
      <c r="I6029" t="s">
        <v>1086</v>
      </c>
      <c r="J6029">
        <v>7.93</v>
      </c>
    </row>
    <row r="6030" spans="1:10" hidden="1">
      <c r="A6030" t="s">
        <v>4198</v>
      </c>
      <c r="B6030" t="s">
        <v>4199</v>
      </c>
      <c r="C6030" t="s">
        <v>235</v>
      </c>
      <c r="D6030" t="s">
        <v>544</v>
      </c>
      <c r="E6030" t="s">
        <v>561</v>
      </c>
      <c r="F6030" t="s">
        <v>1068</v>
      </c>
      <c r="G6030" t="s">
        <v>1087</v>
      </c>
      <c r="H6030" s="171" t="s">
        <v>4201</v>
      </c>
      <c r="I6030" t="s">
        <v>1088</v>
      </c>
      <c r="J6030">
        <v>7.93</v>
      </c>
    </row>
    <row r="6031" spans="1:10" hidden="1">
      <c r="A6031" t="s">
        <v>4198</v>
      </c>
      <c r="B6031" t="s">
        <v>4199</v>
      </c>
      <c r="C6031" t="s">
        <v>235</v>
      </c>
      <c r="D6031" t="s">
        <v>544</v>
      </c>
      <c r="E6031" t="s">
        <v>561</v>
      </c>
      <c r="F6031" t="s">
        <v>1068</v>
      </c>
      <c r="G6031" t="s">
        <v>1089</v>
      </c>
      <c r="H6031" s="170">
        <v>-6.5955389483438504E-5</v>
      </c>
      <c r="I6031" t="s">
        <v>1090</v>
      </c>
      <c r="J6031">
        <v>7.93</v>
      </c>
    </row>
    <row r="6032" spans="1:10" hidden="1">
      <c r="A6032" t="s">
        <v>4202</v>
      </c>
      <c r="B6032" t="s">
        <v>4203</v>
      </c>
      <c r="C6032" t="s">
        <v>235</v>
      </c>
      <c r="D6032" t="s">
        <v>544</v>
      </c>
      <c r="E6032" t="s">
        <v>555</v>
      </c>
      <c r="F6032" t="s">
        <v>1068</v>
      </c>
      <c r="G6032" t="s">
        <v>1069</v>
      </c>
      <c r="H6032">
        <v>-0.24115320468879001</v>
      </c>
      <c r="I6032" t="s">
        <v>1070</v>
      </c>
      <c r="J6032">
        <v>9.08</v>
      </c>
    </row>
    <row r="6033" spans="1:10" hidden="1">
      <c r="A6033" t="s">
        <v>4202</v>
      </c>
      <c r="B6033" t="s">
        <v>4203</v>
      </c>
      <c r="C6033" t="s">
        <v>235</v>
      </c>
      <c r="D6033" t="s">
        <v>544</v>
      </c>
      <c r="E6033" t="s">
        <v>555</v>
      </c>
      <c r="F6033" t="s">
        <v>1068</v>
      </c>
      <c r="G6033" t="s">
        <v>1071</v>
      </c>
      <c r="H6033" s="170">
        <v>-4.10833463999405E-10</v>
      </c>
      <c r="I6033" t="s">
        <v>1072</v>
      </c>
      <c r="J6033">
        <v>9.08</v>
      </c>
    </row>
    <row r="6034" spans="1:10" hidden="1">
      <c r="A6034" t="s">
        <v>4202</v>
      </c>
      <c r="B6034" t="s">
        <v>4203</v>
      </c>
      <c r="C6034" t="s">
        <v>235</v>
      </c>
      <c r="D6034" t="s">
        <v>544</v>
      </c>
      <c r="E6034" t="s">
        <v>555</v>
      </c>
      <c r="F6034" t="s">
        <v>1068</v>
      </c>
      <c r="G6034" t="s">
        <v>1073</v>
      </c>
      <c r="H6034" s="170">
        <v>-8.2998368062088506E-8</v>
      </c>
      <c r="I6034" t="s">
        <v>1074</v>
      </c>
      <c r="J6034">
        <v>9.08</v>
      </c>
    </row>
    <row r="6035" spans="1:10" hidden="1">
      <c r="A6035" t="s">
        <v>4202</v>
      </c>
      <c r="B6035" t="s">
        <v>4203</v>
      </c>
      <c r="C6035" t="s">
        <v>235</v>
      </c>
      <c r="D6035" t="s">
        <v>544</v>
      </c>
      <c r="E6035" t="s">
        <v>555</v>
      </c>
      <c r="F6035" t="s">
        <v>1068</v>
      </c>
      <c r="G6035" t="s">
        <v>1075</v>
      </c>
      <c r="H6035">
        <v>-4.2845060767109696E-3</v>
      </c>
      <c r="I6035" t="s">
        <v>1077</v>
      </c>
      <c r="J6035">
        <v>9.08</v>
      </c>
    </row>
    <row r="6036" spans="1:10" hidden="1">
      <c r="A6036" t="s">
        <v>4202</v>
      </c>
      <c r="B6036" t="s">
        <v>4203</v>
      </c>
      <c r="C6036" t="s">
        <v>235</v>
      </c>
      <c r="D6036" t="s">
        <v>544</v>
      </c>
      <c r="E6036" t="s">
        <v>555</v>
      </c>
      <c r="F6036" t="s">
        <v>1068</v>
      </c>
      <c r="G6036" t="s">
        <v>1078</v>
      </c>
      <c r="H6036" s="171" t="s">
        <v>4204</v>
      </c>
      <c r="I6036" t="s">
        <v>1079</v>
      </c>
      <c r="J6036">
        <v>9.08</v>
      </c>
    </row>
    <row r="6037" spans="1:10" hidden="1">
      <c r="A6037" t="s">
        <v>4202</v>
      </c>
      <c r="B6037" t="s">
        <v>4203</v>
      </c>
      <c r="C6037" t="s">
        <v>235</v>
      </c>
      <c r="D6037" t="s">
        <v>544</v>
      </c>
      <c r="E6037" t="s">
        <v>555</v>
      </c>
      <c r="F6037" t="s">
        <v>1068</v>
      </c>
      <c r="G6037" t="s">
        <v>1080</v>
      </c>
      <c r="H6037" s="171" t="s">
        <v>4205</v>
      </c>
      <c r="I6037" t="s">
        <v>1082</v>
      </c>
      <c r="J6037">
        <v>9.08</v>
      </c>
    </row>
    <row r="6038" spans="1:10" hidden="1">
      <c r="A6038" t="s">
        <v>4202</v>
      </c>
      <c r="B6038" t="s">
        <v>4203</v>
      </c>
      <c r="C6038" t="s">
        <v>235</v>
      </c>
      <c r="D6038" t="s">
        <v>544</v>
      </c>
      <c r="E6038" t="s">
        <v>555</v>
      </c>
      <c r="F6038" t="s">
        <v>1068</v>
      </c>
      <c r="G6038" t="s">
        <v>1083</v>
      </c>
      <c r="H6038" s="170">
        <v>-4.35181924740115E-5</v>
      </c>
      <c r="I6038" t="s">
        <v>1084</v>
      </c>
      <c r="J6038">
        <v>9.08</v>
      </c>
    </row>
    <row r="6039" spans="1:10" hidden="1">
      <c r="A6039" t="s">
        <v>4202</v>
      </c>
      <c r="B6039" t="s">
        <v>4203</v>
      </c>
      <c r="C6039" t="s">
        <v>235</v>
      </c>
      <c r="D6039" t="s">
        <v>544</v>
      </c>
      <c r="E6039" t="s">
        <v>555</v>
      </c>
      <c r="F6039" t="s">
        <v>1068</v>
      </c>
      <c r="G6039" t="s">
        <v>1085</v>
      </c>
      <c r="H6039">
        <v>-4.3145640487126199E-4</v>
      </c>
      <c r="I6039" t="s">
        <v>1086</v>
      </c>
      <c r="J6039">
        <v>9.08</v>
      </c>
    </row>
    <row r="6040" spans="1:10" hidden="1">
      <c r="A6040" t="s">
        <v>4202</v>
      </c>
      <c r="B6040" t="s">
        <v>4203</v>
      </c>
      <c r="C6040" t="s">
        <v>235</v>
      </c>
      <c r="D6040" t="s">
        <v>544</v>
      </c>
      <c r="E6040" t="s">
        <v>555</v>
      </c>
      <c r="F6040" t="s">
        <v>1068</v>
      </c>
      <c r="G6040" t="s">
        <v>1087</v>
      </c>
      <c r="H6040" s="171" t="s">
        <v>4206</v>
      </c>
      <c r="I6040" t="s">
        <v>1088</v>
      </c>
      <c r="J6040">
        <v>9.08</v>
      </c>
    </row>
    <row r="6041" spans="1:10" hidden="1">
      <c r="A6041" t="s">
        <v>4202</v>
      </c>
      <c r="B6041" t="s">
        <v>4203</v>
      </c>
      <c r="C6041" t="s">
        <v>235</v>
      </c>
      <c r="D6041" t="s">
        <v>544</v>
      </c>
      <c r="E6041" t="s">
        <v>555</v>
      </c>
      <c r="F6041" t="s">
        <v>1068</v>
      </c>
      <c r="G6041" t="s">
        <v>1089</v>
      </c>
      <c r="H6041" s="170">
        <v>-7.7805792896859706E-5</v>
      </c>
      <c r="I6041" t="s">
        <v>1090</v>
      </c>
      <c r="J6041">
        <v>9.08</v>
      </c>
    </row>
    <row r="6042" spans="1:10" hidden="1">
      <c r="A6042" t="s">
        <v>4207</v>
      </c>
      <c r="B6042" t="s">
        <v>4208</v>
      </c>
      <c r="C6042" t="s">
        <v>235</v>
      </c>
      <c r="D6042" t="s">
        <v>544</v>
      </c>
      <c r="E6042" t="s">
        <v>558</v>
      </c>
      <c r="F6042" t="s">
        <v>1068</v>
      </c>
      <c r="G6042" t="s">
        <v>1069</v>
      </c>
      <c r="H6042">
        <v>-0.20480118750235901</v>
      </c>
      <c r="I6042" t="s">
        <v>1070</v>
      </c>
      <c r="J6042">
        <v>14.47</v>
      </c>
    </row>
    <row r="6043" spans="1:10" hidden="1">
      <c r="A6043" t="s">
        <v>4207</v>
      </c>
      <c r="B6043" t="s">
        <v>4208</v>
      </c>
      <c r="C6043" t="s">
        <v>235</v>
      </c>
      <c r="D6043" t="s">
        <v>544</v>
      </c>
      <c r="E6043" t="s">
        <v>558</v>
      </c>
      <c r="F6043" t="s">
        <v>1068</v>
      </c>
      <c r="G6043" t="s">
        <v>1071</v>
      </c>
      <c r="H6043" s="170">
        <v>-3.58856511087753E-10</v>
      </c>
      <c r="I6043" t="s">
        <v>1072</v>
      </c>
      <c r="J6043">
        <v>14.47</v>
      </c>
    </row>
    <row r="6044" spans="1:10" hidden="1">
      <c r="A6044" t="s">
        <v>4207</v>
      </c>
      <c r="B6044" t="s">
        <v>4208</v>
      </c>
      <c r="C6044" t="s">
        <v>235</v>
      </c>
      <c r="D6044" t="s">
        <v>544</v>
      </c>
      <c r="E6044" t="s">
        <v>558</v>
      </c>
      <c r="F6044" t="s">
        <v>1068</v>
      </c>
      <c r="G6044" t="s">
        <v>1073</v>
      </c>
      <c r="H6044" s="170">
        <v>-7.0076364612975399E-8</v>
      </c>
      <c r="I6044" t="s">
        <v>1074</v>
      </c>
      <c r="J6044">
        <v>14.47</v>
      </c>
    </row>
    <row r="6045" spans="1:10" hidden="1">
      <c r="A6045" t="s">
        <v>4207</v>
      </c>
      <c r="B6045" t="s">
        <v>4208</v>
      </c>
      <c r="C6045" t="s">
        <v>235</v>
      </c>
      <c r="D6045" t="s">
        <v>544</v>
      </c>
      <c r="E6045" t="s">
        <v>558</v>
      </c>
      <c r="F6045" t="s">
        <v>1068</v>
      </c>
      <c r="G6045" t="s">
        <v>1075</v>
      </c>
      <c r="H6045">
        <v>-3.1725749521980999E-3</v>
      </c>
      <c r="I6045" t="s">
        <v>1077</v>
      </c>
      <c r="J6045">
        <v>14.47</v>
      </c>
    </row>
    <row r="6046" spans="1:10" hidden="1">
      <c r="A6046" t="s">
        <v>4207</v>
      </c>
      <c r="B6046" t="s">
        <v>4208</v>
      </c>
      <c r="C6046" t="s">
        <v>235</v>
      </c>
      <c r="D6046" t="s">
        <v>544</v>
      </c>
      <c r="E6046" t="s">
        <v>558</v>
      </c>
      <c r="F6046" t="s">
        <v>1068</v>
      </c>
      <c r="G6046" t="s">
        <v>1078</v>
      </c>
      <c r="H6046" s="171" t="s">
        <v>4209</v>
      </c>
      <c r="I6046" t="s">
        <v>1079</v>
      </c>
      <c r="J6046">
        <v>14.47</v>
      </c>
    </row>
    <row r="6047" spans="1:10" hidden="1">
      <c r="A6047" t="s">
        <v>4207</v>
      </c>
      <c r="B6047" t="s">
        <v>4208</v>
      </c>
      <c r="C6047" t="s">
        <v>235</v>
      </c>
      <c r="D6047" t="s">
        <v>544</v>
      </c>
      <c r="E6047" t="s">
        <v>558</v>
      </c>
      <c r="F6047" t="s">
        <v>1068</v>
      </c>
      <c r="G6047" t="s">
        <v>1080</v>
      </c>
      <c r="H6047" s="171" t="s">
        <v>4210</v>
      </c>
      <c r="I6047" t="s">
        <v>1082</v>
      </c>
      <c r="J6047">
        <v>14.47</v>
      </c>
    </row>
    <row r="6048" spans="1:10" hidden="1">
      <c r="A6048" t="s">
        <v>4207</v>
      </c>
      <c r="B6048" t="s">
        <v>4208</v>
      </c>
      <c r="C6048" t="s">
        <v>235</v>
      </c>
      <c r="D6048" t="s">
        <v>544</v>
      </c>
      <c r="E6048" t="s">
        <v>558</v>
      </c>
      <c r="F6048" t="s">
        <v>1068</v>
      </c>
      <c r="G6048" t="s">
        <v>1083</v>
      </c>
      <c r="H6048" s="170">
        <v>-3.7986669571389997E-5</v>
      </c>
      <c r="I6048" t="s">
        <v>1084</v>
      </c>
      <c r="J6048">
        <v>14.47</v>
      </c>
    </row>
    <row r="6049" spans="1:10" hidden="1">
      <c r="A6049" t="s">
        <v>4207</v>
      </c>
      <c r="B6049" t="s">
        <v>4208</v>
      </c>
      <c r="C6049" t="s">
        <v>235</v>
      </c>
      <c r="D6049" t="s">
        <v>544</v>
      </c>
      <c r="E6049" t="s">
        <v>558</v>
      </c>
      <c r="F6049" t="s">
        <v>1068</v>
      </c>
      <c r="G6049" t="s">
        <v>1085</v>
      </c>
      <c r="H6049">
        <v>-3.69142306500365E-4</v>
      </c>
      <c r="I6049" t="s">
        <v>1086</v>
      </c>
      <c r="J6049">
        <v>14.47</v>
      </c>
    </row>
    <row r="6050" spans="1:10" hidden="1">
      <c r="A6050" t="s">
        <v>4207</v>
      </c>
      <c r="B6050" t="s">
        <v>4208</v>
      </c>
      <c r="C6050" t="s">
        <v>235</v>
      </c>
      <c r="D6050" t="s">
        <v>544</v>
      </c>
      <c r="E6050" t="s">
        <v>558</v>
      </c>
      <c r="F6050" t="s">
        <v>1068</v>
      </c>
      <c r="G6050" t="s">
        <v>1087</v>
      </c>
      <c r="H6050" s="171" t="s">
        <v>4211</v>
      </c>
      <c r="I6050" t="s">
        <v>1088</v>
      </c>
      <c r="J6050">
        <v>14.47</v>
      </c>
    </row>
    <row r="6051" spans="1:10" hidden="1">
      <c r="A6051" t="s">
        <v>4207</v>
      </c>
      <c r="B6051" t="s">
        <v>4208</v>
      </c>
      <c r="C6051" t="s">
        <v>235</v>
      </c>
      <c r="D6051" t="s">
        <v>544</v>
      </c>
      <c r="E6051" t="s">
        <v>558</v>
      </c>
      <c r="F6051" t="s">
        <v>1068</v>
      </c>
      <c r="G6051" t="s">
        <v>1089</v>
      </c>
      <c r="H6051" s="170">
        <v>-6.49206732776902E-5</v>
      </c>
      <c r="I6051" t="s">
        <v>1090</v>
      </c>
      <c r="J6051">
        <v>14.47</v>
      </c>
    </row>
    <row r="6052" spans="1:10" hidden="1">
      <c r="A6052" t="s">
        <v>4212</v>
      </c>
      <c r="B6052" t="s">
        <v>4213</v>
      </c>
      <c r="C6052" t="s">
        <v>235</v>
      </c>
      <c r="D6052" t="s">
        <v>544</v>
      </c>
      <c r="E6052" t="s">
        <v>553</v>
      </c>
      <c r="F6052" t="s">
        <v>1068</v>
      </c>
      <c r="G6052" t="s">
        <v>1069</v>
      </c>
      <c r="H6052">
        <v>-0.20233821398933</v>
      </c>
      <c r="I6052" t="s">
        <v>1070</v>
      </c>
      <c r="J6052">
        <v>10.48</v>
      </c>
    </row>
    <row r="6053" spans="1:10" hidden="1">
      <c r="A6053" t="s">
        <v>4212</v>
      </c>
      <c r="B6053" t="s">
        <v>4213</v>
      </c>
      <c r="C6053" t="s">
        <v>235</v>
      </c>
      <c r="D6053" t="s">
        <v>544</v>
      </c>
      <c r="E6053" t="s">
        <v>553</v>
      </c>
      <c r="F6053" t="s">
        <v>1068</v>
      </c>
      <c r="G6053" t="s">
        <v>1071</v>
      </c>
      <c r="H6053" s="170">
        <v>-3.5528877071481001E-10</v>
      </c>
      <c r="I6053" t="s">
        <v>1072</v>
      </c>
      <c r="J6053">
        <v>10.48</v>
      </c>
    </row>
    <row r="6054" spans="1:10" hidden="1">
      <c r="A6054" t="s">
        <v>4212</v>
      </c>
      <c r="B6054" t="s">
        <v>4213</v>
      </c>
      <c r="C6054" t="s">
        <v>235</v>
      </c>
      <c r="D6054" t="s">
        <v>544</v>
      </c>
      <c r="E6054" t="s">
        <v>553</v>
      </c>
      <c r="F6054" t="s">
        <v>1068</v>
      </c>
      <c r="G6054" t="s">
        <v>1073</v>
      </c>
      <c r="H6054" s="170">
        <v>-6.9211160547531899E-8</v>
      </c>
      <c r="I6054" t="s">
        <v>1074</v>
      </c>
      <c r="J6054">
        <v>10.48</v>
      </c>
    </row>
    <row r="6055" spans="1:10" hidden="1">
      <c r="A6055" t="s">
        <v>4212</v>
      </c>
      <c r="B6055" t="s">
        <v>4213</v>
      </c>
      <c r="C6055" t="s">
        <v>235</v>
      </c>
      <c r="D6055" t="s">
        <v>544</v>
      </c>
      <c r="E6055" t="s">
        <v>553</v>
      </c>
      <c r="F6055" t="s">
        <v>1068</v>
      </c>
      <c r="G6055" t="s">
        <v>1075</v>
      </c>
      <c r="H6055">
        <v>-3.0575227558313901E-3</v>
      </c>
      <c r="I6055" t="s">
        <v>1077</v>
      </c>
      <c r="J6055">
        <v>10.48</v>
      </c>
    </row>
    <row r="6056" spans="1:10" hidden="1">
      <c r="A6056" t="s">
        <v>4212</v>
      </c>
      <c r="B6056" t="s">
        <v>4213</v>
      </c>
      <c r="C6056" t="s">
        <v>235</v>
      </c>
      <c r="D6056" t="s">
        <v>544</v>
      </c>
      <c r="E6056" t="s">
        <v>553</v>
      </c>
      <c r="F6056" t="s">
        <v>1068</v>
      </c>
      <c r="G6056" t="s">
        <v>1078</v>
      </c>
      <c r="H6056" s="171" t="s">
        <v>4214</v>
      </c>
      <c r="I6056" t="s">
        <v>1079</v>
      </c>
      <c r="J6056">
        <v>10.48</v>
      </c>
    </row>
    <row r="6057" spans="1:10" hidden="1">
      <c r="A6057" t="s">
        <v>4212</v>
      </c>
      <c r="B6057" t="s">
        <v>4213</v>
      </c>
      <c r="C6057" t="s">
        <v>235</v>
      </c>
      <c r="D6057" t="s">
        <v>544</v>
      </c>
      <c r="E6057" t="s">
        <v>553</v>
      </c>
      <c r="F6057" t="s">
        <v>1068</v>
      </c>
      <c r="G6057" t="s">
        <v>1080</v>
      </c>
      <c r="H6057" s="171" t="s">
        <v>4215</v>
      </c>
      <c r="I6057" t="s">
        <v>1082</v>
      </c>
      <c r="J6057">
        <v>10.48</v>
      </c>
    </row>
    <row r="6058" spans="1:10" hidden="1">
      <c r="A6058" t="s">
        <v>4212</v>
      </c>
      <c r="B6058" t="s">
        <v>4213</v>
      </c>
      <c r="C6058" t="s">
        <v>235</v>
      </c>
      <c r="D6058" t="s">
        <v>544</v>
      </c>
      <c r="E6058" t="s">
        <v>553</v>
      </c>
      <c r="F6058" t="s">
        <v>1068</v>
      </c>
      <c r="G6058" t="s">
        <v>1083</v>
      </c>
      <c r="H6058" s="170">
        <v>-3.76182887565599E-5</v>
      </c>
      <c r="I6058" t="s">
        <v>1084</v>
      </c>
      <c r="J6058">
        <v>10.48</v>
      </c>
    </row>
    <row r="6059" spans="1:10" hidden="1">
      <c r="A6059" t="s">
        <v>4212</v>
      </c>
      <c r="B6059" t="s">
        <v>4213</v>
      </c>
      <c r="C6059" t="s">
        <v>235</v>
      </c>
      <c r="D6059" t="s">
        <v>544</v>
      </c>
      <c r="E6059" t="s">
        <v>553</v>
      </c>
      <c r="F6059" t="s">
        <v>1068</v>
      </c>
      <c r="G6059" t="s">
        <v>1085</v>
      </c>
      <c r="H6059">
        <v>-3.64775518577857E-4</v>
      </c>
      <c r="I6059" t="s">
        <v>1086</v>
      </c>
      <c r="J6059">
        <v>10.48</v>
      </c>
    </row>
    <row r="6060" spans="1:10" hidden="1">
      <c r="A6060" t="s">
        <v>4212</v>
      </c>
      <c r="B6060" t="s">
        <v>4213</v>
      </c>
      <c r="C6060" t="s">
        <v>235</v>
      </c>
      <c r="D6060" t="s">
        <v>544</v>
      </c>
      <c r="E6060" t="s">
        <v>553</v>
      </c>
      <c r="F6060" t="s">
        <v>1068</v>
      </c>
      <c r="G6060" t="s">
        <v>1087</v>
      </c>
      <c r="H6060" s="171" t="s">
        <v>4216</v>
      </c>
      <c r="I6060" t="s">
        <v>1088</v>
      </c>
      <c r="J6060">
        <v>10.48</v>
      </c>
    </row>
    <row r="6061" spans="1:10" hidden="1">
      <c r="A6061" t="s">
        <v>4212</v>
      </c>
      <c r="B6061" t="s">
        <v>4213</v>
      </c>
      <c r="C6061" t="s">
        <v>235</v>
      </c>
      <c r="D6061" t="s">
        <v>544</v>
      </c>
      <c r="E6061" t="s">
        <v>553</v>
      </c>
      <c r="F6061" t="s">
        <v>1068</v>
      </c>
      <c r="G6061" t="s">
        <v>1089</v>
      </c>
      <c r="H6061" s="170">
        <v>-6.4049657731681493E-5</v>
      </c>
      <c r="I6061" t="s">
        <v>1090</v>
      </c>
      <c r="J6061">
        <v>10.48</v>
      </c>
    </row>
    <row r="6062" spans="1:10" hidden="1">
      <c r="A6062" t="s">
        <v>4217</v>
      </c>
      <c r="B6062" t="s">
        <v>4218</v>
      </c>
      <c r="C6062" t="s">
        <v>235</v>
      </c>
      <c r="D6062" t="s">
        <v>544</v>
      </c>
      <c r="E6062" t="s">
        <v>556</v>
      </c>
      <c r="F6062" t="s">
        <v>1068</v>
      </c>
      <c r="G6062" t="s">
        <v>1069</v>
      </c>
      <c r="H6062">
        <v>-0.223660226597481</v>
      </c>
      <c r="I6062" t="s">
        <v>1070</v>
      </c>
      <c r="J6062">
        <v>7.95</v>
      </c>
    </row>
    <row r="6063" spans="1:10" hidden="1">
      <c r="A6063" t="s">
        <v>4217</v>
      </c>
      <c r="B6063" t="s">
        <v>4218</v>
      </c>
      <c r="C6063" t="s">
        <v>235</v>
      </c>
      <c r="D6063" t="s">
        <v>544</v>
      </c>
      <c r="E6063" t="s">
        <v>556</v>
      </c>
      <c r="F6063" t="s">
        <v>1068</v>
      </c>
      <c r="G6063" t="s">
        <v>1071</v>
      </c>
      <c r="H6063" s="170">
        <v>-3.8546769353947401E-10</v>
      </c>
      <c r="I6063" t="s">
        <v>1072</v>
      </c>
      <c r="J6063">
        <v>7.95</v>
      </c>
    </row>
    <row r="6064" spans="1:10" hidden="1">
      <c r="A6064" t="s">
        <v>4217</v>
      </c>
      <c r="B6064" t="s">
        <v>4218</v>
      </c>
      <c r="C6064" t="s">
        <v>235</v>
      </c>
      <c r="D6064" t="s">
        <v>544</v>
      </c>
      <c r="E6064" t="s">
        <v>556</v>
      </c>
      <c r="F6064" t="s">
        <v>1068</v>
      </c>
      <c r="G6064" t="s">
        <v>1073</v>
      </c>
      <c r="H6064" s="170">
        <v>-7.6775268931272005E-8</v>
      </c>
      <c r="I6064" t="s">
        <v>1074</v>
      </c>
      <c r="J6064">
        <v>7.95</v>
      </c>
    </row>
    <row r="6065" spans="1:10" hidden="1">
      <c r="A6065" t="s">
        <v>4217</v>
      </c>
      <c r="B6065" t="s">
        <v>4218</v>
      </c>
      <c r="C6065" t="s">
        <v>235</v>
      </c>
      <c r="D6065" t="s">
        <v>544</v>
      </c>
      <c r="E6065" t="s">
        <v>556</v>
      </c>
      <c r="F6065" t="s">
        <v>1068</v>
      </c>
      <c r="G6065" t="s">
        <v>1075</v>
      </c>
      <c r="H6065">
        <v>-3.58598038383282E-3</v>
      </c>
      <c r="I6065" t="s">
        <v>1077</v>
      </c>
      <c r="J6065">
        <v>7.95</v>
      </c>
    </row>
    <row r="6066" spans="1:10" hidden="1">
      <c r="A6066" t="s">
        <v>4217</v>
      </c>
      <c r="B6066" t="s">
        <v>4218</v>
      </c>
      <c r="C6066" t="s">
        <v>235</v>
      </c>
      <c r="D6066" t="s">
        <v>544</v>
      </c>
      <c r="E6066" t="s">
        <v>556</v>
      </c>
      <c r="F6066" t="s">
        <v>1068</v>
      </c>
      <c r="G6066" t="s">
        <v>1078</v>
      </c>
      <c r="H6066" s="171" t="s">
        <v>4219</v>
      </c>
      <c r="I6066" t="s">
        <v>1079</v>
      </c>
      <c r="J6066">
        <v>7.95</v>
      </c>
    </row>
    <row r="6067" spans="1:10" hidden="1">
      <c r="A6067" t="s">
        <v>4217</v>
      </c>
      <c r="B6067" t="s">
        <v>4218</v>
      </c>
      <c r="C6067" t="s">
        <v>235</v>
      </c>
      <c r="D6067" t="s">
        <v>544</v>
      </c>
      <c r="E6067" t="s">
        <v>556</v>
      </c>
      <c r="F6067" t="s">
        <v>1068</v>
      </c>
      <c r="G6067" t="s">
        <v>1080</v>
      </c>
      <c r="H6067" s="171" t="s">
        <v>4220</v>
      </c>
      <c r="I6067" t="s">
        <v>1082</v>
      </c>
      <c r="J6067">
        <v>7.95</v>
      </c>
    </row>
    <row r="6068" spans="1:10" hidden="1">
      <c r="A6068" t="s">
        <v>4217</v>
      </c>
      <c r="B6068" t="s">
        <v>4218</v>
      </c>
      <c r="C6068" t="s">
        <v>235</v>
      </c>
      <c r="D6068" t="s">
        <v>544</v>
      </c>
      <c r="E6068" t="s">
        <v>556</v>
      </c>
      <c r="F6068" t="s">
        <v>1068</v>
      </c>
      <c r="G6068" t="s">
        <v>1083</v>
      </c>
      <c r="H6068" s="170">
        <v>-4.0859205205856799E-5</v>
      </c>
      <c r="I6068" t="s">
        <v>1084</v>
      </c>
      <c r="J6068">
        <v>7.95</v>
      </c>
    </row>
    <row r="6069" spans="1:10" hidden="1">
      <c r="A6069" t="s">
        <v>4217</v>
      </c>
      <c r="B6069" t="s">
        <v>4218</v>
      </c>
      <c r="C6069" t="s">
        <v>235</v>
      </c>
      <c r="D6069" t="s">
        <v>544</v>
      </c>
      <c r="E6069" t="s">
        <v>556</v>
      </c>
      <c r="F6069" t="s">
        <v>1068</v>
      </c>
      <c r="G6069" t="s">
        <v>1085</v>
      </c>
      <c r="H6069">
        <v>-4.0063778230629301E-4</v>
      </c>
      <c r="I6069" t="s">
        <v>1086</v>
      </c>
      <c r="J6069">
        <v>7.95</v>
      </c>
    </row>
    <row r="6070" spans="1:10" hidden="1">
      <c r="A6070" t="s">
        <v>4217</v>
      </c>
      <c r="B6070" t="s">
        <v>4218</v>
      </c>
      <c r="C6070" t="s">
        <v>235</v>
      </c>
      <c r="D6070" t="s">
        <v>544</v>
      </c>
      <c r="E6070" t="s">
        <v>556</v>
      </c>
      <c r="F6070" t="s">
        <v>1068</v>
      </c>
      <c r="G6070" t="s">
        <v>1087</v>
      </c>
      <c r="H6070" s="171" t="s">
        <v>4221</v>
      </c>
      <c r="I6070" t="s">
        <v>1088</v>
      </c>
      <c r="J6070">
        <v>7.95</v>
      </c>
    </row>
    <row r="6071" spans="1:10" hidden="1">
      <c r="A6071" t="s">
        <v>4217</v>
      </c>
      <c r="B6071" t="s">
        <v>4218</v>
      </c>
      <c r="C6071" t="s">
        <v>235</v>
      </c>
      <c r="D6071" t="s">
        <v>544</v>
      </c>
      <c r="E6071" t="s">
        <v>556</v>
      </c>
      <c r="F6071" t="s">
        <v>1068</v>
      </c>
      <c r="G6071" t="s">
        <v>1089</v>
      </c>
      <c r="H6071" s="170">
        <v>-7.1606346542381398E-5</v>
      </c>
      <c r="I6071" t="s">
        <v>1090</v>
      </c>
      <c r="J6071">
        <v>7.95</v>
      </c>
    </row>
    <row r="6072" spans="1:10" hidden="1">
      <c r="A6072" t="s">
        <v>4222</v>
      </c>
      <c r="B6072" t="s">
        <v>4223</v>
      </c>
      <c r="C6072" t="s">
        <v>235</v>
      </c>
      <c r="D6072" t="s">
        <v>544</v>
      </c>
      <c r="E6072" t="s">
        <v>557</v>
      </c>
      <c r="F6072" t="s">
        <v>1068</v>
      </c>
      <c r="G6072" t="s">
        <v>1069</v>
      </c>
      <c r="H6072">
        <v>-0.21686043121882501</v>
      </c>
      <c r="I6072" t="s">
        <v>1070</v>
      </c>
      <c r="J6072">
        <v>7.41</v>
      </c>
    </row>
    <row r="6073" spans="1:10" hidden="1">
      <c r="A6073" t="s">
        <v>4222</v>
      </c>
      <c r="B6073" t="s">
        <v>4223</v>
      </c>
      <c r="C6073" t="s">
        <v>235</v>
      </c>
      <c r="D6073" t="s">
        <v>544</v>
      </c>
      <c r="E6073" t="s">
        <v>557</v>
      </c>
      <c r="F6073" t="s">
        <v>1068</v>
      </c>
      <c r="G6073" t="s">
        <v>1071</v>
      </c>
      <c r="H6073" s="170">
        <v>-3.7611342604265802E-10</v>
      </c>
      <c r="I6073" t="s">
        <v>1072</v>
      </c>
      <c r="J6073">
        <v>7.41</v>
      </c>
    </row>
    <row r="6074" spans="1:10" hidden="1">
      <c r="A6074" t="s">
        <v>4222</v>
      </c>
      <c r="B6074" t="s">
        <v>4223</v>
      </c>
      <c r="C6074" t="s">
        <v>235</v>
      </c>
      <c r="D6074" t="s">
        <v>544</v>
      </c>
      <c r="E6074" t="s">
        <v>557</v>
      </c>
      <c r="F6074" t="s">
        <v>1068</v>
      </c>
      <c r="G6074" t="s">
        <v>1073</v>
      </c>
      <c r="H6074" s="170">
        <v>-7.4359846138835406E-8</v>
      </c>
      <c r="I6074" t="s">
        <v>1074</v>
      </c>
      <c r="J6074">
        <v>7.41</v>
      </c>
    </row>
    <row r="6075" spans="1:10" hidden="1">
      <c r="A6075" t="s">
        <v>4222</v>
      </c>
      <c r="B6075" t="s">
        <v>4223</v>
      </c>
      <c r="C6075" t="s">
        <v>235</v>
      </c>
      <c r="D6075" t="s">
        <v>544</v>
      </c>
      <c r="E6075" t="s">
        <v>557</v>
      </c>
      <c r="F6075" t="s">
        <v>1068</v>
      </c>
      <c r="G6075" t="s">
        <v>1075</v>
      </c>
      <c r="H6075">
        <v>-3.5537805285978099E-3</v>
      </c>
      <c r="I6075" t="s">
        <v>1077</v>
      </c>
      <c r="J6075">
        <v>7.41</v>
      </c>
    </row>
    <row r="6076" spans="1:10" hidden="1">
      <c r="A6076" t="s">
        <v>4222</v>
      </c>
      <c r="B6076" t="s">
        <v>4223</v>
      </c>
      <c r="C6076" t="s">
        <v>235</v>
      </c>
      <c r="D6076" t="s">
        <v>544</v>
      </c>
      <c r="E6076" t="s">
        <v>557</v>
      </c>
      <c r="F6076" t="s">
        <v>1068</v>
      </c>
      <c r="G6076" t="s">
        <v>1078</v>
      </c>
      <c r="H6076" s="171" t="s">
        <v>4224</v>
      </c>
      <c r="I6076" t="s">
        <v>1079</v>
      </c>
      <c r="J6076">
        <v>7.41</v>
      </c>
    </row>
    <row r="6077" spans="1:10" hidden="1">
      <c r="A6077" t="s">
        <v>4222</v>
      </c>
      <c r="B6077" t="s">
        <v>4223</v>
      </c>
      <c r="C6077" t="s">
        <v>235</v>
      </c>
      <c r="D6077" t="s">
        <v>544</v>
      </c>
      <c r="E6077" t="s">
        <v>557</v>
      </c>
      <c r="F6077" t="s">
        <v>1068</v>
      </c>
      <c r="G6077" t="s">
        <v>1080</v>
      </c>
      <c r="H6077" s="171" t="s">
        <v>4225</v>
      </c>
      <c r="I6077" t="s">
        <v>1082</v>
      </c>
      <c r="J6077">
        <v>7.41</v>
      </c>
    </row>
    <row r="6078" spans="1:10" hidden="1">
      <c r="A6078" t="s">
        <v>4222</v>
      </c>
      <c r="B6078" t="s">
        <v>4223</v>
      </c>
      <c r="C6078" t="s">
        <v>235</v>
      </c>
      <c r="D6078" t="s">
        <v>544</v>
      </c>
      <c r="E6078" t="s">
        <v>557</v>
      </c>
      <c r="F6078" t="s">
        <v>1068</v>
      </c>
      <c r="G6078" t="s">
        <v>1083</v>
      </c>
      <c r="H6078" s="170">
        <v>-3.9819682424162101E-5</v>
      </c>
      <c r="I6078" t="s">
        <v>1084</v>
      </c>
      <c r="J6078">
        <v>7.41</v>
      </c>
    </row>
    <row r="6079" spans="1:10" hidden="1">
      <c r="A6079" t="s">
        <v>4222</v>
      </c>
      <c r="B6079" t="s">
        <v>4223</v>
      </c>
      <c r="C6079" t="s">
        <v>235</v>
      </c>
      <c r="D6079" t="s">
        <v>544</v>
      </c>
      <c r="E6079" t="s">
        <v>557</v>
      </c>
      <c r="F6079" t="s">
        <v>1068</v>
      </c>
      <c r="G6079" t="s">
        <v>1085</v>
      </c>
      <c r="H6079">
        <v>-3.8985907197038402E-4</v>
      </c>
      <c r="I6079" t="s">
        <v>1086</v>
      </c>
      <c r="J6079">
        <v>7.41</v>
      </c>
    </row>
    <row r="6080" spans="1:10" hidden="1">
      <c r="A6080" t="s">
        <v>4222</v>
      </c>
      <c r="B6080" t="s">
        <v>4223</v>
      </c>
      <c r="C6080" t="s">
        <v>235</v>
      </c>
      <c r="D6080" t="s">
        <v>544</v>
      </c>
      <c r="E6080" t="s">
        <v>557</v>
      </c>
      <c r="F6080" t="s">
        <v>1068</v>
      </c>
      <c r="G6080" t="s">
        <v>1087</v>
      </c>
      <c r="H6080" s="171" t="s">
        <v>4226</v>
      </c>
      <c r="I6080" t="s">
        <v>1088</v>
      </c>
      <c r="J6080">
        <v>7.41</v>
      </c>
    </row>
    <row r="6081" spans="1:10" hidden="1">
      <c r="A6081" t="s">
        <v>4222</v>
      </c>
      <c r="B6081" t="s">
        <v>4223</v>
      </c>
      <c r="C6081" t="s">
        <v>235</v>
      </c>
      <c r="D6081" t="s">
        <v>544</v>
      </c>
      <c r="E6081" t="s">
        <v>557</v>
      </c>
      <c r="F6081" t="s">
        <v>1068</v>
      </c>
      <c r="G6081" t="s">
        <v>1089</v>
      </c>
      <c r="H6081" s="170">
        <v>-6.9194501084014697E-5</v>
      </c>
      <c r="I6081" t="s">
        <v>1090</v>
      </c>
      <c r="J6081">
        <v>7.41</v>
      </c>
    </row>
    <row r="6082" spans="1:10" hidden="1">
      <c r="A6082" t="s">
        <v>4227</v>
      </c>
      <c r="B6082" t="s">
        <v>4228</v>
      </c>
      <c r="C6082" t="s">
        <v>235</v>
      </c>
      <c r="D6082" t="s">
        <v>544</v>
      </c>
      <c r="E6082" t="s">
        <v>559</v>
      </c>
      <c r="F6082" t="s">
        <v>1068</v>
      </c>
      <c r="G6082" t="s">
        <v>1069</v>
      </c>
      <c r="H6082">
        <v>-0.22705187847962299</v>
      </c>
      <c r="I6082" t="s">
        <v>1070</v>
      </c>
      <c r="J6082">
        <v>7.93</v>
      </c>
    </row>
    <row r="6083" spans="1:10" hidden="1">
      <c r="A6083" t="s">
        <v>4227</v>
      </c>
      <c r="B6083" t="s">
        <v>4228</v>
      </c>
      <c r="C6083" t="s">
        <v>235</v>
      </c>
      <c r="D6083" t="s">
        <v>544</v>
      </c>
      <c r="E6083" t="s">
        <v>559</v>
      </c>
      <c r="F6083" t="s">
        <v>1068</v>
      </c>
      <c r="G6083" t="s">
        <v>1071</v>
      </c>
      <c r="H6083" s="170">
        <v>-3.9065430576492699E-10</v>
      </c>
      <c r="I6083" t="s">
        <v>1072</v>
      </c>
      <c r="J6083">
        <v>7.94</v>
      </c>
    </row>
    <row r="6084" spans="1:10" hidden="1">
      <c r="A6084" t="s">
        <v>4227</v>
      </c>
      <c r="B6084" t="s">
        <v>4228</v>
      </c>
      <c r="C6084" t="s">
        <v>235</v>
      </c>
      <c r="D6084" t="s">
        <v>544</v>
      </c>
      <c r="E6084" t="s">
        <v>559</v>
      </c>
      <c r="F6084" t="s">
        <v>1068</v>
      </c>
      <c r="G6084" t="s">
        <v>1073</v>
      </c>
      <c r="H6084" s="170">
        <v>-7.7989532373279607E-8</v>
      </c>
      <c r="I6084" t="s">
        <v>1074</v>
      </c>
      <c r="J6084">
        <v>7.94</v>
      </c>
    </row>
    <row r="6085" spans="1:10" hidden="1">
      <c r="A6085" t="s">
        <v>4227</v>
      </c>
      <c r="B6085" t="s">
        <v>4228</v>
      </c>
      <c r="C6085" t="s">
        <v>235</v>
      </c>
      <c r="D6085" t="s">
        <v>544</v>
      </c>
      <c r="E6085" t="s">
        <v>559</v>
      </c>
      <c r="F6085" t="s">
        <v>1068</v>
      </c>
      <c r="G6085" t="s">
        <v>1075</v>
      </c>
      <c r="H6085">
        <v>-3.8387480912228798E-3</v>
      </c>
      <c r="I6085" t="s">
        <v>1077</v>
      </c>
      <c r="J6085">
        <v>7.94</v>
      </c>
    </row>
    <row r="6086" spans="1:10" hidden="1">
      <c r="A6086" t="s">
        <v>4227</v>
      </c>
      <c r="B6086" t="s">
        <v>4228</v>
      </c>
      <c r="C6086" t="s">
        <v>235</v>
      </c>
      <c r="D6086" t="s">
        <v>544</v>
      </c>
      <c r="E6086" t="s">
        <v>559</v>
      </c>
      <c r="F6086" t="s">
        <v>1068</v>
      </c>
      <c r="G6086" t="s">
        <v>1078</v>
      </c>
      <c r="H6086" s="171" t="s">
        <v>4229</v>
      </c>
      <c r="I6086" t="s">
        <v>1079</v>
      </c>
      <c r="J6086">
        <v>7.94</v>
      </c>
    </row>
    <row r="6087" spans="1:10" hidden="1">
      <c r="A6087" t="s">
        <v>4227</v>
      </c>
      <c r="B6087" t="s">
        <v>4228</v>
      </c>
      <c r="C6087" t="s">
        <v>235</v>
      </c>
      <c r="D6087" t="s">
        <v>544</v>
      </c>
      <c r="E6087" t="s">
        <v>559</v>
      </c>
      <c r="F6087" t="s">
        <v>1068</v>
      </c>
      <c r="G6087" t="s">
        <v>1080</v>
      </c>
      <c r="H6087" s="171" t="s">
        <v>4230</v>
      </c>
      <c r="I6087" t="s">
        <v>1082</v>
      </c>
      <c r="J6087">
        <v>7.94</v>
      </c>
    </row>
    <row r="6088" spans="1:10" hidden="1">
      <c r="A6088" t="s">
        <v>4227</v>
      </c>
      <c r="B6088" t="s">
        <v>4228</v>
      </c>
      <c r="C6088" t="s">
        <v>235</v>
      </c>
      <c r="D6088" t="s">
        <v>544</v>
      </c>
      <c r="E6088" t="s">
        <v>559</v>
      </c>
      <c r="F6088" t="s">
        <v>1068</v>
      </c>
      <c r="G6088" t="s">
        <v>1083</v>
      </c>
      <c r="H6088" s="170">
        <v>-4.13747817601807E-5</v>
      </c>
      <c r="I6088" t="s">
        <v>1084</v>
      </c>
      <c r="J6088">
        <v>7.94</v>
      </c>
    </row>
    <row r="6089" spans="1:10" hidden="1">
      <c r="A6089" t="s">
        <v>4227</v>
      </c>
      <c r="B6089" t="s">
        <v>4228</v>
      </c>
      <c r="C6089" t="s">
        <v>235</v>
      </c>
      <c r="D6089" t="s">
        <v>544</v>
      </c>
      <c r="E6089" t="s">
        <v>559</v>
      </c>
      <c r="F6089" t="s">
        <v>1068</v>
      </c>
      <c r="G6089" t="s">
        <v>1085</v>
      </c>
      <c r="H6089">
        <v>-4.0723151359613001E-4</v>
      </c>
      <c r="I6089" t="s">
        <v>1086</v>
      </c>
      <c r="J6089">
        <v>7.94</v>
      </c>
    </row>
    <row r="6090" spans="1:10" hidden="1">
      <c r="A6090" t="s">
        <v>4227</v>
      </c>
      <c r="B6090" t="s">
        <v>4228</v>
      </c>
      <c r="C6090" t="s">
        <v>235</v>
      </c>
      <c r="D6090" t="s">
        <v>544</v>
      </c>
      <c r="E6090" t="s">
        <v>559</v>
      </c>
      <c r="F6090" t="s">
        <v>1068</v>
      </c>
      <c r="G6090" t="s">
        <v>1087</v>
      </c>
      <c r="H6090" s="171" t="s">
        <v>4231</v>
      </c>
      <c r="I6090" t="s">
        <v>1088</v>
      </c>
      <c r="J6090">
        <v>7.94</v>
      </c>
    </row>
    <row r="6091" spans="1:10" hidden="1">
      <c r="A6091" t="s">
        <v>4227</v>
      </c>
      <c r="B6091" t="s">
        <v>4228</v>
      </c>
      <c r="C6091" t="s">
        <v>235</v>
      </c>
      <c r="D6091" t="s">
        <v>544</v>
      </c>
      <c r="E6091" t="s">
        <v>559</v>
      </c>
      <c r="F6091" t="s">
        <v>1068</v>
      </c>
      <c r="G6091" t="s">
        <v>1089</v>
      </c>
      <c r="H6091" s="170">
        <v>-7.2808245664566501E-5</v>
      </c>
      <c r="I6091" t="s">
        <v>1090</v>
      </c>
      <c r="J6091">
        <v>7.94</v>
      </c>
    </row>
    <row r="6092" spans="1:10" hidden="1">
      <c r="A6092" t="s">
        <v>4232</v>
      </c>
      <c r="B6092" t="s">
        <v>4233</v>
      </c>
      <c r="C6092" t="s">
        <v>235</v>
      </c>
      <c r="D6092" t="s">
        <v>544</v>
      </c>
      <c r="E6092" t="s">
        <v>560</v>
      </c>
      <c r="F6092" t="s">
        <v>1068</v>
      </c>
      <c r="G6092" t="s">
        <v>1069</v>
      </c>
      <c r="H6092">
        <v>-0.223292027867596</v>
      </c>
      <c r="I6092" t="s">
        <v>1070</v>
      </c>
      <c r="J6092">
        <v>8.4700000000000006</v>
      </c>
    </row>
    <row r="6093" spans="1:10" hidden="1">
      <c r="A6093" t="s">
        <v>4232</v>
      </c>
      <c r="B6093" t="s">
        <v>4233</v>
      </c>
      <c r="C6093" t="s">
        <v>235</v>
      </c>
      <c r="D6093" t="s">
        <v>544</v>
      </c>
      <c r="E6093" t="s">
        <v>560</v>
      </c>
      <c r="F6093" t="s">
        <v>1068</v>
      </c>
      <c r="G6093" t="s">
        <v>1071</v>
      </c>
      <c r="H6093" s="170">
        <v>-3.8531711401858199E-10</v>
      </c>
      <c r="I6093" t="s">
        <v>1072</v>
      </c>
      <c r="J6093">
        <v>8.4700000000000006</v>
      </c>
    </row>
    <row r="6094" spans="1:10" hidden="1">
      <c r="A6094" t="s">
        <v>4232</v>
      </c>
      <c r="B6094" t="s">
        <v>4233</v>
      </c>
      <c r="C6094" t="s">
        <v>235</v>
      </c>
      <c r="D6094" t="s">
        <v>544</v>
      </c>
      <c r="E6094" t="s">
        <v>560</v>
      </c>
      <c r="F6094" t="s">
        <v>1068</v>
      </c>
      <c r="G6094" t="s">
        <v>1073</v>
      </c>
      <c r="H6094" s="170">
        <v>-7.6644369619289594E-8</v>
      </c>
      <c r="I6094" t="s">
        <v>1074</v>
      </c>
      <c r="J6094">
        <v>8.4700000000000006</v>
      </c>
    </row>
    <row r="6095" spans="1:10" hidden="1">
      <c r="A6095" t="s">
        <v>4232</v>
      </c>
      <c r="B6095" t="s">
        <v>4233</v>
      </c>
      <c r="C6095" t="s">
        <v>235</v>
      </c>
      <c r="D6095" t="s">
        <v>544</v>
      </c>
      <c r="E6095" t="s">
        <v>560</v>
      </c>
      <c r="F6095" t="s">
        <v>1068</v>
      </c>
      <c r="G6095" t="s">
        <v>1075</v>
      </c>
      <c r="H6095">
        <v>-3.75709016934382E-3</v>
      </c>
      <c r="I6095" t="s">
        <v>1077</v>
      </c>
      <c r="J6095">
        <v>8.4700000000000006</v>
      </c>
    </row>
    <row r="6096" spans="1:10" hidden="1">
      <c r="A6096" t="s">
        <v>4232</v>
      </c>
      <c r="B6096" t="s">
        <v>4233</v>
      </c>
      <c r="C6096" t="s">
        <v>235</v>
      </c>
      <c r="D6096" t="s">
        <v>544</v>
      </c>
      <c r="E6096" t="s">
        <v>560</v>
      </c>
      <c r="F6096" t="s">
        <v>1068</v>
      </c>
      <c r="G6096" t="s">
        <v>1078</v>
      </c>
      <c r="H6096" s="171" t="s">
        <v>4234</v>
      </c>
      <c r="I6096" t="s">
        <v>1079</v>
      </c>
      <c r="J6096">
        <v>8.4700000000000006</v>
      </c>
    </row>
    <row r="6097" spans="1:10" hidden="1">
      <c r="A6097" t="s">
        <v>4232</v>
      </c>
      <c r="B6097" t="s">
        <v>4233</v>
      </c>
      <c r="C6097" t="s">
        <v>235</v>
      </c>
      <c r="D6097" t="s">
        <v>544</v>
      </c>
      <c r="E6097" t="s">
        <v>560</v>
      </c>
      <c r="F6097" t="s">
        <v>1068</v>
      </c>
      <c r="G6097" t="s">
        <v>1080</v>
      </c>
      <c r="H6097" s="171" t="s">
        <v>4235</v>
      </c>
      <c r="I6097" t="s">
        <v>1082</v>
      </c>
      <c r="J6097">
        <v>8.4700000000000006</v>
      </c>
    </row>
    <row r="6098" spans="1:10" hidden="1">
      <c r="A6098" t="s">
        <v>4232</v>
      </c>
      <c r="B6098" t="s">
        <v>4233</v>
      </c>
      <c r="C6098" t="s">
        <v>235</v>
      </c>
      <c r="D6098" t="s">
        <v>544</v>
      </c>
      <c r="E6098" t="s">
        <v>560</v>
      </c>
      <c r="F6098" t="s">
        <v>1068</v>
      </c>
      <c r="G6098" t="s">
        <v>1083</v>
      </c>
      <c r="H6098" s="170">
        <v>-4.0797289278973499E-5</v>
      </c>
      <c r="I6098" t="s">
        <v>1084</v>
      </c>
      <c r="J6098">
        <v>8.4700000000000006</v>
      </c>
    </row>
    <row r="6099" spans="1:10" hidden="1">
      <c r="A6099" t="s">
        <v>4232</v>
      </c>
      <c r="B6099" t="s">
        <v>4233</v>
      </c>
      <c r="C6099" t="s">
        <v>235</v>
      </c>
      <c r="D6099" t="s">
        <v>544</v>
      </c>
      <c r="E6099" t="s">
        <v>560</v>
      </c>
      <c r="F6099" t="s">
        <v>1068</v>
      </c>
      <c r="G6099" t="s">
        <v>1085</v>
      </c>
      <c r="H6099">
        <v>-4.0090801355438201E-4</v>
      </c>
      <c r="I6099" t="s">
        <v>1086</v>
      </c>
      <c r="J6099">
        <v>8.4700000000000006</v>
      </c>
    </row>
    <row r="6100" spans="1:10" hidden="1">
      <c r="A6100" t="s">
        <v>4232</v>
      </c>
      <c r="B6100" t="s">
        <v>4233</v>
      </c>
      <c r="C6100" t="s">
        <v>235</v>
      </c>
      <c r="D6100" t="s">
        <v>544</v>
      </c>
      <c r="E6100" t="s">
        <v>560</v>
      </c>
      <c r="F6100" t="s">
        <v>1068</v>
      </c>
      <c r="G6100" t="s">
        <v>1087</v>
      </c>
      <c r="H6100" s="171" t="s">
        <v>4236</v>
      </c>
      <c r="I6100" t="s">
        <v>1088</v>
      </c>
      <c r="J6100">
        <v>8.4700000000000006</v>
      </c>
    </row>
    <row r="6101" spans="1:10" hidden="1">
      <c r="A6101" t="s">
        <v>4232</v>
      </c>
      <c r="B6101" t="s">
        <v>4233</v>
      </c>
      <c r="C6101" t="s">
        <v>235</v>
      </c>
      <c r="D6101" t="s">
        <v>544</v>
      </c>
      <c r="E6101" t="s">
        <v>560</v>
      </c>
      <c r="F6101" t="s">
        <v>1068</v>
      </c>
      <c r="G6101" t="s">
        <v>1089</v>
      </c>
      <c r="H6101" s="170">
        <v>-7.1473875914050003E-5</v>
      </c>
      <c r="I6101" t="s">
        <v>1090</v>
      </c>
      <c r="J6101">
        <v>8.4700000000000006</v>
      </c>
    </row>
    <row r="6102" spans="1:10" hidden="1">
      <c r="A6102" t="s">
        <v>4237</v>
      </c>
      <c r="B6102" t="s">
        <v>4238</v>
      </c>
      <c r="C6102" t="s">
        <v>235</v>
      </c>
      <c r="D6102" t="s">
        <v>544</v>
      </c>
      <c r="E6102" t="s">
        <v>1116</v>
      </c>
      <c r="F6102" t="s">
        <v>1068</v>
      </c>
      <c r="G6102" t="s">
        <v>1069</v>
      </c>
      <c r="H6102">
        <v>-0.20377148524380101</v>
      </c>
      <c r="I6102" t="s">
        <v>1070</v>
      </c>
      <c r="J6102">
        <v>8.67</v>
      </c>
    </row>
    <row r="6103" spans="1:10" hidden="1">
      <c r="A6103" t="s">
        <v>4237</v>
      </c>
      <c r="B6103" t="s">
        <v>4238</v>
      </c>
      <c r="C6103" t="s">
        <v>235</v>
      </c>
      <c r="D6103" t="s">
        <v>544</v>
      </c>
      <c r="E6103" t="s">
        <v>1116</v>
      </c>
      <c r="F6103" t="s">
        <v>1068</v>
      </c>
      <c r="G6103" t="s">
        <v>1071</v>
      </c>
      <c r="H6103" s="170">
        <v>-3.5738299544097098E-10</v>
      </c>
      <c r="I6103" t="s">
        <v>1072</v>
      </c>
      <c r="J6103">
        <v>8.67</v>
      </c>
    </row>
    <row r="6104" spans="1:10" hidden="1">
      <c r="A6104" t="s">
        <v>4237</v>
      </c>
      <c r="B6104" t="s">
        <v>4238</v>
      </c>
      <c r="C6104" t="s">
        <v>235</v>
      </c>
      <c r="D6104" t="s">
        <v>544</v>
      </c>
      <c r="E6104" t="s">
        <v>1116</v>
      </c>
      <c r="F6104" t="s">
        <v>1068</v>
      </c>
      <c r="G6104" t="s">
        <v>1073</v>
      </c>
      <c r="H6104" s="170">
        <v>-6.9710611112559998E-8</v>
      </c>
      <c r="I6104" t="s">
        <v>1074</v>
      </c>
      <c r="J6104">
        <v>8.67</v>
      </c>
    </row>
    <row r="6105" spans="1:10" hidden="1">
      <c r="A6105" t="s">
        <v>4237</v>
      </c>
      <c r="B6105" t="s">
        <v>4238</v>
      </c>
      <c r="C6105" t="s">
        <v>235</v>
      </c>
      <c r="D6105" t="s">
        <v>544</v>
      </c>
      <c r="E6105" t="s">
        <v>1116</v>
      </c>
      <c r="F6105" t="s">
        <v>1068</v>
      </c>
      <c r="G6105" t="s">
        <v>1075</v>
      </c>
      <c r="H6105">
        <v>-3.1400249638058601E-3</v>
      </c>
      <c r="I6105" t="s">
        <v>1077</v>
      </c>
      <c r="J6105">
        <v>8.67</v>
      </c>
    </row>
    <row r="6106" spans="1:10" hidden="1">
      <c r="A6106" t="s">
        <v>4237</v>
      </c>
      <c r="B6106" t="s">
        <v>4238</v>
      </c>
      <c r="C6106" t="s">
        <v>235</v>
      </c>
      <c r="D6106" t="s">
        <v>544</v>
      </c>
      <c r="E6106" t="s">
        <v>1116</v>
      </c>
      <c r="F6106" t="s">
        <v>1068</v>
      </c>
      <c r="G6106" t="s">
        <v>1078</v>
      </c>
      <c r="H6106" s="171" t="s">
        <v>4239</v>
      </c>
      <c r="I6106" t="s">
        <v>1079</v>
      </c>
      <c r="J6106">
        <v>8.67</v>
      </c>
    </row>
    <row r="6107" spans="1:10" hidden="1">
      <c r="A6107" t="s">
        <v>4237</v>
      </c>
      <c r="B6107" t="s">
        <v>4238</v>
      </c>
      <c r="C6107" t="s">
        <v>235</v>
      </c>
      <c r="D6107" t="s">
        <v>544</v>
      </c>
      <c r="E6107" t="s">
        <v>1116</v>
      </c>
      <c r="F6107" t="s">
        <v>1068</v>
      </c>
      <c r="G6107" t="s">
        <v>1080</v>
      </c>
      <c r="H6107" s="171" t="s">
        <v>4240</v>
      </c>
      <c r="I6107" t="s">
        <v>1082</v>
      </c>
      <c r="J6107">
        <v>8.67</v>
      </c>
    </row>
    <row r="6108" spans="1:10" hidden="1">
      <c r="A6108" t="s">
        <v>4237</v>
      </c>
      <c r="B6108" t="s">
        <v>4238</v>
      </c>
      <c r="C6108" t="s">
        <v>235</v>
      </c>
      <c r="D6108" t="s">
        <v>544</v>
      </c>
      <c r="E6108" t="s">
        <v>1116</v>
      </c>
      <c r="F6108" t="s">
        <v>1068</v>
      </c>
      <c r="G6108" t="s">
        <v>1083</v>
      </c>
      <c r="H6108" s="170">
        <v>-3.7830154161396202E-5</v>
      </c>
      <c r="I6108" t="s">
        <v>1084</v>
      </c>
      <c r="J6108">
        <v>8.67</v>
      </c>
    </row>
    <row r="6109" spans="1:10" hidden="1">
      <c r="A6109" t="s">
        <v>4237</v>
      </c>
      <c r="B6109" t="s">
        <v>4238</v>
      </c>
      <c r="C6109" t="s">
        <v>235</v>
      </c>
      <c r="D6109" t="s">
        <v>544</v>
      </c>
      <c r="E6109" t="s">
        <v>1116</v>
      </c>
      <c r="F6109" t="s">
        <v>1068</v>
      </c>
      <c r="G6109" t="s">
        <v>1085</v>
      </c>
      <c r="H6109">
        <v>-3.6737336470797697E-4</v>
      </c>
      <c r="I6109" t="s">
        <v>1086</v>
      </c>
      <c r="J6109">
        <v>8.67</v>
      </c>
    </row>
    <row r="6110" spans="1:10" hidden="1">
      <c r="A6110" t="s">
        <v>4237</v>
      </c>
      <c r="B6110" t="s">
        <v>4238</v>
      </c>
      <c r="C6110" t="s">
        <v>235</v>
      </c>
      <c r="D6110" t="s">
        <v>544</v>
      </c>
      <c r="E6110" t="s">
        <v>1116</v>
      </c>
      <c r="F6110" t="s">
        <v>1068</v>
      </c>
      <c r="G6110" t="s">
        <v>1087</v>
      </c>
      <c r="H6110" s="171" t="s">
        <v>4241</v>
      </c>
      <c r="I6110" t="s">
        <v>1088</v>
      </c>
      <c r="J6110">
        <v>8.67</v>
      </c>
    </row>
    <row r="6111" spans="1:10" hidden="1">
      <c r="A6111" t="s">
        <v>4237</v>
      </c>
      <c r="B6111" t="s">
        <v>4238</v>
      </c>
      <c r="C6111" t="s">
        <v>235</v>
      </c>
      <c r="D6111" t="s">
        <v>544</v>
      </c>
      <c r="E6111" t="s">
        <v>1116</v>
      </c>
      <c r="F6111" t="s">
        <v>1068</v>
      </c>
      <c r="G6111" t="s">
        <v>1089</v>
      </c>
      <c r="H6111" s="170">
        <v>-6.4555744079117204E-5</v>
      </c>
      <c r="I6111" t="s">
        <v>1090</v>
      </c>
      <c r="J6111">
        <v>8.67</v>
      </c>
    </row>
    <row r="6112" spans="1:10" hidden="1">
      <c r="A6112" t="s">
        <v>4242</v>
      </c>
      <c r="B6112" t="s">
        <v>4243</v>
      </c>
      <c r="C6112" t="s">
        <v>235</v>
      </c>
      <c r="D6112" t="s">
        <v>1535</v>
      </c>
      <c r="E6112" t="s">
        <v>561</v>
      </c>
      <c r="F6112" t="s">
        <v>1068</v>
      </c>
      <c r="G6112" t="s">
        <v>1069</v>
      </c>
      <c r="H6112">
        <v>-1.40895431015558E-2</v>
      </c>
      <c r="I6112" t="s">
        <v>1070</v>
      </c>
      <c r="J6112">
        <v>7.09</v>
      </c>
    </row>
    <row r="6113" spans="1:10" hidden="1">
      <c r="A6113" t="s">
        <v>4242</v>
      </c>
      <c r="B6113" t="s">
        <v>4243</v>
      </c>
      <c r="C6113" t="s">
        <v>235</v>
      </c>
      <c r="D6113" t="s">
        <v>1535</v>
      </c>
      <c r="E6113" t="s">
        <v>561</v>
      </c>
      <c r="F6113" t="s">
        <v>1068</v>
      </c>
      <c r="G6113" t="s">
        <v>1071</v>
      </c>
      <c r="H6113" s="170">
        <v>-8.7771657294798295E-11</v>
      </c>
      <c r="I6113" t="s">
        <v>1072</v>
      </c>
      <c r="J6113">
        <v>7.09</v>
      </c>
    </row>
    <row r="6114" spans="1:10" hidden="1">
      <c r="A6114" t="s">
        <v>4242</v>
      </c>
      <c r="B6114" t="s">
        <v>4243</v>
      </c>
      <c r="C6114" t="s">
        <v>235</v>
      </c>
      <c r="D6114" t="s">
        <v>1535</v>
      </c>
      <c r="E6114" t="s">
        <v>561</v>
      </c>
      <c r="F6114" t="s">
        <v>1068</v>
      </c>
      <c r="G6114" t="s">
        <v>1073</v>
      </c>
      <c r="H6114" s="170">
        <v>-2.0793455155174199E-9</v>
      </c>
      <c r="I6114" t="s">
        <v>1074</v>
      </c>
      <c r="J6114">
        <v>7.09</v>
      </c>
    </row>
    <row r="6115" spans="1:10" hidden="1">
      <c r="A6115" t="s">
        <v>4242</v>
      </c>
      <c r="B6115" t="s">
        <v>4243</v>
      </c>
      <c r="C6115" t="s">
        <v>235</v>
      </c>
      <c r="D6115" t="s">
        <v>1535</v>
      </c>
      <c r="E6115" t="s">
        <v>561</v>
      </c>
      <c r="F6115" t="s">
        <v>1068</v>
      </c>
      <c r="G6115" t="s">
        <v>1075</v>
      </c>
      <c r="H6115">
        <v>1.44685387425334E-3</v>
      </c>
      <c r="I6115" t="s">
        <v>1077</v>
      </c>
      <c r="J6115">
        <v>7.09</v>
      </c>
    </row>
    <row r="6116" spans="1:10" hidden="1">
      <c r="A6116" t="s">
        <v>4242</v>
      </c>
      <c r="B6116" t="s">
        <v>4243</v>
      </c>
      <c r="C6116" t="s">
        <v>235</v>
      </c>
      <c r="D6116" t="s">
        <v>1535</v>
      </c>
      <c r="E6116" t="s">
        <v>561</v>
      </c>
      <c r="F6116" t="s">
        <v>1068</v>
      </c>
      <c r="G6116" t="s">
        <v>1078</v>
      </c>
      <c r="H6116">
        <v>-0.85971599289899203</v>
      </c>
      <c r="I6116" t="s">
        <v>1079</v>
      </c>
      <c r="J6116">
        <v>7.09</v>
      </c>
    </row>
    <row r="6117" spans="1:10" hidden="1">
      <c r="A6117" t="s">
        <v>4242</v>
      </c>
      <c r="B6117" t="s">
        <v>4243</v>
      </c>
      <c r="C6117" t="s">
        <v>235</v>
      </c>
      <c r="D6117" t="s">
        <v>1535</v>
      </c>
      <c r="E6117" t="s">
        <v>561</v>
      </c>
      <c r="F6117" t="s">
        <v>1068</v>
      </c>
      <c r="G6117" t="s">
        <v>1080</v>
      </c>
      <c r="H6117" s="171" t="s">
        <v>4244</v>
      </c>
      <c r="I6117" t="s">
        <v>1082</v>
      </c>
      <c r="J6117">
        <v>7.09</v>
      </c>
    </row>
    <row r="6118" spans="1:10" hidden="1">
      <c r="A6118" t="s">
        <v>4242</v>
      </c>
      <c r="B6118" t="s">
        <v>4243</v>
      </c>
      <c r="C6118" t="s">
        <v>235</v>
      </c>
      <c r="D6118" t="s">
        <v>1535</v>
      </c>
      <c r="E6118" t="s">
        <v>561</v>
      </c>
      <c r="F6118" t="s">
        <v>1068</v>
      </c>
      <c r="G6118" t="s">
        <v>1083</v>
      </c>
      <c r="H6118" s="170">
        <v>-8.8302279703748894E-6</v>
      </c>
      <c r="I6118" t="s">
        <v>1084</v>
      </c>
      <c r="J6118">
        <v>7.09</v>
      </c>
    </row>
    <row r="6119" spans="1:10" hidden="1">
      <c r="A6119" t="s">
        <v>4242</v>
      </c>
      <c r="B6119" t="s">
        <v>4243</v>
      </c>
      <c r="C6119" t="s">
        <v>235</v>
      </c>
      <c r="D6119" t="s">
        <v>1535</v>
      </c>
      <c r="E6119" t="s">
        <v>561</v>
      </c>
      <c r="F6119" t="s">
        <v>1068</v>
      </c>
      <c r="G6119" t="s">
        <v>1085</v>
      </c>
      <c r="H6119" s="170">
        <v>-4.7671592791869199E-5</v>
      </c>
      <c r="I6119" t="s">
        <v>1086</v>
      </c>
      <c r="J6119">
        <v>7.09</v>
      </c>
    </row>
    <row r="6120" spans="1:10" hidden="1">
      <c r="A6120" t="s">
        <v>4242</v>
      </c>
      <c r="B6120" t="s">
        <v>4243</v>
      </c>
      <c r="C6120" t="s">
        <v>235</v>
      </c>
      <c r="D6120" t="s">
        <v>1535</v>
      </c>
      <c r="E6120" t="s">
        <v>561</v>
      </c>
      <c r="F6120" t="s">
        <v>1068</v>
      </c>
      <c r="G6120" t="s">
        <v>1087</v>
      </c>
      <c r="H6120" s="170">
        <v>-5.3218647262312299E-10</v>
      </c>
      <c r="I6120" t="s">
        <v>1088</v>
      </c>
      <c r="J6120">
        <v>7.09</v>
      </c>
    </row>
    <row r="6121" spans="1:10" hidden="1">
      <c r="A6121" t="s">
        <v>4242</v>
      </c>
      <c r="B6121" t="s">
        <v>4243</v>
      </c>
      <c r="C6121" t="s">
        <v>235</v>
      </c>
      <c r="D6121" t="s">
        <v>1535</v>
      </c>
      <c r="E6121" t="s">
        <v>561</v>
      </c>
      <c r="F6121" t="s">
        <v>1068</v>
      </c>
      <c r="G6121" t="s">
        <v>1089</v>
      </c>
      <c r="H6121" s="171" t="s">
        <v>4245</v>
      </c>
      <c r="I6121" t="s">
        <v>1090</v>
      </c>
      <c r="J6121">
        <v>7.09</v>
      </c>
    </row>
    <row r="6122" spans="1:10" hidden="1">
      <c r="A6122" t="s">
        <v>4246</v>
      </c>
      <c r="B6122" t="s">
        <v>4247</v>
      </c>
      <c r="C6122" t="s">
        <v>235</v>
      </c>
      <c r="D6122" t="s">
        <v>1535</v>
      </c>
      <c r="E6122" t="s">
        <v>555</v>
      </c>
      <c r="F6122" t="s">
        <v>1068</v>
      </c>
      <c r="G6122" t="s">
        <v>1069</v>
      </c>
      <c r="H6122">
        <v>-2.4512165203037901E-2</v>
      </c>
      <c r="I6122" t="s">
        <v>1070</v>
      </c>
      <c r="J6122">
        <v>8.5500000000000007</v>
      </c>
    </row>
    <row r="6123" spans="1:10" hidden="1">
      <c r="A6123" t="s">
        <v>4246</v>
      </c>
      <c r="B6123" t="s">
        <v>4247</v>
      </c>
      <c r="C6123" t="s">
        <v>235</v>
      </c>
      <c r="D6123" t="s">
        <v>1535</v>
      </c>
      <c r="E6123" t="s">
        <v>555</v>
      </c>
      <c r="F6123" t="s">
        <v>1068</v>
      </c>
      <c r="G6123" t="s">
        <v>1071</v>
      </c>
      <c r="H6123" s="170">
        <v>-1.02570597802115E-10</v>
      </c>
      <c r="I6123" t="s">
        <v>1072</v>
      </c>
      <c r="J6123">
        <v>8.5500000000000007</v>
      </c>
    </row>
    <row r="6124" spans="1:10" hidden="1">
      <c r="A6124" t="s">
        <v>4246</v>
      </c>
      <c r="B6124" t="s">
        <v>4247</v>
      </c>
      <c r="C6124" t="s">
        <v>235</v>
      </c>
      <c r="D6124" t="s">
        <v>1535</v>
      </c>
      <c r="E6124" t="s">
        <v>555</v>
      </c>
      <c r="F6124" t="s">
        <v>1068</v>
      </c>
      <c r="G6124" t="s">
        <v>1073</v>
      </c>
      <c r="H6124" s="170">
        <v>-5.7832511834998199E-9</v>
      </c>
      <c r="I6124" t="s">
        <v>1074</v>
      </c>
      <c r="J6124">
        <v>8.5500000000000007</v>
      </c>
    </row>
    <row r="6125" spans="1:10" hidden="1">
      <c r="A6125" t="s">
        <v>4246</v>
      </c>
      <c r="B6125" t="s">
        <v>4247</v>
      </c>
      <c r="C6125" t="s">
        <v>235</v>
      </c>
      <c r="D6125" t="s">
        <v>1535</v>
      </c>
      <c r="E6125" t="s">
        <v>555</v>
      </c>
      <c r="F6125" t="s">
        <v>1068</v>
      </c>
      <c r="G6125" t="s">
        <v>1075</v>
      </c>
      <c r="H6125">
        <v>1.17379232246061E-3</v>
      </c>
      <c r="I6125" t="s">
        <v>1077</v>
      </c>
      <c r="J6125">
        <v>8.5500000000000007</v>
      </c>
    </row>
    <row r="6126" spans="1:10" hidden="1">
      <c r="A6126" t="s">
        <v>4246</v>
      </c>
      <c r="B6126" t="s">
        <v>4247</v>
      </c>
      <c r="C6126" t="s">
        <v>235</v>
      </c>
      <c r="D6126" t="s">
        <v>1535</v>
      </c>
      <c r="E6126" t="s">
        <v>555</v>
      </c>
      <c r="F6126" t="s">
        <v>1068</v>
      </c>
      <c r="G6126" t="s">
        <v>1078</v>
      </c>
      <c r="H6126">
        <v>-0.85021288760053804</v>
      </c>
      <c r="I6126" t="s">
        <v>1079</v>
      </c>
      <c r="J6126">
        <v>8.5500000000000007</v>
      </c>
    </row>
    <row r="6127" spans="1:10" hidden="1">
      <c r="A6127" t="s">
        <v>4246</v>
      </c>
      <c r="B6127" t="s">
        <v>4247</v>
      </c>
      <c r="C6127" t="s">
        <v>235</v>
      </c>
      <c r="D6127" t="s">
        <v>1535</v>
      </c>
      <c r="E6127" t="s">
        <v>555</v>
      </c>
      <c r="F6127" t="s">
        <v>1068</v>
      </c>
      <c r="G6127" t="s">
        <v>1080</v>
      </c>
      <c r="H6127" s="171" t="s">
        <v>4248</v>
      </c>
      <c r="I6127" t="s">
        <v>1082</v>
      </c>
      <c r="J6127">
        <v>8.5500000000000007</v>
      </c>
    </row>
    <row r="6128" spans="1:10" hidden="1">
      <c r="A6128" t="s">
        <v>4246</v>
      </c>
      <c r="B6128" t="s">
        <v>4247</v>
      </c>
      <c r="C6128" t="s">
        <v>235</v>
      </c>
      <c r="D6128" t="s">
        <v>1535</v>
      </c>
      <c r="E6128" t="s">
        <v>555</v>
      </c>
      <c r="F6128" t="s">
        <v>1068</v>
      </c>
      <c r="G6128" t="s">
        <v>1083</v>
      </c>
      <c r="H6128" s="170">
        <v>-1.04172264665261E-5</v>
      </c>
      <c r="I6128" t="s">
        <v>1084</v>
      </c>
      <c r="J6128">
        <v>8.5500000000000007</v>
      </c>
    </row>
    <row r="6129" spans="1:10" hidden="1">
      <c r="A6129" t="s">
        <v>4246</v>
      </c>
      <c r="B6129" t="s">
        <v>4247</v>
      </c>
      <c r="C6129" t="s">
        <v>235</v>
      </c>
      <c r="D6129" t="s">
        <v>1535</v>
      </c>
      <c r="E6129" t="s">
        <v>555</v>
      </c>
      <c r="F6129" t="s">
        <v>1068</v>
      </c>
      <c r="G6129" t="s">
        <v>1085</v>
      </c>
      <c r="H6129" s="170">
        <v>-6.5308177386082404E-5</v>
      </c>
      <c r="I6129" t="s">
        <v>1086</v>
      </c>
      <c r="J6129">
        <v>8.5500000000000007</v>
      </c>
    </row>
    <row r="6130" spans="1:10" hidden="1">
      <c r="A6130" t="s">
        <v>4246</v>
      </c>
      <c r="B6130" t="s">
        <v>4247</v>
      </c>
      <c r="C6130" t="s">
        <v>235</v>
      </c>
      <c r="D6130" t="s">
        <v>1535</v>
      </c>
      <c r="E6130" t="s">
        <v>555</v>
      </c>
      <c r="F6130" t="s">
        <v>1068</v>
      </c>
      <c r="G6130" t="s">
        <v>1087</v>
      </c>
      <c r="H6130" s="170">
        <v>-8.5494932022848906E-9</v>
      </c>
      <c r="I6130" t="s">
        <v>1088</v>
      </c>
      <c r="J6130">
        <v>8.5500000000000007</v>
      </c>
    </row>
    <row r="6131" spans="1:10" hidden="1">
      <c r="A6131" t="s">
        <v>4246</v>
      </c>
      <c r="B6131" t="s">
        <v>4247</v>
      </c>
      <c r="C6131" t="s">
        <v>235</v>
      </c>
      <c r="D6131" t="s">
        <v>1535</v>
      </c>
      <c r="E6131" t="s">
        <v>555</v>
      </c>
      <c r="F6131" t="s">
        <v>1068</v>
      </c>
      <c r="G6131" t="s">
        <v>1089</v>
      </c>
      <c r="H6131" s="170">
        <v>-1.27746379377251E-6</v>
      </c>
      <c r="I6131" t="s">
        <v>1090</v>
      </c>
      <c r="J6131">
        <v>8.5500000000000007</v>
      </c>
    </row>
    <row r="6132" spans="1:10" hidden="1">
      <c r="A6132" t="s">
        <v>4249</v>
      </c>
      <c r="B6132" t="s">
        <v>4250</v>
      </c>
      <c r="C6132" t="s">
        <v>235</v>
      </c>
      <c r="D6132" t="s">
        <v>1535</v>
      </c>
      <c r="E6132" t="s">
        <v>558</v>
      </c>
      <c r="F6132" t="s">
        <v>1068</v>
      </c>
      <c r="G6132" t="s">
        <v>1069</v>
      </c>
      <c r="H6132">
        <v>-1.31985655293263E-2</v>
      </c>
      <c r="I6132" t="s">
        <v>1070</v>
      </c>
      <c r="J6132">
        <v>9.1199999999999992</v>
      </c>
    </row>
    <row r="6133" spans="1:10" hidden="1">
      <c r="A6133" t="s">
        <v>4249</v>
      </c>
      <c r="B6133" t="s">
        <v>4250</v>
      </c>
      <c r="C6133" t="s">
        <v>235</v>
      </c>
      <c r="D6133" t="s">
        <v>1535</v>
      </c>
      <c r="E6133" t="s">
        <v>558</v>
      </c>
      <c r="F6133" t="s">
        <v>1068</v>
      </c>
      <c r="G6133" t="s">
        <v>1071</v>
      </c>
      <c r="H6133" s="170">
        <v>-8.6496658252388995E-11</v>
      </c>
      <c r="I6133" t="s">
        <v>1072</v>
      </c>
      <c r="J6133">
        <v>9.1199999999999992</v>
      </c>
    </row>
    <row r="6134" spans="1:10" hidden="1">
      <c r="A6134" t="s">
        <v>4249</v>
      </c>
      <c r="B6134" t="s">
        <v>4250</v>
      </c>
      <c r="C6134" t="s">
        <v>235</v>
      </c>
      <c r="D6134" t="s">
        <v>1535</v>
      </c>
      <c r="E6134" t="s">
        <v>558</v>
      </c>
      <c r="F6134" t="s">
        <v>1068</v>
      </c>
      <c r="G6134" t="s">
        <v>1073</v>
      </c>
      <c r="H6134" s="170">
        <v>-1.76286746263684E-9</v>
      </c>
      <c r="I6134" t="s">
        <v>1074</v>
      </c>
      <c r="J6134">
        <v>9.1199999999999992</v>
      </c>
    </row>
    <row r="6135" spans="1:10" hidden="1">
      <c r="A6135" t="s">
        <v>4249</v>
      </c>
      <c r="B6135" t="s">
        <v>4250</v>
      </c>
      <c r="C6135" t="s">
        <v>235</v>
      </c>
      <c r="D6135" t="s">
        <v>1535</v>
      </c>
      <c r="E6135" t="s">
        <v>558</v>
      </c>
      <c r="F6135" t="s">
        <v>1068</v>
      </c>
      <c r="G6135" t="s">
        <v>1075</v>
      </c>
      <c r="H6135">
        <v>1.47501862711565E-3</v>
      </c>
      <c r="I6135" t="s">
        <v>1077</v>
      </c>
      <c r="J6135">
        <v>9.1199999999999992</v>
      </c>
    </row>
    <row r="6136" spans="1:10" hidden="1">
      <c r="A6136" t="s">
        <v>4249</v>
      </c>
      <c r="B6136" t="s">
        <v>4250</v>
      </c>
      <c r="C6136" t="s">
        <v>235</v>
      </c>
      <c r="D6136" t="s">
        <v>1535</v>
      </c>
      <c r="E6136" t="s">
        <v>558</v>
      </c>
      <c r="F6136" t="s">
        <v>1068</v>
      </c>
      <c r="G6136" t="s">
        <v>1078</v>
      </c>
      <c r="H6136">
        <v>-0.85849804034267496</v>
      </c>
      <c r="I6136" t="s">
        <v>1079</v>
      </c>
      <c r="J6136">
        <v>9.1199999999999992</v>
      </c>
    </row>
    <row r="6137" spans="1:10" hidden="1">
      <c r="A6137" t="s">
        <v>4249</v>
      </c>
      <c r="B6137" t="s">
        <v>4250</v>
      </c>
      <c r="C6137" t="s">
        <v>235</v>
      </c>
      <c r="D6137" t="s">
        <v>1535</v>
      </c>
      <c r="E6137" t="s">
        <v>558</v>
      </c>
      <c r="F6137" t="s">
        <v>1068</v>
      </c>
      <c r="G6137" t="s">
        <v>1080</v>
      </c>
      <c r="H6137" s="171" t="s">
        <v>4251</v>
      </c>
      <c r="I6137" t="s">
        <v>1082</v>
      </c>
      <c r="J6137">
        <v>9.1199999999999992</v>
      </c>
    </row>
    <row r="6138" spans="1:10" hidden="1">
      <c r="A6138" t="s">
        <v>4249</v>
      </c>
      <c r="B6138" t="s">
        <v>4250</v>
      </c>
      <c r="C6138" t="s">
        <v>235</v>
      </c>
      <c r="D6138" t="s">
        <v>1535</v>
      </c>
      <c r="E6138" t="s">
        <v>558</v>
      </c>
      <c r="F6138" t="s">
        <v>1068</v>
      </c>
      <c r="G6138" t="s">
        <v>1083</v>
      </c>
      <c r="H6138" s="170">
        <v>-8.6947988025241201E-6</v>
      </c>
      <c r="I6138" t="s">
        <v>1084</v>
      </c>
      <c r="J6138">
        <v>9.1199999999999992</v>
      </c>
    </row>
    <row r="6139" spans="1:10" hidden="1">
      <c r="A6139" t="s">
        <v>4249</v>
      </c>
      <c r="B6139" t="s">
        <v>4250</v>
      </c>
      <c r="C6139" t="s">
        <v>235</v>
      </c>
      <c r="D6139" t="s">
        <v>1535</v>
      </c>
      <c r="E6139" t="s">
        <v>558</v>
      </c>
      <c r="F6139" t="s">
        <v>1068</v>
      </c>
      <c r="G6139" t="s">
        <v>1085</v>
      </c>
      <c r="H6139" s="170">
        <v>-4.61409683317522E-5</v>
      </c>
      <c r="I6139" t="s">
        <v>1086</v>
      </c>
      <c r="J6139">
        <v>9.1199999999999992</v>
      </c>
    </row>
    <row r="6140" spans="1:10" hidden="1">
      <c r="A6140" t="s">
        <v>4249</v>
      </c>
      <c r="B6140" t="s">
        <v>4250</v>
      </c>
      <c r="C6140" t="s">
        <v>235</v>
      </c>
      <c r="D6140" t="s">
        <v>1535</v>
      </c>
      <c r="E6140" t="s">
        <v>558</v>
      </c>
      <c r="F6140" t="s">
        <v>1068</v>
      </c>
      <c r="G6140" t="s">
        <v>1087</v>
      </c>
      <c r="H6140" s="171" t="s">
        <v>4252</v>
      </c>
      <c r="I6140" t="s">
        <v>1088</v>
      </c>
      <c r="J6140">
        <v>9.1199999999999992</v>
      </c>
    </row>
    <row r="6141" spans="1:10" hidden="1">
      <c r="A6141" t="s">
        <v>4249</v>
      </c>
      <c r="B6141" t="s">
        <v>4250</v>
      </c>
      <c r="C6141" t="s">
        <v>235</v>
      </c>
      <c r="D6141" t="s">
        <v>1535</v>
      </c>
      <c r="E6141" t="s">
        <v>558</v>
      </c>
      <c r="F6141" t="s">
        <v>1068</v>
      </c>
      <c r="G6141" t="s">
        <v>1089</v>
      </c>
      <c r="H6141" s="171" t="s">
        <v>4253</v>
      </c>
      <c r="I6141" t="s">
        <v>1090</v>
      </c>
      <c r="J6141">
        <v>9.1199999999999992</v>
      </c>
    </row>
    <row r="6142" spans="1:10" hidden="1">
      <c r="A6142" t="s">
        <v>4254</v>
      </c>
      <c r="B6142" t="s">
        <v>4255</v>
      </c>
      <c r="C6142" t="s">
        <v>235</v>
      </c>
      <c r="D6142" t="s">
        <v>1535</v>
      </c>
      <c r="E6142" t="s">
        <v>553</v>
      </c>
      <c r="F6142" t="s">
        <v>1068</v>
      </c>
      <c r="G6142" t="s">
        <v>1069</v>
      </c>
      <c r="H6142">
        <v>-1.2638977567579E-2</v>
      </c>
      <c r="I6142" t="s">
        <v>1070</v>
      </c>
      <c r="J6142">
        <v>7.9</v>
      </c>
    </row>
    <row r="6143" spans="1:10" hidden="1">
      <c r="A6143" t="s">
        <v>4254</v>
      </c>
      <c r="B6143" t="s">
        <v>4255</v>
      </c>
      <c r="C6143" t="s">
        <v>235</v>
      </c>
      <c r="D6143" t="s">
        <v>1535</v>
      </c>
      <c r="E6143" t="s">
        <v>553</v>
      </c>
      <c r="F6143" t="s">
        <v>1068</v>
      </c>
      <c r="G6143" t="s">
        <v>1071</v>
      </c>
      <c r="H6143" s="170">
        <v>-8.55799312158885E-11</v>
      </c>
      <c r="I6143" t="s">
        <v>1072</v>
      </c>
      <c r="J6143">
        <v>7.9</v>
      </c>
    </row>
    <row r="6144" spans="1:10" hidden="1">
      <c r="A6144" t="s">
        <v>4254</v>
      </c>
      <c r="B6144" t="s">
        <v>4255</v>
      </c>
      <c r="C6144" t="s">
        <v>235</v>
      </c>
      <c r="D6144" t="s">
        <v>1535</v>
      </c>
      <c r="E6144" t="s">
        <v>553</v>
      </c>
      <c r="F6144" t="s">
        <v>1068</v>
      </c>
      <c r="G6144" t="s">
        <v>1073</v>
      </c>
      <c r="H6144" s="170">
        <v>-1.56585736633175E-9</v>
      </c>
      <c r="I6144" t="s">
        <v>1074</v>
      </c>
      <c r="J6144">
        <v>7.9</v>
      </c>
    </row>
    <row r="6145" spans="1:10" hidden="1">
      <c r="A6145" t="s">
        <v>4254</v>
      </c>
      <c r="B6145" t="s">
        <v>4255</v>
      </c>
      <c r="C6145" t="s">
        <v>235</v>
      </c>
      <c r="D6145" t="s">
        <v>1535</v>
      </c>
      <c r="E6145" t="s">
        <v>553</v>
      </c>
      <c r="F6145" t="s">
        <v>1068</v>
      </c>
      <c r="G6145" t="s">
        <v>1075</v>
      </c>
      <c r="H6145">
        <v>1.5491164673813501E-3</v>
      </c>
      <c r="I6145" t="s">
        <v>1077</v>
      </c>
      <c r="J6145">
        <v>7.9</v>
      </c>
    </row>
    <row r="6146" spans="1:10" hidden="1">
      <c r="A6146" t="s">
        <v>4254</v>
      </c>
      <c r="B6146" t="s">
        <v>4255</v>
      </c>
      <c r="C6146" t="s">
        <v>235</v>
      </c>
      <c r="D6146" t="s">
        <v>1535</v>
      </c>
      <c r="E6146" t="s">
        <v>553</v>
      </c>
      <c r="F6146" t="s">
        <v>1068</v>
      </c>
      <c r="G6146" t="s">
        <v>1078</v>
      </c>
      <c r="H6146">
        <v>-0.83398242380103804</v>
      </c>
      <c r="I6146" t="s">
        <v>1079</v>
      </c>
      <c r="J6146">
        <v>7.9</v>
      </c>
    </row>
    <row r="6147" spans="1:10" hidden="1">
      <c r="A6147" t="s">
        <v>4254</v>
      </c>
      <c r="B6147" t="s">
        <v>4255</v>
      </c>
      <c r="C6147" t="s">
        <v>235</v>
      </c>
      <c r="D6147" t="s">
        <v>1535</v>
      </c>
      <c r="E6147" t="s">
        <v>553</v>
      </c>
      <c r="F6147" t="s">
        <v>1068</v>
      </c>
      <c r="G6147" t="s">
        <v>1080</v>
      </c>
      <c r="H6147" s="171" t="s">
        <v>4256</v>
      </c>
      <c r="I6147" t="s">
        <v>1082</v>
      </c>
      <c r="J6147">
        <v>7.9</v>
      </c>
    </row>
    <row r="6148" spans="1:10" hidden="1">
      <c r="A6148" t="s">
        <v>4254</v>
      </c>
      <c r="B6148" t="s">
        <v>4255</v>
      </c>
      <c r="C6148" t="s">
        <v>235</v>
      </c>
      <c r="D6148" t="s">
        <v>1535</v>
      </c>
      <c r="E6148" t="s">
        <v>553</v>
      </c>
      <c r="F6148" t="s">
        <v>1068</v>
      </c>
      <c r="G6148" t="s">
        <v>1083</v>
      </c>
      <c r="H6148" s="170">
        <v>-8.6124942585285497E-6</v>
      </c>
      <c r="I6148" t="s">
        <v>1084</v>
      </c>
      <c r="J6148">
        <v>7.9</v>
      </c>
    </row>
    <row r="6149" spans="1:10" hidden="1">
      <c r="A6149" t="s">
        <v>4254</v>
      </c>
      <c r="B6149" t="s">
        <v>4255</v>
      </c>
      <c r="C6149" t="s">
        <v>235</v>
      </c>
      <c r="D6149" t="s">
        <v>1535</v>
      </c>
      <c r="E6149" t="s">
        <v>553</v>
      </c>
      <c r="F6149" t="s">
        <v>1068</v>
      </c>
      <c r="G6149" t="s">
        <v>1085</v>
      </c>
      <c r="H6149" s="170">
        <v>-4.4911040599668197E-5</v>
      </c>
      <c r="I6149" t="s">
        <v>1086</v>
      </c>
      <c r="J6149">
        <v>7.9</v>
      </c>
    </row>
    <row r="6150" spans="1:10" hidden="1">
      <c r="A6150" t="s">
        <v>4254</v>
      </c>
      <c r="B6150" t="s">
        <v>4255</v>
      </c>
      <c r="C6150" t="s">
        <v>235</v>
      </c>
      <c r="D6150" t="s">
        <v>1535</v>
      </c>
      <c r="E6150" t="s">
        <v>553</v>
      </c>
      <c r="F6150" t="s">
        <v>1068</v>
      </c>
      <c r="G6150" t="s">
        <v>1087</v>
      </c>
      <c r="H6150" s="171" t="s">
        <v>4257</v>
      </c>
      <c r="I6150" t="s">
        <v>1088</v>
      </c>
      <c r="J6150">
        <v>7.9</v>
      </c>
    </row>
    <row r="6151" spans="1:10" hidden="1">
      <c r="A6151" t="s">
        <v>4254</v>
      </c>
      <c r="B6151" t="s">
        <v>4255</v>
      </c>
      <c r="C6151" t="s">
        <v>235</v>
      </c>
      <c r="D6151" t="s">
        <v>1535</v>
      </c>
      <c r="E6151" t="s">
        <v>553</v>
      </c>
      <c r="F6151" t="s">
        <v>1068</v>
      </c>
      <c r="G6151" t="s">
        <v>1089</v>
      </c>
      <c r="H6151" s="171" t="s">
        <v>4258</v>
      </c>
      <c r="I6151" t="s">
        <v>1090</v>
      </c>
      <c r="J6151">
        <v>7.9</v>
      </c>
    </row>
    <row r="6152" spans="1:10" hidden="1">
      <c r="A6152" t="s">
        <v>4259</v>
      </c>
      <c r="B6152" t="s">
        <v>4260</v>
      </c>
      <c r="C6152" t="s">
        <v>235</v>
      </c>
      <c r="D6152" t="s">
        <v>1535</v>
      </c>
      <c r="E6152" t="s">
        <v>556</v>
      </c>
      <c r="F6152" t="s">
        <v>1068</v>
      </c>
      <c r="G6152" t="s">
        <v>1069</v>
      </c>
      <c r="H6152">
        <v>-9.9285975378401899E-3</v>
      </c>
      <c r="I6152" t="s">
        <v>1070</v>
      </c>
      <c r="J6152">
        <v>7.82</v>
      </c>
    </row>
    <row r="6153" spans="1:10" hidden="1">
      <c r="A6153" t="s">
        <v>4259</v>
      </c>
      <c r="B6153" t="s">
        <v>4260</v>
      </c>
      <c r="C6153" t="s">
        <v>235</v>
      </c>
      <c r="D6153" t="s">
        <v>1535</v>
      </c>
      <c r="E6153" t="s">
        <v>556</v>
      </c>
      <c r="F6153" t="s">
        <v>1068</v>
      </c>
      <c r="G6153" t="s">
        <v>1071</v>
      </c>
      <c r="H6153" s="170">
        <v>-8.1234468073518799E-11</v>
      </c>
      <c r="I6153" t="s">
        <v>1072</v>
      </c>
      <c r="J6153">
        <v>7.82</v>
      </c>
    </row>
    <row r="6154" spans="1:10" hidden="1">
      <c r="A6154" t="s">
        <v>4259</v>
      </c>
      <c r="B6154" t="s">
        <v>4260</v>
      </c>
      <c r="C6154" t="s">
        <v>235</v>
      </c>
      <c r="D6154" t="s">
        <v>1535</v>
      </c>
      <c r="E6154" t="s">
        <v>556</v>
      </c>
      <c r="F6154" t="s">
        <v>1068</v>
      </c>
      <c r="G6154" t="s">
        <v>1073</v>
      </c>
      <c r="H6154" s="170">
        <v>-5.8975403283294596E-10</v>
      </c>
      <c r="I6154" t="s">
        <v>1074</v>
      </c>
      <c r="J6154">
        <v>7.82</v>
      </c>
    </row>
    <row r="6155" spans="1:10" hidden="1">
      <c r="A6155" t="s">
        <v>4259</v>
      </c>
      <c r="B6155" t="s">
        <v>4260</v>
      </c>
      <c r="C6155" t="s">
        <v>235</v>
      </c>
      <c r="D6155" t="s">
        <v>1535</v>
      </c>
      <c r="E6155" t="s">
        <v>556</v>
      </c>
      <c r="F6155" t="s">
        <v>1068</v>
      </c>
      <c r="G6155" t="s">
        <v>1075</v>
      </c>
      <c r="H6155">
        <v>1.83922575461891E-3</v>
      </c>
      <c r="I6155" t="s">
        <v>1077</v>
      </c>
      <c r="J6155">
        <v>7.82</v>
      </c>
    </row>
    <row r="6156" spans="1:10" hidden="1">
      <c r="A6156" t="s">
        <v>4259</v>
      </c>
      <c r="B6156" t="s">
        <v>4260</v>
      </c>
      <c r="C6156" t="s">
        <v>235</v>
      </c>
      <c r="D6156" t="s">
        <v>1535</v>
      </c>
      <c r="E6156" t="s">
        <v>556</v>
      </c>
      <c r="F6156" t="s">
        <v>1068</v>
      </c>
      <c r="G6156" t="s">
        <v>1078</v>
      </c>
      <c r="H6156">
        <v>-0.74483748111485704</v>
      </c>
      <c r="I6156" t="s">
        <v>1079</v>
      </c>
      <c r="J6156">
        <v>7.82</v>
      </c>
    </row>
    <row r="6157" spans="1:10" hidden="1">
      <c r="A6157" t="s">
        <v>4259</v>
      </c>
      <c r="B6157" t="s">
        <v>4260</v>
      </c>
      <c r="C6157" t="s">
        <v>235</v>
      </c>
      <c r="D6157" t="s">
        <v>1535</v>
      </c>
      <c r="E6157" t="s">
        <v>556</v>
      </c>
      <c r="F6157" t="s">
        <v>1068</v>
      </c>
      <c r="G6157" t="s">
        <v>1080</v>
      </c>
      <c r="H6157" s="171" t="s">
        <v>4261</v>
      </c>
      <c r="I6157" t="s">
        <v>1082</v>
      </c>
      <c r="J6157">
        <v>7.82</v>
      </c>
    </row>
    <row r="6158" spans="1:10" hidden="1">
      <c r="A6158" t="s">
        <v>4259</v>
      </c>
      <c r="B6158" t="s">
        <v>4260</v>
      </c>
      <c r="C6158" t="s">
        <v>235</v>
      </c>
      <c r="D6158" t="s">
        <v>1535</v>
      </c>
      <c r="E6158" t="s">
        <v>556</v>
      </c>
      <c r="F6158" t="s">
        <v>1068</v>
      </c>
      <c r="G6158" t="s">
        <v>1083</v>
      </c>
      <c r="H6158" s="170">
        <v>-8.2004540916042802E-6</v>
      </c>
      <c r="I6158" t="s">
        <v>1084</v>
      </c>
      <c r="J6158">
        <v>7.82</v>
      </c>
    </row>
    <row r="6159" spans="1:10" hidden="1">
      <c r="A6159" t="s">
        <v>4259</v>
      </c>
      <c r="B6159" t="s">
        <v>4260</v>
      </c>
      <c r="C6159" t="s">
        <v>235</v>
      </c>
      <c r="D6159" t="s">
        <v>1535</v>
      </c>
      <c r="E6159" t="s">
        <v>556</v>
      </c>
      <c r="F6159" t="s">
        <v>1068</v>
      </c>
      <c r="G6159" t="s">
        <v>1085</v>
      </c>
      <c r="H6159" s="170">
        <v>-3.9179637162531997E-5</v>
      </c>
      <c r="I6159" t="s">
        <v>1086</v>
      </c>
      <c r="J6159">
        <v>7.82</v>
      </c>
    </row>
    <row r="6160" spans="1:10" hidden="1">
      <c r="A6160" t="s">
        <v>4259</v>
      </c>
      <c r="B6160" t="s">
        <v>4260</v>
      </c>
      <c r="C6160" t="s">
        <v>235</v>
      </c>
      <c r="D6160" t="s">
        <v>1535</v>
      </c>
      <c r="E6160" t="s">
        <v>556</v>
      </c>
      <c r="F6160" t="s">
        <v>1068</v>
      </c>
      <c r="G6160" t="s">
        <v>1087</v>
      </c>
      <c r="H6160" s="171" t="s">
        <v>4262</v>
      </c>
      <c r="I6160" t="s">
        <v>1088</v>
      </c>
      <c r="J6160">
        <v>7.82</v>
      </c>
    </row>
    <row r="6161" spans="1:10" hidden="1">
      <c r="A6161" t="s">
        <v>4259</v>
      </c>
      <c r="B6161" t="s">
        <v>4260</v>
      </c>
      <c r="C6161" t="s">
        <v>235</v>
      </c>
      <c r="D6161" t="s">
        <v>1535</v>
      </c>
      <c r="E6161" t="s">
        <v>556</v>
      </c>
      <c r="F6161" t="s">
        <v>1068</v>
      </c>
      <c r="G6161" t="s">
        <v>1089</v>
      </c>
      <c r="H6161" s="171" t="s">
        <v>4263</v>
      </c>
      <c r="I6161" t="s">
        <v>1090</v>
      </c>
      <c r="J6161">
        <v>7.82</v>
      </c>
    </row>
    <row r="6162" spans="1:10" hidden="1">
      <c r="A6162" t="s">
        <v>4264</v>
      </c>
      <c r="B6162" t="s">
        <v>4265</v>
      </c>
      <c r="C6162" t="s">
        <v>235</v>
      </c>
      <c r="D6162" t="s">
        <v>1535</v>
      </c>
      <c r="E6162" t="s">
        <v>557</v>
      </c>
      <c r="F6162" t="s">
        <v>1068</v>
      </c>
      <c r="G6162" t="s">
        <v>1069</v>
      </c>
      <c r="H6162">
        <v>-1.6878690284187401E-2</v>
      </c>
      <c r="I6162" t="s">
        <v>1070</v>
      </c>
      <c r="J6162">
        <v>8.09</v>
      </c>
    </row>
    <row r="6163" spans="1:10" hidden="1">
      <c r="A6163" t="s">
        <v>4264</v>
      </c>
      <c r="B6163" t="s">
        <v>4265</v>
      </c>
      <c r="C6163" t="s">
        <v>235</v>
      </c>
      <c r="D6163" t="s">
        <v>1535</v>
      </c>
      <c r="E6163" t="s">
        <v>557</v>
      </c>
      <c r="F6163" t="s">
        <v>1068</v>
      </c>
      <c r="G6163" t="s">
        <v>1071</v>
      </c>
      <c r="H6163" s="170">
        <v>-9.1762958644949702E-11</v>
      </c>
      <c r="I6163" t="s">
        <v>1072</v>
      </c>
      <c r="J6163">
        <v>8.09</v>
      </c>
    </row>
    <row r="6164" spans="1:10" hidden="1">
      <c r="A6164" t="s">
        <v>4264</v>
      </c>
      <c r="B6164" t="s">
        <v>4265</v>
      </c>
      <c r="C6164" t="s">
        <v>235</v>
      </c>
      <c r="D6164" t="s">
        <v>1535</v>
      </c>
      <c r="E6164" t="s">
        <v>557</v>
      </c>
      <c r="F6164" t="s">
        <v>1068</v>
      </c>
      <c r="G6164" t="s">
        <v>1073</v>
      </c>
      <c r="H6164" s="170">
        <v>-3.0700594201872E-9</v>
      </c>
      <c r="I6164" t="s">
        <v>1074</v>
      </c>
      <c r="J6164">
        <v>8.09</v>
      </c>
    </row>
    <row r="6165" spans="1:10" hidden="1">
      <c r="A6165" t="s">
        <v>4264</v>
      </c>
      <c r="B6165" t="s">
        <v>4265</v>
      </c>
      <c r="C6165" t="s">
        <v>235</v>
      </c>
      <c r="D6165" t="s">
        <v>1535</v>
      </c>
      <c r="E6165" t="s">
        <v>557</v>
      </c>
      <c r="F6165" t="s">
        <v>1068</v>
      </c>
      <c r="G6165" t="s">
        <v>1075</v>
      </c>
      <c r="H6165">
        <v>1.3586859522495599E-3</v>
      </c>
      <c r="I6165" t="s">
        <v>1077</v>
      </c>
      <c r="J6165">
        <v>8.09</v>
      </c>
    </row>
    <row r="6166" spans="1:10" hidden="1">
      <c r="A6166" t="s">
        <v>4264</v>
      </c>
      <c r="B6166" t="s">
        <v>4265</v>
      </c>
      <c r="C6166" t="s">
        <v>235</v>
      </c>
      <c r="D6166" t="s">
        <v>1535</v>
      </c>
      <c r="E6166" t="s">
        <v>557</v>
      </c>
      <c r="F6166" t="s">
        <v>1068</v>
      </c>
      <c r="G6166" t="s">
        <v>1078</v>
      </c>
      <c r="H6166">
        <v>-0.86352871394485398</v>
      </c>
      <c r="I6166" t="s">
        <v>1079</v>
      </c>
      <c r="J6166">
        <v>8.09</v>
      </c>
    </row>
    <row r="6167" spans="1:10" hidden="1">
      <c r="A6167" t="s">
        <v>4264</v>
      </c>
      <c r="B6167" t="s">
        <v>4265</v>
      </c>
      <c r="C6167" t="s">
        <v>235</v>
      </c>
      <c r="D6167" t="s">
        <v>1535</v>
      </c>
      <c r="E6167" t="s">
        <v>557</v>
      </c>
      <c r="F6167" t="s">
        <v>1068</v>
      </c>
      <c r="G6167" t="s">
        <v>1080</v>
      </c>
      <c r="H6167" s="171" t="s">
        <v>4266</v>
      </c>
      <c r="I6167" t="s">
        <v>1082</v>
      </c>
      <c r="J6167">
        <v>8.09</v>
      </c>
    </row>
    <row r="6168" spans="1:10" hidden="1">
      <c r="A6168" t="s">
        <v>4264</v>
      </c>
      <c r="B6168" t="s">
        <v>4265</v>
      </c>
      <c r="C6168" t="s">
        <v>235</v>
      </c>
      <c r="D6168" t="s">
        <v>1535</v>
      </c>
      <c r="E6168" t="s">
        <v>557</v>
      </c>
      <c r="F6168" t="s">
        <v>1068</v>
      </c>
      <c r="G6168" t="s">
        <v>1083</v>
      </c>
      <c r="H6168" s="170">
        <v>-9.2541801479946695E-6</v>
      </c>
      <c r="I6168" t="s">
        <v>1084</v>
      </c>
      <c r="J6168">
        <v>8.09</v>
      </c>
    </row>
    <row r="6169" spans="1:10" hidden="1">
      <c r="A6169" t="s">
        <v>4264</v>
      </c>
      <c r="B6169" t="s">
        <v>4265</v>
      </c>
      <c r="C6169" t="s">
        <v>235</v>
      </c>
      <c r="D6169" t="s">
        <v>1535</v>
      </c>
      <c r="E6169" t="s">
        <v>557</v>
      </c>
      <c r="F6169" t="s">
        <v>1068</v>
      </c>
      <c r="G6169" t="s">
        <v>1085</v>
      </c>
      <c r="H6169" s="170">
        <v>-5.24631128409315E-5</v>
      </c>
      <c r="I6169" t="s">
        <v>1086</v>
      </c>
      <c r="J6169">
        <v>8.09</v>
      </c>
    </row>
    <row r="6170" spans="1:10" hidden="1">
      <c r="A6170" t="s">
        <v>4264</v>
      </c>
      <c r="B6170" t="s">
        <v>4265</v>
      </c>
      <c r="C6170" t="s">
        <v>235</v>
      </c>
      <c r="D6170" t="s">
        <v>1535</v>
      </c>
      <c r="E6170" t="s">
        <v>557</v>
      </c>
      <c r="F6170" t="s">
        <v>1068</v>
      </c>
      <c r="G6170" t="s">
        <v>1087</v>
      </c>
      <c r="H6170" s="170">
        <v>-2.8445959264524901E-9</v>
      </c>
      <c r="I6170" t="s">
        <v>1088</v>
      </c>
      <c r="J6170">
        <v>8.09</v>
      </c>
    </row>
    <row r="6171" spans="1:10" hidden="1">
      <c r="A6171" t="s">
        <v>4264</v>
      </c>
      <c r="B6171" t="s">
        <v>4265</v>
      </c>
      <c r="C6171" t="s">
        <v>235</v>
      </c>
      <c r="D6171" t="s">
        <v>1535</v>
      </c>
      <c r="E6171" t="s">
        <v>557</v>
      </c>
      <c r="F6171" t="s">
        <v>1068</v>
      </c>
      <c r="G6171" t="s">
        <v>1089</v>
      </c>
      <c r="H6171" s="171" t="s">
        <v>4267</v>
      </c>
      <c r="I6171" t="s">
        <v>1090</v>
      </c>
      <c r="J6171">
        <v>8.09</v>
      </c>
    </row>
    <row r="6172" spans="1:10" hidden="1">
      <c r="A6172" t="s">
        <v>4268</v>
      </c>
      <c r="B6172" t="s">
        <v>4269</v>
      </c>
      <c r="C6172" t="s">
        <v>235</v>
      </c>
      <c r="D6172" t="s">
        <v>1535</v>
      </c>
      <c r="E6172" t="s">
        <v>559</v>
      </c>
      <c r="F6172" t="s">
        <v>1068</v>
      </c>
      <c r="G6172" t="s">
        <v>1069</v>
      </c>
      <c r="H6172">
        <v>-2.01986850508299E-2</v>
      </c>
      <c r="I6172" t="s">
        <v>1070</v>
      </c>
      <c r="J6172">
        <v>6.98</v>
      </c>
    </row>
    <row r="6173" spans="1:10" hidden="1">
      <c r="A6173" t="s">
        <v>4268</v>
      </c>
      <c r="B6173" t="s">
        <v>4269</v>
      </c>
      <c r="C6173" t="s">
        <v>235</v>
      </c>
      <c r="D6173" t="s">
        <v>1535</v>
      </c>
      <c r="E6173" t="s">
        <v>559</v>
      </c>
      <c r="F6173" t="s">
        <v>1068</v>
      </c>
      <c r="G6173" t="s">
        <v>1071</v>
      </c>
      <c r="H6173" s="170">
        <v>-9.6397958630340005E-11</v>
      </c>
      <c r="I6173" t="s">
        <v>1072</v>
      </c>
      <c r="J6173">
        <v>6.98</v>
      </c>
    </row>
    <row r="6174" spans="1:10" hidden="1">
      <c r="A6174" t="s">
        <v>4268</v>
      </c>
      <c r="B6174" t="s">
        <v>4269</v>
      </c>
      <c r="C6174" t="s">
        <v>235</v>
      </c>
      <c r="D6174" t="s">
        <v>1535</v>
      </c>
      <c r="E6174" t="s">
        <v>559</v>
      </c>
      <c r="F6174" t="s">
        <v>1068</v>
      </c>
      <c r="G6174" t="s">
        <v>1073</v>
      </c>
      <c r="H6174" s="170">
        <v>-4.2510893847533497E-9</v>
      </c>
      <c r="I6174" t="s">
        <v>1074</v>
      </c>
      <c r="J6174">
        <v>6.98</v>
      </c>
    </row>
    <row r="6175" spans="1:10" hidden="1">
      <c r="A6175" t="s">
        <v>4268</v>
      </c>
      <c r="B6175" t="s">
        <v>4269</v>
      </c>
      <c r="C6175" t="s">
        <v>235</v>
      </c>
      <c r="D6175" t="s">
        <v>1535</v>
      </c>
      <c r="E6175" t="s">
        <v>559</v>
      </c>
      <c r="F6175" t="s">
        <v>1068</v>
      </c>
      <c r="G6175" t="s">
        <v>1075</v>
      </c>
      <c r="H6175">
        <v>1.31014603803106E-3</v>
      </c>
      <c r="I6175" t="s">
        <v>1077</v>
      </c>
      <c r="J6175">
        <v>6.98</v>
      </c>
    </row>
    <row r="6176" spans="1:10" hidden="1">
      <c r="A6176" t="s">
        <v>4268</v>
      </c>
      <c r="B6176" t="s">
        <v>4269</v>
      </c>
      <c r="C6176" t="s">
        <v>235</v>
      </c>
      <c r="D6176" t="s">
        <v>1535</v>
      </c>
      <c r="E6176" t="s">
        <v>559</v>
      </c>
      <c r="F6176" t="s">
        <v>1068</v>
      </c>
      <c r="G6176" t="s">
        <v>1078</v>
      </c>
      <c r="H6176">
        <v>-0.84431642696925902</v>
      </c>
      <c r="I6176" t="s">
        <v>1079</v>
      </c>
      <c r="J6176">
        <v>6.98</v>
      </c>
    </row>
    <row r="6177" spans="1:10" hidden="1">
      <c r="A6177" t="s">
        <v>4268</v>
      </c>
      <c r="B6177" t="s">
        <v>4269</v>
      </c>
      <c r="C6177" t="s">
        <v>235</v>
      </c>
      <c r="D6177" t="s">
        <v>1535</v>
      </c>
      <c r="E6177" t="s">
        <v>559</v>
      </c>
      <c r="F6177" t="s">
        <v>1068</v>
      </c>
      <c r="G6177" t="s">
        <v>1080</v>
      </c>
      <c r="H6177" s="171" t="s">
        <v>4270</v>
      </c>
      <c r="I6177" t="s">
        <v>1082</v>
      </c>
      <c r="J6177">
        <v>6.98</v>
      </c>
    </row>
    <row r="6178" spans="1:10" hidden="1">
      <c r="A6178" t="s">
        <v>4268</v>
      </c>
      <c r="B6178" t="s">
        <v>4269</v>
      </c>
      <c r="C6178" t="s">
        <v>235</v>
      </c>
      <c r="D6178" t="s">
        <v>1535</v>
      </c>
      <c r="E6178" t="s">
        <v>559</v>
      </c>
      <c r="F6178" t="s">
        <v>1068</v>
      </c>
      <c r="G6178" t="s">
        <v>1083</v>
      </c>
      <c r="H6178" s="170">
        <v>-9.7615746905869398E-6</v>
      </c>
      <c r="I6178" t="s">
        <v>1084</v>
      </c>
      <c r="J6178">
        <v>6.98</v>
      </c>
    </row>
    <row r="6179" spans="1:10" hidden="1">
      <c r="A6179" t="s">
        <v>4268</v>
      </c>
      <c r="B6179" t="s">
        <v>4269</v>
      </c>
      <c r="C6179" t="s">
        <v>235</v>
      </c>
      <c r="D6179" t="s">
        <v>1535</v>
      </c>
      <c r="E6179" t="s">
        <v>559</v>
      </c>
      <c r="F6179" t="s">
        <v>1068</v>
      </c>
      <c r="G6179" t="s">
        <v>1085</v>
      </c>
      <c r="H6179" s="170">
        <v>-5.7897981624726001E-5</v>
      </c>
      <c r="I6179" t="s">
        <v>1086</v>
      </c>
      <c r="J6179">
        <v>6.98</v>
      </c>
    </row>
    <row r="6180" spans="1:10" hidden="1">
      <c r="A6180" t="s">
        <v>4268</v>
      </c>
      <c r="B6180" t="s">
        <v>4269</v>
      </c>
      <c r="C6180" t="s">
        <v>235</v>
      </c>
      <c r="D6180" t="s">
        <v>1535</v>
      </c>
      <c r="E6180" t="s">
        <v>559</v>
      </c>
      <c r="F6180" t="s">
        <v>1068</v>
      </c>
      <c r="G6180" t="s">
        <v>1087</v>
      </c>
      <c r="H6180" s="170">
        <v>-4.9732988927900103E-9</v>
      </c>
      <c r="I6180" t="s">
        <v>1088</v>
      </c>
      <c r="J6180">
        <v>6.98</v>
      </c>
    </row>
    <row r="6181" spans="1:10" hidden="1">
      <c r="A6181" t="s">
        <v>4268</v>
      </c>
      <c r="B6181" t="s">
        <v>4269</v>
      </c>
      <c r="C6181" t="s">
        <v>235</v>
      </c>
      <c r="D6181" t="s">
        <v>1535</v>
      </c>
      <c r="E6181" t="s">
        <v>559</v>
      </c>
      <c r="F6181" t="s">
        <v>1068</v>
      </c>
      <c r="G6181" t="s">
        <v>1089</v>
      </c>
      <c r="H6181" s="171" t="s">
        <v>4271</v>
      </c>
      <c r="I6181" t="s">
        <v>1090</v>
      </c>
      <c r="J6181">
        <v>6.98</v>
      </c>
    </row>
    <row r="6182" spans="1:10" hidden="1">
      <c r="A6182" t="s">
        <v>4272</v>
      </c>
      <c r="B6182" t="s">
        <v>4273</v>
      </c>
      <c r="C6182" t="s">
        <v>235</v>
      </c>
      <c r="D6182" t="s">
        <v>1535</v>
      </c>
      <c r="E6182" t="s">
        <v>560</v>
      </c>
      <c r="F6182" t="s">
        <v>1068</v>
      </c>
      <c r="G6182" t="s">
        <v>1069</v>
      </c>
      <c r="H6182">
        <v>-1.8841423486780001E-2</v>
      </c>
      <c r="I6182" t="s">
        <v>1070</v>
      </c>
      <c r="J6182">
        <v>7.91</v>
      </c>
    </row>
    <row r="6183" spans="1:10" hidden="1">
      <c r="A6183" t="s">
        <v>4272</v>
      </c>
      <c r="B6183" t="s">
        <v>4273</v>
      </c>
      <c r="C6183" t="s">
        <v>235</v>
      </c>
      <c r="D6183" t="s">
        <v>1535</v>
      </c>
      <c r="E6183" t="s">
        <v>560</v>
      </c>
      <c r="F6183" t="s">
        <v>1068</v>
      </c>
      <c r="G6183" t="s">
        <v>1071</v>
      </c>
      <c r="H6183" s="170">
        <v>-9.4571652187648701E-11</v>
      </c>
      <c r="I6183" t="s">
        <v>1072</v>
      </c>
      <c r="J6183">
        <v>7.91</v>
      </c>
    </row>
    <row r="6184" spans="1:10" hidden="1">
      <c r="A6184" t="s">
        <v>4272</v>
      </c>
      <c r="B6184" t="s">
        <v>4273</v>
      </c>
      <c r="C6184" t="s">
        <v>235</v>
      </c>
      <c r="D6184" t="s">
        <v>1535</v>
      </c>
      <c r="E6184" t="s">
        <v>560</v>
      </c>
      <c r="F6184" t="s">
        <v>1068</v>
      </c>
      <c r="G6184" t="s">
        <v>1073</v>
      </c>
      <c r="H6184" s="170">
        <v>-3.7672284642140698E-9</v>
      </c>
      <c r="I6184" t="s">
        <v>1074</v>
      </c>
      <c r="J6184">
        <v>7.91</v>
      </c>
    </row>
    <row r="6185" spans="1:10" hidden="1">
      <c r="A6185" t="s">
        <v>4272</v>
      </c>
      <c r="B6185" t="s">
        <v>4273</v>
      </c>
      <c r="C6185" t="s">
        <v>235</v>
      </c>
      <c r="D6185" t="s">
        <v>1535</v>
      </c>
      <c r="E6185" t="s">
        <v>560</v>
      </c>
      <c r="F6185" t="s">
        <v>1068</v>
      </c>
      <c r="G6185" t="s">
        <v>1075</v>
      </c>
      <c r="H6185">
        <v>1.29664185898765E-3</v>
      </c>
      <c r="I6185" t="s">
        <v>1077</v>
      </c>
      <c r="J6185">
        <v>7.91</v>
      </c>
    </row>
    <row r="6186" spans="1:10" hidden="1">
      <c r="A6186" t="s">
        <v>4272</v>
      </c>
      <c r="B6186" t="s">
        <v>4273</v>
      </c>
      <c r="C6186" t="s">
        <v>235</v>
      </c>
      <c r="D6186" t="s">
        <v>1535</v>
      </c>
      <c r="E6186" t="s">
        <v>560</v>
      </c>
      <c r="F6186" t="s">
        <v>1068</v>
      </c>
      <c r="G6186" t="s">
        <v>1078</v>
      </c>
      <c r="H6186">
        <v>-0.86621173986601596</v>
      </c>
      <c r="I6186" t="s">
        <v>1079</v>
      </c>
      <c r="J6186">
        <v>7.91</v>
      </c>
    </row>
    <row r="6187" spans="1:10" hidden="1">
      <c r="A6187" t="s">
        <v>4272</v>
      </c>
      <c r="B6187" t="s">
        <v>4273</v>
      </c>
      <c r="C6187" t="s">
        <v>235</v>
      </c>
      <c r="D6187" t="s">
        <v>1535</v>
      </c>
      <c r="E6187" t="s">
        <v>560</v>
      </c>
      <c r="F6187" t="s">
        <v>1068</v>
      </c>
      <c r="G6187" t="s">
        <v>1080</v>
      </c>
      <c r="H6187" s="171" t="s">
        <v>4274</v>
      </c>
      <c r="I6187" t="s">
        <v>1082</v>
      </c>
      <c r="J6187">
        <v>7.91</v>
      </c>
    </row>
    <row r="6188" spans="1:10" hidden="1">
      <c r="A6188" t="s">
        <v>4272</v>
      </c>
      <c r="B6188" t="s">
        <v>4273</v>
      </c>
      <c r="C6188" t="s">
        <v>235</v>
      </c>
      <c r="D6188" t="s">
        <v>1535</v>
      </c>
      <c r="E6188" t="s">
        <v>560</v>
      </c>
      <c r="F6188" t="s">
        <v>1068</v>
      </c>
      <c r="G6188" t="s">
        <v>1083</v>
      </c>
      <c r="H6188" s="170">
        <v>-9.5525168655789598E-6</v>
      </c>
      <c r="I6188" t="s">
        <v>1084</v>
      </c>
      <c r="J6188">
        <v>7.91</v>
      </c>
    </row>
    <row r="6189" spans="1:10" hidden="1">
      <c r="A6189" t="s">
        <v>4272</v>
      </c>
      <c r="B6189" t="s">
        <v>4273</v>
      </c>
      <c r="C6189" t="s">
        <v>235</v>
      </c>
      <c r="D6189" t="s">
        <v>1535</v>
      </c>
      <c r="E6189" t="s">
        <v>560</v>
      </c>
      <c r="F6189" t="s">
        <v>1068</v>
      </c>
      <c r="G6189" t="s">
        <v>1085</v>
      </c>
      <c r="H6189" s="170">
        <v>-5.5834923245827202E-5</v>
      </c>
      <c r="I6189" t="s">
        <v>1086</v>
      </c>
      <c r="J6189">
        <v>7.91</v>
      </c>
    </row>
    <row r="6190" spans="1:10" hidden="1">
      <c r="A6190" t="s">
        <v>4272</v>
      </c>
      <c r="B6190" t="s">
        <v>4273</v>
      </c>
      <c r="C6190" t="s">
        <v>235</v>
      </c>
      <c r="D6190" t="s">
        <v>1535</v>
      </c>
      <c r="E6190" t="s">
        <v>560</v>
      </c>
      <c r="F6190" t="s">
        <v>1068</v>
      </c>
      <c r="G6190" t="s">
        <v>1087</v>
      </c>
      <c r="H6190" s="170">
        <v>-4.4718470235916802E-9</v>
      </c>
      <c r="I6190" t="s">
        <v>1088</v>
      </c>
      <c r="J6190">
        <v>7.91</v>
      </c>
    </row>
    <row r="6191" spans="1:10" hidden="1">
      <c r="A6191" t="s">
        <v>4272</v>
      </c>
      <c r="B6191" t="s">
        <v>4273</v>
      </c>
      <c r="C6191" t="s">
        <v>235</v>
      </c>
      <c r="D6191" t="s">
        <v>1535</v>
      </c>
      <c r="E6191" t="s">
        <v>560</v>
      </c>
      <c r="F6191" t="s">
        <v>1068</v>
      </c>
      <c r="G6191" t="s">
        <v>1089</v>
      </c>
      <c r="H6191" s="171" t="s">
        <v>4275</v>
      </c>
      <c r="I6191" t="s">
        <v>1090</v>
      </c>
      <c r="J6191">
        <v>7.91</v>
      </c>
    </row>
    <row r="6192" spans="1:10" hidden="1">
      <c r="A6192" t="s">
        <v>4276</v>
      </c>
      <c r="B6192" t="s">
        <v>4277</v>
      </c>
      <c r="C6192" t="s">
        <v>235</v>
      </c>
      <c r="D6192" t="s">
        <v>1535</v>
      </c>
      <c r="E6192" t="s">
        <v>1116</v>
      </c>
      <c r="F6192" t="s">
        <v>1068</v>
      </c>
      <c r="G6192" t="s">
        <v>1069</v>
      </c>
      <c r="H6192">
        <v>-1.2884330834265901E-2</v>
      </c>
      <c r="I6192" t="s">
        <v>1070</v>
      </c>
      <c r="J6192">
        <v>7.78</v>
      </c>
    </row>
    <row r="6193" spans="1:10" hidden="1">
      <c r="A6193" t="s">
        <v>4276</v>
      </c>
      <c r="B6193" t="s">
        <v>4277</v>
      </c>
      <c r="C6193" t="s">
        <v>235</v>
      </c>
      <c r="D6193" t="s">
        <v>1535</v>
      </c>
      <c r="E6193" t="s">
        <v>1116</v>
      </c>
      <c r="F6193" t="s">
        <v>1068</v>
      </c>
      <c r="G6193" t="s">
        <v>1071</v>
      </c>
      <c r="H6193" s="170">
        <v>-8.6046984828748695E-11</v>
      </c>
      <c r="I6193" t="s">
        <v>1072</v>
      </c>
      <c r="J6193">
        <v>7.78</v>
      </c>
    </row>
    <row r="6194" spans="1:10" hidden="1">
      <c r="A6194" t="s">
        <v>4276</v>
      </c>
      <c r="B6194" t="s">
        <v>4277</v>
      </c>
      <c r="C6194" t="s">
        <v>235</v>
      </c>
      <c r="D6194" t="s">
        <v>1535</v>
      </c>
      <c r="E6194" t="s">
        <v>1116</v>
      </c>
      <c r="F6194" t="s">
        <v>1068</v>
      </c>
      <c r="G6194" t="s">
        <v>1073</v>
      </c>
      <c r="H6194" s="170">
        <v>-1.65125030465242E-9</v>
      </c>
      <c r="I6194" t="s">
        <v>1074</v>
      </c>
      <c r="J6194">
        <v>7.78</v>
      </c>
    </row>
    <row r="6195" spans="1:10" hidden="1">
      <c r="A6195" t="s">
        <v>4276</v>
      </c>
      <c r="B6195" t="s">
        <v>4277</v>
      </c>
      <c r="C6195" t="s">
        <v>235</v>
      </c>
      <c r="D6195" t="s">
        <v>1535</v>
      </c>
      <c r="E6195" t="s">
        <v>1116</v>
      </c>
      <c r="F6195" t="s">
        <v>1068</v>
      </c>
      <c r="G6195" t="s">
        <v>1075</v>
      </c>
      <c r="H6195">
        <v>1.4849519215138799E-3</v>
      </c>
      <c r="I6195" t="s">
        <v>1077</v>
      </c>
      <c r="J6195">
        <v>7.78</v>
      </c>
    </row>
    <row r="6196" spans="1:10" hidden="1">
      <c r="A6196" t="s">
        <v>4276</v>
      </c>
      <c r="B6196" t="s">
        <v>4277</v>
      </c>
      <c r="C6196" t="s">
        <v>235</v>
      </c>
      <c r="D6196" t="s">
        <v>1535</v>
      </c>
      <c r="E6196" t="s">
        <v>1116</v>
      </c>
      <c r="F6196" t="s">
        <v>1068</v>
      </c>
      <c r="G6196" t="s">
        <v>1078</v>
      </c>
      <c r="H6196">
        <v>-0.85806848637626298</v>
      </c>
      <c r="I6196" t="s">
        <v>1079</v>
      </c>
      <c r="J6196">
        <v>7.78</v>
      </c>
    </row>
    <row r="6197" spans="1:10" hidden="1">
      <c r="A6197" t="s">
        <v>4276</v>
      </c>
      <c r="B6197" t="s">
        <v>4277</v>
      </c>
      <c r="C6197" t="s">
        <v>235</v>
      </c>
      <c r="D6197" t="s">
        <v>1535</v>
      </c>
      <c r="E6197" t="s">
        <v>1116</v>
      </c>
      <c r="F6197" t="s">
        <v>1068</v>
      </c>
      <c r="G6197" t="s">
        <v>1080</v>
      </c>
      <c r="H6197" s="171" t="s">
        <v>4278</v>
      </c>
      <c r="I6197" t="s">
        <v>1082</v>
      </c>
      <c r="J6197">
        <v>7.78</v>
      </c>
    </row>
    <row r="6198" spans="1:10" hidden="1">
      <c r="A6198" t="s">
        <v>4276</v>
      </c>
      <c r="B6198" t="s">
        <v>4277</v>
      </c>
      <c r="C6198" t="s">
        <v>235</v>
      </c>
      <c r="D6198" t="s">
        <v>1535</v>
      </c>
      <c r="E6198" t="s">
        <v>1116</v>
      </c>
      <c r="F6198" t="s">
        <v>1068</v>
      </c>
      <c r="G6198" t="s">
        <v>1083</v>
      </c>
      <c r="H6198" s="170">
        <v>-8.6470349254203392E-6</v>
      </c>
      <c r="I6198" t="s">
        <v>1084</v>
      </c>
      <c r="J6198">
        <v>7.78</v>
      </c>
    </row>
    <row r="6199" spans="1:10" hidden="1">
      <c r="A6199" t="s">
        <v>4276</v>
      </c>
      <c r="B6199" t="s">
        <v>4277</v>
      </c>
      <c r="C6199" t="s">
        <v>235</v>
      </c>
      <c r="D6199" t="s">
        <v>1535</v>
      </c>
      <c r="E6199" t="s">
        <v>1116</v>
      </c>
      <c r="F6199" t="s">
        <v>1068</v>
      </c>
      <c r="G6199" t="s">
        <v>1085</v>
      </c>
      <c r="H6199" s="170">
        <v>-4.5601139580197301E-5</v>
      </c>
      <c r="I6199" t="s">
        <v>1086</v>
      </c>
      <c r="J6199">
        <v>7.78</v>
      </c>
    </row>
    <row r="6200" spans="1:10" hidden="1">
      <c r="A6200" t="s">
        <v>4276</v>
      </c>
      <c r="B6200" t="s">
        <v>4277</v>
      </c>
      <c r="C6200" t="s">
        <v>235</v>
      </c>
      <c r="D6200" t="s">
        <v>1535</v>
      </c>
      <c r="E6200" t="s">
        <v>1116</v>
      </c>
      <c r="F6200" t="s">
        <v>1068</v>
      </c>
      <c r="G6200" t="s">
        <v>1087</v>
      </c>
      <c r="H6200" s="171" t="s">
        <v>4279</v>
      </c>
      <c r="I6200" t="s">
        <v>1088</v>
      </c>
      <c r="J6200">
        <v>7.78</v>
      </c>
    </row>
    <row r="6201" spans="1:10" hidden="1">
      <c r="A6201" t="s">
        <v>4276</v>
      </c>
      <c r="B6201" t="s">
        <v>4277</v>
      </c>
      <c r="C6201" t="s">
        <v>235</v>
      </c>
      <c r="D6201" t="s">
        <v>1535</v>
      </c>
      <c r="E6201" t="s">
        <v>1116</v>
      </c>
      <c r="F6201" t="s">
        <v>1068</v>
      </c>
      <c r="G6201" t="s">
        <v>1089</v>
      </c>
      <c r="H6201" s="171" t="s">
        <v>4280</v>
      </c>
      <c r="I6201" t="s">
        <v>1090</v>
      </c>
      <c r="J6201">
        <v>7.78</v>
      </c>
    </row>
    <row r="6202" spans="1:10" hidden="1">
      <c r="A6202" t="s">
        <v>4281</v>
      </c>
      <c r="B6202" t="s">
        <v>4282</v>
      </c>
      <c r="C6202" t="s">
        <v>235</v>
      </c>
      <c r="D6202" t="s">
        <v>330</v>
      </c>
      <c r="E6202" t="s">
        <v>561</v>
      </c>
      <c r="F6202" t="s">
        <v>1068</v>
      </c>
      <c r="G6202" t="s">
        <v>1069</v>
      </c>
      <c r="H6202">
        <v>5.2467555441942801E-2</v>
      </c>
      <c r="I6202" t="s">
        <v>1070</v>
      </c>
      <c r="J6202">
        <v>8.33</v>
      </c>
    </row>
    <row r="6203" spans="1:10" hidden="1">
      <c r="A6203" t="s">
        <v>4281</v>
      </c>
      <c r="B6203" t="s">
        <v>4282</v>
      </c>
      <c r="C6203" t="s">
        <v>235</v>
      </c>
      <c r="D6203" t="s">
        <v>330</v>
      </c>
      <c r="E6203" t="s">
        <v>561</v>
      </c>
      <c r="F6203" t="s">
        <v>1068</v>
      </c>
      <c r="G6203" t="s">
        <v>1071</v>
      </c>
      <c r="H6203" s="171" t="s">
        <v>4283</v>
      </c>
      <c r="I6203" t="s">
        <v>1072</v>
      </c>
      <c r="J6203">
        <v>8.33</v>
      </c>
    </row>
    <row r="6204" spans="1:10" hidden="1">
      <c r="A6204" t="s">
        <v>4281</v>
      </c>
      <c r="B6204" t="s">
        <v>4282</v>
      </c>
      <c r="C6204" t="s">
        <v>235</v>
      </c>
      <c r="D6204" t="s">
        <v>330</v>
      </c>
      <c r="E6204" t="s">
        <v>561</v>
      </c>
      <c r="F6204" t="s">
        <v>1068</v>
      </c>
      <c r="G6204" t="s">
        <v>1073</v>
      </c>
      <c r="H6204" s="171" t="s">
        <v>4284</v>
      </c>
      <c r="I6204" t="s">
        <v>1074</v>
      </c>
      <c r="J6204">
        <v>8.33</v>
      </c>
    </row>
    <row r="6205" spans="1:10" hidden="1">
      <c r="A6205" t="s">
        <v>4281</v>
      </c>
      <c r="B6205" t="s">
        <v>4282</v>
      </c>
      <c r="C6205" t="s">
        <v>235</v>
      </c>
      <c r="D6205" t="s">
        <v>330</v>
      </c>
      <c r="E6205" t="s">
        <v>561</v>
      </c>
      <c r="F6205" t="s">
        <v>1068</v>
      </c>
      <c r="G6205" t="s">
        <v>1075</v>
      </c>
      <c r="H6205">
        <v>2.8939872345238198E-3</v>
      </c>
      <c r="I6205" t="s">
        <v>1077</v>
      </c>
      <c r="J6205">
        <v>8.33</v>
      </c>
    </row>
    <row r="6206" spans="1:10" hidden="1">
      <c r="A6206" t="s">
        <v>4281</v>
      </c>
      <c r="B6206" t="s">
        <v>4282</v>
      </c>
      <c r="C6206" t="s">
        <v>235</v>
      </c>
      <c r="D6206" t="s">
        <v>330</v>
      </c>
      <c r="E6206" t="s">
        <v>561</v>
      </c>
      <c r="F6206" t="s">
        <v>1068</v>
      </c>
      <c r="G6206" t="s">
        <v>1078</v>
      </c>
      <c r="H6206">
        <v>-1.4804878785558699</v>
      </c>
      <c r="I6206" t="s">
        <v>1079</v>
      </c>
      <c r="J6206">
        <v>8.33</v>
      </c>
    </row>
    <row r="6207" spans="1:10" hidden="1">
      <c r="A6207" t="s">
        <v>4281</v>
      </c>
      <c r="B6207" t="s">
        <v>4282</v>
      </c>
      <c r="C6207" t="s">
        <v>235</v>
      </c>
      <c r="D6207" t="s">
        <v>330</v>
      </c>
      <c r="E6207" t="s">
        <v>561</v>
      </c>
      <c r="F6207" t="s">
        <v>1068</v>
      </c>
      <c r="G6207" t="s">
        <v>1080</v>
      </c>
      <c r="H6207" s="171" t="s">
        <v>4285</v>
      </c>
      <c r="I6207" t="s">
        <v>1082</v>
      </c>
      <c r="J6207">
        <v>8.33</v>
      </c>
    </row>
    <row r="6208" spans="1:10" hidden="1">
      <c r="A6208" t="s">
        <v>4281</v>
      </c>
      <c r="B6208" t="s">
        <v>4282</v>
      </c>
      <c r="C6208" t="s">
        <v>235</v>
      </c>
      <c r="D6208" t="s">
        <v>330</v>
      </c>
      <c r="E6208" t="s">
        <v>561</v>
      </c>
      <c r="F6208" t="s">
        <v>1068</v>
      </c>
      <c r="G6208" t="s">
        <v>1083</v>
      </c>
      <c r="H6208" s="171" t="s">
        <v>4286</v>
      </c>
      <c r="I6208" t="s">
        <v>1084</v>
      </c>
      <c r="J6208">
        <v>8.33</v>
      </c>
    </row>
    <row r="6209" spans="1:10" hidden="1">
      <c r="A6209" t="s">
        <v>4281</v>
      </c>
      <c r="B6209" t="s">
        <v>4282</v>
      </c>
      <c r="C6209" t="s">
        <v>235</v>
      </c>
      <c r="D6209" t="s">
        <v>330</v>
      </c>
      <c r="E6209" t="s">
        <v>561</v>
      </c>
      <c r="F6209" t="s">
        <v>1068</v>
      </c>
      <c r="G6209" t="s">
        <v>1085</v>
      </c>
      <c r="H6209" s="171" t="s">
        <v>4287</v>
      </c>
      <c r="I6209" t="s">
        <v>1086</v>
      </c>
      <c r="J6209">
        <v>8.33</v>
      </c>
    </row>
    <row r="6210" spans="1:10" hidden="1">
      <c r="A6210" t="s">
        <v>4281</v>
      </c>
      <c r="B6210" t="s">
        <v>4282</v>
      </c>
      <c r="C6210" t="s">
        <v>235</v>
      </c>
      <c r="D6210" t="s">
        <v>330</v>
      </c>
      <c r="E6210" t="s">
        <v>561</v>
      </c>
      <c r="F6210" t="s">
        <v>1068</v>
      </c>
      <c r="G6210" t="s">
        <v>1087</v>
      </c>
      <c r="H6210" s="171" t="s">
        <v>4288</v>
      </c>
      <c r="I6210" t="s">
        <v>1088</v>
      </c>
      <c r="J6210">
        <v>8.33</v>
      </c>
    </row>
    <row r="6211" spans="1:10" hidden="1">
      <c r="A6211" t="s">
        <v>4281</v>
      </c>
      <c r="B6211" t="s">
        <v>4282</v>
      </c>
      <c r="C6211" t="s">
        <v>235</v>
      </c>
      <c r="D6211" t="s">
        <v>330</v>
      </c>
      <c r="E6211" t="s">
        <v>561</v>
      </c>
      <c r="F6211" t="s">
        <v>1068</v>
      </c>
      <c r="G6211" t="s">
        <v>1089</v>
      </c>
      <c r="H6211" s="171" t="s">
        <v>4289</v>
      </c>
      <c r="I6211" t="s">
        <v>1090</v>
      </c>
      <c r="J6211">
        <v>8.33</v>
      </c>
    </row>
    <row r="6212" spans="1:10" hidden="1">
      <c r="A6212" t="s">
        <v>4290</v>
      </c>
      <c r="B6212" s="170" t="s">
        <v>4291</v>
      </c>
      <c r="C6212" t="s">
        <v>235</v>
      </c>
      <c r="D6212" t="s">
        <v>330</v>
      </c>
      <c r="E6212" t="s">
        <v>555</v>
      </c>
      <c r="F6212" t="s">
        <v>1068</v>
      </c>
      <c r="G6212" t="s">
        <v>1069</v>
      </c>
      <c r="H6212" s="171" t="s">
        <v>4292</v>
      </c>
      <c r="I6212" t="s">
        <v>1070</v>
      </c>
      <c r="J6212">
        <v>7.34</v>
      </c>
    </row>
    <row r="6213" spans="1:10" hidden="1">
      <c r="A6213" t="s">
        <v>4290</v>
      </c>
      <c r="B6213" s="170" t="s">
        <v>4291</v>
      </c>
      <c r="C6213" t="s">
        <v>235</v>
      </c>
      <c r="D6213" t="s">
        <v>330</v>
      </c>
      <c r="E6213" t="s">
        <v>555</v>
      </c>
      <c r="F6213" t="s">
        <v>1068</v>
      </c>
      <c r="G6213" t="s">
        <v>1071</v>
      </c>
      <c r="H6213" s="170">
        <v>-2.1665988214640002E-12</v>
      </c>
      <c r="I6213" t="s">
        <v>1072</v>
      </c>
      <c r="J6213">
        <v>7.34</v>
      </c>
    </row>
    <row r="6214" spans="1:10" hidden="1">
      <c r="A6214" t="s">
        <v>4290</v>
      </c>
      <c r="B6214" s="170" t="s">
        <v>4291</v>
      </c>
      <c r="C6214" t="s">
        <v>235</v>
      </c>
      <c r="D6214" t="s">
        <v>330</v>
      </c>
      <c r="E6214" t="s">
        <v>555</v>
      </c>
      <c r="F6214" t="s">
        <v>1068</v>
      </c>
      <c r="G6214" t="s">
        <v>1073</v>
      </c>
      <c r="H6214" s="171" t="s">
        <v>4293</v>
      </c>
      <c r="I6214" t="s">
        <v>1074</v>
      </c>
      <c r="J6214">
        <v>7.34</v>
      </c>
    </row>
    <row r="6215" spans="1:10" hidden="1">
      <c r="A6215" t="s">
        <v>4290</v>
      </c>
      <c r="B6215" s="170" t="s">
        <v>4291</v>
      </c>
      <c r="C6215" t="s">
        <v>235</v>
      </c>
      <c r="D6215" t="s">
        <v>330</v>
      </c>
      <c r="E6215" t="s">
        <v>555</v>
      </c>
      <c r="F6215" t="s">
        <v>1068</v>
      </c>
      <c r="G6215" t="s">
        <v>1075</v>
      </c>
      <c r="H6215">
        <v>2.8160118372266298E-3</v>
      </c>
      <c r="I6215" t="s">
        <v>1077</v>
      </c>
      <c r="J6215">
        <v>7.34</v>
      </c>
    </row>
    <row r="6216" spans="1:10" hidden="1">
      <c r="A6216" t="s">
        <v>4290</v>
      </c>
      <c r="B6216" s="170" t="s">
        <v>4291</v>
      </c>
      <c r="C6216" t="s">
        <v>235</v>
      </c>
      <c r="D6216" t="s">
        <v>330</v>
      </c>
      <c r="E6216" t="s">
        <v>555</v>
      </c>
      <c r="F6216" t="s">
        <v>1068</v>
      </c>
      <c r="G6216" t="s">
        <v>1078</v>
      </c>
      <c r="H6216">
        <v>-1.4815773000277099</v>
      </c>
      <c r="I6216" t="s">
        <v>1079</v>
      </c>
      <c r="J6216">
        <v>7.34</v>
      </c>
    </row>
    <row r="6217" spans="1:10" hidden="1">
      <c r="A6217" t="s">
        <v>4290</v>
      </c>
      <c r="B6217" s="170" t="s">
        <v>4291</v>
      </c>
      <c r="C6217" t="s">
        <v>235</v>
      </c>
      <c r="D6217" t="s">
        <v>330</v>
      </c>
      <c r="E6217" t="s">
        <v>555</v>
      </c>
      <c r="F6217" t="s">
        <v>1068</v>
      </c>
      <c r="G6217" t="s">
        <v>1080</v>
      </c>
      <c r="H6217" s="171" t="s">
        <v>4294</v>
      </c>
      <c r="I6217" t="s">
        <v>1082</v>
      </c>
      <c r="J6217">
        <v>7.34</v>
      </c>
    </row>
    <row r="6218" spans="1:10" hidden="1">
      <c r="A6218" t="s">
        <v>4290</v>
      </c>
      <c r="B6218" s="170" t="s">
        <v>4291</v>
      </c>
      <c r="C6218" t="s">
        <v>235</v>
      </c>
      <c r="D6218" t="s">
        <v>330</v>
      </c>
      <c r="E6218" t="s">
        <v>555</v>
      </c>
      <c r="F6218" t="s">
        <v>1068</v>
      </c>
      <c r="G6218" t="s">
        <v>1083</v>
      </c>
      <c r="H6218" s="171" t="s">
        <v>4295</v>
      </c>
      <c r="I6218" t="s">
        <v>1084</v>
      </c>
      <c r="J6218">
        <v>7.34</v>
      </c>
    </row>
    <row r="6219" spans="1:10" hidden="1">
      <c r="A6219" t="s">
        <v>4290</v>
      </c>
      <c r="B6219" s="170" t="s">
        <v>4291</v>
      </c>
      <c r="C6219" t="s">
        <v>235</v>
      </c>
      <c r="D6219" t="s">
        <v>330</v>
      </c>
      <c r="E6219" t="s">
        <v>555</v>
      </c>
      <c r="F6219" t="s">
        <v>1068</v>
      </c>
      <c r="G6219" t="s">
        <v>1085</v>
      </c>
      <c r="H6219" s="171" t="s">
        <v>4296</v>
      </c>
      <c r="I6219" t="s">
        <v>1086</v>
      </c>
      <c r="J6219">
        <v>7.34</v>
      </c>
    </row>
    <row r="6220" spans="1:10" hidden="1">
      <c r="A6220" t="s">
        <v>4290</v>
      </c>
      <c r="B6220" s="170" t="s">
        <v>4291</v>
      </c>
      <c r="C6220" t="s">
        <v>235</v>
      </c>
      <c r="D6220" t="s">
        <v>330</v>
      </c>
      <c r="E6220" t="s">
        <v>555</v>
      </c>
      <c r="F6220" t="s">
        <v>1068</v>
      </c>
      <c r="G6220" t="s">
        <v>1087</v>
      </c>
      <c r="H6220" s="171" t="s">
        <v>4297</v>
      </c>
      <c r="I6220" t="s">
        <v>1088</v>
      </c>
      <c r="J6220">
        <v>7.34</v>
      </c>
    </row>
    <row r="6221" spans="1:10" hidden="1">
      <c r="A6221" t="s">
        <v>4290</v>
      </c>
      <c r="B6221" s="170" t="s">
        <v>4291</v>
      </c>
      <c r="C6221" t="s">
        <v>235</v>
      </c>
      <c r="D6221" t="s">
        <v>330</v>
      </c>
      <c r="E6221" t="s">
        <v>555</v>
      </c>
      <c r="F6221" t="s">
        <v>1068</v>
      </c>
      <c r="G6221" t="s">
        <v>1089</v>
      </c>
      <c r="H6221" s="171" t="s">
        <v>4298</v>
      </c>
      <c r="I6221" t="s">
        <v>1090</v>
      </c>
      <c r="J6221">
        <v>7.34</v>
      </c>
    </row>
    <row r="6222" spans="1:10" hidden="1">
      <c r="A6222" t="s">
        <v>4299</v>
      </c>
      <c r="B6222" t="s">
        <v>4300</v>
      </c>
      <c r="C6222" t="s">
        <v>235</v>
      </c>
      <c r="D6222" t="s">
        <v>330</v>
      </c>
      <c r="E6222" t="s">
        <v>558</v>
      </c>
      <c r="F6222" t="s">
        <v>1068</v>
      </c>
      <c r="G6222" t="s">
        <v>1069</v>
      </c>
      <c r="H6222">
        <v>5.2697657750931298E-2</v>
      </c>
      <c r="I6222" t="s">
        <v>1070</v>
      </c>
      <c r="J6222">
        <v>7.77</v>
      </c>
    </row>
    <row r="6223" spans="1:10" hidden="1">
      <c r="A6223" t="s">
        <v>4299</v>
      </c>
      <c r="B6223" t="s">
        <v>4300</v>
      </c>
      <c r="C6223" t="s">
        <v>235</v>
      </c>
      <c r="D6223" t="s">
        <v>330</v>
      </c>
      <c r="E6223" t="s">
        <v>558</v>
      </c>
      <c r="F6223" t="s">
        <v>1068</v>
      </c>
      <c r="G6223" t="s">
        <v>1071</v>
      </c>
      <c r="H6223" s="171" t="s">
        <v>4301</v>
      </c>
      <c r="I6223" t="s">
        <v>1072</v>
      </c>
      <c r="J6223">
        <v>7.77</v>
      </c>
    </row>
    <row r="6224" spans="1:10" hidden="1">
      <c r="A6224" t="s">
        <v>4299</v>
      </c>
      <c r="B6224" t="s">
        <v>4300</v>
      </c>
      <c r="C6224" t="s">
        <v>235</v>
      </c>
      <c r="D6224" t="s">
        <v>330</v>
      </c>
      <c r="E6224" t="s">
        <v>558</v>
      </c>
      <c r="F6224" t="s">
        <v>1068</v>
      </c>
      <c r="G6224" t="s">
        <v>1073</v>
      </c>
      <c r="H6224" s="171" t="s">
        <v>4302</v>
      </c>
      <c r="I6224" t="s">
        <v>1074</v>
      </c>
      <c r="J6224">
        <v>7.77</v>
      </c>
    </row>
    <row r="6225" spans="1:10" hidden="1">
      <c r="A6225" t="s">
        <v>4299</v>
      </c>
      <c r="B6225" t="s">
        <v>4300</v>
      </c>
      <c r="C6225" t="s">
        <v>235</v>
      </c>
      <c r="D6225" t="s">
        <v>330</v>
      </c>
      <c r="E6225" t="s">
        <v>558</v>
      </c>
      <c r="F6225" t="s">
        <v>1068</v>
      </c>
      <c r="G6225" t="s">
        <v>1075</v>
      </c>
      <c r="H6225">
        <v>2.9012610143222201E-3</v>
      </c>
      <c r="I6225" t="s">
        <v>1077</v>
      </c>
      <c r="J6225">
        <v>7.77</v>
      </c>
    </row>
    <row r="6226" spans="1:10" hidden="1">
      <c r="A6226" t="s">
        <v>4299</v>
      </c>
      <c r="B6226" t="s">
        <v>4300</v>
      </c>
      <c r="C6226" t="s">
        <v>235</v>
      </c>
      <c r="D6226" t="s">
        <v>330</v>
      </c>
      <c r="E6226" t="s">
        <v>558</v>
      </c>
      <c r="F6226" t="s">
        <v>1068</v>
      </c>
      <c r="G6226" t="s">
        <v>1078</v>
      </c>
      <c r="H6226">
        <v>-1.4801733322595501</v>
      </c>
      <c r="I6226" t="s">
        <v>1079</v>
      </c>
      <c r="J6226">
        <v>7.77</v>
      </c>
    </row>
    <row r="6227" spans="1:10" hidden="1">
      <c r="A6227" t="s">
        <v>4299</v>
      </c>
      <c r="B6227" t="s">
        <v>4300</v>
      </c>
      <c r="C6227" t="s">
        <v>235</v>
      </c>
      <c r="D6227" t="s">
        <v>330</v>
      </c>
      <c r="E6227" t="s">
        <v>558</v>
      </c>
      <c r="F6227" t="s">
        <v>1068</v>
      </c>
      <c r="G6227" t="s">
        <v>1080</v>
      </c>
      <c r="H6227" s="171" t="s">
        <v>4303</v>
      </c>
      <c r="I6227" t="s">
        <v>1082</v>
      </c>
      <c r="J6227">
        <v>7.77</v>
      </c>
    </row>
    <row r="6228" spans="1:10" hidden="1">
      <c r="A6228" t="s">
        <v>4299</v>
      </c>
      <c r="B6228" t="s">
        <v>4300</v>
      </c>
      <c r="C6228" t="s">
        <v>235</v>
      </c>
      <c r="D6228" t="s">
        <v>330</v>
      </c>
      <c r="E6228" t="s">
        <v>558</v>
      </c>
      <c r="F6228" t="s">
        <v>1068</v>
      </c>
      <c r="G6228" t="s">
        <v>1083</v>
      </c>
      <c r="H6228" s="171" t="s">
        <v>4304</v>
      </c>
      <c r="I6228" t="s">
        <v>1084</v>
      </c>
      <c r="J6228">
        <v>7.77</v>
      </c>
    </row>
    <row r="6229" spans="1:10" hidden="1">
      <c r="A6229" t="s">
        <v>4299</v>
      </c>
      <c r="B6229" t="s">
        <v>4300</v>
      </c>
      <c r="C6229" t="s">
        <v>235</v>
      </c>
      <c r="D6229" t="s">
        <v>330</v>
      </c>
      <c r="E6229" t="s">
        <v>558</v>
      </c>
      <c r="F6229" t="s">
        <v>1068</v>
      </c>
      <c r="G6229" t="s">
        <v>1085</v>
      </c>
      <c r="H6229" s="171" t="s">
        <v>4305</v>
      </c>
      <c r="I6229" t="s">
        <v>1086</v>
      </c>
      <c r="J6229">
        <v>7.77</v>
      </c>
    </row>
    <row r="6230" spans="1:10" hidden="1">
      <c r="A6230" t="s">
        <v>4299</v>
      </c>
      <c r="B6230" t="s">
        <v>4300</v>
      </c>
      <c r="C6230" t="s">
        <v>235</v>
      </c>
      <c r="D6230" t="s">
        <v>330</v>
      </c>
      <c r="E6230" t="s">
        <v>558</v>
      </c>
      <c r="F6230" t="s">
        <v>1068</v>
      </c>
      <c r="G6230" t="s">
        <v>1087</v>
      </c>
      <c r="H6230" s="171" t="s">
        <v>4306</v>
      </c>
      <c r="I6230" t="s">
        <v>1088</v>
      </c>
      <c r="J6230">
        <v>7.77</v>
      </c>
    </row>
    <row r="6231" spans="1:10" hidden="1">
      <c r="A6231" t="s">
        <v>4299</v>
      </c>
      <c r="B6231" t="s">
        <v>4300</v>
      </c>
      <c r="C6231" t="s">
        <v>235</v>
      </c>
      <c r="D6231" t="s">
        <v>330</v>
      </c>
      <c r="E6231" t="s">
        <v>558</v>
      </c>
      <c r="F6231" t="s">
        <v>1068</v>
      </c>
      <c r="G6231" t="s">
        <v>1089</v>
      </c>
      <c r="H6231" s="171" t="s">
        <v>4307</v>
      </c>
      <c r="I6231" t="s">
        <v>1090</v>
      </c>
      <c r="J6231">
        <v>7.77</v>
      </c>
    </row>
    <row r="6232" spans="1:10" hidden="1">
      <c r="A6232" t="s">
        <v>4308</v>
      </c>
      <c r="B6232" t="s">
        <v>4309</v>
      </c>
      <c r="C6232" t="s">
        <v>235</v>
      </c>
      <c r="D6232" t="s">
        <v>330</v>
      </c>
      <c r="E6232" t="s">
        <v>553</v>
      </c>
      <c r="F6232" t="s">
        <v>1068</v>
      </c>
      <c r="G6232" t="s">
        <v>1069</v>
      </c>
      <c r="H6232" s="171" t="s">
        <v>4310</v>
      </c>
      <c r="I6232" t="s">
        <v>1070</v>
      </c>
      <c r="J6232">
        <v>7.75</v>
      </c>
    </row>
    <row r="6233" spans="1:10" hidden="1">
      <c r="A6233" t="s">
        <v>4308</v>
      </c>
      <c r="B6233" t="s">
        <v>4309</v>
      </c>
      <c r="C6233" t="s">
        <v>235</v>
      </c>
      <c r="D6233" t="s">
        <v>330</v>
      </c>
      <c r="E6233" t="s">
        <v>553</v>
      </c>
      <c r="F6233" t="s">
        <v>1068</v>
      </c>
      <c r="G6233" t="s">
        <v>1071</v>
      </c>
      <c r="H6233" s="171" t="s">
        <v>4311</v>
      </c>
      <c r="I6233" t="s">
        <v>1072</v>
      </c>
      <c r="J6233">
        <v>7.75</v>
      </c>
    </row>
    <row r="6234" spans="1:10" hidden="1">
      <c r="A6234" t="s">
        <v>4308</v>
      </c>
      <c r="B6234" t="s">
        <v>4309</v>
      </c>
      <c r="C6234" t="s">
        <v>235</v>
      </c>
      <c r="D6234" t="s">
        <v>330</v>
      </c>
      <c r="E6234" t="s">
        <v>553</v>
      </c>
      <c r="F6234" t="s">
        <v>1068</v>
      </c>
      <c r="G6234" t="s">
        <v>1073</v>
      </c>
      <c r="H6234" s="171" t="s">
        <v>4312</v>
      </c>
      <c r="I6234" t="s">
        <v>1074</v>
      </c>
      <c r="J6234">
        <v>7.75</v>
      </c>
    </row>
    <row r="6235" spans="1:10" hidden="1">
      <c r="A6235" t="s">
        <v>4308</v>
      </c>
      <c r="B6235" t="s">
        <v>4309</v>
      </c>
      <c r="C6235" t="s">
        <v>235</v>
      </c>
      <c r="D6235" t="s">
        <v>330</v>
      </c>
      <c r="E6235" t="s">
        <v>553</v>
      </c>
      <c r="F6235" t="s">
        <v>1068</v>
      </c>
      <c r="G6235" t="s">
        <v>1075</v>
      </c>
      <c r="H6235">
        <v>2.91280593666173E-3</v>
      </c>
      <c r="I6235" t="s">
        <v>1077</v>
      </c>
      <c r="J6235">
        <v>7.75</v>
      </c>
    </row>
    <row r="6236" spans="1:10" hidden="1">
      <c r="A6236" t="s">
        <v>4308</v>
      </c>
      <c r="B6236" t="s">
        <v>4309</v>
      </c>
      <c r="C6236" t="s">
        <v>235</v>
      </c>
      <c r="D6236" t="s">
        <v>330</v>
      </c>
      <c r="E6236" t="s">
        <v>553</v>
      </c>
      <c r="F6236" t="s">
        <v>1068</v>
      </c>
      <c r="G6236" t="s">
        <v>1078</v>
      </c>
      <c r="H6236">
        <v>-1.47739154979515</v>
      </c>
      <c r="I6236" t="s">
        <v>1079</v>
      </c>
      <c r="J6236">
        <v>7.75</v>
      </c>
    </row>
    <row r="6237" spans="1:10" hidden="1">
      <c r="A6237" t="s">
        <v>4308</v>
      </c>
      <c r="B6237" t="s">
        <v>4309</v>
      </c>
      <c r="C6237" t="s">
        <v>235</v>
      </c>
      <c r="D6237" t="s">
        <v>330</v>
      </c>
      <c r="E6237" t="s">
        <v>553</v>
      </c>
      <c r="F6237" t="s">
        <v>1068</v>
      </c>
      <c r="G6237" t="s">
        <v>1080</v>
      </c>
      <c r="H6237" s="171" t="s">
        <v>4313</v>
      </c>
      <c r="I6237" t="s">
        <v>1082</v>
      </c>
      <c r="J6237">
        <v>7.75</v>
      </c>
    </row>
    <row r="6238" spans="1:10" hidden="1">
      <c r="A6238" t="s">
        <v>4308</v>
      </c>
      <c r="B6238" t="s">
        <v>4309</v>
      </c>
      <c r="C6238" t="s">
        <v>235</v>
      </c>
      <c r="D6238" t="s">
        <v>330</v>
      </c>
      <c r="E6238" t="s">
        <v>553</v>
      </c>
      <c r="F6238" t="s">
        <v>1068</v>
      </c>
      <c r="G6238" t="s">
        <v>1083</v>
      </c>
      <c r="H6238" s="171" t="s">
        <v>4314</v>
      </c>
      <c r="I6238" t="s">
        <v>1084</v>
      </c>
      <c r="J6238">
        <v>7.75</v>
      </c>
    </row>
    <row r="6239" spans="1:10" hidden="1">
      <c r="A6239" t="s">
        <v>4308</v>
      </c>
      <c r="B6239" t="s">
        <v>4309</v>
      </c>
      <c r="C6239" t="s">
        <v>235</v>
      </c>
      <c r="D6239" t="s">
        <v>330</v>
      </c>
      <c r="E6239" t="s">
        <v>553</v>
      </c>
      <c r="F6239" t="s">
        <v>1068</v>
      </c>
      <c r="G6239" t="s">
        <v>1085</v>
      </c>
      <c r="H6239" s="171" t="s">
        <v>4315</v>
      </c>
      <c r="I6239" t="s">
        <v>1086</v>
      </c>
      <c r="J6239">
        <v>7.75</v>
      </c>
    </row>
    <row r="6240" spans="1:10" hidden="1">
      <c r="A6240" t="s">
        <v>4308</v>
      </c>
      <c r="B6240" t="s">
        <v>4309</v>
      </c>
      <c r="C6240" t="s">
        <v>235</v>
      </c>
      <c r="D6240" t="s">
        <v>330</v>
      </c>
      <c r="E6240" t="s">
        <v>553</v>
      </c>
      <c r="F6240" t="s">
        <v>1068</v>
      </c>
      <c r="G6240" t="s">
        <v>1087</v>
      </c>
      <c r="H6240" s="171" t="s">
        <v>4316</v>
      </c>
      <c r="I6240" t="s">
        <v>1088</v>
      </c>
      <c r="J6240">
        <v>7.75</v>
      </c>
    </row>
    <row r="6241" spans="1:10" hidden="1">
      <c r="A6241" t="s">
        <v>4308</v>
      </c>
      <c r="B6241" t="s">
        <v>4309</v>
      </c>
      <c r="C6241" t="s">
        <v>235</v>
      </c>
      <c r="D6241" t="s">
        <v>330</v>
      </c>
      <c r="E6241" t="s">
        <v>553</v>
      </c>
      <c r="F6241" t="s">
        <v>1068</v>
      </c>
      <c r="G6241" t="s">
        <v>1089</v>
      </c>
      <c r="H6241" s="171" t="s">
        <v>4317</v>
      </c>
      <c r="I6241" t="s">
        <v>1090</v>
      </c>
      <c r="J6241">
        <v>7.75</v>
      </c>
    </row>
    <row r="6242" spans="1:10" hidden="1">
      <c r="A6242" t="s">
        <v>4318</v>
      </c>
      <c r="B6242" t="s">
        <v>4319</v>
      </c>
      <c r="C6242" t="s">
        <v>235</v>
      </c>
      <c r="D6242" t="s">
        <v>330</v>
      </c>
      <c r="E6242" t="s">
        <v>556</v>
      </c>
      <c r="F6242" t="s">
        <v>1068</v>
      </c>
      <c r="G6242" t="s">
        <v>1069</v>
      </c>
      <c r="H6242" s="171" t="s">
        <v>4320</v>
      </c>
      <c r="I6242" t="s">
        <v>1070</v>
      </c>
      <c r="J6242">
        <v>9.34</v>
      </c>
    </row>
    <row r="6243" spans="1:10" hidden="1">
      <c r="A6243" t="s">
        <v>4318</v>
      </c>
      <c r="B6243" t="s">
        <v>4319</v>
      </c>
      <c r="C6243" t="s">
        <v>235</v>
      </c>
      <c r="D6243" t="s">
        <v>330</v>
      </c>
      <c r="E6243" t="s">
        <v>556</v>
      </c>
      <c r="F6243" t="s">
        <v>1068</v>
      </c>
      <c r="G6243" t="s">
        <v>1071</v>
      </c>
      <c r="H6243" s="171" t="s">
        <v>4321</v>
      </c>
      <c r="I6243" t="s">
        <v>1072</v>
      </c>
      <c r="J6243">
        <v>9.34</v>
      </c>
    </row>
    <row r="6244" spans="1:10" hidden="1">
      <c r="A6244" t="s">
        <v>4318</v>
      </c>
      <c r="B6244" t="s">
        <v>4319</v>
      </c>
      <c r="C6244" t="s">
        <v>235</v>
      </c>
      <c r="D6244" t="s">
        <v>330</v>
      </c>
      <c r="E6244" t="s">
        <v>556</v>
      </c>
      <c r="F6244" t="s">
        <v>1068</v>
      </c>
      <c r="G6244" t="s">
        <v>1073</v>
      </c>
      <c r="H6244" s="171" t="s">
        <v>4322</v>
      </c>
      <c r="I6244" t="s">
        <v>1074</v>
      </c>
      <c r="J6244">
        <v>9.34</v>
      </c>
    </row>
    <row r="6245" spans="1:10" hidden="1">
      <c r="A6245" t="s">
        <v>4318</v>
      </c>
      <c r="B6245" t="s">
        <v>4319</v>
      </c>
      <c r="C6245" t="s">
        <v>235</v>
      </c>
      <c r="D6245" t="s">
        <v>330</v>
      </c>
      <c r="E6245" t="s">
        <v>556</v>
      </c>
      <c r="F6245" t="s">
        <v>1068</v>
      </c>
      <c r="G6245" t="s">
        <v>1075</v>
      </c>
      <c r="H6245">
        <v>2.9078457081871999E-3</v>
      </c>
      <c r="I6245" t="s">
        <v>1077</v>
      </c>
      <c r="J6245">
        <v>9.34</v>
      </c>
    </row>
    <row r="6246" spans="1:10" hidden="1">
      <c r="A6246" t="s">
        <v>4318</v>
      </c>
      <c r="B6246" t="s">
        <v>4319</v>
      </c>
      <c r="C6246" t="s">
        <v>235</v>
      </c>
      <c r="D6246" t="s">
        <v>330</v>
      </c>
      <c r="E6246" t="s">
        <v>556</v>
      </c>
      <c r="F6246" t="s">
        <v>1068</v>
      </c>
      <c r="G6246" t="s">
        <v>1078</v>
      </c>
      <c r="H6246">
        <v>-1.4691234067535699</v>
      </c>
      <c r="I6246" t="s">
        <v>1079</v>
      </c>
      <c r="J6246">
        <v>9.34</v>
      </c>
    </row>
    <row r="6247" spans="1:10" hidden="1">
      <c r="A6247" t="s">
        <v>4318</v>
      </c>
      <c r="B6247" t="s">
        <v>4319</v>
      </c>
      <c r="C6247" t="s">
        <v>235</v>
      </c>
      <c r="D6247" t="s">
        <v>330</v>
      </c>
      <c r="E6247" t="s">
        <v>556</v>
      </c>
      <c r="F6247" t="s">
        <v>1068</v>
      </c>
      <c r="G6247" t="s">
        <v>1080</v>
      </c>
      <c r="H6247" s="171" t="s">
        <v>4323</v>
      </c>
      <c r="I6247" t="s">
        <v>1082</v>
      </c>
      <c r="J6247">
        <v>9.34</v>
      </c>
    </row>
    <row r="6248" spans="1:10" hidden="1">
      <c r="A6248" t="s">
        <v>4318</v>
      </c>
      <c r="B6248" t="s">
        <v>4319</v>
      </c>
      <c r="C6248" t="s">
        <v>235</v>
      </c>
      <c r="D6248" t="s">
        <v>330</v>
      </c>
      <c r="E6248" t="s">
        <v>556</v>
      </c>
      <c r="F6248" t="s">
        <v>1068</v>
      </c>
      <c r="G6248" t="s">
        <v>1083</v>
      </c>
      <c r="H6248" s="171" t="s">
        <v>4324</v>
      </c>
      <c r="I6248" t="s">
        <v>1084</v>
      </c>
      <c r="J6248">
        <v>9.34</v>
      </c>
    </row>
    <row r="6249" spans="1:10" hidden="1">
      <c r="A6249" t="s">
        <v>4318</v>
      </c>
      <c r="B6249" t="s">
        <v>4319</v>
      </c>
      <c r="C6249" t="s">
        <v>235</v>
      </c>
      <c r="D6249" t="s">
        <v>330</v>
      </c>
      <c r="E6249" t="s">
        <v>556</v>
      </c>
      <c r="F6249" t="s">
        <v>1068</v>
      </c>
      <c r="G6249" t="s">
        <v>1085</v>
      </c>
      <c r="H6249" s="171" t="s">
        <v>4325</v>
      </c>
      <c r="I6249" t="s">
        <v>1086</v>
      </c>
      <c r="J6249">
        <v>9.34</v>
      </c>
    </row>
    <row r="6250" spans="1:10" hidden="1">
      <c r="A6250" t="s">
        <v>4318</v>
      </c>
      <c r="B6250" t="s">
        <v>4319</v>
      </c>
      <c r="C6250" t="s">
        <v>235</v>
      </c>
      <c r="D6250" t="s">
        <v>330</v>
      </c>
      <c r="E6250" t="s">
        <v>556</v>
      </c>
      <c r="F6250" t="s">
        <v>1068</v>
      </c>
      <c r="G6250" t="s">
        <v>1087</v>
      </c>
      <c r="H6250" s="171" t="s">
        <v>4326</v>
      </c>
      <c r="I6250" t="s">
        <v>1088</v>
      </c>
      <c r="J6250">
        <v>9.34</v>
      </c>
    </row>
    <row r="6251" spans="1:10" hidden="1">
      <c r="A6251" t="s">
        <v>4318</v>
      </c>
      <c r="B6251" t="s">
        <v>4319</v>
      </c>
      <c r="C6251" t="s">
        <v>235</v>
      </c>
      <c r="D6251" t="s">
        <v>330</v>
      </c>
      <c r="E6251" t="s">
        <v>556</v>
      </c>
      <c r="F6251" t="s">
        <v>1068</v>
      </c>
      <c r="G6251" t="s">
        <v>1089</v>
      </c>
      <c r="H6251" s="171" t="s">
        <v>4327</v>
      </c>
      <c r="I6251" t="s">
        <v>1090</v>
      </c>
      <c r="J6251">
        <v>9.34</v>
      </c>
    </row>
    <row r="6252" spans="1:10" hidden="1">
      <c r="A6252" t="s">
        <v>4328</v>
      </c>
      <c r="B6252" t="s">
        <v>4329</v>
      </c>
      <c r="C6252" t="s">
        <v>235</v>
      </c>
      <c r="D6252" t="s">
        <v>330</v>
      </c>
      <c r="E6252" t="s">
        <v>557</v>
      </c>
      <c r="F6252" t="s">
        <v>1068</v>
      </c>
      <c r="G6252" t="s">
        <v>1069</v>
      </c>
      <c r="H6252">
        <v>5.17472351703262E-2</v>
      </c>
      <c r="I6252" t="s">
        <v>1070</v>
      </c>
      <c r="J6252">
        <v>8.31</v>
      </c>
    </row>
    <row r="6253" spans="1:10" hidden="1">
      <c r="A6253" t="s">
        <v>4328</v>
      </c>
      <c r="B6253" t="s">
        <v>4329</v>
      </c>
      <c r="C6253" t="s">
        <v>235</v>
      </c>
      <c r="D6253" t="s">
        <v>330</v>
      </c>
      <c r="E6253" t="s">
        <v>557</v>
      </c>
      <c r="F6253" t="s">
        <v>1068</v>
      </c>
      <c r="G6253" t="s">
        <v>1071</v>
      </c>
      <c r="H6253" s="171" t="s">
        <v>4330</v>
      </c>
      <c r="I6253" t="s">
        <v>1072</v>
      </c>
      <c r="J6253">
        <v>8.31</v>
      </c>
    </row>
    <row r="6254" spans="1:10" hidden="1">
      <c r="A6254" t="s">
        <v>4328</v>
      </c>
      <c r="B6254" t="s">
        <v>4329</v>
      </c>
      <c r="C6254" t="s">
        <v>235</v>
      </c>
      <c r="D6254" t="s">
        <v>330</v>
      </c>
      <c r="E6254" t="s">
        <v>557</v>
      </c>
      <c r="F6254" t="s">
        <v>1068</v>
      </c>
      <c r="G6254" t="s">
        <v>1073</v>
      </c>
      <c r="H6254" s="171" t="s">
        <v>4331</v>
      </c>
      <c r="I6254" t="s">
        <v>1074</v>
      </c>
      <c r="J6254">
        <v>8.31</v>
      </c>
    </row>
    <row r="6255" spans="1:10" hidden="1">
      <c r="A6255" t="s">
        <v>4328</v>
      </c>
      <c r="B6255" t="s">
        <v>4329</v>
      </c>
      <c r="C6255" t="s">
        <v>235</v>
      </c>
      <c r="D6255" t="s">
        <v>330</v>
      </c>
      <c r="E6255" t="s">
        <v>557</v>
      </c>
      <c r="F6255" t="s">
        <v>1068</v>
      </c>
      <c r="G6255" t="s">
        <v>1075</v>
      </c>
      <c r="H6255">
        <v>2.8712171412418599E-3</v>
      </c>
      <c r="I6255" t="s">
        <v>1077</v>
      </c>
      <c r="J6255">
        <v>8.31</v>
      </c>
    </row>
    <row r="6256" spans="1:10" hidden="1">
      <c r="A6256" t="s">
        <v>4328</v>
      </c>
      <c r="B6256" t="s">
        <v>4329</v>
      </c>
      <c r="C6256" t="s">
        <v>235</v>
      </c>
      <c r="D6256" t="s">
        <v>330</v>
      </c>
      <c r="E6256" t="s">
        <v>557</v>
      </c>
      <c r="F6256" t="s">
        <v>1068</v>
      </c>
      <c r="G6256" t="s">
        <v>1078</v>
      </c>
      <c r="H6256">
        <v>-1.4814725452226001</v>
      </c>
      <c r="I6256" t="s">
        <v>1079</v>
      </c>
      <c r="J6256">
        <v>8.31</v>
      </c>
    </row>
    <row r="6257" spans="1:10" hidden="1">
      <c r="A6257" t="s">
        <v>4328</v>
      </c>
      <c r="B6257" t="s">
        <v>4329</v>
      </c>
      <c r="C6257" t="s">
        <v>235</v>
      </c>
      <c r="D6257" t="s">
        <v>330</v>
      </c>
      <c r="E6257" t="s">
        <v>557</v>
      </c>
      <c r="F6257" t="s">
        <v>1068</v>
      </c>
      <c r="G6257" t="s">
        <v>1080</v>
      </c>
      <c r="H6257" s="171" t="s">
        <v>4332</v>
      </c>
      <c r="I6257" t="s">
        <v>1082</v>
      </c>
      <c r="J6257">
        <v>8.31</v>
      </c>
    </row>
    <row r="6258" spans="1:10" hidden="1">
      <c r="A6258" t="s">
        <v>4328</v>
      </c>
      <c r="B6258" t="s">
        <v>4329</v>
      </c>
      <c r="C6258" t="s">
        <v>235</v>
      </c>
      <c r="D6258" t="s">
        <v>330</v>
      </c>
      <c r="E6258" t="s">
        <v>557</v>
      </c>
      <c r="F6258" t="s">
        <v>1068</v>
      </c>
      <c r="G6258" t="s">
        <v>1083</v>
      </c>
      <c r="H6258" s="171" t="s">
        <v>4333</v>
      </c>
      <c r="I6258" t="s">
        <v>1084</v>
      </c>
      <c r="J6258">
        <v>8.31</v>
      </c>
    </row>
    <row r="6259" spans="1:10" hidden="1">
      <c r="A6259" t="s">
        <v>4328</v>
      </c>
      <c r="B6259" t="s">
        <v>4329</v>
      </c>
      <c r="C6259" t="s">
        <v>235</v>
      </c>
      <c r="D6259" t="s">
        <v>330</v>
      </c>
      <c r="E6259" t="s">
        <v>557</v>
      </c>
      <c r="F6259" t="s">
        <v>1068</v>
      </c>
      <c r="G6259" t="s">
        <v>1085</v>
      </c>
      <c r="H6259" s="171" t="s">
        <v>4334</v>
      </c>
      <c r="I6259" t="s">
        <v>1086</v>
      </c>
      <c r="J6259">
        <v>8.31</v>
      </c>
    </row>
    <row r="6260" spans="1:10" hidden="1">
      <c r="A6260" t="s">
        <v>4328</v>
      </c>
      <c r="B6260" t="s">
        <v>4329</v>
      </c>
      <c r="C6260" t="s">
        <v>235</v>
      </c>
      <c r="D6260" t="s">
        <v>330</v>
      </c>
      <c r="E6260" t="s">
        <v>557</v>
      </c>
      <c r="F6260" t="s">
        <v>1068</v>
      </c>
      <c r="G6260" t="s">
        <v>1087</v>
      </c>
      <c r="H6260" s="171" t="s">
        <v>4335</v>
      </c>
      <c r="I6260" t="s">
        <v>1088</v>
      </c>
      <c r="J6260">
        <v>8.31</v>
      </c>
    </row>
    <row r="6261" spans="1:10" hidden="1">
      <c r="A6261" t="s">
        <v>4328</v>
      </c>
      <c r="B6261" t="s">
        <v>4329</v>
      </c>
      <c r="C6261" t="s">
        <v>235</v>
      </c>
      <c r="D6261" t="s">
        <v>330</v>
      </c>
      <c r="E6261" t="s">
        <v>557</v>
      </c>
      <c r="F6261" t="s">
        <v>1068</v>
      </c>
      <c r="G6261" t="s">
        <v>1089</v>
      </c>
      <c r="H6261" s="171" t="s">
        <v>4336</v>
      </c>
      <c r="I6261" t="s">
        <v>1090</v>
      </c>
      <c r="J6261">
        <v>8.31</v>
      </c>
    </row>
    <row r="6262" spans="1:10" hidden="1">
      <c r="A6262" t="s">
        <v>4337</v>
      </c>
      <c r="B6262" t="s">
        <v>4338</v>
      </c>
      <c r="C6262" t="s">
        <v>235</v>
      </c>
      <c r="D6262" t="s">
        <v>330</v>
      </c>
      <c r="E6262" t="s">
        <v>559</v>
      </c>
      <c r="F6262" t="s">
        <v>1068</v>
      </c>
      <c r="G6262" t="s">
        <v>1069</v>
      </c>
      <c r="H6262">
        <v>5.0995636740216503E-2</v>
      </c>
      <c r="I6262" t="s">
        <v>1070</v>
      </c>
      <c r="J6262">
        <v>8.57</v>
      </c>
    </row>
    <row r="6263" spans="1:10" hidden="1">
      <c r="A6263" t="s">
        <v>4337</v>
      </c>
      <c r="B6263" t="s">
        <v>4338</v>
      </c>
      <c r="C6263" t="s">
        <v>235</v>
      </c>
      <c r="D6263" t="s">
        <v>330</v>
      </c>
      <c r="E6263" t="s">
        <v>559</v>
      </c>
      <c r="F6263" t="s">
        <v>1068</v>
      </c>
      <c r="G6263" t="s">
        <v>1071</v>
      </c>
      <c r="H6263" s="170">
        <v>-5.7470803091554696E-13</v>
      </c>
      <c r="I6263" t="s">
        <v>1072</v>
      </c>
      <c r="J6263">
        <v>8.57</v>
      </c>
    </row>
    <row r="6264" spans="1:10" hidden="1">
      <c r="A6264" t="s">
        <v>4337</v>
      </c>
      <c r="B6264" t="s">
        <v>4338</v>
      </c>
      <c r="C6264" t="s">
        <v>235</v>
      </c>
      <c r="D6264" t="s">
        <v>330</v>
      </c>
      <c r="E6264" t="s">
        <v>559</v>
      </c>
      <c r="F6264" t="s">
        <v>1068</v>
      </c>
      <c r="G6264" t="s">
        <v>1073</v>
      </c>
      <c r="H6264" s="171" t="s">
        <v>4339</v>
      </c>
      <c r="I6264" t="s">
        <v>1074</v>
      </c>
      <c r="J6264">
        <v>8.57</v>
      </c>
    </row>
    <row r="6265" spans="1:10" hidden="1">
      <c r="A6265" t="s">
        <v>4337</v>
      </c>
      <c r="B6265" t="s">
        <v>4338</v>
      </c>
      <c r="C6265" t="s">
        <v>235</v>
      </c>
      <c r="D6265" t="s">
        <v>330</v>
      </c>
      <c r="E6265" t="s">
        <v>559</v>
      </c>
      <c r="F6265" t="s">
        <v>1068</v>
      </c>
      <c r="G6265" t="s">
        <v>1075</v>
      </c>
      <c r="H6265">
        <v>2.8511767347742102E-3</v>
      </c>
      <c r="I6265" t="s">
        <v>1077</v>
      </c>
      <c r="J6265">
        <v>8.57</v>
      </c>
    </row>
    <row r="6266" spans="1:10" hidden="1">
      <c r="A6266" t="s">
        <v>4337</v>
      </c>
      <c r="B6266" t="s">
        <v>4338</v>
      </c>
      <c r="C6266" t="s">
        <v>235</v>
      </c>
      <c r="D6266" t="s">
        <v>330</v>
      </c>
      <c r="E6266" t="s">
        <v>559</v>
      </c>
      <c r="F6266" t="s">
        <v>1068</v>
      </c>
      <c r="G6266" t="s">
        <v>1078</v>
      </c>
      <c r="H6266">
        <v>-1.48005663421289</v>
      </c>
      <c r="I6266" t="s">
        <v>1079</v>
      </c>
      <c r="J6266">
        <v>8.57</v>
      </c>
    </row>
    <row r="6267" spans="1:10" hidden="1">
      <c r="A6267" t="s">
        <v>4337</v>
      </c>
      <c r="B6267" t="s">
        <v>4338</v>
      </c>
      <c r="C6267" t="s">
        <v>235</v>
      </c>
      <c r="D6267" t="s">
        <v>330</v>
      </c>
      <c r="E6267" t="s">
        <v>559</v>
      </c>
      <c r="F6267" t="s">
        <v>1068</v>
      </c>
      <c r="G6267" t="s">
        <v>1080</v>
      </c>
      <c r="H6267" s="171" t="s">
        <v>4340</v>
      </c>
      <c r="I6267" t="s">
        <v>1082</v>
      </c>
      <c r="J6267">
        <v>8.57</v>
      </c>
    </row>
    <row r="6268" spans="1:10" hidden="1">
      <c r="A6268" t="s">
        <v>4337</v>
      </c>
      <c r="B6268" t="s">
        <v>4338</v>
      </c>
      <c r="C6268" t="s">
        <v>235</v>
      </c>
      <c r="D6268" t="s">
        <v>330</v>
      </c>
      <c r="E6268" t="s">
        <v>559</v>
      </c>
      <c r="F6268" t="s">
        <v>1068</v>
      </c>
      <c r="G6268" t="s">
        <v>1083</v>
      </c>
      <c r="H6268" s="171" t="s">
        <v>4341</v>
      </c>
      <c r="I6268" t="s">
        <v>1084</v>
      </c>
      <c r="J6268">
        <v>8.57</v>
      </c>
    </row>
    <row r="6269" spans="1:10" hidden="1">
      <c r="A6269" t="s">
        <v>4337</v>
      </c>
      <c r="B6269" t="s">
        <v>4338</v>
      </c>
      <c r="C6269" t="s">
        <v>235</v>
      </c>
      <c r="D6269" t="s">
        <v>330</v>
      </c>
      <c r="E6269" t="s">
        <v>559</v>
      </c>
      <c r="F6269" t="s">
        <v>1068</v>
      </c>
      <c r="G6269" t="s">
        <v>1085</v>
      </c>
      <c r="H6269" s="171" t="s">
        <v>4342</v>
      </c>
      <c r="I6269" t="s">
        <v>1086</v>
      </c>
      <c r="J6269">
        <v>8.57</v>
      </c>
    </row>
    <row r="6270" spans="1:10" hidden="1">
      <c r="A6270" t="s">
        <v>4337</v>
      </c>
      <c r="B6270" t="s">
        <v>4338</v>
      </c>
      <c r="C6270" t="s">
        <v>235</v>
      </c>
      <c r="D6270" t="s">
        <v>330</v>
      </c>
      <c r="E6270" t="s">
        <v>559</v>
      </c>
      <c r="F6270" t="s">
        <v>1068</v>
      </c>
      <c r="G6270" t="s">
        <v>1087</v>
      </c>
      <c r="H6270" s="171" t="s">
        <v>4343</v>
      </c>
      <c r="I6270" t="s">
        <v>1088</v>
      </c>
      <c r="J6270">
        <v>8.57</v>
      </c>
    </row>
    <row r="6271" spans="1:10" hidden="1">
      <c r="A6271" t="s">
        <v>4337</v>
      </c>
      <c r="B6271" t="s">
        <v>4338</v>
      </c>
      <c r="C6271" t="s">
        <v>235</v>
      </c>
      <c r="D6271" t="s">
        <v>330</v>
      </c>
      <c r="E6271" t="s">
        <v>559</v>
      </c>
      <c r="F6271" t="s">
        <v>1068</v>
      </c>
      <c r="G6271" t="s">
        <v>1089</v>
      </c>
      <c r="H6271" s="171" t="s">
        <v>4344</v>
      </c>
      <c r="I6271" t="s">
        <v>1090</v>
      </c>
      <c r="J6271">
        <v>8.57</v>
      </c>
    </row>
    <row r="6272" spans="1:10" hidden="1">
      <c r="A6272" t="s">
        <v>4345</v>
      </c>
      <c r="B6272" t="s">
        <v>4346</v>
      </c>
      <c r="C6272" t="s">
        <v>235</v>
      </c>
      <c r="D6272" t="s">
        <v>330</v>
      </c>
      <c r="E6272" t="s">
        <v>560</v>
      </c>
      <c r="F6272" t="s">
        <v>1068</v>
      </c>
      <c r="G6272" t="s">
        <v>1069</v>
      </c>
      <c r="H6272">
        <v>5.12403431273366E-2</v>
      </c>
      <c r="I6272" t="s">
        <v>1070</v>
      </c>
      <c r="J6272">
        <v>7.55</v>
      </c>
    </row>
    <row r="6273" spans="1:10" hidden="1">
      <c r="A6273" t="s">
        <v>4345</v>
      </c>
      <c r="B6273" t="s">
        <v>4346</v>
      </c>
      <c r="C6273" t="s">
        <v>235</v>
      </c>
      <c r="D6273" t="s">
        <v>330</v>
      </c>
      <c r="E6273" t="s">
        <v>560</v>
      </c>
      <c r="F6273" t="s">
        <v>1068</v>
      </c>
      <c r="G6273" t="s">
        <v>1071</v>
      </c>
      <c r="H6273" s="170">
        <v>-1.37985902476316E-13</v>
      </c>
      <c r="I6273" t="s">
        <v>1072</v>
      </c>
      <c r="J6273">
        <v>7.55</v>
      </c>
    </row>
    <row r="6274" spans="1:10" hidden="1">
      <c r="A6274" t="s">
        <v>4345</v>
      </c>
      <c r="B6274" t="s">
        <v>4346</v>
      </c>
      <c r="C6274" t="s">
        <v>235</v>
      </c>
      <c r="D6274" t="s">
        <v>330</v>
      </c>
      <c r="E6274" t="s">
        <v>560</v>
      </c>
      <c r="F6274" t="s">
        <v>1068</v>
      </c>
      <c r="G6274" t="s">
        <v>1073</v>
      </c>
      <c r="H6274" s="171" t="s">
        <v>4347</v>
      </c>
      <c r="I6274" t="s">
        <v>1074</v>
      </c>
      <c r="J6274">
        <v>7.55</v>
      </c>
    </row>
    <row r="6275" spans="1:10" hidden="1">
      <c r="A6275" t="s">
        <v>4345</v>
      </c>
      <c r="B6275" t="s">
        <v>4346</v>
      </c>
      <c r="C6275" t="s">
        <v>235</v>
      </c>
      <c r="D6275" t="s">
        <v>330</v>
      </c>
      <c r="E6275" t="s">
        <v>560</v>
      </c>
      <c r="F6275" t="s">
        <v>1068</v>
      </c>
      <c r="G6275" t="s">
        <v>1075</v>
      </c>
      <c r="H6275">
        <v>2.8551937422656602E-3</v>
      </c>
      <c r="I6275" t="s">
        <v>1077</v>
      </c>
      <c r="J6275">
        <v>7.55</v>
      </c>
    </row>
    <row r="6276" spans="1:10" hidden="1">
      <c r="A6276" t="s">
        <v>4345</v>
      </c>
      <c r="B6276" t="s">
        <v>4346</v>
      </c>
      <c r="C6276" t="s">
        <v>235</v>
      </c>
      <c r="D6276" t="s">
        <v>330</v>
      </c>
      <c r="E6276" t="s">
        <v>560</v>
      </c>
      <c r="F6276" t="s">
        <v>1068</v>
      </c>
      <c r="G6276" t="s">
        <v>1078</v>
      </c>
      <c r="H6276">
        <v>-1.4821654588029001</v>
      </c>
      <c r="I6276" t="s">
        <v>1079</v>
      </c>
      <c r="J6276">
        <v>7.55</v>
      </c>
    </row>
    <row r="6277" spans="1:10" hidden="1">
      <c r="A6277" t="s">
        <v>4345</v>
      </c>
      <c r="B6277" t="s">
        <v>4346</v>
      </c>
      <c r="C6277" t="s">
        <v>235</v>
      </c>
      <c r="D6277" t="s">
        <v>330</v>
      </c>
      <c r="E6277" t="s">
        <v>560</v>
      </c>
      <c r="F6277" t="s">
        <v>1068</v>
      </c>
      <c r="G6277" t="s">
        <v>1080</v>
      </c>
      <c r="H6277" s="171" t="s">
        <v>4348</v>
      </c>
      <c r="I6277" t="s">
        <v>1082</v>
      </c>
      <c r="J6277">
        <v>7.55</v>
      </c>
    </row>
    <row r="6278" spans="1:10" hidden="1">
      <c r="A6278" t="s">
        <v>4345</v>
      </c>
      <c r="B6278" t="s">
        <v>4346</v>
      </c>
      <c r="C6278" t="s">
        <v>235</v>
      </c>
      <c r="D6278" t="s">
        <v>330</v>
      </c>
      <c r="E6278" t="s">
        <v>560</v>
      </c>
      <c r="F6278" t="s">
        <v>1068</v>
      </c>
      <c r="G6278" t="s">
        <v>1083</v>
      </c>
      <c r="H6278" s="171" t="s">
        <v>4349</v>
      </c>
      <c r="I6278" t="s">
        <v>1084</v>
      </c>
      <c r="J6278">
        <v>7.55</v>
      </c>
    </row>
    <row r="6279" spans="1:10" hidden="1">
      <c r="A6279" t="s">
        <v>4345</v>
      </c>
      <c r="B6279" t="s">
        <v>4346</v>
      </c>
      <c r="C6279" t="s">
        <v>235</v>
      </c>
      <c r="D6279" t="s">
        <v>330</v>
      </c>
      <c r="E6279" t="s">
        <v>560</v>
      </c>
      <c r="F6279" t="s">
        <v>1068</v>
      </c>
      <c r="G6279" t="s">
        <v>1085</v>
      </c>
      <c r="H6279" s="171" t="s">
        <v>4350</v>
      </c>
      <c r="I6279" t="s">
        <v>1086</v>
      </c>
      <c r="J6279">
        <v>7.55</v>
      </c>
    </row>
    <row r="6280" spans="1:10" hidden="1">
      <c r="A6280" t="s">
        <v>4345</v>
      </c>
      <c r="B6280" t="s">
        <v>4346</v>
      </c>
      <c r="C6280" t="s">
        <v>235</v>
      </c>
      <c r="D6280" t="s">
        <v>330</v>
      </c>
      <c r="E6280" t="s">
        <v>560</v>
      </c>
      <c r="F6280" t="s">
        <v>1068</v>
      </c>
      <c r="G6280" t="s">
        <v>1087</v>
      </c>
      <c r="H6280" s="171" t="s">
        <v>4351</v>
      </c>
      <c r="I6280" t="s">
        <v>1088</v>
      </c>
      <c r="J6280">
        <v>7.55</v>
      </c>
    </row>
    <row r="6281" spans="1:10" hidden="1">
      <c r="A6281" t="s">
        <v>4345</v>
      </c>
      <c r="B6281" t="s">
        <v>4346</v>
      </c>
      <c r="C6281" t="s">
        <v>235</v>
      </c>
      <c r="D6281" t="s">
        <v>330</v>
      </c>
      <c r="E6281" t="s">
        <v>560</v>
      </c>
      <c r="F6281" t="s">
        <v>1068</v>
      </c>
      <c r="G6281" t="s">
        <v>1089</v>
      </c>
      <c r="H6281" s="171" t="s">
        <v>4352</v>
      </c>
      <c r="I6281" t="s">
        <v>1090</v>
      </c>
      <c r="J6281">
        <v>7.55</v>
      </c>
    </row>
    <row r="6282" spans="1:10" hidden="1">
      <c r="A6282" t="s">
        <v>4353</v>
      </c>
      <c r="B6282" t="s">
        <v>4354</v>
      </c>
      <c r="C6282" t="s">
        <v>235</v>
      </c>
      <c r="D6282" t="s">
        <v>330</v>
      </c>
      <c r="E6282" t="s">
        <v>1116</v>
      </c>
      <c r="F6282" t="s">
        <v>1068</v>
      </c>
      <c r="G6282" t="s">
        <v>1069</v>
      </c>
      <c r="H6282">
        <v>5.27788114535074E-2</v>
      </c>
      <c r="I6282" t="s">
        <v>1070</v>
      </c>
      <c r="J6282">
        <v>8.15</v>
      </c>
    </row>
    <row r="6283" spans="1:10" hidden="1">
      <c r="A6283" t="s">
        <v>4353</v>
      </c>
      <c r="B6283" t="s">
        <v>4354</v>
      </c>
      <c r="C6283" t="s">
        <v>235</v>
      </c>
      <c r="D6283" t="s">
        <v>330</v>
      </c>
      <c r="E6283" t="s">
        <v>1116</v>
      </c>
      <c r="F6283" t="s">
        <v>1068</v>
      </c>
      <c r="G6283" t="s">
        <v>1071</v>
      </c>
      <c r="H6283" s="171" t="s">
        <v>4355</v>
      </c>
      <c r="I6283" t="s">
        <v>1072</v>
      </c>
      <c r="J6283">
        <v>8.15</v>
      </c>
    </row>
    <row r="6284" spans="1:10" hidden="1">
      <c r="A6284" t="s">
        <v>4353</v>
      </c>
      <c r="B6284" t="s">
        <v>4354</v>
      </c>
      <c r="C6284" t="s">
        <v>235</v>
      </c>
      <c r="D6284" t="s">
        <v>330</v>
      </c>
      <c r="E6284" t="s">
        <v>1116</v>
      </c>
      <c r="F6284" t="s">
        <v>1068</v>
      </c>
      <c r="G6284" t="s">
        <v>1073</v>
      </c>
      <c r="H6284" s="171" t="s">
        <v>4356</v>
      </c>
      <c r="I6284" t="s">
        <v>1074</v>
      </c>
      <c r="J6284">
        <v>8.15</v>
      </c>
    </row>
    <row r="6285" spans="1:10" hidden="1">
      <c r="A6285" t="s">
        <v>4353</v>
      </c>
      <c r="B6285" t="s">
        <v>4354</v>
      </c>
      <c r="C6285" t="s">
        <v>235</v>
      </c>
      <c r="D6285" t="s">
        <v>330</v>
      </c>
      <c r="E6285" t="s">
        <v>1116</v>
      </c>
      <c r="F6285" t="s">
        <v>1068</v>
      </c>
      <c r="G6285" t="s">
        <v>1075</v>
      </c>
      <c r="H6285">
        <v>2.9038263695546698E-3</v>
      </c>
      <c r="I6285" t="s">
        <v>1077</v>
      </c>
      <c r="J6285">
        <v>8.15</v>
      </c>
    </row>
    <row r="6286" spans="1:10" hidden="1">
      <c r="A6286" t="s">
        <v>4353</v>
      </c>
      <c r="B6286" t="s">
        <v>4354</v>
      </c>
      <c r="C6286" t="s">
        <v>235</v>
      </c>
      <c r="D6286" t="s">
        <v>330</v>
      </c>
      <c r="E6286" t="s">
        <v>1116</v>
      </c>
      <c r="F6286" t="s">
        <v>1068</v>
      </c>
      <c r="G6286" t="s">
        <v>1078</v>
      </c>
      <c r="H6286">
        <v>-1.4800623964037101</v>
      </c>
      <c r="I6286" t="s">
        <v>1079</v>
      </c>
      <c r="J6286">
        <v>8.15</v>
      </c>
    </row>
    <row r="6287" spans="1:10" hidden="1">
      <c r="A6287" t="s">
        <v>4353</v>
      </c>
      <c r="B6287" t="s">
        <v>4354</v>
      </c>
      <c r="C6287" t="s">
        <v>235</v>
      </c>
      <c r="D6287" t="s">
        <v>330</v>
      </c>
      <c r="E6287" t="s">
        <v>1116</v>
      </c>
      <c r="F6287" t="s">
        <v>1068</v>
      </c>
      <c r="G6287" t="s">
        <v>1080</v>
      </c>
      <c r="H6287" s="171" t="s">
        <v>4357</v>
      </c>
      <c r="I6287" t="s">
        <v>1082</v>
      </c>
      <c r="J6287">
        <v>8.15</v>
      </c>
    </row>
    <row r="6288" spans="1:10" hidden="1">
      <c r="A6288" t="s">
        <v>4353</v>
      </c>
      <c r="B6288" t="s">
        <v>4354</v>
      </c>
      <c r="C6288" t="s">
        <v>235</v>
      </c>
      <c r="D6288" t="s">
        <v>330</v>
      </c>
      <c r="E6288" t="s">
        <v>1116</v>
      </c>
      <c r="F6288" t="s">
        <v>1068</v>
      </c>
      <c r="G6288" t="s">
        <v>1083</v>
      </c>
      <c r="H6288" s="171" t="s">
        <v>4358</v>
      </c>
      <c r="I6288" t="s">
        <v>1084</v>
      </c>
      <c r="J6288">
        <v>8.15</v>
      </c>
    </row>
    <row r="6289" spans="1:10" hidden="1">
      <c r="A6289" t="s">
        <v>4353</v>
      </c>
      <c r="B6289" t="s">
        <v>4354</v>
      </c>
      <c r="C6289" t="s">
        <v>235</v>
      </c>
      <c r="D6289" t="s">
        <v>330</v>
      </c>
      <c r="E6289" t="s">
        <v>1116</v>
      </c>
      <c r="F6289" t="s">
        <v>1068</v>
      </c>
      <c r="G6289" t="s">
        <v>1085</v>
      </c>
      <c r="H6289" s="171" t="s">
        <v>4359</v>
      </c>
      <c r="I6289" t="s">
        <v>1086</v>
      </c>
      <c r="J6289">
        <v>8.15</v>
      </c>
    </row>
    <row r="6290" spans="1:10" hidden="1">
      <c r="A6290" t="s">
        <v>4353</v>
      </c>
      <c r="B6290" t="s">
        <v>4354</v>
      </c>
      <c r="C6290" t="s">
        <v>235</v>
      </c>
      <c r="D6290" t="s">
        <v>330</v>
      </c>
      <c r="E6290" t="s">
        <v>1116</v>
      </c>
      <c r="F6290" t="s">
        <v>1068</v>
      </c>
      <c r="G6290" t="s">
        <v>1087</v>
      </c>
      <c r="H6290" s="171" t="s">
        <v>4360</v>
      </c>
      <c r="I6290" t="s">
        <v>1088</v>
      </c>
      <c r="J6290">
        <v>8.15</v>
      </c>
    </row>
    <row r="6291" spans="1:10" hidden="1">
      <c r="A6291" t="s">
        <v>4353</v>
      </c>
      <c r="B6291" t="s">
        <v>4354</v>
      </c>
      <c r="C6291" t="s">
        <v>235</v>
      </c>
      <c r="D6291" t="s">
        <v>330</v>
      </c>
      <c r="E6291" t="s">
        <v>1116</v>
      </c>
      <c r="F6291" t="s">
        <v>1068</v>
      </c>
      <c r="G6291" t="s">
        <v>1089</v>
      </c>
      <c r="H6291" s="171" t="s">
        <v>4361</v>
      </c>
      <c r="I6291" t="s">
        <v>1090</v>
      </c>
      <c r="J6291">
        <v>8.15</v>
      </c>
    </row>
    <row r="6292" spans="1:10" hidden="1">
      <c r="A6292" t="s">
        <v>4362</v>
      </c>
      <c r="B6292" t="s">
        <v>4363</v>
      </c>
      <c r="C6292" t="s">
        <v>235</v>
      </c>
      <c r="D6292" t="s">
        <v>1601</v>
      </c>
      <c r="E6292" t="s">
        <v>561</v>
      </c>
      <c r="F6292" t="s">
        <v>1068</v>
      </c>
      <c r="G6292" t="s">
        <v>1069</v>
      </c>
      <c r="H6292" s="171" t="s">
        <v>4364</v>
      </c>
      <c r="I6292" t="s">
        <v>1070</v>
      </c>
      <c r="J6292">
        <v>17.25</v>
      </c>
    </row>
    <row r="6293" spans="1:10" hidden="1">
      <c r="A6293" t="s">
        <v>4362</v>
      </c>
      <c r="B6293" t="s">
        <v>4363</v>
      </c>
      <c r="C6293" t="s">
        <v>235</v>
      </c>
      <c r="D6293" t="s">
        <v>1601</v>
      </c>
      <c r="E6293" t="s">
        <v>561</v>
      </c>
      <c r="F6293" t="s">
        <v>1068</v>
      </c>
      <c r="G6293" t="s">
        <v>1071</v>
      </c>
      <c r="H6293" s="171" t="s">
        <v>4365</v>
      </c>
      <c r="I6293" t="s">
        <v>1072</v>
      </c>
      <c r="J6293">
        <v>17.25</v>
      </c>
    </row>
    <row r="6294" spans="1:10" hidden="1">
      <c r="A6294" t="s">
        <v>4362</v>
      </c>
      <c r="B6294" t="s">
        <v>4363</v>
      </c>
      <c r="C6294" t="s">
        <v>235</v>
      </c>
      <c r="D6294" t="s">
        <v>1601</v>
      </c>
      <c r="E6294" t="s">
        <v>561</v>
      </c>
      <c r="F6294" t="s">
        <v>1068</v>
      </c>
      <c r="G6294" t="s">
        <v>1073</v>
      </c>
      <c r="H6294" s="171" t="s">
        <v>4366</v>
      </c>
      <c r="I6294" t="s">
        <v>1074</v>
      </c>
      <c r="J6294">
        <v>17.25</v>
      </c>
    </row>
    <row r="6295" spans="1:10" hidden="1">
      <c r="A6295" t="s">
        <v>4362</v>
      </c>
      <c r="B6295" t="s">
        <v>4363</v>
      </c>
      <c r="C6295" t="s">
        <v>235</v>
      </c>
      <c r="D6295" t="s">
        <v>1601</v>
      </c>
      <c r="E6295" t="s">
        <v>561</v>
      </c>
      <c r="F6295" t="s">
        <v>1068</v>
      </c>
      <c r="G6295" t="s">
        <v>1075</v>
      </c>
      <c r="H6295">
        <v>2.9608514017692199E-3</v>
      </c>
      <c r="I6295" t="s">
        <v>1077</v>
      </c>
      <c r="J6295">
        <v>17.25</v>
      </c>
    </row>
    <row r="6296" spans="1:10" hidden="1">
      <c r="A6296" t="s">
        <v>4362</v>
      </c>
      <c r="B6296" t="s">
        <v>4363</v>
      </c>
      <c r="C6296" t="s">
        <v>235</v>
      </c>
      <c r="D6296" t="s">
        <v>1601</v>
      </c>
      <c r="E6296" t="s">
        <v>561</v>
      </c>
      <c r="F6296" t="s">
        <v>1068</v>
      </c>
      <c r="G6296" t="s">
        <v>1078</v>
      </c>
      <c r="H6296">
        <v>-1.38423467655668</v>
      </c>
      <c r="I6296" t="s">
        <v>1079</v>
      </c>
      <c r="J6296">
        <v>17.25</v>
      </c>
    </row>
    <row r="6297" spans="1:10" hidden="1">
      <c r="A6297" t="s">
        <v>4362</v>
      </c>
      <c r="B6297" t="s">
        <v>4363</v>
      </c>
      <c r="C6297" t="s">
        <v>235</v>
      </c>
      <c r="D6297" t="s">
        <v>1601</v>
      </c>
      <c r="E6297" t="s">
        <v>561</v>
      </c>
      <c r="F6297" t="s">
        <v>1068</v>
      </c>
      <c r="G6297" t="s">
        <v>1080</v>
      </c>
      <c r="H6297" s="171" t="s">
        <v>4367</v>
      </c>
      <c r="I6297" t="s">
        <v>1082</v>
      </c>
      <c r="J6297">
        <v>17.25</v>
      </c>
    </row>
    <row r="6298" spans="1:10" hidden="1">
      <c r="A6298" t="s">
        <v>4362</v>
      </c>
      <c r="B6298" t="s">
        <v>4363</v>
      </c>
      <c r="C6298" t="s">
        <v>235</v>
      </c>
      <c r="D6298" t="s">
        <v>1601</v>
      </c>
      <c r="E6298" t="s">
        <v>561</v>
      </c>
      <c r="F6298" t="s">
        <v>1068</v>
      </c>
      <c r="G6298" t="s">
        <v>1083</v>
      </c>
      <c r="H6298" s="171" t="s">
        <v>4368</v>
      </c>
      <c r="I6298" t="s">
        <v>1084</v>
      </c>
      <c r="J6298">
        <v>17.25</v>
      </c>
    </row>
    <row r="6299" spans="1:10" hidden="1">
      <c r="A6299" t="s">
        <v>4362</v>
      </c>
      <c r="B6299" t="s">
        <v>4363</v>
      </c>
      <c r="C6299" t="s">
        <v>235</v>
      </c>
      <c r="D6299" t="s">
        <v>1601</v>
      </c>
      <c r="E6299" t="s">
        <v>561</v>
      </c>
      <c r="F6299" t="s">
        <v>1068</v>
      </c>
      <c r="G6299" t="s">
        <v>1085</v>
      </c>
      <c r="H6299" s="171" t="s">
        <v>4369</v>
      </c>
      <c r="I6299" t="s">
        <v>1086</v>
      </c>
      <c r="J6299">
        <v>17.25</v>
      </c>
    </row>
    <row r="6300" spans="1:10" hidden="1">
      <c r="A6300" t="s">
        <v>4362</v>
      </c>
      <c r="B6300" t="s">
        <v>4363</v>
      </c>
      <c r="C6300" t="s">
        <v>235</v>
      </c>
      <c r="D6300" t="s">
        <v>1601</v>
      </c>
      <c r="E6300" t="s">
        <v>561</v>
      </c>
      <c r="F6300" t="s">
        <v>1068</v>
      </c>
      <c r="G6300" t="s">
        <v>1087</v>
      </c>
      <c r="H6300" s="171" t="s">
        <v>4370</v>
      </c>
      <c r="I6300" t="s">
        <v>1088</v>
      </c>
      <c r="J6300">
        <v>17.25</v>
      </c>
    </row>
    <row r="6301" spans="1:10" hidden="1">
      <c r="A6301" t="s">
        <v>4362</v>
      </c>
      <c r="B6301" t="s">
        <v>4363</v>
      </c>
      <c r="C6301" t="s">
        <v>235</v>
      </c>
      <c r="D6301" t="s">
        <v>1601</v>
      </c>
      <c r="E6301" t="s">
        <v>561</v>
      </c>
      <c r="F6301" t="s">
        <v>1068</v>
      </c>
      <c r="G6301" t="s">
        <v>1089</v>
      </c>
      <c r="H6301" s="171" t="s">
        <v>4371</v>
      </c>
      <c r="I6301" t="s">
        <v>1090</v>
      </c>
      <c r="J6301">
        <v>17.25</v>
      </c>
    </row>
    <row r="6302" spans="1:10" hidden="1">
      <c r="A6302" t="s">
        <v>4372</v>
      </c>
      <c r="B6302" t="s">
        <v>4373</v>
      </c>
      <c r="C6302" t="s">
        <v>235</v>
      </c>
      <c r="D6302" t="s">
        <v>1601</v>
      </c>
      <c r="E6302" t="s">
        <v>555</v>
      </c>
      <c r="F6302" t="s">
        <v>1068</v>
      </c>
      <c r="G6302" t="s">
        <v>1069</v>
      </c>
      <c r="H6302">
        <v>5.2165042056876498E-2</v>
      </c>
      <c r="I6302" t="s">
        <v>1070</v>
      </c>
      <c r="J6302">
        <v>14.45</v>
      </c>
    </row>
    <row r="6303" spans="1:10" hidden="1">
      <c r="A6303" t="s">
        <v>4372</v>
      </c>
      <c r="B6303" t="s">
        <v>4373</v>
      </c>
      <c r="C6303" t="s">
        <v>235</v>
      </c>
      <c r="D6303" t="s">
        <v>1601</v>
      </c>
      <c r="E6303" t="s">
        <v>555</v>
      </c>
      <c r="F6303" t="s">
        <v>1068</v>
      </c>
      <c r="G6303" t="s">
        <v>1071</v>
      </c>
      <c r="H6303" s="171" t="s">
        <v>4374</v>
      </c>
      <c r="I6303" t="s">
        <v>1072</v>
      </c>
      <c r="J6303">
        <v>14.45</v>
      </c>
    </row>
    <row r="6304" spans="1:10" hidden="1">
      <c r="A6304" t="s">
        <v>4372</v>
      </c>
      <c r="B6304" t="s">
        <v>4373</v>
      </c>
      <c r="C6304" t="s">
        <v>235</v>
      </c>
      <c r="D6304" t="s">
        <v>1601</v>
      </c>
      <c r="E6304" t="s">
        <v>555</v>
      </c>
      <c r="F6304" t="s">
        <v>1068</v>
      </c>
      <c r="G6304" t="s">
        <v>1073</v>
      </c>
      <c r="H6304" s="171" t="s">
        <v>4375</v>
      </c>
      <c r="I6304" t="s">
        <v>1074</v>
      </c>
      <c r="J6304">
        <v>14.45</v>
      </c>
    </row>
    <row r="6305" spans="1:10" hidden="1">
      <c r="A6305" t="s">
        <v>4372</v>
      </c>
      <c r="B6305" t="s">
        <v>4373</v>
      </c>
      <c r="C6305" t="s">
        <v>235</v>
      </c>
      <c r="D6305" t="s">
        <v>1601</v>
      </c>
      <c r="E6305" t="s">
        <v>555</v>
      </c>
      <c r="F6305" t="s">
        <v>1068</v>
      </c>
      <c r="G6305" t="s">
        <v>1075</v>
      </c>
      <c r="H6305">
        <v>2.89197024401132E-3</v>
      </c>
      <c r="I6305" t="s">
        <v>1077</v>
      </c>
      <c r="J6305">
        <v>14.45</v>
      </c>
    </row>
    <row r="6306" spans="1:10" hidden="1">
      <c r="A6306" t="s">
        <v>4372</v>
      </c>
      <c r="B6306" t="s">
        <v>4373</v>
      </c>
      <c r="C6306" t="s">
        <v>235</v>
      </c>
      <c r="D6306" t="s">
        <v>1601</v>
      </c>
      <c r="E6306" t="s">
        <v>555</v>
      </c>
      <c r="F6306" t="s">
        <v>1068</v>
      </c>
      <c r="G6306" t="s">
        <v>1078</v>
      </c>
      <c r="H6306">
        <v>-1.3851954238484401</v>
      </c>
      <c r="I6306" t="s">
        <v>1079</v>
      </c>
      <c r="J6306">
        <v>14.45</v>
      </c>
    </row>
    <row r="6307" spans="1:10" hidden="1">
      <c r="A6307" t="s">
        <v>4372</v>
      </c>
      <c r="B6307" t="s">
        <v>4373</v>
      </c>
      <c r="C6307" t="s">
        <v>235</v>
      </c>
      <c r="D6307" t="s">
        <v>1601</v>
      </c>
      <c r="E6307" t="s">
        <v>555</v>
      </c>
      <c r="F6307" t="s">
        <v>1068</v>
      </c>
      <c r="G6307" t="s">
        <v>1080</v>
      </c>
      <c r="H6307" s="171" t="s">
        <v>4376</v>
      </c>
      <c r="I6307" t="s">
        <v>1082</v>
      </c>
      <c r="J6307">
        <v>14.45</v>
      </c>
    </row>
    <row r="6308" spans="1:10" hidden="1">
      <c r="A6308" t="s">
        <v>4372</v>
      </c>
      <c r="B6308" t="s">
        <v>4373</v>
      </c>
      <c r="C6308" t="s">
        <v>235</v>
      </c>
      <c r="D6308" t="s">
        <v>1601</v>
      </c>
      <c r="E6308" t="s">
        <v>555</v>
      </c>
      <c r="F6308" t="s">
        <v>1068</v>
      </c>
      <c r="G6308" t="s">
        <v>1083</v>
      </c>
      <c r="H6308" s="171" t="s">
        <v>4377</v>
      </c>
      <c r="I6308" t="s">
        <v>1084</v>
      </c>
      <c r="J6308">
        <v>14.45</v>
      </c>
    </row>
    <row r="6309" spans="1:10" hidden="1">
      <c r="A6309" t="s">
        <v>4372</v>
      </c>
      <c r="B6309" t="s">
        <v>4373</v>
      </c>
      <c r="C6309" t="s">
        <v>235</v>
      </c>
      <c r="D6309" t="s">
        <v>1601</v>
      </c>
      <c r="E6309" t="s">
        <v>555</v>
      </c>
      <c r="F6309" t="s">
        <v>1068</v>
      </c>
      <c r="G6309" t="s">
        <v>1085</v>
      </c>
      <c r="H6309" s="171" t="s">
        <v>4378</v>
      </c>
      <c r="I6309" t="s">
        <v>1086</v>
      </c>
      <c r="J6309">
        <v>14.45</v>
      </c>
    </row>
    <row r="6310" spans="1:10" hidden="1">
      <c r="A6310" t="s">
        <v>4372</v>
      </c>
      <c r="B6310" t="s">
        <v>4373</v>
      </c>
      <c r="C6310" t="s">
        <v>235</v>
      </c>
      <c r="D6310" t="s">
        <v>1601</v>
      </c>
      <c r="E6310" t="s">
        <v>555</v>
      </c>
      <c r="F6310" t="s">
        <v>1068</v>
      </c>
      <c r="G6310" t="s">
        <v>1087</v>
      </c>
      <c r="H6310" s="171" t="s">
        <v>4379</v>
      </c>
      <c r="I6310" t="s">
        <v>1088</v>
      </c>
      <c r="J6310">
        <v>14.45</v>
      </c>
    </row>
    <row r="6311" spans="1:10" hidden="1">
      <c r="A6311" t="s">
        <v>4372</v>
      </c>
      <c r="B6311" t="s">
        <v>4373</v>
      </c>
      <c r="C6311" t="s">
        <v>235</v>
      </c>
      <c r="D6311" t="s">
        <v>1601</v>
      </c>
      <c r="E6311" t="s">
        <v>555</v>
      </c>
      <c r="F6311" t="s">
        <v>1068</v>
      </c>
      <c r="G6311" t="s">
        <v>1089</v>
      </c>
      <c r="H6311" s="171" t="s">
        <v>4380</v>
      </c>
      <c r="I6311" t="s">
        <v>1090</v>
      </c>
      <c r="J6311">
        <v>14.45</v>
      </c>
    </row>
    <row r="6312" spans="1:10" hidden="1">
      <c r="A6312" t="s">
        <v>4381</v>
      </c>
      <c r="B6312" t="s">
        <v>4382</v>
      </c>
      <c r="C6312" t="s">
        <v>235</v>
      </c>
      <c r="D6312" t="s">
        <v>1601</v>
      </c>
      <c r="E6312" t="s">
        <v>558</v>
      </c>
      <c r="F6312" t="s">
        <v>1068</v>
      </c>
      <c r="G6312" t="s">
        <v>1069</v>
      </c>
      <c r="H6312" s="171" t="s">
        <v>4383</v>
      </c>
      <c r="I6312" t="s">
        <v>1070</v>
      </c>
      <c r="J6312">
        <v>11.98</v>
      </c>
    </row>
    <row r="6313" spans="1:10" hidden="1">
      <c r="A6313" t="s">
        <v>4381</v>
      </c>
      <c r="B6313" t="s">
        <v>4382</v>
      </c>
      <c r="C6313" t="s">
        <v>235</v>
      </c>
      <c r="D6313" t="s">
        <v>1601</v>
      </c>
      <c r="E6313" t="s">
        <v>558</v>
      </c>
      <c r="F6313" t="s">
        <v>1068</v>
      </c>
      <c r="G6313" t="s">
        <v>1071</v>
      </c>
      <c r="H6313" s="171" t="s">
        <v>4384</v>
      </c>
      <c r="I6313" t="s">
        <v>1072</v>
      </c>
      <c r="J6313">
        <v>11.98</v>
      </c>
    </row>
    <row r="6314" spans="1:10" hidden="1">
      <c r="A6314" t="s">
        <v>4381</v>
      </c>
      <c r="B6314" t="s">
        <v>4382</v>
      </c>
      <c r="C6314" t="s">
        <v>235</v>
      </c>
      <c r="D6314" t="s">
        <v>1601</v>
      </c>
      <c r="E6314" t="s">
        <v>558</v>
      </c>
      <c r="F6314" t="s">
        <v>1068</v>
      </c>
      <c r="G6314" t="s">
        <v>1073</v>
      </c>
      <c r="H6314" s="171" t="s">
        <v>4385</v>
      </c>
      <c r="I6314" t="s">
        <v>1074</v>
      </c>
      <c r="J6314">
        <v>11.98</v>
      </c>
    </row>
    <row r="6315" spans="1:10" hidden="1">
      <c r="A6315" t="s">
        <v>4381</v>
      </c>
      <c r="B6315" t="s">
        <v>4382</v>
      </c>
      <c r="C6315" t="s">
        <v>235</v>
      </c>
      <c r="D6315" t="s">
        <v>1601</v>
      </c>
      <c r="E6315" t="s">
        <v>558</v>
      </c>
      <c r="F6315" t="s">
        <v>1068</v>
      </c>
      <c r="G6315" t="s">
        <v>1075</v>
      </c>
      <c r="H6315">
        <v>2.9672773709499699E-3</v>
      </c>
      <c r="I6315" t="s">
        <v>1077</v>
      </c>
      <c r="J6315">
        <v>11.98</v>
      </c>
    </row>
    <row r="6316" spans="1:10" hidden="1">
      <c r="A6316" t="s">
        <v>4381</v>
      </c>
      <c r="B6316" t="s">
        <v>4382</v>
      </c>
      <c r="C6316" t="s">
        <v>235</v>
      </c>
      <c r="D6316" t="s">
        <v>1601</v>
      </c>
      <c r="E6316" t="s">
        <v>558</v>
      </c>
      <c r="F6316" t="s">
        <v>1068</v>
      </c>
      <c r="G6316" t="s">
        <v>1078</v>
      </c>
      <c r="H6316">
        <v>-1.3839567928618099</v>
      </c>
      <c r="I6316" t="s">
        <v>1079</v>
      </c>
      <c r="J6316">
        <v>11.98</v>
      </c>
    </row>
    <row r="6317" spans="1:10" hidden="1">
      <c r="A6317" t="s">
        <v>4381</v>
      </c>
      <c r="B6317" t="s">
        <v>4382</v>
      </c>
      <c r="C6317" t="s">
        <v>235</v>
      </c>
      <c r="D6317" t="s">
        <v>1601</v>
      </c>
      <c r="E6317" t="s">
        <v>558</v>
      </c>
      <c r="F6317" t="s">
        <v>1068</v>
      </c>
      <c r="G6317" t="s">
        <v>1080</v>
      </c>
      <c r="H6317" s="171" t="s">
        <v>4386</v>
      </c>
      <c r="I6317" t="s">
        <v>1082</v>
      </c>
      <c r="J6317">
        <v>11.98</v>
      </c>
    </row>
    <row r="6318" spans="1:10" hidden="1">
      <c r="A6318" t="s">
        <v>4381</v>
      </c>
      <c r="B6318" t="s">
        <v>4382</v>
      </c>
      <c r="C6318" t="s">
        <v>235</v>
      </c>
      <c r="D6318" t="s">
        <v>1601</v>
      </c>
      <c r="E6318" t="s">
        <v>558</v>
      </c>
      <c r="F6318" t="s">
        <v>1068</v>
      </c>
      <c r="G6318" t="s">
        <v>1083</v>
      </c>
      <c r="H6318" s="171" t="s">
        <v>4387</v>
      </c>
      <c r="I6318" t="s">
        <v>1084</v>
      </c>
      <c r="J6318">
        <v>11.98</v>
      </c>
    </row>
    <row r="6319" spans="1:10" hidden="1">
      <c r="A6319" t="s">
        <v>4381</v>
      </c>
      <c r="B6319" t="s">
        <v>4382</v>
      </c>
      <c r="C6319" t="s">
        <v>235</v>
      </c>
      <c r="D6319" t="s">
        <v>1601</v>
      </c>
      <c r="E6319" t="s">
        <v>558</v>
      </c>
      <c r="F6319" t="s">
        <v>1068</v>
      </c>
      <c r="G6319" t="s">
        <v>1085</v>
      </c>
      <c r="H6319" s="171" t="s">
        <v>4388</v>
      </c>
      <c r="I6319" t="s">
        <v>1086</v>
      </c>
      <c r="J6319">
        <v>11.98</v>
      </c>
    </row>
    <row r="6320" spans="1:10" hidden="1">
      <c r="A6320" t="s">
        <v>4381</v>
      </c>
      <c r="B6320" t="s">
        <v>4382</v>
      </c>
      <c r="C6320" t="s">
        <v>235</v>
      </c>
      <c r="D6320" t="s">
        <v>1601</v>
      </c>
      <c r="E6320" t="s">
        <v>558</v>
      </c>
      <c r="F6320" t="s">
        <v>1068</v>
      </c>
      <c r="G6320" t="s">
        <v>1087</v>
      </c>
      <c r="H6320" s="171" t="s">
        <v>4389</v>
      </c>
      <c r="I6320" t="s">
        <v>1088</v>
      </c>
      <c r="J6320">
        <v>11.98</v>
      </c>
    </row>
    <row r="6321" spans="1:10" hidden="1">
      <c r="A6321" t="s">
        <v>4381</v>
      </c>
      <c r="B6321" t="s">
        <v>4382</v>
      </c>
      <c r="C6321" t="s">
        <v>235</v>
      </c>
      <c r="D6321" t="s">
        <v>1601</v>
      </c>
      <c r="E6321" t="s">
        <v>558</v>
      </c>
      <c r="F6321" t="s">
        <v>1068</v>
      </c>
      <c r="G6321" t="s">
        <v>1089</v>
      </c>
      <c r="H6321" s="171" t="s">
        <v>4390</v>
      </c>
      <c r="I6321" t="s">
        <v>1090</v>
      </c>
      <c r="J6321">
        <v>11.98</v>
      </c>
    </row>
    <row r="6322" spans="1:10" hidden="1">
      <c r="A6322" t="s">
        <v>4391</v>
      </c>
      <c r="B6322" t="s">
        <v>4392</v>
      </c>
      <c r="C6322" t="s">
        <v>235</v>
      </c>
      <c r="D6322" t="s">
        <v>1601</v>
      </c>
      <c r="E6322" t="s">
        <v>553</v>
      </c>
      <c r="F6322" t="s">
        <v>1068</v>
      </c>
      <c r="G6322" t="s">
        <v>1069</v>
      </c>
      <c r="H6322" s="171" t="s">
        <v>4393</v>
      </c>
      <c r="I6322" t="s">
        <v>1070</v>
      </c>
      <c r="J6322">
        <v>8.64</v>
      </c>
    </row>
    <row r="6323" spans="1:10" hidden="1">
      <c r="A6323" t="s">
        <v>4391</v>
      </c>
      <c r="B6323" t="s">
        <v>4392</v>
      </c>
      <c r="C6323" t="s">
        <v>235</v>
      </c>
      <c r="D6323" t="s">
        <v>1601</v>
      </c>
      <c r="E6323" t="s">
        <v>553</v>
      </c>
      <c r="F6323" t="s">
        <v>1068</v>
      </c>
      <c r="G6323" t="s">
        <v>1071</v>
      </c>
      <c r="H6323" s="171" t="s">
        <v>4394</v>
      </c>
      <c r="I6323" t="s">
        <v>1072</v>
      </c>
      <c r="J6323">
        <v>8.64</v>
      </c>
    </row>
    <row r="6324" spans="1:10" hidden="1">
      <c r="A6324" t="s">
        <v>4391</v>
      </c>
      <c r="B6324" t="s">
        <v>4392</v>
      </c>
      <c r="C6324" t="s">
        <v>235</v>
      </c>
      <c r="D6324" t="s">
        <v>1601</v>
      </c>
      <c r="E6324" t="s">
        <v>553</v>
      </c>
      <c r="F6324" t="s">
        <v>1068</v>
      </c>
      <c r="G6324" t="s">
        <v>1073</v>
      </c>
      <c r="H6324" s="171" t="s">
        <v>4395</v>
      </c>
      <c r="I6324" t="s">
        <v>1074</v>
      </c>
      <c r="J6324">
        <v>8.64</v>
      </c>
    </row>
    <row r="6325" spans="1:10" hidden="1">
      <c r="A6325" t="s">
        <v>4391</v>
      </c>
      <c r="B6325" t="s">
        <v>4392</v>
      </c>
      <c r="C6325" t="s">
        <v>235</v>
      </c>
      <c r="D6325" t="s">
        <v>1601</v>
      </c>
      <c r="E6325" t="s">
        <v>553</v>
      </c>
      <c r="F6325" t="s">
        <v>1068</v>
      </c>
      <c r="G6325" t="s">
        <v>1075</v>
      </c>
      <c r="H6325">
        <v>2.9774820888492501E-3</v>
      </c>
      <c r="I6325" t="s">
        <v>1077</v>
      </c>
      <c r="J6325">
        <v>8.64</v>
      </c>
    </row>
    <row r="6326" spans="1:10" hidden="1">
      <c r="A6326" t="s">
        <v>4391</v>
      </c>
      <c r="B6326" t="s">
        <v>4392</v>
      </c>
      <c r="C6326" t="s">
        <v>235</v>
      </c>
      <c r="D6326" t="s">
        <v>1601</v>
      </c>
      <c r="E6326" t="s">
        <v>553</v>
      </c>
      <c r="F6326" t="s">
        <v>1068</v>
      </c>
      <c r="G6326" t="s">
        <v>1078</v>
      </c>
      <c r="H6326">
        <v>-1.38149756182477</v>
      </c>
      <c r="I6326" t="s">
        <v>1079</v>
      </c>
      <c r="J6326">
        <v>8.64</v>
      </c>
    </row>
    <row r="6327" spans="1:10" hidden="1">
      <c r="A6327" t="s">
        <v>4391</v>
      </c>
      <c r="B6327" t="s">
        <v>4392</v>
      </c>
      <c r="C6327" t="s">
        <v>235</v>
      </c>
      <c r="D6327" t="s">
        <v>1601</v>
      </c>
      <c r="E6327" t="s">
        <v>553</v>
      </c>
      <c r="F6327" t="s">
        <v>1068</v>
      </c>
      <c r="G6327" t="s">
        <v>1080</v>
      </c>
      <c r="H6327" s="171" t="s">
        <v>4396</v>
      </c>
      <c r="I6327" t="s">
        <v>1082</v>
      </c>
      <c r="J6327">
        <v>8.64</v>
      </c>
    </row>
    <row r="6328" spans="1:10" hidden="1">
      <c r="A6328" t="s">
        <v>4391</v>
      </c>
      <c r="B6328" t="s">
        <v>4392</v>
      </c>
      <c r="C6328" t="s">
        <v>235</v>
      </c>
      <c r="D6328" t="s">
        <v>1601</v>
      </c>
      <c r="E6328" t="s">
        <v>553</v>
      </c>
      <c r="F6328" t="s">
        <v>1068</v>
      </c>
      <c r="G6328" t="s">
        <v>1083</v>
      </c>
      <c r="H6328" s="171" t="s">
        <v>4397</v>
      </c>
      <c r="I6328" t="s">
        <v>1084</v>
      </c>
      <c r="J6328">
        <v>8.64</v>
      </c>
    </row>
    <row r="6329" spans="1:10" hidden="1">
      <c r="A6329" t="s">
        <v>4391</v>
      </c>
      <c r="B6329" t="s">
        <v>4392</v>
      </c>
      <c r="C6329" t="s">
        <v>235</v>
      </c>
      <c r="D6329" t="s">
        <v>1601</v>
      </c>
      <c r="E6329" t="s">
        <v>553</v>
      </c>
      <c r="F6329" t="s">
        <v>1068</v>
      </c>
      <c r="G6329" t="s">
        <v>1085</v>
      </c>
      <c r="H6329" s="171" t="s">
        <v>4398</v>
      </c>
      <c r="I6329" t="s">
        <v>1086</v>
      </c>
      <c r="J6329">
        <v>8.64</v>
      </c>
    </row>
    <row r="6330" spans="1:10" hidden="1">
      <c r="A6330" t="s">
        <v>4391</v>
      </c>
      <c r="B6330" t="s">
        <v>4392</v>
      </c>
      <c r="C6330" t="s">
        <v>235</v>
      </c>
      <c r="D6330" t="s">
        <v>1601</v>
      </c>
      <c r="E6330" t="s">
        <v>553</v>
      </c>
      <c r="F6330" t="s">
        <v>1068</v>
      </c>
      <c r="G6330" t="s">
        <v>1087</v>
      </c>
      <c r="H6330" s="171" t="s">
        <v>4399</v>
      </c>
      <c r="I6330" t="s">
        <v>1088</v>
      </c>
      <c r="J6330">
        <v>8.64</v>
      </c>
    </row>
    <row r="6331" spans="1:10" hidden="1">
      <c r="A6331" t="s">
        <v>4391</v>
      </c>
      <c r="B6331" t="s">
        <v>4392</v>
      </c>
      <c r="C6331" t="s">
        <v>235</v>
      </c>
      <c r="D6331" t="s">
        <v>1601</v>
      </c>
      <c r="E6331" t="s">
        <v>553</v>
      </c>
      <c r="F6331" t="s">
        <v>1068</v>
      </c>
      <c r="G6331" t="s">
        <v>1089</v>
      </c>
      <c r="H6331" s="171" t="s">
        <v>4400</v>
      </c>
      <c r="I6331" t="s">
        <v>1090</v>
      </c>
      <c r="J6331">
        <v>8.64</v>
      </c>
    </row>
    <row r="6332" spans="1:10" hidden="1">
      <c r="A6332" t="s">
        <v>4401</v>
      </c>
      <c r="B6332" t="s">
        <v>4402</v>
      </c>
      <c r="C6332" t="s">
        <v>235</v>
      </c>
      <c r="D6332" t="s">
        <v>1601</v>
      </c>
      <c r="E6332" t="s">
        <v>556</v>
      </c>
      <c r="F6332" t="s">
        <v>1068</v>
      </c>
      <c r="G6332" t="s">
        <v>1069</v>
      </c>
      <c r="H6332" s="171" t="s">
        <v>4403</v>
      </c>
      <c r="I6332" t="s">
        <v>1070</v>
      </c>
      <c r="J6332">
        <v>7.84</v>
      </c>
    </row>
    <row r="6333" spans="1:10" hidden="1">
      <c r="A6333" t="s">
        <v>4401</v>
      </c>
      <c r="B6333" t="s">
        <v>4402</v>
      </c>
      <c r="C6333" t="s">
        <v>235</v>
      </c>
      <c r="D6333" t="s">
        <v>1601</v>
      </c>
      <c r="E6333" t="s">
        <v>556</v>
      </c>
      <c r="F6333" t="s">
        <v>1068</v>
      </c>
      <c r="G6333" t="s">
        <v>1071</v>
      </c>
      <c r="H6333" s="171" t="s">
        <v>4404</v>
      </c>
      <c r="I6333" t="s">
        <v>1072</v>
      </c>
      <c r="J6333">
        <v>7.84</v>
      </c>
    </row>
    <row r="6334" spans="1:10" hidden="1">
      <c r="A6334" t="s">
        <v>4401</v>
      </c>
      <c r="B6334" t="s">
        <v>4402</v>
      </c>
      <c r="C6334" t="s">
        <v>235</v>
      </c>
      <c r="D6334" t="s">
        <v>1601</v>
      </c>
      <c r="E6334" t="s">
        <v>556</v>
      </c>
      <c r="F6334" t="s">
        <v>1068</v>
      </c>
      <c r="G6334" t="s">
        <v>1073</v>
      </c>
      <c r="H6334" s="171" t="s">
        <v>4405</v>
      </c>
      <c r="I6334" t="s">
        <v>1074</v>
      </c>
      <c r="J6334">
        <v>7.84</v>
      </c>
    </row>
    <row r="6335" spans="1:10" hidden="1">
      <c r="A6335" t="s">
        <v>4401</v>
      </c>
      <c r="B6335" t="s">
        <v>4402</v>
      </c>
      <c r="C6335" t="s">
        <v>235</v>
      </c>
      <c r="D6335" t="s">
        <v>1601</v>
      </c>
      <c r="E6335" t="s">
        <v>556</v>
      </c>
      <c r="F6335" t="s">
        <v>1068</v>
      </c>
      <c r="G6335" t="s">
        <v>1075</v>
      </c>
      <c r="H6335">
        <v>2.9731527562060901E-3</v>
      </c>
      <c r="I6335" t="s">
        <v>1077</v>
      </c>
      <c r="J6335">
        <v>7.84</v>
      </c>
    </row>
    <row r="6336" spans="1:10" hidden="1">
      <c r="A6336" t="s">
        <v>4401</v>
      </c>
      <c r="B6336" t="s">
        <v>4402</v>
      </c>
      <c r="C6336" t="s">
        <v>235</v>
      </c>
      <c r="D6336" t="s">
        <v>1601</v>
      </c>
      <c r="E6336" t="s">
        <v>556</v>
      </c>
      <c r="F6336" t="s">
        <v>1068</v>
      </c>
      <c r="G6336" t="s">
        <v>1078</v>
      </c>
      <c r="H6336">
        <v>-1.37418546072736</v>
      </c>
      <c r="I6336" t="s">
        <v>1079</v>
      </c>
      <c r="J6336">
        <v>7.84</v>
      </c>
    </row>
    <row r="6337" spans="1:10" hidden="1">
      <c r="A6337" t="s">
        <v>4401</v>
      </c>
      <c r="B6337" t="s">
        <v>4402</v>
      </c>
      <c r="C6337" t="s">
        <v>235</v>
      </c>
      <c r="D6337" t="s">
        <v>1601</v>
      </c>
      <c r="E6337" t="s">
        <v>556</v>
      </c>
      <c r="F6337" t="s">
        <v>1068</v>
      </c>
      <c r="G6337" t="s">
        <v>1080</v>
      </c>
      <c r="H6337" s="171" t="s">
        <v>4406</v>
      </c>
      <c r="I6337" t="s">
        <v>1082</v>
      </c>
      <c r="J6337">
        <v>7.84</v>
      </c>
    </row>
    <row r="6338" spans="1:10" hidden="1">
      <c r="A6338" t="s">
        <v>4401</v>
      </c>
      <c r="B6338" t="s">
        <v>4402</v>
      </c>
      <c r="C6338" t="s">
        <v>235</v>
      </c>
      <c r="D6338" t="s">
        <v>1601</v>
      </c>
      <c r="E6338" t="s">
        <v>556</v>
      </c>
      <c r="F6338" t="s">
        <v>1068</v>
      </c>
      <c r="G6338" t="s">
        <v>1083</v>
      </c>
      <c r="H6338" s="171" t="s">
        <v>4407</v>
      </c>
      <c r="I6338" t="s">
        <v>1084</v>
      </c>
      <c r="J6338">
        <v>7.84</v>
      </c>
    </row>
    <row r="6339" spans="1:10" hidden="1">
      <c r="A6339" t="s">
        <v>4401</v>
      </c>
      <c r="B6339" t="s">
        <v>4402</v>
      </c>
      <c r="C6339" t="s">
        <v>235</v>
      </c>
      <c r="D6339" t="s">
        <v>1601</v>
      </c>
      <c r="E6339" t="s">
        <v>556</v>
      </c>
      <c r="F6339" t="s">
        <v>1068</v>
      </c>
      <c r="G6339" t="s">
        <v>1085</v>
      </c>
      <c r="H6339" s="171" t="s">
        <v>4408</v>
      </c>
      <c r="I6339" t="s">
        <v>1086</v>
      </c>
      <c r="J6339">
        <v>7.84</v>
      </c>
    </row>
    <row r="6340" spans="1:10" hidden="1">
      <c r="A6340" t="s">
        <v>4401</v>
      </c>
      <c r="B6340" t="s">
        <v>4402</v>
      </c>
      <c r="C6340" t="s">
        <v>235</v>
      </c>
      <c r="D6340" t="s">
        <v>1601</v>
      </c>
      <c r="E6340" t="s">
        <v>556</v>
      </c>
      <c r="F6340" t="s">
        <v>1068</v>
      </c>
      <c r="G6340" t="s">
        <v>1087</v>
      </c>
      <c r="H6340" s="171" t="s">
        <v>4409</v>
      </c>
      <c r="I6340" t="s">
        <v>1088</v>
      </c>
      <c r="J6340">
        <v>7.84</v>
      </c>
    </row>
    <row r="6341" spans="1:10" hidden="1">
      <c r="A6341" t="s">
        <v>4401</v>
      </c>
      <c r="B6341" t="s">
        <v>4402</v>
      </c>
      <c r="C6341" t="s">
        <v>235</v>
      </c>
      <c r="D6341" t="s">
        <v>1601</v>
      </c>
      <c r="E6341" t="s">
        <v>556</v>
      </c>
      <c r="F6341" t="s">
        <v>1068</v>
      </c>
      <c r="G6341" t="s">
        <v>1089</v>
      </c>
      <c r="H6341" s="171" t="s">
        <v>4410</v>
      </c>
      <c r="I6341" t="s">
        <v>1090</v>
      </c>
      <c r="J6341">
        <v>7.84</v>
      </c>
    </row>
    <row r="6342" spans="1:10" hidden="1">
      <c r="A6342" t="s">
        <v>4411</v>
      </c>
      <c r="B6342" t="s">
        <v>4412</v>
      </c>
      <c r="C6342" t="s">
        <v>235</v>
      </c>
      <c r="D6342" t="s">
        <v>1601</v>
      </c>
      <c r="E6342" t="s">
        <v>557</v>
      </c>
      <c r="F6342" t="s">
        <v>1068</v>
      </c>
      <c r="G6342" t="s">
        <v>1069</v>
      </c>
      <c r="H6342">
        <v>5.3814035183766699E-2</v>
      </c>
      <c r="I6342" t="s">
        <v>1070</v>
      </c>
      <c r="J6342">
        <v>12.09</v>
      </c>
    </row>
    <row r="6343" spans="1:10" hidden="1">
      <c r="A6343" t="s">
        <v>4411</v>
      </c>
      <c r="B6343" t="s">
        <v>4412</v>
      </c>
      <c r="C6343" t="s">
        <v>235</v>
      </c>
      <c r="D6343" t="s">
        <v>1601</v>
      </c>
      <c r="E6343" t="s">
        <v>557</v>
      </c>
      <c r="F6343" t="s">
        <v>1068</v>
      </c>
      <c r="G6343" t="s">
        <v>1071</v>
      </c>
      <c r="H6343" s="171" t="s">
        <v>4413</v>
      </c>
      <c r="I6343" t="s">
        <v>1072</v>
      </c>
      <c r="J6343">
        <v>12.09</v>
      </c>
    </row>
    <row r="6344" spans="1:10" hidden="1">
      <c r="A6344" t="s">
        <v>4411</v>
      </c>
      <c r="B6344" t="s">
        <v>4412</v>
      </c>
      <c r="C6344" t="s">
        <v>235</v>
      </c>
      <c r="D6344" t="s">
        <v>1601</v>
      </c>
      <c r="E6344" t="s">
        <v>557</v>
      </c>
      <c r="F6344" t="s">
        <v>1068</v>
      </c>
      <c r="G6344" t="s">
        <v>1073</v>
      </c>
      <c r="H6344" s="171" t="s">
        <v>4414</v>
      </c>
      <c r="I6344" t="s">
        <v>1074</v>
      </c>
      <c r="J6344">
        <v>12.09</v>
      </c>
    </row>
    <row r="6345" spans="1:10" hidden="1">
      <c r="A6345" t="s">
        <v>4411</v>
      </c>
      <c r="B6345" t="s">
        <v>4412</v>
      </c>
      <c r="C6345" t="s">
        <v>235</v>
      </c>
      <c r="D6345" t="s">
        <v>1601</v>
      </c>
      <c r="E6345" t="s">
        <v>557</v>
      </c>
      <c r="F6345" t="s">
        <v>1068</v>
      </c>
      <c r="G6345" t="s">
        <v>1075</v>
      </c>
      <c r="H6345">
        <v>2.94073532433384E-3</v>
      </c>
      <c r="I6345" t="s">
        <v>1077</v>
      </c>
      <c r="J6345">
        <v>12.09</v>
      </c>
    </row>
    <row r="6346" spans="1:10" hidden="1">
      <c r="A6346" t="s">
        <v>4411</v>
      </c>
      <c r="B6346" t="s">
        <v>4412</v>
      </c>
      <c r="C6346" t="s">
        <v>235</v>
      </c>
      <c r="D6346" t="s">
        <v>1601</v>
      </c>
      <c r="E6346" t="s">
        <v>557</v>
      </c>
      <c r="F6346" t="s">
        <v>1068</v>
      </c>
      <c r="G6346" t="s">
        <v>1078</v>
      </c>
      <c r="H6346">
        <v>-1.38510457334062</v>
      </c>
      <c r="I6346" t="s">
        <v>1079</v>
      </c>
      <c r="J6346">
        <v>12.09</v>
      </c>
    </row>
    <row r="6347" spans="1:10" hidden="1">
      <c r="A6347" t="s">
        <v>4411</v>
      </c>
      <c r="B6347" t="s">
        <v>4412</v>
      </c>
      <c r="C6347" t="s">
        <v>235</v>
      </c>
      <c r="D6347" t="s">
        <v>1601</v>
      </c>
      <c r="E6347" t="s">
        <v>557</v>
      </c>
      <c r="F6347" t="s">
        <v>1068</v>
      </c>
      <c r="G6347" t="s">
        <v>1080</v>
      </c>
      <c r="H6347" s="171" t="s">
        <v>4415</v>
      </c>
      <c r="I6347" t="s">
        <v>1082</v>
      </c>
      <c r="J6347">
        <v>12.09</v>
      </c>
    </row>
    <row r="6348" spans="1:10" hidden="1">
      <c r="A6348" t="s">
        <v>4411</v>
      </c>
      <c r="B6348" t="s">
        <v>4412</v>
      </c>
      <c r="C6348" t="s">
        <v>235</v>
      </c>
      <c r="D6348" t="s">
        <v>1601</v>
      </c>
      <c r="E6348" t="s">
        <v>557</v>
      </c>
      <c r="F6348" t="s">
        <v>1068</v>
      </c>
      <c r="G6348" t="s">
        <v>1083</v>
      </c>
      <c r="H6348" s="171" t="s">
        <v>4416</v>
      </c>
      <c r="I6348" t="s">
        <v>1084</v>
      </c>
      <c r="J6348">
        <v>12.09</v>
      </c>
    </row>
    <row r="6349" spans="1:10" hidden="1">
      <c r="A6349" t="s">
        <v>4411</v>
      </c>
      <c r="B6349" t="s">
        <v>4412</v>
      </c>
      <c r="C6349" t="s">
        <v>235</v>
      </c>
      <c r="D6349" t="s">
        <v>1601</v>
      </c>
      <c r="E6349" t="s">
        <v>557</v>
      </c>
      <c r="F6349" t="s">
        <v>1068</v>
      </c>
      <c r="G6349" t="s">
        <v>1085</v>
      </c>
      <c r="H6349" s="171" t="s">
        <v>4417</v>
      </c>
      <c r="I6349" t="s">
        <v>1086</v>
      </c>
      <c r="J6349">
        <v>12.09</v>
      </c>
    </row>
    <row r="6350" spans="1:10" hidden="1">
      <c r="A6350" t="s">
        <v>4411</v>
      </c>
      <c r="B6350" t="s">
        <v>4412</v>
      </c>
      <c r="C6350" t="s">
        <v>235</v>
      </c>
      <c r="D6350" t="s">
        <v>1601</v>
      </c>
      <c r="E6350" t="s">
        <v>557</v>
      </c>
      <c r="F6350" t="s">
        <v>1068</v>
      </c>
      <c r="G6350" t="s">
        <v>1087</v>
      </c>
      <c r="H6350" s="171" t="s">
        <v>4418</v>
      </c>
      <c r="I6350" t="s">
        <v>1088</v>
      </c>
      <c r="J6350">
        <v>12.09</v>
      </c>
    </row>
    <row r="6351" spans="1:10" hidden="1">
      <c r="A6351" t="s">
        <v>4411</v>
      </c>
      <c r="B6351" t="s">
        <v>4412</v>
      </c>
      <c r="C6351" t="s">
        <v>235</v>
      </c>
      <c r="D6351" t="s">
        <v>1601</v>
      </c>
      <c r="E6351" t="s">
        <v>557</v>
      </c>
      <c r="F6351" t="s">
        <v>1068</v>
      </c>
      <c r="G6351" t="s">
        <v>1089</v>
      </c>
      <c r="H6351" s="171" t="s">
        <v>4419</v>
      </c>
      <c r="I6351" t="s">
        <v>1090</v>
      </c>
      <c r="J6351">
        <v>12.09</v>
      </c>
    </row>
    <row r="6352" spans="1:10" hidden="1">
      <c r="A6352" t="s">
        <v>4420</v>
      </c>
      <c r="B6352" t="s">
        <v>4421</v>
      </c>
      <c r="C6352" t="s">
        <v>235</v>
      </c>
      <c r="D6352" t="s">
        <v>1601</v>
      </c>
      <c r="E6352" t="s">
        <v>559</v>
      </c>
      <c r="F6352" t="s">
        <v>1068</v>
      </c>
      <c r="G6352" t="s">
        <v>1069</v>
      </c>
      <c r="H6352" s="171" t="s">
        <v>4422</v>
      </c>
      <c r="I6352" t="s">
        <v>1070</v>
      </c>
      <c r="J6352">
        <v>8.76</v>
      </c>
    </row>
    <row r="6353" spans="1:10" hidden="1">
      <c r="A6353" t="s">
        <v>4420</v>
      </c>
      <c r="B6353" t="s">
        <v>4421</v>
      </c>
      <c r="C6353" t="s">
        <v>235</v>
      </c>
      <c r="D6353" t="s">
        <v>1601</v>
      </c>
      <c r="E6353" t="s">
        <v>559</v>
      </c>
      <c r="F6353" t="s">
        <v>1068</v>
      </c>
      <c r="G6353" t="s">
        <v>1071</v>
      </c>
      <c r="H6353" s="171" t="s">
        <v>4423</v>
      </c>
      <c r="I6353" t="s">
        <v>1072</v>
      </c>
      <c r="J6353">
        <v>8.76</v>
      </c>
    </row>
    <row r="6354" spans="1:10" hidden="1">
      <c r="A6354" t="s">
        <v>4420</v>
      </c>
      <c r="B6354" t="s">
        <v>4421</v>
      </c>
      <c r="C6354" t="s">
        <v>235</v>
      </c>
      <c r="D6354" t="s">
        <v>1601</v>
      </c>
      <c r="E6354" t="s">
        <v>559</v>
      </c>
      <c r="F6354" t="s">
        <v>1068</v>
      </c>
      <c r="G6354" t="s">
        <v>1073</v>
      </c>
      <c r="H6354" s="171" t="s">
        <v>4424</v>
      </c>
      <c r="I6354" t="s">
        <v>1074</v>
      </c>
      <c r="J6354">
        <v>8.76</v>
      </c>
    </row>
    <row r="6355" spans="1:10" hidden="1">
      <c r="A6355" t="s">
        <v>4420</v>
      </c>
      <c r="B6355" t="s">
        <v>4421</v>
      </c>
      <c r="C6355" t="s">
        <v>235</v>
      </c>
      <c r="D6355" t="s">
        <v>1601</v>
      </c>
      <c r="E6355" t="s">
        <v>559</v>
      </c>
      <c r="F6355" t="s">
        <v>1068</v>
      </c>
      <c r="G6355" t="s">
        <v>1075</v>
      </c>
      <c r="H6355">
        <v>2.9230363449449502E-3</v>
      </c>
      <c r="I6355" t="s">
        <v>1077</v>
      </c>
      <c r="J6355">
        <v>8.76</v>
      </c>
    </row>
    <row r="6356" spans="1:10" hidden="1">
      <c r="A6356" t="s">
        <v>4420</v>
      </c>
      <c r="B6356" t="s">
        <v>4421</v>
      </c>
      <c r="C6356" t="s">
        <v>235</v>
      </c>
      <c r="D6356" t="s">
        <v>1601</v>
      </c>
      <c r="E6356" t="s">
        <v>559</v>
      </c>
      <c r="F6356" t="s">
        <v>1068</v>
      </c>
      <c r="G6356" t="s">
        <v>1078</v>
      </c>
      <c r="H6356">
        <v>-1.38385200580988</v>
      </c>
      <c r="I6356" t="s">
        <v>1079</v>
      </c>
      <c r="J6356">
        <v>8.76</v>
      </c>
    </row>
    <row r="6357" spans="1:10" hidden="1">
      <c r="A6357" t="s">
        <v>4420</v>
      </c>
      <c r="B6357" t="s">
        <v>4421</v>
      </c>
      <c r="C6357" t="s">
        <v>235</v>
      </c>
      <c r="D6357" t="s">
        <v>1601</v>
      </c>
      <c r="E6357" t="s">
        <v>559</v>
      </c>
      <c r="F6357" t="s">
        <v>1068</v>
      </c>
      <c r="G6357" t="s">
        <v>1080</v>
      </c>
      <c r="H6357" s="171" t="s">
        <v>4425</v>
      </c>
      <c r="I6357" t="s">
        <v>1082</v>
      </c>
      <c r="J6357">
        <v>8.76</v>
      </c>
    </row>
    <row r="6358" spans="1:10" hidden="1">
      <c r="A6358" t="s">
        <v>4420</v>
      </c>
      <c r="B6358" t="s">
        <v>4421</v>
      </c>
      <c r="C6358" t="s">
        <v>235</v>
      </c>
      <c r="D6358" t="s">
        <v>1601</v>
      </c>
      <c r="E6358" t="s">
        <v>559</v>
      </c>
      <c r="F6358" t="s">
        <v>1068</v>
      </c>
      <c r="G6358" t="s">
        <v>1083</v>
      </c>
      <c r="H6358" s="171" t="s">
        <v>4426</v>
      </c>
      <c r="I6358" t="s">
        <v>1084</v>
      </c>
      <c r="J6358">
        <v>8.76</v>
      </c>
    </row>
    <row r="6359" spans="1:10" hidden="1">
      <c r="A6359" t="s">
        <v>4420</v>
      </c>
      <c r="B6359" t="s">
        <v>4421</v>
      </c>
      <c r="C6359" t="s">
        <v>235</v>
      </c>
      <c r="D6359" t="s">
        <v>1601</v>
      </c>
      <c r="E6359" t="s">
        <v>559</v>
      </c>
      <c r="F6359" t="s">
        <v>1068</v>
      </c>
      <c r="G6359" t="s">
        <v>1085</v>
      </c>
      <c r="H6359" s="171" t="s">
        <v>4427</v>
      </c>
      <c r="I6359" t="s">
        <v>1086</v>
      </c>
      <c r="J6359">
        <v>8.76</v>
      </c>
    </row>
    <row r="6360" spans="1:10" hidden="1">
      <c r="A6360" t="s">
        <v>4420</v>
      </c>
      <c r="B6360" t="s">
        <v>4421</v>
      </c>
      <c r="C6360" t="s">
        <v>235</v>
      </c>
      <c r="D6360" t="s">
        <v>1601</v>
      </c>
      <c r="E6360" t="s">
        <v>559</v>
      </c>
      <c r="F6360" t="s">
        <v>1068</v>
      </c>
      <c r="G6360" t="s">
        <v>1087</v>
      </c>
      <c r="H6360" s="171" t="s">
        <v>4428</v>
      </c>
      <c r="I6360" t="s">
        <v>1088</v>
      </c>
      <c r="J6360">
        <v>8.76</v>
      </c>
    </row>
    <row r="6361" spans="1:10" hidden="1">
      <c r="A6361" t="s">
        <v>4420</v>
      </c>
      <c r="B6361" t="s">
        <v>4421</v>
      </c>
      <c r="C6361" t="s">
        <v>235</v>
      </c>
      <c r="D6361" t="s">
        <v>1601</v>
      </c>
      <c r="E6361" t="s">
        <v>559</v>
      </c>
      <c r="F6361" t="s">
        <v>1068</v>
      </c>
      <c r="G6361" t="s">
        <v>1089</v>
      </c>
      <c r="H6361" s="171" t="s">
        <v>4429</v>
      </c>
      <c r="I6361" t="s">
        <v>1090</v>
      </c>
      <c r="J6361">
        <v>8.76</v>
      </c>
    </row>
    <row r="6362" spans="1:10" hidden="1">
      <c r="A6362" t="s">
        <v>4430</v>
      </c>
      <c r="B6362" t="s">
        <v>4431</v>
      </c>
      <c r="C6362" t="s">
        <v>235</v>
      </c>
      <c r="D6362" t="s">
        <v>1601</v>
      </c>
      <c r="E6362" t="s">
        <v>560</v>
      </c>
      <c r="F6362" t="s">
        <v>1068</v>
      </c>
      <c r="G6362" t="s">
        <v>1069</v>
      </c>
      <c r="H6362">
        <v>5.3366225003022398E-2</v>
      </c>
      <c r="I6362" t="s">
        <v>1070</v>
      </c>
      <c r="J6362">
        <v>7.59</v>
      </c>
    </row>
    <row r="6363" spans="1:10" hidden="1">
      <c r="A6363" t="s">
        <v>4430</v>
      </c>
      <c r="B6363" t="s">
        <v>4431</v>
      </c>
      <c r="C6363" t="s">
        <v>235</v>
      </c>
      <c r="D6363" t="s">
        <v>1601</v>
      </c>
      <c r="E6363" t="s">
        <v>560</v>
      </c>
      <c r="F6363" t="s">
        <v>1068</v>
      </c>
      <c r="G6363" t="s">
        <v>1071</v>
      </c>
      <c r="H6363" s="171" t="s">
        <v>4432</v>
      </c>
      <c r="I6363" t="s">
        <v>1072</v>
      </c>
      <c r="J6363">
        <v>7.59</v>
      </c>
    </row>
    <row r="6364" spans="1:10" hidden="1">
      <c r="A6364" t="s">
        <v>4430</v>
      </c>
      <c r="B6364" t="s">
        <v>4431</v>
      </c>
      <c r="C6364" t="s">
        <v>235</v>
      </c>
      <c r="D6364" t="s">
        <v>1601</v>
      </c>
      <c r="E6364" t="s">
        <v>560</v>
      </c>
      <c r="F6364" t="s">
        <v>1068</v>
      </c>
      <c r="G6364" t="s">
        <v>1073</v>
      </c>
      <c r="H6364" s="171" t="s">
        <v>4433</v>
      </c>
      <c r="I6364" t="s">
        <v>1074</v>
      </c>
      <c r="J6364">
        <v>7.59</v>
      </c>
    </row>
    <row r="6365" spans="1:10" hidden="1">
      <c r="A6365" t="s">
        <v>4430</v>
      </c>
      <c r="B6365" t="s">
        <v>4431</v>
      </c>
      <c r="C6365" t="s">
        <v>235</v>
      </c>
      <c r="D6365" t="s">
        <v>1601</v>
      </c>
      <c r="E6365" t="s">
        <v>560</v>
      </c>
      <c r="F6365" t="s">
        <v>1068</v>
      </c>
      <c r="G6365" t="s">
        <v>1075</v>
      </c>
      <c r="H6365">
        <v>2.92657956613856E-3</v>
      </c>
      <c r="I6365" t="s">
        <v>1077</v>
      </c>
      <c r="J6365">
        <v>7.59</v>
      </c>
    </row>
    <row r="6366" spans="1:10" hidden="1">
      <c r="A6366" t="s">
        <v>4430</v>
      </c>
      <c r="B6366" t="s">
        <v>4431</v>
      </c>
      <c r="C6366" t="s">
        <v>235</v>
      </c>
      <c r="D6366" t="s">
        <v>1601</v>
      </c>
      <c r="E6366" t="s">
        <v>560</v>
      </c>
      <c r="F6366" t="s">
        <v>1068</v>
      </c>
      <c r="G6366" t="s">
        <v>1078</v>
      </c>
      <c r="H6366">
        <v>-1.3857167229293199</v>
      </c>
      <c r="I6366" t="s">
        <v>1079</v>
      </c>
      <c r="J6366">
        <v>7.59</v>
      </c>
    </row>
    <row r="6367" spans="1:10" hidden="1">
      <c r="A6367" t="s">
        <v>4430</v>
      </c>
      <c r="B6367" t="s">
        <v>4431</v>
      </c>
      <c r="C6367" t="s">
        <v>235</v>
      </c>
      <c r="D6367" t="s">
        <v>1601</v>
      </c>
      <c r="E6367" t="s">
        <v>560</v>
      </c>
      <c r="F6367" t="s">
        <v>1068</v>
      </c>
      <c r="G6367" t="s">
        <v>1080</v>
      </c>
      <c r="H6367" s="171" t="s">
        <v>4434</v>
      </c>
      <c r="I6367" t="s">
        <v>1082</v>
      </c>
      <c r="J6367">
        <v>7.59</v>
      </c>
    </row>
    <row r="6368" spans="1:10" hidden="1">
      <c r="A6368" t="s">
        <v>4430</v>
      </c>
      <c r="B6368" t="s">
        <v>4431</v>
      </c>
      <c r="C6368" t="s">
        <v>235</v>
      </c>
      <c r="D6368" t="s">
        <v>1601</v>
      </c>
      <c r="E6368" t="s">
        <v>560</v>
      </c>
      <c r="F6368" t="s">
        <v>1068</v>
      </c>
      <c r="G6368" t="s">
        <v>1083</v>
      </c>
      <c r="H6368" s="171" t="s">
        <v>4435</v>
      </c>
      <c r="I6368" t="s">
        <v>1084</v>
      </c>
      <c r="J6368">
        <v>7.59</v>
      </c>
    </row>
    <row r="6369" spans="1:10" hidden="1">
      <c r="A6369" t="s">
        <v>4430</v>
      </c>
      <c r="B6369" t="s">
        <v>4431</v>
      </c>
      <c r="C6369" t="s">
        <v>235</v>
      </c>
      <c r="D6369" t="s">
        <v>1601</v>
      </c>
      <c r="E6369" t="s">
        <v>560</v>
      </c>
      <c r="F6369" t="s">
        <v>1068</v>
      </c>
      <c r="G6369" t="s">
        <v>1085</v>
      </c>
      <c r="H6369" s="171" t="s">
        <v>4436</v>
      </c>
      <c r="I6369" t="s">
        <v>1086</v>
      </c>
      <c r="J6369">
        <v>7.59</v>
      </c>
    </row>
    <row r="6370" spans="1:10" hidden="1">
      <c r="A6370" t="s">
        <v>4430</v>
      </c>
      <c r="B6370" t="s">
        <v>4431</v>
      </c>
      <c r="C6370" t="s">
        <v>235</v>
      </c>
      <c r="D6370" t="s">
        <v>1601</v>
      </c>
      <c r="E6370" t="s">
        <v>560</v>
      </c>
      <c r="F6370" t="s">
        <v>1068</v>
      </c>
      <c r="G6370" t="s">
        <v>1087</v>
      </c>
      <c r="H6370" s="171" t="s">
        <v>4437</v>
      </c>
      <c r="I6370" t="s">
        <v>1088</v>
      </c>
      <c r="J6370">
        <v>7.59</v>
      </c>
    </row>
    <row r="6371" spans="1:10" hidden="1">
      <c r="A6371" t="s">
        <v>4430</v>
      </c>
      <c r="B6371" t="s">
        <v>4431</v>
      </c>
      <c r="C6371" t="s">
        <v>235</v>
      </c>
      <c r="D6371" t="s">
        <v>1601</v>
      </c>
      <c r="E6371" t="s">
        <v>560</v>
      </c>
      <c r="F6371" t="s">
        <v>1068</v>
      </c>
      <c r="G6371" t="s">
        <v>1089</v>
      </c>
      <c r="H6371" s="171" t="s">
        <v>4438</v>
      </c>
      <c r="I6371" t="s">
        <v>1090</v>
      </c>
      <c r="J6371">
        <v>7.59</v>
      </c>
    </row>
    <row r="6372" spans="1:10" hidden="1">
      <c r="A6372" t="s">
        <v>4439</v>
      </c>
      <c r="B6372" t="s">
        <v>4440</v>
      </c>
      <c r="C6372" t="s">
        <v>235</v>
      </c>
      <c r="D6372" t="s">
        <v>1601</v>
      </c>
      <c r="E6372" t="s">
        <v>1116</v>
      </c>
      <c r="F6372" t="s">
        <v>1068</v>
      </c>
      <c r="G6372" t="s">
        <v>1069</v>
      </c>
      <c r="H6372">
        <v>5.47253739356999E-2</v>
      </c>
      <c r="I6372" t="s">
        <v>1070</v>
      </c>
      <c r="J6372">
        <v>7.46</v>
      </c>
    </row>
    <row r="6373" spans="1:10" hidden="1">
      <c r="A6373" t="s">
        <v>4439</v>
      </c>
      <c r="B6373" t="s">
        <v>4440</v>
      </c>
      <c r="C6373" t="s">
        <v>235</v>
      </c>
      <c r="D6373" t="s">
        <v>1601</v>
      </c>
      <c r="E6373" t="s">
        <v>1116</v>
      </c>
      <c r="F6373" t="s">
        <v>1068</v>
      </c>
      <c r="G6373" t="s">
        <v>1071</v>
      </c>
      <c r="H6373" s="171" t="s">
        <v>4441</v>
      </c>
      <c r="I6373" t="s">
        <v>1072</v>
      </c>
      <c r="J6373">
        <v>7.46</v>
      </c>
    </row>
    <row r="6374" spans="1:10" hidden="1">
      <c r="A6374" t="s">
        <v>4439</v>
      </c>
      <c r="B6374" t="s">
        <v>4440</v>
      </c>
      <c r="C6374" t="s">
        <v>235</v>
      </c>
      <c r="D6374" t="s">
        <v>1601</v>
      </c>
      <c r="E6374" t="s">
        <v>1116</v>
      </c>
      <c r="F6374" t="s">
        <v>1068</v>
      </c>
      <c r="G6374" t="s">
        <v>1073</v>
      </c>
      <c r="H6374" s="171" t="s">
        <v>4442</v>
      </c>
      <c r="I6374" t="s">
        <v>1074</v>
      </c>
      <c r="J6374">
        <v>7.46</v>
      </c>
    </row>
    <row r="6375" spans="1:10" hidden="1">
      <c r="A6375" t="s">
        <v>4439</v>
      </c>
      <c r="B6375" t="s">
        <v>4440</v>
      </c>
      <c r="C6375" t="s">
        <v>235</v>
      </c>
      <c r="D6375" t="s">
        <v>1601</v>
      </c>
      <c r="E6375" t="s">
        <v>1116</v>
      </c>
      <c r="F6375" t="s">
        <v>1068</v>
      </c>
      <c r="G6375" t="s">
        <v>1075</v>
      </c>
      <c r="H6375">
        <v>2.9695437158378099E-3</v>
      </c>
      <c r="I6375" t="s">
        <v>1077</v>
      </c>
      <c r="J6375">
        <v>7.46</v>
      </c>
    </row>
    <row r="6376" spans="1:10" hidden="1">
      <c r="A6376" t="s">
        <v>4439</v>
      </c>
      <c r="B6376" t="s">
        <v>4440</v>
      </c>
      <c r="C6376" t="s">
        <v>235</v>
      </c>
      <c r="D6376" t="s">
        <v>1601</v>
      </c>
      <c r="E6376" t="s">
        <v>1116</v>
      </c>
      <c r="F6376" t="s">
        <v>1068</v>
      </c>
      <c r="G6376" t="s">
        <v>1078</v>
      </c>
      <c r="H6376">
        <v>-1.3838587873666699</v>
      </c>
      <c r="I6376" t="s">
        <v>1079</v>
      </c>
      <c r="J6376">
        <v>7.46</v>
      </c>
    </row>
    <row r="6377" spans="1:10" hidden="1">
      <c r="A6377" t="s">
        <v>4439</v>
      </c>
      <c r="B6377" t="s">
        <v>4440</v>
      </c>
      <c r="C6377" t="s">
        <v>235</v>
      </c>
      <c r="D6377" t="s">
        <v>1601</v>
      </c>
      <c r="E6377" t="s">
        <v>1116</v>
      </c>
      <c r="F6377" t="s">
        <v>1068</v>
      </c>
      <c r="G6377" t="s">
        <v>1080</v>
      </c>
      <c r="H6377" s="171" t="s">
        <v>4443</v>
      </c>
      <c r="I6377" t="s">
        <v>1082</v>
      </c>
      <c r="J6377">
        <v>7.46</v>
      </c>
    </row>
    <row r="6378" spans="1:10" hidden="1">
      <c r="A6378" t="s">
        <v>4439</v>
      </c>
      <c r="B6378" t="s">
        <v>4440</v>
      </c>
      <c r="C6378" t="s">
        <v>235</v>
      </c>
      <c r="D6378" t="s">
        <v>1601</v>
      </c>
      <c r="E6378" t="s">
        <v>1116</v>
      </c>
      <c r="F6378" t="s">
        <v>1068</v>
      </c>
      <c r="G6378" t="s">
        <v>1083</v>
      </c>
      <c r="H6378" s="171" t="s">
        <v>4444</v>
      </c>
      <c r="I6378" t="s">
        <v>1084</v>
      </c>
      <c r="J6378">
        <v>7.46</v>
      </c>
    </row>
    <row r="6379" spans="1:10" hidden="1">
      <c r="A6379" t="s">
        <v>4439</v>
      </c>
      <c r="B6379" t="s">
        <v>4440</v>
      </c>
      <c r="C6379" t="s">
        <v>235</v>
      </c>
      <c r="D6379" t="s">
        <v>1601</v>
      </c>
      <c r="E6379" t="s">
        <v>1116</v>
      </c>
      <c r="F6379" t="s">
        <v>1068</v>
      </c>
      <c r="G6379" t="s">
        <v>1085</v>
      </c>
      <c r="H6379" s="171" t="s">
        <v>4445</v>
      </c>
      <c r="I6379" t="s">
        <v>1086</v>
      </c>
      <c r="J6379">
        <v>7.46</v>
      </c>
    </row>
    <row r="6380" spans="1:10" hidden="1">
      <c r="A6380" t="s">
        <v>4439</v>
      </c>
      <c r="B6380" t="s">
        <v>4440</v>
      </c>
      <c r="C6380" t="s">
        <v>235</v>
      </c>
      <c r="D6380" t="s">
        <v>1601</v>
      </c>
      <c r="E6380" t="s">
        <v>1116</v>
      </c>
      <c r="F6380" t="s">
        <v>1068</v>
      </c>
      <c r="G6380" t="s">
        <v>1087</v>
      </c>
      <c r="H6380" s="171" t="s">
        <v>4446</v>
      </c>
      <c r="I6380" t="s">
        <v>1088</v>
      </c>
      <c r="J6380">
        <v>7.46</v>
      </c>
    </row>
    <row r="6381" spans="1:10" hidden="1">
      <c r="A6381" t="s">
        <v>4439</v>
      </c>
      <c r="B6381" t="s">
        <v>4440</v>
      </c>
      <c r="C6381" t="s">
        <v>235</v>
      </c>
      <c r="D6381" t="s">
        <v>1601</v>
      </c>
      <c r="E6381" t="s">
        <v>1116</v>
      </c>
      <c r="F6381" t="s">
        <v>1068</v>
      </c>
      <c r="G6381" t="s">
        <v>1089</v>
      </c>
      <c r="H6381" s="171" t="s">
        <v>4447</v>
      </c>
      <c r="I6381" t="s">
        <v>1090</v>
      </c>
      <c r="J6381">
        <v>7.46</v>
      </c>
    </row>
    <row r="6382" spans="1:10" hidden="1">
      <c r="A6382" t="s">
        <v>4448</v>
      </c>
      <c r="B6382" t="s">
        <v>4449</v>
      </c>
      <c r="C6382" t="s">
        <v>235</v>
      </c>
      <c r="D6382" t="s">
        <v>1633</v>
      </c>
      <c r="E6382" t="s">
        <v>561</v>
      </c>
      <c r="F6382" t="s">
        <v>1068</v>
      </c>
      <c r="G6382" t="s">
        <v>1069</v>
      </c>
      <c r="H6382">
        <v>-2.6708349221963999E-2</v>
      </c>
      <c r="I6382" t="s">
        <v>1070</v>
      </c>
      <c r="J6382">
        <v>7.83</v>
      </c>
    </row>
    <row r="6383" spans="1:10" hidden="1">
      <c r="A6383" t="s">
        <v>4448</v>
      </c>
      <c r="B6383" t="s">
        <v>4449</v>
      </c>
      <c r="C6383" t="s">
        <v>235</v>
      </c>
      <c r="D6383" t="s">
        <v>1633</v>
      </c>
      <c r="E6383" t="s">
        <v>561</v>
      </c>
      <c r="F6383" t="s">
        <v>1068</v>
      </c>
      <c r="G6383" t="s">
        <v>1071</v>
      </c>
      <c r="H6383" s="170">
        <v>-1.06169852905492E-10</v>
      </c>
      <c r="I6383" t="s">
        <v>1072</v>
      </c>
      <c r="J6383">
        <v>7.83</v>
      </c>
    </row>
    <row r="6384" spans="1:10" hidden="1">
      <c r="A6384" t="s">
        <v>4448</v>
      </c>
      <c r="B6384" t="s">
        <v>4449</v>
      </c>
      <c r="C6384" t="s">
        <v>235</v>
      </c>
      <c r="D6384" t="s">
        <v>1633</v>
      </c>
      <c r="E6384" t="s">
        <v>561</v>
      </c>
      <c r="F6384" t="s">
        <v>1068</v>
      </c>
      <c r="G6384" t="s">
        <v>1073</v>
      </c>
      <c r="H6384" s="170">
        <v>-6.96565165780588E-9</v>
      </c>
      <c r="I6384" t="s">
        <v>1074</v>
      </c>
      <c r="J6384">
        <v>7.83</v>
      </c>
    </row>
    <row r="6385" spans="1:10" hidden="1">
      <c r="A6385" t="s">
        <v>4448</v>
      </c>
      <c r="B6385" t="s">
        <v>4449</v>
      </c>
      <c r="C6385" t="s">
        <v>235</v>
      </c>
      <c r="D6385" t="s">
        <v>1633</v>
      </c>
      <c r="E6385" t="s">
        <v>561</v>
      </c>
      <c r="F6385" t="s">
        <v>1068</v>
      </c>
      <c r="G6385" t="s">
        <v>1075</v>
      </c>
      <c r="H6385">
        <v>1.6732373637016399E-3</v>
      </c>
      <c r="I6385" t="s">
        <v>1077</v>
      </c>
      <c r="J6385">
        <v>7.83</v>
      </c>
    </row>
    <row r="6386" spans="1:10" hidden="1">
      <c r="A6386" t="s">
        <v>4448</v>
      </c>
      <c r="B6386" t="s">
        <v>4449</v>
      </c>
      <c r="C6386" t="s">
        <v>235</v>
      </c>
      <c r="D6386" t="s">
        <v>1633</v>
      </c>
      <c r="E6386" t="s">
        <v>561</v>
      </c>
      <c r="F6386" t="s">
        <v>1068</v>
      </c>
      <c r="G6386" t="s">
        <v>1078</v>
      </c>
      <c r="H6386">
        <v>-0.79779467300472295</v>
      </c>
      <c r="I6386" t="s">
        <v>1079</v>
      </c>
      <c r="J6386">
        <v>7.83</v>
      </c>
    </row>
    <row r="6387" spans="1:10" hidden="1">
      <c r="A6387" t="s">
        <v>4448</v>
      </c>
      <c r="B6387" t="s">
        <v>4449</v>
      </c>
      <c r="C6387" t="s">
        <v>235</v>
      </c>
      <c r="D6387" t="s">
        <v>1633</v>
      </c>
      <c r="E6387" t="s">
        <v>561</v>
      </c>
      <c r="F6387" t="s">
        <v>1068</v>
      </c>
      <c r="G6387" t="s">
        <v>1080</v>
      </c>
      <c r="H6387" s="171" t="s">
        <v>4450</v>
      </c>
      <c r="I6387" t="s">
        <v>1082</v>
      </c>
      <c r="J6387">
        <v>7.83</v>
      </c>
    </row>
    <row r="6388" spans="1:10" hidden="1">
      <c r="A6388" t="s">
        <v>4448</v>
      </c>
      <c r="B6388" t="s">
        <v>4449</v>
      </c>
      <c r="C6388" t="s">
        <v>235</v>
      </c>
      <c r="D6388" t="s">
        <v>1633</v>
      </c>
      <c r="E6388" t="s">
        <v>561</v>
      </c>
      <c r="F6388" t="s">
        <v>1068</v>
      </c>
      <c r="G6388" t="s">
        <v>1083</v>
      </c>
      <c r="H6388" s="170">
        <v>-1.0962326603249101E-5</v>
      </c>
      <c r="I6388" t="s">
        <v>1084</v>
      </c>
      <c r="J6388">
        <v>7.83</v>
      </c>
    </row>
    <row r="6389" spans="1:10" hidden="1">
      <c r="A6389" t="s">
        <v>4448</v>
      </c>
      <c r="B6389" t="s">
        <v>4449</v>
      </c>
      <c r="C6389" t="s">
        <v>235</v>
      </c>
      <c r="D6389" t="s">
        <v>1633</v>
      </c>
      <c r="E6389" t="s">
        <v>561</v>
      </c>
      <c r="F6389" t="s">
        <v>1068</v>
      </c>
      <c r="G6389" t="s">
        <v>1085</v>
      </c>
      <c r="H6389" s="170">
        <v>-6.7855204592519704E-5</v>
      </c>
      <c r="I6389" t="s">
        <v>1086</v>
      </c>
      <c r="J6389">
        <v>7.83</v>
      </c>
    </row>
    <row r="6390" spans="1:10" hidden="1">
      <c r="A6390" t="s">
        <v>4448</v>
      </c>
      <c r="B6390" t="s">
        <v>4449</v>
      </c>
      <c r="C6390" t="s">
        <v>235</v>
      </c>
      <c r="D6390" t="s">
        <v>1633</v>
      </c>
      <c r="E6390" t="s">
        <v>561</v>
      </c>
      <c r="F6390" t="s">
        <v>1068</v>
      </c>
      <c r="G6390" t="s">
        <v>1087</v>
      </c>
      <c r="H6390" s="171" t="s">
        <v>4451</v>
      </c>
      <c r="I6390" t="s">
        <v>1088</v>
      </c>
      <c r="J6390">
        <v>7.83</v>
      </c>
    </row>
    <row r="6391" spans="1:10" hidden="1">
      <c r="A6391" t="s">
        <v>4448</v>
      </c>
      <c r="B6391" t="s">
        <v>4449</v>
      </c>
      <c r="C6391" t="s">
        <v>235</v>
      </c>
      <c r="D6391" t="s">
        <v>1633</v>
      </c>
      <c r="E6391" t="s">
        <v>561</v>
      </c>
      <c r="F6391" t="s">
        <v>1068</v>
      </c>
      <c r="G6391" t="s">
        <v>1089</v>
      </c>
      <c r="H6391" s="170">
        <v>-2.2422160464209799E-6</v>
      </c>
      <c r="I6391" t="s">
        <v>1090</v>
      </c>
      <c r="J6391">
        <v>7.83</v>
      </c>
    </row>
    <row r="6392" spans="1:10" hidden="1">
      <c r="A6392" t="s">
        <v>4452</v>
      </c>
      <c r="B6392" t="s">
        <v>4453</v>
      </c>
      <c r="C6392" t="s">
        <v>235</v>
      </c>
      <c r="D6392" t="s">
        <v>1633</v>
      </c>
      <c r="E6392" t="s">
        <v>555</v>
      </c>
      <c r="F6392" t="s">
        <v>1068</v>
      </c>
      <c r="G6392" t="s">
        <v>1069</v>
      </c>
      <c r="H6392">
        <v>-3.8501818214538103E-2</v>
      </c>
      <c r="I6392" t="s">
        <v>1070</v>
      </c>
      <c r="J6392">
        <v>7.53</v>
      </c>
    </row>
    <row r="6393" spans="1:10" hidden="1">
      <c r="A6393" t="s">
        <v>4452</v>
      </c>
      <c r="B6393" t="s">
        <v>4453</v>
      </c>
      <c r="C6393" t="s">
        <v>235</v>
      </c>
      <c r="D6393" t="s">
        <v>1633</v>
      </c>
      <c r="E6393" t="s">
        <v>555</v>
      </c>
      <c r="F6393" t="s">
        <v>1068</v>
      </c>
      <c r="G6393" t="s">
        <v>1071</v>
      </c>
      <c r="H6393" s="170">
        <v>-1.23078053617573E-10</v>
      </c>
      <c r="I6393" t="s">
        <v>1072</v>
      </c>
      <c r="J6393">
        <v>7.53</v>
      </c>
    </row>
    <row r="6394" spans="1:10" hidden="1">
      <c r="A6394" t="s">
        <v>4452</v>
      </c>
      <c r="B6394" t="s">
        <v>4453</v>
      </c>
      <c r="C6394" t="s">
        <v>235</v>
      </c>
      <c r="D6394" t="s">
        <v>1633</v>
      </c>
      <c r="E6394" t="s">
        <v>555</v>
      </c>
      <c r="F6394" t="s">
        <v>1068</v>
      </c>
      <c r="G6394" t="s">
        <v>1073</v>
      </c>
      <c r="H6394" s="170">
        <v>-1.11681750047602E-8</v>
      </c>
      <c r="I6394" t="s">
        <v>1074</v>
      </c>
      <c r="J6394">
        <v>7.53</v>
      </c>
    </row>
    <row r="6395" spans="1:10" hidden="1">
      <c r="A6395" t="s">
        <v>4452</v>
      </c>
      <c r="B6395" t="s">
        <v>4453</v>
      </c>
      <c r="C6395" t="s">
        <v>235</v>
      </c>
      <c r="D6395" t="s">
        <v>1633</v>
      </c>
      <c r="E6395" t="s">
        <v>555</v>
      </c>
      <c r="F6395" t="s">
        <v>1068</v>
      </c>
      <c r="G6395" t="s">
        <v>1075</v>
      </c>
      <c r="H6395">
        <v>1.3081957123961001E-3</v>
      </c>
      <c r="I6395" t="s">
        <v>1077</v>
      </c>
      <c r="J6395">
        <v>7.53</v>
      </c>
    </row>
    <row r="6396" spans="1:10" hidden="1">
      <c r="A6396" t="s">
        <v>4452</v>
      </c>
      <c r="B6396" t="s">
        <v>4453</v>
      </c>
      <c r="C6396" t="s">
        <v>235</v>
      </c>
      <c r="D6396" t="s">
        <v>1633</v>
      </c>
      <c r="E6396" t="s">
        <v>555</v>
      </c>
      <c r="F6396" t="s">
        <v>1068</v>
      </c>
      <c r="G6396" t="s">
        <v>1078</v>
      </c>
      <c r="H6396">
        <v>-0.81021857242915696</v>
      </c>
      <c r="I6396" t="s">
        <v>1079</v>
      </c>
      <c r="J6396">
        <v>7.53</v>
      </c>
    </row>
    <row r="6397" spans="1:10" hidden="1">
      <c r="A6397" t="s">
        <v>4452</v>
      </c>
      <c r="B6397" t="s">
        <v>4453</v>
      </c>
      <c r="C6397" t="s">
        <v>235</v>
      </c>
      <c r="D6397" t="s">
        <v>1633</v>
      </c>
      <c r="E6397" t="s">
        <v>555</v>
      </c>
      <c r="F6397" t="s">
        <v>1068</v>
      </c>
      <c r="G6397" t="s">
        <v>1080</v>
      </c>
      <c r="H6397" s="171" t="s">
        <v>4454</v>
      </c>
      <c r="I6397" t="s">
        <v>1082</v>
      </c>
      <c r="J6397">
        <v>7.53</v>
      </c>
    </row>
    <row r="6398" spans="1:10" hidden="1">
      <c r="A6398" t="s">
        <v>4452</v>
      </c>
      <c r="B6398" t="s">
        <v>4453</v>
      </c>
      <c r="C6398" t="s">
        <v>235</v>
      </c>
      <c r="D6398" t="s">
        <v>1633</v>
      </c>
      <c r="E6398" t="s">
        <v>555</v>
      </c>
      <c r="F6398" t="s">
        <v>1068</v>
      </c>
      <c r="G6398" t="s">
        <v>1083</v>
      </c>
      <c r="H6398" s="170">
        <v>-1.27617708624979E-5</v>
      </c>
      <c r="I6398" t="s">
        <v>1084</v>
      </c>
      <c r="J6398">
        <v>7.53</v>
      </c>
    </row>
    <row r="6399" spans="1:10" hidden="1">
      <c r="A6399" t="s">
        <v>4452</v>
      </c>
      <c r="B6399" t="s">
        <v>4453</v>
      </c>
      <c r="C6399" t="s">
        <v>235</v>
      </c>
      <c r="D6399" t="s">
        <v>1633</v>
      </c>
      <c r="E6399" t="s">
        <v>555</v>
      </c>
      <c r="F6399" t="s">
        <v>1068</v>
      </c>
      <c r="G6399" t="s">
        <v>1085</v>
      </c>
      <c r="H6399" s="170">
        <v>-8.8143925379334601E-5</v>
      </c>
      <c r="I6399" t="s">
        <v>1086</v>
      </c>
      <c r="J6399">
        <v>7.53</v>
      </c>
    </row>
    <row r="6400" spans="1:10" hidden="1">
      <c r="A6400" t="s">
        <v>4452</v>
      </c>
      <c r="B6400" t="s">
        <v>4453</v>
      </c>
      <c r="C6400" t="s">
        <v>235</v>
      </c>
      <c r="D6400" t="s">
        <v>1633</v>
      </c>
      <c r="E6400" t="s">
        <v>555</v>
      </c>
      <c r="F6400" t="s">
        <v>1068</v>
      </c>
      <c r="G6400" t="s">
        <v>1087</v>
      </c>
      <c r="H6400" s="171" t="s">
        <v>4455</v>
      </c>
      <c r="I6400" t="s">
        <v>1088</v>
      </c>
      <c r="J6400">
        <v>7.53</v>
      </c>
    </row>
    <row r="6401" spans="1:10" hidden="1">
      <c r="A6401" t="s">
        <v>4452</v>
      </c>
      <c r="B6401" t="s">
        <v>4453</v>
      </c>
      <c r="C6401" t="s">
        <v>235</v>
      </c>
      <c r="D6401" t="s">
        <v>1633</v>
      </c>
      <c r="E6401" t="s">
        <v>555</v>
      </c>
      <c r="F6401" t="s">
        <v>1068</v>
      </c>
      <c r="G6401" t="s">
        <v>1089</v>
      </c>
      <c r="H6401" s="170">
        <v>-6.4311958719808602E-6</v>
      </c>
      <c r="I6401" t="s">
        <v>1090</v>
      </c>
      <c r="J6401">
        <v>7.53</v>
      </c>
    </row>
    <row r="6402" spans="1:10" hidden="1">
      <c r="A6402" t="s">
        <v>4456</v>
      </c>
      <c r="B6402" t="s">
        <v>4457</v>
      </c>
      <c r="C6402" t="s">
        <v>235</v>
      </c>
      <c r="D6402" t="s">
        <v>1633</v>
      </c>
      <c r="E6402" t="s">
        <v>558</v>
      </c>
      <c r="F6402" t="s">
        <v>1068</v>
      </c>
      <c r="G6402" t="s">
        <v>1069</v>
      </c>
      <c r="H6402">
        <v>-2.5671219614338499E-2</v>
      </c>
      <c r="I6402" t="s">
        <v>1070</v>
      </c>
      <c r="J6402">
        <v>7.74</v>
      </c>
    </row>
    <row r="6403" spans="1:10" hidden="1">
      <c r="A6403" t="s">
        <v>4456</v>
      </c>
      <c r="B6403" t="s">
        <v>4457</v>
      </c>
      <c r="C6403" t="s">
        <v>235</v>
      </c>
      <c r="D6403" t="s">
        <v>1633</v>
      </c>
      <c r="E6403" t="s">
        <v>558</v>
      </c>
      <c r="F6403" t="s">
        <v>1068</v>
      </c>
      <c r="G6403" t="s">
        <v>1071</v>
      </c>
      <c r="H6403" s="170">
        <v>-1.04685708637677E-10</v>
      </c>
      <c r="I6403" t="s">
        <v>1072</v>
      </c>
      <c r="J6403">
        <v>7.74</v>
      </c>
    </row>
    <row r="6404" spans="1:10" hidden="1">
      <c r="A6404" t="s">
        <v>4456</v>
      </c>
      <c r="B6404" t="s">
        <v>4457</v>
      </c>
      <c r="C6404" t="s">
        <v>235</v>
      </c>
      <c r="D6404" t="s">
        <v>1633</v>
      </c>
      <c r="E6404" t="s">
        <v>558</v>
      </c>
      <c r="F6404" t="s">
        <v>1068</v>
      </c>
      <c r="G6404" t="s">
        <v>1073</v>
      </c>
      <c r="H6404" s="170">
        <v>-6.5972599394994198E-9</v>
      </c>
      <c r="I6404" t="s">
        <v>1074</v>
      </c>
      <c r="J6404">
        <v>7.74</v>
      </c>
    </row>
    <row r="6405" spans="1:10" hidden="1">
      <c r="A6405" t="s">
        <v>4456</v>
      </c>
      <c r="B6405" t="s">
        <v>4457</v>
      </c>
      <c r="C6405" t="s">
        <v>235</v>
      </c>
      <c r="D6405" t="s">
        <v>1633</v>
      </c>
      <c r="E6405" t="s">
        <v>558</v>
      </c>
      <c r="F6405" t="s">
        <v>1068</v>
      </c>
      <c r="G6405" t="s">
        <v>1075</v>
      </c>
      <c r="H6405">
        <v>1.7060221385325699E-3</v>
      </c>
      <c r="I6405" t="s">
        <v>1077</v>
      </c>
      <c r="J6405">
        <v>7.74</v>
      </c>
    </row>
    <row r="6406" spans="1:10" hidden="1">
      <c r="A6406" t="s">
        <v>4456</v>
      </c>
      <c r="B6406" t="s">
        <v>4457</v>
      </c>
      <c r="C6406" t="s">
        <v>235</v>
      </c>
      <c r="D6406" t="s">
        <v>1633</v>
      </c>
      <c r="E6406" t="s">
        <v>558</v>
      </c>
      <c r="F6406" t="s">
        <v>1068</v>
      </c>
      <c r="G6406" t="s">
        <v>1078</v>
      </c>
      <c r="H6406">
        <v>-0.79637693287723699</v>
      </c>
      <c r="I6406" t="s">
        <v>1079</v>
      </c>
      <c r="J6406">
        <v>7.74</v>
      </c>
    </row>
    <row r="6407" spans="1:10" hidden="1">
      <c r="A6407" t="s">
        <v>4456</v>
      </c>
      <c r="B6407" t="s">
        <v>4457</v>
      </c>
      <c r="C6407" t="s">
        <v>235</v>
      </c>
      <c r="D6407" t="s">
        <v>1633</v>
      </c>
      <c r="E6407" t="s">
        <v>558</v>
      </c>
      <c r="F6407" t="s">
        <v>1068</v>
      </c>
      <c r="G6407" t="s">
        <v>1080</v>
      </c>
      <c r="H6407" s="171" t="s">
        <v>4458</v>
      </c>
      <c r="I6407" t="s">
        <v>1082</v>
      </c>
      <c r="J6407">
        <v>7.74</v>
      </c>
    </row>
    <row r="6408" spans="1:10" hidden="1">
      <c r="A6408" t="s">
        <v>4456</v>
      </c>
      <c r="B6408" t="s">
        <v>4457</v>
      </c>
      <c r="C6408" t="s">
        <v>235</v>
      </c>
      <c r="D6408" t="s">
        <v>1633</v>
      </c>
      <c r="E6408" t="s">
        <v>558</v>
      </c>
      <c r="F6408" t="s">
        <v>1068</v>
      </c>
      <c r="G6408" t="s">
        <v>1083</v>
      </c>
      <c r="H6408" s="170">
        <v>-1.08046822313906E-5</v>
      </c>
      <c r="I6408" t="s">
        <v>1084</v>
      </c>
      <c r="J6408">
        <v>7.74</v>
      </c>
    </row>
    <row r="6409" spans="1:10" hidden="1">
      <c r="A6409" t="s">
        <v>4456</v>
      </c>
      <c r="B6409" t="s">
        <v>4457</v>
      </c>
      <c r="C6409" t="s">
        <v>235</v>
      </c>
      <c r="D6409" t="s">
        <v>1633</v>
      </c>
      <c r="E6409" t="s">
        <v>558</v>
      </c>
      <c r="F6409" t="s">
        <v>1068</v>
      </c>
      <c r="G6409" t="s">
        <v>1085</v>
      </c>
      <c r="H6409" s="170">
        <v>-6.6073503239733904E-5</v>
      </c>
      <c r="I6409" t="s">
        <v>1086</v>
      </c>
      <c r="J6409">
        <v>7.74</v>
      </c>
    </row>
    <row r="6410" spans="1:10" hidden="1">
      <c r="A6410" t="s">
        <v>4456</v>
      </c>
      <c r="B6410" t="s">
        <v>4457</v>
      </c>
      <c r="C6410" t="s">
        <v>235</v>
      </c>
      <c r="D6410" t="s">
        <v>1633</v>
      </c>
      <c r="E6410" t="s">
        <v>558</v>
      </c>
      <c r="F6410" t="s">
        <v>1068</v>
      </c>
      <c r="G6410" t="s">
        <v>1087</v>
      </c>
      <c r="H6410" s="171" t="s">
        <v>4459</v>
      </c>
      <c r="I6410" t="s">
        <v>1088</v>
      </c>
      <c r="J6410">
        <v>7.74</v>
      </c>
    </row>
    <row r="6411" spans="1:10" hidden="1">
      <c r="A6411" t="s">
        <v>4456</v>
      </c>
      <c r="B6411" t="s">
        <v>4457</v>
      </c>
      <c r="C6411" t="s">
        <v>235</v>
      </c>
      <c r="D6411" t="s">
        <v>1633</v>
      </c>
      <c r="E6411" t="s">
        <v>558</v>
      </c>
      <c r="F6411" t="s">
        <v>1068</v>
      </c>
      <c r="G6411" t="s">
        <v>1089</v>
      </c>
      <c r="H6411" s="170">
        <v>-1.8746545757311901E-6</v>
      </c>
      <c r="I6411" t="s">
        <v>1090</v>
      </c>
      <c r="J6411">
        <v>7.74</v>
      </c>
    </row>
    <row r="6412" spans="1:10" hidden="1">
      <c r="A6412" t="s">
        <v>4460</v>
      </c>
      <c r="B6412" t="s">
        <v>4461</v>
      </c>
      <c r="C6412" t="s">
        <v>235</v>
      </c>
      <c r="D6412" t="s">
        <v>1633</v>
      </c>
      <c r="E6412" t="s">
        <v>553</v>
      </c>
      <c r="F6412" t="s">
        <v>1068</v>
      </c>
      <c r="G6412" t="s">
        <v>1069</v>
      </c>
      <c r="H6412">
        <v>-2.4720001156220198E-2</v>
      </c>
      <c r="I6412" t="s">
        <v>1070</v>
      </c>
      <c r="J6412">
        <v>7.41</v>
      </c>
    </row>
    <row r="6413" spans="1:10" hidden="1">
      <c r="A6413" t="s">
        <v>4460</v>
      </c>
      <c r="B6413" t="s">
        <v>4461</v>
      </c>
      <c r="C6413" t="s">
        <v>235</v>
      </c>
      <c r="D6413" t="s">
        <v>1633</v>
      </c>
      <c r="E6413" t="s">
        <v>553</v>
      </c>
      <c r="F6413" t="s">
        <v>1068</v>
      </c>
      <c r="G6413" t="s">
        <v>1071</v>
      </c>
      <c r="H6413" s="170">
        <v>-1.03356116612996E-10</v>
      </c>
      <c r="I6413" t="s">
        <v>1072</v>
      </c>
      <c r="J6413">
        <v>7.41</v>
      </c>
    </row>
    <row r="6414" spans="1:10" hidden="1">
      <c r="A6414" t="s">
        <v>4460</v>
      </c>
      <c r="B6414" t="s">
        <v>4461</v>
      </c>
      <c r="C6414" t="s">
        <v>235</v>
      </c>
      <c r="D6414" t="s">
        <v>1633</v>
      </c>
      <c r="E6414" t="s">
        <v>553</v>
      </c>
      <c r="F6414" t="s">
        <v>1068</v>
      </c>
      <c r="G6414" t="s">
        <v>1073</v>
      </c>
      <c r="H6414" s="170">
        <v>-6.2728299773223097E-9</v>
      </c>
      <c r="I6414" t="s">
        <v>1074</v>
      </c>
      <c r="J6414">
        <v>7.41</v>
      </c>
    </row>
    <row r="6415" spans="1:10" hidden="1">
      <c r="A6415" t="s">
        <v>4460</v>
      </c>
      <c r="B6415" t="s">
        <v>4461</v>
      </c>
      <c r="C6415" t="s">
        <v>235</v>
      </c>
      <c r="D6415" t="s">
        <v>1633</v>
      </c>
      <c r="E6415" t="s">
        <v>553</v>
      </c>
      <c r="F6415" t="s">
        <v>1068</v>
      </c>
      <c r="G6415" t="s">
        <v>1075</v>
      </c>
      <c r="H6415">
        <v>1.7438536723045101E-3</v>
      </c>
      <c r="I6415" t="s">
        <v>1077</v>
      </c>
      <c r="J6415">
        <v>7.41</v>
      </c>
    </row>
    <row r="6416" spans="1:10" hidden="1">
      <c r="A6416" t="s">
        <v>4460</v>
      </c>
      <c r="B6416" t="s">
        <v>4461</v>
      </c>
      <c r="C6416" t="s">
        <v>235</v>
      </c>
      <c r="D6416" t="s">
        <v>1633</v>
      </c>
      <c r="E6416" t="s">
        <v>553</v>
      </c>
      <c r="F6416" t="s">
        <v>1068</v>
      </c>
      <c r="G6416" t="s">
        <v>1078</v>
      </c>
      <c r="H6416">
        <v>-0.79137904173828999</v>
      </c>
      <c r="I6416" t="s">
        <v>1079</v>
      </c>
      <c r="J6416">
        <v>7.41</v>
      </c>
    </row>
    <row r="6417" spans="1:10" hidden="1">
      <c r="A6417" t="s">
        <v>4460</v>
      </c>
      <c r="B6417" t="s">
        <v>4461</v>
      </c>
      <c r="C6417" t="s">
        <v>235</v>
      </c>
      <c r="D6417" t="s">
        <v>1633</v>
      </c>
      <c r="E6417" t="s">
        <v>553</v>
      </c>
      <c r="F6417" t="s">
        <v>1068</v>
      </c>
      <c r="G6417" t="s">
        <v>1080</v>
      </c>
      <c r="H6417" s="171" t="s">
        <v>4462</v>
      </c>
      <c r="I6417" t="s">
        <v>1082</v>
      </c>
      <c r="J6417">
        <v>7.41</v>
      </c>
    </row>
    <row r="6418" spans="1:10" hidden="1">
      <c r="A6418" t="s">
        <v>4460</v>
      </c>
      <c r="B6418" t="s">
        <v>4461</v>
      </c>
      <c r="C6418" t="s">
        <v>235</v>
      </c>
      <c r="D6418" t="s">
        <v>1633</v>
      </c>
      <c r="E6418" t="s">
        <v>553</v>
      </c>
      <c r="F6418" t="s">
        <v>1068</v>
      </c>
      <c r="G6418" t="s">
        <v>1083</v>
      </c>
      <c r="H6418" s="170">
        <v>-1.06669257464629E-5</v>
      </c>
      <c r="I6418" t="s">
        <v>1084</v>
      </c>
      <c r="J6418">
        <v>7.41</v>
      </c>
    </row>
    <row r="6419" spans="1:10" hidden="1">
      <c r="A6419" t="s">
        <v>4460</v>
      </c>
      <c r="B6419" t="s">
        <v>4461</v>
      </c>
      <c r="C6419" t="s">
        <v>235</v>
      </c>
      <c r="D6419" t="s">
        <v>1633</v>
      </c>
      <c r="E6419" t="s">
        <v>553</v>
      </c>
      <c r="F6419" t="s">
        <v>1068</v>
      </c>
      <c r="G6419" t="s">
        <v>1085</v>
      </c>
      <c r="H6419" s="170">
        <v>-6.4467923926723002E-5</v>
      </c>
      <c r="I6419" t="s">
        <v>1086</v>
      </c>
      <c r="J6419">
        <v>7.41</v>
      </c>
    </row>
    <row r="6420" spans="1:10" hidden="1">
      <c r="A6420" t="s">
        <v>4460</v>
      </c>
      <c r="B6420" t="s">
        <v>4461</v>
      </c>
      <c r="C6420" t="s">
        <v>235</v>
      </c>
      <c r="D6420" t="s">
        <v>1633</v>
      </c>
      <c r="E6420" t="s">
        <v>553</v>
      </c>
      <c r="F6420" t="s">
        <v>1068</v>
      </c>
      <c r="G6420" t="s">
        <v>1087</v>
      </c>
      <c r="H6420" s="171" t="s">
        <v>4463</v>
      </c>
      <c r="I6420" t="s">
        <v>1088</v>
      </c>
      <c r="J6420">
        <v>7.41</v>
      </c>
    </row>
    <row r="6421" spans="1:10" hidden="1">
      <c r="A6421" t="s">
        <v>4460</v>
      </c>
      <c r="B6421" t="s">
        <v>4461</v>
      </c>
      <c r="C6421" t="s">
        <v>235</v>
      </c>
      <c r="D6421" t="s">
        <v>1633</v>
      </c>
      <c r="E6421" t="s">
        <v>553</v>
      </c>
      <c r="F6421" t="s">
        <v>1068</v>
      </c>
      <c r="G6421" t="s">
        <v>1089</v>
      </c>
      <c r="H6421" s="170">
        <v>-1.54688352616085E-6</v>
      </c>
      <c r="I6421" t="s">
        <v>1090</v>
      </c>
      <c r="J6421">
        <v>7.41</v>
      </c>
    </row>
    <row r="6422" spans="1:10" hidden="1">
      <c r="A6422" t="s">
        <v>4464</v>
      </c>
      <c r="B6422" t="s">
        <v>4465</v>
      </c>
      <c r="C6422" t="s">
        <v>235</v>
      </c>
      <c r="D6422" t="s">
        <v>1633</v>
      </c>
      <c r="E6422" t="s">
        <v>556</v>
      </c>
      <c r="F6422" t="s">
        <v>1068</v>
      </c>
      <c r="G6422" t="s">
        <v>1069</v>
      </c>
      <c r="H6422">
        <v>-3.3652858924557098E-2</v>
      </c>
      <c r="I6422" t="s">
        <v>1070</v>
      </c>
      <c r="J6422">
        <v>7.98</v>
      </c>
    </row>
    <row r="6423" spans="1:10" hidden="1">
      <c r="A6423" t="s">
        <v>4464</v>
      </c>
      <c r="B6423" t="s">
        <v>4465</v>
      </c>
      <c r="C6423" t="s">
        <v>235</v>
      </c>
      <c r="D6423" t="s">
        <v>1633</v>
      </c>
      <c r="E6423" t="s">
        <v>556</v>
      </c>
      <c r="F6423" t="s">
        <v>1068</v>
      </c>
      <c r="G6423" t="s">
        <v>1071</v>
      </c>
      <c r="H6423" s="170">
        <v>-1.16058377625743E-10</v>
      </c>
      <c r="I6423" t="s">
        <v>1072</v>
      </c>
      <c r="J6423">
        <v>7.98</v>
      </c>
    </row>
    <row r="6424" spans="1:10" hidden="1">
      <c r="A6424" t="s">
        <v>4464</v>
      </c>
      <c r="B6424" t="s">
        <v>4465</v>
      </c>
      <c r="C6424" t="s">
        <v>235</v>
      </c>
      <c r="D6424" t="s">
        <v>1633</v>
      </c>
      <c r="E6424" t="s">
        <v>556</v>
      </c>
      <c r="F6424" t="s">
        <v>1068</v>
      </c>
      <c r="G6424" t="s">
        <v>1073</v>
      </c>
      <c r="H6424" s="170">
        <v>-9.4434969809173306E-9</v>
      </c>
      <c r="I6424" t="s">
        <v>1074</v>
      </c>
      <c r="J6424">
        <v>7.98</v>
      </c>
    </row>
    <row r="6425" spans="1:10" hidden="1">
      <c r="A6425" t="s">
        <v>4464</v>
      </c>
      <c r="B6425" t="s">
        <v>4465</v>
      </c>
      <c r="C6425" t="s">
        <v>235</v>
      </c>
      <c r="D6425" t="s">
        <v>1633</v>
      </c>
      <c r="E6425" t="s">
        <v>556</v>
      </c>
      <c r="F6425" t="s">
        <v>1068</v>
      </c>
      <c r="G6425" t="s">
        <v>1075</v>
      </c>
      <c r="H6425">
        <v>1.49674961587835E-3</v>
      </c>
      <c r="I6425" t="s">
        <v>1077</v>
      </c>
      <c r="J6425">
        <v>7.98</v>
      </c>
    </row>
    <row r="6426" spans="1:10" hidden="1">
      <c r="A6426" t="s">
        <v>4464</v>
      </c>
      <c r="B6426" t="s">
        <v>4465</v>
      </c>
      <c r="C6426" t="s">
        <v>235</v>
      </c>
      <c r="D6426" t="s">
        <v>1633</v>
      </c>
      <c r="E6426" t="s">
        <v>556</v>
      </c>
      <c r="F6426" t="s">
        <v>1068</v>
      </c>
      <c r="G6426" t="s">
        <v>1078</v>
      </c>
      <c r="H6426">
        <v>-0.78894878429316695</v>
      </c>
      <c r="I6426" t="s">
        <v>1079</v>
      </c>
      <c r="J6426">
        <v>7.98</v>
      </c>
    </row>
    <row r="6427" spans="1:10" hidden="1">
      <c r="A6427" t="s">
        <v>4464</v>
      </c>
      <c r="B6427" t="s">
        <v>4465</v>
      </c>
      <c r="C6427" t="s">
        <v>235</v>
      </c>
      <c r="D6427" t="s">
        <v>1633</v>
      </c>
      <c r="E6427" t="s">
        <v>556</v>
      </c>
      <c r="F6427" t="s">
        <v>1068</v>
      </c>
      <c r="G6427" t="s">
        <v>1080</v>
      </c>
      <c r="H6427" s="171" t="s">
        <v>4466</v>
      </c>
      <c r="I6427" t="s">
        <v>1082</v>
      </c>
      <c r="J6427">
        <v>7.98</v>
      </c>
    </row>
    <row r="6428" spans="1:10" hidden="1">
      <c r="A6428" t="s">
        <v>4464</v>
      </c>
      <c r="B6428" t="s">
        <v>4465</v>
      </c>
      <c r="C6428" t="s">
        <v>235</v>
      </c>
      <c r="D6428" t="s">
        <v>1633</v>
      </c>
      <c r="E6428" t="s">
        <v>556</v>
      </c>
      <c r="F6428" t="s">
        <v>1068</v>
      </c>
      <c r="G6428" t="s">
        <v>1083</v>
      </c>
      <c r="H6428" s="170">
        <v>-1.20247154201741E-5</v>
      </c>
      <c r="I6428" t="s">
        <v>1084</v>
      </c>
      <c r="J6428">
        <v>7.98</v>
      </c>
    </row>
    <row r="6429" spans="1:10" hidden="1">
      <c r="A6429" t="s">
        <v>4464</v>
      </c>
      <c r="B6429" t="s">
        <v>4465</v>
      </c>
      <c r="C6429" t="s">
        <v>235</v>
      </c>
      <c r="D6429" t="s">
        <v>1633</v>
      </c>
      <c r="E6429" t="s">
        <v>556</v>
      </c>
      <c r="F6429" t="s">
        <v>1068</v>
      </c>
      <c r="G6429" t="s">
        <v>1085</v>
      </c>
      <c r="H6429" s="170">
        <v>-7.9627834950085703E-5</v>
      </c>
      <c r="I6429" t="s">
        <v>1086</v>
      </c>
      <c r="J6429">
        <v>7.98</v>
      </c>
    </row>
    <row r="6430" spans="1:10" hidden="1">
      <c r="A6430" t="s">
        <v>4464</v>
      </c>
      <c r="B6430" t="s">
        <v>4465</v>
      </c>
      <c r="C6430" t="s">
        <v>235</v>
      </c>
      <c r="D6430" t="s">
        <v>1633</v>
      </c>
      <c r="E6430" t="s">
        <v>556</v>
      </c>
      <c r="F6430" t="s">
        <v>1068</v>
      </c>
      <c r="G6430" t="s">
        <v>1087</v>
      </c>
      <c r="H6430" s="171" t="s">
        <v>4467</v>
      </c>
      <c r="I6430" t="s">
        <v>1088</v>
      </c>
      <c r="J6430">
        <v>7.98</v>
      </c>
    </row>
    <row r="6431" spans="1:10" hidden="1">
      <c r="A6431" t="s">
        <v>4464</v>
      </c>
      <c r="B6431" t="s">
        <v>4465</v>
      </c>
      <c r="C6431" t="s">
        <v>235</v>
      </c>
      <c r="D6431" t="s">
        <v>1633</v>
      </c>
      <c r="E6431" t="s">
        <v>556</v>
      </c>
      <c r="F6431" t="s">
        <v>1068</v>
      </c>
      <c r="G6431" t="s">
        <v>1089</v>
      </c>
      <c r="H6431" s="170">
        <v>-4.7127388725092398E-6</v>
      </c>
      <c r="I6431" t="s">
        <v>1090</v>
      </c>
      <c r="J6431">
        <v>7.98</v>
      </c>
    </row>
    <row r="6432" spans="1:10" hidden="1">
      <c r="A6432" t="s">
        <v>4468</v>
      </c>
      <c r="B6432" t="s">
        <v>4469</v>
      </c>
      <c r="C6432" t="s">
        <v>235</v>
      </c>
      <c r="D6432" t="s">
        <v>1633</v>
      </c>
      <c r="E6432" t="s">
        <v>557</v>
      </c>
      <c r="F6432" t="s">
        <v>1068</v>
      </c>
      <c r="G6432" t="s">
        <v>1069</v>
      </c>
      <c r="H6432">
        <v>-2.9955015819748101E-2</v>
      </c>
      <c r="I6432" t="s">
        <v>1070</v>
      </c>
      <c r="J6432">
        <v>12.28</v>
      </c>
    </row>
    <row r="6433" spans="1:10" hidden="1">
      <c r="A6433" t="s">
        <v>4468</v>
      </c>
      <c r="B6433" t="s">
        <v>4469</v>
      </c>
      <c r="C6433" t="s">
        <v>235</v>
      </c>
      <c r="D6433" t="s">
        <v>1633</v>
      </c>
      <c r="E6433" t="s">
        <v>557</v>
      </c>
      <c r="F6433" t="s">
        <v>1068</v>
      </c>
      <c r="G6433" t="s">
        <v>1071</v>
      </c>
      <c r="H6433" s="170">
        <v>-1.10815869743873E-10</v>
      </c>
      <c r="I6433" t="s">
        <v>1072</v>
      </c>
      <c r="J6433">
        <v>12.28</v>
      </c>
    </row>
    <row r="6434" spans="1:10" hidden="1">
      <c r="A6434" t="s">
        <v>4468</v>
      </c>
      <c r="B6434" t="s">
        <v>4469</v>
      </c>
      <c r="C6434" t="s">
        <v>235</v>
      </c>
      <c r="D6434" t="s">
        <v>1633</v>
      </c>
      <c r="E6434" t="s">
        <v>557</v>
      </c>
      <c r="F6434" t="s">
        <v>1068</v>
      </c>
      <c r="G6434" t="s">
        <v>1073</v>
      </c>
      <c r="H6434" s="170">
        <v>-8.1188779064173802E-9</v>
      </c>
      <c r="I6434" t="s">
        <v>1074</v>
      </c>
      <c r="J6434">
        <v>12.28</v>
      </c>
    </row>
    <row r="6435" spans="1:10" hidden="1">
      <c r="A6435" t="s">
        <v>4468</v>
      </c>
      <c r="B6435" t="s">
        <v>4469</v>
      </c>
      <c r="C6435" t="s">
        <v>235</v>
      </c>
      <c r="D6435" t="s">
        <v>1633</v>
      </c>
      <c r="E6435" t="s">
        <v>557</v>
      </c>
      <c r="F6435" t="s">
        <v>1068</v>
      </c>
      <c r="G6435" t="s">
        <v>1075</v>
      </c>
      <c r="H6435">
        <v>1.57060676423086E-3</v>
      </c>
      <c r="I6435" t="s">
        <v>1077</v>
      </c>
      <c r="J6435">
        <v>12.28</v>
      </c>
    </row>
    <row r="6436" spans="1:10" hidden="1">
      <c r="A6436" t="s">
        <v>4468</v>
      </c>
      <c r="B6436" t="s">
        <v>4469</v>
      </c>
      <c r="C6436" t="s">
        <v>235</v>
      </c>
      <c r="D6436" t="s">
        <v>1633</v>
      </c>
      <c r="E6436" t="s">
        <v>557</v>
      </c>
      <c r="F6436" t="s">
        <v>1068</v>
      </c>
      <c r="G6436" t="s">
        <v>1078</v>
      </c>
      <c r="H6436">
        <v>-0.80223281601250396</v>
      </c>
      <c r="I6436" t="s">
        <v>1079</v>
      </c>
      <c r="J6436">
        <v>12.28</v>
      </c>
    </row>
    <row r="6437" spans="1:10" hidden="1">
      <c r="A6437" t="s">
        <v>4468</v>
      </c>
      <c r="B6437" t="s">
        <v>4469</v>
      </c>
      <c r="C6437" t="s">
        <v>235</v>
      </c>
      <c r="D6437" t="s">
        <v>1633</v>
      </c>
      <c r="E6437" t="s">
        <v>557</v>
      </c>
      <c r="F6437" t="s">
        <v>1068</v>
      </c>
      <c r="G6437" t="s">
        <v>1080</v>
      </c>
      <c r="H6437" s="171" t="s">
        <v>4470</v>
      </c>
      <c r="I6437" t="s">
        <v>1082</v>
      </c>
      <c r="J6437">
        <v>12.28</v>
      </c>
    </row>
    <row r="6438" spans="1:10" hidden="1">
      <c r="A6438" t="s">
        <v>4468</v>
      </c>
      <c r="B6438" t="s">
        <v>4469</v>
      </c>
      <c r="C6438" t="s">
        <v>235</v>
      </c>
      <c r="D6438" t="s">
        <v>1633</v>
      </c>
      <c r="E6438" t="s">
        <v>557</v>
      </c>
      <c r="F6438" t="s">
        <v>1068</v>
      </c>
      <c r="G6438" t="s">
        <v>1083</v>
      </c>
      <c r="H6438" s="170">
        <v>-1.14558220281973E-5</v>
      </c>
      <c r="I6438" t="s">
        <v>1084</v>
      </c>
      <c r="J6438">
        <v>12.28</v>
      </c>
    </row>
    <row r="6439" spans="1:10" hidden="1">
      <c r="A6439" t="s">
        <v>4468</v>
      </c>
      <c r="B6439" t="s">
        <v>4469</v>
      </c>
      <c r="C6439" t="s">
        <v>235</v>
      </c>
      <c r="D6439" t="s">
        <v>1633</v>
      </c>
      <c r="E6439" t="s">
        <v>557</v>
      </c>
      <c r="F6439" t="s">
        <v>1068</v>
      </c>
      <c r="G6439" t="s">
        <v>1085</v>
      </c>
      <c r="H6439" s="170">
        <v>-7.3432704479501696E-5</v>
      </c>
      <c r="I6439" t="s">
        <v>1086</v>
      </c>
      <c r="J6439">
        <v>12.28</v>
      </c>
    </row>
    <row r="6440" spans="1:10" hidden="1">
      <c r="A6440" t="s">
        <v>4468</v>
      </c>
      <c r="B6440" t="s">
        <v>4469</v>
      </c>
      <c r="C6440" t="s">
        <v>235</v>
      </c>
      <c r="D6440" t="s">
        <v>1633</v>
      </c>
      <c r="E6440" t="s">
        <v>557</v>
      </c>
      <c r="F6440" t="s">
        <v>1068</v>
      </c>
      <c r="G6440" t="s">
        <v>1087</v>
      </c>
      <c r="H6440" s="171" t="s">
        <v>4471</v>
      </c>
      <c r="I6440" t="s">
        <v>1088</v>
      </c>
      <c r="J6440">
        <v>12.28</v>
      </c>
    </row>
    <row r="6441" spans="1:10" hidden="1">
      <c r="A6441" t="s">
        <v>4468</v>
      </c>
      <c r="B6441" t="s">
        <v>4469</v>
      </c>
      <c r="C6441" t="s">
        <v>235</v>
      </c>
      <c r="D6441" t="s">
        <v>1633</v>
      </c>
      <c r="E6441" t="s">
        <v>557</v>
      </c>
      <c r="F6441" t="s">
        <v>1068</v>
      </c>
      <c r="G6441" t="s">
        <v>1089</v>
      </c>
      <c r="H6441" s="170">
        <v>-3.3928432590151499E-6</v>
      </c>
      <c r="I6441" t="s">
        <v>1090</v>
      </c>
      <c r="J6441">
        <v>12.28</v>
      </c>
    </row>
    <row r="6442" spans="1:10" hidden="1">
      <c r="A6442" t="s">
        <v>4472</v>
      </c>
      <c r="B6442" t="s">
        <v>4473</v>
      </c>
      <c r="C6442" t="s">
        <v>235</v>
      </c>
      <c r="D6442" t="s">
        <v>1633</v>
      </c>
      <c r="E6442" t="s">
        <v>559</v>
      </c>
      <c r="F6442" t="s">
        <v>1068</v>
      </c>
      <c r="G6442" t="s">
        <v>1069</v>
      </c>
      <c r="H6442">
        <v>-3.3494940856288E-2</v>
      </c>
      <c r="I6442" t="s">
        <v>1070</v>
      </c>
      <c r="J6442">
        <v>9.6</v>
      </c>
    </row>
    <row r="6443" spans="1:10" hidden="1">
      <c r="A6443" t="s">
        <v>4472</v>
      </c>
      <c r="B6443" t="s">
        <v>4473</v>
      </c>
      <c r="C6443" t="s">
        <v>235</v>
      </c>
      <c r="D6443" t="s">
        <v>1633</v>
      </c>
      <c r="E6443" t="s">
        <v>559</v>
      </c>
      <c r="F6443" t="s">
        <v>1068</v>
      </c>
      <c r="G6443" t="s">
        <v>1071</v>
      </c>
      <c r="H6443" s="170">
        <v>-1.15913155155271E-10</v>
      </c>
      <c r="I6443" t="s">
        <v>1072</v>
      </c>
      <c r="J6443">
        <v>9.6</v>
      </c>
    </row>
    <row r="6444" spans="1:10" hidden="1">
      <c r="A6444" t="s">
        <v>4472</v>
      </c>
      <c r="B6444" t="s">
        <v>4473</v>
      </c>
      <c r="C6444" t="s">
        <v>235</v>
      </c>
      <c r="D6444" t="s">
        <v>1633</v>
      </c>
      <c r="E6444" t="s">
        <v>559</v>
      </c>
      <c r="F6444" t="s">
        <v>1068</v>
      </c>
      <c r="G6444" t="s">
        <v>1073</v>
      </c>
      <c r="H6444" s="170">
        <v>-9.3897163243861999E-9</v>
      </c>
      <c r="I6444" t="s">
        <v>1074</v>
      </c>
      <c r="J6444">
        <v>9.6</v>
      </c>
    </row>
    <row r="6445" spans="1:10" hidden="1">
      <c r="A6445" t="s">
        <v>4472</v>
      </c>
      <c r="B6445" t="s">
        <v>4473</v>
      </c>
      <c r="C6445" t="s">
        <v>235</v>
      </c>
      <c r="D6445" t="s">
        <v>1633</v>
      </c>
      <c r="E6445" t="s">
        <v>559</v>
      </c>
      <c r="F6445" t="s">
        <v>1068</v>
      </c>
      <c r="G6445" t="s">
        <v>1075</v>
      </c>
      <c r="H6445">
        <v>1.4664684543851799E-3</v>
      </c>
      <c r="I6445" t="s">
        <v>1077</v>
      </c>
      <c r="J6445">
        <v>9.6</v>
      </c>
    </row>
    <row r="6446" spans="1:10" hidden="1">
      <c r="A6446" t="s">
        <v>4472</v>
      </c>
      <c r="B6446" t="s">
        <v>4473</v>
      </c>
      <c r="C6446" t="s">
        <v>235</v>
      </c>
      <c r="D6446" t="s">
        <v>1633</v>
      </c>
      <c r="E6446" t="s">
        <v>559</v>
      </c>
      <c r="F6446" t="s">
        <v>1068</v>
      </c>
      <c r="G6446" t="s">
        <v>1078</v>
      </c>
      <c r="H6446">
        <v>-0.803374248545213</v>
      </c>
      <c r="I6446" t="s">
        <v>1079</v>
      </c>
      <c r="J6446">
        <v>9.6</v>
      </c>
    </row>
    <row r="6447" spans="1:10" hidden="1">
      <c r="A6447" t="s">
        <v>4472</v>
      </c>
      <c r="B6447" t="s">
        <v>4473</v>
      </c>
      <c r="C6447" t="s">
        <v>235</v>
      </c>
      <c r="D6447" t="s">
        <v>1633</v>
      </c>
      <c r="E6447" t="s">
        <v>559</v>
      </c>
      <c r="F6447" t="s">
        <v>1068</v>
      </c>
      <c r="G6447" t="s">
        <v>1080</v>
      </c>
      <c r="H6447" s="171" t="s">
        <v>4474</v>
      </c>
      <c r="I6447" t="s">
        <v>1082</v>
      </c>
      <c r="J6447">
        <v>9.6</v>
      </c>
    </row>
    <row r="6448" spans="1:10" hidden="1">
      <c r="A6448" t="s">
        <v>4472</v>
      </c>
      <c r="B6448" t="s">
        <v>4473</v>
      </c>
      <c r="C6448" t="s">
        <v>235</v>
      </c>
      <c r="D6448" t="s">
        <v>1633</v>
      </c>
      <c r="E6448" t="s">
        <v>559</v>
      </c>
      <c r="F6448" t="s">
        <v>1068</v>
      </c>
      <c r="G6448" t="s">
        <v>1083</v>
      </c>
      <c r="H6448" s="170">
        <v>-1.20007222622908E-5</v>
      </c>
      <c r="I6448" t="s">
        <v>1084</v>
      </c>
      <c r="J6448">
        <v>9.6</v>
      </c>
    </row>
    <row r="6449" spans="1:10" hidden="1">
      <c r="A6449" t="s">
        <v>4472</v>
      </c>
      <c r="B6449" t="s">
        <v>4473</v>
      </c>
      <c r="C6449" t="s">
        <v>235</v>
      </c>
      <c r="D6449" t="s">
        <v>1633</v>
      </c>
      <c r="E6449" t="s">
        <v>559</v>
      </c>
      <c r="F6449" t="s">
        <v>1068</v>
      </c>
      <c r="G6449" t="s">
        <v>1085</v>
      </c>
      <c r="H6449" s="170">
        <v>-7.9542531593182199E-5</v>
      </c>
      <c r="I6449" t="s">
        <v>1086</v>
      </c>
      <c r="J6449">
        <v>9.6</v>
      </c>
    </row>
    <row r="6450" spans="1:10" hidden="1">
      <c r="A6450" t="s">
        <v>4472</v>
      </c>
      <c r="B6450" t="s">
        <v>4473</v>
      </c>
      <c r="C6450" t="s">
        <v>235</v>
      </c>
      <c r="D6450" t="s">
        <v>1633</v>
      </c>
      <c r="E6450" t="s">
        <v>559</v>
      </c>
      <c r="F6450" t="s">
        <v>1068</v>
      </c>
      <c r="G6450" t="s">
        <v>1087</v>
      </c>
      <c r="H6450" s="171" t="s">
        <v>4475</v>
      </c>
      <c r="I6450" t="s">
        <v>1088</v>
      </c>
      <c r="J6450">
        <v>9.6</v>
      </c>
    </row>
    <row r="6451" spans="1:10" hidden="1">
      <c r="A6451" t="s">
        <v>4472</v>
      </c>
      <c r="B6451" t="s">
        <v>4473</v>
      </c>
      <c r="C6451" t="s">
        <v>235</v>
      </c>
      <c r="D6451" t="s">
        <v>1633</v>
      </c>
      <c r="E6451" t="s">
        <v>559</v>
      </c>
      <c r="F6451" t="s">
        <v>1068</v>
      </c>
      <c r="G6451" t="s">
        <v>1089</v>
      </c>
      <c r="H6451" s="170">
        <v>-4.6567453193799904E-6</v>
      </c>
      <c r="I6451" t="s">
        <v>1090</v>
      </c>
      <c r="J6451">
        <v>9.6</v>
      </c>
    </row>
    <row r="6452" spans="1:10" hidden="1">
      <c r="A6452" t="s">
        <v>4476</v>
      </c>
      <c r="B6452" t="s">
        <v>4477</v>
      </c>
      <c r="C6452" t="s">
        <v>235</v>
      </c>
      <c r="D6452" t="s">
        <v>1633</v>
      </c>
      <c r="E6452" t="s">
        <v>560</v>
      </c>
      <c r="F6452" t="s">
        <v>1068</v>
      </c>
      <c r="G6452" t="s">
        <v>1069</v>
      </c>
      <c r="H6452">
        <v>-3.2239707129300001E-2</v>
      </c>
      <c r="I6452" t="s">
        <v>1070</v>
      </c>
      <c r="J6452">
        <v>8.48</v>
      </c>
    </row>
    <row r="6453" spans="1:10" hidden="1">
      <c r="A6453" t="s">
        <v>4476</v>
      </c>
      <c r="B6453" t="s">
        <v>4477</v>
      </c>
      <c r="C6453" t="s">
        <v>235</v>
      </c>
      <c r="D6453" t="s">
        <v>1633</v>
      </c>
      <c r="E6453" t="s">
        <v>560</v>
      </c>
      <c r="F6453" t="s">
        <v>1068</v>
      </c>
      <c r="G6453" t="s">
        <v>1071</v>
      </c>
      <c r="H6453" s="170">
        <v>-1.14085289000511E-10</v>
      </c>
      <c r="I6453" t="s">
        <v>1072</v>
      </c>
      <c r="J6453">
        <v>8.48</v>
      </c>
    </row>
    <row r="6454" spans="1:10" hidden="1">
      <c r="A6454" t="s">
        <v>4476</v>
      </c>
      <c r="B6454" t="s">
        <v>4477</v>
      </c>
      <c r="C6454" t="s">
        <v>235</v>
      </c>
      <c r="D6454" t="s">
        <v>1633</v>
      </c>
      <c r="E6454" t="s">
        <v>560</v>
      </c>
      <c r="F6454" t="s">
        <v>1068</v>
      </c>
      <c r="G6454" t="s">
        <v>1073</v>
      </c>
      <c r="H6454" s="170">
        <v>-8.9304074887736904E-9</v>
      </c>
      <c r="I6454" t="s">
        <v>1074</v>
      </c>
      <c r="J6454">
        <v>8.48</v>
      </c>
    </row>
    <row r="6455" spans="1:10" hidden="1">
      <c r="A6455" t="s">
        <v>4476</v>
      </c>
      <c r="B6455" t="s">
        <v>4477</v>
      </c>
      <c r="C6455" t="s">
        <v>235</v>
      </c>
      <c r="D6455" t="s">
        <v>1633</v>
      </c>
      <c r="E6455" t="s">
        <v>560</v>
      </c>
      <c r="F6455" t="s">
        <v>1068</v>
      </c>
      <c r="G6455" t="s">
        <v>1075</v>
      </c>
      <c r="H6455">
        <v>1.4983852312699501E-3</v>
      </c>
      <c r="I6455" t="s">
        <v>1077</v>
      </c>
      <c r="J6455">
        <v>8.48</v>
      </c>
    </row>
    <row r="6456" spans="1:10" hidden="1">
      <c r="A6456" t="s">
        <v>4476</v>
      </c>
      <c r="B6456" t="s">
        <v>4477</v>
      </c>
      <c r="C6456" t="s">
        <v>235</v>
      </c>
      <c r="D6456" t="s">
        <v>1633</v>
      </c>
      <c r="E6456" t="s">
        <v>560</v>
      </c>
      <c r="F6456" t="s">
        <v>1068</v>
      </c>
      <c r="G6456" t="s">
        <v>1078</v>
      </c>
      <c r="H6456">
        <v>-0.80535595368464596</v>
      </c>
      <c r="I6456" t="s">
        <v>1079</v>
      </c>
      <c r="J6456">
        <v>8.48</v>
      </c>
    </row>
    <row r="6457" spans="1:10" hidden="1">
      <c r="A6457" t="s">
        <v>4476</v>
      </c>
      <c r="B6457" t="s">
        <v>4477</v>
      </c>
      <c r="C6457" t="s">
        <v>235</v>
      </c>
      <c r="D6457" t="s">
        <v>1633</v>
      </c>
      <c r="E6457" t="s">
        <v>560</v>
      </c>
      <c r="F6457" t="s">
        <v>1068</v>
      </c>
      <c r="G6457" t="s">
        <v>1080</v>
      </c>
      <c r="H6457" s="171" t="s">
        <v>4478</v>
      </c>
      <c r="I6457" t="s">
        <v>1082</v>
      </c>
      <c r="J6457">
        <v>8.48</v>
      </c>
    </row>
    <row r="6458" spans="1:10" hidden="1">
      <c r="A6458" t="s">
        <v>4476</v>
      </c>
      <c r="B6458" t="s">
        <v>4477</v>
      </c>
      <c r="C6458" t="s">
        <v>235</v>
      </c>
      <c r="D6458" t="s">
        <v>1633</v>
      </c>
      <c r="E6458" t="s">
        <v>560</v>
      </c>
      <c r="F6458" t="s">
        <v>1068</v>
      </c>
      <c r="G6458" t="s">
        <v>1083</v>
      </c>
      <c r="H6458" s="170">
        <v>-1.1803096586494299E-5</v>
      </c>
      <c r="I6458" t="s">
        <v>1084</v>
      </c>
      <c r="J6458">
        <v>8.48</v>
      </c>
    </row>
    <row r="6459" spans="1:10" hidden="1">
      <c r="A6459" t="s">
        <v>4476</v>
      </c>
      <c r="B6459" t="s">
        <v>4477</v>
      </c>
      <c r="C6459" t="s">
        <v>235</v>
      </c>
      <c r="D6459" t="s">
        <v>1633</v>
      </c>
      <c r="E6459" t="s">
        <v>560</v>
      </c>
      <c r="F6459" t="s">
        <v>1068</v>
      </c>
      <c r="G6459" t="s">
        <v>1085</v>
      </c>
      <c r="H6459" s="170">
        <v>-7.7357611807378005E-5</v>
      </c>
      <c r="I6459" t="s">
        <v>1086</v>
      </c>
      <c r="J6459">
        <v>8.48</v>
      </c>
    </row>
    <row r="6460" spans="1:10" hidden="1">
      <c r="A6460" t="s">
        <v>4476</v>
      </c>
      <c r="B6460" t="s">
        <v>4477</v>
      </c>
      <c r="C6460" t="s">
        <v>235</v>
      </c>
      <c r="D6460" t="s">
        <v>1633</v>
      </c>
      <c r="E6460" t="s">
        <v>560</v>
      </c>
      <c r="F6460" t="s">
        <v>1068</v>
      </c>
      <c r="G6460" t="s">
        <v>1087</v>
      </c>
      <c r="H6460" s="171" t="s">
        <v>4479</v>
      </c>
      <c r="I6460" t="s">
        <v>1088</v>
      </c>
      <c r="J6460">
        <v>8.48</v>
      </c>
    </row>
    <row r="6461" spans="1:10" hidden="1">
      <c r="A6461" t="s">
        <v>4476</v>
      </c>
      <c r="B6461" t="s">
        <v>4477</v>
      </c>
      <c r="C6461" t="s">
        <v>235</v>
      </c>
      <c r="D6461" t="s">
        <v>1633</v>
      </c>
      <c r="E6461" t="s">
        <v>560</v>
      </c>
      <c r="F6461" t="s">
        <v>1068</v>
      </c>
      <c r="G6461" t="s">
        <v>1089</v>
      </c>
      <c r="H6461" s="170">
        <v>-4.2025438900999598E-6</v>
      </c>
      <c r="I6461" t="s">
        <v>1090</v>
      </c>
      <c r="J6461">
        <v>8.48</v>
      </c>
    </row>
    <row r="6462" spans="1:10" hidden="1">
      <c r="A6462" t="s">
        <v>4480</v>
      </c>
      <c r="B6462" t="s">
        <v>4481</v>
      </c>
      <c r="C6462" t="s">
        <v>235</v>
      </c>
      <c r="D6462" t="s">
        <v>1633</v>
      </c>
      <c r="E6462" t="s">
        <v>1116</v>
      </c>
      <c r="F6462" t="s">
        <v>1068</v>
      </c>
      <c r="G6462" t="s">
        <v>1069</v>
      </c>
      <c r="H6462">
        <v>-2.53054392443815E-2</v>
      </c>
      <c r="I6462" t="s">
        <v>1070</v>
      </c>
      <c r="J6462">
        <v>8.49</v>
      </c>
    </row>
    <row r="6463" spans="1:10" hidden="1">
      <c r="A6463" t="s">
        <v>4480</v>
      </c>
      <c r="B6463" t="s">
        <v>4481</v>
      </c>
      <c r="C6463" t="s">
        <v>235</v>
      </c>
      <c r="D6463" t="s">
        <v>1633</v>
      </c>
      <c r="E6463" t="s">
        <v>1116</v>
      </c>
      <c r="F6463" t="s">
        <v>1068</v>
      </c>
      <c r="G6463" t="s">
        <v>1071</v>
      </c>
      <c r="H6463" s="170">
        <v>-1.0416227276682701E-10</v>
      </c>
      <c r="I6463" t="s">
        <v>1072</v>
      </c>
      <c r="J6463">
        <v>8.49</v>
      </c>
    </row>
    <row r="6464" spans="1:10" hidden="1">
      <c r="A6464" t="s">
        <v>4480</v>
      </c>
      <c r="B6464" t="s">
        <v>4481</v>
      </c>
      <c r="C6464" t="s">
        <v>235</v>
      </c>
      <c r="D6464" t="s">
        <v>1633</v>
      </c>
      <c r="E6464" t="s">
        <v>1116</v>
      </c>
      <c r="F6464" t="s">
        <v>1068</v>
      </c>
      <c r="G6464" t="s">
        <v>1073</v>
      </c>
      <c r="H6464" s="170">
        <v>-6.4673335946911703E-9</v>
      </c>
      <c r="I6464" t="s">
        <v>1074</v>
      </c>
      <c r="J6464">
        <v>8.49</v>
      </c>
    </row>
    <row r="6465" spans="1:10" hidden="1">
      <c r="A6465" t="s">
        <v>4480</v>
      </c>
      <c r="B6465" t="s">
        <v>4481</v>
      </c>
      <c r="C6465" t="s">
        <v>235</v>
      </c>
      <c r="D6465" t="s">
        <v>1633</v>
      </c>
      <c r="E6465" t="s">
        <v>1116</v>
      </c>
      <c r="F6465" t="s">
        <v>1068</v>
      </c>
      <c r="G6465" t="s">
        <v>1075</v>
      </c>
      <c r="H6465">
        <v>1.7175848467789201E-3</v>
      </c>
      <c r="I6465" t="s">
        <v>1077</v>
      </c>
      <c r="J6465">
        <v>8.49</v>
      </c>
    </row>
    <row r="6466" spans="1:10" hidden="1">
      <c r="A6466" t="s">
        <v>4480</v>
      </c>
      <c r="B6466" t="s">
        <v>4481</v>
      </c>
      <c r="C6466" t="s">
        <v>235</v>
      </c>
      <c r="D6466" t="s">
        <v>1633</v>
      </c>
      <c r="E6466" t="s">
        <v>1116</v>
      </c>
      <c r="F6466" t="s">
        <v>1068</v>
      </c>
      <c r="G6466" t="s">
        <v>1078</v>
      </c>
      <c r="H6466">
        <v>-0.79587691677074301</v>
      </c>
      <c r="I6466" t="s">
        <v>1079</v>
      </c>
      <c r="J6466">
        <v>8.49</v>
      </c>
    </row>
    <row r="6467" spans="1:10" hidden="1">
      <c r="A6467" t="s">
        <v>4480</v>
      </c>
      <c r="B6467" t="s">
        <v>4481</v>
      </c>
      <c r="C6467" t="s">
        <v>235</v>
      </c>
      <c r="D6467" t="s">
        <v>1633</v>
      </c>
      <c r="E6467" t="s">
        <v>1116</v>
      </c>
      <c r="F6467" t="s">
        <v>1068</v>
      </c>
      <c r="G6467" t="s">
        <v>1080</v>
      </c>
      <c r="H6467" s="171" t="s">
        <v>4482</v>
      </c>
      <c r="I6467" t="s">
        <v>1082</v>
      </c>
      <c r="J6467">
        <v>8.49</v>
      </c>
    </row>
    <row r="6468" spans="1:10" hidden="1">
      <c r="A6468" t="s">
        <v>4480</v>
      </c>
      <c r="B6468" t="s">
        <v>4481</v>
      </c>
      <c r="C6468" t="s">
        <v>235</v>
      </c>
      <c r="D6468" t="s">
        <v>1633</v>
      </c>
      <c r="E6468" t="s">
        <v>1116</v>
      </c>
      <c r="F6468" t="s">
        <v>1068</v>
      </c>
      <c r="G6468" t="s">
        <v>1083</v>
      </c>
      <c r="H6468" s="170">
        <v>-1.0749083378329201E-5</v>
      </c>
      <c r="I6468" t="s">
        <v>1084</v>
      </c>
      <c r="J6468">
        <v>8.49</v>
      </c>
    </row>
    <row r="6469" spans="1:10" hidden="1">
      <c r="A6469" t="s">
        <v>4480</v>
      </c>
      <c r="B6469" t="s">
        <v>4481</v>
      </c>
      <c r="C6469" t="s">
        <v>235</v>
      </c>
      <c r="D6469" t="s">
        <v>1633</v>
      </c>
      <c r="E6469" t="s">
        <v>1116</v>
      </c>
      <c r="F6469" t="s">
        <v>1068</v>
      </c>
      <c r="G6469" t="s">
        <v>1085</v>
      </c>
      <c r="H6469" s="170">
        <v>-6.5445123358200005E-5</v>
      </c>
      <c r="I6469" t="s">
        <v>1086</v>
      </c>
      <c r="J6469">
        <v>8.49</v>
      </c>
    </row>
    <row r="6470" spans="1:10" hidden="1">
      <c r="A6470" t="s">
        <v>4480</v>
      </c>
      <c r="B6470" t="s">
        <v>4481</v>
      </c>
      <c r="C6470" t="s">
        <v>235</v>
      </c>
      <c r="D6470" t="s">
        <v>1633</v>
      </c>
      <c r="E6470" t="s">
        <v>1116</v>
      </c>
      <c r="F6470" t="s">
        <v>1068</v>
      </c>
      <c r="G6470" t="s">
        <v>1087</v>
      </c>
      <c r="H6470" s="171" t="s">
        <v>4483</v>
      </c>
      <c r="I6470" t="s">
        <v>1088</v>
      </c>
      <c r="J6470">
        <v>8.49</v>
      </c>
    </row>
    <row r="6471" spans="1:10" hidden="1">
      <c r="A6471" t="s">
        <v>4480</v>
      </c>
      <c r="B6471" t="s">
        <v>4481</v>
      </c>
      <c r="C6471" t="s">
        <v>235</v>
      </c>
      <c r="D6471" t="s">
        <v>1633</v>
      </c>
      <c r="E6471" t="s">
        <v>1116</v>
      </c>
      <c r="F6471" t="s">
        <v>1068</v>
      </c>
      <c r="G6471" t="s">
        <v>1089</v>
      </c>
      <c r="H6471" s="170">
        <v>-1.74502104705518E-6</v>
      </c>
      <c r="I6471" t="s">
        <v>1090</v>
      </c>
      <c r="J6471">
        <v>8.49</v>
      </c>
    </row>
    <row r="6472" spans="1:10" hidden="1">
      <c r="A6472" t="s">
        <v>4484</v>
      </c>
      <c r="B6472" t="s">
        <v>4485</v>
      </c>
      <c r="C6472" t="s">
        <v>235</v>
      </c>
      <c r="D6472" t="s">
        <v>1673</v>
      </c>
      <c r="E6472" t="s">
        <v>561</v>
      </c>
      <c r="F6472" t="s">
        <v>1068</v>
      </c>
      <c r="G6472" t="s">
        <v>1069</v>
      </c>
      <c r="H6472">
        <v>4.2219580793910201E-2</v>
      </c>
      <c r="I6472" t="s">
        <v>1070</v>
      </c>
      <c r="J6472">
        <v>8.6300000000000008</v>
      </c>
    </row>
    <row r="6473" spans="1:10" hidden="1">
      <c r="A6473" t="s">
        <v>4484</v>
      </c>
      <c r="B6473" t="s">
        <v>4485</v>
      </c>
      <c r="C6473" t="s">
        <v>235</v>
      </c>
      <c r="D6473" t="s">
        <v>1673</v>
      </c>
      <c r="E6473" t="s">
        <v>561</v>
      </c>
      <c r="F6473" t="s">
        <v>1068</v>
      </c>
      <c r="G6473" t="s">
        <v>1071</v>
      </c>
      <c r="H6473" s="170">
        <v>-7.3848950679204994E-12</v>
      </c>
      <c r="I6473" t="s">
        <v>1072</v>
      </c>
      <c r="J6473">
        <v>8.6300000000000008</v>
      </c>
    </row>
    <row r="6474" spans="1:10" hidden="1">
      <c r="A6474" t="s">
        <v>4484</v>
      </c>
      <c r="B6474" t="s">
        <v>4485</v>
      </c>
      <c r="C6474" t="s">
        <v>235</v>
      </c>
      <c r="D6474" t="s">
        <v>1673</v>
      </c>
      <c r="E6474" t="s">
        <v>561</v>
      </c>
      <c r="F6474" t="s">
        <v>1068</v>
      </c>
      <c r="G6474" t="s">
        <v>1073</v>
      </c>
      <c r="H6474" s="171" t="s">
        <v>4486</v>
      </c>
      <c r="I6474" t="s">
        <v>1074</v>
      </c>
      <c r="J6474">
        <v>8.6300000000000008</v>
      </c>
    </row>
    <row r="6475" spans="1:10" hidden="1">
      <c r="A6475" t="s">
        <v>4484</v>
      </c>
      <c r="B6475" t="s">
        <v>4485</v>
      </c>
      <c r="C6475" t="s">
        <v>235</v>
      </c>
      <c r="D6475" t="s">
        <v>1673</v>
      </c>
      <c r="E6475" t="s">
        <v>561</v>
      </c>
      <c r="F6475" t="s">
        <v>1068</v>
      </c>
      <c r="G6475" t="s">
        <v>1075</v>
      </c>
      <c r="H6475">
        <v>3.2744235761969498E-3</v>
      </c>
      <c r="I6475" t="s">
        <v>1077</v>
      </c>
      <c r="J6475">
        <v>8.6300000000000008</v>
      </c>
    </row>
    <row r="6476" spans="1:10" hidden="1">
      <c r="A6476" t="s">
        <v>4484</v>
      </c>
      <c r="B6476" t="s">
        <v>4485</v>
      </c>
      <c r="C6476" t="s">
        <v>235</v>
      </c>
      <c r="D6476" t="s">
        <v>1673</v>
      </c>
      <c r="E6476" t="s">
        <v>561</v>
      </c>
      <c r="F6476" t="s">
        <v>1068</v>
      </c>
      <c r="G6476" t="s">
        <v>1078</v>
      </c>
      <c r="H6476" s="171" t="s">
        <v>4487</v>
      </c>
      <c r="I6476" t="s">
        <v>1079</v>
      </c>
      <c r="J6476">
        <v>8.6300000000000008</v>
      </c>
    </row>
    <row r="6477" spans="1:10" hidden="1">
      <c r="A6477" t="s">
        <v>4484</v>
      </c>
      <c r="B6477" t="s">
        <v>4485</v>
      </c>
      <c r="C6477" t="s">
        <v>235</v>
      </c>
      <c r="D6477" t="s">
        <v>1673</v>
      </c>
      <c r="E6477" t="s">
        <v>561</v>
      </c>
      <c r="F6477" t="s">
        <v>1068</v>
      </c>
      <c r="G6477" t="s">
        <v>1080</v>
      </c>
      <c r="H6477" s="171" t="s">
        <v>4488</v>
      </c>
      <c r="I6477" t="s">
        <v>1082</v>
      </c>
      <c r="J6477">
        <v>8.6300000000000008</v>
      </c>
    </row>
    <row r="6478" spans="1:10" hidden="1">
      <c r="A6478" t="s">
        <v>4484</v>
      </c>
      <c r="B6478" t="s">
        <v>4485</v>
      </c>
      <c r="C6478" t="s">
        <v>235</v>
      </c>
      <c r="D6478" t="s">
        <v>1673</v>
      </c>
      <c r="E6478" t="s">
        <v>561</v>
      </c>
      <c r="F6478" t="s">
        <v>1068</v>
      </c>
      <c r="G6478" t="s">
        <v>1083</v>
      </c>
      <c r="H6478" s="170">
        <v>-2.4647067519988302E-7</v>
      </c>
      <c r="I6478" t="s">
        <v>1084</v>
      </c>
      <c r="J6478">
        <v>8.6300000000000008</v>
      </c>
    </row>
    <row r="6479" spans="1:10" hidden="1">
      <c r="A6479" t="s">
        <v>4484</v>
      </c>
      <c r="B6479" t="s">
        <v>4485</v>
      </c>
      <c r="C6479" t="s">
        <v>235</v>
      </c>
      <c r="D6479" t="s">
        <v>1673</v>
      </c>
      <c r="E6479" t="s">
        <v>561</v>
      </c>
      <c r="F6479" t="s">
        <v>1068</v>
      </c>
      <c r="G6479" t="s">
        <v>1085</v>
      </c>
      <c r="H6479" s="171" t="s">
        <v>4489</v>
      </c>
      <c r="I6479" t="s">
        <v>1086</v>
      </c>
      <c r="J6479">
        <v>8.6300000000000008</v>
      </c>
    </row>
    <row r="6480" spans="1:10" hidden="1">
      <c r="A6480" t="s">
        <v>4484</v>
      </c>
      <c r="B6480" t="s">
        <v>4485</v>
      </c>
      <c r="C6480" t="s">
        <v>235</v>
      </c>
      <c r="D6480" t="s">
        <v>1673</v>
      </c>
      <c r="E6480" t="s">
        <v>561</v>
      </c>
      <c r="F6480" t="s">
        <v>1068</v>
      </c>
      <c r="G6480" t="s">
        <v>1087</v>
      </c>
      <c r="H6480" s="171" t="s">
        <v>4490</v>
      </c>
      <c r="I6480" t="s">
        <v>1088</v>
      </c>
      <c r="J6480">
        <v>8.6300000000000008</v>
      </c>
    </row>
    <row r="6481" spans="1:10" hidden="1">
      <c r="A6481" t="s">
        <v>4484</v>
      </c>
      <c r="B6481" t="s">
        <v>4485</v>
      </c>
      <c r="C6481" t="s">
        <v>235</v>
      </c>
      <c r="D6481" t="s">
        <v>1673</v>
      </c>
      <c r="E6481" t="s">
        <v>561</v>
      </c>
      <c r="F6481" t="s">
        <v>1068</v>
      </c>
      <c r="G6481" t="s">
        <v>1089</v>
      </c>
      <c r="H6481" s="171" t="s">
        <v>4491</v>
      </c>
      <c r="I6481" t="s">
        <v>1090</v>
      </c>
      <c r="J6481">
        <v>8.6300000000000008</v>
      </c>
    </row>
    <row r="6482" spans="1:10" hidden="1">
      <c r="A6482" t="s">
        <v>4492</v>
      </c>
      <c r="B6482" t="s">
        <v>4493</v>
      </c>
      <c r="C6482" t="s">
        <v>235</v>
      </c>
      <c r="D6482" t="s">
        <v>1673</v>
      </c>
      <c r="E6482" t="s">
        <v>555</v>
      </c>
      <c r="F6482" t="s">
        <v>1068</v>
      </c>
      <c r="G6482" t="s">
        <v>1069</v>
      </c>
      <c r="H6482">
        <v>3.8644694040792099E-2</v>
      </c>
      <c r="I6482" t="s">
        <v>1070</v>
      </c>
      <c r="J6482">
        <v>7.34</v>
      </c>
    </row>
    <row r="6483" spans="1:10" hidden="1">
      <c r="A6483" t="s">
        <v>4492</v>
      </c>
      <c r="B6483" t="s">
        <v>4493</v>
      </c>
      <c r="C6483" t="s">
        <v>235</v>
      </c>
      <c r="D6483" t="s">
        <v>1673</v>
      </c>
      <c r="E6483" t="s">
        <v>555</v>
      </c>
      <c r="F6483" t="s">
        <v>1068</v>
      </c>
      <c r="G6483" t="s">
        <v>1071</v>
      </c>
      <c r="H6483" s="170">
        <v>-1.2310140639506301E-11</v>
      </c>
      <c r="I6483" t="s">
        <v>1072</v>
      </c>
      <c r="J6483">
        <v>7.34</v>
      </c>
    </row>
    <row r="6484" spans="1:10" hidden="1">
      <c r="A6484" t="s">
        <v>4492</v>
      </c>
      <c r="B6484" t="s">
        <v>4493</v>
      </c>
      <c r="C6484" t="s">
        <v>235</v>
      </c>
      <c r="D6484" t="s">
        <v>1673</v>
      </c>
      <c r="E6484" t="s">
        <v>555</v>
      </c>
      <c r="F6484" t="s">
        <v>1068</v>
      </c>
      <c r="G6484" t="s">
        <v>1073</v>
      </c>
      <c r="H6484" s="171" t="s">
        <v>4494</v>
      </c>
      <c r="I6484" t="s">
        <v>1074</v>
      </c>
      <c r="J6484">
        <v>7.34</v>
      </c>
    </row>
    <row r="6485" spans="1:10" hidden="1">
      <c r="A6485" t="s">
        <v>4492</v>
      </c>
      <c r="B6485" t="s">
        <v>4493</v>
      </c>
      <c r="C6485" t="s">
        <v>235</v>
      </c>
      <c r="D6485" t="s">
        <v>1673</v>
      </c>
      <c r="E6485" t="s">
        <v>555</v>
      </c>
      <c r="F6485" t="s">
        <v>1068</v>
      </c>
      <c r="G6485" t="s">
        <v>1075</v>
      </c>
      <c r="H6485">
        <v>3.2521083698040902E-3</v>
      </c>
      <c r="I6485" t="s">
        <v>1077</v>
      </c>
      <c r="J6485">
        <v>7.34</v>
      </c>
    </row>
    <row r="6486" spans="1:10" hidden="1">
      <c r="A6486" t="s">
        <v>4492</v>
      </c>
      <c r="B6486" t="s">
        <v>4493</v>
      </c>
      <c r="C6486" t="s">
        <v>235</v>
      </c>
      <c r="D6486" t="s">
        <v>1673</v>
      </c>
      <c r="E6486" t="s">
        <v>555</v>
      </c>
      <c r="F6486" t="s">
        <v>1068</v>
      </c>
      <c r="G6486" t="s">
        <v>1078</v>
      </c>
      <c r="H6486">
        <v>5.21256992475796E-2</v>
      </c>
      <c r="I6486" t="s">
        <v>1079</v>
      </c>
      <c r="J6486">
        <v>7.34</v>
      </c>
    </row>
    <row r="6487" spans="1:10" hidden="1">
      <c r="A6487" t="s">
        <v>4492</v>
      </c>
      <c r="B6487" t="s">
        <v>4493</v>
      </c>
      <c r="C6487" t="s">
        <v>235</v>
      </c>
      <c r="D6487" t="s">
        <v>1673</v>
      </c>
      <c r="E6487" t="s">
        <v>555</v>
      </c>
      <c r="F6487" t="s">
        <v>1068</v>
      </c>
      <c r="G6487" t="s">
        <v>1080</v>
      </c>
      <c r="H6487" s="171" t="s">
        <v>4495</v>
      </c>
      <c r="I6487" t="s">
        <v>1082</v>
      </c>
      <c r="J6487">
        <v>7.34</v>
      </c>
    </row>
    <row r="6488" spans="1:10" hidden="1">
      <c r="A6488" t="s">
        <v>4492</v>
      </c>
      <c r="B6488" t="s">
        <v>4493</v>
      </c>
      <c r="C6488" t="s">
        <v>235</v>
      </c>
      <c r="D6488" t="s">
        <v>1673</v>
      </c>
      <c r="E6488" t="s">
        <v>555</v>
      </c>
      <c r="F6488" t="s">
        <v>1068</v>
      </c>
      <c r="G6488" t="s">
        <v>1083</v>
      </c>
      <c r="H6488" s="170">
        <v>-7.92080220078466E-7</v>
      </c>
      <c r="I6488" t="s">
        <v>1084</v>
      </c>
      <c r="J6488">
        <v>7.34</v>
      </c>
    </row>
    <row r="6489" spans="1:10" hidden="1">
      <c r="A6489" t="s">
        <v>4492</v>
      </c>
      <c r="B6489" t="s">
        <v>4493</v>
      </c>
      <c r="C6489" t="s">
        <v>235</v>
      </c>
      <c r="D6489" t="s">
        <v>1673</v>
      </c>
      <c r="E6489" t="s">
        <v>555</v>
      </c>
      <c r="F6489" t="s">
        <v>1068</v>
      </c>
      <c r="G6489" t="s">
        <v>1085</v>
      </c>
      <c r="H6489" s="171" t="s">
        <v>4496</v>
      </c>
      <c r="I6489" t="s">
        <v>1086</v>
      </c>
      <c r="J6489">
        <v>7.34</v>
      </c>
    </row>
    <row r="6490" spans="1:10" hidden="1">
      <c r="A6490" t="s">
        <v>4492</v>
      </c>
      <c r="B6490" t="s">
        <v>4493</v>
      </c>
      <c r="C6490" t="s">
        <v>235</v>
      </c>
      <c r="D6490" t="s">
        <v>1673</v>
      </c>
      <c r="E6490" t="s">
        <v>555</v>
      </c>
      <c r="F6490" t="s">
        <v>1068</v>
      </c>
      <c r="G6490" t="s">
        <v>1087</v>
      </c>
      <c r="H6490" s="171" t="s">
        <v>4497</v>
      </c>
      <c r="I6490" t="s">
        <v>1088</v>
      </c>
      <c r="J6490">
        <v>7.34</v>
      </c>
    </row>
    <row r="6491" spans="1:10" hidden="1">
      <c r="A6491" t="s">
        <v>4492</v>
      </c>
      <c r="B6491" t="s">
        <v>4493</v>
      </c>
      <c r="C6491" t="s">
        <v>235</v>
      </c>
      <c r="D6491" t="s">
        <v>1673</v>
      </c>
      <c r="E6491" t="s">
        <v>555</v>
      </c>
      <c r="F6491" t="s">
        <v>1068</v>
      </c>
      <c r="G6491" t="s">
        <v>1089</v>
      </c>
      <c r="H6491" s="171" t="s">
        <v>4498</v>
      </c>
      <c r="I6491" t="s">
        <v>1090</v>
      </c>
      <c r="J6491">
        <v>7.34</v>
      </c>
    </row>
    <row r="6492" spans="1:10" hidden="1">
      <c r="A6492" t="s">
        <v>4499</v>
      </c>
      <c r="B6492" t="s">
        <v>4500</v>
      </c>
      <c r="C6492" t="s">
        <v>235</v>
      </c>
      <c r="D6492" t="s">
        <v>1673</v>
      </c>
      <c r="E6492" t="s">
        <v>558</v>
      </c>
      <c r="F6492" t="s">
        <v>1068</v>
      </c>
      <c r="G6492" t="s">
        <v>1069</v>
      </c>
      <c r="H6492">
        <v>4.2522304971622397E-2</v>
      </c>
      <c r="I6492" t="s">
        <v>1070</v>
      </c>
      <c r="J6492">
        <v>8.48</v>
      </c>
    </row>
    <row r="6493" spans="1:10" hidden="1">
      <c r="A6493" t="s">
        <v>4499</v>
      </c>
      <c r="B6493" t="s">
        <v>4500</v>
      </c>
      <c r="C6493" t="s">
        <v>235</v>
      </c>
      <c r="D6493" t="s">
        <v>1673</v>
      </c>
      <c r="E6493" t="s">
        <v>558</v>
      </c>
      <c r="F6493" t="s">
        <v>1068</v>
      </c>
      <c r="G6493" t="s">
        <v>1071</v>
      </c>
      <c r="H6493" s="170">
        <v>-6.9516933255564003E-12</v>
      </c>
      <c r="I6493" t="s">
        <v>1072</v>
      </c>
      <c r="J6493">
        <v>8.48</v>
      </c>
    </row>
    <row r="6494" spans="1:10" hidden="1">
      <c r="A6494" t="s">
        <v>4499</v>
      </c>
      <c r="B6494" t="s">
        <v>4500</v>
      </c>
      <c r="C6494" t="s">
        <v>235</v>
      </c>
      <c r="D6494" t="s">
        <v>1673</v>
      </c>
      <c r="E6494" t="s">
        <v>558</v>
      </c>
      <c r="F6494" t="s">
        <v>1068</v>
      </c>
      <c r="G6494" t="s">
        <v>1073</v>
      </c>
      <c r="H6494" s="171" t="s">
        <v>4501</v>
      </c>
      <c r="I6494" t="s">
        <v>1074</v>
      </c>
      <c r="J6494">
        <v>8.48</v>
      </c>
    </row>
    <row r="6495" spans="1:10" hidden="1">
      <c r="A6495" t="s">
        <v>4499</v>
      </c>
      <c r="B6495" t="s">
        <v>4500</v>
      </c>
      <c r="C6495" t="s">
        <v>235</v>
      </c>
      <c r="D6495" t="s">
        <v>1673</v>
      </c>
      <c r="E6495" t="s">
        <v>558</v>
      </c>
      <c r="F6495" t="s">
        <v>1068</v>
      </c>
      <c r="G6495" t="s">
        <v>1075</v>
      </c>
      <c r="H6495">
        <v>3.2839930108454298E-3</v>
      </c>
      <c r="I6495" t="s">
        <v>1077</v>
      </c>
      <c r="J6495">
        <v>8.48</v>
      </c>
    </row>
    <row r="6496" spans="1:10" hidden="1">
      <c r="A6496" t="s">
        <v>4499</v>
      </c>
      <c r="B6496" t="s">
        <v>4500</v>
      </c>
      <c r="C6496" t="s">
        <v>235</v>
      </c>
      <c r="D6496" t="s">
        <v>1673</v>
      </c>
      <c r="E6496" t="s">
        <v>558</v>
      </c>
      <c r="F6496" t="s">
        <v>1068</v>
      </c>
      <c r="G6496" t="s">
        <v>1078</v>
      </c>
      <c r="H6496" s="171" t="s">
        <v>4502</v>
      </c>
      <c r="I6496" t="s">
        <v>1079</v>
      </c>
      <c r="J6496">
        <v>8.48</v>
      </c>
    </row>
    <row r="6497" spans="1:10" hidden="1">
      <c r="A6497" t="s">
        <v>4499</v>
      </c>
      <c r="B6497" t="s">
        <v>4500</v>
      </c>
      <c r="C6497" t="s">
        <v>235</v>
      </c>
      <c r="D6497" t="s">
        <v>1673</v>
      </c>
      <c r="E6497" t="s">
        <v>558</v>
      </c>
      <c r="F6497" t="s">
        <v>1068</v>
      </c>
      <c r="G6497" t="s">
        <v>1080</v>
      </c>
      <c r="H6497" s="171" t="s">
        <v>4503</v>
      </c>
      <c r="I6497" t="s">
        <v>1082</v>
      </c>
      <c r="J6497">
        <v>8.48</v>
      </c>
    </row>
    <row r="6498" spans="1:10" hidden="1">
      <c r="A6498" t="s">
        <v>4499</v>
      </c>
      <c r="B6498" t="s">
        <v>4500</v>
      </c>
      <c r="C6498" t="s">
        <v>235</v>
      </c>
      <c r="D6498" t="s">
        <v>1673</v>
      </c>
      <c r="E6498" t="s">
        <v>558</v>
      </c>
      <c r="F6498" t="s">
        <v>1068</v>
      </c>
      <c r="G6498" t="s">
        <v>1083</v>
      </c>
      <c r="H6498" s="170">
        <v>-2.0045640418597401E-7</v>
      </c>
      <c r="I6498" t="s">
        <v>1084</v>
      </c>
      <c r="J6498">
        <v>8.48</v>
      </c>
    </row>
    <row r="6499" spans="1:10" hidden="1">
      <c r="A6499" t="s">
        <v>4499</v>
      </c>
      <c r="B6499" t="s">
        <v>4500</v>
      </c>
      <c r="C6499" t="s">
        <v>235</v>
      </c>
      <c r="D6499" t="s">
        <v>1673</v>
      </c>
      <c r="E6499" t="s">
        <v>558</v>
      </c>
      <c r="F6499" t="s">
        <v>1068</v>
      </c>
      <c r="G6499" t="s">
        <v>1085</v>
      </c>
      <c r="H6499" s="171" t="s">
        <v>4504</v>
      </c>
      <c r="I6499" t="s">
        <v>1086</v>
      </c>
      <c r="J6499">
        <v>8.48</v>
      </c>
    </row>
    <row r="6500" spans="1:10" hidden="1">
      <c r="A6500" t="s">
        <v>4499</v>
      </c>
      <c r="B6500" t="s">
        <v>4500</v>
      </c>
      <c r="C6500" t="s">
        <v>235</v>
      </c>
      <c r="D6500" t="s">
        <v>1673</v>
      </c>
      <c r="E6500" t="s">
        <v>558</v>
      </c>
      <c r="F6500" t="s">
        <v>1068</v>
      </c>
      <c r="G6500" t="s">
        <v>1087</v>
      </c>
      <c r="H6500" s="171" t="s">
        <v>4505</v>
      </c>
      <c r="I6500" t="s">
        <v>1088</v>
      </c>
      <c r="J6500">
        <v>8.48</v>
      </c>
    </row>
    <row r="6501" spans="1:10" hidden="1">
      <c r="A6501" t="s">
        <v>4499</v>
      </c>
      <c r="B6501" t="s">
        <v>4500</v>
      </c>
      <c r="C6501" t="s">
        <v>235</v>
      </c>
      <c r="D6501" t="s">
        <v>1673</v>
      </c>
      <c r="E6501" t="s">
        <v>558</v>
      </c>
      <c r="F6501" t="s">
        <v>1068</v>
      </c>
      <c r="G6501" t="s">
        <v>1089</v>
      </c>
      <c r="H6501" s="171" t="s">
        <v>4506</v>
      </c>
      <c r="I6501" t="s">
        <v>1090</v>
      </c>
      <c r="J6501">
        <v>8.48</v>
      </c>
    </row>
    <row r="6502" spans="1:10" hidden="1">
      <c r="A6502" t="s">
        <v>4507</v>
      </c>
      <c r="B6502" t="s">
        <v>4508</v>
      </c>
      <c r="C6502" t="s">
        <v>235</v>
      </c>
      <c r="D6502" t="s">
        <v>1673</v>
      </c>
      <c r="E6502" t="s">
        <v>553</v>
      </c>
      <c r="F6502" t="s">
        <v>1068</v>
      </c>
      <c r="G6502" t="s">
        <v>1069</v>
      </c>
      <c r="H6502">
        <v>4.26840560113683E-2</v>
      </c>
      <c r="I6502" t="s">
        <v>1070</v>
      </c>
      <c r="J6502">
        <v>8.14</v>
      </c>
    </row>
    <row r="6503" spans="1:10" hidden="1">
      <c r="A6503" t="s">
        <v>4507</v>
      </c>
      <c r="B6503" t="s">
        <v>4508</v>
      </c>
      <c r="C6503" t="s">
        <v>235</v>
      </c>
      <c r="D6503" t="s">
        <v>1673</v>
      </c>
      <c r="E6503" t="s">
        <v>553</v>
      </c>
      <c r="F6503" t="s">
        <v>1068</v>
      </c>
      <c r="G6503" t="s">
        <v>1071</v>
      </c>
      <c r="H6503" s="170">
        <v>-6.52976770425571E-12</v>
      </c>
      <c r="I6503" t="s">
        <v>1072</v>
      </c>
      <c r="J6503">
        <v>8.14</v>
      </c>
    </row>
    <row r="6504" spans="1:10" hidden="1">
      <c r="A6504" t="s">
        <v>4507</v>
      </c>
      <c r="B6504" t="s">
        <v>4508</v>
      </c>
      <c r="C6504" t="s">
        <v>235</v>
      </c>
      <c r="D6504" t="s">
        <v>1673</v>
      </c>
      <c r="E6504" t="s">
        <v>553</v>
      </c>
      <c r="F6504" t="s">
        <v>1068</v>
      </c>
      <c r="G6504" t="s">
        <v>1073</v>
      </c>
      <c r="H6504" s="171" t="s">
        <v>4509</v>
      </c>
      <c r="I6504" t="s">
        <v>1074</v>
      </c>
      <c r="J6504">
        <v>8.14</v>
      </c>
    </row>
    <row r="6505" spans="1:10" hidden="1">
      <c r="A6505" t="s">
        <v>4507</v>
      </c>
      <c r="B6505" t="s">
        <v>4508</v>
      </c>
      <c r="C6505" t="s">
        <v>235</v>
      </c>
      <c r="D6505" t="s">
        <v>1673</v>
      </c>
      <c r="E6505" t="s">
        <v>553</v>
      </c>
      <c r="F6505" t="s">
        <v>1068</v>
      </c>
      <c r="G6505" t="s">
        <v>1075</v>
      </c>
      <c r="H6505">
        <v>3.37979691682107E-3</v>
      </c>
      <c r="I6505" t="s">
        <v>1077</v>
      </c>
      <c r="J6505">
        <v>8.14</v>
      </c>
    </row>
    <row r="6506" spans="1:10" hidden="1">
      <c r="A6506" t="s">
        <v>4507</v>
      </c>
      <c r="B6506" t="s">
        <v>4508</v>
      </c>
      <c r="C6506" t="s">
        <v>235</v>
      </c>
      <c r="D6506" t="s">
        <v>1673</v>
      </c>
      <c r="E6506" t="s">
        <v>553</v>
      </c>
      <c r="F6506" t="s">
        <v>1068</v>
      </c>
      <c r="G6506" t="s">
        <v>1078</v>
      </c>
      <c r="H6506">
        <v>5.7647444565635697E-2</v>
      </c>
      <c r="I6506" t="s">
        <v>1079</v>
      </c>
      <c r="J6506">
        <v>8.14</v>
      </c>
    </row>
    <row r="6507" spans="1:10" hidden="1">
      <c r="A6507" t="s">
        <v>4507</v>
      </c>
      <c r="B6507" t="s">
        <v>4508</v>
      </c>
      <c r="C6507" t="s">
        <v>235</v>
      </c>
      <c r="D6507" t="s">
        <v>1673</v>
      </c>
      <c r="E6507" t="s">
        <v>553</v>
      </c>
      <c r="F6507" t="s">
        <v>1068</v>
      </c>
      <c r="G6507" t="s">
        <v>1080</v>
      </c>
      <c r="H6507" s="171" t="s">
        <v>4510</v>
      </c>
      <c r="I6507" t="s">
        <v>1082</v>
      </c>
      <c r="J6507">
        <v>8.14</v>
      </c>
    </row>
    <row r="6508" spans="1:10" hidden="1">
      <c r="A6508" t="s">
        <v>4507</v>
      </c>
      <c r="B6508" t="s">
        <v>4508</v>
      </c>
      <c r="C6508" t="s">
        <v>235</v>
      </c>
      <c r="D6508" t="s">
        <v>1673</v>
      </c>
      <c r="E6508" t="s">
        <v>553</v>
      </c>
      <c r="F6508" t="s">
        <v>1068</v>
      </c>
      <c r="G6508" t="s">
        <v>1083</v>
      </c>
      <c r="H6508" s="170">
        <v>-1.7809458522788099E-7</v>
      </c>
      <c r="I6508" t="s">
        <v>1084</v>
      </c>
      <c r="J6508">
        <v>8.14</v>
      </c>
    </row>
    <row r="6509" spans="1:10" hidden="1">
      <c r="A6509" t="s">
        <v>4507</v>
      </c>
      <c r="B6509" t="s">
        <v>4508</v>
      </c>
      <c r="C6509" t="s">
        <v>235</v>
      </c>
      <c r="D6509" t="s">
        <v>1673</v>
      </c>
      <c r="E6509" t="s">
        <v>553</v>
      </c>
      <c r="F6509" t="s">
        <v>1068</v>
      </c>
      <c r="G6509" t="s">
        <v>1085</v>
      </c>
      <c r="H6509" s="171" t="s">
        <v>4511</v>
      </c>
      <c r="I6509" t="s">
        <v>1086</v>
      </c>
      <c r="J6509">
        <v>8.14</v>
      </c>
    </row>
    <row r="6510" spans="1:10" hidden="1">
      <c r="A6510" t="s">
        <v>4507</v>
      </c>
      <c r="B6510" t="s">
        <v>4508</v>
      </c>
      <c r="C6510" t="s">
        <v>235</v>
      </c>
      <c r="D6510" t="s">
        <v>1673</v>
      </c>
      <c r="E6510" t="s">
        <v>553</v>
      </c>
      <c r="F6510" t="s">
        <v>1068</v>
      </c>
      <c r="G6510" t="s">
        <v>1087</v>
      </c>
      <c r="H6510" s="171" t="s">
        <v>4512</v>
      </c>
      <c r="I6510" t="s">
        <v>1088</v>
      </c>
      <c r="J6510">
        <v>8.14</v>
      </c>
    </row>
    <row r="6511" spans="1:10" hidden="1">
      <c r="A6511" t="s">
        <v>4507</v>
      </c>
      <c r="B6511" t="s">
        <v>4508</v>
      </c>
      <c r="C6511" t="s">
        <v>235</v>
      </c>
      <c r="D6511" t="s">
        <v>1673</v>
      </c>
      <c r="E6511" t="s">
        <v>553</v>
      </c>
      <c r="F6511" t="s">
        <v>1068</v>
      </c>
      <c r="G6511" t="s">
        <v>1089</v>
      </c>
      <c r="H6511" s="171" t="s">
        <v>4513</v>
      </c>
      <c r="I6511" t="s">
        <v>1090</v>
      </c>
      <c r="J6511">
        <v>8.14</v>
      </c>
    </row>
    <row r="6512" spans="1:10" hidden="1">
      <c r="A6512" t="s">
        <v>4514</v>
      </c>
      <c r="B6512" t="s">
        <v>4515</v>
      </c>
      <c r="C6512" t="s">
        <v>235</v>
      </c>
      <c r="D6512" t="s">
        <v>1673</v>
      </c>
      <c r="E6512" t="s">
        <v>556</v>
      </c>
      <c r="F6512" t="s">
        <v>1068</v>
      </c>
      <c r="G6512" t="s">
        <v>1069</v>
      </c>
      <c r="H6512" s="171" t="s">
        <v>4516</v>
      </c>
      <c r="I6512" t="s">
        <v>1070</v>
      </c>
      <c r="J6512">
        <v>8.59</v>
      </c>
    </row>
    <row r="6513" spans="1:10" hidden="1">
      <c r="A6513" t="s">
        <v>4514</v>
      </c>
      <c r="B6513" t="s">
        <v>4515</v>
      </c>
      <c r="C6513" t="s">
        <v>235</v>
      </c>
      <c r="D6513" t="s">
        <v>1673</v>
      </c>
      <c r="E6513" t="s">
        <v>556</v>
      </c>
      <c r="F6513" t="s">
        <v>1068</v>
      </c>
      <c r="G6513" t="s">
        <v>1071</v>
      </c>
      <c r="H6513" s="171" t="s">
        <v>4517</v>
      </c>
      <c r="I6513" t="s">
        <v>1072</v>
      </c>
      <c r="J6513">
        <v>8.59</v>
      </c>
    </row>
    <row r="6514" spans="1:10" hidden="1">
      <c r="A6514" t="s">
        <v>4514</v>
      </c>
      <c r="B6514" t="s">
        <v>4515</v>
      </c>
      <c r="C6514" t="s">
        <v>235</v>
      </c>
      <c r="D6514" t="s">
        <v>1673</v>
      </c>
      <c r="E6514" t="s">
        <v>556</v>
      </c>
      <c r="F6514" t="s">
        <v>1068</v>
      </c>
      <c r="G6514" t="s">
        <v>1073</v>
      </c>
      <c r="H6514" s="171" t="s">
        <v>4518</v>
      </c>
      <c r="I6514" t="s">
        <v>1074</v>
      </c>
      <c r="J6514">
        <v>8.59</v>
      </c>
    </row>
    <row r="6515" spans="1:10" hidden="1">
      <c r="A6515" t="s">
        <v>4514</v>
      </c>
      <c r="B6515" t="s">
        <v>4515</v>
      </c>
      <c r="C6515" t="s">
        <v>235</v>
      </c>
      <c r="D6515" t="s">
        <v>1673</v>
      </c>
      <c r="E6515" t="s">
        <v>556</v>
      </c>
      <c r="F6515" t="s">
        <v>1068</v>
      </c>
      <c r="G6515" t="s">
        <v>1075</v>
      </c>
      <c r="H6515">
        <v>3.9174264969465402E-3</v>
      </c>
      <c r="I6515" t="s">
        <v>1077</v>
      </c>
      <c r="J6515">
        <v>8.59</v>
      </c>
    </row>
    <row r="6516" spans="1:10" hidden="1">
      <c r="A6516" t="s">
        <v>4514</v>
      </c>
      <c r="B6516" t="s">
        <v>4515</v>
      </c>
      <c r="C6516" t="s">
        <v>235</v>
      </c>
      <c r="D6516" t="s">
        <v>1673</v>
      </c>
      <c r="E6516" t="s">
        <v>556</v>
      </c>
      <c r="F6516" t="s">
        <v>1068</v>
      </c>
      <c r="G6516" t="s">
        <v>1078</v>
      </c>
      <c r="H6516" s="171" t="s">
        <v>4519</v>
      </c>
      <c r="I6516" t="s">
        <v>1079</v>
      </c>
      <c r="J6516">
        <v>8.59</v>
      </c>
    </row>
    <row r="6517" spans="1:10" hidden="1">
      <c r="A6517" t="s">
        <v>4514</v>
      </c>
      <c r="B6517" t="s">
        <v>4515</v>
      </c>
      <c r="C6517" t="s">
        <v>235</v>
      </c>
      <c r="D6517" t="s">
        <v>1673</v>
      </c>
      <c r="E6517" t="s">
        <v>556</v>
      </c>
      <c r="F6517" t="s">
        <v>1068</v>
      </c>
      <c r="G6517" t="s">
        <v>1080</v>
      </c>
      <c r="H6517" s="171" t="s">
        <v>4520</v>
      </c>
      <c r="I6517" t="s">
        <v>1082</v>
      </c>
      <c r="J6517">
        <v>8.59</v>
      </c>
    </row>
    <row r="6518" spans="1:10" hidden="1">
      <c r="A6518" t="s">
        <v>4514</v>
      </c>
      <c r="B6518" t="s">
        <v>4515</v>
      </c>
      <c r="C6518" t="s">
        <v>235</v>
      </c>
      <c r="D6518" t="s">
        <v>1673</v>
      </c>
      <c r="E6518" t="s">
        <v>556</v>
      </c>
      <c r="F6518" t="s">
        <v>1068</v>
      </c>
      <c r="G6518" t="s">
        <v>1083</v>
      </c>
      <c r="H6518" s="171" t="s">
        <v>4521</v>
      </c>
      <c r="I6518" t="s">
        <v>1084</v>
      </c>
      <c r="J6518">
        <v>8.59</v>
      </c>
    </row>
    <row r="6519" spans="1:10" hidden="1">
      <c r="A6519" t="s">
        <v>4514</v>
      </c>
      <c r="B6519" t="s">
        <v>4515</v>
      </c>
      <c r="C6519" t="s">
        <v>235</v>
      </c>
      <c r="D6519" t="s">
        <v>1673</v>
      </c>
      <c r="E6519" t="s">
        <v>556</v>
      </c>
      <c r="F6519" t="s">
        <v>1068</v>
      </c>
      <c r="G6519" t="s">
        <v>1085</v>
      </c>
      <c r="H6519" s="171" t="s">
        <v>4522</v>
      </c>
      <c r="I6519" t="s">
        <v>1086</v>
      </c>
      <c r="J6519">
        <v>8.59</v>
      </c>
    </row>
    <row r="6520" spans="1:10" hidden="1">
      <c r="A6520" t="s">
        <v>4514</v>
      </c>
      <c r="B6520" t="s">
        <v>4515</v>
      </c>
      <c r="C6520" t="s">
        <v>235</v>
      </c>
      <c r="D6520" t="s">
        <v>1673</v>
      </c>
      <c r="E6520" t="s">
        <v>556</v>
      </c>
      <c r="F6520" t="s">
        <v>1068</v>
      </c>
      <c r="G6520" t="s">
        <v>1087</v>
      </c>
      <c r="H6520" s="171" t="s">
        <v>4523</v>
      </c>
      <c r="I6520" t="s">
        <v>1088</v>
      </c>
      <c r="J6520">
        <v>8.59</v>
      </c>
    </row>
    <row r="6521" spans="1:10" hidden="1">
      <c r="A6521" t="s">
        <v>4514</v>
      </c>
      <c r="B6521" t="s">
        <v>4515</v>
      </c>
      <c r="C6521" t="s">
        <v>235</v>
      </c>
      <c r="D6521" t="s">
        <v>1673</v>
      </c>
      <c r="E6521" t="s">
        <v>556</v>
      </c>
      <c r="F6521" t="s">
        <v>1068</v>
      </c>
      <c r="G6521" t="s">
        <v>1089</v>
      </c>
      <c r="H6521" s="171" t="s">
        <v>4524</v>
      </c>
      <c r="I6521" t="s">
        <v>1090</v>
      </c>
      <c r="J6521">
        <v>8.59</v>
      </c>
    </row>
    <row r="6522" spans="1:10" hidden="1">
      <c r="A6522" t="s">
        <v>4525</v>
      </c>
      <c r="B6522" t="s">
        <v>4526</v>
      </c>
      <c r="C6522" t="s">
        <v>235</v>
      </c>
      <c r="D6522" t="s">
        <v>1673</v>
      </c>
      <c r="E6522" t="s">
        <v>557</v>
      </c>
      <c r="F6522" t="s">
        <v>1068</v>
      </c>
      <c r="G6522" t="s">
        <v>1069</v>
      </c>
      <c r="H6522" s="171" t="s">
        <v>4527</v>
      </c>
      <c r="I6522" t="s">
        <v>1070</v>
      </c>
      <c r="J6522">
        <v>8.3000000000000007</v>
      </c>
    </row>
    <row r="6523" spans="1:10" hidden="1">
      <c r="A6523" t="s">
        <v>4525</v>
      </c>
      <c r="B6523" t="s">
        <v>4526</v>
      </c>
      <c r="C6523" t="s">
        <v>235</v>
      </c>
      <c r="D6523" t="s">
        <v>1673</v>
      </c>
      <c r="E6523" t="s">
        <v>557</v>
      </c>
      <c r="F6523" t="s">
        <v>1068</v>
      </c>
      <c r="G6523" t="s">
        <v>1071</v>
      </c>
      <c r="H6523" s="170">
        <v>-8.74100487010463E-12</v>
      </c>
      <c r="I6523" t="s">
        <v>1072</v>
      </c>
      <c r="J6523">
        <v>8.3000000000000007</v>
      </c>
    </row>
    <row r="6524" spans="1:10" hidden="1">
      <c r="A6524" t="s">
        <v>4525</v>
      </c>
      <c r="B6524" t="s">
        <v>4526</v>
      </c>
      <c r="C6524" t="s">
        <v>235</v>
      </c>
      <c r="D6524" t="s">
        <v>1673</v>
      </c>
      <c r="E6524" t="s">
        <v>557</v>
      </c>
      <c r="F6524" t="s">
        <v>1068</v>
      </c>
      <c r="G6524" t="s">
        <v>1073</v>
      </c>
      <c r="H6524" s="171" t="s">
        <v>4528</v>
      </c>
      <c r="I6524" t="s">
        <v>1074</v>
      </c>
      <c r="J6524">
        <v>8.3000000000000007</v>
      </c>
    </row>
    <row r="6525" spans="1:10" hidden="1">
      <c r="A6525" t="s">
        <v>4525</v>
      </c>
      <c r="B6525" t="s">
        <v>4526</v>
      </c>
      <c r="C6525" t="s">
        <v>235</v>
      </c>
      <c r="D6525" t="s">
        <v>1673</v>
      </c>
      <c r="E6525" t="s">
        <v>557</v>
      </c>
      <c r="F6525" t="s">
        <v>1068</v>
      </c>
      <c r="G6525" t="s">
        <v>1075</v>
      </c>
      <c r="H6525">
        <v>3.24446708512343E-3</v>
      </c>
      <c r="I6525" t="s">
        <v>1077</v>
      </c>
      <c r="J6525">
        <v>8.3000000000000007</v>
      </c>
    </row>
    <row r="6526" spans="1:10" hidden="1">
      <c r="A6526" t="s">
        <v>4525</v>
      </c>
      <c r="B6526" t="s">
        <v>4526</v>
      </c>
      <c r="C6526" t="s">
        <v>235</v>
      </c>
      <c r="D6526" t="s">
        <v>1673</v>
      </c>
      <c r="E6526" t="s">
        <v>557</v>
      </c>
      <c r="F6526" t="s">
        <v>1068</v>
      </c>
      <c r="G6526" t="s">
        <v>1078</v>
      </c>
      <c r="H6526" s="171" t="s">
        <v>4529</v>
      </c>
      <c r="I6526" t="s">
        <v>1079</v>
      </c>
      <c r="J6526">
        <v>8.3000000000000007</v>
      </c>
    </row>
    <row r="6527" spans="1:10" hidden="1">
      <c r="A6527" t="s">
        <v>4525</v>
      </c>
      <c r="B6527" t="s">
        <v>4526</v>
      </c>
      <c r="C6527" t="s">
        <v>235</v>
      </c>
      <c r="D6527" t="s">
        <v>1673</v>
      </c>
      <c r="E6527" t="s">
        <v>557</v>
      </c>
      <c r="F6527" t="s">
        <v>1068</v>
      </c>
      <c r="G6527" t="s">
        <v>1080</v>
      </c>
      <c r="H6527" s="171" t="s">
        <v>4530</v>
      </c>
      <c r="I6527" t="s">
        <v>1082</v>
      </c>
      <c r="J6527">
        <v>8.3000000000000007</v>
      </c>
    </row>
    <row r="6528" spans="1:10" hidden="1">
      <c r="A6528" t="s">
        <v>4525</v>
      </c>
      <c r="B6528" t="s">
        <v>4526</v>
      </c>
      <c r="C6528" t="s">
        <v>235</v>
      </c>
      <c r="D6528" t="s">
        <v>1673</v>
      </c>
      <c r="E6528" t="s">
        <v>557</v>
      </c>
      <c r="F6528" t="s">
        <v>1068</v>
      </c>
      <c r="G6528" t="s">
        <v>1083</v>
      </c>
      <c r="H6528" s="170">
        <v>-3.9051534967821901E-7</v>
      </c>
      <c r="I6528" t="s">
        <v>1084</v>
      </c>
      <c r="J6528">
        <v>8.3000000000000007</v>
      </c>
    </row>
    <row r="6529" spans="1:10" hidden="1">
      <c r="A6529" t="s">
        <v>4525</v>
      </c>
      <c r="B6529" t="s">
        <v>4526</v>
      </c>
      <c r="C6529" t="s">
        <v>235</v>
      </c>
      <c r="D6529" t="s">
        <v>1673</v>
      </c>
      <c r="E6529" t="s">
        <v>557</v>
      </c>
      <c r="F6529" t="s">
        <v>1068</v>
      </c>
      <c r="G6529" t="s">
        <v>1085</v>
      </c>
      <c r="H6529" s="171" t="s">
        <v>4531</v>
      </c>
      <c r="I6529" t="s">
        <v>1086</v>
      </c>
      <c r="J6529">
        <v>8.3000000000000007</v>
      </c>
    </row>
    <row r="6530" spans="1:10" hidden="1">
      <c r="A6530" t="s">
        <v>4525</v>
      </c>
      <c r="B6530" t="s">
        <v>4526</v>
      </c>
      <c r="C6530" t="s">
        <v>235</v>
      </c>
      <c r="D6530" t="s">
        <v>1673</v>
      </c>
      <c r="E6530" t="s">
        <v>557</v>
      </c>
      <c r="F6530" t="s">
        <v>1068</v>
      </c>
      <c r="G6530" t="s">
        <v>1087</v>
      </c>
      <c r="H6530" s="171" t="s">
        <v>4532</v>
      </c>
      <c r="I6530" t="s">
        <v>1088</v>
      </c>
      <c r="J6530">
        <v>8.3000000000000007</v>
      </c>
    </row>
    <row r="6531" spans="1:10" hidden="1">
      <c r="A6531" t="s">
        <v>4525</v>
      </c>
      <c r="B6531" t="s">
        <v>4526</v>
      </c>
      <c r="C6531" t="s">
        <v>235</v>
      </c>
      <c r="D6531" t="s">
        <v>1673</v>
      </c>
      <c r="E6531" t="s">
        <v>557</v>
      </c>
      <c r="F6531" t="s">
        <v>1068</v>
      </c>
      <c r="G6531" t="s">
        <v>1089</v>
      </c>
      <c r="H6531" s="171" t="s">
        <v>4533</v>
      </c>
      <c r="I6531" t="s">
        <v>1090</v>
      </c>
      <c r="J6531">
        <v>8.3000000000000007</v>
      </c>
    </row>
    <row r="6532" spans="1:10" hidden="1">
      <c r="A6532" t="s">
        <v>4534</v>
      </c>
      <c r="B6532" t="s">
        <v>4535</v>
      </c>
      <c r="C6532" t="s">
        <v>235</v>
      </c>
      <c r="D6532" t="s">
        <v>1673</v>
      </c>
      <c r="E6532" t="s">
        <v>559</v>
      </c>
      <c r="F6532" t="s">
        <v>1068</v>
      </c>
      <c r="G6532" t="s">
        <v>1069</v>
      </c>
      <c r="H6532">
        <v>4.01121776031374E-2</v>
      </c>
      <c r="I6532" t="s">
        <v>1070</v>
      </c>
      <c r="J6532">
        <v>8.09</v>
      </c>
    </row>
    <row r="6533" spans="1:10" hidden="1">
      <c r="A6533" t="s">
        <v>4534</v>
      </c>
      <c r="B6533" t="s">
        <v>4535</v>
      </c>
      <c r="C6533" t="s">
        <v>235</v>
      </c>
      <c r="D6533" t="s">
        <v>1673</v>
      </c>
      <c r="E6533" t="s">
        <v>559</v>
      </c>
      <c r="F6533" t="s">
        <v>1068</v>
      </c>
      <c r="G6533" t="s">
        <v>1071</v>
      </c>
      <c r="H6533" s="170">
        <v>-1.0210154966397801E-11</v>
      </c>
      <c r="I6533" t="s">
        <v>1072</v>
      </c>
      <c r="J6533">
        <v>8.09</v>
      </c>
    </row>
    <row r="6534" spans="1:10" hidden="1">
      <c r="A6534" t="s">
        <v>4534</v>
      </c>
      <c r="B6534" t="s">
        <v>4535</v>
      </c>
      <c r="C6534" t="s">
        <v>235</v>
      </c>
      <c r="D6534" t="s">
        <v>1673</v>
      </c>
      <c r="E6534" t="s">
        <v>559</v>
      </c>
      <c r="F6534" t="s">
        <v>1068</v>
      </c>
      <c r="G6534" t="s">
        <v>1073</v>
      </c>
      <c r="H6534" s="171" t="s">
        <v>4536</v>
      </c>
      <c r="I6534" t="s">
        <v>1074</v>
      </c>
      <c r="J6534">
        <v>8.09</v>
      </c>
    </row>
    <row r="6535" spans="1:10" hidden="1">
      <c r="A6535" t="s">
        <v>4534</v>
      </c>
      <c r="B6535" t="s">
        <v>4535</v>
      </c>
      <c r="C6535" t="s">
        <v>235</v>
      </c>
      <c r="D6535" t="s">
        <v>1673</v>
      </c>
      <c r="E6535" t="s">
        <v>559</v>
      </c>
      <c r="F6535" t="s">
        <v>1068</v>
      </c>
      <c r="G6535" t="s">
        <v>1075</v>
      </c>
      <c r="H6535">
        <v>3.2984970928776999E-3</v>
      </c>
      <c r="I6535" t="s">
        <v>1077</v>
      </c>
      <c r="J6535">
        <v>8.09</v>
      </c>
    </row>
    <row r="6536" spans="1:10" hidden="1">
      <c r="A6536" t="s">
        <v>4534</v>
      </c>
      <c r="B6536" t="s">
        <v>4535</v>
      </c>
      <c r="C6536" t="s">
        <v>235</v>
      </c>
      <c r="D6536" t="s">
        <v>1673</v>
      </c>
      <c r="E6536" t="s">
        <v>559</v>
      </c>
      <c r="F6536" t="s">
        <v>1068</v>
      </c>
      <c r="G6536" t="s">
        <v>1078</v>
      </c>
      <c r="H6536" s="171" t="s">
        <v>4537</v>
      </c>
      <c r="I6536" t="s">
        <v>1079</v>
      </c>
      <c r="J6536">
        <v>8.09</v>
      </c>
    </row>
    <row r="6537" spans="1:10" hidden="1">
      <c r="A6537" t="s">
        <v>4534</v>
      </c>
      <c r="B6537" t="s">
        <v>4535</v>
      </c>
      <c r="C6537" t="s">
        <v>235</v>
      </c>
      <c r="D6537" t="s">
        <v>1673</v>
      </c>
      <c r="E6537" t="s">
        <v>559</v>
      </c>
      <c r="F6537" t="s">
        <v>1068</v>
      </c>
      <c r="G6537" t="s">
        <v>1080</v>
      </c>
      <c r="H6537" s="171" t="s">
        <v>4538</v>
      </c>
      <c r="I6537" t="s">
        <v>1082</v>
      </c>
      <c r="J6537">
        <v>8.09</v>
      </c>
    </row>
    <row r="6538" spans="1:10" hidden="1">
      <c r="A6538" t="s">
        <v>4534</v>
      </c>
      <c r="B6538" t="s">
        <v>4535</v>
      </c>
      <c r="C6538" t="s">
        <v>235</v>
      </c>
      <c r="D6538" t="s">
        <v>1673</v>
      </c>
      <c r="E6538" t="s">
        <v>559</v>
      </c>
      <c r="F6538" t="s">
        <v>1068</v>
      </c>
      <c r="G6538" t="s">
        <v>1083</v>
      </c>
      <c r="H6538" s="170">
        <v>-5.6902176846604002E-7</v>
      </c>
      <c r="I6538" t="s">
        <v>1084</v>
      </c>
      <c r="J6538">
        <v>8.09</v>
      </c>
    </row>
    <row r="6539" spans="1:10" hidden="1">
      <c r="A6539" t="s">
        <v>4534</v>
      </c>
      <c r="B6539" t="s">
        <v>4535</v>
      </c>
      <c r="C6539" t="s">
        <v>235</v>
      </c>
      <c r="D6539" t="s">
        <v>1673</v>
      </c>
      <c r="E6539" t="s">
        <v>559</v>
      </c>
      <c r="F6539" t="s">
        <v>1068</v>
      </c>
      <c r="G6539" t="s">
        <v>1085</v>
      </c>
      <c r="H6539" s="171" t="s">
        <v>4539</v>
      </c>
      <c r="I6539" t="s">
        <v>1086</v>
      </c>
      <c r="J6539">
        <v>8.09</v>
      </c>
    </row>
    <row r="6540" spans="1:10" hidden="1">
      <c r="A6540" t="s">
        <v>4534</v>
      </c>
      <c r="B6540" t="s">
        <v>4535</v>
      </c>
      <c r="C6540" t="s">
        <v>235</v>
      </c>
      <c r="D6540" t="s">
        <v>1673</v>
      </c>
      <c r="E6540" t="s">
        <v>559</v>
      </c>
      <c r="F6540" t="s">
        <v>1068</v>
      </c>
      <c r="G6540" t="s">
        <v>1087</v>
      </c>
      <c r="H6540" s="171" t="s">
        <v>4540</v>
      </c>
      <c r="I6540" t="s">
        <v>1088</v>
      </c>
      <c r="J6540">
        <v>8.09</v>
      </c>
    </row>
    <row r="6541" spans="1:10" hidden="1">
      <c r="A6541" t="s">
        <v>4534</v>
      </c>
      <c r="B6541" t="s">
        <v>4535</v>
      </c>
      <c r="C6541" t="s">
        <v>235</v>
      </c>
      <c r="D6541" t="s">
        <v>1673</v>
      </c>
      <c r="E6541" t="s">
        <v>559</v>
      </c>
      <c r="F6541" t="s">
        <v>1068</v>
      </c>
      <c r="G6541" t="s">
        <v>1089</v>
      </c>
      <c r="H6541" s="171" t="s">
        <v>4541</v>
      </c>
      <c r="I6541" t="s">
        <v>1090</v>
      </c>
      <c r="J6541">
        <v>8.09</v>
      </c>
    </row>
    <row r="6542" spans="1:10" hidden="1">
      <c r="A6542" t="s">
        <v>4542</v>
      </c>
      <c r="B6542" s="170" t="s">
        <v>4543</v>
      </c>
      <c r="C6542" t="s">
        <v>235</v>
      </c>
      <c r="D6542" t="s">
        <v>1673</v>
      </c>
      <c r="E6542" t="s">
        <v>560</v>
      </c>
      <c r="F6542" t="s">
        <v>1068</v>
      </c>
      <c r="G6542" t="s">
        <v>1069</v>
      </c>
      <c r="H6542">
        <v>4.06050518461109E-2</v>
      </c>
      <c r="I6542" t="s">
        <v>1070</v>
      </c>
      <c r="J6542">
        <v>7.72</v>
      </c>
    </row>
    <row r="6543" spans="1:10" hidden="1">
      <c r="A6543" t="s">
        <v>4542</v>
      </c>
      <c r="B6543" s="170" t="s">
        <v>4543</v>
      </c>
      <c r="C6543" t="s">
        <v>235</v>
      </c>
      <c r="D6543" t="s">
        <v>1673</v>
      </c>
      <c r="E6543" t="s">
        <v>560</v>
      </c>
      <c r="F6543" t="s">
        <v>1068</v>
      </c>
      <c r="G6543" t="s">
        <v>1071</v>
      </c>
      <c r="H6543" s="170">
        <v>-9.6953043605307392E-12</v>
      </c>
      <c r="I6543" t="s">
        <v>1072</v>
      </c>
      <c r="J6543">
        <v>7.72</v>
      </c>
    </row>
    <row r="6544" spans="1:10" hidden="1">
      <c r="A6544" t="s">
        <v>4542</v>
      </c>
      <c r="B6544" s="170" t="s">
        <v>4543</v>
      </c>
      <c r="C6544" t="s">
        <v>235</v>
      </c>
      <c r="D6544" t="s">
        <v>1673</v>
      </c>
      <c r="E6544" t="s">
        <v>560</v>
      </c>
      <c r="F6544" t="s">
        <v>1068</v>
      </c>
      <c r="G6544" t="s">
        <v>1073</v>
      </c>
      <c r="H6544" s="171" t="s">
        <v>4544</v>
      </c>
      <c r="I6544" t="s">
        <v>1074</v>
      </c>
      <c r="J6544">
        <v>7.72</v>
      </c>
    </row>
    <row r="6545" spans="1:10" hidden="1">
      <c r="A6545" t="s">
        <v>4542</v>
      </c>
      <c r="B6545" s="170" t="s">
        <v>4543</v>
      </c>
      <c r="C6545" t="s">
        <v>235</v>
      </c>
      <c r="D6545" t="s">
        <v>1673</v>
      </c>
      <c r="E6545" t="s">
        <v>560</v>
      </c>
      <c r="F6545" t="s">
        <v>1068</v>
      </c>
      <c r="G6545" t="s">
        <v>1075</v>
      </c>
      <c r="H6545">
        <v>3.2233865914050299E-3</v>
      </c>
      <c r="I6545" t="s">
        <v>1077</v>
      </c>
      <c r="J6545">
        <v>7.72</v>
      </c>
    </row>
    <row r="6546" spans="1:10" hidden="1">
      <c r="A6546" t="s">
        <v>4542</v>
      </c>
      <c r="B6546" s="170" t="s">
        <v>4543</v>
      </c>
      <c r="C6546" t="s">
        <v>235</v>
      </c>
      <c r="D6546" t="s">
        <v>1673</v>
      </c>
      <c r="E6546" t="s">
        <v>560</v>
      </c>
      <c r="F6546" t="s">
        <v>1068</v>
      </c>
      <c r="G6546" t="s">
        <v>1078</v>
      </c>
      <c r="H6546">
        <v>1.6397822488806901E-2</v>
      </c>
      <c r="I6546" t="s">
        <v>1079</v>
      </c>
      <c r="J6546">
        <v>7.72</v>
      </c>
    </row>
    <row r="6547" spans="1:10" hidden="1">
      <c r="A6547" t="s">
        <v>4542</v>
      </c>
      <c r="B6547" s="170" t="s">
        <v>4543</v>
      </c>
      <c r="C6547" t="s">
        <v>235</v>
      </c>
      <c r="D6547" t="s">
        <v>1673</v>
      </c>
      <c r="E6547" t="s">
        <v>560</v>
      </c>
      <c r="F6547" t="s">
        <v>1068</v>
      </c>
      <c r="G6547" t="s">
        <v>1080</v>
      </c>
      <c r="H6547" s="171" t="s">
        <v>4545</v>
      </c>
      <c r="I6547" t="s">
        <v>1082</v>
      </c>
      <c r="J6547">
        <v>7.72</v>
      </c>
    </row>
    <row r="6548" spans="1:10" hidden="1">
      <c r="A6548" t="s">
        <v>4542</v>
      </c>
      <c r="B6548" s="170" t="s">
        <v>4543</v>
      </c>
      <c r="C6548" t="s">
        <v>235</v>
      </c>
      <c r="D6548" t="s">
        <v>1673</v>
      </c>
      <c r="E6548" t="s">
        <v>560</v>
      </c>
      <c r="F6548" t="s">
        <v>1068</v>
      </c>
      <c r="G6548" t="s">
        <v>1083</v>
      </c>
      <c r="H6548" s="170">
        <v>-4.9188012060742299E-7</v>
      </c>
      <c r="I6548" t="s">
        <v>1084</v>
      </c>
      <c r="J6548">
        <v>7.72</v>
      </c>
    </row>
    <row r="6549" spans="1:10" hidden="1">
      <c r="A6549" t="s">
        <v>4542</v>
      </c>
      <c r="B6549" s="170" t="s">
        <v>4543</v>
      </c>
      <c r="C6549" t="s">
        <v>235</v>
      </c>
      <c r="D6549" t="s">
        <v>1673</v>
      </c>
      <c r="E6549" t="s">
        <v>560</v>
      </c>
      <c r="F6549" t="s">
        <v>1068</v>
      </c>
      <c r="G6549" t="s">
        <v>1085</v>
      </c>
      <c r="H6549" s="171" t="s">
        <v>4546</v>
      </c>
      <c r="I6549" t="s">
        <v>1086</v>
      </c>
      <c r="J6549">
        <v>7.72</v>
      </c>
    </row>
    <row r="6550" spans="1:10" hidden="1">
      <c r="A6550" t="s">
        <v>4542</v>
      </c>
      <c r="B6550" s="170" t="s">
        <v>4543</v>
      </c>
      <c r="C6550" t="s">
        <v>235</v>
      </c>
      <c r="D6550" t="s">
        <v>1673</v>
      </c>
      <c r="E6550" t="s">
        <v>560</v>
      </c>
      <c r="F6550" t="s">
        <v>1068</v>
      </c>
      <c r="G6550" t="s">
        <v>1087</v>
      </c>
      <c r="H6550" s="171" t="s">
        <v>4547</v>
      </c>
      <c r="I6550" t="s">
        <v>1088</v>
      </c>
      <c r="J6550">
        <v>7.72</v>
      </c>
    </row>
    <row r="6551" spans="1:10" hidden="1">
      <c r="A6551" t="s">
        <v>4542</v>
      </c>
      <c r="B6551" s="170" t="s">
        <v>4543</v>
      </c>
      <c r="C6551" t="s">
        <v>235</v>
      </c>
      <c r="D6551" t="s">
        <v>1673</v>
      </c>
      <c r="E6551" t="s">
        <v>560</v>
      </c>
      <c r="F6551" t="s">
        <v>1068</v>
      </c>
      <c r="G6551" t="s">
        <v>1089</v>
      </c>
      <c r="H6551" s="171" t="s">
        <v>4548</v>
      </c>
      <c r="I6551" t="s">
        <v>1090</v>
      </c>
      <c r="J6551">
        <v>7.72</v>
      </c>
    </row>
    <row r="6552" spans="1:10" hidden="1">
      <c r="A6552" t="s">
        <v>4549</v>
      </c>
      <c r="B6552" t="s">
        <v>4550</v>
      </c>
      <c r="C6552" t="s">
        <v>235</v>
      </c>
      <c r="D6552" t="s">
        <v>1673</v>
      </c>
      <c r="E6552" t="s">
        <v>1116</v>
      </c>
      <c r="F6552" t="s">
        <v>1068</v>
      </c>
      <c r="G6552" t="s">
        <v>1069</v>
      </c>
      <c r="H6552">
        <v>4.2629071340091702E-2</v>
      </c>
      <c r="I6552" t="s">
        <v>1070</v>
      </c>
      <c r="J6552">
        <v>8.07</v>
      </c>
    </row>
    <row r="6553" spans="1:10" hidden="1">
      <c r="A6553" t="s">
        <v>4549</v>
      </c>
      <c r="B6553" t="s">
        <v>4550</v>
      </c>
      <c r="C6553" t="s">
        <v>235</v>
      </c>
      <c r="D6553" t="s">
        <v>1673</v>
      </c>
      <c r="E6553" t="s">
        <v>1116</v>
      </c>
      <c r="F6553" t="s">
        <v>1068</v>
      </c>
      <c r="G6553" t="s">
        <v>1071</v>
      </c>
      <c r="H6553" s="170">
        <v>-6.7989094375063301E-12</v>
      </c>
      <c r="I6553" t="s">
        <v>1072</v>
      </c>
      <c r="J6553">
        <v>8.07</v>
      </c>
    </row>
    <row r="6554" spans="1:10" hidden="1">
      <c r="A6554" t="s">
        <v>4549</v>
      </c>
      <c r="B6554" t="s">
        <v>4550</v>
      </c>
      <c r="C6554" t="s">
        <v>235</v>
      </c>
      <c r="D6554" t="s">
        <v>1673</v>
      </c>
      <c r="E6554" t="s">
        <v>1116</v>
      </c>
      <c r="F6554" t="s">
        <v>1068</v>
      </c>
      <c r="G6554" t="s">
        <v>1073</v>
      </c>
      <c r="H6554" s="171" t="s">
        <v>4551</v>
      </c>
      <c r="I6554" t="s">
        <v>1074</v>
      </c>
      <c r="J6554">
        <v>8.07</v>
      </c>
    </row>
    <row r="6555" spans="1:10" hidden="1">
      <c r="A6555" t="s">
        <v>4549</v>
      </c>
      <c r="B6555" t="s">
        <v>4550</v>
      </c>
      <c r="C6555" t="s">
        <v>235</v>
      </c>
      <c r="D6555" t="s">
        <v>1673</v>
      </c>
      <c r="E6555" t="s">
        <v>1116</v>
      </c>
      <c r="F6555" t="s">
        <v>1068</v>
      </c>
      <c r="G6555" t="s">
        <v>1075</v>
      </c>
      <c r="H6555">
        <v>3.2873680098062701E-3</v>
      </c>
      <c r="I6555" t="s">
        <v>1077</v>
      </c>
      <c r="J6555">
        <v>8.07</v>
      </c>
    </row>
    <row r="6556" spans="1:10" hidden="1">
      <c r="A6556" t="s">
        <v>4549</v>
      </c>
      <c r="B6556" t="s">
        <v>4550</v>
      </c>
      <c r="C6556" t="s">
        <v>235</v>
      </c>
      <c r="D6556" t="s">
        <v>1673</v>
      </c>
      <c r="E6556" t="s">
        <v>1116</v>
      </c>
      <c r="F6556" t="s">
        <v>1068</v>
      </c>
      <c r="G6556" t="s">
        <v>1078</v>
      </c>
      <c r="H6556" s="171" t="s">
        <v>4552</v>
      </c>
      <c r="I6556" t="s">
        <v>1079</v>
      </c>
      <c r="J6556">
        <v>8.07</v>
      </c>
    </row>
    <row r="6557" spans="1:10" hidden="1">
      <c r="A6557" t="s">
        <v>4549</v>
      </c>
      <c r="B6557" t="s">
        <v>4550</v>
      </c>
      <c r="C6557" t="s">
        <v>235</v>
      </c>
      <c r="D6557" t="s">
        <v>1673</v>
      </c>
      <c r="E6557" t="s">
        <v>1116</v>
      </c>
      <c r="F6557" t="s">
        <v>1068</v>
      </c>
      <c r="G6557" t="s">
        <v>1080</v>
      </c>
      <c r="H6557" s="171" t="s">
        <v>4553</v>
      </c>
      <c r="I6557" t="s">
        <v>1082</v>
      </c>
      <c r="J6557">
        <v>8.07</v>
      </c>
    </row>
    <row r="6558" spans="1:10" hidden="1">
      <c r="A6558" t="s">
        <v>4549</v>
      </c>
      <c r="B6558" t="s">
        <v>4550</v>
      </c>
      <c r="C6558" t="s">
        <v>235</v>
      </c>
      <c r="D6558" t="s">
        <v>1673</v>
      </c>
      <c r="E6558" t="s">
        <v>1116</v>
      </c>
      <c r="F6558" t="s">
        <v>1068</v>
      </c>
      <c r="G6558" t="s">
        <v>1083</v>
      </c>
      <c r="H6558" s="170">
        <v>-1.8422784706533099E-7</v>
      </c>
      <c r="I6558" t="s">
        <v>1084</v>
      </c>
      <c r="J6558">
        <v>8.07</v>
      </c>
    </row>
    <row r="6559" spans="1:10" hidden="1">
      <c r="A6559" t="s">
        <v>4549</v>
      </c>
      <c r="B6559" t="s">
        <v>4550</v>
      </c>
      <c r="C6559" t="s">
        <v>235</v>
      </c>
      <c r="D6559" t="s">
        <v>1673</v>
      </c>
      <c r="E6559" t="s">
        <v>1116</v>
      </c>
      <c r="F6559" t="s">
        <v>1068</v>
      </c>
      <c r="G6559" t="s">
        <v>1085</v>
      </c>
      <c r="H6559" s="171" t="s">
        <v>4554</v>
      </c>
      <c r="I6559" t="s">
        <v>1086</v>
      </c>
      <c r="J6559">
        <v>8.07</v>
      </c>
    </row>
    <row r="6560" spans="1:10" hidden="1">
      <c r="A6560" t="s">
        <v>4549</v>
      </c>
      <c r="B6560" t="s">
        <v>4550</v>
      </c>
      <c r="C6560" t="s">
        <v>235</v>
      </c>
      <c r="D6560" t="s">
        <v>1673</v>
      </c>
      <c r="E6560" t="s">
        <v>1116</v>
      </c>
      <c r="F6560" t="s">
        <v>1068</v>
      </c>
      <c r="G6560" t="s">
        <v>1087</v>
      </c>
      <c r="H6560" s="171" t="s">
        <v>4555</v>
      </c>
      <c r="I6560" t="s">
        <v>1088</v>
      </c>
      <c r="J6560">
        <v>8.07</v>
      </c>
    </row>
    <row r="6561" spans="1:10" hidden="1">
      <c r="A6561" t="s">
        <v>4549</v>
      </c>
      <c r="B6561" t="s">
        <v>4550</v>
      </c>
      <c r="C6561" t="s">
        <v>235</v>
      </c>
      <c r="D6561" t="s">
        <v>1673</v>
      </c>
      <c r="E6561" t="s">
        <v>1116</v>
      </c>
      <c r="F6561" t="s">
        <v>1068</v>
      </c>
      <c r="G6561" t="s">
        <v>1089</v>
      </c>
      <c r="H6561" s="171" t="s">
        <v>4556</v>
      </c>
      <c r="I6561" t="s">
        <v>1090</v>
      </c>
      <c r="J6561">
        <v>8.07</v>
      </c>
    </row>
    <row r="6562" spans="1:10" hidden="1">
      <c r="A6562" t="s">
        <v>4557</v>
      </c>
      <c r="B6562" t="s">
        <v>4558</v>
      </c>
      <c r="C6562" t="s">
        <v>235</v>
      </c>
      <c r="D6562" t="s">
        <v>1707</v>
      </c>
      <c r="E6562" t="s">
        <v>561</v>
      </c>
      <c r="F6562" t="s">
        <v>1068</v>
      </c>
      <c r="G6562" t="s">
        <v>1069</v>
      </c>
      <c r="H6562">
        <v>1.9192317351359699E-2</v>
      </c>
      <c r="I6562" t="s">
        <v>1070</v>
      </c>
      <c r="J6562">
        <v>11.3</v>
      </c>
    </row>
    <row r="6563" spans="1:10" hidden="1">
      <c r="A6563" t="s">
        <v>4557</v>
      </c>
      <c r="B6563" t="s">
        <v>4558</v>
      </c>
      <c r="C6563" t="s">
        <v>235</v>
      </c>
      <c r="D6563" t="s">
        <v>1707</v>
      </c>
      <c r="E6563" t="s">
        <v>561</v>
      </c>
      <c r="F6563" t="s">
        <v>1068</v>
      </c>
      <c r="G6563" t="s">
        <v>1071</v>
      </c>
      <c r="H6563" s="170">
        <v>-4.2373025349647997E-11</v>
      </c>
      <c r="I6563" t="s">
        <v>1072</v>
      </c>
      <c r="J6563">
        <v>11.3</v>
      </c>
    </row>
    <row r="6564" spans="1:10" hidden="1">
      <c r="A6564" t="s">
        <v>4557</v>
      </c>
      <c r="B6564" t="s">
        <v>4558</v>
      </c>
      <c r="C6564" t="s">
        <v>235</v>
      </c>
      <c r="D6564" t="s">
        <v>1707</v>
      </c>
      <c r="E6564" t="s">
        <v>561</v>
      </c>
      <c r="F6564" t="s">
        <v>1068</v>
      </c>
      <c r="G6564" t="s">
        <v>1073</v>
      </c>
      <c r="H6564" s="171" t="s">
        <v>4559</v>
      </c>
      <c r="I6564" t="s">
        <v>1074</v>
      </c>
      <c r="J6564">
        <v>11.3</v>
      </c>
    </row>
    <row r="6565" spans="1:10" hidden="1">
      <c r="A6565" t="s">
        <v>4557</v>
      </c>
      <c r="B6565" t="s">
        <v>4558</v>
      </c>
      <c r="C6565" t="s">
        <v>235</v>
      </c>
      <c r="D6565" t="s">
        <v>1707</v>
      </c>
      <c r="E6565" t="s">
        <v>561</v>
      </c>
      <c r="F6565" t="s">
        <v>1068</v>
      </c>
      <c r="G6565" t="s">
        <v>1075</v>
      </c>
      <c r="H6565">
        <v>2.3737256687248998E-3</v>
      </c>
      <c r="I6565" t="s">
        <v>1077</v>
      </c>
      <c r="J6565">
        <v>11.3</v>
      </c>
    </row>
    <row r="6566" spans="1:10" hidden="1">
      <c r="A6566" t="s">
        <v>4557</v>
      </c>
      <c r="B6566" t="s">
        <v>4558</v>
      </c>
      <c r="C6566" t="s">
        <v>235</v>
      </c>
      <c r="D6566" t="s">
        <v>1707</v>
      </c>
      <c r="E6566" t="s">
        <v>561</v>
      </c>
      <c r="F6566" t="s">
        <v>1068</v>
      </c>
      <c r="G6566" t="s">
        <v>1078</v>
      </c>
      <c r="H6566">
        <v>-1.04199171049873</v>
      </c>
      <c r="I6566" t="s">
        <v>1079</v>
      </c>
      <c r="J6566">
        <v>11.3</v>
      </c>
    </row>
    <row r="6567" spans="1:10" hidden="1">
      <c r="A6567" t="s">
        <v>4557</v>
      </c>
      <c r="B6567" t="s">
        <v>4558</v>
      </c>
      <c r="C6567" t="s">
        <v>235</v>
      </c>
      <c r="D6567" t="s">
        <v>1707</v>
      </c>
      <c r="E6567" t="s">
        <v>561</v>
      </c>
      <c r="F6567" t="s">
        <v>1068</v>
      </c>
      <c r="G6567" t="s">
        <v>1080</v>
      </c>
      <c r="H6567" s="171" t="s">
        <v>4560</v>
      </c>
      <c r="I6567" t="s">
        <v>1082</v>
      </c>
      <c r="J6567">
        <v>11.3</v>
      </c>
    </row>
    <row r="6568" spans="1:10" hidden="1">
      <c r="A6568" t="s">
        <v>4557</v>
      </c>
      <c r="B6568" t="s">
        <v>4558</v>
      </c>
      <c r="C6568" t="s">
        <v>235</v>
      </c>
      <c r="D6568" t="s">
        <v>1707</v>
      </c>
      <c r="E6568" t="s">
        <v>561</v>
      </c>
      <c r="F6568" t="s">
        <v>1068</v>
      </c>
      <c r="G6568" t="s">
        <v>1083</v>
      </c>
      <c r="H6568" s="170">
        <v>-3.98422684974013E-6</v>
      </c>
      <c r="I6568" t="s">
        <v>1084</v>
      </c>
      <c r="J6568">
        <v>11.3</v>
      </c>
    </row>
    <row r="6569" spans="1:10" hidden="1">
      <c r="A6569" t="s">
        <v>4557</v>
      </c>
      <c r="B6569" t="s">
        <v>4558</v>
      </c>
      <c r="C6569" t="s">
        <v>235</v>
      </c>
      <c r="D6569" t="s">
        <v>1707</v>
      </c>
      <c r="E6569" t="s">
        <v>561</v>
      </c>
      <c r="F6569" t="s">
        <v>1068</v>
      </c>
      <c r="G6569" t="s">
        <v>1085</v>
      </c>
      <c r="H6569" s="171" t="s">
        <v>4561</v>
      </c>
      <c r="I6569" t="s">
        <v>1086</v>
      </c>
      <c r="J6569">
        <v>11.3</v>
      </c>
    </row>
    <row r="6570" spans="1:10" hidden="1">
      <c r="A6570" t="s">
        <v>4557</v>
      </c>
      <c r="B6570" t="s">
        <v>4558</v>
      </c>
      <c r="C6570" t="s">
        <v>235</v>
      </c>
      <c r="D6570" t="s">
        <v>1707</v>
      </c>
      <c r="E6570" t="s">
        <v>561</v>
      </c>
      <c r="F6570" t="s">
        <v>1068</v>
      </c>
      <c r="G6570" t="s">
        <v>1087</v>
      </c>
      <c r="H6570" s="171" t="s">
        <v>4562</v>
      </c>
      <c r="I6570" t="s">
        <v>1088</v>
      </c>
      <c r="J6570">
        <v>11.3</v>
      </c>
    </row>
    <row r="6571" spans="1:10" hidden="1">
      <c r="A6571" t="s">
        <v>4557</v>
      </c>
      <c r="B6571" t="s">
        <v>4558</v>
      </c>
      <c r="C6571" t="s">
        <v>235</v>
      </c>
      <c r="D6571" t="s">
        <v>1707</v>
      </c>
      <c r="E6571" t="s">
        <v>561</v>
      </c>
      <c r="F6571" t="s">
        <v>1068</v>
      </c>
      <c r="G6571" t="s">
        <v>1089</v>
      </c>
      <c r="H6571" s="171" t="s">
        <v>4563</v>
      </c>
      <c r="I6571" t="s">
        <v>1090</v>
      </c>
      <c r="J6571">
        <v>11.3</v>
      </c>
    </row>
    <row r="6572" spans="1:10" hidden="1">
      <c r="A6572" t="s">
        <v>4564</v>
      </c>
      <c r="B6572" t="s">
        <v>4565</v>
      </c>
      <c r="C6572" t="s">
        <v>235</v>
      </c>
      <c r="D6572" t="s">
        <v>1707</v>
      </c>
      <c r="E6572" t="s">
        <v>555</v>
      </c>
      <c r="F6572" t="s">
        <v>1068</v>
      </c>
      <c r="G6572" t="s">
        <v>1069</v>
      </c>
      <c r="H6572">
        <v>1.26447745564294E-2</v>
      </c>
      <c r="I6572" t="s">
        <v>1070</v>
      </c>
      <c r="J6572">
        <v>9.5500000000000007</v>
      </c>
    </row>
    <row r="6573" spans="1:10" hidden="1">
      <c r="A6573" t="s">
        <v>4564</v>
      </c>
      <c r="B6573" t="s">
        <v>4565</v>
      </c>
      <c r="C6573" t="s">
        <v>235</v>
      </c>
      <c r="D6573" t="s">
        <v>1707</v>
      </c>
      <c r="E6573" t="s">
        <v>555</v>
      </c>
      <c r="F6573" t="s">
        <v>1068</v>
      </c>
      <c r="G6573" t="s">
        <v>1071</v>
      </c>
      <c r="H6573" s="170">
        <v>-5.1657533250701102E-11</v>
      </c>
      <c r="I6573" t="s">
        <v>1072</v>
      </c>
      <c r="J6573">
        <v>9.5500000000000007</v>
      </c>
    </row>
    <row r="6574" spans="1:10" hidden="1">
      <c r="A6574" t="s">
        <v>4564</v>
      </c>
      <c r="B6574" t="s">
        <v>4565</v>
      </c>
      <c r="C6574" t="s">
        <v>235</v>
      </c>
      <c r="D6574" t="s">
        <v>1707</v>
      </c>
      <c r="E6574" t="s">
        <v>555</v>
      </c>
      <c r="F6574" t="s">
        <v>1068</v>
      </c>
      <c r="G6574" t="s">
        <v>1073</v>
      </c>
      <c r="H6574" s="171" t="s">
        <v>4566</v>
      </c>
      <c r="I6574" t="s">
        <v>1074</v>
      </c>
      <c r="J6574">
        <v>9.5500000000000007</v>
      </c>
    </row>
    <row r="6575" spans="1:10" hidden="1">
      <c r="A6575" t="s">
        <v>4564</v>
      </c>
      <c r="B6575" t="s">
        <v>4565</v>
      </c>
      <c r="C6575" t="s">
        <v>235</v>
      </c>
      <c r="D6575" t="s">
        <v>1707</v>
      </c>
      <c r="E6575" t="s">
        <v>555</v>
      </c>
      <c r="F6575" t="s">
        <v>1068</v>
      </c>
      <c r="G6575" t="s">
        <v>1075</v>
      </c>
      <c r="H6575">
        <v>2.22576480562165E-3</v>
      </c>
      <c r="I6575" t="s">
        <v>1077</v>
      </c>
      <c r="J6575">
        <v>9.5500000000000007</v>
      </c>
    </row>
    <row r="6576" spans="1:10" hidden="1">
      <c r="A6576" t="s">
        <v>4564</v>
      </c>
      <c r="B6576" t="s">
        <v>4565</v>
      </c>
      <c r="C6576" t="s">
        <v>235</v>
      </c>
      <c r="D6576" t="s">
        <v>1707</v>
      </c>
      <c r="E6576" t="s">
        <v>555</v>
      </c>
      <c r="F6576" t="s">
        <v>1068</v>
      </c>
      <c r="G6576" t="s">
        <v>1078</v>
      </c>
      <c r="H6576">
        <v>-1.02568241234737</v>
      </c>
      <c r="I6576" t="s">
        <v>1079</v>
      </c>
      <c r="J6576">
        <v>9.5500000000000007</v>
      </c>
    </row>
    <row r="6577" spans="1:10" hidden="1">
      <c r="A6577" t="s">
        <v>4564</v>
      </c>
      <c r="B6577" t="s">
        <v>4565</v>
      </c>
      <c r="C6577" t="s">
        <v>235</v>
      </c>
      <c r="D6577" t="s">
        <v>1707</v>
      </c>
      <c r="E6577" t="s">
        <v>555</v>
      </c>
      <c r="F6577" t="s">
        <v>1068</v>
      </c>
      <c r="G6577" t="s">
        <v>1080</v>
      </c>
      <c r="H6577" s="171" t="s">
        <v>4567</v>
      </c>
      <c r="I6577" t="s">
        <v>1082</v>
      </c>
      <c r="J6577">
        <v>9.5500000000000007</v>
      </c>
    </row>
    <row r="6578" spans="1:10" hidden="1">
      <c r="A6578" t="s">
        <v>4564</v>
      </c>
      <c r="B6578" t="s">
        <v>4565</v>
      </c>
      <c r="C6578" t="s">
        <v>235</v>
      </c>
      <c r="D6578" t="s">
        <v>1707</v>
      </c>
      <c r="E6578" t="s">
        <v>555</v>
      </c>
      <c r="F6578" t="s">
        <v>1068</v>
      </c>
      <c r="G6578" t="s">
        <v>1083</v>
      </c>
      <c r="H6578" s="170">
        <v>-4.9862337941166697E-6</v>
      </c>
      <c r="I6578" t="s">
        <v>1084</v>
      </c>
      <c r="J6578">
        <v>9.5500000000000007</v>
      </c>
    </row>
    <row r="6579" spans="1:10" hidden="1">
      <c r="A6579" t="s">
        <v>4564</v>
      </c>
      <c r="B6579" t="s">
        <v>4565</v>
      </c>
      <c r="C6579" t="s">
        <v>235</v>
      </c>
      <c r="D6579" t="s">
        <v>1707</v>
      </c>
      <c r="E6579" t="s">
        <v>555</v>
      </c>
      <c r="F6579" t="s">
        <v>1068</v>
      </c>
      <c r="G6579" t="s">
        <v>1085</v>
      </c>
      <c r="H6579" s="170">
        <v>-4.3462502034878801E-6</v>
      </c>
      <c r="I6579" t="s">
        <v>1086</v>
      </c>
      <c r="J6579">
        <v>9.5500000000000007</v>
      </c>
    </row>
    <row r="6580" spans="1:10" hidden="1">
      <c r="A6580" t="s">
        <v>4564</v>
      </c>
      <c r="B6580" t="s">
        <v>4565</v>
      </c>
      <c r="C6580" t="s">
        <v>235</v>
      </c>
      <c r="D6580" t="s">
        <v>1707</v>
      </c>
      <c r="E6580" t="s">
        <v>555</v>
      </c>
      <c r="F6580" t="s">
        <v>1068</v>
      </c>
      <c r="G6580" t="s">
        <v>1087</v>
      </c>
      <c r="H6580" s="171" t="s">
        <v>4568</v>
      </c>
      <c r="I6580" t="s">
        <v>1088</v>
      </c>
      <c r="J6580">
        <v>9.5500000000000007</v>
      </c>
    </row>
    <row r="6581" spans="1:10" hidden="1">
      <c r="A6581" t="s">
        <v>4564</v>
      </c>
      <c r="B6581" t="s">
        <v>4565</v>
      </c>
      <c r="C6581" t="s">
        <v>235</v>
      </c>
      <c r="D6581" t="s">
        <v>1707</v>
      </c>
      <c r="E6581" t="s">
        <v>555</v>
      </c>
      <c r="F6581" t="s">
        <v>1068</v>
      </c>
      <c r="G6581" t="s">
        <v>1089</v>
      </c>
      <c r="H6581" s="171" t="s">
        <v>4569</v>
      </c>
      <c r="I6581" t="s">
        <v>1090</v>
      </c>
      <c r="J6581">
        <v>9.5500000000000007</v>
      </c>
    </row>
    <row r="6582" spans="1:10" hidden="1">
      <c r="A6582" t="s">
        <v>4570</v>
      </c>
      <c r="B6582" t="s">
        <v>4571</v>
      </c>
      <c r="C6582" t="s">
        <v>235</v>
      </c>
      <c r="D6582" t="s">
        <v>1707</v>
      </c>
      <c r="E6582" t="s">
        <v>558</v>
      </c>
      <c r="F6582" t="s">
        <v>1068</v>
      </c>
      <c r="G6582" t="s">
        <v>1069</v>
      </c>
      <c r="H6582" s="171" t="s">
        <v>4572</v>
      </c>
      <c r="I6582" t="s">
        <v>1070</v>
      </c>
      <c r="J6582">
        <v>8.1199999999999992</v>
      </c>
    </row>
    <row r="6583" spans="1:10" hidden="1">
      <c r="A6583" t="s">
        <v>4570</v>
      </c>
      <c r="B6583" t="s">
        <v>4571</v>
      </c>
      <c r="C6583" t="s">
        <v>235</v>
      </c>
      <c r="D6583" t="s">
        <v>1707</v>
      </c>
      <c r="E6583" t="s">
        <v>558</v>
      </c>
      <c r="F6583" t="s">
        <v>1068</v>
      </c>
      <c r="G6583" t="s">
        <v>1071</v>
      </c>
      <c r="H6583" s="170">
        <v>-4.1573276518454599E-11</v>
      </c>
      <c r="I6583" t="s">
        <v>1072</v>
      </c>
      <c r="J6583">
        <v>8.1199999999999992</v>
      </c>
    </row>
    <row r="6584" spans="1:10" hidden="1">
      <c r="A6584" t="s">
        <v>4570</v>
      </c>
      <c r="B6584" t="s">
        <v>4571</v>
      </c>
      <c r="C6584" t="s">
        <v>235</v>
      </c>
      <c r="D6584" t="s">
        <v>1707</v>
      </c>
      <c r="E6584" t="s">
        <v>558</v>
      </c>
      <c r="F6584" t="s">
        <v>1068</v>
      </c>
      <c r="G6584" t="s">
        <v>1073</v>
      </c>
      <c r="H6584" s="171" t="s">
        <v>4573</v>
      </c>
      <c r="I6584" t="s">
        <v>1074</v>
      </c>
      <c r="J6584">
        <v>8.1199999999999992</v>
      </c>
    </row>
    <row r="6585" spans="1:10" hidden="1">
      <c r="A6585" t="s">
        <v>4570</v>
      </c>
      <c r="B6585" t="s">
        <v>4571</v>
      </c>
      <c r="C6585" t="s">
        <v>235</v>
      </c>
      <c r="D6585" t="s">
        <v>1707</v>
      </c>
      <c r="E6585" t="s">
        <v>558</v>
      </c>
      <c r="F6585" t="s">
        <v>1068</v>
      </c>
      <c r="G6585" t="s">
        <v>1075</v>
      </c>
      <c r="H6585">
        <v>2.3913921354697899E-3</v>
      </c>
      <c r="I6585" t="s">
        <v>1077</v>
      </c>
      <c r="J6585">
        <v>8.1199999999999992</v>
      </c>
    </row>
    <row r="6586" spans="1:10" hidden="1">
      <c r="A6586" t="s">
        <v>4570</v>
      </c>
      <c r="B6586" t="s">
        <v>4571</v>
      </c>
      <c r="C6586" t="s">
        <v>235</v>
      </c>
      <c r="D6586" t="s">
        <v>1707</v>
      </c>
      <c r="E6586" t="s">
        <v>558</v>
      </c>
      <c r="F6586" t="s">
        <v>1068</v>
      </c>
      <c r="G6586" t="s">
        <v>1078</v>
      </c>
      <c r="H6586">
        <v>-1.0412277443301501</v>
      </c>
      <c r="I6586" t="s">
        <v>1079</v>
      </c>
      <c r="J6586">
        <v>8.1199999999999992</v>
      </c>
    </row>
    <row r="6587" spans="1:10" hidden="1">
      <c r="A6587" t="s">
        <v>4570</v>
      </c>
      <c r="B6587" t="s">
        <v>4571</v>
      </c>
      <c r="C6587" t="s">
        <v>235</v>
      </c>
      <c r="D6587" t="s">
        <v>1707</v>
      </c>
      <c r="E6587" t="s">
        <v>558</v>
      </c>
      <c r="F6587" t="s">
        <v>1068</v>
      </c>
      <c r="G6587" t="s">
        <v>1080</v>
      </c>
      <c r="H6587" s="171" t="s">
        <v>4574</v>
      </c>
      <c r="I6587" t="s">
        <v>1082</v>
      </c>
      <c r="J6587">
        <v>8.1199999999999992</v>
      </c>
    </row>
    <row r="6588" spans="1:10" hidden="1">
      <c r="A6588" t="s">
        <v>4570</v>
      </c>
      <c r="B6588" t="s">
        <v>4571</v>
      </c>
      <c r="C6588" t="s">
        <v>235</v>
      </c>
      <c r="D6588" t="s">
        <v>1707</v>
      </c>
      <c r="E6588" t="s">
        <v>558</v>
      </c>
      <c r="F6588" t="s">
        <v>1068</v>
      </c>
      <c r="G6588" t="s">
        <v>1083</v>
      </c>
      <c r="H6588" s="170">
        <v>-3.8992783006859304E-6</v>
      </c>
      <c r="I6588" t="s">
        <v>1084</v>
      </c>
      <c r="J6588">
        <v>8.1199999999999992</v>
      </c>
    </row>
    <row r="6589" spans="1:10" hidden="1">
      <c r="A6589" t="s">
        <v>4570</v>
      </c>
      <c r="B6589" t="s">
        <v>4571</v>
      </c>
      <c r="C6589" t="s">
        <v>235</v>
      </c>
      <c r="D6589" t="s">
        <v>1707</v>
      </c>
      <c r="E6589" t="s">
        <v>558</v>
      </c>
      <c r="F6589" t="s">
        <v>1068</v>
      </c>
      <c r="G6589" t="s">
        <v>1085</v>
      </c>
      <c r="H6589" s="171" t="s">
        <v>4575</v>
      </c>
      <c r="I6589" t="s">
        <v>1086</v>
      </c>
      <c r="J6589">
        <v>8.1199999999999992</v>
      </c>
    </row>
    <row r="6590" spans="1:10" hidden="1">
      <c r="A6590" t="s">
        <v>4570</v>
      </c>
      <c r="B6590" t="s">
        <v>4571</v>
      </c>
      <c r="C6590" t="s">
        <v>235</v>
      </c>
      <c r="D6590" t="s">
        <v>1707</v>
      </c>
      <c r="E6590" t="s">
        <v>558</v>
      </c>
      <c r="F6590" t="s">
        <v>1068</v>
      </c>
      <c r="G6590" t="s">
        <v>1087</v>
      </c>
      <c r="H6590" s="171" t="s">
        <v>4576</v>
      </c>
      <c r="I6590" t="s">
        <v>1088</v>
      </c>
      <c r="J6590">
        <v>8.1199999999999992</v>
      </c>
    </row>
    <row r="6591" spans="1:10" hidden="1">
      <c r="A6591" t="s">
        <v>4570</v>
      </c>
      <c r="B6591" t="s">
        <v>4571</v>
      </c>
      <c r="C6591" t="s">
        <v>235</v>
      </c>
      <c r="D6591" t="s">
        <v>1707</v>
      </c>
      <c r="E6591" t="s">
        <v>558</v>
      </c>
      <c r="F6591" t="s">
        <v>1068</v>
      </c>
      <c r="G6591" t="s">
        <v>1089</v>
      </c>
      <c r="H6591" s="171" t="s">
        <v>4577</v>
      </c>
      <c r="I6591" t="s">
        <v>1090</v>
      </c>
      <c r="J6591">
        <v>8.1199999999999992</v>
      </c>
    </row>
    <row r="6592" spans="1:10" hidden="1">
      <c r="A6592" t="s">
        <v>4578</v>
      </c>
      <c r="B6592" t="s">
        <v>4579</v>
      </c>
      <c r="C6592" t="s">
        <v>235</v>
      </c>
      <c r="D6592" t="s">
        <v>1707</v>
      </c>
      <c r="E6592" t="s">
        <v>553</v>
      </c>
      <c r="F6592" t="s">
        <v>1068</v>
      </c>
      <c r="G6592" t="s">
        <v>1069</v>
      </c>
      <c r="H6592" s="171" t="s">
        <v>4580</v>
      </c>
      <c r="I6592" t="s">
        <v>1070</v>
      </c>
      <c r="J6592">
        <v>11.99</v>
      </c>
    </row>
    <row r="6593" spans="1:10" hidden="1">
      <c r="A6593" t="s">
        <v>4578</v>
      </c>
      <c r="B6593" t="s">
        <v>4579</v>
      </c>
      <c r="C6593" t="s">
        <v>235</v>
      </c>
      <c r="D6593" t="s">
        <v>1707</v>
      </c>
      <c r="E6593" t="s">
        <v>553</v>
      </c>
      <c r="F6593" t="s">
        <v>1068</v>
      </c>
      <c r="G6593" t="s">
        <v>1071</v>
      </c>
      <c r="H6593" s="170">
        <v>-4.09924058312602E-11</v>
      </c>
      <c r="I6593" t="s">
        <v>1072</v>
      </c>
      <c r="J6593">
        <v>11.99</v>
      </c>
    </row>
    <row r="6594" spans="1:10" hidden="1">
      <c r="A6594" t="s">
        <v>4578</v>
      </c>
      <c r="B6594" t="s">
        <v>4579</v>
      </c>
      <c r="C6594" t="s">
        <v>235</v>
      </c>
      <c r="D6594" t="s">
        <v>1707</v>
      </c>
      <c r="E6594" t="s">
        <v>553</v>
      </c>
      <c r="F6594" t="s">
        <v>1068</v>
      </c>
      <c r="G6594" t="s">
        <v>1073</v>
      </c>
      <c r="H6594" s="171" t="s">
        <v>4581</v>
      </c>
      <c r="I6594" t="s">
        <v>1074</v>
      </c>
      <c r="J6594">
        <v>11.99</v>
      </c>
    </row>
    <row r="6595" spans="1:10" hidden="1">
      <c r="A6595" t="s">
        <v>4578</v>
      </c>
      <c r="B6595" t="s">
        <v>4579</v>
      </c>
      <c r="C6595" t="s">
        <v>235</v>
      </c>
      <c r="D6595" t="s">
        <v>1707</v>
      </c>
      <c r="E6595" t="s">
        <v>553</v>
      </c>
      <c r="F6595" t="s">
        <v>1068</v>
      </c>
      <c r="G6595" t="s">
        <v>1075</v>
      </c>
      <c r="H6595">
        <v>2.46135767120155E-3</v>
      </c>
      <c r="I6595" t="s">
        <v>1077</v>
      </c>
      <c r="J6595">
        <v>11.99</v>
      </c>
    </row>
    <row r="6596" spans="1:10" hidden="1">
      <c r="A6596" t="s">
        <v>4578</v>
      </c>
      <c r="B6596" t="s">
        <v>4579</v>
      </c>
      <c r="C6596" t="s">
        <v>235</v>
      </c>
      <c r="D6596" t="s">
        <v>1707</v>
      </c>
      <c r="E6596" t="s">
        <v>553</v>
      </c>
      <c r="F6596" t="s">
        <v>1068</v>
      </c>
      <c r="G6596" t="s">
        <v>1078</v>
      </c>
      <c r="H6596">
        <v>-1.01549446806522</v>
      </c>
      <c r="I6596" t="s">
        <v>1079</v>
      </c>
      <c r="J6596">
        <v>11.99</v>
      </c>
    </row>
    <row r="6597" spans="1:10" hidden="1">
      <c r="A6597" t="s">
        <v>4578</v>
      </c>
      <c r="B6597" t="s">
        <v>4579</v>
      </c>
      <c r="C6597" t="s">
        <v>235</v>
      </c>
      <c r="D6597" t="s">
        <v>1707</v>
      </c>
      <c r="E6597" t="s">
        <v>553</v>
      </c>
      <c r="F6597" t="s">
        <v>1068</v>
      </c>
      <c r="G6597" t="s">
        <v>1080</v>
      </c>
      <c r="H6597" s="171" t="s">
        <v>4582</v>
      </c>
      <c r="I6597" t="s">
        <v>1082</v>
      </c>
      <c r="J6597">
        <v>11.99</v>
      </c>
    </row>
    <row r="6598" spans="1:10" hidden="1">
      <c r="A6598" t="s">
        <v>4578</v>
      </c>
      <c r="B6598" t="s">
        <v>4579</v>
      </c>
      <c r="C6598" t="s">
        <v>235</v>
      </c>
      <c r="D6598" t="s">
        <v>1707</v>
      </c>
      <c r="E6598" t="s">
        <v>553</v>
      </c>
      <c r="F6598" t="s">
        <v>1068</v>
      </c>
      <c r="G6598" t="s">
        <v>1083</v>
      </c>
      <c r="H6598" s="170">
        <v>-3.8533942519801601E-6</v>
      </c>
      <c r="I6598" t="s">
        <v>1084</v>
      </c>
      <c r="J6598">
        <v>11.99</v>
      </c>
    </row>
    <row r="6599" spans="1:10" hidden="1">
      <c r="A6599" t="s">
        <v>4578</v>
      </c>
      <c r="B6599" t="s">
        <v>4579</v>
      </c>
      <c r="C6599" t="s">
        <v>235</v>
      </c>
      <c r="D6599" t="s">
        <v>1707</v>
      </c>
      <c r="E6599" t="s">
        <v>553</v>
      </c>
      <c r="F6599" t="s">
        <v>1068</v>
      </c>
      <c r="G6599" t="s">
        <v>1085</v>
      </c>
      <c r="H6599" s="171" t="s">
        <v>4583</v>
      </c>
      <c r="I6599" t="s">
        <v>1086</v>
      </c>
      <c r="J6599">
        <v>11.99</v>
      </c>
    </row>
    <row r="6600" spans="1:10" hidden="1">
      <c r="A6600" t="s">
        <v>4578</v>
      </c>
      <c r="B6600" t="s">
        <v>4579</v>
      </c>
      <c r="C6600" t="s">
        <v>235</v>
      </c>
      <c r="D6600" t="s">
        <v>1707</v>
      </c>
      <c r="E6600" t="s">
        <v>553</v>
      </c>
      <c r="F6600" t="s">
        <v>1068</v>
      </c>
      <c r="G6600" t="s">
        <v>1087</v>
      </c>
      <c r="H6600" s="171" t="s">
        <v>4584</v>
      </c>
      <c r="I6600" t="s">
        <v>1088</v>
      </c>
      <c r="J6600">
        <v>11.99</v>
      </c>
    </row>
    <row r="6601" spans="1:10" hidden="1">
      <c r="A6601" t="s">
        <v>4578</v>
      </c>
      <c r="B6601" t="s">
        <v>4579</v>
      </c>
      <c r="C6601" t="s">
        <v>235</v>
      </c>
      <c r="D6601" t="s">
        <v>1707</v>
      </c>
      <c r="E6601" t="s">
        <v>553</v>
      </c>
      <c r="F6601" t="s">
        <v>1068</v>
      </c>
      <c r="G6601" t="s">
        <v>1089</v>
      </c>
      <c r="H6601" s="171" t="s">
        <v>4585</v>
      </c>
      <c r="I6601" t="s">
        <v>1090</v>
      </c>
      <c r="J6601">
        <v>11.99</v>
      </c>
    </row>
    <row r="6602" spans="1:10" hidden="1">
      <c r="A6602" t="s">
        <v>4586</v>
      </c>
      <c r="B6602" t="s">
        <v>4587</v>
      </c>
      <c r="C6602" t="s">
        <v>235</v>
      </c>
      <c r="D6602" t="s">
        <v>1707</v>
      </c>
      <c r="E6602" t="s">
        <v>556</v>
      </c>
      <c r="F6602" t="s">
        <v>1068</v>
      </c>
      <c r="G6602" t="s">
        <v>1069</v>
      </c>
      <c r="H6602" s="171" t="s">
        <v>4588</v>
      </c>
      <c r="I6602" t="s">
        <v>1070</v>
      </c>
      <c r="J6602">
        <v>7.55</v>
      </c>
    </row>
    <row r="6603" spans="1:10" hidden="1">
      <c r="A6603" t="s">
        <v>4586</v>
      </c>
      <c r="B6603" t="s">
        <v>4587</v>
      </c>
      <c r="C6603" t="s">
        <v>235</v>
      </c>
      <c r="D6603" t="s">
        <v>1707</v>
      </c>
      <c r="E6603" t="s">
        <v>556</v>
      </c>
      <c r="F6603" t="s">
        <v>1068</v>
      </c>
      <c r="G6603" t="s">
        <v>1071</v>
      </c>
      <c r="H6603" s="170">
        <v>-3.3562958170697301E-11</v>
      </c>
      <c r="I6603" t="s">
        <v>1072</v>
      </c>
      <c r="J6603">
        <v>7.55</v>
      </c>
    </row>
    <row r="6604" spans="1:10" hidden="1">
      <c r="A6604" t="s">
        <v>4586</v>
      </c>
      <c r="B6604" t="s">
        <v>4587</v>
      </c>
      <c r="C6604" t="s">
        <v>235</v>
      </c>
      <c r="D6604" t="s">
        <v>1707</v>
      </c>
      <c r="E6604" t="s">
        <v>556</v>
      </c>
      <c r="F6604" t="s">
        <v>1068</v>
      </c>
      <c r="G6604" t="s">
        <v>1073</v>
      </c>
      <c r="H6604" s="171" t="s">
        <v>4589</v>
      </c>
      <c r="I6604" t="s">
        <v>1074</v>
      </c>
      <c r="J6604">
        <v>7.55</v>
      </c>
    </row>
    <row r="6605" spans="1:10" hidden="1">
      <c r="A6605" t="s">
        <v>4586</v>
      </c>
      <c r="B6605" t="s">
        <v>4587</v>
      </c>
      <c r="C6605" t="s">
        <v>235</v>
      </c>
      <c r="D6605" t="s">
        <v>1707</v>
      </c>
      <c r="E6605" t="s">
        <v>556</v>
      </c>
      <c r="F6605" t="s">
        <v>1068</v>
      </c>
      <c r="G6605" t="s">
        <v>1075</v>
      </c>
      <c r="H6605">
        <v>2.8291475781503498E-3</v>
      </c>
      <c r="I6605" t="s">
        <v>1077</v>
      </c>
      <c r="J6605">
        <v>7.55</v>
      </c>
    </row>
    <row r="6606" spans="1:10" hidden="1">
      <c r="A6606" t="s">
        <v>4586</v>
      </c>
      <c r="B6606" t="s">
        <v>4587</v>
      </c>
      <c r="C6606" t="s">
        <v>235</v>
      </c>
      <c r="D6606" t="s">
        <v>1707</v>
      </c>
      <c r="E6606" t="s">
        <v>556</v>
      </c>
      <c r="F6606" t="s">
        <v>1068</v>
      </c>
      <c r="G6606" t="s">
        <v>1078</v>
      </c>
      <c r="H6606">
        <v>-0.91901570762681595</v>
      </c>
      <c r="I6606" t="s">
        <v>1079</v>
      </c>
      <c r="J6606">
        <v>7.55</v>
      </c>
    </row>
    <row r="6607" spans="1:10" hidden="1">
      <c r="A6607" t="s">
        <v>4586</v>
      </c>
      <c r="B6607" t="s">
        <v>4587</v>
      </c>
      <c r="C6607" t="s">
        <v>235</v>
      </c>
      <c r="D6607" t="s">
        <v>1707</v>
      </c>
      <c r="E6607" t="s">
        <v>556</v>
      </c>
      <c r="F6607" t="s">
        <v>1068</v>
      </c>
      <c r="G6607" t="s">
        <v>1080</v>
      </c>
      <c r="H6607" s="171" t="s">
        <v>4590</v>
      </c>
      <c r="I6607" t="s">
        <v>1082</v>
      </c>
      <c r="J6607">
        <v>7.55</v>
      </c>
    </row>
    <row r="6608" spans="1:10" hidden="1">
      <c r="A6608" t="s">
        <v>4586</v>
      </c>
      <c r="B6608" t="s">
        <v>4587</v>
      </c>
      <c r="C6608" t="s">
        <v>235</v>
      </c>
      <c r="D6608" t="s">
        <v>1707</v>
      </c>
      <c r="E6608" t="s">
        <v>556</v>
      </c>
      <c r="F6608" t="s">
        <v>1068</v>
      </c>
      <c r="G6608" t="s">
        <v>1083</v>
      </c>
      <c r="H6608" s="170">
        <v>-3.1161674216841199E-6</v>
      </c>
      <c r="I6608" t="s">
        <v>1084</v>
      </c>
      <c r="J6608">
        <v>7.55</v>
      </c>
    </row>
    <row r="6609" spans="1:10" hidden="1">
      <c r="A6609" t="s">
        <v>4586</v>
      </c>
      <c r="B6609" t="s">
        <v>4587</v>
      </c>
      <c r="C6609" t="s">
        <v>235</v>
      </c>
      <c r="D6609" t="s">
        <v>1707</v>
      </c>
      <c r="E6609" t="s">
        <v>556</v>
      </c>
      <c r="F6609" t="s">
        <v>1068</v>
      </c>
      <c r="G6609" t="s">
        <v>1085</v>
      </c>
      <c r="H6609" s="171" t="s">
        <v>4591</v>
      </c>
      <c r="I6609" t="s">
        <v>1086</v>
      </c>
      <c r="J6609">
        <v>7.55</v>
      </c>
    </row>
    <row r="6610" spans="1:10" hidden="1">
      <c r="A6610" t="s">
        <v>4586</v>
      </c>
      <c r="B6610" t="s">
        <v>4587</v>
      </c>
      <c r="C6610" t="s">
        <v>235</v>
      </c>
      <c r="D6610" t="s">
        <v>1707</v>
      </c>
      <c r="E6610" t="s">
        <v>556</v>
      </c>
      <c r="F6610" t="s">
        <v>1068</v>
      </c>
      <c r="G6610" t="s">
        <v>1087</v>
      </c>
      <c r="H6610" s="171" t="s">
        <v>4592</v>
      </c>
      <c r="I6610" t="s">
        <v>1088</v>
      </c>
      <c r="J6610">
        <v>7.55</v>
      </c>
    </row>
    <row r="6611" spans="1:10" hidden="1">
      <c r="A6611" t="s">
        <v>4586</v>
      </c>
      <c r="B6611" t="s">
        <v>4587</v>
      </c>
      <c r="C6611" t="s">
        <v>235</v>
      </c>
      <c r="D6611" t="s">
        <v>1707</v>
      </c>
      <c r="E6611" t="s">
        <v>556</v>
      </c>
      <c r="F6611" t="s">
        <v>1068</v>
      </c>
      <c r="G6611" t="s">
        <v>1089</v>
      </c>
      <c r="H6611" s="171" t="s">
        <v>4593</v>
      </c>
      <c r="I6611" t="s">
        <v>1090</v>
      </c>
      <c r="J6611">
        <v>7.55</v>
      </c>
    </row>
    <row r="6612" spans="1:10" hidden="1">
      <c r="A6612" t="s">
        <v>4594</v>
      </c>
      <c r="B6612" t="s">
        <v>4595</v>
      </c>
      <c r="C6612" t="s">
        <v>235</v>
      </c>
      <c r="D6612" t="s">
        <v>1707</v>
      </c>
      <c r="E6612" t="s">
        <v>557</v>
      </c>
      <c r="F6612" t="s">
        <v>1068</v>
      </c>
      <c r="G6612" t="s">
        <v>1069</v>
      </c>
      <c r="H6612" s="171" t="s">
        <v>4596</v>
      </c>
      <c r="I6612" t="s">
        <v>1070</v>
      </c>
      <c r="J6612">
        <v>8.14</v>
      </c>
    </row>
    <row r="6613" spans="1:10" hidden="1">
      <c r="A6613" t="s">
        <v>4594</v>
      </c>
      <c r="B6613" t="s">
        <v>4595</v>
      </c>
      <c r="C6613" t="s">
        <v>235</v>
      </c>
      <c r="D6613" t="s">
        <v>1707</v>
      </c>
      <c r="E6613" t="s">
        <v>557</v>
      </c>
      <c r="F6613" t="s">
        <v>1068</v>
      </c>
      <c r="G6613" t="s">
        <v>1071</v>
      </c>
      <c r="H6613" s="170">
        <v>-4.4876586908167499E-11</v>
      </c>
      <c r="I6613" t="s">
        <v>1072</v>
      </c>
      <c r="J6613">
        <v>8.14</v>
      </c>
    </row>
    <row r="6614" spans="1:10" hidden="1">
      <c r="A6614" t="s">
        <v>4594</v>
      </c>
      <c r="B6614" t="s">
        <v>4595</v>
      </c>
      <c r="C6614" t="s">
        <v>235</v>
      </c>
      <c r="D6614" t="s">
        <v>1707</v>
      </c>
      <c r="E6614" t="s">
        <v>557</v>
      </c>
      <c r="F6614" t="s">
        <v>1068</v>
      </c>
      <c r="G6614" t="s">
        <v>1073</v>
      </c>
      <c r="H6614" s="171" t="s">
        <v>4597</v>
      </c>
      <c r="I6614" t="s">
        <v>1074</v>
      </c>
      <c r="J6614">
        <v>8.14</v>
      </c>
    </row>
    <row r="6615" spans="1:10" hidden="1">
      <c r="A6615" t="s">
        <v>4594</v>
      </c>
      <c r="B6615" t="s">
        <v>4595</v>
      </c>
      <c r="C6615" t="s">
        <v>235</v>
      </c>
      <c r="D6615" t="s">
        <v>1707</v>
      </c>
      <c r="E6615" t="s">
        <v>557</v>
      </c>
      <c r="F6615" t="s">
        <v>1068</v>
      </c>
      <c r="G6615" t="s">
        <v>1075</v>
      </c>
      <c r="H6615">
        <v>2.3184219467408899E-3</v>
      </c>
      <c r="I6615" t="s">
        <v>1077</v>
      </c>
      <c r="J6615">
        <v>8.14</v>
      </c>
    </row>
    <row r="6616" spans="1:10" hidden="1">
      <c r="A6616" t="s">
        <v>4594</v>
      </c>
      <c r="B6616" t="s">
        <v>4595</v>
      </c>
      <c r="C6616" t="s">
        <v>235</v>
      </c>
      <c r="D6616" t="s">
        <v>1707</v>
      </c>
      <c r="E6616" t="s">
        <v>557</v>
      </c>
      <c r="F6616" t="s">
        <v>1068</v>
      </c>
      <c r="G6616" t="s">
        <v>1078</v>
      </c>
      <c r="H6616">
        <v>-1.04438325676556</v>
      </c>
      <c r="I6616" t="s">
        <v>1079</v>
      </c>
      <c r="J6616">
        <v>8.14</v>
      </c>
    </row>
    <row r="6617" spans="1:10" hidden="1">
      <c r="A6617" t="s">
        <v>4594</v>
      </c>
      <c r="B6617" t="s">
        <v>4595</v>
      </c>
      <c r="C6617" t="s">
        <v>235</v>
      </c>
      <c r="D6617" t="s">
        <v>1707</v>
      </c>
      <c r="E6617" t="s">
        <v>557</v>
      </c>
      <c r="F6617" t="s">
        <v>1068</v>
      </c>
      <c r="G6617" t="s">
        <v>1080</v>
      </c>
      <c r="H6617" s="171" t="s">
        <v>4598</v>
      </c>
      <c r="I6617" t="s">
        <v>1082</v>
      </c>
      <c r="J6617">
        <v>8.14</v>
      </c>
    </row>
    <row r="6618" spans="1:10" hidden="1">
      <c r="A6618" t="s">
        <v>4594</v>
      </c>
      <c r="B6618" t="s">
        <v>4595</v>
      </c>
      <c r="C6618" t="s">
        <v>235</v>
      </c>
      <c r="D6618" t="s">
        <v>1707</v>
      </c>
      <c r="E6618" t="s">
        <v>557</v>
      </c>
      <c r="F6618" t="s">
        <v>1068</v>
      </c>
      <c r="G6618" t="s">
        <v>1083</v>
      </c>
      <c r="H6618" s="170">
        <v>-4.2501527424315399E-6</v>
      </c>
      <c r="I6618" t="s">
        <v>1084</v>
      </c>
      <c r="J6618">
        <v>8.14</v>
      </c>
    </row>
    <row r="6619" spans="1:10" hidden="1">
      <c r="A6619" t="s">
        <v>4594</v>
      </c>
      <c r="B6619" t="s">
        <v>4595</v>
      </c>
      <c r="C6619" t="s">
        <v>235</v>
      </c>
      <c r="D6619" t="s">
        <v>1707</v>
      </c>
      <c r="E6619" t="s">
        <v>557</v>
      </c>
      <c r="F6619" t="s">
        <v>1068</v>
      </c>
      <c r="G6619" t="s">
        <v>1085</v>
      </c>
      <c r="H6619" s="171" t="s">
        <v>4599</v>
      </c>
      <c r="I6619" t="s">
        <v>1086</v>
      </c>
      <c r="J6619">
        <v>8.14</v>
      </c>
    </row>
    <row r="6620" spans="1:10" hidden="1">
      <c r="A6620" t="s">
        <v>4594</v>
      </c>
      <c r="B6620" t="s">
        <v>4595</v>
      </c>
      <c r="C6620" t="s">
        <v>235</v>
      </c>
      <c r="D6620" t="s">
        <v>1707</v>
      </c>
      <c r="E6620" t="s">
        <v>557</v>
      </c>
      <c r="F6620" t="s">
        <v>1068</v>
      </c>
      <c r="G6620" t="s">
        <v>1087</v>
      </c>
      <c r="H6620" s="171" t="s">
        <v>4600</v>
      </c>
      <c r="I6620" t="s">
        <v>1088</v>
      </c>
      <c r="J6620">
        <v>8.14</v>
      </c>
    </row>
    <row r="6621" spans="1:10" hidden="1">
      <c r="A6621" t="s">
        <v>4594</v>
      </c>
      <c r="B6621" t="s">
        <v>4595</v>
      </c>
      <c r="C6621" t="s">
        <v>235</v>
      </c>
      <c r="D6621" t="s">
        <v>1707</v>
      </c>
      <c r="E6621" t="s">
        <v>557</v>
      </c>
      <c r="F6621" t="s">
        <v>1068</v>
      </c>
      <c r="G6621" t="s">
        <v>1089</v>
      </c>
      <c r="H6621" s="171" t="s">
        <v>4601</v>
      </c>
      <c r="I6621" t="s">
        <v>1090</v>
      </c>
      <c r="J6621">
        <v>8.14</v>
      </c>
    </row>
    <row r="6622" spans="1:10" hidden="1">
      <c r="A6622" t="s">
        <v>4602</v>
      </c>
      <c r="B6622" t="s">
        <v>4603</v>
      </c>
      <c r="C6622" t="s">
        <v>235</v>
      </c>
      <c r="D6622" t="s">
        <v>1707</v>
      </c>
      <c r="E6622" t="s">
        <v>559</v>
      </c>
      <c r="F6622" t="s">
        <v>1068</v>
      </c>
      <c r="G6622" t="s">
        <v>1069</v>
      </c>
      <c r="H6622" s="171" t="s">
        <v>4604</v>
      </c>
      <c r="I6622" t="s">
        <v>1070</v>
      </c>
      <c r="J6622">
        <v>7.44</v>
      </c>
    </row>
    <row r="6623" spans="1:10" hidden="1">
      <c r="A6623" t="s">
        <v>4602</v>
      </c>
      <c r="B6623" t="s">
        <v>4603</v>
      </c>
      <c r="C6623" t="s">
        <v>235</v>
      </c>
      <c r="D6623" t="s">
        <v>1707</v>
      </c>
      <c r="E6623" t="s">
        <v>559</v>
      </c>
      <c r="F6623" t="s">
        <v>1068</v>
      </c>
      <c r="G6623" t="s">
        <v>1071</v>
      </c>
      <c r="H6623" s="170">
        <v>-4.7782936397975202E-11</v>
      </c>
      <c r="I6623" t="s">
        <v>1072</v>
      </c>
      <c r="J6623">
        <v>7.44</v>
      </c>
    </row>
    <row r="6624" spans="1:10" hidden="1">
      <c r="A6624" t="s">
        <v>4602</v>
      </c>
      <c r="B6624" t="s">
        <v>4603</v>
      </c>
      <c r="C6624" t="s">
        <v>235</v>
      </c>
      <c r="D6624" t="s">
        <v>1707</v>
      </c>
      <c r="E6624" t="s">
        <v>559</v>
      </c>
      <c r="F6624" t="s">
        <v>1068</v>
      </c>
      <c r="G6624" t="s">
        <v>1073</v>
      </c>
      <c r="H6624" s="171" t="s">
        <v>4605</v>
      </c>
      <c r="I6624" t="s">
        <v>1074</v>
      </c>
      <c r="J6624">
        <v>7.44</v>
      </c>
    </row>
    <row r="6625" spans="1:10" hidden="1">
      <c r="A6625" t="s">
        <v>4602</v>
      </c>
      <c r="B6625" t="s">
        <v>4603</v>
      </c>
      <c r="C6625" t="s">
        <v>235</v>
      </c>
      <c r="D6625" t="s">
        <v>1707</v>
      </c>
      <c r="E6625" t="s">
        <v>559</v>
      </c>
      <c r="F6625" t="s">
        <v>1068</v>
      </c>
      <c r="G6625" t="s">
        <v>1075</v>
      </c>
      <c r="H6625">
        <v>2.31135472307908E-3</v>
      </c>
      <c r="I6625" t="s">
        <v>1077</v>
      </c>
      <c r="J6625">
        <v>7.44</v>
      </c>
    </row>
    <row r="6626" spans="1:10" hidden="1">
      <c r="A6626" t="s">
        <v>4602</v>
      </c>
      <c r="B6626" t="s">
        <v>4603</v>
      </c>
      <c r="C6626" t="s">
        <v>235</v>
      </c>
      <c r="D6626" t="s">
        <v>1707</v>
      </c>
      <c r="E6626" t="s">
        <v>559</v>
      </c>
      <c r="F6626" t="s">
        <v>1068</v>
      </c>
      <c r="G6626" t="s">
        <v>1078</v>
      </c>
      <c r="H6626">
        <v>-1.02198117416248</v>
      </c>
      <c r="I6626" t="s">
        <v>1079</v>
      </c>
      <c r="J6626">
        <v>7.44</v>
      </c>
    </row>
    <row r="6627" spans="1:10" hidden="1">
      <c r="A6627" t="s">
        <v>4602</v>
      </c>
      <c r="B6627" t="s">
        <v>4603</v>
      </c>
      <c r="C6627" t="s">
        <v>235</v>
      </c>
      <c r="D6627" t="s">
        <v>1707</v>
      </c>
      <c r="E6627" t="s">
        <v>559</v>
      </c>
      <c r="F6627" t="s">
        <v>1068</v>
      </c>
      <c r="G6627" t="s">
        <v>1080</v>
      </c>
      <c r="H6627" s="171" t="s">
        <v>4606</v>
      </c>
      <c r="I6627" t="s">
        <v>1082</v>
      </c>
      <c r="J6627">
        <v>7.44</v>
      </c>
    </row>
    <row r="6628" spans="1:10" hidden="1">
      <c r="A6628" t="s">
        <v>4602</v>
      </c>
      <c r="B6628" t="s">
        <v>4603</v>
      </c>
      <c r="C6628" t="s">
        <v>235</v>
      </c>
      <c r="D6628" t="s">
        <v>1707</v>
      </c>
      <c r="E6628" t="s">
        <v>559</v>
      </c>
      <c r="F6628" t="s">
        <v>1068</v>
      </c>
      <c r="G6628" t="s">
        <v>1083</v>
      </c>
      <c r="H6628" s="170">
        <v>-4.57467785558813E-6</v>
      </c>
      <c r="I6628" t="s">
        <v>1084</v>
      </c>
      <c r="J6628">
        <v>7.44</v>
      </c>
    </row>
    <row r="6629" spans="1:10" hidden="1">
      <c r="A6629" t="s">
        <v>4602</v>
      </c>
      <c r="B6629" t="s">
        <v>4603</v>
      </c>
      <c r="C6629" t="s">
        <v>235</v>
      </c>
      <c r="D6629" t="s">
        <v>1707</v>
      </c>
      <c r="E6629" t="s">
        <v>559</v>
      </c>
      <c r="F6629" t="s">
        <v>1068</v>
      </c>
      <c r="G6629" t="s">
        <v>1085</v>
      </c>
      <c r="H6629" s="171" t="s">
        <v>4607</v>
      </c>
      <c r="I6629" t="s">
        <v>1086</v>
      </c>
      <c r="J6629">
        <v>7.44</v>
      </c>
    </row>
    <row r="6630" spans="1:10" hidden="1">
      <c r="A6630" t="s">
        <v>4602</v>
      </c>
      <c r="B6630" t="s">
        <v>4603</v>
      </c>
      <c r="C6630" t="s">
        <v>235</v>
      </c>
      <c r="D6630" t="s">
        <v>1707</v>
      </c>
      <c r="E6630" t="s">
        <v>559</v>
      </c>
      <c r="F6630" t="s">
        <v>1068</v>
      </c>
      <c r="G6630" t="s">
        <v>1087</v>
      </c>
      <c r="H6630" s="171" t="s">
        <v>4608</v>
      </c>
      <c r="I6630" t="s">
        <v>1088</v>
      </c>
      <c r="J6630">
        <v>7.44</v>
      </c>
    </row>
    <row r="6631" spans="1:10" hidden="1">
      <c r="A6631" t="s">
        <v>4602</v>
      </c>
      <c r="B6631" t="s">
        <v>4603</v>
      </c>
      <c r="C6631" t="s">
        <v>235</v>
      </c>
      <c r="D6631" t="s">
        <v>1707</v>
      </c>
      <c r="E6631" t="s">
        <v>559</v>
      </c>
      <c r="F6631" t="s">
        <v>1068</v>
      </c>
      <c r="G6631" t="s">
        <v>1089</v>
      </c>
      <c r="H6631" s="171" t="s">
        <v>4609</v>
      </c>
      <c r="I6631" t="s">
        <v>1090</v>
      </c>
      <c r="J6631">
        <v>7.44</v>
      </c>
    </row>
    <row r="6632" spans="1:10" hidden="1">
      <c r="A6632" t="s">
        <v>4610</v>
      </c>
      <c r="B6632" t="s">
        <v>4611</v>
      </c>
      <c r="C6632" t="s">
        <v>235</v>
      </c>
      <c r="D6632" t="s">
        <v>1707</v>
      </c>
      <c r="E6632" t="s">
        <v>560</v>
      </c>
      <c r="F6632" t="s">
        <v>1068</v>
      </c>
      <c r="G6632" t="s">
        <v>1069</v>
      </c>
      <c r="H6632">
        <v>1.6211679203684201E-2</v>
      </c>
      <c r="I6632" t="s">
        <v>1070</v>
      </c>
      <c r="J6632">
        <v>9.33</v>
      </c>
    </row>
    <row r="6633" spans="1:10" hidden="1">
      <c r="A6633" t="s">
        <v>4610</v>
      </c>
      <c r="B6633" t="s">
        <v>4611</v>
      </c>
      <c r="C6633" t="s">
        <v>235</v>
      </c>
      <c r="D6633" t="s">
        <v>1707</v>
      </c>
      <c r="E6633" t="s">
        <v>560</v>
      </c>
      <c r="F6633" t="s">
        <v>1068</v>
      </c>
      <c r="G6633" t="s">
        <v>1071</v>
      </c>
      <c r="H6633" s="170">
        <v>-4.6638352449347798E-11</v>
      </c>
      <c r="I6633" t="s">
        <v>1072</v>
      </c>
      <c r="J6633">
        <v>9.33</v>
      </c>
    </row>
    <row r="6634" spans="1:10" hidden="1">
      <c r="A6634" t="s">
        <v>4610</v>
      </c>
      <c r="B6634" t="s">
        <v>4611</v>
      </c>
      <c r="C6634" t="s">
        <v>235</v>
      </c>
      <c r="D6634" t="s">
        <v>1707</v>
      </c>
      <c r="E6634" t="s">
        <v>560</v>
      </c>
      <c r="F6634" t="s">
        <v>1068</v>
      </c>
      <c r="G6634" t="s">
        <v>1073</v>
      </c>
      <c r="H6634" s="171" t="s">
        <v>4612</v>
      </c>
      <c r="I6634" t="s">
        <v>1074</v>
      </c>
      <c r="J6634">
        <v>9.33</v>
      </c>
    </row>
    <row r="6635" spans="1:10" hidden="1">
      <c r="A6635" t="s">
        <v>4610</v>
      </c>
      <c r="B6635" t="s">
        <v>4611</v>
      </c>
      <c r="C6635" t="s">
        <v>235</v>
      </c>
      <c r="D6635" t="s">
        <v>1707</v>
      </c>
      <c r="E6635" t="s">
        <v>560</v>
      </c>
      <c r="F6635" t="s">
        <v>1068</v>
      </c>
      <c r="G6635" t="s">
        <v>1075</v>
      </c>
      <c r="H6635">
        <v>2.2795045127521401E-3</v>
      </c>
      <c r="I6635" t="s">
        <v>1077</v>
      </c>
      <c r="J6635">
        <v>9.33</v>
      </c>
    </row>
    <row r="6636" spans="1:10" hidden="1">
      <c r="A6636" t="s">
        <v>4610</v>
      </c>
      <c r="B6636" t="s">
        <v>4611</v>
      </c>
      <c r="C6636" t="s">
        <v>235</v>
      </c>
      <c r="D6636" t="s">
        <v>1707</v>
      </c>
      <c r="E6636" t="s">
        <v>560</v>
      </c>
      <c r="F6636" t="s">
        <v>1068</v>
      </c>
      <c r="G6636" t="s">
        <v>1078</v>
      </c>
      <c r="H6636">
        <v>-1.04606619673112</v>
      </c>
      <c r="I6636" t="s">
        <v>1079</v>
      </c>
      <c r="J6636">
        <v>9.33</v>
      </c>
    </row>
    <row r="6637" spans="1:10" hidden="1">
      <c r="A6637" t="s">
        <v>4610</v>
      </c>
      <c r="B6637" t="s">
        <v>4611</v>
      </c>
      <c r="C6637" t="s">
        <v>235</v>
      </c>
      <c r="D6637" t="s">
        <v>1707</v>
      </c>
      <c r="E6637" t="s">
        <v>560</v>
      </c>
      <c r="F6637" t="s">
        <v>1068</v>
      </c>
      <c r="G6637" t="s">
        <v>1080</v>
      </c>
      <c r="H6637" s="171" t="s">
        <v>4613</v>
      </c>
      <c r="I6637" t="s">
        <v>1082</v>
      </c>
      <c r="J6637">
        <v>9.33</v>
      </c>
    </row>
    <row r="6638" spans="1:10" hidden="1">
      <c r="A6638" t="s">
        <v>4610</v>
      </c>
      <c r="B6638" t="s">
        <v>4611</v>
      </c>
      <c r="C6638" t="s">
        <v>235</v>
      </c>
      <c r="D6638" t="s">
        <v>1707</v>
      </c>
      <c r="E6638" t="s">
        <v>560</v>
      </c>
      <c r="F6638" t="s">
        <v>1068</v>
      </c>
      <c r="G6638" t="s">
        <v>1083</v>
      </c>
      <c r="H6638" s="170">
        <v>-4.4372857780292003E-6</v>
      </c>
      <c r="I6638" t="s">
        <v>1084</v>
      </c>
      <c r="J6638">
        <v>9.33</v>
      </c>
    </row>
    <row r="6639" spans="1:10" hidden="1">
      <c r="A6639" t="s">
        <v>4610</v>
      </c>
      <c r="B6639" t="s">
        <v>4611</v>
      </c>
      <c r="C6639" t="s">
        <v>235</v>
      </c>
      <c r="D6639" t="s">
        <v>1707</v>
      </c>
      <c r="E6639" t="s">
        <v>560</v>
      </c>
      <c r="F6639" t="s">
        <v>1068</v>
      </c>
      <c r="G6639" t="s">
        <v>1085</v>
      </c>
      <c r="H6639" s="171" t="s">
        <v>4614</v>
      </c>
      <c r="I6639" t="s">
        <v>1086</v>
      </c>
      <c r="J6639">
        <v>9.33</v>
      </c>
    </row>
    <row r="6640" spans="1:10" hidden="1">
      <c r="A6640" t="s">
        <v>4610</v>
      </c>
      <c r="B6640" t="s">
        <v>4611</v>
      </c>
      <c r="C6640" t="s">
        <v>235</v>
      </c>
      <c r="D6640" t="s">
        <v>1707</v>
      </c>
      <c r="E6640" t="s">
        <v>560</v>
      </c>
      <c r="F6640" t="s">
        <v>1068</v>
      </c>
      <c r="G6640" t="s">
        <v>1087</v>
      </c>
      <c r="H6640" s="171" t="s">
        <v>4615</v>
      </c>
      <c r="I6640" t="s">
        <v>1088</v>
      </c>
      <c r="J6640">
        <v>9.33</v>
      </c>
    </row>
    <row r="6641" spans="1:13" hidden="1">
      <c r="A6641" t="s">
        <v>4610</v>
      </c>
      <c r="B6641" t="s">
        <v>4611</v>
      </c>
      <c r="C6641" t="s">
        <v>235</v>
      </c>
      <c r="D6641" t="s">
        <v>1707</v>
      </c>
      <c r="E6641" t="s">
        <v>560</v>
      </c>
      <c r="F6641" t="s">
        <v>1068</v>
      </c>
      <c r="G6641" t="s">
        <v>1089</v>
      </c>
      <c r="H6641" s="171" t="s">
        <v>4616</v>
      </c>
      <c r="I6641" t="s">
        <v>1090</v>
      </c>
      <c r="J6641">
        <v>9.33</v>
      </c>
    </row>
    <row r="6642" spans="1:13" hidden="1">
      <c r="A6642" t="s">
        <v>4617</v>
      </c>
      <c r="B6642" t="s">
        <v>4618</v>
      </c>
      <c r="C6642" t="s">
        <v>235</v>
      </c>
      <c r="D6642" t="s">
        <v>1707</v>
      </c>
      <c r="E6642" t="s">
        <v>1116</v>
      </c>
      <c r="F6642" t="s">
        <v>1068</v>
      </c>
      <c r="G6642" t="s">
        <v>1069</v>
      </c>
      <c r="H6642">
        <v>1.9948292116864001E-2</v>
      </c>
      <c r="I6642" t="s">
        <v>1070</v>
      </c>
      <c r="J6642">
        <v>8.5500000000000007</v>
      </c>
    </row>
    <row r="6643" spans="1:13" hidden="1">
      <c r="A6643" t="s">
        <v>4617</v>
      </c>
      <c r="B6643" t="s">
        <v>4618</v>
      </c>
      <c r="C6643" t="s">
        <v>235</v>
      </c>
      <c r="D6643" t="s">
        <v>1707</v>
      </c>
      <c r="E6643" t="s">
        <v>1116</v>
      </c>
      <c r="F6643" t="s">
        <v>1068</v>
      </c>
      <c r="G6643" t="s">
        <v>1071</v>
      </c>
      <c r="H6643" s="170">
        <v>-4.1291216859576603E-11</v>
      </c>
      <c r="I6643" t="s">
        <v>1072</v>
      </c>
      <c r="J6643">
        <v>8.5500000000000007</v>
      </c>
    </row>
    <row r="6644" spans="1:13" hidden="1">
      <c r="A6644" t="s">
        <v>4617</v>
      </c>
      <c r="B6644" t="s">
        <v>4618</v>
      </c>
      <c r="C6644" t="s">
        <v>235</v>
      </c>
      <c r="D6644" t="s">
        <v>1707</v>
      </c>
      <c r="E6644" t="s">
        <v>1116</v>
      </c>
      <c r="F6644" t="s">
        <v>1068</v>
      </c>
      <c r="G6644" t="s">
        <v>1073</v>
      </c>
      <c r="H6644" s="171" t="s">
        <v>4619</v>
      </c>
      <c r="I6644" t="s">
        <v>1074</v>
      </c>
      <c r="J6644">
        <v>8.5500000000000007</v>
      </c>
    </row>
    <row r="6645" spans="1:13" hidden="1">
      <c r="A6645" t="s">
        <v>4617</v>
      </c>
      <c r="B6645" t="s">
        <v>4618</v>
      </c>
      <c r="C6645" t="s">
        <v>235</v>
      </c>
      <c r="D6645" t="s">
        <v>1707</v>
      </c>
      <c r="E6645" t="s">
        <v>1116</v>
      </c>
      <c r="F6645" t="s">
        <v>1068</v>
      </c>
      <c r="G6645" t="s">
        <v>1075</v>
      </c>
      <c r="H6645">
        <v>2.3976228386472899E-3</v>
      </c>
      <c r="I6645" t="s">
        <v>1077</v>
      </c>
      <c r="J6645">
        <v>8.5500000000000007</v>
      </c>
    </row>
    <row r="6646" spans="1:13" hidden="1">
      <c r="A6646" t="s">
        <v>4617</v>
      </c>
      <c r="B6646" t="s">
        <v>4618</v>
      </c>
      <c r="C6646" t="s">
        <v>235</v>
      </c>
      <c r="D6646" t="s">
        <v>1707</v>
      </c>
      <c r="E6646" t="s">
        <v>1116</v>
      </c>
      <c r="F6646" t="s">
        <v>1068</v>
      </c>
      <c r="G6646" t="s">
        <v>1078</v>
      </c>
      <c r="H6646">
        <v>-1.04095830469048</v>
      </c>
      <c r="I6646" t="s">
        <v>1079</v>
      </c>
      <c r="J6646">
        <v>8.5500000000000007</v>
      </c>
    </row>
    <row r="6647" spans="1:13" hidden="1">
      <c r="A6647" t="s">
        <v>4617</v>
      </c>
      <c r="B6647" t="s">
        <v>4618</v>
      </c>
      <c r="C6647" t="s">
        <v>235</v>
      </c>
      <c r="D6647" t="s">
        <v>1707</v>
      </c>
      <c r="E6647" t="s">
        <v>1116</v>
      </c>
      <c r="F6647" t="s">
        <v>1068</v>
      </c>
      <c r="G6647" t="s">
        <v>1080</v>
      </c>
      <c r="H6647" s="171" t="s">
        <v>4620</v>
      </c>
      <c r="I6647" t="s">
        <v>1082</v>
      </c>
      <c r="J6647">
        <v>8.5500000000000007</v>
      </c>
    </row>
    <row r="6648" spans="1:13" hidden="1">
      <c r="A6648" t="s">
        <v>4617</v>
      </c>
      <c r="B6648" t="s">
        <v>4618</v>
      </c>
      <c r="C6648" t="s">
        <v>235</v>
      </c>
      <c r="D6648" t="s">
        <v>1707</v>
      </c>
      <c r="E6648" t="s">
        <v>1116</v>
      </c>
      <c r="F6648" t="s">
        <v>1068</v>
      </c>
      <c r="G6648" t="s">
        <v>1083</v>
      </c>
      <c r="H6648" s="170">
        <v>-3.8693181959200603E-6</v>
      </c>
      <c r="I6648" t="s">
        <v>1084</v>
      </c>
      <c r="J6648">
        <v>8.5500000000000007</v>
      </c>
    </row>
    <row r="6649" spans="1:13" hidden="1">
      <c r="A6649" t="s">
        <v>4617</v>
      </c>
      <c r="B6649" t="s">
        <v>4618</v>
      </c>
      <c r="C6649" t="s">
        <v>235</v>
      </c>
      <c r="D6649" t="s">
        <v>1707</v>
      </c>
      <c r="E6649" t="s">
        <v>1116</v>
      </c>
      <c r="F6649" t="s">
        <v>1068</v>
      </c>
      <c r="G6649" t="s">
        <v>1085</v>
      </c>
      <c r="H6649" s="171" t="s">
        <v>4621</v>
      </c>
      <c r="I6649" t="s">
        <v>1086</v>
      </c>
      <c r="J6649">
        <v>8.5500000000000007</v>
      </c>
    </row>
    <row r="6650" spans="1:13" hidden="1">
      <c r="A6650" t="s">
        <v>4617</v>
      </c>
      <c r="B6650" t="s">
        <v>4618</v>
      </c>
      <c r="C6650" t="s">
        <v>235</v>
      </c>
      <c r="D6650" t="s">
        <v>1707</v>
      </c>
      <c r="E6650" t="s">
        <v>1116</v>
      </c>
      <c r="F6650" t="s">
        <v>1068</v>
      </c>
      <c r="G6650" t="s">
        <v>1087</v>
      </c>
      <c r="H6650" s="171" t="s">
        <v>4622</v>
      </c>
      <c r="I6650" t="s">
        <v>1088</v>
      </c>
      <c r="J6650">
        <v>8.5500000000000007</v>
      </c>
    </row>
    <row r="6651" spans="1:13" hidden="1">
      <c r="A6651" t="s">
        <v>4617</v>
      </c>
      <c r="B6651" t="s">
        <v>4618</v>
      </c>
      <c r="C6651" t="s">
        <v>235</v>
      </c>
      <c r="D6651" t="s">
        <v>1707</v>
      </c>
      <c r="E6651" t="s">
        <v>1116</v>
      </c>
      <c r="F6651" t="s">
        <v>1068</v>
      </c>
      <c r="G6651" t="s">
        <v>1089</v>
      </c>
      <c r="H6651" s="171" t="s">
        <v>4623</v>
      </c>
      <c r="I6651" t="s">
        <v>1090</v>
      </c>
      <c r="J6651">
        <v>8.5500000000000007</v>
      </c>
    </row>
    <row r="6652" spans="1:13" hidden="1">
      <c r="A6652" t="s">
        <v>4624</v>
      </c>
      <c r="B6652" t="s">
        <v>4625</v>
      </c>
      <c r="C6652" t="s">
        <v>244</v>
      </c>
      <c r="D6652" t="s">
        <v>4626</v>
      </c>
      <c r="E6652" t="s">
        <v>561</v>
      </c>
      <c r="F6652" t="s">
        <v>1068</v>
      </c>
      <c r="G6652" t="s">
        <v>1069</v>
      </c>
      <c r="H6652">
        <v>-20.425327092555801</v>
      </c>
      <c r="I6652" t="s">
        <v>1070</v>
      </c>
      <c r="J6652">
        <v>14.2</v>
      </c>
    </row>
    <row r="6653" spans="1:13" hidden="1">
      <c r="A6653" t="s">
        <v>4624</v>
      </c>
      <c r="B6653" t="s">
        <v>4625</v>
      </c>
      <c r="C6653" t="s">
        <v>244</v>
      </c>
      <c r="D6653" t="s">
        <v>4626</v>
      </c>
      <c r="E6653" t="s">
        <v>561</v>
      </c>
      <c r="F6653" t="s">
        <v>1068</v>
      </c>
      <c r="G6653" t="s">
        <v>1071</v>
      </c>
      <c r="H6653" s="170">
        <v>-3.8786297166220501E-8</v>
      </c>
      <c r="I6653" t="s">
        <v>1072</v>
      </c>
      <c r="J6653">
        <v>14.2</v>
      </c>
    </row>
    <row r="6654" spans="1:13" hidden="1">
      <c r="A6654" t="s">
        <v>4624</v>
      </c>
      <c r="B6654" t="s">
        <v>4625</v>
      </c>
      <c r="C6654" t="s">
        <v>244</v>
      </c>
      <c r="D6654" t="s">
        <v>4626</v>
      </c>
      <c r="E6654" t="s">
        <v>561</v>
      </c>
      <c r="F6654" t="s">
        <v>1068</v>
      </c>
      <c r="G6654" t="s">
        <v>1073</v>
      </c>
      <c r="H6654" s="170">
        <v>-7.6557598256479606E-6</v>
      </c>
      <c r="I6654" t="s">
        <v>1074</v>
      </c>
      <c r="J6654">
        <v>14.2</v>
      </c>
    </row>
    <row r="6655" spans="1:13" hidden="1">
      <c r="A6655" t="s">
        <v>4624</v>
      </c>
      <c r="B6655" t="s">
        <v>4625</v>
      </c>
      <c r="C6655" t="s">
        <v>244</v>
      </c>
      <c r="D6655" t="s">
        <v>4626</v>
      </c>
      <c r="E6655" t="s">
        <v>561</v>
      </c>
      <c r="F6655" t="s">
        <v>1068</v>
      </c>
      <c r="G6655" t="s">
        <v>1075</v>
      </c>
      <c r="H6655">
        <v>-0.88061459163660605</v>
      </c>
      <c r="I6655" t="s">
        <v>1077</v>
      </c>
      <c r="J6655">
        <v>14.2</v>
      </c>
    </row>
    <row r="6656" spans="1:13">
      <c r="A6656" t="s">
        <v>4624</v>
      </c>
      <c r="B6656" t="s">
        <v>4625</v>
      </c>
      <c r="C6656" t="s">
        <v>244</v>
      </c>
      <c r="D6656" t="s">
        <v>4626</v>
      </c>
      <c r="E6656" t="s">
        <v>561</v>
      </c>
      <c r="F6656" t="s">
        <v>1068</v>
      </c>
      <c r="G6656" t="s">
        <v>1078</v>
      </c>
      <c r="H6656">
        <v>-22.969429024819998</v>
      </c>
      <c r="I6656" t="s">
        <v>1079</v>
      </c>
      <c r="J6656">
        <v>14.2</v>
      </c>
      <c r="M6656" t="str">
        <f>_xlfn.TEXTJOIN(" - ",TRUE,A6656,G6656)</f>
        <v>Recycle - Al - Australia - Global warming</v>
      </c>
    </row>
    <row r="6657" spans="1:13" hidden="1">
      <c r="A6657" t="s">
        <v>4624</v>
      </c>
      <c r="B6657" t="s">
        <v>4625</v>
      </c>
      <c r="C6657" t="s">
        <v>244</v>
      </c>
      <c r="D6657" t="s">
        <v>4626</v>
      </c>
      <c r="E6657" t="s">
        <v>561</v>
      </c>
      <c r="F6657" t="s">
        <v>1068</v>
      </c>
      <c r="G6657" t="s">
        <v>1080</v>
      </c>
      <c r="H6657">
        <v>-1.1709571659899601E-4</v>
      </c>
      <c r="I6657" t="s">
        <v>1082</v>
      </c>
      <c r="J6657">
        <v>14.2</v>
      </c>
    </row>
    <row r="6658" spans="1:13" hidden="1">
      <c r="A6658" t="s">
        <v>4624</v>
      </c>
      <c r="B6658" t="s">
        <v>4625</v>
      </c>
      <c r="C6658" t="s">
        <v>244</v>
      </c>
      <c r="D6658" t="s">
        <v>4626</v>
      </c>
      <c r="E6658" t="s">
        <v>561</v>
      </c>
      <c r="F6658" t="s">
        <v>1068</v>
      </c>
      <c r="G6658" t="s">
        <v>1083</v>
      </c>
      <c r="H6658">
        <v>-2.1733122411474702E-3</v>
      </c>
      <c r="I6658" t="s">
        <v>1084</v>
      </c>
      <c r="J6658">
        <v>14.2</v>
      </c>
    </row>
    <row r="6659" spans="1:13" hidden="1">
      <c r="A6659" t="s">
        <v>4624</v>
      </c>
      <c r="B6659" t="s">
        <v>4625</v>
      </c>
      <c r="C6659" t="s">
        <v>244</v>
      </c>
      <c r="D6659" t="s">
        <v>4626</v>
      </c>
      <c r="E6659" t="s">
        <v>561</v>
      </c>
      <c r="F6659" t="s">
        <v>1068</v>
      </c>
      <c r="G6659" t="s">
        <v>1085</v>
      </c>
      <c r="H6659">
        <v>-3.4856360527379698E-2</v>
      </c>
      <c r="I6659" t="s">
        <v>1086</v>
      </c>
      <c r="J6659">
        <v>14.2</v>
      </c>
    </row>
    <row r="6660" spans="1:13" hidden="1">
      <c r="A6660" t="s">
        <v>4624</v>
      </c>
      <c r="B6660" t="s">
        <v>4625</v>
      </c>
      <c r="C6660" t="s">
        <v>244</v>
      </c>
      <c r="D6660" t="s">
        <v>4626</v>
      </c>
      <c r="E6660" t="s">
        <v>561</v>
      </c>
      <c r="F6660" t="s">
        <v>1068</v>
      </c>
      <c r="G6660" t="s">
        <v>1087</v>
      </c>
      <c r="H6660" s="170">
        <v>-1.04136746455365E-5</v>
      </c>
      <c r="I6660" t="s">
        <v>1088</v>
      </c>
      <c r="J6660">
        <v>14.2</v>
      </c>
    </row>
    <row r="6661" spans="1:13" hidden="1">
      <c r="A6661" t="s">
        <v>4624</v>
      </c>
      <c r="B6661" t="s">
        <v>4625</v>
      </c>
      <c r="C6661" t="s">
        <v>244</v>
      </c>
      <c r="D6661" t="s">
        <v>4626</v>
      </c>
      <c r="E6661" t="s">
        <v>561</v>
      </c>
      <c r="F6661" t="s">
        <v>1068</v>
      </c>
      <c r="G6661" t="s">
        <v>1089</v>
      </c>
      <c r="H6661">
        <v>-9.0107311657776201E-3</v>
      </c>
      <c r="I6661" t="s">
        <v>1090</v>
      </c>
      <c r="J6661">
        <v>14.2</v>
      </c>
    </row>
    <row r="6662" spans="1:13" hidden="1">
      <c r="A6662" t="s">
        <v>4627</v>
      </c>
      <c r="B6662" t="s">
        <v>4628</v>
      </c>
      <c r="C6662" t="s">
        <v>244</v>
      </c>
      <c r="D6662" t="s">
        <v>4626</v>
      </c>
      <c r="E6662" t="s">
        <v>555</v>
      </c>
      <c r="F6662" t="s">
        <v>1068</v>
      </c>
      <c r="G6662" t="s">
        <v>1069</v>
      </c>
      <c r="H6662">
        <v>-21.7674262184814</v>
      </c>
      <c r="I6662" t="s">
        <v>1070</v>
      </c>
      <c r="J6662">
        <v>7.73</v>
      </c>
    </row>
    <row r="6663" spans="1:13" hidden="1">
      <c r="A6663" t="s">
        <v>4627</v>
      </c>
      <c r="B6663" t="s">
        <v>4628</v>
      </c>
      <c r="C6663" t="s">
        <v>244</v>
      </c>
      <c r="D6663" t="s">
        <v>4626</v>
      </c>
      <c r="E6663" t="s">
        <v>555</v>
      </c>
      <c r="F6663" t="s">
        <v>1068</v>
      </c>
      <c r="G6663" t="s">
        <v>1071</v>
      </c>
      <c r="H6663" s="170">
        <v>-4.0706856284328998E-8</v>
      </c>
      <c r="I6663" t="s">
        <v>1072</v>
      </c>
      <c r="J6663">
        <v>7.73</v>
      </c>
    </row>
    <row r="6664" spans="1:13" hidden="1">
      <c r="A6664" t="s">
        <v>4627</v>
      </c>
      <c r="B6664" t="s">
        <v>4628</v>
      </c>
      <c r="C6664" t="s">
        <v>244</v>
      </c>
      <c r="D6664" t="s">
        <v>4626</v>
      </c>
      <c r="E6664" t="s">
        <v>555</v>
      </c>
      <c r="F6664" t="s">
        <v>1068</v>
      </c>
      <c r="G6664" t="s">
        <v>1073</v>
      </c>
      <c r="H6664" s="170">
        <v>-8.1324776818370493E-6</v>
      </c>
      <c r="I6664" t="s">
        <v>1074</v>
      </c>
      <c r="J6664">
        <v>7.73</v>
      </c>
    </row>
    <row r="6665" spans="1:13" hidden="1">
      <c r="A6665" t="s">
        <v>4627</v>
      </c>
      <c r="B6665" t="s">
        <v>4628</v>
      </c>
      <c r="C6665" t="s">
        <v>244</v>
      </c>
      <c r="D6665" t="s">
        <v>4626</v>
      </c>
      <c r="E6665" t="s">
        <v>555</v>
      </c>
      <c r="F6665" t="s">
        <v>1068</v>
      </c>
      <c r="G6665" t="s">
        <v>1075</v>
      </c>
      <c r="H6665">
        <v>-0.92303977873073395</v>
      </c>
      <c r="I6665" t="s">
        <v>1077</v>
      </c>
      <c r="J6665">
        <v>7.73</v>
      </c>
    </row>
    <row r="6666" spans="1:13">
      <c r="A6666" t="s">
        <v>4627</v>
      </c>
      <c r="B6666" t="s">
        <v>4628</v>
      </c>
      <c r="C6666" t="s">
        <v>244</v>
      </c>
      <c r="D6666" t="s">
        <v>4626</v>
      </c>
      <c r="E6666" t="s">
        <v>555</v>
      </c>
      <c r="F6666" t="s">
        <v>1068</v>
      </c>
      <c r="G6666" t="s">
        <v>1078</v>
      </c>
      <c r="H6666">
        <v>-24.804057765428499</v>
      </c>
      <c r="I6666" t="s">
        <v>1079</v>
      </c>
      <c r="J6666">
        <v>7.73</v>
      </c>
      <c r="M6666" t="str">
        <f>_xlfn.TEXTJOIN(" - ",TRUE,A6666,G6666)</f>
        <v>Recycle - Al - Brazil - Global warming</v>
      </c>
    </row>
    <row r="6667" spans="1:13" hidden="1">
      <c r="A6667" t="s">
        <v>4627</v>
      </c>
      <c r="B6667" t="s">
        <v>4628</v>
      </c>
      <c r="C6667" t="s">
        <v>244</v>
      </c>
      <c r="D6667" t="s">
        <v>4626</v>
      </c>
      <c r="E6667" t="s">
        <v>555</v>
      </c>
      <c r="F6667" t="s">
        <v>1068</v>
      </c>
      <c r="G6667" t="s">
        <v>1080</v>
      </c>
      <c r="H6667">
        <v>-1.17103176846312E-4</v>
      </c>
      <c r="I6667" t="s">
        <v>1082</v>
      </c>
      <c r="J6667">
        <v>7.73</v>
      </c>
    </row>
    <row r="6668" spans="1:13" hidden="1">
      <c r="A6668" t="s">
        <v>4627</v>
      </c>
      <c r="B6668" t="s">
        <v>4628</v>
      </c>
      <c r="C6668" t="s">
        <v>244</v>
      </c>
      <c r="D6668" t="s">
        <v>4626</v>
      </c>
      <c r="E6668" t="s">
        <v>555</v>
      </c>
      <c r="F6668" t="s">
        <v>1068</v>
      </c>
      <c r="G6668" t="s">
        <v>1083</v>
      </c>
      <c r="H6668">
        <v>-2.37731217724273E-3</v>
      </c>
      <c r="I6668" t="s">
        <v>1084</v>
      </c>
      <c r="J6668">
        <v>7.73</v>
      </c>
    </row>
    <row r="6669" spans="1:13" hidden="1">
      <c r="A6669" t="s">
        <v>4627</v>
      </c>
      <c r="B6669" t="s">
        <v>4628</v>
      </c>
      <c r="C6669" t="s">
        <v>244</v>
      </c>
      <c r="D6669" t="s">
        <v>4626</v>
      </c>
      <c r="E6669" t="s">
        <v>555</v>
      </c>
      <c r="F6669" t="s">
        <v>1068</v>
      </c>
      <c r="G6669" t="s">
        <v>1085</v>
      </c>
      <c r="H6669">
        <v>-3.7161973838053301E-2</v>
      </c>
      <c r="I6669" t="s">
        <v>1086</v>
      </c>
      <c r="J6669">
        <v>7.73</v>
      </c>
    </row>
    <row r="6670" spans="1:13" hidden="1">
      <c r="A6670" t="s">
        <v>4627</v>
      </c>
      <c r="B6670" t="s">
        <v>4628</v>
      </c>
      <c r="C6670" t="s">
        <v>244</v>
      </c>
      <c r="D6670" t="s">
        <v>4626</v>
      </c>
      <c r="E6670" t="s">
        <v>555</v>
      </c>
      <c r="F6670" t="s">
        <v>1068</v>
      </c>
      <c r="G6670" t="s">
        <v>1087</v>
      </c>
      <c r="H6670" s="170">
        <v>-1.15263741567305E-5</v>
      </c>
      <c r="I6670" t="s">
        <v>1088</v>
      </c>
      <c r="J6670">
        <v>7.73</v>
      </c>
    </row>
    <row r="6671" spans="1:13" hidden="1">
      <c r="A6671" t="s">
        <v>4627</v>
      </c>
      <c r="B6671" t="s">
        <v>4628</v>
      </c>
      <c r="C6671" t="s">
        <v>244</v>
      </c>
      <c r="D6671" t="s">
        <v>4626</v>
      </c>
      <c r="E6671" t="s">
        <v>555</v>
      </c>
      <c r="F6671" t="s">
        <v>1068</v>
      </c>
      <c r="G6671" t="s">
        <v>1089</v>
      </c>
      <c r="H6671">
        <v>-9.4863746387924899E-3</v>
      </c>
      <c r="I6671" t="s">
        <v>1090</v>
      </c>
      <c r="J6671">
        <v>7.73</v>
      </c>
    </row>
    <row r="6672" spans="1:13" hidden="1">
      <c r="A6672" t="s">
        <v>4629</v>
      </c>
      <c r="B6672" t="s">
        <v>4630</v>
      </c>
      <c r="C6672" t="s">
        <v>244</v>
      </c>
      <c r="D6672" t="s">
        <v>4626</v>
      </c>
      <c r="E6672" t="s">
        <v>558</v>
      </c>
      <c r="F6672" t="s">
        <v>1068</v>
      </c>
      <c r="G6672" t="s">
        <v>1069</v>
      </c>
      <c r="H6672">
        <v>-20.306495399117001</v>
      </c>
      <c r="I6672" t="s">
        <v>1070</v>
      </c>
      <c r="J6672">
        <v>7.95</v>
      </c>
    </row>
    <row r="6673" spans="1:13" hidden="1">
      <c r="A6673" t="s">
        <v>4629</v>
      </c>
      <c r="B6673" t="s">
        <v>4630</v>
      </c>
      <c r="C6673" t="s">
        <v>244</v>
      </c>
      <c r="D6673" t="s">
        <v>4626</v>
      </c>
      <c r="E6673" t="s">
        <v>558</v>
      </c>
      <c r="F6673" t="s">
        <v>1068</v>
      </c>
      <c r="G6673" t="s">
        <v>1071</v>
      </c>
      <c r="H6673" s="170">
        <v>-3.8616247660977299E-8</v>
      </c>
      <c r="I6673" t="s">
        <v>1072</v>
      </c>
      <c r="J6673">
        <v>7.95</v>
      </c>
    </row>
    <row r="6674" spans="1:13" hidden="1">
      <c r="A6674" t="s">
        <v>4629</v>
      </c>
      <c r="B6674" t="s">
        <v>4630</v>
      </c>
      <c r="C6674" t="s">
        <v>244</v>
      </c>
      <c r="D6674" t="s">
        <v>4626</v>
      </c>
      <c r="E6674" t="s">
        <v>558</v>
      </c>
      <c r="F6674" t="s">
        <v>1068</v>
      </c>
      <c r="G6674" t="s">
        <v>1073</v>
      </c>
      <c r="H6674" s="170">
        <v>-7.6135504321322396E-6</v>
      </c>
      <c r="I6674" t="s">
        <v>1074</v>
      </c>
      <c r="J6674">
        <v>7.95</v>
      </c>
    </row>
    <row r="6675" spans="1:13" hidden="1">
      <c r="A6675" t="s">
        <v>4629</v>
      </c>
      <c r="B6675" t="s">
        <v>4630</v>
      </c>
      <c r="C6675" t="s">
        <v>244</v>
      </c>
      <c r="D6675" t="s">
        <v>4626</v>
      </c>
      <c r="E6675" t="s">
        <v>558</v>
      </c>
      <c r="F6675" t="s">
        <v>1068</v>
      </c>
      <c r="G6675" t="s">
        <v>1075</v>
      </c>
      <c r="H6675">
        <v>-0.87685819486282801</v>
      </c>
      <c r="I6675" t="s">
        <v>1077</v>
      </c>
      <c r="J6675">
        <v>7.95</v>
      </c>
    </row>
    <row r="6676" spans="1:13">
      <c r="A6676" t="s">
        <v>4629</v>
      </c>
      <c r="B6676" t="s">
        <v>4630</v>
      </c>
      <c r="C6676" t="s">
        <v>244</v>
      </c>
      <c r="D6676" t="s">
        <v>4626</v>
      </c>
      <c r="E6676" t="s">
        <v>558</v>
      </c>
      <c r="F6676" t="s">
        <v>1068</v>
      </c>
      <c r="G6676" t="s">
        <v>1078</v>
      </c>
      <c r="H6676">
        <v>-22.806987938412799</v>
      </c>
      <c r="I6676" t="s">
        <v>1079</v>
      </c>
      <c r="J6676">
        <v>7.95</v>
      </c>
      <c r="M6676" t="str">
        <f>_xlfn.TEXTJOIN(" - ",TRUE,A6676,G6676)</f>
        <v>Recycle - Al - Canada - Global warming</v>
      </c>
    </row>
    <row r="6677" spans="1:13" hidden="1">
      <c r="A6677" t="s">
        <v>4629</v>
      </c>
      <c r="B6677" t="s">
        <v>4630</v>
      </c>
      <c r="C6677" t="s">
        <v>244</v>
      </c>
      <c r="D6677" t="s">
        <v>4626</v>
      </c>
      <c r="E6677" t="s">
        <v>558</v>
      </c>
      <c r="F6677" t="s">
        <v>1068</v>
      </c>
      <c r="G6677" t="s">
        <v>1080</v>
      </c>
      <c r="H6677">
        <v>-1.1709505605626501E-4</v>
      </c>
      <c r="I6677" t="s">
        <v>1082</v>
      </c>
      <c r="J6677">
        <v>7.95</v>
      </c>
    </row>
    <row r="6678" spans="1:13" hidden="1">
      <c r="A6678" t="s">
        <v>4629</v>
      </c>
      <c r="B6678" t="s">
        <v>4630</v>
      </c>
      <c r="C6678" t="s">
        <v>244</v>
      </c>
      <c r="D6678" t="s">
        <v>4626</v>
      </c>
      <c r="E6678" t="s">
        <v>558</v>
      </c>
      <c r="F6678" t="s">
        <v>1068</v>
      </c>
      <c r="G6678" t="s">
        <v>1083</v>
      </c>
      <c r="H6678">
        <v>-2.15524974680583E-3</v>
      </c>
      <c r="I6678" t="s">
        <v>1084</v>
      </c>
      <c r="J6678">
        <v>7.95</v>
      </c>
    </row>
    <row r="6679" spans="1:13" hidden="1">
      <c r="A6679" t="s">
        <v>4629</v>
      </c>
      <c r="B6679" t="s">
        <v>4630</v>
      </c>
      <c r="C6679" t="s">
        <v>244</v>
      </c>
      <c r="D6679" t="s">
        <v>4626</v>
      </c>
      <c r="E6679" t="s">
        <v>558</v>
      </c>
      <c r="F6679" t="s">
        <v>1068</v>
      </c>
      <c r="G6679" t="s">
        <v>1085</v>
      </c>
      <c r="H6679">
        <v>-3.46522176821688E-2</v>
      </c>
      <c r="I6679" t="s">
        <v>1086</v>
      </c>
      <c r="J6679">
        <v>7.95</v>
      </c>
    </row>
    <row r="6680" spans="1:13" hidden="1">
      <c r="A6680" t="s">
        <v>4629</v>
      </c>
      <c r="B6680" t="s">
        <v>4630</v>
      </c>
      <c r="C6680" t="s">
        <v>244</v>
      </c>
      <c r="D6680" t="s">
        <v>4626</v>
      </c>
      <c r="E6680" t="s">
        <v>558</v>
      </c>
      <c r="F6680" t="s">
        <v>1068</v>
      </c>
      <c r="G6680" t="s">
        <v>1087</v>
      </c>
      <c r="H6680" s="170">
        <v>-1.0315154376316599E-5</v>
      </c>
      <c r="I6680" t="s">
        <v>1088</v>
      </c>
      <c r="J6680">
        <v>7.95</v>
      </c>
    </row>
    <row r="6681" spans="1:13" hidden="1">
      <c r="A6681" t="s">
        <v>4629</v>
      </c>
      <c r="B6681" t="s">
        <v>4630</v>
      </c>
      <c r="C6681" t="s">
        <v>244</v>
      </c>
      <c r="D6681" t="s">
        <v>4626</v>
      </c>
      <c r="E6681" t="s">
        <v>558</v>
      </c>
      <c r="F6681" t="s">
        <v>1068</v>
      </c>
      <c r="G6681" t="s">
        <v>1089</v>
      </c>
      <c r="H6681">
        <v>-8.9686168999395105E-3</v>
      </c>
      <c r="I6681" t="s">
        <v>1090</v>
      </c>
      <c r="J6681">
        <v>7.95</v>
      </c>
    </row>
    <row r="6682" spans="1:13" hidden="1">
      <c r="A6682" t="s">
        <v>4631</v>
      </c>
      <c r="B6682" t="s">
        <v>4632</v>
      </c>
      <c r="C6682" t="s">
        <v>244</v>
      </c>
      <c r="D6682" t="s">
        <v>4626</v>
      </c>
      <c r="E6682" t="s">
        <v>553</v>
      </c>
      <c r="F6682" t="s">
        <v>1068</v>
      </c>
      <c r="G6682" t="s">
        <v>1069</v>
      </c>
      <c r="H6682">
        <v>-20.190113843684902</v>
      </c>
      <c r="I6682" t="s">
        <v>1070</v>
      </c>
      <c r="J6682">
        <v>7.49</v>
      </c>
    </row>
    <row r="6683" spans="1:13" hidden="1">
      <c r="A6683" t="s">
        <v>4631</v>
      </c>
      <c r="B6683" t="s">
        <v>4632</v>
      </c>
      <c r="C6683" t="s">
        <v>244</v>
      </c>
      <c r="D6683" t="s">
        <v>4626</v>
      </c>
      <c r="E6683" t="s">
        <v>553</v>
      </c>
      <c r="F6683" t="s">
        <v>1068</v>
      </c>
      <c r="G6683" t="s">
        <v>1071</v>
      </c>
      <c r="H6683" s="170">
        <v>-3.8449704331094302E-8</v>
      </c>
      <c r="I6683" t="s">
        <v>1072</v>
      </c>
      <c r="J6683">
        <v>7.49</v>
      </c>
    </row>
    <row r="6684" spans="1:13" hidden="1">
      <c r="A6684" t="s">
        <v>4631</v>
      </c>
      <c r="B6684" t="s">
        <v>4632</v>
      </c>
      <c r="C6684" t="s">
        <v>244</v>
      </c>
      <c r="D6684" t="s">
        <v>4626</v>
      </c>
      <c r="E6684" t="s">
        <v>553</v>
      </c>
      <c r="F6684" t="s">
        <v>1068</v>
      </c>
      <c r="G6684" t="s">
        <v>1073</v>
      </c>
      <c r="H6684" s="170">
        <v>-7.5722113353890798E-6</v>
      </c>
      <c r="I6684" t="s">
        <v>1074</v>
      </c>
      <c r="J6684">
        <v>7.49</v>
      </c>
    </row>
    <row r="6685" spans="1:13" hidden="1">
      <c r="A6685" t="s">
        <v>4631</v>
      </c>
      <c r="B6685" t="s">
        <v>4632</v>
      </c>
      <c r="C6685" t="s">
        <v>244</v>
      </c>
      <c r="D6685" t="s">
        <v>4626</v>
      </c>
      <c r="E6685" t="s">
        <v>553</v>
      </c>
      <c r="F6685" t="s">
        <v>1068</v>
      </c>
      <c r="G6685" t="s">
        <v>1075</v>
      </c>
      <c r="H6685">
        <v>-0.87317924956878201</v>
      </c>
      <c r="I6685" t="s">
        <v>1077</v>
      </c>
      <c r="J6685">
        <v>7.49</v>
      </c>
    </row>
    <row r="6686" spans="1:13">
      <c r="A6686" t="s">
        <v>4631</v>
      </c>
      <c r="B6686" t="s">
        <v>4632</v>
      </c>
      <c r="C6686" t="s">
        <v>244</v>
      </c>
      <c r="D6686" t="s">
        <v>4626</v>
      </c>
      <c r="E6686" t="s">
        <v>553</v>
      </c>
      <c r="F6686" t="s">
        <v>1068</v>
      </c>
      <c r="G6686" t="s">
        <v>1078</v>
      </c>
      <c r="H6686">
        <v>-22.6478961527556</v>
      </c>
      <c r="I6686" t="s">
        <v>1079</v>
      </c>
      <c r="J6686">
        <v>7.49</v>
      </c>
      <c r="M6686" t="str">
        <f>_xlfn.TEXTJOIN(" - ",TRUE,A6686,G6686)</f>
        <v>Recycle - Al - China - Global warming</v>
      </c>
    </row>
    <row r="6687" spans="1:13" hidden="1">
      <c r="A6687" t="s">
        <v>4631</v>
      </c>
      <c r="B6687" t="s">
        <v>4632</v>
      </c>
      <c r="C6687" t="s">
        <v>244</v>
      </c>
      <c r="D6687" t="s">
        <v>4626</v>
      </c>
      <c r="E6687" t="s">
        <v>553</v>
      </c>
      <c r="F6687" t="s">
        <v>1068</v>
      </c>
      <c r="G6687" t="s">
        <v>1080</v>
      </c>
      <c r="H6687">
        <v>-1.17094409132972E-4</v>
      </c>
      <c r="I6687" t="s">
        <v>1082</v>
      </c>
      <c r="J6687">
        <v>7.49</v>
      </c>
    </row>
    <row r="6688" spans="1:13" hidden="1">
      <c r="A6688" t="s">
        <v>4631</v>
      </c>
      <c r="B6688" t="s">
        <v>4632</v>
      </c>
      <c r="C6688" t="s">
        <v>244</v>
      </c>
      <c r="D6688" t="s">
        <v>4626</v>
      </c>
      <c r="E6688" t="s">
        <v>553</v>
      </c>
      <c r="F6688" t="s">
        <v>1068</v>
      </c>
      <c r="G6688" t="s">
        <v>1083</v>
      </c>
      <c r="H6688">
        <v>-2.1375596750278299E-3</v>
      </c>
      <c r="I6688" t="s">
        <v>1084</v>
      </c>
      <c r="J6688">
        <v>7.49</v>
      </c>
    </row>
    <row r="6689" spans="1:13" hidden="1">
      <c r="A6689" t="s">
        <v>4631</v>
      </c>
      <c r="B6689" t="s">
        <v>4632</v>
      </c>
      <c r="C6689" t="s">
        <v>244</v>
      </c>
      <c r="D6689" t="s">
        <v>4626</v>
      </c>
      <c r="E6689" t="s">
        <v>553</v>
      </c>
      <c r="F6689" t="s">
        <v>1068</v>
      </c>
      <c r="G6689" t="s">
        <v>1085</v>
      </c>
      <c r="H6689">
        <v>-3.4452283967783097E-2</v>
      </c>
      <c r="I6689" t="s">
        <v>1086</v>
      </c>
      <c r="J6689">
        <v>7.49</v>
      </c>
    </row>
    <row r="6690" spans="1:13" hidden="1">
      <c r="A6690" t="s">
        <v>4631</v>
      </c>
      <c r="B6690" t="s">
        <v>4632</v>
      </c>
      <c r="C6690" t="s">
        <v>244</v>
      </c>
      <c r="D6690" t="s">
        <v>4626</v>
      </c>
      <c r="E6690" t="s">
        <v>553</v>
      </c>
      <c r="F6690" t="s">
        <v>1068</v>
      </c>
      <c r="G6690" t="s">
        <v>1087</v>
      </c>
      <c r="H6690" s="170">
        <v>-1.0218665452853401E-5</v>
      </c>
      <c r="I6690" t="s">
        <v>1088</v>
      </c>
      <c r="J6690">
        <v>7.49</v>
      </c>
    </row>
    <row r="6691" spans="1:13" hidden="1">
      <c r="A6691" t="s">
        <v>4631</v>
      </c>
      <c r="B6691" t="s">
        <v>4632</v>
      </c>
      <c r="C6691" t="s">
        <v>244</v>
      </c>
      <c r="D6691" t="s">
        <v>4626</v>
      </c>
      <c r="E6691" t="s">
        <v>553</v>
      </c>
      <c r="F6691" t="s">
        <v>1068</v>
      </c>
      <c r="G6691" t="s">
        <v>1089</v>
      </c>
      <c r="H6691">
        <v>-8.9273709694781891E-3</v>
      </c>
      <c r="I6691" t="s">
        <v>1090</v>
      </c>
      <c r="J6691">
        <v>7.49</v>
      </c>
    </row>
    <row r="6692" spans="1:13" hidden="1">
      <c r="A6692" t="s">
        <v>4633</v>
      </c>
      <c r="B6692" t="s">
        <v>4634</v>
      </c>
      <c r="C6692" t="s">
        <v>244</v>
      </c>
      <c r="D6692" t="s">
        <v>4626</v>
      </c>
      <c r="E6692" t="s">
        <v>556</v>
      </c>
      <c r="F6692" t="s">
        <v>1068</v>
      </c>
      <c r="G6692" t="s">
        <v>1069</v>
      </c>
      <c r="H6692">
        <v>-21.6191710824782</v>
      </c>
      <c r="I6692" t="s">
        <v>1070</v>
      </c>
      <c r="J6692">
        <v>7.39</v>
      </c>
    </row>
    <row r="6693" spans="1:13" hidden="1">
      <c r="A6693" t="s">
        <v>4633</v>
      </c>
      <c r="B6693" t="s">
        <v>4634</v>
      </c>
      <c r="C6693" t="s">
        <v>244</v>
      </c>
      <c r="D6693" t="s">
        <v>4626</v>
      </c>
      <c r="E6693" t="s">
        <v>556</v>
      </c>
      <c r="F6693" t="s">
        <v>1068</v>
      </c>
      <c r="G6693" t="s">
        <v>1071</v>
      </c>
      <c r="H6693" s="170">
        <v>-4.0494701498026799E-8</v>
      </c>
      <c r="I6693" t="s">
        <v>1072</v>
      </c>
      <c r="J6693">
        <v>7.39</v>
      </c>
    </row>
    <row r="6694" spans="1:13" hidden="1">
      <c r="A6694" t="s">
        <v>4633</v>
      </c>
      <c r="B6694" t="s">
        <v>4634</v>
      </c>
      <c r="C6694" t="s">
        <v>244</v>
      </c>
      <c r="D6694" t="s">
        <v>4626</v>
      </c>
      <c r="E6694" t="s">
        <v>556</v>
      </c>
      <c r="F6694" t="s">
        <v>1068</v>
      </c>
      <c r="G6694" t="s">
        <v>1073</v>
      </c>
      <c r="H6694" s="170">
        <v>-8.0798169884209003E-6</v>
      </c>
      <c r="I6694" t="s">
        <v>1074</v>
      </c>
      <c r="J6694">
        <v>7.39</v>
      </c>
    </row>
    <row r="6695" spans="1:13" hidden="1">
      <c r="A6695" t="s">
        <v>4633</v>
      </c>
      <c r="B6695" t="s">
        <v>4634</v>
      </c>
      <c r="C6695" t="s">
        <v>244</v>
      </c>
      <c r="D6695" t="s">
        <v>4626</v>
      </c>
      <c r="E6695" t="s">
        <v>556</v>
      </c>
      <c r="F6695" t="s">
        <v>1068</v>
      </c>
      <c r="G6695" t="s">
        <v>1075</v>
      </c>
      <c r="H6695">
        <v>-0.91835327550523704</v>
      </c>
      <c r="I6695" t="s">
        <v>1077</v>
      </c>
      <c r="J6695">
        <v>7.39</v>
      </c>
    </row>
    <row r="6696" spans="1:13">
      <c r="A6696" t="s">
        <v>4633</v>
      </c>
      <c r="B6696" t="s">
        <v>4634</v>
      </c>
      <c r="C6696" t="s">
        <v>244</v>
      </c>
      <c r="D6696" t="s">
        <v>4626</v>
      </c>
      <c r="E6696" t="s">
        <v>556</v>
      </c>
      <c r="F6696" t="s">
        <v>1068</v>
      </c>
      <c r="G6696" t="s">
        <v>1078</v>
      </c>
      <c r="H6696">
        <v>-24.6013952882683</v>
      </c>
      <c r="I6696" t="s">
        <v>1079</v>
      </c>
      <c r="J6696">
        <v>7.39</v>
      </c>
      <c r="M6696" t="str">
        <f>_xlfn.TEXTJOIN(" - ",TRUE,A6696,G6696)</f>
        <v>Recycle - Al - India - Global warming</v>
      </c>
    </row>
    <row r="6697" spans="1:13" hidden="1">
      <c r="A6697" t="s">
        <v>4633</v>
      </c>
      <c r="B6697" t="s">
        <v>4634</v>
      </c>
      <c r="C6697" t="s">
        <v>244</v>
      </c>
      <c r="D6697" t="s">
        <v>4626</v>
      </c>
      <c r="E6697" t="s">
        <v>556</v>
      </c>
      <c r="F6697" t="s">
        <v>1068</v>
      </c>
      <c r="G6697" t="s">
        <v>1080</v>
      </c>
      <c r="H6697">
        <v>-1.17102352749225E-4</v>
      </c>
      <c r="I6697" t="s">
        <v>1082</v>
      </c>
      <c r="J6697">
        <v>7.39</v>
      </c>
    </row>
    <row r="6698" spans="1:13" hidden="1">
      <c r="A6698" t="s">
        <v>4633</v>
      </c>
      <c r="B6698" t="s">
        <v>4634</v>
      </c>
      <c r="C6698" t="s">
        <v>244</v>
      </c>
      <c r="D6698" t="s">
        <v>4626</v>
      </c>
      <c r="E6698" t="s">
        <v>556</v>
      </c>
      <c r="F6698" t="s">
        <v>1068</v>
      </c>
      <c r="G6698" t="s">
        <v>1083</v>
      </c>
      <c r="H6698">
        <v>-2.3547773005810602E-3</v>
      </c>
      <c r="I6698" t="s">
        <v>1084</v>
      </c>
      <c r="J6698">
        <v>7.39</v>
      </c>
    </row>
    <row r="6699" spans="1:13" hidden="1">
      <c r="A6699" t="s">
        <v>4633</v>
      </c>
      <c r="B6699" t="s">
        <v>4634</v>
      </c>
      <c r="C6699" t="s">
        <v>244</v>
      </c>
      <c r="D6699" t="s">
        <v>4626</v>
      </c>
      <c r="E6699" t="s">
        <v>556</v>
      </c>
      <c r="F6699" t="s">
        <v>1068</v>
      </c>
      <c r="G6699" t="s">
        <v>1085</v>
      </c>
      <c r="H6699">
        <v>-3.6907283995595598E-2</v>
      </c>
      <c r="I6699" t="s">
        <v>1086</v>
      </c>
      <c r="J6699">
        <v>7.39</v>
      </c>
    </row>
    <row r="6700" spans="1:13" hidden="1">
      <c r="A6700" t="s">
        <v>4633</v>
      </c>
      <c r="B6700" t="s">
        <v>4634</v>
      </c>
      <c r="C6700" t="s">
        <v>244</v>
      </c>
      <c r="D6700" t="s">
        <v>4626</v>
      </c>
      <c r="E6700" t="s">
        <v>556</v>
      </c>
      <c r="F6700" t="s">
        <v>1068</v>
      </c>
      <c r="G6700" t="s">
        <v>1087</v>
      </c>
      <c r="H6700" s="170">
        <v>-1.1403459675842799E-5</v>
      </c>
      <c r="I6700" t="s">
        <v>1088</v>
      </c>
      <c r="J6700">
        <v>7.39</v>
      </c>
    </row>
    <row r="6701" spans="1:13" hidden="1">
      <c r="A6701" t="s">
        <v>4633</v>
      </c>
      <c r="B6701" t="s">
        <v>4634</v>
      </c>
      <c r="C6701" t="s">
        <v>244</v>
      </c>
      <c r="D6701" t="s">
        <v>4626</v>
      </c>
      <c r="E6701" t="s">
        <v>556</v>
      </c>
      <c r="F6701" t="s">
        <v>1068</v>
      </c>
      <c r="G6701" t="s">
        <v>1089</v>
      </c>
      <c r="H6701">
        <v>-9.4338326272386894E-3</v>
      </c>
      <c r="I6701" t="s">
        <v>1090</v>
      </c>
      <c r="J6701">
        <v>7.39</v>
      </c>
    </row>
    <row r="6702" spans="1:13" hidden="1">
      <c r="A6702" t="s">
        <v>4635</v>
      </c>
      <c r="B6702" t="s">
        <v>4636</v>
      </c>
      <c r="C6702" t="s">
        <v>244</v>
      </c>
      <c r="D6702" t="s">
        <v>4626</v>
      </c>
      <c r="E6702" t="s">
        <v>557</v>
      </c>
      <c r="F6702" t="s">
        <v>1068</v>
      </c>
      <c r="G6702" t="s">
        <v>1069</v>
      </c>
      <c r="H6702">
        <v>-20.797321958982501</v>
      </c>
      <c r="I6702" t="s">
        <v>1070</v>
      </c>
      <c r="J6702">
        <v>8.07</v>
      </c>
    </row>
    <row r="6703" spans="1:13" hidden="1">
      <c r="A6703" t="s">
        <v>4635</v>
      </c>
      <c r="B6703" t="s">
        <v>4636</v>
      </c>
      <c r="C6703" t="s">
        <v>244</v>
      </c>
      <c r="D6703" t="s">
        <v>4626</v>
      </c>
      <c r="E6703" t="s">
        <v>557</v>
      </c>
      <c r="F6703" t="s">
        <v>1068</v>
      </c>
      <c r="G6703" t="s">
        <v>1071</v>
      </c>
      <c r="H6703" s="170">
        <v>-3.93186260522219E-8</v>
      </c>
      <c r="I6703" t="s">
        <v>1072</v>
      </c>
      <c r="J6703">
        <v>8.07</v>
      </c>
    </row>
    <row r="6704" spans="1:13" hidden="1">
      <c r="A6704" t="s">
        <v>4635</v>
      </c>
      <c r="B6704" t="s">
        <v>4636</v>
      </c>
      <c r="C6704" t="s">
        <v>244</v>
      </c>
      <c r="D6704" t="s">
        <v>4626</v>
      </c>
      <c r="E6704" t="s">
        <v>557</v>
      </c>
      <c r="F6704" t="s">
        <v>1068</v>
      </c>
      <c r="G6704" t="s">
        <v>1073</v>
      </c>
      <c r="H6704" s="170">
        <v>-7.7878935792662692E-6</v>
      </c>
      <c r="I6704" t="s">
        <v>1074</v>
      </c>
      <c r="J6704">
        <v>8.07</v>
      </c>
    </row>
    <row r="6705" spans="1:13" hidden="1">
      <c r="A6705" t="s">
        <v>4635</v>
      </c>
      <c r="B6705" t="s">
        <v>4636</v>
      </c>
      <c r="C6705" t="s">
        <v>244</v>
      </c>
      <c r="D6705" t="s">
        <v>4626</v>
      </c>
      <c r="E6705" t="s">
        <v>557</v>
      </c>
      <c r="F6705" t="s">
        <v>1068</v>
      </c>
      <c r="G6705" t="s">
        <v>1075</v>
      </c>
      <c r="H6705">
        <v>-0.89237374675520698</v>
      </c>
      <c r="I6705" t="s">
        <v>1077</v>
      </c>
      <c r="J6705">
        <v>8.07</v>
      </c>
    </row>
    <row r="6706" spans="1:13">
      <c r="A6706" t="s">
        <v>4635</v>
      </c>
      <c r="B6706" t="s">
        <v>4636</v>
      </c>
      <c r="C6706" t="s">
        <v>244</v>
      </c>
      <c r="D6706" t="s">
        <v>4626</v>
      </c>
      <c r="E6706" t="s">
        <v>557</v>
      </c>
      <c r="F6706" t="s">
        <v>1068</v>
      </c>
      <c r="G6706" t="s">
        <v>1078</v>
      </c>
      <c r="H6706">
        <v>-23.477940251837101</v>
      </c>
      <c r="I6706" t="s">
        <v>1079</v>
      </c>
      <c r="J6706">
        <v>8.07</v>
      </c>
      <c r="M6706" t="str">
        <f>_xlfn.TEXTJOIN(" - ",TRUE,A6706,G6706)</f>
        <v>Recycle - Al - Ireland - Global warming</v>
      </c>
    </row>
    <row r="6707" spans="1:13" hidden="1">
      <c r="A6707" t="s">
        <v>4635</v>
      </c>
      <c r="B6707" t="s">
        <v>4636</v>
      </c>
      <c r="C6707" t="s">
        <v>244</v>
      </c>
      <c r="D6707" t="s">
        <v>4626</v>
      </c>
      <c r="E6707" t="s">
        <v>557</v>
      </c>
      <c r="F6707" t="s">
        <v>1068</v>
      </c>
      <c r="G6707" t="s">
        <v>1080</v>
      </c>
      <c r="H6707">
        <v>-1.17097784384937E-4</v>
      </c>
      <c r="I6707" t="s">
        <v>1082</v>
      </c>
      <c r="J6707">
        <v>8.07</v>
      </c>
    </row>
    <row r="6708" spans="1:13" hidden="1">
      <c r="A6708" t="s">
        <v>4635</v>
      </c>
      <c r="B6708" t="s">
        <v>4636</v>
      </c>
      <c r="C6708" t="s">
        <v>244</v>
      </c>
      <c r="D6708" t="s">
        <v>4626</v>
      </c>
      <c r="E6708" t="s">
        <v>557</v>
      </c>
      <c r="F6708" t="s">
        <v>1068</v>
      </c>
      <c r="G6708" t="s">
        <v>1083</v>
      </c>
      <c r="H6708">
        <v>-2.2298557016957E-3</v>
      </c>
      <c r="I6708" t="s">
        <v>1084</v>
      </c>
      <c r="J6708">
        <v>8.07</v>
      </c>
    </row>
    <row r="6709" spans="1:13" hidden="1">
      <c r="A6709" t="s">
        <v>4635</v>
      </c>
      <c r="B6709" t="s">
        <v>4636</v>
      </c>
      <c r="C6709" t="s">
        <v>244</v>
      </c>
      <c r="D6709" t="s">
        <v>4626</v>
      </c>
      <c r="E6709" t="s">
        <v>557</v>
      </c>
      <c r="F6709" t="s">
        <v>1068</v>
      </c>
      <c r="G6709" t="s">
        <v>1085</v>
      </c>
      <c r="H6709">
        <v>-3.54954163906675E-2</v>
      </c>
      <c r="I6709" t="s">
        <v>1086</v>
      </c>
      <c r="J6709">
        <v>8.07</v>
      </c>
    </row>
    <row r="6710" spans="1:13" hidden="1">
      <c r="A6710" t="s">
        <v>4635</v>
      </c>
      <c r="B6710" t="s">
        <v>4636</v>
      </c>
      <c r="C6710" t="s">
        <v>244</v>
      </c>
      <c r="D6710" t="s">
        <v>4626</v>
      </c>
      <c r="E6710" t="s">
        <v>557</v>
      </c>
      <c r="F6710" t="s">
        <v>1068</v>
      </c>
      <c r="G6710" t="s">
        <v>1087</v>
      </c>
      <c r="H6710" s="170">
        <v>-1.0722085923096E-5</v>
      </c>
      <c r="I6710" t="s">
        <v>1088</v>
      </c>
      <c r="J6710">
        <v>8.07</v>
      </c>
    </row>
    <row r="6711" spans="1:13" hidden="1">
      <c r="A6711" t="s">
        <v>4635</v>
      </c>
      <c r="B6711" t="s">
        <v>4636</v>
      </c>
      <c r="C6711" t="s">
        <v>244</v>
      </c>
      <c r="D6711" t="s">
        <v>4626</v>
      </c>
      <c r="E6711" t="s">
        <v>557</v>
      </c>
      <c r="F6711" t="s">
        <v>1068</v>
      </c>
      <c r="G6711" t="s">
        <v>1089</v>
      </c>
      <c r="H6711">
        <v>-9.1425671284078996E-3</v>
      </c>
      <c r="I6711" t="s">
        <v>1090</v>
      </c>
      <c r="J6711">
        <v>8.07</v>
      </c>
    </row>
    <row r="6712" spans="1:13" hidden="1">
      <c r="A6712" t="s">
        <v>4637</v>
      </c>
      <c r="B6712" t="s">
        <v>4638</v>
      </c>
      <c r="C6712" t="s">
        <v>244</v>
      </c>
      <c r="D6712" t="s">
        <v>4626</v>
      </c>
      <c r="E6712" t="s">
        <v>559</v>
      </c>
      <c r="F6712" t="s">
        <v>1068</v>
      </c>
      <c r="G6712" t="s">
        <v>1069</v>
      </c>
      <c r="H6712">
        <v>-21.194395131008498</v>
      </c>
      <c r="I6712" t="s">
        <v>1070</v>
      </c>
      <c r="J6712">
        <v>7.95</v>
      </c>
    </row>
    <row r="6713" spans="1:13" hidden="1">
      <c r="A6713" t="s">
        <v>4637</v>
      </c>
      <c r="B6713" t="s">
        <v>4638</v>
      </c>
      <c r="C6713" t="s">
        <v>244</v>
      </c>
      <c r="D6713" t="s">
        <v>4626</v>
      </c>
      <c r="E6713" t="s">
        <v>559</v>
      </c>
      <c r="F6713" t="s">
        <v>1068</v>
      </c>
      <c r="G6713" t="s">
        <v>1071</v>
      </c>
      <c r="H6713" s="170">
        <v>-3.9886842278846801E-8</v>
      </c>
      <c r="I6713" t="s">
        <v>1072</v>
      </c>
      <c r="J6713">
        <v>7.95</v>
      </c>
    </row>
    <row r="6714" spans="1:13" hidden="1">
      <c r="A6714" t="s">
        <v>4637</v>
      </c>
      <c r="B6714" t="s">
        <v>4638</v>
      </c>
      <c r="C6714" t="s">
        <v>244</v>
      </c>
      <c r="D6714" t="s">
        <v>4626</v>
      </c>
      <c r="E6714" t="s">
        <v>559</v>
      </c>
      <c r="F6714" t="s">
        <v>1068</v>
      </c>
      <c r="G6714" t="s">
        <v>1073</v>
      </c>
      <c r="H6714" s="170">
        <v>-7.9289352263859303E-6</v>
      </c>
      <c r="I6714" t="s">
        <v>1074</v>
      </c>
      <c r="J6714">
        <v>7.95</v>
      </c>
    </row>
    <row r="6715" spans="1:13" hidden="1">
      <c r="A6715" t="s">
        <v>4637</v>
      </c>
      <c r="B6715" t="s">
        <v>4638</v>
      </c>
      <c r="C6715" t="s">
        <v>244</v>
      </c>
      <c r="D6715" t="s">
        <v>4626</v>
      </c>
      <c r="E6715" t="s">
        <v>559</v>
      </c>
      <c r="F6715" t="s">
        <v>1068</v>
      </c>
      <c r="G6715" t="s">
        <v>1075</v>
      </c>
      <c r="H6715">
        <v>-0.90492565390409796</v>
      </c>
      <c r="I6715" t="s">
        <v>1077</v>
      </c>
      <c r="J6715">
        <v>7.95</v>
      </c>
    </row>
    <row r="6716" spans="1:13">
      <c r="A6716" t="s">
        <v>4637</v>
      </c>
      <c r="B6716" t="s">
        <v>4638</v>
      </c>
      <c r="C6716" t="s">
        <v>244</v>
      </c>
      <c r="D6716" t="s">
        <v>4626</v>
      </c>
      <c r="E6716" t="s">
        <v>559</v>
      </c>
      <c r="F6716" t="s">
        <v>1068</v>
      </c>
      <c r="G6716" t="s">
        <v>1078</v>
      </c>
      <c r="H6716">
        <v>-24.020733134607202</v>
      </c>
      <c r="I6716" t="s">
        <v>1079</v>
      </c>
      <c r="J6716">
        <v>7.95</v>
      </c>
      <c r="M6716" t="str">
        <f>_xlfn.TEXTJOIN(" - ",TRUE,A6716,G6716)</f>
        <v>Recycle - Al - Mexico - Global warming</v>
      </c>
    </row>
    <row r="6717" spans="1:13" hidden="1">
      <c r="A6717" t="s">
        <v>4637</v>
      </c>
      <c r="B6717" t="s">
        <v>4638</v>
      </c>
      <c r="C6717" t="s">
        <v>244</v>
      </c>
      <c r="D6717" t="s">
        <v>4626</v>
      </c>
      <c r="E6717" t="s">
        <v>559</v>
      </c>
      <c r="F6717" t="s">
        <v>1068</v>
      </c>
      <c r="G6717" t="s">
        <v>1080</v>
      </c>
      <c r="H6717">
        <v>-1.17099991572177E-4</v>
      </c>
      <c r="I6717" t="s">
        <v>1082</v>
      </c>
      <c r="J6717">
        <v>7.95</v>
      </c>
    </row>
    <row r="6718" spans="1:13" hidden="1">
      <c r="A6718" t="s">
        <v>4637</v>
      </c>
      <c r="B6718" t="s">
        <v>4638</v>
      </c>
      <c r="C6718" t="s">
        <v>244</v>
      </c>
      <c r="D6718" t="s">
        <v>4626</v>
      </c>
      <c r="E6718" t="s">
        <v>559</v>
      </c>
      <c r="F6718" t="s">
        <v>1068</v>
      </c>
      <c r="G6718" t="s">
        <v>1083</v>
      </c>
      <c r="H6718">
        <v>-2.2902110809324499E-3</v>
      </c>
      <c r="I6718" t="s">
        <v>1084</v>
      </c>
      <c r="J6718">
        <v>7.95</v>
      </c>
    </row>
    <row r="6719" spans="1:13" hidden="1">
      <c r="A6719" t="s">
        <v>4637</v>
      </c>
      <c r="B6719" t="s">
        <v>4638</v>
      </c>
      <c r="C6719" t="s">
        <v>244</v>
      </c>
      <c r="D6719" t="s">
        <v>4626</v>
      </c>
      <c r="E6719" t="s">
        <v>559</v>
      </c>
      <c r="F6719" t="s">
        <v>1068</v>
      </c>
      <c r="G6719" t="s">
        <v>1085</v>
      </c>
      <c r="H6719">
        <v>-3.6177554671700203E-2</v>
      </c>
      <c r="I6719" t="s">
        <v>1086</v>
      </c>
      <c r="J6719">
        <v>7.95</v>
      </c>
    </row>
    <row r="6720" spans="1:13" hidden="1">
      <c r="A6720" t="s">
        <v>4637</v>
      </c>
      <c r="B6720" t="s">
        <v>4638</v>
      </c>
      <c r="C6720" t="s">
        <v>244</v>
      </c>
      <c r="D6720" t="s">
        <v>4626</v>
      </c>
      <c r="E6720" t="s">
        <v>559</v>
      </c>
      <c r="F6720" t="s">
        <v>1068</v>
      </c>
      <c r="G6720" t="s">
        <v>1087</v>
      </c>
      <c r="H6720" s="170">
        <v>-1.10512889721759E-5</v>
      </c>
      <c r="I6720" t="s">
        <v>1088</v>
      </c>
      <c r="J6720">
        <v>7.95</v>
      </c>
    </row>
    <row r="6721" spans="1:13" hidden="1">
      <c r="A6721" t="s">
        <v>4637</v>
      </c>
      <c r="B6721" t="s">
        <v>4638</v>
      </c>
      <c r="C6721" t="s">
        <v>244</v>
      </c>
      <c r="D6721" t="s">
        <v>4626</v>
      </c>
      <c r="E6721" t="s">
        <v>559</v>
      </c>
      <c r="F6721" t="s">
        <v>1068</v>
      </c>
      <c r="G6721" t="s">
        <v>1089</v>
      </c>
      <c r="H6721">
        <v>-9.28329090874188E-3</v>
      </c>
      <c r="I6721" t="s">
        <v>1090</v>
      </c>
      <c r="J6721">
        <v>7.95</v>
      </c>
    </row>
    <row r="6722" spans="1:13" hidden="1">
      <c r="A6722" t="s">
        <v>4639</v>
      </c>
      <c r="B6722" t="s">
        <v>4640</v>
      </c>
      <c r="C6722" t="s">
        <v>244</v>
      </c>
      <c r="D6722" t="s">
        <v>4626</v>
      </c>
      <c r="E6722" t="s">
        <v>560</v>
      </c>
      <c r="F6722" t="s">
        <v>1068</v>
      </c>
      <c r="G6722" t="s">
        <v>1069</v>
      </c>
      <c r="H6722">
        <v>-21.059096124238501</v>
      </c>
      <c r="I6722" t="s">
        <v>1070</v>
      </c>
      <c r="J6722">
        <v>8.69</v>
      </c>
    </row>
    <row r="6723" spans="1:13" hidden="1">
      <c r="A6723" t="s">
        <v>4639</v>
      </c>
      <c r="B6723" t="s">
        <v>4640</v>
      </c>
      <c r="C6723" t="s">
        <v>244</v>
      </c>
      <c r="D6723" t="s">
        <v>4626</v>
      </c>
      <c r="E6723" t="s">
        <v>560</v>
      </c>
      <c r="F6723" t="s">
        <v>1068</v>
      </c>
      <c r="G6723" t="s">
        <v>1071</v>
      </c>
      <c r="H6723" s="170">
        <v>-3.9693227860872698E-8</v>
      </c>
      <c r="I6723" t="s">
        <v>1072</v>
      </c>
      <c r="J6723">
        <v>8.69</v>
      </c>
    </row>
    <row r="6724" spans="1:13" hidden="1">
      <c r="A6724" t="s">
        <v>4639</v>
      </c>
      <c r="B6724" t="s">
        <v>4640</v>
      </c>
      <c r="C6724" t="s">
        <v>244</v>
      </c>
      <c r="D6724" t="s">
        <v>4626</v>
      </c>
      <c r="E6724" t="s">
        <v>560</v>
      </c>
      <c r="F6724" t="s">
        <v>1068</v>
      </c>
      <c r="G6724" t="s">
        <v>1073</v>
      </c>
      <c r="H6724" s="170">
        <v>-7.8808765910688406E-6</v>
      </c>
      <c r="I6724" t="s">
        <v>1074</v>
      </c>
      <c r="J6724">
        <v>8.69</v>
      </c>
    </row>
    <row r="6725" spans="1:13" hidden="1">
      <c r="A6725" t="s">
        <v>4639</v>
      </c>
      <c r="B6725" t="s">
        <v>4640</v>
      </c>
      <c r="C6725" t="s">
        <v>244</v>
      </c>
      <c r="D6725" t="s">
        <v>4626</v>
      </c>
      <c r="E6725" t="s">
        <v>560</v>
      </c>
      <c r="F6725" t="s">
        <v>1068</v>
      </c>
      <c r="G6725" t="s">
        <v>1075</v>
      </c>
      <c r="H6725">
        <v>-0.90064870776429096</v>
      </c>
      <c r="I6725" t="s">
        <v>1077</v>
      </c>
      <c r="J6725">
        <v>8.69</v>
      </c>
    </row>
    <row r="6726" spans="1:13">
      <c r="A6726" t="s">
        <v>4639</v>
      </c>
      <c r="B6726" t="s">
        <v>4640</v>
      </c>
      <c r="C6726" t="s">
        <v>244</v>
      </c>
      <c r="D6726" t="s">
        <v>4626</v>
      </c>
      <c r="E6726" t="s">
        <v>560</v>
      </c>
      <c r="F6726" t="s">
        <v>1068</v>
      </c>
      <c r="G6726" t="s">
        <v>1078</v>
      </c>
      <c r="H6726">
        <v>-23.835781485661599</v>
      </c>
      <c r="I6726" t="s">
        <v>1079</v>
      </c>
      <c r="J6726">
        <v>8.69</v>
      </c>
      <c r="M6726" t="str">
        <f>_xlfn.TEXTJOIN(" - ",TRUE,A6726,G6726)</f>
        <v>Recycle - Al - Spain - Global warming</v>
      </c>
    </row>
    <row r="6727" spans="1:13" hidden="1">
      <c r="A6727" t="s">
        <v>4639</v>
      </c>
      <c r="B6727" t="s">
        <v>4640</v>
      </c>
      <c r="C6727" t="s">
        <v>244</v>
      </c>
      <c r="D6727" t="s">
        <v>4626</v>
      </c>
      <c r="E6727" t="s">
        <v>560</v>
      </c>
      <c r="F6727" t="s">
        <v>1068</v>
      </c>
      <c r="G6727" t="s">
        <v>1080</v>
      </c>
      <c r="H6727">
        <v>-1.17099239493562E-4</v>
      </c>
      <c r="I6727" t="s">
        <v>1082</v>
      </c>
      <c r="J6727">
        <v>8.69</v>
      </c>
    </row>
    <row r="6728" spans="1:13" hidden="1">
      <c r="A6728" t="s">
        <v>4639</v>
      </c>
      <c r="B6728" t="s">
        <v>4640</v>
      </c>
      <c r="C6728" t="s">
        <v>244</v>
      </c>
      <c r="D6728" t="s">
        <v>4626</v>
      </c>
      <c r="E6728" t="s">
        <v>560</v>
      </c>
      <c r="F6728" t="s">
        <v>1068</v>
      </c>
      <c r="G6728" t="s">
        <v>1083</v>
      </c>
      <c r="H6728">
        <v>-2.2696455443034099E-3</v>
      </c>
      <c r="I6728" t="s">
        <v>1084</v>
      </c>
      <c r="J6728">
        <v>8.69</v>
      </c>
    </row>
    <row r="6729" spans="1:13" hidden="1">
      <c r="A6729" t="s">
        <v>4639</v>
      </c>
      <c r="B6729" t="s">
        <v>4640</v>
      </c>
      <c r="C6729" t="s">
        <v>244</v>
      </c>
      <c r="D6729" t="s">
        <v>4626</v>
      </c>
      <c r="E6729" t="s">
        <v>560</v>
      </c>
      <c r="F6729" t="s">
        <v>1068</v>
      </c>
      <c r="G6729" t="s">
        <v>1085</v>
      </c>
      <c r="H6729">
        <v>-3.5945122368528599E-2</v>
      </c>
      <c r="I6729" t="s">
        <v>1086</v>
      </c>
      <c r="J6729">
        <v>8.69</v>
      </c>
    </row>
    <row r="6730" spans="1:13" hidden="1">
      <c r="A6730" t="s">
        <v>4639</v>
      </c>
      <c r="B6730" t="s">
        <v>4640</v>
      </c>
      <c r="C6730" t="s">
        <v>244</v>
      </c>
      <c r="D6730" t="s">
        <v>4626</v>
      </c>
      <c r="E6730" t="s">
        <v>560</v>
      </c>
      <c r="F6730" t="s">
        <v>1068</v>
      </c>
      <c r="G6730" t="s">
        <v>1087</v>
      </c>
      <c r="H6730" s="170">
        <v>-1.09391160813774E-5</v>
      </c>
      <c r="I6730" t="s">
        <v>1088</v>
      </c>
      <c r="J6730">
        <v>8.69</v>
      </c>
    </row>
    <row r="6731" spans="1:13" hidden="1">
      <c r="A6731" t="s">
        <v>4639</v>
      </c>
      <c r="B6731" t="s">
        <v>4640</v>
      </c>
      <c r="C6731" t="s">
        <v>244</v>
      </c>
      <c r="D6731" t="s">
        <v>4626</v>
      </c>
      <c r="E6731" t="s">
        <v>560</v>
      </c>
      <c r="F6731" t="s">
        <v>1068</v>
      </c>
      <c r="G6731" t="s">
        <v>1089</v>
      </c>
      <c r="H6731">
        <v>-9.2353405835894301E-3</v>
      </c>
      <c r="I6731" t="s">
        <v>1090</v>
      </c>
      <c r="J6731">
        <v>8.69</v>
      </c>
    </row>
    <row r="6732" spans="1:13" hidden="1">
      <c r="A6732" t="s">
        <v>4641</v>
      </c>
      <c r="B6732" t="s">
        <v>4642</v>
      </c>
      <c r="C6732" t="s">
        <v>244</v>
      </c>
      <c r="D6732" t="s">
        <v>4626</v>
      </c>
      <c r="E6732" t="s">
        <v>554</v>
      </c>
      <c r="F6732" t="s">
        <v>1068</v>
      </c>
      <c r="G6732" t="s">
        <v>1069</v>
      </c>
      <c r="H6732">
        <v>-20.264585207305</v>
      </c>
      <c r="I6732" t="s">
        <v>1070</v>
      </c>
      <c r="J6732">
        <v>7.81</v>
      </c>
    </row>
    <row r="6733" spans="1:13" hidden="1">
      <c r="A6733" t="s">
        <v>4641</v>
      </c>
      <c r="B6733" t="s">
        <v>4642</v>
      </c>
      <c r="C6733" t="s">
        <v>244</v>
      </c>
      <c r="D6733" t="s">
        <v>4626</v>
      </c>
      <c r="E6733" t="s">
        <v>554</v>
      </c>
      <c r="F6733" t="s">
        <v>1068</v>
      </c>
      <c r="G6733" t="s">
        <v>1071</v>
      </c>
      <c r="H6733" s="170">
        <v>-3.8556273699686797E-8</v>
      </c>
      <c r="I6733" t="s">
        <v>1072</v>
      </c>
      <c r="J6733">
        <v>7.82</v>
      </c>
    </row>
    <row r="6734" spans="1:13" hidden="1">
      <c r="A6734" t="s">
        <v>4641</v>
      </c>
      <c r="B6734" t="s">
        <v>4642</v>
      </c>
      <c r="C6734" t="s">
        <v>244</v>
      </c>
      <c r="D6734" t="s">
        <v>4626</v>
      </c>
      <c r="E6734" t="s">
        <v>554</v>
      </c>
      <c r="F6734" t="s">
        <v>1068</v>
      </c>
      <c r="G6734" t="s">
        <v>1073</v>
      </c>
      <c r="H6734" s="170">
        <v>-7.59866379938868E-6</v>
      </c>
      <c r="I6734" t="s">
        <v>1074</v>
      </c>
      <c r="J6734">
        <v>7.82</v>
      </c>
    </row>
    <row r="6735" spans="1:13" hidden="1">
      <c r="A6735" t="s">
        <v>4641</v>
      </c>
      <c r="B6735" t="s">
        <v>4642</v>
      </c>
      <c r="C6735" t="s">
        <v>244</v>
      </c>
      <c r="D6735" t="s">
        <v>4626</v>
      </c>
      <c r="E6735" t="s">
        <v>554</v>
      </c>
      <c r="F6735" t="s">
        <v>1068</v>
      </c>
      <c r="G6735" t="s">
        <v>1075</v>
      </c>
      <c r="H6735">
        <v>-0.87553336892827105</v>
      </c>
      <c r="I6735" t="s">
        <v>1077</v>
      </c>
      <c r="J6735">
        <v>7.82</v>
      </c>
    </row>
    <row r="6736" spans="1:13">
      <c r="A6736" t="s">
        <v>4641</v>
      </c>
      <c r="B6736" t="s">
        <v>4642</v>
      </c>
      <c r="C6736" t="s">
        <v>244</v>
      </c>
      <c r="D6736" t="s">
        <v>4626</v>
      </c>
      <c r="E6736" t="s">
        <v>554</v>
      </c>
      <c r="F6736" t="s">
        <v>1068</v>
      </c>
      <c r="G6736" t="s">
        <v>1078</v>
      </c>
      <c r="H6736">
        <v>-22.7496973546269</v>
      </c>
      <c r="I6736" t="s">
        <v>1079</v>
      </c>
      <c r="J6736">
        <v>7.82</v>
      </c>
      <c r="M6736" t="str">
        <f>_xlfn.TEXTJOIN(" - ",TRUE,A6736,G6736)</f>
        <v>Recycle - Al - United States - Global warming</v>
      </c>
    </row>
    <row r="6737" spans="1:13" hidden="1">
      <c r="A6737" t="s">
        <v>4641</v>
      </c>
      <c r="B6737" t="s">
        <v>4642</v>
      </c>
      <c r="C6737" t="s">
        <v>244</v>
      </c>
      <c r="D6737" t="s">
        <v>4626</v>
      </c>
      <c r="E6737" t="s">
        <v>554</v>
      </c>
      <c r="F6737" t="s">
        <v>1068</v>
      </c>
      <c r="G6737" t="s">
        <v>1080</v>
      </c>
      <c r="H6737">
        <v>-1.17094823092552E-4</v>
      </c>
      <c r="I6737" t="s">
        <v>1082</v>
      </c>
      <c r="J6737">
        <v>7.82</v>
      </c>
    </row>
    <row r="6738" spans="1:13" hidden="1">
      <c r="A6738" t="s">
        <v>4641</v>
      </c>
      <c r="B6738" t="s">
        <v>4642</v>
      </c>
      <c r="C6738" t="s">
        <v>244</v>
      </c>
      <c r="D6738" t="s">
        <v>4626</v>
      </c>
      <c r="E6738" t="s">
        <v>554</v>
      </c>
      <c r="F6738" t="s">
        <v>1068</v>
      </c>
      <c r="G6738" t="s">
        <v>1083</v>
      </c>
      <c r="H6738">
        <v>-2.1488793705152498E-3</v>
      </c>
      <c r="I6738" t="s">
        <v>1084</v>
      </c>
      <c r="J6738">
        <v>7.82</v>
      </c>
    </row>
    <row r="6739" spans="1:13" hidden="1">
      <c r="A6739" t="s">
        <v>4641</v>
      </c>
      <c r="B6739" t="s">
        <v>4642</v>
      </c>
      <c r="C6739" t="s">
        <v>244</v>
      </c>
      <c r="D6739" t="s">
        <v>4626</v>
      </c>
      <c r="E6739" t="s">
        <v>554</v>
      </c>
      <c r="F6739" t="s">
        <v>1068</v>
      </c>
      <c r="G6739" t="s">
        <v>1085</v>
      </c>
      <c r="H6739">
        <v>-3.45802195009405E-2</v>
      </c>
      <c r="I6739" t="s">
        <v>1086</v>
      </c>
      <c r="J6739">
        <v>7.82</v>
      </c>
    </row>
    <row r="6740" spans="1:13" hidden="1">
      <c r="A6740" t="s">
        <v>4641</v>
      </c>
      <c r="B6740" t="s">
        <v>4642</v>
      </c>
      <c r="C6740" t="s">
        <v>244</v>
      </c>
      <c r="D6740" t="s">
        <v>4626</v>
      </c>
      <c r="E6740" t="s">
        <v>554</v>
      </c>
      <c r="F6740" t="s">
        <v>1068</v>
      </c>
      <c r="G6740" t="s">
        <v>1087</v>
      </c>
      <c r="H6740" s="170">
        <v>-1.0280407725311101E-5</v>
      </c>
      <c r="I6740" t="s">
        <v>1088</v>
      </c>
      <c r="J6740">
        <v>7.82</v>
      </c>
    </row>
    <row r="6741" spans="1:13" hidden="1">
      <c r="A6741" t="s">
        <v>4641</v>
      </c>
      <c r="B6741" t="s">
        <v>4642</v>
      </c>
      <c r="C6741" t="s">
        <v>244</v>
      </c>
      <c r="D6741" t="s">
        <v>4626</v>
      </c>
      <c r="E6741" t="s">
        <v>554</v>
      </c>
      <c r="F6741" t="s">
        <v>1068</v>
      </c>
      <c r="G6741" t="s">
        <v>1089</v>
      </c>
      <c r="H6741">
        <v>-8.95376381732952E-3</v>
      </c>
      <c r="I6741" t="s">
        <v>1090</v>
      </c>
      <c r="J6741">
        <v>7.82</v>
      </c>
    </row>
    <row r="6742" spans="1:13" hidden="1">
      <c r="A6742" t="s">
        <v>4643</v>
      </c>
      <c r="B6742" t="s">
        <v>4644</v>
      </c>
      <c r="C6742" t="s">
        <v>244</v>
      </c>
      <c r="D6742" t="s">
        <v>4645</v>
      </c>
      <c r="E6742" t="s">
        <v>561</v>
      </c>
      <c r="F6742" t="s">
        <v>1068</v>
      </c>
      <c r="G6742" t="s">
        <v>1069</v>
      </c>
      <c r="H6742" s="171" t="s">
        <v>4646</v>
      </c>
      <c r="I6742" t="s">
        <v>1070</v>
      </c>
      <c r="J6742">
        <v>10.96</v>
      </c>
    </row>
    <row r="6743" spans="1:13" hidden="1">
      <c r="A6743" t="s">
        <v>4643</v>
      </c>
      <c r="B6743" t="s">
        <v>4644</v>
      </c>
      <c r="C6743" t="s">
        <v>244</v>
      </c>
      <c r="D6743" t="s">
        <v>4645</v>
      </c>
      <c r="E6743" t="s">
        <v>561</v>
      </c>
      <c r="F6743" t="s">
        <v>1068</v>
      </c>
      <c r="G6743" t="s">
        <v>1071</v>
      </c>
      <c r="H6743" s="171" t="s">
        <v>4647</v>
      </c>
      <c r="I6743" t="s">
        <v>1072</v>
      </c>
      <c r="J6743">
        <v>10.96</v>
      </c>
    </row>
    <row r="6744" spans="1:13" hidden="1">
      <c r="A6744" t="s">
        <v>4643</v>
      </c>
      <c r="B6744" t="s">
        <v>4644</v>
      </c>
      <c r="C6744" t="s">
        <v>244</v>
      </c>
      <c r="D6744" t="s">
        <v>4645</v>
      </c>
      <c r="E6744" t="s">
        <v>561</v>
      </c>
      <c r="F6744" t="s">
        <v>1068</v>
      </c>
      <c r="G6744" t="s">
        <v>1073</v>
      </c>
      <c r="H6744" s="171" t="s">
        <v>4648</v>
      </c>
      <c r="I6744" t="s">
        <v>1074</v>
      </c>
      <c r="J6744">
        <v>10.96</v>
      </c>
    </row>
    <row r="6745" spans="1:13" hidden="1">
      <c r="A6745" t="s">
        <v>4643</v>
      </c>
      <c r="B6745" t="s">
        <v>4644</v>
      </c>
      <c r="C6745" t="s">
        <v>244</v>
      </c>
      <c r="D6745" t="s">
        <v>4645</v>
      </c>
      <c r="E6745" t="s">
        <v>561</v>
      </c>
      <c r="F6745" t="s">
        <v>1068</v>
      </c>
      <c r="G6745" t="s">
        <v>1075</v>
      </c>
      <c r="H6745" s="171" t="s">
        <v>4649</v>
      </c>
      <c r="I6745" t="s">
        <v>1077</v>
      </c>
      <c r="J6745">
        <v>10.96</v>
      </c>
    </row>
    <row r="6746" spans="1:13">
      <c r="A6746" t="s">
        <v>4643</v>
      </c>
      <c r="B6746" t="s">
        <v>4644</v>
      </c>
      <c r="C6746" t="s">
        <v>244</v>
      </c>
      <c r="D6746" t="s">
        <v>4645</v>
      </c>
      <c r="E6746" t="s">
        <v>561</v>
      </c>
      <c r="F6746" t="s">
        <v>1068</v>
      </c>
      <c r="G6746" t="s">
        <v>1078</v>
      </c>
      <c r="H6746">
        <v>-0.177492731240917</v>
      </c>
      <c r="I6746" t="s">
        <v>1079</v>
      </c>
      <c r="J6746">
        <v>10.96</v>
      </c>
      <c r="M6746" t="str">
        <f>_xlfn.TEXTJOIN(" - ",TRUE,A6746,G6746)</f>
        <v>Recycle - Brown_glass - Australia - Global warming</v>
      </c>
    </row>
    <row r="6747" spans="1:13" hidden="1">
      <c r="A6747" t="s">
        <v>4643</v>
      </c>
      <c r="B6747" t="s">
        <v>4644</v>
      </c>
      <c r="C6747" t="s">
        <v>244</v>
      </c>
      <c r="D6747" t="s">
        <v>4645</v>
      </c>
      <c r="E6747" t="s">
        <v>561</v>
      </c>
      <c r="F6747" t="s">
        <v>1068</v>
      </c>
      <c r="G6747" t="s">
        <v>1080</v>
      </c>
      <c r="H6747" s="171" t="s">
        <v>4650</v>
      </c>
      <c r="I6747" t="s">
        <v>1082</v>
      </c>
      <c r="J6747">
        <v>10.96</v>
      </c>
    </row>
    <row r="6748" spans="1:13" hidden="1">
      <c r="A6748" t="s">
        <v>4643</v>
      </c>
      <c r="B6748" t="s">
        <v>4644</v>
      </c>
      <c r="C6748" t="s">
        <v>244</v>
      </c>
      <c r="D6748" t="s">
        <v>4645</v>
      </c>
      <c r="E6748" t="s">
        <v>561</v>
      </c>
      <c r="F6748" t="s">
        <v>1068</v>
      </c>
      <c r="G6748" t="s">
        <v>1083</v>
      </c>
      <c r="H6748" s="171" t="s">
        <v>4651</v>
      </c>
      <c r="I6748" t="s">
        <v>1084</v>
      </c>
      <c r="J6748">
        <v>10.96</v>
      </c>
    </row>
    <row r="6749" spans="1:13" hidden="1">
      <c r="A6749" t="s">
        <v>4643</v>
      </c>
      <c r="B6749" t="s">
        <v>4644</v>
      </c>
      <c r="C6749" t="s">
        <v>244</v>
      </c>
      <c r="D6749" t="s">
        <v>4645</v>
      </c>
      <c r="E6749" t="s">
        <v>561</v>
      </c>
      <c r="F6749" t="s">
        <v>1068</v>
      </c>
      <c r="G6749" t="s">
        <v>1085</v>
      </c>
      <c r="H6749">
        <v>3.00800148025191E-4</v>
      </c>
      <c r="I6749" t="s">
        <v>1086</v>
      </c>
      <c r="J6749">
        <v>10.96</v>
      </c>
    </row>
    <row r="6750" spans="1:13" hidden="1">
      <c r="A6750" t="s">
        <v>4643</v>
      </c>
      <c r="B6750" t="s">
        <v>4644</v>
      </c>
      <c r="C6750" t="s">
        <v>244</v>
      </c>
      <c r="D6750" t="s">
        <v>4645</v>
      </c>
      <c r="E6750" t="s">
        <v>561</v>
      </c>
      <c r="F6750" t="s">
        <v>1068</v>
      </c>
      <c r="G6750" t="s">
        <v>1087</v>
      </c>
      <c r="H6750" s="171" t="s">
        <v>4652</v>
      </c>
      <c r="I6750" t="s">
        <v>1088</v>
      </c>
      <c r="J6750">
        <v>10.96</v>
      </c>
    </row>
    <row r="6751" spans="1:13" hidden="1">
      <c r="A6751" t="s">
        <v>4643</v>
      </c>
      <c r="B6751" t="s">
        <v>4644</v>
      </c>
      <c r="C6751" t="s">
        <v>244</v>
      </c>
      <c r="D6751" t="s">
        <v>4645</v>
      </c>
      <c r="E6751" t="s">
        <v>561</v>
      </c>
      <c r="F6751" t="s">
        <v>1068</v>
      </c>
      <c r="G6751" t="s">
        <v>1089</v>
      </c>
      <c r="H6751">
        <v>1.0738038150663E-4</v>
      </c>
      <c r="I6751" t="s">
        <v>1090</v>
      </c>
      <c r="J6751">
        <v>10.96</v>
      </c>
    </row>
    <row r="6752" spans="1:13" hidden="1">
      <c r="A6752" t="s">
        <v>4653</v>
      </c>
      <c r="B6752" t="s">
        <v>4654</v>
      </c>
      <c r="C6752" t="s">
        <v>244</v>
      </c>
      <c r="D6752" t="s">
        <v>4645</v>
      </c>
      <c r="E6752" t="s">
        <v>555</v>
      </c>
      <c r="F6752" t="s">
        <v>1068</v>
      </c>
      <c r="G6752" t="s">
        <v>1069</v>
      </c>
      <c r="H6752" s="171" t="s">
        <v>4655</v>
      </c>
      <c r="I6752" t="s">
        <v>1070</v>
      </c>
      <c r="J6752">
        <v>10.76</v>
      </c>
    </row>
    <row r="6753" spans="1:13" hidden="1">
      <c r="A6753" t="s">
        <v>4653</v>
      </c>
      <c r="B6753" t="s">
        <v>4654</v>
      </c>
      <c r="C6753" t="s">
        <v>244</v>
      </c>
      <c r="D6753" t="s">
        <v>4645</v>
      </c>
      <c r="E6753" t="s">
        <v>555</v>
      </c>
      <c r="F6753" t="s">
        <v>1068</v>
      </c>
      <c r="G6753" t="s">
        <v>1071</v>
      </c>
      <c r="H6753" s="171" t="s">
        <v>4656</v>
      </c>
      <c r="I6753" t="s">
        <v>1072</v>
      </c>
      <c r="J6753">
        <v>10.76</v>
      </c>
    </row>
    <row r="6754" spans="1:13" hidden="1">
      <c r="A6754" t="s">
        <v>4653</v>
      </c>
      <c r="B6754" t="s">
        <v>4654</v>
      </c>
      <c r="C6754" t="s">
        <v>244</v>
      </c>
      <c r="D6754" t="s">
        <v>4645</v>
      </c>
      <c r="E6754" t="s">
        <v>555</v>
      </c>
      <c r="F6754" t="s">
        <v>1068</v>
      </c>
      <c r="G6754" t="s">
        <v>1073</v>
      </c>
      <c r="H6754" s="171" t="s">
        <v>4657</v>
      </c>
      <c r="I6754" t="s">
        <v>1074</v>
      </c>
      <c r="J6754">
        <v>10.76</v>
      </c>
    </row>
    <row r="6755" spans="1:13" hidden="1">
      <c r="A6755" t="s">
        <v>4653</v>
      </c>
      <c r="B6755" t="s">
        <v>4654</v>
      </c>
      <c r="C6755" t="s">
        <v>244</v>
      </c>
      <c r="D6755" t="s">
        <v>4645</v>
      </c>
      <c r="E6755" t="s">
        <v>555</v>
      </c>
      <c r="F6755" t="s">
        <v>1068</v>
      </c>
      <c r="G6755" t="s">
        <v>1075</v>
      </c>
      <c r="H6755">
        <v>1.1158740619387099E-2</v>
      </c>
      <c r="I6755" t="s">
        <v>1077</v>
      </c>
      <c r="J6755">
        <v>10.76</v>
      </c>
    </row>
    <row r="6756" spans="1:13">
      <c r="A6756" t="s">
        <v>4653</v>
      </c>
      <c r="B6756" t="s">
        <v>4654</v>
      </c>
      <c r="C6756" t="s">
        <v>244</v>
      </c>
      <c r="D6756" t="s">
        <v>4645</v>
      </c>
      <c r="E6756" t="s">
        <v>555</v>
      </c>
      <c r="F6756" t="s">
        <v>1068</v>
      </c>
      <c r="G6756" t="s">
        <v>1078</v>
      </c>
      <c r="H6756">
        <v>-0.17666997234010001</v>
      </c>
      <c r="I6756" t="s">
        <v>1079</v>
      </c>
      <c r="J6756">
        <v>10.76</v>
      </c>
      <c r="M6756" t="str">
        <f>_xlfn.TEXTJOIN(" - ",TRUE,A6756,G6756)</f>
        <v>Recycle - Brown_glass - Brazil - Global warming</v>
      </c>
    </row>
    <row r="6757" spans="1:13" hidden="1">
      <c r="A6757" t="s">
        <v>4653</v>
      </c>
      <c r="B6757" t="s">
        <v>4654</v>
      </c>
      <c r="C6757" t="s">
        <v>244</v>
      </c>
      <c r="D6757" t="s">
        <v>4645</v>
      </c>
      <c r="E6757" t="s">
        <v>555</v>
      </c>
      <c r="F6757" t="s">
        <v>1068</v>
      </c>
      <c r="G6757" t="s">
        <v>1080</v>
      </c>
      <c r="H6757" s="171" t="s">
        <v>4658</v>
      </c>
      <c r="I6757" t="s">
        <v>1082</v>
      </c>
      <c r="J6757">
        <v>10.76</v>
      </c>
    </row>
    <row r="6758" spans="1:13" hidden="1">
      <c r="A6758" t="s">
        <v>4653</v>
      </c>
      <c r="B6758" t="s">
        <v>4654</v>
      </c>
      <c r="C6758" t="s">
        <v>244</v>
      </c>
      <c r="D6758" t="s">
        <v>4645</v>
      </c>
      <c r="E6758" t="s">
        <v>555</v>
      </c>
      <c r="F6758" t="s">
        <v>1068</v>
      </c>
      <c r="G6758" t="s">
        <v>1083</v>
      </c>
      <c r="H6758" s="171" t="s">
        <v>4659</v>
      </c>
      <c r="I6758" t="s">
        <v>1084</v>
      </c>
      <c r="J6758">
        <v>10.76</v>
      </c>
    </row>
    <row r="6759" spans="1:13" hidden="1">
      <c r="A6759" t="s">
        <v>4653</v>
      </c>
      <c r="B6759" t="s">
        <v>4654</v>
      </c>
      <c r="C6759" t="s">
        <v>244</v>
      </c>
      <c r="D6759" t="s">
        <v>4645</v>
      </c>
      <c r="E6759" t="s">
        <v>555</v>
      </c>
      <c r="F6759" t="s">
        <v>1068</v>
      </c>
      <c r="G6759" t="s">
        <v>1085</v>
      </c>
      <c r="H6759">
        <v>3.0183412499898898E-4</v>
      </c>
      <c r="I6759" t="s">
        <v>1086</v>
      </c>
      <c r="J6759">
        <v>10.76</v>
      </c>
    </row>
    <row r="6760" spans="1:13" hidden="1">
      <c r="A6760" t="s">
        <v>4653</v>
      </c>
      <c r="B6760" t="s">
        <v>4654</v>
      </c>
      <c r="C6760" t="s">
        <v>244</v>
      </c>
      <c r="D6760" t="s">
        <v>4645</v>
      </c>
      <c r="E6760" t="s">
        <v>555</v>
      </c>
      <c r="F6760" t="s">
        <v>1068</v>
      </c>
      <c r="G6760" t="s">
        <v>1087</v>
      </c>
      <c r="H6760" s="171" t="s">
        <v>4660</v>
      </c>
      <c r="I6760" t="s">
        <v>1088</v>
      </c>
      <c r="J6760">
        <v>10.76</v>
      </c>
    </row>
    <row r="6761" spans="1:13" hidden="1">
      <c r="A6761" t="s">
        <v>4653</v>
      </c>
      <c r="B6761" t="s">
        <v>4654</v>
      </c>
      <c r="C6761" t="s">
        <v>244</v>
      </c>
      <c r="D6761" t="s">
        <v>4645</v>
      </c>
      <c r="E6761" t="s">
        <v>555</v>
      </c>
      <c r="F6761" t="s">
        <v>1068</v>
      </c>
      <c r="G6761" t="s">
        <v>1089</v>
      </c>
      <c r="H6761">
        <v>1.07593688914499E-4</v>
      </c>
      <c r="I6761" t="s">
        <v>1090</v>
      </c>
      <c r="J6761">
        <v>10.76</v>
      </c>
    </row>
    <row r="6762" spans="1:13" hidden="1">
      <c r="A6762" t="s">
        <v>4661</v>
      </c>
      <c r="B6762" t="s">
        <v>4662</v>
      </c>
      <c r="C6762" t="s">
        <v>244</v>
      </c>
      <c r="D6762" t="s">
        <v>4645</v>
      </c>
      <c r="E6762" t="s">
        <v>558</v>
      </c>
      <c r="F6762" t="s">
        <v>1068</v>
      </c>
      <c r="G6762" t="s">
        <v>1069</v>
      </c>
      <c r="H6762" s="171" t="s">
        <v>4663</v>
      </c>
      <c r="I6762" t="s">
        <v>1070</v>
      </c>
      <c r="J6762">
        <v>8.85</v>
      </c>
    </row>
    <row r="6763" spans="1:13" hidden="1">
      <c r="A6763" t="s">
        <v>4661</v>
      </c>
      <c r="B6763" t="s">
        <v>4662</v>
      </c>
      <c r="C6763" t="s">
        <v>244</v>
      </c>
      <c r="D6763" t="s">
        <v>4645</v>
      </c>
      <c r="E6763" t="s">
        <v>558</v>
      </c>
      <c r="F6763" t="s">
        <v>1068</v>
      </c>
      <c r="G6763" t="s">
        <v>1071</v>
      </c>
      <c r="H6763" s="171" t="s">
        <v>4664</v>
      </c>
      <c r="I6763" t="s">
        <v>1072</v>
      </c>
      <c r="J6763">
        <v>8.85</v>
      </c>
    </row>
    <row r="6764" spans="1:13" hidden="1">
      <c r="A6764" t="s">
        <v>4661</v>
      </c>
      <c r="B6764" t="s">
        <v>4662</v>
      </c>
      <c r="C6764" t="s">
        <v>244</v>
      </c>
      <c r="D6764" t="s">
        <v>4645</v>
      </c>
      <c r="E6764" t="s">
        <v>558</v>
      </c>
      <c r="F6764" t="s">
        <v>1068</v>
      </c>
      <c r="G6764" t="s">
        <v>1073</v>
      </c>
      <c r="H6764" s="171" t="s">
        <v>4665</v>
      </c>
      <c r="I6764" t="s">
        <v>1074</v>
      </c>
      <c r="J6764">
        <v>8.85</v>
      </c>
    </row>
    <row r="6765" spans="1:13" hidden="1">
      <c r="A6765" t="s">
        <v>4661</v>
      </c>
      <c r="B6765" t="s">
        <v>4662</v>
      </c>
      <c r="C6765" t="s">
        <v>244</v>
      </c>
      <c r="D6765" t="s">
        <v>4645</v>
      </c>
      <c r="E6765" t="s">
        <v>558</v>
      </c>
      <c r="F6765" t="s">
        <v>1068</v>
      </c>
      <c r="G6765" t="s">
        <v>1075</v>
      </c>
      <c r="H6765" s="171" t="s">
        <v>4666</v>
      </c>
      <c r="I6765" t="s">
        <v>1077</v>
      </c>
      <c r="J6765">
        <v>8.85</v>
      </c>
    </row>
    <row r="6766" spans="1:13">
      <c r="A6766" t="s">
        <v>4661</v>
      </c>
      <c r="B6766" t="s">
        <v>4662</v>
      </c>
      <c r="C6766" t="s">
        <v>244</v>
      </c>
      <c r="D6766" t="s">
        <v>4645</v>
      </c>
      <c r="E6766" t="s">
        <v>558</v>
      </c>
      <c r="F6766" t="s">
        <v>1068</v>
      </c>
      <c r="G6766" t="s">
        <v>1078</v>
      </c>
      <c r="H6766">
        <v>-0.17756557968525899</v>
      </c>
      <c r="I6766" t="s">
        <v>1079</v>
      </c>
      <c r="J6766">
        <v>8.85</v>
      </c>
      <c r="M6766" t="str">
        <f>_xlfn.TEXTJOIN(" - ",TRUE,A6766,G6766)</f>
        <v>Recycle - Brown_glass - Canada - Global warming</v>
      </c>
    </row>
    <row r="6767" spans="1:13" hidden="1">
      <c r="A6767" t="s">
        <v>4661</v>
      </c>
      <c r="B6767" t="s">
        <v>4662</v>
      </c>
      <c r="C6767" t="s">
        <v>244</v>
      </c>
      <c r="D6767" t="s">
        <v>4645</v>
      </c>
      <c r="E6767" t="s">
        <v>558</v>
      </c>
      <c r="F6767" t="s">
        <v>1068</v>
      </c>
      <c r="G6767" t="s">
        <v>1080</v>
      </c>
      <c r="H6767" s="171" t="s">
        <v>4667</v>
      </c>
      <c r="I6767" t="s">
        <v>1082</v>
      </c>
      <c r="J6767">
        <v>8.85</v>
      </c>
    </row>
    <row r="6768" spans="1:13" hidden="1">
      <c r="A6768" t="s">
        <v>4661</v>
      </c>
      <c r="B6768" t="s">
        <v>4662</v>
      </c>
      <c r="C6768" t="s">
        <v>244</v>
      </c>
      <c r="D6768" t="s">
        <v>4645</v>
      </c>
      <c r="E6768" t="s">
        <v>558</v>
      </c>
      <c r="F6768" t="s">
        <v>1068</v>
      </c>
      <c r="G6768" t="s">
        <v>1083</v>
      </c>
      <c r="H6768" s="171" t="s">
        <v>4668</v>
      </c>
      <c r="I6768" t="s">
        <v>1084</v>
      </c>
      <c r="J6768">
        <v>8.85</v>
      </c>
    </row>
    <row r="6769" spans="1:13" hidden="1">
      <c r="A6769" t="s">
        <v>4661</v>
      </c>
      <c r="B6769" t="s">
        <v>4662</v>
      </c>
      <c r="C6769" t="s">
        <v>244</v>
      </c>
      <c r="D6769" t="s">
        <v>4645</v>
      </c>
      <c r="E6769" t="s">
        <v>558</v>
      </c>
      <c r="F6769" t="s">
        <v>1068</v>
      </c>
      <c r="G6769" t="s">
        <v>1085</v>
      </c>
      <c r="H6769">
        <v>3.0070859798067502E-4</v>
      </c>
      <c r="I6769" t="s">
        <v>1086</v>
      </c>
      <c r="J6769">
        <v>8.85</v>
      </c>
    </row>
    <row r="6770" spans="1:13" hidden="1">
      <c r="A6770" t="s">
        <v>4661</v>
      </c>
      <c r="B6770" t="s">
        <v>4662</v>
      </c>
      <c r="C6770" t="s">
        <v>244</v>
      </c>
      <c r="D6770" t="s">
        <v>4645</v>
      </c>
      <c r="E6770" t="s">
        <v>558</v>
      </c>
      <c r="F6770" t="s">
        <v>1068</v>
      </c>
      <c r="G6770" t="s">
        <v>1087</v>
      </c>
      <c r="H6770" s="171" t="s">
        <v>4669</v>
      </c>
      <c r="I6770" t="s">
        <v>1088</v>
      </c>
      <c r="J6770">
        <v>8.85</v>
      </c>
    </row>
    <row r="6771" spans="1:13" hidden="1">
      <c r="A6771" t="s">
        <v>4661</v>
      </c>
      <c r="B6771" t="s">
        <v>4662</v>
      </c>
      <c r="C6771" t="s">
        <v>244</v>
      </c>
      <c r="D6771" t="s">
        <v>4645</v>
      </c>
      <c r="E6771" t="s">
        <v>558</v>
      </c>
      <c r="F6771" t="s">
        <v>1068</v>
      </c>
      <c r="G6771" t="s">
        <v>1089</v>
      </c>
      <c r="H6771">
        <v>1.0736149491324001E-4</v>
      </c>
      <c r="I6771" t="s">
        <v>1090</v>
      </c>
      <c r="J6771">
        <v>8.85</v>
      </c>
    </row>
    <row r="6772" spans="1:13" hidden="1">
      <c r="A6772" t="s">
        <v>4670</v>
      </c>
      <c r="B6772" t="s">
        <v>4671</v>
      </c>
      <c r="C6772" t="s">
        <v>244</v>
      </c>
      <c r="D6772" t="s">
        <v>4645</v>
      </c>
      <c r="E6772" t="s">
        <v>553</v>
      </c>
      <c r="F6772" t="s">
        <v>1068</v>
      </c>
      <c r="G6772" t="s">
        <v>1069</v>
      </c>
      <c r="H6772" s="171" t="s">
        <v>4672</v>
      </c>
      <c r="I6772" t="s">
        <v>1070</v>
      </c>
      <c r="J6772">
        <v>8.2100000000000009</v>
      </c>
    </row>
    <row r="6773" spans="1:13" hidden="1">
      <c r="A6773" t="s">
        <v>4670</v>
      </c>
      <c r="B6773" t="s">
        <v>4671</v>
      </c>
      <c r="C6773" t="s">
        <v>244</v>
      </c>
      <c r="D6773" t="s">
        <v>4645</v>
      </c>
      <c r="E6773" t="s">
        <v>553</v>
      </c>
      <c r="F6773" t="s">
        <v>1068</v>
      </c>
      <c r="G6773" t="s">
        <v>1071</v>
      </c>
      <c r="H6773" s="171" t="s">
        <v>4673</v>
      </c>
      <c r="I6773" t="s">
        <v>1072</v>
      </c>
      <c r="J6773">
        <v>8.2100000000000009</v>
      </c>
    </row>
    <row r="6774" spans="1:13" hidden="1">
      <c r="A6774" t="s">
        <v>4670</v>
      </c>
      <c r="B6774" t="s">
        <v>4671</v>
      </c>
      <c r="C6774" t="s">
        <v>244</v>
      </c>
      <c r="D6774" t="s">
        <v>4645</v>
      </c>
      <c r="E6774" t="s">
        <v>553</v>
      </c>
      <c r="F6774" t="s">
        <v>1068</v>
      </c>
      <c r="G6774" t="s">
        <v>1073</v>
      </c>
      <c r="H6774" s="171" t="s">
        <v>4674</v>
      </c>
      <c r="I6774" t="s">
        <v>1074</v>
      </c>
      <c r="J6774">
        <v>8.2100000000000009</v>
      </c>
    </row>
    <row r="6775" spans="1:13" hidden="1">
      <c r="A6775" t="s">
        <v>4670</v>
      </c>
      <c r="B6775" t="s">
        <v>4671</v>
      </c>
      <c r="C6775" t="s">
        <v>244</v>
      </c>
      <c r="D6775" t="s">
        <v>4645</v>
      </c>
      <c r="E6775" t="s">
        <v>553</v>
      </c>
      <c r="F6775" t="s">
        <v>1068</v>
      </c>
      <c r="G6775" t="s">
        <v>1075</v>
      </c>
      <c r="H6775" s="171" t="s">
        <v>4675</v>
      </c>
      <c r="I6775" t="s">
        <v>1077</v>
      </c>
      <c r="J6775">
        <v>8.2100000000000009</v>
      </c>
    </row>
    <row r="6776" spans="1:13">
      <c r="A6776" t="s">
        <v>4670</v>
      </c>
      <c r="B6776" t="s">
        <v>4671</v>
      </c>
      <c r="C6776" t="s">
        <v>244</v>
      </c>
      <c r="D6776" t="s">
        <v>4645</v>
      </c>
      <c r="E6776" t="s">
        <v>553</v>
      </c>
      <c r="F6776" t="s">
        <v>1068</v>
      </c>
      <c r="G6776" t="s">
        <v>1078</v>
      </c>
      <c r="H6776">
        <v>-0.17763692609982201</v>
      </c>
      <c r="I6776" t="s">
        <v>1079</v>
      </c>
      <c r="J6776">
        <v>8.2100000000000009</v>
      </c>
      <c r="M6776" t="str">
        <f>_xlfn.TEXTJOIN(" - ",TRUE,A6776,G6776)</f>
        <v>Recycle - Brown_glass - China - Global warming</v>
      </c>
    </row>
    <row r="6777" spans="1:13" hidden="1">
      <c r="A6777" t="s">
        <v>4670</v>
      </c>
      <c r="B6777" t="s">
        <v>4671</v>
      </c>
      <c r="C6777" t="s">
        <v>244</v>
      </c>
      <c r="D6777" t="s">
        <v>4645</v>
      </c>
      <c r="E6777" t="s">
        <v>553</v>
      </c>
      <c r="F6777" t="s">
        <v>1068</v>
      </c>
      <c r="G6777" t="s">
        <v>1080</v>
      </c>
      <c r="H6777" s="171" t="s">
        <v>4676</v>
      </c>
      <c r="I6777" t="s">
        <v>1082</v>
      </c>
      <c r="J6777">
        <v>8.2100000000000009</v>
      </c>
    </row>
    <row r="6778" spans="1:13" hidden="1">
      <c r="A6778" t="s">
        <v>4670</v>
      </c>
      <c r="B6778" t="s">
        <v>4671</v>
      </c>
      <c r="C6778" t="s">
        <v>244</v>
      </c>
      <c r="D6778" t="s">
        <v>4645</v>
      </c>
      <c r="E6778" t="s">
        <v>553</v>
      </c>
      <c r="F6778" t="s">
        <v>1068</v>
      </c>
      <c r="G6778" t="s">
        <v>1083</v>
      </c>
      <c r="H6778" s="171" t="s">
        <v>4677</v>
      </c>
      <c r="I6778" t="s">
        <v>1084</v>
      </c>
      <c r="J6778">
        <v>8.2100000000000009</v>
      </c>
    </row>
    <row r="6779" spans="1:13" hidden="1">
      <c r="A6779" t="s">
        <v>4670</v>
      </c>
      <c r="B6779" t="s">
        <v>4671</v>
      </c>
      <c r="C6779" t="s">
        <v>244</v>
      </c>
      <c r="D6779" t="s">
        <v>4645</v>
      </c>
      <c r="E6779" t="s">
        <v>553</v>
      </c>
      <c r="F6779" t="s">
        <v>1068</v>
      </c>
      <c r="G6779" t="s">
        <v>1085</v>
      </c>
      <c r="H6779">
        <v>3.0061893556590703E-4</v>
      </c>
      <c r="I6779" t="s">
        <v>1086</v>
      </c>
      <c r="J6779">
        <v>8.2100000000000009</v>
      </c>
    </row>
    <row r="6780" spans="1:13" hidden="1">
      <c r="A6780" t="s">
        <v>4670</v>
      </c>
      <c r="B6780" t="s">
        <v>4671</v>
      </c>
      <c r="C6780" t="s">
        <v>244</v>
      </c>
      <c r="D6780" t="s">
        <v>4645</v>
      </c>
      <c r="E6780" t="s">
        <v>553</v>
      </c>
      <c r="F6780" t="s">
        <v>1068</v>
      </c>
      <c r="G6780" t="s">
        <v>1087</v>
      </c>
      <c r="H6780" s="171" t="s">
        <v>4678</v>
      </c>
      <c r="I6780" t="s">
        <v>1088</v>
      </c>
      <c r="J6780">
        <v>8.2100000000000009</v>
      </c>
    </row>
    <row r="6781" spans="1:13" hidden="1">
      <c r="A6781" t="s">
        <v>4670</v>
      </c>
      <c r="B6781" t="s">
        <v>4671</v>
      </c>
      <c r="C6781" t="s">
        <v>244</v>
      </c>
      <c r="D6781" t="s">
        <v>4645</v>
      </c>
      <c r="E6781" t="s">
        <v>553</v>
      </c>
      <c r="F6781" t="s">
        <v>1068</v>
      </c>
      <c r="G6781" t="s">
        <v>1089</v>
      </c>
      <c r="H6781">
        <v>1.07342997734133E-4</v>
      </c>
      <c r="I6781" t="s">
        <v>1090</v>
      </c>
      <c r="J6781">
        <v>8.2100000000000009</v>
      </c>
    </row>
    <row r="6782" spans="1:13" hidden="1">
      <c r="A6782" t="s">
        <v>4679</v>
      </c>
      <c r="B6782" t="s">
        <v>4680</v>
      </c>
      <c r="C6782" t="s">
        <v>244</v>
      </c>
      <c r="D6782" t="s">
        <v>4645</v>
      </c>
      <c r="E6782" t="s">
        <v>556</v>
      </c>
      <c r="F6782" t="s">
        <v>1068</v>
      </c>
      <c r="G6782" t="s">
        <v>1069</v>
      </c>
      <c r="H6782" s="171" t="s">
        <v>4681</v>
      </c>
      <c r="I6782" t="s">
        <v>1070</v>
      </c>
      <c r="J6782">
        <v>8.32</v>
      </c>
    </row>
    <row r="6783" spans="1:13" hidden="1">
      <c r="A6783" t="s">
        <v>4679</v>
      </c>
      <c r="B6783" t="s">
        <v>4680</v>
      </c>
      <c r="C6783" t="s">
        <v>244</v>
      </c>
      <c r="D6783" t="s">
        <v>4645</v>
      </c>
      <c r="E6783" t="s">
        <v>556</v>
      </c>
      <c r="F6783" t="s">
        <v>1068</v>
      </c>
      <c r="G6783" t="s">
        <v>1071</v>
      </c>
      <c r="H6783" s="171" t="s">
        <v>4682</v>
      </c>
      <c r="I6783" t="s">
        <v>1072</v>
      </c>
      <c r="J6783">
        <v>8.32</v>
      </c>
    </row>
    <row r="6784" spans="1:13" hidden="1">
      <c r="A6784" t="s">
        <v>4679</v>
      </c>
      <c r="B6784" t="s">
        <v>4680</v>
      </c>
      <c r="C6784" t="s">
        <v>244</v>
      </c>
      <c r="D6784" t="s">
        <v>4645</v>
      </c>
      <c r="E6784" t="s">
        <v>556</v>
      </c>
      <c r="F6784" t="s">
        <v>1068</v>
      </c>
      <c r="G6784" t="s">
        <v>1073</v>
      </c>
      <c r="H6784" s="171" t="s">
        <v>4683</v>
      </c>
      <c r="I6784" t="s">
        <v>1074</v>
      </c>
      <c r="J6784">
        <v>8.32</v>
      </c>
    </row>
    <row r="6785" spans="1:13" hidden="1">
      <c r="A6785" t="s">
        <v>4679</v>
      </c>
      <c r="B6785" t="s">
        <v>4680</v>
      </c>
      <c r="C6785" t="s">
        <v>244</v>
      </c>
      <c r="D6785" t="s">
        <v>4645</v>
      </c>
      <c r="E6785" t="s">
        <v>556</v>
      </c>
      <c r="F6785" t="s">
        <v>1068</v>
      </c>
      <c r="G6785" t="s">
        <v>1075</v>
      </c>
      <c r="H6785" s="171" t="s">
        <v>4684</v>
      </c>
      <c r="I6785" t="s">
        <v>1077</v>
      </c>
      <c r="J6785">
        <v>8.32</v>
      </c>
    </row>
    <row r="6786" spans="1:13">
      <c r="A6786" t="s">
        <v>4679</v>
      </c>
      <c r="B6786" t="s">
        <v>4680</v>
      </c>
      <c r="C6786" t="s">
        <v>244</v>
      </c>
      <c r="D6786" t="s">
        <v>4645</v>
      </c>
      <c r="E6786" t="s">
        <v>556</v>
      </c>
      <c r="F6786" t="s">
        <v>1068</v>
      </c>
      <c r="G6786" t="s">
        <v>1078</v>
      </c>
      <c r="H6786">
        <v>-0.176760858497749</v>
      </c>
      <c r="I6786" t="s">
        <v>1079</v>
      </c>
      <c r="J6786">
        <v>8.32</v>
      </c>
      <c r="M6786" t="str">
        <f>_xlfn.TEXTJOIN(" - ",TRUE,A6786,G6786)</f>
        <v>Recycle - Brown_glass - India - Global warming</v>
      </c>
    </row>
    <row r="6787" spans="1:13" hidden="1">
      <c r="A6787" t="s">
        <v>4679</v>
      </c>
      <c r="B6787" t="s">
        <v>4680</v>
      </c>
      <c r="C6787" t="s">
        <v>244</v>
      </c>
      <c r="D6787" t="s">
        <v>4645</v>
      </c>
      <c r="E6787" t="s">
        <v>556</v>
      </c>
      <c r="F6787" t="s">
        <v>1068</v>
      </c>
      <c r="G6787" t="s">
        <v>1080</v>
      </c>
      <c r="H6787" s="171" t="s">
        <v>4685</v>
      </c>
      <c r="I6787" t="s">
        <v>1082</v>
      </c>
      <c r="J6787">
        <v>8.32</v>
      </c>
    </row>
    <row r="6788" spans="1:13" hidden="1">
      <c r="A6788" t="s">
        <v>4679</v>
      </c>
      <c r="B6788" t="s">
        <v>4680</v>
      </c>
      <c r="C6788" t="s">
        <v>244</v>
      </c>
      <c r="D6788" t="s">
        <v>4645</v>
      </c>
      <c r="E6788" t="s">
        <v>556</v>
      </c>
      <c r="F6788" t="s">
        <v>1068</v>
      </c>
      <c r="G6788" t="s">
        <v>1083</v>
      </c>
      <c r="H6788" s="171" t="s">
        <v>4686</v>
      </c>
      <c r="I6788" t="s">
        <v>1084</v>
      </c>
      <c r="J6788">
        <v>8.32</v>
      </c>
    </row>
    <row r="6789" spans="1:13" hidden="1">
      <c r="A6789" t="s">
        <v>4679</v>
      </c>
      <c r="B6789" t="s">
        <v>4680</v>
      </c>
      <c r="C6789" t="s">
        <v>244</v>
      </c>
      <c r="D6789" t="s">
        <v>4645</v>
      </c>
      <c r="E6789" t="s">
        <v>556</v>
      </c>
      <c r="F6789" t="s">
        <v>1068</v>
      </c>
      <c r="G6789" t="s">
        <v>1085</v>
      </c>
      <c r="H6789">
        <v>3.01719906612353E-4</v>
      </c>
      <c r="I6789" t="s">
        <v>1086</v>
      </c>
      <c r="J6789">
        <v>8.32</v>
      </c>
    </row>
    <row r="6790" spans="1:13" hidden="1">
      <c r="A6790" t="s">
        <v>4679</v>
      </c>
      <c r="B6790" t="s">
        <v>4680</v>
      </c>
      <c r="C6790" t="s">
        <v>244</v>
      </c>
      <c r="D6790" t="s">
        <v>4645</v>
      </c>
      <c r="E6790" t="s">
        <v>556</v>
      </c>
      <c r="F6790" t="s">
        <v>1068</v>
      </c>
      <c r="G6790" t="s">
        <v>1087</v>
      </c>
      <c r="H6790" s="171" t="s">
        <v>4687</v>
      </c>
      <c r="I6790" t="s">
        <v>1088</v>
      </c>
      <c r="J6790">
        <v>8.32</v>
      </c>
    </row>
    <row r="6791" spans="1:13" hidden="1">
      <c r="A6791" t="s">
        <v>4679</v>
      </c>
      <c r="B6791" t="s">
        <v>4680</v>
      </c>
      <c r="C6791" t="s">
        <v>244</v>
      </c>
      <c r="D6791" t="s">
        <v>4645</v>
      </c>
      <c r="E6791" t="s">
        <v>556</v>
      </c>
      <c r="F6791" t="s">
        <v>1068</v>
      </c>
      <c r="G6791" t="s">
        <v>1089</v>
      </c>
      <c r="H6791">
        <v>1.07570125886887E-4</v>
      </c>
      <c r="I6791" t="s">
        <v>1090</v>
      </c>
      <c r="J6791">
        <v>8.32</v>
      </c>
    </row>
    <row r="6792" spans="1:13" hidden="1">
      <c r="A6792" t="s">
        <v>4688</v>
      </c>
      <c r="B6792" t="s">
        <v>4689</v>
      </c>
      <c r="C6792" t="s">
        <v>244</v>
      </c>
      <c r="D6792" t="s">
        <v>4645</v>
      </c>
      <c r="E6792" t="s">
        <v>557</v>
      </c>
      <c r="F6792" t="s">
        <v>1068</v>
      </c>
      <c r="G6792" t="s">
        <v>1069</v>
      </c>
      <c r="H6792" s="171" t="s">
        <v>4690</v>
      </c>
      <c r="I6792" t="s">
        <v>1070</v>
      </c>
      <c r="J6792">
        <v>7.63</v>
      </c>
    </row>
    <row r="6793" spans="1:13" hidden="1">
      <c r="A6793" t="s">
        <v>4688</v>
      </c>
      <c r="B6793" t="s">
        <v>4689</v>
      </c>
      <c r="C6793" t="s">
        <v>244</v>
      </c>
      <c r="D6793" t="s">
        <v>4645</v>
      </c>
      <c r="E6793" t="s">
        <v>557</v>
      </c>
      <c r="F6793" t="s">
        <v>1068</v>
      </c>
      <c r="G6793" t="s">
        <v>1071</v>
      </c>
      <c r="H6793" s="171" t="s">
        <v>4691</v>
      </c>
      <c r="I6793" t="s">
        <v>1072</v>
      </c>
      <c r="J6793">
        <v>7.63</v>
      </c>
    </row>
    <row r="6794" spans="1:13" hidden="1">
      <c r="A6794" t="s">
        <v>4688</v>
      </c>
      <c r="B6794" t="s">
        <v>4689</v>
      </c>
      <c r="C6794" t="s">
        <v>244</v>
      </c>
      <c r="D6794" t="s">
        <v>4645</v>
      </c>
      <c r="E6794" t="s">
        <v>557</v>
      </c>
      <c r="F6794" t="s">
        <v>1068</v>
      </c>
      <c r="G6794" t="s">
        <v>1073</v>
      </c>
      <c r="H6794" s="171" t="s">
        <v>4692</v>
      </c>
      <c r="I6794" t="s">
        <v>1074</v>
      </c>
      <c r="J6794">
        <v>7.63</v>
      </c>
    </row>
    <row r="6795" spans="1:13" hidden="1">
      <c r="A6795" t="s">
        <v>4688</v>
      </c>
      <c r="B6795" t="s">
        <v>4689</v>
      </c>
      <c r="C6795" t="s">
        <v>244</v>
      </c>
      <c r="D6795" t="s">
        <v>4645</v>
      </c>
      <c r="E6795" t="s">
        <v>557</v>
      </c>
      <c r="F6795" t="s">
        <v>1068</v>
      </c>
      <c r="G6795" t="s">
        <v>1075</v>
      </c>
      <c r="H6795">
        <v>1.11449881090278E-2</v>
      </c>
      <c r="I6795" t="s">
        <v>1077</v>
      </c>
      <c r="J6795">
        <v>7.63</v>
      </c>
    </row>
    <row r="6796" spans="1:13">
      <c r="A6796" t="s">
        <v>4688</v>
      </c>
      <c r="B6796" t="s">
        <v>4689</v>
      </c>
      <c r="C6796" t="s">
        <v>244</v>
      </c>
      <c r="D6796" t="s">
        <v>4645</v>
      </c>
      <c r="E6796" t="s">
        <v>557</v>
      </c>
      <c r="F6796" t="s">
        <v>1068</v>
      </c>
      <c r="G6796" t="s">
        <v>1078</v>
      </c>
      <c r="H6796">
        <v>-0.17726468393688499</v>
      </c>
      <c r="I6796" t="s">
        <v>1079</v>
      </c>
      <c r="J6796">
        <v>7.63</v>
      </c>
      <c r="M6796" t="str">
        <f>_xlfn.TEXTJOIN(" - ",TRUE,A6796,G6796)</f>
        <v>Recycle - Brown_glass - Ireland - Global warming</v>
      </c>
    </row>
    <row r="6797" spans="1:13" hidden="1">
      <c r="A6797" t="s">
        <v>4688</v>
      </c>
      <c r="B6797" t="s">
        <v>4689</v>
      </c>
      <c r="C6797" t="s">
        <v>244</v>
      </c>
      <c r="D6797" t="s">
        <v>4645</v>
      </c>
      <c r="E6797" t="s">
        <v>557</v>
      </c>
      <c r="F6797" t="s">
        <v>1068</v>
      </c>
      <c r="G6797" t="s">
        <v>1080</v>
      </c>
      <c r="H6797" s="171" t="s">
        <v>4693</v>
      </c>
      <c r="I6797" t="s">
        <v>1082</v>
      </c>
      <c r="J6797">
        <v>7.63</v>
      </c>
    </row>
    <row r="6798" spans="1:13" hidden="1">
      <c r="A6798" t="s">
        <v>4688</v>
      </c>
      <c r="B6798" t="s">
        <v>4689</v>
      </c>
      <c r="C6798" t="s">
        <v>244</v>
      </c>
      <c r="D6798" t="s">
        <v>4645</v>
      </c>
      <c r="E6798" t="s">
        <v>557</v>
      </c>
      <c r="F6798" t="s">
        <v>1068</v>
      </c>
      <c r="G6798" t="s">
        <v>1083</v>
      </c>
      <c r="H6798" s="171" t="s">
        <v>4694</v>
      </c>
      <c r="I6798" t="s">
        <v>1084</v>
      </c>
      <c r="J6798">
        <v>7.63</v>
      </c>
    </row>
    <row r="6799" spans="1:13" hidden="1">
      <c r="A6799" t="s">
        <v>4688</v>
      </c>
      <c r="B6799" t="s">
        <v>4689</v>
      </c>
      <c r="C6799" t="s">
        <v>244</v>
      </c>
      <c r="D6799" t="s">
        <v>4645</v>
      </c>
      <c r="E6799" t="s">
        <v>557</v>
      </c>
      <c r="F6799" t="s">
        <v>1068</v>
      </c>
      <c r="G6799" t="s">
        <v>1085</v>
      </c>
      <c r="H6799">
        <v>3.0108673946904101E-4</v>
      </c>
      <c r="I6799" t="s">
        <v>1086</v>
      </c>
      <c r="J6799">
        <v>7.63</v>
      </c>
    </row>
    <row r="6800" spans="1:13" hidden="1">
      <c r="A6800" t="s">
        <v>4688</v>
      </c>
      <c r="B6800" t="s">
        <v>4689</v>
      </c>
      <c r="C6800" t="s">
        <v>244</v>
      </c>
      <c r="D6800" t="s">
        <v>4645</v>
      </c>
      <c r="E6800" t="s">
        <v>557</v>
      </c>
      <c r="F6800" t="s">
        <v>1068</v>
      </c>
      <c r="G6800" t="s">
        <v>1087</v>
      </c>
      <c r="H6800" s="171" t="s">
        <v>4695</v>
      </c>
      <c r="I6800" t="s">
        <v>1088</v>
      </c>
      <c r="J6800">
        <v>7.63</v>
      </c>
    </row>
    <row r="6801" spans="1:13" hidden="1">
      <c r="A6801" t="s">
        <v>4688</v>
      </c>
      <c r="B6801" t="s">
        <v>4689</v>
      </c>
      <c r="C6801" t="s">
        <v>244</v>
      </c>
      <c r="D6801" t="s">
        <v>4645</v>
      </c>
      <c r="E6801" t="s">
        <v>557</v>
      </c>
      <c r="F6801" t="s">
        <v>1068</v>
      </c>
      <c r="G6801" t="s">
        <v>1089</v>
      </c>
      <c r="H6801">
        <v>1.0743950475555999E-4</v>
      </c>
      <c r="I6801" t="s">
        <v>1090</v>
      </c>
      <c r="J6801">
        <v>7.63</v>
      </c>
    </row>
    <row r="6802" spans="1:13" hidden="1">
      <c r="A6802" t="s">
        <v>4696</v>
      </c>
      <c r="B6802" t="s">
        <v>4697</v>
      </c>
      <c r="C6802" t="s">
        <v>244</v>
      </c>
      <c r="D6802" t="s">
        <v>4645</v>
      </c>
      <c r="E6802" t="s">
        <v>559</v>
      </c>
      <c r="F6802" t="s">
        <v>1068</v>
      </c>
      <c r="G6802" t="s">
        <v>1069</v>
      </c>
      <c r="H6802" s="171" t="s">
        <v>4698</v>
      </c>
      <c r="I6802" t="s">
        <v>1070</v>
      </c>
      <c r="J6802">
        <v>8.42</v>
      </c>
    </row>
    <row r="6803" spans="1:13" hidden="1">
      <c r="A6803" t="s">
        <v>4696</v>
      </c>
      <c r="B6803" t="s">
        <v>4697</v>
      </c>
      <c r="C6803" t="s">
        <v>244</v>
      </c>
      <c r="D6803" t="s">
        <v>4645</v>
      </c>
      <c r="E6803" t="s">
        <v>559</v>
      </c>
      <c r="F6803" t="s">
        <v>1068</v>
      </c>
      <c r="G6803" t="s">
        <v>1071</v>
      </c>
      <c r="H6803" s="171" t="s">
        <v>4699</v>
      </c>
      <c r="I6803" t="s">
        <v>1072</v>
      </c>
      <c r="J6803">
        <v>8.42</v>
      </c>
    </row>
    <row r="6804" spans="1:13" hidden="1">
      <c r="A6804" t="s">
        <v>4696</v>
      </c>
      <c r="B6804" t="s">
        <v>4697</v>
      </c>
      <c r="C6804" t="s">
        <v>244</v>
      </c>
      <c r="D6804" t="s">
        <v>4645</v>
      </c>
      <c r="E6804" t="s">
        <v>559</v>
      </c>
      <c r="F6804" t="s">
        <v>1068</v>
      </c>
      <c r="G6804" t="s">
        <v>1073</v>
      </c>
      <c r="H6804" s="171" t="s">
        <v>4700</v>
      </c>
      <c r="I6804" t="s">
        <v>1074</v>
      </c>
      <c r="J6804">
        <v>8.42</v>
      </c>
    </row>
    <row r="6805" spans="1:13" hidden="1">
      <c r="A6805" t="s">
        <v>4696</v>
      </c>
      <c r="B6805" t="s">
        <v>4697</v>
      </c>
      <c r="C6805" t="s">
        <v>244</v>
      </c>
      <c r="D6805" t="s">
        <v>4645</v>
      </c>
      <c r="E6805" t="s">
        <v>559</v>
      </c>
      <c r="F6805" t="s">
        <v>1068</v>
      </c>
      <c r="G6805" t="s">
        <v>1075</v>
      </c>
      <c r="H6805">
        <v>1.1150617146173301E-2</v>
      </c>
      <c r="I6805" t="s">
        <v>1077</v>
      </c>
      <c r="J6805">
        <v>8.42</v>
      </c>
    </row>
    <row r="6806" spans="1:13">
      <c r="A6806" t="s">
        <v>4696</v>
      </c>
      <c r="B6806" t="s">
        <v>4697</v>
      </c>
      <c r="C6806" t="s">
        <v>244</v>
      </c>
      <c r="D6806" t="s">
        <v>4645</v>
      </c>
      <c r="E6806" t="s">
        <v>559</v>
      </c>
      <c r="F6806" t="s">
        <v>1068</v>
      </c>
      <c r="G6806" t="s">
        <v>1078</v>
      </c>
      <c r="H6806">
        <v>-0.177021262657302</v>
      </c>
      <c r="I6806" t="s">
        <v>1079</v>
      </c>
      <c r="J6806">
        <v>8.42</v>
      </c>
      <c r="M6806" t="str">
        <f>_xlfn.TEXTJOIN(" - ",TRUE,A6806,G6806)</f>
        <v>Recycle - Brown_glass - Mexico - Global warming</v>
      </c>
    </row>
    <row r="6807" spans="1:13" hidden="1">
      <c r="A6807" t="s">
        <v>4696</v>
      </c>
      <c r="B6807" t="s">
        <v>4697</v>
      </c>
      <c r="C6807" t="s">
        <v>244</v>
      </c>
      <c r="D6807" t="s">
        <v>4645</v>
      </c>
      <c r="E6807" t="s">
        <v>559</v>
      </c>
      <c r="F6807" t="s">
        <v>1068</v>
      </c>
      <c r="G6807" t="s">
        <v>1080</v>
      </c>
      <c r="H6807" s="171" t="s">
        <v>4701</v>
      </c>
      <c r="I6807" t="s">
        <v>1082</v>
      </c>
      <c r="J6807">
        <v>8.42</v>
      </c>
    </row>
    <row r="6808" spans="1:13" hidden="1">
      <c r="A6808" t="s">
        <v>4696</v>
      </c>
      <c r="B6808" t="s">
        <v>4697</v>
      </c>
      <c r="C6808" t="s">
        <v>244</v>
      </c>
      <c r="D6808" t="s">
        <v>4645</v>
      </c>
      <c r="E6808" t="s">
        <v>559</v>
      </c>
      <c r="F6808" t="s">
        <v>1068</v>
      </c>
      <c r="G6808" t="s">
        <v>1083</v>
      </c>
      <c r="H6808" s="171" t="s">
        <v>4702</v>
      </c>
      <c r="I6808" t="s">
        <v>1084</v>
      </c>
      <c r="J6808">
        <v>8.42</v>
      </c>
    </row>
    <row r="6809" spans="1:13" hidden="1">
      <c r="A6809" t="s">
        <v>4696</v>
      </c>
      <c r="B6809" t="s">
        <v>4697</v>
      </c>
      <c r="C6809" t="s">
        <v>244</v>
      </c>
      <c r="D6809" t="s">
        <v>4645</v>
      </c>
      <c r="E6809" t="s">
        <v>559</v>
      </c>
      <c r="F6809" t="s">
        <v>1068</v>
      </c>
      <c r="G6809" t="s">
        <v>1085</v>
      </c>
      <c r="H6809">
        <v>3.01392651684349E-4</v>
      </c>
      <c r="I6809" t="s">
        <v>1086</v>
      </c>
      <c r="J6809">
        <v>8.42</v>
      </c>
    </row>
    <row r="6810" spans="1:13" hidden="1">
      <c r="A6810" t="s">
        <v>4696</v>
      </c>
      <c r="B6810" t="s">
        <v>4697</v>
      </c>
      <c r="C6810" t="s">
        <v>244</v>
      </c>
      <c r="D6810" t="s">
        <v>4645</v>
      </c>
      <c r="E6810" t="s">
        <v>559</v>
      </c>
      <c r="F6810" t="s">
        <v>1068</v>
      </c>
      <c r="G6810" t="s">
        <v>1087</v>
      </c>
      <c r="H6810" s="171" t="s">
        <v>4703</v>
      </c>
      <c r="I6810" t="s">
        <v>1088</v>
      </c>
      <c r="J6810">
        <v>8.42</v>
      </c>
    </row>
    <row r="6811" spans="1:13" hidden="1">
      <c r="A6811" t="s">
        <v>4696</v>
      </c>
      <c r="B6811" t="s">
        <v>4697</v>
      </c>
      <c r="C6811" t="s">
        <v>244</v>
      </c>
      <c r="D6811" t="s">
        <v>4645</v>
      </c>
      <c r="E6811" t="s">
        <v>559</v>
      </c>
      <c r="F6811" t="s">
        <v>1068</v>
      </c>
      <c r="G6811" t="s">
        <v>1089</v>
      </c>
      <c r="H6811">
        <v>1.07502613841482E-4</v>
      </c>
      <c r="I6811" t="s">
        <v>1090</v>
      </c>
      <c r="J6811">
        <v>8.42</v>
      </c>
    </row>
    <row r="6812" spans="1:13" hidden="1">
      <c r="A6812" t="s">
        <v>4704</v>
      </c>
      <c r="B6812" t="s">
        <v>4705</v>
      </c>
      <c r="C6812" t="s">
        <v>244</v>
      </c>
      <c r="D6812" t="s">
        <v>4645</v>
      </c>
      <c r="E6812" t="s">
        <v>560</v>
      </c>
      <c r="F6812" t="s">
        <v>1068</v>
      </c>
      <c r="G6812" t="s">
        <v>1069</v>
      </c>
      <c r="H6812" s="171" t="s">
        <v>4706</v>
      </c>
      <c r="I6812" t="s">
        <v>1070</v>
      </c>
      <c r="J6812">
        <v>7.72</v>
      </c>
    </row>
    <row r="6813" spans="1:13" hidden="1">
      <c r="A6813" t="s">
        <v>4704</v>
      </c>
      <c r="B6813" t="s">
        <v>4705</v>
      </c>
      <c r="C6813" t="s">
        <v>244</v>
      </c>
      <c r="D6813" t="s">
        <v>4645</v>
      </c>
      <c r="E6813" t="s">
        <v>560</v>
      </c>
      <c r="F6813" t="s">
        <v>1068</v>
      </c>
      <c r="G6813" t="s">
        <v>1071</v>
      </c>
      <c r="H6813" s="171" t="s">
        <v>4707</v>
      </c>
      <c r="I6813" t="s">
        <v>1072</v>
      </c>
      <c r="J6813">
        <v>7.72</v>
      </c>
    </row>
    <row r="6814" spans="1:13" hidden="1">
      <c r="A6814" t="s">
        <v>4704</v>
      </c>
      <c r="B6814" t="s">
        <v>4705</v>
      </c>
      <c r="C6814" t="s">
        <v>244</v>
      </c>
      <c r="D6814" t="s">
        <v>4645</v>
      </c>
      <c r="E6814" t="s">
        <v>560</v>
      </c>
      <c r="F6814" t="s">
        <v>1068</v>
      </c>
      <c r="G6814" t="s">
        <v>1073</v>
      </c>
      <c r="H6814" s="171" t="s">
        <v>4708</v>
      </c>
      <c r="I6814" t="s">
        <v>1074</v>
      </c>
      <c r="J6814">
        <v>7.72</v>
      </c>
    </row>
    <row r="6815" spans="1:13" hidden="1">
      <c r="A6815" t="s">
        <v>4704</v>
      </c>
      <c r="B6815" t="s">
        <v>4705</v>
      </c>
      <c r="C6815" t="s">
        <v>244</v>
      </c>
      <c r="D6815" t="s">
        <v>4645</v>
      </c>
      <c r="E6815" t="s">
        <v>560</v>
      </c>
      <c r="F6815" t="s">
        <v>1068</v>
      </c>
      <c r="G6815" t="s">
        <v>1075</v>
      </c>
      <c r="H6815" s="171" t="s">
        <v>4709</v>
      </c>
      <c r="I6815" t="s">
        <v>1077</v>
      </c>
      <c r="J6815">
        <v>7.72</v>
      </c>
    </row>
    <row r="6816" spans="1:13">
      <c r="A6816" t="s">
        <v>4704</v>
      </c>
      <c r="B6816" t="s">
        <v>4705</v>
      </c>
      <c r="C6816" t="s">
        <v>244</v>
      </c>
      <c r="D6816" t="s">
        <v>4645</v>
      </c>
      <c r="E6816" t="s">
        <v>560</v>
      </c>
      <c r="F6816" t="s">
        <v>1068</v>
      </c>
      <c r="G6816" t="s">
        <v>1078</v>
      </c>
      <c r="H6816">
        <v>-0.177104206204418</v>
      </c>
      <c r="I6816" t="s">
        <v>1079</v>
      </c>
      <c r="J6816">
        <v>7.72</v>
      </c>
      <c r="M6816" t="str">
        <f>_xlfn.TEXTJOIN(" - ",TRUE,A6816,G6816)</f>
        <v>Recycle - Brown_glass - Spain - Global warming</v>
      </c>
    </row>
    <row r="6817" spans="1:13" hidden="1">
      <c r="A6817" t="s">
        <v>4704</v>
      </c>
      <c r="B6817" t="s">
        <v>4705</v>
      </c>
      <c r="C6817" t="s">
        <v>244</v>
      </c>
      <c r="D6817" t="s">
        <v>4645</v>
      </c>
      <c r="E6817" t="s">
        <v>560</v>
      </c>
      <c r="F6817" t="s">
        <v>1068</v>
      </c>
      <c r="G6817" t="s">
        <v>1080</v>
      </c>
      <c r="H6817" s="171" t="s">
        <v>4710</v>
      </c>
      <c r="I6817" t="s">
        <v>1082</v>
      </c>
      <c r="J6817">
        <v>7.72</v>
      </c>
    </row>
    <row r="6818" spans="1:13" hidden="1">
      <c r="A6818" t="s">
        <v>4704</v>
      </c>
      <c r="B6818" t="s">
        <v>4705</v>
      </c>
      <c r="C6818" t="s">
        <v>244</v>
      </c>
      <c r="D6818" t="s">
        <v>4645</v>
      </c>
      <c r="E6818" t="s">
        <v>560</v>
      </c>
      <c r="F6818" t="s">
        <v>1068</v>
      </c>
      <c r="G6818" t="s">
        <v>1083</v>
      </c>
      <c r="H6818" s="171" t="s">
        <v>4711</v>
      </c>
      <c r="I6818" t="s">
        <v>1084</v>
      </c>
      <c r="J6818">
        <v>7.72</v>
      </c>
    </row>
    <row r="6819" spans="1:13" hidden="1">
      <c r="A6819" t="s">
        <v>4704</v>
      </c>
      <c r="B6819" t="s">
        <v>4705</v>
      </c>
      <c r="C6819" t="s">
        <v>244</v>
      </c>
      <c r="D6819" t="s">
        <v>4645</v>
      </c>
      <c r="E6819" t="s">
        <v>560</v>
      </c>
      <c r="F6819" t="s">
        <v>1068</v>
      </c>
      <c r="G6819" t="s">
        <v>1085</v>
      </c>
      <c r="H6819">
        <v>3.0128841492950301E-4</v>
      </c>
      <c r="I6819" t="s">
        <v>1086</v>
      </c>
      <c r="J6819">
        <v>7.72</v>
      </c>
    </row>
    <row r="6820" spans="1:13" hidden="1">
      <c r="A6820" t="s">
        <v>4704</v>
      </c>
      <c r="B6820" t="s">
        <v>4705</v>
      </c>
      <c r="C6820" t="s">
        <v>244</v>
      </c>
      <c r="D6820" t="s">
        <v>4645</v>
      </c>
      <c r="E6820" t="s">
        <v>560</v>
      </c>
      <c r="F6820" t="s">
        <v>1068</v>
      </c>
      <c r="G6820" t="s">
        <v>1087</v>
      </c>
      <c r="H6820" s="171" t="s">
        <v>4712</v>
      </c>
      <c r="I6820" t="s">
        <v>1088</v>
      </c>
      <c r="J6820">
        <v>7.72</v>
      </c>
    </row>
    <row r="6821" spans="1:13" hidden="1">
      <c r="A6821" t="s">
        <v>4704</v>
      </c>
      <c r="B6821" t="s">
        <v>4705</v>
      </c>
      <c r="C6821" t="s">
        <v>244</v>
      </c>
      <c r="D6821" t="s">
        <v>4645</v>
      </c>
      <c r="E6821" t="s">
        <v>560</v>
      </c>
      <c r="F6821" t="s">
        <v>1068</v>
      </c>
      <c r="G6821" t="s">
        <v>1089</v>
      </c>
      <c r="H6821">
        <v>1.0748111000479801E-4</v>
      </c>
      <c r="I6821" t="s">
        <v>1090</v>
      </c>
      <c r="J6821">
        <v>7.72</v>
      </c>
    </row>
    <row r="6822" spans="1:13" hidden="1">
      <c r="A6822" t="s">
        <v>4713</v>
      </c>
      <c r="B6822" t="s">
        <v>4714</v>
      </c>
      <c r="C6822" t="s">
        <v>244</v>
      </c>
      <c r="D6822" t="s">
        <v>4645</v>
      </c>
      <c r="E6822" t="s">
        <v>554</v>
      </c>
      <c r="F6822" t="s">
        <v>1068</v>
      </c>
      <c r="G6822" t="s">
        <v>1069</v>
      </c>
      <c r="H6822" s="171" t="s">
        <v>4715</v>
      </c>
      <c r="I6822" t="s">
        <v>1070</v>
      </c>
      <c r="J6822">
        <v>8.08</v>
      </c>
    </row>
    <row r="6823" spans="1:13" hidden="1">
      <c r="A6823" t="s">
        <v>4713</v>
      </c>
      <c r="B6823" t="s">
        <v>4714</v>
      </c>
      <c r="C6823" t="s">
        <v>244</v>
      </c>
      <c r="D6823" t="s">
        <v>4645</v>
      </c>
      <c r="E6823" t="s">
        <v>554</v>
      </c>
      <c r="F6823" t="s">
        <v>1068</v>
      </c>
      <c r="G6823" t="s">
        <v>1071</v>
      </c>
      <c r="H6823" s="171" t="s">
        <v>4716</v>
      </c>
      <c r="I6823" t="s">
        <v>1072</v>
      </c>
      <c r="J6823">
        <v>8.08</v>
      </c>
    </row>
    <row r="6824" spans="1:13" hidden="1">
      <c r="A6824" t="s">
        <v>4713</v>
      </c>
      <c r="B6824" t="s">
        <v>4714</v>
      </c>
      <c r="C6824" t="s">
        <v>244</v>
      </c>
      <c r="D6824" t="s">
        <v>4645</v>
      </c>
      <c r="E6824" t="s">
        <v>554</v>
      </c>
      <c r="F6824" t="s">
        <v>1068</v>
      </c>
      <c r="G6824" t="s">
        <v>1073</v>
      </c>
      <c r="H6824" s="171" t="s">
        <v>4717</v>
      </c>
      <c r="I6824" t="s">
        <v>1074</v>
      </c>
      <c r="J6824">
        <v>8.08</v>
      </c>
    </row>
    <row r="6825" spans="1:13" hidden="1">
      <c r="A6825" t="s">
        <v>4713</v>
      </c>
      <c r="B6825" t="s">
        <v>4714</v>
      </c>
      <c r="C6825" t="s">
        <v>244</v>
      </c>
      <c r="D6825" t="s">
        <v>4645</v>
      </c>
      <c r="E6825" t="s">
        <v>554</v>
      </c>
      <c r="F6825" t="s">
        <v>1068</v>
      </c>
      <c r="G6825" t="s">
        <v>1075</v>
      </c>
      <c r="H6825" s="171" t="s">
        <v>4718</v>
      </c>
      <c r="I6825" t="s">
        <v>1077</v>
      </c>
      <c r="J6825">
        <v>8.08</v>
      </c>
    </row>
    <row r="6826" spans="1:13">
      <c r="A6826" t="s">
        <v>4713</v>
      </c>
      <c r="B6826" t="s">
        <v>4714</v>
      </c>
      <c r="C6826" t="s">
        <v>244</v>
      </c>
      <c r="D6826" t="s">
        <v>4645</v>
      </c>
      <c r="E6826" t="s">
        <v>554</v>
      </c>
      <c r="F6826" t="s">
        <v>1068</v>
      </c>
      <c r="G6826" t="s">
        <v>1078</v>
      </c>
      <c r="H6826">
        <v>-0.177591272260928</v>
      </c>
      <c r="I6826" t="s">
        <v>1079</v>
      </c>
      <c r="J6826">
        <v>8.08</v>
      </c>
      <c r="M6826" t="str">
        <f>_xlfn.TEXTJOIN(" - ",TRUE,A6826,G6826)</f>
        <v>Recycle - Brown_glass - United States - Global warming</v>
      </c>
    </row>
    <row r="6827" spans="1:13" hidden="1">
      <c r="A6827" t="s">
        <v>4713</v>
      </c>
      <c r="B6827" t="s">
        <v>4714</v>
      </c>
      <c r="C6827" t="s">
        <v>244</v>
      </c>
      <c r="D6827" t="s">
        <v>4645</v>
      </c>
      <c r="E6827" t="s">
        <v>554</v>
      </c>
      <c r="F6827" t="s">
        <v>1068</v>
      </c>
      <c r="G6827" t="s">
        <v>1080</v>
      </c>
      <c r="H6827" s="171" t="s">
        <v>4719</v>
      </c>
      <c r="I6827" t="s">
        <v>1082</v>
      </c>
      <c r="J6827">
        <v>8.08</v>
      </c>
    </row>
    <row r="6828" spans="1:13" hidden="1">
      <c r="A6828" t="s">
        <v>4713</v>
      </c>
      <c r="B6828" t="s">
        <v>4714</v>
      </c>
      <c r="C6828" t="s">
        <v>244</v>
      </c>
      <c r="D6828" t="s">
        <v>4645</v>
      </c>
      <c r="E6828" t="s">
        <v>554</v>
      </c>
      <c r="F6828" t="s">
        <v>1068</v>
      </c>
      <c r="G6828" t="s">
        <v>1083</v>
      </c>
      <c r="H6828" s="171" t="s">
        <v>4720</v>
      </c>
      <c r="I6828" t="s">
        <v>1084</v>
      </c>
      <c r="J6828">
        <v>8.08</v>
      </c>
    </row>
    <row r="6829" spans="1:13" hidden="1">
      <c r="A6829" t="s">
        <v>4713</v>
      </c>
      <c r="B6829" t="s">
        <v>4714</v>
      </c>
      <c r="C6829" t="s">
        <v>244</v>
      </c>
      <c r="D6829" t="s">
        <v>4645</v>
      </c>
      <c r="E6829" t="s">
        <v>554</v>
      </c>
      <c r="F6829" t="s">
        <v>1068</v>
      </c>
      <c r="G6829" t="s">
        <v>1085</v>
      </c>
      <c r="H6829">
        <v>3.00676309625468E-4</v>
      </c>
      <c r="I6829" t="s">
        <v>1086</v>
      </c>
      <c r="J6829">
        <v>8.08</v>
      </c>
    </row>
    <row r="6830" spans="1:13" hidden="1">
      <c r="A6830" t="s">
        <v>4713</v>
      </c>
      <c r="B6830" t="s">
        <v>4714</v>
      </c>
      <c r="C6830" t="s">
        <v>244</v>
      </c>
      <c r="D6830" t="s">
        <v>4645</v>
      </c>
      <c r="E6830" t="s">
        <v>554</v>
      </c>
      <c r="F6830" t="s">
        <v>1068</v>
      </c>
      <c r="G6830" t="s">
        <v>1087</v>
      </c>
      <c r="H6830" s="171" t="s">
        <v>4721</v>
      </c>
      <c r="I6830" t="s">
        <v>1088</v>
      </c>
      <c r="J6830">
        <v>8.08</v>
      </c>
    </row>
    <row r="6831" spans="1:13" hidden="1">
      <c r="A6831" t="s">
        <v>4713</v>
      </c>
      <c r="B6831" t="s">
        <v>4714</v>
      </c>
      <c r="C6831" t="s">
        <v>244</v>
      </c>
      <c r="D6831" t="s">
        <v>4645</v>
      </c>
      <c r="E6831" t="s">
        <v>554</v>
      </c>
      <c r="F6831" t="s">
        <v>1068</v>
      </c>
      <c r="G6831" t="s">
        <v>1089</v>
      </c>
      <c r="H6831">
        <v>1.07354833889322E-4</v>
      </c>
      <c r="I6831" t="s">
        <v>1090</v>
      </c>
      <c r="J6831">
        <v>8.08</v>
      </c>
    </row>
    <row r="6832" spans="1:13" hidden="1">
      <c r="A6832" t="s">
        <v>4722</v>
      </c>
      <c r="B6832" t="s">
        <v>4723</v>
      </c>
      <c r="C6832" t="s">
        <v>244</v>
      </c>
      <c r="D6832" t="s">
        <v>4724</v>
      </c>
      <c r="E6832" t="s">
        <v>561</v>
      </c>
      <c r="F6832" t="s">
        <v>1068</v>
      </c>
      <c r="G6832" t="s">
        <v>1069</v>
      </c>
      <c r="H6832" s="171" t="s">
        <v>4725</v>
      </c>
      <c r="I6832" t="s">
        <v>1070</v>
      </c>
      <c r="J6832">
        <v>12.12</v>
      </c>
    </row>
    <row r="6833" spans="1:13" hidden="1">
      <c r="A6833" t="s">
        <v>4722</v>
      </c>
      <c r="B6833" t="s">
        <v>4723</v>
      </c>
      <c r="C6833" t="s">
        <v>244</v>
      </c>
      <c r="D6833" t="s">
        <v>4724</v>
      </c>
      <c r="E6833" t="s">
        <v>561</v>
      </c>
      <c r="F6833" t="s">
        <v>1068</v>
      </c>
      <c r="G6833" t="s">
        <v>1071</v>
      </c>
      <c r="H6833" s="171" t="s">
        <v>4726</v>
      </c>
      <c r="I6833" t="s">
        <v>1072</v>
      </c>
      <c r="J6833">
        <v>12.12</v>
      </c>
    </row>
    <row r="6834" spans="1:13" hidden="1">
      <c r="A6834" t="s">
        <v>4722</v>
      </c>
      <c r="B6834" t="s">
        <v>4723</v>
      </c>
      <c r="C6834" t="s">
        <v>244</v>
      </c>
      <c r="D6834" t="s">
        <v>4724</v>
      </c>
      <c r="E6834" t="s">
        <v>561</v>
      </c>
      <c r="F6834" t="s">
        <v>1068</v>
      </c>
      <c r="G6834" t="s">
        <v>1073</v>
      </c>
      <c r="H6834" s="171" t="s">
        <v>4727</v>
      </c>
      <c r="I6834" t="s">
        <v>1074</v>
      </c>
      <c r="J6834">
        <v>12.12</v>
      </c>
    </row>
    <row r="6835" spans="1:13" hidden="1">
      <c r="A6835" t="s">
        <v>4722</v>
      </c>
      <c r="B6835" t="s">
        <v>4723</v>
      </c>
      <c r="C6835" t="s">
        <v>244</v>
      </c>
      <c r="D6835" t="s">
        <v>4724</v>
      </c>
      <c r="E6835" t="s">
        <v>561</v>
      </c>
      <c r="F6835" t="s">
        <v>1068</v>
      </c>
      <c r="G6835" t="s">
        <v>1075</v>
      </c>
      <c r="H6835" s="171" t="s">
        <v>4728</v>
      </c>
      <c r="I6835" t="s">
        <v>1077</v>
      </c>
      <c r="J6835">
        <v>12.12</v>
      </c>
    </row>
    <row r="6836" spans="1:13">
      <c r="A6836" t="s">
        <v>4722</v>
      </c>
      <c r="B6836" t="s">
        <v>4723</v>
      </c>
      <c r="C6836" t="s">
        <v>244</v>
      </c>
      <c r="D6836" t="s">
        <v>4724</v>
      </c>
      <c r="E6836" t="s">
        <v>561</v>
      </c>
      <c r="F6836" t="s">
        <v>1068</v>
      </c>
      <c r="G6836" t="s">
        <v>1078</v>
      </c>
      <c r="H6836">
        <v>-0.17749273124092299</v>
      </c>
      <c r="I6836" t="s">
        <v>1079</v>
      </c>
      <c r="J6836">
        <v>12.12</v>
      </c>
      <c r="M6836" t="str">
        <f>_xlfn.TEXTJOIN(" - ",TRUE,A6836,G6836)</f>
        <v>Recycle - Clear_glass - Australia - Global warming</v>
      </c>
    </row>
    <row r="6837" spans="1:13" hidden="1">
      <c r="A6837" t="s">
        <v>4722</v>
      </c>
      <c r="B6837" t="s">
        <v>4723</v>
      </c>
      <c r="C6837" t="s">
        <v>244</v>
      </c>
      <c r="D6837" t="s">
        <v>4724</v>
      </c>
      <c r="E6837" t="s">
        <v>561</v>
      </c>
      <c r="F6837" t="s">
        <v>1068</v>
      </c>
      <c r="G6837" t="s">
        <v>1080</v>
      </c>
      <c r="H6837" s="171" t="s">
        <v>4729</v>
      </c>
      <c r="I6837" t="s">
        <v>1082</v>
      </c>
      <c r="J6837">
        <v>12.12</v>
      </c>
    </row>
    <row r="6838" spans="1:13" hidden="1">
      <c r="A6838" t="s">
        <v>4722</v>
      </c>
      <c r="B6838" t="s">
        <v>4723</v>
      </c>
      <c r="C6838" t="s">
        <v>244</v>
      </c>
      <c r="D6838" t="s">
        <v>4724</v>
      </c>
      <c r="E6838" t="s">
        <v>561</v>
      </c>
      <c r="F6838" t="s">
        <v>1068</v>
      </c>
      <c r="G6838" t="s">
        <v>1083</v>
      </c>
      <c r="H6838" s="171" t="s">
        <v>4730</v>
      </c>
      <c r="I6838" t="s">
        <v>1084</v>
      </c>
      <c r="J6838">
        <v>12.12</v>
      </c>
    </row>
    <row r="6839" spans="1:13" hidden="1">
      <c r="A6839" t="s">
        <v>4722</v>
      </c>
      <c r="B6839" t="s">
        <v>4723</v>
      </c>
      <c r="C6839" t="s">
        <v>244</v>
      </c>
      <c r="D6839" t="s">
        <v>4724</v>
      </c>
      <c r="E6839" t="s">
        <v>561</v>
      </c>
      <c r="F6839" t="s">
        <v>1068</v>
      </c>
      <c r="G6839" t="s">
        <v>1085</v>
      </c>
      <c r="H6839">
        <v>3.0080014802517702E-4</v>
      </c>
      <c r="I6839" t="s">
        <v>1086</v>
      </c>
      <c r="J6839">
        <v>12.12</v>
      </c>
    </row>
    <row r="6840" spans="1:13" hidden="1">
      <c r="A6840" t="s">
        <v>4722</v>
      </c>
      <c r="B6840" t="s">
        <v>4723</v>
      </c>
      <c r="C6840" t="s">
        <v>244</v>
      </c>
      <c r="D6840" t="s">
        <v>4724</v>
      </c>
      <c r="E6840" t="s">
        <v>561</v>
      </c>
      <c r="F6840" t="s">
        <v>1068</v>
      </c>
      <c r="G6840" t="s">
        <v>1087</v>
      </c>
      <c r="H6840" s="171" t="s">
        <v>4731</v>
      </c>
      <c r="I6840" t="s">
        <v>1088</v>
      </c>
      <c r="J6840">
        <v>12.12</v>
      </c>
    </row>
    <row r="6841" spans="1:13" hidden="1">
      <c r="A6841" t="s">
        <v>4722</v>
      </c>
      <c r="B6841" t="s">
        <v>4723</v>
      </c>
      <c r="C6841" t="s">
        <v>244</v>
      </c>
      <c r="D6841" t="s">
        <v>4724</v>
      </c>
      <c r="E6841" t="s">
        <v>561</v>
      </c>
      <c r="F6841" t="s">
        <v>1068</v>
      </c>
      <c r="G6841" t="s">
        <v>1089</v>
      </c>
      <c r="H6841">
        <v>1.0738038150662601E-4</v>
      </c>
      <c r="I6841" t="s">
        <v>1090</v>
      </c>
      <c r="J6841">
        <v>12.12</v>
      </c>
    </row>
    <row r="6842" spans="1:13" hidden="1">
      <c r="A6842" t="s">
        <v>4732</v>
      </c>
      <c r="B6842" t="s">
        <v>4733</v>
      </c>
      <c r="C6842" t="s">
        <v>244</v>
      </c>
      <c r="D6842" t="s">
        <v>4724</v>
      </c>
      <c r="E6842" t="s">
        <v>555</v>
      </c>
      <c r="F6842" t="s">
        <v>1068</v>
      </c>
      <c r="G6842" t="s">
        <v>1069</v>
      </c>
      <c r="H6842" s="171" t="s">
        <v>4655</v>
      </c>
      <c r="I6842" t="s">
        <v>1070</v>
      </c>
      <c r="J6842">
        <v>15.57</v>
      </c>
    </row>
    <row r="6843" spans="1:13" hidden="1">
      <c r="A6843" t="s">
        <v>4732</v>
      </c>
      <c r="B6843" t="s">
        <v>4733</v>
      </c>
      <c r="C6843" t="s">
        <v>244</v>
      </c>
      <c r="D6843" t="s">
        <v>4724</v>
      </c>
      <c r="E6843" t="s">
        <v>555</v>
      </c>
      <c r="F6843" t="s">
        <v>1068</v>
      </c>
      <c r="G6843" t="s">
        <v>1071</v>
      </c>
      <c r="H6843" s="171" t="s">
        <v>4734</v>
      </c>
      <c r="I6843" t="s">
        <v>1072</v>
      </c>
      <c r="J6843">
        <v>15.57</v>
      </c>
    </row>
    <row r="6844" spans="1:13" hidden="1">
      <c r="A6844" t="s">
        <v>4732</v>
      </c>
      <c r="B6844" t="s">
        <v>4733</v>
      </c>
      <c r="C6844" t="s">
        <v>244</v>
      </c>
      <c r="D6844" t="s">
        <v>4724</v>
      </c>
      <c r="E6844" t="s">
        <v>555</v>
      </c>
      <c r="F6844" t="s">
        <v>1068</v>
      </c>
      <c r="G6844" t="s">
        <v>1073</v>
      </c>
      <c r="H6844" s="171" t="s">
        <v>4735</v>
      </c>
      <c r="I6844" t="s">
        <v>1074</v>
      </c>
      <c r="J6844">
        <v>15.57</v>
      </c>
    </row>
    <row r="6845" spans="1:13" hidden="1">
      <c r="A6845" t="s">
        <v>4732</v>
      </c>
      <c r="B6845" t="s">
        <v>4733</v>
      </c>
      <c r="C6845" t="s">
        <v>244</v>
      </c>
      <c r="D6845" t="s">
        <v>4724</v>
      </c>
      <c r="E6845" t="s">
        <v>555</v>
      </c>
      <c r="F6845" t="s">
        <v>1068</v>
      </c>
      <c r="G6845" t="s">
        <v>1075</v>
      </c>
      <c r="H6845">
        <v>1.1158740619387099E-2</v>
      </c>
      <c r="I6845" t="s">
        <v>1077</v>
      </c>
      <c r="J6845">
        <v>15.57</v>
      </c>
    </row>
    <row r="6846" spans="1:13">
      <c r="A6846" t="s">
        <v>4732</v>
      </c>
      <c r="B6846" t="s">
        <v>4733</v>
      </c>
      <c r="C6846" t="s">
        <v>244</v>
      </c>
      <c r="D6846" t="s">
        <v>4724</v>
      </c>
      <c r="E6846" t="s">
        <v>555</v>
      </c>
      <c r="F6846" t="s">
        <v>1068</v>
      </c>
      <c r="G6846" t="s">
        <v>1078</v>
      </c>
      <c r="H6846">
        <v>-0.17666997234010001</v>
      </c>
      <c r="I6846" t="s">
        <v>1079</v>
      </c>
      <c r="J6846">
        <v>15.57</v>
      </c>
      <c r="M6846" t="str">
        <f>_xlfn.TEXTJOIN(" - ",TRUE,A6846,G6846)</f>
        <v>Recycle - Clear_glass - Brazil - Global warming</v>
      </c>
    </row>
    <row r="6847" spans="1:13" hidden="1">
      <c r="A6847" t="s">
        <v>4732</v>
      </c>
      <c r="B6847" t="s">
        <v>4733</v>
      </c>
      <c r="C6847" t="s">
        <v>244</v>
      </c>
      <c r="D6847" t="s">
        <v>4724</v>
      </c>
      <c r="E6847" t="s">
        <v>555</v>
      </c>
      <c r="F6847" t="s">
        <v>1068</v>
      </c>
      <c r="G6847" t="s">
        <v>1080</v>
      </c>
      <c r="H6847" s="171" t="s">
        <v>4658</v>
      </c>
      <c r="I6847" t="s">
        <v>1082</v>
      </c>
      <c r="J6847">
        <v>15.57</v>
      </c>
    </row>
    <row r="6848" spans="1:13" hidden="1">
      <c r="A6848" t="s">
        <v>4732</v>
      </c>
      <c r="B6848" t="s">
        <v>4733</v>
      </c>
      <c r="C6848" t="s">
        <v>244</v>
      </c>
      <c r="D6848" t="s">
        <v>4724</v>
      </c>
      <c r="E6848" t="s">
        <v>555</v>
      </c>
      <c r="F6848" t="s">
        <v>1068</v>
      </c>
      <c r="G6848" t="s">
        <v>1083</v>
      </c>
      <c r="H6848" s="171" t="s">
        <v>4659</v>
      </c>
      <c r="I6848" t="s">
        <v>1084</v>
      </c>
      <c r="J6848">
        <v>15.57</v>
      </c>
    </row>
    <row r="6849" spans="1:13" hidden="1">
      <c r="A6849" t="s">
        <v>4732</v>
      </c>
      <c r="B6849" t="s">
        <v>4733</v>
      </c>
      <c r="C6849" t="s">
        <v>244</v>
      </c>
      <c r="D6849" t="s">
        <v>4724</v>
      </c>
      <c r="E6849" t="s">
        <v>555</v>
      </c>
      <c r="F6849" t="s">
        <v>1068</v>
      </c>
      <c r="G6849" t="s">
        <v>1085</v>
      </c>
      <c r="H6849">
        <v>3.0183412499898898E-4</v>
      </c>
      <c r="I6849" t="s">
        <v>1086</v>
      </c>
      <c r="J6849">
        <v>15.57</v>
      </c>
    </row>
    <row r="6850" spans="1:13" hidden="1">
      <c r="A6850" t="s">
        <v>4732</v>
      </c>
      <c r="B6850" t="s">
        <v>4733</v>
      </c>
      <c r="C6850" t="s">
        <v>244</v>
      </c>
      <c r="D6850" t="s">
        <v>4724</v>
      </c>
      <c r="E6850" t="s">
        <v>555</v>
      </c>
      <c r="F6850" t="s">
        <v>1068</v>
      </c>
      <c r="G6850" t="s">
        <v>1087</v>
      </c>
      <c r="H6850" s="171" t="s">
        <v>4736</v>
      </c>
      <c r="I6850" t="s">
        <v>1088</v>
      </c>
      <c r="J6850">
        <v>15.57</v>
      </c>
    </row>
    <row r="6851" spans="1:13" hidden="1">
      <c r="A6851" t="s">
        <v>4732</v>
      </c>
      <c r="B6851" t="s">
        <v>4733</v>
      </c>
      <c r="C6851" t="s">
        <v>244</v>
      </c>
      <c r="D6851" t="s">
        <v>4724</v>
      </c>
      <c r="E6851" t="s">
        <v>555</v>
      </c>
      <c r="F6851" t="s">
        <v>1068</v>
      </c>
      <c r="G6851" t="s">
        <v>1089</v>
      </c>
      <c r="H6851">
        <v>1.07593688914499E-4</v>
      </c>
      <c r="I6851" t="s">
        <v>1090</v>
      </c>
      <c r="J6851">
        <v>15.57</v>
      </c>
    </row>
    <row r="6852" spans="1:13" hidden="1">
      <c r="A6852" t="s">
        <v>4737</v>
      </c>
      <c r="B6852" t="s">
        <v>4738</v>
      </c>
      <c r="C6852" t="s">
        <v>244</v>
      </c>
      <c r="D6852" t="s">
        <v>4724</v>
      </c>
      <c r="E6852" t="s">
        <v>558</v>
      </c>
      <c r="F6852" t="s">
        <v>1068</v>
      </c>
      <c r="G6852" t="s">
        <v>1069</v>
      </c>
      <c r="H6852" s="171" t="s">
        <v>4739</v>
      </c>
      <c r="I6852" t="s">
        <v>1070</v>
      </c>
      <c r="J6852">
        <v>18.45</v>
      </c>
    </row>
    <row r="6853" spans="1:13" hidden="1">
      <c r="A6853" t="s">
        <v>4737</v>
      </c>
      <c r="B6853" t="s">
        <v>4738</v>
      </c>
      <c r="C6853" t="s">
        <v>244</v>
      </c>
      <c r="D6853" t="s">
        <v>4724</v>
      </c>
      <c r="E6853" t="s">
        <v>558</v>
      </c>
      <c r="F6853" t="s">
        <v>1068</v>
      </c>
      <c r="G6853" t="s">
        <v>1071</v>
      </c>
      <c r="H6853" s="171" t="s">
        <v>4664</v>
      </c>
      <c r="I6853" t="s">
        <v>1072</v>
      </c>
      <c r="J6853">
        <v>18.45</v>
      </c>
    </row>
    <row r="6854" spans="1:13" hidden="1">
      <c r="A6854" t="s">
        <v>4737</v>
      </c>
      <c r="B6854" t="s">
        <v>4738</v>
      </c>
      <c r="C6854" t="s">
        <v>244</v>
      </c>
      <c r="D6854" t="s">
        <v>4724</v>
      </c>
      <c r="E6854" t="s">
        <v>558</v>
      </c>
      <c r="F6854" t="s">
        <v>1068</v>
      </c>
      <c r="G6854" t="s">
        <v>1073</v>
      </c>
      <c r="H6854" s="171" t="s">
        <v>4665</v>
      </c>
      <c r="I6854" t="s">
        <v>1074</v>
      </c>
      <c r="J6854">
        <v>18.45</v>
      </c>
    </row>
    <row r="6855" spans="1:13" hidden="1">
      <c r="A6855" t="s">
        <v>4737</v>
      </c>
      <c r="B6855" t="s">
        <v>4738</v>
      </c>
      <c r="C6855" t="s">
        <v>244</v>
      </c>
      <c r="D6855" t="s">
        <v>4724</v>
      </c>
      <c r="E6855" t="s">
        <v>558</v>
      </c>
      <c r="F6855" t="s">
        <v>1068</v>
      </c>
      <c r="G6855" t="s">
        <v>1075</v>
      </c>
      <c r="H6855" s="171" t="s">
        <v>4666</v>
      </c>
      <c r="I6855" t="s">
        <v>1077</v>
      </c>
      <c r="J6855">
        <v>18.45</v>
      </c>
    </row>
    <row r="6856" spans="1:13">
      <c r="A6856" t="s">
        <v>4737</v>
      </c>
      <c r="B6856" t="s">
        <v>4738</v>
      </c>
      <c r="C6856" t="s">
        <v>244</v>
      </c>
      <c r="D6856" t="s">
        <v>4724</v>
      </c>
      <c r="E6856" t="s">
        <v>558</v>
      </c>
      <c r="F6856" t="s">
        <v>1068</v>
      </c>
      <c r="G6856" t="s">
        <v>1078</v>
      </c>
      <c r="H6856">
        <v>-0.17756557968525899</v>
      </c>
      <c r="I6856" t="s">
        <v>1079</v>
      </c>
      <c r="J6856">
        <v>18.45</v>
      </c>
      <c r="M6856" t="str">
        <f>_xlfn.TEXTJOIN(" - ",TRUE,A6856,G6856)</f>
        <v>Recycle - Clear_glass - Canada - Global warming</v>
      </c>
    </row>
    <row r="6857" spans="1:13" hidden="1">
      <c r="A6857" t="s">
        <v>4737</v>
      </c>
      <c r="B6857" t="s">
        <v>4738</v>
      </c>
      <c r="C6857" t="s">
        <v>244</v>
      </c>
      <c r="D6857" t="s">
        <v>4724</v>
      </c>
      <c r="E6857" t="s">
        <v>558</v>
      </c>
      <c r="F6857" t="s">
        <v>1068</v>
      </c>
      <c r="G6857" t="s">
        <v>1080</v>
      </c>
      <c r="H6857" s="171" t="s">
        <v>4667</v>
      </c>
      <c r="I6857" t="s">
        <v>1082</v>
      </c>
      <c r="J6857">
        <v>18.45</v>
      </c>
    </row>
    <row r="6858" spans="1:13" hidden="1">
      <c r="A6858" t="s">
        <v>4737</v>
      </c>
      <c r="B6858" t="s">
        <v>4738</v>
      </c>
      <c r="C6858" t="s">
        <v>244</v>
      </c>
      <c r="D6858" t="s">
        <v>4724</v>
      </c>
      <c r="E6858" t="s">
        <v>558</v>
      </c>
      <c r="F6858" t="s">
        <v>1068</v>
      </c>
      <c r="G6858" t="s">
        <v>1083</v>
      </c>
      <c r="H6858" s="171" t="s">
        <v>4668</v>
      </c>
      <c r="I6858" t="s">
        <v>1084</v>
      </c>
      <c r="J6858">
        <v>18.45</v>
      </c>
    </row>
    <row r="6859" spans="1:13" hidden="1">
      <c r="A6859" t="s">
        <v>4737</v>
      </c>
      <c r="B6859" t="s">
        <v>4738</v>
      </c>
      <c r="C6859" t="s">
        <v>244</v>
      </c>
      <c r="D6859" t="s">
        <v>4724</v>
      </c>
      <c r="E6859" t="s">
        <v>558</v>
      </c>
      <c r="F6859" t="s">
        <v>1068</v>
      </c>
      <c r="G6859" t="s">
        <v>1085</v>
      </c>
      <c r="H6859">
        <v>3.0070859798067502E-4</v>
      </c>
      <c r="I6859" t="s">
        <v>1086</v>
      </c>
      <c r="J6859">
        <v>18.45</v>
      </c>
    </row>
    <row r="6860" spans="1:13" hidden="1">
      <c r="A6860" t="s">
        <v>4737</v>
      </c>
      <c r="B6860" t="s">
        <v>4738</v>
      </c>
      <c r="C6860" t="s">
        <v>244</v>
      </c>
      <c r="D6860" t="s">
        <v>4724</v>
      </c>
      <c r="E6860" t="s">
        <v>558</v>
      </c>
      <c r="F6860" t="s">
        <v>1068</v>
      </c>
      <c r="G6860" t="s">
        <v>1087</v>
      </c>
      <c r="H6860" s="171" t="s">
        <v>4740</v>
      </c>
      <c r="I6860" t="s">
        <v>1088</v>
      </c>
      <c r="J6860">
        <v>18.45</v>
      </c>
    </row>
    <row r="6861" spans="1:13" hidden="1">
      <c r="A6861" t="s">
        <v>4737</v>
      </c>
      <c r="B6861" t="s">
        <v>4738</v>
      </c>
      <c r="C6861" t="s">
        <v>244</v>
      </c>
      <c r="D6861" t="s">
        <v>4724</v>
      </c>
      <c r="E6861" t="s">
        <v>558</v>
      </c>
      <c r="F6861" t="s">
        <v>1068</v>
      </c>
      <c r="G6861" t="s">
        <v>1089</v>
      </c>
      <c r="H6861">
        <v>1.0736149491324001E-4</v>
      </c>
      <c r="I6861" t="s">
        <v>1090</v>
      </c>
      <c r="J6861">
        <v>18.45</v>
      </c>
    </row>
    <row r="6862" spans="1:13" hidden="1">
      <c r="A6862" t="s">
        <v>4741</v>
      </c>
      <c r="B6862" t="s">
        <v>4742</v>
      </c>
      <c r="C6862" t="s">
        <v>244</v>
      </c>
      <c r="D6862" t="s">
        <v>4724</v>
      </c>
      <c r="E6862" t="s">
        <v>553</v>
      </c>
      <c r="F6862" t="s">
        <v>1068</v>
      </c>
      <c r="G6862" t="s">
        <v>1069</v>
      </c>
      <c r="H6862" s="171" t="s">
        <v>4743</v>
      </c>
      <c r="I6862" t="s">
        <v>1070</v>
      </c>
      <c r="J6862">
        <v>16.010000000000002</v>
      </c>
    </row>
    <row r="6863" spans="1:13" hidden="1">
      <c r="A6863" t="s">
        <v>4741</v>
      </c>
      <c r="B6863" t="s">
        <v>4742</v>
      </c>
      <c r="C6863" t="s">
        <v>244</v>
      </c>
      <c r="D6863" t="s">
        <v>4724</v>
      </c>
      <c r="E6863" t="s">
        <v>553</v>
      </c>
      <c r="F6863" t="s">
        <v>1068</v>
      </c>
      <c r="G6863" t="s">
        <v>1071</v>
      </c>
      <c r="H6863" s="171" t="s">
        <v>4744</v>
      </c>
      <c r="I6863" t="s">
        <v>1072</v>
      </c>
      <c r="J6863">
        <v>16.010000000000002</v>
      </c>
    </row>
    <row r="6864" spans="1:13" hidden="1">
      <c r="A6864" t="s">
        <v>4741</v>
      </c>
      <c r="B6864" t="s">
        <v>4742</v>
      </c>
      <c r="C6864" t="s">
        <v>244</v>
      </c>
      <c r="D6864" t="s">
        <v>4724</v>
      </c>
      <c r="E6864" t="s">
        <v>553</v>
      </c>
      <c r="F6864" t="s">
        <v>1068</v>
      </c>
      <c r="G6864" t="s">
        <v>1073</v>
      </c>
      <c r="H6864" s="171" t="s">
        <v>4745</v>
      </c>
      <c r="I6864" t="s">
        <v>1074</v>
      </c>
      <c r="J6864">
        <v>16.010000000000002</v>
      </c>
    </row>
    <row r="6865" spans="1:13" hidden="1">
      <c r="A6865" t="s">
        <v>4741</v>
      </c>
      <c r="B6865" t="s">
        <v>4742</v>
      </c>
      <c r="C6865" t="s">
        <v>244</v>
      </c>
      <c r="D6865" t="s">
        <v>4724</v>
      </c>
      <c r="E6865" t="s">
        <v>553</v>
      </c>
      <c r="F6865" t="s">
        <v>1068</v>
      </c>
      <c r="G6865" t="s">
        <v>1075</v>
      </c>
      <c r="H6865" s="171" t="s">
        <v>4746</v>
      </c>
      <c r="I6865" t="s">
        <v>1077</v>
      </c>
      <c r="J6865">
        <v>16.010000000000002</v>
      </c>
    </row>
    <row r="6866" spans="1:13">
      <c r="A6866" t="s">
        <v>4741</v>
      </c>
      <c r="B6866" t="s">
        <v>4742</v>
      </c>
      <c r="C6866" t="s">
        <v>244</v>
      </c>
      <c r="D6866" t="s">
        <v>4724</v>
      </c>
      <c r="E6866" t="s">
        <v>553</v>
      </c>
      <c r="F6866" t="s">
        <v>1068</v>
      </c>
      <c r="G6866" t="s">
        <v>1078</v>
      </c>
      <c r="H6866">
        <v>-0.17763692609982201</v>
      </c>
      <c r="I6866" t="s">
        <v>1079</v>
      </c>
      <c r="J6866">
        <v>16.010000000000002</v>
      </c>
      <c r="M6866" t="str">
        <f>_xlfn.TEXTJOIN(" - ",TRUE,A6866,G6866)</f>
        <v>Recycle - Clear_glass - China - Global warming</v>
      </c>
    </row>
    <row r="6867" spans="1:13" hidden="1">
      <c r="A6867" t="s">
        <v>4741</v>
      </c>
      <c r="B6867" t="s">
        <v>4742</v>
      </c>
      <c r="C6867" t="s">
        <v>244</v>
      </c>
      <c r="D6867" t="s">
        <v>4724</v>
      </c>
      <c r="E6867" t="s">
        <v>553</v>
      </c>
      <c r="F6867" t="s">
        <v>1068</v>
      </c>
      <c r="G6867" t="s">
        <v>1080</v>
      </c>
      <c r="H6867" s="171" t="s">
        <v>4747</v>
      </c>
      <c r="I6867" t="s">
        <v>1082</v>
      </c>
      <c r="J6867">
        <v>16.010000000000002</v>
      </c>
    </row>
    <row r="6868" spans="1:13" hidden="1">
      <c r="A6868" t="s">
        <v>4741</v>
      </c>
      <c r="B6868" t="s">
        <v>4742</v>
      </c>
      <c r="C6868" t="s">
        <v>244</v>
      </c>
      <c r="D6868" t="s">
        <v>4724</v>
      </c>
      <c r="E6868" t="s">
        <v>553</v>
      </c>
      <c r="F6868" t="s">
        <v>1068</v>
      </c>
      <c r="G6868" t="s">
        <v>1083</v>
      </c>
      <c r="H6868" s="171" t="s">
        <v>4748</v>
      </c>
      <c r="I6868" t="s">
        <v>1084</v>
      </c>
      <c r="J6868">
        <v>16.010000000000002</v>
      </c>
    </row>
    <row r="6869" spans="1:13" hidden="1">
      <c r="A6869" t="s">
        <v>4741</v>
      </c>
      <c r="B6869" t="s">
        <v>4742</v>
      </c>
      <c r="C6869" t="s">
        <v>244</v>
      </c>
      <c r="D6869" t="s">
        <v>4724</v>
      </c>
      <c r="E6869" t="s">
        <v>553</v>
      </c>
      <c r="F6869" t="s">
        <v>1068</v>
      </c>
      <c r="G6869" t="s">
        <v>1085</v>
      </c>
      <c r="H6869">
        <v>3.00618935565906E-4</v>
      </c>
      <c r="I6869" t="s">
        <v>1086</v>
      </c>
      <c r="J6869">
        <v>16.010000000000002</v>
      </c>
    </row>
    <row r="6870" spans="1:13" hidden="1">
      <c r="A6870" t="s">
        <v>4741</v>
      </c>
      <c r="B6870" t="s">
        <v>4742</v>
      </c>
      <c r="C6870" t="s">
        <v>244</v>
      </c>
      <c r="D6870" t="s">
        <v>4724</v>
      </c>
      <c r="E6870" t="s">
        <v>553</v>
      </c>
      <c r="F6870" t="s">
        <v>1068</v>
      </c>
      <c r="G6870" t="s">
        <v>1087</v>
      </c>
      <c r="H6870" s="171" t="s">
        <v>4749</v>
      </c>
      <c r="I6870" t="s">
        <v>1088</v>
      </c>
      <c r="J6870">
        <v>16.010000000000002</v>
      </c>
    </row>
    <row r="6871" spans="1:13" hidden="1">
      <c r="A6871" t="s">
        <v>4741</v>
      </c>
      <c r="B6871" t="s">
        <v>4742</v>
      </c>
      <c r="C6871" t="s">
        <v>244</v>
      </c>
      <c r="D6871" t="s">
        <v>4724</v>
      </c>
      <c r="E6871" t="s">
        <v>553</v>
      </c>
      <c r="F6871" t="s">
        <v>1068</v>
      </c>
      <c r="G6871" t="s">
        <v>1089</v>
      </c>
      <c r="H6871">
        <v>1.07342997734132E-4</v>
      </c>
      <c r="I6871" t="s">
        <v>1090</v>
      </c>
      <c r="J6871">
        <v>16.010000000000002</v>
      </c>
    </row>
    <row r="6872" spans="1:13" hidden="1">
      <c r="A6872" t="s">
        <v>4750</v>
      </c>
      <c r="B6872" t="s">
        <v>4751</v>
      </c>
      <c r="C6872" t="s">
        <v>244</v>
      </c>
      <c r="D6872" t="s">
        <v>4724</v>
      </c>
      <c r="E6872" t="s">
        <v>556</v>
      </c>
      <c r="F6872" t="s">
        <v>1068</v>
      </c>
      <c r="G6872" t="s">
        <v>1069</v>
      </c>
      <c r="H6872" s="171" t="s">
        <v>4681</v>
      </c>
      <c r="I6872" t="s">
        <v>1070</v>
      </c>
      <c r="J6872">
        <v>10.67</v>
      </c>
    </row>
    <row r="6873" spans="1:13" hidden="1">
      <c r="A6873" t="s">
        <v>4750</v>
      </c>
      <c r="B6873" t="s">
        <v>4751</v>
      </c>
      <c r="C6873" t="s">
        <v>244</v>
      </c>
      <c r="D6873" t="s">
        <v>4724</v>
      </c>
      <c r="E6873" t="s">
        <v>556</v>
      </c>
      <c r="F6873" t="s">
        <v>1068</v>
      </c>
      <c r="G6873" t="s">
        <v>1071</v>
      </c>
      <c r="H6873" s="171" t="s">
        <v>4682</v>
      </c>
      <c r="I6873" t="s">
        <v>1072</v>
      </c>
      <c r="J6873">
        <v>10.67</v>
      </c>
    </row>
    <row r="6874" spans="1:13" hidden="1">
      <c r="A6874" t="s">
        <v>4750</v>
      </c>
      <c r="B6874" t="s">
        <v>4751</v>
      </c>
      <c r="C6874" t="s">
        <v>244</v>
      </c>
      <c r="D6874" t="s">
        <v>4724</v>
      </c>
      <c r="E6874" t="s">
        <v>556</v>
      </c>
      <c r="F6874" t="s">
        <v>1068</v>
      </c>
      <c r="G6874" t="s">
        <v>1073</v>
      </c>
      <c r="H6874" s="171" t="s">
        <v>4752</v>
      </c>
      <c r="I6874" t="s">
        <v>1074</v>
      </c>
      <c r="J6874">
        <v>10.67</v>
      </c>
    </row>
    <row r="6875" spans="1:13" hidden="1">
      <c r="A6875" t="s">
        <v>4750</v>
      </c>
      <c r="B6875" t="s">
        <v>4751</v>
      </c>
      <c r="C6875" t="s">
        <v>244</v>
      </c>
      <c r="D6875" t="s">
        <v>4724</v>
      </c>
      <c r="E6875" t="s">
        <v>556</v>
      </c>
      <c r="F6875" t="s">
        <v>1068</v>
      </c>
      <c r="G6875" t="s">
        <v>1075</v>
      </c>
      <c r="H6875" s="171" t="s">
        <v>4684</v>
      </c>
      <c r="I6875" t="s">
        <v>1077</v>
      </c>
      <c r="J6875">
        <v>10.67</v>
      </c>
    </row>
    <row r="6876" spans="1:13">
      <c r="A6876" t="s">
        <v>4750</v>
      </c>
      <c r="B6876" t="s">
        <v>4751</v>
      </c>
      <c r="C6876" t="s">
        <v>244</v>
      </c>
      <c r="D6876" t="s">
        <v>4724</v>
      </c>
      <c r="E6876" t="s">
        <v>556</v>
      </c>
      <c r="F6876" t="s">
        <v>1068</v>
      </c>
      <c r="G6876" t="s">
        <v>1078</v>
      </c>
      <c r="H6876">
        <v>-0.176760858497749</v>
      </c>
      <c r="I6876" t="s">
        <v>1079</v>
      </c>
      <c r="J6876">
        <v>10.67</v>
      </c>
      <c r="M6876" t="str">
        <f>_xlfn.TEXTJOIN(" - ",TRUE,A6876,G6876)</f>
        <v>Recycle - Clear_glass - India - Global warming</v>
      </c>
    </row>
    <row r="6877" spans="1:13" hidden="1">
      <c r="A6877" t="s">
        <v>4750</v>
      </c>
      <c r="B6877" t="s">
        <v>4751</v>
      </c>
      <c r="C6877" t="s">
        <v>244</v>
      </c>
      <c r="D6877" t="s">
        <v>4724</v>
      </c>
      <c r="E6877" t="s">
        <v>556</v>
      </c>
      <c r="F6877" t="s">
        <v>1068</v>
      </c>
      <c r="G6877" t="s">
        <v>1080</v>
      </c>
      <c r="H6877" s="171" t="s">
        <v>4685</v>
      </c>
      <c r="I6877" t="s">
        <v>1082</v>
      </c>
      <c r="J6877">
        <v>10.67</v>
      </c>
    </row>
    <row r="6878" spans="1:13" hidden="1">
      <c r="A6878" t="s">
        <v>4750</v>
      </c>
      <c r="B6878" t="s">
        <v>4751</v>
      </c>
      <c r="C6878" t="s">
        <v>244</v>
      </c>
      <c r="D6878" t="s">
        <v>4724</v>
      </c>
      <c r="E6878" t="s">
        <v>556</v>
      </c>
      <c r="F6878" t="s">
        <v>1068</v>
      </c>
      <c r="G6878" t="s">
        <v>1083</v>
      </c>
      <c r="H6878" s="171" t="s">
        <v>4753</v>
      </c>
      <c r="I6878" t="s">
        <v>1084</v>
      </c>
      <c r="J6878">
        <v>10.67</v>
      </c>
    </row>
    <row r="6879" spans="1:13" hidden="1">
      <c r="A6879" t="s">
        <v>4750</v>
      </c>
      <c r="B6879" t="s">
        <v>4751</v>
      </c>
      <c r="C6879" t="s">
        <v>244</v>
      </c>
      <c r="D6879" t="s">
        <v>4724</v>
      </c>
      <c r="E6879" t="s">
        <v>556</v>
      </c>
      <c r="F6879" t="s">
        <v>1068</v>
      </c>
      <c r="G6879" t="s">
        <v>1085</v>
      </c>
      <c r="H6879">
        <v>3.01719906612353E-4</v>
      </c>
      <c r="I6879" t="s">
        <v>1086</v>
      </c>
      <c r="J6879">
        <v>10.67</v>
      </c>
    </row>
    <row r="6880" spans="1:13" hidden="1">
      <c r="A6880" t="s">
        <v>4750</v>
      </c>
      <c r="B6880" t="s">
        <v>4751</v>
      </c>
      <c r="C6880" t="s">
        <v>244</v>
      </c>
      <c r="D6880" t="s">
        <v>4724</v>
      </c>
      <c r="E6880" t="s">
        <v>556</v>
      </c>
      <c r="F6880" t="s">
        <v>1068</v>
      </c>
      <c r="G6880" t="s">
        <v>1087</v>
      </c>
      <c r="H6880" s="171" t="s">
        <v>4754</v>
      </c>
      <c r="I6880" t="s">
        <v>1088</v>
      </c>
      <c r="J6880">
        <v>10.67</v>
      </c>
    </row>
    <row r="6881" spans="1:13" hidden="1">
      <c r="A6881" t="s">
        <v>4750</v>
      </c>
      <c r="B6881" t="s">
        <v>4751</v>
      </c>
      <c r="C6881" t="s">
        <v>244</v>
      </c>
      <c r="D6881" t="s">
        <v>4724</v>
      </c>
      <c r="E6881" t="s">
        <v>556</v>
      </c>
      <c r="F6881" t="s">
        <v>1068</v>
      </c>
      <c r="G6881" t="s">
        <v>1089</v>
      </c>
      <c r="H6881">
        <v>1.07570125886887E-4</v>
      </c>
      <c r="I6881" t="s">
        <v>1090</v>
      </c>
      <c r="J6881">
        <v>10.67</v>
      </c>
    </row>
    <row r="6882" spans="1:13" hidden="1">
      <c r="A6882" t="s">
        <v>4755</v>
      </c>
      <c r="B6882" t="s">
        <v>4756</v>
      </c>
      <c r="C6882" t="s">
        <v>244</v>
      </c>
      <c r="D6882" t="s">
        <v>4724</v>
      </c>
      <c r="E6882" t="s">
        <v>557</v>
      </c>
      <c r="F6882" t="s">
        <v>1068</v>
      </c>
      <c r="G6882" t="s">
        <v>1069</v>
      </c>
      <c r="H6882" s="171" t="s">
        <v>4690</v>
      </c>
      <c r="I6882" t="s">
        <v>1070</v>
      </c>
      <c r="J6882">
        <v>8.26</v>
      </c>
    </row>
    <row r="6883" spans="1:13" hidden="1">
      <c r="A6883" t="s">
        <v>4755</v>
      </c>
      <c r="B6883" t="s">
        <v>4756</v>
      </c>
      <c r="C6883" t="s">
        <v>244</v>
      </c>
      <c r="D6883" t="s">
        <v>4724</v>
      </c>
      <c r="E6883" t="s">
        <v>557</v>
      </c>
      <c r="F6883" t="s">
        <v>1068</v>
      </c>
      <c r="G6883" t="s">
        <v>1071</v>
      </c>
      <c r="H6883" s="171" t="s">
        <v>4691</v>
      </c>
      <c r="I6883" t="s">
        <v>1072</v>
      </c>
      <c r="J6883">
        <v>8.26</v>
      </c>
    </row>
    <row r="6884" spans="1:13" hidden="1">
      <c r="A6884" t="s">
        <v>4755</v>
      </c>
      <c r="B6884" t="s">
        <v>4756</v>
      </c>
      <c r="C6884" t="s">
        <v>244</v>
      </c>
      <c r="D6884" t="s">
        <v>4724</v>
      </c>
      <c r="E6884" t="s">
        <v>557</v>
      </c>
      <c r="F6884" t="s">
        <v>1068</v>
      </c>
      <c r="G6884" t="s">
        <v>1073</v>
      </c>
      <c r="H6884" s="171" t="s">
        <v>4692</v>
      </c>
      <c r="I6884" t="s">
        <v>1074</v>
      </c>
      <c r="J6884">
        <v>8.26</v>
      </c>
    </row>
    <row r="6885" spans="1:13" hidden="1">
      <c r="A6885" t="s">
        <v>4755</v>
      </c>
      <c r="B6885" t="s">
        <v>4756</v>
      </c>
      <c r="C6885" t="s">
        <v>244</v>
      </c>
      <c r="D6885" t="s">
        <v>4724</v>
      </c>
      <c r="E6885" t="s">
        <v>557</v>
      </c>
      <c r="F6885" t="s">
        <v>1068</v>
      </c>
      <c r="G6885" t="s">
        <v>1075</v>
      </c>
      <c r="H6885">
        <v>1.11449881090278E-2</v>
      </c>
      <c r="I6885" t="s">
        <v>1077</v>
      </c>
      <c r="J6885">
        <v>8.26</v>
      </c>
    </row>
    <row r="6886" spans="1:13">
      <c r="A6886" t="s">
        <v>4755</v>
      </c>
      <c r="B6886" t="s">
        <v>4756</v>
      </c>
      <c r="C6886" t="s">
        <v>244</v>
      </c>
      <c r="D6886" t="s">
        <v>4724</v>
      </c>
      <c r="E6886" t="s">
        <v>557</v>
      </c>
      <c r="F6886" t="s">
        <v>1068</v>
      </c>
      <c r="G6886" t="s">
        <v>1078</v>
      </c>
      <c r="H6886">
        <v>-0.17726468393688499</v>
      </c>
      <c r="I6886" t="s">
        <v>1079</v>
      </c>
      <c r="J6886">
        <v>8.26</v>
      </c>
      <c r="M6886" t="str">
        <f>_xlfn.TEXTJOIN(" - ",TRUE,A6886,G6886)</f>
        <v>Recycle - Clear_glass - Ireland - Global warming</v>
      </c>
    </row>
    <row r="6887" spans="1:13" hidden="1">
      <c r="A6887" t="s">
        <v>4755</v>
      </c>
      <c r="B6887" t="s">
        <v>4756</v>
      </c>
      <c r="C6887" t="s">
        <v>244</v>
      </c>
      <c r="D6887" t="s">
        <v>4724</v>
      </c>
      <c r="E6887" t="s">
        <v>557</v>
      </c>
      <c r="F6887" t="s">
        <v>1068</v>
      </c>
      <c r="G6887" t="s">
        <v>1080</v>
      </c>
      <c r="H6887" s="171" t="s">
        <v>4693</v>
      </c>
      <c r="I6887" t="s">
        <v>1082</v>
      </c>
      <c r="J6887">
        <v>8.26</v>
      </c>
    </row>
    <row r="6888" spans="1:13" hidden="1">
      <c r="A6888" t="s">
        <v>4755</v>
      </c>
      <c r="B6888" t="s">
        <v>4756</v>
      </c>
      <c r="C6888" t="s">
        <v>244</v>
      </c>
      <c r="D6888" t="s">
        <v>4724</v>
      </c>
      <c r="E6888" t="s">
        <v>557</v>
      </c>
      <c r="F6888" t="s">
        <v>1068</v>
      </c>
      <c r="G6888" t="s">
        <v>1083</v>
      </c>
      <c r="H6888" s="171" t="s">
        <v>4757</v>
      </c>
      <c r="I6888" t="s">
        <v>1084</v>
      </c>
      <c r="J6888">
        <v>8.26</v>
      </c>
    </row>
    <row r="6889" spans="1:13" hidden="1">
      <c r="A6889" t="s">
        <v>4755</v>
      </c>
      <c r="B6889" t="s">
        <v>4756</v>
      </c>
      <c r="C6889" t="s">
        <v>244</v>
      </c>
      <c r="D6889" t="s">
        <v>4724</v>
      </c>
      <c r="E6889" t="s">
        <v>557</v>
      </c>
      <c r="F6889" t="s">
        <v>1068</v>
      </c>
      <c r="G6889" t="s">
        <v>1085</v>
      </c>
      <c r="H6889">
        <v>3.0108673946904101E-4</v>
      </c>
      <c r="I6889" t="s">
        <v>1086</v>
      </c>
      <c r="J6889">
        <v>8.26</v>
      </c>
    </row>
    <row r="6890" spans="1:13" hidden="1">
      <c r="A6890" t="s">
        <v>4755</v>
      </c>
      <c r="B6890" t="s">
        <v>4756</v>
      </c>
      <c r="C6890" t="s">
        <v>244</v>
      </c>
      <c r="D6890" t="s">
        <v>4724</v>
      </c>
      <c r="E6890" t="s">
        <v>557</v>
      </c>
      <c r="F6890" t="s">
        <v>1068</v>
      </c>
      <c r="G6890" t="s">
        <v>1087</v>
      </c>
      <c r="H6890" s="171" t="s">
        <v>4758</v>
      </c>
      <c r="I6890" t="s">
        <v>1088</v>
      </c>
      <c r="J6890">
        <v>8.26</v>
      </c>
    </row>
    <row r="6891" spans="1:13" hidden="1">
      <c r="A6891" t="s">
        <v>4755</v>
      </c>
      <c r="B6891" t="s">
        <v>4756</v>
      </c>
      <c r="C6891" t="s">
        <v>244</v>
      </c>
      <c r="D6891" t="s">
        <v>4724</v>
      </c>
      <c r="E6891" t="s">
        <v>557</v>
      </c>
      <c r="F6891" t="s">
        <v>1068</v>
      </c>
      <c r="G6891" t="s">
        <v>1089</v>
      </c>
      <c r="H6891">
        <v>1.0743950475555999E-4</v>
      </c>
      <c r="I6891" t="s">
        <v>1090</v>
      </c>
      <c r="J6891">
        <v>8.26</v>
      </c>
    </row>
    <row r="6892" spans="1:13" hidden="1">
      <c r="A6892" t="s">
        <v>4759</v>
      </c>
      <c r="B6892" t="s">
        <v>4760</v>
      </c>
      <c r="C6892" t="s">
        <v>244</v>
      </c>
      <c r="D6892" t="s">
        <v>4724</v>
      </c>
      <c r="E6892" t="s">
        <v>559</v>
      </c>
      <c r="F6892" t="s">
        <v>1068</v>
      </c>
      <c r="G6892" t="s">
        <v>1069</v>
      </c>
      <c r="H6892" s="171" t="s">
        <v>4698</v>
      </c>
      <c r="I6892" t="s">
        <v>1070</v>
      </c>
      <c r="J6892">
        <v>10.16</v>
      </c>
    </row>
    <row r="6893" spans="1:13" hidden="1">
      <c r="A6893" t="s">
        <v>4759</v>
      </c>
      <c r="B6893" t="s">
        <v>4760</v>
      </c>
      <c r="C6893" t="s">
        <v>244</v>
      </c>
      <c r="D6893" t="s">
        <v>4724</v>
      </c>
      <c r="E6893" t="s">
        <v>559</v>
      </c>
      <c r="F6893" t="s">
        <v>1068</v>
      </c>
      <c r="G6893" t="s">
        <v>1071</v>
      </c>
      <c r="H6893" s="171" t="s">
        <v>4699</v>
      </c>
      <c r="I6893" t="s">
        <v>1072</v>
      </c>
      <c r="J6893">
        <v>10.16</v>
      </c>
    </row>
    <row r="6894" spans="1:13" hidden="1">
      <c r="A6894" t="s">
        <v>4759</v>
      </c>
      <c r="B6894" t="s">
        <v>4760</v>
      </c>
      <c r="C6894" t="s">
        <v>244</v>
      </c>
      <c r="D6894" t="s">
        <v>4724</v>
      </c>
      <c r="E6894" t="s">
        <v>559</v>
      </c>
      <c r="F6894" t="s">
        <v>1068</v>
      </c>
      <c r="G6894" t="s">
        <v>1073</v>
      </c>
      <c r="H6894" s="171" t="s">
        <v>4700</v>
      </c>
      <c r="I6894" t="s">
        <v>1074</v>
      </c>
      <c r="J6894">
        <v>10.16</v>
      </c>
    </row>
    <row r="6895" spans="1:13" hidden="1">
      <c r="A6895" t="s">
        <v>4759</v>
      </c>
      <c r="B6895" t="s">
        <v>4760</v>
      </c>
      <c r="C6895" t="s">
        <v>244</v>
      </c>
      <c r="D6895" t="s">
        <v>4724</v>
      </c>
      <c r="E6895" t="s">
        <v>559</v>
      </c>
      <c r="F6895" t="s">
        <v>1068</v>
      </c>
      <c r="G6895" t="s">
        <v>1075</v>
      </c>
      <c r="H6895">
        <v>1.1150617146173301E-2</v>
      </c>
      <c r="I6895" t="s">
        <v>1077</v>
      </c>
      <c r="J6895">
        <v>10.16</v>
      </c>
    </row>
    <row r="6896" spans="1:13">
      <c r="A6896" t="s">
        <v>4759</v>
      </c>
      <c r="B6896" t="s">
        <v>4760</v>
      </c>
      <c r="C6896" t="s">
        <v>244</v>
      </c>
      <c r="D6896" t="s">
        <v>4724</v>
      </c>
      <c r="E6896" t="s">
        <v>559</v>
      </c>
      <c r="F6896" t="s">
        <v>1068</v>
      </c>
      <c r="G6896" t="s">
        <v>1078</v>
      </c>
      <c r="H6896">
        <v>-0.177021262657302</v>
      </c>
      <c r="I6896" t="s">
        <v>1079</v>
      </c>
      <c r="J6896">
        <v>10.16</v>
      </c>
      <c r="M6896" t="str">
        <f>_xlfn.TEXTJOIN(" - ",TRUE,A6896,G6896)</f>
        <v>Recycle - Clear_glass - Mexico - Global warming</v>
      </c>
    </row>
    <row r="6897" spans="1:13" hidden="1">
      <c r="A6897" t="s">
        <v>4759</v>
      </c>
      <c r="B6897" t="s">
        <v>4760</v>
      </c>
      <c r="C6897" t="s">
        <v>244</v>
      </c>
      <c r="D6897" t="s">
        <v>4724</v>
      </c>
      <c r="E6897" t="s">
        <v>559</v>
      </c>
      <c r="F6897" t="s">
        <v>1068</v>
      </c>
      <c r="G6897" t="s">
        <v>1080</v>
      </c>
      <c r="H6897" s="171" t="s">
        <v>4761</v>
      </c>
      <c r="I6897" t="s">
        <v>1082</v>
      </c>
      <c r="J6897">
        <v>10.16</v>
      </c>
    </row>
    <row r="6898" spans="1:13" hidden="1">
      <c r="A6898" t="s">
        <v>4759</v>
      </c>
      <c r="B6898" t="s">
        <v>4760</v>
      </c>
      <c r="C6898" t="s">
        <v>244</v>
      </c>
      <c r="D6898" t="s">
        <v>4724</v>
      </c>
      <c r="E6898" t="s">
        <v>559</v>
      </c>
      <c r="F6898" t="s">
        <v>1068</v>
      </c>
      <c r="G6898" t="s">
        <v>1083</v>
      </c>
      <c r="H6898" s="171" t="s">
        <v>4702</v>
      </c>
      <c r="I6898" t="s">
        <v>1084</v>
      </c>
      <c r="J6898">
        <v>10.16</v>
      </c>
    </row>
    <row r="6899" spans="1:13" hidden="1">
      <c r="A6899" t="s">
        <v>4759</v>
      </c>
      <c r="B6899" t="s">
        <v>4760</v>
      </c>
      <c r="C6899" t="s">
        <v>244</v>
      </c>
      <c r="D6899" t="s">
        <v>4724</v>
      </c>
      <c r="E6899" t="s">
        <v>559</v>
      </c>
      <c r="F6899" t="s">
        <v>1068</v>
      </c>
      <c r="G6899" t="s">
        <v>1085</v>
      </c>
      <c r="H6899">
        <v>3.01392651684349E-4</v>
      </c>
      <c r="I6899" t="s">
        <v>1086</v>
      </c>
      <c r="J6899">
        <v>10.16</v>
      </c>
    </row>
    <row r="6900" spans="1:13" hidden="1">
      <c r="A6900" t="s">
        <v>4759</v>
      </c>
      <c r="B6900" t="s">
        <v>4760</v>
      </c>
      <c r="C6900" t="s">
        <v>244</v>
      </c>
      <c r="D6900" t="s">
        <v>4724</v>
      </c>
      <c r="E6900" t="s">
        <v>559</v>
      </c>
      <c r="F6900" t="s">
        <v>1068</v>
      </c>
      <c r="G6900" t="s">
        <v>1087</v>
      </c>
      <c r="H6900" s="171" t="s">
        <v>4762</v>
      </c>
      <c r="I6900" t="s">
        <v>1088</v>
      </c>
      <c r="J6900">
        <v>10.16</v>
      </c>
    </row>
    <row r="6901" spans="1:13" hidden="1">
      <c r="A6901" t="s">
        <v>4759</v>
      </c>
      <c r="B6901" t="s">
        <v>4760</v>
      </c>
      <c r="C6901" t="s">
        <v>244</v>
      </c>
      <c r="D6901" t="s">
        <v>4724</v>
      </c>
      <c r="E6901" t="s">
        <v>559</v>
      </c>
      <c r="F6901" t="s">
        <v>1068</v>
      </c>
      <c r="G6901" t="s">
        <v>1089</v>
      </c>
      <c r="H6901">
        <v>1.07502613841482E-4</v>
      </c>
      <c r="I6901" t="s">
        <v>1090</v>
      </c>
      <c r="J6901">
        <v>10.16</v>
      </c>
    </row>
    <row r="6902" spans="1:13" hidden="1">
      <c r="A6902" t="s">
        <v>4763</v>
      </c>
      <c r="B6902" t="s">
        <v>4764</v>
      </c>
      <c r="C6902" t="s">
        <v>244</v>
      </c>
      <c r="D6902" t="s">
        <v>4724</v>
      </c>
      <c r="E6902" t="s">
        <v>560</v>
      </c>
      <c r="F6902" t="s">
        <v>1068</v>
      </c>
      <c r="G6902" t="s">
        <v>1069</v>
      </c>
      <c r="H6902" s="171" t="s">
        <v>4765</v>
      </c>
      <c r="I6902" t="s">
        <v>1070</v>
      </c>
      <c r="J6902">
        <v>8.33</v>
      </c>
    </row>
    <row r="6903" spans="1:13" hidden="1">
      <c r="A6903" t="s">
        <v>4763</v>
      </c>
      <c r="B6903" t="s">
        <v>4764</v>
      </c>
      <c r="C6903" t="s">
        <v>244</v>
      </c>
      <c r="D6903" t="s">
        <v>4724</v>
      </c>
      <c r="E6903" t="s">
        <v>560</v>
      </c>
      <c r="F6903" t="s">
        <v>1068</v>
      </c>
      <c r="G6903" t="s">
        <v>1071</v>
      </c>
      <c r="H6903" s="171" t="s">
        <v>4766</v>
      </c>
      <c r="I6903" t="s">
        <v>1072</v>
      </c>
      <c r="J6903">
        <v>8.33</v>
      </c>
    </row>
    <row r="6904" spans="1:13" hidden="1">
      <c r="A6904" t="s">
        <v>4763</v>
      </c>
      <c r="B6904" t="s">
        <v>4764</v>
      </c>
      <c r="C6904" t="s">
        <v>244</v>
      </c>
      <c r="D6904" t="s">
        <v>4724</v>
      </c>
      <c r="E6904" t="s">
        <v>560</v>
      </c>
      <c r="F6904" t="s">
        <v>1068</v>
      </c>
      <c r="G6904" t="s">
        <v>1073</v>
      </c>
      <c r="H6904" s="171" t="s">
        <v>4767</v>
      </c>
      <c r="I6904" t="s">
        <v>1074</v>
      </c>
      <c r="J6904">
        <v>8.33</v>
      </c>
    </row>
    <row r="6905" spans="1:13" hidden="1">
      <c r="A6905" t="s">
        <v>4763</v>
      </c>
      <c r="B6905" t="s">
        <v>4764</v>
      </c>
      <c r="C6905" t="s">
        <v>244</v>
      </c>
      <c r="D6905" t="s">
        <v>4724</v>
      </c>
      <c r="E6905" t="s">
        <v>560</v>
      </c>
      <c r="F6905" t="s">
        <v>1068</v>
      </c>
      <c r="G6905" t="s">
        <v>1075</v>
      </c>
      <c r="H6905" s="171" t="s">
        <v>4768</v>
      </c>
      <c r="I6905" t="s">
        <v>1077</v>
      </c>
      <c r="J6905">
        <v>8.33</v>
      </c>
    </row>
    <row r="6906" spans="1:13">
      <c r="A6906" t="s">
        <v>4763</v>
      </c>
      <c r="B6906" t="s">
        <v>4764</v>
      </c>
      <c r="C6906" t="s">
        <v>244</v>
      </c>
      <c r="D6906" t="s">
        <v>4724</v>
      </c>
      <c r="E6906" t="s">
        <v>560</v>
      </c>
      <c r="F6906" t="s">
        <v>1068</v>
      </c>
      <c r="G6906" t="s">
        <v>1078</v>
      </c>
      <c r="H6906">
        <v>-0.17710420620441999</v>
      </c>
      <c r="I6906" t="s">
        <v>1079</v>
      </c>
      <c r="J6906">
        <v>8.33</v>
      </c>
      <c r="M6906" t="str">
        <f>_xlfn.TEXTJOIN(" - ",TRUE,A6906,G6906)</f>
        <v>Recycle - Clear_glass - Spain - Global warming</v>
      </c>
    </row>
    <row r="6907" spans="1:13" hidden="1">
      <c r="A6907" t="s">
        <v>4763</v>
      </c>
      <c r="B6907" t="s">
        <v>4764</v>
      </c>
      <c r="C6907" t="s">
        <v>244</v>
      </c>
      <c r="D6907" t="s">
        <v>4724</v>
      </c>
      <c r="E6907" t="s">
        <v>560</v>
      </c>
      <c r="F6907" t="s">
        <v>1068</v>
      </c>
      <c r="G6907" t="s">
        <v>1080</v>
      </c>
      <c r="H6907" s="171" t="s">
        <v>4769</v>
      </c>
      <c r="I6907" t="s">
        <v>1082</v>
      </c>
      <c r="J6907">
        <v>8.33</v>
      </c>
    </row>
    <row r="6908" spans="1:13" hidden="1">
      <c r="A6908" t="s">
        <v>4763</v>
      </c>
      <c r="B6908" t="s">
        <v>4764</v>
      </c>
      <c r="C6908" t="s">
        <v>244</v>
      </c>
      <c r="D6908" t="s">
        <v>4724</v>
      </c>
      <c r="E6908" t="s">
        <v>560</v>
      </c>
      <c r="F6908" t="s">
        <v>1068</v>
      </c>
      <c r="G6908" t="s">
        <v>1083</v>
      </c>
      <c r="H6908" s="171" t="s">
        <v>4770</v>
      </c>
      <c r="I6908" t="s">
        <v>1084</v>
      </c>
      <c r="J6908">
        <v>8.33</v>
      </c>
    </row>
    <row r="6909" spans="1:13" hidden="1">
      <c r="A6909" t="s">
        <v>4763</v>
      </c>
      <c r="B6909" t="s">
        <v>4764</v>
      </c>
      <c r="C6909" t="s">
        <v>244</v>
      </c>
      <c r="D6909" t="s">
        <v>4724</v>
      </c>
      <c r="E6909" t="s">
        <v>560</v>
      </c>
      <c r="F6909" t="s">
        <v>1068</v>
      </c>
      <c r="G6909" t="s">
        <v>1085</v>
      </c>
      <c r="H6909">
        <v>3.0128841492946799E-4</v>
      </c>
      <c r="I6909" t="s">
        <v>1086</v>
      </c>
      <c r="J6909">
        <v>8.33</v>
      </c>
    </row>
    <row r="6910" spans="1:13" hidden="1">
      <c r="A6910" t="s">
        <v>4763</v>
      </c>
      <c r="B6910" t="s">
        <v>4764</v>
      </c>
      <c r="C6910" t="s">
        <v>244</v>
      </c>
      <c r="D6910" t="s">
        <v>4724</v>
      </c>
      <c r="E6910" t="s">
        <v>560</v>
      </c>
      <c r="F6910" t="s">
        <v>1068</v>
      </c>
      <c r="G6910" t="s">
        <v>1087</v>
      </c>
      <c r="H6910" s="171" t="s">
        <v>4771</v>
      </c>
      <c r="I6910" t="s">
        <v>1088</v>
      </c>
      <c r="J6910">
        <v>8.33</v>
      </c>
    </row>
    <row r="6911" spans="1:13" hidden="1">
      <c r="A6911" t="s">
        <v>4763</v>
      </c>
      <c r="B6911" t="s">
        <v>4764</v>
      </c>
      <c r="C6911" t="s">
        <v>244</v>
      </c>
      <c r="D6911" t="s">
        <v>4724</v>
      </c>
      <c r="E6911" t="s">
        <v>560</v>
      </c>
      <c r="F6911" t="s">
        <v>1068</v>
      </c>
      <c r="G6911" t="s">
        <v>1089</v>
      </c>
      <c r="H6911">
        <v>1.0748111000478499E-4</v>
      </c>
      <c r="I6911" t="s">
        <v>1090</v>
      </c>
      <c r="J6911">
        <v>8.33</v>
      </c>
    </row>
    <row r="6912" spans="1:13" hidden="1">
      <c r="A6912" t="s">
        <v>4772</v>
      </c>
      <c r="B6912" t="s">
        <v>4773</v>
      </c>
      <c r="C6912" t="s">
        <v>244</v>
      </c>
      <c r="D6912" t="s">
        <v>4724</v>
      </c>
      <c r="E6912" t="s">
        <v>554</v>
      </c>
      <c r="F6912" t="s">
        <v>1068</v>
      </c>
      <c r="G6912" t="s">
        <v>1069</v>
      </c>
      <c r="H6912" s="171" t="s">
        <v>4774</v>
      </c>
      <c r="I6912" t="s">
        <v>1070</v>
      </c>
      <c r="J6912">
        <v>8.68</v>
      </c>
    </row>
    <row r="6913" spans="1:13" hidden="1">
      <c r="A6913" t="s">
        <v>4772</v>
      </c>
      <c r="B6913" t="s">
        <v>4773</v>
      </c>
      <c r="C6913" t="s">
        <v>244</v>
      </c>
      <c r="D6913" t="s">
        <v>4724</v>
      </c>
      <c r="E6913" t="s">
        <v>554</v>
      </c>
      <c r="F6913" t="s">
        <v>1068</v>
      </c>
      <c r="G6913" t="s">
        <v>1071</v>
      </c>
      <c r="H6913" s="171" t="s">
        <v>4775</v>
      </c>
      <c r="I6913" t="s">
        <v>1072</v>
      </c>
      <c r="J6913">
        <v>8.68</v>
      </c>
    </row>
    <row r="6914" spans="1:13" hidden="1">
      <c r="A6914" t="s">
        <v>4772</v>
      </c>
      <c r="B6914" t="s">
        <v>4773</v>
      </c>
      <c r="C6914" t="s">
        <v>244</v>
      </c>
      <c r="D6914" t="s">
        <v>4724</v>
      </c>
      <c r="E6914" t="s">
        <v>554</v>
      </c>
      <c r="F6914" t="s">
        <v>1068</v>
      </c>
      <c r="G6914" t="s">
        <v>1073</v>
      </c>
      <c r="H6914" s="171" t="s">
        <v>4717</v>
      </c>
      <c r="I6914" t="s">
        <v>1074</v>
      </c>
      <c r="J6914">
        <v>8.68</v>
      </c>
    </row>
    <row r="6915" spans="1:13" hidden="1">
      <c r="A6915" t="s">
        <v>4772</v>
      </c>
      <c r="B6915" t="s">
        <v>4773</v>
      </c>
      <c r="C6915" t="s">
        <v>244</v>
      </c>
      <c r="D6915" t="s">
        <v>4724</v>
      </c>
      <c r="E6915" t="s">
        <v>554</v>
      </c>
      <c r="F6915" t="s">
        <v>1068</v>
      </c>
      <c r="G6915" t="s">
        <v>1075</v>
      </c>
      <c r="H6915" s="171" t="s">
        <v>4718</v>
      </c>
      <c r="I6915" t="s">
        <v>1077</v>
      </c>
      <c r="J6915">
        <v>8.68</v>
      </c>
    </row>
    <row r="6916" spans="1:13">
      <c r="A6916" t="s">
        <v>4772</v>
      </c>
      <c r="B6916" t="s">
        <v>4773</v>
      </c>
      <c r="C6916" t="s">
        <v>244</v>
      </c>
      <c r="D6916" t="s">
        <v>4724</v>
      </c>
      <c r="E6916" t="s">
        <v>554</v>
      </c>
      <c r="F6916" t="s">
        <v>1068</v>
      </c>
      <c r="G6916" t="s">
        <v>1078</v>
      </c>
      <c r="H6916">
        <v>-0.177591272260928</v>
      </c>
      <c r="I6916" t="s">
        <v>1079</v>
      </c>
      <c r="J6916">
        <v>8.68</v>
      </c>
      <c r="M6916" t="str">
        <f>_xlfn.TEXTJOIN(" - ",TRUE,A6916,G6916)</f>
        <v>Recycle - Clear_glass - United States - Global warming</v>
      </c>
    </row>
    <row r="6917" spans="1:13" hidden="1">
      <c r="A6917" t="s">
        <v>4772</v>
      </c>
      <c r="B6917" t="s">
        <v>4773</v>
      </c>
      <c r="C6917" t="s">
        <v>244</v>
      </c>
      <c r="D6917" t="s">
        <v>4724</v>
      </c>
      <c r="E6917" t="s">
        <v>554</v>
      </c>
      <c r="F6917" t="s">
        <v>1068</v>
      </c>
      <c r="G6917" t="s">
        <v>1080</v>
      </c>
      <c r="H6917" s="171" t="s">
        <v>4719</v>
      </c>
      <c r="I6917" t="s">
        <v>1082</v>
      </c>
      <c r="J6917">
        <v>8.68</v>
      </c>
    </row>
    <row r="6918" spans="1:13" hidden="1">
      <c r="A6918" t="s">
        <v>4772</v>
      </c>
      <c r="B6918" t="s">
        <v>4773</v>
      </c>
      <c r="C6918" t="s">
        <v>244</v>
      </c>
      <c r="D6918" t="s">
        <v>4724</v>
      </c>
      <c r="E6918" t="s">
        <v>554</v>
      </c>
      <c r="F6918" t="s">
        <v>1068</v>
      </c>
      <c r="G6918" t="s">
        <v>1083</v>
      </c>
      <c r="H6918" s="171" t="s">
        <v>4720</v>
      </c>
      <c r="I6918" t="s">
        <v>1084</v>
      </c>
      <c r="J6918">
        <v>8.68</v>
      </c>
    </row>
    <row r="6919" spans="1:13" hidden="1">
      <c r="A6919" t="s">
        <v>4772</v>
      </c>
      <c r="B6919" t="s">
        <v>4773</v>
      </c>
      <c r="C6919" t="s">
        <v>244</v>
      </c>
      <c r="D6919" t="s">
        <v>4724</v>
      </c>
      <c r="E6919" t="s">
        <v>554</v>
      </c>
      <c r="F6919" t="s">
        <v>1068</v>
      </c>
      <c r="G6919" t="s">
        <v>1085</v>
      </c>
      <c r="H6919">
        <v>3.00676309625468E-4</v>
      </c>
      <c r="I6919" t="s">
        <v>1086</v>
      </c>
      <c r="J6919">
        <v>8.68</v>
      </c>
    </row>
    <row r="6920" spans="1:13" hidden="1">
      <c r="A6920" t="s">
        <v>4772</v>
      </c>
      <c r="B6920" t="s">
        <v>4773</v>
      </c>
      <c r="C6920" t="s">
        <v>244</v>
      </c>
      <c r="D6920" t="s">
        <v>4724</v>
      </c>
      <c r="E6920" t="s">
        <v>554</v>
      </c>
      <c r="F6920" t="s">
        <v>1068</v>
      </c>
      <c r="G6920" t="s">
        <v>1087</v>
      </c>
      <c r="H6920" s="171" t="s">
        <v>4776</v>
      </c>
      <c r="I6920" t="s">
        <v>1088</v>
      </c>
      <c r="J6920">
        <v>8.68</v>
      </c>
    </row>
    <row r="6921" spans="1:13" hidden="1">
      <c r="A6921" t="s">
        <v>4772</v>
      </c>
      <c r="B6921" t="s">
        <v>4773</v>
      </c>
      <c r="C6921" t="s">
        <v>244</v>
      </c>
      <c r="D6921" t="s">
        <v>4724</v>
      </c>
      <c r="E6921" t="s">
        <v>554</v>
      </c>
      <c r="F6921" t="s">
        <v>1068</v>
      </c>
      <c r="G6921" t="s">
        <v>1089</v>
      </c>
      <c r="H6921">
        <v>1.07354833889322E-4</v>
      </c>
      <c r="I6921" t="s">
        <v>1090</v>
      </c>
      <c r="J6921">
        <v>8.68</v>
      </c>
    </row>
    <row r="6922" spans="1:13" hidden="1">
      <c r="A6922" t="s">
        <v>4777</v>
      </c>
      <c r="B6922" t="s">
        <v>4778</v>
      </c>
      <c r="C6922" t="s">
        <v>244</v>
      </c>
      <c r="D6922" t="s">
        <v>4779</v>
      </c>
      <c r="E6922" t="s">
        <v>561</v>
      </c>
      <c r="F6922" t="s">
        <v>1068</v>
      </c>
      <c r="G6922" t="s">
        <v>1069</v>
      </c>
      <c r="H6922">
        <v>-1.3194870354035799</v>
      </c>
      <c r="I6922" t="s">
        <v>1070</v>
      </c>
      <c r="J6922">
        <v>7.8</v>
      </c>
    </row>
    <row r="6923" spans="1:13" hidden="1">
      <c r="A6923" t="s">
        <v>4777</v>
      </c>
      <c r="B6923" t="s">
        <v>4778</v>
      </c>
      <c r="C6923" t="s">
        <v>244</v>
      </c>
      <c r="D6923" t="s">
        <v>4779</v>
      </c>
      <c r="E6923" t="s">
        <v>561</v>
      </c>
      <c r="F6923" t="s">
        <v>1068</v>
      </c>
      <c r="G6923" t="s">
        <v>1071</v>
      </c>
      <c r="H6923" s="170">
        <v>-3.3470402804856899E-9</v>
      </c>
      <c r="I6923" t="s">
        <v>1072</v>
      </c>
      <c r="J6923">
        <v>7.8</v>
      </c>
    </row>
    <row r="6924" spans="1:13" hidden="1">
      <c r="A6924" t="s">
        <v>4777</v>
      </c>
      <c r="B6924" t="s">
        <v>4778</v>
      </c>
      <c r="C6924" t="s">
        <v>244</v>
      </c>
      <c r="D6924" t="s">
        <v>4779</v>
      </c>
      <c r="E6924" t="s">
        <v>561</v>
      </c>
      <c r="F6924" t="s">
        <v>1068</v>
      </c>
      <c r="G6924" t="s">
        <v>1073</v>
      </c>
      <c r="H6924" s="170">
        <v>-4.9021895242182401E-7</v>
      </c>
      <c r="I6924" t="s">
        <v>1074</v>
      </c>
      <c r="J6924">
        <v>7.8</v>
      </c>
    </row>
    <row r="6925" spans="1:13" hidden="1">
      <c r="A6925" t="s">
        <v>4777</v>
      </c>
      <c r="B6925" t="s">
        <v>4778</v>
      </c>
      <c r="C6925" t="s">
        <v>244</v>
      </c>
      <c r="D6925" t="s">
        <v>4779</v>
      </c>
      <c r="E6925" t="s">
        <v>561</v>
      </c>
      <c r="F6925" t="s">
        <v>1068</v>
      </c>
      <c r="G6925" t="s">
        <v>1075</v>
      </c>
      <c r="H6925">
        <v>-6.8813701770237198E-2</v>
      </c>
      <c r="I6925" t="s">
        <v>1077</v>
      </c>
      <c r="J6925">
        <v>7.8</v>
      </c>
    </row>
    <row r="6926" spans="1:13">
      <c r="A6926" t="s">
        <v>4777</v>
      </c>
      <c r="B6926" t="s">
        <v>4778</v>
      </c>
      <c r="C6926" t="s">
        <v>244</v>
      </c>
      <c r="D6926" t="s">
        <v>4779</v>
      </c>
      <c r="E6926" t="s">
        <v>561</v>
      </c>
      <c r="F6926" t="s">
        <v>1068</v>
      </c>
      <c r="G6926" t="s">
        <v>1078</v>
      </c>
      <c r="H6926">
        <v>-2.3797046417506902</v>
      </c>
      <c r="I6926" t="s">
        <v>1079</v>
      </c>
      <c r="J6926">
        <v>7.8</v>
      </c>
      <c r="M6926" t="str">
        <f>_xlfn.TEXTJOIN(" - ",TRUE,A6926,G6926)</f>
        <v>Recycle - Fe - Australia - Global warming</v>
      </c>
    </row>
    <row r="6927" spans="1:13" hidden="1">
      <c r="A6927" t="s">
        <v>4777</v>
      </c>
      <c r="B6927" t="s">
        <v>4778</v>
      </c>
      <c r="C6927" t="s">
        <v>244</v>
      </c>
      <c r="D6927" t="s">
        <v>4779</v>
      </c>
      <c r="E6927" t="s">
        <v>561</v>
      </c>
      <c r="F6927" t="s">
        <v>1068</v>
      </c>
      <c r="G6927" t="s">
        <v>1080</v>
      </c>
      <c r="H6927" s="170">
        <v>-5.7534880699729397E-9</v>
      </c>
      <c r="I6927" t="s">
        <v>1082</v>
      </c>
      <c r="J6927">
        <v>7.8</v>
      </c>
    </row>
    <row r="6928" spans="1:13" hidden="1">
      <c r="A6928" t="s">
        <v>4777</v>
      </c>
      <c r="B6928" t="s">
        <v>4778</v>
      </c>
      <c r="C6928" t="s">
        <v>244</v>
      </c>
      <c r="D6928" t="s">
        <v>4779</v>
      </c>
      <c r="E6928" t="s">
        <v>561</v>
      </c>
      <c r="F6928" t="s">
        <v>1068</v>
      </c>
      <c r="G6928" t="s">
        <v>1083</v>
      </c>
      <c r="H6928">
        <v>-1.3836063184777901E-4</v>
      </c>
      <c r="I6928" t="s">
        <v>1084</v>
      </c>
      <c r="J6928">
        <v>7.8</v>
      </c>
    </row>
    <row r="6929" spans="1:13" hidden="1">
      <c r="A6929" t="s">
        <v>4777</v>
      </c>
      <c r="B6929" t="s">
        <v>4778</v>
      </c>
      <c r="C6929" t="s">
        <v>244</v>
      </c>
      <c r="D6929" t="s">
        <v>4779</v>
      </c>
      <c r="E6929" t="s">
        <v>561</v>
      </c>
      <c r="F6929" t="s">
        <v>1068</v>
      </c>
      <c r="G6929" t="s">
        <v>1085</v>
      </c>
      <c r="H6929">
        <v>-2.42354352014031E-3</v>
      </c>
      <c r="I6929" t="s">
        <v>1086</v>
      </c>
      <c r="J6929">
        <v>7.8</v>
      </c>
    </row>
    <row r="6930" spans="1:13" hidden="1">
      <c r="A6930" t="s">
        <v>4777</v>
      </c>
      <c r="B6930" t="s">
        <v>4778</v>
      </c>
      <c r="C6930" t="s">
        <v>244</v>
      </c>
      <c r="D6930" t="s">
        <v>4779</v>
      </c>
      <c r="E6930" t="s">
        <v>561</v>
      </c>
      <c r="F6930" t="s">
        <v>1068</v>
      </c>
      <c r="G6930" t="s">
        <v>1087</v>
      </c>
      <c r="H6930" s="170">
        <v>-2.2872765648251201E-7</v>
      </c>
      <c r="I6930" t="s">
        <v>1088</v>
      </c>
      <c r="J6930">
        <v>7.8</v>
      </c>
    </row>
    <row r="6931" spans="1:13" hidden="1">
      <c r="A6931" t="s">
        <v>4777</v>
      </c>
      <c r="B6931" t="s">
        <v>4778</v>
      </c>
      <c r="C6931" t="s">
        <v>244</v>
      </c>
      <c r="D6931" t="s">
        <v>4779</v>
      </c>
      <c r="E6931" t="s">
        <v>561</v>
      </c>
      <c r="F6931" t="s">
        <v>1068</v>
      </c>
      <c r="G6931" t="s">
        <v>1089</v>
      </c>
      <c r="H6931">
        <v>-6.97916029037414E-4</v>
      </c>
      <c r="I6931" t="s">
        <v>1090</v>
      </c>
      <c r="J6931">
        <v>7.8</v>
      </c>
    </row>
    <row r="6932" spans="1:13" hidden="1">
      <c r="A6932" t="s">
        <v>4780</v>
      </c>
      <c r="B6932" t="s">
        <v>4781</v>
      </c>
      <c r="C6932" t="s">
        <v>244</v>
      </c>
      <c r="D6932" t="s">
        <v>4779</v>
      </c>
      <c r="E6932" t="s">
        <v>555</v>
      </c>
      <c r="F6932" t="s">
        <v>1068</v>
      </c>
      <c r="G6932" t="s">
        <v>1069</v>
      </c>
      <c r="H6932">
        <v>-1.3932447460305999</v>
      </c>
      <c r="I6932" t="s">
        <v>1070</v>
      </c>
      <c r="J6932">
        <v>7.92</v>
      </c>
    </row>
    <row r="6933" spans="1:13" hidden="1">
      <c r="A6933" t="s">
        <v>4780</v>
      </c>
      <c r="B6933" t="s">
        <v>4781</v>
      </c>
      <c r="C6933" t="s">
        <v>244</v>
      </c>
      <c r="D6933" t="s">
        <v>4779</v>
      </c>
      <c r="E6933" t="s">
        <v>555</v>
      </c>
      <c r="F6933" t="s">
        <v>1068</v>
      </c>
      <c r="G6933" t="s">
        <v>1071</v>
      </c>
      <c r="H6933" s="170">
        <v>-3.4525884035259102E-9</v>
      </c>
      <c r="I6933" t="s">
        <v>1072</v>
      </c>
      <c r="J6933">
        <v>7.92</v>
      </c>
    </row>
    <row r="6934" spans="1:13" hidden="1">
      <c r="A6934" t="s">
        <v>4780</v>
      </c>
      <c r="B6934" t="s">
        <v>4781</v>
      </c>
      <c r="C6934" t="s">
        <v>244</v>
      </c>
      <c r="D6934" t="s">
        <v>4779</v>
      </c>
      <c r="E6934" t="s">
        <v>555</v>
      </c>
      <c r="F6934" t="s">
        <v>1068</v>
      </c>
      <c r="G6934" t="s">
        <v>1073</v>
      </c>
      <c r="H6934" s="170">
        <v>-5.16417924620144E-7</v>
      </c>
      <c r="I6934" t="s">
        <v>1074</v>
      </c>
      <c r="J6934">
        <v>7.92</v>
      </c>
    </row>
    <row r="6935" spans="1:13" hidden="1">
      <c r="A6935" t="s">
        <v>4780</v>
      </c>
      <c r="B6935" t="s">
        <v>4781</v>
      </c>
      <c r="C6935" t="s">
        <v>244</v>
      </c>
      <c r="D6935" t="s">
        <v>4779</v>
      </c>
      <c r="E6935" t="s">
        <v>555</v>
      </c>
      <c r="F6935" t="s">
        <v>1068</v>
      </c>
      <c r="G6935" t="s">
        <v>1075</v>
      </c>
      <c r="H6935">
        <v>-7.1145261796267706E-2</v>
      </c>
      <c r="I6935" t="s">
        <v>1077</v>
      </c>
      <c r="J6935">
        <v>7.92</v>
      </c>
    </row>
    <row r="6936" spans="1:13">
      <c r="A6936" t="s">
        <v>4780</v>
      </c>
      <c r="B6936" t="s">
        <v>4781</v>
      </c>
      <c r="C6936" t="s">
        <v>244</v>
      </c>
      <c r="D6936" t="s">
        <v>4779</v>
      </c>
      <c r="E6936" t="s">
        <v>555</v>
      </c>
      <c r="F6936" t="s">
        <v>1068</v>
      </c>
      <c r="G6936" t="s">
        <v>1078</v>
      </c>
      <c r="H6936">
        <v>-2.4805302910220499</v>
      </c>
      <c r="I6936" t="s">
        <v>1079</v>
      </c>
      <c r="J6936">
        <v>7.92</v>
      </c>
      <c r="M6936" t="str">
        <f>_xlfn.TEXTJOIN(" - ",TRUE,A6936,G6936)</f>
        <v>Recycle - Fe - Brazil - Global warming</v>
      </c>
    </row>
    <row r="6937" spans="1:13" hidden="1">
      <c r="A6937" t="s">
        <v>4780</v>
      </c>
      <c r="B6937" t="s">
        <v>4781</v>
      </c>
      <c r="C6937" t="s">
        <v>244</v>
      </c>
      <c r="D6937" t="s">
        <v>4779</v>
      </c>
      <c r="E6937" t="s">
        <v>555</v>
      </c>
      <c r="F6937" t="s">
        <v>1068</v>
      </c>
      <c r="G6937" t="s">
        <v>1080</v>
      </c>
      <c r="H6937" s="170">
        <v>-6.1634807092140696E-9</v>
      </c>
      <c r="I6937" t="s">
        <v>1082</v>
      </c>
      <c r="J6937">
        <v>7.92</v>
      </c>
    </row>
    <row r="6938" spans="1:13" hidden="1">
      <c r="A6938" t="s">
        <v>4780</v>
      </c>
      <c r="B6938" t="s">
        <v>4781</v>
      </c>
      <c r="C6938" t="s">
        <v>244</v>
      </c>
      <c r="D6938" t="s">
        <v>4779</v>
      </c>
      <c r="E6938" t="s">
        <v>555</v>
      </c>
      <c r="F6938" t="s">
        <v>1068</v>
      </c>
      <c r="G6938" t="s">
        <v>1083</v>
      </c>
      <c r="H6938">
        <v>-1.49571851618213E-4</v>
      </c>
      <c r="I6938" t="s">
        <v>1084</v>
      </c>
      <c r="J6938">
        <v>7.92</v>
      </c>
    </row>
    <row r="6939" spans="1:13" hidden="1">
      <c r="A6939" t="s">
        <v>4780</v>
      </c>
      <c r="B6939" t="s">
        <v>4781</v>
      </c>
      <c r="C6939" t="s">
        <v>244</v>
      </c>
      <c r="D6939" t="s">
        <v>4779</v>
      </c>
      <c r="E6939" t="s">
        <v>555</v>
      </c>
      <c r="F6939" t="s">
        <v>1068</v>
      </c>
      <c r="G6939" t="s">
        <v>1085</v>
      </c>
      <c r="H6939">
        <v>-2.5502530575369099E-3</v>
      </c>
      <c r="I6939" t="s">
        <v>1086</v>
      </c>
      <c r="J6939">
        <v>7.92</v>
      </c>
    </row>
    <row r="6940" spans="1:13" hidden="1">
      <c r="A6940" t="s">
        <v>4780</v>
      </c>
      <c r="B6940" t="s">
        <v>4781</v>
      </c>
      <c r="C6940" t="s">
        <v>244</v>
      </c>
      <c r="D6940" t="s">
        <v>4779</v>
      </c>
      <c r="E6940" t="s">
        <v>555</v>
      </c>
      <c r="F6940" t="s">
        <v>1068</v>
      </c>
      <c r="G6940" t="s">
        <v>1087</v>
      </c>
      <c r="H6940" s="170">
        <v>-2.8987825778774401E-7</v>
      </c>
      <c r="I6940" t="s">
        <v>1088</v>
      </c>
      <c r="J6940">
        <v>7.92</v>
      </c>
    </row>
    <row r="6941" spans="1:13" hidden="1">
      <c r="A6941" t="s">
        <v>4780</v>
      </c>
      <c r="B6941" t="s">
        <v>4781</v>
      </c>
      <c r="C6941" t="s">
        <v>244</v>
      </c>
      <c r="D6941" t="s">
        <v>4779</v>
      </c>
      <c r="E6941" t="s">
        <v>555</v>
      </c>
      <c r="F6941" t="s">
        <v>1068</v>
      </c>
      <c r="G6941" t="s">
        <v>1089</v>
      </c>
      <c r="H6941">
        <v>-7.2405595638443696E-4</v>
      </c>
      <c r="I6941" t="s">
        <v>1090</v>
      </c>
      <c r="J6941">
        <v>7.92</v>
      </c>
    </row>
    <row r="6942" spans="1:13" hidden="1">
      <c r="A6942" t="s">
        <v>4782</v>
      </c>
      <c r="B6942" s="170" t="s">
        <v>4783</v>
      </c>
      <c r="C6942" t="s">
        <v>244</v>
      </c>
      <c r="D6942" t="s">
        <v>4779</v>
      </c>
      <c r="E6942" t="s">
        <v>558</v>
      </c>
      <c r="F6942" t="s">
        <v>1068</v>
      </c>
      <c r="G6942" t="s">
        <v>1069</v>
      </c>
      <c r="H6942">
        <v>-1.3129564047751501</v>
      </c>
      <c r="I6942" t="s">
        <v>1070</v>
      </c>
      <c r="J6942">
        <v>8.5299999999999994</v>
      </c>
    </row>
    <row r="6943" spans="1:13" hidden="1">
      <c r="A6943" t="s">
        <v>4782</v>
      </c>
      <c r="B6943" s="170" t="s">
        <v>4783</v>
      </c>
      <c r="C6943" t="s">
        <v>244</v>
      </c>
      <c r="D6943" t="s">
        <v>4779</v>
      </c>
      <c r="E6943" t="s">
        <v>558</v>
      </c>
      <c r="F6943" t="s">
        <v>1068</v>
      </c>
      <c r="G6943" t="s">
        <v>1071</v>
      </c>
      <c r="H6943" s="170">
        <v>-3.33769487375818E-9</v>
      </c>
      <c r="I6943" t="s">
        <v>1072</v>
      </c>
      <c r="J6943">
        <v>8.5299999999999994</v>
      </c>
    </row>
    <row r="6944" spans="1:13" hidden="1">
      <c r="A6944" t="s">
        <v>4782</v>
      </c>
      <c r="B6944" s="170" t="s">
        <v>4783</v>
      </c>
      <c r="C6944" t="s">
        <v>244</v>
      </c>
      <c r="D6944" t="s">
        <v>4779</v>
      </c>
      <c r="E6944" t="s">
        <v>558</v>
      </c>
      <c r="F6944" t="s">
        <v>1068</v>
      </c>
      <c r="G6944" t="s">
        <v>1073</v>
      </c>
      <c r="H6944" s="170">
        <v>-4.8789925175843103E-7</v>
      </c>
      <c r="I6944" t="s">
        <v>1074</v>
      </c>
      <c r="J6944">
        <v>8.5299999999999994</v>
      </c>
    </row>
    <row r="6945" spans="1:13" hidden="1">
      <c r="A6945" t="s">
        <v>4782</v>
      </c>
      <c r="B6945" s="170" t="s">
        <v>4783</v>
      </c>
      <c r="C6945" t="s">
        <v>244</v>
      </c>
      <c r="D6945" t="s">
        <v>4779</v>
      </c>
      <c r="E6945" t="s">
        <v>558</v>
      </c>
      <c r="F6945" t="s">
        <v>1068</v>
      </c>
      <c r="G6945" t="s">
        <v>1075</v>
      </c>
      <c r="H6945">
        <v>-6.8607261559599106E-2</v>
      </c>
      <c r="I6945" t="s">
        <v>1077</v>
      </c>
      <c r="J6945">
        <v>8.5299999999999994</v>
      </c>
    </row>
    <row r="6946" spans="1:13">
      <c r="A6946" t="s">
        <v>4782</v>
      </c>
      <c r="B6946" s="170" t="s">
        <v>4783</v>
      </c>
      <c r="C6946" t="s">
        <v>244</v>
      </c>
      <c r="D6946" t="s">
        <v>4779</v>
      </c>
      <c r="E6946" t="s">
        <v>558</v>
      </c>
      <c r="F6946" t="s">
        <v>1068</v>
      </c>
      <c r="G6946" t="s">
        <v>1078</v>
      </c>
      <c r="H6946">
        <v>-2.3707773707214601</v>
      </c>
      <c r="I6946" t="s">
        <v>1079</v>
      </c>
      <c r="J6946">
        <v>8.5299999999999994</v>
      </c>
      <c r="M6946" t="str">
        <f>_xlfn.TEXTJOIN(" - ",TRUE,A6946,G6946)</f>
        <v>Recycle - Fe - Canada - Global warming</v>
      </c>
    </row>
    <row r="6947" spans="1:13" hidden="1">
      <c r="A6947" t="s">
        <v>4782</v>
      </c>
      <c r="B6947" s="170" t="s">
        <v>4783</v>
      </c>
      <c r="C6947" t="s">
        <v>244</v>
      </c>
      <c r="D6947" t="s">
        <v>4779</v>
      </c>
      <c r="E6947" t="s">
        <v>558</v>
      </c>
      <c r="F6947" t="s">
        <v>1068</v>
      </c>
      <c r="G6947" t="s">
        <v>1080</v>
      </c>
      <c r="H6947" s="170">
        <v>-5.7171866383734702E-9</v>
      </c>
      <c r="I6947" t="s">
        <v>1082</v>
      </c>
      <c r="J6947">
        <v>8.5299999999999994</v>
      </c>
    </row>
    <row r="6948" spans="1:13" hidden="1">
      <c r="A6948" t="s">
        <v>4782</v>
      </c>
      <c r="B6948" s="170" t="s">
        <v>4783</v>
      </c>
      <c r="C6948" t="s">
        <v>244</v>
      </c>
      <c r="D6948" t="s">
        <v>4779</v>
      </c>
      <c r="E6948" t="s">
        <v>558</v>
      </c>
      <c r="F6948" t="s">
        <v>1068</v>
      </c>
      <c r="G6948" t="s">
        <v>1083</v>
      </c>
      <c r="H6948">
        <v>-1.3736797176393801E-4</v>
      </c>
      <c r="I6948" t="s">
        <v>1084</v>
      </c>
      <c r="J6948">
        <v>8.5299999999999994</v>
      </c>
    </row>
    <row r="6949" spans="1:13" hidden="1">
      <c r="A6949" t="s">
        <v>4782</v>
      </c>
      <c r="B6949" s="170" t="s">
        <v>4783</v>
      </c>
      <c r="C6949" t="s">
        <v>244</v>
      </c>
      <c r="D6949" t="s">
        <v>4779</v>
      </c>
      <c r="E6949" t="s">
        <v>558</v>
      </c>
      <c r="F6949" t="s">
        <v>1068</v>
      </c>
      <c r="G6949" t="s">
        <v>1085</v>
      </c>
      <c r="H6949">
        <v>-2.41232444651666E-3</v>
      </c>
      <c r="I6949" t="s">
        <v>1086</v>
      </c>
      <c r="J6949">
        <v>8.5299999999999994</v>
      </c>
    </row>
    <row r="6950" spans="1:13" hidden="1">
      <c r="A6950" t="s">
        <v>4782</v>
      </c>
      <c r="B6950" s="170" t="s">
        <v>4783</v>
      </c>
      <c r="C6950" t="s">
        <v>244</v>
      </c>
      <c r="D6950" t="s">
        <v>4779</v>
      </c>
      <c r="E6950" t="s">
        <v>558</v>
      </c>
      <c r="F6950" t="s">
        <v>1068</v>
      </c>
      <c r="G6950" t="s">
        <v>1087</v>
      </c>
      <c r="H6950" s="170">
        <v>-2.2331328032527801E-7</v>
      </c>
      <c r="I6950" t="s">
        <v>1088</v>
      </c>
      <c r="J6950">
        <v>8.5299999999999994</v>
      </c>
    </row>
    <row r="6951" spans="1:13" hidden="1">
      <c r="A6951" t="s">
        <v>4782</v>
      </c>
      <c r="B6951" s="170" t="s">
        <v>4783</v>
      </c>
      <c r="C6951" t="s">
        <v>244</v>
      </c>
      <c r="D6951" t="s">
        <v>4779</v>
      </c>
      <c r="E6951" t="s">
        <v>558</v>
      </c>
      <c r="F6951" t="s">
        <v>1068</v>
      </c>
      <c r="G6951" t="s">
        <v>1089</v>
      </c>
      <c r="H6951">
        <v>-6.9560155630356301E-4</v>
      </c>
      <c r="I6951" t="s">
        <v>1090</v>
      </c>
      <c r="J6951">
        <v>8.5299999999999994</v>
      </c>
    </row>
    <row r="6952" spans="1:13" hidden="1">
      <c r="A6952" t="s">
        <v>4784</v>
      </c>
      <c r="B6952" t="s">
        <v>4785</v>
      </c>
      <c r="C6952" t="s">
        <v>244</v>
      </c>
      <c r="D6952" t="s">
        <v>4779</v>
      </c>
      <c r="E6952" t="s">
        <v>553</v>
      </c>
      <c r="F6952" t="s">
        <v>1068</v>
      </c>
      <c r="G6952" t="s">
        <v>1069</v>
      </c>
      <c r="H6952">
        <v>-1.30656042632462</v>
      </c>
      <c r="I6952" t="s">
        <v>1070</v>
      </c>
      <c r="J6952">
        <v>8.31</v>
      </c>
    </row>
    <row r="6953" spans="1:13" hidden="1">
      <c r="A6953" t="s">
        <v>4784</v>
      </c>
      <c r="B6953" t="s">
        <v>4785</v>
      </c>
      <c r="C6953" t="s">
        <v>244</v>
      </c>
      <c r="D6953" t="s">
        <v>4779</v>
      </c>
      <c r="E6953" t="s">
        <v>553</v>
      </c>
      <c r="F6953" t="s">
        <v>1068</v>
      </c>
      <c r="G6953" t="s">
        <v>1071</v>
      </c>
      <c r="H6953" s="170">
        <v>-3.32854215582916E-9</v>
      </c>
      <c r="I6953" t="s">
        <v>1072</v>
      </c>
      <c r="J6953">
        <v>8.31</v>
      </c>
    </row>
    <row r="6954" spans="1:13" hidden="1">
      <c r="A6954" t="s">
        <v>4784</v>
      </c>
      <c r="B6954" t="s">
        <v>4785</v>
      </c>
      <c r="C6954" t="s">
        <v>244</v>
      </c>
      <c r="D6954" t="s">
        <v>4779</v>
      </c>
      <c r="E6954" t="s">
        <v>553</v>
      </c>
      <c r="F6954" t="s">
        <v>1068</v>
      </c>
      <c r="G6954" t="s">
        <v>1073</v>
      </c>
      <c r="H6954" s="170">
        <v>-4.8562737997469496E-7</v>
      </c>
      <c r="I6954" t="s">
        <v>1074</v>
      </c>
      <c r="J6954">
        <v>8.31</v>
      </c>
    </row>
    <row r="6955" spans="1:13" hidden="1">
      <c r="A6955" t="s">
        <v>4784</v>
      </c>
      <c r="B6955" t="s">
        <v>4785</v>
      </c>
      <c r="C6955" t="s">
        <v>244</v>
      </c>
      <c r="D6955" t="s">
        <v>4779</v>
      </c>
      <c r="E6955" t="s">
        <v>553</v>
      </c>
      <c r="F6955" t="s">
        <v>1068</v>
      </c>
      <c r="G6955" t="s">
        <v>1075</v>
      </c>
      <c r="H6955">
        <v>-6.84050778481501E-2</v>
      </c>
      <c r="I6955" t="s">
        <v>1077</v>
      </c>
      <c r="J6955">
        <v>8.31</v>
      </c>
    </row>
    <row r="6956" spans="1:13">
      <c r="A6956" t="s">
        <v>4784</v>
      </c>
      <c r="B6956" t="s">
        <v>4785</v>
      </c>
      <c r="C6956" t="s">
        <v>244</v>
      </c>
      <c r="D6956" t="s">
        <v>4779</v>
      </c>
      <c r="E6956" t="s">
        <v>553</v>
      </c>
      <c r="F6956" t="s">
        <v>1068</v>
      </c>
      <c r="G6956" t="s">
        <v>1078</v>
      </c>
      <c r="H6956">
        <v>-2.3620341671361298</v>
      </c>
      <c r="I6956" t="s">
        <v>1079</v>
      </c>
      <c r="J6956">
        <v>8.31</v>
      </c>
      <c r="M6956" t="str">
        <f>_xlfn.TEXTJOIN(" - ",TRUE,A6956,G6956)</f>
        <v>Recycle - Fe - China - Global warming</v>
      </c>
    </row>
    <row r="6957" spans="1:13" hidden="1">
      <c r="A6957" t="s">
        <v>4784</v>
      </c>
      <c r="B6957" t="s">
        <v>4785</v>
      </c>
      <c r="C6957" t="s">
        <v>244</v>
      </c>
      <c r="D6957" t="s">
        <v>4779</v>
      </c>
      <c r="E6957" t="s">
        <v>553</v>
      </c>
      <c r="F6957" t="s">
        <v>1068</v>
      </c>
      <c r="G6957" t="s">
        <v>1080</v>
      </c>
      <c r="H6957" s="170">
        <v>-5.68163368989974E-9</v>
      </c>
      <c r="I6957" t="s">
        <v>1082</v>
      </c>
      <c r="J6957">
        <v>8.31</v>
      </c>
    </row>
    <row r="6958" spans="1:13" hidden="1">
      <c r="A6958" t="s">
        <v>4784</v>
      </c>
      <c r="B6958" t="s">
        <v>4785</v>
      </c>
      <c r="C6958" t="s">
        <v>244</v>
      </c>
      <c r="D6958" t="s">
        <v>4779</v>
      </c>
      <c r="E6958" t="s">
        <v>553</v>
      </c>
      <c r="F6958" t="s">
        <v>1068</v>
      </c>
      <c r="G6958" t="s">
        <v>1083</v>
      </c>
      <c r="H6958">
        <v>-1.3639577889832099E-4</v>
      </c>
      <c r="I6958" t="s">
        <v>1084</v>
      </c>
      <c r="J6958">
        <v>8.31</v>
      </c>
    </row>
    <row r="6959" spans="1:13" hidden="1">
      <c r="A6959" t="s">
        <v>4784</v>
      </c>
      <c r="B6959" t="s">
        <v>4785</v>
      </c>
      <c r="C6959" t="s">
        <v>244</v>
      </c>
      <c r="D6959" t="s">
        <v>4779</v>
      </c>
      <c r="E6959" t="s">
        <v>553</v>
      </c>
      <c r="F6959" t="s">
        <v>1068</v>
      </c>
      <c r="G6959" t="s">
        <v>1085</v>
      </c>
      <c r="H6959">
        <v>-2.4013366939986602E-3</v>
      </c>
      <c r="I6959" t="s">
        <v>1086</v>
      </c>
      <c r="J6959">
        <v>8.31</v>
      </c>
    </row>
    <row r="6960" spans="1:13" hidden="1">
      <c r="A6960" t="s">
        <v>4784</v>
      </c>
      <c r="B6960" t="s">
        <v>4785</v>
      </c>
      <c r="C6960" t="s">
        <v>244</v>
      </c>
      <c r="D6960" t="s">
        <v>4779</v>
      </c>
      <c r="E6960" t="s">
        <v>553</v>
      </c>
      <c r="F6960" t="s">
        <v>1068</v>
      </c>
      <c r="G6960" t="s">
        <v>1087</v>
      </c>
      <c r="H6960" s="170">
        <v>-2.1801054078984301E-7</v>
      </c>
      <c r="I6960" t="s">
        <v>1088</v>
      </c>
      <c r="J6960">
        <v>8.31</v>
      </c>
    </row>
    <row r="6961" spans="1:13" hidden="1">
      <c r="A6961" t="s">
        <v>4784</v>
      </c>
      <c r="B6961" t="s">
        <v>4785</v>
      </c>
      <c r="C6961" t="s">
        <v>244</v>
      </c>
      <c r="D6961" t="s">
        <v>4779</v>
      </c>
      <c r="E6961" t="s">
        <v>553</v>
      </c>
      <c r="F6961" t="s">
        <v>1068</v>
      </c>
      <c r="G6961" t="s">
        <v>1089</v>
      </c>
      <c r="H6961">
        <v>-6.9333480465701505E-4</v>
      </c>
      <c r="I6961" t="s">
        <v>1090</v>
      </c>
      <c r="J6961">
        <v>8.31</v>
      </c>
    </row>
    <row r="6962" spans="1:13" hidden="1">
      <c r="A6962" t="s">
        <v>4786</v>
      </c>
      <c r="B6962" t="s">
        <v>4787</v>
      </c>
      <c r="C6962" t="s">
        <v>244</v>
      </c>
      <c r="D6962" t="s">
        <v>4779</v>
      </c>
      <c r="E6962" t="s">
        <v>556</v>
      </c>
      <c r="F6962" t="s">
        <v>1068</v>
      </c>
      <c r="G6962" t="s">
        <v>1069</v>
      </c>
      <c r="H6962">
        <v>-1.3850970919497001</v>
      </c>
      <c r="I6962" t="s">
        <v>1070</v>
      </c>
      <c r="J6962">
        <v>8.84</v>
      </c>
    </row>
    <row r="6963" spans="1:13" hidden="1">
      <c r="A6963" t="s">
        <v>4786</v>
      </c>
      <c r="B6963" t="s">
        <v>4787</v>
      </c>
      <c r="C6963" t="s">
        <v>244</v>
      </c>
      <c r="D6963" t="s">
        <v>4779</v>
      </c>
      <c r="E6963" t="s">
        <v>556</v>
      </c>
      <c r="F6963" t="s">
        <v>1068</v>
      </c>
      <c r="G6963" t="s">
        <v>1071</v>
      </c>
      <c r="H6963" s="170">
        <v>-3.44092901784123E-9</v>
      </c>
      <c r="I6963" t="s">
        <v>1072</v>
      </c>
      <c r="J6963">
        <v>8.84</v>
      </c>
    </row>
    <row r="6964" spans="1:13" hidden="1">
      <c r="A6964" t="s">
        <v>4786</v>
      </c>
      <c r="B6964" t="s">
        <v>4787</v>
      </c>
      <c r="C6964" t="s">
        <v>244</v>
      </c>
      <c r="D6964" t="s">
        <v>4779</v>
      </c>
      <c r="E6964" t="s">
        <v>556</v>
      </c>
      <c r="F6964" t="s">
        <v>1068</v>
      </c>
      <c r="G6964" t="s">
        <v>1073</v>
      </c>
      <c r="H6964" s="170">
        <v>-5.13523852109865E-7</v>
      </c>
      <c r="I6964" t="s">
        <v>1074</v>
      </c>
      <c r="J6964">
        <v>8.84</v>
      </c>
    </row>
    <row r="6965" spans="1:13" hidden="1">
      <c r="A6965" t="s">
        <v>4786</v>
      </c>
      <c r="B6965" t="s">
        <v>4787</v>
      </c>
      <c r="C6965" t="s">
        <v>244</v>
      </c>
      <c r="D6965" t="s">
        <v>4779</v>
      </c>
      <c r="E6965" t="s">
        <v>556</v>
      </c>
      <c r="F6965" t="s">
        <v>1068</v>
      </c>
      <c r="G6965" t="s">
        <v>1075</v>
      </c>
      <c r="H6965">
        <v>-7.0887705746880594E-2</v>
      </c>
      <c r="I6965" t="s">
        <v>1077</v>
      </c>
      <c r="J6965">
        <v>8.84</v>
      </c>
    </row>
    <row r="6966" spans="1:13">
      <c r="A6966" t="s">
        <v>4786</v>
      </c>
      <c r="B6966" t="s">
        <v>4787</v>
      </c>
      <c r="C6966" t="s">
        <v>244</v>
      </c>
      <c r="D6966" t="s">
        <v>4779</v>
      </c>
      <c r="E6966" t="s">
        <v>556</v>
      </c>
      <c r="F6966" t="s">
        <v>1068</v>
      </c>
      <c r="G6966" t="s">
        <v>1078</v>
      </c>
      <c r="H6966">
        <v>-2.4693925739513798</v>
      </c>
      <c r="I6966" t="s">
        <v>1079</v>
      </c>
      <c r="J6966">
        <v>8.84</v>
      </c>
      <c r="M6966" t="str">
        <f>_xlfn.TEXTJOIN(" - ",TRUE,A6966,G6966)</f>
        <v>Recycle - Fe - India - Global warming</v>
      </c>
    </row>
    <row r="6967" spans="1:13" hidden="1">
      <c r="A6967" t="s">
        <v>4786</v>
      </c>
      <c r="B6967" t="s">
        <v>4787</v>
      </c>
      <c r="C6967" t="s">
        <v>244</v>
      </c>
      <c r="D6967" t="s">
        <v>4779</v>
      </c>
      <c r="E6967" t="s">
        <v>556</v>
      </c>
      <c r="F6967" t="s">
        <v>1068</v>
      </c>
      <c r="G6967" t="s">
        <v>1080</v>
      </c>
      <c r="H6967" s="170">
        <v>-6.11819082464673E-9</v>
      </c>
      <c r="I6967" t="s">
        <v>1082</v>
      </c>
      <c r="J6967">
        <v>8.84</v>
      </c>
    </row>
    <row r="6968" spans="1:13" hidden="1">
      <c r="A6968" t="s">
        <v>4786</v>
      </c>
      <c r="B6968" t="s">
        <v>4787</v>
      </c>
      <c r="C6968" t="s">
        <v>244</v>
      </c>
      <c r="D6968" t="s">
        <v>4779</v>
      </c>
      <c r="E6968" t="s">
        <v>556</v>
      </c>
      <c r="F6968" t="s">
        <v>1068</v>
      </c>
      <c r="G6968" t="s">
        <v>1083</v>
      </c>
      <c r="H6968">
        <v>-1.4833340292264201E-4</v>
      </c>
      <c r="I6968" t="s">
        <v>1084</v>
      </c>
      <c r="J6968">
        <v>8.84</v>
      </c>
    </row>
    <row r="6969" spans="1:13" hidden="1">
      <c r="A6969" t="s">
        <v>4786</v>
      </c>
      <c r="B6969" t="s">
        <v>4787</v>
      </c>
      <c r="C6969" t="s">
        <v>244</v>
      </c>
      <c r="D6969" t="s">
        <v>4779</v>
      </c>
      <c r="E6969" t="s">
        <v>556</v>
      </c>
      <c r="F6969" t="s">
        <v>1068</v>
      </c>
      <c r="G6969" t="s">
        <v>1085</v>
      </c>
      <c r="H6969">
        <v>-2.5362560737547299E-3</v>
      </c>
      <c r="I6969" t="s">
        <v>1086</v>
      </c>
      <c r="J6969">
        <v>8.84</v>
      </c>
    </row>
    <row r="6970" spans="1:13" hidden="1">
      <c r="A6970" t="s">
        <v>4786</v>
      </c>
      <c r="B6970" t="s">
        <v>4787</v>
      </c>
      <c r="C6970" t="s">
        <v>244</v>
      </c>
      <c r="D6970" t="s">
        <v>4779</v>
      </c>
      <c r="E6970" t="s">
        <v>556</v>
      </c>
      <c r="F6970" t="s">
        <v>1068</v>
      </c>
      <c r="G6970" t="s">
        <v>1087</v>
      </c>
      <c r="H6970" s="170">
        <v>-2.8312324950402599E-7</v>
      </c>
      <c r="I6970" t="s">
        <v>1088</v>
      </c>
      <c r="J6970">
        <v>8.84</v>
      </c>
    </row>
    <row r="6971" spans="1:13" hidden="1">
      <c r="A6971" t="s">
        <v>4786</v>
      </c>
      <c r="B6971" t="s">
        <v>4787</v>
      </c>
      <c r="C6971" t="s">
        <v>244</v>
      </c>
      <c r="D6971" t="s">
        <v>4779</v>
      </c>
      <c r="E6971" t="s">
        <v>556</v>
      </c>
      <c r="F6971" t="s">
        <v>1068</v>
      </c>
      <c r="G6971" t="s">
        <v>1089</v>
      </c>
      <c r="H6971">
        <v>-7.21168406270522E-4</v>
      </c>
      <c r="I6971" t="s">
        <v>1090</v>
      </c>
      <c r="J6971">
        <v>8.84</v>
      </c>
    </row>
    <row r="6972" spans="1:13" hidden="1">
      <c r="A6972" t="s">
        <v>4788</v>
      </c>
      <c r="B6972" t="s">
        <v>4789</v>
      </c>
      <c r="C6972" t="s">
        <v>244</v>
      </c>
      <c r="D6972" t="s">
        <v>4779</v>
      </c>
      <c r="E6972" t="s">
        <v>557</v>
      </c>
      <c r="F6972" t="s">
        <v>1068</v>
      </c>
      <c r="G6972" t="s">
        <v>1069</v>
      </c>
      <c r="H6972">
        <v>-1.3399307486751999</v>
      </c>
      <c r="I6972" t="s">
        <v>1070</v>
      </c>
      <c r="J6972">
        <v>9.24</v>
      </c>
    </row>
    <row r="6973" spans="1:13" hidden="1">
      <c r="A6973" t="s">
        <v>4788</v>
      </c>
      <c r="B6973" t="s">
        <v>4789</v>
      </c>
      <c r="C6973" t="s">
        <v>244</v>
      </c>
      <c r="D6973" t="s">
        <v>4779</v>
      </c>
      <c r="E6973" t="s">
        <v>557</v>
      </c>
      <c r="F6973" t="s">
        <v>1068</v>
      </c>
      <c r="G6973" t="s">
        <v>1071</v>
      </c>
      <c r="H6973" s="170">
        <v>-3.3762954667631499E-9</v>
      </c>
      <c r="I6973" t="s">
        <v>1072</v>
      </c>
      <c r="J6973">
        <v>9.24</v>
      </c>
    </row>
    <row r="6974" spans="1:13" hidden="1">
      <c r="A6974" t="s">
        <v>4788</v>
      </c>
      <c r="B6974" t="s">
        <v>4789</v>
      </c>
      <c r="C6974" t="s">
        <v>244</v>
      </c>
      <c r="D6974" t="s">
        <v>4779</v>
      </c>
      <c r="E6974" t="s">
        <v>557</v>
      </c>
      <c r="F6974" t="s">
        <v>1068</v>
      </c>
      <c r="G6974" t="s">
        <v>1073</v>
      </c>
      <c r="H6974" s="170">
        <v>-4.9748062406375005E-7</v>
      </c>
      <c r="I6974" t="s">
        <v>1074</v>
      </c>
      <c r="J6974">
        <v>9.24</v>
      </c>
    </row>
    <row r="6975" spans="1:13" hidden="1">
      <c r="A6975" t="s">
        <v>4788</v>
      </c>
      <c r="B6975" t="s">
        <v>4789</v>
      </c>
      <c r="C6975" t="s">
        <v>244</v>
      </c>
      <c r="D6975" t="s">
        <v>4779</v>
      </c>
      <c r="E6975" t="s">
        <v>557</v>
      </c>
      <c r="F6975" t="s">
        <v>1068</v>
      </c>
      <c r="G6975" t="s">
        <v>1075</v>
      </c>
      <c r="H6975">
        <v>-6.9459949386147898E-2</v>
      </c>
      <c r="I6975" t="s">
        <v>1077</v>
      </c>
      <c r="J6975">
        <v>9.24</v>
      </c>
    </row>
    <row r="6976" spans="1:13">
      <c r="A6976" t="s">
        <v>4788</v>
      </c>
      <c r="B6976" t="s">
        <v>4789</v>
      </c>
      <c r="C6976" t="s">
        <v>244</v>
      </c>
      <c r="D6976" t="s">
        <v>4779</v>
      </c>
      <c r="E6976" t="s">
        <v>557</v>
      </c>
      <c r="F6976" t="s">
        <v>1068</v>
      </c>
      <c r="G6976" t="s">
        <v>1078</v>
      </c>
      <c r="H6976">
        <v>-2.4076508814943902</v>
      </c>
      <c r="I6976" t="s">
        <v>1079</v>
      </c>
      <c r="J6976">
        <v>9.24</v>
      </c>
      <c r="M6976" t="str">
        <f>_xlfn.TEXTJOIN(" - ",TRUE,A6976,G6976)</f>
        <v>Recycle - Fe - Ireland - Global warming</v>
      </c>
    </row>
    <row r="6977" spans="1:13" hidden="1">
      <c r="A6977" t="s">
        <v>4788</v>
      </c>
      <c r="B6977" t="s">
        <v>4789</v>
      </c>
      <c r="C6977" t="s">
        <v>244</v>
      </c>
      <c r="D6977" t="s">
        <v>4779</v>
      </c>
      <c r="E6977" t="s">
        <v>557</v>
      </c>
      <c r="F6977" t="s">
        <v>1068</v>
      </c>
      <c r="G6977" t="s">
        <v>1080</v>
      </c>
      <c r="H6977" s="170">
        <v>-5.8671273341104301E-9</v>
      </c>
      <c r="I6977" t="s">
        <v>1082</v>
      </c>
      <c r="J6977">
        <v>9.24</v>
      </c>
    </row>
    <row r="6978" spans="1:13" hidden="1">
      <c r="A6978" t="s">
        <v>4788</v>
      </c>
      <c r="B6978" t="s">
        <v>4789</v>
      </c>
      <c r="C6978" t="s">
        <v>244</v>
      </c>
      <c r="D6978" t="s">
        <v>4779</v>
      </c>
      <c r="E6978" t="s">
        <v>557</v>
      </c>
      <c r="F6978" t="s">
        <v>1068</v>
      </c>
      <c r="G6978" t="s">
        <v>1083</v>
      </c>
      <c r="H6978">
        <v>-1.4146808950154101E-4</v>
      </c>
      <c r="I6978" t="s">
        <v>1084</v>
      </c>
      <c r="J6978">
        <v>9.24</v>
      </c>
    </row>
    <row r="6979" spans="1:13" hidden="1">
      <c r="A6979" t="s">
        <v>4788</v>
      </c>
      <c r="B6979" t="s">
        <v>4789</v>
      </c>
      <c r="C6979" t="s">
        <v>244</v>
      </c>
      <c r="D6979" t="s">
        <v>4779</v>
      </c>
      <c r="E6979" t="s">
        <v>557</v>
      </c>
      <c r="F6979" t="s">
        <v>1068</v>
      </c>
      <c r="G6979" t="s">
        <v>1085</v>
      </c>
      <c r="H6979">
        <v>-2.4586640984404599E-3</v>
      </c>
      <c r="I6979" t="s">
        <v>1086</v>
      </c>
      <c r="J6979">
        <v>9.24</v>
      </c>
    </row>
    <row r="6980" spans="1:13" hidden="1">
      <c r="A6980" t="s">
        <v>4788</v>
      </c>
      <c r="B6980" t="s">
        <v>4789</v>
      </c>
      <c r="C6980" t="s">
        <v>244</v>
      </c>
      <c r="D6980" t="s">
        <v>4779</v>
      </c>
      <c r="E6980" t="s">
        <v>557</v>
      </c>
      <c r="F6980" t="s">
        <v>1068</v>
      </c>
      <c r="G6980" t="s">
        <v>1087</v>
      </c>
      <c r="H6980" s="170">
        <v>-2.4567700793124502E-7</v>
      </c>
      <c r="I6980" t="s">
        <v>1088</v>
      </c>
      <c r="J6980">
        <v>9.24</v>
      </c>
    </row>
    <row r="6981" spans="1:13" hidden="1">
      <c r="A6981" t="s">
        <v>4788</v>
      </c>
      <c r="B6981" t="s">
        <v>4789</v>
      </c>
      <c r="C6981" t="s">
        <v>244</v>
      </c>
      <c r="D6981" t="s">
        <v>4779</v>
      </c>
      <c r="E6981" t="s">
        <v>557</v>
      </c>
      <c r="F6981" t="s">
        <v>1068</v>
      </c>
      <c r="G6981" t="s">
        <v>1089</v>
      </c>
      <c r="H6981">
        <v>-7.05161334986861E-4</v>
      </c>
      <c r="I6981" t="s">
        <v>1090</v>
      </c>
      <c r="J6981">
        <v>9.24</v>
      </c>
    </row>
    <row r="6982" spans="1:13" hidden="1">
      <c r="A6982" t="s">
        <v>4790</v>
      </c>
      <c r="B6982" t="s">
        <v>4791</v>
      </c>
      <c r="C6982" t="s">
        <v>244</v>
      </c>
      <c r="D6982" t="s">
        <v>4779</v>
      </c>
      <c r="E6982" t="s">
        <v>559</v>
      </c>
      <c r="F6982" t="s">
        <v>1068</v>
      </c>
      <c r="G6982" t="s">
        <v>1069</v>
      </c>
      <c r="H6982">
        <v>-1.36175268980782</v>
      </c>
      <c r="I6982" t="s">
        <v>1070</v>
      </c>
      <c r="J6982">
        <v>9.69</v>
      </c>
    </row>
    <row r="6983" spans="1:13" hidden="1">
      <c r="A6983" t="s">
        <v>4790</v>
      </c>
      <c r="B6983" t="s">
        <v>4791</v>
      </c>
      <c r="C6983" t="s">
        <v>244</v>
      </c>
      <c r="D6983" t="s">
        <v>4779</v>
      </c>
      <c r="E6983" t="s">
        <v>559</v>
      </c>
      <c r="F6983" t="s">
        <v>1068</v>
      </c>
      <c r="G6983" t="s">
        <v>1071</v>
      </c>
      <c r="H6983" s="170">
        <v>-3.40752291278963E-9</v>
      </c>
      <c r="I6983" t="s">
        <v>1072</v>
      </c>
      <c r="J6983">
        <v>9.69</v>
      </c>
    </row>
    <row r="6984" spans="1:13" hidden="1">
      <c r="A6984" t="s">
        <v>4790</v>
      </c>
      <c r="B6984" t="s">
        <v>4791</v>
      </c>
      <c r="C6984" t="s">
        <v>244</v>
      </c>
      <c r="D6984" t="s">
        <v>4779</v>
      </c>
      <c r="E6984" t="s">
        <v>559</v>
      </c>
      <c r="F6984" t="s">
        <v>1068</v>
      </c>
      <c r="G6984" t="s">
        <v>1073</v>
      </c>
      <c r="H6984" s="170">
        <v>-5.0523184660288296E-7</v>
      </c>
      <c r="I6984" t="s">
        <v>1074</v>
      </c>
      <c r="J6984">
        <v>9.69</v>
      </c>
    </row>
    <row r="6985" spans="1:13" hidden="1">
      <c r="A6985" t="s">
        <v>4790</v>
      </c>
      <c r="B6985" t="s">
        <v>4791</v>
      </c>
      <c r="C6985" t="s">
        <v>244</v>
      </c>
      <c r="D6985" t="s">
        <v>4779</v>
      </c>
      <c r="E6985" t="s">
        <v>559</v>
      </c>
      <c r="F6985" t="s">
        <v>1068</v>
      </c>
      <c r="G6985" t="s">
        <v>1075</v>
      </c>
      <c r="H6985">
        <v>-7.0149764257063693E-2</v>
      </c>
      <c r="I6985" t="s">
        <v>1077</v>
      </c>
      <c r="J6985">
        <v>9.69</v>
      </c>
    </row>
    <row r="6986" spans="1:13">
      <c r="A6986" t="s">
        <v>4790</v>
      </c>
      <c r="B6986" t="s">
        <v>4791</v>
      </c>
      <c r="C6986" t="s">
        <v>244</v>
      </c>
      <c r="D6986" t="s">
        <v>4779</v>
      </c>
      <c r="E6986" t="s">
        <v>559</v>
      </c>
      <c r="F6986" t="s">
        <v>1068</v>
      </c>
      <c r="G6986" t="s">
        <v>1078</v>
      </c>
      <c r="H6986">
        <v>-2.43748113740057</v>
      </c>
      <c r="I6986" t="s">
        <v>1079</v>
      </c>
      <c r="J6986">
        <v>9.69</v>
      </c>
      <c r="M6986" t="str">
        <f>_xlfn.TEXTJOIN(" - ",TRUE,A6986,G6986)</f>
        <v>Recycle - Fe - Mexico - Global warming</v>
      </c>
    </row>
    <row r="6987" spans="1:13" hidden="1">
      <c r="A6987" t="s">
        <v>4790</v>
      </c>
      <c r="B6987" t="s">
        <v>4791</v>
      </c>
      <c r="C6987" t="s">
        <v>244</v>
      </c>
      <c r="D6987" t="s">
        <v>4779</v>
      </c>
      <c r="E6987" t="s">
        <v>559</v>
      </c>
      <c r="F6987" t="s">
        <v>1068</v>
      </c>
      <c r="G6987" t="s">
        <v>1080</v>
      </c>
      <c r="H6987" s="170">
        <v>-5.9884276722347003E-9</v>
      </c>
      <c r="I6987" t="s">
        <v>1082</v>
      </c>
      <c r="J6987">
        <v>9.69</v>
      </c>
    </row>
    <row r="6988" spans="1:13" hidden="1">
      <c r="A6988" t="s">
        <v>4790</v>
      </c>
      <c r="B6988" t="s">
        <v>4791</v>
      </c>
      <c r="C6988" t="s">
        <v>244</v>
      </c>
      <c r="D6988" t="s">
        <v>4779</v>
      </c>
      <c r="E6988" t="s">
        <v>559</v>
      </c>
      <c r="F6988" t="s">
        <v>1068</v>
      </c>
      <c r="G6988" t="s">
        <v>1083</v>
      </c>
      <c r="H6988">
        <v>-1.4478503868252201E-4</v>
      </c>
      <c r="I6988" t="s">
        <v>1084</v>
      </c>
      <c r="J6988">
        <v>9.69</v>
      </c>
    </row>
    <row r="6989" spans="1:13" hidden="1">
      <c r="A6989" t="s">
        <v>4790</v>
      </c>
      <c r="B6989" t="s">
        <v>4791</v>
      </c>
      <c r="C6989" t="s">
        <v>244</v>
      </c>
      <c r="D6989" t="s">
        <v>4779</v>
      </c>
      <c r="E6989" t="s">
        <v>559</v>
      </c>
      <c r="F6989" t="s">
        <v>1068</v>
      </c>
      <c r="G6989" t="s">
        <v>1085</v>
      </c>
      <c r="H6989">
        <v>-2.4961523561765602E-3</v>
      </c>
      <c r="I6989" t="s">
        <v>1086</v>
      </c>
      <c r="J6989">
        <v>9.69</v>
      </c>
    </row>
    <row r="6990" spans="1:13" hidden="1">
      <c r="A6990" t="s">
        <v>4790</v>
      </c>
      <c r="B6990" t="s">
        <v>4791</v>
      </c>
      <c r="C6990" t="s">
        <v>244</v>
      </c>
      <c r="D6990" t="s">
        <v>4779</v>
      </c>
      <c r="E6990" t="s">
        <v>559</v>
      </c>
      <c r="F6990" t="s">
        <v>1068</v>
      </c>
      <c r="G6990" t="s">
        <v>1087</v>
      </c>
      <c r="H6990" s="170">
        <v>-2.6376901228663299E-7</v>
      </c>
      <c r="I6990" t="s">
        <v>1088</v>
      </c>
      <c r="J6990">
        <v>9.69</v>
      </c>
    </row>
    <row r="6991" spans="1:13" hidden="1">
      <c r="A6991" t="s">
        <v>4790</v>
      </c>
      <c r="B6991" t="s">
        <v>4791</v>
      </c>
      <c r="C6991" t="s">
        <v>244</v>
      </c>
      <c r="D6991" t="s">
        <v>4779</v>
      </c>
      <c r="E6991" t="s">
        <v>559</v>
      </c>
      <c r="F6991" t="s">
        <v>1068</v>
      </c>
      <c r="G6991" t="s">
        <v>1089</v>
      </c>
      <c r="H6991">
        <v>-7.1289508852840505E-4</v>
      </c>
      <c r="I6991" t="s">
        <v>1090</v>
      </c>
      <c r="J6991">
        <v>9.69</v>
      </c>
    </row>
    <row r="6992" spans="1:13" hidden="1">
      <c r="A6992" t="s">
        <v>4792</v>
      </c>
      <c r="B6992" t="s">
        <v>4793</v>
      </c>
      <c r="C6992" t="s">
        <v>244</v>
      </c>
      <c r="D6992" t="s">
        <v>4779</v>
      </c>
      <c r="E6992" t="s">
        <v>560</v>
      </c>
      <c r="F6992" t="s">
        <v>1068</v>
      </c>
      <c r="G6992" t="s">
        <v>1069</v>
      </c>
      <c r="H6992">
        <v>-1.35431706542202</v>
      </c>
      <c r="I6992" t="s">
        <v>1070</v>
      </c>
      <c r="J6992">
        <v>9.7200000000000006</v>
      </c>
    </row>
    <row r="6993" spans="1:13" hidden="1">
      <c r="A6993" t="s">
        <v>4792</v>
      </c>
      <c r="B6993" t="s">
        <v>4793</v>
      </c>
      <c r="C6993" t="s">
        <v>244</v>
      </c>
      <c r="D6993" t="s">
        <v>4779</v>
      </c>
      <c r="E6993" t="s">
        <v>560</v>
      </c>
      <c r="F6993" t="s">
        <v>1068</v>
      </c>
      <c r="G6993" t="s">
        <v>1071</v>
      </c>
      <c r="H6993" s="170">
        <v>-3.3968824496994198E-9</v>
      </c>
      <c r="I6993" t="s">
        <v>1072</v>
      </c>
      <c r="J6993">
        <v>9.7200000000000006</v>
      </c>
    </row>
    <row r="6994" spans="1:13" hidden="1">
      <c r="A6994" t="s">
        <v>4792</v>
      </c>
      <c r="B6994" t="s">
        <v>4793</v>
      </c>
      <c r="C6994" t="s">
        <v>244</v>
      </c>
      <c r="D6994" t="s">
        <v>4779</v>
      </c>
      <c r="E6994" t="s">
        <v>560</v>
      </c>
      <c r="F6994" t="s">
        <v>1068</v>
      </c>
      <c r="G6994" t="s">
        <v>1073</v>
      </c>
      <c r="H6994" s="170">
        <v>-5.0259068929330301E-7</v>
      </c>
      <c r="I6994" t="s">
        <v>1074</v>
      </c>
      <c r="J6994">
        <v>9.7200000000000006</v>
      </c>
    </row>
    <row r="6995" spans="1:13" hidden="1">
      <c r="A6995" t="s">
        <v>4792</v>
      </c>
      <c r="B6995" t="s">
        <v>4793</v>
      </c>
      <c r="C6995" t="s">
        <v>244</v>
      </c>
      <c r="D6995" t="s">
        <v>4779</v>
      </c>
      <c r="E6995" t="s">
        <v>560</v>
      </c>
      <c r="F6995" t="s">
        <v>1068</v>
      </c>
      <c r="G6995" t="s">
        <v>1075</v>
      </c>
      <c r="H6995">
        <v>-6.9914716226980103E-2</v>
      </c>
      <c r="I6995" t="s">
        <v>1077</v>
      </c>
      <c r="J6995">
        <v>9.7200000000000006</v>
      </c>
    </row>
    <row r="6996" spans="1:13">
      <c r="A6996" t="s">
        <v>4792</v>
      </c>
      <c r="B6996" t="s">
        <v>4793</v>
      </c>
      <c r="C6996" t="s">
        <v>244</v>
      </c>
      <c r="D6996" t="s">
        <v>4779</v>
      </c>
      <c r="E6996" t="s">
        <v>560</v>
      </c>
      <c r="F6996" t="s">
        <v>1068</v>
      </c>
      <c r="G6996" t="s">
        <v>1078</v>
      </c>
      <c r="H6996">
        <v>-2.4273167539066498</v>
      </c>
      <c r="I6996" t="s">
        <v>1079</v>
      </c>
      <c r="J6996">
        <v>9.7200000000000006</v>
      </c>
      <c r="M6996" t="str">
        <f>_xlfn.TEXTJOIN(" - ",TRUE,A6996,G6996)</f>
        <v>Recycle - Fe - Spain - Global warming</v>
      </c>
    </row>
    <row r="6997" spans="1:13" hidden="1">
      <c r="A6997" t="s">
        <v>4792</v>
      </c>
      <c r="B6997" t="s">
        <v>4793</v>
      </c>
      <c r="C6997" t="s">
        <v>244</v>
      </c>
      <c r="D6997" t="s">
        <v>4779</v>
      </c>
      <c r="E6997" t="s">
        <v>560</v>
      </c>
      <c r="F6997" t="s">
        <v>1068</v>
      </c>
      <c r="G6997" t="s">
        <v>1080</v>
      </c>
      <c r="H6997" s="170">
        <v>-5.9470957051706201E-9</v>
      </c>
      <c r="I6997" t="s">
        <v>1082</v>
      </c>
      <c r="J6997">
        <v>9.7200000000000006</v>
      </c>
    </row>
    <row r="6998" spans="1:13" hidden="1">
      <c r="A6998" t="s">
        <v>4792</v>
      </c>
      <c r="B6998" t="s">
        <v>4793</v>
      </c>
      <c r="C6998" t="s">
        <v>244</v>
      </c>
      <c r="D6998" t="s">
        <v>4779</v>
      </c>
      <c r="E6998" t="s">
        <v>560</v>
      </c>
      <c r="F6998" t="s">
        <v>1068</v>
      </c>
      <c r="G6998" t="s">
        <v>1083</v>
      </c>
      <c r="H6998">
        <v>-1.4365481896160101E-4</v>
      </c>
      <c r="I6998" t="s">
        <v>1084</v>
      </c>
      <c r="J6998">
        <v>9.7200000000000006</v>
      </c>
    </row>
    <row r="6999" spans="1:13" hidden="1">
      <c r="A6999" t="s">
        <v>4792</v>
      </c>
      <c r="B6999" t="s">
        <v>4793</v>
      </c>
      <c r="C6999" t="s">
        <v>244</v>
      </c>
      <c r="D6999" t="s">
        <v>4779</v>
      </c>
      <c r="E6999" t="s">
        <v>560</v>
      </c>
      <c r="F6999" t="s">
        <v>1068</v>
      </c>
      <c r="G6999" t="s">
        <v>1085</v>
      </c>
      <c r="H6999">
        <v>-2.48337857946666E-3</v>
      </c>
      <c r="I6999" t="s">
        <v>1086</v>
      </c>
      <c r="J6999">
        <v>9.7200000000000006</v>
      </c>
    </row>
    <row r="7000" spans="1:13" hidden="1">
      <c r="A7000" t="s">
        <v>4792</v>
      </c>
      <c r="B7000" t="s">
        <v>4793</v>
      </c>
      <c r="C7000" t="s">
        <v>244</v>
      </c>
      <c r="D7000" t="s">
        <v>4779</v>
      </c>
      <c r="E7000" t="s">
        <v>560</v>
      </c>
      <c r="F7000" t="s">
        <v>1068</v>
      </c>
      <c r="G7000" t="s">
        <v>1087</v>
      </c>
      <c r="H7000" s="170">
        <v>-2.5760432932111301E-7</v>
      </c>
      <c r="I7000" t="s">
        <v>1088</v>
      </c>
      <c r="J7000">
        <v>9.7200000000000006</v>
      </c>
    </row>
    <row r="7001" spans="1:13" hidden="1">
      <c r="A7001" t="s">
        <v>4792</v>
      </c>
      <c r="B7001" t="s">
        <v>4793</v>
      </c>
      <c r="C7001" t="s">
        <v>244</v>
      </c>
      <c r="D7001" t="s">
        <v>4779</v>
      </c>
      <c r="E7001" t="s">
        <v>560</v>
      </c>
      <c r="F7001" t="s">
        <v>1068</v>
      </c>
      <c r="G7001" t="s">
        <v>1089</v>
      </c>
      <c r="H7001">
        <v>-7.1025988361801196E-4</v>
      </c>
      <c r="I7001" t="s">
        <v>1090</v>
      </c>
      <c r="J7001">
        <v>9.7200000000000006</v>
      </c>
    </row>
    <row r="7002" spans="1:13" hidden="1">
      <c r="A7002" t="s">
        <v>4794</v>
      </c>
      <c r="B7002" t="s">
        <v>4795</v>
      </c>
      <c r="C7002" t="s">
        <v>244</v>
      </c>
      <c r="D7002" t="s">
        <v>4779</v>
      </c>
      <c r="E7002" t="s">
        <v>554</v>
      </c>
      <c r="F7002" t="s">
        <v>1068</v>
      </c>
      <c r="G7002" t="s">
        <v>1069</v>
      </c>
      <c r="H7002">
        <v>-1.3106531473329199</v>
      </c>
      <c r="I7002" t="s">
        <v>1070</v>
      </c>
      <c r="J7002">
        <v>7.33</v>
      </c>
    </row>
    <row r="7003" spans="1:13" hidden="1">
      <c r="A7003" t="s">
        <v>4794</v>
      </c>
      <c r="B7003" t="s">
        <v>4795</v>
      </c>
      <c r="C7003" t="s">
        <v>244</v>
      </c>
      <c r="D7003" t="s">
        <v>4779</v>
      </c>
      <c r="E7003" t="s">
        <v>554</v>
      </c>
      <c r="F7003" t="s">
        <v>1068</v>
      </c>
      <c r="G7003" t="s">
        <v>1071</v>
      </c>
      <c r="H7003" s="170">
        <v>-3.3343988861544499E-9</v>
      </c>
      <c r="I7003" t="s">
        <v>1072</v>
      </c>
      <c r="J7003">
        <v>7.33</v>
      </c>
    </row>
    <row r="7004" spans="1:13" hidden="1">
      <c r="A7004" t="s">
        <v>4794</v>
      </c>
      <c r="B7004" t="s">
        <v>4795</v>
      </c>
      <c r="C7004" t="s">
        <v>244</v>
      </c>
      <c r="D7004" t="s">
        <v>4779</v>
      </c>
      <c r="E7004" t="s">
        <v>554</v>
      </c>
      <c r="F7004" t="s">
        <v>1068</v>
      </c>
      <c r="G7004" t="s">
        <v>1073</v>
      </c>
      <c r="H7004" s="170">
        <v>-4.8708112742700001E-7</v>
      </c>
      <c r="I7004" t="s">
        <v>1074</v>
      </c>
      <c r="J7004">
        <v>7.33</v>
      </c>
    </row>
    <row r="7005" spans="1:13" hidden="1">
      <c r="A7005" t="s">
        <v>4794</v>
      </c>
      <c r="B7005" t="s">
        <v>4795</v>
      </c>
      <c r="C7005" t="s">
        <v>244</v>
      </c>
      <c r="D7005" t="s">
        <v>4779</v>
      </c>
      <c r="E7005" t="s">
        <v>554</v>
      </c>
      <c r="F7005" t="s">
        <v>1068</v>
      </c>
      <c r="G7005" t="s">
        <v>1075</v>
      </c>
      <c r="H7005">
        <v>-6.8534453131350606E-2</v>
      </c>
      <c r="I7005" t="s">
        <v>1077</v>
      </c>
      <c r="J7005">
        <v>7.33</v>
      </c>
    </row>
    <row r="7006" spans="1:13">
      <c r="A7006" t="s">
        <v>4794</v>
      </c>
      <c r="B7006" t="s">
        <v>4795</v>
      </c>
      <c r="C7006" t="s">
        <v>244</v>
      </c>
      <c r="D7006" t="s">
        <v>4779</v>
      </c>
      <c r="E7006" t="s">
        <v>554</v>
      </c>
      <c r="F7006" t="s">
        <v>1068</v>
      </c>
      <c r="G7006" t="s">
        <v>1078</v>
      </c>
      <c r="H7006">
        <v>-2.3676288534331902</v>
      </c>
      <c r="I7006" t="s">
        <v>1079</v>
      </c>
      <c r="J7006">
        <v>7.33</v>
      </c>
      <c r="M7006" t="str">
        <f>_xlfn.TEXTJOIN(" - ",TRUE,A7006,G7006)</f>
        <v>Recycle - Fe - United States - Global warming</v>
      </c>
    </row>
    <row r="7007" spans="1:13" hidden="1">
      <c r="A7007" t="s">
        <v>4794</v>
      </c>
      <c r="B7007" t="s">
        <v>4795</v>
      </c>
      <c r="C7007" t="s">
        <v>244</v>
      </c>
      <c r="D7007" t="s">
        <v>4779</v>
      </c>
      <c r="E7007" t="s">
        <v>554</v>
      </c>
      <c r="F7007" t="s">
        <v>1068</v>
      </c>
      <c r="G7007" t="s">
        <v>1080</v>
      </c>
      <c r="H7007" s="170">
        <v>-5.7043836569690199E-9</v>
      </c>
      <c r="I7007" t="s">
        <v>1082</v>
      </c>
      <c r="J7007">
        <v>7.33</v>
      </c>
    </row>
    <row r="7008" spans="1:13" hidden="1">
      <c r="A7008" t="s">
        <v>4794</v>
      </c>
      <c r="B7008" t="s">
        <v>4795</v>
      </c>
      <c r="C7008" t="s">
        <v>244</v>
      </c>
      <c r="D7008" t="s">
        <v>4779</v>
      </c>
      <c r="E7008" t="s">
        <v>554</v>
      </c>
      <c r="F7008" t="s">
        <v>1068</v>
      </c>
      <c r="G7008" t="s">
        <v>1083</v>
      </c>
      <c r="H7008">
        <v>-1.37017875141453E-4</v>
      </c>
      <c r="I7008" t="s">
        <v>1084</v>
      </c>
      <c r="J7008">
        <v>7.33</v>
      </c>
    </row>
    <row r="7009" spans="1:13" hidden="1">
      <c r="A7009" t="s">
        <v>4794</v>
      </c>
      <c r="B7009" t="s">
        <v>4795</v>
      </c>
      <c r="C7009" t="s">
        <v>244</v>
      </c>
      <c r="D7009" t="s">
        <v>4779</v>
      </c>
      <c r="E7009" t="s">
        <v>554</v>
      </c>
      <c r="F7009" t="s">
        <v>1068</v>
      </c>
      <c r="G7009" t="s">
        <v>1085</v>
      </c>
      <c r="H7009">
        <v>-2.4083676441358699E-3</v>
      </c>
      <c r="I7009" t="s">
        <v>1086</v>
      </c>
      <c r="J7009">
        <v>7.33</v>
      </c>
    </row>
    <row r="7010" spans="1:13" hidden="1">
      <c r="A7010" t="s">
        <v>4794</v>
      </c>
      <c r="B7010" t="s">
        <v>4795</v>
      </c>
      <c r="C7010" t="s">
        <v>244</v>
      </c>
      <c r="D7010" t="s">
        <v>4779</v>
      </c>
      <c r="E7010" t="s">
        <v>554</v>
      </c>
      <c r="F7010" t="s">
        <v>1068</v>
      </c>
      <c r="G7010" t="s">
        <v>1087</v>
      </c>
      <c r="H7010" s="170">
        <v>-2.2140370942949199E-7</v>
      </c>
      <c r="I7010" t="s">
        <v>1088</v>
      </c>
      <c r="J7010">
        <v>7.33</v>
      </c>
    </row>
    <row r="7011" spans="1:13" hidden="1">
      <c r="A7011" t="s">
        <v>4794</v>
      </c>
      <c r="B7011" t="s">
        <v>4795</v>
      </c>
      <c r="C7011" t="s">
        <v>244</v>
      </c>
      <c r="D7011" t="s">
        <v>4779</v>
      </c>
      <c r="E7011" t="s">
        <v>554</v>
      </c>
      <c r="F7011" t="s">
        <v>1068</v>
      </c>
      <c r="G7011" t="s">
        <v>1089</v>
      </c>
      <c r="H7011">
        <v>-6.9478527578604695E-4</v>
      </c>
      <c r="I7011" t="s">
        <v>1090</v>
      </c>
      <c r="J7011">
        <v>7.33</v>
      </c>
    </row>
    <row r="7012" spans="1:13" hidden="1">
      <c r="A7012" t="s">
        <v>4796</v>
      </c>
      <c r="B7012" t="s">
        <v>4797</v>
      </c>
      <c r="C7012" t="s">
        <v>244</v>
      </c>
      <c r="D7012" t="s">
        <v>4798</v>
      </c>
      <c r="E7012" t="s">
        <v>561</v>
      </c>
      <c r="F7012" t="s">
        <v>1068</v>
      </c>
      <c r="G7012" t="s">
        <v>1069</v>
      </c>
      <c r="H7012">
        <v>-3.6832903939051902</v>
      </c>
      <c r="I7012" t="s">
        <v>1070</v>
      </c>
      <c r="J7012">
        <v>7.98</v>
      </c>
    </row>
    <row r="7013" spans="1:13" hidden="1">
      <c r="A7013" t="s">
        <v>4796</v>
      </c>
      <c r="B7013" t="s">
        <v>4797</v>
      </c>
      <c r="C7013" t="s">
        <v>244</v>
      </c>
      <c r="D7013" t="s">
        <v>4798</v>
      </c>
      <c r="E7013" t="s">
        <v>561</v>
      </c>
      <c r="F7013" t="s">
        <v>1068</v>
      </c>
      <c r="G7013" t="s">
        <v>1071</v>
      </c>
      <c r="H7013" s="170">
        <v>-1.9834824068910199E-8</v>
      </c>
      <c r="I7013" t="s">
        <v>1072</v>
      </c>
      <c r="J7013">
        <v>7.98</v>
      </c>
    </row>
    <row r="7014" spans="1:13" hidden="1">
      <c r="A7014" t="s">
        <v>4796</v>
      </c>
      <c r="B7014" t="s">
        <v>4797</v>
      </c>
      <c r="C7014" t="s">
        <v>244</v>
      </c>
      <c r="D7014" t="s">
        <v>4798</v>
      </c>
      <c r="E7014" t="s">
        <v>561</v>
      </c>
      <c r="F7014" t="s">
        <v>1068</v>
      </c>
      <c r="G7014" t="s">
        <v>1073</v>
      </c>
      <c r="H7014" s="170">
        <v>-6.6990256517962003E-7</v>
      </c>
      <c r="I7014" t="s">
        <v>1074</v>
      </c>
      <c r="J7014">
        <v>7.98</v>
      </c>
    </row>
    <row r="7015" spans="1:13" hidden="1">
      <c r="A7015" t="s">
        <v>4796</v>
      </c>
      <c r="B7015" t="s">
        <v>4797</v>
      </c>
      <c r="C7015" t="s">
        <v>244</v>
      </c>
      <c r="D7015" t="s">
        <v>4798</v>
      </c>
      <c r="E7015" t="s">
        <v>561</v>
      </c>
      <c r="F7015" t="s">
        <v>1068</v>
      </c>
      <c r="G7015" t="s">
        <v>1075</v>
      </c>
      <c r="H7015">
        <v>-6.9190853193153601E-2</v>
      </c>
      <c r="I7015" t="s">
        <v>1077</v>
      </c>
      <c r="J7015">
        <v>7.98</v>
      </c>
    </row>
    <row r="7016" spans="1:13">
      <c r="A7016" t="s">
        <v>4796</v>
      </c>
      <c r="B7016" t="s">
        <v>4797</v>
      </c>
      <c r="C7016" t="s">
        <v>244</v>
      </c>
      <c r="D7016" t="s">
        <v>4798</v>
      </c>
      <c r="E7016" t="s">
        <v>561</v>
      </c>
      <c r="F7016" t="s">
        <v>1068</v>
      </c>
      <c r="G7016" t="s">
        <v>1078</v>
      </c>
      <c r="H7016" s="171" t="s">
        <v>4799</v>
      </c>
      <c r="I7016" t="s">
        <v>1079</v>
      </c>
      <c r="J7016">
        <v>7.98</v>
      </c>
      <c r="M7016" t="str">
        <f>_xlfn.TEXTJOIN(" - ",TRUE,A7016,G7016)</f>
        <v>Recycle - Fiber_Other - Australia - Global warming</v>
      </c>
    </row>
    <row r="7017" spans="1:13" hidden="1">
      <c r="A7017" t="s">
        <v>4796</v>
      </c>
      <c r="B7017" t="s">
        <v>4797</v>
      </c>
      <c r="C7017" t="s">
        <v>244</v>
      </c>
      <c r="D7017" t="s">
        <v>4798</v>
      </c>
      <c r="E7017" t="s">
        <v>561</v>
      </c>
      <c r="F7017" t="s">
        <v>1068</v>
      </c>
      <c r="G7017" t="s">
        <v>1080</v>
      </c>
      <c r="H7017" s="170">
        <v>-7.4245751015105597E-9</v>
      </c>
      <c r="I7017" t="s">
        <v>1082</v>
      </c>
      <c r="J7017">
        <v>7.98</v>
      </c>
    </row>
    <row r="7018" spans="1:13" hidden="1">
      <c r="A7018" t="s">
        <v>4796</v>
      </c>
      <c r="B7018" t="s">
        <v>4797</v>
      </c>
      <c r="C7018" t="s">
        <v>244</v>
      </c>
      <c r="D7018" t="s">
        <v>4798</v>
      </c>
      <c r="E7018" t="s">
        <v>561</v>
      </c>
      <c r="F7018" t="s">
        <v>1068</v>
      </c>
      <c r="G7018" t="s">
        <v>1083</v>
      </c>
      <c r="H7018">
        <v>-1.5126242667665499E-4</v>
      </c>
      <c r="I7018" t="s">
        <v>1084</v>
      </c>
      <c r="J7018">
        <v>7.98</v>
      </c>
    </row>
    <row r="7019" spans="1:13" hidden="1">
      <c r="A7019" t="s">
        <v>4796</v>
      </c>
      <c r="B7019" t="s">
        <v>4797</v>
      </c>
      <c r="C7019" t="s">
        <v>244</v>
      </c>
      <c r="D7019" t="s">
        <v>4798</v>
      </c>
      <c r="E7019" t="s">
        <v>561</v>
      </c>
      <c r="F7019" t="s">
        <v>1068</v>
      </c>
      <c r="G7019" t="s">
        <v>1085</v>
      </c>
      <c r="H7019">
        <v>-2.4875523162132302E-3</v>
      </c>
      <c r="I7019" t="s">
        <v>1086</v>
      </c>
      <c r="J7019">
        <v>7.98</v>
      </c>
    </row>
    <row r="7020" spans="1:13" hidden="1">
      <c r="A7020" t="s">
        <v>4796</v>
      </c>
      <c r="B7020" t="s">
        <v>4797</v>
      </c>
      <c r="C7020" t="s">
        <v>244</v>
      </c>
      <c r="D7020" t="s">
        <v>4798</v>
      </c>
      <c r="E7020" t="s">
        <v>561</v>
      </c>
      <c r="F7020" t="s">
        <v>1068</v>
      </c>
      <c r="G7020" t="s">
        <v>1087</v>
      </c>
      <c r="H7020" s="170">
        <v>-7.1117972285023102E-7</v>
      </c>
      <c r="I7020" t="s">
        <v>1088</v>
      </c>
      <c r="J7020">
        <v>7.98</v>
      </c>
    </row>
    <row r="7021" spans="1:13" hidden="1">
      <c r="A7021" t="s">
        <v>4796</v>
      </c>
      <c r="B7021" t="s">
        <v>4797</v>
      </c>
      <c r="C7021" t="s">
        <v>244</v>
      </c>
      <c r="D7021" t="s">
        <v>4798</v>
      </c>
      <c r="E7021" t="s">
        <v>561</v>
      </c>
      <c r="F7021" t="s">
        <v>1068</v>
      </c>
      <c r="G7021" t="s">
        <v>1089</v>
      </c>
      <c r="H7021">
        <v>-6.8636814302678803E-4</v>
      </c>
      <c r="I7021" t="s">
        <v>1090</v>
      </c>
      <c r="J7021">
        <v>7.98</v>
      </c>
    </row>
    <row r="7022" spans="1:13" hidden="1">
      <c r="A7022" t="s">
        <v>4800</v>
      </c>
      <c r="B7022" t="s">
        <v>4801</v>
      </c>
      <c r="C7022" t="s">
        <v>244</v>
      </c>
      <c r="D7022" t="s">
        <v>4798</v>
      </c>
      <c r="E7022" t="s">
        <v>555</v>
      </c>
      <c r="F7022" t="s">
        <v>1068</v>
      </c>
      <c r="G7022" t="s">
        <v>1069</v>
      </c>
      <c r="H7022">
        <v>-3.7619123526144702</v>
      </c>
      <c r="I7022" t="s">
        <v>1070</v>
      </c>
      <c r="J7022">
        <v>7.25</v>
      </c>
    </row>
    <row r="7023" spans="1:13" hidden="1">
      <c r="A7023" t="s">
        <v>4800</v>
      </c>
      <c r="B7023" t="s">
        <v>4801</v>
      </c>
      <c r="C7023" t="s">
        <v>244</v>
      </c>
      <c r="D7023" t="s">
        <v>4798</v>
      </c>
      <c r="E7023" t="s">
        <v>555</v>
      </c>
      <c r="F7023" t="s">
        <v>1068</v>
      </c>
      <c r="G7023" t="s">
        <v>1071</v>
      </c>
      <c r="H7023" s="170">
        <v>-1.9947332986296099E-8</v>
      </c>
      <c r="I7023" t="s">
        <v>1072</v>
      </c>
      <c r="J7023">
        <v>7.25</v>
      </c>
    </row>
    <row r="7024" spans="1:13" hidden="1">
      <c r="A7024" t="s">
        <v>4800</v>
      </c>
      <c r="B7024" t="s">
        <v>4801</v>
      </c>
      <c r="C7024" t="s">
        <v>244</v>
      </c>
      <c r="D7024" t="s">
        <v>4798</v>
      </c>
      <c r="E7024" t="s">
        <v>555</v>
      </c>
      <c r="F7024" t="s">
        <v>1068</v>
      </c>
      <c r="G7024" t="s">
        <v>1073</v>
      </c>
      <c r="H7024" s="170">
        <v>-6.9782933368818199E-7</v>
      </c>
      <c r="I7024" t="s">
        <v>1074</v>
      </c>
      <c r="J7024">
        <v>7.25</v>
      </c>
    </row>
    <row r="7025" spans="1:13" hidden="1">
      <c r="A7025" t="s">
        <v>4800</v>
      </c>
      <c r="B7025" t="s">
        <v>4801</v>
      </c>
      <c r="C7025" t="s">
        <v>244</v>
      </c>
      <c r="D7025" t="s">
        <v>4798</v>
      </c>
      <c r="E7025" t="s">
        <v>555</v>
      </c>
      <c r="F7025" t="s">
        <v>1068</v>
      </c>
      <c r="G7025" t="s">
        <v>1075</v>
      </c>
      <c r="H7025">
        <v>-7.1676177297392493E-2</v>
      </c>
      <c r="I7025" t="s">
        <v>1077</v>
      </c>
      <c r="J7025">
        <v>7.25</v>
      </c>
    </row>
    <row r="7026" spans="1:13">
      <c r="A7026" t="s">
        <v>4800</v>
      </c>
      <c r="B7026" t="s">
        <v>4801</v>
      </c>
      <c r="C7026" t="s">
        <v>244</v>
      </c>
      <c r="D7026" t="s">
        <v>4798</v>
      </c>
      <c r="E7026" t="s">
        <v>555</v>
      </c>
      <c r="F7026" t="s">
        <v>1068</v>
      </c>
      <c r="G7026" t="s">
        <v>1078</v>
      </c>
      <c r="H7026" s="171" t="s">
        <v>4802</v>
      </c>
      <c r="I7026" t="s">
        <v>1079</v>
      </c>
      <c r="J7026">
        <v>7.25</v>
      </c>
      <c r="M7026" t="str">
        <f>_xlfn.TEXTJOIN(" - ",TRUE,A7026,G7026)</f>
        <v>Recycle - Fiber_Other - Brazil - Global warming</v>
      </c>
    </row>
    <row r="7027" spans="1:13" hidden="1">
      <c r="A7027" t="s">
        <v>4800</v>
      </c>
      <c r="B7027" t="s">
        <v>4801</v>
      </c>
      <c r="C7027" t="s">
        <v>244</v>
      </c>
      <c r="D7027" t="s">
        <v>4798</v>
      </c>
      <c r="E7027" t="s">
        <v>555</v>
      </c>
      <c r="F7027" t="s">
        <v>1068</v>
      </c>
      <c r="G7027" t="s">
        <v>1080</v>
      </c>
      <c r="H7027" s="170">
        <v>-7.8616063498980605E-9</v>
      </c>
      <c r="I7027" t="s">
        <v>1082</v>
      </c>
      <c r="J7027">
        <v>7.25</v>
      </c>
    </row>
    <row r="7028" spans="1:13" hidden="1">
      <c r="A7028" t="s">
        <v>4800</v>
      </c>
      <c r="B7028" t="s">
        <v>4801</v>
      </c>
      <c r="C7028" t="s">
        <v>244</v>
      </c>
      <c r="D7028" t="s">
        <v>4798</v>
      </c>
      <c r="E7028" t="s">
        <v>555</v>
      </c>
      <c r="F7028" t="s">
        <v>1068</v>
      </c>
      <c r="G7028" t="s">
        <v>1083</v>
      </c>
      <c r="H7028">
        <v>-1.6321301530499799E-4</v>
      </c>
      <c r="I7028" t="s">
        <v>1084</v>
      </c>
      <c r="J7028">
        <v>7.25</v>
      </c>
    </row>
    <row r="7029" spans="1:13" hidden="1">
      <c r="A7029" t="s">
        <v>4800</v>
      </c>
      <c r="B7029" t="s">
        <v>4801</v>
      </c>
      <c r="C7029" t="s">
        <v>244</v>
      </c>
      <c r="D7029" t="s">
        <v>4798</v>
      </c>
      <c r="E7029" t="s">
        <v>555</v>
      </c>
      <c r="F7029" t="s">
        <v>1068</v>
      </c>
      <c r="G7029" t="s">
        <v>1085</v>
      </c>
      <c r="H7029">
        <v>-2.6226182223073801E-3</v>
      </c>
      <c r="I7029" t="s">
        <v>1086</v>
      </c>
      <c r="J7029">
        <v>7.25</v>
      </c>
    </row>
    <row r="7030" spans="1:13" hidden="1">
      <c r="A7030" t="s">
        <v>4800</v>
      </c>
      <c r="B7030" t="s">
        <v>4801</v>
      </c>
      <c r="C7030" t="s">
        <v>244</v>
      </c>
      <c r="D7030" t="s">
        <v>4798</v>
      </c>
      <c r="E7030" t="s">
        <v>555</v>
      </c>
      <c r="F7030" t="s">
        <v>1068</v>
      </c>
      <c r="G7030" t="s">
        <v>1087</v>
      </c>
      <c r="H7030" s="170">
        <v>-7.7636314584420801E-7</v>
      </c>
      <c r="I7030" t="s">
        <v>1088</v>
      </c>
      <c r="J7030">
        <v>7.25</v>
      </c>
    </row>
    <row r="7031" spans="1:13" hidden="1">
      <c r="A7031" t="s">
        <v>4800</v>
      </c>
      <c r="B7031" t="s">
        <v>4801</v>
      </c>
      <c r="C7031" t="s">
        <v>244</v>
      </c>
      <c r="D7031" t="s">
        <v>4798</v>
      </c>
      <c r="E7031" t="s">
        <v>555</v>
      </c>
      <c r="F7031" t="s">
        <v>1068</v>
      </c>
      <c r="G7031" t="s">
        <v>1089</v>
      </c>
      <c r="H7031">
        <v>-7.1423197273449502E-4</v>
      </c>
      <c r="I7031" t="s">
        <v>1090</v>
      </c>
      <c r="J7031">
        <v>7.25</v>
      </c>
    </row>
    <row r="7032" spans="1:13" hidden="1">
      <c r="A7032" t="s">
        <v>4803</v>
      </c>
      <c r="B7032" t="s">
        <v>4804</v>
      </c>
      <c r="C7032" t="s">
        <v>244</v>
      </c>
      <c r="D7032" t="s">
        <v>4798</v>
      </c>
      <c r="E7032" t="s">
        <v>558</v>
      </c>
      <c r="F7032" t="s">
        <v>1068</v>
      </c>
      <c r="G7032" t="s">
        <v>1069</v>
      </c>
      <c r="H7032">
        <v>-3.6763290746444701</v>
      </c>
      <c r="I7032" t="s">
        <v>1070</v>
      </c>
      <c r="J7032">
        <v>8.1999999999999993</v>
      </c>
    </row>
    <row r="7033" spans="1:13" hidden="1">
      <c r="A7033" t="s">
        <v>4803</v>
      </c>
      <c r="B7033" t="s">
        <v>4804</v>
      </c>
      <c r="C7033" t="s">
        <v>244</v>
      </c>
      <c r="D7033" t="s">
        <v>4798</v>
      </c>
      <c r="E7033" t="s">
        <v>558</v>
      </c>
      <c r="F7033" t="s">
        <v>1068</v>
      </c>
      <c r="G7033" t="s">
        <v>1071</v>
      </c>
      <c r="H7033" s="170">
        <v>-1.982486234185E-8</v>
      </c>
      <c r="I7033" t="s">
        <v>1072</v>
      </c>
      <c r="J7033">
        <v>8.1999999999999993</v>
      </c>
    </row>
    <row r="7034" spans="1:13" hidden="1">
      <c r="A7034" t="s">
        <v>4803</v>
      </c>
      <c r="B7034" t="s">
        <v>4804</v>
      </c>
      <c r="C7034" t="s">
        <v>244</v>
      </c>
      <c r="D7034" t="s">
        <v>4798</v>
      </c>
      <c r="E7034" t="s">
        <v>558</v>
      </c>
      <c r="F7034" t="s">
        <v>1068</v>
      </c>
      <c r="G7034" t="s">
        <v>1073</v>
      </c>
      <c r="H7034" s="170">
        <v>-6.6742988255125702E-7</v>
      </c>
      <c r="I7034" t="s">
        <v>1074</v>
      </c>
      <c r="J7034">
        <v>8.1999999999999993</v>
      </c>
    </row>
    <row r="7035" spans="1:13" hidden="1">
      <c r="A7035" t="s">
        <v>4803</v>
      </c>
      <c r="B7035" t="s">
        <v>4804</v>
      </c>
      <c r="C7035" t="s">
        <v>244</v>
      </c>
      <c r="D7035" t="s">
        <v>4798</v>
      </c>
      <c r="E7035" t="s">
        <v>558</v>
      </c>
      <c r="F7035" t="s">
        <v>1068</v>
      </c>
      <c r="G7035" t="s">
        <v>1075</v>
      </c>
      <c r="H7035">
        <v>-6.8970798454757398E-2</v>
      </c>
      <c r="I7035" t="s">
        <v>1077</v>
      </c>
      <c r="J7035">
        <v>8.1999999999999993</v>
      </c>
    </row>
    <row r="7036" spans="1:13">
      <c r="A7036" t="s">
        <v>4803</v>
      </c>
      <c r="B7036" t="s">
        <v>4804</v>
      </c>
      <c r="C7036" t="s">
        <v>244</v>
      </c>
      <c r="D7036" t="s">
        <v>4798</v>
      </c>
      <c r="E7036" t="s">
        <v>558</v>
      </c>
      <c r="F7036" t="s">
        <v>1068</v>
      </c>
      <c r="G7036" t="s">
        <v>1078</v>
      </c>
      <c r="H7036" s="171" t="s">
        <v>4805</v>
      </c>
      <c r="I7036" t="s">
        <v>1079</v>
      </c>
      <c r="J7036">
        <v>8.1999999999999993</v>
      </c>
      <c r="M7036" t="str">
        <f>_xlfn.TEXTJOIN(" - ",TRUE,A7036,G7036)</f>
        <v>Recycle - Fiber_Other - Canada - Global warming</v>
      </c>
    </row>
    <row r="7037" spans="1:13" hidden="1">
      <c r="A7037" t="s">
        <v>4803</v>
      </c>
      <c r="B7037" t="s">
        <v>4804</v>
      </c>
      <c r="C7037" t="s">
        <v>244</v>
      </c>
      <c r="D7037" t="s">
        <v>4798</v>
      </c>
      <c r="E7037" t="s">
        <v>558</v>
      </c>
      <c r="F7037" t="s">
        <v>1068</v>
      </c>
      <c r="G7037" t="s">
        <v>1080</v>
      </c>
      <c r="H7037" s="170">
        <v>-7.3858796263929101E-9</v>
      </c>
      <c r="I7037" t="s">
        <v>1082</v>
      </c>
      <c r="J7037">
        <v>8.1999999999999993</v>
      </c>
    </row>
    <row r="7038" spans="1:13" hidden="1">
      <c r="A7038" t="s">
        <v>4803</v>
      </c>
      <c r="B7038" t="s">
        <v>4804</v>
      </c>
      <c r="C7038" t="s">
        <v>244</v>
      </c>
      <c r="D7038" t="s">
        <v>4798</v>
      </c>
      <c r="E7038" t="s">
        <v>558</v>
      </c>
      <c r="F7038" t="s">
        <v>1068</v>
      </c>
      <c r="G7038" t="s">
        <v>1083</v>
      </c>
      <c r="H7038">
        <v>-1.5020430164185299E-4</v>
      </c>
      <c r="I7038" t="s">
        <v>1084</v>
      </c>
      <c r="J7038">
        <v>8.1999999999999993</v>
      </c>
    </row>
    <row r="7039" spans="1:13" hidden="1">
      <c r="A7039" t="s">
        <v>4803</v>
      </c>
      <c r="B7039" t="s">
        <v>4804</v>
      </c>
      <c r="C7039" t="s">
        <v>244</v>
      </c>
      <c r="D7039" t="s">
        <v>4798</v>
      </c>
      <c r="E7039" t="s">
        <v>558</v>
      </c>
      <c r="F7039" t="s">
        <v>1068</v>
      </c>
      <c r="G7039" t="s">
        <v>1085</v>
      </c>
      <c r="H7039">
        <v>-2.4755933557778099E-3</v>
      </c>
      <c r="I7039" t="s">
        <v>1086</v>
      </c>
      <c r="J7039">
        <v>8.1999999999999993</v>
      </c>
    </row>
    <row r="7040" spans="1:13" hidden="1">
      <c r="A7040" t="s">
        <v>4803</v>
      </c>
      <c r="B7040" t="s">
        <v>4804</v>
      </c>
      <c r="C7040" t="s">
        <v>244</v>
      </c>
      <c r="D7040" t="s">
        <v>4798</v>
      </c>
      <c r="E7040" t="s">
        <v>558</v>
      </c>
      <c r="F7040" t="s">
        <v>1068</v>
      </c>
      <c r="G7040" t="s">
        <v>1087</v>
      </c>
      <c r="H7040" s="170">
        <v>-7.0540827393930596E-7</v>
      </c>
      <c r="I7040" t="s">
        <v>1088</v>
      </c>
      <c r="J7040">
        <v>8.1999999999999993</v>
      </c>
    </row>
    <row r="7041" spans="1:13" hidden="1">
      <c r="A7041" t="s">
        <v>4803</v>
      </c>
      <c r="B7041" t="s">
        <v>4804</v>
      </c>
      <c r="C7041" t="s">
        <v>244</v>
      </c>
      <c r="D7041" t="s">
        <v>4798</v>
      </c>
      <c r="E7041" t="s">
        <v>558</v>
      </c>
      <c r="F7041" t="s">
        <v>1068</v>
      </c>
      <c r="G7041" t="s">
        <v>1089</v>
      </c>
      <c r="H7041">
        <v>-6.8390103310475103E-4</v>
      </c>
      <c r="I7041" t="s">
        <v>1090</v>
      </c>
      <c r="J7041">
        <v>8.1999999999999993</v>
      </c>
    </row>
    <row r="7042" spans="1:13" hidden="1">
      <c r="A7042" t="s">
        <v>4806</v>
      </c>
      <c r="B7042" t="s">
        <v>4807</v>
      </c>
      <c r="C7042" t="s">
        <v>244</v>
      </c>
      <c r="D7042" t="s">
        <v>4798</v>
      </c>
      <c r="E7042" t="s">
        <v>553</v>
      </c>
      <c r="F7042" t="s">
        <v>1068</v>
      </c>
      <c r="G7042" t="s">
        <v>1069</v>
      </c>
      <c r="H7042">
        <v>-3.6695112877396401</v>
      </c>
      <c r="I7042" t="s">
        <v>1070</v>
      </c>
      <c r="J7042">
        <v>7.46</v>
      </c>
    </row>
    <row r="7043" spans="1:13" hidden="1">
      <c r="A7043" t="s">
        <v>4806</v>
      </c>
      <c r="B7043" t="s">
        <v>4807</v>
      </c>
      <c r="C7043" t="s">
        <v>244</v>
      </c>
      <c r="D7043" t="s">
        <v>4798</v>
      </c>
      <c r="E7043" t="s">
        <v>553</v>
      </c>
      <c r="F7043" t="s">
        <v>1068</v>
      </c>
      <c r="G7043" t="s">
        <v>1071</v>
      </c>
      <c r="H7043" s="170">
        <v>-1.9815106011224E-8</v>
      </c>
      <c r="I7043" t="s">
        <v>1072</v>
      </c>
      <c r="J7043">
        <v>7.46</v>
      </c>
    </row>
    <row r="7044" spans="1:13" hidden="1">
      <c r="A7044" t="s">
        <v>4806</v>
      </c>
      <c r="B7044" t="s">
        <v>4807</v>
      </c>
      <c r="C7044" t="s">
        <v>244</v>
      </c>
      <c r="D7044" t="s">
        <v>4798</v>
      </c>
      <c r="E7044" t="s">
        <v>553</v>
      </c>
      <c r="F7044" t="s">
        <v>1068</v>
      </c>
      <c r="G7044" t="s">
        <v>1073</v>
      </c>
      <c r="H7044" s="170">
        <v>-6.6500818306987103E-7</v>
      </c>
      <c r="I7044" t="s">
        <v>1074</v>
      </c>
      <c r="J7044">
        <v>7.46</v>
      </c>
    </row>
    <row r="7045" spans="1:13" hidden="1">
      <c r="A7045" t="s">
        <v>4806</v>
      </c>
      <c r="B7045" t="s">
        <v>4807</v>
      </c>
      <c r="C7045" t="s">
        <v>244</v>
      </c>
      <c r="D7045" t="s">
        <v>4798</v>
      </c>
      <c r="E7045" t="s">
        <v>553</v>
      </c>
      <c r="F7045" t="s">
        <v>1068</v>
      </c>
      <c r="G7045" t="s">
        <v>1075</v>
      </c>
      <c r="H7045">
        <v>-6.8755280927462303E-2</v>
      </c>
      <c r="I7045" t="s">
        <v>1077</v>
      </c>
      <c r="J7045">
        <v>7.46</v>
      </c>
    </row>
    <row r="7046" spans="1:13">
      <c r="A7046" t="s">
        <v>4806</v>
      </c>
      <c r="B7046" t="s">
        <v>4807</v>
      </c>
      <c r="C7046" t="s">
        <v>244</v>
      </c>
      <c r="D7046" t="s">
        <v>4798</v>
      </c>
      <c r="E7046" t="s">
        <v>553</v>
      </c>
      <c r="F7046" t="s">
        <v>1068</v>
      </c>
      <c r="G7046" t="s">
        <v>1078</v>
      </c>
      <c r="H7046" s="171" t="s">
        <v>4808</v>
      </c>
      <c r="I7046" t="s">
        <v>1079</v>
      </c>
      <c r="J7046">
        <v>7.46</v>
      </c>
      <c r="M7046" t="str">
        <f>_xlfn.TEXTJOIN(" - ",TRUE,A7046,G7046)</f>
        <v>Recycle - Fiber_Other - China - Global warming</v>
      </c>
    </row>
    <row r="7047" spans="1:13" hidden="1">
      <c r="A7047" t="s">
        <v>4806</v>
      </c>
      <c r="B7047" t="s">
        <v>4807</v>
      </c>
      <c r="C7047" t="s">
        <v>244</v>
      </c>
      <c r="D7047" t="s">
        <v>4798</v>
      </c>
      <c r="E7047" t="s">
        <v>553</v>
      </c>
      <c r="F7047" t="s">
        <v>1068</v>
      </c>
      <c r="G7047" t="s">
        <v>1080</v>
      </c>
      <c r="H7047" s="170">
        <v>-7.34798199612303E-9</v>
      </c>
      <c r="I7047" t="s">
        <v>1082</v>
      </c>
      <c r="J7047">
        <v>7.46</v>
      </c>
    </row>
    <row r="7048" spans="1:13" hidden="1">
      <c r="A7048" t="s">
        <v>4806</v>
      </c>
      <c r="B7048" t="s">
        <v>4807</v>
      </c>
      <c r="C7048" t="s">
        <v>244</v>
      </c>
      <c r="D7048" t="s">
        <v>4798</v>
      </c>
      <c r="E7048" t="s">
        <v>553</v>
      </c>
      <c r="F7048" t="s">
        <v>1068</v>
      </c>
      <c r="G7048" t="s">
        <v>1083</v>
      </c>
      <c r="H7048">
        <v>-1.49167993618079E-4</v>
      </c>
      <c r="I7048" t="s">
        <v>1084</v>
      </c>
      <c r="J7048">
        <v>7.46</v>
      </c>
    </row>
    <row r="7049" spans="1:13" hidden="1">
      <c r="A7049" t="s">
        <v>4806</v>
      </c>
      <c r="B7049" t="s">
        <v>4807</v>
      </c>
      <c r="C7049" t="s">
        <v>244</v>
      </c>
      <c r="D7049" t="s">
        <v>4798</v>
      </c>
      <c r="E7049" t="s">
        <v>553</v>
      </c>
      <c r="F7049" t="s">
        <v>1068</v>
      </c>
      <c r="G7049" t="s">
        <v>1085</v>
      </c>
      <c r="H7049">
        <v>-2.4638809718462102E-3</v>
      </c>
      <c r="I7049" t="s">
        <v>1086</v>
      </c>
      <c r="J7049">
        <v>7.46</v>
      </c>
    </row>
    <row r="7050" spans="1:13" hidden="1">
      <c r="A7050" t="s">
        <v>4806</v>
      </c>
      <c r="B7050" t="s">
        <v>4807</v>
      </c>
      <c r="C7050" t="s">
        <v>244</v>
      </c>
      <c r="D7050" t="s">
        <v>4798</v>
      </c>
      <c r="E7050" t="s">
        <v>553</v>
      </c>
      <c r="F7050" t="s">
        <v>1068</v>
      </c>
      <c r="G7050" t="s">
        <v>1087</v>
      </c>
      <c r="H7050" s="170">
        <v>-6.9975582397499803E-7</v>
      </c>
      <c r="I7050" t="s">
        <v>1088</v>
      </c>
      <c r="J7050">
        <v>7.46</v>
      </c>
    </row>
    <row r="7051" spans="1:13" hidden="1">
      <c r="A7051" t="s">
        <v>4806</v>
      </c>
      <c r="B7051" t="s">
        <v>4807</v>
      </c>
      <c r="C7051" t="s">
        <v>244</v>
      </c>
      <c r="D7051" t="s">
        <v>4798</v>
      </c>
      <c r="E7051" t="s">
        <v>553</v>
      </c>
      <c r="F7051" t="s">
        <v>1068</v>
      </c>
      <c r="G7051" t="s">
        <v>1089</v>
      </c>
      <c r="H7051">
        <v>-6.81484791428531E-4</v>
      </c>
      <c r="I7051" t="s">
        <v>1090</v>
      </c>
      <c r="J7051">
        <v>7.46</v>
      </c>
    </row>
    <row r="7052" spans="1:13" hidden="1">
      <c r="A7052" t="s">
        <v>4809</v>
      </c>
      <c r="B7052" t="s">
        <v>4810</v>
      </c>
      <c r="C7052" t="s">
        <v>244</v>
      </c>
      <c r="D7052" t="s">
        <v>4798</v>
      </c>
      <c r="E7052" t="s">
        <v>556</v>
      </c>
      <c r="F7052" t="s">
        <v>1068</v>
      </c>
      <c r="G7052" t="s">
        <v>1069</v>
      </c>
      <c r="H7052">
        <v>-3.7532273688035702</v>
      </c>
      <c r="I7052" t="s">
        <v>1070</v>
      </c>
      <c r="J7052">
        <v>9</v>
      </c>
    </row>
    <row r="7053" spans="1:13" hidden="1">
      <c r="A7053" t="s">
        <v>4809</v>
      </c>
      <c r="B7053" t="s">
        <v>4810</v>
      </c>
      <c r="C7053" t="s">
        <v>244</v>
      </c>
      <c r="D7053" t="s">
        <v>4798</v>
      </c>
      <c r="E7053" t="s">
        <v>556</v>
      </c>
      <c r="F7053" t="s">
        <v>1068</v>
      </c>
      <c r="G7053" t="s">
        <v>1071</v>
      </c>
      <c r="H7053" s="170">
        <v>-1.9934904675654699E-8</v>
      </c>
      <c r="I7053" t="s">
        <v>1072</v>
      </c>
      <c r="J7053">
        <v>9</v>
      </c>
    </row>
    <row r="7054" spans="1:13" hidden="1">
      <c r="A7054" t="s">
        <v>4809</v>
      </c>
      <c r="B7054" t="s">
        <v>4810</v>
      </c>
      <c r="C7054" t="s">
        <v>244</v>
      </c>
      <c r="D7054" t="s">
        <v>4798</v>
      </c>
      <c r="E7054" t="s">
        <v>556</v>
      </c>
      <c r="F7054" t="s">
        <v>1068</v>
      </c>
      <c r="G7054" t="s">
        <v>1073</v>
      </c>
      <c r="H7054" s="170">
        <v>-6.9474439995758505E-7</v>
      </c>
      <c r="I7054" t="s">
        <v>1074</v>
      </c>
      <c r="J7054">
        <v>9</v>
      </c>
    </row>
    <row r="7055" spans="1:13" hidden="1">
      <c r="A7055" t="s">
        <v>4809</v>
      </c>
      <c r="B7055" t="s">
        <v>4810</v>
      </c>
      <c r="C7055" t="s">
        <v>244</v>
      </c>
      <c r="D7055" t="s">
        <v>4798</v>
      </c>
      <c r="E7055" t="s">
        <v>556</v>
      </c>
      <c r="F7055" t="s">
        <v>1068</v>
      </c>
      <c r="G7055" t="s">
        <v>1075</v>
      </c>
      <c r="H7055">
        <v>-7.1401635681226594E-2</v>
      </c>
      <c r="I7055" t="s">
        <v>1077</v>
      </c>
      <c r="J7055">
        <v>9</v>
      </c>
    </row>
    <row r="7056" spans="1:13">
      <c r="A7056" t="s">
        <v>4809</v>
      </c>
      <c r="B7056" t="s">
        <v>4810</v>
      </c>
      <c r="C7056" t="s">
        <v>244</v>
      </c>
      <c r="D7056" t="s">
        <v>4798</v>
      </c>
      <c r="E7056" t="s">
        <v>556</v>
      </c>
      <c r="F7056" t="s">
        <v>1068</v>
      </c>
      <c r="G7056" t="s">
        <v>1078</v>
      </c>
      <c r="H7056" s="171" t="s">
        <v>4811</v>
      </c>
      <c r="I7056" t="s">
        <v>1079</v>
      </c>
      <c r="J7056">
        <v>9</v>
      </c>
      <c r="M7056" t="str">
        <f>_xlfn.TEXTJOIN(" - ",TRUE,A7056,G7056)</f>
        <v>Recycle - Fiber_Other - India - Global warming</v>
      </c>
    </row>
    <row r="7057" spans="1:13" hidden="1">
      <c r="A7057" t="s">
        <v>4809</v>
      </c>
      <c r="B7057" t="s">
        <v>4810</v>
      </c>
      <c r="C7057" t="s">
        <v>244</v>
      </c>
      <c r="D7057" t="s">
        <v>4798</v>
      </c>
      <c r="E7057" t="s">
        <v>556</v>
      </c>
      <c r="F7057" t="s">
        <v>1068</v>
      </c>
      <c r="G7057" t="s">
        <v>1080</v>
      </c>
      <c r="H7057" s="170">
        <v>-7.8133296422273496E-9</v>
      </c>
      <c r="I7057" t="s">
        <v>1082</v>
      </c>
      <c r="J7057">
        <v>9</v>
      </c>
    </row>
    <row r="7058" spans="1:13" hidden="1">
      <c r="A7058" t="s">
        <v>4809</v>
      </c>
      <c r="B7058" t="s">
        <v>4810</v>
      </c>
      <c r="C7058" t="s">
        <v>244</v>
      </c>
      <c r="D7058" t="s">
        <v>4798</v>
      </c>
      <c r="E7058" t="s">
        <v>556</v>
      </c>
      <c r="F7058" t="s">
        <v>1068</v>
      </c>
      <c r="G7058" t="s">
        <v>1083</v>
      </c>
      <c r="H7058">
        <v>-1.61892892142565E-4</v>
      </c>
      <c r="I7058" t="s">
        <v>1084</v>
      </c>
      <c r="J7058">
        <v>9</v>
      </c>
    </row>
    <row r="7059" spans="1:13" hidden="1">
      <c r="A7059" t="s">
        <v>4809</v>
      </c>
      <c r="B7059" t="s">
        <v>4810</v>
      </c>
      <c r="C7059" t="s">
        <v>244</v>
      </c>
      <c r="D7059" t="s">
        <v>4798</v>
      </c>
      <c r="E7059" t="s">
        <v>556</v>
      </c>
      <c r="F7059" t="s">
        <v>1068</v>
      </c>
      <c r="G7059" t="s">
        <v>1085</v>
      </c>
      <c r="H7059">
        <v>-2.60769815128535E-3</v>
      </c>
      <c r="I7059" t="s">
        <v>1086</v>
      </c>
      <c r="J7059">
        <v>9</v>
      </c>
    </row>
    <row r="7060" spans="1:13" hidden="1">
      <c r="A7060" t="s">
        <v>4809</v>
      </c>
      <c r="B7060" t="s">
        <v>4810</v>
      </c>
      <c r="C7060" t="s">
        <v>244</v>
      </c>
      <c r="D7060" t="s">
        <v>4798</v>
      </c>
      <c r="E7060" t="s">
        <v>556</v>
      </c>
      <c r="F7060" t="s">
        <v>1068</v>
      </c>
      <c r="G7060" t="s">
        <v>1087</v>
      </c>
      <c r="H7060" s="170">
        <v>-7.6916265144371103E-7</v>
      </c>
      <c r="I7060" t="s">
        <v>1088</v>
      </c>
      <c r="J7060">
        <v>9</v>
      </c>
    </row>
    <row r="7061" spans="1:13" hidden="1">
      <c r="A7061" t="s">
        <v>4809</v>
      </c>
      <c r="B7061" t="s">
        <v>4810</v>
      </c>
      <c r="C7061" t="s">
        <v>244</v>
      </c>
      <c r="D7061" t="s">
        <v>4798</v>
      </c>
      <c r="E7061" t="s">
        <v>556</v>
      </c>
      <c r="F7061" t="s">
        <v>1068</v>
      </c>
      <c r="G7061" t="s">
        <v>1089</v>
      </c>
      <c r="H7061">
        <v>-7.1115399154585298E-4</v>
      </c>
      <c r="I7061" t="s">
        <v>1090</v>
      </c>
      <c r="J7061">
        <v>9</v>
      </c>
    </row>
    <row r="7062" spans="1:13" hidden="1">
      <c r="A7062" t="s">
        <v>4812</v>
      </c>
      <c r="B7062" t="s">
        <v>4813</v>
      </c>
      <c r="C7062" t="s">
        <v>244</v>
      </c>
      <c r="D7062" t="s">
        <v>4798</v>
      </c>
      <c r="E7062" t="s">
        <v>557</v>
      </c>
      <c r="F7062" t="s">
        <v>1068</v>
      </c>
      <c r="G7062" t="s">
        <v>1069</v>
      </c>
      <c r="H7062">
        <v>-3.70508234985178</v>
      </c>
      <c r="I7062" t="s">
        <v>1070</v>
      </c>
      <c r="J7062">
        <v>7.39</v>
      </c>
    </row>
    <row r="7063" spans="1:13" hidden="1">
      <c r="A7063" t="s">
        <v>4812</v>
      </c>
      <c r="B7063" t="s">
        <v>4813</v>
      </c>
      <c r="C7063" t="s">
        <v>244</v>
      </c>
      <c r="D7063" t="s">
        <v>4798</v>
      </c>
      <c r="E7063" t="s">
        <v>557</v>
      </c>
      <c r="F7063" t="s">
        <v>1068</v>
      </c>
      <c r="G7063" t="s">
        <v>1071</v>
      </c>
      <c r="H7063" s="170">
        <v>-1.9866008605794301E-8</v>
      </c>
      <c r="I7063" t="s">
        <v>1072</v>
      </c>
      <c r="J7063">
        <v>7.39</v>
      </c>
    </row>
    <row r="7064" spans="1:13" hidden="1">
      <c r="A7064" t="s">
        <v>4812</v>
      </c>
      <c r="B7064" t="s">
        <v>4813</v>
      </c>
      <c r="C7064" t="s">
        <v>244</v>
      </c>
      <c r="D7064" t="s">
        <v>4798</v>
      </c>
      <c r="E7064" t="s">
        <v>557</v>
      </c>
      <c r="F7064" t="s">
        <v>1068</v>
      </c>
      <c r="G7064" t="s">
        <v>1073</v>
      </c>
      <c r="H7064" s="170">
        <v>-6.7764313688579801E-7</v>
      </c>
      <c r="I7064" t="s">
        <v>1074</v>
      </c>
      <c r="J7064">
        <v>7.39</v>
      </c>
    </row>
    <row r="7065" spans="1:13" hidden="1">
      <c r="A7065" t="s">
        <v>4812</v>
      </c>
      <c r="B7065" t="s">
        <v>4813</v>
      </c>
      <c r="C7065" t="s">
        <v>244</v>
      </c>
      <c r="D7065" t="s">
        <v>4798</v>
      </c>
      <c r="E7065" t="s">
        <v>557</v>
      </c>
      <c r="F7065" t="s">
        <v>1068</v>
      </c>
      <c r="G7065" t="s">
        <v>1075</v>
      </c>
      <c r="H7065">
        <v>-6.9879720200306805E-2</v>
      </c>
      <c r="I7065" t="s">
        <v>1077</v>
      </c>
      <c r="J7065">
        <v>7.39</v>
      </c>
    </row>
    <row r="7066" spans="1:13">
      <c r="A7066" t="s">
        <v>4812</v>
      </c>
      <c r="B7066" t="s">
        <v>4813</v>
      </c>
      <c r="C7066" t="s">
        <v>244</v>
      </c>
      <c r="D7066" t="s">
        <v>4798</v>
      </c>
      <c r="E7066" t="s">
        <v>557</v>
      </c>
      <c r="F7066" t="s">
        <v>1068</v>
      </c>
      <c r="G7066" t="s">
        <v>1078</v>
      </c>
      <c r="H7066" s="171" t="s">
        <v>4814</v>
      </c>
      <c r="I7066" t="s">
        <v>1079</v>
      </c>
      <c r="J7066">
        <v>7.39</v>
      </c>
      <c r="M7066" t="str">
        <f>_xlfn.TEXTJOIN(" - ",TRUE,A7066,G7066)</f>
        <v>Recycle - Fiber_Other - Ireland - Global warming</v>
      </c>
    </row>
    <row r="7067" spans="1:13" hidden="1">
      <c r="A7067" t="s">
        <v>4812</v>
      </c>
      <c r="B7067" t="s">
        <v>4813</v>
      </c>
      <c r="C7067" t="s">
        <v>244</v>
      </c>
      <c r="D7067" t="s">
        <v>4798</v>
      </c>
      <c r="E7067" t="s">
        <v>557</v>
      </c>
      <c r="F7067" t="s">
        <v>1068</v>
      </c>
      <c r="G7067" t="s">
        <v>1080</v>
      </c>
      <c r="H7067" s="170">
        <v>-7.5457087627484092E-9</v>
      </c>
      <c r="I7067" t="s">
        <v>1082</v>
      </c>
      <c r="J7067">
        <v>7.39</v>
      </c>
    </row>
    <row r="7068" spans="1:13" hidden="1">
      <c r="A7068" t="s">
        <v>4812</v>
      </c>
      <c r="B7068" t="s">
        <v>4813</v>
      </c>
      <c r="C7068" t="s">
        <v>244</v>
      </c>
      <c r="D7068" t="s">
        <v>4798</v>
      </c>
      <c r="E7068" t="s">
        <v>557</v>
      </c>
      <c r="F7068" t="s">
        <v>1068</v>
      </c>
      <c r="G7068" t="s">
        <v>1083</v>
      </c>
      <c r="H7068">
        <v>-1.5457481808994601E-4</v>
      </c>
      <c r="I7068" t="s">
        <v>1084</v>
      </c>
      <c r="J7068">
        <v>7.39</v>
      </c>
    </row>
    <row r="7069" spans="1:13" hidden="1">
      <c r="A7069" t="s">
        <v>4812</v>
      </c>
      <c r="B7069" t="s">
        <v>4813</v>
      </c>
      <c r="C7069" t="s">
        <v>244</v>
      </c>
      <c r="D7069" t="s">
        <v>4798</v>
      </c>
      <c r="E7069" t="s">
        <v>557</v>
      </c>
      <c r="F7069" t="s">
        <v>1068</v>
      </c>
      <c r="G7069" t="s">
        <v>1085</v>
      </c>
      <c r="H7069">
        <v>-2.52498906192411E-3</v>
      </c>
      <c r="I7069" t="s">
        <v>1086</v>
      </c>
      <c r="J7069">
        <v>7.39</v>
      </c>
    </row>
    <row r="7070" spans="1:13" hidden="1">
      <c r="A7070" t="s">
        <v>4812</v>
      </c>
      <c r="B7070" t="s">
        <v>4813</v>
      </c>
      <c r="C7070" t="s">
        <v>244</v>
      </c>
      <c r="D7070" t="s">
        <v>4798</v>
      </c>
      <c r="E7070" t="s">
        <v>557</v>
      </c>
      <c r="F7070" t="s">
        <v>1068</v>
      </c>
      <c r="G7070" t="s">
        <v>1087</v>
      </c>
      <c r="H7070" s="170">
        <v>-7.2924686726703996E-7</v>
      </c>
      <c r="I7070" t="s">
        <v>1088</v>
      </c>
      <c r="J7070">
        <v>7.39</v>
      </c>
    </row>
    <row r="7071" spans="1:13" hidden="1">
      <c r="A7071" t="s">
        <v>4812</v>
      </c>
      <c r="B7071" t="s">
        <v>4813</v>
      </c>
      <c r="C7071" t="s">
        <v>244</v>
      </c>
      <c r="D7071" t="s">
        <v>4798</v>
      </c>
      <c r="E7071" t="s">
        <v>557</v>
      </c>
      <c r="F7071" t="s">
        <v>1068</v>
      </c>
      <c r="G7071" t="s">
        <v>1089</v>
      </c>
      <c r="H7071">
        <v>-6.9409126973925001E-4</v>
      </c>
      <c r="I7071" t="s">
        <v>1090</v>
      </c>
      <c r="J7071">
        <v>7.39</v>
      </c>
    </row>
    <row r="7072" spans="1:13" hidden="1">
      <c r="A7072" t="s">
        <v>4815</v>
      </c>
      <c r="B7072" t="s">
        <v>4816</v>
      </c>
      <c r="C7072" t="s">
        <v>244</v>
      </c>
      <c r="D7072" t="s">
        <v>4798</v>
      </c>
      <c r="E7072" t="s">
        <v>559</v>
      </c>
      <c r="F7072" t="s">
        <v>1068</v>
      </c>
      <c r="G7072" t="s">
        <v>1069</v>
      </c>
      <c r="H7072">
        <v>-3.7283434264239901</v>
      </c>
      <c r="I7072" t="s">
        <v>1070</v>
      </c>
      <c r="J7072">
        <v>7.94</v>
      </c>
    </row>
    <row r="7073" spans="1:13" hidden="1">
      <c r="A7073" t="s">
        <v>4815</v>
      </c>
      <c r="B7073" t="s">
        <v>4816</v>
      </c>
      <c r="C7073" t="s">
        <v>244</v>
      </c>
      <c r="D7073" t="s">
        <v>4798</v>
      </c>
      <c r="E7073" t="s">
        <v>559</v>
      </c>
      <c r="F7073" t="s">
        <v>1068</v>
      </c>
      <c r="G7073" t="s">
        <v>1071</v>
      </c>
      <c r="H7073" s="170">
        <v>-1.9899295471007702E-8</v>
      </c>
      <c r="I7073" t="s">
        <v>1072</v>
      </c>
      <c r="J7073">
        <v>7.94</v>
      </c>
    </row>
    <row r="7074" spans="1:13" hidden="1">
      <c r="A7074" t="s">
        <v>4815</v>
      </c>
      <c r="B7074" t="s">
        <v>4816</v>
      </c>
      <c r="C7074" t="s">
        <v>244</v>
      </c>
      <c r="D7074" t="s">
        <v>4798</v>
      </c>
      <c r="E7074" t="s">
        <v>559</v>
      </c>
      <c r="F7074" t="s">
        <v>1068</v>
      </c>
      <c r="G7074" t="s">
        <v>1073</v>
      </c>
      <c r="H7074" s="170">
        <v>-6.8590554488677305E-7</v>
      </c>
      <c r="I7074" t="s">
        <v>1074</v>
      </c>
      <c r="J7074">
        <v>7.94</v>
      </c>
    </row>
    <row r="7075" spans="1:13" hidden="1">
      <c r="A7075" t="s">
        <v>4815</v>
      </c>
      <c r="B7075" t="s">
        <v>4816</v>
      </c>
      <c r="C7075" t="s">
        <v>244</v>
      </c>
      <c r="D7075" t="s">
        <v>4798</v>
      </c>
      <c r="E7075" t="s">
        <v>559</v>
      </c>
      <c r="F7075" t="s">
        <v>1068</v>
      </c>
      <c r="G7075" t="s">
        <v>1075</v>
      </c>
      <c r="H7075">
        <v>-7.0615027679852296E-2</v>
      </c>
      <c r="I7075" t="s">
        <v>1077</v>
      </c>
      <c r="J7075">
        <v>7.94</v>
      </c>
    </row>
    <row r="7076" spans="1:13">
      <c r="A7076" t="s">
        <v>4815</v>
      </c>
      <c r="B7076" t="s">
        <v>4816</v>
      </c>
      <c r="C7076" t="s">
        <v>244</v>
      </c>
      <c r="D7076" t="s">
        <v>4798</v>
      </c>
      <c r="E7076" t="s">
        <v>559</v>
      </c>
      <c r="F7076" t="s">
        <v>1068</v>
      </c>
      <c r="G7076" t="s">
        <v>1078</v>
      </c>
      <c r="H7076" s="171" t="s">
        <v>4817</v>
      </c>
      <c r="I7076" t="s">
        <v>1079</v>
      </c>
      <c r="J7076">
        <v>7.94</v>
      </c>
      <c r="M7076" t="str">
        <f>_xlfn.TEXTJOIN(" - ",TRUE,A7076,G7076)</f>
        <v>Recycle - Fiber_Other - Mexico - Global warming</v>
      </c>
    </row>
    <row r="7077" spans="1:13" hidden="1">
      <c r="A7077" t="s">
        <v>4815</v>
      </c>
      <c r="B7077" t="s">
        <v>4816</v>
      </c>
      <c r="C7077" t="s">
        <v>244</v>
      </c>
      <c r="D7077" t="s">
        <v>4798</v>
      </c>
      <c r="E7077" t="s">
        <v>559</v>
      </c>
      <c r="F7077" t="s">
        <v>1068</v>
      </c>
      <c r="G7077" t="s">
        <v>1080</v>
      </c>
      <c r="H7077" s="170">
        <v>-7.6750087382269894E-9</v>
      </c>
      <c r="I7077" t="s">
        <v>1082</v>
      </c>
      <c r="J7077">
        <v>7.94</v>
      </c>
    </row>
    <row r="7078" spans="1:13" hidden="1">
      <c r="A7078" t="s">
        <v>4815</v>
      </c>
      <c r="B7078" t="s">
        <v>4816</v>
      </c>
      <c r="C7078" t="s">
        <v>244</v>
      </c>
      <c r="D7078" t="s">
        <v>4798</v>
      </c>
      <c r="E7078" t="s">
        <v>559</v>
      </c>
      <c r="F7078" t="s">
        <v>1068</v>
      </c>
      <c r="G7078" t="s">
        <v>1083</v>
      </c>
      <c r="H7078">
        <v>-1.5811051678952601E-4</v>
      </c>
      <c r="I7078" t="s">
        <v>1084</v>
      </c>
      <c r="J7078">
        <v>7.94</v>
      </c>
    </row>
    <row r="7079" spans="1:13" hidden="1">
      <c r="A7079" t="s">
        <v>4815</v>
      </c>
      <c r="B7079" t="s">
        <v>4816</v>
      </c>
      <c r="C7079" t="s">
        <v>244</v>
      </c>
      <c r="D7079" t="s">
        <v>4798</v>
      </c>
      <c r="E7079" t="s">
        <v>559</v>
      </c>
      <c r="F7079" t="s">
        <v>1068</v>
      </c>
      <c r="G7079" t="s">
        <v>1085</v>
      </c>
      <c r="H7079">
        <v>-2.5649496331885302E-3</v>
      </c>
      <c r="I7079" t="s">
        <v>1086</v>
      </c>
      <c r="J7079">
        <v>7.94</v>
      </c>
    </row>
    <row r="7080" spans="1:13" hidden="1">
      <c r="A7080" t="s">
        <v>4815</v>
      </c>
      <c r="B7080" t="s">
        <v>4816</v>
      </c>
      <c r="C7080" t="s">
        <v>244</v>
      </c>
      <c r="D7080" t="s">
        <v>4798</v>
      </c>
      <c r="E7080" t="s">
        <v>559</v>
      </c>
      <c r="F7080" t="s">
        <v>1068</v>
      </c>
      <c r="G7080" t="s">
        <v>1087</v>
      </c>
      <c r="H7080" s="170">
        <v>-7.4853202141981305E-7</v>
      </c>
      <c r="I7080" t="s">
        <v>1088</v>
      </c>
      <c r="J7080">
        <v>7.94</v>
      </c>
    </row>
    <row r="7081" spans="1:13" hidden="1">
      <c r="A7081" t="s">
        <v>4815</v>
      </c>
      <c r="B7081" t="s">
        <v>4816</v>
      </c>
      <c r="C7081" t="s">
        <v>244</v>
      </c>
      <c r="D7081" t="s">
        <v>4798</v>
      </c>
      <c r="E7081" t="s">
        <v>559</v>
      </c>
      <c r="F7081" t="s">
        <v>1068</v>
      </c>
      <c r="G7081" t="s">
        <v>1089</v>
      </c>
      <c r="H7081">
        <v>-7.0233505667951796E-4</v>
      </c>
      <c r="I7081" t="s">
        <v>1090</v>
      </c>
      <c r="J7081">
        <v>7.94</v>
      </c>
    </row>
    <row r="7082" spans="1:13" hidden="1">
      <c r="A7082" t="s">
        <v>4818</v>
      </c>
      <c r="B7082" t="s">
        <v>4819</v>
      </c>
      <c r="C7082" t="s">
        <v>244</v>
      </c>
      <c r="D7082" t="s">
        <v>4798</v>
      </c>
      <c r="E7082" t="s">
        <v>560</v>
      </c>
      <c r="F7082" t="s">
        <v>1068</v>
      </c>
      <c r="G7082" t="s">
        <v>1069</v>
      </c>
      <c r="H7082">
        <v>-3.72041742996235</v>
      </c>
      <c r="I7082" t="s">
        <v>1070</v>
      </c>
      <c r="J7082">
        <v>7.52</v>
      </c>
    </row>
    <row r="7083" spans="1:13" hidden="1">
      <c r="A7083" t="s">
        <v>4818</v>
      </c>
      <c r="B7083" t="s">
        <v>4819</v>
      </c>
      <c r="C7083" t="s">
        <v>244</v>
      </c>
      <c r="D7083" t="s">
        <v>4798</v>
      </c>
      <c r="E7083" t="s">
        <v>560</v>
      </c>
      <c r="F7083" t="s">
        <v>1068</v>
      </c>
      <c r="G7083" t="s">
        <v>1071</v>
      </c>
      <c r="H7083" s="170">
        <v>-1.9887953279898001E-8</v>
      </c>
      <c r="I7083" t="s">
        <v>1072</v>
      </c>
      <c r="J7083">
        <v>7.52</v>
      </c>
    </row>
    <row r="7084" spans="1:13" hidden="1">
      <c r="A7084" t="s">
        <v>4818</v>
      </c>
      <c r="B7084" t="s">
        <v>4819</v>
      </c>
      <c r="C7084" t="s">
        <v>244</v>
      </c>
      <c r="D7084" t="s">
        <v>4798</v>
      </c>
      <c r="E7084" t="s">
        <v>560</v>
      </c>
      <c r="F7084" t="s">
        <v>1068</v>
      </c>
      <c r="G7084" t="s">
        <v>1073</v>
      </c>
      <c r="H7084" s="170">
        <v>-6.8309020586421905E-7</v>
      </c>
      <c r="I7084" t="s">
        <v>1074</v>
      </c>
      <c r="J7084">
        <v>7.52</v>
      </c>
    </row>
    <row r="7085" spans="1:13" hidden="1">
      <c r="A7085" t="s">
        <v>4818</v>
      </c>
      <c r="B7085" t="s">
        <v>4819</v>
      </c>
      <c r="C7085" t="s">
        <v>244</v>
      </c>
      <c r="D7085" t="s">
        <v>4798</v>
      </c>
      <c r="E7085" t="s">
        <v>560</v>
      </c>
      <c r="F7085" t="s">
        <v>1068</v>
      </c>
      <c r="G7085" t="s">
        <v>1075</v>
      </c>
      <c r="H7085">
        <v>-7.03644784645997E-2</v>
      </c>
      <c r="I7085" t="s">
        <v>1077</v>
      </c>
      <c r="J7085">
        <v>7.52</v>
      </c>
    </row>
    <row r="7086" spans="1:13">
      <c r="A7086" t="s">
        <v>4818</v>
      </c>
      <c r="B7086" t="s">
        <v>4819</v>
      </c>
      <c r="C7086" t="s">
        <v>244</v>
      </c>
      <c r="D7086" t="s">
        <v>4798</v>
      </c>
      <c r="E7086" t="s">
        <v>560</v>
      </c>
      <c r="F7086" t="s">
        <v>1068</v>
      </c>
      <c r="G7086" t="s">
        <v>1078</v>
      </c>
      <c r="H7086" s="171" t="s">
        <v>4820</v>
      </c>
      <c r="I7086" t="s">
        <v>1079</v>
      </c>
      <c r="J7086">
        <v>7.52</v>
      </c>
      <c r="M7086" t="str">
        <f>_xlfn.TEXTJOIN(" - ",TRUE,A7086,G7086)</f>
        <v>Recycle - Fiber_Other - Spain - Global warming</v>
      </c>
    </row>
    <row r="7087" spans="1:13" hidden="1">
      <c r="A7087" t="s">
        <v>4818</v>
      </c>
      <c r="B7087" t="s">
        <v>4819</v>
      </c>
      <c r="C7087" t="s">
        <v>244</v>
      </c>
      <c r="D7087" t="s">
        <v>4798</v>
      </c>
      <c r="E7087" t="s">
        <v>560</v>
      </c>
      <c r="F7087" t="s">
        <v>1068</v>
      </c>
      <c r="G7087" t="s">
        <v>1080</v>
      </c>
      <c r="H7087" s="170">
        <v>-7.6309509688046599E-9</v>
      </c>
      <c r="I7087" t="s">
        <v>1082</v>
      </c>
      <c r="J7087">
        <v>7.52</v>
      </c>
    </row>
    <row r="7088" spans="1:13" hidden="1">
      <c r="A7088" t="s">
        <v>4818</v>
      </c>
      <c r="B7088" t="s">
        <v>4819</v>
      </c>
      <c r="C7088" t="s">
        <v>244</v>
      </c>
      <c r="D7088" t="s">
        <v>4798</v>
      </c>
      <c r="E7088" t="s">
        <v>560</v>
      </c>
      <c r="F7088" t="s">
        <v>1068</v>
      </c>
      <c r="G7088" t="s">
        <v>1083</v>
      </c>
      <c r="H7088">
        <v>-1.5690576019559499E-4</v>
      </c>
      <c r="I7088" t="s">
        <v>1084</v>
      </c>
      <c r="J7088">
        <v>7.52</v>
      </c>
    </row>
    <row r="7089" spans="1:13" hidden="1">
      <c r="A7089" t="s">
        <v>4818</v>
      </c>
      <c r="B7089" t="s">
        <v>4819</v>
      </c>
      <c r="C7089" t="s">
        <v>244</v>
      </c>
      <c r="D7089" t="s">
        <v>4798</v>
      </c>
      <c r="E7089" t="s">
        <v>560</v>
      </c>
      <c r="F7089" t="s">
        <v>1068</v>
      </c>
      <c r="G7089" t="s">
        <v>1085</v>
      </c>
      <c r="H7089">
        <v>-2.5513334385354699E-3</v>
      </c>
      <c r="I7089" t="s">
        <v>1086</v>
      </c>
      <c r="J7089">
        <v>7.52</v>
      </c>
    </row>
    <row r="7090" spans="1:13" hidden="1">
      <c r="A7090" t="s">
        <v>4818</v>
      </c>
      <c r="B7090" t="s">
        <v>4819</v>
      </c>
      <c r="C7090" t="s">
        <v>244</v>
      </c>
      <c r="D7090" t="s">
        <v>4798</v>
      </c>
      <c r="E7090" t="s">
        <v>560</v>
      </c>
      <c r="F7090" t="s">
        <v>1068</v>
      </c>
      <c r="G7090" t="s">
        <v>1087</v>
      </c>
      <c r="H7090" s="170">
        <v>-7.4196078370849805E-7</v>
      </c>
      <c r="I7090" t="s">
        <v>1088</v>
      </c>
      <c r="J7090">
        <v>7.52</v>
      </c>
    </row>
    <row r="7091" spans="1:13" hidden="1">
      <c r="A7091" t="s">
        <v>4818</v>
      </c>
      <c r="B7091" t="s">
        <v>4819</v>
      </c>
      <c r="C7091" t="s">
        <v>244</v>
      </c>
      <c r="D7091" t="s">
        <v>4798</v>
      </c>
      <c r="E7091" t="s">
        <v>560</v>
      </c>
      <c r="F7091" t="s">
        <v>1068</v>
      </c>
      <c r="G7091" t="s">
        <v>1089</v>
      </c>
      <c r="H7091">
        <v>-6.9952606261098303E-4</v>
      </c>
      <c r="I7091" t="s">
        <v>1090</v>
      </c>
      <c r="J7091">
        <v>7.52</v>
      </c>
    </row>
    <row r="7092" spans="1:13" hidden="1">
      <c r="A7092" t="s">
        <v>4821</v>
      </c>
      <c r="B7092" t="s">
        <v>4822</v>
      </c>
      <c r="C7092" t="s">
        <v>244</v>
      </c>
      <c r="D7092" t="s">
        <v>4798</v>
      </c>
      <c r="E7092" t="s">
        <v>554</v>
      </c>
      <c r="F7092" t="s">
        <v>1068</v>
      </c>
      <c r="G7092" t="s">
        <v>1069</v>
      </c>
      <c r="H7092">
        <v>-3.67387391965145</v>
      </c>
      <c r="I7092" t="s">
        <v>1070</v>
      </c>
      <c r="J7092">
        <v>10.75</v>
      </c>
    </row>
    <row r="7093" spans="1:13" hidden="1">
      <c r="A7093" t="s">
        <v>4821</v>
      </c>
      <c r="B7093" t="s">
        <v>4822</v>
      </c>
      <c r="C7093" t="s">
        <v>244</v>
      </c>
      <c r="D7093" t="s">
        <v>4798</v>
      </c>
      <c r="E7093" t="s">
        <v>554</v>
      </c>
      <c r="F7093" t="s">
        <v>1068</v>
      </c>
      <c r="G7093" t="s">
        <v>1071</v>
      </c>
      <c r="H7093" s="170">
        <v>-1.9821348987123E-8</v>
      </c>
      <c r="I7093" t="s">
        <v>1072</v>
      </c>
      <c r="J7093">
        <v>10.75</v>
      </c>
    </row>
    <row r="7094" spans="1:13" hidden="1">
      <c r="A7094" t="s">
        <v>4821</v>
      </c>
      <c r="B7094" t="s">
        <v>4822</v>
      </c>
      <c r="C7094" t="s">
        <v>244</v>
      </c>
      <c r="D7094" t="s">
        <v>4798</v>
      </c>
      <c r="E7094" t="s">
        <v>554</v>
      </c>
      <c r="F7094" t="s">
        <v>1068</v>
      </c>
      <c r="G7094" t="s">
        <v>1073</v>
      </c>
      <c r="H7094" s="170">
        <v>-6.6655780372915204E-7</v>
      </c>
      <c r="I7094" t="s">
        <v>1074</v>
      </c>
      <c r="J7094">
        <v>10.75</v>
      </c>
    </row>
    <row r="7095" spans="1:13" hidden="1">
      <c r="A7095" t="s">
        <v>4821</v>
      </c>
      <c r="B7095" t="s">
        <v>4822</v>
      </c>
      <c r="C7095" t="s">
        <v>244</v>
      </c>
      <c r="D7095" t="s">
        <v>4798</v>
      </c>
      <c r="E7095" t="s">
        <v>554</v>
      </c>
      <c r="F7095" t="s">
        <v>1068</v>
      </c>
      <c r="G7095" t="s">
        <v>1075</v>
      </c>
      <c r="H7095">
        <v>-6.88931883826608E-2</v>
      </c>
      <c r="I7095" t="s">
        <v>1077</v>
      </c>
      <c r="J7095">
        <v>10.75</v>
      </c>
    </row>
    <row r="7096" spans="1:13">
      <c r="A7096" t="s">
        <v>4821</v>
      </c>
      <c r="B7096" t="s">
        <v>4822</v>
      </c>
      <c r="C7096" t="s">
        <v>244</v>
      </c>
      <c r="D7096" t="s">
        <v>4798</v>
      </c>
      <c r="E7096" t="s">
        <v>554</v>
      </c>
      <c r="F7096" t="s">
        <v>1068</v>
      </c>
      <c r="G7096" t="s">
        <v>1078</v>
      </c>
      <c r="H7096" s="171" t="s">
        <v>4823</v>
      </c>
      <c r="I7096" t="s">
        <v>1079</v>
      </c>
      <c r="J7096">
        <v>10.75</v>
      </c>
      <c r="M7096" t="str">
        <f>_xlfn.TEXTJOIN(" - ",TRUE,A7096,G7096)</f>
        <v>Recycle - Fiber_Other - United States - Global warming</v>
      </c>
    </row>
    <row r="7097" spans="1:13" hidden="1">
      <c r="A7097" t="s">
        <v>4821</v>
      </c>
      <c r="B7097" t="s">
        <v>4822</v>
      </c>
      <c r="C7097" t="s">
        <v>244</v>
      </c>
      <c r="D7097" t="s">
        <v>4798</v>
      </c>
      <c r="E7097" t="s">
        <v>554</v>
      </c>
      <c r="F7097" t="s">
        <v>1068</v>
      </c>
      <c r="G7097" t="s">
        <v>1080</v>
      </c>
      <c r="H7097" s="170">
        <v>-7.3722323010247802E-9</v>
      </c>
      <c r="I7097" t="s">
        <v>1082</v>
      </c>
      <c r="J7097">
        <v>10.75</v>
      </c>
    </row>
    <row r="7098" spans="1:13" hidden="1">
      <c r="A7098" t="s">
        <v>4821</v>
      </c>
      <c r="B7098" t="s">
        <v>4822</v>
      </c>
      <c r="C7098" t="s">
        <v>244</v>
      </c>
      <c r="D7098" t="s">
        <v>4798</v>
      </c>
      <c r="E7098" t="s">
        <v>554</v>
      </c>
      <c r="F7098" t="s">
        <v>1068</v>
      </c>
      <c r="G7098" t="s">
        <v>1083</v>
      </c>
      <c r="H7098">
        <v>-1.4983111649329999E-4</v>
      </c>
      <c r="I7098" t="s">
        <v>1084</v>
      </c>
      <c r="J7098">
        <v>10.75</v>
      </c>
    </row>
    <row r="7099" spans="1:13" hidden="1">
      <c r="A7099" t="s">
        <v>4821</v>
      </c>
      <c r="B7099" t="s">
        <v>4822</v>
      </c>
      <c r="C7099" t="s">
        <v>244</v>
      </c>
      <c r="D7099" t="s">
        <v>4798</v>
      </c>
      <c r="E7099" t="s">
        <v>554</v>
      </c>
      <c r="F7099" t="s">
        <v>1068</v>
      </c>
      <c r="G7099" t="s">
        <v>1085</v>
      </c>
      <c r="H7099">
        <v>-2.4713756061926001E-3</v>
      </c>
      <c r="I7099" t="s">
        <v>1086</v>
      </c>
      <c r="J7099">
        <v>10.75</v>
      </c>
    </row>
    <row r="7100" spans="1:13" hidden="1">
      <c r="A7100" t="s">
        <v>4821</v>
      </c>
      <c r="B7100" t="s">
        <v>4822</v>
      </c>
      <c r="C7100" t="s">
        <v>244</v>
      </c>
      <c r="D7100" t="s">
        <v>4798</v>
      </c>
      <c r="E7100" t="s">
        <v>554</v>
      </c>
      <c r="F7100" t="s">
        <v>1068</v>
      </c>
      <c r="G7100" t="s">
        <v>1087</v>
      </c>
      <c r="H7100" s="170">
        <v>-7.0337276873117696E-7</v>
      </c>
      <c r="I7100" t="s">
        <v>1088</v>
      </c>
      <c r="J7100">
        <v>10.75</v>
      </c>
    </row>
    <row r="7101" spans="1:13" hidden="1">
      <c r="A7101" t="s">
        <v>4821</v>
      </c>
      <c r="B7101" t="s">
        <v>4822</v>
      </c>
      <c r="C7101" t="s">
        <v>244</v>
      </c>
      <c r="D7101" t="s">
        <v>4798</v>
      </c>
      <c r="E7101" t="s">
        <v>554</v>
      </c>
      <c r="F7101" t="s">
        <v>1068</v>
      </c>
      <c r="G7101" t="s">
        <v>1089</v>
      </c>
      <c r="H7101">
        <v>-6.8303091969426502E-4</v>
      </c>
      <c r="I7101" t="s">
        <v>1090</v>
      </c>
      <c r="J7101">
        <v>10.75</v>
      </c>
    </row>
    <row r="7102" spans="1:13" hidden="1">
      <c r="A7102" t="s">
        <v>4824</v>
      </c>
      <c r="B7102" t="s">
        <v>4825</v>
      </c>
      <c r="C7102" t="s">
        <v>244</v>
      </c>
      <c r="D7102" t="s">
        <v>4826</v>
      </c>
      <c r="E7102" t="s">
        <v>561</v>
      </c>
      <c r="F7102" t="s">
        <v>1068</v>
      </c>
      <c r="G7102" t="s">
        <v>1069</v>
      </c>
      <c r="H7102" s="171" t="s">
        <v>4827</v>
      </c>
      <c r="I7102" t="s">
        <v>1070</v>
      </c>
      <c r="J7102">
        <v>12.67</v>
      </c>
    </row>
    <row r="7103" spans="1:13" hidden="1">
      <c r="A7103" t="s">
        <v>4824</v>
      </c>
      <c r="B7103" t="s">
        <v>4825</v>
      </c>
      <c r="C7103" t="s">
        <v>244</v>
      </c>
      <c r="D7103" t="s">
        <v>4826</v>
      </c>
      <c r="E7103" t="s">
        <v>561</v>
      </c>
      <c r="F7103" t="s">
        <v>1068</v>
      </c>
      <c r="G7103" t="s">
        <v>1071</v>
      </c>
      <c r="H7103" s="171" t="s">
        <v>4828</v>
      </c>
      <c r="I7103" t="s">
        <v>1072</v>
      </c>
      <c r="J7103">
        <v>12.67</v>
      </c>
    </row>
    <row r="7104" spans="1:13" hidden="1">
      <c r="A7104" t="s">
        <v>4824</v>
      </c>
      <c r="B7104" t="s">
        <v>4825</v>
      </c>
      <c r="C7104" t="s">
        <v>244</v>
      </c>
      <c r="D7104" t="s">
        <v>4826</v>
      </c>
      <c r="E7104" t="s">
        <v>561</v>
      </c>
      <c r="F7104" t="s">
        <v>1068</v>
      </c>
      <c r="G7104" t="s">
        <v>1073</v>
      </c>
      <c r="H7104" s="171" t="s">
        <v>4829</v>
      </c>
      <c r="I7104" t="s">
        <v>1074</v>
      </c>
      <c r="J7104">
        <v>12.67</v>
      </c>
    </row>
    <row r="7105" spans="1:13" hidden="1">
      <c r="A7105" t="s">
        <v>4824</v>
      </c>
      <c r="B7105" t="s">
        <v>4825</v>
      </c>
      <c r="C7105" t="s">
        <v>244</v>
      </c>
      <c r="D7105" t="s">
        <v>4826</v>
      </c>
      <c r="E7105" t="s">
        <v>561</v>
      </c>
      <c r="F7105" t="s">
        <v>1068</v>
      </c>
      <c r="G7105" t="s">
        <v>1075</v>
      </c>
      <c r="H7105" s="171" t="s">
        <v>4830</v>
      </c>
      <c r="I7105" t="s">
        <v>1077</v>
      </c>
      <c r="J7105">
        <v>12.67</v>
      </c>
    </row>
    <row r="7106" spans="1:13">
      <c r="A7106" t="s">
        <v>4824</v>
      </c>
      <c r="B7106" t="s">
        <v>4825</v>
      </c>
      <c r="C7106" t="s">
        <v>244</v>
      </c>
      <c r="D7106" t="s">
        <v>4826</v>
      </c>
      <c r="E7106" t="s">
        <v>561</v>
      </c>
      <c r="F7106" t="s">
        <v>1068</v>
      </c>
      <c r="G7106" t="s">
        <v>1078</v>
      </c>
      <c r="H7106">
        <v>-0.177492731240916</v>
      </c>
      <c r="I7106" t="s">
        <v>1079</v>
      </c>
      <c r="J7106">
        <v>12.67</v>
      </c>
      <c r="M7106" t="str">
        <f>_xlfn.TEXTJOIN(" - ",TRUE,A7106,G7106)</f>
        <v>Recycle - Green_glass - Australia - Global warming</v>
      </c>
    </row>
    <row r="7107" spans="1:13" hidden="1">
      <c r="A7107" t="s">
        <v>4824</v>
      </c>
      <c r="B7107" t="s">
        <v>4825</v>
      </c>
      <c r="C7107" t="s">
        <v>244</v>
      </c>
      <c r="D7107" t="s">
        <v>4826</v>
      </c>
      <c r="E7107" t="s">
        <v>561</v>
      </c>
      <c r="F7107" t="s">
        <v>1068</v>
      </c>
      <c r="G7107" t="s">
        <v>1080</v>
      </c>
      <c r="H7107" s="171" t="s">
        <v>4831</v>
      </c>
      <c r="I7107" t="s">
        <v>1082</v>
      </c>
      <c r="J7107">
        <v>12.67</v>
      </c>
    </row>
    <row r="7108" spans="1:13" hidden="1">
      <c r="A7108" t="s">
        <v>4824</v>
      </c>
      <c r="B7108" t="s">
        <v>4825</v>
      </c>
      <c r="C7108" t="s">
        <v>244</v>
      </c>
      <c r="D7108" t="s">
        <v>4826</v>
      </c>
      <c r="E7108" t="s">
        <v>561</v>
      </c>
      <c r="F7108" t="s">
        <v>1068</v>
      </c>
      <c r="G7108" t="s">
        <v>1083</v>
      </c>
      <c r="H7108" s="171" t="s">
        <v>4832</v>
      </c>
      <c r="I7108" t="s">
        <v>1084</v>
      </c>
      <c r="J7108">
        <v>12.67</v>
      </c>
    </row>
    <row r="7109" spans="1:13" hidden="1">
      <c r="A7109" t="s">
        <v>4824</v>
      </c>
      <c r="B7109" t="s">
        <v>4825</v>
      </c>
      <c r="C7109" t="s">
        <v>244</v>
      </c>
      <c r="D7109" t="s">
        <v>4826</v>
      </c>
      <c r="E7109" t="s">
        <v>561</v>
      </c>
      <c r="F7109" t="s">
        <v>1068</v>
      </c>
      <c r="G7109" t="s">
        <v>1085</v>
      </c>
      <c r="H7109">
        <v>3.0080014802522602E-4</v>
      </c>
      <c r="I7109" t="s">
        <v>1086</v>
      </c>
      <c r="J7109">
        <v>12.67</v>
      </c>
    </row>
    <row r="7110" spans="1:13" hidden="1">
      <c r="A7110" t="s">
        <v>4824</v>
      </c>
      <c r="B7110" t="s">
        <v>4825</v>
      </c>
      <c r="C7110" t="s">
        <v>244</v>
      </c>
      <c r="D7110" t="s">
        <v>4826</v>
      </c>
      <c r="E7110" t="s">
        <v>561</v>
      </c>
      <c r="F7110" t="s">
        <v>1068</v>
      </c>
      <c r="G7110" t="s">
        <v>1087</v>
      </c>
      <c r="H7110" s="171" t="s">
        <v>4833</v>
      </c>
      <c r="I7110" t="s">
        <v>1088</v>
      </c>
      <c r="J7110">
        <v>12.67</v>
      </c>
    </row>
    <row r="7111" spans="1:13" hidden="1">
      <c r="A7111" t="s">
        <v>4824</v>
      </c>
      <c r="B7111" t="s">
        <v>4825</v>
      </c>
      <c r="C7111" t="s">
        <v>244</v>
      </c>
      <c r="D7111" t="s">
        <v>4826</v>
      </c>
      <c r="E7111" t="s">
        <v>561</v>
      </c>
      <c r="F7111" t="s">
        <v>1068</v>
      </c>
      <c r="G7111" t="s">
        <v>1089</v>
      </c>
      <c r="H7111">
        <v>1.07380381506643E-4</v>
      </c>
      <c r="I7111" t="s">
        <v>1090</v>
      </c>
      <c r="J7111">
        <v>12.67</v>
      </c>
    </row>
    <row r="7112" spans="1:13" hidden="1">
      <c r="A7112" t="s">
        <v>4834</v>
      </c>
      <c r="B7112" t="s">
        <v>4835</v>
      </c>
      <c r="C7112" t="s">
        <v>244</v>
      </c>
      <c r="D7112" t="s">
        <v>4826</v>
      </c>
      <c r="E7112" t="s">
        <v>555</v>
      </c>
      <c r="F7112" t="s">
        <v>1068</v>
      </c>
      <c r="G7112" t="s">
        <v>1069</v>
      </c>
      <c r="H7112" s="171" t="s">
        <v>4836</v>
      </c>
      <c r="I7112" t="s">
        <v>1070</v>
      </c>
      <c r="J7112">
        <v>10.83</v>
      </c>
    </row>
    <row r="7113" spans="1:13" hidden="1">
      <c r="A7113" t="s">
        <v>4834</v>
      </c>
      <c r="B7113" t="s">
        <v>4835</v>
      </c>
      <c r="C7113" t="s">
        <v>244</v>
      </c>
      <c r="D7113" t="s">
        <v>4826</v>
      </c>
      <c r="E7113" t="s">
        <v>555</v>
      </c>
      <c r="F7113" t="s">
        <v>1068</v>
      </c>
      <c r="G7113" t="s">
        <v>1071</v>
      </c>
      <c r="H7113" s="171" t="s">
        <v>4656</v>
      </c>
      <c r="I7113" t="s">
        <v>1072</v>
      </c>
      <c r="J7113">
        <v>10.83</v>
      </c>
    </row>
    <row r="7114" spans="1:13" hidden="1">
      <c r="A7114" t="s">
        <v>4834</v>
      </c>
      <c r="B7114" t="s">
        <v>4835</v>
      </c>
      <c r="C7114" t="s">
        <v>244</v>
      </c>
      <c r="D7114" t="s">
        <v>4826</v>
      </c>
      <c r="E7114" t="s">
        <v>555</v>
      </c>
      <c r="F7114" t="s">
        <v>1068</v>
      </c>
      <c r="G7114" t="s">
        <v>1073</v>
      </c>
      <c r="H7114" s="171" t="s">
        <v>4657</v>
      </c>
      <c r="I7114" t="s">
        <v>1074</v>
      </c>
      <c r="J7114">
        <v>10.83</v>
      </c>
    </row>
    <row r="7115" spans="1:13" hidden="1">
      <c r="A7115" t="s">
        <v>4834</v>
      </c>
      <c r="B7115" t="s">
        <v>4835</v>
      </c>
      <c r="C7115" t="s">
        <v>244</v>
      </c>
      <c r="D7115" t="s">
        <v>4826</v>
      </c>
      <c r="E7115" t="s">
        <v>555</v>
      </c>
      <c r="F7115" t="s">
        <v>1068</v>
      </c>
      <c r="G7115" t="s">
        <v>1075</v>
      </c>
      <c r="H7115">
        <v>1.1158740619387099E-2</v>
      </c>
      <c r="I7115" t="s">
        <v>1077</v>
      </c>
      <c r="J7115">
        <v>10.83</v>
      </c>
    </row>
    <row r="7116" spans="1:13">
      <c r="A7116" t="s">
        <v>4834</v>
      </c>
      <c r="B7116" t="s">
        <v>4835</v>
      </c>
      <c r="C7116" t="s">
        <v>244</v>
      </c>
      <c r="D7116" t="s">
        <v>4826</v>
      </c>
      <c r="E7116" t="s">
        <v>555</v>
      </c>
      <c r="F7116" t="s">
        <v>1068</v>
      </c>
      <c r="G7116" t="s">
        <v>1078</v>
      </c>
      <c r="H7116">
        <v>-0.17666997234010001</v>
      </c>
      <c r="I7116" t="s">
        <v>1079</v>
      </c>
      <c r="J7116">
        <v>10.83</v>
      </c>
      <c r="M7116" t="str">
        <f>_xlfn.TEXTJOIN(" - ",TRUE,A7116,G7116)</f>
        <v>Recycle - Green_glass - Brazil - Global warming</v>
      </c>
    </row>
    <row r="7117" spans="1:13" hidden="1">
      <c r="A7117" t="s">
        <v>4834</v>
      </c>
      <c r="B7117" t="s">
        <v>4835</v>
      </c>
      <c r="C7117" t="s">
        <v>244</v>
      </c>
      <c r="D7117" t="s">
        <v>4826</v>
      </c>
      <c r="E7117" t="s">
        <v>555</v>
      </c>
      <c r="F7117" t="s">
        <v>1068</v>
      </c>
      <c r="G7117" t="s">
        <v>1080</v>
      </c>
      <c r="H7117" s="171" t="s">
        <v>4837</v>
      </c>
      <c r="I7117" t="s">
        <v>1082</v>
      </c>
      <c r="J7117">
        <v>10.83</v>
      </c>
    </row>
    <row r="7118" spans="1:13" hidden="1">
      <c r="A7118" t="s">
        <v>4834</v>
      </c>
      <c r="B7118" t="s">
        <v>4835</v>
      </c>
      <c r="C7118" t="s">
        <v>244</v>
      </c>
      <c r="D7118" t="s">
        <v>4826</v>
      </c>
      <c r="E7118" t="s">
        <v>555</v>
      </c>
      <c r="F7118" t="s">
        <v>1068</v>
      </c>
      <c r="G7118" t="s">
        <v>1083</v>
      </c>
      <c r="H7118" s="171" t="s">
        <v>4838</v>
      </c>
      <c r="I7118" t="s">
        <v>1084</v>
      </c>
      <c r="J7118">
        <v>10.83</v>
      </c>
    </row>
    <row r="7119" spans="1:13" hidden="1">
      <c r="A7119" t="s">
        <v>4834</v>
      </c>
      <c r="B7119" t="s">
        <v>4835</v>
      </c>
      <c r="C7119" t="s">
        <v>244</v>
      </c>
      <c r="D7119" t="s">
        <v>4826</v>
      </c>
      <c r="E7119" t="s">
        <v>555</v>
      </c>
      <c r="F7119" t="s">
        <v>1068</v>
      </c>
      <c r="G7119" t="s">
        <v>1085</v>
      </c>
      <c r="H7119">
        <v>3.0183412499898898E-4</v>
      </c>
      <c r="I7119" t="s">
        <v>1086</v>
      </c>
      <c r="J7119">
        <v>10.83</v>
      </c>
    </row>
    <row r="7120" spans="1:13" hidden="1">
      <c r="A7120" t="s">
        <v>4834</v>
      </c>
      <c r="B7120" t="s">
        <v>4835</v>
      </c>
      <c r="C7120" t="s">
        <v>244</v>
      </c>
      <c r="D7120" t="s">
        <v>4826</v>
      </c>
      <c r="E7120" t="s">
        <v>555</v>
      </c>
      <c r="F7120" t="s">
        <v>1068</v>
      </c>
      <c r="G7120" t="s">
        <v>1087</v>
      </c>
      <c r="H7120" s="171" t="s">
        <v>4660</v>
      </c>
      <c r="I7120" t="s">
        <v>1088</v>
      </c>
      <c r="J7120">
        <v>10.83</v>
      </c>
    </row>
    <row r="7121" spans="1:13" hidden="1">
      <c r="A7121" t="s">
        <v>4834</v>
      </c>
      <c r="B7121" t="s">
        <v>4835</v>
      </c>
      <c r="C7121" t="s">
        <v>244</v>
      </c>
      <c r="D7121" t="s">
        <v>4826</v>
      </c>
      <c r="E7121" t="s">
        <v>555</v>
      </c>
      <c r="F7121" t="s">
        <v>1068</v>
      </c>
      <c r="G7121" t="s">
        <v>1089</v>
      </c>
      <c r="H7121">
        <v>1.07593688914499E-4</v>
      </c>
      <c r="I7121" t="s">
        <v>1090</v>
      </c>
      <c r="J7121">
        <v>10.83</v>
      </c>
    </row>
    <row r="7122" spans="1:13" hidden="1">
      <c r="A7122" t="s">
        <v>4839</v>
      </c>
      <c r="B7122" t="s">
        <v>4840</v>
      </c>
      <c r="C7122" t="s">
        <v>244</v>
      </c>
      <c r="D7122" t="s">
        <v>4826</v>
      </c>
      <c r="E7122" t="s">
        <v>558</v>
      </c>
      <c r="F7122" t="s">
        <v>1068</v>
      </c>
      <c r="G7122" t="s">
        <v>1069</v>
      </c>
      <c r="H7122" s="171" t="s">
        <v>4663</v>
      </c>
      <c r="I7122" t="s">
        <v>1070</v>
      </c>
      <c r="J7122">
        <v>7.28</v>
      </c>
    </row>
    <row r="7123" spans="1:13" hidden="1">
      <c r="A7123" t="s">
        <v>4839</v>
      </c>
      <c r="B7123" t="s">
        <v>4840</v>
      </c>
      <c r="C7123" t="s">
        <v>244</v>
      </c>
      <c r="D7123" t="s">
        <v>4826</v>
      </c>
      <c r="E7123" t="s">
        <v>558</v>
      </c>
      <c r="F7123" t="s">
        <v>1068</v>
      </c>
      <c r="G7123" t="s">
        <v>1071</v>
      </c>
      <c r="H7123" s="171" t="s">
        <v>4841</v>
      </c>
      <c r="I7123" t="s">
        <v>1072</v>
      </c>
      <c r="J7123">
        <v>7.28</v>
      </c>
    </row>
    <row r="7124" spans="1:13" hidden="1">
      <c r="A7124" t="s">
        <v>4839</v>
      </c>
      <c r="B7124" t="s">
        <v>4840</v>
      </c>
      <c r="C7124" t="s">
        <v>244</v>
      </c>
      <c r="D7124" t="s">
        <v>4826</v>
      </c>
      <c r="E7124" t="s">
        <v>558</v>
      </c>
      <c r="F7124" t="s">
        <v>1068</v>
      </c>
      <c r="G7124" t="s">
        <v>1073</v>
      </c>
      <c r="H7124" s="171" t="s">
        <v>4665</v>
      </c>
      <c r="I7124" t="s">
        <v>1074</v>
      </c>
      <c r="J7124">
        <v>7.28</v>
      </c>
    </row>
    <row r="7125" spans="1:13" hidden="1">
      <c r="A7125" t="s">
        <v>4839</v>
      </c>
      <c r="B7125" t="s">
        <v>4840</v>
      </c>
      <c r="C7125" t="s">
        <v>244</v>
      </c>
      <c r="D7125" t="s">
        <v>4826</v>
      </c>
      <c r="E7125" t="s">
        <v>558</v>
      </c>
      <c r="F7125" t="s">
        <v>1068</v>
      </c>
      <c r="G7125" t="s">
        <v>1075</v>
      </c>
      <c r="H7125">
        <v>1.11380299936675E-2</v>
      </c>
      <c r="I7125" t="s">
        <v>1077</v>
      </c>
      <c r="J7125">
        <v>7.28</v>
      </c>
    </row>
    <row r="7126" spans="1:13">
      <c r="A7126" t="s">
        <v>4839</v>
      </c>
      <c r="B7126" t="s">
        <v>4840</v>
      </c>
      <c r="C7126" t="s">
        <v>244</v>
      </c>
      <c r="D7126" t="s">
        <v>4826</v>
      </c>
      <c r="E7126" t="s">
        <v>558</v>
      </c>
      <c r="F7126" t="s">
        <v>1068</v>
      </c>
      <c r="G7126" t="s">
        <v>1078</v>
      </c>
      <c r="H7126">
        <v>-0.17756557968525899</v>
      </c>
      <c r="I7126" t="s">
        <v>1079</v>
      </c>
      <c r="J7126">
        <v>7.28</v>
      </c>
      <c r="M7126" t="str">
        <f>_xlfn.TEXTJOIN(" - ",TRUE,A7126,G7126)</f>
        <v>Recycle - Green_glass - Canada - Global warming</v>
      </c>
    </row>
    <row r="7127" spans="1:13" hidden="1">
      <c r="A7127" t="s">
        <v>4839</v>
      </c>
      <c r="B7127" t="s">
        <v>4840</v>
      </c>
      <c r="C7127" t="s">
        <v>244</v>
      </c>
      <c r="D7127" t="s">
        <v>4826</v>
      </c>
      <c r="E7127" t="s">
        <v>558</v>
      </c>
      <c r="F7127" t="s">
        <v>1068</v>
      </c>
      <c r="G7127" t="s">
        <v>1080</v>
      </c>
      <c r="H7127" s="171" t="s">
        <v>4842</v>
      </c>
      <c r="I7127" t="s">
        <v>1082</v>
      </c>
      <c r="J7127">
        <v>7.28</v>
      </c>
    </row>
    <row r="7128" spans="1:13" hidden="1">
      <c r="A7128" t="s">
        <v>4839</v>
      </c>
      <c r="B7128" t="s">
        <v>4840</v>
      </c>
      <c r="C7128" t="s">
        <v>244</v>
      </c>
      <c r="D7128" t="s">
        <v>4826</v>
      </c>
      <c r="E7128" t="s">
        <v>558</v>
      </c>
      <c r="F7128" t="s">
        <v>1068</v>
      </c>
      <c r="G7128" t="s">
        <v>1083</v>
      </c>
      <c r="H7128" s="171" t="s">
        <v>4843</v>
      </c>
      <c r="I7128" t="s">
        <v>1084</v>
      </c>
      <c r="J7128">
        <v>7.28</v>
      </c>
    </row>
    <row r="7129" spans="1:13" hidden="1">
      <c r="A7129" t="s">
        <v>4839</v>
      </c>
      <c r="B7129" t="s">
        <v>4840</v>
      </c>
      <c r="C7129" t="s">
        <v>244</v>
      </c>
      <c r="D7129" t="s">
        <v>4826</v>
      </c>
      <c r="E7129" t="s">
        <v>558</v>
      </c>
      <c r="F7129" t="s">
        <v>1068</v>
      </c>
      <c r="G7129" t="s">
        <v>1085</v>
      </c>
      <c r="H7129">
        <v>3.0070859798067502E-4</v>
      </c>
      <c r="I7129" t="s">
        <v>1086</v>
      </c>
      <c r="J7129">
        <v>7.28</v>
      </c>
    </row>
    <row r="7130" spans="1:13" hidden="1">
      <c r="A7130" t="s">
        <v>4839</v>
      </c>
      <c r="B7130" t="s">
        <v>4840</v>
      </c>
      <c r="C7130" t="s">
        <v>244</v>
      </c>
      <c r="D7130" t="s">
        <v>4826</v>
      </c>
      <c r="E7130" t="s">
        <v>558</v>
      </c>
      <c r="F7130" t="s">
        <v>1068</v>
      </c>
      <c r="G7130" t="s">
        <v>1087</v>
      </c>
      <c r="H7130" s="171" t="s">
        <v>4844</v>
      </c>
      <c r="I7130" t="s">
        <v>1088</v>
      </c>
      <c r="J7130">
        <v>7.28</v>
      </c>
    </row>
    <row r="7131" spans="1:13" hidden="1">
      <c r="A7131" t="s">
        <v>4839</v>
      </c>
      <c r="B7131" t="s">
        <v>4840</v>
      </c>
      <c r="C7131" t="s">
        <v>244</v>
      </c>
      <c r="D7131" t="s">
        <v>4826</v>
      </c>
      <c r="E7131" t="s">
        <v>558</v>
      </c>
      <c r="F7131" t="s">
        <v>1068</v>
      </c>
      <c r="G7131" t="s">
        <v>1089</v>
      </c>
      <c r="H7131">
        <v>1.0736149491324001E-4</v>
      </c>
      <c r="I7131" t="s">
        <v>1090</v>
      </c>
      <c r="J7131">
        <v>7.28</v>
      </c>
    </row>
    <row r="7132" spans="1:13" hidden="1">
      <c r="A7132" t="s">
        <v>4845</v>
      </c>
      <c r="B7132" t="s">
        <v>4846</v>
      </c>
      <c r="C7132" t="s">
        <v>244</v>
      </c>
      <c r="D7132" t="s">
        <v>4826</v>
      </c>
      <c r="E7132" t="s">
        <v>553</v>
      </c>
      <c r="F7132" t="s">
        <v>1068</v>
      </c>
      <c r="G7132" t="s">
        <v>1069</v>
      </c>
      <c r="H7132" s="171" t="s">
        <v>4847</v>
      </c>
      <c r="I7132" t="s">
        <v>1070</v>
      </c>
      <c r="J7132">
        <v>8.01</v>
      </c>
    </row>
    <row r="7133" spans="1:13" hidden="1">
      <c r="A7133" t="s">
        <v>4845</v>
      </c>
      <c r="B7133" t="s">
        <v>4846</v>
      </c>
      <c r="C7133" t="s">
        <v>244</v>
      </c>
      <c r="D7133" t="s">
        <v>4826</v>
      </c>
      <c r="E7133" t="s">
        <v>553</v>
      </c>
      <c r="F7133" t="s">
        <v>1068</v>
      </c>
      <c r="G7133" t="s">
        <v>1071</v>
      </c>
      <c r="H7133" s="171" t="s">
        <v>4744</v>
      </c>
      <c r="I7133" t="s">
        <v>1072</v>
      </c>
      <c r="J7133">
        <v>8.01</v>
      </c>
    </row>
    <row r="7134" spans="1:13" hidden="1">
      <c r="A7134" t="s">
        <v>4845</v>
      </c>
      <c r="B7134" t="s">
        <v>4846</v>
      </c>
      <c r="C7134" t="s">
        <v>244</v>
      </c>
      <c r="D7134" t="s">
        <v>4826</v>
      </c>
      <c r="E7134" t="s">
        <v>553</v>
      </c>
      <c r="F7134" t="s">
        <v>1068</v>
      </c>
      <c r="G7134" t="s">
        <v>1073</v>
      </c>
      <c r="H7134" s="171" t="s">
        <v>4745</v>
      </c>
      <c r="I7134" t="s">
        <v>1074</v>
      </c>
      <c r="J7134">
        <v>8.01</v>
      </c>
    </row>
    <row r="7135" spans="1:13" hidden="1">
      <c r="A7135" t="s">
        <v>4845</v>
      </c>
      <c r="B7135" t="s">
        <v>4846</v>
      </c>
      <c r="C7135" t="s">
        <v>244</v>
      </c>
      <c r="D7135" t="s">
        <v>4826</v>
      </c>
      <c r="E7135" t="s">
        <v>553</v>
      </c>
      <c r="F7135" t="s">
        <v>1068</v>
      </c>
      <c r="G7135" t="s">
        <v>1075</v>
      </c>
      <c r="H7135" s="171" t="s">
        <v>4746</v>
      </c>
      <c r="I7135" t="s">
        <v>1077</v>
      </c>
      <c r="J7135">
        <v>8.01</v>
      </c>
    </row>
    <row r="7136" spans="1:13">
      <c r="A7136" t="s">
        <v>4845</v>
      </c>
      <c r="B7136" t="s">
        <v>4846</v>
      </c>
      <c r="C7136" t="s">
        <v>244</v>
      </c>
      <c r="D7136" t="s">
        <v>4826</v>
      </c>
      <c r="E7136" t="s">
        <v>553</v>
      </c>
      <c r="F7136" t="s">
        <v>1068</v>
      </c>
      <c r="G7136" t="s">
        <v>1078</v>
      </c>
      <c r="H7136">
        <v>-0.17763692609982201</v>
      </c>
      <c r="I7136" t="s">
        <v>1079</v>
      </c>
      <c r="J7136">
        <v>8.01</v>
      </c>
      <c r="M7136" t="str">
        <f>_xlfn.TEXTJOIN(" - ",TRUE,A7136,G7136)</f>
        <v>Recycle - Green_glass - China - Global warming</v>
      </c>
    </row>
    <row r="7137" spans="1:13" hidden="1">
      <c r="A7137" t="s">
        <v>4845</v>
      </c>
      <c r="B7137" t="s">
        <v>4846</v>
      </c>
      <c r="C7137" t="s">
        <v>244</v>
      </c>
      <c r="D7137" t="s">
        <v>4826</v>
      </c>
      <c r="E7137" t="s">
        <v>553</v>
      </c>
      <c r="F7137" t="s">
        <v>1068</v>
      </c>
      <c r="G7137" t="s">
        <v>1080</v>
      </c>
      <c r="H7137" s="171" t="s">
        <v>4747</v>
      </c>
      <c r="I7137" t="s">
        <v>1082</v>
      </c>
      <c r="J7137">
        <v>8.01</v>
      </c>
    </row>
    <row r="7138" spans="1:13" hidden="1">
      <c r="A7138" t="s">
        <v>4845</v>
      </c>
      <c r="B7138" t="s">
        <v>4846</v>
      </c>
      <c r="C7138" t="s">
        <v>244</v>
      </c>
      <c r="D7138" t="s">
        <v>4826</v>
      </c>
      <c r="E7138" t="s">
        <v>553</v>
      </c>
      <c r="F7138" t="s">
        <v>1068</v>
      </c>
      <c r="G7138" t="s">
        <v>1083</v>
      </c>
      <c r="H7138" s="171" t="s">
        <v>4848</v>
      </c>
      <c r="I7138" t="s">
        <v>1084</v>
      </c>
      <c r="J7138">
        <v>8.01</v>
      </c>
    </row>
    <row r="7139" spans="1:13" hidden="1">
      <c r="A7139" t="s">
        <v>4845</v>
      </c>
      <c r="B7139" t="s">
        <v>4846</v>
      </c>
      <c r="C7139" t="s">
        <v>244</v>
      </c>
      <c r="D7139" t="s">
        <v>4826</v>
      </c>
      <c r="E7139" t="s">
        <v>553</v>
      </c>
      <c r="F7139" t="s">
        <v>1068</v>
      </c>
      <c r="G7139" t="s">
        <v>1085</v>
      </c>
      <c r="H7139">
        <v>3.00618935565906E-4</v>
      </c>
      <c r="I7139" t="s">
        <v>1086</v>
      </c>
      <c r="J7139">
        <v>8.01</v>
      </c>
    </row>
    <row r="7140" spans="1:13" hidden="1">
      <c r="A7140" t="s">
        <v>4845</v>
      </c>
      <c r="B7140" t="s">
        <v>4846</v>
      </c>
      <c r="C7140" t="s">
        <v>244</v>
      </c>
      <c r="D7140" t="s">
        <v>4826</v>
      </c>
      <c r="E7140" t="s">
        <v>553</v>
      </c>
      <c r="F7140" t="s">
        <v>1068</v>
      </c>
      <c r="G7140" t="s">
        <v>1087</v>
      </c>
      <c r="H7140" s="171" t="s">
        <v>4849</v>
      </c>
      <c r="I7140" t="s">
        <v>1088</v>
      </c>
      <c r="J7140">
        <v>8.01</v>
      </c>
    </row>
    <row r="7141" spans="1:13" hidden="1">
      <c r="A7141" t="s">
        <v>4845</v>
      </c>
      <c r="B7141" t="s">
        <v>4846</v>
      </c>
      <c r="C7141" t="s">
        <v>244</v>
      </c>
      <c r="D7141" t="s">
        <v>4826</v>
      </c>
      <c r="E7141" t="s">
        <v>553</v>
      </c>
      <c r="F7141" t="s">
        <v>1068</v>
      </c>
      <c r="G7141" t="s">
        <v>1089</v>
      </c>
      <c r="H7141">
        <v>1.07342997734132E-4</v>
      </c>
      <c r="I7141" t="s">
        <v>1090</v>
      </c>
      <c r="J7141">
        <v>8.01</v>
      </c>
    </row>
    <row r="7142" spans="1:13" hidden="1">
      <c r="A7142" t="s">
        <v>4850</v>
      </c>
      <c r="B7142" t="s">
        <v>4851</v>
      </c>
      <c r="C7142" t="s">
        <v>244</v>
      </c>
      <c r="D7142" t="s">
        <v>4826</v>
      </c>
      <c r="E7142" t="s">
        <v>556</v>
      </c>
      <c r="F7142" t="s">
        <v>1068</v>
      </c>
      <c r="G7142" t="s">
        <v>1069</v>
      </c>
      <c r="H7142" s="171" t="s">
        <v>4681</v>
      </c>
      <c r="I7142" t="s">
        <v>1070</v>
      </c>
      <c r="J7142">
        <v>7.49</v>
      </c>
    </row>
    <row r="7143" spans="1:13" hidden="1">
      <c r="A7143" t="s">
        <v>4850</v>
      </c>
      <c r="B7143" t="s">
        <v>4851</v>
      </c>
      <c r="C7143" t="s">
        <v>244</v>
      </c>
      <c r="D7143" t="s">
        <v>4826</v>
      </c>
      <c r="E7143" t="s">
        <v>556</v>
      </c>
      <c r="F7143" t="s">
        <v>1068</v>
      </c>
      <c r="G7143" t="s">
        <v>1071</v>
      </c>
      <c r="H7143" s="171" t="s">
        <v>4682</v>
      </c>
      <c r="I7143" t="s">
        <v>1072</v>
      </c>
      <c r="J7143">
        <v>7.49</v>
      </c>
    </row>
    <row r="7144" spans="1:13" hidden="1">
      <c r="A7144" t="s">
        <v>4850</v>
      </c>
      <c r="B7144" t="s">
        <v>4851</v>
      </c>
      <c r="C7144" t="s">
        <v>244</v>
      </c>
      <c r="D7144" t="s">
        <v>4826</v>
      </c>
      <c r="E7144" t="s">
        <v>556</v>
      </c>
      <c r="F7144" t="s">
        <v>1068</v>
      </c>
      <c r="G7144" t="s">
        <v>1073</v>
      </c>
      <c r="H7144" s="171" t="s">
        <v>4683</v>
      </c>
      <c r="I7144" t="s">
        <v>1074</v>
      </c>
      <c r="J7144">
        <v>7.49</v>
      </c>
    </row>
    <row r="7145" spans="1:13" hidden="1">
      <c r="A7145" t="s">
        <v>4850</v>
      </c>
      <c r="B7145" t="s">
        <v>4851</v>
      </c>
      <c r="C7145" t="s">
        <v>244</v>
      </c>
      <c r="D7145" t="s">
        <v>4826</v>
      </c>
      <c r="E7145" t="s">
        <v>556</v>
      </c>
      <c r="F7145" t="s">
        <v>1068</v>
      </c>
      <c r="G7145" t="s">
        <v>1075</v>
      </c>
      <c r="H7145">
        <v>1.11566389068405E-2</v>
      </c>
      <c r="I7145" t="s">
        <v>1077</v>
      </c>
      <c r="J7145">
        <v>7.49</v>
      </c>
    </row>
    <row r="7146" spans="1:13">
      <c r="A7146" t="s">
        <v>4850</v>
      </c>
      <c r="B7146" t="s">
        <v>4851</v>
      </c>
      <c r="C7146" t="s">
        <v>244</v>
      </c>
      <c r="D7146" t="s">
        <v>4826</v>
      </c>
      <c r="E7146" t="s">
        <v>556</v>
      </c>
      <c r="F7146" t="s">
        <v>1068</v>
      </c>
      <c r="G7146" t="s">
        <v>1078</v>
      </c>
      <c r="H7146">
        <v>-0.176760858497749</v>
      </c>
      <c r="I7146" t="s">
        <v>1079</v>
      </c>
      <c r="J7146">
        <v>7.49</v>
      </c>
      <c r="M7146" t="str">
        <f>_xlfn.TEXTJOIN(" - ",TRUE,A7146,G7146)</f>
        <v>Recycle - Green_glass - India - Global warming</v>
      </c>
    </row>
    <row r="7147" spans="1:13" hidden="1">
      <c r="A7147" t="s">
        <v>4850</v>
      </c>
      <c r="B7147" t="s">
        <v>4851</v>
      </c>
      <c r="C7147" t="s">
        <v>244</v>
      </c>
      <c r="D7147" t="s">
        <v>4826</v>
      </c>
      <c r="E7147" t="s">
        <v>556</v>
      </c>
      <c r="F7147" t="s">
        <v>1068</v>
      </c>
      <c r="G7147" t="s">
        <v>1080</v>
      </c>
      <c r="H7147" s="171" t="s">
        <v>4852</v>
      </c>
      <c r="I7147" t="s">
        <v>1082</v>
      </c>
      <c r="J7147">
        <v>7.49</v>
      </c>
    </row>
    <row r="7148" spans="1:13" hidden="1">
      <c r="A7148" t="s">
        <v>4850</v>
      </c>
      <c r="B7148" t="s">
        <v>4851</v>
      </c>
      <c r="C7148" t="s">
        <v>244</v>
      </c>
      <c r="D7148" t="s">
        <v>4826</v>
      </c>
      <c r="E7148" t="s">
        <v>556</v>
      </c>
      <c r="F7148" t="s">
        <v>1068</v>
      </c>
      <c r="G7148" t="s">
        <v>1083</v>
      </c>
      <c r="H7148" s="171" t="s">
        <v>4853</v>
      </c>
      <c r="I7148" t="s">
        <v>1084</v>
      </c>
      <c r="J7148">
        <v>7.49</v>
      </c>
    </row>
    <row r="7149" spans="1:13" hidden="1">
      <c r="A7149" t="s">
        <v>4850</v>
      </c>
      <c r="B7149" t="s">
        <v>4851</v>
      </c>
      <c r="C7149" t="s">
        <v>244</v>
      </c>
      <c r="D7149" t="s">
        <v>4826</v>
      </c>
      <c r="E7149" t="s">
        <v>556</v>
      </c>
      <c r="F7149" t="s">
        <v>1068</v>
      </c>
      <c r="G7149" t="s">
        <v>1085</v>
      </c>
      <c r="H7149">
        <v>3.01719906612353E-4</v>
      </c>
      <c r="I7149" t="s">
        <v>1086</v>
      </c>
      <c r="J7149">
        <v>7.49</v>
      </c>
    </row>
    <row r="7150" spans="1:13" hidden="1">
      <c r="A7150" t="s">
        <v>4850</v>
      </c>
      <c r="B7150" t="s">
        <v>4851</v>
      </c>
      <c r="C7150" t="s">
        <v>244</v>
      </c>
      <c r="D7150" t="s">
        <v>4826</v>
      </c>
      <c r="E7150" t="s">
        <v>556</v>
      </c>
      <c r="F7150" t="s">
        <v>1068</v>
      </c>
      <c r="G7150" t="s">
        <v>1087</v>
      </c>
      <c r="H7150" s="171" t="s">
        <v>4854</v>
      </c>
      <c r="I7150" t="s">
        <v>1088</v>
      </c>
      <c r="J7150">
        <v>7.49</v>
      </c>
    </row>
    <row r="7151" spans="1:13" hidden="1">
      <c r="A7151" t="s">
        <v>4850</v>
      </c>
      <c r="B7151" t="s">
        <v>4851</v>
      </c>
      <c r="C7151" t="s">
        <v>244</v>
      </c>
      <c r="D7151" t="s">
        <v>4826</v>
      </c>
      <c r="E7151" t="s">
        <v>556</v>
      </c>
      <c r="F7151" t="s">
        <v>1068</v>
      </c>
      <c r="G7151" t="s">
        <v>1089</v>
      </c>
      <c r="H7151">
        <v>1.07570125886887E-4</v>
      </c>
      <c r="I7151" t="s">
        <v>1090</v>
      </c>
      <c r="J7151">
        <v>7.49</v>
      </c>
    </row>
    <row r="7152" spans="1:13" hidden="1">
      <c r="A7152" t="s">
        <v>4855</v>
      </c>
      <c r="B7152" t="s">
        <v>4856</v>
      </c>
      <c r="C7152" t="s">
        <v>244</v>
      </c>
      <c r="D7152" t="s">
        <v>4826</v>
      </c>
      <c r="E7152" t="s">
        <v>557</v>
      </c>
      <c r="F7152" t="s">
        <v>1068</v>
      </c>
      <c r="G7152" t="s">
        <v>1069</v>
      </c>
      <c r="H7152" s="171" t="s">
        <v>4690</v>
      </c>
      <c r="I7152" t="s">
        <v>1070</v>
      </c>
      <c r="J7152">
        <v>7.94</v>
      </c>
    </row>
    <row r="7153" spans="1:13" hidden="1">
      <c r="A7153" t="s">
        <v>4855</v>
      </c>
      <c r="B7153" t="s">
        <v>4856</v>
      </c>
      <c r="C7153" t="s">
        <v>244</v>
      </c>
      <c r="D7153" t="s">
        <v>4826</v>
      </c>
      <c r="E7153" t="s">
        <v>557</v>
      </c>
      <c r="F7153" t="s">
        <v>1068</v>
      </c>
      <c r="G7153" t="s">
        <v>1071</v>
      </c>
      <c r="H7153" s="171" t="s">
        <v>4691</v>
      </c>
      <c r="I7153" t="s">
        <v>1072</v>
      </c>
      <c r="J7153">
        <v>7.94</v>
      </c>
    </row>
    <row r="7154" spans="1:13" hidden="1">
      <c r="A7154" t="s">
        <v>4855</v>
      </c>
      <c r="B7154" t="s">
        <v>4856</v>
      </c>
      <c r="C7154" t="s">
        <v>244</v>
      </c>
      <c r="D7154" t="s">
        <v>4826</v>
      </c>
      <c r="E7154" t="s">
        <v>557</v>
      </c>
      <c r="F7154" t="s">
        <v>1068</v>
      </c>
      <c r="G7154" t="s">
        <v>1073</v>
      </c>
      <c r="H7154" s="171" t="s">
        <v>4692</v>
      </c>
      <c r="I7154" t="s">
        <v>1074</v>
      </c>
      <c r="J7154">
        <v>7.94</v>
      </c>
    </row>
    <row r="7155" spans="1:13" hidden="1">
      <c r="A7155" t="s">
        <v>4855</v>
      </c>
      <c r="B7155" t="s">
        <v>4856</v>
      </c>
      <c r="C7155" t="s">
        <v>244</v>
      </c>
      <c r="D7155" t="s">
        <v>4826</v>
      </c>
      <c r="E7155" t="s">
        <v>557</v>
      </c>
      <c r="F7155" t="s">
        <v>1068</v>
      </c>
      <c r="G7155" t="s">
        <v>1075</v>
      </c>
      <c r="H7155">
        <v>1.11449881090278E-2</v>
      </c>
      <c r="I7155" t="s">
        <v>1077</v>
      </c>
      <c r="J7155">
        <v>7.94</v>
      </c>
    </row>
    <row r="7156" spans="1:13">
      <c r="A7156" t="s">
        <v>4855</v>
      </c>
      <c r="B7156" t="s">
        <v>4856</v>
      </c>
      <c r="C7156" t="s">
        <v>244</v>
      </c>
      <c r="D7156" t="s">
        <v>4826</v>
      </c>
      <c r="E7156" t="s">
        <v>557</v>
      </c>
      <c r="F7156" t="s">
        <v>1068</v>
      </c>
      <c r="G7156" t="s">
        <v>1078</v>
      </c>
      <c r="H7156">
        <v>-0.17726468393688499</v>
      </c>
      <c r="I7156" t="s">
        <v>1079</v>
      </c>
      <c r="J7156">
        <v>7.94</v>
      </c>
      <c r="M7156" t="str">
        <f>_xlfn.TEXTJOIN(" - ",TRUE,A7156,G7156)</f>
        <v>Recycle - Green_glass - Ireland - Global warming</v>
      </c>
    </row>
    <row r="7157" spans="1:13" hidden="1">
      <c r="A7157" t="s">
        <v>4855</v>
      </c>
      <c r="B7157" t="s">
        <v>4856</v>
      </c>
      <c r="C7157" t="s">
        <v>244</v>
      </c>
      <c r="D7157" t="s">
        <v>4826</v>
      </c>
      <c r="E7157" t="s">
        <v>557</v>
      </c>
      <c r="F7157" t="s">
        <v>1068</v>
      </c>
      <c r="G7157" t="s">
        <v>1080</v>
      </c>
      <c r="H7157" s="171" t="s">
        <v>4693</v>
      </c>
      <c r="I7157" t="s">
        <v>1082</v>
      </c>
      <c r="J7157">
        <v>7.94</v>
      </c>
    </row>
    <row r="7158" spans="1:13" hidden="1">
      <c r="A7158" t="s">
        <v>4855</v>
      </c>
      <c r="B7158" t="s">
        <v>4856</v>
      </c>
      <c r="C7158" t="s">
        <v>244</v>
      </c>
      <c r="D7158" t="s">
        <v>4826</v>
      </c>
      <c r="E7158" t="s">
        <v>557</v>
      </c>
      <c r="F7158" t="s">
        <v>1068</v>
      </c>
      <c r="G7158" t="s">
        <v>1083</v>
      </c>
      <c r="H7158" s="171" t="s">
        <v>4694</v>
      </c>
      <c r="I7158" t="s">
        <v>1084</v>
      </c>
      <c r="J7158">
        <v>7.94</v>
      </c>
    </row>
    <row r="7159" spans="1:13" hidden="1">
      <c r="A7159" t="s">
        <v>4855</v>
      </c>
      <c r="B7159" t="s">
        <v>4856</v>
      </c>
      <c r="C7159" t="s">
        <v>244</v>
      </c>
      <c r="D7159" t="s">
        <v>4826</v>
      </c>
      <c r="E7159" t="s">
        <v>557</v>
      </c>
      <c r="F7159" t="s">
        <v>1068</v>
      </c>
      <c r="G7159" t="s">
        <v>1085</v>
      </c>
      <c r="H7159">
        <v>3.0108673946904101E-4</v>
      </c>
      <c r="I7159" t="s">
        <v>1086</v>
      </c>
      <c r="J7159">
        <v>7.94</v>
      </c>
    </row>
    <row r="7160" spans="1:13" hidden="1">
      <c r="A7160" t="s">
        <v>4855</v>
      </c>
      <c r="B7160" t="s">
        <v>4856</v>
      </c>
      <c r="C7160" t="s">
        <v>244</v>
      </c>
      <c r="D7160" t="s">
        <v>4826</v>
      </c>
      <c r="E7160" t="s">
        <v>557</v>
      </c>
      <c r="F7160" t="s">
        <v>1068</v>
      </c>
      <c r="G7160" t="s">
        <v>1087</v>
      </c>
      <c r="H7160" s="171" t="s">
        <v>4857</v>
      </c>
      <c r="I7160" t="s">
        <v>1088</v>
      </c>
      <c r="J7160">
        <v>7.94</v>
      </c>
    </row>
    <row r="7161" spans="1:13" hidden="1">
      <c r="A7161" t="s">
        <v>4855</v>
      </c>
      <c r="B7161" t="s">
        <v>4856</v>
      </c>
      <c r="C7161" t="s">
        <v>244</v>
      </c>
      <c r="D7161" t="s">
        <v>4826</v>
      </c>
      <c r="E7161" t="s">
        <v>557</v>
      </c>
      <c r="F7161" t="s">
        <v>1068</v>
      </c>
      <c r="G7161" t="s">
        <v>1089</v>
      </c>
      <c r="H7161">
        <v>1.0743950475555999E-4</v>
      </c>
      <c r="I7161" t="s">
        <v>1090</v>
      </c>
      <c r="J7161">
        <v>7.94</v>
      </c>
    </row>
    <row r="7162" spans="1:13" hidden="1">
      <c r="A7162" t="s">
        <v>4858</v>
      </c>
      <c r="B7162" t="s">
        <v>4859</v>
      </c>
      <c r="C7162" t="s">
        <v>244</v>
      </c>
      <c r="D7162" t="s">
        <v>4826</v>
      </c>
      <c r="E7162" t="s">
        <v>559</v>
      </c>
      <c r="F7162" t="s">
        <v>1068</v>
      </c>
      <c r="G7162" t="s">
        <v>1069</v>
      </c>
      <c r="H7162" s="171" t="s">
        <v>4698</v>
      </c>
      <c r="I7162" t="s">
        <v>1070</v>
      </c>
      <c r="J7162">
        <v>7.42</v>
      </c>
    </row>
    <row r="7163" spans="1:13" hidden="1">
      <c r="A7163" t="s">
        <v>4858</v>
      </c>
      <c r="B7163" t="s">
        <v>4859</v>
      </c>
      <c r="C7163" t="s">
        <v>244</v>
      </c>
      <c r="D7163" t="s">
        <v>4826</v>
      </c>
      <c r="E7163" t="s">
        <v>559</v>
      </c>
      <c r="F7163" t="s">
        <v>1068</v>
      </c>
      <c r="G7163" t="s">
        <v>1071</v>
      </c>
      <c r="H7163" s="171" t="s">
        <v>4699</v>
      </c>
      <c r="I7163" t="s">
        <v>1072</v>
      </c>
      <c r="J7163">
        <v>7.42</v>
      </c>
    </row>
    <row r="7164" spans="1:13" hidden="1">
      <c r="A7164" t="s">
        <v>4858</v>
      </c>
      <c r="B7164" t="s">
        <v>4859</v>
      </c>
      <c r="C7164" t="s">
        <v>244</v>
      </c>
      <c r="D7164" t="s">
        <v>4826</v>
      </c>
      <c r="E7164" t="s">
        <v>559</v>
      </c>
      <c r="F7164" t="s">
        <v>1068</v>
      </c>
      <c r="G7164" t="s">
        <v>1073</v>
      </c>
      <c r="H7164" s="171" t="s">
        <v>4700</v>
      </c>
      <c r="I7164" t="s">
        <v>1074</v>
      </c>
      <c r="J7164">
        <v>7.42</v>
      </c>
    </row>
    <row r="7165" spans="1:13" hidden="1">
      <c r="A7165" t="s">
        <v>4858</v>
      </c>
      <c r="B7165" t="s">
        <v>4859</v>
      </c>
      <c r="C7165" t="s">
        <v>244</v>
      </c>
      <c r="D7165" t="s">
        <v>4826</v>
      </c>
      <c r="E7165" t="s">
        <v>559</v>
      </c>
      <c r="F7165" t="s">
        <v>1068</v>
      </c>
      <c r="G7165" t="s">
        <v>1075</v>
      </c>
      <c r="H7165" s="171" t="s">
        <v>4860</v>
      </c>
      <c r="I7165" t="s">
        <v>1077</v>
      </c>
      <c r="J7165">
        <v>7.42</v>
      </c>
    </row>
    <row r="7166" spans="1:13">
      <c r="A7166" t="s">
        <v>4858</v>
      </c>
      <c r="B7166" t="s">
        <v>4859</v>
      </c>
      <c r="C7166" t="s">
        <v>244</v>
      </c>
      <c r="D7166" t="s">
        <v>4826</v>
      </c>
      <c r="E7166" t="s">
        <v>559</v>
      </c>
      <c r="F7166" t="s">
        <v>1068</v>
      </c>
      <c r="G7166" t="s">
        <v>1078</v>
      </c>
      <c r="H7166">
        <v>-0.177021262657302</v>
      </c>
      <c r="I7166" t="s">
        <v>1079</v>
      </c>
      <c r="J7166">
        <v>7.42</v>
      </c>
      <c r="M7166" t="str">
        <f>_xlfn.TEXTJOIN(" - ",TRUE,A7166,G7166)</f>
        <v>Recycle - Green_glass - Mexico - Global warming</v>
      </c>
    </row>
    <row r="7167" spans="1:13" hidden="1">
      <c r="A7167" t="s">
        <v>4858</v>
      </c>
      <c r="B7167" t="s">
        <v>4859</v>
      </c>
      <c r="C7167" t="s">
        <v>244</v>
      </c>
      <c r="D7167" t="s">
        <v>4826</v>
      </c>
      <c r="E7167" t="s">
        <v>559</v>
      </c>
      <c r="F7167" t="s">
        <v>1068</v>
      </c>
      <c r="G7167" t="s">
        <v>1080</v>
      </c>
      <c r="H7167" s="171" t="s">
        <v>4861</v>
      </c>
      <c r="I7167" t="s">
        <v>1082</v>
      </c>
      <c r="J7167">
        <v>7.42</v>
      </c>
    </row>
    <row r="7168" spans="1:13" hidden="1">
      <c r="A7168" t="s">
        <v>4858</v>
      </c>
      <c r="B7168" t="s">
        <v>4859</v>
      </c>
      <c r="C7168" t="s">
        <v>244</v>
      </c>
      <c r="D7168" t="s">
        <v>4826</v>
      </c>
      <c r="E7168" t="s">
        <v>559</v>
      </c>
      <c r="F7168" t="s">
        <v>1068</v>
      </c>
      <c r="G7168" t="s">
        <v>1083</v>
      </c>
      <c r="H7168" s="171" t="s">
        <v>4862</v>
      </c>
      <c r="I7168" t="s">
        <v>1084</v>
      </c>
      <c r="J7168">
        <v>7.42</v>
      </c>
    </row>
    <row r="7169" spans="1:13" hidden="1">
      <c r="A7169" t="s">
        <v>4858</v>
      </c>
      <c r="B7169" t="s">
        <v>4859</v>
      </c>
      <c r="C7169" t="s">
        <v>244</v>
      </c>
      <c r="D7169" t="s">
        <v>4826</v>
      </c>
      <c r="E7169" t="s">
        <v>559</v>
      </c>
      <c r="F7169" t="s">
        <v>1068</v>
      </c>
      <c r="G7169" t="s">
        <v>1085</v>
      </c>
      <c r="H7169">
        <v>3.01392651684349E-4</v>
      </c>
      <c r="I7169" t="s">
        <v>1086</v>
      </c>
      <c r="J7169">
        <v>7.42</v>
      </c>
    </row>
    <row r="7170" spans="1:13" hidden="1">
      <c r="A7170" t="s">
        <v>4858</v>
      </c>
      <c r="B7170" t="s">
        <v>4859</v>
      </c>
      <c r="C7170" t="s">
        <v>244</v>
      </c>
      <c r="D7170" t="s">
        <v>4826</v>
      </c>
      <c r="E7170" t="s">
        <v>559</v>
      </c>
      <c r="F7170" t="s">
        <v>1068</v>
      </c>
      <c r="G7170" t="s">
        <v>1087</v>
      </c>
      <c r="H7170" s="171" t="s">
        <v>4863</v>
      </c>
      <c r="I7170" t="s">
        <v>1088</v>
      </c>
      <c r="J7170">
        <v>7.42</v>
      </c>
    </row>
    <row r="7171" spans="1:13" hidden="1">
      <c r="A7171" t="s">
        <v>4858</v>
      </c>
      <c r="B7171" t="s">
        <v>4859</v>
      </c>
      <c r="C7171" t="s">
        <v>244</v>
      </c>
      <c r="D7171" t="s">
        <v>4826</v>
      </c>
      <c r="E7171" t="s">
        <v>559</v>
      </c>
      <c r="F7171" t="s">
        <v>1068</v>
      </c>
      <c r="G7171" t="s">
        <v>1089</v>
      </c>
      <c r="H7171">
        <v>1.07502613841482E-4</v>
      </c>
      <c r="I7171" t="s">
        <v>1090</v>
      </c>
      <c r="J7171">
        <v>7.42</v>
      </c>
    </row>
    <row r="7172" spans="1:13" hidden="1">
      <c r="A7172" t="s">
        <v>4864</v>
      </c>
      <c r="B7172" t="s">
        <v>4865</v>
      </c>
      <c r="C7172" t="s">
        <v>244</v>
      </c>
      <c r="D7172" t="s">
        <v>4826</v>
      </c>
      <c r="E7172" t="s">
        <v>560</v>
      </c>
      <c r="F7172" t="s">
        <v>1068</v>
      </c>
      <c r="G7172" t="s">
        <v>1069</v>
      </c>
      <c r="H7172" s="171" t="s">
        <v>4866</v>
      </c>
      <c r="I7172" t="s">
        <v>1070</v>
      </c>
      <c r="J7172">
        <v>8.09</v>
      </c>
    </row>
    <row r="7173" spans="1:13" hidden="1">
      <c r="A7173" t="s">
        <v>4864</v>
      </c>
      <c r="B7173" t="s">
        <v>4865</v>
      </c>
      <c r="C7173" t="s">
        <v>244</v>
      </c>
      <c r="D7173" t="s">
        <v>4826</v>
      </c>
      <c r="E7173" t="s">
        <v>560</v>
      </c>
      <c r="F7173" t="s">
        <v>1068</v>
      </c>
      <c r="G7173" t="s">
        <v>1071</v>
      </c>
      <c r="H7173" s="171" t="s">
        <v>4867</v>
      </c>
      <c r="I7173" t="s">
        <v>1072</v>
      </c>
      <c r="J7173">
        <v>8.09</v>
      </c>
    </row>
    <row r="7174" spans="1:13" hidden="1">
      <c r="A7174" t="s">
        <v>4864</v>
      </c>
      <c r="B7174" t="s">
        <v>4865</v>
      </c>
      <c r="C7174" t="s">
        <v>244</v>
      </c>
      <c r="D7174" t="s">
        <v>4826</v>
      </c>
      <c r="E7174" t="s">
        <v>560</v>
      </c>
      <c r="F7174" t="s">
        <v>1068</v>
      </c>
      <c r="G7174" t="s">
        <v>1073</v>
      </c>
      <c r="H7174" s="171" t="s">
        <v>4868</v>
      </c>
      <c r="I7174" t="s">
        <v>1074</v>
      </c>
      <c r="J7174">
        <v>8.09</v>
      </c>
    </row>
    <row r="7175" spans="1:13" hidden="1">
      <c r="A7175" t="s">
        <v>4864</v>
      </c>
      <c r="B7175" t="s">
        <v>4865</v>
      </c>
      <c r="C7175" t="s">
        <v>244</v>
      </c>
      <c r="D7175" t="s">
        <v>4826</v>
      </c>
      <c r="E7175" t="s">
        <v>560</v>
      </c>
      <c r="F7175" t="s">
        <v>1068</v>
      </c>
      <c r="G7175" t="s">
        <v>1075</v>
      </c>
      <c r="H7175" s="171" t="s">
        <v>4869</v>
      </c>
      <c r="I7175" t="s">
        <v>1077</v>
      </c>
      <c r="J7175">
        <v>8.09</v>
      </c>
    </row>
    <row r="7176" spans="1:13">
      <c r="A7176" t="s">
        <v>4864</v>
      </c>
      <c r="B7176" t="s">
        <v>4865</v>
      </c>
      <c r="C7176" t="s">
        <v>244</v>
      </c>
      <c r="D7176" t="s">
        <v>4826</v>
      </c>
      <c r="E7176" t="s">
        <v>560</v>
      </c>
      <c r="F7176" t="s">
        <v>1068</v>
      </c>
      <c r="G7176" t="s">
        <v>1078</v>
      </c>
      <c r="H7176">
        <v>-0.17710420620441999</v>
      </c>
      <c r="I7176" t="s">
        <v>1079</v>
      </c>
      <c r="J7176">
        <v>8.09</v>
      </c>
      <c r="M7176" t="str">
        <f>_xlfn.TEXTJOIN(" - ",TRUE,A7176,G7176)</f>
        <v>Recycle - Green_glass - Spain - Global warming</v>
      </c>
    </row>
    <row r="7177" spans="1:13" hidden="1">
      <c r="A7177" t="s">
        <v>4864</v>
      </c>
      <c r="B7177" t="s">
        <v>4865</v>
      </c>
      <c r="C7177" t="s">
        <v>244</v>
      </c>
      <c r="D7177" t="s">
        <v>4826</v>
      </c>
      <c r="E7177" t="s">
        <v>560</v>
      </c>
      <c r="F7177" t="s">
        <v>1068</v>
      </c>
      <c r="G7177" t="s">
        <v>1080</v>
      </c>
      <c r="H7177" s="171" t="s">
        <v>4870</v>
      </c>
      <c r="I7177" t="s">
        <v>1082</v>
      </c>
      <c r="J7177">
        <v>8.09</v>
      </c>
    </row>
    <row r="7178" spans="1:13" hidden="1">
      <c r="A7178" t="s">
        <v>4864</v>
      </c>
      <c r="B7178" t="s">
        <v>4865</v>
      </c>
      <c r="C7178" t="s">
        <v>244</v>
      </c>
      <c r="D7178" t="s">
        <v>4826</v>
      </c>
      <c r="E7178" t="s">
        <v>560</v>
      </c>
      <c r="F7178" t="s">
        <v>1068</v>
      </c>
      <c r="G7178" t="s">
        <v>1083</v>
      </c>
      <c r="H7178" s="171" t="s">
        <v>4871</v>
      </c>
      <c r="I7178" t="s">
        <v>1084</v>
      </c>
      <c r="J7178">
        <v>8.09</v>
      </c>
    </row>
    <row r="7179" spans="1:13" hidden="1">
      <c r="A7179" t="s">
        <v>4864</v>
      </c>
      <c r="B7179" t="s">
        <v>4865</v>
      </c>
      <c r="C7179" t="s">
        <v>244</v>
      </c>
      <c r="D7179" t="s">
        <v>4826</v>
      </c>
      <c r="E7179" t="s">
        <v>560</v>
      </c>
      <c r="F7179" t="s">
        <v>1068</v>
      </c>
      <c r="G7179" t="s">
        <v>1085</v>
      </c>
      <c r="H7179">
        <v>3.0128841492950301E-4</v>
      </c>
      <c r="I7179" t="s">
        <v>1086</v>
      </c>
      <c r="J7179">
        <v>8.09</v>
      </c>
    </row>
    <row r="7180" spans="1:13" hidden="1">
      <c r="A7180" t="s">
        <v>4864</v>
      </c>
      <c r="B7180" t="s">
        <v>4865</v>
      </c>
      <c r="C7180" t="s">
        <v>244</v>
      </c>
      <c r="D7180" t="s">
        <v>4826</v>
      </c>
      <c r="E7180" t="s">
        <v>560</v>
      </c>
      <c r="F7180" t="s">
        <v>1068</v>
      </c>
      <c r="G7180" t="s">
        <v>1087</v>
      </c>
      <c r="H7180" s="171" t="s">
        <v>4872</v>
      </c>
      <c r="I7180" t="s">
        <v>1088</v>
      </c>
      <c r="J7180">
        <v>8.09</v>
      </c>
    </row>
    <row r="7181" spans="1:13" hidden="1">
      <c r="A7181" t="s">
        <v>4864</v>
      </c>
      <c r="B7181" t="s">
        <v>4865</v>
      </c>
      <c r="C7181" t="s">
        <v>244</v>
      </c>
      <c r="D7181" t="s">
        <v>4826</v>
      </c>
      <c r="E7181" t="s">
        <v>560</v>
      </c>
      <c r="F7181" t="s">
        <v>1068</v>
      </c>
      <c r="G7181" t="s">
        <v>1089</v>
      </c>
      <c r="H7181">
        <v>1.07481110004797E-4</v>
      </c>
      <c r="I7181" t="s">
        <v>1090</v>
      </c>
      <c r="J7181">
        <v>8.09</v>
      </c>
    </row>
    <row r="7182" spans="1:13" hidden="1">
      <c r="A7182" t="s">
        <v>4873</v>
      </c>
      <c r="B7182" t="s">
        <v>4874</v>
      </c>
      <c r="C7182" t="s">
        <v>244</v>
      </c>
      <c r="D7182" t="s">
        <v>4826</v>
      </c>
      <c r="E7182" t="s">
        <v>554</v>
      </c>
      <c r="F7182" t="s">
        <v>1068</v>
      </c>
      <c r="G7182" t="s">
        <v>1069</v>
      </c>
      <c r="H7182" s="171" t="s">
        <v>4715</v>
      </c>
      <c r="I7182" t="s">
        <v>1070</v>
      </c>
      <c r="J7182">
        <v>7.76</v>
      </c>
    </row>
    <row r="7183" spans="1:13" hidden="1">
      <c r="A7183" t="s">
        <v>4873</v>
      </c>
      <c r="B7183" t="s">
        <v>4874</v>
      </c>
      <c r="C7183" t="s">
        <v>244</v>
      </c>
      <c r="D7183" t="s">
        <v>4826</v>
      </c>
      <c r="E7183" t="s">
        <v>554</v>
      </c>
      <c r="F7183" t="s">
        <v>1068</v>
      </c>
      <c r="G7183" t="s">
        <v>1071</v>
      </c>
      <c r="H7183" s="171" t="s">
        <v>4716</v>
      </c>
      <c r="I7183" t="s">
        <v>1072</v>
      </c>
      <c r="J7183">
        <v>7.76</v>
      </c>
    </row>
    <row r="7184" spans="1:13" hidden="1">
      <c r="A7184" t="s">
        <v>4873</v>
      </c>
      <c r="B7184" t="s">
        <v>4874</v>
      </c>
      <c r="C7184" t="s">
        <v>244</v>
      </c>
      <c r="D7184" t="s">
        <v>4826</v>
      </c>
      <c r="E7184" t="s">
        <v>554</v>
      </c>
      <c r="F7184" t="s">
        <v>1068</v>
      </c>
      <c r="G7184" t="s">
        <v>1073</v>
      </c>
      <c r="H7184" s="171" t="s">
        <v>4717</v>
      </c>
      <c r="I7184" t="s">
        <v>1074</v>
      </c>
      <c r="J7184">
        <v>7.76</v>
      </c>
    </row>
    <row r="7185" spans="1:13" hidden="1">
      <c r="A7185" t="s">
        <v>4873</v>
      </c>
      <c r="B7185" t="s">
        <v>4874</v>
      </c>
      <c r="C7185" t="s">
        <v>244</v>
      </c>
      <c r="D7185" t="s">
        <v>4826</v>
      </c>
      <c r="E7185" t="s">
        <v>554</v>
      </c>
      <c r="F7185" t="s">
        <v>1068</v>
      </c>
      <c r="G7185" t="s">
        <v>1075</v>
      </c>
      <c r="H7185" s="171" t="s">
        <v>4718</v>
      </c>
      <c r="I7185" t="s">
        <v>1077</v>
      </c>
      <c r="J7185">
        <v>7.76</v>
      </c>
    </row>
    <row r="7186" spans="1:13">
      <c r="A7186" t="s">
        <v>4873</v>
      </c>
      <c r="B7186" t="s">
        <v>4874</v>
      </c>
      <c r="C7186" t="s">
        <v>244</v>
      </c>
      <c r="D7186" t="s">
        <v>4826</v>
      </c>
      <c r="E7186" t="s">
        <v>554</v>
      </c>
      <c r="F7186" t="s">
        <v>1068</v>
      </c>
      <c r="G7186" t="s">
        <v>1078</v>
      </c>
      <c r="H7186">
        <v>-0.177591272260928</v>
      </c>
      <c r="I7186" t="s">
        <v>1079</v>
      </c>
      <c r="J7186">
        <v>7.76</v>
      </c>
      <c r="M7186" t="str">
        <f>_xlfn.TEXTJOIN(" - ",TRUE,A7186,G7186)</f>
        <v>Recycle - Green_glass - United States - Global warming</v>
      </c>
    </row>
    <row r="7187" spans="1:13" hidden="1">
      <c r="A7187" t="s">
        <v>4873</v>
      </c>
      <c r="B7187" t="s">
        <v>4874</v>
      </c>
      <c r="C7187" t="s">
        <v>244</v>
      </c>
      <c r="D7187" t="s">
        <v>4826</v>
      </c>
      <c r="E7187" t="s">
        <v>554</v>
      </c>
      <c r="F7187" t="s">
        <v>1068</v>
      </c>
      <c r="G7187" t="s">
        <v>1080</v>
      </c>
      <c r="H7187" s="171" t="s">
        <v>4719</v>
      </c>
      <c r="I7187" t="s">
        <v>1082</v>
      </c>
      <c r="J7187">
        <v>7.76</v>
      </c>
    </row>
    <row r="7188" spans="1:13" hidden="1">
      <c r="A7188" t="s">
        <v>4873</v>
      </c>
      <c r="B7188" t="s">
        <v>4874</v>
      </c>
      <c r="C7188" t="s">
        <v>244</v>
      </c>
      <c r="D7188" t="s">
        <v>4826</v>
      </c>
      <c r="E7188" t="s">
        <v>554</v>
      </c>
      <c r="F7188" t="s">
        <v>1068</v>
      </c>
      <c r="G7188" t="s">
        <v>1083</v>
      </c>
      <c r="H7188" s="171" t="s">
        <v>4875</v>
      </c>
      <c r="I7188" t="s">
        <v>1084</v>
      </c>
      <c r="J7188">
        <v>7.76</v>
      </c>
    </row>
    <row r="7189" spans="1:13" hidden="1">
      <c r="A7189" t="s">
        <v>4873</v>
      </c>
      <c r="B7189" t="s">
        <v>4874</v>
      </c>
      <c r="C7189" t="s">
        <v>244</v>
      </c>
      <c r="D7189" t="s">
        <v>4826</v>
      </c>
      <c r="E7189" t="s">
        <v>554</v>
      </c>
      <c r="F7189" t="s">
        <v>1068</v>
      </c>
      <c r="G7189" t="s">
        <v>1085</v>
      </c>
      <c r="H7189">
        <v>3.00676309625468E-4</v>
      </c>
      <c r="I7189" t="s">
        <v>1086</v>
      </c>
      <c r="J7189">
        <v>7.76</v>
      </c>
    </row>
    <row r="7190" spans="1:13" hidden="1">
      <c r="A7190" t="s">
        <v>4873</v>
      </c>
      <c r="B7190" t="s">
        <v>4874</v>
      </c>
      <c r="C7190" t="s">
        <v>244</v>
      </c>
      <c r="D7190" t="s">
        <v>4826</v>
      </c>
      <c r="E7190" t="s">
        <v>554</v>
      </c>
      <c r="F7190" t="s">
        <v>1068</v>
      </c>
      <c r="G7190" t="s">
        <v>1087</v>
      </c>
      <c r="H7190" s="171" t="s">
        <v>4721</v>
      </c>
      <c r="I7190" t="s">
        <v>1088</v>
      </c>
      <c r="J7190">
        <v>7.76</v>
      </c>
    </row>
    <row r="7191" spans="1:13" hidden="1">
      <c r="A7191" t="s">
        <v>4873</v>
      </c>
      <c r="B7191" t="s">
        <v>4874</v>
      </c>
      <c r="C7191" t="s">
        <v>244</v>
      </c>
      <c r="D7191" t="s">
        <v>4826</v>
      </c>
      <c r="E7191" t="s">
        <v>554</v>
      </c>
      <c r="F7191" t="s">
        <v>1068</v>
      </c>
      <c r="G7191" t="s">
        <v>1089</v>
      </c>
      <c r="H7191">
        <v>1.07354833889322E-4</v>
      </c>
      <c r="I7191" t="s">
        <v>1090</v>
      </c>
      <c r="J7191">
        <v>7.76</v>
      </c>
    </row>
    <row r="7192" spans="1:13" hidden="1">
      <c r="A7192" t="s">
        <v>4876</v>
      </c>
      <c r="B7192" t="s">
        <v>4877</v>
      </c>
      <c r="C7192" t="s">
        <v>244</v>
      </c>
      <c r="D7192" t="s">
        <v>4878</v>
      </c>
      <c r="E7192" t="s">
        <v>561</v>
      </c>
      <c r="F7192" t="s">
        <v>1068</v>
      </c>
      <c r="G7192" t="s">
        <v>1069</v>
      </c>
      <c r="H7192">
        <v>-6.8077044883957498</v>
      </c>
      <c r="I7192" t="s">
        <v>1070</v>
      </c>
      <c r="J7192">
        <v>7.96</v>
      </c>
    </row>
    <row r="7193" spans="1:13" hidden="1">
      <c r="A7193" t="s">
        <v>4876</v>
      </c>
      <c r="B7193" t="s">
        <v>4877</v>
      </c>
      <c r="C7193" t="s">
        <v>244</v>
      </c>
      <c r="D7193" t="s">
        <v>4878</v>
      </c>
      <c r="E7193" t="s">
        <v>561</v>
      </c>
      <c r="F7193" t="s">
        <v>1068</v>
      </c>
      <c r="G7193" t="s">
        <v>1071</v>
      </c>
      <c r="H7193" s="170">
        <v>-1.7480440181939199E-8</v>
      </c>
      <c r="I7193" t="s">
        <v>1072</v>
      </c>
      <c r="J7193">
        <v>7.96</v>
      </c>
    </row>
    <row r="7194" spans="1:13" hidden="1">
      <c r="A7194" t="s">
        <v>4876</v>
      </c>
      <c r="B7194" t="s">
        <v>4877</v>
      </c>
      <c r="C7194" t="s">
        <v>244</v>
      </c>
      <c r="D7194" t="s">
        <v>4878</v>
      </c>
      <c r="E7194" t="s">
        <v>561</v>
      </c>
      <c r="F7194" t="s">
        <v>1068</v>
      </c>
      <c r="G7194" t="s">
        <v>1073</v>
      </c>
      <c r="H7194" s="170">
        <v>-2.7154015976227501E-6</v>
      </c>
      <c r="I7194" t="s">
        <v>1074</v>
      </c>
      <c r="J7194">
        <v>7.96</v>
      </c>
    </row>
    <row r="7195" spans="1:13" hidden="1">
      <c r="A7195" t="s">
        <v>4876</v>
      </c>
      <c r="B7195" t="s">
        <v>4877</v>
      </c>
      <c r="C7195" t="s">
        <v>244</v>
      </c>
      <c r="D7195" t="s">
        <v>4878</v>
      </c>
      <c r="E7195" t="s">
        <v>561</v>
      </c>
      <c r="F7195" t="s">
        <v>1068</v>
      </c>
      <c r="G7195" t="s">
        <v>1075</v>
      </c>
      <c r="H7195">
        <v>-0.54660475105095396</v>
      </c>
      <c r="I7195" t="s">
        <v>1077</v>
      </c>
      <c r="J7195">
        <v>7.96</v>
      </c>
    </row>
    <row r="7196" spans="1:13">
      <c r="A7196" t="s">
        <v>4876</v>
      </c>
      <c r="B7196" t="s">
        <v>4877</v>
      </c>
      <c r="C7196" t="s">
        <v>244</v>
      </c>
      <c r="D7196" t="s">
        <v>4878</v>
      </c>
      <c r="E7196" t="s">
        <v>561</v>
      </c>
      <c r="F7196" t="s">
        <v>1068</v>
      </c>
      <c r="G7196" t="s">
        <v>1078</v>
      </c>
      <c r="H7196">
        <v>-4.29621539165682</v>
      </c>
      <c r="I7196" t="s">
        <v>1079</v>
      </c>
      <c r="J7196">
        <v>7.96</v>
      </c>
      <c r="M7196" t="str">
        <f>_xlfn.TEXTJOIN(" - ",TRUE,A7196,G7196)</f>
        <v>Recycle - HDPE_P - Australia - Global warming</v>
      </c>
    </row>
    <row r="7197" spans="1:13" hidden="1">
      <c r="A7197" t="s">
        <v>4876</v>
      </c>
      <c r="B7197" t="s">
        <v>4877</v>
      </c>
      <c r="C7197" t="s">
        <v>244</v>
      </c>
      <c r="D7197" t="s">
        <v>4878</v>
      </c>
      <c r="E7197" t="s">
        <v>561</v>
      </c>
      <c r="F7197" t="s">
        <v>1068</v>
      </c>
      <c r="G7197" t="s">
        <v>1080</v>
      </c>
      <c r="H7197" s="170">
        <v>-2.4133472014318599E-8</v>
      </c>
      <c r="I7197" t="s">
        <v>1082</v>
      </c>
      <c r="J7197">
        <v>7.96</v>
      </c>
    </row>
    <row r="7198" spans="1:13" hidden="1">
      <c r="A7198" t="s">
        <v>4876</v>
      </c>
      <c r="B7198" t="s">
        <v>4877</v>
      </c>
      <c r="C7198" t="s">
        <v>244</v>
      </c>
      <c r="D7198" t="s">
        <v>4878</v>
      </c>
      <c r="E7198" t="s">
        <v>561</v>
      </c>
      <c r="F7198" t="s">
        <v>1068</v>
      </c>
      <c r="G7198" t="s">
        <v>1083</v>
      </c>
      <c r="H7198">
        <v>-3.3420969244456401E-4</v>
      </c>
      <c r="I7198" t="s">
        <v>1084</v>
      </c>
      <c r="J7198">
        <v>7.96</v>
      </c>
    </row>
    <row r="7199" spans="1:13" hidden="1">
      <c r="A7199" t="s">
        <v>4876</v>
      </c>
      <c r="B7199" t="s">
        <v>4877</v>
      </c>
      <c r="C7199" t="s">
        <v>244</v>
      </c>
      <c r="D7199" t="s">
        <v>4878</v>
      </c>
      <c r="E7199" t="s">
        <v>561</v>
      </c>
      <c r="F7199" t="s">
        <v>1068</v>
      </c>
      <c r="G7199" t="s">
        <v>1085</v>
      </c>
      <c r="H7199">
        <v>-1.50430599645255E-2</v>
      </c>
      <c r="I7199" t="s">
        <v>1086</v>
      </c>
      <c r="J7199">
        <v>7.96</v>
      </c>
    </row>
    <row r="7200" spans="1:13" hidden="1">
      <c r="A7200" t="s">
        <v>4876</v>
      </c>
      <c r="B7200" t="s">
        <v>4877</v>
      </c>
      <c r="C7200" t="s">
        <v>244</v>
      </c>
      <c r="D7200" t="s">
        <v>4878</v>
      </c>
      <c r="E7200" t="s">
        <v>561</v>
      </c>
      <c r="F7200" t="s">
        <v>1068</v>
      </c>
      <c r="G7200" t="s">
        <v>1087</v>
      </c>
      <c r="H7200" s="170">
        <v>-9.8208739389584999E-7</v>
      </c>
      <c r="I7200" t="s">
        <v>1088</v>
      </c>
      <c r="J7200">
        <v>7.96</v>
      </c>
    </row>
    <row r="7201" spans="1:13" hidden="1">
      <c r="A7201" t="s">
        <v>4876</v>
      </c>
      <c r="B7201" t="s">
        <v>4877</v>
      </c>
      <c r="C7201" t="s">
        <v>244</v>
      </c>
      <c r="D7201" t="s">
        <v>4878</v>
      </c>
      <c r="E7201" t="s">
        <v>561</v>
      </c>
      <c r="F7201" t="s">
        <v>1068</v>
      </c>
      <c r="G7201" t="s">
        <v>1089</v>
      </c>
      <c r="H7201">
        <v>-5.3741939003710002E-3</v>
      </c>
      <c r="I7201" t="s">
        <v>1090</v>
      </c>
      <c r="J7201">
        <v>7.96</v>
      </c>
    </row>
    <row r="7202" spans="1:13" hidden="1">
      <c r="A7202" t="s">
        <v>4879</v>
      </c>
      <c r="B7202" t="s">
        <v>4880</v>
      </c>
      <c r="C7202" t="s">
        <v>244</v>
      </c>
      <c r="D7202" t="s">
        <v>4878</v>
      </c>
      <c r="E7202" t="s">
        <v>555</v>
      </c>
      <c r="F7202" t="s">
        <v>1068</v>
      </c>
      <c r="G7202" t="s">
        <v>1069</v>
      </c>
      <c r="H7202">
        <v>-6.7817028153311298</v>
      </c>
      <c r="I7202" t="s">
        <v>1070</v>
      </c>
      <c r="J7202">
        <v>7.23</v>
      </c>
    </row>
    <row r="7203" spans="1:13" hidden="1">
      <c r="A7203" t="s">
        <v>4879</v>
      </c>
      <c r="B7203" t="s">
        <v>4880</v>
      </c>
      <c r="C7203" t="s">
        <v>244</v>
      </c>
      <c r="D7203" t="s">
        <v>4878</v>
      </c>
      <c r="E7203" t="s">
        <v>555</v>
      </c>
      <c r="F7203" t="s">
        <v>1068</v>
      </c>
      <c r="G7203" t="s">
        <v>1071</v>
      </c>
      <c r="H7203" s="170">
        <v>-1.7443231491965799E-8</v>
      </c>
      <c r="I7203" t="s">
        <v>1072</v>
      </c>
      <c r="J7203">
        <v>7.23</v>
      </c>
    </row>
    <row r="7204" spans="1:13" hidden="1">
      <c r="A7204" t="s">
        <v>4879</v>
      </c>
      <c r="B7204" t="s">
        <v>4880</v>
      </c>
      <c r="C7204" t="s">
        <v>244</v>
      </c>
      <c r="D7204" t="s">
        <v>4878</v>
      </c>
      <c r="E7204" t="s">
        <v>555</v>
      </c>
      <c r="F7204" t="s">
        <v>1068</v>
      </c>
      <c r="G7204" t="s">
        <v>1073</v>
      </c>
      <c r="H7204" s="170">
        <v>-2.70616572107589E-6</v>
      </c>
      <c r="I7204" t="s">
        <v>1074</v>
      </c>
      <c r="J7204">
        <v>7.23</v>
      </c>
    </row>
    <row r="7205" spans="1:13" hidden="1">
      <c r="A7205" t="s">
        <v>4879</v>
      </c>
      <c r="B7205" t="s">
        <v>4880</v>
      </c>
      <c r="C7205" t="s">
        <v>244</v>
      </c>
      <c r="D7205" t="s">
        <v>4878</v>
      </c>
      <c r="E7205" t="s">
        <v>555</v>
      </c>
      <c r="F7205" t="s">
        <v>1068</v>
      </c>
      <c r="G7205" t="s">
        <v>1075</v>
      </c>
      <c r="H7205">
        <v>-0.545782810388588</v>
      </c>
      <c r="I7205" t="s">
        <v>1077</v>
      </c>
      <c r="J7205">
        <v>7.23</v>
      </c>
    </row>
    <row r="7206" spans="1:13">
      <c r="A7206" t="s">
        <v>4879</v>
      </c>
      <c r="B7206" t="s">
        <v>4880</v>
      </c>
      <c r="C7206" t="s">
        <v>244</v>
      </c>
      <c r="D7206" t="s">
        <v>4878</v>
      </c>
      <c r="E7206" t="s">
        <v>555</v>
      </c>
      <c r="F7206" t="s">
        <v>1068</v>
      </c>
      <c r="G7206" t="s">
        <v>1078</v>
      </c>
      <c r="H7206">
        <v>-4.2606715068670704</v>
      </c>
      <c r="I7206" t="s">
        <v>1079</v>
      </c>
      <c r="J7206">
        <v>7.23</v>
      </c>
      <c r="M7206" t="str">
        <f>_xlfn.TEXTJOIN(" - ",TRUE,A7206,G7206)</f>
        <v>Recycle - HDPE_P - Brazil - Global warming</v>
      </c>
    </row>
    <row r="7207" spans="1:13" hidden="1">
      <c r="A7207" t="s">
        <v>4879</v>
      </c>
      <c r="B7207" t="s">
        <v>4880</v>
      </c>
      <c r="C7207" t="s">
        <v>244</v>
      </c>
      <c r="D7207" t="s">
        <v>4878</v>
      </c>
      <c r="E7207" t="s">
        <v>555</v>
      </c>
      <c r="F7207" t="s">
        <v>1068</v>
      </c>
      <c r="G7207" t="s">
        <v>1080</v>
      </c>
      <c r="H7207" s="170">
        <v>-2.3988938046631299E-8</v>
      </c>
      <c r="I7207" t="s">
        <v>1082</v>
      </c>
      <c r="J7207">
        <v>7.23</v>
      </c>
    </row>
    <row r="7208" spans="1:13" hidden="1">
      <c r="A7208" t="s">
        <v>4879</v>
      </c>
      <c r="B7208" t="s">
        <v>4880</v>
      </c>
      <c r="C7208" t="s">
        <v>244</v>
      </c>
      <c r="D7208" t="s">
        <v>4878</v>
      </c>
      <c r="E7208" t="s">
        <v>555</v>
      </c>
      <c r="F7208" t="s">
        <v>1068</v>
      </c>
      <c r="G7208" t="s">
        <v>1083</v>
      </c>
      <c r="H7208">
        <v>-3.3025742130371103E-4</v>
      </c>
      <c r="I7208" t="s">
        <v>1084</v>
      </c>
      <c r="J7208">
        <v>7.23</v>
      </c>
    </row>
    <row r="7209" spans="1:13" hidden="1">
      <c r="A7209" t="s">
        <v>4879</v>
      </c>
      <c r="B7209" t="s">
        <v>4880</v>
      </c>
      <c r="C7209" t="s">
        <v>244</v>
      </c>
      <c r="D7209" t="s">
        <v>4878</v>
      </c>
      <c r="E7209" t="s">
        <v>555</v>
      </c>
      <c r="F7209" t="s">
        <v>1068</v>
      </c>
      <c r="G7209" t="s">
        <v>1085</v>
      </c>
      <c r="H7209">
        <v>-1.49983912792105E-2</v>
      </c>
      <c r="I7209" t="s">
        <v>1086</v>
      </c>
      <c r="J7209">
        <v>7.23</v>
      </c>
    </row>
    <row r="7210" spans="1:13" hidden="1">
      <c r="A7210" t="s">
        <v>4879</v>
      </c>
      <c r="B7210" t="s">
        <v>4880</v>
      </c>
      <c r="C7210" t="s">
        <v>244</v>
      </c>
      <c r="D7210" t="s">
        <v>4878</v>
      </c>
      <c r="E7210" t="s">
        <v>555</v>
      </c>
      <c r="F7210" t="s">
        <v>1068</v>
      </c>
      <c r="G7210" t="s">
        <v>1087</v>
      </c>
      <c r="H7210" s="170">
        <v>-9.605300824049201E-7</v>
      </c>
      <c r="I7210" t="s">
        <v>1088</v>
      </c>
      <c r="J7210">
        <v>7.23</v>
      </c>
    </row>
    <row r="7211" spans="1:13" hidden="1">
      <c r="A7211" t="s">
        <v>4879</v>
      </c>
      <c r="B7211" t="s">
        <v>4880</v>
      </c>
      <c r="C7211" t="s">
        <v>244</v>
      </c>
      <c r="D7211" t="s">
        <v>4878</v>
      </c>
      <c r="E7211" t="s">
        <v>555</v>
      </c>
      <c r="F7211" t="s">
        <v>1068</v>
      </c>
      <c r="G7211" t="s">
        <v>1089</v>
      </c>
      <c r="H7211">
        <v>-5.3649788387993601E-3</v>
      </c>
      <c r="I7211" t="s">
        <v>1090</v>
      </c>
      <c r="J7211">
        <v>7.23</v>
      </c>
    </row>
    <row r="7212" spans="1:13" hidden="1">
      <c r="A7212" t="s">
        <v>4881</v>
      </c>
      <c r="B7212" t="s">
        <v>4882</v>
      </c>
      <c r="C7212" t="s">
        <v>244</v>
      </c>
      <c r="D7212" t="s">
        <v>4878</v>
      </c>
      <c r="E7212" t="s">
        <v>558</v>
      </c>
      <c r="F7212" t="s">
        <v>1068</v>
      </c>
      <c r="G7212" t="s">
        <v>1069</v>
      </c>
      <c r="H7212">
        <v>-6.81000671986504</v>
      </c>
      <c r="I7212" t="s">
        <v>1070</v>
      </c>
      <c r="J7212">
        <v>8.19</v>
      </c>
    </row>
    <row r="7213" spans="1:13" hidden="1">
      <c r="A7213" t="s">
        <v>4881</v>
      </c>
      <c r="B7213" t="s">
        <v>4882</v>
      </c>
      <c r="C7213" t="s">
        <v>244</v>
      </c>
      <c r="D7213" t="s">
        <v>4878</v>
      </c>
      <c r="E7213" t="s">
        <v>558</v>
      </c>
      <c r="F7213" t="s">
        <v>1068</v>
      </c>
      <c r="G7213" t="s">
        <v>1071</v>
      </c>
      <c r="H7213" s="170">
        <v>-1.7483734701364E-8</v>
      </c>
      <c r="I7213" t="s">
        <v>1072</v>
      </c>
      <c r="J7213">
        <v>8.19</v>
      </c>
    </row>
    <row r="7214" spans="1:13" hidden="1">
      <c r="A7214" t="s">
        <v>4881</v>
      </c>
      <c r="B7214" t="s">
        <v>4882</v>
      </c>
      <c r="C7214" t="s">
        <v>244</v>
      </c>
      <c r="D7214" t="s">
        <v>4878</v>
      </c>
      <c r="E7214" t="s">
        <v>558</v>
      </c>
      <c r="F7214" t="s">
        <v>1068</v>
      </c>
      <c r="G7214" t="s">
        <v>1073</v>
      </c>
      <c r="H7214" s="170">
        <v>-2.7162193575253402E-6</v>
      </c>
      <c r="I7214" t="s">
        <v>1074</v>
      </c>
      <c r="J7214">
        <v>8.19</v>
      </c>
    </row>
    <row r="7215" spans="1:13" hidden="1">
      <c r="A7215" t="s">
        <v>4881</v>
      </c>
      <c r="B7215" t="s">
        <v>4882</v>
      </c>
      <c r="C7215" t="s">
        <v>244</v>
      </c>
      <c r="D7215" t="s">
        <v>4878</v>
      </c>
      <c r="E7215" t="s">
        <v>558</v>
      </c>
      <c r="F7215" t="s">
        <v>1068</v>
      </c>
      <c r="G7215" t="s">
        <v>1075</v>
      </c>
      <c r="H7215">
        <v>-0.54667752704710104</v>
      </c>
      <c r="I7215" t="s">
        <v>1077</v>
      </c>
      <c r="J7215">
        <v>8.19</v>
      </c>
    </row>
    <row r="7216" spans="1:13">
      <c r="A7216" t="s">
        <v>4881</v>
      </c>
      <c r="B7216" t="s">
        <v>4882</v>
      </c>
      <c r="C7216" t="s">
        <v>244</v>
      </c>
      <c r="D7216" t="s">
        <v>4878</v>
      </c>
      <c r="E7216" t="s">
        <v>558</v>
      </c>
      <c r="F7216" t="s">
        <v>1068</v>
      </c>
      <c r="G7216" t="s">
        <v>1078</v>
      </c>
      <c r="H7216">
        <v>-4.29936250645593</v>
      </c>
      <c r="I7216" t="s">
        <v>1079</v>
      </c>
      <c r="J7216">
        <v>8.19</v>
      </c>
      <c r="M7216" t="str">
        <f>_xlfn.TEXTJOIN(" - ",TRUE,A7216,G7216)</f>
        <v>Recycle - HDPE_P - Canada - Global warming</v>
      </c>
    </row>
    <row r="7217" spans="1:13" hidden="1">
      <c r="A7217" t="s">
        <v>4881</v>
      </c>
      <c r="B7217" t="s">
        <v>4882</v>
      </c>
      <c r="C7217" t="s">
        <v>244</v>
      </c>
      <c r="D7217" t="s">
        <v>4878</v>
      </c>
      <c r="E7217" t="s">
        <v>558</v>
      </c>
      <c r="F7217" t="s">
        <v>1068</v>
      </c>
      <c r="G7217" t="s">
        <v>1080</v>
      </c>
      <c r="H7217" s="170">
        <v>-2.41462692927077E-8</v>
      </c>
      <c r="I7217" t="s">
        <v>1082</v>
      </c>
      <c r="J7217">
        <v>8.19</v>
      </c>
    </row>
    <row r="7218" spans="1:13" hidden="1">
      <c r="A7218" t="s">
        <v>4881</v>
      </c>
      <c r="B7218" t="s">
        <v>4882</v>
      </c>
      <c r="C7218" t="s">
        <v>244</v>
      </c>
      <c r="D7218" t="s">
        <v>4878</v>
      </c>
      <c r="E7218" t="s">
        <v>558</v>
      </c>
      <c r="F7218" t="s">
        <v>1068</v>
      </c>
      <c r="G7218" t="s">
        <v>1083</v>
      </c>
      <c r="H7218">
        <v>-3.3455963311849497E-4</v>
      </c>
      <c r="I7218" t="s">
        <v>1084</v>
      </c>
      <c r="J7218">
        <v>8.19</v>
      </c>
    </row>
    <row r="7219" spans="1:13" hidden="1">
      <c r="A7219" t="s">
        <v>4881</v>
      </c>
      <c r="B7219" t="s">
        <v>4882</v>
      </c>
      <c r="C7219" t="s">
        <v>244</v>
      </c>
      <c r="D7219" t="s">
        <v>4878</v>
      </c>
      <c r="E7219" t="s">
        <v>558</v>
      </c>
      <c r="F7219" t="s">
        <v>1068</v>
      </c>
      <c r="G7219" t="s">
        <v>1085</v>
      </c>
      <c r="H7219">
        <v>-1.5047015004371099E-2</v>
      </c>
      <c r="I7219" t="s">
        <v>1086</v>
      </c>
      <c r="J7219">
        <v>8.19</v>
      </c>
    </row>
    <row r="7220" spans="1:13" hidden="1">
      <c r="A7220" t="s">
        <v>4881</v>
      </c>
      <c r="B7220" t="s">
        <v>4882</v>
      </c>
      <c r="C7220" t="s">
        <v>244</v>
      </c>
      <c r="D7220" t="s">
        <v>4878</v>
      </c>
      <c r="E7220" t="s">
        <v>558</v>
      </c>
      <c r="F7220" t="s">
        <v>1068</v>
      </c>
      <c r="G7220" t="s">
        <v>1087</v>
      </c>
      <c r="H7220" s="170">
        <v>-9.8399611418411204E-7</v>
      </c>
      <c r="I7220" t="s">
        <v>1088</v>
      </c>
      <c r="J7220">
        <v>8.19</v>
      </c>
    </row>
    <row r="7221" spans="1:13" hidden="1">
      <c r="A7221" t="s">
        <v>4881</v>
      </c>
      <c r="B7221" t="s">
        <v>4882</v>
      </c>
      <c r="C7221" t="s">
        <v>244</v>
      </c>
      <c r="D7221" t="s">
        <v>4878</v>
      </c>
      <c r="E7221" t="s">
        <v>558</v>
      </c>
      <c r="F7221" t="s">
        <v>1068</v>
      </c>
      <c r="G7221" t="s">
        <v>1089</v>
      </c>
      <c r="H7221">
        <v>-5.3750098172809903E-3</v>
      </c>
      <c r="I7221" t="s">
        <v>1090</v>
      </c>
      <c r="J7221">
        <v>8.19</v>
      </c>
    </row>
    <row r="7222" spans="1:13" hidden="1">
      <c r="A7222" t="s">
        <v>4883</v>
      </c>
      <c r="B7222" t="s">
        <v>4884</v>
      </c>
      <c r="C7222" t="s">
        <v>244</v>
      </c>
      <c r="D7222" t="s">
        <v>4878</v>
      </c>
      <c r="E7222" t="s">
        <v>553</v>
      </c>
      <c r="F7222" t="s">
        <v>1068</v>
      </c>
      <c r="G7222" t="s">
        <v>1069</v>
      </c>
      <c r="H7222">
        <v>-6.8122614826439003</v>
      </c>
      <c r="I7222" t="s">
        <v>1070</v>
      </c>
      <c r="J7222">
        <v>7.49</v>
      </c>
    </row>
    <row r="7223" spans="1:13" hidden="1">
      <c r="A7223" t="s">
        <v>4883</v>
      </c>
      <c r="B7223" t="s">
        <v>4884</v>
      </c>
      <c r="C7223" t="s">
        <v>244</v>
      </c>
      <c r="D7223" t="s">
        <v>4878</v>
      </c>
      <c r="E7223" t="s">
        <v>553</v>
      </c>
      <c r="F7223" t="s">
        <v>1068</v>
      </c>
      <c r="G7223" t="s">
        <v>1071</v>
      </c>
      <c r="H7223" s="170">
        <v>-1.7486961292552501E-8</v>
      </c>
      <c r="I7223" t="s">
        <v>1072</v>
      </c>
      <c r="J7223">
        <v>7.49</v>
      </c>
    </row>
    <row r="7224" spans="1:13" hidden="1">
      <c r="A7224" t="s">
        <v>4883</v>
      </c>
      <c r="B7224" t="s">
        <v>4884</v>
      </c>
      <c r="C7224" t="s">
        <v>244</v>
      </c>
      <c r="D7224" t="s">
        <v>4878</v>
      </c>
      <c r="E7224" t="s">
        <v>553</v>
      </c>
      <c r="F7224" t="s">
        <v>1068</v>
      </c>
      <c r="G7224" t="s">
        <v>1073</v>
      </c>
      <c r="H7224" s="170">
        <v>-2.71702025639889E-6</v>
      </c>
      <c r="I7224" t="s">
        <v>1074</v>
      </c>
      <c r="J7224">
        <v>7.49</v>
      </c>
    </row>
    <row r="7225" spans="1:13" hidden="1">
      <c r="A7225" t="s">
        <v>4883</v>
      </c>
      <c r="B7225" t="s">
        <v>4884</v>
      </c>
      <c r="C7225" t="s">
        <v>244</v>
      </c>
      <c r="D7225" t="s">
        <v>4878</v>
      </c>
      <c r="E7225" t="s">
        <v>553</v>
      </c>
      <c r="F7225" t="s">
        <v>1068</v>
      </c>
      <c r="G7225" t="s">
        <v>1075</v>
      </c>
      <c r="H7225">
        <v>-0.54674880250724001</v>
      </c>
      <c r="I7225" t="s">
        <v>1077</v>
      </c>
      <c r="J7225">
        <v>7.49</v>
      </c>
    </row>
    <row r="7226" spans="1:13">
      <c r="A7226" t="s">
        <v>4883</v>
      </c>
      <c r="B7226" t="s">
        <v>4884</v>
      </c>
      <c r="C7226" t="s">
        <v>244</v>
      </c>
      <c r="D7226" t="s">
        <v>4878</v>
      </c>
      <c r="E7226" t="s">
        <v>553</v>
      </c>
      <c r="F7226" t="s">
        <v>1068</v>
      </c>
      <c r="G7226" t="s">
        <v>1078</v>
      </c>
      <c r="H7226">
        <v>-4.3024447322899997</v>
      </c>
      <c r="I7226" t="s">
        <v>1079</v>
      </c>
      <c r="J7226">
        <v>7.49</v>
      </c>
      <c r="M7226" t="str">
        <f>_xlfn.TEXTJOIN(" - ",TRUE,A7226,G7226)</f>
        <v>Recycle - HDPE_P - China - Global warming</v>
      </c>
    </row>
    <row r="7227" spans="1:13" hidden="1">
      <c r="A7227" t="s">
        <v>4883</v>
      </c>
      <c r="B7227" t="s">
        <v>4884</v>
      </c>
      <c r="C7227" t="s">
        <v>244</v>
      </c>
      <c r="D7227" t="s">
        <v>4878</v>
      </c>
      <c r="E7227" t="s">
        <v>553</v>
      </c>
      <c r="F7227" t="s">
        <v>1068</v>
      </c>
      <c r="G7227" t="s">
        <v>1080</v>
      </c>
      <c r="H7227" s="170">
        <v>-2.4158802709685501E-8</v>
      </c>
      <c r="I7227" t="s">
        <v>1082</v>
      </c>
      <c r="J7227">
        <v>7.49</v>
      </c>
    </row>
    <row r="7228" spans="1:13" hidden="1">
      <c r="A7228" t="s">
        <v>4883</v>
      </c>
      <c r="B7228" t="s">
        <v>4884</v>
      </c>
      <c r="C7228" t="s">
        <v>244</v>
      </c>
      <c r="D7228" t="s">
        <v>4878</v>
      </c>
      <c r="E7228" t="s">
        <v>553</v>
      </c>
      <c r="F7228" t="s">
        <v>1068</v>
      </c>
      <c r="G7228" t="s">
        <v>1083</v>
      </c>
      <c r="H7228">
        <v>-3.3490235852078699E-4</v>
      </c>
      <c r="I7228" t="s">
        <v>1084</v>
      </c>
      <c r="J7228">
        <v>7.49</v>
      </c>
    </row>
    <row r="7229" spans="1:13" hidden="1">
      <c r="A7229" t="s">
        <v>4883</v>
      </c>
      <c r="B7229" t="s">
        <v>4884</v>
      </c>
      <c r="C7229" t="s">
        <v>244</v>
      </c>
      <c r="D7229" t="s">
        <v>4878</v>
      </c>
      <c r="E7229" t="s">
        <v>553</v>
      </c>
      <c r="F7229" t="s">
        <v>1068</v>
      </c>
      <c r="G7229" t="s">
        <v>1085</v>
      </c>
      <c r="H7229">
        <v>-1.50508884970033E-2</v>
      </c>
      <c r="I7229" t="s">
        <v>1086</v>
      </c>
      <c r="J7229">
        <v>7.49</v>
      </c>
    </row>
    <row r="7230" spans="1:13" hidden="1">
      <c r="A7230" t="s">
        <v>4883</v>
      </c>
      <c r="B7230" t="s">
        <v>4884</v>
      </c>
      <c r="C7230" t="s">
        <v>244</v>
      </c>
      <c r="D7230" t="s">
        <v>4878</v>
      </c>
      <c r="E7230" t="s">
        <v>553</v>
      </c>
      <c r="F7230" t="s">
        <v>1068</v>
      </c>
      <c r="G7230" t="s">
        <v>1087</v>
      </c>
      <c r="H7230" s="170">
        <v>-9.8586547941483691E-7</v>
      </c>
      <c r="I7230" t="s">
        <v>1088</v>
      </c>
      <c r="J7230">
        <v>7.49</v>
      </c>
    </row>
    <row r="7231" spans="1:13" hidden="1">
      <c r="A7231" t="s">
        <v>4883</v>
      </c>
      <c r="B7231" t="s">
        <v>4884</v>
      </c>
      <c r="C7231" t="s">
        <v>244</v>
      </c>
      <c r="D7231" t="s">
        <v>4878</v>
      </c>
      <c r="E7231" t="s">
        <v>553</v>
      </c>
      <c r="F7231" t="s">
        <v>1068</v>
      </c>
      <c r="G7231" t="s">
        <v>1089</v>
      </c>
      <c r="H7231">
        <v>-5.3758089111618597E-3</v>
      </c>
      <c r="I7231" t="s">
        <v>1090</v>
      </c>
      <c r="J7231">
        <v>7.49</v>
      </c>
    </row>
    <row r="7232" spans="1:13" hidden="1">
      <c r="A7232" t="s">
        <v>4885</v>
      </c>
      <c r="B7232" t="s">
        <v>4886</v>
      </c>
      <c r="C7232" t="s">
        <v>244</v>
      </c>
      <c r="D7232" t="s">
        <v>4878</v>
      </c>
      <c r="E7232" t="s">
        <v>556</v>
      </c>
      <c r="F7232" t="s">
        <v>1068</v>
      </c>
      <c r="G7232" t="s">
        <v>1069</v>
      </c>
      <c r="H7232">
        <v>-6.7845750931696598</v>
      </c>
      <c r="I7232" t="s">
        <v>1070</v>
      </c>
      <c r="J7232">
        <v>8.69</v>
      </c>
    </row>
    <row r="7233" spans="1:13" hidden="1">
      <c r="A7233" t="s">
        <v>4885</v>
      </c>
      <c r="B7233" t="s">
        <v>4886</v>
      </c>
      <c r="C7233" t="s">
        <v>244</v>
      </c>
      <c r="D7233" t="s">
        <v>4878</v>
      </c>
      <c r="E7233" t="s">
        <v>556</v>
      </c>
      <c r="F7233" t="s">
        <v>1068</v>
      </c>
      <c r="G7233" t="s">
        <v>1071</v>
      </c>
      <c r="H7233" s="170">
        <v>-1.74473417542303E-8</v>
      </c>
      <c r="I7233" t="s">
        <v>1072</v>
      </c>
      <c r="J7233">
        <v>8.69</v>
      </c>
    </row>
    <row r="7234" spans="1:13" hidden="1">
      <c r="A7234" t="s">
        <v>4885</v>
      </c>
      <c r="B7234" t="s">
        <v>4886</v>
      </c>
      <c r="C7234" t="s">
        <v>244</v>
      </c>
      <c r="D7234" t="s">
        <v>4878</v>
      </c>
      <c r="E7234" t="s">
        <v>556</v>
      </c>
      <c r="F7234" t="s">
        <v>1068</v>
      </c>
      <c r="G7234" t="s">
        <v>1073</v>
      </c>
      <c r="H7234" s="170">
        <v>-2.7071859632525798E-6</v>
      </c>
      <c r="I7234" t="s">
        <v>1074</v>
      </c>
      <c r="J7234">
        <v>8.69</v>
      </c>
    </row>
    <row r="7235" spans="1:13" hidden="1">
      <c r="A7235" t="s">
        <v>4885</v>
      </c>
      <c r="B7235" t="s">
        <v>4886</v>
      </c>
      <c r="C7235" t="s">
        <v>244</v>
      </c>
      <c r="D7235" t="s">
        <v>4878</v>
      </c>
      <c r="E7235" t="s">
        <v>556</v>
      </c>
      <c r="F7235" t="s">
        <v>1068</v>
      </c>
      <c r="G7235" t="s">
        <v>1075</v>
      </c>
      <c r="H7235">
        <v>-0.54587360615943004</v>
      </c>
      <c r="I7235" t="s">
        <v>1077</v>
      </c>
      <c r="J7235">
        <v>8.69</v>
      </c>
    </row>
    <row r="7236" spans="1:13">
      <c r="A7236" t="s">
        <v>4885</v>
      </c>
      <c r="B7236" t="s">
        <v>4886</v>
      </c>
      <c r="C7236" t="s">
        <v>244</v>
      </c>
      <c r="D7236" t="s">
        <v>4878</v>
      </c>
      <c r="E7236" t="s">
        <v>556</v>
      </c>
      <c r="F7236" t="s">
        <v>1068</v>
      </c>
      <c r="G7236" t="s">
        <v>1078</v>
      </c>
      <c r="H7236">
        <v>-4.2645978662333697</v>
      </c>
      <c r="I7236" t="s">
        <v>1079</v>
      </c>
      <c r="J7236">
        <v>8.69</v>
      </c>
      <c r="M7236" t="str">
        <f>_xlfn.TEXTJOIN(" - ",TRUE,A7236,G7236)</f>
        <v>Recycle - HDPE_P - India - Global warming</v>
      </c>
    </row>
    <row r="7237" spans="1:13" hidden="1">
      <c r="A7237" t="s">
        <v>4885</v>
      </c>
      <c r="B7237" t="s">
        <v>4886</v>
      </c>
      <c r="C7237" t="s">
        <v>244</v>
      </c>
      <c r="D7237" t="s">
        <v>4878</v>
      </c>
      <c r="E7237" t="s">
        <v>556</v>
      </c>
      <c r="F7237" t="s">
        <v>1068</v>
      </c>
      <c r="G7237" t="s">
        <v>1080</v>
      </c>
      <c r="H7237" s="170">
        <v>-2.40049040081782E-8</v>
      </c>
      <c r="I7237" t="s">
        <v>1082</v>
      </c>
      <c r="J7237">
        <v>8.69</v>
      </c>
    </row>
    <row r="7238" spans="1:13" hidden="1">
      <c r="A7238" t="s">
        <v>4885</v>
      </c>
      <c r="B7238" t="s">
        <v>4886</v>
      </c>
      <c r="C7238" t="s">
        <v>244</v>
      </c>
      <c r="D7238" t="s">
        <v>4878</v>
      </c>
      <c r="E7238" t="s">
        <v>556</v>
      </c>
      <c r="F7238" t="s">
        <v>1068</v>
      </c>
      <c r="G7238" t="s">
        <v>1083</v>
      </c>
      <c r="H7238">
        <v>-3.3069400939485097E-4</v>
      </c>
      <c r="I7238" t="s">
        <v>1084</v>
      </c>
      <c r="J7238">
        <v>8.69</v>
      </c>
    </row>
    <row r="7239" spans="1:13" hidden="1">
      <c r="A7239" t="s">
        <v>4885</v>
      </c>
      <c r="B7239" t="s">
        <v>4886</v>
      </c>
      <c r="C7239" t="s">
        <v>244</v>
      </c>
      <c r="D7239" t="s">
        <v>4878</v>
      </c>
      <c r="E7239" t="s">
        <v>556</v>
      </c>
      <c r="F7239" t="s">
        <v>1068</v>
      </c>
      <c r="G7239" t="s">
        <v>1085</v>
      </c>
      <c r="H7239">
        <v>-1.50033256107278E-2</v>
      </c>
      <c r="I7239" t="s">
        <v>1086</v>
      </c>
      <c r="J7239">
        <v>8.69</v>
      </c>
    </row>
    <row r="7240" spans="1:13" hidden="1">
      <c r="A7240" t="s">
        <v>4885</v>
      </c>
      <c r="B7240" t="s">
        <v>4886</v>
      </c>
      <c r="C7240" t="s">
        <v>244</v>
      </c>
      <c r="D7240" t="s">
        <v>4878</v>
      </c>
      <c r="E7240" t="s">
        <v>556</v>
      </c>
      <c r="F7240" t="s">
        <v>1068</v>
      </c>
      <c r="G7240" t="s">
        <v>1087</v>
      </c>
      <c r="H7240" s="170">
        <v>-9.6291141332542998E-7</v>
      </c>
      <c r="I7240" t="s">
        <v>1088</v>
      </c>
      <c r="J7240">
        <v>8.69</v>
      </c>
    </row>
    <row r="7241" spans="1:13" hidden="1">
      <c r="A7241" t="s">
        <v>4885</v>
      </c>
      <c r="B7241" t="s">
        <v>4886</v>
      </c>
      <c r="C7241" t="s">
        <v>244</v>
      </c>
      <c r="D7241" t="s">
        <v>4878</v>
      </c>
      <c r="E7241" t="s">
        <v>556</v>
      </c>
      <c r="F7241" t="s">
        <v>1068</v>
      </c>
      <c r="G7241" t="s">
        <v>1089</v>
      </c>
      <c r="H7241">
        <v>-5.3659967816473897E-3</v>
      </c>
      <c r="I7241" t="s">
        <v>1090</v>
      </c>
      <c r="J7241">
        <v>8.69</v>
      </c>
    </row>
    <row r="7242" spans="1:13" hidden="1">
      <c r="A7242" t="s">
        <v>4887</v>
      </c>
      <c r="B7242" t="s">
        <v>4888</v>
      </c>
      <c r="C7242" t="s">
        <v>244</v>
      </c>
      <c r="D7242" t="s">
        <v>4878</v>
      </c>
      <c r="E7242" t="s">
        <v>557</v>
      </c>
      <c r="F7242" t="s">
        <v>1068</v>
      </c>
      <c r="G7242" t="s">
        <v>1069</v>
      </c>
      <c r="H7242">
        <v>-6.8004975029267696</v>
      </c>
      <c r="I7242" t="s">
        <v>1070</v>
      </c>
      <c r="J7242">
        <v>8.34</v>
      </c>
    </row>
    <row r="7243" spans="1:13" hidden="1">
      <c r="A7243" t="s">
        <v>4887</v>
      </c>
      <c r="B7243" t="s">
        <v>4888</v>
      </c>
      <c r="C7243" t="s">
        <v>244</v>
      </c>
      <c r="D7243" t="s">
        <v>4878</v>
      </c>
      <c r="E7243" t="s">
        <v>557</v>
      </c>
      <c r="F7243" t="s">
        <v>1068</v>
      </c>
      <c r="G7243" t="s">
        <v>1071</v>
      </c>
      <c r="H7243" s="170">
        <v>-1.74701269037401E-8</v>
      </c>
      <c r="I7243" t="s">
        <v>1072</v>
      </c>
      <c r="J7243">
        <v>8.34</v>
      </c>
    </row>
    <row r="7244" spans="1:13" hidden="1">
      <c r="A7244" t="s">
        <v>4887</v>
      </c>
      <c r="B7244" t="s">
        <v>4888</v>
      </c>
      <c r="C7244" t="s">
        <v>244</v>
      </c>
      <c r="D7244" t="s">
        <v>4878</v>
      </c>
      <c r="E7244" t="s">
        <v>557</v>
      </c>
      <c r="F7244" t="s">
        <v>1068</v>
      </c>
      <c r="G7244" t="s">
        <v>1073</v>
      </c>
      <c r="H7244" s="170">
        <v>-2.7128416535798799E-6</v>
      </c>
      <c r="I7244" t="s">
        <v>1074</v>
      </c>
      <c r="J7244">
        <v>8.34</v>
      </c>
    </row>
    <row r="7245" spans="1:13" hidden="1">
      <c r="A7245" t="s">
        <v>4887</v>
      </c>
      <c r="B7245" t="s">
        <v>4888</v>
      </c>
      <c r="C7245" t="s">
        <v>244</v>
      </c>
      <c r="D7245" t="s">
        <v>4878</v>
      </c>
      <c r="E7245" t="s">
        <v>557</v>
      </c>
      <c r="F7245" t="s">
        <v>1068</v>
      </c>
      <c r="G7245" t="s">
        <v>1075</v>
      </c>
      <c r="H7245">
        <v>-0.54637693054127601</v>
      </c>
      <c r="I7245" t="s">
        <v>1077</v>
      </c>
      <c r="J7245">
        <v>8.34</v>
      </c>
    </row>
    <row r="7246" spans="1:13">
      <c r="A7246" t="s">
        <v>4887</v>
      </c>
      <c r="B7246" t="s">
        <v>4888</v>
      </c>
      <c r="C7246" t="s">
        <v>244</v>
      </c>
      <c r="D7246" t="s">
        <v>4878</v>
      </c>
      <c r="E7246" t="s">
        <v>557</v>
      </c>
      <c r="F7246" t="s">
        <v>1068</v>
      </c>
      <c r="G7246" t="s">
        <v>1078</v>
      </c>
      <c r="H7246">
        <v>-4.2863635540248897</v>
      </c>
      <c r="I7246" t="s">
        <v>1079</v>
      </c>
      <c r="J7246">
        <v>8.34</v>
      </c>
      <c r="M7246" t="str">
        <f>_xlfn.TEXTJOIN(" - ",TRUE,A7246,G7246)</f>
        <v>Recycle - HDPE_P - Ireland - Global warming</v>
      </c>
    </row>
    <row r="7247" spans="1:13" hidden="1">
      <c r="A7247" t="s">
        <v>4887</v>
      </c>
      <c r="B7247" t="s">
        <v>4888</v>
      </c>
      <c r="C7247" t="s">
        <v>244</v>
      </c>
      <c r="D7247" t="s">
        <v>4878</v>
      </c>
      <c r="E7247" t="s">
        <v>557</v>
      </c>
      <c r="F7247" t="s">
        <v>1068</v>
      </c>
      <c r="G7247" t="s">
        <v>1080</v>
      </c>
      <c r="H7247" s="170">
        <v>-2.4093410968927101E-8</v>
      </c>
      <c r="I7247" t="s">
        <v>1082</v>
      </c>
      <c r="J7247">
        <v>8.34</v>
      </c>
    </row>
    <row r="7248" spans="1:13" hidden="1">
      <c r="A7248" t="s">
        <v>4887</v>
      </c>
      <c r="B7248" t="s">
        <v>4888</v>
      </c>
      <c r="C7248" t="s">
        <v>244</v>
      </c>
      <c r="D7248" t="s">
        <v>4878</v>
      </c>
      <c r="E7248" t="s">
        <v>557</v>
      </c>
      <c r="F7248" t="s">
        <v>1068</v>
      </c>
      <c r="G7248" t="s">
        <v>1083</v>
      </c>
      <c r="H7248">
        <v>-3.3311422598704599E-4</v>
      </c>
      <c r="I7248" t="s">
        <v>1084</v>
      </c>
      <c r="J7248">
        <v>8.34</v>
      </c>
    </row>
    <row r="7249" spans="1:13" hidden="1">
      <c r="A7249" t="s">
        <v>4887</v>
      </c>
      <c r="B7249" t="s">
        <v>4888</v>
      </c>
      <c r="C7249" t="s">
        <v>244</v>
      </c>
      <c r="D7249" t="s">
        <v>4878</v>
      </c>
      <c r="E7249" t="s">
        <v>557</v>
      </c>
      <c r="F7249" t="s">
        <v>1068</v>
      </c>
      <c r="G7249" t="s">
        <v>1085</v>
      </c>
      <c r="H7249">
        <v>-1.5030678970226301E-2</v>
      </c>
      <c r="I7249" t="s">
        <v>1086</v>
      </c>
      <c r="J7249">
        <v>8.34</v>
      </c>
    </row>
    <row r="7250" spans="1:13" hidden="1">
      <c r="A7250" t="s">
        <v>4887</v>
      </c>
      <c r="B7250" t="s">
        <v>4888</v>
      </c>
      <c r="C7250" t="s">
        <v>244</v>
      </c>
      <c r="D7250" t="s">
        <v>4878</v>
      </c>
      <c r="E7250" t="s">
        <v>557</v>
      </c>
      <c r="F7250" t="s">
        <v>1068</v>
      </c>
      <c r="G7250" t="s">
        <v>1087</v>
      </c>
      <c r="H7250" s="170">
        <v>-9.7611226951521393E-7</v>
      </c>
      <c r="I7250" t="s">
        <v>1088</v>
      </c>
      <c r="J7250">
        <v>8.34</v>
      </c>
    </row>
    <row r="7251" spans="1:13" hidden="1">
      <c r="A7251" t="s">
        <v>4887</v>
      </c>
      <c r="B7251" t="s">
        <v>4888</v>
      </c>
      <c r="C7251" t="s">
        <v>244</v>
      </c>
      <c r="D7251" t="s">
        <v>4878</v>
      </c>
      <c r="E7251" t="s">
        <v>557</v>
      </c>
      <c r="F7251" t="s">
        <v>1068</v>
      </c>
      <c r="G7251" t="s">
        <v>1089</v>
      </c>
      <c r="H7251">
        <v>-5.3716397256962497E-3</v>
      </c>
      <c r="I7251" t="s">
        <v>1090</v>
      </c>
      <c r="J7251">
        <v>8.34</v>
      </c>
    </row>
    <row r="7252" spans="1:13" hidden="1">
      <c r="A7252" t="s">
        <v>4889</v>
      </c>
      <c r="B7252" t="s">
        <v>4890</v>
      </c>
      <c r="C7252" t="s">
        <v>244</v>
      </c>
      <c r="D7252" t="s">
        <v>4878</v>
      </c>
      <c r="E7252" t="s">
        <v>559</v>
      </c>
      <c r="F7252" t="s">
        <v>1068</v>
      </c>
      <c r="G7252" t="s">
        <v>1069</v>
      </c>
      <c r="H7252">
        <v>-6.7928046532688402</v>
      </c>
      <c r="I7252" t="s">
        <v>1070</v>
      </c>
      <c r="J7252">
        <v>8.44</v>
      </c>
    </row>
    <row r="7253" spans="1:13" hidden="1">
      <c r="A7253" t="s">
        <v>4889</v>
      </c>
      <c r="B7253" t="s">
        <v>4890</v>
      </c>
      <c r="C7253" t="s">
        <v>244</v>
      </c>
      <c r="D7253" t="s">
        <v>4878</v>
      </c>
      <c r="E7253" t="s">
        <v>559</v>
      </c>
      <c r="F7253" t="s">
        <v>1068</v>
      </c>
      <c r="G7253" t="s">
        <v>1071</v>
      </c>
      <c r="H7253" s="170">
        <v>-1.7459118348358898E-8</v>
      </c>
      <c r="I7253" t="s">
        <v>1072</v>
      </c>
      <c r="J7253">
        <v>8.44</v>
      </c>
    </row>
    <row r="7254" spans="1:13" hidden="1">
      <c r="A7254" t="s">
        <v>4889</v>
      </c>
      <c r="B7254" t="s">
        <v>4890</v>
      </c>
      <c r="C7254" t="s">
        <v>244</v>
      </c>
      <c r="D7254" t="s">
        <v>4878</v>
      </c>
      <c r="E7254" t="s">
        <v>559</v>
      </c>
      <c r="F7254" t="s">
        <v>1068</v>
      </c>
      <c r="G7254" t="s">
        <v>1073</v>
      </c>
      <c r="H7254" s="170">
        <v>-2.71010912903972E-6</v>
      </c>
      <c r="I7254" t="s">
        <v>1074</v>
      </c>
      <c r="J7254">
        <v>8.44</v>
      </c>
    </row>
    <row r="7255" spans="1:13" hidden="1">
      <c r="A7255" t="s">
        <v>4889</v>
      </c>
      <c r="B7255" t="s">
        <v>4890</v>
      </c>
      <c r="C7255" t="s">
        <v>244</v>
      </c>
      <c r="D7255" t="s">
        <v>4878</v>
      </c>
      <c r="E7255" t="s">
        <v>559</v>
      </c>
      <c r="F7255" t="s">
        <v>1068</v>
      </c>
      <c r="G7255" t="s">
        <v>1075</v>
      </c>
      <c r="H7255">
        <v>-0.54613375134555298</v>
      </c>
      <c r="I7255" t="s">
        <v>1077</v>
      </c>
      <c r="J7255">
        <v>8.44</v>
      </c>
    </row>
    <row r="7256" spans="1:13">
      <c r="A7256" t="s">
        <v>4889</v>
      </c>
      <c r="B7256" t="s">
        <v>4890</v>
      </c>
      <c r="C7256" t="s">
        <v>244</v>
      </c>
      <c r="D7256" t="s">
        <v>4878</v>
      </c>
      <c r="E7256" t="s">
        <v>559</v>
      </c>
      <c r="F7256" t="s">
        <v>1068</v>
      </c>
      <c r="G7256" t="s">
        <v>1078</v>
      </c>
      <c r="H7256">
        <v>-4.2758475475638198</v>
      </c>
      <c r="I7256" t="s">
        <v>1079</v>
      </c>
      <c r="J7256">
        <v>8.44</v>
      </c>
      <c r="M7256" t="str">
        <f>_xlfn.TEXTJOIN(" - ",TRUE,A7256,G7256)</f>
        <v>Recycle - HDPE_P - Mexico - Global warming</v>
      </c>
    </row>
    <row r="7257" spans="1:13" hidden="1">
      <c r="A7257" t="s">
        <v>4889</v>
      </c>
      <c r="B7257" t="s">
        <v>4890</v>
      </c>
      <c r="C7257" t="s">
        <v>244</v>
      </c>
      <c r="D7257" t="s">
        <v>4878</v>
      </c>
      <c r="E7257" t="s">
        <v>559</v>
      </c>
      <c r="F7257" t="s">
        <v>1068</v>
      </c>
      <c r="G7257" t="s">
        <v>1080</v>
      </c>
      <c r="H7257" s="170">
        <v>-2.40506491789024E-8</v>
      </c>
      <c r="I7257" t="s">
        <v>1082</v>
      </c>
      <c r="J7257">
        <v>8.44</v>
      </c>
    </row>
    <row r="7258" spans="1:13" hidden="1">
      <c r="A7258" t="s">
        <v>4889</v>
      </c>
      <c r="B7258" t="s">
        <v>4890</v>
      </c>
      <c r="C7258" t="s">
        <v>244</v>
      </c>
      <c r="D7258" t="s">
        <v>4878</v>
      </c>
      <c r="E7258" t="s">
        <v>559</v>
      </c>
      <c r="F7258" t="s">
        <v>1068</v>
      </c>
      <c r="G7258" t="s">
        <v>1083</v>
      </c>
      <c r="H7258">
        <v>-3.3194490785823301E-4</v>
      </c>
      <c r="I7258" t="s">
        <v>1084</v>
      </c>
      <c r="J7258">
        <v>8.44</v>
      </c>
    </row>
    <row r="7259" spans="1:13" hidden="1">
      <c r="A7259" t="s">
        <v>4889</v>
      </c>
      <c r="B7259" t="s">
        <v>4890</v>
      </c>
      <c r="C7259" t="s">
        <v>244</v>
      </c>
      <c r="D7259" t="s">
        <v>4878</v>
      </c>
      <c r="E7259" t="s">
        <v>559</v>
      </c>
      <c r="F7259" t="s">
        <v>1068</v>
      </c>
      <c r="G7259" t="s">
        <v>1085</v>
      </c>
      <c r="H7259">
        <v>-1.5017463302154E-2</v>
      </c>
      <c r="I7259" t="s">
        <v>1086</v>
      </c>
      <c r="J7259">
        <v>8.44</v>
      </c>
    </row>
    <row r="7260" spans="1:13" hidden="1">
      <c r="A7260" t="s">
        <v>4889</v>
      </c>
      <c r="B7260" t="s">
        <v>4890</v>
      </c>
      <c r="C7260" t="s">
        <v>244</v>
      </c>
      <c r="D7260" t="s">
        <v>4878</v>
      </c>
      <c r="E7260" t="s">
        <v>559</v>
      </c>
      <c r="F7260" t="s">
        <v>1068</v>
      </c>
      <c r="G7260" t="s">
        <v>1087</v>
      </c>
      <c r="H7260" s="170">
        <v>-9.6973432776059907E-7</v>
      </c>
      <c r="I7260" t="s">
        <v>1088</v>
      </c>
      <c r="J7260">
        <v>8.44</v>
      </c>
    </row>
    <row r="7261" spans="1:13" hidden="1">
      <c r="A7261" t="s">
        <v>4889</v>
      </c>
      <c r="B7261" t="s">
        <v>4890</v>
      </c>
      <c r="C7261" t="s">
        <v>244</v>
      </c>
      <c r="D7261" t="s">
        <v>4878</v>
      </c>
      <c r="E7261" t="s">
        <v>559</v>
      </c>
      <c r="F7261" t="s">
        <v>1068</v>
      </c>
      <c r="G7261" t="s">
        <v>1089</v>
      </c>
      <c r="H7261">
        <v>-5.3689133594704E-3</v>
      </c>
      <c r="I7261" t="s">
        <v>1090</v>
      </c>
      <c r="J7261">
        <v>8.44</v>
      </c>
    </row>
    <row r="7262" spans="1:13" hidden="1">
      <c r="A7262" t="s">
        <v>4891</v>
      </c>
      <c r="B7262" t="s">
        <v>4892</v>
      </c>
      <c r="C7262" t="s">
        <v>244</v>
      </c>
      <c r="D7262" t="s">
        <v>4878</v>
      </c>
      <c r="E7262" t="s">
        <v>560</v>
      </c>
      <c r="F7262" t="s">
        <v>1068</v>
      </c>
      <c r="G7262" t="s">
        <v>1069</v>
      </c>
      <c r="H7262">
        <v>-6.7954259205596701</v>
      </c>
      <c r="I7262" t="s">
        <v>1070</v>
      </c>
      <c r="J7262">
        <v>7.39</v>
      </c>
    </row>
    <row r="7263" spans="1:13" hidden="1">
      <c r="A7263" t="s">
        <v>4891</v>
      </c>
      <c r="B7263" t="s">
        <v>4892</v>
      </c>
      <c r="C7263" t="s">
        <v>244</v>
      </c>
      <c r="D7263" t="s">
        <v>4878</v>
      </c>
      <c r="E7263" t="s">
        <v>560</v>
      </c>
      <c r="F7263" t="s">
        <v>1068</v>
      </c>
      <c r="G7263" t="s">
        <v>1071</v>
      </c>
      <c r="H7263" s="170">
        <v>-1.7462869411674E-8</v>
      </c>
      <c r="I7263" t="s">
        <v>1072</v>
      </c>
      <c r="J7263">
        <v>7.39</v>
      </c>
    </row>
    <row r="7264" spans="1:13" hidden="1">
      <c r="A7264" t="s">
        <v>4891</v>
      </c>
      <c r="B7264" t="s">
        <v>4892</v>
      </c>
      <c r="C7264" t="s">
        <v>244</v>
      </c>
      <c r="D7264" t="s">
        <v>4878</v>
      </c>
      <c r="E7264" t="s">
        <v>560</v>
      </c>
      <c r="F7264" t="s">
        <v>1068</v>
      </c>
      <c r="G7264" t="s">
        <v>1073</v>
      </c>
      <c r="H7264" s="170">
        <v>-2.7110402114756198E-6</v>
      </c>
      <c r="I7264" t="s">
        <v>1074</v>
      </c>
      <c r="J7264">
        <v>7.39</v>
      </c>
    </row>
    <row r="7265" spans="1:13" hidden="1">
      <c r="A7265" t="s">
        <v>4891</v>
      </c>
      <c r="B7265" t="s">
        <v>4892</v>
      </c>
      <c r="C7265" t="s">
        <v>244</v>
      </c>
      <c r="D7265" t="s">
        <v>4878</v>
      </c>
      <c r="E7265" t="s">
        <v>560</v>
      </c>
      <c r="F7265" t="s">
        <v>1068</v>
      </c>
      <c r="G7265" t="s">
        <v>1075</v>
      </c>
      <c r="H7265">
        <v>-0.54621661240483599</v>
      </c>
      <c r="I7265" t="s">
        <v>1077</v>
      </c>
      <c r="J7265">
        <v>7.39</v>
      </c>
    </row>
    <row r="7266" spans="1:13">
      <c r="A7266" t="s">
        <v>4891</v>
      </c>
      <c r="B7266" t="s">
        <v>4892</v>
      </c>
      <c r="C7266" t="s">
        <v>244</v>
      </c>
      <c r="D7266" t="s">
        <v>4878</v>
      </c>
      <c r="E7266" t="s">
        <v>560</v>
      </c>
      <c r="F7266" t="s">
        <v>1068</v>
      </c>
      <c r="G7266" t="s">
        <v>1078</v>
      </c>
      <c r="H7266">
        <v>-4.2794307793949899</v>
      </c>
      <c r="I7266" t="s">
        <v>1079</v>
      </c>
      <c r="J7266">
        <v>7.39</v>
      </c>
      <c r="M7266" t="str">
        <f>_xlfn.TEXTJOIN(" - ",TRUE,A7266,G7266)</f>
        <v>Recycle - HDPE_P - Spain - Global warming</v>
      </c>
    </row>
    <row r="7267" spans="1:13" hidden="1">
      <c r="A7267" t="s">
        <v>4891</v>
      </c>
      <c r="B7267" t="s">
        <v>4892</v>
      </c>
      <c r="C7267" t="s">
        <v>244</v>
      </c>
      <c r="D7267" t="s">
        <v>4878</v>
      </c>
      <c r="E7267" t="s">
        <v>560</v>
      </c>
      <c r="F7267" t="s">
        <v>1068</v>
      </c>
      <c r="G7267" t="s">
        <v>1080</v>
      </c>
      <c r="H7267" s="170">
        <v>-2.40652198629107E-8</v>
      </c>
      <c r="I7267" t="s">
        <v>1082</v>
      </c>
      <c r="J7267">
        <v>7.39</v>
      </c>
    </row>
    <row r="7268" spans="1:13" hidden="1">
      <c r="A7268" t="s">
        <v>4891</v>
      </c>
      <c r="B7268" t="s">
        <v>4892</v>
      </c>
      <c r="C7268" t="s">
        <v>244</v>
      </c>
      <c r="D7268" t="s">
        <v>4878</v>
      </c>
      <c r="E7268" t="s">
        <v>560</v>
      </c>
      <c r="F7268" t="s">
        <v>1068</v>
      </c>
      <c r="G7268" t="s">
        <v>1083</v>
      </c>
      <c r="H7268">
        <v>-3.3234334218360499E-4</v>
      </c>
      <c r="I7268" t="s">
        <v>1084</v>
      </c>
      <c r="J7268">
        <v>7.39</v>
      </c>
    </row>
    <row r="7269" spans="1:13" hidden="1">
      <c r="A7269" t="s">
        <v>4891</v>
      </c>
      <c r="B7269" t="s">
        <v>4892</v>
      </c>
      <c r="C7269" t="s">
        <v>244</v>
      </c>
      <c r="D7269" t="s">
        <v>4878</v>
      </c>
      <c r="E7269" t="s">
        <v>560</v>
      </c>
      <c r="F7269" t="s">
        <v>1068</v>
      </c>
      <c r="G7269" t="s">
        <v>1085</v>
      </c>
      <c r="H7269">
        <v>-1.50219664186823E-2</v>
      </c>
      <c r="I7269" t="s">
        <v>1086</v>
      </c>
      <c r="J7269">
        <v>7.39</v>
      </c>
    </row>
    <row r="7270" spans="1:13" hidden="1">
      <c r="A7270" t="s">
        <v>4891</v>
      </c>
      <c r="B7270" t="s">
        <v>4892</v>
      </c>
      <c r="C7270" t="s">
        <v>244</v>
      </c>
      <c r="D7270" t="s">
        <v>4878</v>
      </c>
      <c r="E7270" t="s">
        <v>560</v>
      </c>
      <c r="F7270" t="s">
        <v>1068</v>
      </c>
      <c r="G7270" t="s">
        <v>1087</v>
      </c>
      <c r="H7270" s="170">
        <v>-9.7190755235846502E-7</v>
      </c>
      <c r="I7270" t="s">
        <v>1088</v>
      </c>
      <c r="J7270">
        <v>7.39</v>
      </c>
    </row>
    <row r="7271" spans="1:13" hidden="1">
      <c r="A7271" t="s">
        <v>4891</v>
      </c>
      <c r="B7271" t="s">
        <v>4892</v>
      </c>
      <c r="C7271" t="s">
        <v>244</v>
      </c>
      <c r="D7271" t="s">
        <v>4878</v>
      </c>
      <c r="E7271" t="s">
        <v>560</v>
      </c>
      <c r="F7271" t="s">
        <v>1068</v>
      </c>
      <c r="G7271" t="s">
        <v>1089</v>
      </c>
      <c r="H7271">
        <v>-5.36984234351772E-3</v>
      </c>
      <c r="I7271" t="s">
        <v>1090</v>
      </c>
      <c r="J7271">
        <v>7.39</v>
      </c>
    </row>
    <row r="7272" spans="1:13" hidden="1">
      <c r="A7272" t="s">
        <v>4893</v>
      </c>
      <c r="B7272" t="s">
        <v>4894</v>
      </c>
      <c r="C7272" t="s">
        <v>244</v>
      </c>
      <c r="D7272" t="s">
        <v>4878</v>
      </c>
      <c r="E7272" t="s">
        <v>554</v>
      </c>
      <c r="F7272" t="s">
        <v>1068</v>
      </c>
      <c r="G7272" t="s">
        <v>1069</v>
      </c>
      <c r="H7272">
        <v>-6.8108186830684296</v>
      </c>
      <c r="I7272" t="s">
        <v>1070</v>
      </c>
      <c r="J7272">
        <v>8</v>
      </c>
    </row>
    <row r="7273" spans="1:13" hidden="1">
      <c r="A7273" t="s">
        <v>4893</v>
      </c>
      <c r="B7273" t="s">
        <v>4894</v>
      </c>
      <c r="C7273" t="s">
        <v>244</v>
      </c>
      <c r="D7273" t="s">
        <v>4878</v>
      </c>
      <c r="E7273" t="s">
        <v>554</v>
      </c>
      <c r="F7273" t="s">
        <v>1068</v>
      </c>
      <c r="G7273" t="s">
        <v>1071</v>
      </c>
      <c r="H7273" s="170">
        <v>-1.7484896629945699E-8</v>
      </c>
      <c r="I7273" t="s">
        <v>1072</v>
      </c>
      <c r="J7273">
        <v>8</v>
      </c>
    </row>
    <row r="7274" spans="1:13" hidden="1">
      <c r="A7274" t="s">
        <v>4893</v>
      </c>
      <c r="B7274" t="s">
        <v>4894</v>
      </c>
      <c r="C7274" t="s">
        <v>244</v>
      </c>
      <c r="D7274" t="s">
        <v>4878</v>
      </c>
      <c r="E7274" t="s">
        <v>554</v>
      </c>
      <c r="F7274" t="s">
        <v>1068</v>
      </c>
      <c r="G7274" t="s">
        <v>1073</v>
      </c>
      <c r="H7274" s="170">
        <v>-2.7165077694243998E-6</v>
      </c>
      <c r="I7274" t="s">
        <v>1074</v>
      </c>
      <c r="J7274">
        <v>8</v>
      </c>
    </row>
    <row r="7275" spans="1:13" hidden="1">
      <c r="A7275" t="s">
        <v>4893</v>
      </c>
      <c r="B7275" t="s">
        <v>4894</v>
      </c>
      <c r="C7275" t="s">
        <v>244</v>
      </c>
      <c r="D7275" t="s">
        <v>4878</v>
      </c>
      <c r="E7275" t="s">
        <v>554</v>
      </c>
      <c r="F7275" t="s">
        <v>1068</v>
      </c>
      <c r="G7275" t="s">
        <v>1075</v>
      </c>
      <c r="H7275">
        <v>-0.54670319407135604</v>
      </c>
      <c r="I7275" t="s">
        <v>1077</v>
      </c>
      <c r="J7275">
        <v>8</v>
      </c>
    </row>
    <row r="7276" spans="1:13">
      <c r="A7276" t="s">
        <v>4893</v>
      </c>
      <c r="B7276" t="s">
        <v>4894</v>
      </c>
      <c r="C7276" t="s">
        <v>244</v>
      </c>
      <c r="D7276" t="s">
        <v>4878</v>
      </c>
      <c r="E7276" t="s">
        <v>554</v>
      </c>
      <c r="F7276" t="s">
        <v>1068</v>
      </c>
      <c r="G7276" t="s">
        <v>1078</v>
      </c>
      <c r="H7276">
        <v>-4.3004724475925498</v>
      </c>
      <c r="I7276" t="s">
        <v>1079</v>
      </c>
      <c r="J7276">
        <v>8</v>
      </c>
      <c r="M7276" t="str">
        <f>_xlfn.TEXTJOIN(" - ",TRUE,A7276,G7276)</f>
        <v>Recycle - HDPE_P - United States - Global warming</v>
      </c>
    </row>
    <row r="7277" spans="1:13" hidden="1">
      <c r="A7277" t="s">
        <v>4893</v>
      </c>
      <c r="B7277" t="s">
        <v>4894</v>
      </c>
      <c r="C7277" t="s">
        <v>244</v>
      </c>
      <c r="D7277" t="s">
        <v>4878</v>
      </c>
      <c r="E7277" t="s">
        <v>554</v>
      </c>
      <c r="F7277" t="s">
        <v>1068</v>
      </c>
      <c r="G7277" t="s">
        <v>1080</v>
      </c>
      <c r="H7277" s="170">
        <v>-2.4150782704714401E-8</v>
      </c>
      <c r="I7277" t="s">
        <v>1082</v>
      </c>
      <c r="J7277">
        <v>8</v>
      </c>
    </row>
    <row r="7278" spans="1:13" hidden="1">
      <c r="A7278" t="s">
        <v>4893</v>
      </c>
      <c r="B7278" t="s">
        <v>4894</v>
      </c>
      <c r="C7278" t="s">
        <v>244</v>
      </c>
      <c r="D7278" t="s">
        <v>4878</v>
      </c>
      <c r="E7278" t="s">
        <v>554</v>
      </c>
      <c r="F7278" t="s">
        <v>1068</v>
      </c>
      <c r="G7278" t="s">
        <v>1083</v>
      </c>
      <c r="H7278">
        <v>-3.34683052051126E-4</v>
      </c>
      <c r="I7278" t="s">
        <v>1084</v>
      </c>
      <c r="J7278">
        <v>8</v>
      </c>
    </row>
    <row r="7279" spans="1:13" hidden="1">
      <c r="A7279" t="s">
        <v>4893</v>
      </c>
      <c r="B7279" t="s">
        <v>4894</v>
      </c>
      <c r="C7279" t="s">
        <v>244</v>
      </c>
      <c r="D7279" t="s">
        <v>4878</v>
      </c>
      <c r="E7279" t="s">
        <v>554</v>
      </c>
      <c r="F7279" t="s">
        <v>1068</v>
      </c>
      <c r="G7279" t="s">
        <v>1085</v>
      </c>
      <c r="H7279">
        <v>-1.50484098887976E-2</v>
      </c>
      <c r="I7279" t="s">
        <v>1086</v>
      </c>
      <c r="J7279">
        <v>8</v>
      </c>
    </row>
    <row r="7280" spans="1:13" hidden="1">
      <c r="A7280" t="s">
        <v>4893</v>
      </c>
      <c r="B7280" t="s">
        <v>4894</v>
      </c>
      <c r="C7280" t="s">
        <v>244</v>
      </c>
      <c r="D7280" t="s">
        <v>4878</v>
      </c>
      <c r="E7280" t="s">
        <v>554</v>
      </c>
      <c r="F7280" t="s">
        <v>1068</v>
      </c>
      <c r="G7280" t="s">
        <v>1087</v>
      </c>
      <c r="H7280" s="170">
        <v>-9.84669291777396E-7</v>
      </c>
      <c r="I7280" t="s">
        <v>1088</v>
      </c>
      <c r="J7280">
        <v>8</v>
      </c>
    </row>
    <row r="7281" spans="1:13" hidden="1">
      <c r="A7281" t="s">
        <v>4893</v>
      </c>
      <c r="B7281" t="s">
        <v>4894</v>
      </c>
      <c r="C7281" t="s">
        <v>244</v>
      </c>
      <c r="D7281" t="s">
        <v>4878</v>
      </c>
      <c r="E7281" t="s">
        <v>554</v>
      </c>
      <c r="F7281" t="s">
        <v>1068</v>
      </c>
      <c r="G7281" t="s">
        <v>1089</v>
      </c>
      <c r="H7281">
        <v>-5.3752975791836397E-3</v>
      </c>
      <c r="I7281" t="s">
        <v>1090</v>
      </c>
      <c r="J7281">
        <v>8</v>
      </c>
    </row>
    <row r="7282" spans="1:13" hidden="1">
      <c r="A7282" t="s">
        <v>4895</v>
      </c>
      <c r="B7282" t="s">
        <v>4896</v>
      </c>
      <c r="C7282" t="s">
        <v>244</v>
      </c>
      <c r="D7282" t="s">
        <v>4897</v>
      </c>
      <c r="E7282" t="s">
        <v>561</v>
      </c>
      <c r="F7282" t="s">
        <v>1068</v>
      </c>
      <c r="G7282" t="s">
        <v>1069</v>
      </c>
      <c r="H7282">
        <v>-6.8077044883957498</v>
      </c>
      <c r="I7282" t="s">
        <v>1070</v>
      </c>
      <c r="J7282">
        <v>7.13</v>
      </c>
    </row>
    <row r="7283" spans="1:13" hidden="1">
      <c r="A7283" t="s">
        <v>4895</v>
      </c>
      <c r="B7283" t="s">
        <v>4896</v>
      </c>
      <c r="C7283" t="s">
        <v>244</v>
      </c>
      <c r="D7283" t="s">
        <v>4897</v>
      </c>
      <c r="E7283" t="s">
        <v>561</v>
      </c>
      <c r="F7283" t="s">
        <v>1068</v>
      </c>
      <c r="G7283" t="s">
        <v>1071</v>
      </c>
      <c r="H7283" s="170">
        <v>-1.7480440181939199E-8</v>
      </c>
      <c r="I7283" t="s">
        <v>1072</v>
      </c>
      <c r="J7283">
        <v>7.13</v>
      </c>
    </row>
    <row r="7284" spans="1:13" hidden="1">
      <c r="A7284" t="s">
        <v>4895</v>
      </c>
      <c r="B7284" t="s">
        <v>4896</v>
      </c>
      <c r="C7284" t="s">
        <v>244</v>
      </c>
      <c r="D7284" t="s">
        <v>4897</v>
      </c>
      <c r="E7284" t="s">
        <v>561</v>
      </c>
      <c r="F7284" t="s">
        <v>1068</v>
      </c>
      <c r="G7284" t="s">
        <v>1073</v>
      </c>
      <c r="H7284" s="170">
        <v>-2.7154015976227501E-6</v>
      </c>
      <c r="I7284" t="s">
        <v>1074</v>
      </c>
      <c r="J7284">
        <v>7.13</v>
      </c>
    </row>
    <row r="7285" spans="1:13" hidden="1">
      <c r="A7285" t="s">
        <v>4895</v>
      </c>
      <c r="B7285" t="s">
        <v>4896</v>
      </c>
      <c r="C7285" t="s">
        <v>244</v>
      </c>
      <c r="D7285" t="s">
        <v>4897</v>
      </c>
      <c r="E7285" t="s">
        <v>561</v>
      </c>
      <c r="F7285" t="s">
        <v>1068</v>
      </c>
      <c r="G7285" t="s">
        <v>1075</v>
      </c>
      <c r="H7285">
        <v>-0.54660475105095396</v>
      </c>
      <c r="I7285" t="s">
        <v>1077</v>
      </c>
      <c r="J7285">
        <v>7.13</v>
      </c>
    </row>
    <row r="7286" spans="1:13">
      <c r="A7286" t="s">
        <v>4895</v>
      </c>
      <c r="B7286" t="s">
        <v>4896</v>
      </c>
      <c r="C7286" t="s">
        <v>244</v>
      </c>
      <c r="D7286" t="s">
        <v>4897</v>
      </c>
      <c r="E7286" t="s">
        <v>561</v>
      </c>
      <c r="F7286" t="s">
        <v>1068</v>
      </c>
      <c r="G7286" t="s">
        <v>1078</v>
      </c>
      <c r="H7286">
        <v>-4.2962153916568298</v>
      </c>
      <c r="I7286" t="s">
        <v>1079</v>
      </c>
      <c r="J7286">
        <v>7.13</v>
      </c>
      <c r="M7286" t="str">
        <f>_xlfn.TEXTJOIN(" - ",TRUE,A7286,G7286)</f>
        <v>Recycle - HDPE_T - Australia - Global warming</v>
      </c>
    </row>
    <row r="7287" spans="1:13" hidden="1">
      <c r="A7287" t="s">
        <v>4895</v>
      </c>
      <c r="B7287" t="s">
        <v>4896</v>
      </c>
      <c r="C7287" t="s">
        <v>244</v>
      </c>
      <c r="D7287" t="s">
        <v>4897</v>
      </c>
      <c r="E7287" t="s">
        <v>561</v>
      </c>
      <c r="F7287" t="s">
        <v>1068</v>
      </c>
      <c r="G7287" t="s">
        <v>1080</v>
      </c>
      <c r="H7287" s="170">
        <v>-2.4133472014318599E-8</v>
      </c>
      <c r="I7287" t="s">
        <v>1082</v>
      </c>
      <c r="J7287">
        <v>7.13</v>
      </c>
    </row>
    <row r="7288" spans="1:13" hidden="1">
      <c r="A7288" t="s">
        <v>4895</v>
      </c>
      <c r="B7288" t="s">
        <v>4896</v>
      </c>
      <c r="C7288" t="s">
        <v>244</v>
      </c>
      <c r="D7288" t="s">
        <v>4897</v>
      </c>
      <c r="E7288" t="s">
        <v>561</v>
      </c>
      <c r="F7288" t="s">
        <v>1068</v>
      </c>
      <c r="G7288" t="s">
        <v>1083</v>
      </c>
      <c r="H7288">
        <v>-3.3420969244456401E-4</v>
      </c>
      <c r="I7288" t="s">
        <v>1084</v>
      </c>
      <c r="J7288">
        <v>7.13</v>
      </c>
    </row>
    <row r="7289" spans="1:13" hidden="1">
      <c r="A7289" t="s">
        <v>4895</v>
      </c>
      <c r="B7289" t="s">
        <v>4896</v>
      </c>
      <c r="C7289" t="s">
        <v>244</v>
      </c>
      <c r="D7289" t="s">
        <v>4897</v>
      </c>
      <c r="E7289" t="s">
        <v>561</v>
      </c>
      <c r="F7289" t="s">
        <v>1068</v>
      </c>
      <c r="G7289" t="s">
        <v>1085</v>
      </c>
      <c r="H7289">
        <v>-1.50430599645255E-2</v>
      </c>
      <c r="I7289" t="s">
        <v>1086</v>
      </c>
      <c r="J7289">
        <v>7.13</v>
      </c>
    </row>
    <row r="7290" spans="1:13" hidden="1">
      <c r="A7290" t="s">
        <v>4895</v>
      </c>
      <c r="B7290" t="s">
        <v>4896</v>
      </c>
      <c r="C7290" t="s">
        <v>244</v>
      </c>
      <c r="D7290" t="s">
        <v>4897</v>
      </c>
      <c r="E7290" t="s">
        <v>561</v>
      </c>
      <c r="F7290" t="s">
        <v>1068</v>
      </c>
      <c r="G7290" t="s">
        <v>1087</v>
      </c>
      <c r="H7290" s="170">
        <v>-9.8208739389584999E-7</v>
      </c>
      <c r="I7290" t="s">
        <v>1088</v>
      </c>
      <c r="J7290">
        <v>7.13</v>
      </c>
    </row>
    <row r="7291" spans="1:13" hidden="1">
      <c r="A7291" t="s">
        <v>4895</v>
      </c>
      <c r="B7291" t="s">
        <v>4896</v>
      </c>
      <c r="C7291" t="s">
        <v>244</v>
      </c>
      <c r="D7291" t="s">
        <v>4897</v>
      </c>
      <c r="E7291" t="s">
        <v>561</v>
      </c>
      <c r="F7291" t="s">
        <v>1068</v>
      </c>
      <c r="G7291" t="s">
        <v>1089</v>
      </c>
      <c r="H7291">
        <v>-5.3741939003710002E-3</v>
      </c>
      <c r="I7291" t="s">
        <v>1090</v>
      </c>
      <c r="J7291">
        <v>7.13</v>
      </c>
    </row>
    <row r="7292" spans="1:13" hidden="1">
      <c r="A7292" t="s">
        <v>4898</v>
      </c>
      <c r="B7292" t="s">
        <v>4899</v>
      </c>
      <c r="C7292" t="s">
        <v>244</v>
      </c>
      <c r="D7292" t="s">
        <v>4897</v>
      </c>
      <c r="E7292" t="s">
        <v>555</v>
      </c>
      <c r="F7292" t="s">
        <v>1068</v>
      </c>
      <c r="G7292" t="s">
        <v>1069</v>
      </c>
      <c r="H7292">
        <v>-6.7817028153311298</v>
      </c>
      <c r="I7292" t="s">
        <v>1070</v>
      </c>
      <c r="J7292">
        <v>8.02</v>
      </c>
    </row>
    <row r="7293" spans="1:13" hidden="1">
      <c r="A7293" t="s">
        <v>4898</v>
      </c>
      <c r="B7293" t="s">
        <v>4899</v>
      </c>
      <c r="C7293" t="s">
        <v>244</v>
      </c>
      <c r="D7293" t="s">
        <v>4897</v>
      </c>
      <c r="E7293" t="s">
        <v>555</v>
      </c>
      <c r="F7293" t="s">
        <v>1068</v>
      </c>
      <c r="G7293" t="s">
        <v>1071</v>
      </c>
      <c r="H7293" s="170">
        <v>-1.7443231491965799E-8</v>
      </c>
      <c r="I7293" t="s">
        <v>1072</v>
      </c>
      <c r="J7293">
        <v>8.02</v>
      </c>
    </row>
    <row r="7294" spans="1:13" hidden="1">
      <c r="A7294" t="s">
        <v>4898</v>
      </c>
      <c r="B7294" t="s">
        <v>4899</v>
      </c>
      <c r="C7294" t="s">
        <v>244</v>
      </c>
      <c r="D7294" t="s">
        <v>4897</v>
      </c>
      <c r="E7294" t="s">
        <v>555</v>
      </c>
      <c r="F7294" t="s">
        <v>1068</v>
      </c>
      <c r="G7294" t="s">
        <v>1073</v>
      </c>
      <c r="H7294" s="170">
        <v>-2.70616572107589E-6</v>
      </c>
      <c r="I7294" t="s">
        <v>1074</v>
      </c>
      <c r="J7294">
        <v>8.02</v>
      </c>
    </row>
    <row r="7295" spans="1:13" hidden="1">
      <c r="A7295" t="s">
        <v>4898</v>
      </c>
      <c r="B7295" t="s">
        <v>4899</v>
      </c>
      <c r="C7295" t="s">
        <v>244</v>
      </c>
      <c r="D7295" t="s">
        <v>4897</v>
      </c>
      <c r="E7295" t="s">
        <v>555</v>
      </c>
      <c r="F7295" t="s">
        <v>1068</v>
      </c>
      <c r="G7295" t="s">
        <v>1075</v>
      </c>
      <c r="H7295">
        <v>-0.545782810388588</v>
      </c>
      <c r="I7295" t="s">
        <v>1077</v>
      </c>
      <c r="J7295">
        <v>8.02</v>
      </c>
    </row>
    <row r="7296" spans="1:13">
      <c r="A7296" t="s">
        <v>4898</v>
      </c>
      <c r="B7296" t="s">
        <v>4899</v>
      </c>
      <c r="C7296" t="s">
        <v>244</v>
      </c>
      <c r="D7296" t="s">
        <v>4897</v>
      </c>
      <c r="E7296" t="s">
        <v>555</v>
      </c>
      <c r="F7296" t="s">
        <v>1068</v>
      </c>
      <c r="G7296" t="s">
        <v>1078</v>
      </c>
      <c r="H7296">
        <v>-4.2606715068670704</v>
      </c>
      <c r="I7296" t="s">
        <v>1079</v>
      </c>
      <c r="J7296">
        <v>8.02</v>
      </c>
      <c r="M7296" t="str">
        <f>_xlfn.TEXTJOIN(" - ",TRUE,A7296,G7296)</f>
        <v>Recycle - HDPE_T - Brazil - Global warming</v>
      </c>
    </row>
    <row r="7297" spans="1:13" hidden="1">
      <c r="A7297" t="s">
        <v>4898</v>
      </c>
      <c r="B7297" t="s">
        <v>4899</v>
      </c>
      <c r="C7297" t="s">
        <v>244</v>
      </c>
      <c r="D7297" t="s">
        <v>4897</v>
      </c>
      <c r="E7297" t="s">
        <v>555</v>
      </c>
      <c r="F7297" t="s">
        <v>1068</v>
      </c>
      <c r="G7297" t="s">
        <v>1080</v>
      </c>
      <c r="H7297" s="170">
        <v>-2.3988938046631299E-8</v>
      </c>
      <c r="I7297" t="s">
        <v>1082</v>
      </c>
      <c r="J7297">
        <v>8.02</v>
      </c>
    </row>
    <row r="7298" spans="1:13" hidden="1">
      <c r="A7298" t="s">
        <v>4898</v>
      </c>
      <c r="B7298" t="s">
        <v>4899</v>
      </c>
      <c r="C7298" t="s">
        <v>244</v>
      </c>
      <c r="D7298" t="s">
        <v>4897</v>
      </c>
      <c r="E7298" t="s">
        <v>555</v>
      </c>
      <c r="F7298" t="s">
        <v>1068</v>
      </c>
      <c r="G7298" t="s">
        <v>1083</v>
      </c>
      <c r="H7298">
        <v>-3.3025742130371103E-4</v>
      </c>
      <c r="I7298" t="s">
        <v>1084</v>
      </c>
      <c r="J7298">
        <v>8.02</v>
      </c>
    </row>
    <row r="7299" spans="1:13" hidden="1">
      <c r="A7299" t="s">
        <v>4898</v>
      </c>
      <c r="B7299" t="s">
        <v>4899</v>
      </c>
      <c r="C7299" t="s">
        <v>244</v>
      </c>
      <c r="D7299" t="s">
        <v>4897</v>
      </c>
      <c r="E7299" t="s">
        <v>555</v>
      </c>
      <c r="F7299" t="s">
        <v>1068</v>
      </c>
      <c r="G7299" t="s">
        <v>1085</v>
      </c>
      <c r="H7299">
        <v>-1.49983912792105E-2</v>
      </c>
      <c r="I7299" t="s">
        <v>1086</v>
      </c>
      <c r="J7299">
        <v>8.02</v>
      </c>
    </row>
    <row r="7300" spans="1:13" hidden="1">
      <c r="A7300" t="s">
        <v>4898</v>
      </c>
      <c r="B7300" t="s">
        <v>4899</v>
      </c>
      <c r="C7300" t="s">
        <v>244</v>
      </c>
      <c r="D7300" t="s">
        <v>4897</v>
      </c>
      <c r="E7300" t="s">
        <v>555</v>
      </c>
      <c r="F7300" t="s">
        <v>1068</v>
      </c>
      <c r="G7300" t="s">
        <v>1087</v>
      </c>
      <c r="H7300" s="170">
        <v>-9.605300824049201E-7</v>
      </c>
      <c r="I7300" t="s">
        <v>1088</v>
      </c>
      <c r="J7300">
        <v>8.02</v>
      </c>
    </row>
    <row r="7301" spans="1:13" hidden="1">
      <c r="A7301" t="s">
        <v>4898</v>
      </c>
      <c r="B7301" t="s">
        <v>4899</v>
      </c>
      <c r="C7301" t="s">
        <v>244</v>
      </c>
      <c r="D7301" t="s">
        <v>4897</v>
      </c>
      <c r="E7301" t="s">
        <v>555</v>
      </c>
      <c r="F7301" t="s">
        <v>1068</v>
      </c>
      <c r="G7301" t="s">
        <v>1089</v>
      </c>
      <c r="H7301">
        <v>-5.3649788387993601E-3</v>
      </c>
      <c r="I7301" t="s">
        <v>1090</v>
      </c>
      <c r="J7301">
        <v>8.02</v>
      </c>
    </row>
    <row r="7302" spans="1:13" hidden="1">
      <c r="A7302" t="s">
        <v>4900</v>
      </c>
      <c r="B7302" t="s">
        <v>4901</v>
      </c>
      <c r="C7302" t="s">
        <v>244</v>
      </c>
      <c r="D7302" t="s">
        <v>4897</v>
      </c>
      <c r="E7302" t="s">
        <v>558</v>
      </c>
      <c r="F7302" t="s">
        <v>1068</v>
      </c>
      <c r="G7302" t="s">
        <v>1069</v>
      </c>
      <c r="H7302">
        <v>-6.81000671986504</v>
      </c>
      <c r="I7302" t="s">
        <v>1070</v>
      </c>
      <c r="J7302">
        <v>7.49</v>
      </c>
    </row>
    <row r="7303" spans="1:13" hidden="1">
      <c r="A7303" t="s">
        <v>4900</v>
      </c>
      <c r="B7303" t="s">
        <v>4901</v>
      </c>
      <c r="C7303" t="s">
        <v>244</v>
      </c>
      <c r="D7303" t="s">
        <v>4897</v>
      </c>
      <c r="E7303" t="s">
        <v>558</v>
      </c>
      <c r="F7303" t="s">
        <v>1068</v>
      </c>
      <c r="G7303" t="s">
        <v>1071</v>
      </c>
      <c r="H7303" s="170">
        <v>-1.7483734701364E-8</v>
      </c>
      <c r="I7303" t="s">
        <v>1072</v>
      </c>
      <c r="J7303">
        <v>7.49</v>
      </c>
    </row>
    <row r="7304" spans="1:13" hidden="1">
      <c r="A7304" t="s">
        <v>4900</v>
      </c>
      <c r="B7304" t="s">
        <v>4901</v>
      </c>
      <c r="C7304" t="s">
        <v>244</v>
      </c>
      <c r="D7304" t="s">
        <v>4897</v>
      </c>
      <c r="E7304" t="s">
        <v>558</v>
      </c>
      <c r="F7304" t="s">
        <v>1068</v>
      </c>
      <c r="G7304" t="s">
        <v>1073</v>
      </c>
      <c r="H7304" s="170">
        <v>-2.7162193575253402E-6</v>
      </c>
      <c r="I7304" t="s">
        <v>1074</v>
      </c>
      <c r="J7304">
        <v>7.49</v>
      </c>
    </row>
    <row r="7305" spans="1:13" hidden="1">
      <c r="A7305" t="s">
        <v>4900</v>
      </c>
      <c r="B7305" t="s">
        <v>4901</v>
      </c>
      <c r="C7305" t="s">
        <v>244</v>
      </c>
      <c r="D7305" t="s">
        <v>4897</v>
      </c>
      <c r="E7305" t="s">
        <v>558</v>
      </c>
      <c r="F7305" t="s">
        <v>1068</v>
      </c>
      <c r="G7305" t="s">
        <v>1075</v>
      </c>
      <c r="H7305">
        <v>-0.54667752704710104</v>
      </c>
      <c r="I7305" t="s">
        <v>1077</v>
      </c>
      <c r="J7305">
        <v>7.49</v>
      </c>
    </row>
    <row r="7306" spans="1:13">
      <c r="A7306" t="s">
        <v>4900</v>
      </c>
      <c r="B7306" t="s">
        <v>4901</v>
      </c>
      <c r="C7306" t="s">
        <v>244</v>
      </c>
      <c r="D7306" t="s">
        <v>4897</v>
      </c>
      <c r="E7306" t="s">
        <v>558</v>
      </c>
      <c r="F7306" t="s">
        <v>1068</v>
      </c>
      <c r="G7306" t="s">
        <v>1078</v>
      </c>
      <c r="H7306">
        <v>-4.29936250645593</v>
      </c>
      <c r="I7306" t="s">
        <v>1079</v>
      </c>
      <c r="J7306">
        <v>7.49</v>
      </c>
      <c r="M7306" t="str">
        <f>_xlfn.TEXTJOIN(" - ",TRUE,A7306,G7306)</f>
        <v>Recycle - HDPE_T - Canada - Global warming</v>
      </c>
    </row>
    <row r="7307" spans="1:13" hidden="1">
      <c r="A7307" t="s">
        <v>4900</v>
      </c>
      <c r="B7307" t="s">
        <v>4901</v>
      </c>
      <c r="C7307" t="s">
        <v>244</v>
      </c>
      <c r="D7307" t="s">
        <v>4897</v>
      </c>
      <c r="E7307" t="s">
        <v>558</v>
      </c>
      <c r="F7307" t="s">
        <v>1068</v>
      </c>
      <c r="G7307" t="s">
        <v>1080</v>
      </c>
      <c r="H7307" s="170">
        <v>-2.41462692927077E-8</v>
      </c>
      <c r="I7307" t="s">
        <v>1082</v>
      </c>
      <c r="J7307">
        <v>7.49</v>
      </c>
    </row>
    <row r="7308" spans="1:13" hidden="1">
      <c r="A7308" t="s">
        <v>4900</v>
      </c>
      <c r="B7308" t="s">
        <v>4901</v>
      </c>
      <c r="C7308" t="s">
        <v>244</v>
      </c>
      <c r="D7308" t="s">
        <v>4897</v>
      </c>
      <c r="E7308" t="s">
        <v>558</v>
      </c>
      <c r="F7308" t="s">
        <v>1068</v>
      </c>
      <c r="G7308" t="s">
        <v>1083</v>
      </c>
      <c r="H7308">
        <v>-3.3455963311849497E-4</v>
      </c>
      <c r="I7308" t="s">
        <v>1084</v>
      </c>
      <c r="J7308">
        <v>7.49</v>
      </c>
    </row>
    <row r="7309" spans="1:13" hidden="1">
      <c r="A7309" t="s">
        <v>4900</v>
      </c>
      <c r="B7309" t="s">
        <v>4901</v>
      </c>
      <c r="C7309" t="s">
        <v>244</v>
      </c>
      <c r="D7309" t="s">
        <v>4897</v>
      </c>
      <c r="E7309" t="s">
        <v>558</v>
      </c>
      <c r="F7309" t="s">
        <v>1068</v>
      </c>
      <c r="G7309" t="s">
        <v>1085</v>
      </c>
      <c r="H7309">
        <v>-1.5047015004371099E-2</v>
      </c>
      <c r="I7309" t="s">
        <v>1086</v>
      </c>
      <c r="J7309">
        <v>7.49</v>
      </c>
    </row>
    <row r="7310" spans="1:13" hidden="1">
      <c r="A7310" t="s">
        <v>4900</v>
      </c>
      <c r="B7310" t="s">
        <v>4901</v>
      </c>
      <c r="C7310" t="s">
        <v>244</v>
      </c>
      <c r="D7310" t="s">
        <v>4897</v>
      </c>
      <c r="E7310" t="s">
        <v>558</v>
      </c>
      <c r="F7310" t="s">
        <v>1068</v>
      </c>
      <c r="G7310" t="s">
        <v>1087</v>
      </c>
      <c r="H7310" s="170">
        <v>-9.8399611418411204E-7</v>
      </c>
      <c r="I7310" t="s">
        <v>1088</v>
      </c>
      <c r="J7310">
        <v>7.49</v>
      </c>
    </row>
    <row r="7311" spans="1:13" hidden="1">
      <c r="A7311" t="s">
        <v>4900</v>
      </c>
      <c r="B7311" t="s">
        <v>4901</v>
      </c>
      <c r="C7311" t="s">
        <v>244</v>
      </c>
      <c r="D7311" t="s">
        <v>4897</v>
      </c>
      <c r="E7311" t="s">
        <v>558</v>
      </c>
      <c r="F7311" t="s">
        <v>1068</v>
      </c>
      <c r="G7311" t="s">
        <v>1089</v>
      </c>
      <c r="H7311">
        <v>-5.3750098172809903E-3</v>
      </c>
      <c r="I7311" t="s">
        <v>1090</v>
      </c>
      <c r="J7311">
        <v>7.49</v>
      </c>
    </row>
    <row r="7312" spans="1:13" hidden="1">
      <c r="A7312" t="s">
        <v>4902</v>
      </c>
      <c r="B7312" t="s">
        <v>4903</v>
      </c>
      <c r="C7312" t="s">
        <v>244</v>
      </c>
      <c r="D7312" t="s">
        <v>4897</v>
      </c>
      <c r="E7312" t="s">
        <v>553</v>
      </c>
      <c r="F7312" t="s">
        <v>1068</v>
      </c>
      <c r="G7312" t="s">
        <v>1069</v>
      </c>
      <c r="H7312">
        <v>-6.8122614826439003</v>
      </c>
      <c r="I7312" t="s">
        <v>1070</v>
      </c>
      <c r="J7312">
        <v>9.91</v>
      </c>
    </row>
    <row r="7313" spans="1:13" hidden="1">
      <c r="A7313" t="s">
        <v>4902</v>
      </c>
      <c r="B7313" t="s">
        <v>4903</v>
      </c>
      <c r="C7313" t="s">
        <v>244</v>
      </c>
      <c r="D7313" t="s">
        <v>4897</v>
      </c>
      <c r="E7313" t="s">
        <v>553</v>
      </c>
      <c r="F7313" t="s">
        <v>1068</v>
      </c>
      <c r="G7313" t="s">
        <v>1071</v>
      </c>
      <c r="H7313" s="170">
        <v>-1.7486961292552501E-8</v>
      </c>
      <c r="I7313" t="s">
        <v>1072</v>
      </c>
      <c r="J7313">
        <v>9.91</v>
      </c>
    </row>
    <row r="7314" spans="1:13" hidden="1">
      <c r="A7314" t="s">
        <v>4902</v>
      </c>
      <c r="B7314" t="s">
        <v>4903</v>
      </c>
      <c r="C7314" t="s">
        <v>244</v>
      </c>
      <c r="D7314" t="s">
        <v>4897</v>
      </c>
      <c r="E7314" t="s">
        <v>553</v>
      </c>
      <c r="F7314" t="s">
        <v>1068</v>
      </c>
      <c r="G7314" t="s">
        <v>1073</v>
      </c>
      <c r="H7314" s="170">
        <v>-2.71702025639889E-6</v>
      </c>
      <c r="I7314" t="s">
        <v>1074</v>
      </c>
      <c r="J7314">
        <v>9.91</v>
      </c>
    </row>
    <row r="7315" spans="1:13" hidden="1">
      <c r="A7315" t="s">
        <v>4902</v>
      </c>
      <c r="B7315" t="s">
        <v>4903</v>
      </c>
      <c r="C7315" t="s">
        <v>244</v>
      </c>
      <c r="D7315" t="s">
        <v>4897</v>
      </c>
      <c r="E7315" t="s">
        <v>553</v>
      </c>
      <c r="F7315" t="s">
        <v>1068</v>
      </c>
      <c r="G7315" t="s">
        <v>1075</v>
      </c>
      <c r="H7315">
        <v>-0.54674880250724001</v>
      </c>
      <c r="I7315" t="s">
        <v>1077</v>
      </c>
      <c r="J7315">
        <v>9.91</v>
      </c>
    </row>
    <row r="7316" spans="1:13">
      <c r="A7316" t="s">
        <v>4902</v>
      </c>
      <c r="B7316" t="s">
        <v>4903</v>
      </c>
      <c r="C7316" t="s">
        <v>244</v>
      </c>
      <c r="D7316" t="s">
        <v>4897</v>
      </c>
      <c r="E7316" t="s">
        <v>553</v>
      </c>
      <c r="F7316" t="s">
        <v>1068</v>
      </c>
      <c r="G7316" t="s">
        <v>1078</v>
      </c>
      <c r="H7316">
        <v>-4.3024447322899997</v>
      </c>
      <c r="I7316" t="s">
        <v>1079</v>
      </c>
      <c r="J7316">
        <v>9.91</v>
      </c>
      <c r="M7316" t="str">
        <f>_xlfn.TEXTJOIN(" - ",TRUE,A7316,G7316)</f>
        <v>Recycle - HDPE_T - China - Global warming</v>
      </c>
    </row>
    <row r="7317" spans="1:13" hidden="1">
      <c r="A7317" t="s">
        <v>4902</v>
      </c>
      <c r="B7317" t="s">
        <v>4903</v>
      </c>
      <c r="C7317" t="s">
        <v>244</v>
      </c>
      <c r="D7317" t="s">
        <v>4897</v>
      </c>
      <c r="E7317" t="s">
        <v>553</v>
      </c>
      <c r="F7317" t="s">
        <v>1068</v>
      </c>
      <c r="G7317" t="s">
        <v>1080</v>
      </c>
      <c r="H7317" s="170">
        <v>-2.4158802709685501E-8</v>
      </c>
      <c r="I7317" t="s">
        <v>1082</v>
      </c>
      <c r="J7317">
        <v>9.91</v>
      </c>
    </row>
    <row r="7318" spans="1:13" hidden="1">
      <c r="A7318" t="s">
        <v>4902</v>
      </c>
      <c r="B7318" t="s">
        <v>4903</v>
      </c>
      <c r="C7318" t="s">
        <v>244</v>
      </c>
      <c r="D7318" t="s">
        <v>4897</v>
      </c>
      <c r="E7318" t="s">
        <v>553</v>
      </c>
      <c r="F7318" t="s">
        <v>1068</v>
      </c>
      <c r="G7318" t="s">
        <v>1083</v>
      </c>
      <c r="H7318">
        <v>-3.3490235852078699E-4</v>
      </c>
      <c r="I7318" t="s">
        <v>1084</v>
      </c>
      <c r="J7318">
        <v>9.91</v>
      </c>
    </row>
    <row r="7319" spans="1:13" hidden="1">
      <c r="A7319" t="s">
        <v>4902</v>
      </c>
      <c r="B7319" t="s">
        <v>4903</v>
      </c>
      <c r="C7319" t="s">
        <v>244</v>
      </c>
      <c r="D7319" t="s">
        <v>4897</v>
      </c>
      <c r="E7319" t="s">
        <v>553</v>
      </c>
      <c r="F7319" t="s">
        <v>1068</v>
      </c>
      <c r="G7319" t="s">
        <v>1085</v>
      </c>
      <c r="H7319">
        <v>-1.50508884970033E-2</v>
      </c>
      <c r="I7319" t="s">
        <v>1086</v>
      </c>
      <c r="J7319">
        <v>9.91</v>
      </c>
    </row>
    <row r="7320" spans="1:13" hidden="1">
      <c r="A7320" t="s">
        <v>4902</v>
      </c>
      <c r="B7320" t="s">
        <v>4903</v>
      </c>
      <c r="C7320" t="s">
        <v>244</v>
      </c>
      <c r="D7320" t="s">
        <v>4897</v>
      </c>
      <c r="E7320" t="s">
        <v>553</v>
      </c>
      <c r="F7320" t="s">
        <v>1068</v>
      </c>
      <c r="G7320" t="s">
        <v>1087</v>
      </c>
      <c r="H7320" s="170">
        <v>-9.8586547941483691E-7</v>
      </c>
      <c r="I7320" t="s">
        <v>1088</v>
      </c>
      <c r="J7320">
        <v>9.91</v>
      </c>
    </row>
    <row r="7321" spans="1:13" hidden="1">
      <c r="A7321" t="s">
        <v>4902</v>
      </c>
      <c r="B7321" t="s">
        <v>4903</v>
      </c>
      <c r="C7321" t="s">
        <v>244</v>
      </c>
      <c r="D7321" t="s">
        <v>4897</v>
      </c>
      <c r="E7321" t="s">
        <v>553</v>
      </c>
      <c r="F7321" t="s">
        <v>1068</v>
      </c>
      <c r="G7321" t="s">
        <v>1089</v>
      </c>
      <c r="H7321">
        <v>-5.3758089111618597E-3</v>
      </c>
      <c r="I7321" t="s">
        <v>1090</v>
      </c>
      <c r="J7321">
        <v>9.91</v>
      </c>
    </row>
    <row r="7322" spans="1:13" hidden="1">
      <c r="A7322" t="s">
        <v>4904</v>
      </c>
      <c r="B7322" t="s">
        <v>4905</v>
      </c>
      <c r="C7322" t="s">
        <v>244</v>
      </c>
      <c r="D7322" t="s">
        <v>4897</v>
      </c>
      <c r="E7322" t="s">
        <v>556</v>
      </c>
      <c r="F7322" t="s">
        <v>1068</v>
      </c>
      <c r="G7322" t="s">
        <v>1069</v>
      </c>
      <c r="H7322">
        <v>-6.7845750931696598</v>
      </c>
      <c r="I7322" t="s">
        <v>1070</v>
      </c>
      <c r="J7322">
        <v>9.61</v>
      </c>
    </row>
    <row r="7323" spans="1:13" hidden="1">
      <c r="A7323" t="s">
        <v>4904</v>
      </c>
      <c r="B7323" t="s">
        <v>4905</v>
      </c>
      <c r="C7323" t="s">
        <v>244</v>
      </c>
      <c r="D7323" t="s">
        <v>4897</v>
      </c>
      <c r="E7323" t="s">
        <v>556</v>
      </c>
      <c r="F7323" t="s">
        <v>1068</v>
      </c>
      <c r="G7323" t="s">
        <v>1071</v>
      </c>
      <c r="H7323" s="170">
        <v>-1.74473417542303E-8</v>
      </c>
      <c r="I7323" t="s">
        <v>1072</v>
      </c>
      <c r="J7323">
        <v>9.61</v>
      </c>
    </row>
    <row r="7324" spans="1:13" hidden="1">
      <c r="A7324" t="s">
        <v>4904</v>
      </c>
      <c r="B7324" t="s">
        <v>4905</v>
      </c>
      <c r="C7324" t="s">
        <v>244</v>
      </c>
      <c r="D7324" t="s">
        <v>4897</v>
      </c>
      <c r="E7324" t="s">
        <v>556</v>
      </c>
      <c r="F7324" t="s">
        <v>1068</v>
      </c>
      <c r="G7324" t="s">
        <v>1073</v>
      </c>
      <c r="H7324" s="170">
        <v>-2.7071859632525798E-6</v>
      </c>
      <c r="I7324" t="s">
        <v>1074</v>
      </c>
      <c r="J7324">
        <v>9.61</v>
      </c>
    </row>
    <row r="7325" spans="1:13" hidden="1">
      <c r="A7325" t="s">
        <v>4904</v>
      </c>
      <c r="B7325" t="s">
        <v>4905</v>
      </c>
      <c r="C7325" t="s">
        <v>244</v>
      </c>
      <c r="D7325" t="s">
        <v>4897</v>
      </c>
      <c r="E7325" t="s">
        <v>556</v>
      </c>
      <c r="F7325" t="s">
        <v>1068</v>
      </c>
      <c r="G7325" t="s">
        <v>1075</v>
      </c>
      <c r="H7325">
        <v>-0.54587360615943004</v>
      </c>
      <c r="I7325" t="s">
        <v>1077</v>
      </c>
      <c r="J7325">
        <v>9.61</v>
      </c>
    </row>
    <row r="7326" spans="1:13">
      <c r="A7326" t="s">
        <v>4904</v>
      </c>
      <c r="B7326" t="s">
        <v>4905</v>
      </c>
      <c r="C7326" t="s">
        <v>244</v>
      </c>
      <c r="D7326" t="s">
        <v>4897</v>
      </c>
      <c r="E7326" t="s">
        <v>556</v>
      </c>
      <c r="F7326" t="s">
        <v>1068</v>
      </c>
      <c r="G7326" t="s">
        <v>1078</v>
      </c>
      <c r="H7326">
        <v>-4.2645978662333697</v>
      </c>
      <c r="I7326" t="s">
        <v>1079</v>
      </c>
      <c r="J7326">
        <v>9.61</v>
      </c>
      <c r="M7326" t="str">
        <f>_xlfn.TEXTJOIN(" - ",TRUE,A7326,G7326)</f>
        <v>Recycle - HDPE_T - India - Global warming</v>
      </c>
    </row>
    <row r="7327" spans="1:13" hidden="1">
      <c r="A7327" t="s">
        <v>4904</v>
      </c>
      <c r="B7327" t="s">
        <v>4905</v>
      </c>
      <c r="C7327" t="s">
        <v>244</v>
      </c>
      <c r="D7327" t="s">
        <v>4897</v>
      </c>
      <c r="E7327" t="s">
        <v>556</v>
      </c>
      <c r="F7327" t="s">
        <v>1068</v>
      </c>
      <c r="G7327" t="s">
        <v>1080</v>
      </c>
      <c r="H7327" s="170">
        <v>-2.40049040081782E-8</v>
      </c>
      <c r="I7327" t="s">
        <v>1082</v>
      </c>
      <c r="J7327">
        <v>9.61</v>
      </c>
    </row>
    <row r="7328" spans="1:13" hidden="1">
      <c r="A7328" t="s">
        <v>4904</v>
      </c>
      <c r="B7328" t="s">
        <v>4905</v>
      </c>
      <c r="C7328" t="s">
        <v>244</v>
      </c>
      <c r="D7328" t="s">
        <v>4897</v>
      </c>
      <c r="E7328" t="s">
        <v>556</v>
      </c>
      <c r="F7328" t="s">
        <v>1068</v>
      </c>
      <c r="G7328" t="s">
        <v>1083</v>
      </c>
      <c r="H7328">
        <v>-3.3069400939485097E-4</v>
      </c>
      <c r="I7328" t="s">
        <v>1084</v>
      </c>
      <c r="J7328">
        <v>9.61</v>
      </c>
    </row>
    <row r="7329" spans="1:13" hidden="1">
      <c r="A7329" t="s">
        <v>4904</v>
      </c>
      <c r="B7329" t="s">
        <v>4905</v>
      </c>
      <c r="C7329" t="s">
        <v>244</v>
      </c>
      <c r="D7329" t="s">
        <v>4897</v>
      </c>
      <c r="E7329" t="s">
        <v>556</v>
      </c>
      <c r="F7329" t="s">
        <v>1068</v>
      </c>
      <c r="G7329" t="s">
        <v>1085</v>
      </c>
      <c r="H7329">
        <v>-1.50033256107278E-2</v>
      </c>
      <c r="I7329" t="s">
        <v>1086</v>
      </c>
      <c r="J7329">
        <v>9.61</v>
      </c>
    </row>
    <row r="7330" spans="1:13" hidden="1">
      <c r="A7330" t="s">
        <v>4904</v>
      </c>
      <c r="B7330" t="s">
        <v>4905</v>
      </c>
      <c r="C7330" t="s">
        <v>244</v>
      </c>
      <c r="D7330" t="s">
        <v>4897</v>
      </c>
      <c r="E7330" t="s">
        <v>556</v>
      </c>
      <c r="F7330" t="s">
        <v>1068</v>
      </c>
      <c r="G7330" t="s">
        <v>1087</v>
      </c>
      <c r="H7330" s="170">
        <v>-9.6291141332542998E-7</v>
      </c>
      <c r="I7330" t="s">
        <v>1088</v>
      </c>
      <c r="J7330">
        <v>9.61</v>
      </c>
    </row>
    <row r="7331" spans="1:13" hidden="1">
      <c r="A7331" t="s">
        <v>4904</v>
      </c>
      <c r="B7331" t="s">
        <v>4905</v>
      </c>
      <c r="C7331" t="s">
        <v>244</v>
      </c>
      <c r="D7331" t="s">
        <v>4897</v>
      </c>
      <c r="E7331" t="s">
        <v>556</v>
      </c>
      <c r="F7331" t="s">
        <v>1068</v>
      </c>
      <c r="G7331" t="s">
        <v>1089</v>
      </c>
      <c r="H7331">
        <v>-5.3659967816473897E-3</v>
      </c>
      <c r="I7331" t="s">
        <v>1090</v>
      </c>
      <c r="J7331">
        <v>9.61</v>
      </c>
    </row>
    <row r="7332" spans="1:13" hidden="1">
      <c r="A7332" t="s">
        <v>4906</v>
      </c>
      <c r="B7332" t="s">
        <v>4907</v>
      </c>
      <c r="C7332" t="s">
        <v>244</v>
      </c>
      <c r="D7332" t="s">
        <v>4897</v>
      </c>
      <c r="E7332" t="s">
        <v>557</v>
      </c>
      <c r="F7332" t="s">
        <v>1068</v>
      </c>
      <c r="G7332" t="s">
        <v>1069</v>
      </c>
      <c r="H7332">
        <v>-6.8004975029267696</v>
      </c>
      <c r="I7332" t="s">
        <v>1070</v>
      </c>
      <c r="J7332">
        <v>10.11</v>
      </c>
    </row>
    <row r="7333" spans="1:13" hidden="1">
      <c r="A7333" t="s">
        <v>4906</v>
      </c>
      <c r="B7333" t="s">
        <v>4907</v>
      </c>
      <c r="C7333" t="s">
        <v>244</v>
      </c>
      <c r="D7333" t="s">
        <v>4897</v>
      </c>
      <c r="E7333" t="s">
        <v>557</v>
      </c>
      <c r="F7333" t="s">
        <v>1068</v>
      </c>
      <c r="G7333" t="s">
        <v>1071</v>
      </c>
      <c r="H7333" s="170">
        <v>-1.74701269037401E-8</v>
      </c>
      <c r="I7333" t="s">
        <v>1072</v>
      </c>
      <c r="J7333">
        <v>10.11</v>
      </c>
    </row>
    <row r="7334" spans="1:13" hidden="1">
      <c r="A7334" t="s">
        <v>4906</v>
      </c>
      <c r="B7334" t="s">
        <v>4907</v>
      </c>
      <c r="C7334" t="s">
        <v>244</v>
      </c>
      <c r="D7334" t="s">
        <v>4897</v>
      </c>
      <c r="E7334" t="s">
        <v>557</v>
      </c>
      <c r="F7334" t="s">
        <v>1068</v>
      </c>
      <c r="G7334" t="s">
        <v>1073</v>
      </c>
      <c r="H7334" s="170">
        <v>-2.7128416535798799E-6</v>
      </c>
      <c r="I7334" t="s">
        <v>1074</v>
      </c>
      <c r="J7334">
        <v>10.11</v>
      </c>
    </row>
    <row r="7335" spans="1:13" hidden="1">
      <c r="A7335" t="s">
        <v>4906</v>
      </c>
      <c r="B7335" t="s">
        <v>4907</v>
      </c>
      <c r="C7335" t="s">
        <v>244</v>
      </c>
      <c r="D7335" t="s">
        <v>4897</v>
      </c>
      <c r="E7335" t="s">
        <v>557</v>
      </c>
      <c r="F7335" t="s">
        <v>1068</v>
      </c>
      <c r="G7335" t="s">
        <v>1075</v>
      </c>
      <c r="H7335">
        <v>-0.54637693054127601</v>
      </c>
      <c r="I7335" t="s">
        <v>1077</v>
      </c>
      <c r="J7335">
        <v>10.11</v>
      </c>
    </row>
    <row r="7336" spans="1:13">
      <c r="A7336" t="s">
        <v>4906</v>
      </c>
      <c r="B7336" t="s">
        <v>4907</v>
      </c>
      <c r="C7336" t="s">
        <v>244</v>
      </c>
      <c r="D7336" t="s">
        <v>4897</v>
      </c>
      <c r="E7336" t="s">
        <v>557</v>
      </c>
      <c r="F7336" t="s">
        <v>1068</v>
      </c>
      <c r="G7336" t="s">
        <v>1078</v>
      </c>
      <c r="H7336">
        <v>-4.2863635540248897</v>
      </c>
      <c r="I7336" t="s">
        <v>1079</v>
      </c>
      <c r="J7336">
        <v>10.11</v>
      </c>
      <c r="M7336" t="str">
        <f>_xlfn.TEXTJOIN(" - ",TRUE,A7336,G7336)</f>
        <v>Recycle - HDPE_T - Ireland - Global warming</v>
      </c>
    </row>
    <row r="7337" spans="1:13" hidden="1">
      <c r="A7337" t="s">
        <v>4906</v>
      </c>
      <c r="B7337" t="s">
        <v>4907</v>
      </c>
      <c r="C7337" t="s">
        <v>244</v>
      </c>
      <c r="D7337" t="s">
        <v>4897</v>
      </c>
      <c r="E7337" t="s">
        <v>557</v>
      </c>
      <c r="F7337" t="s">
        <v>1068</v>
      </c>
      <c r="G7337" t="s">
        <v>1080</v>
      </c>
      <c r="H7337" s="170">
        <v>-2.4093410968927101E-8</v>
      </c>
      <c r="I7337" t="s">
        <v>1082</v>
      </c>
      <c r="J7337">
        <v>10.11</v>
      </c>
    </row>
    <row r="7338" spans="1:13" hidden="1">
      <c r="A7338" t="s">
        <v>4906</v>
      </c>
      <c r="B7338" t="s">
        <v>4907</v>
      </c>
      <c r="C7338" t="s">
        <v>244</v>
      </c>
      <c r="D7338" t="s">
        <v>4897</v>
      </c>
      <c r="E7338" t="s">
        <v>557</v>
      </c>
      <c r="F7338" t="s">
        <v>1068</v>
      </c>
      <c r="G7338" t="s">
        <v>1083</v>
      </c>
      <c r="H7338">
        <v>-3.3311422598704599E-4</v>
      </c>
      <c r="I7338" t="s">
        <v>1084</v>
      </c>
      <c r="J7338">
        <v>10.11</v>
      </c>
    </row>
    <row r="7339" spans="1:13" hidden="1">
      <c r="A7339" t="s">
        <v>4906</v>
      </c>
      <c r="B7339" t="s">
        <v>4907</v>
      </c>
      <c r="C7339" t="s">
        <v>244</v>
      </c>
      <c r="D7339" t="s">
        <v>4897</v>
      </c>
      <c r="E7339" t="s">
        <v>557</v>
      </c>
      <c r="F7339" t="s">
        <v>1068</v>
      </c>
      <c r="G7339" t="s">
        <v>1085</v>
      </c>
      <c r="H7339">
        <v>-1.5030678970226301E-2</v>
      </c>
      <c r="I7339" t="s">
        <v>1086</v>
      </c>
      <c r="J7339">
        <v>10.11</v>
      </c>
    </row>
    <row r="7340" spans="1:13" hidden="1">
      <c r="A7340" t="s">
        <v>4906</v>
      </c>
      <c r="B7340" t="s">
        <v>4907</v>
      </c>
      <c r="C7340" t="s">
        <v>244</v>
      </c>
      <c r="D7340" t="s">
        <v>4897</v>
      </c>
      <c r="E7340" t="s">
        <v>557</v>
      </c>
      <c r="F7340" t="s">
        <v>1068</v>
      </c>
      <c r="G7340" t="s">
        <v>1087</v>
      </c>
      <c r="H7340" s="170">
        <v>-9.7611226951521393E-7</v>
      </c>
      <c r="I7340" t="s">
        <v>1088</v>
      </c>
      <c r="J7340">
        <v>10.11</v>
      </c>
    </row>
    <row r="7341" spans="1:13" hidden="1">
      <c r="A7341" t="s">
        <v>4906</v>
      </c>
      <c r="B7341" t="s">
        <v>4907</v>
      </c>
      <c r="C7341" t="s">
        <v>244</v>
      </c>
      <c r="D7341" t="s">
        <v>4897</v>
      </c>
      <c r="E7341" t="s">
        <v>557</v>
      </c>
      <c r="F7341" t="s">
        <v>1068</v>
      </c>
      <c r="G7341" t="s">
        <v>1089</v>
      </c>
      <c r="H7341">
        <v>-5.3716397256962497E-3</v>
      </c>
      <c r="I7341" t="s">
        <v>1090</v>
      </c>
      <c r="J7341">
        <v>10.11</v>
      </c>
    </row>
    <row r="7342" spans="1:13" hidden="1">
      <c r="A7342" t="s">
        <v>4908</v>
      </c>
      <c r="B7342" t="s">
        <v>4909</v>
      </c>
      <c r="C7342" t="s">
        <v>244</v>
      </c>
      <c r="D7342" t="s">
        <v>4897</v>
      </c>
      <c r="E7342" t="s">
        <v>559</v>
      </c>
      <c r="F7342" t="s">
        <v>1068</v>
      </c>
      <c r="G7342" t="s">
        <v>1069</v>
      </c>
      <c r="H7342">
        <v>-6.7928046532688402</v>
      </c>
      <c r="I7342" t="s">
        <v>1070</v>
      </c>
      <c r="J7342">
        <v>8.26</v>
      </c>
    </row>
    <row r="7343" spans="1:13" hidden="1">
      <c r="A7343" t="s">
        <v>4908</v>
      </c>
      <c r="B7343" t="s">
        <v>4909</v>
      </c>
      <c r="C7343" t="s">
        <v>244</v>
      </c>
      <c r="D7343" t="s">
        <v>4897</v>
      </c>
      <c r="E7343" t="s">
        <v>559</v>
      </c>
      <c r="F7343" t="s">
        <v>1068</v>
      </c>
      <c r="G7343" t="s">
        <v>1071</v>
      </c>
      <c r="H7343" s="170">
        <v>-1.7459118348358898E-8</v>
      </c>
      <c r="I7343" t="s">
        <v>1072</v>
      </c>
      <c r="J7343">
        <v>8.26</v>
      </c>
    </row>
    <row r="7344" spans="1:13" hidden="1">
      <c r="A7344" t="s">
        <v>4908</v>
      </c>
      <c r="B7344" t="s">
        <v>4909</v>
      </c>
      <c r="C7344" t="s">
        <v>244</v>
      </c>
      <c r="D7344" t="s">
        <v>4897</v>
      </c>
      <c r="E7344" t="s">
        <v>559</v>
      </c>
      <c r="F7344" t="s">
        <v>1068</v>
      </c>
      <c r="G7344" t="s">
        <v>1073</v>
      </c>
      <c r="H7344" s="170">
        <v>-2.71010912903972E-6</v>
      </c>
      <c r="I7344" t="s">
        <v>1074</v>
      </c>
      <c r="J7344">
        <v>8.26</v>
      </c>
    </row>
    <row r="7345" spans="1:13" hidden="1">
      <c r="A7345" t="s">
        <v>4908</v>
      </c>
      <c r="B7345" t="s">
        <v>4909</v>
      </c>
      <c r="C7345" t="s">
        <v>244</v>
      </c>
      <c r="D7345" t="s">
        <v>4897</v>
      </c>
      <c r="E7345" t="s">
        <v>559</v>
      </c>
      <c r="F7345" t="s">
        <v>1068</v>
      </c>
      <c r="G7345" t="s">
        <v>1075</v>
      </c>
      <c r="H7345">
        <v>-0.54613375134555298</v>
      </c>
      <c r="I7345" t="s">
        <v>1077</v>
      </c>
      <c r="J7345">
        <v>8.26</v>
      </c>
    </row>
    <row r="7346" spans="1:13">
      <c r="A7346" t="s">
        <v>4908</v>
      </c>
      <c r="B7346" t="s">
        <v>4909</v>
      </c>
      <c r="C7346" t="s">
        <v>244</v>
      </c>
      <c r="D7346" t="s">
        <v>4897</v>
      </c>
      <c r="E7346" t="s">
        <v>559</v>
      </c>
      <c r="F7346" t="s">
        <v>1068</v>
      </c>
      <c r="G7346" t="s">
        <v>1078</v>
      </c>
      <c r="H7346">
        <v>-4.2758475475638198</v>
      </c>
      <c r="I7346" t="s">
        <v>1079</v>
      </c>
      <c r="J7346">
        <v>8.26</v>
      </c>
      <c r="M7346" t="str">
        <f>_xlfn.TEXTJOIN(" - ",TRUE,A7346,G7346)</f>
        <v>Recycle - HDPE_T - Mexico - Global warming</v>
      </c>
    </row>
    <row r="7347" spans="1:13" hidden="1">
      <c r="A7347" t="s">
        <v>4908</v>
      </c>
      <c r="B7347" t="s">
        <v>4909</v>
      </c>
      <c r="C7347" t="s">
        <v>244</v>
      </c>
      <c r="D7347" t="s">
        <v>4897</v>
      </c>
      <c r="E7347" t="s">
        <v>559</v>
      </c>
      <c r="F7347" t="s">
        <v>1068</v>
      </c>
      <c r="G7347" t="s">
        <v>1080</v>
      </c>
      <c r="H7347" s="170">
        <v>-2.40506491789024E-8</v>
      </c>
      <c r="I7347" t="s">
        <v>1082</v>
      </c>
      <c r="J7347">
        <v>8.26</v>
      </c>
    </row>
    <row r="7348" spans="1:13" hidden="1">
      <c r="A7348" t="s">
        <v>4908</v>
      </c>
      <c r="B7348" t="s">
        <v>4909</v>
      </c>
      <c r="C7348" t="s">
        <v>244</v>
      </c>
      <c r="D7348" t="s">
        <v>4897</v>
      </c>
      <c r="E7348" t="s">
        <v>559</v>
      </c>
      <c r="F7348" t="s">
        <v>1068</v>
      </c>
      <c r="G7348" t="s">
        <v>1083</v>
      </c>
      <c r="H7348">
        <v>-3.3194490785823301E-4</v>
      </c>
      <c r="I7348" t="s">
        <v>1084</v>
      </c>
      <c r="J7348">
        <v>8.26</v>
      </c>
    </row>
    <row r="7349" spans="1:13" hidden="1">
      <c r="A7349" t="s">
        <v>4908</v>
      </c>
      <c r="B7349" t="s">
        <v>4909</v>
      </c>
      <c r="C7349" t="s">
        <v>244</v>
      </c>
      <c r="D7349" t="s">
        <v>4897</v>
      </c>
      <c r="E7349" t="s">
        <v>559</v>
      </c>
      <c r="F7349" t="s">
        <v>1068</v>
      </c>
      <c r="G7349" t="s">
        <v>1085</v>
      </c>
      <c r="H7349">
        <v>-1.5017463302154E-2</v>
      </c>
      <c r="I7349" t="s">
        <v>1086</v>
      </c>
      <c r="J7349">
        <v>8.26</v>
      </c>
    </row>
    <row r="7350" spans="1:13" hidden="1">
      <c r="A7350" t="s">
        <v>4908</v>
      </c>
      <c r="B7350" t="s">
        <v>4909</v>
      </c>
      <c r="C7350" t="s">
        <v>244</v>
      </c>
      <c r="D7350" t="s">
        <v>4897</v>
      </c>
      <c r="E7350" t="s">
        <v>559</v>
      </c>
      <c r="F7350" t="s">
        <v>1068</v>
      </c>
      <c r="G7350" t="s">
        <v>1087</v>
      </c>
      <c r="H7350" s="170">
        <v>-9.6973432776059907E-7</v>
      </c>
      <c r="I7350" t="s">
        <v>1088</v>
      </c>
      <c r="J7350">
        <v>8.26</v>
      </c>
    </row>
    <row r="7351" spans="1:13" hidden="1">
      <c r="A7351" t="s">
        <v>4908</v>
      </c>
      <c r="B7351" t="s">
        <v>4909</v>
      </c>
      <c r="C7351" t="s">
        <v>244</v>
      </c>
      <c r="D7351" t="s">
        <v>4897</v>
      </c>
      <c r="E7351" t="s">
        <v>559</v>
      </c>
      <c r="F7351" t="s">
        <v>1068</v>
      </c>
      <c r="G7351" t="s">
        <v>1089</v>
      </c>
      <c r="H7351">
        <v>-5.3689133594704E-3</v>
      </c>
      <c r="I7351" t="s">
        <v>1090</v>
      </c>
      <c r="J7351">
        <v>8.26</v>
      </c>
    </row>
    <row r="7352" spans="1:13" hidden="1">
      <c r="A7352" t="s">
        <v>4910</v>
      </c>
      <c r="B7352" t="s">
        <v>4911</v>
      </c>
      <c r="C7352" t="s">
        <v>244</v>
      </c>
      <c r="D7352" t="s">
        <v>4897</v>
      </c>
      <c r="E7352" t="s">
        <v>560</v>
      </c>
      <c r="F7352" t="s">
        <v>1068</v>
      </c>
      <c r="G7352" t="s">
        <v>1069</v>
      </c>
      <c r="H7352">
        <v>-6.7954259205596701</v>
      </c>
      <c r="I7352" t="s">
        <v>1070</v>
      </c>
      <c r="J7352">
        <v>7.63</v>
      </c>
    </row>
    <row r="7353" spans="1:13" hidden="1">
      <c r="A7353" t="s">
        <v>4910</v>
      </c>
      <c r="B7353" t="s">
        <v>4911</v>
      </c>
      <c r="C7353" t="s">
        <v>244</v>
      </c>
      <c r="D7353" t="s">
        <v>4897</v>
      </c>
      <c r="E7353" t="s">
        <v>560</v>
      </c>
      <c r="F7353" t="s">
        <v>1068</v>
      </c>
      <c r="G7353" t="s">
        <v>1071</v>
      </c>
      <c r="H7353" s="170">
        <v>-1.7462869411674E-8</v>
      </c>
      <c r="I7353" t="s">
        <v>1072</v>
      </c>
      <c r="J7353">
        <v>7.63</v>
      </c>
    </row>
    <row r="7354" spans="1:13" hidden="1">
      <c r="A7354" t="s">
        <v>4910</v>
      </c>
      <c r="B7354" t="s">
        <v>4911</v>
      </c>
      <c r="C7354" t="s">
        <v>244</v>
      </c>
      <c r="D7354" t="s">
        <v>4897</v>
      </c>
      <c r="E7354" t="s">
        <v>560</v>
      </c>
      <c r="F7354" t="s">
        <v>1068</v>
      </c>
      <c r="G7354" t="s">
        <v>1073</v>
      </c>
      <c r="H7354" s="170">
        <v>-2.7110402114756198E-6</v>
      </c>
      <c r="I7354" t="s">
        <v>1074</v>
      </c>
      <c r="J7354">
        <v>7.63</v>
      </c>
    </row>
    <row r="7355" spans="1:13" hidden="1">
      <c r="A7355" t="s">
        <v>4910</v>
      </c>
      <c r="B7355" t="s">
        <v>4911</v>
      </c>
      <c r="C7355" t="s">
        <v>244</v>
      </c>
      <c r="D7355" t="s">
        <v>4897</v>
      </c>
      <c r="E7355" t="s">
        <v>560</v>
      </c>
      <c r="F7355" t="s">
        <v>1068</v>
      </c>
      <c r="G7355" t="s">
        <v>1075</v>
      </c>
      <c r="H7355">
        <v>-0.54621661240483599</v>
      </c>
      <c r="I7355" t="s">
        <v>1077</v>
      </c>
      <c r="J7355">
        <v>7.63</v>
      </c>
    </row>
    <row r="7356" spans="1:13">
      <c r="A7356" t="s">
        <v>4910</v>
      </c>
      <c r="B7356" t="s">
        <v>4911</v>
      </c>
      <c r="C7356" t="s">
        <v>244</v>
      </c>
      <c r="D7356" t="s">
        <v>4897</v>
      </c>
      <c r="E7356" t="s">
        <v>560</v>
      </c>
      <c r="F7356" t="s">
        <v>1068</v>
      </c>
      <c r="G7356" t="s">
        <v>1078</v>
      </c>
      <c r="H7356">
        <v>-4.2794307793949899</v>
      </c>
      <c r="I7356" t="s">
        <v>1079</v>
      </c>
      <c r="J7356">
        <v>7.63</v>
      </c>
      <c r="M7356" t="str">
        <f>_xlfn.TEXTJOIN(" - ",TRUE,A7356,G7356)</f>
        <v>Recycle - HDPE_T - Spain - Global warming</v>
      </c>
    </row>
    <row r="7357" spans="1:13" hidden="1">
      <c r="A7357" t="s">
        <v>4910</v>
      </c>
      <c r="B7357" t="s">
        <v>4911</v>
      </c>
      <c r="C7357" t="s">
        <v>244</v>
      </c>
      <c r="D7357" t="s">
        <v>4897</v>
      </c>
      <c r="E7357" t="s">
        <v>560</v>
      </c>
      <c r="F7357" t="s">
        <v>1068</v>
      </c>
      <c r="G7357" t="s">
        <v>1080</v>
      </c>
      <c r="H7357" s="170">
        <v>-2.40652198629107E-8</v>
      </c>
      <c r="I7357" t="s">
        <v>1082</v>
      </c>
      <c r="J7357">
        <v>7.63</v>
      </c>
    </row>
    <row r="7358" spans="1:13" hidden="1">
      <c r="A7358" t="s">
        <v>4910</v>
      </c>
      <c r="B7358" t="s">
        <v>4911</v>
      </c>
      <c r="C7358" t="s">
        <v>244</v>
      </c>
      <c r="D7358" t="s">
        <v>4897</v>
      </c>
      <c r="E7358" t="s">
        <v>560</v>
      </c>
      <c r="F7358" t="s">
        <v>1068</v>
      </c>
      <c r="G7358" t="s">
        <v>1083</v>
      </c>
      <c r="H7358">
        <v>-3.3234334218360499E-4</v>
      </c>
      <c r="I7358" t="s">
        <v>1084</v>
      </c>
      <c r="J7358">
        <v>7.63</v>
      </c>
    </row>
    <row r="7359" spans="1:13" hidden="1">
      <c r="A7359" t="s">
        <v>4910</v>
      </c>
      <c r="B7359" t="s">
        <v>4911</v>
      </c>
      <c r="C7359" t="s">
        <v>244</v>
      </c>
      <c r="D7359" t="s">
        <v>4897</v>
      </c>
      <c r="E7359" t="s">
        <v>560</v>
      </c>
      <c r="F7359" t="s">
        <v>1068</v>
      </c>
      <c r="G7359" t="s">
        <v>1085</v>
      </c>
      <c r="H7359">
        <v>-1.50219664186823E-2</v>
      </c>
      <c r="I7359" t="s">
        <v>1086</v>
      </c>
      <c r="J7359">
        <v>7.63</v>
      </c>
    </row>
    <row r="7360" spans="1:13" hidden="1">
      <c r="A7360" t="s">
        <v>4910</v>
      </c>
      <c r="B7360" t="s">
        <v>4911</v>
      </c>
      <c r="C7360" t="s">
        <v>244</v>
      </c>
      <c r="D7360" t="s">
        <v>4897</v>
      </c>
      <c r="E7360" t="s">
        <v>560</v>
      </c>
      <c r="F7360" t="s">
        <v>1068</v>
      </c>
      <c r="G7360" t="s">
        <v>1087</v>
      </c>
      <c r="H7360" s="170">
        <v>-9.7190755235846502E-7</v>
      </c>
      <c r="I7360" t="s">
        <v>1088</v>
      </c>
      <c r="J7360">
        <v>7.63</v>
      </c>
    </row>
    <row r="7361" spans="1:13" hidden="1">
      <c r="A7361" t="s">
        <v>4910</v>
      </c>
      <c r="B7361" t="s">
        <v>4911</v>
      </c>
      <c r="C7361" t="s">
        <v>244</v>
      </c>
      <c r="D7361" t="s">
        <v>4897</v>
      </c>
      <c r="E7361" t="s">
        <v>560</v>
      </c>
      <c r="F7361" t="s">
        <v>1068</v>
      </c>
      <c r="G7361" t="s">
        <v>1089</v>
      </c>
      <c r="H7361">
        <v>-5.36984234351772E-3</v>
      </c>
      <c r="I7361" t="s">
        <v>1090</v>
      </c>
      <c r="J7361">
        <v>7.63</v>
      </c>
    </row>
    <row r="7362" spans="1:13" hidden="1">
      <c r="A7362" t="s">
        <v>4912</v>
      </c>
      <c r="B7362" t="s">
        <v>4913</v>
      </c>
      <c r="C7362" t="s">
        <v>244</v>
      </c>
      <c r="D7362" t="s">
        <v>4897</v>
      </c>
      <c r="E7362" t="s">
        <v>554</v>
      </c>
      <c r="F7362" t="s">
        <v>1068</v>
      </c>
      <c r="G7362" t="s">
        <v>1069</v>
      </c>
      <c r="H7362">
        <v>-6.8108186830684403</v>
      </c>
      <c r="I7362" t="s">
        <v>1070</v>
      </c>
      <c r="J7362">
        <v>13.4</v>
      </c>
    </row>
    <row r="7363" spans="1:13" hidden="1">
      <c r="A7363" t="s">
        <v>4912</v>
      </c>
      <c r="B7363" t="s">
        <v>4913</v>
      </c>
      <c r="C7363" t="s">
        <v>244</v>
      </c>
      <c r="D7363" t="s">
        <v>4897</v>
      </c>
      <c r="E7363" t="s">
        <v>554</v>
      </c>
      <c r="F7363" t="s">
        <v>1068</v>
      </c>
      <c r="G7363" t="s">
        <v>1071</v>
      </c>
      <c r="H7363" s="170">
        <v>-1.7484896629945699E-8</v>
      </c>
      <c r="I7363" t="s">
        <v>1072</v>
      </c>
      <c r="J7363">
        <v>13.4</v>
      </c>
    </row>
    <row r="7364" spans="1:13" hidden="1">
      <c r="A7364" t="s">
        <v>4912</v>
      </c>
      <c r="B7364" t="s">
        <v>4913</v>
      </c>
      <c r="C7364" t="s">
        <v>244</v>
      </c>
      <c r="D7364" t="s">
        <v>4897</v>
      </c>
      <c r="E7364" t="s">
        <v>554</v>
      </c>
      <c r="F7364" t="s">
        <v>1068</v>
      </c>
      <c r="G7364" t="s">
        <v>1073</v>
      </c>
      <c r="H7364" s="170">
        <v>-2.7165077694243998E-6</v>
      </c>
      <c r="I7364" t="s">
        <v>1074</v>
      </c>
      <c r="J7364">
        <v>13.4</v>
      </c>
    </row>
    <row r="7365" spans="1:13" hidden="1">
      <c r="A7365" t="s">
        <v>4912</v>
      </c>
      <c r="B7365" t="s">
        <v>4913</v>
      </c>
      <c r="C7365" t="s">
        <v>244</v>
      </c>
      <c r="D7365" t="s">
        <v>4897</v>
      </c>
      <c r="E7365" t="s">
        <v>554</v>
      </c>
      <c r="F7365" t="s">
        <v>1068</v>
      </c>
      <c r="G7365" t="s">
        <v>1075</v>
      </c>
      <c r="H7365">
        <v>-0.54670319407135604</v>
      </c>
      <c r="I7365" t="s">
        <v>1077</v>
      </c>
      <c r="J7365">
        <v>13.4</v>
      </c>
    </row>
    <row r="7366" spans="1:13">
      <c r="A7366" t="s">
        <v>4912</v>
      </c>
      <c r="B7366" t="s">
        <v>4913</v>
      </c>
      <c r="C7366" t="s">
        <v>244</v>
      </c>
      <c r="D7366" t="s">
        <v>4897</v>
      </c>
      <c r="E7366" t="s">
        <v>554</v>
      </c>
      <c r="F7366" t="s">
        <v>1068</v>
      </c>
      <c r="G7366" t="s">
        <v>1078</v>
      </c>
      <c r="H7366">
        <v>-4.3004724475925498</v>
      </c>
      <c r="I7366" t="s">
        <v>1079</v>
      </c>
      <c r="J7366">
        <v>13.4</v>
      </c>
      <c r="M7366" t="str">
        <f>_xlfn.TEXTJOIN(" - ",TRUE,A7366,G7366)</f>
        <v>Recycle - HDPE_T - United States - Global warming</v>
      </c>
    </row>
    <row r="7367" spans="1:13" hidden="1">
      <c r="A7367" t="s">
        <v>4912</v>
      </c>
      <c r="B7367" t="s">
        <v>4913</v>
      </c>
      <c r="C7367" t="s">
        <v>244</v>
      </c>
      <c r="D7367" t="s">
        <v>4897</v>
      </c>
      <c r="E7367" t="s">
        <v>554</v>
      </c>
      <c r="F7367" t="s">
        <v>1068</v>
      </c>
      <c r="G7367" t="s">
        <v>1080</v>
      </c>
      <c r="H7367" s="170">
        <v>-2.4150782704714401E-8</v>
      </c>
      <c r="I7367" t="s">
        <v>1082</v>
      </c>
      <c r="J7367">
        <v>13.4</v>
      </c>
    </row>
    <row r="7368" spans="1:13" hidden="1">
      <c r="A7368" t="s">
        <v>4912</v>
      </c>
      <c r="B7368" t="s">
        <v>4913</v>
      </c>
      <c r="C7368" t="s">
        <v>244</v>
      </c>
      <c r="D7368" t="s">
        <v>4897</v>
      </c>
      <c r="E7368" t="s">
        <v>554</v>
      </c>
      <c r="F7368" t="s">
        <v>1068</v>
      </c>
      <c r="G7368" t="s">
        <v>1083</v>
      </c>
      <c r="H7368">
        <v>-3.34683052051126E-4</v>
      </c>
      <c r="I7368" t="s">
        <v>1084</v>
      </c>
      <c r="J7368">
        <v>13.4</v>
      </c>
    </row>
    <row r="7369" spans="1:13" hidden="1">
      <c r="A7369" t="s">
        <v>4912</v>
      </c>
      <c r="B7369" t="s">
        <v>4913</v>
      </c>
      <c r="C7369" t="s">
        <v>244</v>
      </c>
      <c r="D7369" t="s">
        <v>4897</v>
      </c>
      <c r="E7369" t="s">
        <v>554</v>
      </c>
      <c r="F7369" t="s">
        <v>1068</v>
      </c>
      <c r="G7369" t="s">
        <v>1085</v>
      </c>
      <c r="H7369">
        <v>-1.50484098887976E-2</v>
      </c>
      <c r="I7369" t="s">
        <v>1086</v>
      </c>
      <c r="J7369">
        <v>13.4</v>
      </c>
    </row>
    <row r="7370" spans="1:13" hidden="1">
      <c r="A7370" t="s">
        <v>4912</v>
      </c>
      <c r="B7370" t="s">
        <v>4913</v>
      </c>
      <c r="C7370" t="s">
        <v>244</v>
      </c>
      <c r="D7370" t="s">
        <v>4897</v>
      </c>
      <c r="E7370" t="s">
        <v>554</v>
      </c>
      <c r="F7370" t="s">
        <v>1068</v>
      </c>
      <c r="G7370" t="s">
        <v>1087</v>
      </c>
      <c r="H7370" s="170">
        <v>-9.84669291777396E-7</v>
      </c>
      <c r="I7370" t="s">
        <v>1088</v>
      </c>
      <c r="J7370">
        <v>13.4</v>
      </c>
    </row>
    <row r="7371" spans="1:13" hidden="1">
      <c r="A7371" t="s">
        <v>4912</v>
      </c>
      <c r="B7371" t="s">
        <v>4913</v>
      </c>
      <c r="C7371" t="s">
        <v>244</v>
      </c>
      <c r="D7371" t="s">
        <v>4897</v>
      </c>
      <c r="E7371" t="s">
        <v>554</v>
      </c>
      <c r="F7371" t="s">
        <v>1068</v>
      </c>
      <c r="G7371" t="s">
        <v>1089</v>
      </c>
      <c r="H7371">
        <v>-5.3752975791836397E-3</v>
      </c>
      <c r="I7371" t="s">
        <v>1090</v>
      </c>
      <c r="J7371">
        <v>13.4</v>
      </c>
    </row>
    <row r="7372" spans="1:13" hidden="1">
      <c r="A7372" t="s">
        <v>4914</v>
      </c>
      <c r="B7372" t="s">
        <v>4915</v>
      </c>
      <c r="C7372" t="s">
        <v>244</v>
      </c>
      <c r="D7372" t="s">
        <v>4916</v>
      </c>
      <c r="E7372" t="s">
        <v>561</v>
      </c>
      <c r="F7372" t="s">
        <v>1068</v>
      </c>
      <c r="G7372" t="s">
        <v>1069</v>
      </c>
      <c r="H7372">
        <v>-8.5257310395197301</v>
      </c>
      <c r="I7372" t="s">
        <v>1070</v>
      </c>
      <c r="J7372">
        <v>9.15</v>
      </c>
    </row>
    <row r="7373" spans="1:13" hidden="1">
      <c r="A7373" t="s">
        <v>4914</v>
      </c>
      <c r="B7373" t="s">
        <v>4915</v>
      </c>
      <c r="C7373" t="s">
        <v>244</v>
      </c>
      <c r="D7373" t="s">
        <v>4916</v>
      </c>
      <c r="E7373" t="s">
        <v>561</v>
      </c>
      <c r="F7373" t="s">
        <v>1068</v>
      </c>
      <c r="G7373" t="s">
        <v>1071</v>
      </c>
      <c r="H7373" s="170">
        <v>-2.0854298653422899E-8</v>
      </c>
      <c r="I7373" t="s">
        <v>1072</v>
      </c>
      <c r="J7373">
        <v>9.15</v>
      </c>
    </row>
    <row r="7374" spans="1:13" hidden="1">
      <c r="A7374" t="s">
        <v>4914</v>
      </c>
      <c r="B7374" t="s">
        <v>4915</v>
      </c>
      <c r="C7374" t="s">
        <v>244</v>
      </c>
      <c r="D7374" t="s">
        <v>4916</v>
      </c>
      <c r="E7374" t="s">
        <v>561</v>
      </c>
      <c r="F7374" t="s">
        <v>1068</v>
      </c>
      <c r="G7374" t="s">
        <v>1073</v>
      </c>
      <c r="H7374" s="170">
        <v>-3.385413209532E-6</v>
      </c>
      <c r="I7374" t="s">
        <v>1074</v>
      </c>
      <c r="J7374">
        <v>9.15</v>
      </c>
    </row>
    <row r="7375" spans="1:13" hidden="1">
      <c r="A7375" t="s">
        <v>4914</v>
      </c>
      <c r="B7375" t="s">
        <v>4915</v>
      </c>
      <c r="C7375" t="s">
        <v>244</v>
      </c>
      <c r="D7375" t="s">
        <v>4916</v>
      </c>
      <c r="E7375" t="s">
        <v>561</v>
      </c>
      <c r="F7375" t="s">
        <v>1068</v>
      </c>
      <c r="G7375" t="s">
        <v>1075</v>
      </c>
      <c r="H7375">
        <v>-0.67003654288671899</v>
      </c>
      <c r="I7375" t="s">
        <v>1077</v>
      </c>
      <c r="J7375">
        <v>9.15</v>
      </c>
    </row>
    <row r="7376" spans="1:13">
      <c r="A7376" t="s">
        <v>4914</v>
      </c>
      <c r="B7376" t="s">
        <v>4915</v>
      </c>
      <c r="C7376" t="s">
        <v>244</v>
      </c>
      <c r="D7376" t="s">
        <v>4916</v>
      </c>
      <c r="E7376" t="s">
        <v>561</v>
      </c>
      <c r="F7376" t="s">
        <v>1068</v>
      </c>
      <c r="G7376" t="s">
        <v>1078</v>
      </c>
      <c r="H7376">
        <v>-5.6937322816297797</v>
      </c>
      <c r="I7376" t="s">
        <v>1079</v>
      </c>
      <c r="J7376">
        <v>9.15</v>
      </c>
      <c r="M7376" t="str">
        <f>_xlfn.TEXTJOIN(" - ",TRUE,A7376,G7376)</f>
        <v>Recycle - LDPE_Film - Australia - Global warming</v>
      </c>
    </row>
    <row r="7377" spans="1:13" hidden="1">
      <c r="A7377" t="s">
        <v>4914</v>
      </c>
      <c r="B7377" t="s">
        <v>4915</v>
      </c>
      <c r="C7377" t="s">
        <v>244</v>
      </c>
      <c r="D7377" t="s">
        <v>4916</v>
      </c>
      <c r="E7377" t="s">
        <v>561</v>
      </c>
      <c r="F7377" t="s">
        <v>1068</v>
      </c>
      <c r="G7377" t="s">
        <v>1080</v>
      </c>
      <c r="H7377" s="170">
        <v>-3.1042374565433E-8</v>
      </c>
      <c r="I7377" t="s">
        <v>1082</v>
      </c>
      <c r="J7377">
        <v>9.15</v>
      </c>
    </row>
    <row r="7378" spans="1:13" hidden="1">
      <c r="A7378" t="s">
        <v>4914</v>
      </c>
      <c r="B7378" t="s">
        <v>4915</v>
      </c>
      <c r="C7378" t="s">
        <v>244</v>
      </c>
      <c r="D7378" t="s">
        <v>4916</v>
      </c>
      <c r="E7378" t="s">
        <v>561</v>
      </c>
      <c r="F7378" t="s">
        <v>1068</v>
      </c>
      <c r="G7378" t="s">
        <v>1083</v>
      </c>
      <c r="H7378">
        <v>-4.5679077564859E-4</v>
      </c>
      <c r="I7378" t="s">
        <v>1084</v>
      </c>
      <c r="J7378">
        <v>9.15</v>
      </c>
    </row>
    <row r="7379" spans="1:13" hidden="1">
      <c r="A7379" t="s">
        <v>4914</v>
      </c>
      <c r="B7379" t="s">
        <v>4915</v>
      </c>
      <c r="C7379" t="s">
        <v>244</v>
      </c>
      <c r="D7379" t="s">
        <v>4916</v>
      </c>
      <c r="E7379" t="s">
        <v>561</v>
      </c>
      <c r="F7379" t="s">
        <v>1068</v>
      </c>
      <c r="G7379" t="s">
        <v>1085</v>
      </c>
      <c r="H7379">
        <v>-1.8753517671210099E-2</v>
      </c>
      <c r="I7379" t="s">
        <v>1086</v>
      </c>
      <c r="J7379">
        <v>9.15</v>
      </c>
    </row>
    <row r="7380" spans="1:13" hidden="1">
      <c r="A7380" t="s">
        <v>4914</v>
      </c>
      <c r="B7380" t="s">
        <v>4915</v>
      </c>
      <c r="C7380" t="s">
        <v>244</v>
      </c>
      <c r="D7380" t="s">
        <v>4916</v>
      </c>
      <c r="E7380" t="s">
        <v>561</v>
      </c>
      <c r="F7380" t="s">
        <v>1068</v>
      </c>
      <c r="G7380" t="s">
        <v>1087</v>
      </c>
      <c r="H7380" s="170">
        <v>-1.96487174415166E-6</v>
      </c>
      <c r="I7380" t="s">
        <v>1088</v>
      </c>
      <c r="J7380">
        <v>9.15</v>
      </c>
    </row>
    <row r="7381" spans="1:13" hidden="1">
      <c r="A7381" t="s">
        <v>4914</v>
      </c>
      <c r="B7381" t="s">
        <v>4915</v>
      </c>
      <c r="C7381" t="s">
        <v>244</v>
      </c>
      <c r="D7381" t="s">
        <v>4916</v>
      </c>
      <c r="E7381" t="s">
        <v>561</v>
      </c>
      <c r="F7381" t="s">
        <v>1068</v>
      </c>
      <c r="G7381" t="s">
        <v>1089</v>
      </c>
      <c r="H7381">
        <v>-6.60519705850503E-3</v>
      </c>
      <c r="I7381" t="s">
        <v>1090</v>
      </c>
      <c r="J7381">
        <v>9.15</v>
      </c>
    </row>
    <row r="7382" spans="1:13" hidden="1">
      <c r="A7382" t="s">
        <v>4917</v>
      </c>
      <c r="B7382" t="s">
        <v>4918</v>
      </c>
      <c r="C7382" t="s">
        <v>244</v>
      </c>
      <c r="D7382" t="s">
        <v>4916</v>
      </c>
      <c r="E7382" t="s">
        <v>555</v>
      </c>
      <c r="F7382" t="s">
        <v>1068</v>
      </c>
      <c r="G7382" t="s">
        <v>1069</v>
      </c>
      <c r="H7382">
        <v>-8.5377578646485706</v>
      </c>
      <c r="I7382" t="s">
        <v>1070</v>
      </c>
      <c r="J7382">
        <v>7.38</v>
      </c>
    </row>
    <row r="7383" spans="1:13" hidden="1">
      <c r="A7383" t="s">
        <v>4917</v>
      </c>
      <c r="B7383" t="s">
        <v>4918</v>
      </c>
      <c r="C7383" t="s">
        <v>244</v>
      </c>
      <c r="D7383" t="s">
        <v>4916</v>
      </c>
      <c r="E7383" t="s">
        <v>555</v>
      </c>
      <c r="F7383" t="s">
        <v>1068</v>
      </c>
      <c r="G7383" t="s">
        <v>1071</v>
      </c>
      <c r="H7383" s="170">
        <v>-2.0871509177010099E-8</v>
      </c>
      <c r="I7383" t="s">
        <v>1072</v>
      </c>
      <c r="J7383">
        <v>7.38</v>
      </c>
    </row>
    <row r="7384" spans="1:13" hidden="1">
      <c r="A7384" t="s">
        <v>4917</v>
      </c>
      <c r="B7384" t="s">
        <v>4918</v>
      </c>
      <c r="C7384" t="s">
        <v>244</v>
      </c>
      <c r="D7384" t="s">
        <v>4916</v>
      </c>
      <c r="E7384" t="s">
        <v>555</v>
      </c>
      <c r="F7384" t="s">
        <v>1068</v>
      </c>
      <c r="G7384" t="s">
        <v>1073</v>
      </c>
      <c r="H7384" s="170">
        <v>-3.3896851758729501E-6</v>
      </c>
      <c r="I7384" t="s">
        <v>1074</v>
      </c>
      <c r="J7384">
        <v>7.38</v>
      </c>
    </row>
    <row r="7385" spans="1:13" hidden="1">
      <c r="A7385" t="s">
        <v>4917</v>
      </c>
      <c r="B7385" t="s">
        <v>4918</v>
      </c>
      <c r="C7385" t="s">
        <v>244</v>
      </c>
      <c r="D7385" t="s">
        <v>4916</v>
      </c>
      <c r="E7385" t="s">
        <v>555</v>
      </c>
      <c r="F7385" t="s">
        <v>1068</v>
      </c>
      <c r="G7385" t="s">
        <v>1075</v>
      </c>
      <c r="H7385">
        <v>-0.67041672367693095</v>
      </c>
      <c r="I7385" t="s">
        <v>1077</v>
      </c>
      <c r="J7385">
        <v>7.38</v>
      </c>
    </row>
    <row r="7386" spans="1:13">
      <c r="A7386" t="s">
        <v>4917</v>
      </c>
      <c r="B7386" t="s">
        <v>4918</v>
      </c>
      <c r="C7386" t="s">
        <v>244</v>
      </c>
      <c r="D7386" t="s">
        <v>4916</v>
      </c>
      <c r="E7386" t="s">
        <v>555</v>
      </c>
      <c r="F7386" t="s">
        <v>1068</v>
      </c>
      <c r="G7386" t="s">
        <v>1078</v>
      </c>
      <c r="H7386">
        <v>-5.7101727655056704</v>
      </c>
      <c r="I7386" t="s">
        <v>1079</v>
      </c>
      <c r="J7386">
        <v>7.38</v>
      </c>
      <c r="M7386" t="str">
        <f>_xlfn.TEXTJOIN(" - ",TRUE,A7386,G7386)</f>
        <v>Recycle - LDPE_Film - Brazil - Global warming</v>
      </c>
    </row>
    <row r="7387" spans="1:13" hidden="1">
      <c r="A7387" t="s">
        <v>4917</v>
      </c>
      <c r="B7387" t="s">
        <v>4918</v>
      </c>
      <c r="C7387" t="s">
        <v>244</v>
      </c>
      <c r="D7387" t="s">
        <v>4916</v>
      </c>
      <c r="E7387" t="s">
        <v>555</v>
      </c>
      <c r="F7387" t="s">
        <v>1068</v>
      </c>
      <c r="G7387" t="s">
        <v>1080</v>
      </c>
      <c r="H7387" s="170">
        <v>-3.1109227369490297E-8</v>
      </c>
      <c r="I7387" t="s">
        <v>1082</v>
      </c>
      <c r="J7387">
        <v>7.38</v>
      </c>
    </row>
    <row r="7388" spans="1:13" hidden="1">
      <c r="A7388" t="s">
        <v>4917</v>
      </c>
      <c r="B7388" t="s">
        <v>4918</v>
      </c>
      <c r="C7388" t="s">
        <v>244</v>
      </c>
      <c r="D7388" t="s">
        <v>4916</v>
      </c>
      <c r="E7388" t="s">
        <v>555</v>
      </c>
      <c r="F7388" t="s">
        <v>1068</v>
      </c>
      <c r="G7388" t="s">
        <v>1083</v>
      </c>
      <c r="H7388">
        <v>-4.58618860855052E-4</v>
      </c>
      <c r="I7388" t="s">
        <v>1084</v>
      </c>
      <c r="J7388">
        <v>7.38</v>
      </c>
    </row>
    <row r="7389" spans="1:13" hidden="1">
      <c r="A7389" t="s">
        <v>4917</v>
      </c>
      <c r="B7389" t="s">
        <v>4918</v>
      </c>
      <c r="C7389" t="s">
        <v>244</v>
      </c>
      <c r="D7389" t="s">
        <v>4916</v>
      </c>
      <c r="E7389" t="s">
        <v>555</v>
      </c>
      <c r="F7389" t="s">
        <v>1068</v>
      </c>
      <c r="G7389" t="s">
        <v>1085</v>
      </c>
      <c r="H7389">
        <v>-1.87741787442758E-2</v>
      </c>
      <c r="I7389" t="s">
        <v>1086</v>
      </c>
      <c r="J7389">
        <v>7.38</v>
      </c>
    </row>
    <row r="7390" spans="1:13" hidden="1">
      <c r="A7390" t="s">
        <v>4917</v>
      </c>
      <c r="B7390" t="s">
        <v>4918</v>
      </c>
      <c r="C7390" t="s">
        <v>244</v>
      </c>
      <c r="D7390" t="s">
        <v>4916</v>
      </c>
      <c r="E7390" t="s">
        <v>555</v>
      </c>
      <c r="F7390" t="s">
        <v>1068</v>
      </c>
      <c r="G7390" t="s">
        <v>1087</v>
      </c>
      <c r="H7390" s="170">
        <v>-1.97484287235192E-6</v>
      </c>
      <c r="I7390" t="s">
        <v>1088</v>
      </c>
      <c r="J7390">
        <v>7.38</v>
      </c>
    </row>
    <row r="7391" spans="1:13" hidden="1">
      <c r="A7391" t="s">
        <v>4917</v>
      </c>
      <c r="B7391" t="s">
        <v>4918</v>
      </c>
      <c r="C7391" t="s">
        <v>244</v>
      </c>
      <c r="D7391" t="s">
        <v>4916</v>
      </c>
      <c r="E7391" t="s">
        <v>555</v>
      </c>
      <c r="F7391" t="s">
        <v>1068</v>
      </c>
      <c r="G7391" t="s">
        <v>1089</v>
      </c>
      <c r="H7391">
        <v>-6.6094593970783102E-3</v>
      </c>
      <c r="I7391" t="s">
        <v>1090</v>
      </c>
      <c r="J7391">
        <v>7.38</v>
      </c>
    </row>
    <row r="7392" spans="1:13" hidden="1">
      <c r="A7392" t="s">
        <v>4919</v>
      </c>
      <c r="B7392" t="s">
        <v>4920</v>
      </c>
      <c r="C7392" t="s">
        <v>244</v>
      </c>
      <c r="D7392" t="s">
        <v>4916</v>
      </c>
      <c r="E7392" t="s">
        <v>558</v>
      </c>
      <c r="F7392" t="s">
        <v>1068</v>
      </c>
      <c r="G7392" t="s">
        <v>1069</v>
      </c>
      <c r="H7392">
        <v>-8.5246661643781394</v>
      </c>
      <c r="I7392" t="s">
        <v>1070</v>
      </c>
      <c r="J7392">
        <v>8.6300000000000008</v>
      </c>
    </row>
    <row r="7393" spans="1:13" hidden="1">
      <c r="A7393" t="s">
        <v>4919</v>
      </c>
      <c r="B7393" t="s">
        <v>4920</v>
      </c>
      <c r="C7393" t="s">
        <v>244</v>
      </c>
      <c r="D7393" t="s">
        <v>4916</v>
      </c>
      <c r="E7393" t="s">
        <v>558</v>
      </c>
      <c r="F7393" t="s">
        <v>1068</v>
      </c>
      <c r="G7393" t="s">
        <v>1071</v>
      </c>
      <c r="H7393" s="170">
        <v>-2.0852774804980301E-8</v>
      </c>
      <c r="I7393" t="s">
        <v>1072</v>
      </c>
      <c r="J7393">
        <v>8.6300000000000008</v>
      </c>
    </row>
    <row r="7394" spans="1:13" hidden="1">
      <c r="A7394" t="s">
        <v>4919</v>
      </c>
      <c r="B7394" t="s">
        <v>4920</v>
      </c>
      <c r="C7394" t="s">
        <v>244</v>
      </c>
      <c r="D7394" t="s">
        <v>4916</v>
      </c>
      <c r="E7394" t="s">
        <v>558</v>
      </c>
      <c r="F7394" t="s">
        <v>1068</v>
      </c>
      <c r="G7394" t="s">
        <v>1073</v>
      </c>
      <c r="H7394" s="170">
        <v>-3.38503496251224E-6</v>
      </c>
      <c r="I7394" t="s">
        <v>1074</v>
      </c>
      <c r="J7394">
        <v>8.6300000000000008</v>
      </c>
    </row>
    <row r="7395" spans="1:13" hidden="1">
      <c r="A7395" t="s">
        <v>4919</v>
      </c>
      <c r="B7395" t="s">
        <v>4920</v>
      </c>
      <c r="C7395" t="s">
        <v>244</v>
      </c>
      <c r="D7395" t="s">
        <v>4916</v>
      </c>
      <c r="E7395" t="s">
        <v>558</v>
      </c>
      <c r="F7395" t="s">
        <v>1068</v>
      </c>
      <c r="G7395" t="s">
        <v>1075</v>
      </c>
      <c r="H7395">
        <v>-0.67000288104591899</v>
      </c>
      <c r="I7395" t="s">
        <v>1077</v>
      </c>
      <c r="J7395">
        <v>8.6300000000000008</v>
      </c>
    </row>
    <row r="7396" spans="1:13">
      <c r="A7396" t="s">
        <v>4919</v>
      </c>
      <c r="B7396" t="s">
        <v>4920</v>
      </c>
      <c r="C7396" t="s">
        <v>244</v>
      </c>
      <c r="D7396" t="s">
        <v>4916</v>
      </c>
      <c r="E7396" t="s">
        <v>558</v>
      </c>
      <c r="F7396" t="s">
        <v>1068</v>
      </c>
      <c r="G7396" t="s">
        <v>1078</v>
      </c>
      <c r="H7396">
        <v>-5.6922766137866203</v>
      </c>
      <c r="I7396" t="s">
        <v>1079</v>
      </c>
      <c r="J7396">
        <v>8.6300000000000008</v>
      </c>
      <c r="M7396" t="str">
        <f>_xlfn.TEXTJOIN(" - ",TRUE,A7396,G7396)</f>
        <v>Recycle - LDPE_Film - Canada - Global warming</v>
      </c>
    </row>
    <row r="7397" spans="1:13" hidden="1">
      <c r="A7397" t="s">
        <v>4919</v>
      </c>
      <c r="B7397" t="s">
        <v>4920</v>
      </c>
      <c r="C7397" t="s">
        <v>244</v>
      </c>
      <c r="D7397" t="s">
        <v>4916</v>
      </c>
      <c r="E7397" t="s">
        <v>558</v>
      </c>
      <c r="F7397" t="s">
        <v>1068</v>
      </c>
      <c r="G7397" t="s">
        <v>1080</v>
      </c>
      <c r="H7397" s="170">
        <v>-3.1036455306740598E-8</v>
      </c>
      <c r="I7397" t="s">
        <v>1082</v>
      </c>
      <c r="J7397">
        <v>8.6300000000000008</v>
      </c>
    </row>
    <row r="7398" spans="1:13" hidden="1">
      <c r="A7398" t="s">
        <v>4919</v>
      </c>
      <c r="B7398" t="s">
        <v>4920</v>
      </c>
      <c r="C7398" t="s">
        <v>244</v>
      </c>
      <c r="D7398" t="s">
        <v>4916</v>
      </c>
      <c r="E7398" t="s">
        <v>558</v>
      </c>
      <c r="F7398" t="s">
        <v>1068</v>
      </c>
      <c r="G7398" t="s">
        <v>1083</v>
      </c>
      <c r="H7398">
        <v>-4.5662891393760202E-4</v>
      </c>
      <c r="I7398" t="s">
        <v>1084</v>
      </c>
      <c r="J7398">
        <v>8.6300000000000008</v>
      </c>
    </row>
    <row r="7399" spans="1:13" hidden="1">
      <c r="A7399" t="s">
        <v>4919</v>
      </c>
      <c r="B7399" t="s">
        <v>4920</v>
      </c>
      <c r="C7399" t="s">
        <v>244</v>
      </c>
      <c r="D7399" t="s">
        <v>4916</v>
      </c>
      <c r="E7399" t="s">
        <v>558</v>
      </c>
      <c r="F7399" t="s">
        <v>1068</v>
      </c>
      <c r="G7399" t="s">
        <v>1085</v>
      </c>
      <c r="H7399">
        <v>-1.8751688305365801E-2</v>
      </c>
      <c r="I7399" t="s">
        <v>1086</v>
      </c>
      <c r="J7399">
        <v>8.6300000000000008</v>
      </c>
    </row>
    <row r="7400" spans="1:13" hidden="1">
      <c r="A7400" t="s">
        <v>4919</v>
      </c>
      <c r="B7400" t="s">
        <v>4920</v>
      </c>
      <c r="C7400" t="s">
        <v>244</v>
      </c>
      <c r="D7400" t="s">
        <v>4916</v>
      </c>
      <c r="E7400" t="s">
        <v>558</v>
      </c>
      <c r="F7400" t="s">
        <v>1068</v>
      </c>
      <c r="G7400" t="s">
        <v>1087</v>
      </c>
      <c r="H7400" s="170">
        <v>-1.9639888838422698E-6</v>
      </c>
      <c r="I7400" t="s">
        <v>1088</v>
      </c>
      <c r="J7400">
        <v>8.6300000000000008</v>
      </c>
    </row>
    <row r="7401" spans="1:13" hidden="1">
      <c r="A7401" t="s">
        <v>4919</v>
      </c>
      <c r="B7401" t="s">
        <v>4920</v>
      </c>
      <c r="C7401" t="s">
        <v>244</v>
      </c>
      <c r="D7401" t="s">
        <v>4916</v>
      </c>
      <c r="E7401" t="s">
        <v>558</v>
      </c>
      <c r="F7401" t="s">
        <v>1068</v>
      </c>
      <c r="G7401" t="s">
        <v>1089</v>
      </c>
      <c r="H7401">
        <v>-6.6048196639438596E-3</v>
      </c>
      <c r="I7401" t="s">
        <v>1090</v>
      </c>
      <c r="J7401">
        <v>8.6300000000000008</v>
      </c>
    </row>
    <row r="7402" spans="1:13" hidden="1">
      <c r="A7402" t="s">
        <v>4921</v>
      </c>
      <c r="B7402" t="s">
        <v>4922</v>
      </c>
      <c r="C7402" t="s">
        <v>244</v>
      </c>
      <c r="D7402" t="s">
        <v>4916</v>
      </c>
      <c r="E7402" t="s">
        <v>553</v>
      </c>
      <c r="F7402" t="s">
        <v>1068</v>
      </c>
      <c r="G7402" t="s">
        <v>1069</v>
      </c>
      <c r="H7402">
        <v>-8.5236232454246394</v>
      </c>
      <c r="I7402" t="s">
        <v>1070</v>
      </c>
      <c r="J7402">
        <v>9.11</v>
      </c>
    </row>
    <row r="7403" spans="1:13" hidden="1">
      <c r="A7403" t="s">
        <v>4921</v>
      </c>
      <c r="B7403" t="s">
        <v>4922</v>
      </c>
      <c r="C7403" t="s">
        <v>244</v>
      </c>
      <c r="D7403" t="s">
        <v>4916</v>
      </c>
      <c r="E7403" t="s">
        <v>553</v>
      </c>
      <c r="F7403" t="s">
        <v>1068</v>
      </c>
      <c r="G7403" t="s">
        <v>1071</v>
      </c>
      <c r="H7403" s="170">
        <v>-2.0851282376092399E-8</v>
      </c>
      <c r="I7403" t="s">
        <v>1072</v>
      </c>
      <c r="J7403">
        <v>9.11</v>
      </c>
    </row>
    <row r="7404" spans="1:13" hidden="1">
      <c r="A7404" t="s">
        <v>4921</v>
      </c>
      <c r="B7404" t="s">
        <v>4922</v>
      </c>
      <c r="C7404" t="s">
        <v>244</v>
      </c>
      <c r="D7404" t="s">
        <v>4916</v>
      </c>
      <c r="E7404" t="s">
        <v>553</v>
      </c>
      <c r="F7404" t="s">
        <v>1068</v>
      </c>
      <c r="G7404" t="s">
        <v>1073</v>
      </c>
      <c r="H7404" s="170">
        <v>-3.3846645143999399E-6</v>
      </c>
      <c r="I7404" t="s">
        <v>1074</v>
      </c>
      <c r="J7404">
        <v>9.11</v>
      </c>
    </row>
    <row r="7405" spans="1:13" hidden="1">
      <c r="A7405" t="s">
        <v>4921</v>
      </c>
      <c r="B7405" t="s">
        <v>4922</v>
      </c>
      <c r="C7405" t="s">
        <v>244</v>
      </c>
      <c r="D7405" t="s">
        <v>4916</v>
      </c>
      <c r="E7405" t="s">
        <v>553</v>
      </c>
      <c r="F7405" t="s">
        <v>1068</v>
      </c>
      <c r="G7405" t="s">
        <v>1075</v>
      </c>
      <c r="H7405">
        <v>-0.66996991326368505</v>
      </c>
      <c r="I7405" t="s">
        <v>1077</v>
      </c>
      <c r="J7405">
        <v>9.11</v>
      </c>
    </row>
    <row r="7406" spans="1:13">
      <c r="A7406" t="s">
        <v>4921</v>
      </c>
      <c r="B7406" t="s">
        <v>4922</v>
      </c>
      <c r="C7406" t="s">
        <v>244</v>
      </c>
      <c r="D7406" t="s">
        <v>4916</v>
      </c>
      <c r="E7406" t="s">
        <v>553</v>
      </c>
      <c r="F7406" t="s">
        <v>1068</v>
      </c>
      <c r="G7406" t="s">
        <v>1078</v>
      </c>
      <c r="H7406">
        <v>-5.6908509597133001</v>
      </c>
      <c r="I7406" t="s">
        <v>1079</v>
      </c>
      <c r="J7406">
        <v>9.11</v>
      </c>
      <c r="M7406" t="str">
        <f>_xlfn.TEXTJOIN(" - ",TRUE,A7406,G7406)</f>
        <v>Recycle - LDPE_Film - China - Global warming</v>
      </c>
    </row>
    <row r="7407" spans="1:13" hidden="1">
      <c r="A7407" t="s">
        <v>4921</v>
      </c>
      <c r="B7407" t="s">
        <v>4922</v>
      </c>
      <c r="C7407" t="s">
        <v>244</v>
      </c>
      <c r="D7407" t="s">
        <v>4916</v>
      </c>
      <c r="E7407" t="s">
        <v>553</v>
      </c>
      <c r="F7407" t="s">
        <v>1068</v>
      </c>
      <c r="G7407" t="s">
        <v>1080</v>
      </c>
      <c r="H7407" s="170">
        <v>-3.1030658094617602E-8</v>
      </c>
      <c r="I7407" t="s">
        <v>1082</v>
      </c>
      <c r="J7407">
        <v>9.11</v>
      </c>
    </row>
    <row r="7408" spans="1:13" hidden="1">
      <c r="A7408" t="s">
        <v>4921</v>
      </c>
      <c r="B7408" t="s">
        <v>4922</v>
      </c>
      <c r="C7408" t="s">
        <v>244</v>
      </c>
      <c r="D7408" t="s">
        <v>4916</v>
      </c>
      <c r="E7408" t="s">
        <v>553</v>
      </c>
      <c r="F7408" t="s">
        <v>1068</v>
      </c>
      <c r="G7408" t="s">
        <v>1083</v>
      </c>
      <c r="H7408">
        <v>-4.5647038958146599E-4</v>
      </c>
      <c r="I7408" t="s">
        <v>1084</v>
      </c>
      <c r="J7408">
        <v>9.11</v>
      </c>
    </row>
    <row r="7409" spans="1:13" hidden="1">
      <c r="A7409" t="s">
        <v>4921</v>
      </c>
      <c r="B7409" t="s">
        <v>4922</v>
      </c>
      <c r="C7409" t="s">
        <v>244</v>
      </c>
      <c r="D7409" t="s">
        <v>4916</v>
      </c>
      <c r="E7409" t="s">
        <v>553</v>
      </c>
      <c r="F7409" t="s">
        <v>1068</v>
      </c>
      <c r="G7409" t="s">
        <v>1085</v>
      </c>
      <c r="H7409">
        <v>-1.87498966584046E-2</v>
      </c>
      <c r="I7409" t="s">
        <v>1086</v>
      </c>
      <c r="J7409">
        <v>9.11</v>
      </c>
    </row>
    <row r="7410" spans="1:13" hidden="1">
      <c r="A7410" t="s">
        <v>4921</v>
      </c>
      <c r="B7410" t="s">
        <v>4922</v>
      </c>
      <c r="C7410" t="s">
        <v>244</v>
      </c>
      <c r="D7410" t="s">
        <v>4916</v>
      </c>
      <c r="E7410" t="s">
        <v>553</v>
      </c>
      <c r="F7410" t="s">
        <v>1068</v>
      </c>
      <c r="G7410" t="s">
        <v>1087</v>
      </c>
      <c r="H7410" s="170">
        <v>-1.9631242268381602E-6</v>
      </c>
      <c r="I7410" t="s">
        <v>1088</v>
      </c>
      <c r="J7410">
        <v>9.11</v>
      </c>
    </row>
    <row r="7411" spans="1:13" hidden="1">
      <c r="A7411" t="s">
        <v>4921</v>
      </c>
      <c r="B7411" t="s">
        <v>4922</v>
      </c>
      <c r="C7411" t="s">
        <v>244</v>
      </c>
      <c r="D7411" t="s">
        <v>4916</v>
      </c>
      <c r="E7411" t="s">
        <v>553</v>
      </c>
      <c r="F7411" t="s">
        <v>1068</v>
      </c>
      <c r="G7411" t="s">
        <v>1089</v>
      </c>
      <c r="H7411">
        <v>-6.6044500507137904E-3</v>
      </c>
      <c r="I7411" t="s">
        <v>1090</v>
      </c>
      <c r="J7411">
        <v>9.11</v>
      </c>
    </row>
    <row r="7412" spans="1:13" hidden="1">
      <c r="A7412" t="s">
        <v>4923</v>
      </c>
      <c r="B7412" t="s">
        <v>4924</v>
      </c>
      <c r="C7412" t="s">
        <v>244</v>
      </c>
      <c r="D7412" t="s">
        <v>4916</v>
      </c>
      <c r="E7412" t="s">
        <v>556</v>
      </c>
      <c r="F7412" t="s">
        <v>1068</v>
      </c>
      <c r="G7412" t="s">
        <v>1069</v>
      </c>
      <c r="H7412">
        <v>-8.5364293200122408</v>
      </c>
      <c r="I7412" t="s">
        <v>1070</v>
      </c>
      <c r="J7412">
        <v>8.2899999999999991</v>
      </c>
    </row>
    <row r="7413" spans="1:13" hidden="1">
      <c r="A7413" t="s">
        <v>4923</v>
      </c>
      <c r="B7413" t="s">
        <v>4924</v>
      </c>
      <c r="C7413" t="s">
        <v>244</v>
      </c>
      <c r="D7413" t="s">
        <v>4916</v>
      </c>
      <c r="E7413" t="s">
        <v>556</v>
      </c>
      <c r="F7413" t="s">
        <v>1068</v>
      </c>
      <c r="G7413" t="s">
        <v>1071</v>
      </c>
      <c r="H7413" s="170">
        <v>-2.08696080145208E-8</v>
      </c>
      <c r="I7413" t="s">
        <v>1072</v>
      </c>
      <c r="J7413">
        <v>8.2899999999999991</v>
      </c>
    </row>
    <row r="7414" spans="1:13" hidden="1">
      <c r="A7414" t="s">
        <v>4923</v>
      </c>
      <c r="B7414" t="s">
        <v>4924</v>
      </c>
      <c r="C7414" t="s">
        <v>244</v>
      </c>
      <c r="D7414" t="s">
        <v>4916</v>
      </c>
      <c r="E7414" t="s">
        <v>556</v>
      </c>
      <c r="F7414" t="s">
        <v>1068</v>
      </c>
      <c r="G7414" t="s">
        <v>1073</v>
      </c>
      <c r="H7414" s="170">
        <v>-3.3892132726143602E-6</v>
      </c>
      <c r="I7414" t="s">
        <v>1074</v>
      </c>
      <c r="J7414">
        <v>8.2899999999999991</v>
      </c>
    </row>
    <row r="7415" spans="1:13" hidden="1">
      <c r="A7415" t="s">
        <v>4923</v>
      </c>
      <c r="B7415" t="s">
        <v>4924</v>
      </c>
      <c r="C7415" t="s">
        <v>244</v>
      </c>
      <c r="D7415" t="s">
        <v>4916</v>
      </c>
      <c r="E7415" t="s">
        <v>556</v>
      </c>
      <c r="F7415" t="s">
        <v>1068</v>
      </c>
      <c r="G7415" t="s">
        <v>1075</v>
      </c>
      <c r="H7415">
        <v>-0.67037472696173295</v>
      </c>
      <c r="I7415" t="s">
        <v>1077</v>
      </c>
      <c r="J7415">
        <v>8.2899999999999991</v>
      </c>
    </row>
    <row r="7416" spans="1:13">
      <c r="A7416" t="s">
        <v>4923</v>
      </c>
      <c r="B7416" t="s">
        <v>4924</v>
      </c>
      <c r="C7416" t="s">
        <v>244</v>
      </c>
      <c r="D7416" t="s">
        <v>4916</v>
      </c>
      <c r="E7416" t="s">
        <v>556</v>
      </c>
      <c r="F7416" t="s">
        <v>1068</v>
      </c>
      <c r="G7416" t="s">
        <v>1078</v>
      </c>
      <c r="H7416">
        <v>-5.7083566655426399</v>
      </c>
      <c r="I7416" t="s">
        <v>1079</v>
      </c>
      <c r="J7416">
        <v>8.2899999999999991</v>
      </c>
      <c r="M7416" t="str">
        <f>_xlfn.TEXTJOIN(" - ",TRUE,A7416,G7416)</f>
        <v>Recycle - LDPE_Film - India - Global warming</v>
      </c>
    </row>
    <row r="7417" spans="1:13" hidden="1">
      <c r="A7417" t="s">
        <v>4923</v>
      </c>
      <c r="B7417" t="s">
        <v>4924</v>
      </c>
      <c r="C7417" t="s">
        <v>244</v>
      </c>
      <c r="D7417" t="s">
        <v>4916</v>
      </c>
      <c r="E7417" t="s">
        <v>556</v>
      </c>
      <c r="F7417" t="s">
        <v>1068</v>
      </c>
      <c r="G7417" t="s">
        <v>1080</v>
      </c>
      <c r="H7417" s="170">
        <v>-3.1101842466716503E-8</v>
      </c>
      <c r="I7417" t="s">
        <v>1082</v>
      </c>
      <c r="J7417">
        <v>8.2899999999999991</v>
      </c>
    </row>
    <row r="7418" spans="1:13" hidden="1">
      <c r="A7418" t="s">
        <v>4923</v>
      </c>
      <c r="B7418" t="s">
        <v>4924</v>
      </c>
      <c r="C7418" t="s">
        <v>244</v>
      </c>
      <c r="D7418" t="s">
        <v>4916</v>
      </c>
      <c r="E7418" t="s">
        <v>556</v>
      </c>
      <c r="F7418" t="s">
        <v>1068</v>
      </c>
      <c r="G7418" t="s">
        <v>1083</v>
      </c>
      <c r="H7418">
        <v>-4.5841692121015201E-4</v>
      </c>
      <c r="I7418" t="s">
        <v>1084</v>
      </c>
      <c r="J7418">
        <v>8.2899999999999991</v>
      </c>
    </row>
    <row r="7419" spans="1:13" hidden="1">
      <c r="A7419" t="s">
        <v>4923</v>
      </c>
      <c r="B7419" t="s">
        <v>4924</v>
      </c>
      <c r="C7419" t="s">
        <v>244</v>
      </c>
      <c r="D7419" t="s">
        <v>4916</v>
      </c>
      <c r="E7419" t="s">
        <v>556</v>
      </c>
      <c r="F7419" t="s">
        <v>1068</v>
      </c>
      <c r="G7419" t="s">
        <v>1085</v>
      </c>
      <c r="H7419">
        <v>-1.87718964164372E-2</v>
      </c>
      <c r="I7419" t="s">
        <v>1086</v>
      </c>
      <c r="J7419">
        <v>8.2899999999999991</v>
      </c>
    </row>
    <row r="7420" spans="1:13" hidden="1">
      <c r="A7420" t="s">
        <v>4923</v>
      </c>
      <c r="B7420" t="s">
        <v>4924</v>
      </c>
      <c r="C7420" t="s">
        <v>244</v>
      </c>
      <c r="D7420" t="s">
        <v>4916</v>
      </c>
      <c r="E7420" t="s">
        <v>556</v>
      </c>
      <c r="F7420" t="s">
        <v>1068</v>
      </c>
      <c r="G7420" t="s">
        <v>1087</v>
      </c>
      <c r="H7420" s="170">
        <v>-1.9737414105158502E-6</v>
      </c>
      <c r="I7420" t="s">
        <v>1088</v>
      </c>
      <c r="J7420">
        <v>8.2899999999999991</v>
      </c>
    </row>
    <row r="7421" spans="1:13" hidden="1">
      <c r="A7421" t="s">
        <v>4923</v>
      </c>
      <c r="B7421" t="s">
        <v>4924</v>
      </c>
      <c r="C7421" t="s">
        <v>244</v>
      </c>
      <c r="D7421" t="s">
        <v>4916</v>
      </c>
      <c r="E7421" t="s">
        <v>556</v>
      </c>
      <c r="F7421" t="s">
        <v>1068</v>
      </c>
      <c r="G7421" t="s">
        <v>1089</v>
      </c>
      <c r="H7421">
        <v>-6.6089885573521997E-3</v>
      </c>
      <c r="I7421" t="s">
        <v>1090</v>
      </c>
      <c r="J7421">
        <v>8.2899999999999991</v>
      </c>
    </row>
    <row r="7422" spans="1:13" hidden="1">
      <c r="A7422" t="s">
        <v>4925</v>
      </c>
      <c r="B7422" t="s">
        <v>4926</v>
      </c>
      <c r="C7422" t="s">
        <v>244</v>
      </c>
      <c r="D7422" t="s">
        <v>4916</v>
      </c>
      <c r="E7422" t="s">
        <v>557</v>
      </c>
      <c r="F7422" t="s">
        <v>1068</v>
      </c>
      <c r="G7422" t="s">
        <v>1069</v>
      </c>
      <c r="H7422">
        <v>-8.5290645617021994</v>
      </c>
      <c r="I7422" t="s">
        <v>1070</v>
      </c>
      <c r="J7422">
        <v>8.01</v>
      </c>
    </row>
    <row r="7423" spans="1:13" hidden="1">
      <c r="A7423" t="s">
        <v>4925</v>
      </c>
      <c r="B7423" t="s">
        <v>4926</v>
      </c>
      <c r="C7423" t="s">
        <v>244</v>
      </c>
      <c r="D7423" t="s">
        <v>4916</v>
      </c>
      <c r="E7423" t="s">
        <v>557</v>
      </c>
      <c r="F7423" t="s">
        <v>1068</v>
      </c>
      <c r="G7423" t="s">
        <v>1071</v>
      </c>
      <c r="H7423" s="170">
        <v>-2.08590689615911E-8</v>
      </c>
      <c r="I7423" t="s">
        <v>1072</v>
      </c>
      <c r="J7423">
        <v>8.01</v>
      </c>
    </row>
    <row r="7424" spans="1:13" hidden="1">
      <c r="A7424" t="s">
        <v>4925</v>
      </c>
      <c r="B7424" t="s">
        <v>4926</v>
      </c>
      <c r="C7424" t="s">
        <v>244</v>
      </c>
      <c r="D7424" t="s">
        <v>4916</v>
      </c>
      <c r="E7424" t="s">
        <v>557</v>
      </c>
      <c r="F7424" t="s">
        <v>1068</v>
      </c>
      <c r="G7424" t="s">
        <v>1073</v>
      </c>
      <c r="H7424" s="170">
        <v>-3.3865972871591201E-6</v>
      </c>
      <c r="I7424" t="s">
        <v>1074</v>
      </c>
      <c r="J7424">
        <v>8.01</v>
      </c>
    </row>
    <row r="7425" spans="1:13" hidden="1">
      <c r="A7425" t="s">
        <v>4925</v>
      </c>
      <c r="B7425" t="s">
        <v>4926</v>
      </c>
      <c r="C7425" t="s">
        <v>244</v>
      </c>
      <c r="D7425" t="s">
        <v>4916</v>
      </c>
      <c r="E7425" t="s">
        <v>557</v>
      </c>
      <c r="F7425" t="s">
        <v>1068</v>
      </c>
      <c r="G7425" t="s">
        <v>1075</v>
      </c>
      <c r="H7425">
        <v>-0.670141919084006</v>
      </c>
      <c r="I7425" t="s">
        <v>1077</v>
      </c>
      <c r="J7425">
        <v>8.01</v>
      </c>
    </row>
    <row r="7426" spans="1:13">
      <c r="A7426" t="s">
        <v>4925</v>
      </c>
      <c r="B7426" t="s">
        <v>4926</v>
      </c>
      <c r="C7426" t="s">
        <v>244</v>
      </c>
      <c r="D7426" t="s">
        <v>4916</v>
      </c>
      <c r="E7426" t="s">
        <v>557</v>
      </c>
      <c r="F7426" t="s">
        <v>1068</v>
      </c>
      <c r="G7426" t="s">
        <v>1078</v>
      </c>
      <c r="H7426">
        <v>-5.6982891548780001</v>
      </c>
      <c r="I7426" t="s">
        <v>1079</v>
      </c>
      <c r="J7426">
        <v>8.01</v>
      </c>
      <c r="M7426" t="str">
        <f>_xlfn.TEXTJOIN(" - ",TRUE,A7426,G7426)</f>
        <v>Recycle - LDPE_Film - Ireland - Global warming</v>
      </c>
    </row>
    <row r="7427" spans="1:13" hidden="1">
      <c r="A7427" t="s">
        <v>4925</v>
      </c>
      <c r="B7427" t="s">
        <v>4926</v>
      </c>
      <c r="C7427" t="s">
        <v>244</v>
      </c>
      <c r="D7427" t="s">
        <v>4916</v>
      </c>
      <c r="E7427" t="s">
        <v>557</v>
      </c>
      <c r="F7427" t="s">
        <v>1068</v>
      </c>
      <c r="G7427" t="s">
        <v>1080</v>
      </c>
      <c r="H7427" s="170">
        <v>-3.1060904418731603E-8</v>
      </c>
      <c r="I7427" t="s">
        <v>1082</v>
      </c>
      <c r="J7427">
        <v>8.01</v>
      </c>
    </row>
    <row r="7428" spans="1:13" hidden="1">
      <c r="A7428" t="s">
        <v>4925</v>
      </c>
      <c r="B7428" t="s">
        <v>4926</v>
      </c>
      <c r="C7428" t="s">
        <v>244</v>
      </c>
      <c r="D7428" t="s">
        <v>4916</v>
      </c>
      <c r="E7428" t="s">
        <v>557</v>
      </c>
      <c r="F7428" t="s">
        <v>1068</v>
      </c>
      <c r="G7428" t="s">
        <v>1083</v>
      </c>
      <c r="H7428">
        <v>-4.57297473178642E-4</v>
      </c>
      <c r="I7428" t="s">
        <v>1084</v>
      </c>
      <c r="J7428">
        <v>8.01</v>
      </c>
    </row>
    <row r="7429" spans="1:13" hidden="1">
      <c r="A7429" t="s">
        <v>4925</v>
      </c>
      <c r="B7429" t="s">
        <v>4926</v>
      </c>
      <c r="C7429" t="s">
        <v>244</v>
      </c>
      <c r="D7429" t="s">
        <v>4916</v>
      </c>
      <c r="E7429" t="s">
        <v>557</v>
      </c>
      <c r="F7429" t="s">
        <v>1068</v>
      </c>
      <c r="G7429" t="s">
        <v>1085</v>
      </c>
      <c r="H7429">
        <v>-1.8759244381679401E-2</v>
      </c>
      <c r="I7429" t="s">
        <v>1086</v>
      </c>
      <c r="J7429">
        <v>8.01</v>
      </c>
    </row>
    <row r="7430" spans="1:13" hidden="1">
      <c r="A7430" t="s">
        <v>4925</v>
      </c>
      <c r="B7430" t="s">
        <v>4926</v>
      </c>
      <c r="C7430" t="s">
        <v>244</v>
      </c>
      <c r="D7430" t="s">
        <v>4916</v>
      </c>
      <c r="E7430" t="s">
        <v>557</v>
      </c>
      <c r="F7430" t="s">
        <v>1068</v>
      </c>
      <c r="G7430" t="s">
        <v>1087</v>
      </c>
      <c r="H7430" s="170">
        <v>-1.9676354807723898E-6</v>
      </c>
      <c r="I7430" t="s">
        <v>1088</v>
      </c>
      <c r="J7430">
        <v>8.01</v>
      </c>
    </row>
    <row r="7431" spans="1:13" hidden="1">
      <c r="A7431" t="s">
        <v>4925</v>
      </c>
      <c r="B7431" t="s">
        <v>4926</v>
      </c>
      <c r="C7431" t="s">
        <v>244</v>
      </c>
      <c r="D7431" t="s">
        <v>4916</v>
      </c>
      <c r="E7431" t="s">
        <v>557</v>
      </c>
      <c r="F7431" t="s">
        <v>1068</v>
      </c>
      <c r="G7431" t="s">
        <v>1089</v>
      </c>
      <c r="H7431">
        <v>-6.6063784675661104E-3</v>
      </c>
      <c r="I7431" t="s">
        <v>1090</v>
      </c>
      <c r="J7431">
        <v>8.01</v>
      </c>
    </row>
    <row r="7432" spans="1:13" hidden="1">
      <c r="A7432" t="s">
        <v>4927</v>
      </c>
      <c r="B7432" t="s">
        <v>4928</v>
      </c>
      <c r="C7432" t="s">
        <v>244</v>
      </c>
      <c r="D7432" t="s">
        <v>4916</v>
      </c>
      <c r="E7432" t="s">
        <v>559</v>
      </c>
      <c r="F7432" t="s">
        <v>1068</v>
      </c>
      <c r="G7432" t="s">
        <v>1069</v>
      </c>
      <c r="H7432">
        <v>-8.5326228157171702</v>
      </c>
      <c r="I7432" t="s">
        <v>1070</v>
      </c>
      <c r="J7432">
        <v>7.61</v>
      </c>
    </row>
    <row r="7433" spans="1:13" hidden="1">
      <c r="A7433" t="s">
        <v>4927</v>
      </c>
      <c r="B7433" t="s">
        <v>4928</v>
      </c>
      <c r="C7433" t="s">
        <v>244</v>
      </c>
      <c r="D7433" t="s">
        <v>4916</v>
      </c>
      <c r="E7433" t="s">
        <v>559</v>
      </c>
      <c r="F7433" t="s">
        <v>1068</v>
      </c>
      <c r="G7433" t="s">
        <v>1071</v>
      </c>
      <c r="H7433" s="170">
        <v>-2.0864160863568399E-8</v>
      </c>
      <c r="I7433" t="s">
        <v>1072</v>
      </c>
      <c r="J7433">
        <v>7.61</v>
      </c>
    </row>
    <row r="7434" spans="1:13" hidden="1">
      <c r="A7434" t="s">
        <v>4927</v>
      </c>
      <c r="B7434" t="s">
        <v>4928</v>
      </c>
      <c r="C7434" t="s">
        <v>244</v>
      </c>
      <c r="D7434" t="s">
        <v>4916</v>
      </c>
      <c r="E7434" t="s">
        <v>559</v>
      </c>
      <c r="F7434" t="s">
        <v>1068</v>
      </c>
      <c r="G7434" t="s">
        <v>1073</v>
      </c>
      <c r="H7434" s="170">
        <v>-3.3878611902442299E-6</v>
      </c>
      <c r="I7434" t="s">
        <v>1074</v>
      </c>
      <c r="J7434">
        <v>7.61</v>
      </c>
    </row>
    <row r="7435" spans="1:13" hidden="1">
      <c r="A7435" t="s">
        <v>4927</v>
      </c>
      <c r="B7435" t="s">
        <v>4928</v>
      </c>
      <c r="C7435" t="s">
        <v>244</v>
      </c>
      <c r="D7435" t="s">
        <v>4916</v>
      </c>
      <c r="E7435" t="s">
        <v>559</v>
      </c>
      <c r="F7435" t="s">
        <v>1068</v>
      </c>
      <c r="G7435" t="s">
        <v>1075</v>
      </c>
      <c r="H7435">
        <v>-0.67025439929459396</v>
      </c>
      <c r="I7435" t="s">
        <v>1077</v>
      </c>
      <c r="J7435">
        <v>7.61</v>
      </c>
    </row>
    <row r="7436" spans="1:13">
      <c r="A7436" t="s">
        <v>4927</v>
      </c>
      <c r="B7436" t="s">
        <v>4928</v>
      </c>
      <c r="C7436" t="s">
        <v>244</v>
      </c>
      <c r="D7436" t="s">
        <v>4916</v>
      </c>
      <c r="E7436" t="s">
        <v>559</v>
      </c>
      <c r="F7436" t="s">
        <v>1068</v>
      </c>
      <c r="G7436" t="s">
        <v>1078</v>
      </c>
      <c r="H7436">
        <v>-5.70315323306429</v>
      </c>
      <c r="I7436" t="s">
        <v>1079</v>
      </c>
      <c r="J7436">
        <v>7.61</v>
      </c>
      <c r="M7436" t="str">
        <f>_xlfn.TEXTJOIN(" - ",TRUE,A7436,G7436)</f>
        <v>Recycle - LDPE_Film - Mexico - Global warming</v>
      </c>
    </row>
    <row r="7437" spans="1:13" hidden="1">
      <c r="A7437" t="s">
        <v>4927</v>
      </c>
      <c r="B7437" t="s">
        <v>4928</v>
      </c>
      <c r="C7437" t="s">
        <v>244</v>
      </c>
      <c r="D7437" t="s">
        <v>4916</v>
      </c>
      <c r="E7437" t="s">
        <v>559</v>
      </c>
      <c r="F7437" t="s">
        <v>1068</v>
      </c>
      <c r="G7437" t="s">
        <v>1080</v>
      </c>
      <c r="H7437" s="170">
        <v>-3.1080683475623201E-8</v>
      </c>
      <c r="I7437" t="s">
        <v>1082</v>
      </c>
      <c r="J7437">
        <v>7.61</v>
      </c>
    </row>
    <row r="7438" spans="1:13" hidden="1">
      <c r="A7438" t="s">
        <v>4927</v>
      </c>
      <c r="B7438" t="s">
        <v>4928</v>
      </c>
      <c r="C7438" t="s">
        <v>244</v>
      </c>
      <c r="D7438" t="s">
        <v>4916</v>
      </c>
      <c r="E7438" t="s">
        <v>559</v>
      </c>
      <c r="F7438" t="s">
        <v>1068</v>
      </c>
      <c r="G7438" t="s">
        <v>1083</v>
      </c>
      <c r="H7438">
        <v>-4.5783833009274298E-4</v>
      </c>
      <c r="I7438" t="s">
        <v>1084</v>
      </c>
      <c r="J7438">
        <v>7.61</v>
      </c>
    </row>
    <row r="7439" spans="1:13" hidden="1">
      <c r="A7439" t="s">
        <v>4927</v>
      </c>
      <c r="B7439" t="s">
        <v>4928</v>
      </c>
      <c r="C7439" t="s">
        <v>244</v>
      </c>
      <c r="D7439" t="s">
        <v>4916</v>
      </c>
      <c r="E7439" t="s">
        <v>559</v>
      </c>
      <c r="F7439" t="s">
        <v>1068</v>
      </c>
      <c r="G7439" t="s">
        <v>1085</v>
      </c>
      <c r="H7439">
        <v>-1.8765357162517399E-2</v>
      </c>
      <c r="I7439" t="s">
        <v>1086</v>
      </c>
      <c r="J7439">
        <v>7.61</v>
      </c>
    </row>
    <row r="7440" spans="1:13" hidden="1">
      <c r="A7440" t="s">
        <v>4927</v>
      </c>
      <c r="B7440" t="s">
        <v>4928</v>
      </c>
      <c r="C7440" t="s">
        <v>244</v>
      </c>
      <c r="D7440" t="s">
        <v>4916</v>
      </c>
      <c r="E7440" t="s">
        <v>559</v>
      </c>
      <c r="F7440" t="s">
        <v>1068</v>
      </c>
      <c r="G7440" t="s">
        <v>1087</v>
      </c>
      <c r="H7440" s="170">
        <v>-1.97058553671586E-6</v>
      </c>
      <c r="I7440" t="s">
        <v>1088</v>
      </c>
      <c r="J7440">
        <v>7.61</v>
      </c>
    </row>
    <row r="7441" spans="1:13" hidden="1">
      <c r="A7441" t="s">
        <v>4927</v>
      </c>
      <c r="B7441" t="s">
        <v>4928</v>
      </c>
      <c r="C7441" t="s">
        <v>244</v>
      </c>
      <c r="D7441" t="s">
        <v>4916</v>
      </c>
      <c r="E7441" t="s">
        <v>559</v>
      </c>
      <c r="F7441" t="s">
        <v>1068</v>
      </c>
      <c r="G7441" t="s">
        <v>1089</v>
      </c>
      <c r="H7441">
        <v>-6.6076395221818596E-3</v>
      </c>
      <c r="I7441" t="s">
        <v>1090</v>
      </c>
      <c r="J7441">
        <v>7.61</v>
      </c>
    </row>
    <row r="7442" spans="1:13" hidden="1">
      <c r="A7442" t="s">
        <v>4929</v>
      </c>
      <c r="B7442" t="s">
        <v>4930</v>
      </c>
      <c r="C7442" t="s">
        <v>244</v>
      </c>
      <c r="D7442" t="s">
        <v>4916</v>
      </c>
      <c r="E7442" t="s">
        <v>560</v>
      </c>
      <c r="F7442" t="s">
        <v>1068</v>
      </c>
      <c r="G7442" t="s">
        <v>1069</v>
      </c>
      <c r="H7442">
        <v>-8.53141037360834</v>
      </c>
      <c r="I7442" t="s">
        <v>1070</v>
      </c>
      <c r="J7442">
        <v>7.37</v>
      </c>
    </row>
    <row r="7443" spans="1:13" hidden="1">
      <c r="A7443" t="s">
        <v>4929</v>
      </c>
      <c r="B7443" t="s">
        <v>4930</v>
      </c>
      <c r="C7443" t="s">
        <v>244</v>
      </c>
      <c r="D7443" t="s">
        <v>4916</v>
      </c>
      <c r="E7443" t="s">
        <v>560</v>
      </c>
      <c r="F7443" t="s">
        <v>1068</v>
      </c>
      <c r="G7443" t="s">
        <v>1071</v>
      </c>
      <c r="H7443" s="170">
        <v>-2.0862425845116802E-8</v>
      </c>
      <c r="I7443" t="s">
        <v>1072</v>
      </c>
      <c r="J7443">
        <v>7.37</v>
      </c>
    </row>
    <row r="7444" spans="1:13" hidden="1">
      <c r="A7444" t="s">
        <v>4929</v>
      </c>
      <c r="B7444" t="s">
        <v>4930</v>
      </c>
      <c r="C7444" t="s">
        <v>244</v>
      </c>
      <c r="D7444" t="s">
        <v>4916</v>
      </c>
      <c r="E7444" t="s">
        <v>560</v>
      </c>
      <c r="F7444" t="s">
        <v>1068</v>
      </c>
      <c r="G7444" t="s">
        <v>1073</v>
      </c>
      <c r="H7444" s="170">
        <v>-3.3874305269707802E-6</v>
      </c>
      <c r="I7444" t="s">
        <v>1074</v>
      </c>
      <c r="J7444">
        <v>7.37</v>
      </c>
    </row>
    <row r="7445" spans="1:13" hidden="1">
      <c r="A7445" t="s">
        <v>4929</v>
      </c>
      <c r="B7445" t="s">
        <v>4930</v>
      </c>
      <c r="C7445" t="s">
        <v>244</v>
      </c>
      <c r="D7445" t="s">
        <v>4916</v>
      </c>
      <c r="E7445" t="s">
        <v>560</v>
      </c>
      <c r="F7445" t="s">
        <v>1068</v>
      </c>
      <c r="G7445" t="s">
        <v>1075</v>
      </c>
      <c r="H7445">
        <v>-0.67021607270431804</v>
      </c>
      <c r="I7445" t="s">
        <v>1077</v>
      </c>
      <c r="J7445">
        <v>7.37</v>
      </c>
    </row>
    <row r="7446" spans="1:13">
      <c r="A7446" t="s">
        <v>4929</v>
      </c>
      <c r="B7446" t="s">
        <v>4930</v>
      </c>
      <c r="C7446" t="s">
        <v>244</v>
      </c>
      <c r="D7446" t="s">
        <v>4916</v>
      </c>
      <c r="E7446" t="s">
        <v>560</v>
      </c>
      <c r="F7446" t="s">
        <v>1068</v>
      </c>
      <c r="G7446" t="s">
        <v>1078</v>
      </c>
      <c r="H7446">
        <v>-5.7014958434600604</v>
      </c>
      <c r="I7446" t="s">
        <v>1079</v>
      </c>
      <c r="J7446">
        <v>7.37</v>
      </c>
      <c r="M7446" t="str">
        <f>_xlfn.TEXTJOIN(" - ",TRUE,A7446,G7446)</f>
        <v>Recycle - LDPE_Film - Spain - Global warming</v>
      </c>
    </row>
    <row r="7447" spans="1:13" hidden="1">
      <c r="A7447" t="s">
        <v>4929</v>
      </c>
      <c r="B7447" t="s">
        <v>4930</v>
      </c>
      <c r="C7447" t="s">
        <v>244</v>
      </c>
      <c r="D7447" t="s">
        <v>4916</v>
      </c>
      <c r="E7447" t="s">
        <v>560</v>
      </c>
      <c r="F7447" t="s">
        <v>1068</v>
      </c>
      <c r="G7447" t="s">
        <v>1080</v>
      </c>
      <c r="H7447" s="170">
        <v>-3.1073943945126697E-8</v>
      </c>
      <c r="I7447" t="s">
        <v>1082</v>
      </c>
      <c r="J7447">
        <v>7.37</v>
      </c>
    </row>
    <row r="7448" spans="1:13" hidden="1">
      <c r="A7448" t="s">
        <v>4929</v>
      </c>
      <c r="B7448" t="s">
        <v>4930</v>
      </c>
      <c r="C7448" t="s">
        <v>244</v>
      </c>
      <c r="D7448" t="s">
        <v>4916</v>
      </c>
      <c r="E7448" t="s">
        <v>560</v>
      </c>
      <c r="F7448" t="s">
        <v>1068</v>
      </c>
      <c r="G7448" t="s">
        <v>1083</v>
      </c>
      <c r="H7448">
        <v>-4.5765403810719599E-4</v>
      </c>
      <c r="I7448" t="s">
        <v>1084</v>
      </c>
      <c r="J7448">
        <v>7.37</v>
      </c>
    </row>
    <row r="7449" spans="1:13" hidden="1">
      <c r="A7449" t="s">
        <v>4929</v>
      </c>
      <c r="B7449" t="s">
        <v>4930</v>
      </c>
      <c r="C7449" t="s">
        <v>244</v>
      </c>
      <c r="D7449" t="s">
        <v>4916</v>
      </c>
      <c r="E7449" t="s">
        <v>560</v>
      </c>
      <c r="F7449" t="s">
        <v>1068</v>
      </c>
      <c r="G7449" t="s">
        <v>1085</v>
      </c>
      <c r="H7449">
        <v>-1.87632742890467E-2</v>
      </c>
      <c r="I7449" t="s">
        <v>1086</v>
      </c>
      <c r="J7449">
        <v>7.37</v>
      </c>
    </row>
    <row r="7450" spans="1:13" hidden="1">
      <c r="A7450" t="s">
        <v>4929</v>
      </c>
      <c r="B7450" t="s">
        <v>4930</v>
      </c>
      <c r="C7450" t="s">
        <v>244</v>
      </c>
      <c r="D7450" t="s">
        <v>4916</v>
      </c>
      <c r="E7450" t="s">
        <v>560</v>
      </c>
      <c r="F7450" t="s">
        <v>1068</v>
      </c>
      <c r="G7450" t="s">
        <v>1087</v>
      </c>
      <c r="H7450" s="170">
        <v>-1.9695803324684498E-6</v>
      </c>
      <c r="I7450" t="s">
        <v>1088</v>
      </c>
      <c r="J7450">
        <v>7.37</v>
      </c>
    </row>
    <row r="7451" spans="1:13" hidden="1">
      <c r="A7451" t="s">
        <v>4929</v>
      </c>
      <c r="B7451" t="s">
        <v>4930</v>
      </c>
      <c r="C7451" t="s">
        <v>244</v>
      </c>
      <c r="D7451" t="s">
        <v>4916</v>
      </c>
      <c r="E7451" t="s">
        <v>560</v>
      </c>
      <c r="F7451" t="s">
        <v>1068</v>
      </c>
      <c r="G7451" t="s">
        <v>1089</v>
      </c>
      <c r="H7451">
        <v>-6.6072098294979696E-3</v>
      </c>
      <c r="I7451" t="s">
        <v>1090</v>
      </c>
      <c r="J7451">
        <v>7.37</v>
      </c>
    </row>
    <row r="7452" spans="1:13" hidden="1">
      <c r="A7452" t="s">
        <v>4931</v>
      </c>
      <c r="B7452" t="s">
        <v>4932</v>
      </c>
      <c r="C7452" t="s">
        <v>244</v>
      </c>
      <c r="D7452" t="s">
        <v>4916</v>
      </c>
      <c r="E7452" t="s">
        <v>554</v>
      </c>
      <c r="F7452" t="s">
        <v>1068</v>
      </c>
      <c r="G7452" t="s">
        <v>1069</v>
      </c>
      <c r="H7452">
        <v>-8.5242905985661306</v>
      </c>
      <c r="I7452" t="s">
        <v>1070</v>
      </c>
      <c r="J7452">
        <v>7.91</v>
      </c>
    </row>
    <row r="7453" spans="1:13" hidden="1">
      <c r="A7453" t="s">
        <v>4931</v>
      </c>
      <c r="B7453" t="s">
        <v>4932</v>
      </c>
      <c r="C7453" t="s">
        <v>244</v>
      </c>
      <c r="D7453" t="s">
        <v>4916</v>
      </c>
      <c r="E7453" t="s">
        <v>554</v>
      </c>
      <c r="F7453" t="s">
        <v>1068</v>
      </c>
      <c r="G7453" t="s">
        <v>1071</v>
      </c>
      <c r="H7453" s="170">
        <v>-2.0852237366030601E-8</v>
      </c>
      <c r="I7453" t="s">
        <v>1072</v>
      </c>
      <c r="J7453">
        <v>7.91</v>
      </c>
    </row>
    <row r="7454" spans="1:13" hidden="1">
      <c r="A7454" t="s">
        <v>4931</v>
      </c>
      <c r="B7454" t="s">
        <v>4932</v>
      </c>
      <c r="C7454" t="s">
        <v>244</v>
      </c>
      <c r="D7454" t="s">
        <v>4916</v>
      </c>
      <c r="E7454" t="s">
        <v>554</v>
      </c>
      <c r="F7454" t="s">
        <v>1068</v>
      </c>
      <c r="G7454" t="s">
        <v>1073</v>
      </c>
      <c r="H7454" s="170">
        <v>-3.3849015603474399E-6</v>
      </c>
      <c r="I7454" t="s">
        <v>1074</v>
      </c>
      <c r="J7454">
        <v>7.91</v>
      </c>
    </row>
    <row r="7455" spans="1:13" hidden="1">
      <c r="A7455" t="s">
        <v>4931</v>
      </c>
      <c r="B7455" t="s">
        <v>4932</v>
      </c>
      <c r="C7455" t="s">
        <v>244</v>
      </c>
      <c r="D7455" t="s">
        <v>4916</v>
      </c>
      <c r="E7455" t="s">
        <v>554</v>
      </c>
      <c r="F7455" t="s">
        <v>1068</v>
      </c>
      <c r="G7455" t="s">
        <v>1075</v>
      </c>
      <c r="H7455">
        <v>-0.66999100900939501</v>
      </c>
      <c r="I7455" t="s">
        <v>1077</v>
      </c>
      <c r="J7455">
        <v>7.91</v>
      </c>
    </row>
    <row r="7456" spans="1:13">
      <c r="A7456" t="s">
        <v>4931</v>
      </c>
      <c r="B7456" t="s">
        <v>4932</v>
      </c>
      <c r="C7456" t="s">
        <v>244</v>
      </c>
      <c r="D7456" t="s">
        <v>4916</v>
      </c>
      <c r="E7456" t="s">
        <v>554</v>
      </c>
      <c r="F7456" t="s">
        <v>1068</v>
      </c>
      <c r="G7456" t="s">
        <v>1078</v>
      </c>
      <c r="H7456">
        <v>-5.69176322113222</v>
      </c>
      <c r="I7456" t="s">
        <v>1079</v>
      </c>
      <c r="J7456">
        <v>7.91</v>
      </c>
      <c r="M7456" t="str">
        <f>_xlfn.TEXTJOIN(" - ",TRUE,A7456,G7456)</f>
        <v>Recycle - LDPE_Film - United States - Global warming</v>
      </c>
    </row>
    <row r="7457" spans="1:13" hidden="1">
      <c r="A7457" t="s">
        <v>4931</v>
      </c>
      <c r="B7457" t="s">
        <v>4932</v>
      </c>
      <c r="C7457" t="s">
        <v>244</v>
      </c>
      <c r="D7457" t="s">
        <v>4916</v>
      </c>
      <c r="E7457" t="s">
        <v>554</v>
      </c>
      <c r="F7457" t="s">
        <v>1068</v>
      </c>
      <c r="G7457" t="s">
        <v>1080</v>
      </c>
      <c r="H7457" s="170">
        <v>-3.1034367671194803E-8</v>
      </c>
      <c r="I7457" t="s">
        <v>1082</v>
      </c>
      <c r="J7457">
        <v>7.91</v>
      </c>
    </row>
    <row r="7458" spans="1:13" hidden="1">
      <c r="A7458" t="s">
        <v>4931</v>
      </c>
      <c r="B7458" t="s">
        <v>4932</v>
      </c>
      <c r="C7458" t="s">
        <v>244</v>
      </c>
      <c r="D7458" t="s">
        <v>4916</v>
      </c>
      <c r="E7458" t="s">
        <v>554</v>
      </c>
      <c r="F7458" t="s">
        <v>1068</v>
      </c>
      <c r="G7458" t="s">
        <v>1083</v>
      </c>
      <c r="H7458">
        <v>-4.5657182769101102E-4</v>
      </c>
      <c r="I7458" t="s">
        <v>1084</v>
      </c>
      <c r="J7458">
        <v>7.91</v>
      </c>
    </row>
    <row r="7459" spans="1:13" hidden="1">
      <c r="A7459" t="s">
        <v>4931</v>
      </c>
      <c r="B7459" t="s">
        <v>4932</v>
      </c>
      <c r="C7459" t="s">
        <v>244</v>
      </c>
      <c r="D7459" t="s">
        <v>4916</v>
      </c>
      <c r="E7459" t="s">
        <v>554</v>
      </c>
      <c r="F7459" t="s">
        <v>1068</v>
      </c>
      <c r="G7459" t="s">
        <v>1085</v>
      </c>
      <c r="H7459">
        <v>-1.8751043114918601E-2</v>
      </c>
      <c r="I7459" t="s">
        <v>1086</v>
      </c>
      <c r="J7459">
        <v>7.91</v>
      </c>
    </row>
    <row r="7460" spans="1:13" hidden="1">
      <c r="A7460" t="s">
        <v>4931</v>
      </c>
      <c r="B7460" t="s">
        <v>4932</v>
      </c>
      <c r="C7460" t="s">
        <v>244</v>
      </c>
      <c r="D7460" t="s">
        <v>4916</v>
      </c>
      <c r="E7460" t="s">
        <v>554</v>
      </c>
      <c r="F7460" t="s">
        <v>1068</v>
      </c>
      <c r="G7460" t="s">
        <v>1087</v>
      </c>
      <c r="H7460" s="170">
        <v>-1.9636775119865001E-6</v>
      </c>
      <c r="I7460" t="s">
        <v>1088</v>
      </c>
      <c r="J7460">
        <v>7.91</v>
      </c>
    </row>
    <row r="7461" spans="1:13" hidden="1">
      <c r="A7461" t="s">
        <v>4931</v>
      </c>
      <c r="B7461" t="s">
        <v>4932</v>
      </c>
      <c r="C7461" t="s">
        <v>244</v>
      </c>
      <c r="D7461" t="s">
        <v>4916</v>
      </c>
      <c r="E7461" t="s">
        <v>554</v>
      </c>
      <c r="F7461" t="s">
        <v>1068</v>
      </c>
      <c r="G7461" t="s">
        <v>1089</v>
      </c>
      <c r="H7461">
        <v>-6.6046865624286898E-3</v>
      </c>
      <c r="I7461" t="s">
        <v>1090</v>
      </c>
      <c r="J7461">
        <v>7.91</v>
      </c>
    </row>
    <row r="7462" spans="1:13" hidden="1">
      <c r="A7462" t="s">
        <v>4933</v>
      </c>
      <c r="B7462" t="s">
        <v>4934</v>
      </c>
      <c r="C7462" t="s">
        <v>244</v>
      </c>
      <c r="D7462" t="s">
        <v>3374</v>
      </c>
      <c r="E7462" t="s">
        <v>561</v>
      </c>
      <c r="F7462" t="s">
        <v>1068</v>
      </c>
      <c r="G7462" t="s">
        <v>1069</v>
      </c>
      <c r="H7462">
        <v>-0.270790324592945</v>
      </c>
      <c r="I7462" t="s">
        <v>1070</v>
      </c>
      <c r="J7462">
        <v>7.45</v>
      </c>
    </row>
    <row r="7463" spans="1:13" hidden="1">
      <c r="A7463" t="s">
        <v>4933</v>
      </c>
      <c r="B7463" t="s">
        <v>4934</v>
      </c>
      <c r="C7463" t="s">
        <v>244</v>
      </c>
      <c r="D7463" t="s">
        <v>3374</v>
      </c>
      <c r="E7463" t="s">
        <v>561</v>
      </c>
      <c r="F7463" t="s">
        <v>1068</v>
      </c>
      <c r="G7463" t="s">
        <v>1071</v>
      </c>
      <c r="H7463" s="170">
        <v>-5.9702188651896995E-10</v>
      </c>
      <c r="I7463" t="s">
        <v>1072</v>
      </c>
      <c r="J7463">
        <v>7.45</v>
      </c>
    </row>
    <row r="7464" spans="1:13" hidden="1">
      <c r="A7464" t="s">
        <v>4933</v>
      </c>
      <c r="B7464" t="s">
        <v>4934</v>
      </c>
      <c r="C7464" t="s">
        <v>244</v>
      </c>
      <c r="D7464" t="s">
        <v>3374</v>
      </c>
      <c r="E7464" t="s">
        <v>561</v>
      </c>
      <c r="F7464" t="s">
        <v>1068</v>
      </c>
      <c r="G7464" t="s">
        <v>1073</v>
      </c>
      <c r="H7464" s="170">
        <v>-1.0612394738488501E-7</v>
      </c>
      <c r="I7464" t="s">
        <v>1074</v>
      </c>
      <c r="J7464">
        <v>7.45</v>
      </c>
    </row>
    <row r="7465" spans="1:13" hidden="1">
      <c r="A7465" t="s">
        <v>4933</v>
      </c>
      <c r="B7465" t="s">
        <v>4934</v>
      </c>
      <c r="C7465" t="s">
        <v>244</v>
      </c>
      <c r="D7465" t="s">
        <v>3374</v>
      </c>
      <c r="E7465" t="s">
        <v>561</v>
      </c>
      <c r="F7465" t="s">
        <v>1068</v>
      </c>
      <c r="G7465" t="s">
        <v>1075</v>
      </c>
      <c r="H7465">
        <v>-1.0478317672408701E-2</v>
      </c>
      <c r="I7465" t="s">
        <v>1077</v>
      </c>
      <c r="J7465">
        <v>7.45</v>
      </c>
    </row>
    <row r="7466" spans="1:13">
      <c r="A7466" t="s">
        <v>4933</v>
      </c>
      <c r="B7466" t="s">
        <v>4934</v>
      </c>
      <c r="C7466" t="s">
        <v>244</v>
      </c>
      <c r="D7466" t="s">
        <v>3374</v>
      </c>
      <c r="E7466" t="s">
        <v>561</v>
      </c>
      <c r="F7466" t="s">
        <v>1068</v>
      </c>
      <c r="G7466" t="s">
        <v>1078</v>
      </c>
      <c r="H7466">
        <v>-0.37128481541594599</v>
      </c>
      <c r="I7466" t="s">
        <v>1079</v>
      </c>
      <c r="J7466">
        <v>7.45</v>
      </c>
      <c r="M7466" t="str">
        <f>_xlfn.TEXTJOIN(" - ",TRUE,A7466,G7466)</f>
        <v>Recycle - Mixed_Glass - Australia - Global warming</v>
      </c>
    </row>
    <row r="7467" spans="1:13" hidden="1">
      <c r="A7467" t="s">
        <v>4933</v>
      </c>
      <c r="B7467" t="s">
        <v>4934</v>
      </c>
      <c r="C7467" t="s">
        <v>244</v>
      </c>
      <c r="D7467" t="s">
        <v>3374</v>
      </c>
      <c r="E7467" t="s">
        <v>561</v>
      </c>
      <c r="F7467" t="s">
        <v>1068</v>
      </c>
      <c r="G7467" t="s">
        <v>1080</v>
      </c>
      <c r="H7467" s="170">
        <v>-9.7722585007726908E-10</v>
      </c>
      <c r="I7467" t="s">
        <v>1082</v>
      </c>
      <c r="J7467">
        <v>7.45</v>
      </c>
    </row>
    <row r="7468" spans="1:13" hidden="1">
      <c r="A7468" t="s">
        <v>4933</v>
      </c>
      <c r="B7468" t="s">
        <v>4934</v>
      </c>
      <c r="C7468" t="s">
        <v>244</v>
      </c>
      <c r="D7468" t="s">
        <v>3374</v>
      </c>
      <c r="E7468" t="s">
        <v>561</v>
      </c>
      <c r="F7468" t="s">
        <v>1068</v>
      </c>
      <c r="G7468" t="s">
        <v>1083</v>
      </c>
      <c r="H7468" s="170">
        <v>-1.6304473752085001E-5</v>
      </c>
      <c r="I7468" t="s">
        <v>1084</v>
      </c>
      <c r="J7468">
        <v>7.45</v>
      </c>
    </row>
    <row r="7469" spans="1:13" hidden="1">
      <c r="A7469" t="s">
        <v>4933</v>
      </c>
      <c r="B7469" t="s">
        <v>4934</v>
      </c>
      <c r="C7469" t="s">
        <v>244</v>
      </c>
      <c r="D7469" t="s">
        <v>3374</v>
      </c>
      <c r="E7469" t="s">
        <v>561</v>
      </c>
      <c r="F7469" t="s">
        <v>1068</v>
      </c>
      <c r="G7469" t="s">
        <v>1085</v>
      </c>
      <c r="H7469">
        <v>-3.21839059174971E-4</v>
      </c>
      <c r="I7469" t="s">
        <v>1086</v>
      </c>
      <c r="J7469">
        <v>7.45</v>
      </c>
    </row>
    <row r="7470" spans="1:13" hidden="1">
      <c r="A7470" t="s">
        <v>4933</v>
      </c>
      <c r="B7470" t="s">
        <v>4934</v>
      </c>
      <c r="C7470" t="s">
        <v>244</v>
      </c>
      <c r="D7470" t="s">
        <v>3374</v>
      </c>
      <c r="E7470" t="s">
        <v>561</v>
      </c>
      <c r="F7470" t="s">
        <v>1068</v>
      </c>
      <c r="G7470" t="s">
        <v>1087</v>
      </c>
      <c r="H7470" s="170">
        <v>-6.1847136289457696E-8</v>
      </c>
      <c r="I7470" t="s">
        <v>1088</v>
      </c>
      <c r="J7470">
        <v>7.45</v>
      </c>
    </row>
    <row r="7471" spans="1:13" hidden="1">
      <c r="A7471" t="s">
        <v>4933</v>
      </c>
      <c r="B7471" t="s">
        <v>4934</v>
      </c>
      <c r="C7471" t="s">
        <v>244</v>
      </c>
      <c r="D7471" t="s">
        <v>3374</v>
      </c>
      <c r="E7471" t="s">
        <v>561</v>
      </c>
      <c r="F7471" t="s">
        <v>1068</v>
      </c>
      <c r="G7471" t="s">
        <v>1089</v>
      </c>
      <c r="H7471" s="170">
        <v>-9.89568701938491E-5</v>
      </c>
      <c r="I7471" t="s">
        <v>1090</v>
      </c>
      <c r="J7471">
        <v>7.45</v>
      </c>
    </row>
    <row r="7472" spans="1:13" hidden="1">
      <c r="A7472" t="s">
        <v>4935</v>
      </c>
      <c r="B7472" t="s">
        <v>4936</v>
      </c>
      <c r="C7472" t="s">
        <v>244</v>
      </c>
      <c r="D7472" t="s">
        <v>3374</v>
      </c>
      <c r="E7472" t="s">
        <v>555</v>
      </c>
      <c r="F7472" t="s">
        <v>1068</v>
      </c>
      <c r="G7472" t="s">
        <v>1069</v>
      </c>
      <c r="H7472">
        <v>-0.27471315652970801</v>
      </c>
      <c r="I7472" t="s">
        <v>1070</v>
      </c>
      <c r="J7472">
        <v>8.02</v>
      </c>
    </row>
    <row r="7473" spans="1:13" hidden="1">
      <c r="A7473" t="s">
        <v>4935</v>
      </c>
      <c r="B7473" t="s">
        <v>4936</v>
      </c>
      <c r="C7473" t="s">
        <v>244</v>
      </c>
      <c r="D7473" t="s">
        <v>3374</v>
      </c>
      <c r="E7473" t="s">
        <v>555</v>
      </c>
      <c r="F7473" t="s">
        <v>1068</v>
      </c>
      <c r="G7473" t="s">
        <v>1071</v>
      </c>
      <c r="H7473" s="170">
        <v>-6.0263550365008501E-10</v>
      </c>
      <c r="I7473" t="s">
        <v>1072</v>
      </c>
      <c r="J7473">
        <v>8.02</v>
      </c>
    </row>
    <row r="7474" spans="1:13" hidden="1">
      <c r="A7474" t="s">
        <v>4935</v>
      </c>
      <c r="B7474" t="s">
        <v>4936</v>
      </c>
      <c r="C7474" t="s">
        <v>244</v>
      </c>
      <c r="D7474" t="s">
        <v>3374</v>
      </c>
      <c r="E7474" t="s">
        <v>555</v>
      </c>
      <c r="F7474" t="s">
        <v>1068</v>
      </c>
      <c r="G7474" t="s">
        <v>1073</v>
      </c>
      <c r="H7474" s="170">
        <v>-1.07517349701419E-7</v>
      </c>
      <c r="I7474" t="s">
        <v>1074</v>
      </c>
      <c r="J7474">
        <v>8.02</v>
      </c>
    </row>
    <row r="7475" spans="1:13" hidden="1">
      <c r="A7475" t="s">
        <v>4935</v>
      </c>
      <c r="B7475" t="s">
        <v>4936</v>
      </c>
      <c r="C7475" t="s">
        <v>244</v>
      </c>
      <c r="D7475" t="s">
        <v>3374</v>
      </c>
      <c r="E7475" t="s">
        <v>555</v>
      </c>
      <c r="F7475" t="s">
        <v>1068</v>
      </c>
      <c r="G7475" t="s">
        <v>1075</v>
      </c>
      <c r="H7475">
        <v>-1.0602322580571401E-2</v>
      </c>
      <c r="I7475" t="s">
        <v>1077</v>
      </c>
      <c r="J7475">
        <v>8.02</v>
      </c>
    </row>
    <row r="7476" spans="1:13">
      <c r="A7476" t="s">
        <v>4935</v>
      </c>
      <c r="B7476" t="s">
        <v>4936</v>
      </c>
      <c r="C7476" t="s">
        <v>244</v>
      </c>
      <c r="D7476" t="s">
        <v>3374</v>
      </c>
      <c r="E7476" t="s">
        <v>555</v>
      </c>
      <c r="F7476" t="s">
        <v>1068</v>
      </c>
      <c r="G7476" t="s">
        <v>1078</v>
      </c>
      <c r="H7476">
        <v>-0.37664726598069698</v>
      </c>
      <c r="I7476" t="s">
        <v>1079</v>
      </c>
      <c r="J7476">
        <v>8.02</v>
      </c>
      <c r="M7476" t="str">
        <f>_xlfn.TEXTJOIN(" - ",TRUE,A7476,G7476)</f>
        <v>Recycle - Mixed_Glass - Brazil - Global warming</v>
      </c>
    </row>
    <row r="7477" spans="1:13" hidden="1">
      <c r="A7477" t="s">
        <v>4935</v>
      </c>
      <c r="B7477" t="s">
        <v>4936</v>
      </c>
      <c r="C7477" t="s">
        <v>244</v>
      </c>
      <c r="D7477" t="s">
        <v>3374</v>
      </c>
      <c r="E7477" t="s">
        <v>555</v>
      </c>
      <c r="F7477" t="s">
        <v>1068</v>
      </c>
      <c r="G7477" t="s">
        <v>1080</v>
      </c>
      <c r="H7477" s="170">
        <v>-9.9903146477680995E-10</v>
      </c>
      <c r="I7477" t="s">
        <v>1082</v>
      </c>
      <c r="J7477">
        <v>8.02</v>
      </c>
    </row>
    <row r="7478" spans="1:13" hidden="1">
      <c r="A7478" t="s">
        <v>4935</v>
      </c>
      <c r="B7478" t="s">
        <v>4936</v>
      </c>
      <c r="C7478" t="s">
        <v>244</v>
      </c>
      <c r="D7478" t="s">
        <v>3374</v>
      </c>
      <c r="E7478" t="s">
        <v>555</v>
      </c>
      <c r="F7478" t="s">
        <v>1068</v>
      </c>
      <c r="G7478" t="s">
        <v>1083</v>
      </c>
      <c r="H7478" s="170">
        <v>-1.6900746746347701E-5</v>
      </c>
      <c r="I7478" t="s">
        <v>1084</v>
      </c>
      <c r="J7478">
        <v>8.02</v>
      </c>
    </row>
    <row r="7479" spans="1:13" hidden="1">
      <c r="A7479" t="s">
        <v>4935</v>
      </c>
      <c r="B7479" t="s">
        <v>4936</v>
      </c>
      <c r="C7479" t="s">
        <v>244</v>
      </c>
      <c r="D7479" t="s">
        <v>3374</v>
      </c>
      <c r="E7479" t="s">
        <v>555</v>
      </c>
      <c r="F7479" t="s">
        <v>1068</v>
      </c>
      <c r="G7479" t="s">
        <v>1085</v>
      </c>
      <c r="H7479">
        <v>-3.2857815418980198E-4</v>
      </c>
      <c r="I7479" t="s">
        <v>1086</v>
      </c>
      <c r="J7479">
        <v>8.02</v>
      </c>
    </row>
    <row r="7480" spans="1:13" hidden="1">
      <c r="A7480" t="s">
        <v>4935</v>
      </c>
      <c r="B7480" t="s">
        <v>4936</v>
      </c>
      <c r="C7480" t="s">
        <v>244</v>
      </c>
      <c r="D7480" t="s">
        <v>3374</v>
      </c>
      <c r="E7480" t="s">
        <v>555</v>
      </c>
      <c r="F7480" t="s">
        <v>1068</v>
      </c>
      <c r="G7480" t="s">
        <v>1087</v>
      </c>
      <c r="H7480" s="170">
        <v>-6.5099454314423499E-8</v>
      </c>
      <c r="I7480" t="s">
        <v>1088</v>
      </c>
      <c r="J7480">
        <v>8.02</v>
      </c>
    </row>
    <row r="7481" spans="1:13" hidden="1">
      <c r="A7481" t="s">
        <v>4935</v>
      </c>
      <c r="B7481" t="s">
        <v>4936</v>
      </c>
      <c r="C7481" t="s">
        <v>244</v>
      </c>
      <c r="D7481" t="s">
        <v>3374</v>
      </c>
      <c r="E7481" t="s">
        <v>555</v>
      </c>
      <c r="F7481" t="s">
        <v>1068</v>
      </c>
      <c r="G7481" t="s">
        <v>1089</v>
      </c>
      <c r="H7481">
        <v>-1.00347132187474E-4</v>
      </c>
      <c r="I7481" t="s">
        <v>1090</v>
      </c>
      <c r="J7481">
        <v>8.02</v>
      </c>
    </row>
    <row r="7482" spans="1:13" hidden="1">
      <c r="A7482" t="s">
        <v>4937</v>
      </c>
      <c r="B7482" t="s">
        <v>4938</v>
      </c>
      <c r="C7482" t="s">
        <v>244</v>
      </c>
      <c r="D7482" t="s">
        <v>3374</v>
      </c>
      <c r="E7482" t="s">
        <v>558</v>
      </c>
      <c r="F7482" t="s">
        <v>1068</v>
      </c>
      <c r="G7482" t="s">
        <v>1069</v>
      </c>
      <c r="H7482">
        <v>-0.27044299051521098</v>
      </c>
      <c r="I7482" t="s">
        <v>1070</v>
      </c>
      <c r="J7482">
        <v>8.2799999999999994</v>
      </c>
    </row>
    <row r="7483" spans="1:13" hidden="1">
      <c r="A7483" t="s">
        <v>4937</v>
      </c>
      <c r="B7483" t="s">
        <v>4938</v>
      </c>
      <c r="C7483" t="s">
        <v>244</v>
      </c>
      <c r="D7483" t="s">
        <v>3374</v>
      </c>
      <c r="E7483" t="s">
        <v>558</v>
      </c>
      <c r="F7483" t="s">
        <v>1068</v>
      </c>
      <c r="G7483" t="s">
        <v>1071</v>
      </c>
      <c r="H7483" s="170">
        <v>-5.96524847502153E-10</v>
      </c>
      <c r="I7483" t="s">
        <v>1072</v>
      </c>
      <c r="J7483">
        <v>8.2799999999999994</v>
      </c>
    </row>
    <row r="7484" spans="1:13" hidden="1">
      <c r="A7484" t="s">
        <v>4937</v>
      </c>
      <c r="B7484" t="s">
        <v>4938</v>
      </c>
      <c r="C7484" t="s">
        <v>244</v>
      </c>
      <c r="D7484" t="s">
        <v>3374</v>
      </c>
      <c r="E7484" t="s">
        <v>558</v>
      </c>
      <c r="F7484" t="s">
        <v>1068</v>
      </c>
      <c r="G7484" t="s">
        <v>1073</v>
      </c>
      <c r="H7484" s="170">
        <v>-1.06000573221442E-7</v>
      </c>
      <c r="I7484" t="s">
        <v>1074</v>
      </c>
      <c r="J7484">
        <v>8.2799999999999994</v>
      </c>
    </row>
    <row r="7485" spans="1:13" hidden="1">
      <c r="A7485" t="s">
        <v>4937</v>
      </c>
      <c r="B7485" t="s">
        <v>4938</v>
      </c>
      <c r="C7485" t="s">
        <v>244</v>
      </c>
      <c r="D7485" t="s">
        <v>3374</v>
      </c>
      <c r="E7485" t="s">
        <v>558</v>
      </c>
      <c r="F7485" t="s">
        <v>1068</v>
      </c>
      <c r="G7485" t="s">
        <v>1075</v>
      </c>
      <c r="H7485">
        <v>-1.04673380711652E-2</v>
      </c>
      <c r="I7485" t="s">
        <v>1077</v>
      </c>
      <c r="J7485">
        <v>8.2799999999999994</v>
      </c>
    </row>
    <row r="7486" spans="1:13">
      <c r="A7486" t="s">
        <v>4937</v>
      </c>
      <c r="B7486" t="s">
        <v>4938</v>
      </c>
      <c r="C7486" t="s">
        <v>244</v>
      </c>
      <c r="D7486" t="s">
        <v>3374</v>
      </c>
      <c r="E7486" t="s">
        <v>558</v>
      </c>
      <c r="F7486" t="s">
        <v>1068</v>
      </c>
      <c r="G7486" t="s">
        <v>1078</v>
      </c>
      <c r="H7486">
        <v>-0.37081001510552503</v>
      </c>
      <c r="I7486" t="s">
        <v>1079</v>
      </c>
      <c r="J7486">
        <v>8.2799999999999994</v>
      </c>
      <c r="M7486" t="str">
        <f>_xlfn.TEXTJOIN(" - ",TRUE,A7486,G7486)</f>
        <v>Recycle - Mixed_Glass - Canada - Global warming</v>
      </c>
    </row>
    <row r="7487" spans="1:13" hidden="1">
      <c r="A7487" t="s">
        <v>4937</v>
      </c>
      <c r="B7487" t="s">
        <v>4938</v>
      </c>
      <c r="C7487" t="s">
        <v>244</v>
      </c>
      <c r="D7487" t="s">
        <v>3374</v>
      </c>
      <c r="E7487" t="s">
        <v>558</v>
      </c>
      <c r="F7487" t="s">
        <v>1068</v>
      </c>
      <c r="G7487" t="s">
        <v>1080</v>
      </c>
      <c r="H7487" s="170">
        <v>-9.7529514460907994E-10</v>
      </c>
      <c r="I7487" t="s">
        <v>1082</v>
      </c>
      <c r="J7487">
        <v>8.2799999999999994</v>
      </c>
    </row>
    <row r="7488" spans="1:13" hidden="1">
      <c r="A7488" t="s">
        <v>4937</v>
      </c>
      <c r="B7488" t="s">
        <v>4938</v>
      </c>
      <c r="C7488" t="s">
        <v>244</v>
      </c>
      <c r="D7488" t="s">
        <v>3374</v>
      </c>
      <c r="E7488" t="s">
        <v>558</v>
      </c>
      <c r="F7488" t="s">
        <v>1068</v>
      </c>
      <c r="G7488" t="s">
        <v>1083</v>
      </c>
      <c r="H7488" s="170">
        <v>-1.6251678747384599E-5</v>
      </c>
      <c r="I7488" t="s">
        <v>1084</v>
      </c>
      <c r="J7488">
        <v>8.2799999999999994</v>
      </c>
    </row>
    <row r="7489" spans="1:13" hidden="1">
      <c r="A7489" t="s">
        <v>4937</v>
      </c>
      <c r="B7489" t="s">
        <v>4938</v>
      </c>
      <c r="C7489" t="s">
        <v>244</v>
      </c>
      <c r="D7489" t="s">
        <v>3374</v>
      </c>
      <c r="E7489" t="s">
        <v>558</v>
      </c>
      <c r="F7489" t="s">
        <v>1068</v>
      </c>
      <c r="G7489" t="s">
        <v>1085</v>
      </c>
      <c r="H7489">
        <v>-3.2124236847053301E-4</v>
      </c>
      <c r="I7489" t="s">
        <v>1086</v>
      </c>
      <c r="J7489">
        <v>8.2799999999999994</v>
      </c>
    </row>
    <row r="7490" spans="1:13" hidden="1">
      <c r="A7490" t="s">
        <v>4937</v>
      </c>
      <c r="B7490" t="s">
        <v>4938</v>
      </c>
      <c r="C7490" t="s">
        <v>244</v>
      </c>
      <c r="D7490" t="s">
        <v>3374</v>
      </c>
      <c r="E7490" t="s">
        <v>558</v>
      </c>
      <c r="F7490" t="s">
        <v>1068</v>
      </c>
      <c r="G7490" t="s">
        <v>1087</v>
      </c>
      <c r="H7490" s="170">
        <v>-6.1559170630997297E-8</v>
      </c>
      <c r="I7490" t="s">
        <v>1088</v>
      </c>
      <c r="J7490">
        <v>8.2799999999999994</v>
      </c>
    </row>
    <row r="7491" spans="1:13" hidden="1">
      <c r="A7491" t="s">
        <v>4937</v>
      </c>
      <c r="B7491" t="s">
        <v>4938</v>
      </c>
      <c r="C7491" t="s">
        <v>244</v>
      </c>
      <c r="D7491" t="s">
        <v>3374</v>
      </c>
      <c r="E7491" t="s">
        <v>558</v>
      </c>
      <c r="F7491" t="s">
        <v>1068</v>
      </c>
      <c r="G7491" t="s">
        <v>1089</v>
      </c>
      <c r="H7491" s="170">
        <v>-9.8833774079830095E-5</v>
      </c>
      <c r="I7491" t="s">
        <v>1090</v>
      </c>
      <c r="J7491">
        <v>8.2799999999999994</v>
      </c>
    </row>
    <row r="7492" spans="1:13" hidden="1">
      <c r="A7492" t="s">
        <v>4939</v>
      </c>
      <c r="B7492" t="s">
        <v>4940</v>
      </c>
      <c r="C7492" t="s">
        <v>244</v>
      </c>
      <c r="D7492" t="s">
        <v>3374</v>
      </c>
      <c r="E7492" t="s">
        <v>553</v>
      </c>
      <c r="F7492" t="s">
        <v>1068</v>
      </c>
      <c r="G7492" t="s">
        <v>1069</v>
      </c>
      <c r="H7492">
        <v>-0.27010281796484598</v>
      </c>
      <c r="I7492" t="s">
        <v>1070</v>
      </c>
      <c r="J7492">
        <v>8.0299999999999994</v>
      </c>
    </row>
    <row r="7493" spans="1:13" hidden="1">
      <c r="A7493" t="s">
        <v>4939</v>
      </c>
      <c r="B7493" t="s">
        <v>4940</v>
      </c>
      <c r="C7493" t="s">
        <v>244</v>
      </c>
      <c r="D7493" t="s">
        <v>3374</v>
      </c>
      <c r="E7493" t="s">
        <v>553</v>
      </c>
      <c r="F7493" t="s">
        <v>1068</v>
      </c>
      <c r="G7493" t="s">
        <v>1071</v>
      </c>
      <c r="H7493" s="170">
        <v>-5.9603805671247197E-10</v>
      </c>
      <c r="I7493" t="s">
        <v>1072</v>
      </c>
      <c r="J7493">
        <v>8.0299999999999994</v>
      </c>
    </row>
    <row r="7494" spans="1:13" hidden="1">
      <c r="A7494" t="s">
        <v>4939</v>
      </c>
      <c r="B7494" t="s">
        <v>4940</v>
      </c>
      <c r="C7494" t="s">
        <v>244</v>
      </c>
      <c r="D7494" t="s">
        <v>3374</v>
      </c>
      <c r="E7494" t="s">
        <v>553</v>
      </c>
      <c r="F7494" t="s">
        <v>1068</v>
      </c>
      <c r="G7494" t="s">
        <v>1073</v>
      </c>
      <c r="H7494" s="170">
        <v>-1.0587974285518E-7</v>
      </c>
      <c r="I7494" t="s">
        <v>1074</v>
      </c>
      <c r="J7494">
        <v>8.0299999999999994</v>
      </c>
    </row>
    <row r="7495" spans="1:13" hidden="1">
      <c r="A7495" t="s">
        <v>4939</v>
      </c>
      <c r="B7495" t="s">
        <v>4940</v>
      </c>
      <c r="C7495" t="s">
        <v>244</v>
      </c>
      <c r="D7495" t="s">
        <v>3374</v>
      </c>
      <c r="E7495" t="s">
        <v>553</v>
      </c>
      <c r="F7495" t="s">
        <v>1068</v>
      </c>
      <c r="G7495" t="s">
        <v>1075</v>
      </c>
      <c r="H7495">
        <v>-1.04565848534524E-2</v>
      </c>
      <c r="I7495" t="s">
        <v>1077</v>
      </c>
      <c r="J7495">
        <v>8.0299999999999994</v>
      </c>
    </row>
    <row r="7496" spans="1:13">
      <c r="A7496" t="s">
        <v>4939</v>
      </c>
      <c r="B7496" t="s">
        <v>4940</v>
      </c>
      <c r="C7496" t="s">
        <v>244</v>
      </c>
      <c r="D7496" t="s">
        <v>3374</v>
      </c>
      <c r="E7496" t="s">
        <v>553</v>
      </c>
      <c r="F7496" t="s">
        <v>1068</v>
      </c>
      <c r="G7496" t="s">
        <v>1078</v>
      </c>
      <c r="H7496">
        <v>-0.37034500449222701</v>
      </c>
      <c r="I7496" t="s">
        <v>1079</v>
      </c>
      <c r="J7496">
        <v>8.0299999999999994</v>
      </c>
      <c r="M7496" t="str">
        <f>_xlfn.TEXTJOIN(" - ",TRUE,A7496,G7496)</f>
        <v>Recycle - Mixed_Glass - China - Global warming</v>
      </c>
    </row>
    <row r="7497" spans="1:13" hidden="1">
      <c r="A7497" t="s">
        <v>4939</v>
      </c>
      <c r="B7497" t="s">
        <v>4940</v>
      </c>
      <c r="C7497" t="s">
        <v>244</v>
      </c>
      <c r="D7497" t="s">
        <v>3374</v>
      </c>
      <c r="E7497" t="s">
        <v>553</v>
      </c>
      <c r="F7497" t="s">
        <v>1068</v>
      </c>
      <c r="G7497" t="s">
        <v>1080</v>
      </c>
      <c r="H7497" s="170">
        <v>-9.7340424750102004E-10</v>
      </c>
      <c r="I7497" t="s">
        <v>1082</v>
      </c>
      <c r="J7497">
        <v>8.0299999999999994</v>
      </c>
    </row>
    <row r="7498" spans="1:13" hidden="1">
      <c r="A7498" t="s">
        <v>4939</v>
      </c>
      <c r="B7498" t="s">
        <v>4940</v>
      </c>
      <c r="C7498" t="s">
        <v>244</v>
      </c>
      <c r="D7498" t="s">
        <v>3374</v>
      </c>
      <c r="E7498" t="s">
        <v>553</v>
      </c>
      <c r="F7498" t="s">
        <v>1068</v>
      </c>
      <c r="G7498" t="s">
        <v>1083</v>
      </c>
      <c r="H7498" s="170">
        <v>-1.6199972299481899E-5</v>
      </c>
      <c r="I7498" t="s">
        <v>1084</v>
      </c>
      <c r="J7498">
        <v>8.0299999999999994</v>
      </c>
    </row>
    <row r="7499" spans="1:13" hidden="1">
      <c r="A7499" t="s">
        <v>4939</v>
      </c>
      <c r="B7499" t="s">
        <v>4940</v>
      </c>
      <c r="C7499" t="s">
        <v>244</v>
      </c>
      <c r="D7499" t="s">
        <v>3374</v>
      </c>
      <c r="E7499" t="s">
        <v>553</v>
      </c>
      <c r="F7499" t="s">
        <v>1068</v>
      </c>
      <c r="G7499" t="s">
        <v>1085</v>
      </c>
      <c r="H7499">
        <v>-3.2065798066721699E-4</v>
      </c>
      <c r="I7499" t="s">
        <v>1086</v>
      </c>
      <c r="J7499">
        <v>8.0299999999999994</v>
      </c>
    </row>
    <row r="7500" spans="1:13" hidden="1">
      <c r="A7500" t="s">
        <v>4939</v>
      </c>
      <c r="B7500" t="s">
        <v>4940</v>
      </c>
      <c r="C7500" t="s">
        <v>244</v>
      </c>
      <c r="D7500" t="s">
        <v>3374</v>
      </c>
      <c r="E7500" t="s">
        <v>553</v>
      </c>
      <c r="F7500" t="s">
        <v>1068</v>
      </c>
      <c r="G7500" t="s">
        <v>1087</v>
      </c>
      <c r="H7500" s="170">
        <v>-6.1277142408792406E-8</v>
      </c>
      <c r="I7500" t="s">
        <v>1088</v>
      </c>
      <c r="J7500">
        <v>8.0299999999999994</v>
      </c>
    </row>
    <row r="7501" spans="1:13" hidden="1">
      <c r="A7501" t="s">
        <v>4939</v>
      </c>
      <c r="B7501" t="s">
        <v>4940</v>
      </c>
      <c r="C7501" t="s">
        <v>244</v>
      </c>
      <c r="D7501" t="s">
        <v>3374</v>
      </c>
      <c r="E7501" t="s">
        <v>553</v>
      </c>
      <c r="F7501" t="s">
        <v>1068</v>
      </c>
      <c r="G7501" t="s">
        <v>1089</v>
      </c>
      <c r="H7501" s="170">
        <v>-9.8713216030018095E-5</v>
      </c>
      <c r="I7501" t="s">
        <v>1090</v>
      </c>
      <c r="J7501">
        <v>8.0299999999999994</v>
      </c>
    </row>
    <row r="7502" spans="1:13" hidden="1">
      <c r="A7502" t="s">
        <v>4941</v>
      </c>
      <c r="B7502" t="s">
        <v>4942</v>
      </c>
      <c r="C7502" t="s">
        <v>244</v>
      </c>
      <c r="D7502" t="s">
        <v>3374</v>
      </c>
      <c r="E7502" t="s">
        <v>556</v>
      </c>
      <c r="F7502" t="s">
        <v>1068</v>
      </c>
      <c r="G7502" t="s">
        <v>1069</v>
      </c>
      <c r="H7502">
        <v>-0.27427982044367</v>
      </c>
      <c r="I7502" t="s">
        <v>1070</v>
      </c>
      <c r="J7502">
        <v>7.38</v>
      </c>
    </row>
    <row r="7503" spans="1:13" hidden="1">
      <c r="A7503" t="s">
        <v>4941</v>
      </c>
      <c r="B7503" t="s">
        <v>4942</v>
      </c>
      <c r="C7503" t="s">
        <v>244</v>
      </c>
      <c r="D7503" t="s">
        <v>3374</v>
      </c>
      <c r="E7503" t="s">
        <v>556</v>
      </c>
      <c r="F7503" t="s">
        <v>1068</v>
      </c>
      <c r="G7503" t="s">
        <v>1071</v>
      </c>
      <c r="H7503" s="170">
        <v>-6.0201539478094998E-10</v>
      </c>
      <c r="I7503" t="s">
        <v>1072</v>
      </c>
      <c r="J7503">
        <v>7.38</v>
      </c>
    </row>
    <row r="7504" spans="1:13" hidden="1">
      <c r="A7504" t="s">
        <v>4941</v>
      </c>
      <c r="B7504" t="s">
        <v>4942</v>
      </c>
      <c r="C7504" t="s">
        <v>244</v>
      </c>
      <c r="D7504" t="s">
        <v>3374</v>
      </c>
      <c r="E7504" t="s">
        <v>556</v>
      </c>
      <c r="F7504" t="s">
        <v>1068</v>
      </c>
      <c r="G7504" t="s">
        <v>1073</v>
      </c>
      <c r="H7504" s="170">
        <v>-1.0736342735249999E-7</v>
      </c>
      <c r="I7504" t="s">
        <v>1074</v>
      </c>
      <c r="J7504">
        <v>7.38</v>
      </c>
    </row>
    <row r="7505" spans="1:13" hidden="1">
      <c r="A7505" t="s">
        <v>4941</v>
      </c>
      <c r="B7505" t="s">
        <v>4942</v>
      </c>
      <c r="C7505" t="s">
        <v>244</v>
      </c>
      <c r="D7505" t="s">
        <v>3374</v>
      </c>
      <c r="E7505" t="s">
        <v>556</v>
      </c>
      <c r="F7505" t="s">
        <v>1068</v>
      </c>
      <c r="G7505" t="s">
        <v>1075</v>
      </c>
      <c r="H7505">
        <v>-1.0588624363972E-2</v>
      </c>
      <c r="I7505" t="s">
        <v>1077</v>
      </c>
      <c r="J7505">
        <v>7.38</v>
      </c>
    </row>
    <row r="7506" spans="1:13">
      <c r="A7506" t="s">
        <v>4941</v>
      </c>
      <c r="B7506" t="s">
        <v>4942</v>
      </c>
      <c r="C7506" t="s">
        <v>244</v>
      </c>
      <c r="D7506" t="s">
        <v>3374</v>
      </c>
      <c r="E7506" t="s">
        <v>556</v>
      </c>
      <c r="F7506" t="s">
        <v>1068</v>
      </c>
      <c r="G7506" t="s">
        <v>1078</v>
      </c>
      <c r="H7506">
        <v>-0.37605490225552102</v>
      </c>
      <c r="I7506" t="s">
        <v>1079</v>
      </c>
      <c r="J7506">
        <v>7.38</v>
      </c>
      <c r="M7506" t="str">
        <f>_xlfn.TEXTJOIN(" - ",TRUE,A7506,G7506)</f>
        <v>Recycle - Mixed_Glass - India - Global warming</v>
      </c>
    </row>
    <row r="7507" spans="1:13" hidden="1">
      <c r="A7507" t="s">
        <v>4941</v>
      </c>
      <c r="B7507" t="s">
        <v>4942</v>
      </c>
      <c r="C7507" t="s">
        <v>244</v>
      </c>
      <c r="D7507" t="s">
        <v>3374</v>
      </c>
      <c r="E7507" t="s">
        <v>556</v>
      </c>
      <c r="F7507" t="s">
        <v>1068</v>
      </c>
      <c r="G7507" t="s">
        <v>1080</v>
      </c>
      <c r="H7507" s="170">
        <v>-9.9662270501348901E-10</v>
      </c>
      <c r="I7507" t="s">
        <v>1082</v>
      </c>
      <c r="J7507">
        <v>7.38</v>
      </c>
    </row>
    <row r="7508" spans="1:13" hidden="1">
      <c r="A7508" t="s">
        <v>4941</v>
      </c>
      <c r="B7508" t="s">
        <v>4942</v>
      </c>
      <c r="C7508" t="s">
        <v>244</v>
      </c>
      <c r="D7508" t="s">
        <v>3374</v>
      </c>
      <c r="E7508" t="s">
        <v>556</v>
      </c>
      <c r="F7508" t="s">
        <v>1068</v>
      </c>
      <c r="G7508" t="s">
        <v>1083</v>
      </c>
      <c r="H7508" s="170">
        <v>-1.68348793807024E-5</v>
      </c>
      <c r="I7508" t="s">
        <v>1084</v>
      </c>
      <c r="J7508">
        <v>7.38</v>
      </c>
    </row>
    <row r="7509" spans="1:13" hidden="1">
      <c r="A7509" t="s">
        <v>4941</v>
      </c>
      <c r="B7509" t="s">
        <v>4942</v>
      </c>
      <c r="C7509" t="s">
        <v>244</v>
      </c>
      <c r="D7509" t="s">
        <v>3374</v>
      </c>
      <c r="E7509" t="s">
        <v>556</v>
      </c>
      <c r="F7509" t="s">
        <v>1068</v>
      </c>
      <c r="G7509" t="s">
        <v>1085</v>
      </c>
      <c r="H7509">
        <v>-3.2783371927537302E-4</v>
      </c>
      <c r="I7509" t="s">
        <v>1086</v>
      </c>
      <c r="J7509">
        <v>7.38</v>
      </c>
    </row>
    <row r="7510" spans="1:13" hidden="1">
      <c r="A7510" t="s">
        <v>4941</v>
      </c>
      <c r="B7510" t="s">
        <v>4942</v>
      </c>
      <c r="C7510" t="s">
        <v>244</v>
      </c>
      <c r="D7510" t="s">
        <v>3374</v>
      </c>
      <c r="E7510" t="s">
        <v>556</v>
      </c>
      <c r="F7510" t="s">
        <v>1068</v>
      </c>
      <c r="G7510" t="s">
        <v>1087</v>
      </c>
      <c r="H7510" s="170">
        <v>-6.4740186625618994E-8</v>
      </c>
      <c r="I7510" t="s">
        <v>1088</v>
      </c>
      <c r="J7510">
        <v>7.38</v>
      </c>
    </row>
    <row r="7511" spans="1:13" hidden="1">
      <c r="A7511" t="s">
        <v>4941</v>
      </c>
      <c r="B7511" t="s">
        <v>4942</v>
      </c>
      <c r="C7511" t="s">
        <v>244</v>
      </c>
      <c r="D7511" t="s">
        <v>3374</v>
      </c>
      <c r="E7511" t="s">
        <v>556</v>
      </c>
      <c r="F7511" t="s">
        <v>1068</v>
      </c>
      <c r="G7511" t="s">
        <v>1089</v>
      </c>
      <c r="H7511">
        <v>-1.0019355673469E-4</v>
      </c>
      <c r="I7511" t="s">
        <v>1090</v>
      </c>
      <c r="J7511">
        <v>7.38</v>
      </c>
    </row>
    <row r="7512" spans="1:13" hidden="1">
      <c r="A7512" t="s">
        <v>4943</v>
      </c>
      <c r="B7512" t="s">
        <v>4944</v>
      </c>
      <c r="C7512" t="s">
        <v>244</v>
      </c>
      <c r="D7512" t="s">
        <v>3374</v>
      </c>
      <c r="E7512" t="s">
        <v>557</v>
      </c>
      <c r="F7512" t="s">
        <v>1068</v>
      </c>
      <c r="G7512" t="s">
        <v>1069</v>
      </c>
      <c r="H7512">
        <v>-0.27187763127106901</v>
      </c>
      <c r="I7512" t="s">
        <v>1070</v>
      </c>
      <c r="J7512">
        <v>7.73</v>
      </c>
    </row>
    <row r="7513" spans="1:13" hidden="1">
      <c r="A7513" t="s">
        <v>4943</v>
      </c>
      <c r="B7513" t="s">
        <v>4944</v>
      </c>
      <c r="C7513" t="s">
        <v>244</v>
      </c>
      <c r="D7513" t="s">
        <v>3374</v>
      </c>
      <c r="E7513" t="s">
        <v>557</v>
      </c>
      <c r="F7513" t="s">
        <v>1068</v>
      </c>
      <c r="G7513" t="s">
        <v>1071</v>
      </c>
      <c r="H7513" s="170">
        <v>-5.9857783474552904E-10</v>
      </c>
      <c r="I7513" t="s">
        <v>1072</v>
      </c>
      <c r="J7513">
        <v>7.73</v>
      </c>
    </row>
    <row r="7514" spans="1:13" hidden="1">
      <c r="A7514" t="s">
        <v>4943</v>
      </c>
      <c r="B7514" t="s">
        <v>4944</v>
      </c>
      <c r="C7514" t="s">
        <v>244</v>
      </c>
      <c r="D7514" t="s">
        <v>3374</v>
      </c>
      <c r="E7514" t="s">
        <v>557</v>
      </c>
      <c r="F7514" t="s">
        <v>1068</v>
      </c>
      <c r="G7514" t="s">
        <v>1073</v>
      </c>
      <c r="H7514" s="170">
        <v>-1.06510162157402E-7</v>
      </c>
      <c r="I7514" t="s">
        <v>1074</v>
      </c>
      <c r="J7514">
        <v>7.73</v>
      </c>
    </row>
    <row r="7515" spans="1:13" hidden="1">
      <c r="A7515" t="s">
        <v>4943</v>
      </c>
      <c r="B7515" t="s">
        <v>4944</v>
      </c>
      <c r="C7515" t="s">
        <v>244</v>
      </c>
      <c r="D7515" t="s">
        <v>3374</v>
      </c>
      <c r="E7515" t="s">
        <v>557</v>
      </c>
      <c r="F7515" t="s">
        <v>1068</v>
      </c>
      <c r="G7515" t="s">
        <v>1075</v>
      </c>
      <c r="H7515">
        <v>-1.05126885980408E-2</v>
      </c>
      <c r="I7515" t="s">
        <v>1077</v>
      </c>
      <c r="J7515">
        <v>7.73</v>
      </c>
    </row>
    <row r="7516" spans="1:13">
      <c r="A7516" t="s">
        <v>4943</v>
      </c>
      <c r="B7516" t="s">
        <v>4944</v>
      </c>
      <c r="C7516" t="s">
        <v>244</v>
      </c>
      <c r="D7516" t="s">
        <v>3374</v>
      </c>
      <c r="E7516" t="s">
        <v>557</v>
      </c>
      <c r="F7516" t="s">
        <v>1068</v>
      </c>
      <c r="G7516" t="s">
        <v>1078</v>
      </c>
      <c r="H7516">
        <v>-0.37277114682248003</v>
      </c>
      <c r="I7516" t="s">
        <v>1079</v>
      </c>
      <c r="J7516">
        <v>7.73</v>
      </c>
      <c r="M7516" t="str">
        <f>_xlfn.TEXTJOIN(" - ",TRUE,A7516,G7516)</f>
        <v>Recycle - Mixed_Glass - Ireland - Global warming</v>
      </c>
    </row>
    <row r="7517" spans="1:13" hidden="1">
      <c r="A7517" t="s">
        <v>4943</v>
      </c>
      <c r="B7517" t="s">
        <v>4944</v>
      </c>
      <c r="C7517" t="s">
        <v>244</v>
      </c>
      <c r="D7517" t="s">
        <v>3374</v>
      </c>
      <c r="E7517" t="s">
        <v>557</v>
      </c>
      <c r="F7517" t="s">
        <v>1068</v>
      </c>
      <c r="G7517" t="s">
        <v>1080</v>
      </c>
      <c r="H7517" s="170">
        <v>-9.8326979762985809E-10</v>
      </c>
      <c r="I7517" t="s">
        <v>1082</v>
      </c>
      <c r="J7517">
        <v>7.73</v>
      </c>
    </row>
    <row r="7518" spans="1:13" hidden="1">
      <c r="A7518" t="s">
        <v>4943</v>
      </c>
      <c r="B7518" t="s">
        <v>4944</v>
      </c>
      <c r="C7518" t="s">
        <v>244</v>
      </c>
      <c r="D7518" t="s">
        <v>3374</v>
      </c>
      <c r="E7518" t="s">
        <v>557</v>
      </c>
      <c r="F7518" t="s">
        <v>1068</v>
      </c>
      <c r="G7518" t="s">
        <v>1083</v>
      </c>
      <c r="H7518" s="170">
        <v>-1.6469745071146901E-5</v>
      </c>
      <c r="I7518" t="s">
        <v>1084</v>
      </c>
      <c r="J7518">
        <v>7.73</v>
      </c>
    </row>
    <row r="7519" spans="1:13" hidden="1">
      <c r="A7519" t="s">
        <v>4943</v>
      </c>
      <c r="B7519" t="s">
        <v>4944</v>
      </c>
      <c r="C7519" t="s">
        <v>244</v>
      </c>
      <c r="D7519" t="s">
        <v>3374</v>
      </c>
      <c r="E7519" t="s">
        <v>557</v>
      </c>
      <c r="F7519" t="s">
        <v>1068</v>
      </c>
      <c r="G7519" t="s">
        <v>1085</v>
      </c>
      <c r="H7519">
        <v>-3.2370696051060399E-4</v>
      </c>
      <c r="I7519" t="s">
        <v>1086</v>
      </c>
      <c r="J7519">
        <v>7.73</v>
      </c>
    </row>
    <row r="7520" spans="1:13" hidden="1">
      <c r="A7520" t="s">
        <v>4943</v>
      </c>
      <c r="B7520" t="s">
        <v>4944</v>
      </c>
      <c r="C7520" t="s">
        <v>244</v>
      </c>
      <c r="D7520" t="s">
        <v>3374</v>
      </c>
      <c r="E7520" t="s">
        <v>557</v>
      </c>
      <c r="F7520" t="s">
        <v>1068</v>
      </c>
      <c r="G7520" t="s">
        <v>1087</v>
      </c>
      <c r="H7520" s="170">
        <v>-6.2748594002899405E-8</v>
      </c>
      <c r="I7520" t="s">
        <v>1088</v>
      </c>
      <c r="J7520">
        <v>7.73</v>
      </c>
    </row>
    <row r="7521" spans="1:13" hidden="1">
      <c r="A7521" t="s">
        <v>4943</v>
      </c>
      <c r="B7521" t="s">
        <v>4944</v>
      </c>
      <c r="C7521" t="s">
        <v>244</v>
      </c>
      <c r="D7521" t="s">
        <v>3374</v>
      </c>
      <c r="E7521" t="s">
        <v>557</v>
      </c>
      <c r="F7521" t="s">
        <v>1068</v>
      </c>
      <c r="G7521" t="s">
        <v>1089</v>
      </c>
      <c r="H7521" s="170">
        <v>-9.9342214550777899E-5</v>
      </c>
      <c r="I7521" t="s">
        <v>1090</v>
      </c>
      <c r="J7521">
        <v>7.73</v>
      </c>
    </row>
    <row r="7522" spans="1:13" hidden="1">
      <c r="A7522" t="s">
        <v>4945</v>
      </c>
      <c r="B7522" t="s">
        <v>4946</v>
      </c>
      <c r="C7522" t="s">
        <v>244</v>
      </c>
      <c r="D7522" t="s">
        <v>3374</v>
      </c>
      <c r="E7522" t="s">
        <v>559</v>
      </c>
      <c r="F7522" t="s">
        <v>1068</v>
      </c>
      <c r="G7522" t="s">
        <v>1069</v>
      </c>
      <c r="H7522">
        <v>-0.27303823952299999</v>
      </c>
      <c r="I7522" t="s">
        <v>1070</v>
      </c>
      <c r="J7522">
        <v>7.74</v>
      </c>
    </row>
    <row r="7523" spans="1:13" hidden="1">
      <c r="A7523" t="s">
        <v>4945</v>
      </c>
      <c r="B7523" t="s">
        <v>4946</v>
      </c>
      <c r="C7523" t="s">
        <v>244</v>
      </c>
      <c r="D7523" t="s">
        <v>3374</v>
      </c>
      <c r="E7523" t="s">
        <v>559</v>
      </c>
      <c r="F7523" t="s">
        <v>1068</v>
      </c>
      <c r="G7523" t="s">
        <v>1071</v>
      </c>
      <c r="H7523" s="170">
        <v>-6.0023867835814802E-10</v>
      </c>
      <c r="I7523" t="s">
        <v>1072</v>
      </c>
      <c r="J7523">
        <v>7.74</v>
      </c>
    </row>
    <row r="7524" spans="1:13" hidden="1">
      <c r="A7524" t="s">
        <v>4945</v>
      </c>
      <c r="B7524" t="s">
        <v>4946</v>
      </c>
      <c r="C7524" t="s">
        <v>244</v>
      </c>
      <c r="D7524" t="s">
        <v>3374</v>
      </c>
      <c r="E7524" t="s">
        <v>559</v>
      </c>
      <c r="F7524" t="s">
        <v>1068</v>
      </c>
      <c r="G7524" t="s">
        <v>1073</v>
      </c>
      <c r="H7524" s="170">
        <v>-1.06922413880876E-7</v>
      </c>
      <c r="I7524" t="s">
        <v>1074</v>
      </c>
      <c r="J7524">
        <v>7.74</v>
      </c>
    </row>
    <row r="7525" spans="1:13" hidden="1">
      <c r="A7525" t="s">
        <v>4945</v>
      </c>
      <c r="B7525" t="s">
        <v>4946</v>
      </c>
      <c r="C7525" t="s">
        <v>244</v>
      </c>
      <c r="D7525" t="s">
        <v>3374</v>
      </c>
      <c r="E7525" t="s">
        <v>559</v>
      </c>
      <c r="F7525" t="s">
        <v>1068</v>
      </c>
      <c r="G7525" t="s">
        <v>1075</v>
      </c>
      <c r="H7525">
        <v>-1.05493766647267E-2</v>
      </c>
      <c r="I7525" t="s">
        <v>1077</v>
      </c>
      <c r="J7525">
        <v>7.74</v>
      </c>
    </row>
    <row r="7526" spans="1:13">
      <c r="A7526" t="s">
        <v>4945</v>
      </c>
      <c r="B7526" t="s">
        <v>4946</v>
      </c>
      <c r="C7526" t="s">
        <v>244</v>
      </c>
      <c r="D7526" t="s">
        <v>3374</v>
      </c>
      <c r="E7526" t="s">
        <v>559</v>
      </c>
      <c r="F7526" t="s">
        <v>1068</v>
      </c>
      <c r="G7526" t="s">
        <v>1078</v>
      </c>
      <c r="H7526">
        <v>-0.37435768034630901</v>
      </c>
      <c r="I7526" t="s">
        <v>1079</v>
      </c>
      <c r="J7526">
        <v>7.74</v>
      </c>
      <c r="M7526" t="str">
        <f>_xlfn.TEXTJOIN(" - ",TRUE,A7526,G7526)</f>
        <v>Recycle - Mixed_Glass - Mexico - Global warming</v>
      </c>
    </row>
    <row r="7527" spans="1:13" hidden="1">
      <c r="A7527" t="s">
        <v>4945</v>
      </c>
      <c r="B7527" t="s">
        <v>4946</v>
      </c>
      <c r="C7527" t="s">
        <v>244</v>
      </c>
      <c r="D7527" t="s">
        <v>3374</v>
      </c>
      <c r="E7527" t="s">
        <v>559</v>
      </c>
      <c r="F7527" t="s">
        <v>1068</v>
      </c>
      <c r="G7527" t="s">
        <v>1080</v>
      </c>
      <c r="H7527" s="170">
        <v>-9.8972120232082596E-10</v>
      </c>
      <c r="I7527" t="s">
        <v>1082</v>
      </c>
      <c r="J7527">
        <v>7.74</v>
      </c>
    </row>
    <row r="7528" spans="1:13" hidden="1">
      <c r="A7528" t="s">
        <v>4945</v>
      </c>
      <c r="B7528" t="s">
        <v>4946</v>
      </c>
      <c r="C7528" t="s">
        <v>244</v>
      </c>
      <c r="D7528" t="s">
        <v>3374</v>
      </c>
      <c r="E7528" t="s">
        <v>559</v>
      </c>
      <c r="F7528" t="s">
        <v>1068</v>
      </c>
      <c r="G7528" t="s">
        <v>1083</v>
      </c>
      <c r="H7528" s="170">
        <v>-1.6646158276887202E-5</v>
      </c>
      <c r="I7528" t="s">
        <v>1084</v>
      </c>
      <c r="J7528">
        <v>7.74</v>
      </c>
    </row>
    <row r="7529" spans="1:13" hidden="1">
      <c r="A7529" t="s">
        <v>4945</v>
      </c>
      <c r="B7529" t="s">
        <v>4946</v>
      </c>
      <c r="C7529" t="s">
        <v>244</v>
      </c>
      <c r="D7529" t="s">
        <v>3374</v>
      </c>
      <c r="E7529" t="s">
        <v>559</v>
      </c>
      <c r="F7529" t="s">
        <v>1068</v>
      </c>
      <c r="G7529" t="s">
        <v>1085</v>
      </c>
      <c r="H7529">
        <v>-3.2570078777897498E-4</v>
      </c>
      <c r="I7529" t="s">
        <v>1086</v>
      </c>
      <c r="J7529">
        <v>7.74</v>
      </c>
    </row>
    <row r="7530" spans="1:13" hidden="1">
      <c r="A7530" t="s">
        <v>4945</v>
      </c>
      <c r="B7530" t="s">
        <v>4946</v>
      </c>
      <c r="C7530" t="s">
        <v>244</v>
      </c>
      <c r="D7530" t="s">
        <v>3374</v>
      </c>
      <c r="E7530" t="s">
        <v>559</v>
      </c>
      <c r="F7530" t="s">
        <v>1068</v>
      </c>
      <c r="G7530" t="s">
        <v>1087</v>
      </c>
      <c r="H7530" s="170">
        <v>-6.3710824146460603E-8</v>
      </c>
      <c r="I7530" t="s">
        <v>1088</v>
      </c>
      <c r="J7530">
        <v>7.74</v>
      </c>
    </row>
    <row r="7531" spans="1:13" hidden="1">
      <c r="A7531" t="s">
        <v>4945</v>
      </c>
      <c r="B7531" t="s">
        <v>4946</v>
      </c>
      <c r="C7531" t="s">
        <v>244</v>
      </c>
      <c r="D7531" t="s">
        <v>3374</v>
      </c>
      <c r="E7531" t="s">
        <v>559</v>
      </c>
      <c r="F7531" t="s">
        <v>1068</v>
      </c>
      <c r="G7531" t="s">
        <v>1089</v>
      </c>
      <c r="H7531" s="170">
        <v>-9.9753537178960404E-5</v>
      </c>
      <c r="I7531" t="s">
        <v>1090</v>
      </c>
      <c r="J7531">
        <v>7.74</v>
      </c>
    </row>
    <row r="7532" spans="1:13" hidden="1">
      <c r="A7532" t="s">
        <v>4947</v>
      </c>
      <c r="B7532" t="s">
        <v>4948</v>
      </c>
      <c r="C7532" t="s">
        <v>244</v>
      </c>
      <c r="D7532" t="s">
        <v>3374</v>
      </c>
      <c r="E7532" t="s">
        <v>560</v>
      </c>
      <c r="F7532" t="s">
        <v>1068</v>
      </c>
      <c r="G7532" t="s">
        <v>1069</v>
      </c>
      <c r="H7532">
        <v>-0.27264277300752698</v>
      </c>
      <c r="I7532" t="s">
        <v>1070</v>
      </c>
      <c r="J7532">
        <v>7.7</v>
      </c>
    </row>
    <row r="7533" spans="1:13" hidden="1">
      <c r="A7533" t="s">
        <v>4947</v>
      </c>
      <c r="B7533" t="s">
        <v>4948</v>
      </c>
      <c r="C7533" t="s">
        <v>244</v>
      </c>
      <c r="D7533" t="s">
        <v>3374</v>
      </c>
      <c r="E7533" t="s">
        <v>560</v>
      </c>
      <c r="F7533" t="s">
        <v>1068</v>
      </c>
      <c r="G7533" t="s">
        <v>1071</v>
      </c>
      <c r="H7533" s="170">
        <v>-5.9967276127532996E-10</v>
      </c>
      <c r="I7533" t="s">
        <v>1072</v>
      </c>
      <c r="J7533">
        <v>7.7</v>
      </c>
    </row>
    <row r="7534" spans="1:13" hidden="1">
      <c r="A7534" t="s">
        <v>4947</v>
      </c>
      <c r="B7534" t="s">
        <v>4948</v>
      </c>
      <c r="C7534" t="s">
        <v>244</v>
      </c>
      <c r="D7534" t="s">
        <v>3374</v>
      </c>
      <c r="E7534" t="s">
        <v>560</v>
      </c>
      <c r="F7534" t="s">
        <v>1068</v>
      </c>
      <c r="G7534" t="s">
        <v>1073</v>
      </c>
      <c r="H7534" s="170">
        <v>-1.06781942923248E-7</v>
      </c>
      <c r="I7534" t="s">
        <v>1074</v>
      </c>
      <c r="J7534">
        <v>7.7</v>
      </c>
    </row>
    <row r="7535" spans="1:13" hidden="1">
      <c r="A7535" t="s">
        <v>4947</v>
      </c>
      <c r="B7535" t="s">
        <v>4948</v>
      </c>
      <c r="C7535" t="s">
        <v>244</v>
      </c>
      <c r="D7535" t="s">
        <v>3374</v>
      </c>
      <c r="E7535" t="s">
        <v>560</v>
      </c>
      <c r="F7535" t="s">
        <v>1068</v>
      </c>
      <c r="G7535" t="s">
        <v>1075</v>
      </c>
      <c r="H7535">
        <v>-1.0536875545707799E-2</v>
      </c>
      <c r="I7535" t="s">
        <v>1077</v>
      </c>
      <c r="J7535">
        <v>7.7</v>
      </c>
    </row>
    <row r="7536" spans="1:13">
      <c r="A7536" t="s">
        <v>4947</v>
      </c>
      <c r="B7536" t="s">
        <v>4948</v>
      </c>
      <c r="C7536" t="s">
        <v>244</v>
      </c>
      <c r="D7536" t="s">
        <v>3374</v>
      </c>
      <c r="E7536" t="s">
        <v>560</v>
      </c>
      <c r="F7536" t="s">
        <v>1068</v>
      </c>
      <c r="G7536" t="s">
        <v>1078</v>
      </c>
      <c r="H7536">
        <v>-0.37381708373819</v>
      </c>
      <c r="I7536" t="s">
        <v>1079</v>
      </c>
      <c r="J7536">
        <v>7.7</v>
      </c>
      <c r="M7536" t="str">
        <f>_xlfn.TEXTJOIN(" - ",TRUE,A7536,G7536)</f>
        <v>Recycle - Mixed_Glass - Spain - Global warming</v>
      </c>
    </row>
    <row r="7537" spans="1:13" hidden="1">
      <c r="A7537" t="s">
        <v>4947</v>
      </c>
      <c r="B7537" t="s">
        <v>4948</v>
      </c>
      <c r="C7537" t="s">
        <v>244</v>
      </c>
      <c r="D7537" t="s">
        <v>3374</v>
      </c>
      <c r="E7537" t="s">
        <v>560</v>
      </c>
      <c r="F7537" t="s">
        <v>1068</v>
      </c>
      <c r="G7537" t="s">
        <v>1080</v>
      </c>
      <c r="H7537" s="170">
        <v>-9.8752294590760791E-10</v>
      </c>
      <c r="I7537" t="s">
        <v>1082</v>
      </c>
      <c r="J7537">
        <v>7.7</v>
      </c>
    </row>
    <row r="7538" spans="1:13" hidden="1">
      <c r="A7538" t="s">
        <v>4947</v>
      </c>
      <c r="B7538" t="s">
        <v>4948</v>
      </c>
      <c r="C7538" t="s">
        <v>244</v>
      </c>
      <c r="D7538" t="s">
        <v>3374</v>
      </c>
      <c r="E7538" t="s">
        <v>560</v>
      </c>
      <c r="F7538" t="s">
        <v>1068</v>
      </c>
      <c r="G7538" t="s">
        <v>1083</v>
      </c>
      <c r="H7538" s="170">
        <v>-1.6586047110486898E-5</v>
      </c>
      <c r="I7538" t="s">
        <v>1084</v>
      </c>
      <c r="J7538">
        <v>7.7</v>
      </c>
    </row>
    <row r="7539" spans="1:13" hidden="1">
      <c r="A7539" t="s">
        <v>4947</v>
      </c>
      <c r="B7539" t="s">
        <v>4948</v>
      </c>
      <c r="C7539" t="s">
        <v>244</v>
      </c>
      <c r="D7539" t="s">
        <v>3374</v>
      </c>
      <c r="E7539" t="s">
        <v>560</v>
      </c>
      <c r="F7539" t="s">
        <v>1068</v>
      </c>
      <c r="G7539" t="s">
        <v>1085</v>
      </c>
      <c r="H7539">
        <v>-3.2502140959864102E-4</v>
      </c>
      <c r="I7539" t="s">
        <v>1086</v>
      </c>
      <c r="J7539">
        <v>7.7</v>
      </c>
    </row>
    <row r="7540" spans="1:13" hidden="1">
      <c r="A7540" t="s">
        <v>4947</v>
      </c>
      <c r="B7540" t="s">
        <v>4948</v>
      </c>
      <c r="C7540" t="s">
        <v>244</v>
      </c>
      <c r="D7540" t="s">
        <v>3374</v>
      </c>
      <c r="E7540" t="s">
        <v>560</v>
      </c>
      <c r="F7540" t="s">
        <v>1068</v>
      </c>
      <c r="G7540" t="s">
        <v>1087</v>
      </c>
      <c r="H7540" s="170">
        <v>-6.33829531345804E-8</v>
      </c>
      <c r="I7540" t="s">
        <v>1088</v>
      </c>
      <c r="J7540">
        <v>7.7</v>
      </c>
    </row>
    <row r="7541" spans="1:13" hidden="1">
      <c r="A7541" t="s">
        <v>4947</v>
      </c>
      <c r="B7541" t="s">
        <v>4948</v>
      </c>
      <c r="C7541" t="s">
        <v>244</v>
      </c>
      <c r="D7541" t="s">
        <v>3374</v>
      </c>
      <c r="E7541" t="s">
        <v>560</v>
      </c>
      <c r="F7541" t="s">
        <v>1068</v>
      </c>
      <c r="G7541" t="s">
        <v>1089</v>
      </c>
      <c r="H7541" s="170">
        <v>-9.9613382801950101E-5</v>
      </c>
      <c r="I7541" t="s">
        <v>1090</v>
      </c>
      <c r="J7541">
        <v>7.7</v>
      </c>
    </row>
    <row r="7542" spans="1:13" hidden="1">
      <c r="A7542" t="s">
        <v>4949</v>
      </c>
      <c r="B7542" t="s">
        <v>4950</v>
      </c>
      <c r="C7542" t="s">
        <v>244</v>
      </c>
      <c r="D7542" t="s">
        <v>3374</v>
      </c>
      <c r="E7542" t="s">
        <v>554</v>
      </c>
      <c r="F7542" t="s">
        <v>1068</v>
      </c>
      <c r="G7542" t="s">
        <v>1069</v>
      </c>
      <c r="H7542">
        <v>-0.270320490890749</v>
      </c>
      <c r="I7542" t="s">
        <v>1070</v>
      </c>
      <c r="J7542">
        <v>7.52</v>
      </c>
    </row>
    <row r="7543" spans="1:13" hidden="1">
      <c r="A7543" t="s">
        <v>4949</v>
      </c>
      <c r="B7543" t="s">
        <v>4950</v>
      </c>
      <c r="C7543" t="s">
        <v>244</v>
      </c>
      <c r="D7543" t="s">
        <v>3374</v>
      </c>
      <c r="E7543" t="s">
        <v>554</v>
      </c>
      <c r="F7543" t="s">
        <v>1068</v>
      </c>
      <c r="G7543" t="s">
        <v>1071</v>
      </c>
      <c r="H7543" s="170">
        <v>-5.9634954914588398E-10</v>
      </c>
      <c r="I7543" t="s">
        <v>1072</v>
      </c>
      <c r="J7543">
        <v>7.52</v>
      </c>
    </row>
    <row r="7544" spans="1:13" hidden="1">
      <c r="A7544" t="s">
        <v>4949</v>
      </c>
      <c r="B7544" t="s">
        <v>4950</v>
      </c>
      <c r="C7544" t="s">
        <v>244</v>
      </c>
      <c r="D7544" t="s">
        <v>3374</v>
      </c>
      <c r="E7544" t="s">
        <v>554</v>
      </c>
      <c r="F7544" t="s">
        <v>1068</v>
      </c>
      <c r="G7544" t="s">
        <v>1073</v>
      </c>
      <c r="H7544" s="170">
        <v>-1.0595706096721999E-7</v>
      </c>
      <c r="I7544" t="s">
        <v>1074</v>
      </c>
      <c r="J7544">
        <v>7.52</v>
      </c>
    </row>
    <row r="7545" spans="1:13" hidden="1">
      <c r="A7545" t="s">
        <v>4949</v>
      </c>
      <c r="B7545" t="s">
        <v>4950</v>
      </c>
      <c r="C7545" t="s">
        <v>244</v>
      </c>
      <c r="D7545" t="s">
        <v>3374</v>
      </c>
      <c r="E7545" t="s">
        <v>554</v>
      </c>
      <c r="F7545" t="s">
        <v>1068</v>
      </c>
      <c r="G7545" t="s">
        <v>1075</v>
      </c>
      <c r="H7545">
        <v>-1.0463465727173301E-2</v>
      </c>
      <c r="I7545" t="s">
        <v>1077</v>
      </c>
      <c r="J7545">
        <v>7.52</v>
      </c>
    </row>
    <row r="7546" spans="1:13">
      <c r="A7546" t="s">
        <v>4949</v>
      </c>
      <c r="B7546" t="s">
        <v>4950</v>
      </c>
      <c r="C7546" t="s">
        <v>244</v>
      </c>
      <c r="D7546" t="s">
        <v>3374</v>
      </c>
      <c r="E7546" t="s">
        <v>554</v>
      </c>
      <c r="F7546" t="s">
        <v>1068</v>
      </c>
      <c r="G7546" t="s">
        <v>1078</v>
      </c>
      <c r="H7546">
        <v>-0.37064256001416102</v>
      </c>
      <c r="I7546" t="s">
        <v>1079</v>
      </c>
      <c r="J7546">
        <v>7.52</v>
      </c>
      <c r="M7546" t="str">
        <f>_xlfn.TEXTJOIN(" - ",TRUE,A7546,G7546)</f>
        <v>Recycle - Mixed_Glass - United States - Global warming</v>
      </c>
    </row>
    <row r="7547" spans="1:13" hidden="1">
      <c r="A7547" t="s">
        <v>4949</v>
      </c>
      <c r="B7547" t="s">
        <v>4950</v>
      </c>
      <c r="C7547" t="s">
        <v>244</v>
      </c>
      <c r="D7547" t="s">
        <v>3374</v>
      </c>
      <c r="E7547" t="s">
        <v>554</v>
      </c>
      <c r="F7547" t="s">
        <v>1068</v>
      </c>
      <c r="G7547" t="s">
        <v>1080</v>
      </c>
      <c r="H7547" s="170">
        <v>-9.7461421316595102E-10</v>
      </c>
      <c r="I7547" t="s">
        <v>1082</v>
      </c>
      <c r="J7547">
        <v>7.52</v>
      </c>
    </row>
    <row r="7548" spans="1:13" hidden="1">
      <c r="A7548" t="s">
        <v>4949</v>
      </c>
      <c r="B7548" t="s">
        <v>4950</v>
      </c>
      <c r="C7548" t="s">
        <v>244</v>
      </c>
      <c r="D7548" t="s">
        <v>3374</v>
      </c>
      <c r="E7548" t="s">
        <v>554</v>
      </c>
      <c r="F7548" t="s">
        <v>1068</v>
      </c>
      <c r="G7548" t="s">
        <v>1083</v>
      </c>
      <c r="H7548" s="170">
        <v>-1.6233058725152899E-5</v>
      </c>
      <c r="I7548" t="s">
        <v>1084</v>
      </c>
      <c r="J7548">
        <v>7.52</v>
      </c>
    </row>
    <row r="7549" spans="1:13" hidden="1">
      <c r="A7549" t="s">
        <v>4949</v>
      </c>
      <c r="B7549" t="s">
        <v>4950</v>
      </c>
      <c r="C7549" t="s">
        <v>244</v>
      </c>
      <c r="D7549" t="s">
        <v>3374</v>
      </c>
      <c r="E7549" t="s">
        <v>554</v>
      </c>
      <c r="F7549" t="s">
        <v>1068</v>
      </c>
      <c r="G7549" t="s">
        <v>1085</v>
      </c>
      <c r="H7549">
        <v>-3.2103192442861698E-4</v>
      </c>
      <c r="I7549" t="s">
        <v>1086</v>
      </c>
      <c r="J7549">
        <v>7.52</v>
      </c>
    </row>
    <row r="7550" spans="1:13" hidden="1">
      <c r="A7550" t="s">
        <v>4949</v>
      </c>
      <c r="B7550" t="s">
        <v>4950</v>
      </c>
      <c r="C7550" t="s">
        <v>244</v>
      </c>
      <c r="D7550" t="s">
        <v>3374</v>
      </c>
      <c r="E7550" t="s">
        <v>554</v>
      </c>
      <c r="F7550" t="s">
        <v>1068</v>
      </c>
      <c r="G7550" t="s">
        <v>1087</v>
      </c>
      <c r="H7550" s="170">
        <v>-6.1457609375478103E-8</v>
      </c>
      <c r="I7550" t="s">
        <v>1088</v>
      </c>
      <c r="J7550">
        <v>7.52</v>
      </c>
    </row>
    <row r="7551" spans="1:13" hidden="1">
      <c r="A7551" t="s">
        <v>4949</v>
      </c>
      <c r="B7551" t="s">
        <v>4950</v>
      </c>
      <c r="C7551" t="s">
        <v>244</v>
      </c>
      <c r="D7551" t="s">
        <v>3374</v>
      </c>
      <c r="E7551" t="s">
        <v>554</v>
      </c>
      <c r="F7551" t="s">
        <v>1068</v>
      </c>
      <c r="G7551" t="s">
        <v>1089</v>
      </c>
      <c r="H7551" s="170">
        <v>-9.8790359889554296E-5</v>
      </c>
      <c r="I7551" t="s">
        <v>1090</v>
      </c>
      <c r="J7551">
        <v>7.52</v>
      </c>
    </row>
    <row r="7552" spans="1:13" hidden="1">
      <c r="A7552" t="s">
        <v>4951</v>
      </c>
      <c r="B7552" t="s">
        <v>4952</v>
      </c>
      <c r="C7552" t="s">
        <v>244</v>
      </c>
      <c r="D7552" t="s">
        <v>1307</v>
      </c>
      <c r="E7552" t="s">
        <v>561</v>
      </c>
      <c r="F7552" t="s">
        <v>1068</v>
      </c>
      <c r="G7552" t="s">
        <v>1069</v>
      </c>
      <c r="H7552">
        <v>-3.2960587390796601</v>
      </c>
      <c r="I7552" t="s">
        <v>1070</v>
      </c>
      <c r="J7552">
        <v>8.5500000000000007</v>
      </c>
    </row>
    <row r="7553" spans="1:13" hidden="1">
      <c r="A7553" t="s">
        <v>4951</v>
      </c>
      <c r="B7553" t="s">
        <v>4952</v>
      </c>
      <c r="C7553" t="s">
        <v>244</v>
      </c>
      <c r="D7553" t="s">
        <v>1307</v>
      </c>
      <c r="E7553" t="s">
        <v>561</v>
      </c>
      <c r="F7553" t="s">
        <v>1068</v>
      </c>
      <c r="G7553" t="s">
        <v>1071</v>
      </c>
      <c r="H7553" s="170">
        <v>-1.9258298985720301E-8</v>
      </c>
      <c r="I7553" t="s">
        <v>1072</v>
      </c>
      <c r="J7553">
        <v>8.5500000000000007</v>
      </c>
    </row>
    <row r="7554" spans="1:13" hidden="1">
      <c r="A7554" t="s">
        <v>4951</v>
      </c>
      <c r="B7554" t="s">
        <v>4952</v>
      </c>
      <c r="C7554" t="s">
        <v>244</v>
      </c>
      <c r="D7554" t="s">
        <v>1307</v>
      </c>
      <c r="E7554" t="s">
        <v>561</v>
      </c>
      <c r="F7554" t="s">
        <v>1068</v>
      </c>
      <c r="G7554" t="s">
        <v>1073</v>
      </c>
      <c r="H7554" s="170">
        <v>-5.1555615602891503E-7</v>
      </c>
      <c r="I7554" t="s">
        <v>1074</v>
      </c>
      <c r="J7554">
        <v>8.5500000000000007</v>
      </c>
    </row>
    <row r="7555" spans="1:13" hidden="1">
      <c r="A7555" t="s">
        <v>4951</v>
      </c>
      <c r="B7555" t="s">
        <v>4952</v>
      </c>
      <c r="C7555" t="s">
        <v>244</v>
      </c>
      <c r="D7555" t="s">
        <v>1307</v>
      </c>
      <c r="E7555" t="s">
        <v>561</v>
      </c>
      <c r="F7555" t="s">
        <v>1068</v>
      </c>
      <c r="G7555" t="s">
        <v>1075</v>
      </c>
      <c r="H7555">
        <v>-4.8679301966724001E-2</v>
      </c>
      <c r="I7555" t="s">
        <v>1077</v>
      </c>
      <c r="J7555">
        <v>8.5500000000000007</v>
      </c>
    </row>
    <row r="7556" spans="1:13">
      <c r="A7556" t="s">
        <v>4951</v>
      </c>
      <c r="B7556" t="s">
        <v>4952</v>
      </c>
      <c r="C7556" t="s">
        <v>244</v>
      </c>
      <c r="D7556" t="s">
        <v>1307</v>
      </c>
      <c r="E7556" t="s">
        <v>561</v>
      </c>
      <c r="F7556" t="s">
        <v>1068</v>
      </c>
      <c r="G7556" t="s">
        <v>1078</v>
      </c>
      <c r="H7556">
        <v>-1.0327761315619499</v>
      </c>
      <c r="I7556" t="s">
        <v>1079</v>
      </c>
      <c r="J7556">
        <v>8.5500000000000007</v>
      </c>
      <c r="M7556" t="str">
        <f>_xlfn.TEXTJOIN(" - ",TRUE,A7556,G7556)</f>
        <v>Recycle - Mixed_Paper - Australia - Global warming</v>
      </c>
    </row>
    <row r="7557" spans="1:13" hidden="1">
      <c r="A7557" t="s">
        <v>4951</v>
      </c>
      <c r="B7557" t="s">
        <v>4952</v>
      </c>
      <c r="C7557" t="s">
        <v>244</v>
      </c>
      <c r="D7557" t="s">
        <v>1307</v>
      </c>
      <c r="E7557" t="s">
        <v>561</v>
      </c>
      <c r="F7557" t="s">
        <v>1068</v>
      </c>
      <c r="G7557" t="s">
        <v>1080</v>
      </c>
      <c r="H7557" s="170">
        <v>-5.9712787271118302E-9</v>
      </c>
      <c r="I7557" t="s">
        <v>1082</v>
      </c>
      <c r="J7557">
        <v>8.5500000000000007</v>
      </c>
    </row>
    <row r="7558" spans="1:13" hidden="1">
      <c r="A7558" t="s">
        <v>4951</v>
      </c>
      <c r="B7558" t="s">
        <v>4952</v>
      </c>
      <c r="C7558" t="s">
        <v>244</v>
      </c>
      <c r="D7558" t="s">
        <v>1307</v>
      </c>
      <c r="E7558" t="s">
        <v>561</v>
      </c>
      <c r="F7558" t="s">
        <v>1068</v>
      </c>
      <c r="G7558" t="s">
        <v>1083</v>
      </c>
      <c r="H7558">
        <v>-1.3406227915058999E-4</v>
      </c>
      <c r="I7558" t="s">
        <v>1084</v>
      </c>
      <c r="J7558">
        <v>8.5500000000000007</v>
      </c>
    </row>
    <row r="7559" spans="1:13" hidden="1">
      <c r="A7559" t="s">
        <v>4951</v>
      </c>
      <c r="B7559" t="s">
        <v>4952</v>
      </c>
      <c r="C7559" t="s">
        <v>244</v>
      </c>
      <c r="D7559" t="s">
        <v>1307</v>
      </c>
      <c r="E7559" t="s">
        <v>561</v>
      </c>
      <c r="F7559" t="s">
        <v>1068</v>
      </c>
      <c r="G7559" t="s">
        <v>1085</v>
      </c>
      <c r="H7559">
        <v>-1.9249219984071701E-3</v>
      </c>
      <c r="I7559" t="s">
        <v>1086</v>
      </c>
      <c r="J7559">
        <v>8.5500000000000007</v>
      </c>
    </row>
    <row r="7560" spans="1:13" hidden="1">
      <c r="A7560" t="s">
        <v>4951</v>
      </c>
      <c r="B7560" t="s">
        <v>4952</v>
      </c>
      <c r="C7560" t="s">
        <v>244</v>
      </c>
      <c r="D7560" t="s">
        <v>1307</v>
      </c>
      <c r="E7560" t="s">
        <v>561</v>
      </c>
      <c r="F7560" t="s">
        <v>1068</v>
      </c>
      <c r="G7560" t="s">
        <v>1087</v>
      </c>
      <c r="H7560" s="170">
        <v>-6.5091967269327496E-7</v>
      </c>
      <c r="I7560" t="s">
        <v>1088</v>
      </c>
      <c r="J7560">
        <v>8.5500000000000007</v>
      </c>
    </row>
    <row r="7561" spans="1:13" hidden="1">
      <c r="A7561" t="s">
        <v>4951</v>
      </c>
      <c r="B7561" t="s">
        <v>4952</v>
      </c>
      <c r="C7561" t="s">
        <v>244</v>
      </c>
      <c r="D7561" t="s">
        <v>1307</v>
      </c>
      <c r="E7561" t="s">
        <v>561</v>
      </c>
      <c r="F7561" t="s">
        <v>1068</v>
      </c>
      <c r="G7561" t="s">
        <v>1089</v>
      </c>
      <c r="H7561">
        <v>-4.9245496714070999E-4</v>
      </c>
      <c r="I7561" t="s">
        <v>1090</v>
      </c>
      <c r="J7561">
        <v>8.5500000000000007</v>
      </c>
    </row>
    <row r="7562" spans="1:13" hidden="1">
      <c r="A7562" t="s">
        <v>4953</v>
      </c>
      <c r="B7562" t="s">
        <v>4954</v>
      </c>
      <c r="C7562" t="s">
        <v>244</v>
      </c>
      <c r="D7562" t="s">
        <v>1307</v>
      </c>
      <c r="E7562" t="s">
        <v>555</v>
      </c>
      <c r="F7562" t="s">
        <v>1068</v>
      </c>
      <c r="G7562" t="s">
        <v>1069</v>
      </c>
      <c r="H7562">
        <v>-3.3744186023252798</v>
      </c>
      <c r="I7562" t="s">
        <v>1070</v>
      </c>
      <c r="J7562">
        <v>7.22</v>
      </c>
    </row>
    <row r="7563" spans="1:13" hidden="1">
      <c r="A7563" t="s">
        <v>4953</v>
      </c>
      <c r="B7563" t="s">
        <v>4954</v>
      </c>
      <c r="C7563" t="s">
        <v>244</v>
      </c>
      <c r="D7563" t="s">
        <v>1307</v>
      </c>
      <c r="E7563" t="s">
        <v>555</v>
      </c>
      <c r="F7563" t="s">
        <v>1068</v>
      </c>
      <c r="G7563" t="s">
        <v>1071</v>
      </c>
      <c r="H7563" s="170">
        <v>-1.93704328415159E-8</v>
      </c>
      <c r="I7563" t="s">
        <v>1072</v>
      </c>
      <c r="J7563">
        <v>7.22</v>
      </c>
    </row>
    <row r="7564" spans="1:13" hidden="1">
      <c r="A7564" t="s">
        <v>4953</v>
      </c>
      <c r="B7564" t="s">
        <v>4954</v>
      </c>
      <c r="C7564" t="s">
        <v>244</v>
      </c>
      <c r="D7564" t="s">
        <v>1307</v>
      </c>
      <c r="E7564" t="s">
        <v>555</v>
      </c>
      <c r="F7564" t="s">
        <v>1068</v>
      </c>
      <c r="G7564" t="s">
        <v>1073</v>
      </c>
      <c r="H7564" s="170">
        <v>-5.4338982739946403E-7</v>
      </c>
      <c r="I7564" t="s">
        <v>1074</v>
      </c>
      <c r="J7564">
        <v>7.22</v>
      </c>
    </row>
    <row r="7565" spans="1:13" hidden="1">
      <c r="A7565" t="s">
        <v>4953</v>
      </c>
      <c r="B7565" t="s">
        <v>4954</v>
      </c>
      <c r="C7565" t="s">
        <v>244</v>
      </c>
      <c r="D7565" t="s">
        <v>1307</v>
      </c>
      <c r="E7565" t="s">
        <v>555</v>
      </c>
      <c r="F7565" t="s">
        <v>1068</v>
      </c>
      <c r="G7565" t="s">
        <v>1075</v>
      </c>
      <c r="H7565">
        <v>-5.1156340953367997E-2</v>
      </c>
      <c r="I7565" t="s">
        <v>1077</v>
      </c>
      <c r="J7565">
        <v>7.22</v>
      </c>
    </row>
    <row r="7566" spans="1:13">
      <c r="A7566" t="s">
        <v>4953</v>
      </c>
      <c r="B7566" t="s">
        <v>4954</v>
      </c>
      <c r="C7566" t="s">
        <v>244</v>
      </c>
      <c r="D7566" t="s">
        <v>1307</v>
      </c>
      <c r="E7566" t="s">
        <v>555</v>
      </c>
      <c r="F7566" t="s">
        <v>1068</v>
      </c>
      <c r="G7566" t="s">
        <v>1078</v>
      </c>
      <c r="H7566">
        <v>-1.1398928522599101</v>
      </c>
      <c r="I7566" t="s">
        <v>1079</v>
      </c>
      <c r="J7566">
        <v>7.22</v>
      </c>
      <c r="M7566" t="str">
        <f>_xlfn.TEXTJOIN(" - ",TRUE,A7566,G7566)</f>
        <v>Recycle - Mixed_Paper - Brazil - Global warming</v>
      </c>
    </row>
    <row r="7567" spans="1:13" hidden="1">
      <c r="A7567" t="s">
        <v>4953</v>
      </c>
      <c r="B7567" t="s">
        <v>4954</v>
      </c>
      <c r="C7567" t="s">
        <v>244</v>
      </c>
      <c r="D7567" t="s">
        <v>1307</v>
      </c>
      <c r="E7567" t="s">
        <v>555</v>
      </c>
      <c r="F7567" t="s">
        <v>1068</v>
      </c>
      <c r="G7567" t="s">
        <v>1080</v>
      </c>
      <c r="H7567" s="170">
        <v>-6.40685308089175E-9</v>
      </c>
      <c r="I7567" t="s">
        <v>1082</v>
      </c>
      <c r="J7567">
        <v>7.22</v>
      </c>
    </row>
    <row r="7568" spans="1:13" hidden="1">
      <c r="A7568" t="s">
        <v>4953</v>
      </c>
      <c r="B7568" t="s">
        <v>4954</v>
      </c>
      <c r="C7568" t="s">
        <v>244</v>
      </c>
      <c r="D7568" t="s">
        <v>1307</v>
      </c>
      <c r="E7568" t="s">
        <v>555</v>
      </c>
      <c r="F7568" t="s">
        <v>1068</v>
      </c>
      <c r="G7568" t="s">
        <v>1083</v>
      </c>
      <c r="H7568">
        <v>-1.4597302909876101E-4</v>
      </c>
      <c r="I7568" t="s">
        <v>1084</v>
      </c>
      <c r="J7568">
        <v>7.22</v>
      </c>
    </row>
    <row r="7569" spans="1:13" hidden="1">
      <c r="A7569" t="s">
        <v>4953</v>
      </c>
      <c r="B7569" t="s">
        <v>4954</v>
      </c>
      <c r="C7569" t="s">
        <v>244</v>
      </c>
      <c r="D7569" t="s">
        <v>1307</v>
      </c>
      <c r="E7569" t="s">
        <v>555</v>
      </c>
      <c r="F7569" t="s">
        <v>1068</v>
      </c>
      <c r="G7569" t="s">
        <v>1085</v>
      </c>
      <c r="H7569">
        <v>-2.0595376465598601E-3</v>
      </c>
      <c r="I7569" t="s">
        <v>1086</v>
      </c>
      <c r="J7569">
        <v>7.22</v>
      </c>
    </row>
    <row r="7570" spans="1:13" hidden="1">
      <c r="A7570" t="s">
        <v>4953</v>
      </c>
      <c r="B7570" t="s">
        <v>4954</v>
      </c>
      <c r="C7570" t="s">
        <v>244</v>
      </c>
      <c r="D7570" t="s">
        <v>1307</v>
      </c>
      <c r="E7570" t="s">
        <v>555</v>
      </c>
      <c r="F7570" t="s">
        <v>1068</v>
      </c>
      <c r="G7570" t="s">
        <v>1087</v>
      </c>
      <c r="H7570" s="170">
        <v>-7.1588579914881601E-7</v>
      </c>
      <c r="I7570" t="s">
        <v>1088</v>
      </c>
      <c r="J7570">
        <v>7.22</v>
      </c>
    </row>
    <row r="7571" spans="1:13" hidden="1">
      <c r="A7571" t="s">
        <v>4953</v>
      </c>
      <c r="B7571" t="s">
        <v>4954</v>
      </c>
      <c r="C7571" t="s">
        <v>244</v>
      </c>
      <c r="D7571" t="s">
        <v>1307</v>
      </c>
      <c r="E7571" t="s">
        <v>555</v>
      </c>
      <c r="F7571" t="s">
        <v>1068</v>
      </c>
      <c r="G7571" t="s">
        <v>1089</v>
      </c>
      <c r="H7571">
        <v>-5.2022590952423395E-4</v>
      </c>
      <c r="I7571" t="s">
        <v>1090</v>
      </c>
      <c r="J7571">
        <v>7.22</v>
      </c>
    </row>
    <row r="7572" spans="1:13" hidden="1">
      <c r="A7572" t="s">
        <v>4955</v>
      </c>
      <c r="B7572" t="s">
        <v>4956</v>
      </c>
      <c r="C7572" t="s">
        <v>244</v>
      </c>
      <c r="D7572" t="s">
        <v>1307</v>
      </c>
      <c r="E7572" t="s">
        <v>558</v>
      </c>
      <c r="F7572" t="s">
        <v>1068</v>
      </c>
      <c r="G7572" t="s">
        <v>1069</v>
      </c>
      <c r="H7572">
        <v>-3.2891206261881201</v>
      </c>
      <c r="I7572" t="s">
        <v>1070</v>
      </c>
      <c r="J7572">
        <v>7.96</v>
      </c>
    </row>
    <row r="7573" spans="1:13" hidden="1">
      <c r="A7573" t="s">
        <v>4955</v>
      </c>
      <c r="B7573" t="s">
        <v>4956</v>
      </c>
      <c r="C7573" t="s">
        <v>244</v>
      </c>
      <c r="D7573" t="s">
        <v>1307</v>
      </c>
      <c r="E7573" t="s">
        <v>558</v>
      </c>
      <c r="F7573" t="s">
        <v>1068</v>
      </c>
      <c r="G7573" t="s">
        <v>1071</v>
      </c>
      <c r="H7573" s="170">
        <v>-1.9248370467238399E-8</v>
      </c>
      <c r="I7573" t="s">
        <v>1072</v>
      </c>
      <c r="J7573">
        <v>7.96</v>
      </c>
    </row>
    <row r="7574" spans="1:13" hidden="1">
      <c r="A7574" t="s">
        <v>4955</v>
      </c>
      <c r="B7574" t="s">
        <v>4956</v>
      </c>
      <c r="C7574" t="s">
        <v>244</v>
      </c>
      <c r="D7574" t="s">
        <v>1307</v>
      </c>
      <c r="E7574" t="s">
        <v>558</v>
      </c>
      <c r="F7574" t="s">
        <v>1068</v>
      </c>
      <c r="G7574" t="s">
        <v>1073</v>
      </c>
      <c r="H7574" s="170">
        <v>-5.1309171637631305E-7</v>
      </c>
      <c r="I7574" t="s">
        <v>1074</v>
      </c>
      <c r="J7574">
        <v>7.96</v>
      </c>
    </row>
    <row r="7575" spans="1:13" hidden="1">
      <c r="A7575" t="s">
        <v>4955</v>
      </c>
      <c r="B7575" t="s">
        <v>4956</v>
      </c>
      <c r="C7575" t="s">
        <v>244</v>
      </c>
      <c r="D7575" t="s">
        <v>1307</v>
      </c>
      <c r="E7575" t="s">
        <v>558</v>
      </c>
      <c r="F7575" t="s">
        <v>1068</v>
      </c>
      <c r="G7575" t="s">
        <v>1075</v>
      </c>
      <c r="H7575">
        <v>-4.84599808064482E-2</v>
      </c>
      <c r="I7575" t="s">
        <v>1077</v>
      </c>
      <c r="J7575">
        <v>7.96</v>
      </c>
    </row>
    <row r="7576" spans="1:13">
      <c r="A7576" t="s">
        <v>4955</v>
      </c>
      <c r="B7576" t="s">
        <v>4956</v>
      </c>
      <c r="C7576" t="s">
        <v>244</v>
      </c>
      <c r="D7576" t="s">
        <v>1307</v>
      </c>
      <c r="E7576" t="s">
        <v>558</v>
      </c>
      <c r="F7576" t="s">
        <v>1068</v>
      </c>
      <c r="G7576" t="s">
        <v>1078</v>
      </c>
      <c r="H7576">
        <v>-1.0232918385834799</v>
      </c>
      <c r="I7576" t="s">
        <v>1079</v>
      </c>
      <c r="J7576">
        <v>7.96</v>
      </c>
      <c r="M7576" t="str">
        <f>_xlfn.TEXTJOIN(" - ",TRUE,A7576,G7576)</f>
        <v>Recycle - Mixed_Paper - Canada - Global warming</v>
      </c>
    </row>
    <row r="7577" spans="1:13" hidden="1">
      <c r="A7577" t="s">
        <v>4955</v>
      </c>
      <c r="B7577" t="s">
        <v>4956</v>
      </c>
      <c r="C7577" t="s">
        <v>244</v>
      </c>
      <c r="D7577" t="s">
        <v>1307</v>
      </c>
      <c r="E7577" t="s">
        <v>558</v>
      </c>
      <c r="F7577" t="s">
        <v>1068</v>
      </c>
      <c r="G7577" t="s">
        <v>1080</v>
      </c>
      <c r="H7577" s="170">
        <v>-5.9327122478709001E-9</v>
      </c>
      <c r="I7577" t="s">
        <v>1082</v>
      </c>
      <c r="J7577">
        <v>7.96</v>
      </c>
    </row>
    <row r="7578" spans="1:13" hidden="1">
      <c r="A7578" t="s">
        <v>4955</v>
      </c>
      <c r="B7578" t="s">
        <v>4956</v>
      </c>
      <c r="C7578" t="s">
        <v>244</v>
      </c>
      <c r="D7578" t="s">
        <v>1307</v>
      </c>
      <c r="E7578" t="s">
        <v>558</v>
      </c>
      <c r="F7578" t="s">
        <v>1068</v>
      </c>
      <c r="G7578" t="s">
        <v>1083</v>
      </c>
      <c r="H7578">
        <v>-1.3300768149892899E-4</v>
      </c>
      <c r="I7578" t="s">
        <v>1084</v>
      </c>
      <c r="J7578">
        <v>7.96</v>
      </c>
    </row>
    <row r="7579" spans="1:13" hidden="1">
      <c r="A7579" t="s">
        <v>4955</v>
      </c>
      <c r="B7579" t="s">
        <v>4956</v>
      </c>
      <c r="C7579" t="s">
        <v>244</v>
      </c>
      <c r="D7579" t="s">
        <v>1307</v>
      </c>
      <c r="E7579" t="s">
        <v>558</v>
      </c>
      <c r="F7579" t="s">
        <v>1068</v>
      </c>
      <c r="G7579" t="s">
        <v>1085</v>
      </c>
      <c r="H7579">
        <v>-1.9130029045603199E-3</v>
      </c>
      <c r="I7579" t="s">
        <v>1086</v>
      </c>
      <c r="J7579">
        <v>7.96</v>
      </c>
    </row>
    <row r="7580" spans="1:13" hidden="1">
      <c r="A7580" t="s">
        <v>4955</v>
      </c>
      <c r="B7580" t="s">
        <v>4956</v>
      </c>
      <c r="C7580" t="s">
        <v>244</v>
      </c>
      <c r="D7580" t="s">
        <v>1307</v>
      </c>
      <c r="E7580" t="s">
        <v>558</v>
      </c>
      <c r="F7580" t="s">
        <v>1068</v>
      </c>
      <c r="G7580" t="s">
        <v>1087</v>
      </c>
      <c r="H7580" s="170">
        <v>-6.4516746358002498E-7</v>
      </c>
      <c r="I7580" t="s">
        <v>1088</v>
      </c>
      <c r="J7580">
        <v>7.96</v>
      </c>
    </row>
    <row r="7581" spans="1:13" hidden="1">
      <c r="A7581" t="s">
        <v>4955</v>
      </c>
      <c r="B7581" t="s">
        <v>4956</v>
      </c>
      <c r="C7581" t="s">
        <v>244</v>
      </c>
      <c r="D7581" t="s">
        <v>1307</v>
      </c>
      <c r="E7581" t="s">
        <v>558</v>
      </c>
      <c r="F7581" t="s">
        <v>1068</v>
      </c>
      <c r="G7581" t="s">
        <v>1089</v>
      </c>
      <c r="H7581">
        <v>-4.89996081617169E-4</v>
      </c>
      <c r="I7581" t="s">
        <v>1090</v>
      </c>
      <c r="J7581">
        <v>7.96</v>
      </c>
    </row>
    <row r="7582" spans="1:13" hidden="1">
      <c r="A7582" t="s">
        <v>4957</v>
      </c>
      <c r="B7582" t="s">
        <v>4958</v>
      </c>
      <c r="C7582" t="s">
        <v>244</v>
      </c>
      <c r="D7582" t="s">
        <v>1307</v>
      </c>
      <c r="E7582" t="s">
        <v>553</v>
      </c>
      <c r="F7582" t="s">
        <v>1068</v>
      </c>
      <c r="G7582" t="s">
        <v>1069</v>
      </c>
      <c r="H7582">
        <v>-3.2823255671709801</v>
      </c>
      <c r="I7582" t="s">
        <v>1070</v>
      </c>
      <c r="J7582">
        <v>7.46</v>
      </c>
    </row>
    <row r="7583" spans="1:13" hidden="1">
      <c r="A7583" t="s">
        <v>4957</v>
      </c>
      <c r="B7583" t="s">
        <v>4958</v>
      </c>
      <c r="C7583" t="s">
        <v>244</v>
      </c>
      <c r="D7583" t="s">
        <v>1307</v>
      </c>
      <c r="E7583" t="s">
        <v>553</v>
      </c>
      <c r="F7583" t="s">
        <v>1068</v>
      </c>
      <c r="G7583" t="s">
        <v>1071</v>
      </c>
      <c r="H7583" s="170">
        <v>-1.92386466604786E-8</v>
      </c>
      <c r="I7583" t="s">
        <v>1072</v>
      </c>
      <c r="J7583">
        <v>7.46</v>
      </c>
    </row>
    <row r="7584" spans="1:13" hidden="1">
      <c r="A7584" t="s">
        <v>4957</v>
      </c>
      <c r="B7584" t="s">
        <v>4958</v>
      </c>
      <c r="C7584" t="s">
        <v>244</v>
      </c>
      <c r="D7584" t="s">
        <v>1307</v>
      </c>
      <c r="E7584" t="s">
        <v>553</v>
      </c>
      <c r="F7584" t="s">
        <v>1068</v>
      </c>
      <c r="G7584" t="s">
        <v>1073</v>
      </c>
      <c r="H7584" s="170">
        <v>-5.10678089912565E-7</v>
      </c>
      <c r="I7584" t="s">
        <v>1074</v>
      </c>
      <c r="J7584">
        <v>7.46</v>
      </c>
    </row>
    <row r="7585" spans="1:13" hidden="1">
      <c r="A7585" t="s">
        <v>4957</v>
      </c>
      <c r="B7585" t="s">
        <v>4958</v>
      </c>
      <c r="C7585" t="s">
        <v>244</v>
      </c>
      <c r="D7585" t="s">
        <v>1307</v>
      </c>
      <c r="E7585" t="s">
        <v>553</v>
      </c>
      <c r="F7585" t="s">
        <v>1068</v>
      </c>
      <c r="G7585" t="s">
        <v>1075</v>
      </c>
      <c r="H7585">
        <v>-4.8245181731967998E-2</v>
      </c>
      <c r="I7585" t="s">
        <v>1077</v>
      </c>
      <c r="J7585">
        <v>7.46</v>
      </c>
    </row>
    <row r="7586" spans="1:13">
      <c r="A7586" t="s">
        <v>4957</v>
      </c>
      <c r="B7586" t="s">
        <v>4958</v>
      </c>
      <c r="C7586" t="s">
        <v>244</v>
      </c>
      <c r="D7586" t="s">
        <v>1307</v>
      </c>
      <c r="E7586" t="s">
        <v>553</v>
      </c>
      <c r="F7586" t="s">
        <v>1068</v>
      </c>
      <c r="G7586" t="s">
        <v>1078</v>
      </c>
      <c r="H7586">
        <v>-1.0140030980376999</v>
      </c>
      <c r="I7586" t="s">
        <v>1079</v>
      </c>
      <c r="J7586">
        <v>7.46</v>
      </c>
      <c r="M7586" t="str">
        <f>_xlfn.TEXTJOIN(" - ",TRUE,A7586,G7586)</f>
        <v>Recycle - Mixed_Paper - China - Global warming</v>
      </c>
    </row>
    <row r="7587" spans="1:13" hidden="1">
      <c r="A7587" t="s">
        <v>4957</v>
      </c>
      <c r="B7587" t="s">
        <v>4958</v>
      </c>
      <c r="C7587" t="s">
        <v>244</v>
      </c>
      <c r="D7587" t="s">
        <v>1307</v>
      </c>
      <c r="E7587" t="s">
        <v>553</v>
      </c>
      <c r="F7587" t="s">
        <v>1068</v>
      </c>
      <c r="G7587" t="s">
        <v>1080</v>
      </c>
      <c r="H7587" s="170">
        <v>-5.8949409537702696E-9</v>
      </c>
      <c r="I7587" t="s">
        <v>1082</v>
      </c>
      <c r="J7587">
        <v>7.46</v>
      </c>
    </row>
    <row r="7588" spans="1:13" hidden="1">
      <c r="A7588" t="s">
        <v>4957</v>
      </c>
      <c r="B7588" t="s">
        <v>4958</v>
      </c>
      <c r="C7588" t="s">
        <v>244</v>
      </c>
      <c r="D7588" t="s">
        <v>1307</v>
      </c>
      <c r="E7588" t="s">
        <v>553</v>
      </c>
      <c r="F7588" t="s">
        <v>1068</v>
      </c>
      <c r="G7588" t="s">
        <v>1083</v>
      </c>
      <c r="H7588">
        <v>-1.3197482812875999E-4</v>
      </c>
      <c r="I7588" t="s">
        <v>1084</v>
      </c>
      <c r="J7588">
        <v>7.46</v>
      </c>
    </row>
    <row r="7589" spans="1:13" hidden="1">
      <c r="A7589" t="s">
        <v>4957</v>
      </c>
      <c r="B7589" t="s">
        <v>4958</v>
      </c>
      <c r="C7589" t="s">
        <v>244</v>
      </c>
      <c r="D7589" t="s">
        <v>1307</v>
      </c>
      <c r="E7589" t="s">
        <v>553</v>
      </c>
      <c r="F7589" t="s">
        <v>1068</v>
      </c>
      <c r="G7589" t="s">
        <v>1085</v>
      </c>
      <c r="H7589">
        <v>-1.90132956522623E-3</v>
      </c>
      <c r="I7589" t="s">
        <v>1086</v>
      </c>
      <c r="J7589">
        <v>7.46</v>
      </c>
    </row>
    <row r="7590" spans="1:13" hidden="1">
      <c r="A7590" t="s">
        <v>4957</v>
      </c>
      <c r="B7590" t="s">
        <v>4958</v>
      </c>
      <c r="C7590" t="s">
        <v>244</v>
      </c>
      <c r="D7590" t="s">
        <v>1307</v>
      </c>
      <c r="E7590" t="s">
        <v>553</v>
      </c>
      <c r="F7590" t="s">
        <v>1068</v>
      </c>
      <c r="G7590" t="s">
        <v>1087</v>
      </c>
      <c r="H7590" s="170">
        <v>-6.3953385671658402E-7</v>
      </c>
      <c r="I7590" t="s">
        <v>1088</v>
      </c>
      <c r="J7590">
        <v>7.46</v>
      </c>
    </row>
    <row r="7591" spans="1:13" hidden="1">
      <c r="A7591" t="s">
        <v>4957</v>
      </c>
      <c r="B7591" t="s">
        <v>4958</v>
      </c>
      <c r="C7591" t="s">
        <v>244</v>
      </c>
      <c r="D7591" t="s">
        <v>1307</v>
      </c>
      <c r="E7591" t="s">
        <v>553</v>
      </c>
      <c r="F7591" t="s">
        <v>1068</v>
      </c>
      <c r="G7591" t="s">
        <v>1089</v>
      </c>
      <c r="H7591">
        <v>-4.8758789476437299E-4</v>
      </c>
      <c r="I7591" t="s">
        <v>1090</v>
      </c>
      <c r="J7591">
        <v>7.46</v>
      </c>
    </row>
    <row r="7592" spans="1:13" hidden="1">
      <c r="A7592" t="s">
        <v>4959</v>
      </c>
      <c r="B7592" t="s">
        <v>4960</v>
      </c>
      <c r="C7592" t="s">
        <v>244</v>
      </c>
      <c r="D7592" t="s">
        <v>1307</v>
      </c>
      <c r="E7592" t="s">
        <v>556</v>
      </c>
      <c r="F7592" t="s">
        <v>1068</v>
      </c>
      <c r="G7592" t="s">
        <v>1069</v>
      </c>
      <c r="H7592">
        <v>-3.3657625709202401</v>
      </c>
      <c r="I7592" t="s">
        <v>1070</v>
      </c>
      <c r="J7592">
        <v>8.2799999999999994</v>
      </c>
    </row>
    <row r="7593" spans="1:13" hidden="1">
      <c r="A7593" t="s">
        <v>4959</v>
      </c>
      <c r="B7593" t="s">
        <v>4960</v>
      </c>
      <c r="C7593" t="s">
        <v>244</v>
      </c>
      <c r="D7593" t="s">
        <v>1307</v>
      </c>
      <c r="E7593" t="s">
        <v>556</v>
      </c>
      <c r="F7593" t="s">
        <v>1068</v>
      </c>
      <c r="G7593" t="s">
        <v>1071</v>
      </c>
      <c r="H7593" s="170">
        <v>-1.9358045962096601E-8</v>
      </c>
      <c r="I7593" t="s">
        <v>1072</v>
      </c>
      <c r="J7593">
        <v>8.2799999999999994</v>
      </c>
    </row>
    <row r="7594" spans="1:13" hidden="1">
      <c r="A7594" t="s">
        <v>4959</v>
      </c>
      <c r="B7594" t="s">
        <v>4960</v>
      </c>
      <c r="C7594" t="s">
        <v>244</v>
      </c>
      <c r="D7594" t="s">
        <v>1307</v>
      </c>
      <c r="E7594" t="s">
        <v>556</v>
      </c>
      <c r="F7594" t="s">
        <v>1068</v>
      </c>
      <c r="G7594" t="s">
        <v>1073</v>
      </c>
      <c r="H7594" s="170">
        <v>-5.4031517765504301E-7</v>
      </c>
      <c r="I7594" t="s">
        <v>1074</v>
      </c>
      <c r="J7594">
        <v>8.2799999999999994</v>
      </c>
    </row>
    <row r="7595" spans="1:13" hidden="1">
      <c r="A7595" t="s">
        <v>4959</v>
      </c>
      <c r="B7595" t="s">
        <v>4960</v>
      </c>
      <c r="C7595" t="s">
        <v>244</v>
      </c>
      <c r="D7595" t="s">
        <v>1307</v>
      </c>
      <c r="E7595" t="s">
        <v>556</v>
      </c>
      <c r="F7595" t="s">
        <v>1068</v>
      </c>
      <c r="G7595" t="s">
        <v>1075</v>
      </c>
      <c r="H7595">
        <v>-5.08827145536805E-2</v>
      </c>
      <c r="I7595" t="s">
        <v>1077</v>
      </c>
      <c r="J7595">
        <v>8.2799999999999994</v>
      </c>
    </row>
    <row r="7596" spans="1:13">
      <c r="A7596" t="s">
        <v>4959</v>
      </c>
      <c r="B7596" t="s">
        <v>4960</v>
      </c>
      <c r="C7596" t="s">
        <v>244</v>
      </c>
      <c r="D7596" t="s">
        <v>1307</v>
      </c>
      <c r="E7596" t="s">
        <v>556</v>
      </c>
      <c r="F7596" t="s">
        <v>1068</v>
      </c>
      <c r="G7596" t="s">
        <v>1078</v>
      </c>
      <c r="H7596">
        <v>-1.1280601912525801</v>
      </c>
      <c r="I7596" t="s">
        <v>1079</v>
      </c>
      <c r="J7596">
        <v>8.2799999999999994</v>
      </c>
      <c r="M7596" t="str">
        <f>_xlfn.TEXTJOIN(" - ",TRUE,A7596,G7596)</f>
        <v>Recycle - Mixed_Paper - India - Global warming</v>
      </c>
    </row>
    <row r="7597" spans="1:13" hidden="1">
      <c r="A7597" t="s">
        <v>4959</v>
      </c>
      <c r="B7597" t="s">
        <v>4960</v>
      </c>
      <c r="C7597" t="s">
        <v>244</v>
      </c>
      <c r="D7597" t="s">
        <v>1307</v>
      </c>
      <c r="E7597" t="s">
        <v>556</v>
      </c>
      <c r="F7597" t="s">
        <v>1068</v>
      </c>
      <c r="G7597" t="s">
        <v>1080</v>
      </c>
      <c r="H7597" s="170">
        <v>-6.3587373092532798E-9</v>
      </c>
      <c r="I7597" t="s">
        <v>1082</v>
      </c>
      <c r="J7597">
        <v>8.2799999999999994</v>
      </c>
    </row>
    <row r="7598" spans="1:13" hidden="1">
      <c r="A7598" t="s">
        <v>4959</v>
      </c>
      <c r="B7598" t="s">
        <v>4960</v>
      </c>
      <c r="C7598" t="s">
        <v>244</v>
      </c>
      <c r="D7598" t="s">
        <v>1307</v>
      </c>
      <c r="E7598" t="s">
        <v>556</v>
      </c>
      <c r="F7598" t="s">
        <v>1068</v>
      </c>
      <c r="G7598" t="s">
        <v>1083</v>
      </c>
      <c r="H7598">
        <v>-1.4465730672076499E-4</v>
      </c>
      <c r="I7598" t="s">
        <v>1084</v>
      </c>
      <c r="J7598">
        <v>8.2799999999999994</v>
      </c>
    </row>
    <row r="7599" spans="1:13" hidden="1">
      <c r="A7599" t="s">
        <v>4959</v>
      </c>
      <c r="B7599" t="s">
        <v>4960</v>
      </c>
      <c r="C7599" t="s">
        <v>244</v>
      </c>
      <c r="D7599" t="s">
        <v>1307</v>
      </c>
      <c r="E7599" t="s">
        <v>556</v>
      </c>
      <c r="F7599" t="s">
        <v>1068</v>
      </c>
      <c r="G7599" t="s">
        <v>1085</v>
      </c>
      <c r="H7599">
        <v>-2.0446673133336902E-3</v>
      </c>
      <c r="I7599" t="s">
        <v>1086</v>
      </c>
      <c r="J7599">
        <v>8.2799999999999994</v>
      </c>
    </row>
    <row r="7600" spans="1:13" hidden="1">
      <c r="A7600" t="s">
        <v>4959</v>
      </c>
      <c r="B7600" t="s">
        <v>4960</v>
      </c>
      <c r="C7600" t="s">
        <v>244</v>
      </c>
      <c r="D7600" t="s">
        <v>1307</v>
      </c>
      <c r="E7600" t="s">
        <v>556</v>
      </c>
      <c r="F7600" t="s">
        <v>1068</v>
      </c>
      <c r="G7600" t="s">
        <v>1087</v>
      </c>
      <c r="H7600" s="170">
        <v>-7.0870930843570398E-7</v>
      </c>
      <c r="I7600" t="s">
        <v>1088</v>
      </c>
      <c r="J7600">
        <v>8.2799999999999994</v>
      </c>
    </row>
    <row r="7601" spans="1:13" hidden="1">
      <c r="A7601" t="s">
        <v>4959</v>
      </c>
      <c r="B7601" t="s">
        <v>4960</v>
      </c>
      <c r="C7601" t="s">
        <v>244</v>
      </c>
      <c r="D7601" t="s">
        <v>1307</v>
      </c>
      <c r="E7601" t="s">
        <v>556</v>
      </c>
      <c r="F7601" t="s">
        <v>1068</v>
      </c>
      <c r="G7601" t="s">
        <v>1089</v>
      </c>
      <c r="H7601">
        <v>-5.1715818914465901E-4</v>
      </c>
      <c r="I7601" t="s">
        <v>1090</v>
      </c>
      <c r="J7601">
        <v>8.2799999999999994</v>
      </c>
    </row>
    <row r="7602" spans="1:13" hidden="1">
      <c r="A7602" t="s">
        <v>4961</v>
      </c>
      <c r="B7602" t="s">
        <v>4962</v>
      </c>
      <c r="C7602" t="s">
        <v>244</v>
      </c>
      <c r="D7602" t="s">
        <v>1307</v>
      </c>
      <c r="E7602" t="s">
        <v>557</v>
      </c>
      <c r="F7602" t="s">
        <v>1068</v>
      </c>
      <c r="G7602" t="s">
        <v>1069</v>
      </c>
      <c r="H7602">
        <v>-3.3177780490009998</v>
      </c>
      <c r="I7602" t="s">
        <v>1070</v>
      </c>
      <c r="J7602">
        <v>7.38</v>
      </c>
    </row>
    <row r="7603" spans="1:13" hidden="1">
      <c r="A7603" t="s">
        <v>4961</v>
      </c>
      <c r="B7603" t="s">
        <v>4962</v>
      </c>
      <c r="C7603" t="s">
        <v>244</v>
      </c>
      <c r="D7603" t="s">
        <v>1307</v>
      </c>
      <c r="E7603" t="s">
        <v>557</v>
      </c>
      <c r="F7603" t="s">
        <v>1068</v>
      </c>
      <c r="G7603" t="s">
        <v>1071</v>
      </c>
      <c r="H7603" s="170">
        <v>-1.9289379565315801E-8</v>
      </c>
      <c r="I7603" t="s">
        <v>1072</v>
      </c>
      <c r="J7603">
        <v>7.38</v>
      </c>
    </row>
    <row r="7604" spans="1:13" hidden="1">
      <c r="A7604" t="s">
        <v>4961</v>
      </c>
      <c r="B7604" t="s">
        <v>4962</v>
      </c>
      <c r="C7604" t="s">
        <v>244</v>
      </c>
      <c r="D7604" t="s">
        <v>1307</v>
      </c>
      <c r="E7604" t="s">
        <v>557</v>
      </c>
      <c r="F7604" t="s">
        <v>1068</v>
      </c>
      <c r="G7604" t="s">
        <v>1073</v>
      </c>
      <c r="H7604" s="170">
        <v>-5.2327092363705603E-7</v>
      </c>
      <c r="I7604" t="s">
        <v>1074</v>
      </c>
      <c r="J7604">
        <v>7.38</v>
      </c>
    </row>
    <row r="7605" spans="1:13" hidden="1">
      <c r="A7605" t="s">
        <v>4961</v>
      </c>
      <c r="B7605" t="s">
        <v>4962</v>
      </c>
      <c r="C7605" t="s">
        <v>244</v>
      </c>
      <c r="D7605" t="s">
        <v>1307</v>
      </c>
      <c r="E7605" t="s">
        <v>557</v>
      </c>
      <c r="F7605" t="s">
        <v>1068</v>
      </c>
      <c r="G7605" t="s">
        <v>1075</v>
      </c>
      <c r="H7605">
        <v>-4.9365872555413297E-2</v>
      </c>
      <c r="I7605" t="s">
        <v>1077</v>
      </c>
      <c r="J7605">
        <v>7.38</v>
      </c>
    </row>
    <row r="7606" spans="1:13">
      <c r="A7606" t="s">
        <v>4961</v>
      </c>
      <c r="B7606" t="s">
        <v>4962</v>
      </c>
      <c r="C7606" t="s">
        <v>244</v>
      </c>
      <c r="D7606" t="s">
        <v>1307</v>
      </c>
      <c r="E7606" t="s">
        <v>557</v>
      </c>
      <c r="F7606" t="s">
        <v>1068</v>
      </c>
      <c r="G7606" t="s">
        <v>1078</v>
      </c>
      <c r="H7606">
        <v>-1.0624660921901901</v>
      </c>
      <c r="I7606" t="s">
        <v>1079</v>
      </c>
      <c r="J7606">
        <v>7.38</v>
      </c>
      <c r="M7606" t="str">
        <f>_xlfn.TEXTJOIN(" - ",TRUE,A7606,G7606)</f>
        <v>Recycle - Mixed_Paper - Ireland - Global warming</v>
      </c>
    </row>
    <row r="7607" spans="1:13" hidden="1">
      <c r="A7607" t="s">
        <v>4961</v>
      </c>
      <c r="B7607" t="s">
        <v>4962</v>
      </c>
      <c r="C7607" t="s">
        <v>244</v>
      </c>
      <c r="D7607" t="s">
        <v>1307</v>
      </c>
      <c r="E7607" t="s">
        <v>557</v>
      </c>
      <c r="F7607" t="s">
        <v>1068</v>
      </c>
      <c r="G7607" t="s">
        <v>1080</v>
      </c>
      <c r="H7607" s="170">
        <v>-6.0920085751703999E-9</v>
      </c>
      <c r="I7607" t="s">
        <v>1082</v>
      </c>
      <c r="J7607">
        <v>7.38</v>
      </c>
    </row>
    <row r="7608" spans="1:13" hidden="1">
      <c r="A7608" t="s">
        <v>4961</v>
      </c>
      <c r="B7608" t="s">
        <v>4962</v>
      </c>
      <c r="C7608" t="s">
        <v>244</v>
      </c>
      <c r="D7608" t="s">
        <v>1307</v>
      </c>
      <c r="E7608" t="s">
        <v>557</v>
      </c>
      <c r="F7608" t="s">
        <v>1068</v>
      </c>
      <c r="G7608" t="s">
        <v>1083</v>
      </c>
      <c r="H7608">
        <v>-1.3736362832100701E-4</v>
      </c>
      <c r="I7608" t="s">
        <v>1084</v>
      </c>
      <c r="J7608">
        <v>7.38</v>
      </c>
    </row>
    <row r="7609" spans="1:13" hidden="1">
      <c r="A7609" t="s">
        <v>4961</v>
      </c>
      <c r="B7609" t="s">
        <v>4962</v>
      </c>
      <c r="C7609" t="s">
        <v>244</v>
      </c>
      <c r="D7609" t="s">
        <v>1307</v>
      </c>
      <c r="E7609" t="s">
        <v>557</v>
      </c>
      <c r="F7609" t="s">
        <v>1068</v>
      </c>
      <c r="G7609" t="s">
        <v>1085</v>
      </c>
      <c r="H7609">
        <v>-1.9622339443625398E-3</v>
      </c>
      <c r="I7609" t="s">
        <v>1086</v>
      </c>
      <c r="J7609">
        <v>7.38</v>
      </c>
    </row>
    <row r="7610" spans="1:13" hidden="1">
      <c r="A7610" t="s">
        <v>4961</v>
      </c>
      <c r="B7610" t="s">
        <v>4962</v>
      </c>
      <c r="C7610" t="s">
        <v>244</v>
      </c>
      <c r="D7610" t="s">
        <v>1307</v>
      </c>
      <c r="E7610" t="s">
        <v>557</v>
      </c>
      <c r="F7610" t="s">
        <v>1068</v>
      </c>
      <c r="G7610" t="s">
        <v>1087</v>
      </c>
      <c r="H7610" s="170">
        <v>-6.6892658817823496E-7</v>
      </c>
      <c r="I7610" t="s">
        <v>1088</v>
      </c>
      <c r="J7610">
        <v>7.38</v>
      </c>
    </row>
    <row r="7611" spans="1:13" hidden="1">
      <c r="A7611" t="s">
        <v>4961</v>
      </c>
      <c r="B7611" t="s">
        <v>4962</v>
      </c>
      <c r="C7611" t="s">
        <v>244</v>
      </c>
      <c r="D7611" t="s">
        <v>1307</v>
      </c>
      <c r="E7611" t="s">
        <v>557</v>
      </c>
      <c r="F7611" t="s">
        <v>1068</v>
      </c>
      <c r="G7611" t="s">
        <v>1089</v>
      </c>
      <c r="H7611">
        <v>-5.0015234791005701E-4</v>
      </c>
      <c r="I7611" t="s">
        <v>1090</v>
      </c>
      <c r="J7611">
        <v>7.38</v>
      </c>
    </row>
    <row r="7612" spans="1:13" hidden="1">
      <c r="A7612" t="s">
        <v>4963</v>
      </c>
      <c r="B7612" t="s">
        <v>4964</v>
      </c>
      <c r="C7612" t="s">
        <v>244</v>
      </c>
      <c r="D7612" t="s">
        <v>1307</v>
      </c>
      <c r="E7612" t="s">
        <v>559</v>
      </c>
      <c r="F7612" t="s">
        <v>1068</v>
      </c>
      <c r="G7612" t="s">
        <v>1069</v>
      </c>
      <c r="H7612">
        <v>-3.3409615820631</v>
      </c>
      <c r="I7612" t="s">
        <v>1070</v>
      </c>
      <c r="J7612">
        <v>7.78</v>
      </c>
    </row>
    <row r="7613" spans="1:13" hidden="1">
      <c r="A7613" t="s">
        <v>4963</v>
      </c>
      <c r="B7613" t="s">
        <v>4964</v>
      </c>
      <c r="C7613" t="s">
        <v>244</v>
      </c>
      <c r="D7613" t="s">
        <v>1307</v>
      </c>
      <c r="E7613" t="s">
        <v>559</v>
      </c>
      <c r="F7613" t="s">
        <v>1068</v>
      </c>
      <c r="G7613" t="s">
        <v>1071</v>
      </c>
      <c r="H7613" s="170">
        <v>-1.9322555464884101E-8</v>
      </c>
      <c r="I7613" t="s">
        <v>1072</v>
      </c>
      <c r="J7613">
        <v>7.78</v>
      </c>
    </row>
    <row r="7614" spans="1:13" hidden="1">
      <c r="A7614" t="s">
        <v>4963</v>
      </c>
      <c r="B7614" t="s">
        <v>4964</v>
      </c>
      <c r="C7614" t="s">
        <v>244</v>
      </c>
      <c r="D7614" t="s">
        <v>1307</v>
      </c>
      <c r="E7614" t="s">
        <v>559</v>
      </c>
      <c r="F7614" t="s">
        <v>1068</v>
      </c>
      <c r="G7614" t="s">
        <v>1073</v>
      </c>
      <c r="H7614" s="170">
        <v>-5.3150578793788003E-7</v>
      </c>
      <c r="I7614" t="s">
        <v>1074</v>
      </c>
      <c r="J7614">
        <v>7.78</v>
      </c>
    </row>
    <row r="7615" spans="1:13" hidden="1">
      <c r="A7615" t="s">
        <v>4963</v>
      </c>
      <c r="B7615" t="s">
        <v>4964</v>
      </c>
      <c r="C7615" t="s">
        <v>244</v>
      </c>
      <c r="D7615" t="s">
        <v>1307</v>
      </c>
      <c r="E7615" t="s">
        <v>559</v>
      </c>
      <c r="F7615" t="s">
        <v>1068</v>
      </c>
      <c r="G7615" t="s">
        <v>1075</v>
      </c>
      <c r="H7615">
        <v>-5.00987288017666E-2</v>
      </c>
      <c r="I7615" t="s">
        <v>1077</v>
      </c>
      <c r="J7615">
        <v>7.78</v>
      </c>
    </row>
    <row r="7616" spans="1:13">
      <c r="A7616" t="s">
        <v>4963</v>
      </c>
      <c r="B7616" t="s">
        <v>4964</v>
      </c>
      <c r="C7616" t="s">
        <v>244</v>
      </c>
      <c r="D7616" t="s">
        <v>1307</v>
      </c>
      <c r="E7616" t="s">
        <v>559</v>
      </c>
      <c r="F7616" t="s">
        <v>1068</v>
      </c>
      <c r="G7616" t="s">
        <v>1078</v>
      </c>
      <c r="H7616">
        <v>-1.09415762319786</v>
      </c>
      <c r="I7616" t="s">
        <v>1079</v>
      </c>
      <c r="J7616">
        <v>7.78</v>
      </c>
      <c r="M7616" t="str">
        <f>_xlfn.TEXTJOIN(" - ",TRUE,A7616,G7616)</f>
        <v>Recycle - Mixed_Paper - Mexico - Global warming</v>
      </c>
    </row>
    <row r="7617" spans="1:13" hidden="1">
      <c r="A7617" t="s">
        <v>4963</v>
      </c>
      <c r="B7617" t="s">
        <v>4964</v>
      </c>
      <c r="C7617" t="s">
        <v>244</v>
      </c>
      <c r="D7617" t="s">
        <v>1307</v>
      </c>
      <c r="E7617" t="s">
        <v>559</v>
      </c>
      <c r="F7617" t="s">
        <v>1068</v>
      </c>
      <c r="G7617" t="s">
        <v>1080</v>
      </c>
      <c r="H7617" s="170">
        <v>-6.2208775141093096E-9</v>
      </c>
      <c r="I7617" t="s">
        <v>1082</v>
      </c>
      <c r="J7617">
        <v>7.78</v>
      </c>
    </row>
    <row r="7618" spans="1:13" hidden="1">
      <c r="A7618" t="s">
        <v>4963</v>
      </c>
      <c r="B7618" t="s">
        <v>4964</v>
      </c>
      <c r="C7618" t="s">
        <v>244</v>
      </c>
      <c r="D7618" t="s">
        <v>1307</v>
      </c>
      <c r="E7618" t="s">
        <v>559</v>
      </c>
      <c r="F7618" t="s">
        <v>1068</v>
      </c>
      <c r="G7618" t="s">
        <v>1083</v>
      </c>
      <c r="H7618">
        <v>-1.4088754035684501E-4</v>
      </c>
      <c r="I7618" t="s">
        <v>1084</v>
      </c>
      <c r="J7618">
        <v>7.78</v>
      </c>
    </row>
    <row r="7619" spans="1:13" hidden="1">
      <c r="A7619" t="s">
        <v>4963</v>
      </c>
      <c r="B7619" t="s">
        <v>4964</v>
      </c>
      <c r="C7619" t="s">
        <v>244</v>
      </c>
      <c r="D7619" t="s">
        <v>1307</v>
      </c>
      <c r="E7619" t="s">
        <v>559</v>
      </c>
      <c r="F7619" t="s">
        <v>1068</v>
      </c>
      <c r="G7619" t="s">
        <v>1085</v>
      </c>
      <c r="H7619">
        <v>-2.0020613024047599E-3</v>
      </c>
      <c r="I7619" t="s">
        <v>1086</v>
      </c>
      <c r="J7619">
        <v>7.78</v>
      </c>
    </row>
    <row r="7620" spans="1:13" hidden="1">
      <c r="A7620" t="s">
        <v>4963</v>
      </c>
      <c r="B7620" t="s">
        <v>4964</v>
      </c>
      <c r="C7620" t="s">
        <v>244</v>
      </c>
      <c r="D7620" t="s">
        <v>1307</v>
      </c>
      <c r="E7620" t="s">
        <v>559</v>
      </c>
      <c r="F7620" t="s">
        <v>1068</v>
      </c>
      <c r="G7620" t="s">
        <v>1087</v>
      </c>
      <c r="H7620" s="170">
        <v>-6.8814745302173095E-7</v>
      </c>
      <c r="I7620" t="s">
        <v>1088</v>
      </c>
      <c r="J7620">
        <v>7.78</v>
      </c>
    </row>
    <row r="7621" spans="1:13" hidden="1">
      <c r="A7621" t="s">
        <v>4963</v>
      </c>
      <c r="B7621" t="s">
        <v>4964</v>
      </c>
      <c r="C7621" t="s">
        <v>244</v>
      </c>
      <c r="D7621" t="s">
        <v>1307</v>
      </c>
      <c r="E7621" t="s">
        <v>559</v>
      </c>
      <c r="F7621" t="s">
        <v>1068</v>
      </c>
      <c r="G7621" t="s">
        <v>1089</v>
      </c>
      <c r="H7621">
        <v>-5.0836865322564505E-4</v>
      </c>
      <c r="I7621" t="s">
        <v>1090</v>
      </c>
      <c r="J7621">
        <v>7.78</v>
      </c>
    </row>
    <row r="7622" spans="1:13" hidden="1">
      <c r="A7622" t="s">
        <v>4965</v>
      </c>
      <c r="B7622" t="s">
        <v>4966</v>
      </c>
      <c r="C7622" t="s">
        <v>244</v>
      </c>
      <c r="D7622" t="s">
        <v>1307</v>
      </c>
      <c r="E7622" t="s">
        <v>560</v>
      </c>
      <c r="F7622" t="s">
        <v>1068</v>
      </c>
      <c r="G7622" t="s">
        <v>1069</v>
      </c>
      <c r="H7622">
        <v>-3.3330620078345401</v>
      </c>
      <c r="I7622" t="s">
        <v>1070</v>
      </c>
      <c r="J7622">
        <v>7.28</v>
      </c>
    </row>
    <row r="7623" spans="1:13" hidden="1">
      <c r="A7623" t="s">
        <v>4965</v>
      </c>
      <c r="B7623" t="s">
        <v>4966</v>
      </c>
      <c r="C7623" t="s">
        <v>244</v>
      </c>
      <c r="D7623" t="s">
        <v>1307</v>
      </c>
      <c r="E7623" t="s">
        <v>560</v>
      </c>
      <c r="F7623" t="s">
        <v>1068</v>
      </c>
      <c r="G7623" t="s">
        <v>1071</v>
      </c>
      <c r="H7623" s="170">
        <v>-1.9311251084290499E-8</v>
      </c>
      <c r="I7623" t="s">
        <v>1072</v>
      </c>
      <c r="J7623">
        <v>7.28</v>
      </c>
    </row>
    <row r="7624" spans="1:13" hidden="1">
      <c r="A7624" t="s">
        <v>4965</v>
      </c>
      <c r="B7624" t="s">
        <v>4966</v>
      </c>
      <c r="C7624" t="s">
        <v>244</v>
      </c>
      <c r="D7624" t="s">
        <v>1307</v>
      </c>
      <c r="E7624" t="s">
        <v>560</v>
      </c>
      <c r="F7624" t="s">
        <v>1068</v>
      </c>
      <c r="G7624" t="s">
        <v>1073</v>
      </c>
      <c r="H7624" s="170">
        <v>-5.28699834176118E-7</v>
      </c>
      <c r="I7624" t="s">
        <v>1074</v>
      </c>
      <c r="J7624">
        <v>7.28</v>
      </c>
    </row>
    <row r="7625" spans="1:13" hidden="1">
      <c r="A7625" t="s">
        <v>4965</v>
      </c>
      <c r="B7625" t="s">
        <v>4966</v>
      </c>
      <c r="C7625" t="s">
        <v>244</v>
      </c>
      <c r="D7625" t="s">
        <v>1307</v>
      </c>
      <c r="E7625" t="s">
        <v>560</v>
      </c>
      <c r="F7625" t="s">
        <v>1068</v>
      </c>
      <c r="G7625" t="s">
        <v>1075</v>
      </c>
      <c r="H7625">
        <v>-4.98490148215281E-2</v>
      </c>
      <c r="I7625" t="s">
        <v>1077</v>
      </c>
      <c r="J7625">
        <v>7.28</v>
      </c>
    </row>
    <row r="7626" spans="1:13">
      <c r="A7626" t="s">
        <v>4965</v>
      </c>
      <c r="B7626" t="s">
        <v>4966</v>
      </c>
      <c r="C7626" t="s">
        <v>244</v>
      </c>
      <c r="D7626" t="s">
        <v>1307</v>
      </c>
      <c r="E7626" t="s">
        <v>560</v>
      </c>
      <c r="F7626" t="s">
        <v>1068</v>
      </c>
      <c r="G7626" t="s">
        <v>1078</v>
      </c>
      <c r="H7626">
        <v>-1.0833590274471001</v>
      </c>
      <c r="I7626" t="s">
        <v>1079</v>
      </c>
      <c r="J7626">
        <v>7.28</v>
      </c>
      <c r="M7626" t="str">
        <f>_xlfn.TEXTJOIN(" - ",TRUE,A7626,G7626)</f>
        <v>Recycle - Mixed_Paper - Spain - Global warming</v>
      </c>
    </row>
    <row r="7627" spans="1:13" hidden="1">
      <c r="A7627" t="s">
        <v>4965</v>
      </c>
      <c r="B7627" t="s">
        <v>4966</v>
      </c>
      <c r="C7627" t="s">
        <v>244</v>
      </c>
      <c r="D7627" t="s">
        <v>1307</v>
      </c>
      <c r="E7627" t="s">
        <v>560</v>
      </c>
      <c r="F7627" t="s">
        <v>1068</v>
      </c>
      <c r="G7627" t="s">
        <v>1080</v>
      </c>
      <c r="H7627" s="170">
        <v>-6.1769666163967999E-9</v>
      </c>
      <c r="I7627" t="s">
        <v>1082</v>
      </c>
      <c r="J7627">
        <v>7.28</v>
      </c>
    </row>
    <row r="7628" spans="1:13" hidden="1">
      <c r="A7628" t="s">
        <v>4965</v>
      </c>
      <c r="B7628" t="s">
        <v>4966</v>
      </c>
      <c r="C7628" t="s">
        <v>244</v>
      </c>
      <c r="D7628" t="s">
        <v>1307</v>
      </c>
      <c r="E7628" t="s">
        <v>560</v>
      </c>
      <c r="F7628" t="s">
        <v>1068</v>
      </c>
      <c r="G7628" t="s">
        <v>1083</v>
      </c>
      <c r="H7628">
        <v>-1.39686799959448E-4</v>
      </c>
      <c r="I7628" t="s">
        <v>1084</v>
      </c>
      <c r="J7628">
        <v>7.28</v>
      </c>
    </row>
    <row r="7629" spans="1:13" hidden="1">
      <c r="A7629" t="s">
        <v>4965</v>
      </c>
      <c r="B7629" t="s">
        <v>4966</v>
      </c>
      <c r="C7629" t="s">
        <v>244</v>
      </c>
      <c r="D7629" t="s">
        <v>1307</v>
      </c>
      <c r="E7629" t="s">
        <v>560</v>
      </c>
      <c r="F7629" t="s">
        <v>1068</v>
      </c>
      <c r="G7629" t="s">
        <v>1085</v>
      </c>
      <c r="H7629">
        <v>-1.9884904989237199E-3</v>
      </c>
      <c r="I7629" t="s">
        <v>1086</v>
      </c>
      <c r="J7629">
        <v>7.28</v>
      </c>
    </row>
    <row r="7630" spans="1:13" hidden="1">
      <c r="A7630" t="s">
        <v>4965</v>
      </c>
      <c r="B7630" t="s">
        <v>4966</v>
      </c>
      <c r="C7630" t="s">
        <v>244</v>
      </c>
      <c r="D7630" t="s">
        <v>1307</v>
      </c>
      <c r="E7630" t="s">
        <v>560</v>
      </c>
      <c r="F7630" t="s">
        <v>1068</v>
      </c>
      <c r="G7630" t="s">
        <v>1087</v>
      </c>
      <c r="H7630" s="170">
        <v>-6.8159812129728096E-7</v>
      </c>
      <c r="I7630" t="s">
        <v>1088</v>
      </c>
      <c r="J7630">
        <v>7.28</v>
      </c>
    </row>
    <row r="7631" spans="1:13" hidden="1">
      <c r="A7631" t="s">
        <v>4965</v>
      </c>
      <c r="B7631" t="s">
        <v>4966</v>
      </c>
      <c r="C7631" t="s">
        <v>244</v>
      </c>
      <c r="D7631" t="s">
        <v>1307</v>
      </c>
      <c r="E7631" t="s">
        <v>560</v>
      </c>
      <c r="F7631" t="s">
        <v>1068</v>
      </c>
      <c r="G7631" t="s">
        <v>1089</v>
      </c>
      <c r="H7631">
        <v>-5.0556902326626303E-4</v>
      </c>
      <c r="I7631" t="s">
        <v>1090</v>
      </c>
      <c r="J7631">
        <v>7.28</v>
      </c>
    </row>
    <row r="7632" spans="1:13" hidden="1">
      <c r="A7632" t="s">
        <v>4967</v>
      </c>
      <c r="B7632" t="s">
        <v>4968</v>
      </c>
      <c r="C7632" t="s">
        <v>244</v>
      </c>
      <c r="D7632" t="s">
        <v>1307</v>
      </c>
      <c r="E7632" t="s">
        <v>554</v>
      </c>
      <c r="F7632" t="s">
        <v>1068</v>
      </c>
      <c r="G7632" t="s">
        <v>1069</v>
      </c>
      <c r="H7632">
        <v>-3.2866736557404401</v>
      </c>
      <c r="I7632" t="s">
        <v>1070</v>
      </c>
      <c r="J7632">
        <v>8.33</v>
      </c>
    </row>
    <row r="7633" spans="1:13" hidden="1">
      <c r="A7633" t="s">
        <v>4967</v>
      </c>
      <c r="B7633" t="s">
        <v>4968</v>
      </c>
      <c r="C7633" t="s">
        <v>244</v>
      </c>
      <c r="D7633" t="s">
        <v>1307</v>
      </c>
      <c r="E7633" t="s">
        <v>554</v>
      </c>
      <c r="F7633" t="s">
        <v>1068</v>
      </c>
      <c r="G7633" t="s">
        <v>1071</v>
      </c>
      <c r="H7633" s="170">
        <v>-1.9244868824688899E-8</v>
      </c>
      <c r="I7633" t="s">
        <v>1072</v>
      </c>
      <c r="J7633">
        <v>8.33</v>
      </c>
    </row>
    <row r="7634" spans="1:13" hidden="1">
      <c r="A7634" t="s">
        <v>4967</v>
      </c>
      <c r="B7634" t="s">
        <v>4968</v>
      </c>
      <c r="C7634" t="s">
        <v>244</v>
      </c>
      <c r="D7634" t="s">
        <v>1307</v>
      </c>
      <c r="E7634" t="s">
        <v>554</v>
      </c>
      <c r="F7634" t="s">
        <v>1068</v>
      </c>
      <c r="G7634" t="s">
        <v>1073</v>
      </c>
      <c r="H7634" s="170">
        <v>-5.1222254473061301E-7</v>
      </c>
      <c r="I7634" t="s">
        <v>1074</v>
      </c>
      <c r="J7634">
        <v>8.33</v>
      </c>
    </row>
    <row r="7635" spans="1:13" hidden="1">
      <c r="A7635" t="s">
        <v>4967</v>
      </c>
      <c r="B7635" t="s">
        <v>4968</v>
      </c>
      <c r="C7635" t="s">
        <v>244</v>
      </c>
      <c r="D7635" t="s">
        <v>1307</v>
      </c>
      <c r="E7635" t="s">
        <v>554</v>
      </c>
      <c r="F7635" t="s">
        <v>1068</v>
      </c>
      <c r="G7635" t="s">
        <v>1075</v>
      </c>
      <c r="H7635">
        <v>-4.8382629456573303E-2</v>
      </c>
      <c r="I7635" t="s">
        <v>1077</v>
      </c>
      <c r="J7635">
        <v>8.33</v>
      </c>
    </row>
    <row r="7636" spans="1:13">
      <c r="A7636" t="s">
        <v>4967</v>
      </c>
      <c r="B7636" t="s">
        <v>4968</v>
      </c>
      <c r="C7636" t="s">
        <v>244</v>
      </c>
      <c r="D7636" t="s">
        <v>1307</v>
      </c>
      <c r="E7636" t="s">
        <v>554</v>
      </c>
      <c r="F7636" t="s">
        <v>1068</v>
      </c>
      <c r="G7636" t="s">
        <v>1078</v>
      </c>
      <c r="H7636">
        <v>-1.0199468678402499</v>
      </c>
      <c r="I7636" t="s">
        <v>1079</v>
      </c>
      <c r="J7636">
        <v>8.33</v>
      </c>
      <c r="M7636" t="str">
        <f>_xlfn.TEXTJOIN(" - ",TRUE,A7636,G7636)</f>
        <v>Recycle - Mixed_Paper - United States - Global warming</v>
      </c>
    </row>
    <row r="7637" spans="1:13" hidden="1">
      <c r="A7637" t="s">
        <v>4967</v>
      </c>
      <c r="B7637" t="s">
        <v>4968</v>
      </c>
      <c r="C7637" t="s">
        <v>244</v>
      </c>
      <c r="D7637" t="s">
        <v>1307</v>
      </c>
      <c r="E7637" t="s">
        <v>554</v>
      </c>
      <c r="F7637" t="s">
        <v>1068</v>
      </c>
      <c r="G7637" t="s">
        <v>1080</v>
      </c>
      <c r="H7637" s="170">
        <v>-5.9191104174526304E-9</v>
      </c>
      <c r="I7637" t="s">
        <v>1082</v>
      </c>
      <c r="J7637">
        <v>8.33</v>
      </c>
    </row>
    <row r="7638" spans="1:13" hidden="1">
      <c r="A7638" t="s">
        <v>4967</v>
      </c>
      <c r="B7638" t="s">
        <v>4968</v>
      </c>
      <c r="C7638" t="s">
        <v>244</v>
      </c>
      <c r="D7638" t="s">
        <v>1307</v>
      </c>
      <c r="E7638" t="s">
        <v>554</v>
      </c>
      <c r="F7638" t="s">
        <v>1068</v>
      </c>
      <c r="G7638" t="s">
        <v>1083</v>
      </c>
      <c r="H7638">
        <v>-1.3263574040656801E-4</v>
      </c>
      <c r="I7638" t="s">
        <v>1084</v>
      </c>
      <c r="J7638">
        <v>8.33</v>
      </c>
    </row>
    <row r="7639" spans="1:13" hidden="1">
      <c r="A7639" t="s">
        <v>4967</v>
      </c>
      <c r="B7639" t="s">
        <v>4968</v>
      </c>
      <c r="C7639" t="s">
        <v>244</v>
      </c>
      <c r="D7639" t="s">
        <v>1307</v>
      </c>
      <c r="E7639" t="s">
        <v>554</v>
      </c>
      <c r="F7639" t="s">
        <v>1068</v>
      </c>
      <c r="G7639" t="s">
        <v>1085</v>
      </c>
      <c r="H7639">
        <v>-1.90879921533498E-3</v>
      </c>
      <c r="I7639" t="s">
        <v>1086</v>
      </c>
      <c r="J7639">
        <v>8.33</v>
      </c>
    </row>
    <row r="7640" spans="1:13" hidden="1">
      <c r="A7640" t="s">
        <v>4967</v>
      </c>
      <c r="B7640" t="s">
        <v>4968</v>
      </c>
      <c r="C7640" t="s">
        <v>244</v>
      </c>
      <c r="D7640" t="s">
        <v>1307</v>
      </c>
      <c r="E7640" t="s">
        <v>554</v>
      </c>
      <c r="F7640" t="s">
        <v>1068</v>
      </c>
      <c r="G7640" t="s">
        <v>1087</v>
      </c>
      <c r="H7640" s="170">
        <v>-6.4313874396576904E-7</v>
      </c>
      <c r="I7640" t="s">
        <v>1088</v>
      </c>
      <c r="J7640">
        <v>8.33</v>
      </c>
    </row>
    <row r="7641" spans="1:13" hidden="1">
      <c r="A7641" t="s">
        <v>4967</v>
      </c>
      <c r="B7641" t="s">
        <v>4968</v>
      </c>
      <c r="C7641" t="s">
        <v>244</v>
      </c>
      <c r="D7641" t="s">
        <v>1307</v>
      </c>
      <c r="E7641" t="s">
        <v>554</v>
      </c>
      <c r="F7641" t="s">
        <v>1068</v>
      </c>
      <c r="G7641" t="s">
        <v>1089</v>
      </c>
      <c r="H7641">
        <v>-4.8912886883115895E-4</v>
      </c>
      <c r="I7641" t="s">
        <v>1090</v>
      </c>
      <c r="J7641">
        <v>8.33</v>
      </c>
    </row>
    <row r="7642" spans="1:13" hidden="1">
      <c r="A7642" t="s">
        <v>4969</v>
      </c>
      <c r="B7642" t="s">
        <v>4970</v>
      </c>
      <c r="C7642" t="s">
        <v>244</v>
      </c>
      <c r="D7642" t="s">
        <v>4971</v>
      </c>
      <c r="E7642" t="s">
        <v>561</v>
      </c>
      <c r="F7642" t="s">
        <v>1068</v>
      </c>
      <c r="G7642" t="s">
        <v>1069</v>
      </c>
      <c r="H7642">
        <v>-40.131483913143398</v>
      </c>
      <c r="I7642" t="s">
        <v>1070</v>
      </c>
      <c r="J7642">
        <v>7.32</v>
      </c>
    </row>
    <row r="7643" spans="1:13" hidden="1">
      <c r="A7643" t="s">
        <v>4969</v>
      </c>
      <c r="B7643" t="s">
        <v>4970</v>
      </c>
      <c r="C7643" t="s">
        <v>244</v>
      </c>
      <c r="D7643" t="s">
        <v>4971</v>
      </c>
      <c r="E7643" t="s">
        <v>561</v>
      </c>
      <c r="F7643" t="s">
        <v>1068</v>
      </c>
      <c r="G7643" t="s">
        <v>1071</v>
      </c>
      <c r="H7643" s="170">
        <v>-1.8608683969323301E-9</v>
      </c>
      <c r="I7643" t="s">
        <v>1072</v>
      </c>
      <c r="J7643">
        <v>7.32</v>
      </c>
    </row>
    <row r="7644" spans="1:13" hidden="1">
      <c r="A7644" t="s">
        <v>4969</v>
      </c>
      <c r="B7644" t="s">
        <v>4970</v>
      </c>
      <c r="C7644" t="s">
        <v>244</v>
      </c>
      <c r="D7644" t="s">
        <v>4971</v>
      </c>
      <c r="E7644" t="s">
        <v>561</v>
      </c>
      <c r="F7644" t="s">
        <v>1068</v>
      </c>
      <c r="G7644" t="s">
        <v>1073</v>
      </c>
      <c r="H7644" s="170">
        <v>-1.5360785700859399E-6</v>
      </c>
      <c r="I7644" t="s">
        <v>1074</v>
      </c>
      <c r="J7644">
        <v>7.32</v>
      </c>
    </row>
    <row r="7645" spans="1:13" hidden="1">
      <c r="A7645" t="s">
        <v>4969</v>
      </c>
      <c r="B7645" t="s">
        <v>4970</v>
      </c>
      <c r="C7645" t="s">
        <v>244</v>
      </c>
      <c r="D7645" t="s">
        <v>4971</v>
      </c>
      <c r="E7645" t="s">
        <v>561</v>
      </c>
      <c r="F7645" t="s">
        <v>1068</v>
      </c>
      <c r="G7645" t="s">
        <v>1075</v>
      </c>
      <c r="H7645">
        <v>-0.119554422913111</v>
      </c>
      <c r="I7645" t="s">
        <v>1077</v>
      </c>
      <c r="J7645">
        <v>7.32</v>
      </c>
    </row>
    <row r="7646" spans="1:13">
      <c r="A7646" t="s">
        <v>4969</v>
      </c>
      <c r="B7646" t="s">
        <v>4970</v>
      </c>
      <c r="C7646" t="s">
        <v>244</v>
      </c>
      <c r="D7646" t="s">
        <v>4971</v>
      </c>
      <c r="E7646" t="s">
        <v>561</v>
      </c>
      <c r="F7646" t="s">
        <v>1068</v>
      </c>
      <c r="G7646" t="s">
        <v>1078</v>
      </c>
      <c r="H7646">
        <v>-1.03116589303119E-2</v>
      </c>
      <c r="I7646" t="s">
        <v>1079</v>
      </c>
      <c r="J7646">
        <v>7.32</v>
      </c>
      <c r="M7646" t="str">
        <f>_xlfn.TEXTJOIN(" - ",TRUE,A7646,G7646)</f>
        <v>Recycle - OCC - Australia - Global warming</v>
      </c>
    </row>
    <row r="7647" spans="1:13" hidden="1">
      <c r="A7647" t="s">
        <v>4969</v>
      </c>
      <c r="B7647" t="s">
        <v>4970</v>
      </c>
      <c r="C7647" t="s">
        <v>244</v>
      </c>
      <c r="D7647" t="s">
        <v>4971</v>
      </c>
      <c r="E7647" t="s">
        <v>561</v>
      </c>
      <c r="F7647" t="s">
        <v>1068</v>
      </c>
      <c r="G7647" t="s">
        <v>1080</v>
      </c>
      <c r="H7647" s="170">
        <v>-1.0539779199018401E-9</v>
      </c>
      <c r="I7647" t="s">
        <v>1082</v>
      </c>
      <c r="J7647">
        <v>7.32</v>
      </c>
    </row>
    <row r="7648" spans="1:13" hidden="1">
      <c r="A7648" t="s">
        <v>4969</v>
      </c>
      <c r="B7648" t="s">
        <v>4970</v>
      </c>
      <c r="C7648" t="s">
        <v>244</v>
      </c>
      <c r="D7648" t="s">
        <v>4971</v>
      </c>
      <c r="E7648" t="s">
        <v>561</v>
      </c>
      <c r="F7648" t="s">
        <v>1068</v>
      </c>
      <c r="G7648" t="s">
        <v>1083</v>
      </c>
      <c r="H7648" s="170">
        <v>-3.4491130992235599E-5</v>
      </c>
      <c r="I7648" t="s">
        <v>1084</v>
      </c>
      <c r="J7648">
        <v>7.32</v>
      </c>
    </row>
    <row r="7649" spans="1:13" hidden="1">
      <c r="A7649" t="s">
        <v>4969</v>
      </c>
      <c r="B7649" t="s">
        <v>4970</v>
      </c>
      <c r="C7649" t="s">
        <v>244</v>
      </c>
      <c r="D7649" t="s">
        <v>4971</v>
      </c>
      <c r="E7649" t="s">
        <v>561</v>
      </c>
      <c r="F7649" t="s">
        <v>1068</v>
      </c>
      <c r="G7649" t="s">
        <v>1085</v>
      </c>
      <c r="H7649">
        <v>-3.3535881767301099E-3</v>
      </c>
      <c r="I7649" t="s">
        <v>1086</v>
      </c>
      <c r="J7649">
        <v>7.32</v>
      </c>
    </row>
    <row r="7650" spans="1:13" hidden="1">
      <c r="A7650" t="s">
        <v>4969</v>
      </c>
      <c r="B7650" t="s">
        <v>4970</v>
      </c>
      <c r="C7650" t="s">
        <v>244</v>
      </c>
      <c r="D7650" t="s">
        <v>4971</v>
      </c>
      <c r="E7650" t="s">
        <v>561</v>
      </c>
      <c r="F7650" t="s">
        <v>1068</v>
      </c>
      <c r="G7650" t="s">
        <v>1087</v>
      </c>
      <c r="H7650" s="170">
        <v>-1.8437466506917399E-5</v>
      </c>
      <c r="I7650" t="s">
        <v>1088</v>
      </c>
      <c r="J7650">
        <v>7.32</v>
      </c>
    </row>
    <row r="7651" spans="1:13" hidden="1">
      <c r="A7651" t="s">
        <v>4969</v>
      </c>
      <c r="B7651" t="s">
        <v>4970</v>
      </c>
      <c r="C7651" t="s">
        <v>244</v>
      </c>
      <c r="D7651" t="s">
        <v>4971</v>
      </c>
      <c r="E7651" t="s">
        <v>561</v>
      </c>
      <c r="F7651" t="s">
        <v>1068</v>
      </c>
      <c r="G7651" t="s">
        <v>1089</v>
      </c>
      <c r="H7651">
        <v>-1.27944258689221E-3</v>
      </c>
      <c r="I7651" t="s">
        <v>1090</v>
      </c>
      <c r="J7651">
        <v>7.32</v>
      </c>
    </row>
    <row r="7652" spans="1:13" hidden="1">
      <c r="A7652" t="s">
        <v>4972</v>
      </c>
      <c r="B7652" t="s">
        <v>4973</v>
      </c>
      <c r="C7652" t="s">
        <v>244</v>
      </c>
      <c r="D7652" t="s">
        <v>4971</v>
      </c>
      <c r="E7652" t="s">
        <v>555</v>
      </c>
      <c r="F7652" t="s">
        <v>1068</v>
      </c>
      <c r="G7652" t="s">
        <v>1069</v>
      </c>
      <c r="H7652">
        <v>-40.109972097706802</v>
      </c>
      <c r="I7652" t="s">
        <v>1070</v>
      </c>
      <c r="J7652">
        <v>8.01</v>
      </c>
    </row>
    <row r="7653" spans="1:13" hidden="1">
      <c r="A7653" t="s">
        <v>4972</v>
      </c>
      <c r="B7653" t="s">
        <v>4973</v>
      </c>
      <c r="C7653" t="s">
        <v>244</v>
      </c>
      <c r="D7653" t="s">
        <v>4971</v>
      </c>
      <c r="E7653" t="s">
        <v>555</v>
      </c>
      <c r="F7653" t="s">
        <v>1068</v>
      </c>
      <c r="G7653" t="s">
        <v>1071</v>
      </c>
      <c r="H7653" s="170">
        <v>-1.8300847443050801E-9</v>
      </c>
      <c r="I7653" t="s">
        <v>1072</v>
      </c>
      <c r="J7653">
        <v>8.01</v>
      </c>
    </row>
    <row r="7654" spans="1:13" hidden="1">
      <c r="A7654" t="s">
        <v>4972</v>
      </c>
      <c r="B7654" t="s">
        <v>4973</v>
      </c>
      <c r="C7654" t="s">
        <v>244</v>
      </c>
      <c r="D7654" t="s">
        <v>4971</v>
      </c>
      <c r="E7654" t="s">
        <v>555</v>
      </c>
      <c r="F7654" t="s">
        <v>1068</v>
      </c>
      <c r="G7654" t="s">
        <v>1073</v>
      </c>
      <c r="H7654" s="170">
        <v>-1.5284375051753299E-6</v>
      </c>
      <c r="I7654" t="s">
        <v>1074</v>
      </c>
      <c r="J7654">
        <v>8.01</v>
      </c>
    </row>
    <row r="7655" spans="1:13" hidden="1">
      <c r="A7655" t="s">
        <v>4972</v>
      </c>
      <c r="B7655" t="s">
        <v>4973</v>
      </c>
      <c r="C7655" t="s">
        <v>244</v>
      </c>
      <c r="D7655" t="s">
        <v>4971</v>
      </c>
      <c r="E7655" t="s">
        <v>555</v>
      </c>
      <c r="F7655" t="s">
        <v>1068</v>
      </c>
      <c r="G7655" t="s">
        <v>1075</v>
      </c>
      <c r="H7655">
        <v>-0.118874411446743</v>
      </c>
      <c r="I7655" t="s">
        <v>1077</v>
      </c>
      <c r="J7655">
        <v>8.01</v>
      </c>
    </row>
    <row r="7656" spans="1:13">
      <c r="A7656" t="s">
        <v>4972</v>
      </c>
      <c r="B7656" t="s">
        <v>4973</v>
      </c>
      <c r="C7656" t="s">
        <v>244</v>
      </c>
      <c r="D7656" t="s">
        <v>4971</v>
      </c>
      <c r="E7656" t="s">
        <v>555</v>
      </c>
      <c r="F7656" t="s">
        <v>1068</v>
      </c>
      <c r="G7656" t="s">
        <v>1078</v>
      </c>
      <c r="H7656" s="171" t="s">
        <v>4974</v>
      </c>
      <c r="I7656" t="s">
        <v>1079</v>
      </c>
      <c r="J7656">
        <v>8.01</v>
      </c>
      <c r="M7656" t="str">
        <f>_xlfn.TEXTJOIN(" - ",TRUE,A7656,G7656)</f>
        <v>Recycle - OCC - Brazil - Global warming</v>
      </c>
    </row>
    <row r="7657" spans="1:13" hidden="1">
      <c r="A7657" t="s">
        <v>4972</v>
      </c>
      <c r="B7657" t="s">
        <v>4973</v>
      </c>
      <c r="C7657" t="s">
        <v>244</v>
      </c>
      <c r="D7657" t="s">
        <v>4971</v>
      </c>
      <c r="E7657" t="s">
        <v>555</v>
      </c>
      <c r="F7657" t="s">
        <v>1068</v>
      </c>
      <c r="G7657" t="s">
        <v>1080</v>
      </c>
      <c r="H7657" s="170">
        <v>-9.3440145920702898E-10</v>
      </c>
      <c r="I7657" t="s">
        <v>1082</v>
      </c>
      <c r="J7657">
        <v>8.01</v>
      </c>
    </row>
    <row r="7658" spans="1:13" hidden="1">
      <c r="A7658" t="s">
        <v>4972</v>
      </c>
      <c r="B7658" t="s">
        <v>4973</v>
      </c>
      <c r="C7658" t="s">
        <v>244</v>
      </c>
      <c r="D7658" t="s">
        <v>4971</v>
      </c>
      <c r="E7658" t="s">
        <v>555</v>
      </c>
      <c r="F7658" t="s">
        <v>1068</v>
      </c>
      <c r="G7658" t="s">
        <v>1083</v>
      </c>
      <c r="H7658" s="170">
        <v>-3.1221321117839599E-5</v>
      </c>
      <c r="I7658" t="s">
        <v>1084</v>
      </c>
      <c r="J7658">
        <v>8.01</v>
      </c>
    </row>
    <row r="7659" spans="1:13" hidden="1">
      <c r="A7659" t="s">
        <v>4972</v>
      </c>
      <c r="B7659" t="s">
        <v>4973</v>
      </c>
      <c r="C7659" t="s">
        <v>244</v>
      </c>
      <c r="D7659" t="s">
        <v>4971</v>
      </c>
      <c r="E7659" t="s">
        <v>555</v>
      </c>
      <c r="F7659" t="s">
        <v>1068</v>
      </c>
      <c r="G7659" t="s">
        <v>1085</v>
      </c>
      <c r="H7659">
        <v>-3.3166326888310902E-3</v>
      </c>
      <c r="I7659" t="s">
        <v>1086</v>
      </c>
      <c r="J7659">
        <v>8.01</v>
      </c>
    </row>
    <row r="7660" spans="1:13" hidden="1">
      <c r="A7660" t="s">
        <v>4972</v>
      </c>
      <c r="B7660" t="s">
        <v>4973</v>
      </c>
      <c r="C7660" t="s">
        <v>244</v>
      </c>
      <c r="D7660" t="s">
        <v>4971</v>
      </c>
      <c r="E7660" t="s">
        <v>555</v>
      </c>
      <c r="F7660" t="s">
        <v>1068</v>
      </c>
      <c r="G7660" t="s">
        <v>1087</v>
      </c>
      <c r="H7660" s="170">
        <v>-1.84196316197181E-5</v>
      </c>
      <c r="I7660" t="s">
        <v>1088</v>
      </c>
      <c r="J7660">
        <v>8.01</v>
      </c>
    </row>
    <row r="7661" spans="1:13" hidden="1">
      <c r="A7661" t="s">
        <v>4972</v>
      </c>
      <c r="B7661" t="s">
        <v>4973</v>
      </c>
      <c r="C7661" t="s">
        <v>244</v>
      </c>
      <c r="D7661" t="s">
        <v>4971</v>
      </c>
      <c r="E7661" t="s">
        <v>555</v>
      </c>
      <c r="F7661" t="s">
        <v>1068</v>
      </c>
      <c r="G7661" t="s">
        <v>1089</v>
      </c>
      <c r="H7661">
        <v>-1.2718187427159799E-3</v>
      </c>
      <c r="I7661" t="s">
        <v>1090</v>
      </c>
      <c r="J7661">
        <v>8.01</v>
      </c>
    </row>
    <row r="7662" spans="1:13" hidden="1">
      <c r="A7662" t="s">
        <v>4975</v>
      </c>
      <c r="B7662" t="s">
        <v>4976</v>
      </c>
      <c r="C7662" t="s">
        <v>244</v>
      </c>
      <c r="D7662" t="s">
        <v>4971</v>
      </c>
      <c r="E7662" t="s">
        <v>558</v>
      </c>
      <c r="F7662" t="s">
        <v>1068</v>
      </c>
      <c r="G7662" t="s">
        <v>1069</v>
      </c>
      <c r="H7662">
        <v>-40.133388605135202</v>
      </c>
      <c r="I7662" t="s">
        <v>1070</v>
      </c>
      <c r="J7662">
        <v>7.57</v>
      </c>
    </row>
    <row r="7663" spans="1:13" hidden="1">
      <c r="A7663" t="s">
        <v>4975</v>
      </c>
      <c r="B7663" t="s">
        <v>4976</v>
      </c>
      <c r="C7663" t="s">
        <v>244</v>
      </c>
      <c r="D7663" t="s">
        <v>4971</v>
      </c>
      <c r="E7663" t="s">
        <v>558</v>
      </c>
      <c r="F7663" t="s">
        <v>1068</v>
      </c>
      <c r="G7663" t="s">
        <v>1071</v>
      </c>
      <c r="H7663" s="170">
        <v>-1.8635940328420401E-9</v>
      </c>
      <c r="I7663" t="s">
        <v>1072</v>
      </c>
      <c r="J7663">
        <v>7.57</v>
      </c>
    </row>
    <row r="7664" spans="1:13" hidden="1">
      <c r="A7664" t="s">
        <v>4975</v>
      </c>
      <c r="B7664" t="s">
        <v>4976</v>
      </c>
      <c r="C7664" t="s">
        <v>244</v>
      </c>
      <c r="D7664" t="s">
        <v>4971</v>
      </c>
      <c r="E7664" t="s">
        <v>558</v>
      </c>
      <c r="F7664" t="s">
        <v>1068</v>
      </c>
      <c r="G7664" t="s">
        <v>1073</v>
      </c>
      <c r="H7664" s="170">
        <v>-1.5367551227082399E-6</v>
      </c>
      <c r="I7664" t="s">
        <v>1074</v>
      </c>
      <c r="J7664">
        <v>7.57</v>
      </c>
    </row>
    <row r="7665" spans="1:13" hidden="1">
      <c r="A7665" t="s">
        <v>4975</v>
      </c>
      <c r="B7665" t="s">
        <v>4976</v>
      </c>
      <c r="C7665" t="s">
        <v>244</v>
      </c>
      <c r="D7665" t="s">
        <v>4971</v>
      </c>
      <c r="E7665" t="s">
        <v>558</v>
      </c>
      <c r="F7665" t="s">
        <v>1068</v>
      </c>
      <c r="G7665" t="s">
        <v>1075</v>
      </c>
      <c r="H7665">
        <v>-0.119614632261695</v>
      </c>
      <c r="I7665" t="s">
        <v>1077</v>
      </c>
      <c r="J7665">
        <v>7.57</v>
      </c>
    </row>
    <row r="7666" spans="1:13">
      <c r="A7666" t="s">
        <v>4975</v>
      </c>
      <c r="B7666" t="s">
        <v>4976</v>
      </c>
      <c r="C7666" t="s">
        <v>244</v>
      </c>
      <c r="D7666" t="s">
        <v>4971</v>
      </c>
      <c r="E7666" t="s">
        <v>558</v>
      </c>
      <c r="F7666" t="s">
        <v>1068</v>
      </c>
      <c r="G7666" t="s">
        <v>1078</v>
      </c>
      <c r="H7666">
        <v>-1.2915343414295399E-2</v>
      </c>
      <c r="I7666" t="s">
        <v>1079</v>
      </c>
      <c r="J7666">
        <v>7.57</v>
      </c>
      <c r="M7666" t="str">
        <f>_xlfn.TEXTJOIN(" - ",TRUE,A7666,G7666)</f>
        <v>Recycle - OCC - Canada - Global warming</v>
      </c>
    </row>
    <row r="7667" spans="1:13" hidden="1">
      <c r="A7667" t="s">
        <v>4975</v>
      </c>
      <c r="B7667" t="s">
        <v>4976</v>
      </c>
      <c r="C7667" t="s">
        <v>244</v>
      </c>
      <c r="D7667" t="s">
        <v>4971</v>
      </c>
      <c r="E7667" t="s">
        <v>558</v>
      </c>
      <c r="F7667" t="s">
        <v>1068</v>
      </c>
      <c r="G7667" t="s">
        <v>1080</v>
      </c>
      <c r="H7667" s="170">
        <v>-1.06456541902586E-9</v>
      </c>
      <c r="I7667" t="s">
        <v>1082</v>
      </c>
      <c r="J7667">
        <v>7.57</v>
      </c>
    </row>
    <row r="7668" spans="1:13" hidden="1">
      <c r="A7668" t="s">
        <v>4975</v>
      </c>
      <c r="B7668" t="s">
        <v>4976</v>
      </c>
      <c r="C7668" t="s">
        <v>244</v>
      </c>
      <c r="D7668" t="s">
        <v>4971</v>
      </c>
      <c r="E7668" t="s">
        <v>558</v>
      </c>
      <c r="F7668" t="s">
        <v>1068</v>
      </c>
      <c r="G7668" t="s">
        <v>1083</v>
      </c>
      <c r="H7668" s="170">
        <v>-3.4780645408197903E-5</v>
      </c>
      <c r="I7668" t="s">
        <v>1084</v>
      </c>
      <c r="J7668">
        <v>7.57</v>
      </c>
    </row>
    <row r="7669" spans="1:13" hidden="1">
      <c r="A7669" t="s">
        <v>4975</v>
      </c>
      <c r="B7669" t="s">
        <v>4976</v>
      </c>
      <c r="C7669" t="s">
        <v>244</v>
      </c>
      <c r="D7669" t="s">
        <v>4971</v>
      </c>
      <c r="E7669" t="s">
        <v>558</v>
      </c>
      <c r="F7669" t="s">
        <v>1068</v>
      </c>
      <c r="G7669" t="s">
        <v>1085</v>
      </c>
      <c r="H7669">
        <v>-3.3568602772211702E-3</v>
      </c>
      <c r="I7669" t="s">
        <v>1086</v>
      </c>
      <c r="J7669">
        <v>7.57</v>
      </c>
    </row>
    <row r="7670" spans="1:13" hidden="1">
      <c r="A7670" t="s">
        <v>4975</v>
      </c>
      <c r="B7670" t="s">
        <v>4976</v>
      </c>
      <c r="C7670" t="s">
        <v>244</v>
      </c>
      <c r="D7670" t="s">
        <v>4971</v>
      </c>
      <c r="E7670" t="s">
        <v>558</v>
      </c>
      <c r="F7670" t="s">
        <v>1068</v>
      </c>
      <c r="G7670" t="s">
        <v>1087</v>
      </c>
      <c r="H7670" s="170">
        <v>-1.84390456375549E-5</v>
      </c>
      <c r="I7670" t="s">
        <v>1088</v>
      </c>
      <c r="J7670">
        <v>7.57</v>
      </c>
    </row>
    <row r="7671" spans="1:13" hidden="1">
      <c r="A7671" t="s">
        <v>4975</v>
      </c>
      <c r="B7671" t="s">
        <v>4976</v>
      </c>
      <c r="C7671" t="s">
        <v>244</v>
      </c>
      <c r="D7671" t="s">
        <v>4971</v>
      </c>
      <c r="E7671" t="s">
        <v>558</v>
      </c>
      <c r="F7671" t="s">
        <v>1068</v>
      </c>
      <c r="G7671" t="s">
        <v>1089</v>
      </c>
      <c r="H7671">
        <v>-1.2801176147619799E-3</v>
      </c>
      <c r="I7671" t="s">
        <v>1090</v>
      </c>
      <c r="J7671">
        <v>7.57</v>
      </c>
    </row>
    <row r="7672" spans="1:13" hidden="1">
      <c r="A7672" t="s">
        <v>4977</v>
      </c>
      <c r="B7672" t="s">
        <v>4978</v>
      </c>
      <c r="C7672" t="s">
        <v>244</v>
      </c>
      <c r="D7672" t="s">
        <v>4971</v>
      </c>
      <c r="E7672" t="s">
        <v>553</v>
      </c>
      <c r="F7672" t="s">
        <v>1068</v>
      </c>
      <c r="G7672" t="s">
        <v>1069</v>
      </c>
      <c r="H7672">
        <v>-40.135254025127203</v>
      </c>
      <c r="I7672" t="s">
        <v>1070</v>
      </c>
      <c r="J7672">
        <v>7.8</v>
      </c>
    </row>
    <row r="7673" spans="1:13" hidden="1">
      <c r="A7673" t="s">
        <v>4977</v>
      </c>
      <c r="B7673" t="s">
        <v>4978</v>
      </c>
      <c r="C7673" t="s">
        <v>244</v>
      </c>
      <c r="D7673" t="s">
        <v>4971</v>
      </c>
      <c r="E7673" t="s">
        <v>553</v>
      </c>
      <c r="F7673" t="s">
        <v>1068</v>
      </c>
      <c r="G7673" t="s">
        <v>1071</v>
      </c>
      <c r="H7673" s="170">
        <v>-1.8662634700731799E-9</v>
      </c>
      <c r="I7673" t="s">
        <v>1072</v>
      </c>
      <c r="J7673">
        <v>7.8</v>
      </c>
    </row>
    <row r="7674" spans="1:13" hidden="1">
      <c r="A7674" t="s">
        <v>4977</v>
      </c>
      <c r="B7674" t="s">
        <v>4978</v>
      </c>
      <c r="C7674" t="s">
        <v>244</v>
      </c>
      <c r="D7674" t="s">
        <v>4971</v>
      </c>
      <c r="E7674" t="s">
        <v>553</v>
      </c>
      <c r="F7674" t="s">
        <v>1068</v>
      </c>
      <c r="G7674" t="s">
        <v>1073</v>
      </c>
      <c r="H7674" s="170">
        <v>-1.53741772579193E-6</v>
      </c>
      <c r="I7674" t="s">
        <v>1074</v>
      </c>
      <c r="J7674">
        <v>7.8</v>
      </c>
    </row>
    <row r="7675" spans="1:13" hidden="1">
      <c r="A7675" t="s">
        <v>4977</v>
      </c>
      <c r="B7675" t="s">
        <v>4978</v>
      </c>
      <c r="C7675" t="s">
        <v>244</v>
      </c>
      <c r="D7675" t="s">
        <v>4971</v>
      </c>
      <c r="E7675" t="s">
        <v>553</v>
      </c>
      <c r="F7675" t="s">
        <v>1068</v>
      </c>
      <c r="G7675" t="s">
        <v>1075</v>
      </c>
      <c r="H7675">
        <v>-0.119673600180412</v>
      </c>
      <c r="I7675" t="s">
        <v>1077</v>
      </c>
      <c r="J7675">
        <v>7.8</v>
      </c>
    </row>
    <row r="7676" spans="1:13">
      <c r="A7676" t="s">
        <v>4977</v>
      </c>
      <c r="B7676" t="s">
        <v>4978</v>
      </c>
      <c r="C7676" t="s">
        <v>244</v>
      </c>
      <c r="D7676" t="s">
        <v>4971</v>
      </c>
      <c r="E7676" t="s">
        <v>553</v>
      </c>
      <c r="F7676" t="s">
        <v>1068</v>
      </c>
      <c r="G7676" t="s">
        <v>1078</v>
      </c>
      <c r="H7676">
        <v>-1.54653436821131E-2</v>
      </c>
      <c r="I7676" t="s">
        <v>1079</v>
      </c>
      <c r="J7676">
        <v>7.8</v>
      </c>
      <c r="M7676" t="str">
        <f>_xlfn.TEXTJOIN(" - ",TRUE,A7676,G7676)</f>
        <v>Recycle - OCC - China - Global warming</v>
      </c>
    </row>
    <row r="7677" spans="1:13" hidden="1">
      <c r="A7677" t="s">
        <v>4977</v>
      </c>
      <c r="B7677" t="s">
        <v>4978</v>
      </c>
      <c r="C7677" t="s">
        <v>244</v>
      </c>
      <c r="D7677" t="s">
        <v>4971</v>
      </c>
      <c r="E7677" t="s">
        <v>553</v>
      </c>
      <c r="F7677" t="s">
        <v>1068</v>
      </c>
      <c r="G7677" t="s">
        <v>1080</v>
      </c>
      <c r="H7677" s="170">
        <v>-1.07493461919887E-9</v>
      </c>
      <c r="I7677" t="s">
        <v>1082</v>
      </c>
      <c r="J7677">
        <v>7.8</v>
      </c>
    </row>
    <row r="7678" spans="1:13" hidden="1">
      <c r="A7678" t="s">
        <v>4977</v>
      </c>
      <c r="B7678" t="s">
        <v>4978</v>
      </c>
      <c r="C7678" t="s">
        <v>244</v>
      </c>
      <c r="D7678" t="s">
        <v>4971</v>
      </c>
      <c r="E7678" t="s">
        <v>553</v>
      </c>
      <c r="F7678" t="s">
        <v>1068</v>
      </c>
      <c r="G7678" t="s">
        <v>1083</v>
      </c>
      <c r="H7678" s="170">
        <v>-3.5064190454758601E-5</v>
      </c>
      <c r="I7678" t="s">
        <v>1084</v>
      </c>
      <c r="J7678">
        <v>7.8</v>
      </c>
    </row>
    <row r="7679" spans="1:13" hidden="1">
      <c r="A7679" t="s">
        <v>4977</v>
      </c>
      <c r="B7679" t="s">
        <v>4978</v>
      </c>
      <c r="C7679" t="s">
        <v>244</v>
      </c>
      <c r="D7679" t="s">
        <v>4971</v>
      </c>
      <c r="E7679" t="s">
        <v>553</v>
      </c>
      <c r="F7679" t="s">
        <v>1068</v>
      </c>
      <c r="G7679" t="s">
        <v>1085</v>
      </c>
      <c r="H7679">
        <v>-3.3600649117227202E-3</v>
      </c>
      <c r="I7679" t="s">
        <v>1086</v>
      </c>
      <c r="J7679">
        <v>7.8</v>
      </c>
    </row>
    <row r="7680" spans="1:13" hidden="1">
      <c r="A7680" t="s">
        <v>4977</v>
      </c>
      <c r="B7680" t="s">
        <v>4978</v>
      </c>
      <c r="C7680" t="s">
        <v>244</v>
      </c>
      <c r="D7680" t="s">
        <v>4971</v>
      </c>
      <c r="E7680" t="s">
        <v>553</v>
      </c>
      <c r="F7680" t="s">
        <v>1068</v>
      </c>
      <c r="G7680" t="s">
        <v>1087</v>
      </c>
      <c r="H7680" s="170">
        <v>-1.84405922087977E-5</v>
      </c>
      <c r="I7680" t="s">
        <v>1088</v>
      </c>
      <c r="J7680">
        <v>7.8</v>
      </c>
    </row>
    <row r="7681" spans="1:13" hidden="1">
      <c r="A7681" t="s">
        <v>4977</v>
      </c>
      <c r="B7681" t="s">
        <v>4978</v>
      </c>
      <c r="C7681" t="s">
        <v>244</v>
      </c>
      <c r="D7681" t="s">
        <v>4971</v>
      </c>
      <c r="E7681" t="s">
        <v>553</v>
      </c>
      <c r="F7681" t="s">
        <v>1068</v>
      </c>
      <c r="G7681" t="s">
        <v>1089</v>
      </c>
      <c r="H7681">
        <v>-1.2807787245313401E-3</v>
      </c>
      <c r="I7681" t="s">
        <v>1090</v>
      </c>
      <c r="J7681">
        <v>7.8</v>
      </c>
    </row>
    <row r="7682" spans="1:13" hidden="1">
      <c r="A7682" t="s">
        <v>4979</v>
      </c>
      <c r="B7682" t="s">
        <v>4980</v>
      </c>
      <c r="C7682" t="s">
        <v>244</v>
      </c>
      <c r="D7682" t="s">
        <v>4971</v>
      </c>
      <c r="E7682" t="s">
        <v>556</v>
      </c>
      <c r="F7682" t="s">
        <v>1068</v>
      </c>
      <c r="G7682" t="s">
        <v>1069</v>
      </c>
      <c r="H7682">
        <v>-40.112348402900402</v>
      </c>
      <c r="I7682" t="s">
        <v>1070</v>
      </c>
      <c r="J7682">
        <v>7.61</v>
      </c>
    </row>
    <row r="7683" spans="1:13" hidden="1">
      <c r="A7683" t="s">
        <v>4979</v>
      </c>
      <c r="B7683" t="s">
        <v>4980</v>
      </c>
      <c r="C7683" t="s">
        <v>244</v>
      </c>
      <c r="D7683" t="s">
        <v>4971</v>
      </c>
      <c r="E7683" t="s">
        <v>556</v>
      </c>
      <c r="F7683" t="s">
        <v>1068</v>
      </c>
      <c r="G7683" t="s">
        <v>1071</v>
      </c>
      <c r="H7683" s="170">
        <v>-1.83348526407204E-9</v>
      </c>
      <c r="I7683" t="s">
        <v>1072</v>
      </c>
      <c r="J7683">
        <v>7.61</v>
      </c>
    </row>
    <row r="7684" spans="1:13" hidden="1">
      <c r="A7684" t="s">
        <v>4979</v>
      </c>
      <c r="B7684" t="s">
        <v>4980</v>
      </c>
      <c r="C7684" t="s">
        <v>244</v>
      </c>
      <c r="D7684" t="s">
        <v>4971</v>
      </c>
      <c r="E7684" t="s">
        <v>556</v>
      </c>
      <c r="F7684" t="s">
        <v>1068</v>
      </c>
      <c r="G7684" t="s">
        <v>1073</v>
      </c>
      <c r="H7684" s="170">
        <v>-1.5292815762991699E-6</v>
      </c>
      <c r="I7684" t="s">
        <v>1074</v>
      </c>
      <c r="J7684">
        <v>7.61</v>
      </c>
    </row>
    <row r="7685" spans="1:13" hidden="1">
      <c r="A7685" t="s">
        <v>4979</v>
      </c>
      <c r="B7685" t="s">
        <v>4980</v>
      </c>
      <c r="C7685" t="s">
        <v>244</v>
      </c>
      <c r="D7685" t="s">
        <v>4971</v>
      </c>
      <c r="E7685" t="s">
        <v>556</v>
      </c>
      <c r="F7685" t="s">
        <v>1068</v>
      </c>
      <c r="G7685" t="s">
        <v>1075</v>
      </c>
      <c r="H7685">
        <v>-0.118949528992447</v>
      </c>
      <c r="I7685" t="s">
        <v>1077</v>
      </c>
      <c r="J7685">
        <v>7.61</v>
      </c>
    </row>
    <row r="7686" spans="1:13">
      <c r="A7686" t="s">
        <v>4979</v>
      </c>
      <c r="B7686" t="s">
        <v>4980</v>
      </c>
      <c r="C7686" t="s">
        <v>244</v>
      </c>
      <c r="D7686" t="s">
        <v>4971</v>
      </c>
      <c r="E7686" t="s">
        <v>556</v>
      </c>
      <c r="F7686" t="s">
        <v>1068</v>
      </c>
      <c r="G7686" t="s">
        <v>1078</v>
      </c>
      <c r="H7686" s="171" t="s">
        <v>4981</v>
      </c>
      <c r="I7686" t="s">
        <v>1079</v>
      </c>
      <c r="J7686">
        <v>7.61</v>
      </c>
      <c r="M7686" t="str">
        <f>_xlfn.TEXTJOIN(" - ",TRUE,A7686,G7686)</f>
        <v>Recycle - OCC - India - Global warming</v>
      </c>
    </row>
    <row r="7687" spans="1:13" hidden="1">
      <c r="A7687" t="s">
        <v>4979</v>
      </c>
      <c r="B7687" t="s">
        <v>4980</v>
      </c>
      <c r="C7687" t="s">
        <v>244</v>
      </c>
      <c r="D7687" t="s">
        <v>4971</v>
      </c>
      <c r="E7687" t="s">
        <v>556</v>
      </c>
      <c r="F7687" t="s">
        <v>1068</v>
      </c>
      <c r="G7687" t="s">
        <v>1080</v>
      </c>
      <c r="H7687" s="170">
        <v>-9.4761048684192297E-10</v>
      </c>
      <c r="I7687" t="s">
        <v>1082</v>
      </c>
      <c r="J7687">
        <v>7.61</v>
      </c>
    </row>
    <row r="7688" spans="1:13" hidden="1">
      <c r="A7688" t="s">
        <v>4979</v>
      </c>
      <c r="B7688" t="s">
        <v>4980</v>
      </c>
      <c r="C7688" t="s">
        <v>244</v>
      </c>
      <c r="D7688" t="s">
        <v>4971</v>
      </c>
      <c r="E7688" t="s">
        <v>556</v>
      </c>
      <c r="F7688" t="s">
        <v>1068</v>
      </c>
      <c r="G7688" t="s">
        <v>1083</v>
      </c>
      <c r="H7688" s="170">
        <v>-3.1582521045825203E-5</v>
      </c>
      <c r="I7688" t="s">
        <v>1084</v>
      </c>
      <c r="J7688">
        <v>7.61</v>
      </c>
    </row>
    <row r="7689" spans="1:13" hidden="1">
      <c r="A7689" t="s">
        <v>4979</v>
      </c>
      <c r="B7689" t="s">
        <v>4980</v>
      </c>
      <c r="C7689" t="s">
        <v>244</v>
      </c>
      <c r="D7689" t="s">
        <v>4971</v>
      </c>
      <c r="E7689" t="s">
        <v>556</v>
      </c>
      <c r="F7689" t="s">
        <v>1068</v>
      </c>
      <c r="G7689" t="s">
        <v>1085</v>
      </c>
      <c r="H7689">
        <v>-3.32071498109901E-3</v>
      </c>
      <c r="I7689" t="s">
        <v>1086</v>
      </c>
      <c r="J7689">
        <v>7.61</v>
      </c>
    </row>
    <row r="7690" spans="1:13" hidden="1">
      <c r="A7690" t="s">
        <v>4979</v>
      </c>
      <c r="B7690" t="s">
        <v>4980</v>
      </c>
      <c r="C7690" t="s">
        <v>244</v>
      </c>
      <c r="D7690" t="s">
        <v>4971</v>
      </c>
      <c r="E7690" t="s">
        <v>556</v>
      </c>
      <c r="F7690" t="s">
        <v>1068</v>
      </c>
      <c r="G7690" t="s">
        <v>1087</v>
      </c>
      <c r="H7690" s="170">
        <v>-1.8421601752606401E-5</v>
      </c>
      <c r="I7690" t="s">
        <v>1088</v>
      </c>
      <c r="J7690">
        <v>7.61</v>
      </c>
    </row>
    <row r="7691" spans="1:13" hidden="1">
      <c r="A7691" t="s">
        <v>4979</v>
      </c>
      <c r="B7691" t="s">
        <v>4980</v>
      </c>
      <c r="C7691" t="s">
        <v>244</v>
      </c>
      <c r="D7691" t="s">
        <v>4971</v>
      </c>
      <c r="E7691" t="s">
        <v>556</v>
      </c>
      <c r="F7691" t="s">
        <v>1068</v>
      </c>
      <c r="G7691" t="s">
        <v>1089</v>
      </c>
      <c r="H7691">
        <v>-1.2726609115494001E-3</v>
      </c>
      <c r="I7691" t="s">
        <v>1090</v>
      </c>
      <c r="J7691">
        <v>7.61</v>
      </c>
    </row>
    <row r="7692" spans="1:13" hidden="1">
      <c r="A7692" t="s">
        <v>4982</v>
      </c>
      <c r="B7692" t="s">
        <v>4983</v>
      </c>
      <c r="C7692" t="s">
        <v>244</v>
      </c>
      <c r="D7692" t="s">
        <v>4971</v>
      </c>
      <c r="E7692" t="s">
        <v>557</v>
      </c>
      <c r="F7692" t="s">
        <v>1068</v>
      </c>
      <c r="G7692" t="s">
        <v>1069</v>
      </c>
      <c r="H7692">
        <v>-40.125521399082203</v>
      </c>
      <c r="I7692" t="s">
        <v>1070</v>
      </c>
      <c r="J7692">
        <v>8.4600000000000009</v>
      </c>
    </row>
    <row r="7693" spans="1:13" hidden="1">
      <c r="A7693" t="s">
        <v>4982</v>
      </c>
      <c r="B7693" t="s">
        <v>4983</v>
      </c>
      <c r="C7693" t="s">
        <v>244</v>
      </c>
      <c r="D7693" t="s">
        <v>4971</v>
      </c>
      <c r="E7693" t="s">
        <v>557</v>
      </c>
      <c r="F7693" t="s">
        <v>1068</v>
      </c>
      <c r="G7693" t="s">
        <v>1071</v>
      </c>
      <c r="H7693" s="170">
        <v>-1.85233597147587E-9</v>
      </c>
      <c r="I7693" t="s">
        <v>1072</v>
      </c>
      <c r="J7693">
        <v>8.4600000000000009</v>
      </c>
    </row>
    <row r="7694" spans="1:13" hidden="1">
      <c r="A7694" t="s">
        <v>4982</v>
      </c>
      <c r="B7694" t="s">
        <v>4983</v>
      </c>
      <c r="C7694" t="s">
        <v>244</v>
      </c>
      <c r="D7694" t="s">
        <v>4971</v>
      </c>
      <c r="E7694" t="s">
        <v>557</v>
      </c>
      <c r="F7694" t="s">
        <v>1068</v>
      </c>
      <c r="G7694" t="s">
        <v>1073</v>
      </c>
      <c r="H7694" s="170">
        <v>-1.5339606662248501E-6</v>
      </c>
      <c r="I7694" t="s">
        <v>1074</v>
      </c>
      <c r="J7694">
        <v>8.4600000000000009</v>
      </c>
    </row>
    <row r="7695" spans="1:13" hidden="1">
      <c r="A7695" t="s">
        <v>4982</v>
      </c>
      <c r="B7695" t="s">
        <v>4983</v>
      </c>
      <c r="C7695" t="s">
        <v>244</v>
      </c>
      <c r="D7695" t="s">
        <v>4971</v>
      </c>
      <c r="E7695" t="s">
        <v>557</v>
      </c>
      <c r="F7695" t="s">
        <v>1068</v>
      </c>
      <c r="G7695" t="s">
        <v>1075</v>
      </c>
      <c r="H7695">
        <v>-0.119365941474063</v>
      </c>
      <c r="I7695" t="s">
        <v>1077</v>
      </c>
      <c r="J7695">
        <v>8.4600000000000009</v>
      </c>
    </row>
    <row r="7696" spans="1:13">
      <c r="A7696" t="s">
        <v>4982</v>
      </c>
      <c r="B7696" t="s">
        <v>4983</v>
      </c>
      <c r="C7696" t="s">
        <v>244</v>
      </c>
      <c r="D7696" t="s">
        <v>4971</v>
      </c>
      <c r="E7696" t="s">
        <v>557</v>
      </c>
      <c r="F7696" t="s">
        <v>1068</v>
      </c>
      <c r="G7696" t="s">
        <v>1078</v>
      </c>
      <c r="H7696">
        <v>-2.16099445871461E-3</v>
      </c>
      <c r="I7696" t="s">
        <v>1079</v>
      </c>
      <c r="J7696">
        <v>8.4600000000000009</v>
      </c>
      <c r="M7696" t="str">
        <f>_xlfn.TEXTJOIN(" - ",TRUE,A7696,G7696)</f>
        <v>Recycle - OCC - Ireland - Global warming</v>
      </c>
    </row>
    <row r="7697" spans="1:13" hidden="1">
      <c r="A7697" t="s">
        <v>4982</v>
      </c>
      <c r="B7697" t="s">
        <v>4983</v>
      </c>
      <c r="C7697" t="s">
        <v>244</v>
      </c>
      <c r="D7697" t="s">
        <v>4971</v>
      </c>
      <c r="E7697" t="s">
        <v>557</v>
      </c>
      <c r="F7697" t="s">
        <v>1068</v>
      </c>
      <c r="G7697" t="s">
        <v>1080</v>
      </c>
      <c r="H7697" s="170">
        <v>-1.0208344443831699E-9</v>
      </c>
      <c r="I7697" t="s">
        <v>1082</v>
      </c>
      <c r="J7697">
        <v>8.4600000000000009</v>
      </c>
    </row>
    <row r="7698" spans="1:13" hidden="1">
      <c r="A7698" t="s">
        <v>4982</v>
      </c>
      <c r="B7698" t="s">
        <v>4983</v>
      </c>
      <c r="C7698" t="s">
        <v>244</v>
      </c>
      <c r="D7698" t="s">
        <v>4971</v>
      </c>
      <c r="E7698" t="s">
        <v>557</v>
      </c>
      <c r="F7698" t="s">
        <v>1068</v>
      </c>
      <c r="G7698" t="s">
        <v>1083</v>
      </c>
      <c r="H7698" s="170">
        <v>-3.3584824994441098E-5</v>
      </c>
      <c r="I7698" t="s">
        <v>1084</v>
      </c>
      <c r="J7698">
        <v>8.4600000000000009</v>
      </c>
    </row>
    <row r="7699" spans="1:13" hidden="1">
      <c r="A7699" t="s">
        <v>4982</v>
      </c>
      <c r="B7699" t="s">
        <v>4983</v>
      </c>
      <c r="C7699" t="s">
        <v>244</v>
      </c>
      <c r="D7699" t="s">
        <v>4971</v>
      </c>
      <c r="E7699" t="s">
        <v>557</v>
      </c>
      <c r="F7699" t="s">
        <v>1068</v>
      </c>
      <c r="G7699" t="s">
        <v>1085</v>
      </c>
      <c r="H7699">
        <v>-3.3433450795407101E-3</v>
      </c>
      <c r="I7699" t="s">
        <v>1086</v>
      </c>
      <c r="J7699">
        <v>8.4600000000000009</v>
      </c>
    </row>
    <row r="7700" spans="1:13" hidden="1">
      <c r="A7700" t="s">
        <v>4982</v>
      </c>
      <c r="B7700" t="s">
        <v>4983</v>
      </c>
      <c r="C7700" t="s">
        <v>244</v>
      </c>
      <c r="D7700" t="s">
        <v>4971</v>
      </c>
      <c r="E7700" t="s">
        <v>557</v>
      </c>
      <c r="F7700" t="s">
        <v>1068</v>
      </c>
      <c r="G7700" t="s">
        <v>1087</v>
      </c>
      <c r="H7700" s="170">
        <v>-1.8432523141443701E-5</v>
      </c>
      <c r="I7700" t="s">
        <v>1088</v>
      </c>
      <c r="J7700">
        <v>8.4600000000000009</v>
      </c>
    </row>
    <row r="7701" spans="1:13" hidden="1">
      <c r="A7701" t="s">
        <v>4982</v>
      </c>
      <c r="B7701" t="s">
        <v>4983</v>
      </c>
      <c r="C7701" t="s">
        <v>244</v>
      </c>
      <c r="D7701" t="s">
        <v>4971</v>
      </c>
      <c r="E7701" t="s">
        <v>557</v>
      </c>
      <c r="F7701" t="s">
        <v>1068</v>
      </c>
      <c r="G7701" t="s">
        <v>1089</v>
      </c>
      <c r="H7701">
        <v>-1.2773294561694501E-3</v>
      </c>
      <c r="I7701" t="s">
        <v>1090</v>
      </c>
      <c r="J7701">
        <v>8.4600000000000009</v>
      </c>
    </row>
    <row r="7702" spans="1:13" hidden="1">
      <c r="A7702" t="s">
        <v>4984</v>
      </c>
      <c r="B7702" t="s">
        <v>4985</v>
      </c>
      <c r="C7702" t="s">
        <v>244</v>
      </c>
      <c r="D7702" t="s">
        <v>4971</v>
      </c>
      <c r="E7702" t="s">
        <v>559</v>
      </c>
      <c r="F7702" t="s">
        <v>1068</v>
      </c>
      <c r="G7702" t="s">
        <v>1069</v>
      </c>
      <c r="H7702">
        <v>-40.119156917780899</v>
      </c>
      <c r="I7702" t="s">
        <v>1070</v>
      </c>
      <c r="J7702">
        <v>7.4</v>
      </c>
    </row>
    <row r="7703" spans="1:13" hidden="1">
      <c r="A7703" t="s">
        <v>4984</v>
      </c>
      <c r="B7703" t="s">
        <v>4985</v>
      </c>
      <c r="C7703" t="s">
        <v>244</v>
      </c>
      <c r="D7703" t="s">
        <v>4971</v>
      </c>
      <c r="E7703" t="s">
        <v>559</v>
      </c>
      <c r="F7703" t="s">
        <v>1068</v>
      </c>
      <c r="G7703" t="s">
        <v>1071</v>
      </c>
      <c r="H7703" s="170">
        <v>-1.8432283263257101E-9</v>
      </c>
      <c r="I7703" t="s">
        <v>1072</v>
      </c>
      <c r="J7703">
        <v>7.4</v>
      </c>
    </row>
    <row r="7704" spans="1:13" hidden="1">
      <c r="A7704" t="s">
        <v>4984</v>
      </c>
      <c r="B7704" t="s">
        <v>4985</v>
      </c>
      <c r="C7704" t="s">
        <v>244</v>
      </c>
      <c r="D7704" t="s">
        <v>4971</v>
      </c>
      <c r="E7704" t="s">
        <v>559</v>
      </c>
      <c r="F7704" t="s">
        <v>1068</v>
      </c>
      <c r="G7704" t="s">
        <v>1073</v>
      </c>
      <c r="H7704" s="170">
        <v>-1.53169998232818E-6</v>
      </c>
      <c r="I7704" t="s">
        <v>1074</v>
      </c>
      <c r="J7704">
        <v>7.4</v>
      </c>
    </row>
    <row r="7705" spans="1:13" hidden="1">
      <c r="A7705" t="s">
        <v>4984</v>
      </c>
      <c r="B7705" t="s">
        <v>4985</v>
      </c>
      <c r="C7705" t="s">
        <v>244</v>
      </c>
      <c r="D7705" t="s">
        <v>4971</v>
      </c>
      <c r="E7705" t="s">
        <v>559</v>
      </c>
      <c r="F7705" t="s">
        <v>1068</v>
      </c>
      <c r="G7705" t="s">
        <v>1075</v>
      </c>
      <c r="H7705">
        <v>-0.119164753421147</v>
      </c>
      <c r="I7705" t="s">
        <v>1077</v>
      </c>
      <c r="J7705">
        <v>7.4</v>
      </c>
    </row>
    <row r="7706" spans="1:13">
      <c r="A7706" t="s">
        <v>4984</v>
      </c>
      <c r="B7706" t="s">
        <v>4985</v>
      </c>
      <c r="C7706" t="s">
        <v>244</v>
      </c>
      <c r="D7706" t="s">
        <v>4971</v>
      </c>
      <c r="E7706" t="s">
        <v>559</v>
      </c>
      <c r="F7706" t="s">
        <v>1068</v>
      </c>
      <c r="G7706" t="s">
        <v>1078</v>
      </c>
      <c r="H7706">
        <v>6.5391530109689304E-3</v>
      </c>
      <c r="I7706" t="s">
        <v>1079</v>
      </c>
      <c r="J7706">
        <v>7.4</v>
      </c>
      <c r="M7706" t="str">
        <f>_xlfn.TEXTJOIN(" - ",TRUE,A7706,G7706)</f>
        <v>Recycle - OCC - Mexico - Global warming</v>
      </c>
    </row>
    <row r="7707" spans="1:13" hidden="1">
      <c r="A7707" t="s">
        <v>4984</v>
      </c>
      <c r="B7707" t="s">
        <v>4985</v>
      </c>
      <c r="C7707" t="s">
        <v>244</v>
      </c>
      <c r="D7707" t="s">
        <v>4971</v>
      </c>
      <c r="E7707" t="s">
        <v>559</v>
      </c>
      <c r="F7707" t="s">
        <v>1068</v>
      </c>
      <c r="G7707" t="s">
        <v>1080</v>
      </c>
      <c r="H7707" s="170">
        <v>-9.8545657725650008E-10</v>
      </c>
      <c r="I7707" t="s">
        <v>1082</v>
      </c>
      <c r="J7707">
        <v>7.4</v>
      </c>
    </row>
    <row r="7708" spans="1:13" hidden="1">
      <c r="A7708" t="s">
        <v>4984</v>
      </c>
      <c r="B7708" t="s">
        <v>4985</v>
      </c>
      <c r="C7708" t="s">
        <v>244</v>
      </c>
      <c r="D7708" t="s">
        <v>4971</v>
      </c>
      <c r="E7708" t="s">
        <v>559</v>
      </c>
      <c r="F7708" t="s">
        <v>1068</v>
      </c>
      <c r="G7708" t="s">
        <v>1083</v>
      </c>
      <c r="H7708" s="170">
        <v>-3.26174197158964E-5</v>
      </c>
      <c r="I7708" t="s">
        <v>1084</v>
      </c>
      <c r="J7708">
        <v>7.4</v>
      </c>
    </row>
    <row r="7709" spans="1:13" hidden="1">
      <c r="A7709" t="s">
        <v>4984</v>
      </c>
      <c r="B7709" t="s">
        <v>4985</v>
      </c>
      <c r="C7709" t="s">
        <v>244</v>
      </c>
      <c r="D7709" t="s">
        <v>4971</v>
      </c>
      <c r="E7709" t="s">
        <v>559</v>
      </c>
      <c r="F7709" t="s">
        <v>1068</v>
      </c>
      <c r="G7709" t="s">
        <v>1085</v>
      </c>
      <c r="H7709">
        <v>-3.33241143647337E-3</v>
      </c>
      <c r="I7709" t="s">
        <v>1086</v>
      </c>
      <c r="J7709">
        <v>7.4</v>
      </c>
    </row>
    <row r="7710" spans="1:13" hidden="1">
      <c r="A7710" t="s">
        <v>4984</v>
      </c>
      <c r="B7710" t="s">
        <v>4985</v>
      </c>
      <c r="C7710" t="s">
        <v>244</v>
      </c>
      <c r="D7710" t="s">
        <v>4971</v>
      </c>
      <c r="E7710" t="s">
        <v>559</v>
      </c>
      <c r="F7710" t="s">
        <v>1068</v>
      </c>
      <c r="G7710" t="s">
        <v>1087</v>
      </c>
      <c r="H7710" s="170">
        <v>-1.8427246515376198E-5</v>
      </c>
      <c r="I7710" t="s">
        <v>1088</v>
      </c>
      <c r="J7710">
        <v>7.4</v>
      </c>
    </row>
    <row r="7711" spans="1:13" hidden="1">
      <c r="A7711" t="s">
        <v>4984</v>
      </c>
      <c r="B7711" t="s">
        <v>4985</v>
      </c>
      <c r="C7711" t="s">
        <v>244</v>
      </c>
      <c r="D7711" t="s">
        <v>4971</v>
      </c>
      <c r="E7711" t="s">
        <v>559</v>
      </c>
      <c r="F7711" t="s">
        <v>1068</v>
      </c>
      <c r="G7711" t="s">
        <v>1089</v>
      </c>
      <c r="H7711">
        <v>-1.27507386719572E-3</v>
      </c>
      <c r="I7711" t="s">
        <v>1090</v>
      </c>
      <c r="J7711">
        <v>7.4</v>
      </c>
    </row>
    <row r="7712" spans="1:13" hidden="1">
      <c r="A7712" t="s">
        <v>4986</v>
      </c>
      <c r="B7712" t="s">
        <v>4987</v>
      </c>
      <c r="C7712" t="s">
        <v>244</v>
      </c>
      <c r="D7712" t="s">
        <v>4971</v>
      </c>
      <c r="E7712" t="s">
        <v>560</v>
      </c>
      <c r="F7712" t="s">
        <v>1068</v>
      </c>
      <c r="G7712" t="s">
        <v>1069</v>
      </c>
      <c r="H7712">
        <v>-40.1213255558539</v>
      </c>
      <c r="I7712" t="s">
        <v>1070</v>
      </c>
      <c r="J7712">
        <v>7.89</v>
      </c>
    </row>
    <row r="7713" spans="1:13" hidden="1">
      <c r="A7713" t="s">
        <v>4986</v>
      </c>
      <c r="B7713" t="s">
        <v>4987</v>
      </c>
      <c r="C7713" t="s">
        <v>244</v>
      </c>
      <c r="D7713" t="s">
        <v>4971</v>
      </c>
      <c r="E7713" t="s">
        <v>560</v>
      </c>
      <c r="F7713" t="s">
        <v>1068</v>
      </c>
      <c r="G7713" t="s">
        <v>1071</v>
      </c>
      <c r="H7713" s="170">
        <v>-1.8463316720805699E-9</v>
      </c>
      <c r="I7713" t="s">
        <v>1072</v>
      </c>
      <c r="J7713">
        <v>7.89</v>
      </c>
    </row>
    <row r="7714" spans="1:13" hidden="1">
      <c r="A7714" t="s">
        <v>4986</v>
      </c>
      <c r="B7714" t="s">
        <v>4987</v>
      </c>
      <c r="C7714" t="s">
        <v>244</v>
      </c>
      <c r="D7714" t="s">
        <v>4971</v>
      </c>
      <c r="E7714" t="s">
        <v>560</v>
      </c>
      <c r="F7714" t="s">
        <v>1068</v>
      </c>
      <c r="G7714" t="s">
        <v>1073</v>
      </c>
      <c r="H7714" s="170">
        <v>-1.5324702894337099E-6</v>
      </c>
      <c r="I7714" t="s">
        <v>1074</v>
      </c>
      <c r="J7714">
        <v>7.89</v>
      </c>
    </row>
    <row r="7715" spans="1:13" hidden="1">
      <c r="A7715" t="s">
        <v>4986</v>
      </c>
      <c r="B7715" t="s">
        <v>4987</v>
      </c>
      <c r="C7715" t="s">
        <v>244</v>
      </c>
      <c r="D7715" t="s">
        <v>4971</v>
      </c>
      <c r="E7715" t="s">
        <v>560</v>
      </c>
      <c r="F7715" t="s">
        <v>1068</v>
      </c>
      <c r="G7715" t="s">
        <v>1075</v>
      </c>
      <c r="H7715">
        <v>-0.119233306387326</v>
      </c>
      <c r="I7715" t="s">
        <v>1077</v>
      </c>
      <c r="J7715">
        <v>7.89</v>
      </c>
    </row>
    <row r="7716" spans="1:13">
      <c r="A7716" t="s">
        <v>4986</v>
      </c>
      <c r="B7716" t="s">
        <v>4987</v>
      </c>
      <c r="C7716" t="s">
        <v>244</v>
      </c>
      <c r="D7716" t="s">
        <v>4971</v>
      </c>
      <c r="E7716" t="s">
        <v>560</v>
      </c>
      <c r="F7716" t="s">
        <v>1068</v>
      </c>
      <c r="G7716" t="s">
        <v>1078</v>
      </c>
      <c r="H7716">
        <v>3.5746583175960702E-3</v>
      </c>
      <c r="I7716" t="s">
        <v>1079</v>
      </c>
      <c r="J7716">
        <v>7.89</v>
      </c>
      <c r="M7716" t="str">
        <f>_xlfn.TEXTJOIN(" - ",TRUE,A7716,G7716)</f>
        <v>Recycle - OCC - Spain - Global warming</v>
      </c>
    </row>
    <row r="7717" spans="1:13" hidden="1">
      <c r="A7717" t="s">
        <v>4986</v>
      </c>
      <c r="B7717" t="s">
        <v>4987</v>
      </c>
      <c r="C7717" t="s">
        <v>244</v>
      </c>
      <c r="D7717" t="s">
        <v>4971</v>
      </c>
      <c r="E7717" t="s">
        <v>560</v>
      </c>
      <c r="F7717" t="s">
        <v>1068</v>
      </c>
      <c r="G7717" t="s">
        <v>1080</v>
      </c>
      <c r="H7717" s="170">
        <v>-9.9751125790707302E-10</v>
      </c>
      <c r="I7717" t="s">
        <v>1082</v>
      </c>
      <c r="J7717">
        <v>7.89</v>
      </c>
    </row>
    <row r="7718" spans="1:13" hidden="1">
      <c r="A7718" t="s">
        <v>4986</v>
      </c>
      <c r="B7718" t="s">
        <v>4987</v>
      </c>
      <c r="C7718" t="s">
        <v>244</v>
      </c>
      <c r="D7718" t="s">
        <v>4971</v>
      </c>
      <c r="E7718" t="s">
        <v>560</v>
      </c>
      <c r="F7718" t="s">
        <v>1068</v>
      </c>
      <c r="G7718" t="s">
        <v>1083</v>
      </c>
      <c r="H7718" s="170">
        <v>-3.29470541071041E-5</v>
      </c>
      <c r="I7718" t="s">
        <v>1084</v>
      </c>
      <c r="J7718">
        <v>7.89</v>
      </c>
    </row>
    <row r="7719" spans="1:13" hidden="1">
      <c r="A7719" t="s">
        <v>4986</v>
      </c>
      <c r="B7719" t="s">
        <v>4987</v>
      </c>
      <c r="C7719" t="s">
        <v>244</v>
      </c>
      <c r="D7719" t="s">
        <v>4971</v>
      </c>
      <c r="E7719" t="s">
        <v>560</v>
      </c>
      <c r="F7719" t="s">
        <v>1068</v>
      </c>
      <c r="G7719" t="s">
        <v>1085</v>
      </c>
      <c r="H7719">
        <v>-3.3361369741111298E-3</v>
      </c>
      <c r="I7719" t="s">
        <v>1086</v>
      </c>
      <c r="J7719">
        <v>7.89</v>
      </c>
    </row>
    <row r="7720" spans="1:13" hidden="1">
      <c r="A7720" t="s">
        <v>4986</v>
      </c>
      <c r="B7720" t="s">
        <v>4987</v>
      </c>
      <c r="C7720" t="s">
        <v>244</v>
      </c>
      <c r="D7720" t="s">
        <v>4971</v>
      </c>
      <c r="E7720" t="s">
        <v>560</v>
      </c>
      <c r="F7720" t="s">
        <v>1068</v>
      </c>
      <c r="G7720" t="s">
        <v>1087</v>
      </c>
      <c r="H7720" s="170">
        <v>-1.8429044476851099E-5</v>
      </c>
      <c r="I7720" t="s">
        <v>1088</v>
      </c>
      <c r="J7720">
        <v>7.89</v>
      </c>
    </row>
    <row r="7721" spans="1:13" hidden="1">
      <c r="A7721" t="s">
        <v>4986</v>
      </c>
      <c r="B7721" t="s">
        <v>4987</v>
      </c>
      <c r="C7721" t="s">
        <v>244</v>
      </c>
      <c r="D7721" t="s">
        <v>4971</v>
      </c>
      <c r="E7721" t="s">
        <v>560</v>
      </c>
      <c r="F7721" t="s">
        <v>1068</v>
      </c>
      <c r="G7721" t="s">
        <v>1089</v>
      </c>
      <c r="H7721">
        <v>-1.27584243825343E-3</v>
      </c>
      <c r="I7721" t="s">
        <v>1090</v>
      </c>
      <c r="J7721">
        <v>7.89</v>
      </c>
    </row>
    <row r="7722" spans="1:13" hidden="1">
      <c r="A7722" t="s">
        <v>4988</v>
      </c>
      <c r="B7722" t="s">
        <v>4989</v>
      </c>
      <c r="C7722" t="s">
        <v>244</v>
      </c>
      <c r="D7722" t="s">
        <v>4971</v>
      </c>
      <c r="E7722" t="s">
        <v>554</v>
      </c>
      <c r="F7722" t="s">
        <v>1068</v>
      </c>
      <c r="G7722" t="s">
        <v>1069</v>
      </c>
      <c r="H7722">
        <v>-40.134060362007503</v>
      </c>
      <c r="I7722" t="s">
        <v>1070</v>
      </c>
      <c r="J7722">
        <v>7.4</v>
      </c>
    </row>
    <row r="7723" spans="1:13" hidden="1">
      <c r="A7723" t="s">
        <v>4988</v>
      </c>
      <c r="B7723" t="s">
        <v>4989</v>
      </c>
      <c r="C7723" t="s">
        <v>244</v>
      </c>
      <c r="D7723" t="s">
        <v>4971</v>
      </c>
      <c r="E7723" t="s">
        <v>554</v>
      </c>
      <c r="F7723" t="s">
        <v>1068</v>
      </c>
      <c r="G7723" t="s">
        <v>1071</v>
      </c>
      <c r="H7723" s="170">
        <v>-1.8645553245688298E-9</v>
      </c>
      <c r="I7723" t="s">
        <v>1072</v>
      </c>
      <c r="J7723">
        <v>7.4</v>
      </c>
    </row>
    <row r="7724" spans="1:13" hidden="1">
      <c r="A7724" t="s">
        <v>4988</v>
      </c>
      <c r="B7724" t="s">
        <v>4989</v>
      </c>
      <c r="C7724" t="s">
        <v>244</v>
      </c>
      <c r="D7724" t="s">
        <v>4971</v>
      </c>
      <c r="E7724" t="s">
        <v>554</v>
      </c>
      <c r="F7724" t="s">
        <v>1068</v>
      </c>
      <c r="G7724" t="s">
        <v>1073</v>
      </c>
      <c r="H7724" s="170">
        <v>-1.5369937328748601E-6</v>
      </c>
      <c r="I7724" t="s">
        <v>1074</v>
      </c>
      <c r="J7724">
        <v>7.4</v>
      </c>
    </row>
    <row r="7725" spans="1:13" hidden="1">
      <c r="A7725" t="s">
        <v>4988</v>
      </c>
      <c r="B7725" t="s">
        <v>4989</v>
      </c>
      <c r="C7725" t="s">
        <v>244</v>
      </c>
      <c r="D7725" t="s">
        <v>4971</v>
      </c>
      <c r="E7725" t="s">
        <v>554</v>
      </c>
      <c r="F7725" t="s">
        <v>1068</v>
      </c>
      <c r="G7725" t="s">
        <v>1075</v>
      </c>
      <c r="H7725">
        <v>-0.119635867214047</v>
      </c>
      <c r="I7725" t="s">
        <v>1077</v>
      </c>
      <c r="J7725">
        <v>7.4</v>
      </c>
    </row>
    <row r="7726" spans="1:13">
      <c r="A7726" t="s">
        <v>4988</v>
      </c>
      <c r="B7726" t="s">
        <v>4989</v>
      </c>
      <c r="C7726" t="s">
        <v>244</v>
      </c>
      <c r="D7726" t="s">
        <v>4971</v>
      </c>
      <c r="E7726" t="s">
        <v>554</v>
      </c>
      <c r="F7726" t="s">
        <v>1068</v>
      </c>
      <c r="G7726" t="s">
        <v>1078</v>
      </c>
      <c r="H7726">
        <v>-1.3833624665549301E-2</v>
      </c>
      <c r="I7726" t="s">
        <v>1079</v>
      </c>
      <c r="J7726">
        <v>7.4</v>
      </c>
      <c r="M7726" t="str">
        <f>_xlfn.TEXTJOIN(" - ",TRUE,A7726,G7726)</f>
        <v>Recycle - OCC - United States - Global warming</v>
      </c>
    </row>
    <row r="7727" spans="1:13" hidden="1">
      <c r="A7727" t="s">
        <v>4988</v>
      </c>
      <c r="B7727" t="s">
        <v>4989</v>
      </c>
      <c r="C7727" t="s">
        <v>244</v>
      </c>
      <c r="D7727" t="s">
        <v>4971</v>
      </c>
      <c r="E7727" t="s">
        <v>554</v>
      </c>
      <c r="F7727" t="s">
        <v>1068</v>
      </c>
      <c r="G7727" t="s">
        <v>1080</v>
      </c>
      <c r="H7727" s="170">
        <v>-1.06829947436285E-9</v>
      </c>
      <c r="I7727" t="s">
        <v>1082</v>
      </c>
      <c r="J7727">
        <v>7.4</v>
      </c>
    </row>
    <row r="7728" spans="1:13" hidden="1">
      <c r="A7728" t="s">
        <v>4988</v>
      </c>
      <c r="B7728" t="s">
        <v>4989</v>
      </c>
      <c r="C7728" t="s">
        <v>244</v>
      </c>
      <c r="D7728" t="s">
        <v>4971</v>
      </c>
      <c r="E7728" t="s">
        <v>554</v>
      </c>
      <c r="F7728" t="s">
        <v>1068</v>
      </c>
      <c r="G7728" t="s">
        <v>1083</v>
      </c>
      <c r="H7728" s="170">
        <v>-3.48827528877259E-5</v>
      </c>
      <c r="I7728" t="s">
        <v>1084</v>
      </c>
      <c r="J7728">
        <v>7.4</v>
      </c>
    </row>
    <row r="7729" spans="1:13" hidden="1">
      <c r="A7729" t="s">
        <v>4988</v>
      </c>
      <c r="B7729" t="s">
        <v>4989</v>
      </c>
      <c r="C7729" t="s">
        <v>244</v>
      </c>
      <c r="D7729" t="s">
        <v>4971</v>
      </c>
      <c r="E7729" t="s">
        <v>554</v>
      </c>
      <c r="F7729" t="s">
        <v>1068</v>
      </c>
      <c r="G7729" t="s">
        <v>1085</v>
      </c>
      <c r="H7729">
        <v>-3.3580142989744401E-3</v>
      </c>
      <c r="I7729" t="s">
        <v>1086</v>
      </c>
      <c r="J7729">
        <v>7.4</v>
      </c>
    </row>
    <row r="7730" spans="1:13" hidden="1">
      <c r="A7730" t="s">
        <v>4988</v>
      </c>
      <c r="B7730" t="s">
        <v>4989</v>
      </c>
      <c r="C7730" t="s">
        <v>244</v>
      </c>
      <c r="D7730" t="s">
        <v>4971</v>
      </c>
      <c r="E7730" t="s">
        <v>554</v>
      </c>
      <c r="F7730" t="s">
        <v>1068</v>
      </c>
      <c r="G7730" t="s">
        <v>1087</v>
      </c>
      <c r="H7730" s="170">
        <v>-1.8439602573722301E-5</v>
      </c>
      <c r="I7730" t="s">
        <v>1088</v>
      </c>
      <c r="J7730">
        <v>7.4</v>
      </c>
    </row>
    <row r="7731" spans="1:13" hidden="1">
      <c r="A7731" t="s">
        <v>4988</v>
      </c>
      <c r="B7731" t="s">
        <v>4989</v>
      </c>
      <c r="C7731" t="s">
        <v>244</v>
      </c>
      <c r="D7731" t="s">
        <v>4971</v>
      </c>
      <c r="E7731" t="s">
        <v>554</v>
      </c>
      <c r="F7731" t="s">
        <v>1068</v>
      </c>
      <c r="G7731" t="s">
        <v>1089</v>
      </c>
      <c r="H7731">
        <v>-1.2803556871707901E-3</v>
      </c>
      <c r="I7731" t="s">
        <v>1090</v>
      </c>
      <c r="J7731">
        <v>7.4</v>
      </c>
    </row>
    <row r="7732" spans="1:13" hidden="1">
      <c r="A7732" t="s">
        <v>4990</v>
      </c>
      <c r="B7732" t="s">
        <v>4991</v>
      </c>
      <c r="C7732" t="s">
        <v>244</v>
      </c>
      <c r="D7732" t="s">
        <v>4992</v>
      </c>
      <c r="E7732" t="s">
        <v>561</v>
      </c>
      <c r="F7732" t="s">
        <v>1068</v>
      </c>
      <c r="G7732" t="s">
        <v>1069</v>
      </c>
      <c r="H7732" s="171" t="s">
        <v>4993</v>
      </c>
      <c r="I7732" t="s">
        <v>1070</v>
      </c>
      <c r="J7732">
        <v>8.44</v>
      </c>
    </row>
    <row r="7733" spans="1:13" hidden="1">
      <c r="A7733" t="s">
        <v>4990</v>
      </c>
      <c r="B7733" t="s">
        <v>4991</v>
      </c>
      <c r="C7733" t="s">
        <v>244</v>
      </c>
      <c r="D7733" t="s">
        <v>4992</v>
      </c>
      <c r="E7733" t="s">
        <v>561</v>
      </c>
      <c r="F7733" t="s">
        <v>1068</v>
      </c>
      <c r="G7733" t="s">
        <v>1071</v>
      </c>
      <c r="H7733" s="171" t="s">
        <v>4994</v>
      </c>
      <c r="I7733" t="s">
        <v>1072</v>
      </c>
      <c r="J7733">
        <v>8.44</v>
      </c>
    </row>
    <row r="7734" spans="1:13" hidden="1">
      <c r="A7734" t="s">
        <v>4990</v>
      </c>
      <c r="B7734" t="s">
        <v>4991</v>
      </c>
      <c r="C7734" t="s">
        <v>244</v>
      </c>
      <c r="D7734" t="s">
        <v>4992</v>
      </c>
      <c r="E7734" t="s">
        <v>561</v>
      </c>
      <c r="F7734" t="s">
        <v>1068</v>
      </c>
      <c r="G7734" t="s">
        <v>1073</v>
      </c>
      <c r="H7734" s="171" t="s">
        <v>4995</v>
      </c>
      <c r="I7734" t="s">
        <v>1074</v>
      </c>
      <c r="J7734">
        <v>8.44</v>
      </c>
    </row>
    <row r="7735" spans="1:13" hidden="1">
      <c r="A7735" t="s">
        <v>4990</v>
      </c>
      <c r="B7735" t="s">
        <v>4991</v>
      </c>
      <c r="C7735" t="s">
        <v>244</v>
      </c>
      <c r="D7735" t="s">
        <v>4992</v>
      </c>
      <c r="E7735" t="s">
        <v>561</v>
      </c>
      <c r="F7735" t="s">
        <v>1068</v>
      </c>
      <c r="G7735" t="s">
        <v>1075</v>
      </c>
      <c r="H7735">
        <v>-5.3189079052214597E-3</v>
      </c>
      <c r="I7735" t="s">
        <v>1077</v>
      </c>
      <c r="J7735">
        <v>8.44</v>
      </c>
    </row>
    <row r="7736" spans="1:13">
      <c r="A7736" t="s">
        <v>4990</v>
      </c>
      <c r="B7736" t="s">
        <v>4991</v>
      </c>
      <c r="C7736" t="s">
        <v>244</v>
      </c>
      <c r="D7736" t="s">
        <v>4992</v>
      </c>
      <c r="E7736" t="s">
        <v>561</v>
      </c>
      <c r="F7736" t="s">
        <v>1068</v>
      </c>
      <c r="G7736" t="s">
        <v>1078</v>
      </c>
      <c r="H7736">
        <v>-3.1975647374118701</v>
      </c>
      <c r="I7736" t="s">
        <v>1079</v>
      </c>
      <c r="J7736">
        <v>8.44</v>
      </c>
      <c r="M7736" t="str">
        <f>_xlfn.TEXTJOIN(" - ",TRUE,A7736,G7736)</f>
        <v>Recycle - OFF - Australia - Global warming</v>
      </c>
    </row>
    <row r="7737" spans="1:13" hidden="1">
      <c r="A7737" t="s">
        <v>4990</v>
      </c>
      <c r="B7737" t="s">
        <v>4991</v>
      </c>
      <c r="C7737" t="s">
        <v>244</v>
      </c>
      <c r="D7737" t="s">
        <v>4992</v>
      </c>
      <c r="E7737" t="s">
        <v>561</v>
      </c>
      <c r="F7737" t="s">
        <v>1068</v>
      </c>
      <c r="G7737" t="s">
        <v>1080</v>
      </c>
      <c r="H7737" s="171" t="s">
        <v>4996</v>
      </c>
      <c r="I7737" t="s">
        <v>1082</v>
      </c>
      <c r="J7737">
        <v>8.44</v>
      </c>
    </row>
    <row r="7738" spans="1:13" hidden="1">
      <c r="A7738" t="s">
        <v>4990</v>
      </c>
      <c r="B7738" t="s">
        <v>4991</v>
      </c>
      <c r="C7738" t="s">
        <v>244</v>
      </c>
      <c r="D7738" t="s">
        <v>4992</v>
      </c>
      <c r="E7738" t="s">
        <v>561</v>
      </c>
      <c r="F7738" t="s">
        <v>1068</v>
      </c>
      <c r="G7738" t="s">
        <v>1083</v>
      </c>
      <c r="H7738" s="171" t="s">
        <v>4997</v>
      </c>
      <c r="I7738" t="s">
        <v>1084</v>
      </c>
      <c r="J7738">
        <v>8.44</v>
      </c>
    </row>
    <row r="7739" spans="1:13" hidden="1">
      <c r="A7739" t="s">
        <v>4990</v>
      </c>
      <c r="B7739" t="s">
        <v>4991</v>
      </c>
      <c r="C7739" t="s">
        <v>244</v>
      </c>
      <c r="D7739" t="s">
        <v>4992</v>
      </c>
      <c r="E7739" t="s">
        <v>561</v>
      </c>
      <c r="F7739" t="s">
        <v>1068</v>
      </c>
      <c r="G7739" t="s">
        <v>1085</v>
      </c>
      <c r="H7739" s="170">
        <v>-8.1152100243373306E-5</v>
      </c>
      <c r="I7739" t="s">
        <v>1086</v>
      </c>
      <c r="J7739">
        <v>8.44</v>
      </c>
    </row>
    <row r="7740" spans="1:13" hidden="1">
      <c r="A7740" t="s">
        <v>4990</v>
      </c>
      <c r="B7740" t="s">
        <v>4991</v>
      </c>
      <c r="C7740" t="s">
        <v>244</v>
      </c>
      <c r="D7740" t="s">
        <v>4992</v>
      </c>
      <c r="E7740" t="s">
        <v>561</v>
      </c>
      <c r="F7740" t="s">
        <v>1068</v>
      </c>
      <c r="G7740" t="s">
        <v>1087</v>
      </c>
      <c r="H7740" s="171" t="s">
        <v>4998</v>
      </c>
      <c r="I7740" t="s">
        <v>1088</v>
      </c>
      <c r="J7740">
        <v>8.44</v>
      </c>
    </row>
    <row r="7741" spans="1:13" hidden="1">
      <c r="A7741" t="s">
        <v>4990</v>
      </c>
      <c r="B7741" t="s">
        <v>4991</v>
      </c>
      <c r="C7741" t="s">
        <v>244</v>
      </c>
      <c r="D7741" t="s">
        <v>4992</v>
      </c>
      <c r="E7741" t="s">
        <v>561</v>
      </c>
      <c r="F7741" t="s">
        <v>1068</v>
      </c>
      <c r="G7741" t="s">
        <v>1089</v>
      </c>
      <c r="H7741" s="170">
        <v>-7.6783990047071194E-5</v>
      </c>
      <c r="I7741" t="s">
        <v>1090</v>
      </c>
      <c r="J7741">
        <v>8.44</v>
      </c>
    </row>
    <row r="7742" spans="1:13" hidden="1">
      <c r="A7742" t="s">
        <v>4999</v>
      </c>
      <c r="B7742" t="s">
        <v>5000</v>
      </c>
      <c r="C7742" t="s">
        <v>244</v>
      </c>
      <c r="D7742" t="s">
        <v>4992</v>
      </c>
      <c r="E7742" t="s">
        <v>555</v>
      </c>
      <c r="F7742" t="s">
        <v>1068</v>
      </c>
      <c r="G7742" t="s">
        <v>1069</v>
      </c>
      <c r="H7742" s="171" t="s">
        <v>5001</v>
      </c>
      <c r="I7742" t="s">
        <v>1070</v>
      </c>
      <c r="J7742">
        <v>7.21</v>
      </c>
    </row>
    <row r="7743" spans="1:13" hidden="1">
      <c r="A7743" t="s">
        <v>4999</v>
      </c>
      <c r="B7743" t="s">
        <v>5000</v>
      </c>
      <c r="C7743" t="s">
        <v>244</v>
      </c>
      <c r="D7743" t="s">
        <v>4992</v>
      </c>
      <c r="E7743" t="s">
        <v>555</v>
      </c>
      <c r="F7743" t="s">
        <v>1068</v>
      </c>
      <c r="G7743" t="s">
        <v>1071</v>
      </c>
      <c r="H7743" s="171" t="s">
        <v>5002</v>
      </c>
      <c r="I7743" t="s">
        <v>1072</v>
      </c>
      <c r="J7743">
        <v>7.21</v>
      </c>
    </row>
    <row r="7744" spans="1:13" hidden="1">
      <c r="A7744" t="s">
        <v>4999</v>
      </c>
      <c r="B7744" t="s">
        <v>5000</v>
      </c>
      <c r="C7744" t="s">
        <v>244</v>
      </c>
      <c r="D7744" t="s">
        <v>4992</v>
      </c>
      <c r="E7744" t="s">
        <v>555</v>
      </c>
      <c r="F7744" t="s">
        <v>1068</v>
      </c>
      <c r="G7744" t="s">
        <v>1073</v>
      </c>
      <c r="H7744" s="171" t="s">
        <v>5003</v>
      </c>
      <c r="I7744" t="s">
        <v>1074</v>
      </c>
      <c r="J7744">
        <v>7.21</v>
      </c>
    </row>
    <row r="7745" spans="1:13" hidden="1">
      <c r="A7745" t="s">
        <v>4999</v>
      </c>
      <c r="B7745" t="s">
        <v>5000</v>
      </c>
      <c r="C7745" t="s">
        <v>244</v>
      </c>
      <c r="D7745" t="s">
        <v>4992</v>
      </c>
      <c r="E7745" t="s">
        <v>555</v>
      </c>
      <c r="F7745" t="s">
        <v>1068</v>
      </c>
      <c r="G7745" t="s">
        <v>1075</v>
      </c>
      <c r="H7745">
        <v>-4.9685196811930701E-3</v>
      </c>
      <c r="I7745" t="s">
        <v>1077</v>
      </c>
      <c r="J7745">
        <v>7.21</v>
      </c>
    </row>
    <row r="7746" spans="1:13">
      <c r="A7746" t="s">
        <v>4999</v>
      </c>
      <c r="B7746" t="s">
        <v>5000</v>
      </c>
      <c r="C7746" t="s">
        <v>244</v>
      </c>
      <c r="D7746" t="s">
        <v>4992</v>
      </c>
      <c r="E7746" t="s">
        <v>555</v>
      </c>
      <c r="F7746" t="s">
        <v>1068</v>
      </c>
      <c r="G7746" t="s">
        <v>1078</v>
      </c>
      <c r="H7746">
        <v>-3.1824125990194299</v>
      </c>
      <c r="I7746" t="s">
        <v>1079</v>
      </c>
      <c r="J7746">
        <v>7.21</v>
      </c>
      <c r="M7746" t="str">
        <f>_xlfn.TEXTJOIN(" - ",TRUE,A7746,G7746)</f>
        <v>Recycle - OFF - Brazil - Global warming</v>
      </c>
    </row>
    <row r="7747" spans="1:13" hidden="1">
      <c r="A7747" t="s">
        <v>4999</v>
      </c>
      <c r="B7747" t="s">
        <v>5000</v>
      </c>
      <c r="C7747" t="s">
        <v>244</v>
      </c>
      <c r="D7747" t="s">
        <v>4992</v>
      </c>
      <c r="E7747" t="s">
        <v>555</v>
      </c>
      <c r="F7747" t="s">
        <v>1068</v>
      </c>
      <c r="G7747" t="s">
        <v>1080</v>
      </c>
      <c r="H7747" s="171" t="s">
        <v>5004</v>
      </c>
      <c r="I7747" t="s">
        <v>1082</v>
      </c>
      <c r="J7747">
        <v>7.21</v>
      </c>
    </row>
    <row r="7748" spans="1:13" hidden="1">
      <c r="A7748" t="s">
        <v>4999</v>
      </c>
      <c r="B7748" t="s">
        <v>5000</v>
      </c>
      <c r="C7748" t="s">
        <v>244</v>
      </c>
      <c r="D7748" t="s">
        <v>4992</v>
      </c>
      <c r="E7748" t="s">
        <v>555</v>
      </c>
      <c r="F7748" t="s">
        <v>1068</v>
      </c>
      <c r="G7748" t="s">
        <v>1083</v>
      </c>
      <c r="H7748" s="171" t="s">
        <v>5005</v>
      </c>
      <c r="I7748" t="s">
        <v>1084</v>
      </c>
      <c r="J7748">
        <v>7.21</v>
      </c>
    </row>
    <row r="7749" spans="1:13" hidden="1">
      <c r="A7749" t="s">
        <v>4999</v>
      </c>
      <c r="B7749" t="s">
        <v>5000</v>
      </c>
      <c r="C7749" t="s">
        <v>244</v>
      </c>
      <c r="D7749" t="s">
        <v>4992</v>
      </c>
      <c r="E7749" t="s">
        <v>555</v>
      </c>
      <c r="F7749" t="s">
        <v>1068</v>
      </c>
      <c r="G7749" t="s">
        <v>1085</v>
      </c>
      <c r="H7749" s="170">
        <v>-6.2110115786537503E-5</v>
      </c>
      <c r="I7749" t="s">
        <v>1086</v>
      </c>
      <c r="J7749">
        <v>7.21</v>
      </c>
    </row>
    <row r="7750" spans="1:13" hidden="1">
      <c r="A7750" t="s">
        <v>4999</v>
      </c>
      <c r="B7750" t="s">
        <v>5000</v>
      </c>
      <c r="C7750" t="s">
        <v>244</v>
      </c>
      <c r="D7750" t="s">
        <v>4992</v>
      </c>
      <c r="E7750" t="s">
        <v>555</v>
      </c>
      <c r="F7750" t="s">
        <v>1068</v>
      </c>
      <c r="G7750" t="s">
        <v>1087</v>
      </c>
      <c r="H7750" s="171" t="s">
        <v>5006</v>
      </c>
      <c r="I7750" t="s">
        <v>1088</v>
      </c>
      <c r="J7750">
        <v>7.21</v>
      </c>
    </row>
    <row r="7751" spans="1:13" hidden="1">
      <c r="A7751" t="s">
        <v>4999</v>
      </c>
      <c r="B7751" t="s">
        <v>5000</v>
      </c>
      <c r="C7751" t="s">
        <v>244</v>
      </c>
      <c r="D7751" t="s">
        <v>4992</v>
      </c>
      <c r="E7751" t="s">
        <v>555</v>
      </c>
      <c r="F7751" t="s">
        <v>1068</v>
      </c>
      <c r="G7751" t="s">
        <v>1089</v>
      </c>
      <c r="H7751" s="170">
        <v>-7.2855666256519498E-5</v>
      </c>
      <c r="I7751" t="s">
        <v>1090</v>
      </c>
      <c r="J7751">
        <v>7.21</v>
      </c>
    </row>
    <row r="7752" spans="1:13" hidden="1">
      <c r="A7752" t="s">
        <v>5007</v>
      </c>
      <c r="B7752" t="s">
        <v>5008</v>
      </c>
      <c r="C7752" t="s">
        <v>244</v>
      </c>
      <c r="D7752" t="s">
        <v>4992</v>
      </c>
      <c r="E7752" t="s">
        <v>558</v>
      </c>
      <c r="F7752" t="s">
        <v>1068</v>
      </c>
      <c r="G7752" t="s">
        <v>1069</v>
      </c>
      <c r="H7752" s="171" t="s">
        <v>5009</v>
      </c>
      <c r="I7752" t="s">
        <v>1070</v>
      </c>
      <c r="J7752">
        <v>7.99</v>
      </c>
    </row>
    <row r="7753" spans="1:13" hidden="1">
      <c r="A7753" t="s">
        <v>5007</v>
      </c>
      <c r="B7753" t="s">
        <v>5008</v>
      </c>
      <c r="C7753" t="s">
        <v>244</v>
      </c>
      <c r="D7753" t="s">
        <v>4992</v>
      </c>
      <c r="E7753" t="s">
        <v>558</v>
      </c>
      <c r="F7753" t="s">
        <v>1068</v>
      </c>
      <c r="G7753" t="s">
        <v>1071</v>
      </c>
      <c r="H7753" s="171" t="s">
        <v>5010</v>
      </c>
      <c r="I7753" t="s">
        <v>1072</v>
      </c>
      <c r="J7753">
        <v>7.99</v>
      </c>
    </row>
    <row r="7754" spans="1:13" hidden="1">
      <c r="A7754" t="s">
        <v>5007</v>
      </c>
      <c r="B7754" t="s">
        <v>5008</v>
      </c>
      <c r="C7754" t="s">
        <v>244</v>
      </c>
      <c r="D7754" t="s">
        <v>4992</v>
      </c>
      <c r="E7754" t="s">
        <v>558</v>
      </c>
      <c r="F7754" t="s">
        <v>1068</v>
      </c>
      <c r="G7754" t="s">
        <v>1073</v>
      </c>
      <c r="H7754" s="171" t="s">
        <v>5011</v>
      </c>
      <c r="I7754" t="s">
        <v>1074</v>
      </c>
      <c r="J7754">
        <v>7.99</v>
      </c>
    </row>
    <row r="7755" spans="1:13" hidden="1">
      <c r="A7755" t="s">
        <v>5007</v>
      </c>
      <c r="B7755" t="s">
        <v>5008</v>
      </c>
      <c r="C7755" t="s">
        <v>244</v>
      </c>
      <c r="D7755" t="s">
        <v>4992</v>
      </c>
      <c r="E7755" t="s">
        <v>558</v>
      </c>
      <c r="F7755" t="s">
        <v>1068</v>
      </c>
      <c r="G7755" t="s">
        <v>1075</v>
      </c>
      <c r="H7755">
        <v>-5.3499318625573099E-3</v>
      </c>
      <c r="I7755" t="s">
        <v>1077</v>
      </c>
      <c r="J7755">
        <v>7.99</v>
      </c>
    </row>
    <row r="7756" spans="1:13">
      <c r="A7756" t="s">
        <v>5007</v>
      </c>
      <c r="B7756" t="s">
        <v>5008</v>
      </c>
      <c r="C7756" t="s">
        <v>244</v>
      </c>
      <c r="D7756" t="s">
        <v>4992</v>
      </c>
      <c r="E7756" t="s">
        <v>558</v>
      </c>
      <c r="F7756" t="s">
        <v>1068</v>
      </c>
      <c r="G7756" t="s">
        <v>1078</v>
      </c>
      <c r="H7756">
        <v>-3.1989063329987002</v>
      </c>
      <c r="I7756" t="s">
        <v>1079</v>
      </c>
      <c r="J7756">
        <v>7.99</v>
      </c>
      <c r="M7756" t="str">
        <f>_xlfn.TEXTJOIN(" - ",TRUE,A7756,G7756)</f>
        <v>Recycle - OFF - Canada - Global warming</v>
      </c>
    </row>
    <row r="7757" spans="1:13" hidden="1">
      <c r="A7757" t="s">
        <v>5007</v>
      </c>
      <c r="B7757" t="s">
        <v>5008</v>
      </c>
      <c r="C7757" t="s">
        <v>244</v>
      </c>
      <c r="D7757" t="s">
        <v>4992</v>
      </c>
      <c r="E7757" t="s">
        <v>558</v>
      </c>
      <c r="F7757" t="s">
        <v>1068</v>
      </c>
      <c r="G7757" t="s">
        <v>1080</v>
      </c>
      <c r="H7757" s="171" t="s">
        <v>5012</v>
      </c>
      <c r="I7757" t="s">
        <v>1082</v>
      </c>
      <c r="J7757">
        <v>7.99</v>
      </c>
    </row>
    <row r="7758" spans="1:13" hidden="1">
      <c r="A7758" t="s">
        <v>5007</v>
      </c>
      <c r="B7758" t="s">
        <v>5008</v>
      </c>
      <c r="C7758" t="s">
        <v>244</v>
      </c>
      <c r="D7758" t="s">
        <v>4992</v>
      </c>
      <c r="E7758" t="s">
        <v>558</v>
      </c>
      <c r="F7758" t="s">
        <v>1068</v>
      </c>
      <c r="G7758" t="s">
        <v>1083</v>
      </c>
      <c r="H7758" s="171" t="s">
        <v>5013</v>
      </c>
      <c r="I7758" t="s">
        <v>1084</v>
      </c>
      <c r="J7758">
        <v>7.99</v>
      </c>
    </row>
    <row r="7759" spans="1:13" hidden="1">
      <c r="A7759" t="s">
        <v>5007</v>
      </c>
      <c r="B7759" t="s">
        <v>5008</v>
      </c>
      <c r="C7759" t="s">
        <v>244</v>
      </c>
      <c r="D7759" t="s">
        <v>4992</v>
      </c>
      <c r="E7759" t="s">
        <v>558</v>
      </c>
      <c r="F7759" t="s">
        <v>1068</v>
      </c>
      <c r="G7759" t="s">
        <v>1085</v>
      </c>
      <c r="H7759" s="170">
        <v>-8.2838109283822506E-5</v>
      </c>
      <c r="I7759" t="s">
        <v>1086</v>
      </c>
      <c r="J7759">
        <v>7.99</v>
      </c>
    </row>
    <row r="7760" spans="1:13" hidden="1">
      <c r="A7760" t="s">
        <v>5007</v>
      </c>
      <c r="B7760" t="s">
        <v>5008</v>
      </c>
      <c r="C7760" t="s">
        <v>244</v>
      </c>
      <c r="D7760" t="s">
        <v>4992</v>
      </c>
      <c r="E7760" t="s">
        <v>558</v>
      </c>
      <c r="F7760" t="s">
        <v>1068</v>
      </c>
      <c r="G7760" t="s">
        <v>1087</v>
      </c>
      <c r="H7760" s="171" t="s">
        <v>5014</v>
      </c>
      <c r="I7760" t="s">
        <v>1088</v>
      </c>
      <c r="J7760">
        <v>7.99</v>
      </c>
    </row>
    <row r="7761" spans="1:13" hidden="1">
      <c r="A7761" t="s">
        <v>5007</v>
      </c>
      <c r="B7761" t="s">
        <v>5008</v>
      </c>
      <c r="C7761" t="s">
        <v>244</v>
      </c>
      <c r="D7761" t="s">
        <v>4992</v>
      </c>
      <c r="E7761" t="s">
        <v>558</v>
      </c>
      <c r="F7761" t="s">
        <v>1068</v>
      </c>
      <c r="G7761" t="s">
        <v>1089</v>
      </c>
      <c r="H7761" s="170">
        <v>-7.7131810382693002E-5</v>
      </c>
      <c r="I7761" t="s">
        <v>1090</v>
      </c>
      <c r="J7761">
        <v>7.99</v>
      </c>
    </row>
    <row r="7762" spans="1:13" hidden="1">
      <c r="A7762" t="s">
        <v>5015</v>
      </c>
      <c r="B7762" t="s">
        <v>5016</v>
      </c>
      <c r="C7762" t="s">
        <v>244</v>
      </c>
      <c r="D7762" t="s">
        <v>4992</v>
      </c>
      <c r="E7762" t="s">
        <v>553</v>
      </c>
      <c r="F7762" t="s">
        <v>1068</v>
      </c>
      <c r="G7762" t="s">
        <v>1069</v>
      </c>
      <c r="H7762" s="171" t="s">
        <v>5017</v>
      </c>
      <c r="I7762" t="s">
        <v>1070</v>
      </c>
      <c r="J7762">
        <v>7.43</v>
      </c>
    </row>
    <row r="7763" spans="1:13" hidden="1">
      <c r="A7763" t="s">
        <v>5015</v>
      </c>
      <c r="B7763" t="s">
        <v>5016</v>
      </c>
      <c r="C7763" t="s">
        <v>244</v>
      </c>
      <c r="D7763" t="s">
        <v>4992</v>
      </c>
      <c r="E7763" t="s">
        <v>553</v>
      </c>
      <c r="F7763" t="s">
        <v>1068</v>
      </c>
      <c r="G7763" t="s">
        <v>1071</v>
      </c>
      <c r="H7763" s="171" t="s">
        <v>5018</v>
      </c>
      <c r="I7763" t="s">
        <v>1072</v>
      </c>
      <c r="J7763">
        <v>7.43</v>
      </c>
    </row>
    <row r="7764" spans="1:13" hidden="1">
      <c r="A7764" t="s">
        <v>5015</v>
      </c>
      <c r="B7764" t="s">
        <v>5016</v>
      </c>
      <c r="C7764" t="s">
        <v>244</v>
      </c>
      <c r="D7764" t="s">
        <v>4992</v>
      </c>
      <c r="E7764" t="s">
        <v>553</v>
      </c>
      <c r="F7764" t="s">
        <v>1068</v>
      </c>
      <c r="G7764" t="s">
        <v>1073</v>
      </c>
      <c r="H7764" s="171" t="s">
        <v>5019</v>
      </c>
      <c r="I7764" t="s">
        <v>1074</v>
      </c>
      <c r="J7764">
        <v>7.43</v>
      </c>
    </row>
    <row r="7765" spans="1:13" hidden="1">
      <c r="A7765" t="s">
        <v>5015</v>
      </c>
      <c r="B7765" t="s">
        <v>5016</v>
      </c>
      <c r="C7765" t="s">
        <v>244</v>
      </c>
      <c r="D7765" t="s">
        <v>4992</v>
      </c>
      <c r="E7765" t="s">
        <v>553</v>
      </c>
      <c r="F7765" t="s">
        <v>1068</v>
      </c>
      <c r="G7765" t="s">
        <v>1075</v>
      </c>
      <c r="H7765">
        <v>-5.3803161506697497E-3</v>
      </c>
      <c r="I7765" t="s">
        <v>1077</v>
      </c>
      <c r="J7765">
        <v>7.43</v>
      </c>
    </row>
    <row r="7766" spans="1:13">
      <c r="A7766" t="s">
        <v>5015</v>
      </c>
      <c r="B7766" t="s">
        <v>5016</v>
      </c>
      <c r="C7766" t="s">
        <v>244</v>
      </c>
      <c r="D7766" t="s">
        <v>4992</v>
      </c>
      <c r="E7766" t="s">
        <v>553</v>
      </c>
      <c r="F7766" t="s">
        <v>1068</v>
      </c>
      <c r="G7766" t="s">
        <v>1078</v>
      </c>
      <c r="H7766">
        <v>-3.2002202668208599</v>
      </c>
      <c r="I7766" t="s">
        <v>1079</v>
      </c>
      <c r="J7766">
        <v>7.43</v>
      </c>
      <c r="M7766" t="str">
        <f>_xlfn.TEXTJOIN(" - ",TRUE,A7766,G7766)</f>
        <v>Recycle - OFF - China - Global warming</v>
      </c>
    </row>
    <row r="7767" spans="1:13" hidden="1">
      <c r="A7767" t="s">
        <v>5015</v>
      </c>
      <c r="B7767" t="s">
        <v>5016</v>
      </c>
      <c r="C7767" t="s">
        <v>244</v>
      </c>
      <c r="D7767" t="s">
        <v>4992</v>
      </c>
      <c r="E7767" t="s">
        <v>553</v>
      </c>
      <c r="F7767" t="s">
        <v>1068</v>
      </c>
      <c r="G7767" t="s">
        <v>1080</v>
      </c>
      <c r="H7767" s="171" t="s">
        <v>5020</v>
      </c>
      <c r="I7767" t="s">
        <v>1082</v>
      </c>
      <c r="J7767">
        <v>7.43</v>
      </c>
    </row>
    <row r="7768" spans="1:13" hidden="1">
      <c r="A7768" t="s">
        <v>5015</v>
      </c>
      <c r="B7768" t="s">
        <v>5016</v>
      </c>
      <c r="C7768" t="s">
        <v>244</v>
      </c>
      <c r="D7768" t="s">
        <v>4992</v>
      </c>
      <c r="E7768" t="s">
        <v>553</v>
      </c>
      <c r="F7768" t="s">
        <v>1068</v>
      </c>
      <c r="G7768" t="s">
        <v>1083</v>
      </c>
      <c r="H7768" s="171" t="s">
        <v>5021</v>
      </c>
      <c r="I7768" t="s">
        <v>1084</v>
      </c>
      <c r="J7768">
        <v>7.43</v>
      </c>
    </row>
    <row r="7769" spans="1:13" hidden="1">
      <c r="A7769" t="s">
        <v>5015</v>
      </c>
      <c r="B7769" t="s">
        <v>5016</v>
      </c>
      <c r="C7769" t="s">
        <v>244</v>
      </c>
      <c r="D7769" t="s">
        <v>4992</v>
      </c>
      <c r="E7769" t="s">
        <v>553</v>
      </c>
      <c r="F7769" t="s">
        <v>1068</v>
      </c>
      <c r="G7769" t="s">
        <v>1085</v>
      </c>
      <c r="H7769" s="170">
        <v>-8.4489355251272407E-5</v>
      </c>
      <c r="I7769" t="s">
        <v>1086</v>
      </c>
      <c r="J7769">
        <v>7.43</v>
      </c>
    </row>
    <row r="7770" spans="1:13" hidden="1">
      <c r="A7770" t="s">
        <v>5015</v>
      </c>
      <c r="B7770" t="s">
        <v>5016</v>
      </c>
      <c r="C7770" t="s">
        <v>244</v>
      </c>
      <c r="D7770" t="s">
        <v>4992</v>
      </c>
      <c r="E7770" t="s">
        <v>553</v>
      </c>
      <c r="F7770" t="s">
        <v>1068</v>
      </c>
      <c r="G7770" t="s">
        <v>1087</v>
      </c>
      <c r="H7770" s="171" t="s">
        <v>5022</v>
      </c>
      <c r="I7770" t="s">
        <v>1088</v>
      </c>
      <c r="J7770">
        <v>7.43</v>
      </c>
    </row>
    <row r="7771" spans="1:13" hidden="1">
      <c r="A7771" t="s">
        <v>5015</v>
      </c>
      <c r="B7771" t="s">
        <v>5016</v>
      </c>
      <c r="C7771" t="s">
        <v>244</v>
      </c>
      <c r="D7771" t="s">
        <v>4992</v>
      </c>
      <c r="E7771" t="s">
        <v>553</v>
      </c>
      <c r="F7771" t="s">
        <v>1068</v>
      </c>
      <c r="G7771" t="s">
        <v>1089</v>
      </c>
      <c r="H7771" s="170">
        <v>-7.7472459165002996E-5</v>
      </c>
      <c r="I7771" t="s">
        <v>1090</v>
      </c>
      <c r="J7771">
        <v>7.43</v>
      </c>
    </row>
    <row r="7772" spans="1:13" hidden="1">
      <c r="A7772" t="s">
        <v>5023</v>
      </c>
      <c r="B7772" t="s">
        <v>5024</v>
      </c>
      <c r="C7772" t="s">
        <v>244</v>
      </c>
      <c r="D7772" t="s">
        <v>4992</v>
      </c>
      <c r="E7772" t="s">
        <v>556</v>
      </c>
      <c r="F7772" t="s">
        <v>1068</v>
      </c>
      <c r="G7772" t="s">
        <v>1069</v>
      </c>
      <c r="H7772" s="171" t="s">
        <v>5025</v>
      </c>
      <c r="I7772" t="s">
        <v>1070</v>
      </c>
      <c r="J7772">
        <v>7.68</v>
      </c>
    </row>
    <row r="7773" spans="1:13" hidden="1">
      <c r="A7773" t="s">
        <v>5023</v>
      </c>
      <c r="B7773" t="s">
        <v>5024</v>
      </c>
      <c r="C7773" t="s">
        <v>244</v>
      </c>
      <c r="D7773" t="s">
        <v>4992</v>
      </c>
      <c r="E7773" t="s">
        <v>556</v>
      </c>
      <c r="F7773" t="s">
        <v>1068</v>
      </c>
      <c r="G7773" t="s">
        <v>1071</v>
      </c>
      <c r="H7773" s="171" t="s">
        <v>5026</v>
      </c>
      <c r="I7773" t="s">
        <v>1072</v>
      </c>
      <c r="J7773">
        <v>7.68</v>
      </c>
    </row>
    <row r="7774" spans="1:13" hidden="1">
      <c r="A7774" t="s">
        <v>5023</v>
      </c>
      <c r="B7774" t="s">
        <v>5024</v>
      </c>
      <c r="C7774" t="s">
        <v>244</v>
      </c>
      <c r="D7774" t="s">
        <v>4992</v>
      </c>
      <c r="E7774" t="s">
        <v>556</v>
      </c>
      <c r="F7774" t="s">
        <v>1068</v>
      </c>
      <c r="G7774" t="s">
        <v>1073</v>
      </c>
      <c r="H7774" s="171" t="s">
        <v>5027</v>
      </c>
      <c r="I7774" t="s">
        <v>1074</v>
      </c>
      <c r="J7774">
        <v>7.68</v>
      </c>
    </row>
    <row r="7775" spans="1:13" hidden="1">
      <c r="A7775" t="s">
        <v>5023</v>
      </c>
      <c r="B7775" t="s">
        <v>5024</v>
      </c>
      <c r="C7775" t="s">
        <v>244</v>
      </c>
      <c r="D7775" t="s">
        <v>4992</v>
      </c>
      <c r="E7775" t="s">
        <v>556</v>
      </c>
      <c r="F7775" t="s">
        <v>1068</v>
      </c>
      <c r="G7775" t="s">
        <v>1075</v>
      </c>
      <c r="H7775">
        <v>-5.0072253571031801E-3</v>
      </c>
      <c r="I7775" t="s">
        <v>1077</v>
      </c>
      <c r="J7775">
        <v>7.68</v>
      </c>
    </row>
    <row r="7776" spans="1:13">
      <c r="A7776" t="s">
        <v>5023</v>
      </c>
      <c r="B7776" t="s">
        <v>5024</v>
      </c>
      <c r="C7776" t="s">
        <v>244</v>
      </c>
      <c r="D7776" t="s">
        <v>4992</v>
      </c>
      <c r="E7776" t="s">
        <v>556</v>
      </c>
      <c r="F7776" t="s">
        <v>1068</v>
      </c>
      <c r="G7776" t="s">
        <v>1078</v>
      </c>
      <c r="H7776">
        <v>-3.1840863817488301</v>
      </c>
      <c r="I7776" t="s">
        <v>1079</v>
      </c>
      <c r="J7776">
        <v>7.68</v>
      </c>
      <c r="M7776" t="str">
        <f>_xlfn.TEXTJOIN(" - ",TRUE,A7776,G7776)</f>
        <v>Recycle - OFF - India - Global warming</v>
      </c>
    </row>
    <row r="7777" spans="1:13" hidden="1">
      <c r="A7777" t="s">
        <v>5023</v>
      </c>
      <c r="B7777" t="s">
        <v>5024</v>
      </c>
      <c r="C7777" t="s">
        <v>244</v>
      </c>
      <c r="D7777" t="s">
        <v>4992</v>
      </c>
      <c r="E7777" t="s">
        <v>556</v>
      </c>
      <c r="F7777" t="s">
        <v>1068</v>
      </c>
      <c r="G7777" t="s">
        <v>1080</v>
      </c>
      <c r="H7777" s="171" t="s">
        <v>5028</v>
      </c>
      <c r="I7777" t="s">
        <v>1082</v>
      </c>
      <c r="J7777">
        <v>7.68</v>
      </c>
    </row>
    <row r="7778" spans="1:13" hidden="1">
      <c r="A7778" t="s">
        <v>5023</v>
      </c>
      <c r="B7778" t="s">
        <v>5024</v>
      </c>
      <c r="C7778" t="s">
        <v>244</v>
      </c>
      <c r="D7778" t="s">
        <v>4992</v>
      </c>
      <c r="E7778" t="s">
        <v>556</v>
      </c>
      <c r="F7778" t="s">
        <v>1068</v>
      </c>
      <c r="G7778" t="s">
        <v>1083</v>
      </c>
      <c r="H7778" s="171" t="s">
        <v>5029</v>
      </c>
      <c r="I7778" t="s">
        <v>1084</v>
      </c>
      <c r="J7778">
        <v>7.68</v>
      </c>
    </row>
    <row r="7779" spans="1:13" hidden="1">
      <c r="A7779" t="s">
        <v>5023</v>
      </c>
      <c r="B7779" t="s">
        <v>5024</v>
      </c>
      <c r="C7779" t="s">
        <v>244</v>
      </c>
      <c r="D7779" t="s">
        <v>4992</v>
      </c>
      <c r="E7779" t="s">
        <v>556</v>
      </c>
      <c r="F7779" t="s">
        <v>1068</v>
      </c>
      <c r="G7779" t="s">
        <v>1085</v>
      </c>
      <c r="H7779" s="170">
        <v>-6.4213590813745898E-5</v>
      </c>
      <c r="I7779" t="s">
        <v>1086</v>
      </c>
      <c r="J7779">
        <v>7.68</v>
      </c>
    </row>
    <row r="7780" spans="1:13" hidden="1">
      <c r="A7780" t="s">
        <v>5023</v>
      </c>
      <c r="B7780" t="s">
        <v>5024</v>
      </c>
      <c r="C7780" t="s">
        <v>244</v>
      </c>
      <c r="D7780" t="s">
        <v>4992</v>
      </c>
      <c r="E7780" t="s">
        <v>556</v>
      </c>
      <c r="F7780" t="s">
        <v>1068</v>
      </c>
      <c r="G7780" t="s">
        <v>1087</v>
      </c>
      <c r="H7780" s="171" t="s">
        <v>5030</v>
      </c>
      <c r="I7780" t="s">
        <v>1088</v>
      </c>
      <c r="J7780">
        <v>7.68</v>
      </c>
    </row>
    <row r="7781" spans="1:13" hidden="1">
      <c r="A7781" t="s">
        <v>5023</v>
      </c>
      <c r="B7781" t="s">
        <v>5024</v>
      </c>
      <c r="C7781" t="s">
        <v>244</v>
      </c>
      <c r="D7781" t="s">
        <v>4992</v>
      </c>
      <c r="E7781" t="s">
        <v>556</v>
      </c>
      <c r="F7781" t="s">
        <v>1068</v>
      </c>
      <c r="G7781" t="s">
        <v>1089</v>
      </c>
      <c r="H7781" s="170">
        <v>-7.3289609000824605E-5</v>
      </c>
      <c r="I7781" t="s">
        <v>1090</v>
      </c>
      <c r="J7781">
        <v>7.68</v>
      </c>
    </row>
    <row r="7782" spans="1:13" hidden="1">
      <c r="A7782" t="s">
        <v>5031</v>
      </c>
      <c r="B7782" t="s">
        <v>5032</v>
      </c>
      <c r="C7782" t="s">
        <v>244</v>
      </c>
      <c r="D7782" t="s">
        <v>4992</v>
      </c>
      <c r="E7782" t="s">
        <v>557</v>
      </c>
      <c r="F7782" t="s">
        <v>1068</v>
      </c>
      <c r="G7782" t="s">
        <v>1069</v>
      </c>
      <c r="H7782" s="171" t="s">
        <v>5033</v>
      </c>
      <c r="I7782" t="s">
        <v>1070</v>
      </c>
      <c r="J7782">
        <v>7.44</v>
      </c>
    </row>
    <row r="7783" spans="1:13" hidden="1">
      <c r="A7783" t="s">
        <v>5031</v>
      </c>
      <c r="B7783" t="s">
        <v>5032</v>
      </c>
      <c r="C7783" t="s">
        <v>244</v>
      </c>
      <c r="D7783" t="s">
        <v>4992</v>
      </c>
      <c r="E7783" t="s">
        <v>557</v>
      </c>
      <c r="F7783" t="s">
        <v>1068</v>
      </c>
      <c r="G7783" t="s">
        <v>1071</v>
      </c>
      <c r="H7783" s="171" t="s">
        <v>5034</v>
      </c>
      <c r="I7783" t="s">
        <v>1072</v>
      </c>
      <c r="J7783">
        <v>7.44</v>
      </c>
    </row>
    <row r="7784" spans="1:13" hidden="1">
      <c r="A7784" t="s">
        <v>5031</v>
      </c>
      <c r="B7784" t="s">
        <v>5032</v>
      </c>
      <c r="C7784" t="s">
        <v>244</v>
      </c>
      <c r="D7784" t="s">
        <v>4992</v>
      </c>
      <c r="E7784" t="s">
        <v>557</v>
      </c>
      <c r="F7784" t="s">
        <v>1068</v>
      </c>
      <c r="G7784" t="s">
        <v>1073</v>
      </c>
      <c r="H7784" s="171" t="s">
        <v>5035</v>
      </c>
      <c r="I7784" t="s">
        <v>1074</v>
      </c>
      <c r="J7784">
        <v>7.44</v>
      </c>
    </row>
    <row r="7785" spans="1:13" hidden="1">
      <c r="A7785" t="s">
        <v>5031</v>
      </c>
      <c r="B7785" t="s">
        <v>5032</v>
      </c>
      <c r="C7785" t="s">
        <v>244</v>
      </c>
      <c r="D7785" t="s">
        <v>4992</v>
      </c>
      <c r="E7785" t="s">
        <v>557</v>
      </c>
      <c r="F7785" t="s">
        <v>1068</v>
      </c>
      <c r="G7785" t="s">
        <v>1075</v>
      </c>
      <c r="H7785">
        <v>-5.2217894300831602E-3</v>
      </c>
      <c r="I7785" t="s">
        <v>1077</v>
      </c>
      <c r="J7785">
        <v>7.44</v>
      </c>
    </row>
    <row r="7786" spans="1:13">
      <c r="A7786" t="s">
        <v>5031</v>
      </c>
      <c r="B7786" t="s">
        <v>5032</v>
      </c>
      <c r="C7786" t="s">
        <v>244</v>
      </c>
      <c r="D7786" t="s">
        <v>4992</v>
      </c>
      <c r="E7786" t="s">
        <v>557</v>
      </c>
      <c r="F7786" t="s">
        <v>1068</v>
      </c>
      <c r="G7786" t="s">
        <v>1078</v>
      </c>
      <c r="H7786">
        <v>-3.1933649599226599</v>
      </c>
      <c r="I7786" t="s">
        <v>1079</v>
      </c>
      <c r="J7786">
        <v>7.44</v>
      </c>
      <c r="M7786" t="str">
        <f>_xlfn.TEXTJOIN(" - ",TRUE,A7786,G7786)</f>
        <v>Recycle - OFF - Ireland - Global warming</v>
      </c>
    </row>
    <row r="7787" spans="1:13" hidden="1">
      <c r="A7787" t="s">
        <v>5031</v>
      </c>
      <c r="B7787" t="s">
        <v>5032</v>
      </c>
      <c r="C7787" t="s">
        <v>244</v>
      </c>
      <c r="D7787" t="s">
        <v>4992</v>
      </c>
      <c r="E7787" t="s">
        <v>557</v>
      </c>
      <c r="F7787" t="s">
        <v>1068</v>
      </c>
      <c r="G7787" t="s">
        <v>1080</v>
      </c>
      <c r="H7787" s="171" t="s">
        <v>5036</v>
      </c>
      <c r="I7787" t="s">
        <v>1082</v>
      </c>
      <c r="J7787">
        <v>7.44</v>
      </c>
    </row>
    <row r="7788" spans="1:13" hidden="1">
      <c r="A7788" t="s">
        <v>5031</v>
      </c>
      <c r="B7788" t="s">
        <v>5032</v>
      </c>
      <c r="C7788" t="s">
        <v>244</v>
      </c>
      <c r="D7788" t="s">
        <v>4992</v>
      </c>
      <c r="E7788" t="s">
        <v>557</v>
      </c>
      <c r="F7788" t="s">
        <v>1068</v>
      </c>
      <c r="G7788" t="s">
        <v>1083</v>
      </c>
      <c r="H7788" s="171" t="s">
        <v>5037</v>
      </c>
      <c r="I7788" t="s">
        <v>1084</v>
      </c>
      <c r="J7788">
        <v>7.44</v>
      </c>
    </row>
    <row r="7789" spans="1:13" hidden="1">
      <c r="A7789" t="s">
        <v>5031</v>
      </c>
      <c r="B7789" t="s">
        <v>5032</v>
      </c>
      <c r="C7789" t="s">
        <v>244</v>
      </c>
      <c r="D7789" t="s">
        <v>4992</v>
      </c>
      <c r="E7789" t="s">
        <v>557</v>
      </c>
      <c r="F7789" t="s">
        <v>1068</v>
      </c>
      <c r="G7789" t="s">
        <v>1085</v>
      </c>
      <c r="H7789" s="170">
        <v>-7.5874158899359205E-5</v>
      </c>
      <c r="I7789" t="s">
        <v>1086</v>
      </c>
      <c r="J7789">
        <v>7.44</v>
      </c>
    </row>
    <row r="7790" spans="1:13" hidden="1">
      <c r="A7790" t="s">
        <v>5031</v>
      </c>
      <c r="B7790" t="s">
        <v>5032</v>
      </c>
      <c r="C7790" t="s">
        <v>244</v>
      </c>
      <c r="D7790" t="s">
        <v>4992</v>
      </c>
      <c r="E7790" t="s">
        <v>557</v>
      </c>
      <c r="F7790" t="s">
        <v>1068</v>
      </c>
      <c r="G7790" t="s">
        <v>1087</v>
      </c>
      <c r="H7790" s="171" t="s">
        <v>5038</v>
      </c>
      <c r="I7790" t="s">
        <v>1088</v>
      </c>
      <c r="J7790">
        <v>7.44</v>
      </c>
    </row>
    <row r="7791" spans="1:13" hidden="1">
      <c r="A7791" t="s">
        <v>5031</v>
      </c>
      <c r="B7791" t="s">
        <v>5032</v>
      </c>
      <c r="C7791" t="s">
        <v>244</v>
      </c>
      <c r="D7791" t="s">
        <v>4992</v>
      </c>
      <c r="E7791" t="s">
        <v>557</v>
      </c>
      <c r="F7791" t="s">
        <v>1068</v>
      </c>
      <c r="G7791" t="s">
        <v>1089</v>
      </c>
      <c r="H7791" s="170">
        <v>-7.5695161170342195E-5</v>
      </c>
      <c r="I7791" t="s">
        <v>1090</v>
      </c>
      <c r="J7791">
        <v>7.44</v>
      </c>
    </row>
    <row r="7792" spans="1:13" hidden="1">
      <c r="A7792" t="s">
        <v>5039</v>
      </c>
      <c r="B7792" t="s">
        <v>5040</v>
      </c>
      <c r="C7792" t="s">
        <v>244</v>
      </c>
      <c r="D7792" t="s">
        <v>4992</v>
      </c>
      <c r="E7792" t="s">
        <v>559</v>
      </c>
      <c r="F7792" t="s">
        <v>1068</v>
      </c>
      <c r="G7792" t="s">
        <v>1069</v>
      </c>
      <c r="H7792" s="171" t="s">
        <v>5041</v>
      </c>
      <c r="I7792" t="s">
        <v>1070</v>
      </c>
      <c r="J7792">
        <v>7.96</v>
      </c>
    </row>
    <row r="7793" spans="1:13" hidden="1">
      <c r="A7793" t="s">
        <v>5039</v>
      </c>
      <c r="B7793" t="s">
        <v>5040</v>
      </c>
      <c r="C7793" t="s">
        <v>244</v>
      </c>
      <c r="D7793" t="s">
        <v>4992</v>
      </c>
      <c r="E7793" t="s">
        <v>559</v>
      </c>
      <c r="F7793" t="s">
        <v>1068</v>
      </c>
      <c r="G7793" t="s">
        <v>1071</v>
      </c>
      <c r="H7793" s="171" t="s">
        <v>5042</v>
      </c>
      <c r="I7793" t="s">
        <v>1072</v>
      </c>
      <c r="J7793">
        <v>7.96</v>
      </c>
    </row>
    <row r="7794" spans="1:13" hidden="1">
      <c r="A7794" t="s">
        <v>5039</v>
      </c>
      <c r="B7794" t="s">
        <v>5040</v>
      </c>
      <c r="C7794" t="s">
        <v>244</v>
      </c>
      <c r="D7794" t="s">
        <v>4992</v>
      </c>
      <c r="E7794" t="s">
        <v>559</v>
      </c>
      <c r="F7794" t="s">
        <v>1068</v>
      </c>
      <c r="G7794" t="s">
        <v>1073</v>
      </c>
      <c r="H7794" s="171" t="s">
        <v>5043</v>
      </c>
      <c r="I7794" t="s">
        <v>1074</v>
      </c>
      <c r="J7794">
        <v>7.96</v>
      </c>
    </row>
    <row r="7795" spans="1:13" hidden="1">
      <c r="A7795" t="s">
        <v>5039</v>
      </c>
      <c r="B7795" t="s">
        <v>5040</v>
      </c>
      <c r="C7795" t="s">
        <v>244</v>
      </c>
      <c r="D7795" t="s">
        <v>4992</v>
      </c>
      <c r="E7795" t="s">
        <v>559</v>
      </c>
      <c r="F7795" t="s">
        <v>1068</v>
      </c>
      <c r="G7795" t="s">
        <v>1075</v>
      </c>
      <c r="H7795">
        <v>-5.1181236420141801E-3</v>
      </c>
      <c r="I7795" t="s">
        <v>1077</v>
      </c>
      <c r="J7795">
        <v>7.96</v>
      </c>
    </row>
    <row r="7796" spans="1:13">
      <c r="A7796" t="s">
        <v>5039</v>
      </c>
      <c r="B7796" t="s">
        <v>5040</v>
      </c>
      <c r="C7796" t="s">
        <v>244</v>
      </c>
      <c r="D7796" t="s">
        <v>4992</v>
      </c>
      <c r="E7796" t="s">
        <v>559</v>
      </c>
      <c r="F7796" t="s">
        <v>1068</v>
      </c>
      <c r="G7796" t="s">
        <v>1078</v>
      </c>
      <c r="H7796">
        <v>-3.1888820513667602</v>
      </c>
      <c r="I7796" t="s">
        <v>1079</v>
      </c>
      <c r="J7796">
        <v>7.96</v>
      </c>
      <c r="M7796" t="str">
        <f>_xlfn.TEXTJOIN(" - ",TRUE,A7796,G7796)</f>
        <v>Recycle - OFF - Mexico - Global warming</v>
      </c>
    </row>
    <row r="7797" spans="1:13" hidden="1">
      <c r="A7797" t="s">
        <v>5039</v>
      </c>
      <c r="B7797" t="s">
        <v>5040</v>
      </c>
      <c r="C7797" t="s">
        <v>244</v>
      </c>
      <c r="D7797" t="s">
        <v>4992</v>
      </c>
      <c r="E7797" t="s">
        <v>559</v>
      </c>
      <c r="F7797" t="s">
        <v>1068</v>
      </c>
      <c r="G7797" t="s">
        <v>1080</v>
      </c>
      <c r="H7797" s="171" t="s">
        <v>5044</v>
      </c>
      <c r="I7797" t="s">
        <v>1082</v>
      </c>
      <c r="J7797">
        <v>7.96</v>
      </c>
    </row>
    <row r="7798" spans="1:13" hidden="1">
      <c r="A7798" t="s">
        <v>5039</v>
      </c>
      <c r="B7798" t="s">
        <v>5040</v>
      </c>
      <c r="C7798" t="s">
        <v>244</v>
      </c>
      <c r="D7798" t="s">
        <v>4992</v>
      </c>
      <c r="E7798" t="s">
        <v>559</v>
      </c>
      <c r="F7798" t="s">
        <v>1068</v>
      </c>
      <c r="G7798" t="s">
        <v>1083</v>
      </c>
      <c r="H7798" s="171" t="s">
        <v>5045</v>
      </c>
      <c r="I7798" t="s">
        <v>1084</v>
      </c>
      <c r="J7798">
        <v>7.96</v>
      </c>
    </row>
    <row r="7799" spans="1:13" hidden="1">
      <c r="A7799" t="s">
        <v>5039</v>
      </c>
      <c r="B7799" t="s">
        <v>5040</v>
      </c>
      <c r="C7799" t="s">
        <v>244</v>
      </c>
      <c r="D7799" t="s">
        <v>4992</v>
      </c>
      <c r="E7799" t="s">
        <v>559</v>
      </c>
      <c r="F7799" t="s">
        <v>1068</v>
      </c>
      <c r="G7799" t="s">
        <v>1085</v>
      </c>
      <c r="H7799" s="170">
        <v>-7.0240401284961604E-5</v>
      </c>
      <c r="I7799" t="s">
        <v>1086</v>
      </c>
      <c r="J7799">
        <v>7.96</v>
      </c>
    </row>
    <row r="7800" spans="1:13" hidden="1">
      <c r="A7800" t="s">
        <v>5039</v>
      </c>
      <c r="B7800" t="s">
        <v>5040</v>
      </c>
      <c r="C7800" t="s">
        <v>244</v>
      </c>
      <c r="D7800" t="s">
        <v>4992</v>
      </c>
      <c r="E7800" t="s">
        <v>559</v>
      </c>
      <c r="F7800" t="s">
        <v>1068</v>
      </c>
      <c r="G7800" t="s">
        <v>1087</v>
      </c>
      <c r="H7800" s="171" t="s">
        <v>5046</v>
      </c>
      <c r="I7800" t="s">
        <v>1088</v>
      </c>
      <c r="J7800">
        <v>7.96</v>
      </c>
    </row>
    <row r="7801" spans="1:13" hidden="1">
      <c r="A7801" t="s">
        <v>5039</v>
      </c>
      <c r="B7801" t="s">
        <v>5040</v>
      </c>
      <c r="C7801" t="s">
        <v>244</v>
      </c>
      <c r="D7801" t="s">
        <v>4992</v>
      </c>
      <c r="E7801" t="s">
        <v>559</v>
      </c>
      <c r="F7801" t="s">
        <v>1068</v>
      </c>
      <c r="G7801" t="s">
        <v>1089</v>
      </c>
      <c r="H7801" s="170">
        <v>-7.45329280996764E-5</v>
      </c>
      <c r="I7801" t="s">
        <v>1090</v>
      </c>
      <c r="J7801">
        <v>7.96</v>
      </c>
    </row>
    <row r="7802" spans="1:13" hidden="1">
      <c r="A7802" t="s">
        <v>5047</v>
      </c>
      <c r="B7802" t="s">
        <v>5048</v>
      </c>
      <c r="C7802" t="s">
        <v>244</v>
      </c>
      <c r="D7802" t="s">
        <v>4992</v>
      </c>
      <c r="E7802" t="s">
        <v>560</v>
      </c>
      <c r="F7802" t="s">
        <v>1068</v>
      </c>
      <c r="G7802" t="s">
        <v>1069</v>
      </c>
      <c r="H7802" s="171" t="s">
        <v>5049</v>
      </c>
      <c r="I7802" t="s">
        <v>1070</v>
      </c>
      <c r="J7802">
        <v>7.34</v>
      </c>
    </row>
    <row r="7803" spans="1:13" hidden="1">
      <c r="A7803" t="s">
        <v>5047</v>
      </c>
      <c r="B7803" t="s">
        <v>5048</v>
      </c>
      <c r="C7803" t="s">
        <v>244</v>
      </c>
      <c r="D7803" t="s">
        <v>4992</v>
      </c>
      <c r="E7803" t="s">
        <v>560</v>
      </c>
      <c r="F7803" t="s">
        <v>1068</v>
      </c>
      <c r="G7803" t="s">
        <v>1071</v>
      </c>
      <c r="H7803" s="171" t="s">
        <v>5050</v>
      </c>
      <c r="I7803" t="s">
        <v>1072</v>
      </c>
      <c r="J7803">
        <v>7.34</v>
      </c>
    </row>
    <row r="7804" spans="1:13" hidden="1">
      <c r="A7804" t="s">
        <v>5047</v>
      </c>
      <c r="B7804" t="s">
        <v>5048</v>
      </c>
      <c r="C7804" t="s">
        <v>244</v>
      </c>
      <c r="D7804" t="s">
        <v>4992</v>
      </c>
      <c r="E7804" t="s">
        <v>560</v>
      </c>
      <c r="F7804" t="s">
        <v>1068</v>
      </c>
      <c r="G7804" t="s">
        <v>1073</v>
      </c>
      <c r="H7804" s="171" t="s">
        <v>5051</v>
      </c>
      <c r="I7804" t="s">
        <v>1074</v>
      </c>
      <c r="J7804">
        <v>7.34</v>
      </c>
    </row>
    <row r="7805" spans="1:13" hidden="1">
      <c r="A7805" t="s">
        <v>5047</v>
      </c>
      <c r="B7805" t="s">
        <v>5048</v>
      </c>
      <c r="C7805" t="s">
        <v>244</v>
      </c>
      <c r="D7805" t="s">
        <v>4992</v>
      </c>
      <c r="E7805" t="s">
        <v>560</v>
      </c>
      <c r="F7805" t="s">
        <v>1068</v>
      </c>
      <c r="G7805" t="s">
        <v>1075</v>
      </c>
      <c r="H7805">
        <v>-5.1534467994302797E-3</v>
      </c>
      <c r="I7805" t="s">
        <v>1077</v>
      </c>
      <c r="J7805">
        <v>7.34</v>
      </c>
    </row>
    <row r="7806" spans="1:13">
      <c r="A7806" t="s">
        <v>5047</v>
      </c>
      <c r="B7806" t="s">
        <v>5048</v>
      </c>
      <c r="C7806" t="s">
        <v>244</v>
      </c>
      <c r="D7806" t="s">
        <v>4992</v>
      </c>
      <c r="E7806" t="s">
        <v>560</v>
      </c>
      <c r="F7806" t="s">
        <v>1068</v>
      </c>
      <c r="G7806" t="s">
        <v>1078</v>
      </c>
      <c r="H7806">
        <v>-3.1904095609487699</v>
      </c>
      <c r="I7806" t="s">
        <v>1079</v>
      </c>
      <c r="J7806">
        <v>7.34</v>
      </c>
      <c r="M7806" t="str">
        <f>_xlfn.TEXTJOIN(" - ",TRUE,A7806,G7806)</f>
        <v>Recycle - OFF - Spain - Global warming</v>
      </c>
    </row>
    <row r="7807" spans="1:13" hidden="1">
      <c r="A7807" t="s">
        <v>5047</v>
      </c>
      <c r="B7807" t="s">
        <v>5048</v>
      </c>
      <c r="C7807" t="s">
        <v>244</v>
      </c>
      <c r="D7807" t="s">
        <v>4992</v>
      </c>
      <c r="E7807" t="s">
        <v>560</v>
      </c>
      <c r="F7807" t="s">
        <v>1068</v>
      </c>
      <c r="G7807" t="s">
        <v>1080</v>
      </c>
      <c r="H7807" s="171" t="s">
        <v>5052</v>
      </c>
      <c r="I7807" t="s">
        <v>1082</v>
      </c>
      <c r="J7807">
        <v>7.34</v>
      </c>
    </row>
    <row r="7808" spans="1:13" hidden="1">
      <c r="A7808" t="s">
        <v>5047</v>
      </c>
      <c r="B7808" t="s">
        <v>5048</v>
      </c>
      <c r="C7808" t="s">
        <v>244</v>
      </c>
      <c r="D7808" t="s">
        <v>4992</v>
      </c>
      <c r="E7808" t="s">
        <v>560</v>
      </c>
      <c r="F7808" t="s">
        <v>1068</v>
      </c>
      <c r="G7808" t="s">
        <v>1083</v>
      </c>
      <c r="H7808" s="171" t="s">
        <v>5053</v>
      </c>
      <c r="I7808" t="s">
        <v>1084</v>
      </c>
      <c r="J7808">
        <v>7.34</v>
      </c>
    </row>
    <row r="7809" spans="1:13" hidden="1">
      <c r="A7809" t="s">
        <v>5047</v>
      </c>
      <c r="B7809" t="s">
        <v>5048</v>
      </c>
      <c r="C7809" t="s">
        <v>244</v>
      </c>
      <c r="D7809" t="s">
        <v>4992</v>
      </c>
      <c r="E7809" t="s">
        <v>560</v>
      </c>
      <c r="F7809" t="s">
        <v>1068</v>
      </c>
      <c r="G7809" t="s">
        <v>1085</v>
      </c>
      <c r="H7809" s="170">
        <v>-7.21600520276452E-5</v>
      </c>
      <c r="I7809" t="s">
        <v>1086</v>
      </c>
      <c r="J7809">
        <v>7.34</v>
      </c>
    </row>
    <row r="7810" spans="1:13" hidden="1">
      <c r="A7810" t="s">
        <v>5047</v>
      </c>
      <c r="B7810" t="s">
        <v>5048</v>
      </c>
      <c r="C7810" t="s">
        <v>244</v>
      </c>
      <c r="D7810" t="s">
        <v>4992</v>
      </c>
      <c r="E7810" t="s">
        <v>560</v>
      </c>
      <c r="F7810" t="s">
        <v>1068</v>
      </c>
      <c r="G7810" t="s">
        <v>1087</v>
      </c>
      <c r="H7810" s="171" t="s">
        <v>5054</v>
      </c>
      <c r="I7810" t="s">
        <v>1088</v>
      </c>
      <c r="J7810">
        <v>7.34</v>
      </c>
    </row>
    <row r="7811" spans="1:13" hidden="1">
      <c r="A7811" t="s">
        <v>5047</v>
      </c>
      <c r="B7811" t="s">
        <v>5048</v>
      </c>
      <c r="C7811" t="s">
        <v>244</v>
      </c>
      <c r="D7811" t="s">
        <v>4992</v>
      </c>
      <c r="E7811" t="s">
        <v>560</v>
      </c>
      <c r="F7811" t="s">
        <v>1068</v>
      </c>
      <c r="G7811" t="s">
        <v>1089</v>
      </c>
      <c r="H7811" s="170">
        <v>-7.4928948257088504E-5</v>
      </c>
      <c r="I7811" t="s">
        <v>1090</v>
      </c>
      <c r="J7811">
        <v>7.34</v>
      </c>
    </row>
    <row r="7812" spans="1:13" hidden="1">
      <c r="A7812" t="s">
        <v>5055</v>
      </c>
      <c r="B7812" t="s">
        <v>5056</v>
      </c>
      <c r="C7812" t="s">
        <v>244</v>
      </c>
      <c r="D7812" t="s">
        <v>4992</v>
      </c>
      <c r="E7812" t="s">
        <v>554</v>
      </c>
      <c r="F7812" t="s">
        <v>1068</v>
      </c>
      <c r="G7812" t="s">
        <v>1069</v>
      </c>
      <c r="H7812" s="171" t="s">
        <v>5057</v>
      </c>
      <c r="I7812" t="s">
        <v>1070</v>
      </c>
      <c r="J7812">
        <v>7.78</v>
      </c>
    </row>
    <row r="7813" spans="1:13" hidden="1">
      <c r="A7813" t="s">
        <v>5055</v>
      </c>
      <c r="B7813" t="s">
        <v>5056</v>
      </c>
      <c r="C7813" t="s">
        <v>244</v>
      </c>
      <c r="D7813" t="s">
        <v>4992</v>
      </c>
      <c r="E7813" t="s">
        <v>554</v>
      </c>
      <c r="F7813" t="s">
        <v>1068</v>
      </c>
      <c r="G7813" t="s">
        <v>1071</v>
      </c>
      <c r="H7813" s="171" t="s">
        <v>5058</v>
      </c>
      <c r="I7813" t="s">
        <v>1072</v>
      </c>
      <c r="J7813">
        <v>7.78</v>
      </c>
    </row>
    <row r="7814" spans="1:13" hidden="1">
      <c r="A7814" t="s">
        <v>5055</v>
      </c>
      <c r="B7814" t="s">
        <v>5056</v>
      </c>
      <c r="C7814" t="s">
        <v>244</v>
      </c>
      <c r="D7814" t="s">
        <v>4992</v>
      </c>
      <c r="E7814" t="s">
        <v>554</v>
      </c>
      <c r="F7814" t="s">
        <v>1068</v>
      </c>
      <c r="G7814" t="s">
        <v>1073</v>
      </c>
      <c r="H7814" s="171" t="s">
        <v>5059</v>
      </c>
      <c r="I7814" t="s">
        <v>1074</v>
      </c>
      <c r="J7814">
        <v>7.78</v>
      </c>
    </row>
    <row r="7815" spans="1:13" hidden="1">
      <c r="A7815" t="s">
        <v>5055</v>
      </c>
      <c r="B7815" t="s">
        <v>5056</v>
      </c>
      <c r="C7815" t="s">
        <v>244</v>
      </c>
      <c r="D7815" t="s">
        <v>4992</v>
      </c>
      <c r="E7815" t="s">
        <v>554</v>
      </c>
      <c r="F7815" t="s">
        <v>1068</v>
      </c>
      <c r="G7815" t="s">
        <v>1075</v>
      </c>
      <c r="H7815">
        <v>-5.3608735563518096E-3</v>
      </c>
      <c r="I7815" t="s">
        <v>1077</v>
      </c>
      <c r="J7815">
        <v>7.78</v>
      </c>
    </row>
    <row r="7816" spans="1:13">
      <c r="A7816" t="s">
        <v>5055</v>
      </c>
      <c r="B7816" t="s">
        <v>5056</v>
      </c>
      <c r="C7816" t="s">
        <v>244</v>
      </c>
      <c r="D7816" t="s">
        <v>4992</v>
      </c>
      <c r="E7816" t="s">
        <v>554</v>
      </c>
      <c r="F7816" t="s">
        <v>1068</v>
      </c>
      <c r="G7816" t="s">
        <v>1078</v>
      </c>
      <c r="H7816">
        <v>-3.1993794940448002</v>
      </c>
      <c r="I7816" t="s">
        <v>1079</v>
      </c>
      <c r="J7816">
        <v>7.78</v>
      </c>
      <c r="M7816" t="str">
        <f>_xlfn.TEXTJOIN(" - ",TRUE,A7816,G7816)</f>
        <v>Recycle - OFF - United States - Global warming</v>
      </c>
    </row>
    <row r="7817" spans="1:13" hidden="1">
      <c r="A7817" t="s">
        <v>5055</v>
      </c>
      <c r="B7817" t="s">
        <v>5056</v>
      </c>
      <c r="C7817" t="s">
        <v>244</v>
      </c>
      <c r="D7817" t="s">
        <v>4992</v>
      </c>
      <c r="E7817" t="s">
        <v>554</v>
      </c>
      <c r="F7817" t="s">
        <v>1068</v>
      </c>
      <c r="G7817" t="s">
        <v>1080</v>
      </c>
      <c r="H7817" s="171" t="s">
        <v>5060</v>
      </c>
      <c r="I7817" t="s">
        <v>1082</v>
      </c>
      <c r="J7817">
        <v>7.78</v>
      </c>
    </row>
    <row r="7818" spans="1:13" hidden="1">
      <c r="A7818" t="s">
        <v>5055</v>
      </c>
      <c r="B7818" t="s">
        <v>5056</v>
      </c>
      <c r="C7818" t="s">
        <v>244</v>
      </c>
      <c r="D7818" t="s">
        <v>4992</v>
      </c>
      <c r="E7818" t="s">
        <v>554</v>
      </c>
      <c r="F7818" t="s">
        <v>1068</v>
      </c>
      <c r="G7818" t="s">
        <v>1083</v>
      </c>
      <c r="H7818" s="171" t="s">
        <v>5061</v>
      </c>
      <c r="I7818" t="s">
        <v>1084</v>
      </c>
      <c r="J7818">
        <v>7.78</v>
      </c>
    </row>
    <row r="7819" spans="1:13" hidden="1">
      <c r="A7819" t="s">
        <v>5055</v>
      </c>
      <c r="B7819" t="s">
        <v>5056</v>
      </c>
      <c r="C7819" t="s">
        <v>244</v>
      </c>
      <c r="D7819" t="s">
        <v>4992</v>
      </c>
      <c r="E7819" t="s">
        <v>554</v>
      </c>
      <c r="F7819" t="s">
        <v>1068</v>
      </c>
      <c r="G7819" t="s">
        <v>1085</v>
      </c>
      <c r="H7819" s="170">
        <v>-8.3432739893181401E-5</v>
      </c>
      <c r="I7819" t="s">
        <v>1086</v>
      </c>
      <c r="J7819">
        <v>7.78</v>
      </c>
    </row>
    <row r="7820" spans="1:13" hidden="1">
      <c r="A7820" t="s">
        <v>5055</v>
      </c>
      <c r="B7820" t="s">
        <v>5056</v>
      </c>
      <c r="C7820" t="s">
        <v>244</v>
      </c>
      <c r="D7820" t="s">
        <v>4992</v>
      </c>
      <c r="E7820" t="s">
        <v>554</v>
      </c>
      <c r="F7820" t="s">
        <v>1068</v>
      </c>
      <c r="G7820" t="s">
        <v>1087</v>
      </c>
      <c r="H7820" s="171" t="s">
        <v>5062</v>
      </c>
      <c r="I7820" t="s">
        <v>1088</v>
      </c>
      <c r="J7820">
        <v>7.78</v>
      </c>
    </row>
    <row r="7821" spans="1:13" hidden="1">
      <c r="A7821" t="s">
        <v>5055</v>
      </c>
      <c r="B7821" t="s">
        <v>5056</v>
      </c>
      <c r="C7821" t="s">
        <v>244</v>
      </c>
      <c r="D7821" t="s">
        <v>4992</v>
      </c>
      <c r="E7821" t="s">
        <v>554</v>
      </c>
      <c r="F7821" t="s">
        <v>1068</v>
      </c>
      <c r="G7821" t="s">
        <v>1089</v>
      </c>
      <c r="H7821" s="170">
        <v>-7.7254481503165196E-5</v>
      </c>
      <c r="I7821" t="s">
        <v>1090</v>
      </c>
      <c r="J7821">
        <v>7.78</v>
      </c>
    </row>
    <row r="7822" spans="1:13" hidden="1">
      <c r="A7822" t="s">
        <v>5063</v>
      </c>
      <c r="B7822" t="s">
        <v>5064</v>
      </c>
      <c r="C7822" t="s">
        <v>244</v>
      </c>
      <c r="D7822" t="s">
        <v>5065</v>
      </c>
      <c r="E7822" t="s">
        <v>561</v>
      </c>
      <c r="F7822" t="s">
        <v>1068</v>
      </c>
      <c r="G7822" t="s">
        <v>1069</v>
      </c>
      <c r="H7822">
        <v>-3.6832903939051902</v>
      </c>
      <c r="I7822" t="s">
        <v>1070</v>
      </c>
      <c r="J7822">
        <v>7.56</v>
      </c>
    </row>
    <row r="7823" spans="1:13" hidden="1">
      <c r="A7823" t="s">
        <v>5063</v>
      </c>
      <c r="B7823" t="s">
        <v>5064</v>
      </c>
      <c r="C7823" t="s">
        <v>244</v>
      </c>
      <c r="D7823" t="s">
        <v>5065</v>
      </c>
      <c r="E7823" t="s">
        <v>561</v>
      </c>
      <c r="F7823" t="s">
        <v>1068</v>
      </c>
      <c r="G7823" t="s">
        <v>1071</v>
      </c>
      <c r="H7823" s="170">
        <v>-1.9834824068910199E-8</v>
      </c>
      <c r="I7823" t="s">
        <v>1072</v>
      </c>
      <c r="J7823">
        <v>7.56</v>
      </c>
    </row>
    <row r="7824" spans="1:13" hidden="1">
      <c r="A7824" t="s">
        <v>5063</v>
      </c>
      <c r="B7824" t="s">
        <v>5064</v>
      </c>
      <c r="C7824" t="s">
        <v>244</v>
      </c>
      <c r="D7824" t="s">
        <v>5065</v>
      </c>
      <c r="E7824" t="s">
        <v>561</v>
      </c>
      <c r="F7824" t="s">
        <v>1068</v>
      </c>
      <c r="G7824" t="s">
        <v>1073</v>
      </c>
      <c r="H7824" s="170">
        <v>-6.6990256517962003E-7</v>
      </c>
      <c r="I7824" t="s">
        <v>1074</v>
      </c>
      <c r="J7824">
        <v>7.56</v>
      </c>
    </row>
    <row r="7825" spans="1:13" hidden="1">
      <c r="A7825" t="s">
        <v>5063</v>
      </c>
      <c r="B7825" t="s">
        <v>5064</v>
      </c>
      <c r="C7825" t="s">
        <v>244</v>
      </c>
      <c r="D7825" t="s">
        <v>5065</v>
      </c>
      <c r="E7825" t="s">
        <v>561</v>
      </c>
      <c r="F7825" t="s">
        <v>1068</v>
      </c>
      <c r="G7825" t="s">
        <v>1075</v>
      </c>
      <c r="H7825">
        <v>-6.9190853193153601E-2</v>
      </c>
      <c r="I7825" t="s">
        <v>1077</v>
      </c>
      <c r="J7825">
        <v>7.56</v>
      </c>
    </row>
    <row r="7826" spans="1:13">
      <c r="A7826" t="s">
        <v>5063</v>
      </c>
      <c r="B7826" t="s">
        <v>5064</v>
      </c>
      <c r="C7826" t="s">
        <v>244</v>
      </c>
      <c r="D7826" t="s">
        <v>5065</v>
      </c>
      <c r="E7826" t="s">
        <v>561</v>
      </c>
      <c r="F7826" t="s">
        <v>1068</v>
      </c>
      <c r="G7826" t="s">
        <v>1078</v>
      </c>
      <c r="H7826" s="171" t="s">
        <v>5066</v>
      </c>
      <c r="I7826" t="s">
        <v>1079</v>
      </c>
      <c r="J7826">
        <v>7.56</v>
      </c>
      <c r="M7826" t="str">
        <f>_xlfn.TEXTJOIN(" - ",TRUE,A7826,G7826)</f>
        <v>Recycle - ONP - Australia - Global warming</v>
      </c>
    </row>
    <row r="7827" spans="1:13" hidden="1">
      <c r="A7827" t="s">
        <v>5063</v>
      </c>
      <c r="B7827" t="s">
        <v>5064</v>
      </c>
      <c r="C7827" t="s">
        <v>244</v>
      </c>
      <c r="D7827" t="s">
        <v>5065</v>
      </c>
      <c r="E7827" t="s">
        <v>561</v>
      </c>
      <c r="F7827" t="s">
        <v>1068</v>
      </c>
      <c r="G7827" t="s">
        <v>1080</v>
      </c>
      <c r="H7827" s="170">
        <v>-7.4245751015105597E-9</v>
      </c>
      <c r="I7827" t="s">
        <v>1082</v>
      </c>
      <c r="J7827">
        <v>7.56</v>
      </c>
    </row>
    <row r="7828" spans="1:13" hidden="1">
      <c r="A7828" t="s">
        <v>5063</v>
      </c>
      <c r="B7828" t="s">
        <v>5064</v>
      </c>
      <c r="C7828" t="s">
        <v>244</v>
      </c>
      <c r="D7828" t="s">
        <v>5065</v>
      </c>
      <c r="E7828" t="s">
        <v>561</v>
      </c>
      <c r="F7828" t="s">
        <v>1068</v>
      </c>
      <c r="G7828" t="s">
        <v>1083</v>
      </c>
      <c r="H7828">
        <v>-1.5126242667665499E-4</v>
      </c>
      <c r="I7828" t="s">
        <v>1084</v>
      </c>
      <c r="J7828">
        <v>7.56</v>
      </c>
    </row>
    <row r="7829" spans="1:13" hidden="1">
      <c r="A7829" t="s">
        <v>5063</v>
      </c>
      <c r="B7829" t="s">
        <v>5064</v>
      </c>
      <c r="C7829" t="s">
        <v>244</v>
      </c>
      <c r="D7829" t="s">
        <v>5065</v>
      </c>
      <c r="E7829" t="s">
        <v>561</v>
      </c>
      <c r="F7829" t="s">
        <v>1068</v>
      </c>
      <c r="G7829" t="s">
        <v>1085</v>
      </c>
      <c r="H7829">
        <v>-2.4875523162132302E-3</v>
      </c>
      <c r="I7829" t="s">
        <v>1086</v>
      </c>
      <c r="J7829">
        <v>7.56</v>
      </c>
    </row>
    <row r="7830" spans="1:13" hidden="1">
      <c r="A7830" t="s">
        <v>5063</v>
      </c>
      <c r="B7830" t="s">
        <v>5064</v>
      </c>
      <c r="C7830" t="s">
        <v>244</v>
      </c>
      <c r="D7830" t="s">
        <v>5065</v>
      </c>
      <c r="E7830" t="s">
        <v>561</v>
      </c>
      <c r="F7830" t="s">
        <v>1068</v>
      </c>
      <c r="G7830" t="s">
        <v>1087</v>
      </c>
      <c r="H7830" s="170">
        <v>-7.1117972285023102E-7</v>
      </c>
      <c r="I7830" t="s">
        <v>1088</v>
      </c>
      <c r="J7830">
        <v>7.56</v>
      </c>
    </row>
    <row r="7831" spans="1:13" hidden="1">
      <c r="A7831" t="s">
        <v>5063</v>
      </c>
      <c r="B7831" t="s">
        <v>5064</v>
      </c>
      <c r="C7831" t="s">
        <v>244</v>
      </c>
      <c r="D7831" t="s">
        <v>5065</v>
      </c>
      <c r="E7831" t="s">
        <v>561</v>
      </c>
      <c r="F7831" t="s">
        <v>1068</v>
      </c>
      <c r="G7831" t="s">
        <v>1089</v>
      </c>
      <c r="H7831">
        <v>-6.8636814302678803E-4</v>
      </c>
      <c r="I7831" t="s">
        <v>1090</v>
      </c>
      <c r="J7831">
        <v>7.56</v>
      </c>
    </row>
    <row r="7832" spans="1:13" hidden="1">
      <c r="A7832" t="s">
        <v>5067</v>
      </c>
      <c r="B7832" t="s">
        <v>5068</v>
      </c>
      <c r="C7832" t="s">
        <v>244</v>
      </c>
      <c r="D7832" t="s">
        <v>5065</v>
      </c>
      <c r="E7832" t="s">
        <v>555</v>
      </c>
      <c r="F7832" t="s">
        <v>1068</v>
      </c>
      <c r="G7832" t="s">
        <v>1069</v>
      </c>
      <c r="H7832">
        <v>-3.7619123526144702</v>
      </c>
      <c r="I7832" t="s">
        <v>1070</v>
      </c>
      <c r="J7832">
        <v>7.8</v>
      </c>
    </row>
    <row r="7833" spans="1:13" hidden="1">
      <c r="A7833" t="s">
        <v>5067</v>
      </c>
      <c r="B7833" t="s">
        <v>5068</v>
      </c>
      <c r="C7833" t="s">
        <v>244</v>
      </c>
      <c r="D7833" t="s">
        <v>5065</v>
      </c>
      <c r="E7833" t="s">
        <v>555</v>
      </c>
      <c r="F7833" t="s">
        <v>1068</v>
      </c>
      <c r="G7833" t="s">
        <v>1071</v>
      </c>
      <c r="H7833" s="170">
        <v>-1.9947332986296099E-8</v>
      </c>
      <c r="I7833" t="s">
        <v>1072</v>
      </c>
      <c r="J7833">
        <v>7.8</v>
      </c>
    </row>
    <row r="7834" spans="1:13" hidden="1">
      <c r="A7834" t="s">
        <v>5067</v>
      </c>
      <c r="B7834" t="s">
        <v>5068</v>
      </c>
      <c r="C7834" t="s">
        <v>244</v>
      </c>
      <c r="D7834" t="s">
        <v>5065</v>
      </c>
      <c r="E7834" t="s">
        <v>555</v>
      </c>
      <c r="F7834" t="s">
        <v>1068</v>
      </c>
      <c r="G7834" t="s">
        <v>1073</v>
      </c>
      <c r="H7834" s="170">
        <v>-6.9782933368818199E-7</v>
      </c>
      <c r="I7834" t="s">
        <v>1074</v>
      </c>
      <c r="J7834">
        <v>7.8</v>
      </c>
    </row>
    <row r="7835" spans="1:13" hidden="1">
      <c r="A7835" t="s">
        <v>5067</v>
      </c>
      <c r="B7835" t="s">
        <v>5068</v>
      </c>
      <c r="C7835" t="s">
        <v>244</v>
      </c>
      <c r="D7835" t="s">
        <v>5065</v>
      </c>
      <c r="E7835" t="s">
        <v>555</v>
      </c>
      <c r="F7835" t="s">
        <v>1068</v>
      </c>
      <c r="G7835" t="s">
        <v>1075</v>
      </c>
      <c r="H7835">
        <v>-7.1676177297392493E-2</v>
      </c>
      <c r="I7835" t="s">
        <v>1077</v>
      </c>
      <c r="J7835">
        <v>7.8</v>
      </c>
    </row>
    <row r="7836" spans="1:13">
      <c r="A7836" t="s">
        <v>5067</v>
      </c>
      <c r="B7836" t="s">
        <v>5068</v>
      </c>
      <c r="C7836" t="s">
        <v>244</v>
      </c>
      <c r="D7836" t="s">
        <v>5065</v>
      </c>
      <c r="E7836" t="s">
        <v>555</v>
      </c>
      <c r="F7836" t="s">
        <v>1068</v>
      </c>
      <c r="G7836" t="s">
        <v>1078</v>
      </c>
      <c r="H7836" s="171" t="s">
        <v>5069</v>
      </c>
      <c r="I7836" t="s">
        <v>1079</v>
      </c>
      <c r="J7836">
        <v>7.8</v>
      </c>
      <c r="M7836" t="str">
        <f>_xlfn.TEXTJOIN(" - ",TRUE,A7836,G7836)</f>
        <v>Recycle - ONP - Brazil - Global warming</v>
      </c>
    </row>
    <row r="7837" spans="1:13" hidden="1">
      <c r="A7837" t="s">
        <v>5067</v>
      </c>
      <c r="B7837" t="s">
        <v>5068</v>
      </c>
      <c r="C7837" t="s">
        <v>244</v>
      </c>
      <c r="D7837" t="s">
        <v>5065</v>
      </c>
      <c r="E7837" t="s">
        <v>555</v>
      </c>
      <c r="F7837" t="s">
        <v>1068</v>
      </c>
      <c r="G7837" t="s">
        <v>1080</v>
      </c>
      <c r="H7837" s="170">
        <v>-7.8616063498980506E-9</v>
      </c>
      <c r="I7837" t="s">
        <v>1082</v>
      </c>
      <c r="J7837">
        <v>7.8</v>
      </c>
    </row>
    <row r="7838" spans="1:13" hidden="1">
      <c r="A7838" t="s">
        <v>5067</v>
      </c>
      <c r="B7838" t="s">
        <v>5068</v>
      </c>
      <c r="C7838" t="s">
        <v>244</v>
      </c>
      <c r="D7838" t="s">
        <v>5065</v>
      </c>
      <c r="E7838" t="s">
        <v>555</v>
      </c>
      <c r="F7838" t="s">
        <v>1068</v>
      </c>
      <c r="G7838" t="s">
        <v>1083</v>
      </c>
      <c r="H7838">
        <v>-1.6321301530499799E-4</v>
      </c>
      <c r="I7838" t="s">
        <v>1084</v>
      </c>
      <c r="J7838">
        <v>7.8</v>
      </c>
    </row>
    <row r="7839" spans="1:13" hidden="1">
      <c r="A7839" t="s">
        <v>5067</v>
      </c>
      <c r="B7839" t="s">
        <v>5068</v>
      </c>
      <c r="C7839" t="s">
        <v>244</v>
      </c>
      <c r="D7839" t="s">
        <v>5065</v>
      </c>
      <c r="E7839" t="s">
        <v>555</v>
      </c>
      <c r="F7839" t="s">
        <v>1068</v>
      </c>
      <c r="G7839" t="s">
        <v>1085</v>
      </c>
      <c r="H7839">
        <v>-2.6226182223073801E-3</v>
      </c>
      <c r="I7839" t="s">
        <v>1086</v>
      </c>
      <c r="J7839">
        <v>7.8</v>
      </c>
    </row>
    <row r="7840" spans="1:13" hidden="1">
      <c r="A7840" t="s">
        <v>5067</v>
      </c>
      <c r="B7840" t="s">
        <v>5068</v>
      </c>
      <c r="C7840" t="s">
        <v>244</v>
      </c>
      <c r="D7840" t="s">
        <v>5065</v>
      </c>
      <c r="E7840" t="s">
        <v>555</v>
      </c>
      <c r="F7840" t="s">
        <v>1068</v>
      </c>
      <c r="G7840" t="s">
        <v>1087</v>
      </c>
      <c r="H7840" s="170">
        <v>-7.7636314584420801E-7</v>
      </c>
      <c r="I7840" t="s">
        <v>1088</v>
      </c>
      <c r="J7840">
        <v>7.8</v>
      </c>
    </row>
    <row r="7841" spans="1:13" hidden="1">
      <c r="A7841" t="s">
        <v>5067</v>
      </c>
      <c r="B7841" t="s">
        <v>5068</v>
      </c>
      <c r="C7841" t="s">
        <v>244</v>
      </c>
      <c r="D7841" t="s">
        <v>5065</v>
      </c>
      <c r="E7841" t="s">
        <v>555</v>
      </c>
      <c r="F7841" t="s">
        <v>1068</v>
      </c>
      <c r="G7841" t="s">
        <v>1089</v>
      </c>
      <c r="H7841">
        <v>-7.1423197273449502E-4</v>
      </c>
      <c r="I7841" t="s">
        <v>1090</v>
      </c>
      <c r="J7841">
        <v>7.8</v>
      </c>
    </row>
    <row r="7842" spans="1:13" hidden="1">
      <c r="A7842" t="s">
        <v>5070</v>
      </c>
      <c r="B7842" t="s">
        <v>5071</v>
      </c>
      <c r="C7842" t="s">
        <v>244</v>
      </c>
      <c r="D7842" t="s">
        <v>5065</v>
      </c>
      <c r="E7842" t="s">
        <v>558</v>
      </c>
      <c r="F7842" t="s">
        <v>1068</v>
      </c>
      <c r="G7842" t="s">
        <v>1069</v>
      </c>
      <c r="H7842">
        <v>-3.6763290746444701</v>
      </c>
      <c r="I7842" t="s">
        <v>1070</v>
      </c>
      <c r="J7842">
        <v>7.51</v>
      </c>
    </row>
    <row r="7843" spans="1:13" hidden="1">
      <c r="A7843" t="s">
        <v>5070</v>
      </c>
      <c r="B7843" t="s">
        <v>5071</v>
      </c>
      <c r="C7843" t="s">
        <v>244</v>
      </c>
      <c r="D7843" t="s">
        <v>5065</v>
      </c>
      <c r="E7843" t="s">
        <v>558</v>
      </c>
      <c r="F7843" t="s">
        <v>1068</v>
      </c>
      <c r="G7843" t="s">
        <v>1071</v>
      </c>
      <c r="H7843" s="170">
        <v>-1.982486234185E-8</v>
      </c>
      <c r="I7843" t="s">
        <v>1072</v>
      </c>
      <c r="J7843">
        <v>7.51</v>
      </c>
    </row>
    <row r="7844" spans="1:13" hidden="1">
      <c r="A7844" t="s">
        <v>5070</v>
      </c>
      <c r="B7844" t="s">
        <v>5071</v>
      </c>
      <c r="C7844" t="s">
        <v>244</v>
      </c>
      <c r="D7844" t="s">
        <v>5065</v>
      </c>
      <c r="E7844" t="s">
        <v>558</v>
      </c>
      <c r="F7844" t="s">
        <v>1068</v>
      </c>
      <c r="G7844" t="s">
        <v>1073</v>
      </c>
      <c r="H7844" s="170">
        <v>-6.6742988255125596E-7</v>
      </c>
      <c r="I7844" t="s">
        <v>1074</v>
      </c>
      <c r="J7844">
        <v>7.51</v>
      </c>
    </row>
    <row r="7845" spans="1:13" hidden="1">
      <c r="A7845" t="s">
        <v>5070</v>
      </c>
      <c r="B7845" t="s">
        <v>5071</v>
      </c>
      <c r="C7845" t="s">
        <v>244</v>
      </c>
      <c r="D7845" t="s">
        <v>5065</v>
      </c>
      <c r="E7845" t="s">
        <v>558</v>
      </c>
      <c r="F7845" t="s">
        <v>1068</v>
      </c>
      <c r="G7845" t="s">
        <v>1075</v>
      </c>
      <c r="H7845">
        <v>-6.8970798454754095E-2</v>
      </c>
      <c r="I7845" t="s">
        <v>1077</v>
      </c>
      <c r="J7845">
        <v>7.51</v>
      </c>
    </row>
    <row r="7846" spans="1:13">
      <c r="A7846" t="s">
        <v>5070</v>
      </c>
      <c r="B7846" t="s">
        <v>5071</v>
      </c>
      <c r="C7846" t="s">
        <v>244</v>
      </c>
      <c r="D7846" t="s">
        <v>5065</v>
      </c>
      <c r="E7846" t="s">
        <v>558</v>
      </c>
      <c r="F7846" t="s">
        <v>1068</v>
      </c>
      <c r="G7846" t="s">
        <v>1078</v>
      </c>
      <c r="H7846" s="171" t="s">
        <v>5072</v>
      </c>
      <c r="I7846" t="s">
        <v>1079</v>
      </c>
      <c r="J7846">
        <v>7.51</v>
      </c>
      <c r="M7846" t="str">
        <f>_xlfn.TEXTJOIN(" - ",TRUE,A7846,G7846)</f>
        <v>Recycle - ONP - Canada - Global warming</v>
      </c>
    </row>
    <row r="7847" spans="1:13" hidden="1">
      <c r="A7847" t="s">
        <v>5070</v>
      </c>
      <c r="B7847" t="s">
        <v>5071</v>
      </c>
      <c r="C7847" t="s">
        <v>244</v>
      </c>
      <c r="D7847" t="s">
        <v>5065</v>
      </c>
      <c r="E7847" t="s">
        <v>558</v>
      </c>
      <c r="F7847" t="s">
        <v>1068</v>
      </c>
      <c r="G7847" t="s">
        <v>1080</v>
      </c>
      <c r="H7847" s="170">
        <v>-7.38587962639293E-9</v>
      </c>
      <c r="I7847" t="s">
        <v>1082</v>
      </c>
      <c r="J7847">
        <v>7.51</v>
      </c>
    </row>
    <row r="7848" spans="1:13" hidden="1">
      <c r="A7848" t="s">
        <v>5070</v>
      </c>
      <c r="B7848" t="s">
        <v>5071</v>
      </c>
      <c r="C7848" t="s">
        <v>244</v>
      </c>
      <c r="D7848" t="s">
        <v>5065</v>
      </c>
      <c r="E7848" t="s">
        <v>558</v>
      </c>
      <c r="F7848" t="s">
        <v>1068</v>
      </c>
      <c r="G7848" t="s">
        <v>1083</v>
      </c>
      <c r="H7848">
        <v>-1.5020430164185201E-4</v>
      </c>
      <c r="I7848" t="s">
        <v>1084</v>
      </c>
      <c r="J7848">
        <v>7.51</v>
      </c>
    </row>
    <row r="7849" spans="1:13" hidden="1">
      <c r="A7849" t="s">
        <v>5070</v>
      </c>
      <c r="B7849" t="s">
        <v>5071</v>
      </c>
      <c r="C7849" t="s">
        <v>244</v>
      </c>
      <c r="D7849" t="s">
        <v>5065</v>
      </c>
      <c r="E7849" t="s">
        <v>558</v>
      </c>
      <c r="F7849" t="s">
        <v>1068</v>
      </c>
      <c r="G7849" t="s">
        <v>1085</v>
      </c>
      <c r="H7849">
        <v>-2.4755933557777101E-3</v>
      </c>
      <c r="I7849" t="s">
        <v>1086</v>
      </c>
      <c r="J7849">
        <v>7.51</v>
      </c>
    </row>
    <row r="7850" spans="1:13" hidden="1">
      <c r="A7850" t="s">
        <v>5070</v>
      </c>
      <c r="B7850" t="s">
        <v>5071</v>
      </c>
      <c r="C7850" t="s">
        <v>244</v>
      </c>
      <c r="D7850" t="s">
        <v>5065</v>
      </c>
      <c r="E7850" t="s">
        <v>558</v>
      </c>
      <c r="F7850" t="s">
        <v>1068</v>
      </c>
      <c r="G7850" t="s">
        <v>1087</v>
      </c>
      <c r="H7850" s="170">
        <v>-7.0540827393930596E-7</v>
      </c>
      <c r="I7850" t="s">
        <v>1088</v>
      </c>
      <c r="J7850">
        <v>7.51</v>
      </c>
    </row>
    <row r="7851" spans="1:13" hidden="1">
      <c r="A7851" t="s">
        <v>5070</v>
      </c>
      <c r="B7851" t="s">
        <v>5071</v>
      </c>
      <c r="C7851" t="s">
        <v>244</v>
      </c>
      <c r="D7851" t="s">
        <v>5065</v>
      </c>
      <c r="E7851" t="s">
        <v>558</v>
      </c>
      <c r="F7851" t="s">
        <v>1068</v>
      </c>
      <c r="G7851" t="s">
        <v>1089</v>
      </c>
      <c r="H7851">
        <v>-6.8390103310471699E-4</v>
      </c>
      <c r="I7851" t="s">
        <v>1090</v>
      </c>
      <c r="J7851">
        <v>7.51</v>
      </c>
    </row>
    <row r="7852" spans="1:13" hidden="1">
      <c r="A7852" t="s">
        <v>5073</v>
      </c>
      <c r="B7852" t="s">
        <v>5074</v>
      </c>
      <c r="C7852" t="s">
        <v>244</v>
      </c>
      <c r="D7852" t="s">
        <v>5065</v>
      </c>
      <c r="E7852" t="s">
        <v>553</v>
      </c>
      <c r="F7852" t="s">
        <v>1068</v>
      </c>
      <c r="G7852" t="s">
        <v>1069</v>
      </c>
      <c r="H7852">
        <v>-3.6695112877396401</v>
      </c>
      <c r="I7852" t="s">
        <v>1070</v>
      </c>
      <c r="J7852">
        <v>8.5299999999999994</v>
      </c>
    </row>
    <row r="7853" spans="1:13" hidden="1">
      <c r="A7853" t="s">
        <v>5073</v>
      </c>
      <c r="B7853" t="s">
        <v>5074</v>
      </c>
      <c r="C7853" t="s">
        <v>244</v>
      </c>
      <c r="D7853" t="s">
        <v>5065</v>
      </c>
      <c r="E7853" t="s">
        <v>553</v>
      </c>
      <c r="F7853" t="s">
        <v>1068</v>
      </c>
      <c r="G7853" t="s">
        <v>1071</v>
      </c>
      <c r="H7853" s="170">
        <v>-1.9815106011224E-8</v>
      </c>
      <c r="I7853" t="s">
        <v>1072</v>
      </c>
      <c r="J7853">
        <v>8.5299999999999994</v>
      </c>
    </row>
    <row r="7854" spans="1:13" hidden="1">
      <c r="A7854" t="s">
        <v>5073</v>
      </c>
      <c r="B7854" t="s">
        <v>5074</v>
      </c>
      <c r="C7854" t="s">
        <v>244</v>
      </c>
      <c r="D7854" t="s">
        <v>5065</v>
      </c>
      <c r="E7854" t="s">
        <v>553</v>
      </c>
      <c r="F7854" t="s">
        <v>1068</v>
      </c>
      <c r="G7854" t="s">
        <v>1073</v>
      </c>
      <c r="H7854" s="170">
        <v>-6.6500818306987198E-7</v>
      </c>
      <c r="I7854" t="s">
        <v>1074</v>
      </c>
      <c r="J7854">
        <v>8.5299999999999994</v>
      </c>
    </row>
    <row r="7855" spans="1:13" hidden="1">
      <c r="A7855" t="s">
        <v>5073</v>
      </c>
      <c r="B7855" t="s">
        <v>5074</v>
      </c>
      <c r="C7855" t="s">
        <v>244</v>
      </c>
      <c r="D7855" t="s">
        <v>5065</v>
      </c>
      <c r="E7855" t="s">
        <v>553</v>
      </c>
      <c r="F7855" t="s">
        <v>1068</v>
      </c>
      <c r="G7855" t="s">
        <v>1075</v>
      </c>
      <c r="H7855">
        <v>-6.8755280927462206E-2</v>
      </c>
      <c r="I7855" t="s">
        <v>1077</v>
      </c>
      <c r="J7855">
        <v>8.5299999999999994</v>
      </c>
    </row>
    <row r="7856" spans="1:13">
      <c r="A7856" t="s">
        <v>5073</v>
      </c>
      <c r="B7856" t="s">
        <v>5074</v>
      </c>
      <c r="C7856" t="s">
        <v>244</v>
      </c>
      <c r="D7856" t="s">
        <v>5065</v>
      </c>
      <c r="E7856" t="s">
        <v>553</v>
      </c>
      <c r="F7856" t="s">
        <v>1068</v>
      </c>
      <c r="G7856" t="s">
        <v>1078</v>
      </c>
      <c r="H7856" s="171" t="s">
        <v>5075</v>
      </c>
      <c r="I7856" t="s">
        <v>1079</v>
      </c>
      <c r="J7856">
        <v>8.5299999999999994</v>
      </c>
      <c r="M7856" t="str">
        <f>_xlfn.TEXTJOIN(" - ",TRUE,A7856,G7856)</f>
        <v>Recycle - ONP - China - Global warming</v>
      </c>
    </row>
    <row r="7857" spans="1:13" hidden="1">
      <c r="A7857" t="s">
        <v>5073</v>
      </c>
      <c r="B7857" t="s">
        <v>5074</v>
      </c>
      <c r="C7857" t="s">
        <v>244</v>
      </c>
      <c r="D7857" t="s">
        <v>5065</v>
      </c>
      <c r="E7857" t="s">
        <v>553</v>
      </c>
      <c r="F7857" t="s">
        <v>1068</v>
      </c>
      <c r="G7857" t="s">
        <v>1080</v>
      </c>
      <c r="H7857" s="170">
        <v>-7.3479819961230598E-9</v>
      </c>
      <c r="I7857" t="s">
        <v>1082</v>
      </c>
      <c r="J7857">
        <v>8.5299999999999994</v>
      </c>
    </row>
    <row r="7858" spans="1:13" hidden="1">
      <c r="A7858" t="s">
        <v>5073</v>
      </c>
      <c r="B7858" t="s">
        <v>5074</v>
      </c>
      <c r="C7858" t="s">
        <v>244</v>
      </c>
      <c r="D7858" t="s">
        <v>5065</v>
      </c>
      <c r="E7858" t="s">
        <v>553</v>
      </c>
      <c r="F7858" t="s">
        <v>1068</v>
      </c>
      <c r="G7858" t="s">
        <v>1083</v>
      </c>
      <c r="H7858">
        <v>-1.49167993618079E-4</v>
      </c>
      <c r="I7858" t="s">
        <v>1084</v>
      </c>
      <c r="J7858">
        <v>8.5299999999999994</v>
      </c>
    </row>
    <row r="7859" spans="1:13" hidden="1">
      <c r="A7859" t="s">
        <v>5073</v>
      </c>
      <c r="B7859" t="s">
        <v>5074</v>
      </c>
      <c r="C7859" t="s">
        <v>244</v>
      </c>
      <c r="D7859" t="s">
        <v>5065</v>
      </c>
      <c r="E7859" t="s">
        <v>553</v>
      </c>
      <c r="F7859" t="s">
        <v>1068</v>
      </c>
      <c r="G7859" t="s">
        <v>1085</v>
      </c>
      <c r="H7859">
        <v>-2.4638809718462102E-3</v>
      </c>
      <c r="I7859" t="s">
        <v>1086</v>
      </c>
      <c r="J7859">
        <v>8.5299999999999994</v>
      </c>
    </row>
    <row r="7860" spans="1:13" hidden="1">
      <c r="A7860" t="s">
        <v>5073</v>
      </c>
      <c r="B7860" t="s">
        <v>5074</v>
      </c>
      <c r="C7860" t="s">
        <v>244</v>
      </c>
      <c r="D7860" t="s">
        <v>5065</v>
      </c>
      <c r="E7860" t="s">
        <v>553</v>
      </c>
      <c r="F7860" t="s">
        <v>1068</v>
      </c>
      <c r="G7860" t="s">
        <v>1087</v>
      </c>
      <c r="H7860" s="170">
        <v>-6.9975582397499803E-7</v>
      </c>
      <c r="I7860" t="s">
        <v>1088</v>
      </c>
      <c r="J7860">
        <v>8.5299999999999994</v>
      </c>
    </row>
    <row r="7861" spans="1:13" hidden="1">
      <c r="A7861" t="s">
        <v>5073</v>
      </c>
      <c r="B7861" t="s">
        <v>5074</v>
      </c>
      <c r="C7861" t="s">
        <v>244</v>
      </c>
      <c r="D7861" t="s">
        <v>5065</v>
      </c>
      <c r="E7861" t="s">
        <v>553</v>
      </c>
      <c r="F7861" t="s">
        <v>1068</v>
      </c>
      <c r="G7861" t="s">
        <v>1089</v>
      </c>
      <c r="H7861">
        <v>-6.8148479142853002E-4</v>
      </c>
      <c r="I7861" t="s">
        <v>1090</v>
      </c>
      <c r="J7861">
        <v>8.5299999999999994</v>
      </c>
    </row>
    <row r="7862" spans="1:13" hidden="1">
      <c r="A7862" t="s">
        <v>5076</v>
      </c>
      <c r="B7862" t="s">
        <v>5077</v>
      </c>
      <c r="C7862" t="s">
        <v>244</v>
      </c>
      <c r="D7862" t="s">
        <v>5065</v>
      </c>
      <c r="E7862" t="s">
        <v>556</v>
      </c>
      <c r="F7862" t="s">
        <v>1068</v>
      </c>
      <c r="G7862" t="s">
        <v>1069</v>
      </c>
      <c r="H7862">
        <v>-3.7532273688035702</v>
      </c>
      <c r="I7862" t="s">
        <v>1070</v>
      </c>
      <c r="J7862">
        <v>7.64</v>
      </c>
    </row>
    <row r="7863" spans="1:13" hidden="1">
      <c r="A7863" t="s">
        <v>5076</v>
      </c>
      <c r="B7863" t="s">
        <v>5077</v>
      </c>
      <c r="C7863" t="s">
        <v>244</v>
      </c>
      <c r="D7863" t="s">
        <v>5065</v>
      </c>
      <c r="E7863" t="s">
        <v>556</v>
      </c>
      <c r="F7863" t="s">
        <v>1068</v>
      </c>
      <c r="G7863" t="s">
        <v>1071</v>
      </c>
      <c r="H7863" s="170">
        <v>-1.9934904675654699E-8</v>
      </c>
      <c r="I7863" t="s">
        <v>1072</v>
      </c>
      <c r="J7863">
        <v>7.64</v>
      </c>
    </row>
    <row r="7864" spans="1:13" hidden="1">
      <c r="A7864" t="s">
        <v>5076</v>
      </c>
      <c r="B7864" t="s">
        <v>5077</v>
      </c>
      <c r="C7864" t="s">
        <v>244</v>
      </c>
      <c r="D7864" t="s">
        <v>5065</v>
      </c>
      <c r="E7864" t="s">
        <v>556</v>
      </c>
      <c r="F7864" t="s">
        <v>1068</v>
      </c>
      <c r="G7864" t="s">
        <v>1073</v>
      </c>
      <c r="H7864" s="170">
        <v>-6.9474439995758505E-7</v>
      </c>
      <c r="I7864" t="s">
        <v>1074</v>
      </c>
      <c r="J7864">
        <v>7.64</v>
      </c>
    </row>
    <row r="7865" spans="1:13" hidden="1">
      <c r="A7865" t="s">
        <v>5076</v>
      </c>
      <c r="B7865" t="s">
        <v>5077</v>
      </c>
      <c r="C7865" t="s">
        <v>244</v>
      </c>
      <c r="D7865" t="s">
        <v>5065</v>
      </c>
      <c r="E7865" t="s">
        <v>556</v>
      </c>
      <c r="F7865" t="s">
        <v>1068</v>
      </c>
      <c r="G7865" t="s">
        <v>1075</v>
      </c>
      <c r="H7865">
        <v>-7.1401635681226594E-2</v>
      </c>
      <c r="I7865" t="s">
        <v>1077</v>
      </c>
      <c r="J7865">
        <v>7.64</v>
      </c>
    </row>
    <row r="7866" spans="1:13">
      <c r="A7866" t="s">
        <v>5076</v>
      </c>
      <c r="B7866" t="s">
        <v>5077</v>
      </c>
      <c r="C7866" t="s">
        <v>244</v>
      </c>
      <c r="D7866" t="s">
        <v>5065</v>
      </c>
      <c r="E7866" t="s">
        <v>556</v>
      </c>
      <c r="F7866" t="s">
        <v>1068</v>
      </c>
      <c r="G7866" t="s">
        <v>1078</v>
      </c>
      <c r="H7866" s="171" t="s">
        <v>5078</v>
      </c>
      <c r="I7866" t="s">
        <v>1079</v>
      </c>
      <c r="J7866">
        <v>7.64</v>
      </c>
      <c r="M7866" t="str">
        <f>_xlfn.TEXTJOIN(" - ",TRUE,A7866,G7866)</f>
        <v>Recycle - ONP - India - Global warming</v>
      </c>
    </row>
    <row r="7867" spans="1:13" hidden="1">
      <c r="A7867" t="s">
        <v>5076</v>
      </c>
      <c r="B7867" t="s">
        <v>5077</v>
      </c>
      <c r="C7867" t="s">
        <v>244</v>
      </c>
      <c r="D7867" t="s">
        <v>5065</v>
      </c>
      <c r="E7867" t="s">
        <v>556</v>
      </c>
      <c r="F7867" t="s">
        <v>1068</v>
      </c>
      <c r="G7867" t="s">
        <v>1080</v>
      </c>
      <c r="H7867" s="170">
        <v>-7.8133296422273496E-9</v>
      </c>
      <c r="I7867" t="s">
        <v>1082</v>
      </c>
      <c r="J7867">
        <v>7.64</v>
      </c>
    </row>
    <row r="7868" spans="1:13" hidden="1">
      <c r="A7868" t="s">
        <v>5076</v>
      </c>
      <c r="B7868" t="s">
        <v>5077</v>
      </c>
      <c r="C7868" t="s">
        <v>244</v>
      </c>
      <c r="D7868" t="s">
        <v>5065</v>
      </c>
      <c r="E7868" t="s">
        <v>556</v>
      </c>
      <c r="F7868" t="s">
        <v>1068</v>
      </c>
      <c r="G7868" t="s">
        <v>1083</v>
      </c>
      <c r="H7868">
        <v>-1.61892892142565E-4</v>
      </c>
      <c r="I7868" t="s">
        <v>1084</v>
      </c>
      <c r="J7868">
        <v>7.64</v>
      </c>
    </row>
    <row r="7869" spans="1:13" hidden="1">
      <c r="A7869" t="s">
        <v>5076</v>
      </c>
      <c r="B7869" t="s">
        <v>5077</v>
      </c>
      <c r="C7869" t="s">
        <v>244</v>
      </c>
      <c r="D7869" t="s">
        <v>5065</v>
      </c>
      <c r="E7869" t="s">
        <v>556</v>
      </c>
      <c r="F7869" t="s">
        <v>1068</v>
      </c>
      <c r="G7869" t="s">
        <v>1085</v>
      </c>
      <c r="H7869">
        <v>-2.60769815128535E-3</v>
      </c>
      <c r="I7869" t="s">
        <v>1086</v>
      </c>
      <c r="J7869">
        <v>7.64</v>
      </c>
    </row>
    <row r="7870" spans="1:13" hidden="1">
      <c r="A7870" t="s">
        <v>5076</v>
      </c>
      <c r="B7870" t="s">
        <v>5077</v>
      </c>
      <c r="C7870" t="s">
        <v>244</v>
      </c>
      <c r="D7870" t="s">
        <v>5065</v>
      </c>
      <c r="E7870" t="s">
        <v>556</v>
      </c>
      <c r="F7870" t="s">
        <v>1068</v>
      </c>
      <c r="G7870" t="s">
        <v>1087</v>
      </c>
      <c r="H7870" s="170">
        <v>-7.6916265144371103E-7</v>
      </c>
      <c r="I7870" t="s">
        <v>1088</v>
      </c>
      <c r="J7870">
        <v>7.64</v>
      </c>
    </row>
    <row r="7871" spans="1:13" hidden="1">
      <c r="A7871" t="s">
        <v>5076</v>
      </c>
      <c r="B7871" t="s">
        <v>5077</v>
      </c>
      <c r="C7871" t="s">
        <v>244</v>
      </c>
      <c r="D7871" t="s">
        <v>5065</v>
      </c>
      <c r="E7871" t="s">
        <v>556</v>
      </c>
      <c r="F7871" t="s">
        <v>1068</v>
      </c>
      <c r="G7871" t="s">
        <v>1089</v>
      </c>
      <c r="H7871">
        <v>-7.1115399154585298E-4</v>
      </c>
      <c r="I7871" t="s">
        <v>1090</v>
      </c>
      <c r="J7871">
        <v>7.64</v>
      </c>
    </row>
    <row r="7872" spans="1:13" hidden="1">
      <c r="A7872" t="s">
        <v>5079</v>
      </c>
      <c r="B7872" t="s">
        <v>5080</v>
      </c>
      <c r="C7872" t="s">
        <v>244</v>
      </c>
      <c r="D7872" t="s">
        <v>5065</v>
      </c>
      <c r="E7872" t="s">
        <v>557</v>
      </c>
      <c r="F7872" t="s">
        <v>1068</v>
      </c>
      <c r="G7872" t="s">
        <v>1069</v>
      </c>
      <c r="H7872">
        <v>-3.70508234985178</v>
      </c>
      <c r="I7872" t="s">
        <v>1070</v>
      </c>
      <c r="J7872">
        <v>8.35</v>
      </c>
    </row>
    <row r="7873" spans="1:13" hidden="1">
      <c r="A7873" t="s">
        <v>5079</v>
      </c>
      <c r="B7873" t="s">
        <v>5080</v>
      </c>
      <c r="C7873" t="s">
        <v>244</v>
      </c>
      <c r="D7873" t="s">
        <v>5065</v>
      </c>
      <c r="E7873" t="s">
        <v>557</v>
      </c>
      <c r="F7873" t="s">
        <v>1068</v>
      </c>
      <c r="G7873" t="s">
        <v>1071</v>
      </c>
      <c r="H7873" s="170">
        <v>-1.9866008605794301E-8</v>
      </c>
      <c r="I7873" t="s">
        <v>1072</v>
      </c>
      <c r="J7873">
        <v>8.35</v>
      </c>
    </row>
    <row r="7874" spans="1:13" hidden="1">
      <c r="A7874" t="s">
        <v>5079</v>
      </c>
      <c r="B7874" t="s">
        <v>5080</v>
      </c>
      <c r="C7874" t="s">
        <v>244</v>
      </c>
      <c r="D7874" t="s">
        <v>5065</v>
      </c>
      <c r="E7874" t="s">
        <v>557</v>
      </c>
      <c r="F7874" t="s">
        <v>1068</v>
      </c>
      <c r="G7874" t="s">
        <v>1073</v>
      </c>
      <c r="H7874" s="170">
        <v>-6.7764313688579695E-7</v>
      </c>
      <c r="I7874" t="s">
        <v>1074</v>
      </c>
      <c r="J7874">
        <v>8.35</v>
      </c>
    </row>
    <row r="7875" spans="1:13" hidden="1">
      <c r="A7875" t="s">
        <v>5079</v>
      </c>
      <c r="B7875" t="s">
        <v>5080</v>
      </c>
      <c r="C7875" t="s">
        <v>244</v>
      </c>
      <c r="D7875" t="s">
        <v>5065</v>
      </c>
      <c r="E7875" t="s">
        <v>557</v>
      </c>
      <c r="F7875" t="s">
        <v>1068</v>
      </c>
      <c r="G7875" t="s">
        <v>1075</v>
      </c>
      <c r="H7875">
        <v>-6.9879720200306805E-2</v>
      </c>
      <c r="I7875" t="s">
        <v>1077</v>
      </c>
      <c r="J7875">
        <v>8.35</v>
      </c>
    </row>
    <row r="7876" spans="1:13">
      <c r="A7876" t="s">
        <v>5079</v>
      </c>
      <c r="B7876" t="s">
        <v>5080</v>
      </c>
      <c r="C7876" t="s">
        <v>244</v>
      </c>
      <c r="D7876" t="s">
        <v>5065</v>
      </c>
      <c r="E7876" t="s">
        <v>557</v>
      </c>
      <c r="F7876" t="s">
        <v>1068</v>
      </c>
      <c r="G7876" t="s">
        <v>1078</v>
      </c>
      <c r="H7876" s="171" t="s">
        <v>5081</v>
      </c>
      <c r="I7876" t="s">
        <v>1079</v>
      </c>
      <c r="J7876">
        <v>8.35</v>
      </c>
      <c r="M7876" t="str">
        <f>_xlfn.TEXTJOIN(" - ",TRUE,A7876,G7876)</f>
        <v>Recycle - ONP - Ireland - Global warming</v>
      </c>
    </row>
    <row r="7877" spans="1:13" hidden="1">
      <c r="A7877" t="s">
        <v>5079</v>
      </c>
      <c r="B7877" t="s">
        <v>5080</v>
      </c>
      <c r="C7877" t="s">
        <v>244</v>
      </c>
      <c r="D7877" t="s">
        <v>5065</v>
      </c>
      <c r="E7877" t="s">
        <v>557</v>
      </c>
      <c r="F7877" t="s">
        <v>1068</v>
      </c>
      <c r="G7877" t="s">
        <v>1080</v>
      </c>
      <c r="H7877" s="170">
        <v>-7.5457087627483992E-9</v>
      </c>
      <c r="I7877" t="s">
        <v>1082</v>
      </c>
      <c r="J7877">
        <v>8.35</v>
      </c>
    </row>
    <row r="7878" spans="1:13" hidden="1">
      <c r="A7878" t="s">
        <v>5079</v>
      </c>
      <c r="B7878" t="s">
        <v>5080</v>
      </c>
      <c r="C7878" t="s">
        <v>244</v>
      </c>
      <c r="D7878" t="s">
        <v>5065</v>
      </c>
      <c r="E7878" t="s">
        <v>557</v>
      </c>
      <c r="F7878" t="s">
        <v>1068</v>
      </c>
      <c r="G7878" t="s">
        <v>1083</v>
      </c>
      <c r="H7878">
        <v>-1.5457481808994601E-4</v>
      </c>
      <c r="I7878" t="s">
        <v>1084</v>
      </c>
      <c r="J7878">
        <v>8.35</v>
      </c>
    </row>
    <row r="7879" spans="1:13" hidden="1">
      <c r="A7879" t="s">
        <v>5079</v>
      </c>
      <c r="B7879" t="s">
        <v>5080</v>
      </c>
      <c r="C7879" t="s">
        <v>244</v>
      </c>
      <c r="D7879" t="s">
        <v>5065</v>
      </c>
      <c r="E7879" t="s">
        <v>557</v>
      </c>
      <c r="F7879" t="s">
        <v>1068</v>
      </c>
      <c r="G7879" t="s">
        <v>1085</v>
      </c>
      <c r="H7879">
        <v>-2.52498906192411E-3</v>
      </c>
      <c r="I7879" t="s">
        <v>1086</v>
      </c>
      <c r="J7879">
        <v>8.35</v>
      </c>
    </row>
    <row r="7880" spans="1:13" hidden="1">
      <c r="A7880" t="s">
        <v>5079</v>
      </c>
      <c r="B7880" t="s">
        <v>5080</v>
      </c>
      <c r="C7880" t="s">
        <v>244</v>
      </c>
      <c r="D7880" t="s">
        <v>5065</v>
      </c>
      <c r="E7880" t="s">
        <v>557</v>
      </c>
      <c r="F7880" t="s">
        <v>1068</v>
      </c>
      <c r="G7880" t="s">
        <v>1087</v>
      </c>
      <c r="H7880" s="170">
        <v>-7.2924686726703996E-7</v>
      </c>
      <c r="I7880" t="s">
        <v>1088</v>
      </c>
      <c r="J7880">
        <v>8.35</v>
      </c>
    </row>
    <row r="7881" spans="1:13" hidden="1">
      <c r="A7881" t="s">
        <v>5079</v>
      </c>
      <c r="B7881" t="s">
        <v>5080</v>
      </c>
      <c r="C7881" t="s">
        <v>244</v>
      </c>
      <c r="D7881" t="s">
        <v>5065</v>
      </c>
      <c r="E7881" t="s">
        <v>557</v>
      </c>
      <c r="F7881" t="s">
        <v>1068</v>
      </c>
      <c r="G7881" t="s">
        <v>1089</v>
      </c>
      <c r="H7881">
        <v>-6.9409126973925001E-4</v>
      </c>
      <c r="I7881" t="s">
        <v>1090</v>
      </c>
      <c r="J7881">
        <v>8.35</v>
      </c>
    </row>
    <row r="7882" spans="1:13" hidden="1">
      <c r="A7882" t="s">
        <v>5082</v>
      </c>
      <c r="B7882" t="s">
        <v>5083</v>
      </c>
      <c r="C7882" t="s">
        <v>244</v>
      </c>
      <c r="D7882" t="s">
        <v>5065</v>
      </c>
      <c r="E7882" t="s">
        <v>559</v>
      </c>
      <c r="F7882" t="s">
        <v>1068</v>
      </c>
      <c r="G7882" t="s">
        <v>1069</v>
      </c>
      <c r="H7882">
        <v>-3.7283434264239901</v>
      </c>
      <c r="I7882" t="s">
        <v>1070</v>
      </c>
      <c r="J7882">
        <v>7.2</v>
      </c>
    </row>
    <row r="7883" spans="1:13" hidden="1">
      <c r="A7883" t="s">
        <v>5082</v>
      </c>
      <c r="B7883" t="s">
        <v>5083</v>
      </c>
      <c r="C7883" t="s">
        <v>244</v>
      </c>
      <c r="D7883" t="s">
        <v>5065</v>
      </c>
      <c r="E7883" t="s">
        <v>559</v>
      </c>
      <c r="F7883" t="s">
        <v>1068</v>
      </c>
      <c r="G7883" t="s">
        <v>1071</v>
      </c>
      <c r="H7883" s="170">
        <v>-1.9899295471007702E-8</v>
      </c>
      <c r="I7883" t="s">
        <v>1072</v>
      </c>
      <c r="J7883">
        <v>7.2</v>
      </c>
    </row>
    <row r="7884" spans="1:13" hidden="1">
      <c r="A7884" t="s">
        <v>5082</v>
      </c>
      <c r="B7884" t="s">
        <v>5083</v>
      </c>
      <c r="C7884" t="s">
        <v>244</v>
      </c>
      <c r="D7884" t="s">
        <v>5065</v>
      </c>
      <c r="E7884" t="s">
        <v>559</v>
      </c>
      <c r="F7884" t="s">
        <v>1068</v>
      </c>
      <c r="G7884" t="s">
        <v>1073</v>
      </c>
      <c r="H7884" s="170">
        <v>-6.8590554488677199E-7</v>
      </c>
      <c r="I7884" t="s">
        <v>1074</v>
      </c>
      <c r="J7884">
        <v>7.2</v>
      </c>
    </row>
    <row r="7885" spans="1:13" hidden="1">
      <c r="A7885" t="s">
        <v>5082</v>
      </c>
      <c r="B7885" t="s">
        <v>5083</v>
      </c>
      <c r="C7885" t="s">
        <v>244</v>
      </c>
      <c r="D7885" t="s">
        <v>5065</v>
      </c>
      <c r="E7885" t="s">
        <v>559</v>
      </c>
      <c r="F7885" t="s">
        <v>1068</v>
      </c>
      <c r="G7885" t="s">
        <v>1075</v>
      </c>
      <c r="H7885">
        <v>-7.0615027679848397E-2</v>
      </c>
      <c r="I7885" t="s">
        <v>1077</v>
      </c>
      <c r="J7885">
        <v>7.2</v>
      </c>
    </row>
    <row r="7886" spans="1:13">
      <c r="A7886" t="s">
        <v>5082</v>
      </c>
      <c r="B7886" t="s">
        <v>5083</v>
      </c>
      <c r="C7886" t="s">
        <v>244</v>
      </c>
      <c r="D7886" t="s">
        <v>5065</v>
      </c>
      <c r="E7886" t="s">
        <v>559</v>
      </c>
      <c r="F7886" t="s">
        <v>1068</v>
      </c>
      <c r="G7886" t="s">
        <v>1078</v>
      </c>
      <c r="H7886" s="171" t="s">
        <v>5084</v>
      </c>
      <c r="I7886" t="s">
        <v>1079</v>
      </c>
      <c r="J7886">
        <v>7.2</v>
      </c>
      <c r="M7886" t="str">
        <f>_xlfn.TEXTJOIN(" - ",TRUE,A7886,G7886)</f>
        <v>Recycle - ONP - Mexico - Global warming</v>
      </c>
    </row>
    <row r="7887" spans="1:13" hidden="1">
      <c r="A7887" t="s">
        <v>5082</v>
      </c>
      <c r="B7887" t="s">
        <v>5083</v>
      </c>
      <c r="C7887" t="s">
        <v>244</v>
      </c>
      <c r="D7887" t="s">
        <v>5065</v>
      </c>
      <c r="E7887" t="s">
        <v>559</v>
      </c>
      <c r="F7887" t="s">
        <v>1068</v>
      </c>
      <c r="G7887" t="s">
        <v>1080</v>
      </c>
      <c r="H7887" s="170">
        <v>-7.6750087382269894E-9</v>
      </c>
      <c r="I7887" t="s">
        <v>1082</v>
      </c>
      <c r="J7887">
        <v>7.2</v>
      </c>
    </row>
    <row r="7888" spans="1:13" hidden="1">
      <c r="A7888" t="s">
        <v>5082</v>
      </c>
      <c r="B7888" t="s">
        <v>5083</v>
      </c>
      <c r="C7888" t="s">
        <v>244</v>
      </c>
      <c r="D7888" t="s">
        <v>5065</v>
      </c>
      <c r="E7888" t="s">
        <v>559</v>
      </c>
      <c r="F7888" t="s">
        <v>1068</v>
      </c>
      <c r="G7888" t="s">
        <v>1083</v>
      </c>
      <c r="H7888">
        <v>-1.58110516789524E-4</v>
      </c>
      <c r="I7888" t="s">
        <v>1084</v>
      </c>
      <c r="J7888">
        <v>7.2</v>
      </c>
    </row>
    <row r="7889" spans="1:13" hidden="1">
      <c r="A7889" t="s">
        <v>5082</v>
      </c>
      <c r="B7889" t="s">
        <v>5083</v>
      </c>
      <c r="C7889" t="s">
        <v>244</v>
      </c>
      <c r="D7889" t="s">
        <v>5065</v>
      </c>
      <c r="E7889" t="s">
        <v>559</v>
      </c>
      <c r="F7889" t="s">
        <v>1068</v>
      </c>
      <c r="G7889" t="s">
        <v>1085</v>
      </c>
      <c r="H7889">
        <v>-2.5649496331884201E-3</v>
      </c>
      <c r="I7889" t="s">
        <v>1086</v>
      </c>
      <c r="J7889">
        <v>7.2</v>
      </c>
    </row>
    <row r="7890" spans="1:13" hidden="1">
      <c r="A7890" t="s">
        <v>5082</v>
      </c>
      <c r="B7890" t="s">
        <v>5083</v>
      </c>
      <c r="C7890" t="s">
        <v>244</v>
      </c>
      <c r="D7890" t="s">
        <v>5065</v>
      </c>
      <c r="E7890" t="s">
        <v>559</v>
      </c>
      <c r="F7890" t="s">
        <v>1068</v>
      </c>
      <c r="G7890" t="s">
        <v>1087</v>
      </c>
      <c r="H7890" s="170">
        <v>-7.4853202141981305E-7</v>
      </c>
      <c r="I7890" t="s">
        <v>1088</v>
      </c>
      <c r="J7890">
        <v>7.2</v>
      </c>
    </row>
    <row r="7891" spans="1:13" hidden="1">
      <c r="A7891" t="s">
        <v>5082</v>
      </c>
      <c r="B7891" t="s">
        <v>5083</v>
      </c>
      <c r="C7891" t="s">
        <v>244</v>
      </c>
      <c r="D7891" t="s">
        <v>5065</v>
      </c>
      <c r="E7891" t="s">
        <v>559</v>
      </c>
      <c r="F7891" t="s">
        <v>1068</v>
      </c>
      <c r="G7891" t="s">
        <v>1089</v>
      </c>
      <c r="H7891">
        <v>-7.0233505667947904E-4</v>
      </c>
      <c r="I7891" t="s">
        <v>1090</v>
      </c>
      <c r="J7891">
        <v>7.2</v>
      </c>
    </row>
    <row r="7892" spans="1:13" hidden="1">
      <c r="A7892" t="s">
        <v>5085</v>
      </c>
      <c r="B7892" t="s">
        <v>5086</v>
      </c>
      <c r="C7892" t="s">
        <v>244</v>
      </c>
      <c r="D7892" t="s">
        <v>5065</v>
      </c>
      <c r="E7892" t="s">
        <v>560</v>
      </c>
      <c r="F7892" t="s">
        <v>1068</v>
      </c>
      <c r="G7892" t="s">
        <v>1069</v>
      </c>
      <c r="H7892">
        <v>-3.72041742996235</v>
      </c>
      <c r="I7892" t="s">
        <v>1070</v>
      </c>
      <c r="J7892">
        <v>7.71</v>
      </c>
    </row>
    <row r="7893" spans="1:13" hidden="1">
      <c r="A7893" t="s">
        <v>5085</v>
      </c>
      <c r="B7893" t="s">
        <v>5086</v>
      </c>
      <c r="C7893" t="s">
        <v>244</v>
      </c>
      <c r="D7893" t="s">
        <v>5065</v>
      </c>
      <c r="E7893" t="s">
        <v>560</v>
      </c>
      <c r="F7893" t="s">
        <v>1068</v>
      </c>
      <c r="G7893" t="s">
        <v>1071</v>
      </c>
      <c r="H7893" s="170">
        <v>-1.9887953279898001E-8</v>
      </c>
      <c r="I7893" t="s">
        <v>1072</v>
      </c>
      <c r="J7893">
        <v>7.71</v>
      </c>
    </row>
    <row r="7894" spans="1:13" hidden="1">
      <c r="A7894" t="s">
        <v>5085</v>
      </c>
      <c r="B7894" t="s">
        <v>5086</v>
      </c>
      <c r="C7894" t="s">
        <v>244</v>
      </c>
      <c r="D7894" t="s">
        <v>5065</v>
      </c>
      <c r="E7894" t="s">
        <v>560</v>
      </c>
      <c r="F7894" t="s">
        <v>1068</v>
      </c>
      <c r="G7894" t="s">
        <v>1073</v>
      </c>
      <c r="H7894" s="170">
        <v>-6.8309020586421905E-7</v>
      </c>
      <c r="I7894" t="s">
        <v>1074</v>
      </c>
      <c r="J7894">
        <v>7.71</v>
      </c>
    </row>
    <row r="7895" spans="1:13" hidden="1">
      <c r="A7895" t="s">
        <v>5085</v>
      </c>
      <c r="B7895" t="s">
        <v>5086</v>
      </c>
      <c r="C7895" t="s">
        <v>244</v>
      </c>
      <c r="D7895" t="s">
        <v>5065</v>
      </c>
      <c r="E7895" t="s">
        <v>560</v>
      </c>
      <c r="F7895" t="s">
        <v>1068</v>
      </c>
      <c r="G7895" t="s">
        <v>1075</v>
      </c>
      <c r="H7895">
        <v>-7.03644784645997E-2</v>
      </c>
      <c r="I7895" t="s">
        <v>1077</v>
      </c>
      <c r="J7895">
        <v>7.71</v>
      </c>
    </row>
    <row r="7896" spans="1:13">
      <c r="A7896" t="s">
        <v>5085</v>
      </c>
      <c r="B7896" t="s">
        <v>5086</v>
      </c>
      <c r="C7896" t="s">
        <v>244</v>
      </c>
      <c r="D7896" t="s">
        <v>5065</v>
      </c>
      <c r="E7896" t="s">
        <v>560</v>
      </c>
      <c r="F7896" t="s">
        <v>1068</v>
      </c>
      <c r="G7896" t="s">
        <v>1078</v>
      </c>
      <c r="H7896" s="171" t="s">
        <v>5087</v>
      </c>
      <c r="I7896" t="s">
        <v>1079</v>
      </c>
      <c r="J7896">
        <v>7.71</v>
      </c>
      <c r="M7896" t="str">
        <f>_xlfn.TEXTJOIN(" - ",TRUE,A7896,G7896)</f>
        <v>Recycle - ONP - Spain - Global warming</v>
      </c>
    </row>
    <row r="7897" spans="1:13" hidden="1">
      <c r="A7897" t="s">
        <v>5085</v>
      </c>
      <c r="B7897" t="s">
        <v>5086</v>
      </c>
      <c r="C7897" t="s">
        <v>244</v>
      </c>
      <c r="D7897" t="s">
        <v>5065</v>
      </c>
      <c r="E7897" t="s">
        <v>560</v>
      </c>
      <c r="F7897" t="s">
        <v>1068</v>
      </c>
      <c r="G7897" t="s">
        <v>1080</v>
      </c>
      <c r="H7897" s="170">
        <v>-7.6309509688046599E-9</v>
      </c>
      <c r="I7897" t="s">
        <v>1082</v>
      </c>
      <c r="J7897">
        <v>7.71</v>
      </c>
    </row>
    <row r="7898" spans="1:13" hidden="1">
      <c r="A7898" t="s">
        <v>5085</v>
      </c>
      <c r="B7898" t="s">
        <v>5086</v>
      </c>
      <c r="C7898" t="s">
        <v>244</v>
      </c>
      <c r="D7898" t="s">
        <v>5065</v>
      </c>
      <c r="E7898" t="s">
        <v>560</v>
      </c>
      <c r="F7898" t="s">
        <v>1068</v>
      </c>
      <c r="G7898" t="s">
        <v>1083</v>
      </c>
      <c r="H7898">
        <v>-1.5690576019559499E-4</v>
      </c>
      <c r="I7898" t="s">
        <v>1084</v>
      </c>
      <c r="J7898">
        <v>7.71</v>
      </c>
    </row>
    <row r="7899" spans="1:13" hidden="1">
      <c r="A7899" t="s">
        <v>5085</v>
      </c>
      <c r="B7899" t="s">
        <v>5086</v>
      </c>
      <c r="C7899" t="s">
        <v>244</v>
      </c>
      <c r="D7899" t="s">
        <v>5065</v>
      </c>
      <c r="E7899" t="s">
        <v>560</v>
      </c>
      <c r="F7899" t="s">
        <v>1068</v>
      </c>
      <c r="G7899" t="s">
        <v>1085</v>
      </c>
      <c r="H7899">
        <v>-2.5513334385354699E-3</v>
      </c>
      <c r="I7899" t="s">
        <v>1086</v>
      </c>
      <c r="J7899">
        <v>7.71</v>
      </c>
    </row>
    <row r="7900" spans="1:13" hidden="1">
      <c r="A7900" t="s">
        <v>5085</v>
      </c>
      <c r="B7900" t="s">
        <v>5086</v>
      </c>
      <c r="C7900" t="s">
        <v>244</v>
      </c>
      <c r="D7900" t="s">
        <v>5065</v>
      </c>
      <c r="E7900" t="s">
        <v>560</v>
      </c>
      <c r="F7900" t="s">
        <v>1068</v>
      </c>
      <c r="G7900" t="s">
        <v>1087</v>
      </c>
      <c r="H7900" s="170">
        <v>-7.4196078370849805E-7</v>
      </c>
      <c r="I7900" t="s">
        <v>1088</v>
      </c>
      <c r="J7900">
        <v>7.71</v>
      </c>
    </row>
    <row r="7901" spans="1:13" hidden="1">
      <c r="A7901" t="s">
        <v>5085</v>
      </c>
      <c r="B7901" t="s">
        <v>5086</v>
      </c>
      <c r="C7901" t="s">
        <v>244</v>
      </c>
      <c r="D7901" t="s">
        <v>5065</v>
      </c>
      <c r="E7901" t="s">
        <v>560</v>
      </c>
      <c r="F7901" t="s">
        <v>1068</v>
      </c>
      <c r="G7901" t="s">
        <v>1089</v>
      </c>
      <c r="H7901">
        <v>-6.9952606261098303E-4</v>
      </c>
      <c r="I7901" t="s">
        <v>1090</v>
      </c>
      <c r="J7901">
        <v>7.71</v>
      </c>
    </row>
    <row r="7902" spans="1:13" hidden="1">
      <c r="A7902" t="s">
        <v>5088</v>
      </c>
      <c r="B7902" t="s">
        <v>5089</v>
      </c>
      <c r="C7902" t="s">
        <v>244</v>
      </c>
      <c r="D7902" t="s">
        <v>5065</v>
      </c>
      <c r="E7902" t="s">
        <v>554</v>
      </c>
      <c r="F7902" t="s">
        <v>1068</v>
      </c>
      <c r="G7902" t="s">
        <v>1069</v>
      </c>
      <c r="H7902">
        <v>-3.67387391965145</v>
      </c>
      <c r="I7902" t="s">
        <v>1070</v>
      </c>
      <c r="J7902">
        <v>7.32</v>
      </c>
    </row>
    <row r="7903" spans="1:13" hidden="1">
      <c r="A7903" t="s">
        <v>5088</v>
      </c>
      <c r="B7903" t="s">
        <v>5089</v>
      </c>
      <c r="C7903" t="s">
        <v>244</v>
      </c>
      <c r="D7903" t="s">
        <v>5065</v>
      </c>
      <c r="E7903" t="s">
        <v>554</v>
      </c>
      <c r="F7903" t="s">
        <v>1068</v>
      </c>
      <c r="G7903" t="s">
        <v>1071</v>
      </c>
      <c r="H7903" s="170">
        <v>-1.9821348987123E-8</v>
      </c>
      <c r="I7903" t="s">
        <v>1072</v>
      </c>
      <c r="J7903">
        <v>7.32</v>
      </c>
    </row>
    <row r="7904" spans="1:13" hidden="1">
      <c r="A7904" t="s">
        <v>5088</v>
      </c>
      <c r="B7904" t="s">
        <v>5089</v>
      </c>
      <c r="C7904" t="s">
        <v>244</v>
      </c>
      <c r="D7904" t="s">
        <v>5065</v>
      </c>
      <c r="E7904" t="s">
        <v>554</v>
      </c>
      <c r="F7904" t="s">
        <v>1068</v>
      </c>
      <c r="G7904" t="s">
        <v>1073</v>
      </c>
      <c r="H7904" s="170">
        <v>-6.6655780372915204E-7</v>
      </c>
      <c r="I7904" t="s">
        <v>1074</v>
      </c>
      <c r="J7904">
        <v>7.32</v>
      </c>
    </row>
    <row r="7905" spans="1:13" hidden="1">
      <c r="A7905" t="s">
        <v>5088</v>
      </c>
      <c r="B7905" t="s">
        <v>5089</v>
      </c>
      <c r="C7905" t="s">
        <v>244</v>
      </c>
      <c r="D7905" t="s">
        <v>5065</v>
      </c>
      <c r="E7905" t="s">
        <v>554</v>
      </c>
      <c r="F7905" t="s">
        <v>1068</v>
      </c>
      <c r="G7905" t="s">
        <v>1075</v>
      </c>
      <c r="H7905">
        <v>-6.88931883826608E-2</v>
      </c>
      <c r="I7905" t="s">
        <v>1077</v>
      </c>
      <c r="J7905">
        <v>7.32</v>
      </c>
    </row>
    <row r="7906" spans="1:13">
      <c r="A7906" t="s">
        <v>5088</v>
      </c>
      <c r="B7906" t="s">
        <v>5089</v>
      </c>
      <c r="C7906" t="s">
        <v>244</v>
      </c>
      <c r="D7906" t="s">
        <v>5065</v>
      </c>
      <c r="E7906" t="s">
        <v>554</v>
      </c>
      <c r="F7906" t="s">
        <v>1068</v>
      </c>
      <c r="G7906" t="s">
        <v>1078</v>
      </c>
      <c r="H7906" s="171" t="s">
        <v>5090</v>
      </c>
      <c r="I7906" t="s">
        <v>1079</v>
      </c>
      <c r="J7906">
        <v>7.32</v>
      </c>
      <c r="M7906" t="str">
        <f>_xlfn.TEXTJOIN(" - ",TRUE,A7906,G7906)</f>
        <v>Recycle - ONP - United States - Global warming</v>
      </c>
    </row>
    <row r="7907" spans="1:13" hidden="1">
      <c r="A7907" t="s">
        <v>5088</v>
      </c>
      <c r="B7907" t="s">
        <v>5089</v>
      </c>
      <c r="C7907" t="s">
        <v>244</v>
      </c>
      <c r="D7907" t="s">
        <v>5065</v>
      </c>
      <c r="E7907" t="s">
        <v>554</v>
      </c>
      <c r="F7907" t="s">
        <v>1068</v>
      </c>
      <c r="G7907" t="s">
        <v>1080</v>
      </c>
      <c r="H7907" s="170">
        <v>-7.3722323010247802E-9</v>
      </c>
      <c r="I7907" t="s">
        <v>1082</v>
      </c>
      <c r="J7907">
        <v>7.32</v>
      </c>
    </row>
    <row r="7908" spans="1:13" hidden="1">
      <c r="A7908" t="s">
        <v>5088</v>
      </c>
      <c r="B7908" t="s">
        <v>5089</v>
      </c>
      <c r="C7908" t="s">
        <v>244</v>
      </c>
      <c r="D7908" t="s">
        <v>5065</v>
      </c>
      <c r="E7908" t="s">
        <v>554</v>
      </c>
      <c r="F7908" t="s">
        <v>1068</v>
      </c>
      <c r="G7908" t="s">
        <v>1083</v>
      </c>
      <c r="H7908">
        <v>-1.4983111649329999E-4</v>
      </c>
      <c r="I7908" t="s">
        <v>1084</v>
      </c>
      <c r="J7908">
        <v>7.32</v>
      </c>
    </row>
    <row r="7909" spans="1:13" hidden="1">
      <c r="A7909" t="s">
        <v>5088</v>
      </c>
      <c r="B7909" t="s">
        <v>5089</v>
      </c>
      <c r="C7909" t="s">
        <v>244</v>
      </c>
      <c r="D7909" t="s">
        <v>5065</v>
      </c>
      <c r="E7909" t="s">
        <v>554</v>
      </c>
      <c r="F7909" t="s">
        <v>1068</v>
      </c>
      <c r="G7909" t="s">
        <v>1085</v>
      </c>
      <c r="H7909">
        <v>-2.4713756061926001E-3</v>
      </c>
      <c r="I7909" t="s">
        <v>1086</v>
      </c>
      <c r="J7909">
        <v>7.32</v>
      </c>
    </row>
    <row r="7910" spans="1:13" hidden="1">
      <c r="A7910" t="s">
        <v>5088</v>
      </c>
      <c r="B7910" t="s">
        <v>5089</v>
      </c>
      <c r="C7910" t="s">
        <v>244</v>
      </c>
      <c r="D7910" t="s">
        <v>5065</v>
      </c>
      <c r="E7910" t="s">
        <v>554</v>
      </c>
      <c r="F7910" t="s">
        <v>1068</v>
      </c>
      <c r="G7910" t="s">
        <v>1087</v>
      </c>
      <c r="H7910" s="170">
        <v>-7.0337276873117696E-7</v>
      </c>
      <c r="I7910" t="s">
        <v>1088</v>
      </c>
      <c r="J7910">
        <v>7.32</v>
      </c>
    </row>
    <row r="7911" spans="1:13" hidden="1">
      <c r="A7911" t="s">
        <v>5088</v>
      </c>
      <c r="B7911" t="s">
        <v>5089</v>
      </c>
      <c r="C7911" t="s">
        <v>244</v>
      </c>
      <c r="D7911" t="s">
        <v>5065</v>
      </c>
      <c r="E7911" t="s">
        <v>554</v>
      </c>
      <c r="F7911" t="s">
        <v>1068</v>
      </c>
      <c r="G7911" t="s">
        <v>1089</v>
      </c>
      <c r="H7911">
        <v>-6.8303091969426502E-4</v>
      </c>
      <c r="I7911" t="s">
        <v>1090</v>
      </c>
      <c r="J7911">
        <v>7.32</v>
      </c>
    </row>
    <row r="7912" spans="1:13" hidden="1">
      <c r="A7912" t="s">
        <v>5091</v>
      </c>
      <c r="B7912" t="s">
        <v>5092</v>
      </c>
      <c r="C7912" t="s">
        <v>244</v>
      </c>
      <c r="D7912" t="s">
        <v>254</v>
      </c>
      <c r="E7912" t="s">
        <v>561</v>
      </c>
      <c r="F7912" t="s">
        <v>1068</v>
      </c>
      <c r="G7912" t="s">
        <v>1069</v>
      </c>
      <c r="H7912">
        <v>-7.8097629701564903</v>
      </c>
      <c r="I7912" t="s">
        <v>1070</v>
      </c>
      <c r="J7912">
        <v>8.3800000000000008</v>
      </c>
    </row>
    <row r="7913" spans="1:13" hidden="1">
      <c r="A7913" t="s">
        <v>5091</v>
      </c>
      <c r="B7913" t="s">
        <v>5092</v>
      </c>
      <c r="C7913" t="s">
        <v>244</v>
      </c>
      <c r="D7913" t="s">
        <v>254</v>
      </c>
      <c r="E7913" t="s">
        <v>561</v>
      </c>
      <c r="F7913" t="s">
        <v>1068</v>
      </c>
      <c r="G7913" t="s">
        <v>1071</v>
      </c>
      <c r="H7913" s="170">
        <v>-1.9428993175100999E-8</v>
      </c>
      <c r="I7913" t="s">
        <v>1072</v>
      </c>
      <c r="J7913">
        <v>8.3800000000000008</v>
      </c>
    </row>
    <row r="7914" spans="1:13" hidden="1">
      <c r="A7914" t="s">
        <v>5091</v>
      </c>
      <c r="B7914" t="s">
        <v>5092</v>
      </c>
      <c r="C7914" t="s">
        <v>244</v>
      </c>
      <c r="D7914" t="s">
        <v>254</v>
      </c>
      <c r="E7914" t="s">
        <v>561</v>
      </c>
      <c r="F7914" t="s">
        <v>1068</v>
      </c>
      <c r="G7914" t="s">
        <v>1073</v>
      </c>
      <c r="H7914" s="170">
        <v>-3.10415081000606E-6</v>
      </c>
      <c r="I7914" t="s">
        <v>1074</v>
      </c>
      <c r="J7914">
        <v>8.3800000000000008</v>
      </c>
    </row>
    <row r="7915" spans="1:13" hidden="1">
      <c r="A7915" t="s">
        <v>5091</v>
      </c>
      <c r="B7915" t="s">
        <v>5092</v>
      </c>
      <c r="C7915" t="s">
        <v>244</v>
      </c>
      <c r="D7915" t="s">
        <v>254</v>
      </c>
      <c r="E7915" t="s">
        <v>561</v>
      </c>
      <c r="F7915" t="s">
        <v>1068</v>
      </c>
      <c r="G7915" t="s">
        <v>1075</v>
      </c>
      <c r="H7915">
        <v>-0.80705134285719105</v>
      </c>
      <c r="I7915" t="s">
        <v>1077</v>
      </c>
      <c r="J7915">
        <v>8.3800000000000008</v>
      </c>
    </row>
    <row r="7916" spans="1:13">
      <c r="A7916" t="s">
        <v>5091</v>
      </c>
      <c r="B7916" t="s">
        <v>5092</v>
      </c>
      <c r="C7916" t="s">
        <v>244</v>
      </c>
      <c r="D7916" t="s">
        <v>254</v>
      </c>
      <c r="E7916" t="s">
        <v>561</v>
      </c>
      <c r="F7916" t="s">
        <v>1068</v>
      </c>
      <c r="G7916" t="s">
        <v>1078</v>
      </c>
      <c r="H7916">
        <v>-5.1509392420888496</v>
      </c>
      <c r="I7916" t="s">
        <v>1079</v>
      </c>
      <c r="J7916">
        <v>8.3800000000000008</v>
      </c>
      <c r="M7916" t="str">
        <f>_xlfn.TEXTJOIN(" - ",TRUE,A7916,G7916)</f>
        <v>Recycle - PET - Australia - Global warming</v>
      </c>
    </row>
    <row r="7917" spans="1:13" hidden="1">
      <c r="A7917" t="s">
        <v>5091</v>
      </c>
      <c r="B7917" t="s">
        <v>5092</v>
      </c>
      <c r="C7917" t="s">
        <v>244</v>
      </c>
      <c r="D7917" t="s">
        <v>254</v>
      </c>
      <c r="E7917" t="s">
        <v>561</v>
      </c>
      <c r="F7917" t="s">
        <v>1068</v>
      </c>
      <c r="G7917" t="s">
        <v>1080</v>
      </c>
      <c r="H7917" s="170">
        <v>-2.8464633830519698E-8</v>
      </c>
      <c r="I7917" t="s">
        <v>1082</v>
      </c>
      <c r="J7917">
        <v>8.3800000000000008</v>
      </c>
    </row>
    <row r="7918" spans="1:13" hidden="1">
      <c r="A7918" t="s">
        <v>5091</v>
      </c>
      <c r="B7918" t="s">
        <v>5092</v>
      </c>
      <c r="C7918" t="s">
        <v>244</v>
      </c>
      <c r="D7918" t="s">
        <v>254</v>
      </c>
      <c r="E7918" t="s">
        <v>561</v>
      </c>
      <c r="F7918" t="s">
        <v>1068</v>
      </c>
      <c r="G7918" t="s">
        <v>1083</v>
      </c>
      <c r="H7918">
        <v>-4.7020289807297397E-4</v>
      </c>
      <c r="I7918" t="s">
        <v>1084</v>
      </c>
      <c r="J7918">
        <v>8.3800000000000008</v>
      </c>
    </row>
    <row r="7919" spans="1:13" hidden="1">
      <c r="A7919" t="s">
        <v>5091</v>
      </c>
      <c r="B7919" t="s">
        <v>5092</v>
      </c>
      <c r="C7919" t="s">
        <v>244</v>
      </c>
      <c r="D7919" t="s">
        <v>254</v>
      </c>
      <c r="E7919" t="s">
        <v>561</v>
      </c>
      <c r="F7919" t="s">
        <v>1068</v>
      </c>
      <c r="G7919" t="s">
        <v>1085</v>
      </c>
      <c r="H7919">
        <v>-2.2567504593855099E-2</v>
      </c>
      <c r="I7919" t="s">
        <v>1086</v>
      </c>
      <c r="J7919">
        <v>8.3800000000000008</v>
      </c>
    </row>
    <row r="7920" spans="1:13" hidden="1">
      <c r="A7920" t="s">
        <v>5091</v>
      </c>
      <c r="B7920" t="s">
        <v>5092</v>
      </c>
      <c r="C7920" t="s">
        <v>244</v>
      </c>
      <c r="D7920" t="s">
        <v>254</v>
      </c>
      <c r="E7920" t="s">
        <v>561</v>
      </c>
      <c r="F7920" t="s">
        <v>1068</v>
      </c>
      <c r="G7920" t="s">
        <v>1087</v>
      </c>
      <c r="H7920" s="170">
        <v>-2.4410870420573098E-6</v>
      </c>
      <c r="I7920" t="s">
        <v>1088</v>
      </c>
      <c r="J7920">
        <v>8.3800000000000008</v>
      </c>
    </row>
    <row r="7921" spans="1:13" hidden="1">
      <c r="A7921" t="s">
        <v>5091</v>
      </c>
      <c r="B7921" t="s">
        <v>5092</v>
      </c>
      <c r="C7921" t="s">
        <v>244</v>
      </c>
      <c r="D7921" t="s">
        <v>254</v>
      </c>
      <c r="E7921" t="s">
        <v>561</v>
      </c>
      <c r="F7921" t="s">
        <v>1068</v>
      </c>
      <c r="G7921" t="s">
        <v>1089</v>
      </c>
      <c r="H7921">
        <v>-8.0846163087921006E-3</v>
      </c>
      <c r="I7921" t="s">
        <v>1090</v>
      </c>
      <c r="J7921">
        <v>8.3800000000000008</v>
      </c>
    </row>
    <row r="7922" spans="1:13" hidden="1">
      <c r="A7922" t="s">
        <v>5093</v>
      </c>
      <c r="B7922" t="s">
        <v>5094</v>
      </c>
      <c r="C7922" t="s">
        <v>244</v>
      </c>
      <c r="D7922" t="s">
        <v>254</v>
      </c>
      <c r="E7922" t="s">
        <v>555</v>
      </c>
      <c r="F7922" t="s">
        <v>1068</v>
      </c>
      <c r="G7922" t="s">
        <v>1069</v>
      </c>
      <c r="H7922">
        <v>-7.8127139116183697</v>
      </c>
      <c r="I7922" t="s">
        <v>1070</v>
      </c>
      <c r="J7922">
        <v>7.3</v>
      </c>
    </row>
    <row r="7923" spans="1:13" hidden="1">
      <c r="A7923" t="s">
        <v>5093</v>
      </c>
      <c r="B7923" t="s">
        <v>5094</v>
      </c>
      <c r="C7923" t="s">
        <v>244</v>
      </c>
      <c r="D7923" t="s">
        <v>254</v>
      </c>
      <c r="E7923" t="s">
        <v>555</v>
      </c>
      <c r="F7923" t="s">
        <v>1068</v>
      </c>
      <c r="G7923" t="s">
        <v>1071</v>
      </c>
      <c r="H7923" s="170">
        <v>-1.9433216005905499E-8</v>
      </c>
      <c r="I7923" t="s">
        <v>1072</v>
      </c>
      <c r="J7923">
        <v>7.3</v>
      </c>
    </row>
    <row r="7924" spans="1:13" hidden="1">
      <c r="A7924" t="s">
        <v>5093</v>
      </c>
      <c r="B7924" t="s">
        <v>5094</v>
      </c>
      <c r="C7924" t="s">
        <v>244</v>
      </c>
      <c r="D7924" t="s">
        <v>254</v>
      </c>
      <c r="E7924" t="s">
        <v>555</v>
      </c>
      <c r="F7924" t="s">
        <v>1068</v>
      </c>
      <c r="G7924" t="s">
        <v>1073</v>
      </c>
      <c r="H7924" s="170">
        <v>-3.1051989937506698E-6</v>
      </c>
      <c r="I7924" t="s">
        <v>1074</v>
      </c>
      <c r="J7924">
        <v>7.3</v>
      </c>
    </row>
    <row r="7925" spans="1:13" hidden="1">
      <c r="A7925" t="s">
        <v>5093</v>
      </c>
      <c r="B7925" t="s">
        <v>5094</v>
      </c>
      <c r="C7925" t="s">
        <v>244</v>
      </c>
      <c r="D7925" t="s">
        <v>254</v>
      </c>
      <c r="E7925" t="s">
        <v>555</v>
      </c>
      <c r="F7925" t="s">
        <v>1068</v>
      </c>
      <c r="G7925" t="s">
        <v>1075</v>
      </c>
      <c r="H7925">
        <v>-0.80714462526920105</v>
      </c>
      <c r="I7925" t="s">
        <v>1077</v>
      </c>
      <c r="J7925">
        <v>7.3</v>
      </c>
    </row>
    <row r="7926" spans="1:13">
      <c r="A7926" t="s">
        <v>5093</v>
      </c>
      <c r="B7926" t="s">
        <v>5094</v>
      </c>
      <c r="C7926" t="s">
        <v>244</v>
      </c>
      <c r="D7926" t="s">
        <v>254</v>
      </c>
      <c r="E7926" t="s">
        <v>555</v>
      </c>
      <c r="F7926" t="s">
        <v>1068</v>
      </c>
      <c r="G7926" t="s">
        <v>1078</v>
      </c>
      <c r="H7926">
        <v>-5.1549731334112003</v>
      </c>
      <c r="I7926" t="s">
        <v>1079</v>
      </c>
      <c r="J7926">
        <v>7.3</v>
      </c>
      <c r="M7926" t="str">
        <f>_xlfn.TEXTJOIN(" - ",TRUE,A7926,G7926)</f>
        <v>Recycle - PET - Brazil - Global warming</v>
      </c>
    </row>
    <row r="7927" spans="1:13" hidden="1">
      <c r="A7927" t="s">
        <v>5093</v>
      </c>
      <c r="B7927" t="s">
        <v>5094</v>
      </c>
      <c r="C7927" t="s">
        <v>244</v>
      </c>
      <c r="D7927" t="s">
        <v>254</v>
      </c>
      <c r="E7927" t="s">
        <v>555</v>
      </c>
      <c r="F7927" t="s">
        <v>1068</v>
      </c>
      <c r="G7927" t="s">
        <v>1080</v>
      </c>
      <c r="H7927" s="170">
        <v>-2.84810370549136E-8</v>
      </c>
      <c r="I7927" t="s">
        <v>1082</v>
      </c>
      <c r="J7927">
        <v>7.3</v>
      </c>
    </row>
    <row r="7928" spans="1:13" hidden="1">
      <c r="A7928" t="s">
        <v>5093</v>
      </c>
      <c r="B7928" t="s">
        <v>5094</v>
      </c>
      <c r="C7928" t="s">
        <v>244</v>
      </c>
      <c r="D7928" t="s">
        <v>254</v>
      </c>
      <c r="E7928" t="s">
        <v>555</v>
      </c>
      <c r="F7928" t="s">
        <v>1068</v>
      </c>
      <c r="G7928" t="s">
        <v>1083</v>
      </c>
      <c r="H7928">
        <v>-4.7065144308579401E-4</v>
      </c>
      <c r="I7928" t="s">
        <v>1084</v>
      </c>
      <c r="J7928">
        <v>7.3</v>
      </c>
    </row>
    <row r="7929" spans="1:13" hidden="1">
      <c r="A7929" t="s">
        <v>5093</v>
      </c>
      <c r="B7929" t="s">
        <v>5094</v>
      </c>
      <c r="C7929" t="s">
        <v>244</v>
      </c>
      <c r="D7929" t="s">
        <v>254</v>
      </c>
      <c r="E7929" t="s">
        <v>555</v>
      </c>
      <c r="F7929" t="s">
        <v>1068</v>
      </c>
      <c r="G7929" t="s">
        <v>1085</v>
      </c>
      <c r="H7929">
        <v>-2.25725740628549E-2</v>
      </c>
      <c r="I7929" t="s">
        <v>1086</v>
      </c>
      <c r="J7929">
        <v>7.3</v>
      </c>
    </row>
    <row r="7930" spans="1:13" hidden="1">
      <c r="A7930" t="s">
        <v>5093</v>
      </c>
      <c r="B7930" t="s">
        <v>5094</v>
      </c>
      <c r="C7930" t="s">
        <v>244</v>
      </c>
      <c r="D7930" t="s">
        <v>254</v>
      </c>
      <c r="E7930" t="s">
        <v>555</v>
      </c>
      <c r="F7930" t="s">
        <v>1068</v>
      </c>
      <c r="G7930" t="s">
        <v>1087</v>
      </c>
      <c r="H7930" s="170">
        <v>-2.4435335909438701E-6</v>
      </c>
      <c r="I7930" t="s">
        <v>1088</v>
      </c>
      <c r="J7930">
        <v>7.3</v>
      </c>
    </row>
    <row r="7931" spans="1:13" hidden="1">
      <c r="A7931" t="s">
        <v>5093</v>
      </c>
      <c r="B7931" t="s">
        <v>5094</v>
      </c>
      <c r="C7931" t="s">
        <v>244</v>
      </c>
      <c r="D7931" t="s">
        <v>254</v>
      </c>
      <c r="E7931" t="s">
        <v>555</v>
      </c>
      <c r="F7931" t="s">
        <v>1068</v>
      </c>
      <c r="G7931" t="s">
        <v>1089</v>
      </c>
      <c r="H7931">
        <v>-8.0856621302359006E-3</v>
      </c>
      <c r="I7931" t="s">
        <v>1090</v>
      </c>
      <c r="J7931">
        <v>7.3</v>
      </c>
    </row>
    <row r="7932" spans="1:13" hidden="1">
      <c r="A7932" t="s">
        <v>5095</v>
      </c>
      <c r="B7932" t="s">
        <v>5096</v>
      </c>
      <c r="C7932" t="s">
        <v>244</v>
      </c>
      <c r="D7932" t="s">
        <v>254</v>
      </c>
      <c r="E7932" t="s">
        <v>558</v>
      </c>
      <c r="F7932" t="s">
        <v>1068</v>
      </c>
      <c r="G7932" t="s">
        <v>1069</v>
      </c>
      <c r="H7932">
        <v>-7.8095016888812303</v>
      </c>
      <c r="I7932" t="s">
        <v>1070</v>
      </c>
      <c r="J7932">
        <v>8.2799999999999994</v>
      </c>
    </row>
    <row r="7933" spans="1:13" hidden="1">
      <c r="A7933" t="s">
        <v>5095</v>
      </c>
      <c r="B7933" t="s">
        <v>5096</v>
      </c>
      <c r="C7933" t="s">
        <v>244</v>
      </c>
      <c r="D7933" t="s">
        <v>254</v>
      </c>
      <c r="E7933" t="s">
        <v>558</v>
      </c>
      <c r="F7933" t="s">
        <v>1068</v>
      </c>
      <c r="G7933" t="s">
        <v>1071</v>
      </c>
      <c r="H7933" s="170">
        <v>-1.9428619278623599E-8</v>
      </c>
      <c r="I7933" t="s">
        <v>1072</v>
      </c>
      <c r="J7933">
        <v>8.2799999999999994</v>
      </c>
    </row>
    <row r="7934" spans="1:13" hidden="1">
      <c r="A7934" t="s">
        <v>5095</v>
      </c>
      <c r="B7934" t="s">
        <v>5096</v>
      </c>
      <c r="C7934" t="s">
        <v>244</v>
      </c>
      <c r="D7934" t="s">
        <v>254</v>
      </c>
      <c r="E7934" t="s">
        <v>558</v>
      </c>
      <c r="F7934" t="s">
        <v>1068</v>
      </c>
      <c r="G7934" t="s">
        <v>1073</v>
      </c>
      <c r="H7934" s="170">
        <v>-3.1040580020703401E-6</v>
      </c>
      <c r="I7934" t="s">
        <v>1074</v>
      </c>
      <c r="J7934">
        <v>8.2799999999999994</v>
      </c>
    </row>
    <row r="7935" spans="1:13" hidden="1">
      <c r="A7935" t="s">
        <v>5095</v>
      </c>
      <c r="B7935" t="s">
        <v>5096</v>
      </c>
      <c r="C7935" t="s">
        <v>244</v>
      </c>
      <c r="D7935" t="s">
        <v>254</v>
      </c>
      <c r="E7935" t="s">
        <v>558</v>
      </c>
      <c r="F7935" t="s">
        <v>1068</v>
      </c>
      <c r="G7935" t="s">
        <v>1075</v>
      </c>
      <c r="H7935">
        <v>-0.80704308347696097</v>
      </c>
      <c r="I7935" t="s">
        <v>1077</v>
      </c>
      <c r="J7935">
        <v>8.2799999999999994</v>
      </c>
    </row>
    <row r="7936" spans="1:13">
      <c r="A7936" t="s">
        <v>5095</v>
      </c>
      <c r="B7936" t="s">
        <v>5096</v>
      </c>
      <c r="C7936" t="s">
        <v>244</v>
      </c>
      <c r="D7936" t="s">
        <v>254</v>
      </c>
      <c r="E7936" t="s">
        <v>558</v>
      </c>
      <c r="F7936" t="s">
        <v>1068</v>
      </c>
      <c r="G7936" t="s">
        <v>1078</v>
      </c>
      <c r="H7936">
        <v>-5.15058207462803</v>
      </c>
      <c r="I7936" t="s">
        <v>1079</v>
      </c>
      <c r="J7936">
        <v>8.2799999999999994</v>
      </c>
      <c r="M7936" t="str">
        <f>_xlfn.TEXTJOIN(" - ",TRUE,A7936,G7936)</f>
        <v>Recycle - PET - Canada - Global warming</v>
      </c>
    </row>
    <row r="7937" spans="1:13" hidden="1">
      <c r="A7937" t="s">
        <v>5095</v>
      </c>
      <c r="B7937" t="s">
        <v>5096</v>
      </c>
      <c r="C7937" t="s">
        <v>244</v>
      </c>
      <c r="D7937" t="s">
        <v>254</v>
      </c>
      <c r="E7937" t="s">
        <v>558</v>
      </c>
      <c r="F7937" t="s">
        <v>1068</v>
      </c>
      <c r="G7937" t="s">
        <v>1080</v>
      </c>
      <c r="H7937" s="170">
        <v>-2.8463181461693201E-8</v>
      </c>
      <c r="I7937" t="s">
        <v>1082</v>
      </c>
      <c r="J7937">
        <v>8.2799999999999994</v>
      </c>
    </row>
    <row r="7938" spans="1:13" hidden="1">
      <c r="A7938" t="s">
        <v>5095</v>
      </c>
      <c r="B7938" t="s">
        <v>5096</v>
      </c>
      <c r="C7938" t="s">
        <v>244</v>
      </c>
      <c r="D7938" t="s">
        <v>254</v>
      </c>
      <c r="E7938" t="s">
        <v>558</v>
      </c>
      <c r="F7938" t="s">
        <v>1068</v>
      </c>
      <c r="G7938" t="s">
        <v>1083</v>
      </c>
      <c r="H7938">
        <v>-4.7016318314996498E-4</v>
      </c>
      <c r="I7938" t="s">
        <v>1084</v>
      </c>
      <c r="J7938">
        <v>8.2799999999999994</v>
      </c>
    </row>
    <row r="7939" spans="1:13" hidden="1">
      <c r="A7939" t="s">
        <v>5095</v>
      </c>
      <c r="B7939" t="s">
        <v>5096</v>
      </c>
      <c r="C7939" t="s">
        <v>244</v>
      </c>
      <c r="D7939" t="s">
        <v>254</v>
      </c>
      <c r="E7939" t="s">
        <v>558</v>
      </c>
      <c r="F7939" t="s">
        <v>1068</v>
      </c>
      <c r="G7939" t="s">
        <v>1085</v>
      </c>
      <c r="H7939">
        <v>-2.25670557346207E-2</v>
      </c>
      <c r="I7939" t="s">
        <v>1086</v>
      </c>
      <c r="J7939">
        <v>8.2799999999999994</v>
      </c>
    </row>
    <row r="7940" spans="1:13" hidden="1">
      <c r="A7940" t="s">
        <v>5095</v>
      </c>
      <c r="B7940" t="s">
        <v>5096</v>
      </c>
      <c r="C7940" t="s">
        <v>244</v>
      </c>
      <c r="D7940" t="s">
        <v>254</v>
      </c>
      <c r="E7940" t="s">
        <v>558</v>
      </c>
      <c r="F7940" t="s">
        <v>1068</v>
      </c>
      <c r="G7940" t="s">
        <v>1087</v>
      </c>
      <c r="H7940" s="170">
        <v>-2.44087042054131E-6</v>
      </c>
      <c r="I7940" t="s">
        <v>1088</v>
      </c>
      <c r="J7940">
        <v>8.2799999999999994</v>
      </c>
    </row>
    <row r="7941" spans="1:13" hidden="1">
      <c r="A7941" t="s">
        <v>5095</v>
      </c>
      <c r="B7941" t="s">
        <v>5096</v>
      </c>
      <c r="C7941" t="s">
        <v>244</v>
      </c>
      <c r="D7941" t="s">
        <v>254</v>
      </c>
      <c r="E7941" t="s">
        <v>558</v>
      </c>
      <c r="F7941" t="s">
        <v>1068</v>
      </c>
      <c r="G7941" t="s">
        <v>1089</v>
      </c>
      <c r="H7941">
        <v>-8.0845237100184396E-3</v>
      </c>
      <c r="I7941" t="s">
        <v>1090</v>
      </c>
      <c r="J7941">
        <v>8.2799999999999994</v>
      </c>
    </row>
    <row r="7942" spans="1:13" hidden="1">
      <c r="A7942" t="s">
        <v>5097</v>
      </c>
      <c r="B7942" t="s">
        <v>5098</v>
      </c>
      <c r="C7942" t="s">
        <v>244</v>
      </c>
      <c r="D7942" t="s">
        <v>254</v>
      </c>
      <c r="E7942" t="s">
        <v>553</v>
      </c>
      <c r="F7942" t="s">
        <v>1068</v>
      </c>
      <c r="G7942" t="s">
        <v>1069</v>
      </c>
      <c r="H7942">
        <v>-7.8092457948487199</v>
      </c>
      <c r="I7942" t="s">
        <v>1070</v>
      </c>
      <c r="J7942">
        <v>9.6199999999999992</v>
      </c>
    </row>
    <row r="7943" spans="1:13" hidden="1">
      <c r="A7943" t="s">
        <v>5097</v>
      </c>
      <c r="B7943" t="s">
        <v>5098</v>
      </c>
      <c r="C7943" t="s">
        <v>244</v>
      </c>
      <c r="D7943" t="s">
        <v>254</v>
      </c>
      <c r="E7943" t="s">
        <v>553</v>
      </c>
      <c r="F7943" t="s">
        <v>1068</v>
      </c>
      <c r="G7943" t="s">
        <v>1071</v>
      </c>
      <c r="H7943" s="170">
        <v>-1.94282530913518E-8</v>
      </c>
      <c r="I7943" t="s">
        <v>1072</v>
      </c>
      <c r="J7943">
        <v>9.6199999999999992</v>
      </c>
    </row>
    <row r="7944" spans="1:13" hidden="1">
      <c r="A7944" t="s">
        <v>5097</v>
      </c>
      <c r="B7944" t="s">
        <v>5098</v>
      </c>
      <c r="C7944" t="s">
        <v>244</v>
      </c>
      <c r="D7944" t="s">
        <v>254</v>
      </c>
      <c r="E7944" t="s">
        <v>553</v>
      </c>
      <c r="F7944" t="s">
        <v>1068</v>
      </c>
      <c r="G7944" t="s">
        <v>1073</v>
      </c>
      <c r="H7944" s="170">
        <v>-3.1039671077002998E-6</v>
      </c>
      <c r="I7944" t="s">
        <v>1074</v>
      </c>
      <c r="J7944">
        <v>9.6199999999999992</v>
      </c>
    </row>
    <row r="7945" spans="1:13" hidden="1">
      <c r="A7945" t="s">
        <v>5097</v>
      </c>
      <c r="B7945" t="s">
        <v>5098</v>
      </c>
      <c r="C7945" t="s">
        <v>244</v>
      </c>
      <c r="D7945" t="s">
        <v>254</v>
      </c>
      <c r="E7945" t="s">
        <v>553</v>
      </c>
      <c r="F7945" t="s">
        <v>1068</v>
      </c>
      <c r="G7945" t="s">
        <v>1075</v>
      </c>
      <c r="H7945">
        <v>-0.80703499439322901</v>
      </c>
      <c r="I7945" t="s">
        <v>1077</v>
      </c>
      <c r="J7945">
        <v>9.6199999999999992</v>
      </c>
    </row>
    <row r="7946" spans="1:13">
      <c r="A7946" t="s">
        <v>5097</v>
      </c>
      <c r="B7946" t="s">
        <v>5098</v>
      </c>
      <c r="C7946" t="s">
        <v>244</v>
      </c>
      <c r="D7946" t="s">
        <v>254</v>
      </c>
      <c r="E7946" t="s">
        <v>553</v>
      </c>
      <c r="F7946" t="s">
        <v>1068</v>
      </c>
      <c r="G7946" t="s">
        <v>1078</v>
      </c>
      <c r="H7946">
        <v>-5.15023227144472</v>
      </c>
      <c r="I7946" t="s">
        <v>1079</v>
      </c>
      <c r="J7946">
        <v>9.6199999999999992</v>
      </c>
      <c r="M7946" t="str">
        <f>_xlfn.TEXTJOIN(" - ",TRUE,A7946,G7946)</f>
        <v>Recycle - PET - China - Global warming</v>
      </c>
    </row>
    <row r="7947" spans="1:13" hidden="1">
      <c r="A7947" t="s">
        <v>5097</v>
      </c>
      <c r="B7947" t="s">
        <v>5098</v>
      </c>
      <c r="C7947" t="s">
        <v>244</v>
      </c>
      <c r="D7947" t="s">
        <v>254</v>
      </c>
      <c r="E7947" t="s">
        <v>553</v>
      </c>
      <c r="F7947" t="s">
        <v>1068</v>
      </c>
      <c r="G7947" t="s">
        <v>1080</v>
      </c>
      <c r="H7947" s="170">
        <v>-2.84617590386155E-8</v>
      </c>
      <c r="I7947" t="s">
        <v>1082</v>
      </c>
      <c r="J7947">
        <v>9.6199999999999992</v>
      </c>
    </row>
    <row r="7948" spans="1:13" hidden="1">
      <c r="A7948" t="s">
        <v>5097</v>
      </c>
      <c r="B7948" t="s">
        <v>5098</v>
      </c>
      <c r="C7948" t="s">
        <v>244</v>
      </c>
      <c r="D7948" t="s">
        <v>254</v>
      </c>
      <c r="E7948" t="s">
        <v>553</v>
      </c>
      <c r="F7948" t="s">
        <v>1068</v>
      </c>
      <c r="G7948" t="s">
        <v>1083</v>
      </c>
      <c r="H7948">
        <v>-4.7012428709134499E-4</v>
      </c>
      <c r="I7948" t="s">
        <v>1084</v>
      </c>
      <c r="J7948">
        <v>9.6199999999999992</v>
      </c>
    </row>
    <row r="7949" spans="1:13" hidden="1">
      <c r="A7949" t="s">
        <v>5097</v>
      </c>
      <c r="B7949" t="s">
        <v>5098</v>
      </c>
      <c r="C7949" t="s">
        <v>244</v>
      </c>
      <c r="D7949" t="s">
        <v>254</v>
      </c>
      <c r="E7949" t="s">
        <v>553</v>
      </c>
      <c r="F7949" t="s">
        <v>1068</v>
      </c>
      <c r="G7949" t="s">
        <v>1085</v>
      </c>
      <c r="H7949">
        <v>-2.2566616130215902E-2</v>
      </c>
      <c r="I7949" t="s">
        <v>1086</v>
      </c>
      <c r="J7949">
        <v>9.6199999999999992</v>
      </c>
    </row>
    <row r="7950" spans="1:13" hidden="1">
      <c r="A7950" t="s">
        <v>5097</v>
      </c>
      <c r="B7950" t="s">
        <v>5098</v>
      </c>
      <c r="C7950" t="s">
        <v>244</v>
      </c>
      <c r="D7950" t="s">
        <v>254</v>
      </c>
      <c r="E7950" t="s">
        <v>553</v>
      </c>
      <c r="F7950" t="s">
        <v>1068</v>
      </c>
      <c r="G7950" t="s">
        <v>1087</v>
      </c>
      <c r="H7950" s="170">
        <v>-2.44065826544832E-6</v>
      </c>
      <c r="I7950" t="s">
        <v>1088</v>
      </c>
      <c r="J7950">
        <v>9.6199999999999992</v>
      </c>
    </row>
    <row r="7951" spans="1:13" hidden="1">
      <c r="A7951" t="s">
        <v>5097</v>
      </c>
      <c r="B7951" t="s">
        <v>5098</v>
      </c>
      <c r="C7951" t="s">
        <v>244</v>
      </c>
      <c r="D7951" t="s">
        <v>254</v>
      </c>
      <c r="E7951" t="s">
        <v>553</v>
      </c>
      <c r="F7951" t="s">
        <v>1068</v>
      </c>
      <c r="G7951" t="s">
        <v>1089</v>
      </c>
      <c r="H7951">
        <v>-8.0844330204978294E-3</v>
      </c>
      <c r="I7951" t="s">
        <v>1090</v>
      </c>
      <c r="J7951">
        <v>9.6199999999999992</v>
      </c>
    </row>
    <row r="7952" spans="1:13" hidden="1">
      <c r="A7952" t="s">
        <v>5099</v>
      </c>
      <c r="B7952" t="s">
        <v>5100</v>
      </c>
      <c r="C7952" t="s">
        <v>244</v>
      </c>
      <c r="D7952" t="s">
        <v>254</v>
      </c>
      <c r="E7952" t="s">
        <v>556</v>
      </c>
      <c r="F7952" t="s">
        <v>1068</v>
      </c>
      <c r="G7952" t="s">
        <v>1069</v>
      </c>
      <c r="H7952">
        <v>-7.8123879355266403</v>
      </c>
      <c r="I7952" t="s">
        <v>1070</v>
      </c>
      <c r="J7952">
        <v>8.84</v>
      </c>
    </row>
    <row r="7953" spans="1:13" hidden="1">
      <c r="A7953" t="s">
        <v>5099</v>
      </c>
      <c r="B7953" t="s">
        <v>5100</v>
      </c>
      <c r="C7953" t="s">
        <v>244</v>
      </c>
      <c r="D7953" t="s">
        <v>254</v>
      </c>
      <c r="E7953" t="s">
        <v>556</v>
      </c>
      <c r="F7953" t="s">
        <v>1068</v>
      </c>
      <c r="G7953" t="s">
        <v>1071</v>
      </c>
      <c r="H7953" s="170">
        <v>-1.9432749530409598E-8</v>
      </c>
      <c r="I7953" t="s">
        <v>1072</v>
      </c>
      <c r="J7953">
        <v>8.84</v>
      </c>
    </row>
    <row r="7954" spans="1:13" hidden="1">
      <c r="A7954" t="s">
        <v>5099</v>
      </c>
      <c r="B7954" t="s">
        <v>5100</v>
      </c>
      <c r="C7954" t="s">
        <v>244</v>
      </c>
      <c r="D7954" t="s">
        <v>254</v>
      </c>
      <c r="E7954" t="s">
        <v>556</v>
      </c>
      <c r="F7954" t="s">
        <v>1068</v>
      </c>
      <c r="G7954" t="s">
        <v>1073</v>
      </c>
      <c r="H7954" s="170">
        <v>-3.10508320601144E-6</v>
      </c>
      <c r="I7954" t="s">
        <v>1074</v>
      </c>
      <c r="J7954">
        <v>8.84</v>
      </c>
    </row>
    <row r="7955" spans="1:13" hidden="1">
      <c r="A7955" t="s">
        <v>5099</v>
      </c>
      <c r="B7955" t="s">
        <v>5100</v>
      </c>
      <c r="C7955" t="s">
        <v>244</v>
      </c>
      <c r="D7955" t="s">
        <v>254</v>
      </c>
      <c r="E7955" t="s">
        <v>556</v>
      </c>
      <c r="F7955" t="s">
        <v>1068</v>
      </c>
      <c r="G7955" t="s">
        <v>1075</v>
      </c>
      <c r="H7955">
        <v>-0.80713432081671199</v>
      </c>
      <c r="I7955" t="s">
        <v>1077</v>
      </c>
      <c r="J7955">
        <v>8.84</v>
      </c>
    </row>
    <row r="7956" spans="1:13">
      <c r="A7956" t="s">
        <v>5099</v>
      </c>
      <c r="B7956" t="s">
        <v>5100</v>
      </c>
      <c r="C7956" t="s">
        <v>244</v>
      </c>
      <c r="D7956" t="s">
        <v>254</v>
      </c>
      <c r="E7956" t="s">
        <v>556</v>
      </c>
      <c r="F7956" t="s">
        <v>1068</v>
      </c>
      <c r="G7956" t="s">
        <v>1078</v>
      </c>
      <c r="H7956">
        <v>-5.1545275291372201</v>
      </c>
      <c r="I7956" t="s">
        <v>1079</v>
      </c>
      <c r="J7956">
        <v>8.84</v>
      </c>
      <c r="M7956" t="str">
        <f>_xlfn.TEXTJOIN(" - ",TRUE,A7956,G7956)</f>
        <v>Recycle - PET - India - Global warming</v>
      </c>
    </row>
    <row r="7957" spans="1:13" hidden="1">
      <c r="A7957" t="s">
        <v>5099</v>
      </c>
      <c r="B7957" t="s">
        <v>5100</v>
      </c>
      <c r="C7957" t="s">
        <v>244</v>
      </c>
      <c r="D7957" t="s">
        <v>254</v>
      </c>
      <c r="E7957" t="s">
        <v>556</v>
      </c>
      <c r="F7957" t="s">
        <v>1068</v>
      </c>
      <c r="G7957" t="s">
        <v>1080</v>
      </c>
      <c r="H7957" s="170">
        <v>-2.84792250708236E-8</v>
      </c>
      <c r="I7957" t="s">
        <v>1082</v>
      </c>
      <c r="J7957">
        <v>8.84</v>
      </c>
    </row>
    <row r="7958" spans="1:13" hidden="1">
      <c r="A7958" t="s">
        <v>5099</v>
      </c>
      <c r="B7958" t="s">
        <v>5100</v>
      </c>
      <c r="C7958" t="s">
        <v>244</v>
      </c>
      <c r="D7958" t="s">
        <v>254</v>
      </c>
      <c r="E7958" t="s">
        <v>556</v>
      </c>
      <c r="F7958" t="s">
        <v>1068</v>
      </c>
      <c r="G7958" t="s">
        <v>1083</v>
      </c>
      <c r="H7958">
        <v>-4.7060189450879599E-4</v>
      </c>
      <c r="I7958" t="s">
        <v>1084</v>
      </c>
      <c r="J7958">
        <v>8.84</v>
      </c>
    </row>
    <row r="7959" spans="1:13" hidden="1">
      <c r="A7959" t="s">
        <v>5099</v>
      </c>
      <c r="B7959" t="s">
        <v>5100</v>
      </c>
      <c r="C7959" t="s">
        <v>244</v>
      </c>
      <c r="D7959" t="s">
        <v>254</v>
      </c>
      <c r="E7959" t="s">
        <v>556</v>
      </c>
      <c r="F7959" t="s">
        <v>1068</v>
      </c>
      <c r="G7959" t="s">
        <v>1085</v>
      </c>
      <c r="H7959">
        <v>-2.2572014063372298E-2</v>
      </c>
      <c r="I7959" t="s">
        <v>1086</v>
      </c>
      <c r="J7959">
        <v>8.84</v>
      </c>
    </row>
    <row r="7960" spans="1:13" hidden="1">
      <c r="A7960" t="s">
        <v>5099</v>
      </c>
      <c r="B7960" t="s">
        <v>5100</v>
      </c>
      <c r="C7960" t="s">
        <v>244</v>
      </c>
      <c r="D7960" t="s">
        <v>254</v>
      </c>
      <c r="E7960" t="s">
        <v>556</v>
      </c>
      <c r="F7960" t="s">
        <v>1068</v>
      </c>
      <c r="G7960" t="s">
        <v>1087</v>
      </c>
      <c r="H7960" s="170">
        <v>-2.4432633326366299E-6</v>
      </c>
      <c r="I7960" t="s">
        <v>1088</v>
      </c>
      <c r="J7960">
        <v>8.84</v>
      </c>
    </row>
    <row r="7961" spans="1:13" hidden="1">
      <c r="A7961" t="s">
        <v>5099</v>
      </c>
      <c r="B7961" t="s">
        <v>5100</v>
      </c>
      <c r="C7961" t="s">
        <v>244</v>
      </c>
      <c r="D7961" t="s">
        <v>254</v>
      </c>
      <c r="E7961" t="s">
        <v>556</v>
      </c>
      <c r="F7961" t="s">
        <v>1068</v>
      </c>
      <c r="G7961" t="s">
        <v>1089</v>
      </c>
      <c r="H7961">
        <v>-8.0855466034485002E-3</v>
      </c>
      <c r="I7961" t="s">
        <v>1090</v>
      </c>
      <c r="J7961">
        <v>8.84</v>
      </c>
    </row>
    <row r="7962" spans="1:13" hidden="1">
      <c r="A7962" t="s">
        <v>5101</v>
      </c>
      <c r="B7962" t="s">
        <v>5102</v>
      </c>
      <c r="C7962" t="s">
        <v>244</v>
      </c>
      <c r="D7962" t="s">
        <v>254</v>
      </c>
      <c r="E7962" t="s">
        <v>557</v>
      </c>
      <c r="F7962" t="s">
        <v>1068</v>
      </c>
      <c r="G7962" t="s">
        <v>1069</v>
      </c>
      <c r="H7962">
        <v>-7.8105808941486501</v>
      </c>
      <c r="I7962" t="s">
        <v>1070</v>
      </c>
      <c r="J7962">
        <v>7.57</v>
      </c>
    </row>
    <row r="7963" spans="1:13" hidden="1">
      <c r="A7963" t="s">
        <v>5101</v>
      </c>
      <c r="B7963" t="s">
        <v>5102</v>
      </c>
      <c r="C7963" t="s">
        <v>244</v>
      </c>
      <c r="D7963" t="s">
        <v>254</v>
      </c>
      <c r="E7963" t="s">
        <v>557</v>
      </c>
      <c r="F7963" t="s">
        <v>1068</v>
      </c>
      <c r="G7963" t="s">
        <v>1071</v>
      </c>
      <c r="H7963" s="170">
        <v>-1.9430163633639201E-8</v>
      </c>
      <c r="I7963" t="s">
        <v>1072</v>
      </c>
      <c r="J7963">
        <v>7.57</v>
      </c>
    </row>
    <row r="7964" spans="1:13" hidden="1">
      <c r="A7964" t="s">
        <v>5101</v>
      </c>
      <c r="B7964" t="s">
        <v>5102</v>
      </c>
      <c r="C7964" t="s">
        <v>244</v>
      </c>
      <c r="D7964" t="s">
        <v>254</v>
      </c>
      <c r="E7964" t="s">
        <v>557</v>
      </c>
      <c r="F7964" t="s">
        <v>1068</v>
      </c>
      <c r="G7964" t="s">
        <v>1073</v>
      </c>
      <c r="H7964" s="170">
        <v>-3.1044413391961398E-6</v>
      </c>
      <c r="I7964" t="s">
        <v>1074</v>
      </c>
      <c r="J7964">
        <v>7.57</v>
      </c>
    </row>
    <row r="7965" spans="1:13" hidden="1">
      <c r="A7965" t="s">
        <v>5101</v>
      </c>
      <c r="B7965" t="s">
        <v>5102</v>
      </c>
      <c r="C7965" t="s">
        <v>244</v>
      </c>
      <c r="D7965" t="s">
        <v>254</v>
      </c>
      <c r="E7965" t="s">
        <v>557</v>
      </c>
      <c r="F7965" t="s">
        <v>1068</v>
      </c>
      <c r="G7965" t="s">
        <v>1075</v>
      </c>
      <c r="H7965">
        <v>-0.80707719830834601</v>
      </c>
      <c r="I7965" t="s">
        <v>1077</v>
      </c>
      <c r="J7965">
        <v>7.57</v>
      </c>
    </row>
    <row r="7966" spans="1:13">
      <c r="A7966" t="s">
        <v>5101</v>
      </c>
      <c r="B7966" t="s">
        <v>5102</v>
      </c>
      <c r="C7966" t="s">
        <v>244</v>
      </c>
      <c r="D7966" t="s">
        <v>254</v>
      </c>
      <c r="E7966" t="s">
        <v>557</v>
      </c>
      <c r="F7966" t="s">
        <v>1068</v>
      </c>
      <c r="G7966" t="s">
        <v>1078</v>
      </c>
      <c r="H7966">
        <v>-5.1520573315314699</v>
      </c>
      <c r="I7966" t="s">
        <v>1079</v>
      </c>
      <c r="J7966">
        <v>7.57</v>
      </c>
      <c r="M7966" t="str">
        <f>_xlfn.TEXTJOIN(" - ",TRUE,A7966,G7966)</f>
        <v>Recycle - PET - Ireland - Global warming</v>
      </c>
    </row>
    <row r="7967" spans="1:13" hidden="1">
      <c r="A7967" t="s">
        <v>5101</v>
      </c>
      <c r="B7967" t="s">
        <v>5102</v>
      </c>
      <c r="C7967" t="s">
        <v>244</v>
      </c>
      <c r="D7967" t="s">
        <v>254</v>
      </c>
      <c r="E7967" t="s">
        <v>557</v>
      </c>
      <c r="F7967" t="s">
        <v>1068</v>
      </c>
      <c r="G7967" t="s">
        <v>1080</v>
      </c>
      <c r="H7967" s="170">
        <v>-2.8469180376411499E-8</v>
      </c>
      <c r="I7967" t="s">
        <v>1082</v>
      </c>
      <c r="J7967">
        <v>7.57</v>
      </c>
    </row>
    <row r="7968" spans="1:13" hidden="1">
      <c r="A7968" t="s">
        <v>5101</v>
      </c>
      <c r="B7968" t="s">
        <v>5102</v>
      </c>
      <c r="C7968" t="s">
        <v>244</v>
      </c>
      <c r="D7968" t="s">
        <v>254</v>
      </c>
      <c r="E7968" t="s">
        <v>557</v>
      </c>
      <c r="F7968" t="s">
        <v>1068</v>
      </c>
      <c r="G7968" t="s">
        <v>1083</v>
      </c>
      <c r="H7968">
        <v>-4.7032722304935398E-4</v>
      </c>
      <c r="I7968" t="s">
        <v>1084</v>
      </c>
      <c r="J7968">
        <v>7.57</v>
      </c>
    </row>
    <row r="7969" spans="1:13" hidden="1">
      <c r="A7969" t="s">
        <v>5101</v>
      </c>
      <c r="B7969" t="s">
        <v>5102</v>
      </c>
      <c r="C7969" t="s">
        <v>244</v>
      </c>
      <c r="D7969" t="s">
        <v>254</v>
      </c>
      <c r="E7969" t="s">
        <v>557</v>
      </c>
      <c r="F7969" t="s">
        <v>1068</v>
      </c>
      <c r="G7969" t="s">
        <v>1085</v>
      </c>
      <c r="H7969">
        <v>-2.2568909718414801E-2</v>
      </c>
      <c r="I7969" t="s">
        <v>1086</v>
      </c>
      <c r="J7969">
        <v>7.57</v>
      </c>
    </row>
    <row r="7970" spans="1:13" hidden="1">
      <c r="A7970" t="s">
        <v>5101</v>
      </c>
      <c r="B7970" t="s">
        <v>5102</v>
      </c>
      <c r="C7970" t="s">
        <v>244</v>
      </c>
      <c r="D7970" t="s">
        <v>254</v>
      </c>
      <c r="E7970" t="s">
        <v>557</v>
      </c>
      <c r="F7970" t="s">
        <v>1068</v>
      </c>
      <c r="G7970" t="s">
        <v>1087</v>
      </c>
      <c r="H7970" s="170">
        <v>-2.4417651615856498E-6</v>
      </c>
      <c r="I7970" t="s">
        <v>1088</v>
      </c>
      <c r="J7970">
        <v>7.57</v>
      </c>
    </row>
    <row r="7971" spans="1:13" hidden="1">
      <c r="A7971" t="s">
        <v>5101</v>
      </c>
      <c r="B7971" t="s">
        <v>5102</v>
      </c>
      <c r="C7971" t="s">
        <v>244</v>
      </c>
      <c r="D7971" t="s">
        <v>254</v>
      </c>
      <c r="E7971" t="s">
        <v>557</v>
      </c>
      <c r="F7971" t="s">
        <v>1068</v>
      </c>
      <c r="G7971" t="s">
        <v>1089</v>
      </c>
      <c r="H7971">
        <v>-8.0849061832140197E-3</v>
      </c>
      <c r="I7971" t="s">
        <v>1090</v>
      </c>
      <c r="J7971">
        <v>7.57</v>
      </c>
    </row>
    <row r="7972" spans="1:13" hidden="1">
      <c r="A7972" t="s">
        <v>5103</v>
      </c>
      <c r="B7972" t="s">
        <v>5104</v>
      </c>
      <c r="C7972" t="s">
        <v>244</v>
      </c>
      <c r="D7972" t="s">
        <v>254</v>
      </c>
      <c r="E7972" t="s">
        <v>559</v>
      </c>
      <c r="F7972" t="s">
        <v>1068</v>
      </c>
      <c r="G7972" t="s">
        <v>1069</v>
      </c>
      <c r="H7972">
        <v>-7.8114539590837504</v>
      </c>
      <c r="I7972" t="s">
        <v>1070</v>
      </c>
      <c r="J7972">
        <v>7.71</v>
      </c>
    </row>
    <row r="7973" spans="1:13" hidden="1">
      <c r="A7973" t="s">
        <v>5103</v>
      </c>
      <c r="B7973" t="s">
        <v>5104</v>
      </c>
      <c r="C7973" t="s">
        <v>244</v>
      </c>
      <c r="D7973" t="s">
        <v>254</v>
      </c>
      <c r="E7973" t="s">
        <v>559</v>
      </c>
      <c r="F7973" t="s">
        <v>1068</v>
      </c>
      <c r="G7973" t="s">
        <v>1071</v>
      </c>
      <c r="H7973" s="170">
        <v>-1.9431412999493802E-8</v>
      </c>
      <c r="I7973" t="s">
        <v>1072</v>
      </c>
      <c r="J7973">
        <v>7.71</v>
      </c>
    </row>
    <row r="7974" spans="1:13" hidden="1">
      <c r="A7974" t="s">
        <v>5103</v>
      </c>
      <c r="B7974" t="s">
        <v>5104</v>
      </c>
      <c r="C7974" t="s">
        <v>244</v>
      </c>
      <c r="D7974" t="s">
        <v>254</v>
      </c>
      <c r="E7974" t="s">
        <v>559</v>
      </c>
      <c r="F7974" t="s">
        <v>1068</v>
      </c>
      <c r="G7974" t="s">
        <v>1073</v>
      </c>
      <c r="H7974" s="170">
        <v>-3.1047514546236202E-6</v>
      </c>
      <c r="I7974" t="s">
        <v>1074</v>
      </c>
      <c r="J7974">
        <v>7.71</v>
      </c>
    </row>
    <row r="7975" spans="1:13" hidden="1">
      <c r="A7975" t="s">
        <v>5103</v>
      </c>
      <c r="B7975" t="s">
        <v>5104</v>
      </c>
      <c r="C7975" t="s">
        <v>244</v>
      </c>
      <c r="D7975" t="s">
        <v>254</v>
      </c>
      <c r="E7975" t="s">
        <v>559</v>
      </c>
      <c r="F7975" t="s">
        <v>1068</v>
      </c>
      <c r="G7975" t="s">
        <v>1075</v>
      </c>
      <c r="H7975">
        <v>-0.80710479682361802</v>
      </c>
      <c r="I7975" t="s">
        <v>1077</v>
      </c>
      <c r="J7975">
        <v>7.71</v>
      </c>
    </row>
    <row r="7976" spans="1:13">
      <c r="A7976" t="s">
        <v>5103</v>
      </c>
      <c r="B7976" t="s">
        <v>5104</v>
      </c>
      <c r="C7976" t="s">
        <v>244</v>
      </c>
      <c r="D7976" t="s">
        <v>254</v>
      </c>
      <c r="E7976" t="s">
        <v>559</v>
      </c>
      <c r="F7976" t="s">
        <v>1068</v>
      </c>
      <c r="G7976" t="s">
        <v>1078</v>
      </c>
      <c r="H7976">
        <v>-5.1532507977903297</v>
      </c>
      <c r="I7976" t="s">
        <v>1079</v>
      </c>
      <c r="J7976">
        <v>7.71</v>
      </c>
      <c r="M7976" t="str">
        <f>_xlfn.TEXTJOIN(" - ",TRUE,A7976,G7976)</f>
        <v>Recycle - PET - Mexico - Global warming</v>
      </c>
    </row>
    <row r="7977" spans="1:13" hidden="1">
      <c r="A7977" t="s">
        <v>5103</v>
      </c>
      <c r="B7977" t="s">
        <v>5104</v>
      </c>
      <c r="C7977" t="s">
        <v>244</v>
      </c>
      <c r="D7977" t="s">
        <v>254</v>
      </c>
      <c r="E7977" t="s">
        <v>559</v>
      </c>
      <c r="F7977" t="s">
        <v>1068</v>
      </c>
      <c r="G7977" t="s">
        <v>1080</v>
      </c>
      <c r="H7977" s="170">
        <v>-2.8474033431013901E-8</v>
      </c>
      <c r="I7977" t="s">
        <v>1082</v>
      </c>
      <c r="J7977">
        <v>7.71</v>
      </c>
    </row>
    <row r="7978" spans="1:13" hidden="1">
      <c r="A7978" t="s">
        <v>5103</v>
      </c>
      <c r="B7978" t="s">
        <v>5104</v>
      </c>
      <c r="C7978" t="s">
        <v>244</v>
      </c>
      <c r="D7978" t="s">
        <v>254</v>
      </c>
      <c r="E7978" t="s">
        <v>559</v>
      </c>
      <c r="F7978" t="s">
        <v>1068</v>
      </c>
      <c r="G7978" t="s">
        <v>1083</v>
      </c>
      <c r="H7978">
        <v>-4.7045992948480201E-4</v>
      </c>
      <c r="I7978" t="s">
        <v>1084</v>
      </c>
      <c r="J7978">
        <v>7.71</v>
      </c>
    </row>
    <row r="7979" spans="1:13" hidden="1">
      <c r="A7979" t="s">
        <v>5103</v>
      </c>
      <c r="B7979" t="s">
        <v>5104</v>
      </c>
      <c r="C7979" t="s">
        <v>244</v>
      </c>
      <c r="D7979" t="s">
        <v>254</v>
      </c>
      <c r="E7979" t="s">
        <v>559</v>
      </c>
      <c r="F7979" t="s">
        <v>1068</v>
      </c>
      <c r="G7979" t="s">
        <v>1085</v>
      </c>
      <c r="H7979">
        <v>-2.2570409570472801E-2</v>
      </c>
      <c r="I7979" t="s">
        <v>1086</v>
      </c>
      <c r="J7979">
        <v>7.71</v>
      </c>
    </row>
    <row r="7980" spans="1:13" hidden="1">
      <c r="A7980" t="s">
        <v>5103</v>
      </c>
      <c r="B7980" t="s">
        <v>5104</v>
      </c>
      <c r="C7980" t="s">
        <v>244</v>
      </c>
      <c r="D7980" t="s">
        <v>254</v>
      </c>
      <c r="E7980" t="s">
        <v>559</v>
      </c>
      <c r="F7980" t="s">
        <v>1068</v>
      </c>
      <c r="G7980" t="s">
        <v>1087</v>
      </c>
      <c r="H7980" s="170">
        <v>-2.4424889970372001E-6</v>
      </c>
      <c r="I7980" t="s">
        <v>1088</v>
      </c>
      <c r="J7980">
        <v>7.71</v>
      </c>
    </row>
    <row r="7981" spans="1:13" hidden="1">
      <c r="A7981" t="s">
        <v>5103</v>
      </c>
      <c r="B7981" t="s">
        <v>5104</v>
      </c>
      <c r="C7981" t="s">
        <v>244</v>
      </c>
      <c r="D7981" t="s">
        <v>254</v>
      </c>
      <c r="E7981" t="s">
        <v>559</v>
      </c>
      <c r="F7981" t="s">
        <v>1068</v>
      </c>
      <c r="G7981" t="s">
        <v>1089</v>
      </c>
      <c r="H7981">
        <v>-8.0852155997317605E-3</v>
      </c>
      <c r="I7981" t="s">
        <v>1090</v>
      </c>
      <c r="J7981">
        <v>7.71</v>
      </c>
    </row>
    <row r="7982" spans="1:13" hidden="1">
      <c r="A7982" t="s">
        <v>5105</v>
      </c>
      <c r="B7982" t="s">
        <v>5106</v>
      </c>
      <c r="C7982" t="s">
        <v>244</v>
      </c>
      <c r="D7982" t="s">
        <v>254</v>
      </c>
      <c r="E7982" t="s">
        <v>560</v>
      </c>
      <c r="F7982" t="s">
        <v>1068</v>
      </c>
      <c r="G7982" t="s">
        <v>1069</v>
      </c>
      <c r="H7982">
        <v>-7.8111564702912597</v>
      </c>
      <c r="I7982" t="s">
        <v>1070</v>
      </c>
      <c r="J7982">
        <v>7.26</v>
      </c>
    </row>
    <row r="7983" spans="1:13" hidden="1">
      <c r="A7983" t="s">
        <v>5105</v>
      </c>
      <c r="B7983" t="s">
        <v>5106</v>
      </c>
      <c r="C7983" t="s">
        <v>244</v>
      </c>
      <c r="D7983" t="s">
        <v>254</v>
      </c>
      <c r="E7983" t="s">
        <v>560</v>
      </c>
      <c r="F7983" t="s">
        <v>1068</v>
      </c>
      <c r="G7983" t="s">
        <v>1071</v>
      </c>
      <c r="H7983" s="170">
        <v>-1.9430987289647601E-8</v>
      </c>
      <c r="I7983" t="s">
        <v>1072</v>
      </c>
      <c r="J7983">
        <v>7.26</v>
      </c>
    </row>
    <row r="7984" spans="1:13" hidden="1">
      <c r="A7984" t="s">
        <v>5105</v>
      </c>
      <c r="B7984" t="s">
        <v>5106</v>
      </c>
      <c r="C7984" t="s">
        <v>244</v>
      </c>
      <c r="D7984" t="s">
        <v>254</v>
      </c>
      <c r="E7984" t="s">
        <v>560</v>
      </c>
      <c r="F7984" t="s">
        <v>1068</v>
      </c>
      <c r="G7984" t="s">
        <v>1073</v>
      </c>
      <c r="H7984" s="170">
        <v>-3.10464578566323E-6</v>
      </c>
      <c r="I7984" t="s">
        <v>1074</v>
      </c>
      <c r="J7984">
        <v>7.26</v>
      </c>
    </row>
    <row r="7985" spans="1:13" hidden="1">
      <c r="A7985" t="s">
        <v>5105</v>
      </c>
      <c r="B7985" t="s">
        <v>5106</v>
      </c>
      <c r="C7985" t="s">
        <v>244</v>
      </c>
      <c r="D7985" t="s">
        <v>254</v>
      </c>
      <c r="E7985" t="s">
        <v>560</v>
      </c>
      <c r="F7985" t="s">
        <v>1068</v>
      </c>
      <c r="G7985" t="s">
        <v>1075</v>
      </c>
      <c r="H7985">
        <v>-0.80709539288508403</v>
      </c>
      <c r="I7985" t="s">
        <v>1077</v>
      </c>
      <c r="J7985">
        <v>7.26</v>
      </c>
    </row>
    <row r="7986" spans="1:13">
      <c r="A7986" t="s">
        <v>5105</v>
      </c>
      <c r="B7986" t="s">
        <v>5106</v>
      </c>
      <c r="C7986" t="s">
        <v>244</v>
      </c>
      <c r="D7986" t="s">
        <v>254</v>
      </c>
      <c r="E7986" t="s">
        <v>560</v>
      </c>
      <c r="F7986" t="s">
        <v>1068</v>
      </c>
      <c r="G7986" t="s">
        <v>1078</v>
      </c>
      <c r="H7986">
        <v>-5.1528441352133001</v>
      </c>
      <c r="I7986" t="s">
        <v>1079</v>
      </c>
      <c r="J7986">
        <v>7.26</v>
      </c>
      <c r="M7986" t="str">
        <f>_xlfn.TEXTJOIN(" - ",TRUE,A7986,G7986)</f>
        <v>Recycle - PET - Spain - Global warming</v>
      </c>
    </row>
    <row r="7987" spans="1:13" hidden="1">
      <c r="A7987" t="s">
        <v>5105</v>
      </c>
      <c r="B7987" t="s">
        <v>5106</v>
      </c>
      <c r="C7987" t="s">
        <v>244</v>
      </c>
      <c r="D7987" t="s">
        <v>254</v>
      </c>
      <c r="E7987" t="s">
        <v>560</v>
      </c>
      <c r="F7987" t="s">
        <v>1068</v>
      </c>
      <c r="G7987" t="s">
        <v>1080</v>
      </c>
      <c r="H7987" s="170">
        <v>-2.8472379797594599E-8</v>
      </c>
      <c r="I7987" t="s">
        <v>1082</v>
      </c>
      <c r="J7987">
        <v>7.26</v>
      </c>
    </row>
    <row r="7988" spans="1:13" hidden="1">
      <c r="A7988" t="s">
        <v>5105</v>
      </c>
      <c r="B7988" t="s">
        <v>5106</v>
      </c>
      <c r="C7988" t="s">
        <v>244</v>
      </c>
      <c r="D7988" t="s">
        <v>254</v>
      </c>
      <c r="E7988" t="s">
        <v>560</v>
      </c>
      <c r="F7988" t="s">
        <v>1068</v>
      </c>
      <c r="G7988" t="s">
        <v>1083</v>
      </c>
      <c r="H7988">
        <v>-4.7041471099569401E-4</v>
      </c>
      <c r="I7988" t="s">
        <v>1084</v>
      </c>
      <c r="J7988">
        <v>7.26</v>
      </c>
    </row>
    <row r="7989" spans="1:13" hidden="1">
      <c r="A7989" t="s">
        <v>5105</v>
      </c>
      <c r="B7989" t="s">
        <v>5106</v>
      </c>
      <c r="C7989" t="s">
        <v>244</v>
      </c>
      <c r="D7989" t="s">
        <v>254</v>
      </c>
      <c r="E7989" t="s">
        <v>560</v>
      </c>
      <c r="F7989" t="s">
        <v>1068</v>
      </c>
      <c r="G7989" t="s">
        <v>1085</v>
      </c>
      <c r="H7989">
        <v>-2.2569898509771601E-2</v>
      </c>
      <c r="I7989" t="s">
        <v>1086</v>
      </c>
      <c r="J7989">
        <v>7.26</v>
      </c>
    </row>
    <row r="7990" spans="1:13" hidden="1">
      <c r="A7990" t="s">
        <v>5105</v>
      </c>
      <c r="B7990" t="s">
        <v>5106</v>
      </c>
      <c r="C7990" t="s">
        <v>244</v>
      </c>
      <c r="D7990" t="s">
        <v>254</v>
      </c>
      <c r="E7990" t="s">
        <v>560</v>
      </c>
      <c r="F7990" t="s">
        <v>1068</v>
      </c>
      <c r="G7990" t="s">
        <v>1087</v>
      </c>
      <c r="H7990" s="170">
        <v>-2.4422423568093002E-6</v>
      </c>
      <c r="I7990" t="s">
        <v>1088</v>
      </c>
      <c r="J7990">
        <v>7.26</v>
      </c>
    </row>
    <row r="7991" spans="1:13" hidden="1">
      <c r="A7991" t="s">
        <v>5105</v>
      </c>
      <c r="B7991" t="s">
        <v>5106</v>
      </c>
      <c r="C7991" t="s">
        <v>244</v>
      </c>
      <c r="D7991" t="s">
        <v>254</v>
      </c>
      <c r="E7991" t="s">
        <v>560</v>
      </c>
      <c r="F7991" t="s">
        <v>1068</v>
      </c>
      <c r="G7991" t="s">
        <v>1089</v>
      </c>
      <c r="H7991">
        <v>-8.0851101689183406E-3</v>
      </c>
      <c r="I7991" t="s">
        <v>1090</v>
      </c>
      <c r="J7991">
        <v>7.26</v>
      </c>
    </row>
    <row r="7992" spans="1:13" hidden="1">
      <c r="A7992" t="s">
        <v>5107</v>
      </c>
      <c r="B7992" t="s">
        <v>5108</v>
      </c>
      <c r="C7992" t="s">
        <v>244</v>
      </c>
      <c r="D7992" t="s">
        <v>254</v>
      </c>
      <c r="E7992" t="s">
        <v>554</v>
      </c>
      <c r="F7992" t="s">
        <v>1068</v>
      </c>
      <c r="G7992" t="s">
        <v>1069</v>
      </c>
      <c r="H7992">
        <v>-7.8094095388154798</v>
      </c>
      <c r="I7992" t="s">
        <v>1070</v>
      </c>
      <c r="J7992">
        <v>8.06</v>
      </c>
    </row>
    <row r="7993" spans="1:13" hidden="1">
      <c r="A7993" t="s">
        <v>5107</v>
      </c>
      <c r="B7993" t="s">
        <v>5108</v>
      </c>
      <c r="C7993" t="s">
        <v>244</v>
      </c>
      <c r="D7993" t="s">
        <v>254</v>
      </c>
      <c r="E7993" t="s">
        <v>554</v>
      </c>
      <c r="F7993" t="s">
        <v>1068</v>
      </c>
      <c r="G7993" t="s">
        <v>1071</v>
      </c>
      <c r="H7993" s="170">
        <v>-1.94284874108311E-8</v>
      </c>
      <c r="I7993" t="s">
        <v>1072</v>
      </c>
      <c r="J7993">
        <v>8.06</v>
      </c>
    </row>
    <row r="7994" spans="1:13" hidden="1">
      <c r="A7994" t="s">
        <v>5107</v>
      </c>
      <c r="B7994" t="s">
        <v>5108</v>
      </c>
      <c r="C7994" t="s">
        <v>244</v>
      </c>
      <c r="D7994" t="s">
        <v>254</v>
      </c>
      <c r="E7994" t="s">
        <v>554</v>
      </c>
      <c r="F7994" t="s">
        <v>1068</v>
      </c>
      <c r="G7994" t="s">
        <v>1073</v>
      </c>
      <c r="H7994" s="170">
        <v>-3.1040252700754099E-6</v>
      </c>
      <c r="I7994" t="s">
        <v>1074</v>
      </c>
      <c r="J7994">
        <v>8.06</v>
      </c>
    </row>
    <row r="7995" spans="1:13" hidden="1">
      <c r="A7995" t="s">
        <v>5107</v>
      </c>
      <c r="B7995" t="s">
        <v>5108</v>
      </c>
      <c r="C7995" t="s">
        <v>244</v>
      </c>
      <c r="D7995" t="s">
        <v>254</v>
      </c>
      <c r="E7995" t="s">
        <v>554</v>
      </c>
      <c r="F7995" t="s">
        <v>1068</v>
      </c>
      <c r="G7995" t="s">
        <v>1075</v>
      </c>
      <c r="H7995">
        <v>-0.80704017051494104</v>
      </c>
      <c r="I7995" t="s">
        <v>1077</v>
      </c>
      <c r="J7995">
        <v>8.06</v>
      </c>
    </row>
    <row r="7996" spans="1:13">
      <c r="A7996" t="s">
        <v>5107</v>
      </c>
      <c r="B7996" t="s">
        <v>5108</v>
      </c>
      <c r="C7996" t="s">
        <v>244</v>
      </c>
      <c r="D7996" t="s">
        <v>254</v>
      </c>
      <c r="E7996" t="s">
        <v>554</v>
      </c>
      <c r="F7996" t="s">
        <v>1068</v>
      </c>
      <c r="G7996" t="s">
        <v>1078</v>
      </c>
      <c r="H7996">
        <v>-5.1504561069138601</v>
      </c>
      <c r="I7996" t="s">
        <v>1079</v>
      </c>
      <c r="J7996">
        <v>8.06</v>
      </c>
      <c r="M7996" t="str">
        <f>_xlfn.TEXTJOIN(" - ",TRUE,A7996,G7996)</f>
        <v>Recycle - PET - United States - Global warming</v>
      </c>
    </row>
    <row r="7997" spans="1:13" hidden="1">
      <c r="A7997" t="s">
        <v>5107</v>
      </c>
      <c r="B7997" t="s">
        <v>5108</v>
      </c>
      <c r="C7997" t="s">
        <v>244</v>
      </c>
      <c r="D7997" t="s">
        <v>254</v>
      </c>
      <c r="E7997" t="s">
        <v>554</v>
      </c>
      <c r="F7997" t="s">
        <v>1068</v>
      </c>
      <c r="G7997" t="s">
        <v>1080</v>
      </c>
      <c r="H7997" s="170">
        <v>-2.84626692325534E-8</v>
      </c>
      <c r="I7997" t="s">
        <v>1082</v>
      </c>
      <c r="J7997">
        <v>8.06</v>
      </c>
    </row>
    <row r="7998" spans="1:13" hidden="1">
      <c r="A7998" t="s">
        <v>5107</v>
      </c>
      <c r="B7998" t="s">
        <v>5108</v>
      </c>
      <c r="C7998" t="s">
        <v>244</v>
      </c>
      <c r="D7998" t="s">
        <v>254</v>
      </c>
      <c r="E7998" t="s">
        <v>554</v>
      </c>
      <c r="F7998" t="s">
        <v>1068</v>
      </c>
      <c r="G7998" t="s">
        <v>1083</v>
      </c>
      <c r="H7998">
        <v>-4.7014917628030698E-4</v>
      </c>
      <c r="I7998" t="s">
        <v>1084</v>
      </c>
      <c r="J7998">
        <v>8.06</v>
      </c>
    </row>
    <row r="7999" spans="1:13" hidden="1">
      <c r="A7999" t="s">
        <v>5107</v>
      </c>
      <c r="B7999" t="s">
        <v>5108</v>
      </c>
      <c r="C7999" t="s">
        <v>244</v>
      </c>
      <c r="D7999" t="s">
        <v>254</v>
      </c>
      <c r="E7999" t="s">
        <v>554</v>
      </c>
      <c r="F7999" t="s">
        <v>1068</v>
      </c>
      <c r="G7999" t="s">
        <v>1085</v>
      </c>
      <c r="H7999">
        <v>-2.2566897428565599E-2</v>
      </c>
      <c r="I7999" t="s">
        <v>1086</v>
      </c>
      <c r="J7999">
        <v>8.06</v>
      </c>
    </row>
    <row r="8000" spans="1:13" hidden="1">
      <c r="A8000" t="s">
        <v>5107</v>
      </c>
      <c r="B8000" t="s">
        <v>5108</v>
      </c>
      <c r="C8000" t="s">
        <v>244</v>
      </c>
      <c r="D8000" t="s">
        <v>254</v>
      </c>
      <c r="E8000" t="s">
        <v>554</v>
      </c>
      <c r="F8000" t="s">
        <v>1068</v>
      </c>
      <c r="G8000" t="s">
        <v>1087</v>
      </c>
      <c r="H8000" s="170">
        <v>-2.4407940213163001E-6</v>
      </c>
      <c r="I8000" t="s">
        <v>1088</v>
      </c>
      <c r="J8000">
        <v>8.06</v>
      </c>
    </row>
    <row r="8001" spans="1:10" hidden="1">
      <c r="A8001" t="s">
        <v>5107</v>
      </c>
      <c r="B8001" t="s">
        <v>5108</v>
      </c>
      <c r="C8001" t="s">
        <v>244</v>
      </c>
      <c r="D8001" t="s">
        <v>254</v>
      </c>
      <c r="E8001" t="s">
        <v>554</v>
      </c>
      <c r="F8001" t="s">
        <v>1068</v>
      </c>
      <c r="G8001" t="s">
        <v>1089</v>
      </c>
      <c r="H8001">
        <v>-8.0844910517918894E-3</v>
      </c>
      <c r="I8001" t="s">
        <v>1090</v>
      </c>
      <c r="J8001">
        <v>8.06</v>
      </c>
    </row>
    <row r="8002" spans="1:10" hidden="1">
      <c r="A8002" t="s">
        <v>5109</v>
      </c>
      <c r="B8002" t="s">
        <v>5110</v>
      </c>
      <c r="C8002" t="s">
        <v>5111</v>
      </c>
      <c r="D8002" t="s">
        <v>5112</v>
      </c>
      <c r="E8002" t="s">
        <v>561</v>
      </c>
      <c r="F8002" t="s">
        <v>1068</v>
      </c>
      <c r="G8002" t="s">
        <v>1069</v>
      </c>
      <c r="H8002" s="171" t="s">
        <v>5113</v>
      </c>
      <c r="I8002" t="s">
        <v>1070</v>
      </c>
      <c r="J8002">
        <v>8.35</v>
      </c>
    </row>
    <row r="8003" spans="1:10" hidden="1">
      <c r="A8003" t="s">
        <v>5109</v>
      </c>
      <c r="B8003" t="s">
        <v>5110</v>
      </c>
      <c r="C8003" t="s">
        <v>5111</v>
      </c>
      <c r="D8003" t="s">
        <v>5112</v>
      </c>
      <c r="E8003" t="s">
        <v>561</v>
      </c>
      <c r="F8003" t="s">
        <v>1068</v>
      </c>
      <c r="G8003" t="s">
        <v>1071</v>
      </c>
      <c r="H8003" s="171" t="s">
        <v>5114</v>
      </c>
      <c r="I8003" t="s">
        <v>1072</v>
      </c>
      <c r="J8003">
        <v>8.35</v>
      </c>
    </row>
    <row r="8004" spans="1:10" hidden="1">
      <c r="A8004" t="s">
        <v>5109</v>
      </c>
      <c r="B8004" t="s">
        <v>5110</v>
      </c>
      <c r="C8004" t="s">
        <v>5111</v>
      </c>
      <c r="D8004" t="s">
        <v>5112</v>
      </c>
      <c r="E8004" t="s">
        <v>561</v>
      </c>
      <c r="F8004" t="s">
        <v>1068</v>
      </c>
      <c r="G8004" t="s">
        <v>1073</v>
      </c>
      <c r="H8004" s="171" t="s">
        <v>5115</v>
      </c>
      <c r="I8004" t="s">
        <v>1074</v>
      </c>
      <c r="J8004">
        <v>8.35</v>
      </c>
    </row>
    <row r="8005" spans="1:10" hidden="1">
      <c r="A8005" t="s">
        <v>5109</v>
      </c>
      <c r="B8005" t="s">
        <v>5110</v>
      </c>
      <c r="C8005" t="s">
        <v>5111</v>
      </c>
      <c r="D8005" t="s">
        <v>5112</v>
      </c>
      <c r="E8005" t="s">
        <v>561</v>
      </c>
      <c r="F8005" t="s">
        <v>1068</v>
      </c>
      <c r="G8005" t="s">
        <v>1075</v>
      </c>
      <c r="H8005">
        <v>4.0849477348301397E-3</v>
      </c>
      <c r="I8005" t="s">
        <v>1077</v>
      </c>
      <c r="J8005">
        <v>8.35</v>
      </c>
    </row>
    <row r="8006" spans="1:10" hidden="1">
      <c r="A8006" t="s">
        <v>5109</v>
      </c>
      <c r="B8006" t="s">
        <v>5110</v>
      </c>
      <c r="C8006" t="s">
        <v>5111</v>
      </c>
      <c r="D8006" t="s">
        <v>5112</v>
      </c>
      <c r="E8006" t="s">
        <v>561</v>
      </c>
      <c r="F8006" t="s">
        <v>1068</v>
      </c>
      <c r="G8006" t="s">
        <v>1078</v>
      </c>
      <c r="H8006">
        <v>4.1800809795969597E-2</v>
      </c>
      <c r="I8006" t="s">
        <v>1079</v>
      </c>
      <c r="J8006">
        <v>8.35</v>
      </c>
    </row>
    <row r="8007" spans="1:10" hidden="1">
      <c r="A8007" t="s">
        <v>5109</v>
      </c>
      <c r="B8007" t="s">
        <v>5110</v>
      </c>
      <c r="C8007" t="s">
        <v>5111</v>
      </c>
      <c r="D8007" t="s">
        <v>5112</v>
      </c>
      <c r="E8007" t="s">
        <v>561</v>
      </c>
      <c r="F8007" t="s">
        <v>1068</v>
      </c>
      <c r="G8007" t="s">
        <v>1080</v>
      </c>
      <c r="H8007" s="171" t="s">
        <v>5116</v>
      </c>
      <c r="I8007" t="s">
        <v>1082</v>
      </c>
      <c r="J8007">
        <v>8.35</v>
      </c>
    </row>
    <row r="8008" spans="1:10" hidden="1">
      <c r="A8008" t="s">
        <v>5109</v>
      </c>
      <c r="B8008" t="s">
        <v>5110</v>
      </c>
      <c r="C8008" t="s">
        <v>5111</v>
      </c>
      <c r="D8008" t="s">
        <v>5112</v>
      </c>
      <c r="E8008" t="s">
        <v>561</v>
      </c>
      <c r="F8008" t="s">
        <v>1068</v>
      </c>
      <c r="G8008" t="s">
        <v>1083</v>
      </c>
      <c r="H8008" s="171" t="s">
        <v>5117</v>
      </c>
      <c r="I8008" t="s">
        <v>1084</v>
      </c>
      <c r="J8008">
        <v>8.35</v>
      </c>
    </row>
    <row r="8009" spans="1:10" hidden="1">
      <c r="A8009" t="s">
        <v>5109</v>
      </c>
      <c r="B8009" t="s">
        <v>5110</v>
      </c>
      <c r="C8009" t="s">
        <v>5111</v>
      </c>
      <c r="D8009" t="s">
        <v>5112</v>
      </c>
      <c r="E8009" t="s">
        <v>561</v>
      </c>
      <c r="F8009" t="s">
        <v>1068</v>
      </c>
      <c r="G8009" t="s">
        <v>1085</v>
      </c>
      <c r="H8009">
        <v>1.45903580543038E-4</v>
      </c>
      <c r="I8009" t="s">
        <v>1086</v>
      </c>
      <c r="J8009">
        <v>8.35</v>
      </c>
    </row>
    <row r="8010" spans="1:10" hidden="1">
      <c r="A8010" t="s">
        <v>5109</v>
      </c>
      <c r="B8010" t="s">
        <v>5110</v>
      </c>
      <c r="C8010" t="s">
        <v>5111</v>
      </c>
      <c r="D8010" t="s">
        <v>5112</v>
      </c>
      <c r="E8010" t="s">
        <v>561</v>
      </c>
      <c r="F8010" t="s">
        <v>1068</v>
      </c>
      <c r="G8010" t="s">
        <v>1087</v>
      </c>
      <c r="H8010" s="171" t="s">
        <v>5118</v>
      </c>
      <c r="I8010" t="s">
        <v>1088</v>
      </c>
      <c r="J8010">
        <v>8.35</v>
      </c>
    </row>
    <row r="8011" spans="1:10" hidden="1">
      <c r="A8011" t="s">
        <v>5109</v>
      </c>
      <c r="B8011" t="s">
        <v>5110</v>
      </c>
      <c r="C8011" t="s">
        <v>5111</v>
      </c>
      <c r="D8011" t="s">
        <v>5112</v>
      </c>
      <c r="E8011" t="s">
        <v>561</v>
      </c>
      <c r="F8011" t="s">
        <v>1068</v>
      </c>
      <c r="G8011" t="s">
        <v>1089</v>
      </c>
      <c r="H8011" s="171" t="s">
        <v>5119</v>
      </c>
      <c r="I8011" t="s">
        <v>1090</v>
      </c>
      <c r="J8011">
        <v>8.35</v>
      </c>
    </row>
    <row r="8012" spans="1:10" hidden="1">
      <c r="A8012" t="s">
        <v>5120</v>
      </c>
      <c r="B8012" t="s">
        <v>5121</v>
      </c>
      <c r="C8012" t="s">
        <v>5111</v>
      </c>
      <c r="D8012" t="s">
        <v>5112</v>
      </c>
      <c r="E8012" t="s">
        <v>555</v>
      </c>
      <c r="F8012" t="s">
        <v>1068</v>
      </c>
      <c r="G8012" t="s">
        <v>1069</v>
      </c>
      <c r="H8012" s="171" t="s">
        <v>5122</v>
      </c>
      <c r="I8012" t="s">
        <v>1070</v>
      </c>
      <c r="J8012">
        <v>7.99</v>
      </c>
    </row>
    <row r="8013" spans="1:10" hidden="1">
      <c r="A8013" t="s">
        <v>5120</v>
      </c>
      <c r="B8013" t="s">
        <v>5121</v>
      </c>
      <c r="C8013" t="s">
        <v>5111</v>
      </c>
      <c r="D8013" t="s">
        <v>5112</v>
      </c>
      <c r="E8013" t="s">
        <v>555</v>
      </c>
      <c r="F8013" t="s">
        <v>1068</v>
      </c>
      <c r="G8013" t="s">
        <v>1071</v>
      </c>
      <c r="H8013" s="171" t="s">
        <v>5123</v>
      </c>
      <c r="I8013" t="s">
        <v>1072</v>
      </c>
      <c r="J8013">
        <v>7.99</v>
      </c>
    </row>
    <row r="8014" spans="1:10" hidden="1">
      <c r="A8014" t="s">
        <v>5120</v>
      </c>
      <c r="B8014" t="s">
        <v>5121</v>
      </c>
      <c r="C8014" t="s">
        <v>5111</v>
      </c>
      <c r="D8014" t="s">
        <v>5112</v>
      </c>
      <c r="E8014" t="s">
        <v>555</v>
      </c>
      <c r="F8014" t="s">
        <v>1068</v>
      </c>
      <c r="G8014" t="s">
        <v>1073</v>
      </c>
      <c r="H8014" s="171" t="s">
        <v>5124</v>
      </c>
      <c r="I8014" t="s">
        <v>1074</v>
      </c>
      <c r="J8014">
        <v>7.99</v>
      </c>
    </row>
    <row r="8015" spans="1:10" hidden="1">
      <c r="A8015" t="s">
        <v>5120</v>
      </c>
      <c r="B8015" t="s">
        <v>5121</v>
      </c>
      <c r="C8015" t="s">
        <v>5111</v>
      </c>
      <c r="D8015" t="s">
        <v>5112</v>
      </c>
      <c r="E8015" t="s">
        <v>555</v>
      </c>
      <c r="F8015" t="s">
        <v>1068</v>
      </c>
      <c r="G8015" t="s">
        <v>1075</v>
      </c>
      <c r="H8015">
        <v>4.06607884726253E-3</v>
      </c>
      <c r="I8015" t="s">
        <v>1077</v>
      </c>
      <c r="J8015">
        <v>7.99</v>
      </c>
    </row>
    <row r="8016" spans="1:10" hidden="1">
      <c r="A8016" t="s">
        <v>5120</v>
      </c>
      <c r="B8016" t="s">
        <v>5121</v>
      </c>
      <c r="C8016" t="s">
        <v>5111</v>
      </c>
      <c r="D8016" t="s">
        <v>5112</v>
      </c>
      <c r="E8016" t="s">
        <v>555</v>
      </c>
      <c r="F8016" t="s">
        <v>1068</v>
      </c>
      <c r="G8016" t="s">
        <v>1078</v>
      </c>
      <c r="H8016" s="171" t="s">
        <v>5125</v>
      </c>
      <c r="I8016" t="s">
        <v>1079</v>
      </c>
      <c r="J8016">
        <v>7.99</v>
      </c>
    </row>
    <row r="8017" spans="1:10" hidden="1">
      <c r="A8017" t="s">
        <v>5120</v>
      </c>
      <c r="B8017" t="s">
        <v>5121</v>
      </c>
      <c r="C8017" t="s">
        <v>5111</v>
      </c>
      <c r="D8017" t="s">
        <v>5112</v>
      </c>
      <c r="E8017" t="s">
        <v>555</v>
      </c>
      <c r="F8017" t="s">
        <v>1068</v>
      </c>
      <c r="G8017" t="s">
        <v>1080</v>
      </c>
      <c r="H8017" s="171" t="s">
        <v>5126</v>
      </c>
      <c r="I8017" t="s">
        <v>1082</v>
      </c>
      <c r="J8017">
        <v>7.99</v>
      </c>
    </row>
    <row r="8018" spans="1:10" hidden="1">
      <c r="A8018" t="s">
        <v>5120</v>
      </c>
      <c r="B8018" t="s">
        <v>5121</v>
      </c>
      <c r="C8018" t="s">
        <v>5111</v>
      </c>
      <c r="D8018" t="s">
        <v>5112</v>
      </c>
      <c r="E8018" t="s">
        <v>555</v>
      </c>
      <c r="F8018" t="s">
        <v>1068</v>
      </c>
      <c r="G8018" t="s">
        <v>1083</v>
      </c>
      <c r="H8018" s="171" t="s">
        <v>5127</v>
      </c>
      <c r="I8018" t="s">
        <v>1084</v>
      </c>
      <c r="J8018">
        <v>7.99</v>
      </c>
    </row>
    <row r="8019" spans="1:10" hidden="1">
      <c r="A8019" t="s">
        <v>5120</v>
      </c>
      <c r="B8019" t="s">
        <v>5121</v>
      </c>
      <c r="C8019" t="s">
        <v>5111</v>
      </c>
      <c r="D8019" t="s">
        <v>5112</v>
      </c>
      <c r="E8019" t="s">
        <v>555</v>
      </c>
      <c r="F8019" t="s">
        <v>1068</v>
      </c>
      <c r="G8019" t="s">
        <v>1085</v>
      </c>
      <c r="H8019">
        <v>1.4487813943021201E-4</v>
      </c>
      <c r="I8019" t="s">
        <v>1086</v>
      </c>
      <c r="J8019">
        <v>7.99</v>
      </c>
    </row>
    <row r="8020" spans="1:10" hidden="1">
      <c r="A8020" t="s">
        <v>5120</v>
      </c>
      <c r="B8020" t="s">
        <v>5121</v>
      </c>
      <c r="C8020" t="s">
        <v>5111</v>
      </c>
      <c r="D8020" t="s">
        <v>5112</v>
      </c>
      <c r="E8020" t="s">
        <v>555</v>
      </c>
      <c r="F8020" t="s">
        <v>1068</v>
      </c>
      <c r="G8020" t="s">
        <v>1087</v>
      </c>
      <c r="H8020" s="171" t="s">
        <v>5128</v>
      </c>
      <c r="I8020" t="s">
        <v>1088</v>
      </c>
      <c r="J8020">
        <v>7.99</v>
      </c>
    </row>
    <row r="8021" spans="1:10" hidden="1">
      <c r="A8021" t="s">
        <v>5120</v>
      </c>
      <c r="B8021" t="s">
        <v>5121</v>
      </c>
      <c r="C8021" t="s">
        <v>5111</v>
      </c>
      <c r="D8021" t="s">
        <v>5112</v>
      </c>
      <c r="E8021" t="s">
        <v>555</v>
      </c>
      <c r="F8021" t="s">
        <v>1068</v>
      </c>
      <c r="G8021" t="s">
        <v>1089</v>
      </c>
      <c r="H8021" s="171" t="s">
        <v>5129</v>
      </c>
      <c r="I8021" t="s">
        <v>1090</v>
      </c>
      <c r="J8021">
        <v>7.99</v>
      </c>
    </row>
    <row r="8022" spans="1:10" hidden="1">
      <c r="A8022" t="s">
        <v>5130</v>
      </c>
      <c r="B8022" t="s">
        <v>5131</v>
      </c>
      <c r="C8022" t="s">
        <v>5111</v>
      </c>
      <c r="D8022" t="s">
        <v>5112</v>
      </c>
      <c r="E8022" t="s">
        <v>558</v>
      </c>
      <c r="F8022" t="s">
        <v>1068</v>
      </c>
      <c r="G8022" t="s">
        <v>1069</v>
      </c>
      <c r="H8022" s="171" t="s">
        <v>5132</v>
      </c>
      <c r="I8022" t="s">
        <v>1070</v>
      </c>
      <c r="J8022">
        <v>7.13</v>
      </c>
    </row>
    <row r="8023" spans="1:10" hidden="1">
      <c r="A8023" t="s">
        <v>5130</v>
      </c>
      <c r="B8023" t="s">
        <v>5131</v>
      </c>
      <c r="C8023" t="s">
        <v>5111</v>
      </c>
      <c r="D8023" t="s">
        <v>5112</v>
      </c>
      <c r="E8023" t="s">
        <v>558</v>
      </c>
      <c r="F8023" t="s">
        <v>1068</v>
      </c>
      <c r="G8023" t="s">
        <v>1071</v>
      </c>
      <c r="H8023" s="171" t="s">
        <v>5133</v>
      </c>
      <c r="I8023" t="s">
        <v>1072</v>
      </c>
      <c r="J8023">
        <v>7.13</v>
      </c>
    </row>
    <row r="8024" spans="1:10" hidden="1">
      <c r="A8024" t="s">
        <v>5130</v>
      </c>
      <c r="B8024" t="s">
        <v>5131</v>
      </c>
      <c r="C8024" t="s">
        <v>5111</v>
      </c>
      <c r="D8024" t="s">
        <v>5112</v>
      </c>
      <c r="E8024" t="s">
        <v>558</v>
      </c>
      <c r="F8024" t="s">
        <v>1068</v>
      </c>
      <c r="G8024" t="s">
        <v>1073</v>
      </c>
      <c r="H8024" s="171" t="s">
        <v>5134</v>
      </c>
      <c r="I8024" t="s">
        <v>1074</v>
      </c>
      <c r="J8024">
        <v>7.13</v>
      </c>
    </row>
    <row r="8025" spans="1:10" hidden="1">
      <c r="A8025" t="s">
        <v>5130</v>
      </c>
      <c r="B8025" t="s">
        <v>5131</v>
      </c>
      <c r="C8025" t="s">
        <v>5111</v>
      </c>
      <c r="D8025" t="s">
        <v>5112</v>
      </c>
      <c r="E8025" t="s">
        <v>558</v>
      </c>
      <c r="F8025" t="s">
        <v>1068</v>
      </c>
      <c r="G8025" t="s">
        <v>1075</v>
      </c>
      <c r="H8025">
        <v>4.0866207560356898E-3</v>
      </c>
      <c r="I8025" t="s">
        <v>1077</v>
      </c>
      <c r="J8025">
        <v>7.13</v>
      </c>
    </row>
    <row r="8026" spans="1:10" hidden="1">
      <c r="A8026" t="s">
        <v>5130</v>
      </c>
      <c r="B8026" t="s">
        <v>5131</v>
      </c>
      <c r="C8026" t="s">
        <v>5111</v>
      </c>
      <c r="D8026" t="s">
        <v>5112</v>
      </c>
      <c r="E8026" t="s">
        <v>558</v>
      </c>
      <c r="F8026" t="s">
        <v>1068</v>
      </c>
      <c r="G8026" t="s">
        <v>1078</v>
      </c>
      <c r="H8026" s="171" t="s">
        <v>5135</v>
      </c>
      <c r="I8026" t="s">
        <v>1079</v>
      </c>
      <c r="J8026">
        <v>7.13</v>
      </c>
    </row>
    <row r="8027" spans="1:10" hidden="1">
      <c r="A8027" t="s">
        <v>5130</v>
      </c>
      <c r="B8027" t="s">
        <v>5131</v>
      </c>
      <c r="C8027" t="s">
        <v>5111</v>
      </c>
      <c r="D8027" t="s">
        <v>5112</v>
      </c>
      <c r="E8027" t="s">
        <v>558</v>
      </c>
      <c r="F8027" t="s">
        <v>1068</v>
      </c>
      <c r="G8027" t="s">
        <v>1080</v>
      </c>
      <c r="H8027" s="171" t="s">
        <v>5136</v>
      </c>
      <c r="I8027" t="s">
        <v>1082</v>
      </c>
      <c r="J8027">
        <v>7.13</v>
      </c>
    </row>
    <row r="8028" spans="1:10" hidden="1">
      <c r="A8028" t="s">
        <v>5130</v>
      </c>
      <c r="B8028" t="s">
        <v>5131</v>
      </c>
      <c r="C8028" t="s">
        <v>5111</v>
      </c>
      <c r="D8028" t="s">
        <v>5112</v>
      </c>
      <c r="E8028" t="s">
        <v>558</v>
      </c>
      <c r="F8028" t="s">
        <v>1068</v>
      </c>
      <c r="G8028" t="s">
        <v>1083</v>
      </c>
      <c r="H8028" s="171" t="s">
        <v>5137</v>
      </c>
      <c r="I8028" t="s">
        <v>1084</v>
      </c>
      <c r="J8028">
        <v>7.13</v>
      </c>
    </row>
    <row r="8029" spans="1:10" hidden="1">
      <c r="A8029" t="s">
        <v>5130</v>
      </c>
      <c r="B8029" t="s">
        <v>5131</v>
      </c>
      <c r="C8029" t="s">
        <v>5111</v>
      </c>
      <c r="D8029" t="s">
        <v>5112</v>
      </c>
      <c r="E8029" t="s">
        <v>558</v>
      </c>
      <c r="F8029" t="s">
        <v>1068</v>
      </c>
      <c r="G8029" t="s">
        <v>1085</v>
      </c>
      <c r="H8029">
        <v>1.4599450153184899E-4</v>
      </c>
      <c r="I8029" t="s">
        <v>1086</v>
      </c>
      <c r="J8029">
        <v>7.13</v>
      </c>
    </row>
    <row r="8030" spans="1:10" hidden="1">
      <c r="A8030" t="s">
        <v>5130</v>
      </c>
      <c r="B8030" t="s">
        <v>5131</v>
      </c>
      <c r="C8030" t="s">
        <v>5111</v>
      </c>
      <c r="D8030" t="s">
        <v>5112</v>
      </c>
      <c r="E8030" t="s">
        <v>558</v>
      </c>
      <c r="F8030" t="s">
        <v>1068</v>
      </c>
      <c r="G8030" t="s">
        <v>1087</v>
      </c>
      <c r="H8030" s="171" t="s">
        <v>5138</v>
      </c>
      <c r="I8030" t="s">
        <v>1088</v>
      </c>
      <c r="J8030">
        <v>7.13</v>
      </c>
    </row>
    <row r="8031" spans="1:10" hidden="1">
      <c r="A8031" t="s">
        <v>5130</v>
      </c>
      <c r="B8031" t="s">
        <v>5131</v>
      </c>
      <c r="C8031" t="s">
        <v>5111</v>
      </c>
      <c r="D8031" t="s">
        <v>5112</v>
      </c>
      <c r="E8031" t="s">
        <v>558</v>
      </c>
      <c r="F8031" t="s">
        <v>1068</v>
      </c>
      <c r="G8031" t="s">
        <v>1089</v>
      </c>
      <c r="H8031" s="171" t="s">
        <v>5139</v>
      </c>
      <c r="I8031" t="s">
        <v>1090</v>
      </c>
      <c r="J8031">
        <v>7.13</v>
      </c>
    </row>
    <row r="8032" spans="1:10" hidden="1">
      <c r="A8032" t="s">
        <v>5140</v>
      </c>
      <c r="B8032" t="s">
        <v>5141</v>
      </c>
      <c r="C8032" t="s">
        <v>5111</v>
      </c>
      <c r="D8032" t="s">
        <v>5112</v>
      </c>
      <c r="E8032" t="s">
        <v>553</v>
      </c>
      <c r="F8032" t="s">
        <v>1068</v>
      </c>
      <c r="G8032" t="s">
        <v>1069</v>
      </c>
      <c r="H8032" s="171" t="s">
        <v>5142</v>
      </c>
      <c r="I8032" t="s">
        <v>1070</v>
      </c>
      <c r="J8032">
        <v>8.41</v>
      </c>
    </row>
    <row r="8033" spans="1:10" hidden="1">
      <c r="A8033" t="s">
        <v>5140</v>
      </c>
      <c r="B8033" t="s">
        <v>5141</v>
      </c>
      <c r="C8033" t="s">
        <v>5111</v>
      </c>
      <c r="D8033" t="s">
        <v>5112</v>
      </c>
      <c r="E8033" t="s">
        <v>553</v>
      </c>
      <c r="F8033" t="s">
        <v>1068</v>
      </c>
      <c r="G8033" t="s">
        <v>1071</v>
      </c>
      <c r="H8033" s="171" t="s">
        <v>5143</v>
      </c>
      <c r="I8033" t="s">
        <v>1072</v>
      </c>
      <c r="J8033">
        <v>8.41</v>
      </c>
    </row>
    <row r="8034" spans="1:10" hidden="1">
      <c r="A8034" t="s">
        <v>5140</v>
      </c>
      <c r="B8034" t="s">
        <v>5141</v>
      </c>
      <c r="C8034" t="s">
        <v>5111</v>
      </c>
      <c r="D8034" t="s">
        <v>5112</v>
      </c>
      <c r="E8034" t="s">
        <v>553</v>
      </c>
      <c r="F8034" t="s">
        <v>1068</v>
      </c>
      <c r="G8034" t="s">
        <v>1073</v>
      </c>
      <c r="H8034" s="171" t="s">
        <v>5144</v>
      </c>
      <c r="I8034" t="s">
        <v>1074</v>
      </c>
      <c r="J8034">
        <v>8.41</v>
      </c>
    </row>
    <row r="8035" spans="1:10" hidden="1">
      <c r="A8035" t="s">
        <v>5140</v>
      </c>
      <c r="B8035" t="s">
        <v>5141</v>
      </c>
      <c r="C8035" t="s">
        <v>5111</v>
      </c>
      <c r="D8035" t="s">
        <v>5112</v>
      </c>
      <c r="E8035" t="s">
        <v>553</v>
      </c>
      <c r="F8035" t="s">
        <v>1068</v>
      </c>
      <c r="G8035" t="s">
        <v>1075</v>
      </c>
      <c r="H8035">
        <v>4.0882824430008404E-3</v>
      </c>
      <c r="I8035" t="s">
        <v>1077</v>
      </c>
      <c r="J8035">
        <v>8.41</v>
      </c>
    </row>
    <row r="8036" spans="1:10" hidden="1">
      <c r="A8036" t="s">
        <v>5140</v>
      </c>
      <c r="B8036" t="s">
        <v>5141</v>
      </c>
      <c r="C8036" t="s">
        <v>5111</v>
      </c>
      <c r="D8036" t="s">
        <v>5112</v>
      </c>
      <c r="E8036" t="s">
        <v>553</v>
      </c>
      <c r="F8036" t="s">
        <v>1068</v>
      </c>
      <c r="G8036" t="s">
        <v>1078</v>
      </c>
      <c r="H8036" s="171" t="s">
        <v>5145</v>
      </c>
      <c r="I8036" t="s">
        <v>1079</v>
      </c>
      <c r="J8036">
        <v>8.41</v>
      </c>
    </row>
    <row r="8037" spans="1:10" hidden="1">
      <c r="A8037" t="s">
        <v>5140</v>
      </c>
      <c r="B8037" t="s">
        <v>5141</v>
      </c>
      <c r="C8037" t="s">
        <v>5111</v>
      </c>
      <c r="D8037" t="s">
        <v>5112</v>
      </c>
      <c r="E8037" t="s">
        <v>553</v>
      </c>
      <c r="F8037" t="s">
        <v>1068</v>
      </c>
      <c r="G8037" t="s">
        <v>1080</v>
      </c>
      <c r="H8037" s="171" t="s">
        <v>5146</v>
      </c>
      <c r="I8037" t="s">
        <v>1082</v>
      </c>
      <c r="J8037">
        <v>8.41</v>
      </c>
    </row>
    <row r="8038" spans="1:10" hidden="1">
      <c r="A8038" t="s">
        <v>5140</v>
      </c>
      <c r="B8038" t="s">
        <v>5141</v>
      </c>
      <c r="C8038" t="s">
        <v>5111</v>
      </c>
      <c r="D8038" t="s">
        <v>5112</v>
      </c>
      <c r="E8038" t="s">
        <v>553</v>
      </c>
      <c r="F8038" t="s">
        <v>1068</v>
      </c>
      <c r="G8038" t="s">
        <v>1083</v>
      </c>
      <c r="H8038" s="171" t="s">
        <v>5147</v>
      </c>
      <c r="I8038" t="s">
        <v>1084</v>
      </c>
      <c r="J8038">
        <v>8.41</v>
      </c>
    </row>
    <row r="8039" spans="1:10" hidden="1">
      <c r="A8039" t="s">
        <v>5140</v>
      </c>
      <c r="B8039" t="s">
        <v>5141</v>
      </c>
      <c r="C8039" t="s">
        <v>5111</v>
      </c>
      <c r="D8039" t="s">
        <v>5112</v>
      </c>
      <c r="E8039" t="s">
        <v>553</v>
      </c>
      <c r="F8039" t="s">
        <v>1068</v>
      </c>
      <c r="G8039" t="s">
        <v>1085</v>
      </c>
      <c r="H8039">
        <v>1.4608480248547699E-4</v>
      </c>
      <c r="I8039" t="s">
        <v>1086</v>
      </c>
      <c r="J8039">
        <v>8.41</v>
      </c>
    </row>
    <row r="8040" spans="1:10" hidden="1">
      <c r="A8040" t="s">
        <v>5140</v>
      </c>
      <c r="B8040" t="s">
        <v>5141</v>
      </c>
      <c r="C8040" t="s">
        <v>5111</v>
      </c>
      <c r="D8040" t="s">
        <v>5112</v>
      </c>
      <c r="E8040" t="s">
        <v>553</v>
      </c>
      <c r="F8040" t="s">
        <v>1068</v>
      </c>
      <c r="G8040" t="s">
        <v>1087</v>
      </c>
      <c r="H8040" s="171" t="s">
        <v>5148</v>
      </c>
      <c r="I8040" t="s">
        <v>1088</v>
      </c>
      <c r="J8040">
        <v>8.41</v>
      </c>
    </row>
    <row r="8041" spans="1:10" hidden="1">
      <c r="A8041" t="s">
        <v>5140</v>
      </c>
      <c r="B8041" t="s">
        <v>5141</v>
      </c>
      <c r="C8041" t="s">
        <v>5111</v>
      </c>
      <c r="D8041" t="s">
        <v>5112</v>
      </c>
      <c r="E8041" t="s">
        <v>553</v>
      </c>
      <c r="F8041" t="s">
        <v>1068</v>
      </c>
      <c r="G8041" t="s">
        <v>1089</v>
      </c>
      <c r="H8041" s="171" t="s">
        <v>5149</v>
      </c>
      <c r="I8041" t="s">
        <v>1090</v>
      </c>
      <c r="J8041">
        <v>8.41</v>
      </c>
    </row>
    <row r="8042" spans="1:10" hidden="1">
      <c r="A8042" t="s">
        <v>5150</v>
      </c>
      <c r="B8042" t="s">
        <v>5151</v>
      </c>
      <c r="C8042" t="s">
        <v>5111</v>
      </c>
      <c r="D8042" t="s">
        <v>5112</v>
      </c>
      <c r="E8042" t="s">
        <v>556</v>
      </c>
      <c r="F8042" t="s">
        <v>1068</v>
      </c>
      <c r="G8042" t="s">
        <v>1069</v>
      </c>
      <c r="H8042" s="171" t="s">
        <v>5152</v>
      </c>
      <c r="I8042" t="s">
        <v>1070</v>
      </c>
      <c r="J8042">
        <v>7.06</v>
      </c>
    </row>
    <row r="8043" spans="1:10" hidden="1">
      <c r="A8043" t="s">
        <v>5150</v>
      </c>
      <c r="B8043" t="s">
        <v>5151</v>
      </c>
      <c r="C8043" t="s">
        <v>5111</v>
      </c>
      <c r="D8043" t="s">
        <v>5112</v>
      </c>
      <c r="E8043" t="s">
        <v>556</v>
      </c>
      <c r="F8043" t="s">
        <v>1068</v>
      </c>
      <c r="G8043" t="s">
        <v>1071</v>
      </c>
      <c r="H8043" s="171" t="s">
        <v>5153</v>
      </c>
      <c r="I8043" t="s">
        <v>1072</v>
      </c>
      <c r="J8043">
        <v>7.06</v>
      </c>
    </row>
    <row r="8044" spans="1:10" hidden="1">
      <c r="A8044" t="s">
        <v>5150</v>
      </c>
      <c r="B8044" t="s">
        <v>5151</v>
      </c>
      <c r="C8044" t="s">
        <v>5111</v>
      </c>
      <c r="D8044" t="s">
        <v>5112</v>
      </c>
      <c r="E8044" t="s">
        <v>556</v>
      </c>
      <c r="F8044" t="s">
        <v>1068</v>
      </c>
      <c r="G8044" t="s">
        <v>1073</v>
      </c>
      <c r="H8044" s="171" t="s">
        <v>5154</v>
      </c>
      <c r="I8044" t="s">
        <v>1074</v>
      </c>
      <c r="J8044">
        <v>7.06</v>
      </c>
    </row>
    <row r="8045" spans="1:10" hidden="1">
      <c r="A8045" t="s">
        <v>5150</v>
      </c>
      <c r="B8045" t="s">
        <v>5151</v>
      </c>
      <c r="C8045" t="s">
        <v>5111</v>
      </c>
      <c r="D8045" t="s">
        <v>5112</v>
      </c>
      <c r="E8045" t="s">
        <v>556</v>
      </c>
      <c r="F8045" t="s">
        <v>1068</v>
      </c>
      <c r="G8045" t="s">
        <v>1075</v>
      </c>
      <c r="H8045">
        <v>4.0681658131419699E-3</v>
      </c>
      <c r="I8045" t="s">
        <v>1077</v>
      </c>
      <c r="J8045">
        <v>7.06</v>
      </c>
    </row>
    <row r="8046" spans="1:10" hidden="1">
      <c r="A8046" t="s">
        <v>5150</v>
      </c>
      <c r="B8046" t="s">
        <v>5151</v>
      </c>
      <c r="C8046" t="s">
        <v>5111</v>
      </c>
      <c r="D8046" t="s">
        <v>5112</v>
      </c>
      <c r="E8046" t="s">
        <v>556</v>
      </c>
      <c r="F8046" t="s">
        <v>1068</v>
      </c>
      <c r="G8046" t="s">
        <v>1078</v>
      </c>
      <c r="H8046" s="171" t="s">
        <v>5155</v>
      </c>
      <c r="I8046" t="s">
        <v>1079</v>
      </c>
      <c r="J8046">
        <v>7.06</v>
      </c>
    </row>
    <row r="8047" spans="1:10" hidden="1">
      <c r="A8047" t="s">
        <v>5150</v>
      </c>
      <c r="B8047" t="s">
        <v>5151</v>
      </c>
      <c r="C8047" t="s">
        <v>5111</v>
      </c>
      <c r="D8047" t="s">
        <v>5112</v>
      </c>
      <c r="E8047" t="s">
        <v>556</v>
      </c>
      <c r="F8047" t="s">
        <v>1068</v>
      </c>
      <c r="G8047" t="s">
        <v>1080</v>
      </c>
      <c r="H8047" s="171" t="s">
        <v>5156</v>
      </c>
      <c r="I8047" t="s">
        <v>1082</v>
      </c>
      <c r="J8047">
        <v>7.06</v>
      </c>
    </row>
    <row r="8048" spans="1:10" hidden="1">
      <c r="A8048" t="s">
        <v>5150</v>
      </c>
      <c r="B8048" t="s">
        <v>5151</v>
      </c>
      <c r="C8048" t="s">
        <v>5111</v>
      </c>
      <c r="D8048" t="s">
        <v>5112</v>
      </c>
      <c r="E8048" t="s">
        <v>556</v>
      </c>
      <c r="F8048" t="s">
        <v>1068</v>
      </c>
      <c r="G8048" t="s">
        <v>1083</v>
      </c>
      <c r="H8048" s="171" t="s">
        <v>5157</v>
      </c>
      <c r="I8048" t="s">
        <v>1084</v>
      </c>
      <c r="J8048">
        <v>7.06</v>
      </c>
    </row>
    <row r="8049" spans="1:10" hidden="1">
      <c r="A8049" t="s">
        <v>5150</v>
      </c>
      <c r="B8049" t="s">
        <v>5151</v>
      </c>
      <c r="C8049" t="s">
        <v>5111</v>
      </c>
      <c r="D8049" t="s">
        <v>5112</v>
      </c>
      <c r="E8049" t="s">
        <v>556</v>
      </c>
      <c r="F8049" t="s">
        <v>1068</v>
      </c>
      <c r="G8049" t="s">
        <v>1085</v>
      </c>
      <c r="H8049">
        <v>1.4499155640345301E-4</v>
      </c>
      <c r="I8049" t="s">
        <v>1086</v>
      </c>
      <c r="J8049">
        <v>7.06</v>
      </c>
    </row>
    <row r="8050" spans="1:10" hidden="1">
      <c r="A8050" t="s">
        <v>5150</v>
      </c>
      <c r="B8050" t="s">
        <v>5151</v>
      </c>
      <c r="C8050" t="s">
        <v>5111</v>
      </c>
      <c r="D8050" t="s">
        <v>5112</v>
      </c>
      <c r="E8050" t="s">
        <v>556</v>
      </c>
      <c r="F8050" t="s">
        <v>1068</v>
      </c>
      <c r="G8050" t="s">
        <v>1087</v>
      </c>
      <c r="H8050" s="171" t="s">
        <v>5158</v>
      </c>
      <c r="I8050" t="s">
        <v>1088</v>
      </c>
      <c r="J8050">
        <v>7.06</v>
      </c>
    </row>
    <row r="8051" spans="1:10" hidden="1">
      <c r="A8051" t="s">
        <v>5150</v>
      </c>
      <c r="B8051" t="s">
        <v>5151</v>
      </c>
      <c r="C8051" t="s">
        <v>5111</v>
      </c>
      <c r="D8051" t="s">
        <v>5112</v>
      </c>
      <c r="E8051" t="s">
        <v>556</v>
      </c>
      <c r="F8051" t="s">
        <v>1068</v>
      </c>
      <c r="G8051" t="s">
        <v>1089</v>
      </c>
      <c r="H8051" s="171" t="s">
        <v>5159</v>
      </c>
      <c r="I8051" t="s">
        <v>1090</v>
      </c>
      <c r="J8051">
        <v>7.06</v>
      </c>
    </row>
    <row r="8052" spans="1:10" hidden="1">
      <c r="A8052" t="s">
        <v>5160</v>
      </c>
      <c r="B8052" t="s">
        <v>5161</v>
      </c>
      <c r="C8052" t="s">
        <v>5111</v>
      </c>
      <c r="D8052" t="s">
        <v>5112</v>
      </c>
      <c r="E8052" t="s">
        <v>557</v>
      </c>
      <c r="F8052" t="s">
        <v>1068</v>
      </c>
      <c r="G8052" t="s">
        <v>1069</v>
      </c>
      <c r="H8052" s="171" t="s">
        <v>5162</v>
      </c>
      <c r="I8052" t="s">
        <v>1070</v>
      </c>
      <c r="J8052">
        <v>7.89</v>
      </c>
    </row>
    <row r="8053" spans="1:10" hidden="1">
      <c r="A8053" t="s">
        <v>5160</v>
      </c>
      <c r="B8053" t="s">
        <v>5161</v>
      </c>
      <c r="C8053" t="s">
        <v>5111</v>
      </c>
      <c r="D8053" t="s">
        <v>5112</v>
      </c>
      <c r="E8053" t="s">
        <v>557</v>
      </c>
      <c r="F8053" t="s">
        <v>1068</v>
      </c>
      <c r="G8053" t="s">
        <v>1071</v>
      </c>
      <c r="H8053" s="171" t="s">
        <v>5163</v>
      </c>
      <c r="I8053" t="s">
        <v>1072</v>
      </c>
      <c r="J8053">
        <v>7.89</v>
      </c>
    </row>
    <row r="8054" spans="1:10" hidden="1">
      <c r="A8054" t="s">
        <v>5160</v>
      </c>
      <c r="B8054" t="s">
        <v>5161</v>
      </c>
      <c r="C8054" t="s">
        <v>5111</v>
      </c>
      <c r="D8054" t="s">
        <v>5112</v>
      </c>
      <c r="E8054" t="s">
        <v>557</v>
      </c>
      <c r="F8054" t="s">
        <v>1068</v>
      </c>
      <c r="G8054" t="s">
        <v>1073</v>
      </c>
      <c r="H8054" s="171" t="s">
        <v>5164</v>
      </c>
      <c r="I8054" t="s">
        <v>1074</v>
      </c>
      <c r="J8054">
        <v>7.89</v>
      </c>
    </row>
    <row r="8055" spans="1:10" hidden="1">
      <c r="A8055" t="s">
        <v>5160</v>
      </c>
      <c r="B8055" t="s">
        <v>5161</v>
      </c>
      <c r="C8055" t="s">
        <v>5111</v>
      </c>
      <c r="D8055" t="s">
        <v>5112</v>
      </c>
      <c r="E8055" t="s">
        <v>557</v>
      </c>
      <c r="F8055" t="s">
        <v>1068</v>
      </c>
      <c r="G8055" t="s">
        <v>1075</v>
      </c>
      <c r="H8055">
        <v>4.0797104510541197E-3</v>
      </c>
      <c r="I8055" t="s">
        <v>1077</v>
      </c>
      <c r="J8055">
        <v>7.89</v>
      </c>
    </row>
    <row r="8056" spans="1:10" hidden="1">
      <c r="A8056" t="s">
        <v>5160</v>
      </c>
      <c r="B8056" t="s">
        <v>5161</v>
      </c>
      <c r="C8056" t="s">
        <v>5111</v>
      </c>
      <c r="D8056" t="s">
        <v>5112</v>
      </c>
      <c r="E8056" t="s">
        <v>557</v>
      </c>
      <c r="F8056" t="s">
        <v>1068</v>
      </c>
      <c r="G8056" t="s">
        <v>1078</v>
      </c>
      <c r="H8056">
        <v>4.15743294432495E-2</v>
      </c>
      <c r="I8056" t="s">
        <v>1079</v>
      </c>
      <c r="J8056">
        <v>7.89</v>
      </c>
    </row>
    <row r="8057" spans="1:10" hidden="1">
      <c r="A8057" t="s">
        <v>5160</v>
      </c>
      <c r="B8057" t="s">
        <v>5161</v>
      </c>
      <c r="C8057" t="s">
        <v>5111</v>
      </c>
      <c r="D8057" t="s">
        <v>5112</v>
      </c>
      <c r="E8057" t="s">
        <v>557</v>
      </c>
      <c r="F8057" t="s">
        <v>1068</v>
      </c>
      <c r="G8057" t="s">
        <v>1080</v>
      </c>
      <c r="H8057" s="171" t="s">
        <v>5165</v>
      </c>
      <c r="I8057" t="s">
        <v>1082</v>
      </c>
      <c r="J8057">
        <v>7.89</v>
      </c>
    </row>
    <row r="8058" spans="1:10" hidden="1">
      <c r="A8058" t="s">
        <v>5160</v>
      </c>
      <c r="B8058" t="s">
        <v>5161</v>
      </c>
      <c r="C8058" t="s">
        <v>5111</v>
      </c>
      <c r="D8058" t="s">
        <v>5112</v>
      </c>
      <c r="E8058" t="s">
        <v>557</v>
      </c>
      <c r="F8058" t="s">
        <v>1068</v>
      </c>
      <c r="G8058" t="s">
        <v>1083</v>
      </c>
      <c r="H8058" s="171" t="s">
        <v>5166</v>
      </c>
      <c r="I8058" t="s">
        <v>1084</v>
      </c>
      <c r="J8058">
        <v>7.89</v>
      </c>
    </row>
    <row r="8059" spans="1:10" hidden="1">
      <c r="A8059" t="s">
        <v>5160</v>
      </c>
      <c r="B8059" t="s">
        <v>5161</v>
      </c>
      <c r="C8059" t="s">
        <v>5111</v>
      </c>
      <c r="D8059" t="s">
        <v>5112</v>
      </c>
      <c r="E8059" t="s">
        <v>557</v>
      </c>
      <c r="F8059" t="s">
        <v>1068</v>
      </c>
      <c r="G8059" t="s">
        <v>1085</v>
      </c>
      <c r="H8059">
        <v>1.45618958317132E-4</v>
      </c>
      <c r="I8059" t="s">
        <v>1086</v>
      </c>
      <c r="J8059">
        <v>7.89</v>
      </c>
    </row>
    <row r="8060" spans="1:10" hidden="1">
      <c r="A8060" t="s">
        <v>5160</v>
      </c>
      <c r="B8060" t="s">
        <v>5161</v>
      </c>
      <c r="C8060" t="s">
        <v>5111</v>
      </c>
      <c r="D8060" t="s">
        <v>5112</v>
      </c>
      <c r="E8060" t="s">
        <v>557</v>
      </c>
      <c r="F8060" t="s">
        <v>1068</v>
      </c>
      <c r="G8060" t="s">
        <v>1087</v>
      </c>
      <c r="H8060" s="171" t="s">
        <v>5167</v>
      </c>
      <c r="I8060" t="s">
        <v>1088</v>
      </c>
      <c r="J8060">
        <v>7.89</v>
      </c>
    </row>
    <row r="8061" spans="1:10" hidden="1">
      <c r="A8061" t="s">
        <v>5160</v>
      </c>
      <c r="B8061" t="s">
        <v>5161</v>
      </c>
      <c r="C8061" t="s">
        <v>5111</v>
      </c>
      <c r="D8061" t="s">
        <v>5112</v>
      </c>
      <c r="E8061" t="s">
        <v>557</v>
      </c>
      <c r="F8061" t="s">
        <v>1068</v>
      </c>
      <c r="G8061" t="s">
        <v>1089</v>
      </c>
      <c r="H8061" s="171" t="s">
        <v>5168</v>
      </c>
      <c r="I8061" t="s">
        <v>1090</v>
      </c>
      <c r="J8061">
        <v>7.89</v>
      </c>
    </row>
    <row r="8062" spans="1:10" hidden="1">
      <c r="A8062" t="s">
        <v>5169</v>
      </c>
      <c r="B8062" t="s">
        <v>5170</v>
      </c>
      <c r="C8062" t="s">
        <v>5111</v>
      </c>
      <c r="D8062" t="s">
        <v>5112</v>
      </c>
      <c r="E8062" t="s">
        <v>559</v>
      </c>
      <c r="F8062" t="s">
        <v>1068</v>
      </c>
      <c r="G8062" t="s">
        <v>1069</v>
      </c>
      <c r="H8062" s="171" t="s">
        <v>5171</v>
      </c>
      <c r="I8062" t="s">
        <v>1070</v>
      </c>
      <c r="J8062">
        <v>7.61</v>
      </c>
    </row>
    <row r="8063" spans="1:10" hidden="1">
      <c r="A8063" t="s">
        <v>5169</v>
      </c>
      <c r="B8063" t="s">
        <v>5170</v>
      </c>
      <c r="C8063" t="s">
        <v>5111</v>
      </c>
      <c r="D8063" t="s">
        <v>5112</v>
      </c>
      <c r="E8063" t="s">
        <v>559</v>
      </c>
      <c r="F8063" t="s">
        <v>1068</v>
      </c>
      <c r="G8063" t="s">
        <v>1071</v>
      </c>
      <c r="H8063" s="171" t="s">
        <v>5172</v>
      </c>
      <c r="I8063" t="s">
        <v>1072</v>
      </c>
      <c r="J8063">
        <v>7.61</v>
      </c>
    </row>
    <row r="8064" spans="1:10" hidden="1">
      <c r="A8064" t="s">
        <v>5169</v>
      </c>
      <c r="B8064" t="s">
        <v>5170</v>
      </c>
      <c r="C8064" t="s">
        <v>5111</v>
      </c>
      <c r="D8064" t="s">
        <v>5112</v>
      </c>
      <c r="E8064" t="s">
        <v>559</v>
      </c>
      <c r="F8064" t="s">
        <v>1068</v>
      </c>
      <c r="G8064" t="s">
        <v>1073</v>
      </c>
      <c r="H8064" s="171" t="s">
        <v>5173</v>
      </c>
      <c r="I8064" t="s">
        <v>1074</v>
      </c>
      <c r="J8064">
        <v>7.61</v>
      </c>
    </row>
    <row r="8065" spans="1:10" hidden="1">
      <c r="A8065" t="s">
        <v>5169</v>
      </c>
      <c r="B8065" t="s">
        <v>5170</v>
      </c>
      <c r="C8065" t="s">
        <v>5111</v>
      </c>
      <c r="D8065" t="s">
        <v>5112</v>
      </c>
      <c r="E8065" t="s">
        <v>559</v>
      </c>
      <c r="F8065" t="s">
        <v>1068</v>
      </c>
      <c r="G8065" t="s">
        <v>1075</v>
      </c>
      <c r="H8065">
        <v>4.0741453221187704E-3</v>
      </c>
      <c r="I8065" t="s">
        <v>1077</v>
      </c>
      <c r="J8065">
        <v>7.61</v>
      </c>
    </row>
    <row r="8066" spans="1:10" hidden="1">
      <c r="A8066" t="s">
        <v>5169</v>
      </c>
      <c r="B8066" t="s">
        <v>5170</v>
      </c>
      <c r="C8066" t="s">
        <v>5111</v>
      </c>
      <c r="D8066" t="s">
        <v>5112</v>
      </c>
      <c r="E8066" t="s">
        <v>559</v>
      </c>
      <c r="F8066" t="s">
        <v>1068</v>
      </c>
      <c r="G8066" t="s">
        <v>1078</v>
      </c>
      <c r="H8066">
        <v>4.1333668033558701E-2</v>
      </c>
      <c r="I8066" t="s">
        <v>1079</v>
      </c>
      <c r="J8066">
        <v>7.61</v>
      </c>
    </row>
    <row r="8067" spans="1:10" hidden="1">
      <c r="A8067" t="s">
        <v>5169</v>
      </c>
      <c r="B8067" t="s">
        <v>5170</v>
      </c>
      <c r="C8067" t="s">
        <v>5111</v>
      </c>
      <c r="D8067" t="s">
        <v>5112</v>
      </c>
      <c r="E8067" t="s">
        <v>559</v>
      </c>
      <c r="F8067" t="s">
        <v>1068</v>
      </c>
      <c r="G8067" t="s">
        <v>1080</v>
      </c>
      <c r="H8067" s="171" t="s">
        <v>5174</v>
      </c>
      <c r="I8067" t="s">
        <v>1082</v>
      </c>
      <c r="J8067">
        <v>7.61</v>
      </c>
    </row>
    <row r="8068" spans="1:10" hidden="1">
      <c r="A8068" t="s">
        <v>5169</v>
      </c>
      <c r="B8068" t="s">
        <v>5170</v>
      </c>
      <c r="C8068" t="s">
        <v>5111</v>
      </c>
      <c r="D8068" t="s">
        <v>5112</v>
      </c>
      <c r="E8068" t="s">
        <v>559</v>
      </c>
      <c r="F8068" t="s">
        <v>1068</v>
      </c>
      <c r="G8068" t="s">
        <v>1083</v>
      </c>
      <c r="H8068" s="171" t="s">
        <v>5175</v>
      </c>
      <c r="I8068" t="s">
        <v>1084</v>
      </c>
      <c r="J8068">
        <v>7.61</v>
      </c>
    </row>
    <row r="8069" spans="1:10" hidden="1">
      <c r="A8069" t="s">
        <v>5169</v>
      </c>
      <c r="B8069" t="s">
        <v>5170</v>
      </c>
      <c r="C8069" t="s">
        <v>5111</v>
      </c>
      <c r="D8069" t="s">
        <v>5112</v>
      </c>
      <c r="E8069" t="s">
        <v>559</v>
      </c>
      <c r="F8069" t="s">
        <v>1068</v>
      </c>
      <c r="G8069" t="s">
        <v>1085</v>
      </c>
      <c r="H8069">
        <v>1.4531651514691901E-4</v>
      </c>
      <c r="I8069" t="s">
        <v>1086</v>
      </c>
      <c r="J8069">
        <v>7.61</v>
      </c>
    </row>
    <row r="8070" spans="1:10" hidden="1">
      <c r="A8070" t="s">
        <v>5169</v>
      </c>
      <c r="B8070" t="s">
        <v>5170</v>
      </c>
      <c r="C8070" t="s">
        <v>5111</v>
      </c>
      <c r="D8070" t="s">
        <v>5112</v>
      </c>
      <c r="E8070" t="s">
        <v>559</v>
      </c>
      <c r="F8070" t="s">
        <v>1068</v>
      </c>
      <c r="G8070" t="s">
        <v>1087</v>
      </c>
      <c r="H8070" s="171" t="s">
        <v>5176</v>
      </c>
      <c r="I8070" t="s">
        <v>1088</v>
      </c>
      <c r="J8070">
        <v>7.61</v>
      </c>
    </row>
    <row r="8071" spans="1:10" hidden="1">
      <c r="A8071" t="s">
        <v>5169</v>
      </c>
      <c r="B8071" t="s">
        <v>5170</v>
      </c>
      <c r="C8071" t="s">
        <v>5111</v>
      </c>
      <c r="D8071" t="s">
        <v>5112</v>
      </c>
      <c r="E8071" t="s">
        <v>559</v>
      </c>
      <c r="F8071" t="s">
        <v>1068</v>
      </c>
      <c r="G8071" t="s">
        <v>1089</v>
      </c>
      <c r="H8071" s="171" t="s">
        <v>5177</v>
      </c>
      <c r="I8071" t="s">
        <v>1090</v>
      </c>
      <c r="J8071">
        <v>7.61</v>
      </c>
    </row>
    <row r="8072" spans="1:10" hidden="1">
      <c r="A8072" t="s">
        <v>5178</v>
      </c>
      <c r="B8072" t="s">
        <v>5179</v>
      </c>
      <c r="C8072" t="s">
        <v>5111</v>
      </c>
      <c r="D8072" t="s">
        <v>5112</v>
      </c>
      <c r="E8072" t="s">
        <v>560</v>
      </c>
      <c r="F8072" t="s">
        <v>1068</v>
      </c>
      <c r="G8072" t="s">
        <v>1069</v>
      </c>
      <c r="H8072" s="171" t="s">
        <v>5180</v>
      </c>
      <c r="I8072" t="s">
        <v>1070</v>
      </c>
      <c r="J8072">
        <v>8.08</v>
      </c>
    </row>
    <row r="8073" spans="1:10" hidden="1">
      <c r="A8073" t="s">
        <v>5178</v>
      </c>
      <c r="B8073" t="s">
        <v>5179</v>
      </c>
      <c r="C8073" t="s">
        <v>5111</v>
      </c>
      <c r="D8073" t="s">
        <v>5112</v>
      </c>
      <c r="E8073" t="s">
        <v>560</v>
      </c>
      <c r="F8073" t="s">
        <v>1068</v>
      </c>
      <c r="G8073" t="s">
        <v>1071</v>
      </c>
      <c r="H8073" s="171" t="s">
        <v>5181</v>
      </c>
      <c r="I8073" t="s">
        <v>1072</v>
      </c>
      <c r="J8073">
        <v>8.08</v>
      </c>
    </row>
    <row r="8074" spans="1:10" hidden="1">
      <c r="A8074" t="s">
        <v>5178</v>
      </c>
      <c r="B8074" t="s">
        <v>5179</v>
      </c>
      <c r="C8074" t="s">
        <v>5111</v>
      </c>
      <c r="D8074" t="s">
        <v>5112</v>
      </c>
      <c r="E8074" t="s">
        <v>560</v>
      </c>
      <c r="F8074" t="s">
        <v>1068</v>
      </c>
      <c r="G8074" t="s">
        <v>1073</v>
      </c>
      <c r="H8074" s="171" t="s">
        <v>5182</v>
      </c>
      <c r="I8074" t="s">
        <v>1074</v>
      </c>
      <c r="J8074">
        <v>8.08</v>
      </c>
    </row>
    <row r="8075" spans="1:10" hidden="1">
      <c r="A8075" t="s">
        <v>5178</v>
      </c>
      <c r="B8075" t="s">
        <v>5179</v>
      </c>
      <c r="C8075" t="s">
        <v>5111</v>
      </c>
      <c r="D8075" t="s">
        <v>5112</v>
      </c>
      <c r="E8075" t="s">
        <v>560</v>
      </c>
      <c r="F8075" t="s">
        <v>1068</v>
      </c>
      <c r="G8075" t="s">
        <v>1075</v>
      </c>
      <c r="H8075">
        <v>4.0760249550645198E-3</v>
      </c>
      <c r="I8075" t="s">
        <v>1077</v>
      </c>
      <c r="J8075">
        <v>8.08</v>
      </c>
    </row>
    <row r="8076" spans="1:10" hidden="1">
      <c r="A8076" t="s">
        <v>5178</v>
      </c>
      <c r="B8076" t="s">
        <v>5179</v>
      </c>
      <c r="C8076" t="s">
        <v>5111</v>
      </c>
      <c r="D8076" t="s">
        <v>5112</v>
      </c>
      <c r="E8076" t="s">
        <v>560</v>
      </c>
      <c r="F8076" t="s">
        <v>1068</v>
      </c>
      <c r="G8076" t="s">
        <v>1078</v>
      </c>
      <c r="H8076">
        <v>4.1414954380226701E-2</v>
      </c>
      <c r="I8076" t="s">
        <v>1079</v>
      </c>
      <c r="J8076">
        <v>8.08</v>
      </c>
    </row>
    <row r="8077" spans="1:10" hidden="1">
      <c r="A8077" t="s">
        <v>5178</v>
      </c>
      <c r="B8077" t="s">
        <v>5179</v>
      </c>
      <c r="C8077" t="s">
        <v>5111</v>
      </c>
      <c r="D8077" t="s">
        <v>5112</v>
      </c>
      <c r="E8077" t="s">
        <v>560</v>
      </c>
      <c r="F8077" t="s">
        <v>1068</v>
      </c>
      <c r="G8077" t="s">
        <v>1080</v>
      </c>
      <c r="H8077" s="171" t="s">
        <v>5183</v>
      </c>
      <c r="I8077" t="s">
        <v>1082</v>
      </c>
      <c r="J8077">
        <v>8.08</v>
      </c>
    </row>
    <row r="8078" spans="1:10" hidden="1">
      <c r="A8078" t="s">
        <v>5178</v>
      </c>
      <c r="B8078" t="s">
        <v>5179</v>
      </c>
      <c r="C8078" t="s">
        <v>5111</v>
      </c>
      <c r="D8078" t="s">
        <v>5112</v>
      </c>
      <c r="E8078" t="s">
        <v>560</v>
      </c>
      <c r="F8078" t="s">
        <v>1068</v>
      </c>
      <c r="G8078" t="s">
        <v>1083</v>
      </c>
      <c r="H8078" s="171" t="s">
        <v>5184</v>
      </c>
      <c r="I8078" t="s">
        <v>1084</v>
      </c>
      <c r="J8078">
        <v>8.08</v>
      </c>
    </row>
    <row r="8079" spans="1:10" hidden="1">
      <c r="A8079" t="s">
        <v>5178</v>
      </c>
      <c r="B8079" t="s">
        <v>5179</v>
      </c>
      <c r="C8079" t="s">
        <v>5111</v>
      </c>
      <c r="D8079" t="s">
        <v>5112</v>
      </c>
      <c r="E8079" t="s">
        <v>560</v>
      </c>
      <c r="F8079" t="s">
        <v>1068</v>
      </c>
      <c r="G8079" t="s">
        <v>1085</v>
      </c>
      <c r="H8079">
        <v>1.45418668602633E-4</v>
      </c>
      <c r="I8079" t="s">
        <v>1086</v>
      </c>
      <c r="J8079">
        <v>8.08</v>
      </c>
    </row>
    <row r="8080" spans="1:10" hidden="1">
      <c r="A8080" t="s">
        <v>5178</v>
      </c>
      <c r="B8080" t="s">
        <v>5179</v>
      </c>
      <c r="C8080" t="s">
        <v>5111</v>
      </c>
      <c r="D8080" t="s">
        <v>5112</v>
      </c>
      <c r="E8080" t="s">
        <v>560</v>
      </c>
      <c r="F8080" t="s">
        <v>1068</v>
      </c>
      <c r="G8080" t="s">
        <v>1087</v>
      </c>
      <c r="H8080" s="171" t="s">
        <v>5185</v>
      </c>
      <c r="I8080" t="s">
        <v>1088</v>
      </c>
      <c r="J8080">
        <v>8.08</v>
      </c>
    </row>
    <row r="8081" spans="1:10" hidden="1">
      <c r="A8081" t="s">
        <v>5178</v>
      </c>
      <c r="B8081" t="s">
        <v>5179</v>
      </c>
      <c r="C8081" t="s">
        <v>5111</v>
      </c>
      <c r="D8081" t="s">
        <v>5112</v>
      </c>
      <c r="E8081" t="s">
        <v>560</v>
      </c>
      <c r="F8081" t="s">
        <v>1068</v>
      </c>
      <c r="G8081" t="s">
        <v>1089</v>
      </c>
      <c r="H8081" s="171" t="s">
        <v>5186</v>
      </c>
      <c r="I8081" t="s">
        <v>1090</v>
      </c>
      <c r="J8081">
        <v>8.08</v>
      </c>
    </row>
    <row r="8082" spans="1:10" hidden="1">
      <c r="A8082" t="s">
        <v>5187</v>
      </c>
      <c r="B8082" t="s">
        <v>5188</v>
      </c>
      <c r="C8082" t="s">
        <v>5111</v>
      </c>
      <c r="D8082" t="s">
        <v>5112</v>
      </c>
      <c r="E8082" t="s">
        <v>1116</v>
      </c>
      <c r="F8082" t="s">
        <v>1068</v>
      </c>
      <c r="G8082" t="s">
        <v>1069</v>
      </c>
      <c r="H8082" s="171" t="s">
        <v>5189</v>
      </c>
      <c r="I8082" t="s">
        <v>1070</v>
      </c>
      <c r="J8082">
        <v>7.93</v>
      </c>
    </row>
    <row r="8083" spans="1:10" hidden="1">
      <c r="A8083" t="s">
        <v>5187</v>
      </c>
      <c r="B8083" t="s">
        <v>5188</v>
      </c>
      <c r="C8083" t="s">
        <v>5111</v>
      </c>
      <c r="D8083" t="s">
        <v>5112</v>
      </c>
      <c r="E8083" t="s">
        <v>1116</v>
      </c>
      <c r="F8083" t="s">
        <v>1068</v>
      </c>
      <c r="G8083" t="s">
        <v>1071</v>
      </c>
      <c r="H8083" s="171" t="s">
        <v>5190</v>
      </c>
      <c r="I8083" t="s">
        <v>1072</v>
      </c>
      <c r="J8083">
        <v>7.93</v>
      </c>
    </row>
    <row r="8084" spans="1:10" hidden="1">
      <c r="A8084" t="s">
        <v>5187</v>
      </c>
      <c r="B8084" t="s">
        <v>5188</v>
      </c>
      <c r="C8084" t="s">
        <v>5111</v>
      </c>
      <c r="D8084" t="s">
        <v>5112</v>
      </c>
      <c r="E8084" t="s">
        <v>1116</v>
      </c>
      <c r="F8084" t="s">
        <v>1068</v>
      </c>
      <c r="G8084" t="s">
        <v>1073</v>
      </c>
      <c r="H8084" s="171" t="s">
        <v>5191</v>
      </c>
      <c r="I8084" t="s">
        <v>1074</v>
      </c>
      <c r="J8084">
        <v>7.93</v>
      </c>
    </row>
    <row r="8085" spans="1:10" hidden="1">
      <c r="A8085" t="s">
        <v>5187</v>
      </c>
      <c r="B8085" t="s">
        <v>5188</v>
      </c>
      <c r="C8085" t="s">
        <v>5111</v>
      </c>
      <c r="D8085" t="s">
        <v>5112</v>
      </c>
      <c r="E8085" t="s">
        <v>1116</v>
      </c>
      <c r="F8085" t="s">
        <v>1068</v>
      </c>
      <c r="G8085" t="s">
        <v>1075</v>
      </c>
      <c r="H8085">
        <v>4.0872108060272397E-3</v>
      </c>
      <c r="I8085" t="s">
        <v>1077</v>
      </c>
      <c r="J8085">
        <v>7.93</v>
      </c>
    </row>
    <row r="8086" spans="1:10" hidden="1">
      <c r="A8086" t="s">
        <v>5187</v>
      </c>
      <c r="B8086" t="s">
        <v>5188</v>
      </c>
      <c r="C8086" t="s">
        <v>5111</v>
      </c>
      <c r="D8086" t="s">
        <v>5112</v>
      </c>
      <c r="E8086" t="s">
        <v>1116</v>
      </c>
      <c r="F8086" t="s">
        <v>1068</v>
      </c>
      <c r="G8086" t="s">
        <v>1078</v>
      </c>
      <c r="H8086" s="171" t="s">
        <v>5192</v>
      </c>
      <c r="I8086" t="s">
        <v>1079</v>
      </c>
      <c r="J8086">
        <v>7.93</v>
      </c>
    </row>
    <row r="8087" spans="1:10" hidden="1">
      <c r="A8087" t="s">
        <v>5187</v>
      </c>
      <c r="B8087" t="s">
        <v>5188</v>
      </c>
      <c r="C8087" t="s">
        <v>5111</v>
      </c>
      <c r="D8087" t="s">
        <v>5112</v>
      </c>
      <c r="E8087" t="s">
        <v>1116</v>
      </c>
      <c r="F8087" t="s">
        <v>1068</v>
      </c>
      <c r="G8087" t="s">
        <v>1080</v>
      </c>
      <c r="H8087" s="171" t="s">
        <v>5193</v>
      </c>
      <c r="I8087" t="s">
        <v>1082</v>
      </c>
      <c r="J8087">
        <v>7.93</v>
      </c>
    </row>
    <row r="8088" spans="1:10" hidden="1">
      <c r="A8088" t="s">
        <v>5187</v>
      </c>
      <c r="B8088" t="s">
        <v>5188</v>
      </c>
      <c r="C8088" t="s">
        <v>5111</v>
      </c>
      <c r="D8088" t="s">
        <v>5112</v>
      </c>
      <c r="E8088" t="s">
        <v>1116</v>
      </c>
      <c r="F8088" t="s">
        <v>1068</v>
      </c>
      <c r="G8088" t="s">
        <v>1083</v>
      </c>
      <c r="H8088" s="171" t="s">
        <v>5194</v>
      </c>
      <c r="I8088" t="s">
        <v>1084</v>
      </c>
      <c r="J8088">
        <v>7.93</v>
      </c>
    </row>
    <row r="8089" spans="1:10" hidden="1">
      <c r="A8089" t="s">
        <v>5187</v>
      </c>
      <c r="B8089" t="s">
        <v>5188</v>
      </c>
      <c r="C8089" t="s">
        <v>5111</v>
      </c>
      <c r="D8089" t="s">
        <v>5112</v>
      </c>
      <c r="E8089" t="s">
        <v>1116</v>
      </c>
      <c r="F8089" t="s">
        <v>1068</v>
      </c>
      <c r="G8089" t="s">
        <v>1085</v>
      </c>
      <c r="H8089">
        <v>1.4602656802836E-4</v>
      </c>
      <c r="I8089" t="s">
        <v>1086</v>
      </c>
      <c r="J8089">
        <v>7.93</v>
      </c>
    </row>
    <row r="8090" spans="1:10" hidden="1">
      <c r="A8090" t="s">
        <v>5187</v>
      </c>
      <c r="B8090" t="s">
        <v>5188</v>
      </c>
      <c r="C8090" t="s">
        <v>5111</v>
      </c>
      <c r="D8090" t="s">
        <v>5112</v>
      </c>
      <c r="E8090" t="s">
        <v>1116</v>
      </c>
      <c r="F8090" t="s">
        <v>1068</v>
      </c>
      <c r="G8090" t="s">
        <v>1087</v>
      </c>
      <c r="H8090" s="171" t="s">
        <v>5195</v>
      </c>
      <c r="I8090" t="s">
        <v>1088</v>
      </c>
      <c r="J8090">
        <v>7.93</v>
      </c>
    </row>
    <row r="8091" spans="1:10" hidden="1">
      <c r="A8091" t="s">
        <v>5187</v>
      </c>
      <c r="B8091" t="s">
        <v>5188</v>
      </c>
      <c r="C8091" t="s">
        <v>5111</v>
      </c>
      <c r="D8091" t="s">
        <v>5112</v>
      </c>
      <c r="E8091" t="s">
        <v>1116</v>
      </c>
      <c r="F8091" t="s">
        <v>1068</v>
      </c>
      <c r="G8091" t="s">
        <v>1089</v>
      </c>
      <c r="H8091" s="171" t="s">
        <v>5196</v>
      </c>
      <c r="I8091" t="s">
        <v>1090</v>
      </c>
      <c r="J8091">
        <v>7.93</v>
      </c>
    </row>
    <row r="8092" spans="1:10" hidden="1">
      <c r="A8092" t="s">
        <v>5197</v>
      </c>
      <c r="B8092" t="s">
        <v>5198</v>
      </c>
      <c r="C8092" t="s">
        <v>5111</v>
      </c>
      <c r="D8092" t="s">
        <v>5199</v>
      </c>
      <c r="E8092" t="s">
        <v>561</v>
      </c>
      <c r="F8092" t="s">
        <v>1068</v>
      </c>
      <c r="G8092" t="s">
        <v>1069</v>
      </c>
      <c r="H8092">
        <v>6.60926412010472E-2</v>
      </c>
      <c r="I8092" t="s">
        <v>1070</v>
      </c>
      <c r="J8092">
        <v>8.4700000000000006</v>
      </c>
    </row>
    <row r="8093" spans="1:10" hidden="1">
      <c r="A8093" t="s">
        <v>5197</v>
      </c>
      <c r="B8093" t="s">
        <v>5198</v>
      </c>
      <c r="C8093" t="s">
        <v>5111</v>
      </c>
      <c r="D8093" t="s">
        <v>5199</v>
      </c>
      <c r="E8093" t="s">
        <v>561</v>
      </c>
      <c r="F8093" t="s">
        <v>1068</v>
      </c>
      <c r="G8093" t="s">
        <v>1071</v>
      </c>
      <c r="H8093" s="171" t="s">
        <v>5200</v>
      </c>
      <c r="I8093" t="s">
        <v>1072</v>
      </c>
      <c r="J8093">
        <v>8.4700000000000006</v>
      </c>
    </row>
    <row r="8094" spans="1:10" hidden="1">
      <c r="A8094" t="s">
        <v>5197</v>
      </c>
      <c r="B8094" t="s">
        <v>5198</v>
      </c>
      <c r="C8094" t="s">
        <v>5111</v>
      </c>
      <c r="D8094" t="s">
        <v>5199</v>
      </c>
      <c r="E8094" t="s">
        <v>561</v>
      </c>
      <c r="F8094" t="s">
        <v>1068</v>
      </c>
      <c r="G8094" t="s">
        <v>1073</v>
      </c>
      <c r="H8094" s="171" t="s">
        <v>5201</v>
      </c>
      <c r="I8094" t="s">
        <v>1074</v>
      </c>
      <c r="J8094">
        <v>8.4700000000000006</v>
      </c>
    </row>
    <row r="8095" spans="1:10" hidden="1">
      <c r="A8095" t="s">
        <v>5197</v>
      </c>
      <c r="B8095" t="s">
        <v>5198</v>
      </c>
      <c r="C8095" t="s">
        <v>5111</v>
      </c>
      <c r="D8095" t="s">
        <v>5199</v>
      </c>
      <c r="E8095" t="s">
        <v>561</v>
      </c>
      <c r="F8095" t="s">
        <v>1068</v>
      </c>
      <c r="G8095" t="s">
        <v>1075</v>
      </c>
      <c r="H8095">
        <v>2.9683329494203199E-3</v>
      </c>
      <c r="I8095" t="s">
        <v>1077</v>
      </c>
      <c r="J8095">
        <v>8.4700000000000006</v>
      </c>
    </row>
    <row r="8096" spans="1:10" hidden="1">
      <c r="A8096" t="s">
        <v>5197</v>
      </c>
      <c r="B8096" t="s">
        <v>5198</v>
      </c>
      <c r="C8096" t="s">
        <v>5111</v>
      </c>
      <c r="D8096" t="s">
        <v>5199</v>
      </c>
      <c r="E8096" t="s">
        <v>561</v>
      </c>
      <c r="F8096" t="s">
        <v>1068</v>
      </c>
      <c r="G8096" t="s">
        <v>1078</v>
      </c>
      <c r="H8096">
        <v>-5.6307288054897903E-2</v>
      </c>
      <c r="I8096" t="s">
        <v>1079</v>
      </c>
      <c r="J8096">
        <v>8.4700000000000006</v>
      </c>
    </row>
    <row r="8097" spans="1:10" hidden="1">
      <c r="A8097" t="s">
        <v>5197</v>
      </c>
      <c r="B8097" t="s">
        <v>5198</v>
      </c>
      <c r="C8097" t="s">
        <v>5111</v>
      </c>
      <c r="D8097" t="s">
        <v>5199</v>
      </c>
      <c r="E8097" t="s">
        <v>561</v>
      </c>
      <c r="F8097" t="s">
        <v>1068</v>
      </c>
      <c r="G8097" t="s">
        <v>1080</v>
      </c>
      <c r="H8097" s="171" t="s">
        <v>5202</v>
      </c>
      <c r="I8097" t="s">
        <v>1082</v>
      </c>
      <c r="J8097">
        <v>8.4700000000000006</v>
      </c>
    </row>
    <row r="8098" spans="1:10" hidden="1">
      <c r="A8098" t="s">
        <v>5197</v>
      </c>
      <c r="B8098" t="s">
        <v>5198</v>
      </c>
      <c r="C8098" t="s">
        <v>5111</v>
      </c>
      <c r="D8098" t="s">
        <v>5199</v>
      </c>
      <c r="E8098" t="s">
        <v>561</v>
      </c>
      <c r="F8098" t="s">
        <v>1068</v>
      </c>
      <c r="G8098" t="s">
        <v>1083</v>
      </c>
      <c r="H8098" s="170">
        <v>-1.1434607615029E-7</v>
      </c>
      <c r="I8098" t="s">
        <v>1084</v>
      </c>
      <c r="J8098">
        <v>8.4700000000000006</v>
      </c>
    </row>
    <row r="8099" spans="1:10" hidden="1">
      <c r="A8099" t="s">
        <v>5197</v>
      </c>
      <c r="B8099" t="s">
        <v>5198</v>
      </c>
      <c r="C8099" t="s">
        <v>5111</v>
      </c>
      <c r="D8099" t="s">
        <v>5199</v>
      </c>
      <c r="E8099" t="s">
        <v>561</v>
      </c>
      <c r="F8099" t="s">
        <v>1068</v>
      </c>
      <c r="G8099" t="s">
        <v>1085</v>
      </c>
      <c r="H8099" s="171" t="s">
        <v>5203</v>
      </c>
      <c r="I8099" t="s">
        <v>1086</v>
      </c>
      <c r="J8099">
        <v>8.4700000000000006</v>
      </c>
    </row>
    <row r="8100" spans="1:10" hidden="1">
      <c r="A8100" t="s">
        <v>5197</v>
      </c>
      <c r="B8100" t="s">
        <v>5198</v>
      </c>
      <c r="C8100" t="s">
        <v>5111</v>
      </c>
      <c r="D8100" t="s">
        <v>5199</v>
      </c>
      <c r="E8100" t="s">
        <v>561</v>
      </c>
      <c r="F8100" t="s">
        <v>1068</v>
      </c>
      <c r="G8100" t="s">
        <v>1087</v>
      </c>
      <c r="H8100" s="171" t="s">
        <v>5204</v>
      </c>
      <c r="I8100" t="s">
        <v>1088</v>
      </c>
      <c r="J8100">
        <v>8.4700000000000006</v>
      </c>
    </row>
    <row r="8101" spans="1:10" hidden="1">
      <c r="A8101" t="s">
        <v>5197</v>
      </c>
      <c r="B8101" t="s">
        <v>5198</v>
      </c>
      <c r="C8101" t="s">
        <v>5111</v>
      </c>
      <c r="D8101" t="s">
        <v>5199</v>
      </c>
      <c r="E8101" t="s">
        <v>561</v>
      </c>
      <c r="F8101" t="s">
        <v>1068</v>
      </c>
      <c r="G8101" t="s">
        <v>1089</v>
      </c>
      <c r="H8101" s="171" t="s">
        <v>5205</v>
      </c>
      <c r="I8101" t="s">
        <v>1090</v>
      </c>
      <c r="J8101">
        <v>8.4700000000000006</v>
      </c>
    </row>
    <row r="8102" spans="1:10" hidden="1">
      <c r="A8102" t="s">
        <v>5206</v>
      </c>
      <c r="B8102" t="s">
        <v>5207</v>
      </c>
      <c r="C8102" t="s">
        <v>5111</v>
      </c>
      <c r="D8102" t="s">
        <v>5199</v>
      </c>
      <c r="E8102" t="s">
        <v>555</v>
      </c>
      <c r="F8102" t="s">
        <v>1068</v>
      </c>
      <c r="G8102" t="s">
        <v>1069</v>
      </c>
      <c r="H8102">
        <v>6.0153963265084702E-2</v>
      </c>
      <c r="I8102" t="s">
        <v>1070</v>
      </c>
      <c r="J8102">
        <v>7.29</v>
      </c>
    </row>
    <row r="8103" spans="1:10" hidden="1">
      <c r="A8103" t="s">
        <v>5206</v>
      </c>
      <c r="B8103" t="s">
        <v>5207</v>
      </c>
      <c r="C8103" t="s">
        <v>5111</v>
      </c>
      <c r="D8103" t="s">
        <v>5199</v>
      </c>
      <c r="E8103" t="s">
        <v>555</v>
      </c>
      <c r="F8103" t="s">
        <v>1068</v>
      </c>
      <c r="G8103" t="s">
        <v>1071</v>
      </c>
      <c r="H8103" s="171" t="s">
        <v>5208</v>
      </c>
      <c r="I8103" t="s">
        <v>1072</v>
      </c>
      <c r="J8103">
        <v>7.29</v>
      </c>
    </row>
    <row r="8104" spans="1:10" hidden="1">
      <c r="A8104" t="s">
        <v>5206</v>
      </c>
      <c r="B8104" t="s">
        <v>5207</v>
      </c>
      <c r="C8104" t="s">
        <v>5111</v>
      </c>
      <c r="D8104" t="s">
        <v>5199</v>
      </c>
      <c r="E8104" t="s">
        <v>555</v>
      </c>
      <c r="F8104" t="s">
        <v>1068</v>
      </c>
      <c r="G8104" t="s">
        <v>1073</v>
      </c>
      <c r="H8104" s="171" t="s">
        <v>5209</v>
      </c>
      <c r="I8104" t="s">
        <v>1074</v>
      </c>
      <c r="J8104">
        <v>7.29</v>
      </c>
    </row>
    <row r="8105" spans="1:10" hidden="1">
      <c r="A8105" t="s">
        <v>5206</v>
      </c>
      <c r="B8105" t="s">
        <v>5207</v>
      </c>
      <c r="C8105" t="s">
        <v>5111</v>
      </c>
      <c r="D8105" t="s">
        <v>5199</v>
      </c>
      <c r="E8105" t="s">
        <v>555</v>
      </c>
      <c r="F8105" t="s">
        <v>1068</v>
      </c>
      <c r="G8105" t="s">
        <v>1075</v>
      </c>
      <c r="H8105">
        <v>2.7989604775934701E-3</v>
      </c>
      <c r="I8105" t="s">
        <v>1077</v>
      </c>
      <c r="J8105">
        <v>7.29</v>
      </c>
    </row>
    <row r="8106" spans="1:10" hidden="1">
      <c r="A8106" t="s">
        <v>5206</v>
      </c>
      <c r="B8106" t="s">
        <v>5207</v>
      </c>
      <c r="C8106" t="s">
        <v>5111</v>
      </c>
      <c r="D8106" t="s">
        <v>5199</v>
      </c>
      <c r="E8106" t="s">
        <v>555</v>
      </c>
      <c r="F8106" t="s">
        <v>1068</v>
      </c>
      <c r="G8106" t="s">
        <v>1078</v>
      </c>
      <c r="H8106">
        <v>-5.6611752205430597E-2</v>
      </c>
      <c r="I8106" t="s">
        <v>1079</v>
      </c>
      <c r="J8106">
        <v>7.29</v>
      </c>
    </row>
    <row r="8107" spans="1:10" hidden="1">
      <c r="A8107" t="s">
        <v>5206</v>
      </c>
      <c r="B8107" t="s">
        <v>5207</v>
      </c>
      <c r="C8107" t="s">
        <v>5111</v>
      </c>
      <c r="D8107" t="s">
        <v>5199</v>
      </c>
      <c r="E8107" t="s">
        <v>555</v>
      </c>
      <c r="F8107" t="s">
        <v>1068</v>
      </c>
      <c r="G8107" t="s">
        <v>1080</v>
      </c>
      <c r="H8107" s="171" t="s">
        <v>5210</v>
      </c>
      <c r="I8107" t="s">
        <v>1082</v>
      </c>
      <c r="J8107">
        <v>7.29</v>
      </c>
    </row>
    <row r="8108" spans="1:10" hidden="1">
      <c r="A8108" t="s">
        <v>5206</v>
      </c>
      <c r="B8108" t="s">
        <v>5207</v>
      </c>
      <c r="C8108" t="s">
        <v>5111</v>
      </c>
      <c r="D8108" t="s">
        <v>5199</v>
      </c>
      <c r="E8108" t="s">
        <v>555</v>
      </c>
      <c r="F8108" t="s">
        <v>1068</v>
      </c>
      <c r="G8108" t="s">
        <v>1083</v>
      </c>
      <c r="H8108" s="170">
        <v>-1.0194263625072301E-6</v>
      </c>
      <c r="I8108" t="s">
        <v>1084</v>
      </c>
      <c r="J8108">
        <v>7.29</v>
      </c>
    </row>
    <row r="8109" spans="1:10" hidden="1">
      <c r="A8109" t="s">
        <v>5206</v>
      </c>
      <c r="B8109" t="s">
        <v>5207</v>
      </c>
      <c r="C8109" t="s">
        <v>5111</v>
      </c>
      <c r="D8109" t="s">
        <v>5199</v>
      </c>
      <c r="E8109" t="s">
        <v>555</v>
      </c>
      <c r="F8109" t="s">
        <v>1068</v>
      </c>
      <c r="G8109" t="s">
        <v>1085</v>
      </c>
      <c r="H8109" s="171" t="s">
        <v>5211</v>
      </c>
      <c r="I8109" t="s">
        <v>1086</v>
      </c>
      <c r="J8109">
        <v>7.29</v>
      </c>
    </row>
    <row r="8110" spans="1:10" hidden="1">
      <c r="A8110" t="s">
        <v>5206</v>
      </c>
      <c r="B8110" t="s">
        <v>5207</v>
      </c>
      <c r="C8110" t="s">
        <v>5111</v>
      </c>
      <c r="D8110" t="s">
        <v>5199</v>
      </c>
      <c r="E8110" t="s">
        <v>555</v>
      </c>
      <c r="F8110" t="s">
        <v>1068</v>
      </c>
      <c r="G8110" t="s">
        <v>1087</v>
      </c>
      <c r="H8110" s="171" t="s">
        <v>5212</v>
      </c>
      <c r="I8110" t="s">
        <v>1088</v>
      </c>
      <c r="J8110">
        <v>7.29</v>
      </c>
    </row>
    <row r="8111" spans="1:10" hidden="1">
      <c r="A8111" t="s">
        <v>5206</v>
      </c>
      <c r="B8111" t="s">
        <v>5207</v>
      </c>
      <c r="C8111" t="s">
        <v>5111</v>
      </c>
      <c r="D8111" t="s">
        <v>5199</v>
      </c>
      <c r="E8111" t="s">
        <v>555</v>
      </c>
      <c r="F8111" t="s">
        <v>1068</v>
      </c>
      <c r="G8111" t="s">
        <v>1089</v>
      </c>
      <c r="H8111" s="171" t="s">
        <v>5213</v>
      </c>
      <c r="I8111" t="s">
        <v>1090</v>
      </c>
      <c r="J8111">
        <v>7.29</v>
      </c>
    </row>
    <row r="8112" spans="1:10" hidden="1">
      <c r="A8112" t="s">
        <v>5214</v>
      </c>
      <c r="B8112" t="s">
        <v>5215</v>
      </c>
      <c r="C8112" t="s">
        <v>5111</v>
      </c>
      <c r="D8112" t="s">
        <v>5199</v>
      </c>
      <c r="E8112" t="s">
        <v>558</v>
      </c>
      <c r="F8112" t="s">
        <v>1068</v>
      </c>
      <c r="G8112" t="s">
        <v>1069</v>
      </c>
      <c r="H8112">
        <v>6.6605768191513995E-2</v>
      </c>
      <c r="I8112" t="s">
        <v>1070</v>
      </c>
      <c r="J8112">
        <v>7.74</v>
      </c>
    </row>
    <row r="8113" spans="1:10" hidden="1">
      <c r="A8113" t="s">
        <v>5214</v>
      </c>
      <c r="B8113" t="s">
        <v>5215</v>
      </c>
      <c r="C8113" t="s">
        <v>5111</v>
      </c>
      <c r="D8113" t="s">
        <v>5199</v>
      </c>
      <c r="E8113" t="s">
        <v>558</v>
      </c>
      <c r="F8113" t="s">
        <v>1068</v>
      </c>
      <c r="G8113" t="s">
        <v>1071</v>
      </c>
      <c r="H8113" s="171" t="s">
        <v>5216</v>
      </c>
      <c r="I8113" t="s">
        <v>1072</v>
      </c>
      <c r="J8113">
        <v>7.74</v>
      </c>
    </row>
    <row r="8114" spans="1:10" hidden="1">
      <c r="A8114" t="s">
        <v>5214</v>
      </c>
      <c r="B8114" t="s">
        <v>5215</v>
      </c>
      <c r="C8114" t="s">
        <v>5111</v>
      </c>
      <c r="D8114" t="s">
        <v>5199</v>
      </c>
      <c r="E8114" t="s">
        <v>558</v>
      </c>
      <c r="F8114" t="s">
        <v>1068</v>
      </c>
      <c r="G8114" t="s">
        <v>1073</v>
      </c>
      <c r="H8114" s="171" t="s">
        <v>5217</v>
      </c>
      <c r="I8114" t="s">
        <v>1074</v>
      </c>
      <c r="J8114">
        <v>7.74</v>
      </c>
    </row>
    <row r="8115" spans="1:10" hidden="1">
      <c r="A8115" t="s">
        <v>5214</v>
      </c>
      <c r="B8115" t="s">
        <v>5215</v>
      </c>
      <c r="C8115" t="s">
        <v>5111</v>
      </c>
      <c r="D8115" t="s">
        <v>5199</v>
      </c>
      <c r="E8115" t="s">
        <v>558</v>
      </c>
      <c r="F8115" t="s">
        <v>1068</v>
      </c>
      <c r="G8115" t="s">
        <v>1075</v>
      </c>
      <c r="H8115">
        <v>2.9845534417464099E-3</v>
      </c>
      <c r="I8115" t="s">
        <v>1077</v>
      </c>
      <c r="J8115">
        <v>7.74</v>
      </c>
    </row>
    <row r="8116" spans="1:10" hidden="1">
      <c r="A8116" t="s">
        <v>5214</v>
      </c>
      <c r="B8116" t="s">
        <v>5215</v>
      </c>
      <c r="C8116" t="s">
        <v>5111</v>
      </c>
      <c r="D8116" t="s">
        <v>5199</v>
      </c>
      <c r="E8116" t="s">
        <v>558</v>
      </c>
      <c r="F8116" t="s">
        <v>1068</v>
      </c>
      <c r="G8116" t="s">
        <v>1078</v>
      </c>
      <c r="H8116">
        <v>-5.5605851397864399E-2</v>
      </c>
      <c r="I8116" t="s">
        <v>1079</v>
      </c>
      <c r="J8116">
        <v>7.74</v>
      </c>
    </row>
    <row r="8117" spans="1:10" hidden="1">
      <c r="A8117" t="s">
        <v>5214</v>
      </c>
      <c r="B8117" t="s">
        <v>5215</v>
      </c>
      <c r="C8117" t="s">
        <v>5111</v>
      </c>
      <c r="D8117" t="s">
        <v>5199</v>
      </c>
      <c r="E8117" t="s">
        <v>558</v>
      </c>
      <c r="F8117" t="s">
        <v>1068</v>
      </c>
      <c r="G8117" t="s">
        <v>1080</v>
      </c>
      <c r="H8117" s="171" t="s">
        <v>5218</v>
      </c>
      <c r="I8117" t="s">
        <v>1082</v>
      </c>
      <c r="J8117">
        <v>7.74</v>
      </c>
    </row>
    <row r="8118" spans="1:10" hidden="1">
      <c r="A8118" t="s">
        <v>5214</v>
      </c>
      <c r="B8118" t="s">
        <v>5215</v>
      </c>
      <c r="C8118" t="s">
        <v>5111</v>
      </c>
      <c r="D8118" t="s">
        <v>5199</v>
      </c>
      <c r="E8118" t="s">
        <v>558</v>
      </c>
      <c r="F8118" t="s">
        <v>1068</v>
      </c>
      <c r="G8118" t="s">
        <v>1083</v>
      </c>
      <c r="H8118" s="170">
        <v>-3.6350441370170103E-8</v>
      </c>
      <c r="I8118" t="s">
        <v>1084</v>
      </c>
      <c r="J8118">
        <v>7.74</v>
      </c>
    </row>
    <row r="8119" spans="1:10" hidden="1">
      <c r="A8119" t="s">
        <v>5214</v>
      </c>
      <c r="B8119" t="s">
        <v>5215</v>
      </c>
      <c r="C8119" t="s">
        <v>5111</v>
      </c>
      <c r="D8119" t="s">
        <v>5199</v>
      </c>
      <c r="E8119" t="s">
        <v>558</v>
      </c>
      <c r="F8119" t="s">
        <v>1068</v>
      </c>
      <c r="G8119" t="s">
        <v>1085</v>
      </c>
      <c r="H8119" s="171" t="s">
        <v>5219</v>
      </c>
      <c r="I8119" t="s">
        <v>1086</v>
      </c>
      <c r="J8119">
        <v>7.74</v>
      </c>
    </row>
    <row r="8120" spans="1:10" hidden="1">
      <c r="A8120" t="s">
        <v>5214</v>
      </c>
      <c r="B8120" t="s">
        <v>5215</v>
      </c>
      <c r="C8120" t="s">
        <v>5111</v>
      </c>
      <c r="D8120" t="s">
        <v>5199</v>
      </c>
      <c r="E8120" t="s">
        <v>558</v>
      </c>
      <c r="F8120" t="s">
        <v>1068</v>
      </c>
      <c r="G8120" t="s">
        <v>1087</v>
      </c>
      <c r="H8120" s="171" t="s">
        <v>5220</v>
      </c>
      <c r="I8120" t="s">
        <v>1088</v>
      </c>
      <c r="J8120">
        <v>7.74</v>
      </c>
    </row>
    <row r="8121" spans="1:10" hidden="1">
      <c r="A8121" t="s">
        <v>5214</v>
      </c>
      <c r="B8121" t="s">
        <v>5215</v>
      </c>
      <c r="C8121" t="s">
        <v>5111</v>
      </c>
      <c r="D8121" t="s">
        <v>5199</v>
      </c>
      <c r="E8121" t="s">
        <v>558</v>
      </c>
      <c r="F8121" t="s">
        <v>1068</v>
      </c>
      <c r="G8121" t="s">
        <v>1089</v>
      </c>
      <c r="H8121" s="171" t="s">
        <v>5221</v>
      </c>
      <c r="I8121" t="s">
        <v>1090</v>
      </c>
      <c r="J8121">
        <v>7.74</v>
      </c>
    </row>
    <row r="8122" spans="1:10" hidden="1">
      <c r="A8122" t="s">
        <v>5222</v>
      </c>
      <c r="B8122" t="s">
        <v>5223</v>
      </c>
      <c r="C8122" t="s">
        <v>5111</v>
      </c>
      <c r="D8122" t="s">
        <v>5199</v>
      </c>
      <c r="E8122" t="s">
        <v>553</v>
      </c>
      <c r="F8122" t="s">
        <v>1068</v>
      </c>
      <c r="G8122" t="s">
        <v>1069</v>
      </c>
      <c r="H8122">
        <v>6.6984656574515397E-2</v>
      </c>
      <c r="I8122" t="s">
        <v>1070</v>
      </c>
      <c r="J8122">
        <v>15.44</v>
      </c>
    </row>
    <row r="8123" spans="1:10" hidden="1">
      <c r="A8123" t="s">
        <v>5222</v>
      </c>
      <c r="B8123" t="s">
        <v>5223</v>
      </c>
      <c r="C8123" t="s">
        <v>5111</v>
      </c>
      <c r="D8123" t="s">
        <v>5199</v>
      </c>
      <c r="E8123" t="s">
        <v>553</v>
      </c>
      <c r="F8123" t="s">
        <v>1068</v>
      </c>
      <c r="G8123" t="s">
        <v>1071</v>
      </c>
      <c r="H8123" s="171" t="s">
        <v>5224</v>
      </c>
      <c r="I8123" t="s">
        <v>1072</v>
      </c>
      <c r="J8123">
        <v>15.44</v>
      </c>
    </row>
    <row r="8124" spans="1:10" hidden="1">
      <c r="A8124" t="s">
        <v>5222</v>
      </c>
      <c r="B8124" t="s">
        <v>5223</v>
      </c>
      <c r="C8124" t="s">
        <v>5111</v>
      </c>
      <c r="D8124" t="s">
        <v>5199</v>
      </c>
      <c r="E8124" t="s">
        <v>553</v>
      </c>
      <c r="F8124" t="s">
        <v>1068</v>
      </c>
      <c r="G8124" t="s">
        <v>1073</v>
      </c>
      <c r="H8124" s="171" t="s">
        <v>5225</v>
      </c>
      <c r="I8124" t="s">
        <v>1074</v>
      </c>
      <c r="J8124">
        <v>15.44</v>
      </c>
    </row>
    <row r="8125" spans="1:10" hidden="1">
      <c r="A8125" t="s">
        <v>5222</v>
      </c>
      <c r="B8125" t="s">
        <v>5223</v>
      </c>
      <c r="C8125" t="s">
        <v>5111</v>
      </c>
      <c r="D8125" t="s">
        <v>5199</v>
      </c>
      <c r="E8125" t="s">
        <v>553</v>
      </c>
      <c r="F8125" t="s">
        <v>1068</v>
      </c>
      <c r="G8125" t="s">
        <v>1075</v>
      </c>
      <c r="H8125">
        <v>3.0148859901257198E-3</v>
      </c>
      <c r="I8125" t="s">
        <v>1077</v>
      </c>
      <c r="J8125">
        <v>15.44</v>
      </c>
    </row>
    <row r="8126" spans="1:10" hidden="1">
      <c r="A8126" t="s">
        <v>5222</v>
      </c>
      <c r="B8126" t="s">
        <v>5223</v>
      </c>
      <c r="C8126" t="s">
        <v>5111</v>
      </c>
      <c r="D8126" t="s">
        <v>5199</v>
      </c>
      <c r="E8126" t="s">
        <v>553</v>
      </c>
      <c r="F8126" t="s">
        <v>1068</v>
      </c>
      <c r="G8126" t="s">
        <v>1078</v>
      </c>
      <c r="H8126">
        <v>-4.7274300133746401E-2</v>
      </c>
      <c r="I8126" t="s">
        <v>1079</v>
      </c>
      <c r="J8126">
        <v>15.44</v>
      </c>
    </row>
    <row r="8127" spans="1:10" hidden="1">
      <c r="A8127" t="s">
        <v>5222</v>
      </c>
      <c r="B8127" t="s">
        <v>5223</v>
      </c>
      <c r="C8127" t="s">
        <v>5111</v>
      </c>
      <c r="D8127" t="s">
        <v>5199</v>
      </c>
      <c r="E8127" t="s">
        <v>553</v>
      </c>
      <c r="F8127" t="s">
        <v>1068</v>
      </c>
      <c r="G8127" t="s">
        <v>1080</v>
      </c>
      <c r="H8127" s="171" t="s">
        <v>5226</v>
      </c>
      <c r="I8127" t="s">
        <v>1082</v>
      </c>
      <c r="J8127">
        <v>15.44</v>
      </c>
    </row>
    <row r="8128" spans="1:10" hidden="1">
      <c r="A8128" t="s">
        <v>5222</v>
      </c>
      <c r="B8128" t="s">
        <v>5223</v>
      </c>
      <c r="C8128" t="s">
        <v>5111</v>
      </c>
      <c r="D8128" t="s">
        <v>5199</v>
      </c>
      <c r="E8128" t="s">
        <v>553</v>
      </c>
      <c r="F8128" t="s">
        <v>1068</v>
      </c>
      <c r="G8128" t="s">
        <v>1083</v>
      </c>
      <c r="H8128" s="171" t="s">
        <v>5227</v>
      </c>
      <c r="I8128" t="s">
        <v>1084</v>
      </c>
      <c r="J8128">
        <v>15.44</v>
      </c>
    </row>
    <row r="8129" spans="1:10" hidden="1">
      <c r="A8129" t="s">
        <v>5222</v>
      </c>
      <c r="B8129" t="s">
        <v>5223</v>
      </c>
      <c r="C8129" t="s">
        <v>5111</v>
      </c>
      <c r="D8129" t="s">
        <v>5199</v>
      </c>
      <c r="E8129" t="s">
        <v>553</v>
      </c>
      <c r="F8129" t="s">
        <v>1068</v>
      </c>
      <c r="G8129" t="s">
        <v>1085</v>
      </c>
      <c r="H8129" s="171" t="s">
        <v>5228</v>
      </c>
      <c r="I8129" t="s">
        <v>1086</v>
      </c>
      <c r="J8129">
        <v>15.44</v>
      </c>
    </row>
    <row r="8130" spans="1:10" hidden="1">
      <c r="A8130" t="s">
        <v>5222</v>
      </c>
      <c r="B8130" t="s">
        <v>5223</v>
      </c>
      <c r="C8130" t="s">
        <v>5111</v>
      </c>
      <c r="D8130" t="s">
        <v>5199</v>
      </c>
      <c r="E8130" t="s">
        <v>553</v>
      </c>
      <c r="F8130" t="s">
        <v>1068</v>
      </c>
      <c r="G8130" t="s">
        <v>1087</v>
      </c>
      <c r="H8130" s="171" t="s">
        <v>5229</v>
      </c>
      <c r="I8130" t="s">
        <v>1088</v>
      </c>
      <c r="J8130">
        <v>15.44</v>
      </c>
    </row>
    <row r="8131" spans="1:10" hidden="1">
      <c r="A8131" t="s">
        <v>5222</v>
      </c>
      <c r="B8131" t="s">
        <v>5223</v>
      </c>
      <c r="C8131" t="s">
        <v>5111</v>
      </c>
      <c r="D8131" t="s">
        <v>5199</v>
      </c>
      <c r="E8131" t="s">
        <v>553</v>
      </c>
      <c r="F8131" t="s">
        <v>1068</v>
      </c>
      <c r="G8131" t="s">
        <v>1089</v>
      </c>
      <c r="H8131" s="171" t="s">
        <v>5230</v>
      </c>
      <c r="I8131" t="s">
        <v>1090</v>
      </c>
      <c r="J8131">
        <v>15.44</v>
      </c>
    </row>
    <row r="8132" spans="1:10" hidden="1">
      <c r="A8132" t="s">
        <v>5231</v>
      </c>
      <c r="B8132" t="s">
        <v>5232</v>
      </c>
      <c r="C8132" t="s">
        <v>5111</v>
      </c>
      <c r="D8132" t="s">
        <v>5199</v>
      </c>
      <c r="E8132" t="s">
        <v>556</v>
      </c>
      <c r="F8132" t="s">
        <v>1068</v>
      </c>
      <c r="G8132" t="s">
        <v>1069</v>
      </c>
      <c r="H8132">
        <v>6.5947992903671301E-2</v>
      </c>
      <c r="I8132" t="s">
        <v>1070</v>
      </c>
      <c r="J8132">
        <v>10.96</v>
      </c>
    </row>
    <row r="8133" spans="1:10" hidden="1">
      <c r="A8133" t="s">
        <v>5231</v>
      </c>
      <c r="B8133" t="s">
        <v>5232</v>
      </c>
      <c r="C8133" t="s">
        <v>5111</v>
      </c>
      <c r="D8133" t="s">
        <v>5199</v>
      </c>
      <c r="E8133" t="s">
        <v>556</v>
      </c>
      <c r="F8133" t="s">
        <v>1068</v>
      </c>
      <c r="G8133" t="s">
        <v>1071</v>
      </c>
      <c r="H8133" s="171" t="s">
        <v>5233</v>
      </c>
      <c r="I8133" t="s">
        <v>1072</v>
      </c>
      <c r="J8133">
        <v>10.96</v>
      </c>
    </row>
    <row r="8134" spans="1:10" hidden="1">
      <c r="A8134" t="s">
        <v>5231</v>
      </c>
      <c r="B8134" t="s">
        <v>5232</v>
      </c>
      <c r="C8134" t="s">
        <v>5111</v>
      </c>
      <c r="D8134" t="s">
        <v>5199</v>
      </c>
      <c r="E8134" t="s">
        <v>556</v>
      </c>
      <c r="F8134" t="s">
        <v>1068</v>
      </c>
      <c r="G8134" t="s">
        <v>1073</v>
      </c>
      <c r="H8134" s="171" t="s">
        <v>5234</v>
      </c>
      <c r="I8134" t="s">
        <v>1074</v>
      </c>
      <c r="J8134">
        <v>10.96</v>
      </c>
    </row>
    <row r="8135" spans="1:10" hidden="1">
      <c r="A8135" t="s">
        <v>5231</v>
      </c>
      <c r="B8135" t="s">
        <v>5232</v>
      </c>
      <c r="C8135" t="s">
        <v>5111</v>
      </c>
      <c r="D8135" t="s">
        <v>5199</v>
      </c>
      <c r="E8135" t="s">
        <v>556</v>
      </c>
      <c r="F8135" t="s">
        <v>1068</v>
      </c>
      <c r="G8135" t="s">
        <v>1075</v>
      </c>
      <c r="H8135">
        <v>3.0506480871004302E-3</v>
      </c>
      <c r="I8135" t="s">
        <v>1077</v>
      </c>
      <c r="J8135">
        <v>10.96</v>
      </c>
    </row>
    <row r="8136" spans="1:10" hidden="1">
      <c r="A8136" t="s">
        <v>5231</v>
      </c>
      <c r="B8136" t="s">
        <v>5232</v>
      </c>
      <c r="C8136" t="s">
        <v>5111</v>
      </c>
      <c r="D8136" t="s">
        <v>5199</v>
      </c>
      <c r="E8136" t="s">
        <v>556</v>
      </c>
      <c r="F8136" t="s">
        <v>1068</v>
      </c>
      <c r="G8136" t="s">
        <v>1078</v>
      </c>
      <c r="H8136">
        <v>-2.0101374675224899E-2</v>
      </c>
      <c r="I8136" t="s">
        <v>1079</v>
      </c>
      <c r="J8136">
        <v>10.96</v>
      </c>
    </row>
    <row r="8137" spans="1:10" hidden="1">
      <c r="A8137" t="s">
        <v>5231</v>
      </c>
      <c r="B8137" t="s">
        <v>5232</v>
      </c>
      <c r="C8137" t="s">
        <v>5111</v>
      </c>
      <c r="D8137" t="s">
        <v>5199</v>
      </c>
      <c r="E8137" t="s">
        <v>556</v>
      </c>
      <c r="F8137" t="s">
        <v>1068</v>
      </c>
      <c r="G8137" t="s">
        <v>1080</v>
      </c>
      <c r="H8137" s="171" t="s">
        <v>5235</v>
      </c>
      <c r="I8137" t="s">
        <v>1082</v>
      </c>
      <c r="J8137">
        <v>10.96</v>
      </c>
    </row>
    <row r="8138" spans="1:10" hidden="1">
      <c r="A8138" t="s">
        <v>5231</v>
      </c>
      <c r="B8138" t="s">
        <v>5232</v>
      </c>
      <c r="C8138" t="s">
        <v>5111</v>
      </c>
      <c r="D8138" t="s">
        <v>5199</v>
      </c>
      <c r="E8138" t="s">
        <v>556</v>
      </c>
      <c r="F8138" t="s">
        <v>1068</v>
      </c>
      <c r="G8138" t="s">
        <v>1083</v>
      </c>
      <c r="H8138" s="170">
        <v>-1.38709761254716E-7</v>
      </c>
      <c r="I8138" t="s">
        <v>1084</v>
      </c>
      <c r="J8138">
        <v>10.96</v>
      </c>
    </row>
    <row r="8139" spans="1:10" hidden="1">
      <c r="A8139" t="s">
        <v>5231</v>
      </c>
      <c r="B8139" t="s">
        <v>5232</v>
      </c>
      <c r="C8139" t="s">
        <v>5111</v>
      </c>
      <c r="D8139" t="s">
        <v>5199</v>
      </c>
      <c r="E8139" t="s">
        <v>556</v>
      </c>
      <c r="F8139" t="s">
        <v>1068</v>
      </c>
      <c r="G8139" t="s">
        <v>1085</v>
      </c>
      <c r="H8139" s="171" t="s">
        <v>5236</v>
      </c>
      <c r="I8139" t="s">
        <v>1086</v>
      </c>
      <c r="J8139">
        <v>10.96</v>
      </c>
    </row>
    <row r="8140" spans="1:10" hidden="1">
      <c r="A8140" t="s">
        <v>5231</v>
      </c>
      <c r="B8140" t="s">
        <v>5232</v>
      </c>
      <c r="C8140" t="s">
        <v>5111</v>
      </c>
      <c r="D8140" t="s">
        <v>5199</v>
      </c>
      <c r="E8140" t="s">
        <v>556</v>
      </c>
      <c r="F8140" t="s">
        <v>1068</v>
      </c>
      <c r="G8140" t="s">
        <v>1087</v>
      </c>
      <c r="H8140" s="171" t="s">
        <v>5237</v>
      </c>
      <c r="I8140" t="s">
        <v>1088</v>
      </c>
      <c r="J8140">
        <v>10.96</v>
      </c>
    </row>
    <row r="8141" spans="1:10" hidden="1">
      <c r="A8141" t="s">
        <v>5231</v>
      </c>
      <c r="B8141" t="s">
        <v>5232</v>
      </c>
      <c r="C8141" t="s">
        <v>5111</v>
      </c>
      <c r="D8141" t="s">
        <v>5199</v>
      </c>
      <c r="E8141" t="s">
        <v>556</v>
      </c>
      <c r="F8141" t="s">
        <v>1068</v>
      </c>
      <c r="G8141" t="s">
        <v>1089</v>
      </c>
      <c r="H8141" s="171" t="s">
        <v>5238</v>
      </c>
      <c r="I8141" t="s">
        <v>1090</v>
      </c>
      <c r="J8141">
        <v>10.96</v>
      </c>
    </row>
    <row r="8142" spans="1:10" hidden="1">
      <c r="A8142" t="s">
        <v>5239</v>
      </c>
      <c r="B8142" t="s">
        <v>5240</v>
      </c>
      <c r="C8142" t="s">
        <v>5111</v>
      </c>
      <c r="D8142" t="s">
        <v>5199</v>
      </c>
      <c r="E8142" t="s">
        <v>557</v>
      </c>
      <c r="F8142" t="s">
        <v>1068</v>
      </c>
      <c r="G8142" t="s">
        <v>1069</v>
      </c>
      <c r="H8142">
        <v>6.4486330622184895E-2</v>
      </c>
      <c r="I8142" t="s">
        <v>1070</v>
      </c>
      <c r="J8142">
        <v>8.35</v>
      </c>
    </row>
    <row r="8143" spans="1:10" hidden="1">
      <c r="A8143" t="s">
        <v>5239</v>
      </c>
      <c r="B8143" t="s">
        <v>5240</v>
      </c>
      <c r="C8143" t="s">
        <v>5111</v>
      </c>
      <c r="D8143" t="s">
        <v>5199</v>
      </c>
      <c r="E8143" t="s">
        <v>557</v>
      </c>
      <c r="F8143" t="s">
        <v>1068</v>
      </c>
      <c r="G8143" t="s">
        <v>1071</v>
      </c>
      <c r="H8143" s="171" t="s">
        <v>5241</v>
      </c>
      <c r="I8143" t="s">
        <v>1072</v>
      </c>
      <c r="J8143">
        <v>8.35</v>
      </c>
    </row>
    <row r="8144" spans="1:10" hidden="1">
      <c r="A8144" t="s">
        <v>5239</v>
      </c>
      <c r="B8144" t="s">
        <v>5240</v>
      </c>
      <c r="C8144" t="s">
        <v>5111</v>
      </c>
      <c r="D8144" t="s">
        <v>5199</v>
      </c>
      <c r="E8144" t="s">
        <v>557</v>
      </c>
      <c r="F8144" t="s">
        <v>1068</v>
      </c>
      <c r="G8144" t="s">
        <v>1073</v>
      </c>
      <c r="H8144" s="171" t="s">
        <v>5242</v>
      </c>
      <c r="I8144" t="s">
        <v>1074</v>
      </c>
      <c r="J8144">
        <v>8.35</v>
      </c>
    </row>
    <row r="8145" spans="1:10" hidden="1">
      <c r="A8145" t="s">
        <v>5239</v>
      </c>
      <c r="B8145" t="s">
        <v>5240</v>
      </c>
      <c r="C8145" t="s">
        <v>5111</v>
      </c>
      <c r="D8145" t="s">
        <v>5199</v>
      </c>
      <c r="E8145" t="s">
        <v>557</v>
      </c>
      <c r="F8145" t="s">
        <v>1068</v>
      </c>
      <c r="G8145" t="s">
        <v>1075</v>
      </c>
      <c r="H8145">
        <v>2.9175557560498899E-3</v>
      </c>
      <c r="I8145" t="s">
        <v>1077</v>
      </c>
      <c r="J8145">
        <v>8.35</v>
      </c>
    </row>
    <row r="8146" spans="1:10" hidden="1">
      <c r="A8146" t="s">
        <v>5239</v>
      </c>
      <c r="B8146" t="s">
        <v>5240</v>
      </c>
      <c r="C8146" t="s">
        <v>5111</v>
      </c>
      <c r="D8146" t="s">
        <v>5199</v>
      </c>
      <c r="E8146" t="s">
        <v>557</v>
      </c>
      <c r="F8146" t="s">
        <v>1068</v>
      </c>
      <c r="G8146" t="s">
        <v>1078</v>
      </c>
      <c r="H8146">
        <v>-5.8503089763879398E-2</v>
      </c>
      <c r="I8146" t="s">
        <v>1079</v>
      </c>
      <c r="J8146">
        <v>8.35</v>
      </c>
    </row>
    <row r="8147" spans="1:10" hidden="1">
      <c r="A8147" t="s">
        <v>5239</v>
      </c>
      <c r="B8147" t="s">
        <v>5240</v>
      </c>
      <c r="C8147" t="s">
        <v>5111</v>
      </c>
      <c r="D8147" t="s">
        <v>5199</v>
      </c>
      <c r="E8147" t="s">
        <v>557</v>
      </c>
      <c r="F8147" t="s">
        <v>1068</v>
      </c>
      <c r="G8147" t="s">
        <v>1080</v>
      </c>
      <c r="H8147" s="171" t="s">
        <v>5243</v>
      </c>
      <c r="I8147" t="s">
        <v>1082</v>
      </c>
      <c r="J8147">
        <v>8.35</v>
      </c>
    </row>
    <row r="8148" spans="1:10" hidden="1">
      <c r="A8148" t="s">
        <v>5239</v>
      </c>
      <c r="B8148" t="s">
        <v>5240</v>
      </c>
      <c r="C8148" t="s">
        <v>5111</v>
      </c>
      <c r="D8148" t="s">
        <v>5199</v>
      </c>
      <c r="E8148" t="s">
        <v>557</v>
      </c>
      <c r="F8148" t="s">
        <v>1068</v>
      </c>
      <c r="G8148" t="s">
        <v>1083</v>
      </c>
      <c r="H8148" s="170">
        <v>-3.5850632415856298E-7</v>
      </c>
      <c r="I8148" t="s">
        <v>1084</v>
      </c>
      <c r="J8148">
        <v>8.35</v>
      </c>
    </row>
    <row r="8149" spans="1:10" hidden="1">
      <c r="A8149" t="s">
        <v>5239</v>
      </c>
      <c r="B8149" t="s">
        <v>5240</v>
      </c>
      <c r="C8149" t="s">
        <v>5111</v>
      </c>
      <c r="D8149" t="s">
        <v>5199</v>
      </c>
      <c r="E8149" t="s">
        <v>557</v>
      </c>
      <c r="F8149" t="s">
        <v>1068</v>
      </c>
      <c r="G8149" t="s">
        <v>1085</v>
      </c>
      <c r="H8149" s="171" t="s">
        <v>5244</v>
      </c>
      <c r="I8149" t="s">
        <v>1086</v>
      </c>
      <c r="J8149">
        <v>8.35</v>
      </c>
    </row>
    <row r="8150" spans="1:10" hidden="1">
      <c r="A8150" t="s">
        <v>5239</v>
      </c>
      <c r="B8150" t="s">
        <v>5240</v>
      </c>
      <c r="C8150" t="s">
        <v>5111</v>
      </c>
      <c r="D8150" t="s">
        <v>5199</v>
      </c>
      <c r="E8150" t="s">
        <v>557</v>
      </c>
      <c r="F8150" t="s">
        <v>1068</v>
      </c>
      <c r="G8150" t="s">
        <v>1087</v>
      </c>
      <c r="H8150" s="171" t="s">
        <v>5245</v>
      </c>
      <c r="I8150" t="s">
        <v>1088</v>
      </c>
      <c r="J8150">
        <v>8.35</v>
      </c>
    </row>
    <row r="8151" spans="1:10" hidden="1">
      <c r="A8151" t="s">
        <v>5239</v>
      </c>
      <c r="B8151" t="s">
        <v>5240</v>
      </c>
      <c r="C8151" t="s">
        <v>5111</v>
      </c>
      <c r="D8151" t="s">
        <v>5199</v>
      </c>
      <c r="E8151" t="s">
        <v>557</v>
      </c>
      <c r="F8151" t="s">
        <v>1068</v>
      </c>
      <c r="G8151" t="s">
        <v>1089</v>
      </c>
      <c r="H8151" s="171" t="s">
        <v>5246</v>
      </c>
      <c r="I8151" t="s">
        <v>1090</v>
      </c>
      <c r="J8151">
        <v>8.35</v>
      </c>
    </row>
    <row r="8152" spans="1:10" hidden="1">
      <c r="A8152" t="s">
        <v>5247</v>
      </c>
      <c r="B8152" t="s">
        <v>5248</v>
      </c>
      <c r="C8152" t="s">
        <v>5111</v>
      </c>
      <c r="D8152" t="s">
        <v>5199</v>
      </c>
      <c r="E8152" t="s">
        <v>559</v>
      </c>
      <c r="F8152" t="s">
        <v>1068</v>
      </c>
      <c r="G8152" t="s">
        <v>1069</v>
      </c>
      <c r="H8152">
        <v>6.2635526002967901E-2</v>
      </c>
      <c r="I8152" t="s">
        <v>1070</v>
      </c>
      <c r="J8152">
        <v>7.66</v>
      </c>
    </row>
    <row r="8153" spans="1:10" hidden="1">
      <c r="A8153" t="s">
        <v>5247</v>
      </c>
      <c r="B8153" t="s">
        <v>5248</v>
      </c>
      <c r="C8153" t="s">
        <v>5111</v>
      </c>
      <c r="D8153" t="s">
        <v>5199</v>
      </c>
      <c r="E8153" t="s">
        <v>559</v>
      </c>
      <c r="F8153" t="s">
        <v>1068</v>
      </c>
      <c r="G8153" t="s">
        <v>1071</v>
      </c>
      <c r="H8153" s="171" t="s">
        <v>5249</v>
      </c>
      <c r="I8153" t="s">
        <v>1072</v>
      </c>
      <c r="J8153">
        <v>7.66</v>
      </c>
    </row>
    <row r="8154" spans="1:10" hidden="1">
      <c r="A8154" t="s">
        <v>5247</v>
      </c>
      <c r="B8154" t="s">
        <v>5248</v>
      </c>
      <c r="C8154" t="s">
        <v>5111</v>
      </c>
      <c r="D8154" t="s">
        <v>5199</v>
      </c>
      <c r="E8154" t="s">
        <v>559</v>
      </c>
      <c r="F8154" t="s">
        <v>1068</v>
      </c>
      <c r="G8154" t="s">
        <v>1073</v>
      </c>
      <c r="H8154" s="171" t="s">
        <v>5250</v>
      </c>
      <c r="I8154" t="s">
        <v>1074</v>
      </c>
      <c r="J8154">
        <v>7.66</v>
      </c>
    </row>
    <row r="8155" spans="1:10" hidden="1">
      <c r="A8155" t="s">
        <v>5247</v>
      </c>
      <c r="B8155" t="s">
        <v>5248</v>
      </c>
      <c r="C8155" t="s">
        <v>5111</v>
      </c>
      <c r="D8155" t="s">
        <v>5199</v>
      </c>
      <c r="E8155" t="s">
        <v>559</v>
      </c>
      <c r="F8155" t="s">
        <v>1068</v>
      </c>
      <c r="G8155" t="s">
        <v>1075</v>
      </c>
      <c r="H8155">
        <v>2.8774053267156701E-3</v>
      </c>
      <c r="I8155" t="s">
        <v>1077</v>
      </c>
      <c r="J8155">
        <v>7.66</v>
      </c>
    </row>
    <row r="8156" spans="1:10" hidden="1">
      <c r="A8156" t="s">
        <v>5247</v>
      </c>
      <c r="B8156" t="s">
        <v>5248</v>
      </c>
      <c r="C8156" t="s">
        <v>5111</v>
      </c>
      <c r="D8156" t="s">
        <v>5199</v>
      </c>
      <c r="E8156" t="s">
        <v>559</v>
      </c>
      <c r="F8156" t="s">
        <v>1068</v>
      </c>
      <c r="G8156" t="s">
        <v>1078</v>
      </c>
      <c r="H8156">
        <v>-5.3219494336691202E-2</v>
      </c>
      <c r="I8156" t="s">
        <v>1079</v>
      </c>
      <c r="J8156">
        <v>7.66</v>
      </c>
    </row>
    <row r="8157" spans="1:10" hidden="1">
      <c r="A8157" t="s">
        <v>5247</v>
      </c>
      <c r="B8157" t="s">
        <v>5248</v>
      </c>
      <c r="C8157" t="s">
        <v>5111</v>
      </c>
      <c r="D8157" t="s">
        <v>5199</v>
      </c>
      <c r="E8157" t="s">
        <v>559</v>
      </c>
      <c r="F8157" t="s">
        <v>1068</v>
      </c>
      <c r="G8157" t="s">
        <v>1080</v>
      </c>
      <c r="H8157" s="171" t="s">
        <v>5251</v>
      </c>
      <c r="I8157" t="s">
        <v>1082</v>
      </c>
      <c r="J8157">
        <v>7.66</v>
      </c>
    </row>
    <row r="8158" spans="1:10" hidden="1">
      <c r="A8158" t="s">
        <v>5247</v>
      </c>
      <c r="B8158" t="s">
        <v>5248</v>
      </c>
      <c r="C8158" t="s">
        <v>5111</v>
      </c>
      <c r="D8158" t="s">
        <v>5199</v>
      </c>
      <c r="E8158" t="s">
        <v>559</v>
      </c>
      <c r="F8158" t="s">
        <v>1068</v>
      </c>
      <c r="G8158" t="s">
        <v>1083</v>
      </c>
      <c r="H8158" s="170">
        <v>-6.4222721963767099E-7</v>
      </c>
      <c r="I8158" t="s">
        <v>1084</v>
      </c>
      <c r="J8158">
        <v>7.66</v>
      </c>
    </row>
    <row r="8159" spans="1:10" hidden="1">
      <c r="A8159" t="s">
        <v>5247</v>
      </c>
      <c r="B8159" t="s">
        <v>5248</v>
      </c>
      <c r="C8159" t="s">
        <v>5111</v>
      </c>
      <c r="D8159" t="s">
        <v>5199</v>
      </c>
      <c r="E8159" t="s">
        <v>559</v>
      </c>
      <c r="F8159" t="s">
        <v>1068</v>
      </c>
      <c r="G8159" t="s">
        <v>1085</v>
      </c>
      <c r="H8159" s="171" t="s">
        <v>5252</v>
      </c>
      <c r="I8159" t="s">
        <v>1086</v>
      </c>
      <c r="J8159">
        <v>7.66</v>
      </c>
    </row>
    <row r="8160" spans="1:10" hidden="1">
      <c r="A8160" t="s">
        <v>5247</v>
      </c>
      <c r="B8160" t="s">
        <v>5248</v>
      </c>
      <c r="C8160" t="s">
        <v>5111</v>
      </c>
      <c r="D8160" t="s">
        <v>5199</v>
      </c>
      <c r="E8160" t="s">
        <v>559</v>
      </c>
      <c r="F8160" t="s">
        <v>1068</v>
      </c>
      <c r="G8160" t="s">
        <v>1087</v>
      </c>
      <c r="H8160" s="171" t="s">
        <v>5253</v>
      </c>
      <c r="I8160" t="s">
        <v>1088</v>
      </c>
      <c r="J8160">
        <v>7.66</v>
      </c>
    </row>
    <row r="8161" spans="1:10" hidden="1">
      <c r="A8161" t="s">
        <v>5247</v>
      </c>
      <c r="B8161" t="s">
        <v>5248</v>
      </c>
      <c r="C8161" t="s">
        <v>5111</v>
      </c>
      <c r="D8161" t="s">
        <v>5199</v>
      </c>
      <c r="E8161" t="s">
        <v>559</v>
      </c>
      <c r="F8161" t="s">
        <v>1068</v>
      </c>
      <c r="G8161" t="s">
        <v>1089</v>
      </c>
      <c r="H8161" s="171" t="s">
        <v>5254</v>
      </c>
      <c r="I8161" t="s">
        <v>1090</v>
      </c>
      <c r="J8161">
        <v>7.66</v>
      </c>
    </row>
    <row r="8162" spans="1:10" hidden="1">
      <c r="A8162" t="s">
        <v>5255</v>
      </c>
      <c r="B8162" t="s">
        <v>5256</v>
      </c>
      <c r="C8162" t="s">
        <v>5111</v>
      </c>
      <c r="D8162" t="s">
        <v>5199</v>
      </c>
      <c r="E8162" t="s">
        <v>560</v>
      </c>
      <c r="F8162" t="s">
        <v>1068</v>
      </c>
      <c r="G8162" t="s">
        <v>1069</v>
      </c>
      <c r="H8162">
        <v>6.3355963918538705E-2</v>
      </c>
      <c r="I8162" t="s">
        <v>1070</v>
      </c>
      <c r="J8162">
        <v>7.49</v>
      </c>
    </row>
    <row r="8163" spans="1:10" hidden="1">
      <c r="A8163" t="s">
        <v>5255</v>
      </c>
      <c r="B8163" t="s">
        <v>5256</v>
      </c>
      <c r="C8163" t="s">
        <v>5111</v>
      </c>
      <c r="D8163" t="s">
        <v>5199</v>
      </c>
      <c r="E8163" t="s">
        <v>560</v>
      </c>
      <c r="F8163" t="s">
        <v>1068</v>
      </c>
      <c r="G8163" t="s">
        <v>1071</v>
      </c>
      <c r="H8163" s="171" t="s">
        <v>5257</v>
      </c>
      <c r="I8163" t="s">
        <v>1072</v>
      </c>
      <c r="J8163">
        <v>7.49</v>
      </c>
    </row>
    <row r="8164" spans="1:10" hidden="1">
      <c r="A8164" t="s">
        <v>5255</v>
      </c>
      <c r="B8164" t="s">
        <v>5256</v>
      </c>
      <c r="C8164" t="s">
        <v>5111</v>
      </c>
      <c r="D8164" t="s">
        <v>5199</v>
      </c>
      <c r="E8164" t="s">
        <v>560</v>
      </c>
      <c r="F8164" t="s">
        <v>1068</v>
      </c>
      <c r="G8164" t="s">
        <v>1073</v>
      </c>
      <c r="H8164" s="171" t="s">
        <v>5258</v>
      </c>
      <c r="I8164" t="s">
        <v>1074</v>
      </c>
      <c r="J8164">
        <v>7.49</v>
      </c>
    </row>
    <row r="8165" spans="1:10" hidden="1">
      <c r="A8165" t="s">
        <v>5255</v>
      </c>
      <c r="B8165" t="s">
        <v>5256</v>
      </c>
      <c r="C8165" t="s">
        <v>5111</v>
      </c>
      <c r="D8165" t="s">
        <v>5199</v>
      </c>
      <c r="E8165" t="s">
        <v>560</v>
      </c>
      <c r="F8165" t="s">
        <v>1068</v>
      </c>
      <c r="G8165" t="s">
        <v>1075</v>
      </c>
      <c r="H8165">
        <v>2.88182365701143E-3</v>
      </c>
      <c r="I8165" t="s">
        <v>1077</v>
      </c>
      <c r="J8165">
        <v>7.49</v>
      </c>
    </row>
    <row r="8166" spans="1:10" hidden="1">
      <c r="A8166" t="s">
        <v>5255</v>
      </c>
      <c r="B8166" t="s">
        <v>5256</v>
      </c>
      <c r="C8166" t="s">
        <v>5111</v>
      </c>
      <c r="D8166" t="s">
        <v>5199</v>
      </c>
      <c r="E8166" t="s">
        <v>560</v>
      </c>
      <c r="F8166" t="s">
        <v>1068</v>
      </c>
      <c r="G8166" t="s">
        <v>1078</v>
      </c>
      <c r="H8166">
        <v>-6.0048283559088998E-2</v>
      </c>
      <c r="I8166" t="s">
        <v>1079</v>
      </c>
      <c r="J8166">
        <v>7.49</v>
      </c>
    </row>
    <row r="8167" spans="1:10" hidden="1">
      <c r="A8167" t="s">
        <v>5255</v>
      </c>
      <c r="B8167" t="s">
        <v>5256</v>
      </c>
      <c r="C8167" t="s">
        <v>5111</v>
      </c>
      <c r="D8167" t="s">
        <v>5199</v>
      </c>
      <c r="E8167" t="s">
        <v>560</v>
      </c>
      <c r="F8167" t="s">
        <v>1068</v>
      </c>
      <c r="G8167" t="s">
        <v>1080</v>
      </c>
      <c r="H8167" s="171" t="s">
        <v>5259</v>
      </c>
      <c r="I8167" t="s">
        <v>1082</v>
      </c>
      <c r="J8167">
        <v>7.49</v>
      </c>
    </row>
    <row r="8168" spans="1:10" hidden="1">
      <c r="A8168" t="s">
        <v>5255</v>
      </c>
      <c r="B8168" t="s">
        <v>5256</v>
      </c>
      <c r="C8168" t="s">
        <v>5111</v>
      </c>
      <c r="D8168" t="s">
        <v>5199</v>
      </c>
      <c r="E8168" t="s">
        <v>560</v>
      </c>
      <c r="F8168" t="s">
        <v>1068</v>
      </c>
      <c r="G8168" t="s">
        <v>1083</v>
      </c>
      <c r="H8168" s="170">
        <v>-5.3032279497921596E-7</v>
      </c>
      <c r="I8168" t="s">
        <v>1084</v>
      </c>
      <c r="J8168">
        <v>7.49</v>
      </c>
    </row>
    <row r="8169" spans="1:10" hidden="1">
      <c r="A8169" t="s">
        <v>5255</v>
      </c>
      <c r="B8169" t="s">
        <v>5256</v>
      </c>
      <c r="C8169" t="s">
        <v>5111</v>
      </c>
      <c r="D8169" t="s">
        <v>5199</v>
      </c>
      <c r="E8169" t="s">
        <v>560</v>
      </c>
      <c r="F8169" t="s">
        <v>1068</v>
      </c>
      <c r="G8169" t="s">
        <v>1085</v>
      </c>
      <c r="H8169" s="171" t="s">
        <v>5260</v>
      </c>
      <c r="I8169" t="s">
        <v>1086</v>
      </c>
      <c r="J8169">
        <v>7.49</v>
      </c>
    </row>
    <row r="8170" spans="1:10" hidden="1">
      <c r="A8170" t="s">
        <v>5255</v>
      </c>
      <c r="B8170" t="s">
        <v>5256</v>
      </c>
      <c r="C8170" t="s">
        <v>5111</v>
      </c>
      <c r="D8170" t="s">
        <v>5199</v>
      </c>
      <c r="E8170" t="s">
        <v>560</v>
      </c>
      <c r="F8170" t="s">
        <v>1068</v>
      </c>
      <c r="G8170" t="s">
        <v>1087</v>
      </c>
      <c r="H8170" s="171" t="s">
        <v>5261</v>
      </c>
      <c r="I8170" t="s">
        <v>1088</v>
      </c>
      <c r="J8170">
        <v>7.49</v>
      </c>
    </row>
    <row r="8171" spans="1:10" hidden="1">
      <c r="A8171" t="s">
        <v>5255</v>
      </c>
      <c r="B8171" t="s">
        <v>5256</v>
      </c>
      <c r="C8171" t="s">
        <v>5111</v>
      </c>
      <c r="D8171" t="s">
        <v>5199</v>
      </c>
      <c r="E8171" t="s">
        <v>560</v>
      </c>
      <c r="F8171" t="s">
        <v>1068</v>
      </c>
      <c r="G8171" t="s">
        <v>1089</v>
      </c>
      <c r="H8171" s="171" t="s">
        <v>5262</v>
      </c>
      <c r="I8171" t="s">
        <v>1090</v>
      </c>
      <c r="J8171">
        <v>7.49</v>
      </c>
    </row>
    <row r="8172" spans="1:10" hidden="1">
      <c r="A8172" t="s">
        <v>5263</v>
      </c>
      <c r="B8172" t="s">
        <v>5264</v>
      </c>
      <c r="C8172" t="s">
        <v>5111</v>
      </c>
      <c r="D8172" t="s">
        <v>5199</v>
      </c>
      <c r="E8172" t="s">
        <v>1116</v>
      </c>
      <c r="F8172" t="s">
        <v>1068</v>
      </c>
      <c r="G8172" t="s">
        <v>1069</v>
      </c>
      <c r="H8172">
        <v>6.67867405396496E-2</v>
      </c>
      <c r="I8172" t="s">
        <v>1070</v>
      </c>
      <c r="J8172">
        <v>7.52</v>
      </c>
    </row>
    <row r="8173" spans="1:10" hidden="1">
      <c r="A8173" t="s">
        <v>5263</v>
      </c>
      <c r="B8173" t="s">
        <v>5264</v>
      </c>
      <c r="C8173" t="s">
        <v>5111</v>
      </c>
      <c r="D8173" t="s">
        <v>5199</v>
      </c>
      <c r="E8173" t="s">
        <v>1116</v>
      </c>
      <c r="F8173" t="s">
        <v>1068</v>
      </c>
      <c r="G8173" t="s">
        <v>1071</v>
      </c>
      <c r="H8173" s="171" t="s">
        <v>5265</v>
      </c>
      <c r="I8173" t="s">
        <v>1072</v>
      </c>
      <c r="J8173">
        <v>7.52</v>
      </c>
    </row>
    <row r="8174" spans="1:10" hidden="1">
      <c r="A8174" t="s">
        <v>5263</v>
      </c>
      <c r="B8174" t="s">
        <v>5264</v>
      </c>
      <c r="C8174" t="s">
        <v>5111</v>
      </c>
      <c r="D8174" t="s">
        <v>5199</v>
      </c>
      <c r="E8174" t="s">
        <v>1116</v>
      </c>
      <c r="F8174" t="s">
        <v>1068</v>
      </c>
      <c r="G8174" t="s">
        <v>1073</v>
      </c>
      <c r="H8174" s="171" t="s">
        <v>5266</v>
      </c>
      <c r="I8174" t="s">
        <v>1074</v>
      </c>
      <c r="J8174">
        <v>7.52</v>
      </c>
    </row>
    <row r="8175" spans="1:10" hidden="1">
      <c r="A8175" t="s">
        <v>5263</v>
      </c>
      <c r="B8175" t="s">
        <v>5264</v>
      </c>
      <c r="C8175" t="s">
        <v>5111</v>
      </c>
      <c r="D8175" t="s">
        <v>5199</v>
      </c>
      <c r="E8175" t="s">
        <v>1116</v>
      </c>
      <c r="F8175" t="s">
        <v>1068</v>
      </c>
      <c r="G8175" t="s">
        <v>1075</v>
      </c>
      <c r="H8175">
        <v>2.9902741709986699E-3</v>
      </c>
      <c r="I8175" t="s">
        <v>1077</v>
      </c>
      <c r="J8175">
        <v>7.52</v>
      </c>
    </row>
    <row r="8176" spans="1:10" hidden="1">
      <c r="A8176" t="s">
        <v>5263</v>
      </c>
      <c r="B8176" t="s">
        <v>5264</v>
      </c>
      <c r="C8176" t="s">
        <v>5111</v>
      </c>
      <c r="D8176" t="s">
        <v>5199</v>
      </c>
      <c r="E8176" t="s">
        <v>1116</v>
      </c>
      <c r="F8176" t="s">
        <v>1068</v>
      </c>
      <c r="G8176" t="s">
        <v>1078</v>
      </c>
      <c r="H8176">
        <v>-5.5358464997911999E-2</v>
      </c>
      <c r="I8176" t="s">
        <v>1079</v>
      </c>
      <c r="J8176">
        <v>7.52</v>
      </c>
    </row>
    <row r="8177" spans="1:10" hidden="1">
      <c r="A8177" t="s">
        <v>5263</v>
      </c>
      <c r="B8177" t="s">
        <v>5264</v>
      </c>
      <c r="C8177" t="s">
        <v>5111</v>
      </c>
      <c r="D8177" t="s">
        <v>5199</v>
      </c>
      <c r="E8177" t="s">
        <v>1116</v>
      </c>
      <c r="F8177" t="s">
        <v>1068</v>
      </c>
      <c r="G8177" t="s">
        <v>1080</v>
      </c>
      <c r="H8177" s="171" t="s">
        <v>5267</v>
      </c>
      <c r="I8177" t="s">
        <v>1082</v>
      </c>
      <c r="J8177">
        <v>7.52</v>
      </c>
    </row>
    <row r="8178" spans="1:10" hidden="1">
      <c r="A8178" t="s">
        <v>5263</v>
      </c>
      <c r="B8178" t="s">
        <v>5264</v>
      </c>
      <c r="C8178" t="s">
        <v>5111</v>
      </c>
      <c r="D8178" t="s">
        <v>5199</v>
      </c>
      <c r="E8178" t="s">
        <v>1116</v>
      </c>
      <c r="F8178" t="s">
        <v>1068</v>
      </c>
      <c r="G8178" t="s">
        <v>1083</v>
      </c>
      <c r="H8178" s="170">
        <v>-8.8425272815531494E-9</v>
      </c>
      <c r="I8178" t="s">
        <v>1084</v>
      </c>
      <c r="J8178">
        <v>7.52</v>
      </c>
    </row>
    <row r="8179" spans="1:10" hidden="1">
      <c r="A8179" t="s">
        <v>5263</v>
      </c>
      <c r="B8179" t="s">
        <v>5264</v>
      </c>
      <c r="C8179" t="s">
        <v>5111</v>
      </c>
      <c r="D8179" t="s">
        <v>5199</v>
      </c>
      <c r="E8179" t="s">
        <v>1116</v>
      </c>
      <c r="F8179" t="s">
        <v>1068</v>
      </c>
      <c r="G8179" t="s">
        <v>1085</v>
      </c>
      <c r="H8179" s="171" t="s">
        <v>5268</v>
      </c>
      <c r="I8179" t="s">
        <v>1086</v>
      </c>
      <c r="J8179">
        <v>7.52</v>
      </c>
    </row>
    <row r="8180" spans="1:10" hidden="1">
      <c r="A8180" t="s">
        <v>5263</v>
      </c>
      <c r="B8180" t="s">
        <v>5264</v>
      </c>
      <c r="C8180" t="s">
        <v>5111</v>
      </c>
      <c r="D8180" t="s">
        <v>5199</v>
      </c>
      <c r="E8180" t="s">
        <v>1116</v>
      </c>
      <c r="F8180" t="s">
        <v>1068</v>
      </c>
      <c r="G8180" t="s">
        <v>1087</v>
      </c>
      <c r="H8180" s="171" t="s">
        <v>5269</v>
      </c>
      <c r="I8180" t="s">
        <v>1088</v>
      </c>
      <c r="J8180">
        <v>7.52</v>
      </c>
    </row>
    <row r="8181" spans="1:10" hidden="1">
      <c r="A8181" t="s">
        <v>5263</v>
      </c>
      <c r="B8181" t="s">
        <v>5264</v>
      </c>
      <c r="C8181" t="s">
        <v>5111</v>
      </c>
      <c r="D8181" t="s">
        <v>5199</v>
      </c>
      <c r="E8181" t="s">
        <v>1116</v>
      </c>
      <c r="F8181" t="s">
        <v>1068</v>
      </c>
      <c r="G8181" t="s">
        <v>1089</v>
      </c>
      <c r="H8181" s="171" t="s">
        <v>5270</v>
      </c>
      <c r="I8181" t="s">
        <v>1090</v>
      </c>
      <c r="J8181">
        <v>7.52</v>
      </c>
    </row>
    <row r="8182" spans="1:10" hidden="1">
      <c r="A8182" t="s">
        <v>5271</v>
      </c>
      <c r="B8182" t="s">
        <v>5272</v>
      </c>
      <c r="C8182" t="s">
        <v>5111</v>
      </c>
      <c r="D8182" t="s">
        <v>5273</v>
      </c>
      <c r="E8182" t="s">
        <v>561</v>
      </c>
      <c r="F8182" t="s">
        <v>1068</v>
      </c>
      <c r="G8182" t="s">
        <v>1069</v>
      </c>
      <c r="H8182">
        <v>6.8464921133331802E-2</v>
      </c>
      <c r="I8182" t="s">
        <v>1070</v>
      </c>
      <c r="J8182">
        <v>6.5</v>
      </c>
    </row>
    <row r="8183" spans="1:10" hidden="1">
      <c r="A8183" t="s">
        <v>5271</v>
      </c>
      <c r="B8183" t="s">
        <v>5272</v>
      </c>
      <c r="C8183" t="s">
        <v>5111</v>
      </c>
      <c r="D8183" t="s">
        <v>5273</v>
      </c>
      <c r="E8183" t="s">
        <v>561</v>
      </c>
      <c r="F8183" t="s">
        <v>1068</v>
      </c>
      <c r="G8183" t="s">
        <v>1071</v>
      </c>
      <c r="H8183" s="171" t="s">
        <v>5274</v>
      </c>
      <c r="I8183" t="s">
        <v>1072</v>
      </c>
      <c r="J8183">
        <v>6.5</v>
      </c>
    </row>
    <row r="8184" spans="1:10" hidden="1">
      <c r="A8184" t="s">
        <v>5271</v>
      </c>
      <c r="B8184" t="s">
        <v>5272</v>
      </c>
      <c r="C8184" t="s">
        <v>5111</v>
      </c>
      <c r="D8184" t="s">
        <v>5273</v>
      </c>
      <c r="E8184" t="s">
        <v>561</v>
      </c>
      <c r="F8184" t="s">
        <v>1068</v>
      </c>
      <c r="G8184" t="s">
        <v>1073</v>
      </c>
      <c r="H8184" s="171" t="s">
        <v>5275</v>
      </c>
      <c r="I8184" t="s">
        <v>1074</v>
      </c>
      <c r="J8184">
        <v>6.5</v>
      </c>
    </row>
    <row r="8185" spans="1:10" hidden="1">
      <c r="A8185" t="s">
        <v>5271</v>
      </c>
      <c r="B8185" t="s">
        <v>5272</v>
      </c>
      <c r="C8185" t="s">
        <v>5111</v>
      </c>
      <c r="D8185" t="s">
        <v>5273</v>
      </c>
      <c r="E8185" t="s">
        <v>561</v>
      </c>
      <c r="F8185" t="s">
        <v>1068</v>
      </c>
      <c r="G8185" t="s">
        <v>1075</v>
      </c>
      <c r="H8185">
        <v>3.0486176839472899E-3</v>
      </c>
      <c r="I8185" t="s">
        <v>1077</v>
      </c>
      <c r="J8185">
        <v>6.5</v>
      </c>
    </row>
    <row r="8186" spans="1:10" hidden="1">
      <c r="A8186" t="s">
        <v>5271</v>
      </c>
      <c r="B8186" t="s">
        <v>5272</v>
      </c>
      <c r="C8186" t="s">
        <v>5111</v>
      </c>
      <c r="D8186" t="s">
        <v>5273</v>
      </c>
      <c r="E8186" t="s">
        <v>561</v>
      </c>
      <c r="F8186" t="s">
        <v>1068</v>
      </c>
      <c r="G8186" t="s">
        <v>1078</v>
      </c>
      <c r="H8186">
        <v>-5.2835466444093697E-2</v>
      </c>
      <c r="I8186" t="s">
        <v>1079</v>
      </c>
      <c r="J8186">
        <v>6.5</v>
      </c>
    </row>
    <row r="8187" spans="1:10" hidden="1">
      <c r="A8187" t="s">
        <v>5271</v>
      </c>
      <c r="B8187" t="s">
        <v>5272</v>
      </c>
      <c r="C8187" t="s">
        <v>5111</v>
      </c>
      <c r="D8187" t="s">
        <v>5273</v>
      </c>
      <c r="E8187" t="s">
        <v>561</v>
      </c>
      <c r="F8187" t="s">
        <v>1068</v>
      </c>
      <c r="G8187" t="s">
        <v>1080</v>
      </c>
      <c r="H8187" s="171" t="s">
        <v>5276</v>
      </c>
      <c r="I8187" t="s">
        <v>1082</v>
      </c>
      <c r="J8187">
        <v>6.5</v>
      </c>
    </row>
    <row r="8188" spans="1:10" hidden="1">
      <c r="A8188" t="s">
        <v>5271</v>
      </c>
      <c r="B8188" t="s">
        <v>5272</v>
      </c>
      <c r="C8188" t="s">
        <v>5111</v>
      </c>
      <c r="D8188" t="s">
        <v>5273</v>
      </c>
      <c r="E8188" t="s">
        <v>561</v>
      </c>
      <c r="F8188" t="s">
        <v>1068</v>
      </c>
      <c r="G8188" t="s">
        <v>1083</v>
      </c>
      <c r="H8188" s="171" t="s">
        <v>5277</v>
      </c>
      <c r="I8188" t="s">
        <v>1084</v>
      </c>
      <c r="J8188">
        <v>6.5</v>
      </c>
    </row>
    <row r="8189" spans="1:10" hidden="1">
      <c r="A8189" t="s">
        <v>5271</v>
      </c>
      <c r="B8189" t="s">
        <v>5272</v>
      </c>
      <c r="C8189" t="s">
        <v>5111</v>
      </c>
      <c r="D8189" t="s">
        <v>5273</v>
      </c>
      <c r="E8189" t="s">
        <v>561</v>
      </c>
      <c r="F8189" t="s">
        <v>1068</v>
      </c>
      <c r="G8189" t="s">
        <v>1085</v>
      </c>
      <c r="H8189" s="171" t="s">
        <v>5278</v>
      </c>
      <c r="I8189" t="s">
        <v>1086</v>
      </c>
      <c r="J8189">
        <v>6.5</v>
      </c>
    </row>
    <row r="8190" spans="1:10" hidden="1">
      <c r="A8190" t="s">
        <v>5271</v>
      </c>
      <c r="B8190" t="s">
        <v>5272</v>
      </c>
      <c r="C8190" t="s">
        <v>5111</v>
      </c>
      <c r="D8190" t="s">
        <v>5273</v>
      </c>
      <c r="E8190" t="s">
        <v>561</v>
      </c>
      <c r="F8190" t="s">
        <v>1068</v>
      </c>
      <c r="G8190" t="s">
        <v>1087</v>
      </c>
      <c r="H8190" s="171" t="s">
        <v>5279</v>
      </c>
      <c r="I8190" t="s">
        <v>1088</v>
      </c>
      <c r="J8190">
        <v>6.5</v>
      </c>
    </row>
    <row r="8191" spans="1:10" hidden="1">
      <c r="A8191" t="s">
        <v>5271</v>
      </c>
      <c r="B8191" t="s">
        <v>5272</v>
      </c>
      <c r="C8191" t="s">
        <v>5111</v>
      </c>
      <c r="D8191" t="s">
        <v>5273</v>
      </c>
      <c r="E8191" t="s">
        <v>561</v>
      </c>
      <c r="F8191" t="s">
        <v>1068</v>
      </c>
      <c r="G8191" t="s">
        <v>1089</v>
      </c>
      <c r="H8191" s="171" t="s">
        <v>5280</v>
      </c>
      <c r="I8191" t="s">
        <v>1090</v>
      </c>
      <c r="J8191">
        <v>6.5</v>
      </c>
    </row>
    <row r="8192" spans="1:10" hidden="1">
      <c r="A8192" t="s">
        <v>5281</v>
      </c>
      <c r="B8192" t="s">
        <v>5282</v>
      </c>
      <c r="C8192" t="s">
        <v>5111</v>
      </c>
      <c r="D8192" t="s">
        <v>5273</v>
      </c>
      <c r="E8192" t="s">
        <v>555</v>
      </c>
      <c r="F8192" t="s">
        <v>1068</v>
      </c>
      <c r="G8192" t="s">
        <v>1069</v>
      </c>
      <c r="H8192">
        <v>6.2825039264778601E-2</v>
      </c>
      <c r="I8192" t="s">
        <v>1070</v>
      </c>
      <c r="J8192">
        <v>7.74</v>
      </c>
    </row>
    <row r="8193" spans="1:10" hidden="1">
      <c r="A8193" t="s">
        <v>5281</v>
      </c>
      <c r="B8193" t="s">
        <v>5282</v>
      </c>
      <c r="C8193" t="s">
        <v>5111</v>
      </c>
      <c r="D8193" t="s">
        <v>5273</v>
      </c>
      <c r="E8193" t="s">
        <v>555</v>
      </c>
      <c r="F8193" t="s">
        <v>1068</v>
      </c>
      <c r="G8193" t="s">
        <v>1071</v>
      </c>
      <c r="H8193" s="171" t="s">
        <v>5283</v>
      </c>
      <c r="I8193" t="s">
        <v>1072</v>
      </c>
      <c r="J8193">
        <v>7.74</v>
      </c>
    </row>
    <row r="8194" spans="1:10" hidden="1">
      <c r="A8194" t="s">
        <v>5281</v>
      </c>
      <c r="B8194" t="s">
        <v>5282</v>
      </c>
      <c r="C8194" t="s">
        <v>5111</v>
      </c>
      <c r="D8194" t="s">
        <v>5273</v>
      </c>
      <c r="E8194" t="s">
        <v>555</v>
      </c>
      <c r="F8194" t="s">
        <v>1068</v>
      </c>
      <c r="G8194" t="s">
        <v>1073</v>
      </c>
      <c r="H8194" s="171" t="s">
        <v>5284</v>
      </c>
      <c r="I8194" t="s">
        <v>1074</v>
      </c>
      <c r="J8194">
        <v>7.74</v>
      </c>
    </row>
    <row r="8195" spans="1:10" hidden="1">
      <c r="A8195" t="s">
        <v>5281</v>
      </c>
      <c r="B8195" t="s">
        <v>5282</v>
      </c>
      <c r="C8195" t="s">
        <v>5111</v>
      </c>
      <c r="D8195" t="s">
        <v>5273</v>
      </c>
      <c r="E8195" t="s">
        <v>555</v>
      </c>
      <c r="F8195" t="s">
        <v>1068</v>
      </c>
      <c r="G8195" t="s">
        <v>1075</v>
      </c>
      <c r="H8195">
        <v>2.8886904750059601E-3</v>
      </c>
      <c r="I8195" t="s">
        <v>1077</v>
      </c>
      <c r="J8195">
        <v>7.74</v>
      </c>
    </row>
    <row r="8196" spans="1:10" hidden="1">
      <c r="A8196" t="s">
        <v>5281</v>
      </c>
      <c r="B8196" t="s">
        <v>5282</v>
      </c>
      <c r="C8196" t="s">
        <v>5111</v>
      </c>
      <c r="D8196" t="s">
        <v>5273</v>
      </c>
      <c r="E8196" t="s">
        <v>555</v>
      </c>
      <c r="F8196" t="s">
        <v>1068</v>
      </c>
      <c r="G8196" t="s">
        <v>1078</v>
      </c>
      <c r="H8196">
        <v>-5.2731480993355298E-2</v>
      </c>
      <c r="I8196" t="s">
        <v>1079</v>
      </c>
      <c r="J8196">
        <v>7.74</v>
      </c>
    </row>
    <row r="8197" spans="1:10" hidden="1">
      <c r="A8197" t="s">
        <v>5281</v>
      </c>
      <c r="B8197" t="s">
        <v>5282</v>
      </c>
      <c r="C8197" t="s">
        <v>5111</v>
      </c>
      <c r="D8197" t="s">
        <v>5273</v>
      </c>
      <c r="E8197" t="s">
        <v>555</v>
      </c>
      <c r="F8197" t="s">
        <v>1068</v>
      </c>
      <c r="G8197" t="s">
        <v>1080</v>
      </c>
      <c r="H8197" s="171" t="s">
        <v>5285</v>
      </c>
      <c r="I8197" t="s">
        <v>1082</v>
      </c>
      <c r="J8197">
        <v>7.74</v>
      </c>
    </row>
    <row r="8198" spans="1:10" hidden="1">
      <c r="A8198" t="s">
        <v>5281</v>
      </c>
      <c r="B8198" t="s">
        <v>5282</v>
      </c>
      <c r="C8198" t="s">
        <v>5111</v>
      </c>
      <c r="D8198" t="s">
        <v>5273</v>
      </c>
      <c r="E8198" t="s">
        <v>555</v>
      </c>
      <c r="F8198" t="s">
        <v>1068</v>
      </c>
      <c r="G8198" t="s">
        <v>1083</v>
      </c>
      <c r="H8198" s="170">
        <v>-5.8796300331390498E-7</v>
      </c>
      <c r="I8198" t="s">
        <v>1084</v>
      </c>
      <c r="J8198">
        <v>7.74</v>
      </c>
    </row>
    <row r="8199" spans="1:10" hidden="1">
      <c r="A8199" t="s">
        <v>5281</v>
      </c>
      <c r="B8199" t="s">
        <v>5282</v>
      </c>
      <c r="C8199" t="s">
        <v>5111</v>
      </c>
      <c r="D8199" t="s">
        <v>5273</v>
      </c>
      <c r="E8199" t="s">
        <v>555</v>
      </c>
      <c r="F8199" t="s">
        <v>1068</v>
      </c>
      <c r="G8199" t="s">
        <v>1085</v>
      </c>
      <c r="H8199" s="171" t="s">
        <v>5286</v>
      </c>
      <c r="I8199" t="s">
        <v>1086</v>
      </c>
      <c r="J8199">
        <v>7.74</v>
      </c>
    </row>
    <row r="8200" spans="1:10" hidden="1">
      <c r="A8200" t="s">
        <v>5281</v>
      </c>
      <c r="B8200" t="s">
        <v>5282</v>
      </c>
      <c r="C8200" t="s">
        <v>5111</v>
      </c>
      <c r="D8200" t="s">
        <v>5273</v>
      </c>
      <c r="E8200" t="s">
        <v>555</v>
      </c>
      <c r="F8200" t="s">
        <v>1068</v>
      </c>
      <c r="G8200" t="s">
        <v>1087</v>
      </c>
      <c r="H8200" s="171" t="s">
        <v>5287</v>
      </c>
      <c r="I8200" t="s">
        <v>1088</v>
      </c>
      <c r="J8200">
        <v>7.74</v>
      </c>
    </row>
    <row r="8201" spans="1:10" hidden="1">
      <c r="A8201" t="s">
        <v>5281</v>
      </c>
      <c r="B8201" t="s">
        <v>5282</v>
      </c>
      <c r="C8201" t="s">
        <v>5111</v>
      </c>
      <c r="D8201" t="s">
        <v>5273</v>
      </c>
      <c r="E8201" t="s">
        <v>555</v>
      </c>
      <c r="F8201" t="s">
        <v>1068</v>
      </c>
      <c r="G8201" t="s">
        <v>1089</v>
      </c>
      <c r="H8201" s="171" t="s">
        <v>5288</v>
      </c>
      <c r="I8201" t="s">
        <v>1090</v>
      </c>
      <c r="J8201">
        <v>7.74</v>
      </c>
    </row>
    <row r="8202" spans="1:10" hidden="1">
      <c r="A8202" t="s">
        <v>5289</v>
      </c>
      <c r="B8202" t="s">
        <v>5290</v>
      </c>
      <c r="C8202" t="s">
        <v>5111</v>
      </c>
      <c r="D8202" t="s">
        <v>5273</v>
      </c>
      <c r="E8202" t="s">
        <v>558</v>
      </c>
      <c r="F8202" t="s">
        <v>1068</v>
      </c>
      <c r="G8202" t="s">
        <v>1069</v>
      </c>
      <c r="H8202">
        <v>6.8951592221996802E-2</v>
      </c>
      <c r="I8202" t="s">
        <v>1070</v>
      </c>
      <c r="J8202">
        <v>7.05</v>
      </c>
    </row>
    <row r="8203" spans="1:10" hidden="1">
      <c r="A8203" t="s">
        <v>5289</v>
      </c>
      <c r="B8203" t="s">
        <v>5290</v>
      </c>
      <c r="C8203" t="s">
        <v>5111</v>
      </c>
      <c r="D8203" t="s">
        <v>5273</v>
      </c>
      <c r="E8203" t="s">
        <v>558</v>
      </c>
      <c r="F8203" t="s">
        <v>1068</v>
      </c>
      <c r="G8203" t="s">
        <v>1071</v>
      </c>
      <c r="H8203" s="171" t="s">
        <v>5291</v>
      </c>
      <c r="I8203" t="s">
        <v>1072</v>
      </c>
      <c r="J8203">
        <v>7.05</v>
      </c>
    </row>
    <row r="8204" spans="1:10" hidden="1">
      <c r="A8204" t="s">
        <v>5289</v>
      </c>
      <c r="B8204" t="s">
        <v>5290</v>
      </c>
      <c r="C8204" t="s">
        <v>5111</v>
      </c>
      <c r="D8204" t="s">
        <v>5273</v>
      </c>
      <c r="E8204" t="s">
        <v>558</v>
      </c>
      <c r="F8204" t="s">
        <v>1068</v>
      </c>
      <c r="G8204" t="s">
        <v>1073</v>
      </c>
      <c r="H8204" s="171" t="s">
        <v>5292</v>
      </c>
      <c r="I8204" t="s">
        <v>1074</v>
      </c>
      <c r="J8204">
        <v>7.05</v>
      </c>
    </row>
    <row r="8205" spans="1:10" hidden="1">
      <c r="A8205" t="s">
        <v>5289</v>
      </c>
      <c r="B8205" t="s">
        <v>5290</v>
      </c>
      <c r="C8205" t="s">
        <v>5111</v>
      </c>
      <c r="D8205" t="s">
        <v>5273</v>
      </c>
      <c r="E8205" t="s">
        <v>558</v>
      </c>
      <c r="F8205" t="s">
        <v>1068</v>
      </c>
      <c r="G8205" t="s">
        <v>1075</v>
      </c>
      <c r="H8205">
        <v>3.0640018769553801E-3</v>
      </c>
      <c r="I8205" t="s">
        <v>1077</v>
      </c>
      <c r="J8205">
        <v>7.05</v>
      </c>
    </row>
    <row r="8206" spans="1:10" hidden="1">
      <c r="A8206" t="s">
        <v>5289</v>
      </c>
      <c r="B8206" t="s">
        <v>5290</v>
      </c>
      <c r="C8206" t="s">
        <v>5111</v>
      </c>
      <c r="D8206" t="s">
        <v>5273</v>
      </c>
      <c r="E8206" t="s">
        <v>558</v>
      </c>
      <c r="F8206" t="s">
        <v>1068</v>
      </c>
      <c r="G8206" t="s">
        <v>1078</v>
      </c>
      <c r="H8206">
        <v>-5.2170194595506002E-2</v>
      </c>
      <c r="I8206" t="s">
        <v>1079</v>
      </c>
      <c r="J8206">
        <v>7.05</v>
      </c>
    </row>
    <row r="8207" spans="1:10" hidden="1">
      <c r="A8207" t="s">
        <v>5289</v>
      </c>
      <c r="B8207" t="s">
        <v>5290</v>
      </c>
      <c r="C8207" t="s">
        <v>5111</v>
      </c>
      <c r="D8207" t="s">
        <v>5273</v>
      </c>
      <c r="E8207" t="s">
        <v>558</v>
      </c>
      <c r="F8207" t="s">
        <v>1068</v>
      </c>
      <c r="G8207" t="s">
        <v>1080</v>
      </c>
      <c r="H8207" s="171" t="s">
        <v>5293</v>
      </c>
      <c r="I8207" t="s">
        <v>1082</v>
      </c>
      <c r="J8207">
        <v>7.05</v>
      </c>
    </row>
    <row r="8208" spans="1:10" hidden="1">
      <c r="A8208" t="s">
        <v>5289</v>
      </c>
      <c r="B8208" t="s">
        <v>5290</v>
      </c>
      <c r="C8208" t="s">
        <v>5111</v>
      </c>
      <c r="D8208" t="s">
        <v>5273</v>
      </c>
      <c r="E8208" t="s">
        <v>558</v>
      </c>
      <c r="F8208" t="s">
        <v>1068</v>
      </c>
      <c r="G8208" t="s">
        <v>1083</v>
      </c>
      <c r="H8208" s="171" t="s">
        <v>5294</v>
      </c>
      <c r="I8208" t="s">
        <v>1084</v>
      </c>
      <c r="J8208">
        <v>7.05</v>
      </c>
    </row>
    <row r="8209" spans="1:10" hidden="1">
      <c r="A8209" t="s">
        <v>5289</v>
      </c>
      <c r="B8209" t="s">
        <v>5290</v>
      </c>
      <c r="C8209" t="s">
        <v>5111</v>
      </c>
      <c r="D8209" t="s">
        <v>5273</v>
      </c>
      <c r="E8209" t="s">
        <v>558</v>
      </c>
      <c r="F8209" t="s">
        <v>1068</v>
      </c>
      <c r="G8209" t="s">
        <v>1085</v>
      </c>
      <c r="H8209" s="171" t="s">
        <v>5295</v>
      </c>
      <c r="I8209" t="s">
        <v>1086</v>
      </c>
      <c r="J8209">
        <v>7.05</v>
      </c>
    </row>
    <row r="8210" spans="1:10" hidden="1">
      <c r="A8210" t="s">
        <v>5289</v>
      </c>
      <c r="B8210" t="s">
        <v>5290</v>
      </c>
      <c r="C8210" t="s">
        <v>5111</v>
      </c>
      <c r="D8210" t="s">
        <v>5273</v>
      </c>
      <c r="E8210" t="s">
        <v>558</v>
      </c>
      <c r="F8210" t="s">
        <v>1068</v>
      </c>
      <c r="G8210" t="s">
        <v>1087</v>
      </c>
      <c r="H8210" s="171" t="s">
        <v>5296</v>
      </c>
      <c r="I8210" t="s">
        <v>1088</v>
      </c>
      <c r="J8210">
        <v>7.05</v>
      </c>
    </row>
    <row r="8211" spans="1:10" hidden="1">
      <c r="A8211" t="s">
        <v>5289</v>
      </c>
      <c r="B8211" t="s">
        <v>5290</v>
      </c>
      <c r="C8211" t="s">
        <v>5111</v>
      </c>
      <c r="D8211" t="s">
        <v>5273</v>
      </c>
      <c r="E8211" t="s">
        <v>558</v>
      </c>
      <c r="F8211" t="s">
        <v>1068</v>
      </c>
      <c r="G8211" t="s">
        <v>1089</v>
      </c>
      <c r="H8211" s="171" t="s">
        <v>5297</v>
      </c>
      <c r="I8211" t="s">
        <v>1090</v>
      </c>
      <c r="J8211">
        <v>7.05</v>
      </c>
    </row>
    <row r="8212" spans="1:10" hidden="1">
      <c r="A8212" t="s">
        <v>5298</v>
      </c>
      <c r="B8212" t="s">
        <v>5299</v>
      </c>
      <c r="C8212" t="s">
        <v>5111</v>
      </c>
      <c r="D8212" t="s">
        <v>5273</v>
      </c>
      <c r="E8212" t="s">
        <v>553</v>
      </c>
      <c r="F8212" t="s">
        <v>1068</v>
      </c>
      <c r="G8212" t="s">
        <v>1069</v>
      </c>
      <c r="H8212">
        <v>6.9304570185707806E-2</v>
      </c>
      <c r="I8212" t="s">
        <v>1070</v>
      </c>
      <c r="J8212">
        <v>7.69</v>
      </c>
    </row>
    <row r="8213" spans="1:10" hidden="1">
      <c r="A8213" t="s">
        <v>5298</v>
      </c>
      <c r="B8213" t="s">
        <v>5299</v>
      </c>
      <c r="C8213" t="s">
        <v>5111</v>
      </c>
      <c r="D8213" t="s">
        <v>5273</v>
      </c>
      <c r="E8213" t="s">
        <v>553</v>
      </c>
      <c r="F8213" t="s">
        <v>1068</v>
      </c>
      <c r="G8213" t="s">
        <v>1071</v>
      </c>
      <c r="H8213" s="171" t="s">
        <v>5300</v>
      </c>
      <c r="I8213" t="s">
        <v>1072</v>
      </c>
      <c r="J8213">
        <v>7.69</v>
      </c>
    </row>
    <row r="8214" spans="1:10" hidden="1">
      <c r="A8214" t="s">
        <v>5298</v>
      </c>
      <c r="B8214" t="s">
        <v>5299</v>
      </c>
      <c r="C8214" t="s">
        <v>5111</v>
      </c>
      <c r="D8214" t="s">
        <v>5273</v>
      </c>
      <c r="E8214" t="s">
        <v>553</v>
      </c>
      <c r="F8214" t="s">
        <v>1068</v>
      </c>
      <c r="G8214" t="s">
        <v>1073</v>
      </c>
      <c r="H8214" s="171" t="s">
        <v>5301</v>
      </c>
      <c r="I8214" t="s">
        <v>1074</v>
      </c>
      <c r="J8214">
        <v>7.69</v>
      </c>
    </row>
    <row r="8215" spans="1:10" hidden="1">
      <c r="A8215" t="s">
        <v>5298</v>
      </c>
      <c r="B8215" t="s">
        <v>5299</v>
      </c>
      <c r="C8215" t="s">
        <v>5111</v>
      </c>
      <c r="D8215" t="s">
        <v>5273</v>
      </c>
      <c r="E8215" t="s">
        <v>553</v>
      </c>
      <c r="F8215" t="s">
        <v>1068</v>
      </c>
      <c r="G8215" t="s">
        <v>1075</v>
      </c>
      <c r="H8215">
        <v>3.0935153693016199E-3</v>
      </c>
      <c r="I8215" t="s">
        <v>1077</v>
      </c>
      <c r="J8215">
        <v>7.69</v>
      </c>
    </row>
    <row r="8216" spans="1:10" hidden="1">
      <c r="A8216" t="s">
        <v>5298</v>
      </c>
      <c r="B8216" t="s">
        <v>5299</v>
      </c>
      <c r="C8216" t="s">
        <v>5111</v>
      </c>
      <c r="D8216" t="s">
        <v>5273</v>
      </c>
      <c r="E8216" t="s">
        <v>553</v>
      </c>
      <c r="F8216" t="s">
        <v>1068</v>
      </c>
      <c r="G8216" t="s">
        <v>1078</v>
      </c>
      <c r="H8216">
        <v>-4.3874062473680198E-2</v>
      </c>
      <c r="I8216" t="s">
        <v>1079</v>
      </c>
      <c r="J8216">
        <v>7.69</v>
      </c>
    </row>
    <row r="8217" spans="1:10" hidden="1">
      <c r="A8217" t="s">
        <v>5298</v>
      </c>
      <c r="B8217" t="s">
        <v>5299</v>
      </c>
      <c r="C8217" t="s">
        <v>5111</v>
      </c>
      <c r="D8217" t="s">
        <v>5273</v>
      </c>
      <c r="E8217" t="s">
        <v>553</v>
      </c>
      <c r="F8217" t="s">
        <v>1068</v>
      </c>
      <c r="G8217" t="s">
        <v>1080</v>
      </c>
      <c r="H8217" s="171" t="s">
        <v>5302</v>
      </c>
      <c r="I8217" t="s">
        <v>1082</v>
      </c>
      <c r="J8217">
        <v>7.69</v>
      </c>
    </row>
    <row r="8218" spans="1:10" hidden="1">
      <c r="A8218" t="s">
        <v>5298</v>
      </c>
      <c r="B8218" t="s">
        <v>5299</v>
      </c>
      <c r="C8218" t="s">
        <v>5111</v>
      </c>
      <c r="D8218" t="s">
        <v>5273</v>
      </c>
      <c r="E8218" t="s">
        <v>553</v>
      </c>
      <c r="F8218" t="s">
        <v>1068</v>
      </c>
      <c r="G8218" t="s">
        <v>1083</v>
      </c>
      <c r="H8218" s="171" t="s">
        <v>5303</v>
      </c>
      <c r="I8218" t="s">
        <v>1084</v>
      </c>
      <c r="J8218">
        <v>7.69</v>
      </c>
    </row>
    <row r="8219" spans="1:10" hidden="1">
      <c r="A8219" t="s">
        <v>5298</v>
      </c>
      <c r="B8219" t="s">
        <v>5299</v>
      </c>
      <c r="C8219" t="s">
        <v>5111</v>
      </c>
      <c r="D8219" t="s">
        <v>5273</v>
      </c>
      <c r="E8219" t="s">
        <v>553</v>
      </c>
      <c r="F8219" t="s">
        <v>1068</v>
      </c>
      <c r="G8219" t="s">
        <v>1085</v>
      </c>
      <c r="H8219" s="171" t="s">
        <v>5304</v>
      </c>
      <c r="I8219" t="s">
        <v>1086</v>
      </c>
      <c r="J8219">
        <v>7.69</v>
      </c>
    </row>
    <row r="8220" spans="1:10" hidden="1">
      <c r="A8220" t="s">
        <v>5298</v>
      </c>
      <c r="B8220" t="s">
        <v>5299</v>
      </c>
      <c r="C8220" t="s">
        <v>5111</v>
      </c>
      <c r="D8220" t="s">
        <v>5273</v>
      </c>
      <c r="E8220" t="s">
        <v>553</v>
      </c>
      <c r="F8220" t="s">
        <v>1068</v>
      </c>
      <c r="G8220" t="s">
        <v>1087</v>
      </c>
      <c r="H8220" s="171" t="s">
        <v>5305</v>
      </c>
      <c r="I8220" t="s">
        <v>1088</v>
      </c>
      <c r="J8220">
        <v>7.69</v>
      </c>
    </row>
    <row r="8221" spans="1:10" hidden="1">
      <c r="A8221" t="s">
        <v>5298</v>
      </c>
      <c r="B8221" t="s">
        <v>5299</v>
      </c>
      <c r="C8221" t="s">
        <v>5111</v>
      </c>
      <c r="D8221" t="s">
        <v>5273</v>
      </c>
      <c r="E8221" t="s">
        <v>553</v>
      </c>
      <c r="F8221" t="s">
        <v>1068</v>
      </c>
      <c r="G8221" t="s">
        <v>1089</v>
      </c>
      <c r="H8221" s="171" t="s">
        <v>5306</v>
      </c>
      <c r="I8221" t="s">
        <v>1090</v>
      </c>
      <c r="J8221">
        <v>7.69</v>
      </c>
    </row>
    <row r="8222" spans="1:10" hidden="1">
      <c r="A8222" t="s">
        <v>5307</v>
      </c>
      <c r="B8222" t="s">
        <v>5308</v>
      </c>
      <c r="C8222" t="s">
        <v>5111</v>
      </c>
      <c r="D8222" t="s">
        <v>5273</v>
      </c>
      <c r="E8222" t="s">
        <v>556</v>
      </c>
      <c r="F8222" t="s">
        <v>1068</v>
      </c>
      <c r="G8222" t="s">
        <v>1069</v>
      </c>
      <c r="H8222">
        <v>6.8586062361035094E-2</v>
      </c>
      <c r="I8222" t="s">
        <v>1070</v>
      </c>
      <c r="J8222">
        <v>7.51</v>
      </c>
    </row>
    <row r="8223" spans="1:10" hidden="1">
      <c r="A8223" t="s">
        <v>5307</v>
      </c>
      <c r="B8223" t="s">
        <v>5308</v>
      </c>
      <c r="C8223" t="s">
        <v>5111</v>
      </c>
      <c r="D8223" t="s">
        <v>5273</v>
      </c>
      <c r="E8223" t="s">
        <v>556</v>
      </c>
      <c r="F8223" t="s">
        <v>1068</v>
      </c>
      <c r="G8223" t="s">
        <v>1071</v>
      </c>
      <c r="H8223" s="171" t="s">
        <v>5309</v>
      </c>
      <c r="I8223" t="s">
        <v>1072</v>
      </c>
      <c r="J8223">
        <v>7.51</v>
      </c>
    </row>
    <row r="8224" spans="1:10" hidden="1">
      <c r="A8224" t="s">
        <v>5307</v>
      </c>
      <c r="B8224" t="s">
        <v>5308</v>
      </c>
      <c r="C8224" t="s">
        <v>5111</v>
      </c>
      <c r="D8224" t="s">
        <v>5273</v>
      </c>
      <c r="E8224" t="s">
        <v>556</v>
      </c>
      <c r="F8224" t="s">
        <v>1068</v>
      </c>
      <c r="G8224" t="s">
        <v>1073</v>
      </c>
      <c r="H8224" s="171" t="s">
        <v>5310</v>
      </c>
      <c r="I8224" t="s">
        <v>1074</v>
      </c>
      <c r="J8224">
        <v>7.51</v>
      </c>
    </row>
    <row r="8225" spans="1:10" hidden="1">
      <c r="A8225" t="s">
        <v>5307</v>
      </c>
      <c r="B8225" t="s">
        <v>5308</v>
      </c>
      <c r="C8225" t="s">
        <v>5111</v>
      </c>
      <c r="D8225" t="s">
        <v>5273</v>
      </c>
      <c r="E8225" t="s">
        <v>556</v>
      </c>
      <c r="F8225" t="s">
        <v>1068</v>
      </c>
      <c r="G8225" t="s">
        <v>1075</v>
      </c>
      <c r="H8225">
        <v>3.1393347124499798E-3</v>
      </c>
      <c r="I8225" t="s">
        <v>1077</v>
      </c>
      <c r="J8225">
        <v>7.51</v>
      </c>
    </row>
    <row r="8226" spans="1:10" hidden="1">
      <c r="A8226" t="s">
        <v>5307</v>
      </c>
      <c r="B8226" t="s">
        <v>5308</v>
      </c>
      <c r="C8226" t="s">
        <v>5111</v>
      </c>
      <c r="D8226" t="s">
        <v>5273</v>
      </c>
      <c r="E8226" t="s">
        <v>556</v>
      </c>
      <c r="F8226" t="s">
        <v>1068</v>
      </c>
      <c r="G8226" t="s">
        <v>1078</v>
      </c>
      <c r="H8226">
        <v>-1.6266222895848101E-2</v>
      </c>
      <c r="I8226" t="s">
        <v>1079</v>
      </c>
      <c r="J8226">
        <v>7.51</v>
      </c>
    </row>
    <row r="8227" spans="1:10" hidden="1">
      <c r="A8227" t="s">
        <v>5307</v>
      </c>
      <c r="B8227" t="s">
        <v>5308</v>
      </c>
      <c r="C8227" t="s">
        <v>5111</v>
      </c>
      <c r="D8227" t="s">
        <v>5273</v>
      </c>
      <c r="E8227" t="s">
        <v>556</v>
      </c>
      <c r="F8227" t="s">
        <v>1068</v>
      </c>
      <c r="G8227" t="s">
        <v>1080</v>
      </c>
      <c r="H8227" s="171" t="s">
        <v>5311</v>
      </c>
      <c r="I8227" t="s">
        <v>1082</v>
      </c>
      <c r="J8227">
        <v>7.51</v>
      </c>
    </row>
    <row r="8228" spans="1:10" hidden="1">
      <c r="A8228" t="s">
        <v>5307</v>
      </c>
      <c r="B8228" t="s">
        <v>5308</v>
      </c>
      <c r="C8228" t="s">
        <v>5111</v>
      </c>
      <c r="D8228" t="s">
        <v>5273</v>
      </c>
      <c r="E8228" t="s">
        <v>556</v>
      </c>
      <c r="F8228" t="s">
        <v>1068</v>
      </c>
      <c r="G8228" t="s">
        <v>1083</v>
      </c>
      <c r="H8228" s="171" t="s">
        <v>5312</v>
      </c>
      <c r="I8228" t="s">
        <v>1084</v>
      </c>
      <c r="J8228">
        <v>7.51</v>
      </c>
    </row>
    <row r="8229" spans="1:10" hidden="1">
      <c r="A8229" t="s">
        <v>5307</v>
      </c>
      <c r="B8229" t="s">
        <v>5308</v>
      </c>
      <c r="C8229" t="s">
        <v>5111</v>
      </c>
      <c r="D8229" t="s">
        <v>5273</v>
      </c>
      <c r="E8229" t="s">
        <v>556</v>
      </c>
      <c r="F8229" t="s">
        <v>1068</v>
      </c>
      <c r="G8229" t="s">
        <v>1085</v>
      </c>
      <c r="H8229" s="171" t="s">
        <v>5313</v>
      </c>
      <c r="I8229" t="s">
        <v>1086</v>
      </c>
      <c r="J8229">
        <v>7.51</v>
      </c>
    </row>
    <row r="8230" spans="1:10" hidden="1">
      <c r="A8230" t="s">
        <v>5307</v>
      </c>
      <c r="B8230" t="s">
        <v>5308</v>
      </c>
      <c r="C8230" t="s">
        <v>5111</v>
      </c>
      <c r="D8230" t="s">
        <v>5273</v>
      </c>
      <c r="E8230" t="s">
        <v>556</v>
      </c>
      <c r="F8230" t="s">
        <v>1068</v>
      </c>
      <c r="G8230" t="s">
        <v>1087</v>
      </c>
      <c r="H8230" s="171" t="s">
        <v>5314</v>
      </c>
      <c r="I8230" t="s">
        <v>1088</v>
      </c>
      <c r="J8230">
        <v>7.51</v>
      </c>
    </row>
    <row r="8231" spans="1:10" hidden="1">
      <c r="A8231" t="s">
        <v>5307</v>
      </c>
      <c r="B8231" t="s">
        <v>5308</v>
      </c>
      <c r="C8231" t="s">
        <v>5111</v>
      </c>
      <c r="D8231" t="s">
        <v>5273</v>
      </c>
      <c r="E8231" t="s">
        <v>556</v>
      </c>
      <c r="F8231" t="s">
        <v>1068</v>
      </c>
      <c r="G8231" t="s">
        <v>1089</v>
      </c>
      <c r="H8231" s="171" t="s">
        <v>5315</v>
      </c>
      <c r="I8231" t="s">
        <v>1090</v>
      </c>
      <c r="J8231">
        <v>7.51</v>
      </c>
    </row>
    <row r="8232" spans="1:10" hidden="1">
      <c r="A8232" t="s">
        <v>5316</v>
      </c>
      <c r="B8232" t="s">
        <v>5317</v>
      </c>
      <c r="C8232" t="s">
        <v>5111</v>
      </c>
      <c r="D8232" t="s">
        <v>5273</v>
      </c>
      <c r="E8232" t="s">
        <v>557</v>
      </c>
      <c r="F8232" t="s">
        <v>1068</v>
      </c>
      <c r="G8232" t="s">
        <v>1069</v>
      </c>
      <c r="H8232">
        <v>6.6941429029675398E-2</v>
      </c>
      <c r="I8232" t="s">
        <v>1070</v>
      </c>
      <c r="J8232">
        <v>7.56</v>
      </c>
    </row>
    <row r="8233" spans="1:10" hidden="1">
      <c r="A8233" t="s">
        <v>5316</v>
      </c>
      <c r="B8233" t="s">
        <v>5317</v>
      </c>
      <c r="C8233" t="s">
        <v>5111</v>
      </c>
      <c r="D8233" t="s">
        <v>5273</v>
      </c>
      <c r="E8233" t="s">
        <v>557</v>
      </c>
      <c r="F8233" t="s">
        <v>1068</v>
      </c>
      <c r="G8233" t="s">
        <v>1071</v>
      </c>
      <c r="H8233" s="171" t="s">
        <v>5318</v>
      </c>
      <c r="I8233" t="s">
        <v>1072</v>
      </c>
      <c r="J8233">
        <v>7.56</v>
      </c>
    </row>
    <row r="8234" spans="1:10" hidden="1">
      <c r="A8234" t="s">
        <v>5316</v>
      </c>
      <c r="B8234" t="s">
        <v>5317</v>
      </c>
      <c r="C8234" t="s">
        <v>5111</v>
      </c>
      <c r="D8234" t="s">
        <v>5273</v>
      </c>
      <c r="E8234" t="s">
        <v>557</v>
      </c>
      <c r="F8234" t="s">
        <v>1068</v>
      </c>
      <c r="G8234" t="s">
        <v>1073</v>
      </c>
      <c r="H8234" s="171" t="s">
        <v>5319</v>
      </c>
      <c r="I8234" t="s">
        <v>1074</v>
      </c>
      <c r="J8234">
        <v>7.56</v>
      </c>
    </row>
    <row r="8235" spans="1:10" hidden="1">
      <c r="A8235" t="s">
        <v>5316</v>
      </c>
      <c r="B8235" t="s">
        <v>5317</v>
      </c>
      <c r="C8235" t="s">
        <v>5111</v>
      </c>
      <c r="D8235" t="s">
        <v>5273</v>
      </c>
      <c r="E8235" t="s">
        <v>557</v>
      </c>
      <c r="F8235" t="s">
        <v>1068</v>
      </c>
      <c r="G8235" t="s">
        <v>1075</v>
      </c>
      <c r="H8235">
        <v>3.0004584710505598E-3</v>
      </c>
      <c r="I8235" t="s">
        <v>1077</v>
      </c>
      <c r="J8235">
        <v>7.56</v>
      </c>
    </row>
    <row r="8236" spans="1:10" hidden="1">
      <c r="A8236" t="s">
        <v>5316</v>
      </c>
      <c r="B8236" t="s">
        <v>5317</v>
      </c>
      <c r="C8236" t="s">
        <v>5111</v>
      </c>
      <c r="D8236" t="s">
        <v>5273</v>
      </c>
      <c r="E8236" t="s">
        <v>557</v>
      </c>
      <c r="F8236" t="s">
        <v>1068</v>
      </c>
      <c r="G8236" t="s">
        <v>1078</v>
      </c>
      <c r="H8236">
        <v>-5.4918056578809701E-2</v>
      </c>
      <c r="I8236" t="s">
        <v>1079</v>
      </c>
      <c r="J8236">
        <v>7.56</v>
      </c>
    </row>
    <row r="8237" spans="1:10" hidden="1">
      <c r="A8237" t="s">
        <v>5316</v>
      </c>
      <c r="B8237" t="s">
        <v>5317</v>
      </c>
      <c r="C8237" t="s">
        <v>5111</v>
      </c>
      <c r="D8237" t="s">
        <v>5273</v>
      </c>
      <c r="E8237" t="s">
        <v>557</v>
      </c>
      <c r="F8237" t="s">
        <v>1068</v>
      </c>
      <c r="G8237" t="s">
        <v>1080</v>
      </c>
      <c r="H8237" s="171" t="s">
        <v>5320</v>
      </c>
      <c r="I8237" t="s">
        <v>1082</v>
      </c>
      <c r="J8237">
        <v>7.56</v>
      </c>
    </row>
    <row r="8238" spans="1:10" hidden="1">
      <c r="A8238" t="s">
        <v>5316</v>
      </c>
      <c r="B8238" t="s">
        <v>5317</v>
      </c>
      <c r="C8238" t="s">
        <v>5111</v>
      </c>
      <c r="D8238" t="s">
        <v>5273</v>
      </c>
      <c r="E8238" t="s">
        <v>557</v>
      </c>
      <c r="F8238" t="s">
        <v>1068</v>
      </c>
      <c r="G8238" t="s">
        <v>1083</v>
      </c>
      <c r="H8238" s="171" t="s">
        <v>5321</v>
      </c>
      <c r="I8238" t="s">
        <v>1084</v>
      </c>
      <c r="J8238">
        <v>7.56</v>
      </c>
    </row>
    <row r="8239" spans="1:10" hidden="1">
      <c r="A8239" t="s">
        <v>5316</v>
      </c>
      <c r="B8239" t="s">
        <v>5317</v>
      </c>
      <c r="C8239" t="s">
        <v>5111</v>
      </c>
      <c r="D8239" t="s">
        <v>5273</v>
      </c>
      <c r="E8239" t="s">
        <v>557</v>
      </c>
      <c r="F8239" t="s">
        <v>1068</v>
      </c>
      <c r="G8239" t="s">
        <v>1085</v>
      </c>
      <c r="H8239" s="171" t="s">
        <v>5322</v>
      </c>
      <c r="I8239" t="s">
        <v>1086</v>
      </c>
      <c r="J8239">
        <v>7.56</v>
      </c>
    </row>
    <row r="8240" spans="1:10" hidden="1">
      <c r="A8240" t="s">
        <v>5316</v>
      </c>
      <c r="B8240" t="s">
        <v>5317</v>
      </c>
      <c r="C8240" t="s">
        <v>5111</v>
      </c>
      <c r="D8240" t="s">
        <v>5273</v>
      </c>
      <c r="E8240" t="s">
        <v>557</v>
      </c>
      <c r="F8240" t="s">
        <v>1068</v>
      </c>
      <c r="G8240" t="s">
        <v>1087</v>
      </c>
      <c r="H8240" s="171" t="s">
        <v>5323</v>
      </c>
      <c r="I8240" t="s">
        <v>1088</v>
      </c>
      <c r="J8240">
        <v>7.56</v>
      </c>
    </row>
    <row r="8241" spans="1:10" hidden="1">
      <c r="A8241" t="s">
        <v>5316</v>
      </c>
      <c r="B8241" t="s">
        <v>5317</v>
      </c>
      <c r="C8241" t="s">
        <v>5111</v>
      </c>
      <c r="D8241" t="s">
        <v>5273</v>
      </c>
      <c r="E8241" t="s">
        <v>557</v>
      </c>
      <c r="F8241" t="s">
        <v>1068</v>
      </c>
      <c r="G8241" t="s">
        <v>1089</v>
      </c>
      <c r="H8241" s="171" t="s">
        <v>5324</v>
      </c>
      <c r="I8241" t="s">
        <v>1090</v>
      </c>
      <c r="J8241">
        <v>7.56</v>
      </c>
    </row>
    <row r="8242" spans="1:10" hidden="1">
      <c r="A8242" t="s">
        <v>5325</v>
      </c>
      <c r="B8242" t="s">
        <v>5326</v>
      </c>
      <c r="C8242" t="s">
        <v>5111</v>
      </c>
      <c r="D8242" t="s">
        <v>5273</v>
      </c>
      <c r="E8242" t="s">
        <v>559</v>
      </c>
      <c r="F8242" t="s">
        <v>1068</v>
      </c>
      <c r="G8242" t="s">
        <v>1069</v>
      </c>
      <c r="H8242">
        <v>6.5179026153655603E-2</v>
      </c>
      <c r="I8242" t="s">
        <v>1070</v>
      </c>
      <c r="J8242">
        <v>7.52</v>
      </c>
    </row>
    <row r="8243" spans="1:10" hidden="1">
      <c r="A8243" t="s">
        <v>5325</v>
      </c>
      <c r="B8243" t="s">
        <v>5326</v>
      </c>
      <c r="C8243" t="s">
        <v>5111</v>
      </c>
      <c r="D8243" t="s">
        <v>5273</v>
      </c>
      <c r="E8243" t="s">
        <v>559</v>
      </c>
      <c r="F8243" t="s">
        <v>1068</v>
      </c>
      <c r="G8243" t="s">
        <v>1071</v>
      </c>
      <c r="H8243" s="171" t="s">
        <v>5327</v>
      </c>
      <c r="I8243" t="s">
        <v>1072</v>
      </c>
      <c r="J8243">
        <v>7.52</v>
      </c>
    </row>
    <row r="8244" spans="1:10" hidden="1">
      <c r="A8244" t="s">
        <v>5325</v>
      </c>
      <c r="B8244" t="s">
        <v>5326</v>
      </c>
      <c r="C8244" t="s">
        <v>5111</v>
      </c>
      <c r="D8244" t="s">
        <v>5273</v>
      </c>
      <c r="E8244" t="s">
        <v>559</v>
      </c>
      <c r="F8244" t="s">
        <v>1068</v>
      </c>
      <c r="G8244" t="s">
        <v>1073</v>
      </c>
      <c r="H8244" s="171" t="s">
        <v>5328</v>
      </c>
      <c r="I8244" t="s">
        <v>1074</v>
      </c>
      <c r="J8244">
        <v>7.52</v>
      </c>
    </row>
    <row r="8245" spans="1:10" hidden="1">
      <c r="A8245" t="s">
        <v>5325</v>
      </c>
      <c r="B8245" t="s">
        <v>5326</v>
      </c>
      <c r="C8245" t="s">
        <v>5111</v>
      </c>
      <c r="D8245" t="s">
        <v>5273</v>
      </c>
      <c r="E8245" t="s">
        <v>559</v>
      </c>
      <c r="F8245" t="s">
        <v>1068</v>
      </c>
      <c r="G8245" t="s">
        <v>1075</v>
      </c>
      <c r="H8245">
        <v>2.9631025152557001E-3</v>
      </c>
      <c r="I8245" t="s">
        <v>1077</v>
      </c>
      <c r="J8245">
        <v>7.52</v>
      </c>
    </row>
    <row r="8246" spans="1:10" hidden="1">
      <c r="A8246" t="s">
        <v>5325</v>
      </c>
      <c r="B8246" t="s">
        <v>5326</v>
      </c>
      <c r="C8246" t="s">
        <v>5111</v>
      </c>
      <c r="D8246" t="s">
        <v>5273</v>
      </c>
      <c r="E8246" t="s">
        <v>559</v>
      </c>
      <c r="F8246" t="s">
        <v>1068</v>
      </c>
      <c r="G8246" t="s">
        <v>1078</v>
      </c>
      <c r="H8246">
        <v>-4.9513617336394401E-2</v>
      </c>
      <c r="I8246" t="s">
        <v>1079</v>
      </c>
      <c r="J8246">
        <v>7.52</v>
      </c>
    </row>
    <row r="8247" spans="1:10" hidden="1">
      <c r="A8247" t="s">
        <v>5325</v>
      </c>
      <c r="B8247" t="s">
        <v>5326</v>
      </c>
      <c r="C8247" t="s">
        <v>5111</v>
      </c>
      <c r="D8247" t="s">
        <v>5273</v>
      </c>
      <c r="E8247" t="s">
        <v>559</v>
      </c>
      <c r="F8247" t="s">
        <v>1068</v>
      </c>
      <c r="G8247" t="s">
        <v>1080</v>
      </c>
      <c r="H8247" s="171" t="s">
        <v>5329</v>
      </c>
      <c r="I8247" t="s">
        <v>1082</v>
      </c>
      <c r="J8247">
        <v>7.52</v>
      </c>
    </row>
    <row r="8248" spans="1:10" hidden="1">
      <c r="A8248" t="s">
        <v>5325</v>
      </c>
      <c r="B8248" t="s">
        <v>5326</v>
      </c>
      <c r="C8248" t="s">
        <v>5111</v>
      </c>
      <c r="D8248" t="s">
        <v>5273</v>
      </c>
      <c r="E8248" t="s">
        <v>559</v>
      </c>
      <c r="F8248" t="s">
        <v>1068</v>
      </c>
      <c r="G8248" t="s">
        <v>1083</v>
      </c>
      <c r="H8248" s="170">
        <v>-2.3015547209348301E-7</v>
      </c>
      <c r="I8248" t="s">
        <v>1084</v>
      </c>
      <c r="J8248">
        <v>7.52</v>
      </c>
    </row>
    <row r="8249" spans="1:10" hidden="1">
      <c r="A8249" t="s">
        <v>5325</v>
      </c>
      <c r="B8249" t="s">
        <v>5326</v>
      </c>
      <c r="C8249" t="s">
        <v>5111</v>
      </c>
      <c r="D8249" t="s">
        <v>5273</v>
      </c>
      <c r="E8249" t="s">
        <v>559</v>
      </c>
      <c r="F8249" t="s">
        <v>1068</v>
      </c>
      <c r="G8249" t="s">
        <v>1085</v>
      </c>
      <c r="H8249" s="171" t="s">
        <v>5330</v>
      </c>
      <c r="I8249" t="s">
        <v>1086</v>
      </c>
      <c r="J8249">
        <v>7.52</v>
      </c>
    </row>
    <row r="8250" spans="1:10" hidden="1">
      <c r="A8250" t="s">
        <v>5325</v>
      </c>
      <c r="B8250" t="s">
        <v>5326</v>
      </c>
      <c r="C8250" t="s">
        <v>5111</v>
      </c>
      <c r="D8250" t="s">
        <v>5273</v>
      </c>
      <c r="E8250" t="s">
        <v>559</v>
      </c>
      <c r="F8250" t="s">
        <v>1068</v>
      </c>
      <c r="G8250" t="s">
        <v>1087</v>
      </c>
      <c r="H8250" s="171" t="s">
        <v>5331</v>
      </c>
      <c r="I8250" t="s">
        <v>1088</v>
      </c>
      <c r="J8250">
        <v>7.52</v>
      </c>
    </row>
    <row r="8251" spans="1:10" hidden="1">
      <c r="A8251" t="s">
        <v>5325</v>
      </c>
      <c r="B8251" t="s">
        <v>5326</v>
      </c>
      <c r="C8251" t="s">
        <v>5111</v>
      </c>
      <c r="D8251" t="s">
        <v>5273</v>
      </c>
      <c r="E8251" t="s">
        <v>559</v>
      </c>
      <c r="F8251" t="s">
        <v>1068</v>
      </c>
      <c r="G8251" t="s">
        <v>1089</v>
      </c>
      <c r="H8251" s="171" t="s">
        <v>5332</v>
      </c>
      <c r="I8251" t="s">
        <v>1090</v>
      </c>
      <c r="J8251">
        <v>7.52</v>
      </c>
    </row>
    <row r="8252" spans="1:10" hidden="1">
      <c r="A8252" t="s">
        <v>5333</v>
      </c>
      <c r="B8252" t="s">
        <v>5334</v>
      </c>
      <c r="C8252" t="s">
        <v>5111</v>
      </c>
      <c r="D8252" t="s">
        <v>5273</v>
      </c>
      <c r="E8252" t="s">
        <v>560</v>
      </c>
      <c r="F8252" t="s">
        <v>1068</v>
      </c>
      <c r="G8252" t="s">
        <v>1069</v>
      </c>
      <c r="H8252">
        <v>6.5869341993766595E-2</v>
      </c>
      <c r="I8252" t="s">
        <v>1070</v>
      </c>
      <c r="J8252">
        <v>7.53</v>
      </c>
    </row>
    <row r="8253" spans="1:10" hidden="1">
      <c r="A8253" t="s">
        <v>5333</v>
      </c>
      <c r="B8253" t="s">
        <v>5334</v>
      </c>
      <c r="C8253" t="s">
        <v>5111</v>
      </c>
      <c r="D8253" t="s">
        <v>5273</v>
      </c>
      <c r="E8253" t="s">
        <v>560</v>
      </c>
      <c r="F8253" t="s">
        <v>1068</v>
      </c>
      <c r="G8253" t="s">
        <v>1071</v>
      </c>
      <c r="H8253" s="171" t="s">
        <v>5335</v>
      </c>
      <c r="I8253" t="s">
        <v>1072</v>
      </c>
      <c r="J8253">
        <v>7.53</v>
      </c>
    </row>
    <row r="8254" spans="1:10" hidden="1">
      <c r="A8254" t="s">
        <v>5333</v>
      </c>
      <c r="B8254" t="s">
        <v>5334</v>
      </c>
      <c r="C8254" t="s">
        <v>5111</v>
      </c>
      <c r="D8254" t="s">
        <v>5273</v>
      </c>
      <c r="E8254" t="s">
        <v>560</v>
      </c>
      <c r="F8254" t="s">
        <v>1068</v>
      </c>
      <c r="G8254" t="s">
        <v>1073</v>
      </c>
      <c r="H8254" s="171" t="s">
        <v>5336</v>
      </c>
      <c r="I8254" t="s">
        <v>1074</v>
      </c>
      <c r="J8254">
        <v>7.53</v>
      </c>
    </row>
    <row r="8255" spans="1:10" hidden="1">
      <c r="A8255" t="s">
        <v>5333</v>
      </c>
      <c r="B8255" t="s">
        <v>5334</v>
      </c>
      <c r="C8255" t="s">
        <v>5111</v>
      </c>
      <c r="D8255" t="s">
        <v>5273</v>
      </c>
      <c r="E8255" t="s">
        <v>560</v>
      </c>
      <c r="F8255" t="s">
        <v>1068</v>
      </c>
      <c r="G8255" t="s">
        <v>1075</v>
      </c>
      <c r="H8255">
        <v>2.9665686545676702E-3</v>
      </c>
      <c r="I8255" t="s">
        <v>1077</v>
      </c>
      <c r="J8255">
        <v>7.53</v>
      </c>
    </row>
    <row r="8256" spans="1:10" hidden="1">
      <c r="A8256" t="s">
        <v>5333</v>
      </c>
      <c r="B8256" t="s">
        <v>5334</v>
      </c>
      <c r="C8256" t="s">
        <v>5111</v>
      </c>
      <c r="D8256" t="s">
        <v>5273</v>
      </c>
      <c r="E8256" t="s">
        <v>560</v>
      </c>
      <c r="F8256" t="s">
        <v>1068</v>
      </c>
      <c r="G8256" t="s">
        <v>1078</v>
      </c>
      <c r="H8256">
        <v>-5.6383582969906698E-2</v>
      </c>
      <c r="I8256" t="s">
        <v>1079</v>
      </c>
      <c r="J8256">
        <v>7.53</v>
      </c>
    </row>
    <row r="8257" spans="1:10" hidden="1">
      <c r="A8257" t="s">
        <v>5333</v>
      </c>
      <c r="B8257" t="s">
        <v>5334</v>
      </c>
      <c r="C8257" t="s">
        <v>5111</v>
      </c>
      <c r="D8257" t="s">
        <v>5273</v>
      </c>
      <c r="E8257" t="s">
        <v>560</v>
      </c>
      <c r="F8257" t="s">
        <v>1068</v>
      </c>
      <c r="G8257" t="s">
        <v>1080</v>
      </c>
      <c r="H8257" s="171" t="s">
        <v>5337</v>
      </c>
      <c r="I8257" t="s">
        <v>1082</v>
      </c>
      <c r="J8257">
        <v>7.53</v>
      </c>
    </row>
    <row r="8258" spans="1:10" hidden="1">
      <c r="A8258" t="s">
        <v>5333</v>
      </c>
      <c r="B8258" t="s">
        <v>5334</v>
      </c>
      <c r="C8258" t="s">
        <v>5111</v>
      </c>
      <c r="D8258" t="s">
        <v>5273</v>
      </c>
      <c r="E8258" t="s">
        <v>560</v>
      </c>
      <c r="F8258" t="s">
        <v>1068</v>
      </c>
      <c r="G8258" t="s">
        <v>1083</v>
      </c>
      <c r="H8258" s="170">
        <v>-1.2282962240774001E-7</v>
      </c>
      <c r="I8258" t="s">
        <v>1084</v>
      </c>
      <c r="J8258">
        <v>7.53</v>
      </c>
    </row>
    <row r="8259" spans="1:10" hidden="1">
      <c r="A8259" t="s">
        <v>5333</v>
      </c>
      <c r="B8259" t="s">
        <v>5334</v>
      </c>
      <c r="C8259" t="s">
        <v>5111</v>
      </c>
      <c r="D8259" t="s">
        <v>5273</v>
      </c>
      <c r="E8259" t="s">
        <v>560</v>
      </c>
      <c r="F8259" t="s">
        <v>1068</v>
      </c>
      <c r="G8259" t="s">
        <v>1085</v>
      </c>
      <c r="H8259" s="171" t="s">
        <v>5338</v>
      </c>
      <c r="I8259" t="s">
        <v>1086</v>
      </c>
      <c r="J8259">
        <v>7.53</v>
      </c>
    </row>
    <row r="8260" spans="1:10" hidden="1">
      <c r="A8260" t="s">
        <v>5333</v>
      </c>
      <c r="B8260" t="s">
        <v>5334</v>
      </c>
      <c r="C8260" t="s">
        <v>5111</v>
      </c>
      <c r="D8260" t="s">
        <v>5273</v>
      </c>
      <c r="E8260" t="s">
        <v>560</v>
      </c>
      <c r="F8260" t="s">
        <v>1068</v>
      </c>
      <c r="G8260" t="s">
        <v>1087</v>
      </c>
      <c r="H8260" s="171" t="s">
        <v>5339</v>
      </c>
      <c r="I8260" t="s">
        <v>1088</v>
      </c>
      <c r="J8260">
        <v>7.53</v>
      </c>
    </row>
    <row r="8261" spans="1:10" hidden="1">
      <c r="A8261" t="s">
        <v>5333</v>
      </c>
      <c r="B8261" t="s">
        <v>5334</v>
      </c>
      <c r="C8261" t="s">
        <v>5111</v>
      </c>
      <c r="D8261" t="s">
        <v>5273</v>
      </c>
      <c r="E8261" t="s">
        <v>560</v>
      </c>
      <c r="F8261" t="s">
        <v>1068</v>
      </c>
      <c r="G8261" t="s">
        <v>1089</v>
      </c>
      <c r="H8261" s="171" t="s">
        <v>5340</v>
      </c>
      <c r="I8261" t="s">
        <v>1090</v>
      </c>
      <c r="J8261">
        <v>7.53</v>
      </c>
    </row>
    <row r="8262" spans="1:10" hidden="1">
      <c r="A8262" t="s">
        <v>5341</v>
      </c>
      <c r="B8262" t="s">
        <v>5342</v>
      </c>
      <c r="C8262" t="s">
        <v>5111</v>
      </c>
      <c r="D8262" t="s">
        <v>5273</v>
      </c>
      <c r="E8262" t="s">
        <v>1116</v>
      </c>
      <c r="F8262" t="s">
        <v>1068</v>
      </c>
      <c r="G8262" t="s">
        <v>1069</v>
      </c>
      <c r="H8262">
        <v>6.9123233962388203E-2</v>
      </c>
      <c r="I8262" t="s">
        <v>1070</v>
      </c>
      <c r="J8262">
        <v>7.41</v>
      </c>
    </row>
    <row r="8263" spans="1:10" hidden="1">
      <c r="A8263" t="s">
        <v>5341</v>
      </c>
      <c r="B8263" t="s">
        <v>5342</v>
      </c>
      <c r="C8263" t="s">
        <v>5111</v>
      </c>
      <c r="D8263" t="s">
        <v>5273</v>
      </c>
      <c r="E8263" t="s">
        <v>1116</v>
      </c>
      <c r="F8263" t="s">
        <v>1068</v>
      </c>
      <c r="G8263" t="s">
        <v>1071</v>
      </c>
      <c r="H8263" s="171" t="s">
        <v>5343</v>
      </c>
      <c r="I8263" t="s">
        <v>1072</v>
      </c>
      <c r="J8263">
        <v>7.41</v>
      </c>
    </row>
    <row r="8264" spans="1:10" hidden="1">
      <c r="A8264" t="s">
        <v>5341</v>
      </c>
      <c r="B8264" t="s">
        <v>5342</v>
      </c>
      <c r="C8264" t="s">
        <v>5111</v>
      </c>
      <c r="D8264" t="s">
        <v>5273</v>
      </c>
      <c r="E8264" t="s">
        <v>1116</v>
      </c>
      <c r="F8264" t="s">
        <v>1068</v>
      </c>
      <c r="G8264" t="s">
        <v>1073</v>
      </c>
      <c r="H8264" s="171" t="s">
        <v>5344</v>
      </c>
      <c r="I8264" t="s">
        <v>1074</v>
      </c>
      <c r="J8264">
        <v>7.41</v>
      </c>
    </row>
    <row r="8265" spans="1:10" hidden="1">
      <c r="A8265" t="s">
        <v>5341</v>
      </c>
      <c r="B8265" t="s">
        <v>5342</v>
      </c>
      <c r="C8265" t="s">
        <v>5111</v>
      </c>
      <c r="D8265" t="s">
        <v>5273</v>
      </c>
      <c r="E8265" t="s">
        <v>1116</v>
      </c>
      <c r="F8265" t="s">
        <v>1068</v>
      </c>
      <c r="G8265" t="s">
        <v>1075</v>
      </c>
      <c r="H8265">
        <v>3.06942765572925E-3</v>
      </c>
      <c r="I8265" t="s">
        <v>1077</v>
      </c>
      <c r="J8265">
        <v>7.41</v>
      </c>
    </row>
    <row r="8266" spans="1:10" hidden="1">
      <c r="A8266" t="s">
        <v>5341</v>
      </c>
      <c r="B8266" t="s">
        <v>5342</v>
      </c>
      <c r="C8266" t="s">
        <v>5111</v>
      </c>
      <c r="D8266" t="s">
        <v>5273</v>
      </c>
      <c r="E8266" t="s">
        <v>1116</v>
      </c>
      <c r="F8266" t="s">
        <v>1068</v>
      </c>
      <c r="G8266" t="s">
        <v>1078</v>
      </c>
      <c r="H8266">
        <v>-5.19355629919796E-2</v>
      </c>
      <c r="I8266" t="s">
        <v>1079</v>
      </c>
      <c r="J8266">
        <v>7.41</v>
      </c>
    </row>
    <row r="8267" spans="1:10" hidden="1">
      <c r="A8267" t="s">
        <v>5341</v>
      </c>
      <c r="B8267" t="s">
        <v>5342</v>
      </c>
      <c r="C8267" t="s">
        <v>5111</v>
      </c>
      <c r="D8267" t="s">
        <v>5273</v>
      </c>
      <c r="E8267" t="s">
        <v>1116</v>
      </c>
      <c r="F8267" t="s">
        <v>1068</v>
      </c>
      <c r="G8267" t="s">
        <v>1080</v>
      </c>
      <c r="H8267" s="171" t="s">
        <v>5345</v>
      </c>
      <c r="I8267" t="s">
        <v>1082</v>
      </c>
      <c r="J8267">
        <v>7.41</v>
      </c>
    </row>
    <row r="8268" spans="1:10" hidden="1">
      <c r="A8268" t="s">
        <v>5341</v>
      </c>
      <c r="B8268" t="s">
        <v>5342</v>
      </c>
      <c r="C8268" t="s">
        <v>5111</v>
      </c>
      <c r="D8268" t="s">
        <v>5273</v>
      </c>
      <c r="E8268" t="s">
        <v>1116</v>
      </c>
      <c r="F8268" t="s">
        <v>1068</v>
      </c>
      <c r="G8268" t="s">
        <v>1083</v>
      </c>
      <c r="H8268" s="171" t="s">
        <v>5346</v>
      </c>
      <c r="I8268" t="s">
        <v>1084</v>
      </c>
      <c r="J8268">
        <v>7.41</v>
      </c>
    </row>
    <row r="8269" spans="1:10" hidden="1">
      <c r="A8269" t="s">
        <v>5341</v>
      </c>
      <c r="B8269" t="s">
        <v>5342</v>
      </c>
      <c r="C8269" t="s">
        <v>5111</v>
      </c>
      <c r="D8269" t="s">
        <v>5273</v>
      </c>
      <c r="E8269" t="s">
        <v>1116</v>
      </c>
      <c r="F8269" t="s">
        <v>1068</v>
      </c>
      <c r="G8269" t="s">
        <v>1085</v>
      </c>
      <c r="H8269" s="171" t="s">
        <v>5347</v>
      </c>
      <c r="I8269" t="s">
        <v>1086</v>
      </c>
      <c r="J8269">
        <v>7.41</v>
      </c>
    </row>
    <row r="8270" spans="1:10" hidden="1">
      <c r="A8270" t="s">
        <v>5341</v>
      </c>
      <c r="B8270" t="s">
        <v>5342</v>
      </c>
      <c r="C8270" t="s">
        <v>5111</v>
      </c>
      <c r="D8270" t="s">
        <v>5273</v>
      </c>
      <c r="E8270" t="s">
        <v>1116</v>
      </c>
      <c r="F8270" t="s">
        <v>1068</v>
      </c>
      <c r="G8270" t="s">
        <v>1087</v>
      </c>
      <c r="H8270" s="171" t="s">
        <v>5348</v>
      </c>
      <c r="I8270" t="s">
        <v>1088</v>
      </c>
      <c r="J8270">
        <v>7.41</v>
      </c>
    </row>
    <row r="8271" spans="1:10" hidden="1">
      <c r="A8271" t="s">
        <v>5341</v>
      </c>
      <c r="B8271" t="s">
        <v>5342</v>
      </c>
      <c r="C8271" t="s">
        <v>5111</v>
      </c>
      <c r="D8271" t="s">
        <v>5273</v>
      </c>
      <c r="E8271" t="s">
        <v>1116</v>
      </c>
      <c r="F8271" t="s">
        <v>1068</v>
      </c>
      <c r="G8271" t="s">
        <v>1089</v>
      </c>
      <c r="H8271" s="171" t="s">
        <v>5349</v>
      </c>
      <c r="I8271" t="s">
        <v>1090</v>
      </c>
      <c r="J8271">
        <v>7.41</v>
      </c>
    </row>
    <row r="8272" spans="1:10" hidden="1">
      <c r="A8272" t="s">
        <v>5350</v>
      </c>
      <c r="B8272" t="s">
        <v>5351</v>
      </c>
      <c r="C8272" t="s">
        <v>5111</v>
      </c>
      <c r="D8272" t="s">
        <v>5352</v>
      </c>
      <c r="E8272" t="s">
        <v>561</v>
      </c>
      <c r="F8272" t="s">
        <v>1068</v>
      </c>
      <c r="G8272" t="s">
        <v>1069</v>
      </c>
      <c r="H8272">
        <v>6.5925154560352694E-2</v>
      </c>
      <c r="I8272" t="s">
        <v>1070</v>
      </c>
      <c r="J8272">
        <v>8.07</v>
      </c>
    </row>
    <row r="8273" spans="1:10" hidden="1">
      <c r="A8273" t="s">
        <v>5350</v>
      </c>
      <c r="B8273" t="s">
        <v>5351</v>
      </c>
      <c r="C8273" t="s">
        <v>5111</v>
      </c>
      <c r="D8273" t="s">
        <v>5352</v>
      </c>
      <c r="E8273" t="s">
        <v>561</v>
      </c>
      <c r="F8273" t="s">
        <v>1068</v>
      </c>
      <c r="G8273" t="s">
        <v>1071</v>
      </c>
      <c r="H8273" s="171" t="s">
        <v>5353</v>
      </c>
      <c r="I8273" t="s">
        <v>1072</v>
      </c>
      <c r="J8273">
        <v>8.07</v>
      </c>
    </row>
    <row r="8274" spans="1:10" hidden="1">
      <c r="A8274" t="s">
        <v>5350</v>
      </c>
      <c r="B8274" t="s">
        <v>5351</v>
      </c>
      <c r="C8274" t="s">
        <v>5111</v>
      </c>
      <c r="D8274" t="s">
        <v>5352</v>
      </c>
      <c r="E8274" t="s">
        <v>561</v>
      </c>
      <c r="F8274" t="s">
        <v>1068</v>
      </c>
      <c r="G8274" t="s">
        <v>1073</v>
      </c>
      <c r="H8274" s="171" t="s">
        <v>5354</v>
      </c>
      <c r="I8274" t="s">
        <v>1074</v>
      </c>
      <c r="J8274">
        <v>8.07</v>
      </c>
    </row>
    <row r="8275" spans="1:10" hidden="1">
      <c r="A8275" t="s">
        <v>5350</v>
      </c>
      <c r="B8275" t="s">
        <v>5351</v>
      </c>
      <c r="C8275" t="s">
        <v>5111</v>
      </c>
      <c r="D8275" t="s">
        <v>5352</v>
      </c>
      <c r="E8275" t="s">
        <v>561</v>
      </c>
      <c r="F8275" t="s">
        <v>1068</v>
      </c>
      <c r="G8275" t="s">
        <v>1075</v>
      </c>
      <c r="H8275">
        <v>2.9683329494203199E-3</v>
      </c>
      <c r="I8275" t="s">
        <v>1077</v>
      </c>
      <c r="J8275">
        <v>8.07</v>
      </c>
    </row>
    <row r="8276" spans="1:10" hidden="1">
      <c r="A8276" t="s">
        <v>5350</v>
      </c>
      <c r="B8276" t="s">
        <v>5351</v>
      </c>
      <c r="C8276" t="s">
        <v>5111</v>
      </c>
      <c r="D8276" t="s">
        <v>5352</v>
      </c>
      <c r="E8276" t="s">
        <v>561</v>
      </c>
      <c r="F8276" t="s">
        <v>1068</v>
      </c>
      <c r="G8276" t="s">
        <v>1078</v>
      </c>
      <c r="H8276">
        <v>-5.6307288054897903E-2</v>
      </c>
      <c r="I8276" t="s">
        <v>1079</v>
      </c>
      <c r="J8276">
        <v>8.07</v>
      </c>
    </row>
    <row r="8277" spans="1:10" hidden="1">
      <c r="A8277" t="s">
        <v>5350</v>
      </c>
      <c r="B8277" t="s">
        <v>5351</v>
      </c>
      <c r="C8277" t="s">
        <v>5111</v>
      </c>
      <c r="D8277" t="s">
        <v>5352</v>
      </c>
      <c r="E8277" t="s">
        <v>561</v>
      </c>
      <c r="F8277" t="s">
        <v>1068</v>
      </c>
      <c r="G8277" t="s">
        <v>1080</v>
      </c>
      <c r="H8277" s="171" t="s">
        <v>5202</v>
      </c>
      <c r="I8277" t="s">
        <v>1082</v>
      </c>
      <c r="J8277">
        <v>8.07</v>
      </c>
    </row>
    <row r="8278" spans="1:10" hidden="1">
      <c r="A8278" t="s">
        <v>5350</v>
      </c>
      <c r="B8278" t="s">
        <v>5351</v>
      </c>
      <c r="C8278" t="s">
        <v>5111</v>
      </c>
      <c r="D8278" t="s">
        <v>5352</v>
      </c>
      <c r="E8278" t="s">
        <v>561</v>
      </c>
      <c r="F8278" t="s">
        <v>1068</v>
      </c>
      <c r="G8278" t="s">
        <v>1083</v>
      </c>
      <c r="H8278" s="170">
        <v>-1.14346076150289E-7</v>
      </c>
      <c r="I8278" t="s">
        <v>1084</v>
      </c>
      <c r="J8278">
        <v>8.07</v>
      </c>
    </row>
    <row r="8279" spans="1:10" hidden="1">
      <c r="A8279" t="s">
        <v>5350</v>
      </c>
      <c r="B8279" t="s">
        <v>5351</v>
      </c>
      <c r="C8279" t="s">
        <v>5111</v>
      </c>
      <c r="D8279" t="s">
        <v>5352</v>
      </c>
      <c r="E8279" t="s">
        <v>561</v>
      </c>
      <c r="F8279" t="s">
        <v>1068</v>
      </c>
      <c r="G8279" t="s">
        <v>1085</v>
      </c>
      <c r="H8279" s="171" t="s">
        <v>5355</v>
      </c>
      <c r="I8279" t="s">
        <v>1086</v>
      </c>
      <c r="J8279">
        <v>8.07</v>
      </c>
    </row>
    <row r="8280" spans="1:10" hidden="1">
      <c r="A8280" t="s">
        <v>5350</v>
      </c>
      <c r="B8280" t="s">
        <v>5351</v>
      </c>
      <c r="C8280" t="s">
        <v>5111</v>
      </c>
      <c r="D8280" t="s">
        <v>5352</v>
      </c>
      <c r="E8280" t="s">
        <v>561</v>
      </c>
      <c r="F8280" t="s">
        <v>1068</v>
      </c>
      <c r="G8280" t="s">
        <v>1087</v>
      </c>
      <c r="H8280" s="171" t="s">
        <v>5356</v>
      </c>
      <c r="I8280" t="s">
        <v>1088</v>
      </c>
      <c r="J8280">
        <v>8.07</v>
      </c>
    </row>
    <row r="8281" spans="1:10" hidden="1">
      <c r="A8281" t="s">
        <v>5350</v>
      </c>
      <c r="B8281" t="s">
        <v>5351</v>
      </c>
      <c r="C8281" t="s">
        <v>5111</v>
      </c>
      <c r="D8281" t="s">
        <v>5352</v>
      </c>
      <c r="E8281" t="s">
        <v>561</v>
      </c>
      <c r="F8281" t="s">
        <v>1068</v>
      </c>
      <c r="G8281" t="s">
        <v>1089</v>
      </c>
      <c r="H8281" s="171" t="s">
        <v>5357</v>
      </c>
      <c r="I8281" t="s">
        <v>1090</v>
      </c>
      <c r="J8281">
        <v>8.07</v>
      </c>
    </row>
    <row r="8282" spans="1:10" hidden="1">
      <c r="A8282" t="s">
        <v>5358</v>
      </c>
      <c r="B8282" t="s">
        <v>5359</v>
      </c>
      <c r="C8282" t="s">
        <v>5111</v>
      </c>
      <c r="D8282" t="s">
        <v>5352</v>
      </c>
      <c r="E8282" t="s">
        <v>555</v>
      </c>
      <c r="F8282" t="s">
        <v>1068</v>
      </c>
      <c r="G8282" t="s">
        <v>1069</v>
      </c>
      <c r="H8282">
        <v>5.9986476624391598E-2</v>
      </c>
      <c r="I8282" t="s">
        <v>1070</v>
      </c>
      <c r="J8282">
        <v>8.6999999999999993</v>
      </c>
    </row>
    <row r="8283" spans="1:10" hidden="1">
      <c r="A8283" t="s">
        <v>5358</v>
      </c>
      <c r="B8283" t="s">
        <v>5359</v>
      </c>
      <c r="C8283" t="s">
        <v>5111</v>
      </c>
      <c r="D8283" t="s">
        <v>5352</v>
      </c>
      <c r="E8283" t="s">
        <v>555</v>
      </c>
      <c r="F8283" t="s">
        <v>1068</v>
      </c>
      <c r="G8283" t="s">
        <v>1071</v>
      </c>
      <c r="H8283" s="171" t="s">
        <v>5360</v>
      </c>
      <c r="I8283" t="s">
        <v>1072</v>
      </c>
      <c r="J8283">
        <v>8.6999999999999993</v>
      </c>
    </row>
    <row r="8284" spans="1:10" hidden="1">
      <c r="A8284" t="s">
        <v>5358</v>
      </c>
      <c r="B8284" t="s">
        <v>5359</v>
      </c>
      <c r="C8284" t="s">
        <v>5111</v>
      </c>
      <c r="D8284" t="s">
        <v>5352</v>
      </c>
      <c r="E8284" t="s">
        <v>555</v>
      </c>
      <c r="F8284" t="s">
        <v>1068</v>
      </c>
      <c r="G8284" t="s">
        <v>1073</v>
      </c>
      <c r="H8284" s="171" t="s">
        <v>5361</v>
      </c>
      <c r="I8284" t="s">
        <v>1074</v>
      </c>
      <c r="J8284">
        <v>8.6999999999999993</v>
      </c>
    </row>
    <row r="8285" spans="1:10" hidden="1">
      <c r="A8285" t="s">
        <v>5358</v>
      </c>
      <c r="B8285" t="s">
        <v>5359</v>
      </c>
      <c r="C8285" t="s">
        <v>5111</v>
      </c>
      <c r="D8285" t="s">
        <v>5352</v>
      </c>
      <c r="E8285" t="s">
        <v>555</v>
      </c>
      <c r="F8285" t="s">
        <v>1068</v>
      </c>
      <c r="G8285" t="s">
        <v>1075</v>
      </c>
      <c r="H8285">
        <v>2.79896047759348E-3</v>
      </c>
      <c r="I8285" t="s">
        <v>1077</v>
      </c>
      <c r="J8285">
        <v>8.6999999999999993</v>
      </c>
    </row>
    <row r="8286" spans="1:10" hidden="1">
      <c r="A8286" t="s">
        <v>5358</v>
      </c>
      <c r="B8286" t="s">
        <v>5359</v>
      </c>
      <c r="C8286" t="s">
        <v>5111</v>
      </c>
      <c r="D8286" t="s">
        <v>5352</v>
      </c>
      <c r="E8286" t="s">
        <v>555</v>
      </c>
      <c r="F8286" t="s">
        <v>1068</v>
      </c>
      <c r="G8286" t="s">
        <v>1078</v>
      </c>
      <c r="H8286">
        <v>-5.6611752205430597E-2</v>
      </c>
      <c r="I8286" t="s">
        <v>1079</v>
      </c>
      <c r="J8286">
        <v>8.6999999999999993</v>
      </c>
    </row>
    <row r="8287" spans="1:10" hidden="1">
      <c r="A8287" t="s">
        <v>5358</v>
      </c>
      <c r="B8287" t="s">
        <v>5359</v>
      </c>
      <c r="C8287" t="s">
        <v>5111</v>
      </c>
      <c r="D8287" t="s">
        <v>5352</v>
      </c>
      <c r="E8287" t="s">
        <v>555</v>
      </c>
      <c r="F8287" t="s">
        <v>1068</v>
      </c>
      <c r="G8287" t="s">
        <v>1080</v>
      </c>
      <c r="H8287" s="171" t="s">
        <v>5210</v>
      </c>
      <c r="I8287" t="s">
        <v>1082</v>
      </c>
      <c r="J8287">
        <v>8.6999999999999993</v>
      </c>
    </row>
    <row r="8288" spans="1:10" hidden="1">
      <c r="A8288" t="s">
        <v>5358</v>
      </c>
      <c r="B8288" t="s">
        <v>5359</v>
      </c>
      <c r="C8288" t="s">
        <v>5111</v>
      </c>
      <c r="D8288" t="s">
        <v>5352</v>
      </c>
      <c r="E8288" t="s">
        <v>555</v>
      </c>
      <c r="F8288" t="s">
        <v>1068</v>
      </c>
      <c r="G8288" t="s">
        <v>1083</v>
      </c>
      <c r="H8288" s="170">
        <v>-1.0194263625072199E-6</v>
      </c>
      <c r="I8288" t="s">
        <v>1084</v>
      </c>
      <c r="J8288">
        <v>8.6999999999999993</v>
      </c>
    </row>
    <row r="8289" spans="1:10" hidden="1">
      <c r="A8289" t="s">
        <v>5358</v>
      </c>
      <c r="B8289" t="s">
        <v>5359</v>
      </c>
      <c r="C8289" t="s">
        <v>5111</v>
      </c>
      <c r="D8289" t="s">
        <v>5352</v>
      </c>
      <c r="E8289" t="s">
        <v>555</v>
      </c>
      <c r="F8289" t="s">
        <v>1068</v>
      </c>
      <c r="G8289" t="s">
        <v>1085</v>
      </c>
      <c r="H8289" s="171" t="s">
        <v>5362</v>
      </c>
      <c r="I8289" t="s">
        <v>1086</v>
      </c>
      <c r="J8289">
        <v>8.6999999999999993</v>
      </c>
    </row>
    <row r="8290" spans="1:10" hidden="1">
      <c r="A8290" t="s">
        <v>5358</v>
      </c>
      <c r="B8290" t="s">
        <v>5359</v>
      </c>
      <c r="C8290" t="s">
        <v>5111</v>
      </c>
      <c r="D8290" t="s">
        <v>5352</v>
      </c>
      <c r="E8290" t="s">
        <v>555</v>
      </c>
      <c r="F8290" t="s">
        <v>1068</v>
      </c>
      <c r="G8290" t="s">
        <v>1087</v>
      </c>
      <c r="H8290" s="171" t="s">
        <v>5363</v>
      </c>
      <c r="I8290" t="s">
        <v>1088</v>
      </c>
      <c r="J8290">
        <v>8.6999999999999993</v>
      </c>
    </row>
    <row r="8291" spans="1:10" hidden="1">
      <c r="A8291" t="s">
        <v>5358</v>
      </c>
      <c r="B8291" t="s">
        <v>5359</v>
      </c>
      <c r="C8291" t="s">
        <v>5111</v>
      </c>
      <c r="D8291" t="s">
        <v>5352</v>
      </c>
      <c r="E8291" t="s">
        <v>555</v>
      </c>
      <c r="F8291" t="s">
        <v>1068</v>
      </c>
      <c r="G8291" t="s">
        <v>1089</v>
      </c>
      <c r="H8291" s="171" t="s">
        <v>5364</v>
      </c>
      <c r="I8291" t="s">
        <v>1090</v>
      </c>
      <c r="J8291">
        <v>8.6999999999999993</v>
      </c>
    </row>
    <row r="8292" spans="1:10" hidden="1">
      <c r="A8292" t="s">
        <v>5365</v>
      </c>
      <c r="B8292" t="s">
        <v>5366</v>
      </c>
      <c r="C8292" t="s">
        <v>5111</v>
      </c>
      <c r="D8292" t="s">
        <v>5352</v>
      </c>
      <c r="E8292" t="s">
        <v>558</v>
      </c>
      <c r="F8292" t="s">
        <v>1068</v>
      </c>
      <c r="G8292" t="s">
        <v>1069</v>
      </c>
      <c r="H8292">
        <v>6.6438281550819503E-2</v>
      </c>
      <c r="I8292" t="s">
        <v>1070</v>
      </c>
      <c r="J8292">
        <v>8.34</v>
      </c>
    </row>
    <row r="8293" spans="1:10" hidden="1">
      <c r="A8293" t="s">
        <v>5365</v>
      </c>
      <c r="B8293" t="s">
        <v>5366</v>
      </c>
      <c r="C8293" t="s">
        <v>5111</v>
      </c>
      <c r="D8293" t="s">
        <v>5352</v>
      </c>
      <c r="E8293" t="s">
        <v>558</v>
      </c>
      <c r="F8293" t="s">
        <v>1068</v>
      </c>
      <c r="G8293" t="s">
        <v>1071</v>
      </c>
      <c r="H8293" s="171" t="s">
        <v>5367</v>
      </c>
      <c r="I8293" t="s">
        <v>1072</v>
      </c>
      <c r="J8293">
        <v>8.34</v>
      </c>
    </row>
    <row r="8294" spans="1:10" hidden="1">
      <c r="A8294" t="s">
        <v>5365</v>
      </c>
      <c r="B8294" t="s">
        <v>5366</v>
      </c>
      <c r="C8294" t="s">
        <v>5111</v>
      </c>
      <c r="D8294" t="s">
        <v>5352</v>
      </c>
      <c r="E8294" t="s">
        <v>558</v>
      </c>
      <c r="F8294" t="s">
        <v>1068</v>
      </c>
      <c r="G8294" t="s">
        <v>1073</v>
      </c>
      <c r="H8294" s="171" t="s">
        <v>5368</v>
      </c>
      <c r="I8294" t="s">
        <v>1074</v>
      </c>
      <c r="J8294">
        <v>8.34</v>
      </c>
    </row>
    <row r="8295" spans="1:10" hidden="1">
      <c r="A8295" t="s">
        <v>5365</v>
      </c>
      <c r="B8295" t="s">
        <v>5366</v>
      </c>
      <c r="C8295" t="s">
        <v>5111</v>
      </c>
      <c r="D8295" t="s">
        <v>5352</v>
      </c>
      <c r="E8295" t="s">
        <v>558</v>
      </c>
      <c r="F8295" t="s">
        <v>1068</v>
      </c>
      <c r="G8295" t="s">
        <v>1075</v>
      </c>
      <c r="H8295">
        <v>2.9845534417464901E-3</v>
      </c>
      <c r="I8295" t="s">
        <v>1077</v>
      </c>
      <c r="J8295">
        <v>8.34</v>
      </c>
    </row>
    <row r="8296" spans="1:10" hidden="1">
      <c r="A8296" t="s">
        <v>5365</v>
      </c>
      <c r="B8296" t="s">
        <v>5366</v>
      </c>
      <c r="C8296" t="s">
        <v>5111</v>
      </c>
      <c r="D8296" t="s">
        <v>5352</v>
      </c>
      <c r="E8296" t="s">
        <v>558</v>
      </c>
      <c r="F8296" t="s">
        <v>1068</v>
      </c>
      <c r="G8296" t="s">
        <v>1078</v>
      </c>
      <c r="H8296">
        <v>-5.5605851397862401E-2</v>
      </c>
      <c r="I8296" t="s">
        <v>1079</v>
      </c>
      <c r="J8296">
        <v>8.34</v>
      </c>
    </row>
    <row r="8297" spans="1:10" hidden="1">
      <c r="A8297" t="s">
        <v>5365</v>
      </c>
      <c r="B8297" t="s">
        <v>5366</v>
      </c>
      <c r="C8297" t="s">
        <v>5111</v>
      </c>
      <c r="D8297" t="s">
        <v>5352</v>
      </c>
      <c r="E8297" t="s">
        <v>558</v>
      </c>
      <c r="F8297" t="s">
        <v>1068</v>
      </c>
      <c r="G8297" t="s">
        <v>1080</v>
      </c>
      <c r="H8297" s="171" t="s">
        <v>5369</v>
      </c>
      <c r="I8297" t="s">
        <v>1082</v>
      </c>
      <c r="J8297">
        <v>8.34</v>
      </c>
    </row>
    <row r="8298" spans="1:10" hidden="1">
      <c r="A8298" t="s">
        <v>5365</v>
      </c>
      <c r="B8298" t="s">
        <v>5366</v>
      </c>
      <c r="C8298" t="s">
        <v>5111</v>
      </c>
      <c r="D8298" t="s">
        <v>5352</v>
      </c>
      <c r="E8298" t="s">
        <v>558</v>
      </c>
      <c r="F8298" t="s">
        <v>1068</v>
      </c>
      <c r="G8298" t="s">
        <v>1083</v>
      </c>
      <c r="H8298" s="170">
        <v>-3.6350441370152501E-8</v>
      </c>
      <c r="I8298" t="s">
        <v>1084</v>
      </c>
      <c r="J8298">
        <v>8.34</v>
      </c>
    </row>
    <row r="8299" spans="1:10" hidden="1">
      <c r="A8299" t="s">
        <v>5365</v>
      </c>
      <c r="B8299" t="s">
        <v>5366</v>
      </c>
      <c r="C8299" t="s">
        <v>5111</v>
      </c>
      <c r="D8299" t="s">
        <v>5352</v>
      </c>
      <c r="E8299" t="s">
        <v>558</v>
      </c>
      <c r="F8299" t="s">
        <v>1068</v>
      </c>
      <c r="G8299" t="s">
        <v>1085</v>
      </c>
      <c r="H8299" s="171" t="s">
        <v>5370</v>
      </c>
      <c r="I8299" t="s">
        <v>1086</v>
      </c>
      <c r="J8299">
        <v>8.34</v>
      </c>
    </row>
    <row r="8300" spans="1:10" hidden="1">
      <c r="A8300" t="s">
        <v>5365</v>
      </c>
      <c r="B8300" t="s">
        <v>5366</v>
      </c>
      <c r="C8300" t="s">
        <v>5111</v>
      </c>
      <c r="D8300" t="s">
        <v>5352</v>
      </c>
      <c r="E8300" t="s">
        <v>558</v>
      </c>
      <c r="F8300" t="s">
        <v>1068</v>
      </c>
      <c r="G8300" t="s">
        <v>1087</v>
      </c>
      <c r="H8300" s="171" t="s">
        <v>5371</v>
      </c>
      <c r="I8300" t="s">
        <v>1088</v>
      </c>
      <c r="J8300">
        <v>8.34</v>
      </c>
    </row>
    <row r="8301" spans="1:10" hidden="1">
      <c r="A8301" t="s">
        <v>5365</v>
      </c>
      <c r="B8301" t="s">
        <v>5366</v>
      </c>
      <c r="C8301" t="s">
        <v>5111</v>
      </c>
      <c r="D8301" t="s">
        <v>5352</v>
      </c>
      <c r="E8301" t="s">
        <v>558</v>
      </c>
      <c r="F8301" t="s">
        <v>1068</v>
      </c>
      <c r="G8301" t="s">
        <v>1089</v>
      </c>
      <c r="H8301" s="171" t="s">
        <v>5372</v>
      </c>
      <c r="I8301" t="s">
        <v>1090</v>
      </c>
      <c r="J8301">
        <v>8.34</v>
      </c>
    </row>
    <row r="8302" spans="1:10" hidden="1">
      <c r="A8302" t="s">
        <v>5373</v>
      </c>
      <c r="B8302" t="s">
        <v>5374</v>
      </c>
      <c r="C8302" t="s">
        <v>5111</v>
      </c>
      <c r="D8302" t="s">
        <v>5352</v>
      </c>
      <c r="E8302" t="s">
        <v>553</v>
      </c>
      <c r="F8302" t="s">
        <v>1068</v>
      </c>
      <c r="G8302" t="s">
        <v>1069</v>
      </c>
      <c r="H8302">
        <v>6.6817169933821002E-2</v>
      </c>
      <c r="I8302" t="s">
        <v>1070</v>
      </c>
      <c r="J8302">
        <v>7.1</v>
      </c>
    </row>
    <row r="8303" spans="1:10" hidden="1">
      <c r="A8303" t="s">
        <v>5373</v>
      </c>
      <c r="B8303" t="s">
        <v>5374</v>
      </c>
      <c r="C8303" t="s">
        <v>5111</v>
      </c>
      <c r="D8303" t="s">
        <v>5352</v>
      </c>
      <c r="E8303" t="s">
        <v>553</v>
      </c>
      <c r="F8303" t="s">
        <v>1068</v>
      </c>
      <c r="G8303" t="s">
        <v>1071</v>
      </c>
      <c r="H8303" s="171" t="s">
        <v>5375</v>
      </c>
      <c r="I8303" t="s">
        <v>1072</v>
      </c>
      <c r="J8303">
        <v>7.1</v>
      </c>
    </row>
    <row r="8304" spans="1:10" hidden="1">
      <c r="A8304" t="s">
        <v>5373</v>
      </c>
      <c r="B8304" t="s">
        <v>5374</v>
      </c>
      <c r="C8304" t="s">
        <v>5111</v>
      </c>
      <c r="D8304" t="s">
        <v>5352</v>
      </c>
      <c r="E8304" t="s">
        <v>553</v>
      </c>
      <c r="F8304" t="s">
        <v>1068</v>
      </c>
      <c r="G8304" t="s">
        <v>1073</v>
      </c>
      <c r="H8304" s="171" t="s">
        <v>5376</v>
      </c>
      <c r="I8304" t="s">
        <v>1074</v>
      </c>
      <c r="J8304">
        <v>7.1</v>
      </c>
    </row>
    <row r="8305" spans="1:10" hidden="1">
      <c r="A8305" t="s">
        <v>5373</v>
      </c>
      <c r="B8305" t="s">
        <v>5374</v>
      </c>
      <c r="C8305" t="s">
        <v>5111</v>
      </c>
      <c r="D8305" t="s">
        <v>5352</v>
      </c>
      <c r="E8305" t="s">
        <v>553</v>
      </c>
      <c r="F8305" t="s">
        <v>1068</v>
      </c>
      <c r="G8305" t="s">
        <v>1075</v>
      </c>
      <c r="H8305">
        <v>3.0148859901257198E-3</v>
      </c>
      <c r="I8305" t="s">
        <v>1077</v>
      </c>
      <c r="J8305">
        <v>7.1</v>
      </c>
    </row>
    <row r="8306" spans="1:10" hidden="1">
      <c r="A8306" t="s">
        <v>5373</v>
      </c>
      <c r="B8306" t="s">
        <v>5374</v>
      </c>
      <c r="C8306" t="s">
        <v>5111</v>
      </c>
      <c r="D8306" t="s">
        <v>5352</v>
      </c>
      <c r="E8306" t="s">
        <v>553</v>
      </c>
      <c r="F8306" t="s">
        <v>1068</v>
      </c>
      <c r="G8306" t="s">
        <v>1078</v>
      </c>
      <c r="H8306">
        <v>-4.7274300133746297E-2</v>
      </c>
      <c r="I8306" t="s">
        <v>1079</v>
      </c>
      <c r="J8306">
        <v>7.1</v>
      </c>
    </row>
    <row r="8307" spans="1:10" hidden="1">
      <c r="A8307" t="s">
        <v>5373</v>
      </c>
      <c r="B8307" t="s">
        <v>5374</v>
      </c>
      <c r="C8307" t="s">
        <v>5111</v>
      </c>
      <c r="D8307" t="s">
        <v>5352</v>
      </c>
      <c r="E8307" t="s">
        <v>553</v>
      </c>
      <c r="F8307" t="s">
        <v>1068</v>
      </c>
      <c r="G8307" t="s">
        <v>1080</v>
      </c>
      <c r="H8307" s="171" t="s">
        <v>5377</v>
      </c>
      <c r="I8307" t="s">
        <v>1082</v>
      </c>
      <c r="J8307">
        <v>7.1</v>
      </c>
    </row>
    <row r="8308" spans="1:10" hidden="1">
      <c r="A8308" t="s">
        <v>5373</v>
      </c>
      <c r="B8308" t="s">
        <v>5374</v>
      </c>
      <c r="C8308" t="s">
        <v>5111</v>
      </c>
      <c r="D8308" t="s">
        <v>5352</v>
      </c>
      <c r="E8308" t="s">
        <v>553</v>
      </c>
      <c r="F8308" t="s">
        <v>1068</v>
      </c>
      <c r="G8308" t="s">
        <v>1083</v>
      </c>
      <c r="H8308" s="171" t="s">
        <v>5378</v>
      </c>
      <c r="I8308" t="s">
        <v>1084</v>
      </c>
      <c r="J8308">
        <v>7.1</v>
      </c>
    </row>
    <row r="8309" spans="1:10" hidden="1">
      <c r="A8309" t="s">
        <v>5373</v>
      </c>
      <c r="B8309" t="s">
        <v>5374</v>
      </c>
      <c r="C8309" t="s">
        <v>5111</v>
      </c>
      <c r="D8309" t="s">
        <v>5352</v>
      </c>
      <c r="E8309" t="s">
        <v>553</v>
      </c>
      <c r="F8309" t="s">
        <v>1068</v>
      </c>
      <c r="G8309" t="s">
        <v>1085</v>
      </c>
      <c r="H8309" s="171" t="s">
        <v>5228</v>
      </c>
      <c r="I8309" t="s">
        <v>1086</v>
      </c>
      <c r="J8309">
        <v>7.1</v>
      </c>
    </row>
    <row r="8310" spans="1:10" hidden="1">
      <c r="A8310" t="s">
        <v>5373</v>
      </c>
      <c r="B8310" t="s">
        <v>5374</v>
      </c>
      <c r="C8310" t="s">
        <v>5111</v>
      </c>
      <c r="D8310" t="s">
        <v>5352</v>
      </c>
      <c r="E8310" t="s">
        <v>553</v>
      </c>
      <c r="F8310" t="s">
        <v>1068</v>
      </c>
      <c r="G8310" t="s">
        <v>1087</v>
      </c>
      <c r="H8310" s="171" t="s">
        <v>5379</v>
      </c>
      <c r="I8310" t="s">
        <v>1088</v>
      </c>
      <c r="J8310">
        <v>7.1</v>
      </c>
    </row>
    <row r="8311" spans="1:10" hidden="1">
      <c r="A8311" t="s">
        <v>5373</v>
      </c>
      <c r="B8311" t="s">
        <v>5374</v>
      </c>
      <c r="C8311" t="s">
        <v>5111</v>
      </c>
      <c r="D8311" t="s">
        <v>5352</v>
      </c>
      <c r="E8311" t="s">
        <v>553</v>
      </c>
      <c r="F8311" t="s">
        <v>1068</v>
      </c>
      <c r="G8311" t="s">
        <v>1089</v>
      </c>
      <c r="H8311" s="171" t="s">
        <v>5380</v>
      </c>
      <c r="I8311" t="s">
        <v>1090</v>
      </c>
      <c r="J8311">
        <v>7.1</v>
      </c>
    </row>
    <row r="8312" spans="1:10" hidden="1">
      <c r="A8312" t="s">
        <v>5381</v>
      </c>
      <c r="B8312" t="s">
        <v>5382</v>
      </c>
      <c r="C8312" t="s">
        <v>5111</v>
      </c>
      <c r="D8312" t="s">
        <v>5352</v>
      </c>
      <c r="E8312" t="s">
        <v>556</v>
      </c>
      <c r="F8312" t="s">
        <v>1068</v>
      </c>
      <c r="G8312" t="s">
        <v>1069</v>
      </c>
      <c r="H8312">
        <v>6.5780506262976796E-2</v>
      </c>
      <c r="I8312" t="s">
        <v>1070</v>
      </c>
      <c r="J8312">
        <v>13.79</v>
      </c>
    </row>
    <row r="8313" spans="1:10" hidden="1">
      <c r="A8313" t="s">
        <v>5381</v>
      </c>
      <c r="B8313" t="s">
        <v>5382</v>
      </c>
      <c r="C8313" t="s">
        <v>5111</v>
      </c>
      <c r="D8313" t="s">
        <v>5352</v>
      </c>
      <c r="E8313" t="s">
        <v>556</v>
      </c>
      <c r="F8313" t="s">
        <v>1068</v>
      </c>
      <c r="G8313" t="s">
        <v>1071</v>
      </c>
      <c r="H8313" s="171" t="s">
        <v>5383</v>
      </c>
      <c r="I8313" t="s">
        <v>1072</v>
      </c>
      <c r="J8313">
        <v>13.79</v>
      </c>
    </row>
    <row r="8314" spans="1:10" hidden="1">
      <c r="A8314" t="s">
        <v>5381</v>
      </c>
      <c r="B8314" t="s">
        <v>5382</v>
      </c>
      <c r="C8314" t="s">
        <v>5111</v>
      </c>
      <c r="D8314" t="s">
        <v>5352</v>
      </c>
      <c r="E8314" t="s">
        <v>556</v>
      </c>
      <c r="F8314" t="s">
        <v>1068</v>
      </c>
      <c r="G8314" t="s">
        <v>1073</v>
      </c>
      <c r="H8314" s="171" t="s">
        <v>5384</v>
      </c>
      <c r="I8314" t="s">
        <v>1074</v>
      </c>
      <c r="J8314">
        <v>13.79</v>
      </c>
    </row>
    <row r="8315" spans="1:10" hidden="1">
      <c r="A8315" t="s">
        <v>5381</v>
      </c>
      <c r="B8315" t="s">
        <v>5382</v>
      </c>
      <c r="C8315" t="s">
        <v>5111</v>
      </c>
      <c r="D8315" t="s">
        <v>5352</v>
      </c>
      <c r="E8315" t="s">
        <v>556</v>
      </c>
      <c r="F8315" t="s">
        <v>1068</v>
      </c>
      <c r="G8315" t="s">
        <v>1075</v>
      </c>
      <c r="H8315">
        <v>3.0506480871004302E-3</v>
      </c>
      <c r="I8315" t="s">
        <v>1077</v>
      </c>
      <c r="J8315">
        <v>13.79</v>
      </c>
    </row>
    <row r="8316" spans="1:10" hidden="1">
      <c r="A8316" t="s">
        <v>5381</v>
      </c>
      <c r="B8316" t="s">
        <v>5382</v>
      </c>
      <c r="C8316" t="s">
        <v>5111</v>
      </c>
      <c r="D8316" t="s">
        <v>5352</v>
      </c>
      <c r="E8316" t="s">
        <v>556</v>
      </c>
      <c r="F8316" t="s">
        <v>1068</v>
      </c>
      <c r="G8316" t="s">
        <v>1078</v>
      </c>
      <c r="H8316">
        <v>-2.0101374675224899E-2</v>
      </c>
      <c r="I8316" t="s">
        <v>1079</v>
      </c>
      <c r="J8316">
        <v>13.79</v>
      </c>
    </row>
    <row r="8317" spans="1:10" hidden="1">
      <c r="A8317" t="s">
        <v>5381</v>
      </c>
      <c r="B8317" t="s">
        <v>5382</v>
      </c>
      <c r="C8317" t="s">
        <v>5111</v>
      </c>
      <c r="D8317" t="s">
        <v>5352</v>
      </c>
      <c r="E8317" t="s">
        <v>556</v>
      </c>
      <c r="F8317" t="s">
        <v>1068</v>
      </c>
      <c r="G8317" t="s">
        <v>1080</v>
      </c>
      <c r="H8317" s="171" t="s">
        <v>5235</v>
      </c>
      <c r="I8317" t="s">
        <v>1082</v>
      </c>
      <c r="J8317">
        <v>13.79</v>
      </c>
    </row>
    <row r="8318" spans="1:10" hidden="1">
      <c r="A8318" t="s">
        <v>5381</v>
      </c>
      <c r="B8318" t="s">
        <v>5382</v>
      </c>
      <c r="C8318" t="s">
        <v>5111</v>
      </c>
      <c r="D8318" t="s">
        <v>5352</v>
      </c>
      <c r="E8318" t="s">
        <v>556</v>
      </c>
      <c r="F8318" t="s">
        <v>1068</v>
      </c>
      <c r="G8318" t="s">
        <v>1083</v>
      </c>
      <c r="H8318" s="170">
        <v>-1.3870976125471499E-7</v>
      </c>
      <c r="I8318" t="s">
        <v>1084</v>
      </c>
      <c r="J8318">
        <v>13.79</v>
      </c>
    </row>
    <row r="8319" spans="1:10" hidden="1">
      <c r="A8319" t="s">
        <v>5381</v>
      </c>
      <c r="B8319" t="s">
        <v>5382</v>
      </c>
      <c r="C8319" t="s">
        <v>5111</v>
      </c>
      <c r="D8319" t="s">
        <v>5352</v>
      </c>
      <c r="E8319" t="s">
        <v>556</v>
      </c>
      <c r="F8319" t="s">
        <v>1068</v>
      </c>
      <c r="G8319" t="s">
        <v>1085</v>
      </c>
      <c r="H8319" s="171" t="s">
        <v>5385</v>
      </c>
      <c r="I8319" t="s">
        <v>1086</v>
      </c>
      <c r="J8319">
        <v>13.79</v>
      </c>
    </row>
    <row r="8320" spans="1:10" hidden="1">
      <c r="A8320" t="s">
        <v>5381</v>
      </c>
      <c r="B8320" t="s">
        <v>5382</v>
      </c>
      <c r="C8320" t="s">
        <v>5111</v>
      </c>
      <c r="D8320" t="s">
        <v>5352</v>
      </c>
      <c r="E8320" t="s">
        <v>556</v>
      </c>
      <c r="F8320" t="s">
        <v>1068</v>
      </c>
      <c r="G8320" t="s">
        <v>1087</v>
      </c>
      <c r="H8320" s="171" t="s">
        <v>5386</v>
      </c>
      <c r="I8320" t="s">
        <v>1088</v>
      </c>
      <c r="J8320">
        <v>13.79</v>
      </c>
    </row>
    <row r="8321" spans="1:10" hidden="1">
      <c r="A8321" t="s">
        <v>5381</v>
      </c>
      <c r="B8321" t="s">
        <v>5382</v>
      </c>
      <c r="C8321" t="s">
        <v>5111</v>
      </c>
      <c r="D8321" t="s">
        <v>5352</v>
      </c>
      <c r="E8321" t="s">
        <v>556</v>
      </c>
      <c r="F8321" t="s">
        <v>1068</v>
      </c>
      <c r="G8321" t="s">
        <v>1089</v>
      </c>
      <c r="H8321" s="171" t="s">
        <v>5387</v>
      </c>
      <c r="I8321" t="s">
        <v>1090</v>
      </c>
      <c r="J8321">
        <v>13.79</v>
      </c>
    </row>
    <row r="8322" spans="1:10" hidden="1">
      <c r="A8322" t="s">
        <v>5388</v>
      </c>
      <c r="B8322" t="s">
        <v>5389</v>
      </c>
      <c r="C8322" t="s">
        <v>5111</v>
      </c>
      <c r="D8322" t="s">
        <v>5352</v>
      </c>
      <c r="E8322" t="s">
        <v>557</v>
      </c>
      <c r="F8322" t="s">
        <v>1068</v>
      </c>
      <c r="G8322" t="s">
        <v>1069</v>
      </c>
      <c r="H8322">
        <v>6.4318843981490501E-2</v>
      </c>
      <c r="I8322" t="s">
        <v>1070</v>
      </c>
      <c r="J8322">
        <v>17.260000000000002</v>
      </c>
    </row>
    <row r="8323" spans="1:10" hidden="1">
      <c r="A8323" t="s">
        <v>5388</v>
      </c>
      <c r="B8323" t="s">
        <v>5389</v>
      </c>
      <c r="C8323" t="s">
        <v>5111</v>
      </c>
      <c r="D8323" t="s">
        <v>5352</v>
      </c>
      <c r="E8323" t="s">
        <v>557</v>
      </c>
      <c r="F8323" t="s">
        <v>1068</v>
      </c>
      <c r="G8323" t="s">
        <v>1071</v>
      </c>
      <c r="H8323" s="171" t="s">
        <v>5390</v>
      </c>
      <c r="I8323" t="s">
        <v>1072</v>
      </c>
      <c r="J8323">
        <v>17.260000000000002</v>
      </c>
    </row>
    <row r="8324" spans="1:10" hidden="1">
      <c r="A8324" t="s">
        <v>5388</v>
      </c>
      <c r="B8324" t="s">
        <v>5389</v>
      </c>
      <c r="C8324" t="s">
        <v>5111</v>
      </c>
      <c r="D8324" t="s">
        <v>5352</v>
      </c>
      <c r="E8324" t="s">
        <v>557</v>
      </c>
      <c r="F8324" t="s">
        <v>1068</v>
      </c>
      <c r="G8324" t="s">
        <v>1073</v>
      </c>
      <c r="H8324" s="171" t="s">
        <v>5391</v>
      </c>
      <c r="I8324" t="s">
        <v>1074</v>
      </c>
      <c r="J8324">
        <v>17.260000000000002</v>
      </c>
    </row>
    <row r="8325" spans="1:10" hidden="1">
      <c r="A8325" t="s">
        <v>5388</v>
      </c>
      <c r="B8325" t="s">
        <v>5389</v>
      </c>
      <c r="C8325" t="s">
        <v>5111</v>
      </c>
      <c r="D8325" t="s">
        <v>5352</v>
      </c>
      <c r="E8325" t="s">
        <v>557</v>
      </c>
      <c r="F8325" t="s">
        <v>1068</v>
      </c>
      <c r="G8325" t="s">
        <v>1075</v>
      </c>
      <c r="H8325">
        <v>2.9175557560498899E-3</v>
      </c>
      <c r="I8325" t="s">
        <v>1077</v>
      </c>
      <c r="J8325">
        <v>17.260000000000002</v>
      </c>
    </row>
    <row r="8326" spans="1:10" hidden="1">
      <c r="A8326" t="s">
        <v>5388</v>
      </c>
      <c r="B8326" t="s">
        <v>5389</v>
      </c>
      <c r="C8326" t="s">
        <v>5111</v>
      </c>
      <c r="D8326" t="s">
        <v>5352</v>
      </c>
      <c r="E8326" t="s">
        <v>557</v>
      </c>
      <c r="F8326" t="s">
        <v>1068</v>
      </c>
      <c r="G8326" t="s">
        <v>1078</v>
      </c>
      <c r="H8326">
        <v>-5.8503089763879398E-2</v>
      </c>
      <c r="I8326" t="s">
        <v>1079</v>
      </c>
      <c r="J8326">
        <v>17.260000000000002</v>
      </c>
    </row>
    <row r="8327" spans="1:10" hidden="1">
      <c r="A8327" t="s">
        <v>5388</v>
      </c>
      <c r="B8327" t="s">
        <v>5389</v>
      </c>
      <c r="C8327" t="s">
        <v>5111</v>
      </c>
      <c r="D8327" t="s">
        <v>5352</v>
      </c>
      <c r="E8327" t="s">
        <v>557</v>
      </c>
      <c r="F8327" t="s">
        <v>1068</v>
      </c>
      <c r="G8327" t="s">
        <v>1080</v>
      </c>
      <c r="H8327" s="171" t="s">
        <v>5392</v>
      </c>
      <c r="I8327" t="s">
        <v>1082</v>
      </c>
      <c r="J8327">
        <v>17.260000000000002</v>
      </c>
    </row>
    <row r="8328" spans="1:10" hidden="1">
      <c r="A8328" t="s">
        <v>5388</v>
      </c>
      <c r="B8328" t="s">
        <v>5389</v>
      </c>
      <c r="C8328" t="s">
        <v>5111</v>
      </c>
      <c r="D8328" t="s">
        <v>5352</v>
      </c>
      <c r="E8328" t="s">
        <v>557</v>
      </c>
      <c r="F8328" t="s">
        <v>1068</v>
      </c>
      <c r="G8328" t="s">
        <v>1083</v>
      </c>
      <c r="H8328" s="170">
        <v>-3.5850632415857998E-7</v>
      </c>
      <c r="I8328" t="s">
        <v>1084</v>
      </c>
      <c r="J8328">
        <v>17.260000000000002</v>
      </c>
    </row>
    <row r="8329" spans="1:10" hidden="1">
      <c r="A8329" t="s">
        <v>5388</v>
      </c>
      <c r="B8329" t="s">
        <v>5389</v>
      </c>
      <c r="C8329" t="s">
        <v>5111</v>
      </c>
      <c r="D8329" t="s">
        <v>5352</v>
      </c>
      <c r="E8329" t="s">
        <v>557</v>
      </c>
      <c r="F8329" t="s">
        <v>1068</v>
      </c>
      <c r="G8329" t="s">
        <v>1085</v>
      </c>
      <c r="H8329" s="171" t="s">
        <v>5393</v>
      </c>
      <c r="I8329" t="s">
        <v>1086</v>
      </c>
      <c r="J8329">
        <v>17.260000000000002</v>
      </c>
    </row>
    <row r="8330" spans="1:10" hidden="1">
      <c r="A8330" t="s">
        <v>5388</v>
      </c>
      <c r="B8330" t="s">
        <v>5389</v>
      </c>
      <c r="C8330" t="s">
        <v>5111</v>
      </c>
      <c r="D8330" t="s">
        <v>5352</v>
      </c>
      <c r="E8330" t="s">
        <v>557</v>
      </c>
      <c r="F8330" t="s">
        <v>1068</v>
      </c>
      <c r="G8330" t="s">
        <v>1087</v>
      </c>
      <c r="H8330" s="171" t="s">
        <v>5245</v>
      </c>
      <c r="I8330" t="s">
        <v>1088</v>
      </c>
      <c r="J8330">
        <v>17.260000000000002</v>
      </c>
    </row>
    <row r="8331" spans="1:10" hidden="1">
      <c r="A8331" t="s">
        <v>5388</v>
      </c>
      <c r="B8331" t="s">
        <v>5389</v>
      </c>
      <c r="C8331" t="s">
        <v>5111</v>
      </c>
      <c r="D8331" t="s">
        <v>5352</v>
      </c>
      <c r="E8331" t="s">
        <v>557</v>
      </c>
      <c r="F8331" t="s">
        <v>1068</v>
      </c>
      <c r="G8331" t="s">
        <v>1089</v>
      </c>
      <c r="H8331" s="171" t="s">
        <v>5394</v>
      </c>
      <c r="I8331" t="s">
        <v>1090</v>
      </c>
      <c r="J8331">
        <v>17.260000000000002</v>
      </c>
    </row>
    <row r="8332" spans="1:10" hidden="1">
      <c r="A8332" t="s">
        <v>5395</v>
      </c>
      <c r="B8332" t="s">
        <v>5396</v>
      </c>
      <c r="C8332" t="s">
        <v>5111</v>
      </c>
      <c r="D8332" t="s">
        <v>5352</v>
      </c>
      <c r="E8332" t="s">
        <v>559</v>
      </c>
      <c r="F8332" t="s">
        <v>1068</v>
      </c>
      <c r="G8332" t="s">
        <v>1069</v>
      </c>
      <c r="H8332">
        <v>6.2468039362273402E-2</v>
      </c>
      <c r="I8332" t="s">
        <v>1070</v>
      </c>
      <c r="J8332">
        <v>10.78</v>
      </c>
    </row>
    <row r="8333" spans="1:10" hidden="1">
      <c r="A8333" t="s">
        <v>5395</v>
      </c>
      <c r="B8333" t="s">
        <v>5396</v>
      </c>
      <c r="C8333" t="s">
        <v>5111</v>
      </c>
      <c r="D8333" t="s">
        <v>5352</v>
      </c>
      <c r="E8333" t="s">
        <v>559</v>
      </c>
      <c r="F8333" t="s">
        <v>1068</v>
      </c>
      <c r="G8333" t="s">
        <v>1071</v>
      </c>
      <c r="H8333" s="171" t="s">
        <v>5397</v>
      </c>
      <c r="I8333" t="s">
        <v>1072</v>
      </c>
      <c r="J8333">
        <v>10.78</v>
      </c>
    </row>
    <row r="8334" spans="1:10" hidden="1">
      <c r="A8334" t="s">
        <v>5395</v>
      </c>
      <c r="B8334" t="s">
        <v>5396</v>
      </c>
      <c r="C8334" t="s">
        <v>5111</v>
      </c>
      <c r="D8334" t="s">
        <v>5352</v>
      </c>
      <c r="E8334" t="s">
        <v>559</v>
      </c>
      <c r="F8334" t="s">
        <v>1068</v>
      </c>
      <c r="G8334" t="s">
        <v>1073</v>
      </c>
      <c r="H8334" s="171" t="s">
        <v>5398</v>
      </c>
      <c r="I8334" t="s">
        <v>1074</v>
      </c>
      <c r="J8334">
        <v>10.78</v>
      </c>
    </row>
    <row r="8335" spans="1:10" hidden="1">
      <c r="A8335" t="s">
        <v>5395</v>
      </c>
      <c r="B8335" t="s">
        <v>5396</v>
      </c>
      <c r="C8335" t="s">
        <v>5111</v>
      </c>
      <c r="D8335" t="s">
        <v>5352</v>
      </c>
      <c r="E8335" t="s">
        <v>559</v>
      </c>
      <c r="F8335" t="s">
        <v>1068</v>
      </c>
      <c r="G8335" t="s">
        <v>1075</v>
      </c>
      <c r="H8335">
        <v>2.8774053267156801E-3</v>
      </c>
      <c r="I8335" t="s">
        <v>1077</v>
      </c>
      <c r="J8335">
        <v>10.78</v>
      </c>
    </row>
    <row r="8336" spans="1:10" hidden="1">
      <c r="A8336" t="s">
        <v>5395</v>
      </c>
      <c r="B8336" t="s">
        <v>5396</v>
      </c>
      <c r="C8336" t="s">
        <v>5111</v>
      </c>
      <c r="D8336" t="s">
        <v>5352</v>
      </c>
      <c r="E8336" t="s">
        <v>559</v>
      </c>
      <c r="F8336" t="s">
        <v>1068</v>
      </c>
      <c r="G8336" t="s">
        <v>1078</v>
      </c>
      <c r="H8336">
        <v>-5.3219494336691299E-2</v>
      </c>
      <c r="I8336" t="s">
        <v>1079</v>
      </c>
      <c r="J8336">
        <v>10.78</v>
      </c>
    </row>
    <row r="8337" spans="1:10" hidden="1">
      <c r="A8337" t="s">
        <v>5395</v>
      </c>
      <c r="B8337" t="s">
        <v>5396</v>
      </c>
      <c r="C8337" t="s">
        <v>5111</v>
      </c>
      <c r="D8337" t="s">
        <v>5352</v>
      </c>
      <c r="E8337" t="s">
        <v>559</v>
      </c>
      <c r="F8337" t="s">
        <v>1068</v>
      </c>
      <c r="G8337" t="s">
        <v>1080</v>
      </c>
      <c r="H8337" s="171" t="s">
        <v>5399</v>
      </c>
      <c r="I8337" t="s">
        <v>1082</v>
      </c>
      <c r="J8337">
        <v>10.78</v>
      </c>
    </row>
    <row r="8338" spans="1:10" hidden="1">
      <c r="A8338" t="s">
        <v>5395</v>
      </c>
      <c r="B8338" t="s">
        <v>5396</v>
      </c>
      <c r="C8338" t="s">
        <v>5111</v>
      </c>
      <c r="D8338" t="s">
        <v>5352</v>
      </c>
      <c r="E8338" t="s">
        <v>559</v>
      </c>
      <c r="F8338" t="s">
        <v>1068</v>
      </c>
      <c r="G8338" t="s">
        <v>1083</v>
      </c>
      <c r="H8338" s="170">
        <v>-6.4222721963767099E-7</v>
      </c>
      <c r="I8338" t="s">
        <v>1084</v>
      </c>
      <c r="J8338">
        <v>10.78</v>
      </c>
    </row>
    <row r="8339" spans="1:10" hidden="1">
      <c r="A8339" t="s">
        <v>5395</v>
      </c>
      <c r="B8339" t="s">
        <v>5396</v>
      </c>
      <c r="C8339" t="s">
        <v>5111</v>
      </c>
      <c r="D8339" t="s">
        <v>5352</v>
      </c>
      <c r="E8339" t="s">
        <v>559</v>
      </c>
      <c r="F8339" t="s">
        <v>1068</v>
      </c>
      <c r="G8339" t="s">
        <v>1085</v>
      </c>
      <c r="H8339" s="171" t="s">
        <v>5400</v>
      </c>
      <c r="I8339" t="s">
        <v>1086</v>
      </c>
      <c r="J8339">
        <v>10.78</v>
      </c>
    </row>
    <row r="8340" spans="1:10" hidden="1">
      <c r="A8340" t="s">
        <v>5395</v>
      </c>
      <c r="B8340" t="s">
        <v>5396</v>
      </c>
      <c r="C8340" t="s">
        <v>5111</v>
      </c>
      <c r="D8340" t="s">
        <v>5352</v>
      </c>
      <c r="E8340" t="s">
        <v>559</v>
      </c>
      <c r="F8340" t="s">
        <v>1068</v>
      </c>
      <c r="G8340" t="s">
        <v>1087</v>
      </c>
      <c r="H8340" s="171" t="s">
        <v>5401</v>
      </c>
      <c r="I8340" t="s">
        <v>1088</v>
      </c>
      <c r="J8340">
        <v>10.78</v>
      </c>
    </row>
    <row r="8341" spans="1:10" hidden="1">
      <c r="A8341" t="s">
        <v>5395</v>
      </c>
      <c r="B8341" t="s">
        <v>5396</v>
      </c>
      <c r="C8341" t="s">
        <v>5111</v>
      </c>
      <c r="D8341" t="s">
        <v>5352</v>
      </c>
      <c r="E8341" t="s">
        <v>559</v>
      </c>
      <c r="F8341" t="s">
        <v>1068</v>
      </c>
      <c r="G8341" t="s">
        <v>1089</v>
      </c>
      <c r="H8341" s="171" t="s">
        <v>5402</v>
      </c>
      <c r="I8341" t="s">
        <v>1090</v>
      </c>
      <c r="J8341">
        <v>10.78</v>
      </c>
    </row>
    <row r="8342" spans="1:10" hidden="1">
      <c r="A8342" t="s">
        <v>5403</v>
      </c>
      <c r="B8342" t="s">
        <v>5404</v>
      </c>
      <c r="C8342" t="s">
        <v>5111</v>
      </c>
      <c r="D8342" t="s">
        <v>5352</v>
      </c>
      <c r="E8342" t="s">
        <v>560</v>
      </c>
      <c r="F8342" t="s">
        <v>1068</v>
      </c>
      <c r="G8342" t="s">
        <v>1069</v>
      </c>
      <c r="H8342">
        <v>6.3188477277844199E-2</v>
      </c>
      <c r="I8342" t="s">
        <v>1070</v>
      </c>
      <c r="J8342">
        <v>7.45</v>
      </c>
    </row>
    <row r="8343" spans="1:10" hidden="1">
      <c r="A8343" t="s">
        <v>5403</v>
      </c>
      <c r="B8343" t="s">
        <v>5404</v>
      </c>
      <c r="C8343" t="s">
        <v>5111</v>
      </c>
      <c r="D8343" t="s">
        <v>5352</v>
      </c>
      <c r="E8343" t="s">
        <v>560</v>
      </c>
      <c r="F8343" t="s">
        <v>1068</v>
      </c>
      <c r="G8343" t="s">
        <v>1071</v>
      </c>
      <c r="H8343" s="171" t="s">
        <v>5405</v>
      </c>
      <c r="I8343" t="s">
        <v>1072</v>
      </c>
      <c r="J8343">
        <v>7.45</v>
      </c>
    </row>
    <row r="8344" spans="1:10" hidden="1">
      <c r="A8344" t="s">
        <v>5403</v>
      </c>
      <c r="B8344" t="s">
        <v>5404</v>
      </c>
      <c r="C8344" t="s">
        <v>5111</v>
      </c>
      <c r="D8344" t="s">
        <v>5352</v>
      </c>
      <c r="E8344" t="s">
        <v>560</v>
      </c>
      <c r="F8344" t="s">
        <v>1068</v>
      </c>
      <c r="G8344" t="s">
        <v>1073</v>
      </c>
      <c r="H8344" s="171" t="s">
        <v>5406</v>
      </c>
      <c r="I8344" t="s">
        <v>1074</v>
      </c>
      <c r="J8344">
        <v>7.45</v>
      </c>
    </row>
    <row r="8345" spans="1:10" hidden="1">
      <c r="A8345" t="s">
        <v>5403</v>
      </c>
      <c r="B8345" t="s">
        <v>5404</v>
      </c>
      <c r="C8345" t="s">
        <v>5111</v>
      </c>
      <c r="D8345" t="s">
        <v>5352</v>
      </c>
      <c r="E8345" t="s">
        <v>560</v>
      </c>
      <c r="F8345" t="s">
        <v>1068</v>
      </c>
      <c r="G8345" t="s">
        <v>1075</v>
      </c>
      <c r="H8345">
        <v>2.88182365701142E-3</v>
      </c>
      <c r="I8345" t="s">
        <v>1077</v>
      </c>
      <c r="J8345">
        <v>7.45</v>
      </c>
    </row>
    <row r="8346" spans="1:10" hidden="1">
      <c r="A8346" t="s">
        <v>5403</v>
      </c>
      <c r="B8346" t="s">
        <v>5404</v>
      </c>
      <c r="C8346" t="s">
        <v>5111</v>
      </c>
      <c r="D8346" t="s">
        <v>5352</v>
      </c>
      <c r="E8346" t="s">
        <v>560</v>
      </c>
      <c r="F8346" t="s">
        <v>1068</v>
      </c>
      <c r="G8346" t="s">
        <v>1078</v>
      </c>
      <c r="H8346">
        <v>-6.0048283559088901E-2</v>
      </c>
      <c r="I8346" t="s">
        <v>1079</v>
      </c>
      <c r="J8346">
        <v>7.45</v>
      </c>
    </row>
    <row r="8347" spans="1:10" hidden="1">
      <c r="A8347" t="s">
        <v>5403</v>
      </c>
      <c r="B8347" t="s">
        <v>5404</v>
      </c>
      <c r="C8347" t="s">
        <v>5111</v>
      </c>
      <c r="D8347" t="s">
        <v>5352</v>
      </c>
      <c r="E8347" t="s">
        <v>560</v>
      </c>
      <c r="F8347" t="s">
        <v>1068</v>
      </c>
      <c r="G8347" t="s">
        <v>1080</v>
      </c>
      <c r="H8347" s="171" t="s">
        <v>5407</v>
      </c>
      <c r="I8347" t="s">
        <v>1082</v>
      </c>
      <c r="J8347">
        <v>7.45</v>
      </c>
    </row>
    <row r="8348" spans="1:10" hidden="1">
      <c r="A8348" t="s">
        <v>5403</v>
      </c>
      <c r="B8348" t="s">
        <v>5404</v>
      </c>
      <c r="C8348" t="s">
        <v>5111</v>
      </c>
      <c r="D8348" t="s">
        <v>5352</v>
      </c>
      <c r="E8348" t="s">
        <v>560</v>
      </c>
      <c r="F8348" t="s">
        <v>1068</v>
      </c>
      <c r="G8348" t="s">
        <v>1083</v>
      </c>
      <c r="H8348" s="170">
        <v>-5.30322794979215E-7</v>
      </c>
      <c r="I8348" t="s">
        <v>1084</v>
      </c>
      <c r="J8348">
        <v>7.45</v>
      </c>
    </row>
    <row r="8349" spans="1:10" hidden="1">
      <c r="A8349" t="s">
        <v>5403</v>
      </c>
      <c r="B8349" t="s">
        <v>5404</v>
      </c>
      <c r="C8349" t="s">
        <v>5111</v>
      </c>
      <c r="D8349" t="s">
        <v>5352</v>
      </c>
      <c r="E8349" t="s">
        <v>560</v>
      </c>
      <c r="F8349" t="s">
        <v>1068</v>
      </c>
      <c r="G8349" t="s">
        <v>1085</v>
      </c>
      <c r="H8349" s="171" t="s">
        <v>5408</v>
      </c>
      <c r="I8349" t="s">
        <v>1086</v>
      </c>
      <c r="J8349">
        <v>7.45</v>
      </c>
    </row>
    <row r="8350" spans="1:10" hidden="1">
      <c r="A8350" t="s">
        <v>5403</v>
      </c>
      <c r="B8350" t="s">
        <v>5404</v>
      </c>
      <c r="C8350" t="s">
        <v>5111</v>
      </c>
      <c r="D8350" t="s">
        <v>5352</v>
      </c>
      <c r="E8350" t="s">
        <v>560</v>
      </c>
      <c r="F8350" t="s">
        <v>1068</v>
      </c>
      <c r="G8350" t="s">
        <v>1087</v>
      </c>
      <c r="H8350" s="171" t="s">
        <v>5409</v>
      </c>
      <c r="I8350" t="s">
        <v>1088</v>
      </c>
      <c r="J8350">
        <v>7.45</v>
      </c>
    </row>
    <row r="8351" spans="1:10" hidden="1">
      <c r="A8351" t="s">
        <v>5403</v>
      </c>
      <c r="B8351" t="s">
        <v>5404</v>
      </c>
      <c r="C8351" t="s">
        <v>5111</v>
      </c>
      <c r="D8351" t="s">
        <v>5352</v>
      </c>
      <c r="E8351" t="s">
        <v>560</v>
      </c>
      <c r="F8351" t="s">
        <v>1068</v>
      </c>
      <c r="G8351" t="s">
        <v>1089</v>
      </c>
      <c r="H8351" s="171" t="s">
        <v>5410</v>
      </c>
      <c r="I8351" t="s">
        <v>1090</v>
      </c>
      <c r="J8351">
        <v>7.45</v>
      </c>
    </row>
    <row r="8352" spans="1:10" hidden="1">
      <c r="A8352" t="s">
        <v>5411</v>
      </c>
      <c r="B8352" t="s">
        <v>5412</v>
      </c>
      <c r="C8352" t="s">
        <v>5111</v>
      </c>
      <c r="D8352" t="s">
        <v>5352</v>
      </c>
      <c r="E8352" t="s">
        <v>1116</v>
      </c>
      <c r="F8352" t="s">
        <v>1068</v>
      </c>
      <c r="G8352" t="s">
        <v>1069</v>
      </c>
      <c r="H8352">
        <v>6.6619253898955094E-2</v>
      </c>
      <c r="I8352" t="s">
        <v>1070</v>
      </c>
      <c r="J8352">
        <v>7.74</v>
      </c>
    </row>
    <row r="8353" spans="1:10" hidden="1">
      <c r="A8353" t="s">
        <v>5411</v>
      </c>
      <c r="B8353" t="s">
        <v>5412</v>
      </c>
      <c r="C8353" t="s">
        <v>5111</v>
      </c>
      <c r="D8353" t="s">
        <v>5352</v>
      </c>
      <c r="E8353" t="s">
        <v>1116</v>
      </c>
      <c r="F8353" t="s">
        <v>1068</v>
      </c>
      <c r="G8353" t="s">
        <v>1071</v>
      </c>
      <c r="H8353" s="171" t="s">
        <v>5413</v>
      </c>
      <c r="I8353" t="s">
        <v>1072</v>
      </c>
      <c r="J8353">
        <v>7.74</v>
      </c>
    </row>
    <row r="8354" spans="1:10" hidden="1">
      <c r="A8354" t="s">
        <v>5411</v>
      </c>
      <c r="B8354" t="s">
        <v>5412</v>
      </c>
      <c r="C8354" t="s">
        <v>5111</v>
      </c>
      <c r="D8354" t="s">
        <v>5352</v>
      </c>
      <c r="E8354" t="s">
        <v>1116</v>
      </c>
      <c r="F8354" t="s">
        <v>1068</v>
      </c>
      <c r="G8354" t="s">
        <v>1073</v>
      </c>
      <c r="H8354" s="171" t="s">
        <v>5414</v>
      </c>
      <c r="I8354" t="s">
        <v>1074</v>
      </c>
      <c r="J8354">
        <v>7.74</v>
      </c>
    </row>
    <row r="8355" spans="1:10" hidden="1">
      <c r="A8355" t="s">
        <v>5411</v>
      </c>
      <c r="B8355" t="s">
        <v>5412</v>
      </c>
      <c r="C8355" t="s">
        <v>5111</v>
      </c>
      <c r="D8355" t="s">
        <v>5352</v>
      </c>
      <c r="E8355" t="s">
        <v>1116</v>
      </c>
      <c r="F8355" t="s">
        <v>1068</v>
      </c>
      <c r="G8355" t="s">
        <v>1075</v>
      </c>
      <c r="H8355">
        <v>2.9902741709986699E-3</v>
      </c>
      <c r="I8355" t="s">
        <v>1077</v>
      </c>
      <c r="J8355">
        <v>7.74</v>
      </c>
    </row>
    <row r="8356" spans="1:10" hidden="1">
      <c r="A8356" t="s">
        <v>5411</v>
      </c>
      <c r="B8356" t="s">
        <v>5412</v>
      </c>
      <c r="C8356" t="s">
        <v>5111</v>
      </c>
      <c r="D8356" t="s">
        <v>5352</v>
      </c>
      <c r="E8356" t="s">
        <v>1116</v>
      </c>
      <c r="F8356" t="s">
        <v>1068</v>
      </c>
      <c r="G8356" t="s">
        <v>1078</v>
      </c>
      <c r="H8356">
        <v>-5.5358464997911902E-2</v>
      </c>
      <c r="I8356" t="s">
        <v>1079</v>
      </c>
      <c r="J8356">
        <v>7.74</v>
      </c>
    </row>
    <row r="8357" spans="1:10" hidden="1">
      <c r="A8357" t="s">
        <v>5411</v>
      </c>
      <c r="B8357" t="s">
        <v>5412</v>
      </c>
      <c r="C8357" t="s">
        <v>5111</v>
      </c>
      <c r="D8357" t="s">
        <v>5352</v>
      </c>
      <c r="E8357" t="s">
        <v>1116</v>
      </c>
      <c r="F8357" t="s">
        <v>1068</v>
      </c>
      <c r="G8357" t="s">
        <v>1080</v>
      </c>
      <c r="H8357" s="171" t="s">
        <v>5415</v>
      </c>
      <c r="I8357" t="s">
        <v>1082</v>
      </c>
      <c r="J8357">
        <v>7.74</v>
      </c>
    </row>
    <row r="8358" spans="1:10" hidden="1">
      <c r="A8358" t="s">
        <v>5411</v>
      </c>
      <c r="B8358" t="s">
        <v>5412</v>
      </c>
      <c r="C8358" t="s">
        <v>5111</v>
      </c>
      <c r="D8358" t="s">
        <v>5352</v>
      </c>
      <c r="E8358" t="s">
        <v>1116</v>
      </c>
      <c r="F8358" t="s">
        <v>1068</v>
      </c>
      <c r="G8358" t="s">
        <v>1083</v>
      </c>
      <c r="H8358" s="170">
        <v>-8.8425272815531494E-9</v>
      </c>
      <c r="I8358" t="s">
        <v>1084</v>
      </c>
      <c r="J8358">
        <v>7.74</v>
      </c>
    </row>
    <row r="8359" spans="1:10" hidden="1">
      <c r="A8359" t="s">
        <v>5411</v>
      </c>
      <c r="B8359" t="s">
        <v>5412</v>
      </c>
      <c r="C8359" t="s">
        <v>5111</v>
      </c>
      <c r="D8359" t="s">
        <v>5352</v>
      </c>
      <c r="E8359" t="s">
        <v>1116</v>
      </c>
      <c r="F8359" t="s">
        <v>1068</v>
      </c>
      <c r="G8359" t="s">
        <v>1085</v>
      </c>
      <c r="H8359" s="171" t="s">
        <v>5268</v>
      </c>
      <c r="I8359" t="s">
        <v>1086</v>
      </c>
      <c r="J8359">
        <v>7.74</v>
      </c>
    </row>
    <row r="8360" spans="1:10" hidden="1">
      <c r="A8360" t="s">
        <v>5411</v>
      </c>
      <c r="B8360" t="s">
        <v>5412</v>
      </c>
      <c r="C8360" t="s">
        <v>5111</v>
      </c>
      <c r="D8360" t="s">
        <v>5352</v>
      </c>
      <c r="E8360" t="s">
        <v>1116</v>
      </c>
      <c r="F8360" t="s">
        <v>1068</v>
      </c>
      <c r="G8360" t="s">
        <v>1087</v>
      </c>
      <c r="H8360" s="171" t="s">
        <v>5416</v>
      </c>
      <c r="I8360" t="s">
        <v>1088</v>
      </c>
      <c r="J8360">
        <v>7.74</v>
      </c>
    </row>
    <row r="8361" spans="1:10" hidden="1">
      <c r="A8361" t="s">
        <v>5411</v>
      </c>
      <c r="B8361" t="s">
        <v>5412</v>
      </c>
      <c r="C8361" t="s">
        <v>5111</v>
      </c>
      <c r="D8361" t="s">
        <v>5352</v>
      </c>
      <c r="E8361" t="s">
        <v>1116</v>
      </c>
      <c r="F8361" t="s">
        <v>1068</v>
      </c>
      <c r="G8361" t="s">
        <v>1089</v>
      </c>
      <c r="H8361" s="171" t="s">
        <v>5270</v>
      </c>
      <c r="I8361" t="s">
        <v>1090</v>
      </c>
      <c r="J8361">
        <v>7.74</v>
      </c>
    </row>
    <row r="8362" spans="1:10" hidden="1">
      <c r="A8362" t="s">
        <v>5417</v>
      </c>
      <c r="B8362" t="s">
        <v>5418</v>
      </c>
      <c r="C8362" t="s">
        <v>5111</v>
      </c>
      <c r="D8362" t="s">
        <v>5419</v>
      </c>
      <c r="E8362" t="s">
        <v>561</v>
      </c>
      <c r="F8362" t="s">
        <v>1068</v>
      </c>
      <c r="G8362" t="s">
        <v>1069</v>
      </c>
      <c r="H8362">
        <v>-0.183087225758572</v>
      </c>
      <c r="I8362" t="s">
        <v>1070</v>
      </c>
      <c r="J8362">
        <v>8</v>
      </c>
    </row>
    <row r="8363" spans="1:10" hidden="1">
      <c r="A8363" t="s">
        <v>5417</v>
      </c>
      <c r="B8363" t="s">
        <v>5418</v>
      </c>
      <c r="C8363" t="s">
        <v>5111</v>
      </c>
      <c r="D8363" t="s">
        <v>5419</v>
      </c>
      <c r="E8363" t="s">
        <v>561</v>
      </c>
      <c r="F8363" t="s">
        <v>1068</v>
      </c>
      <c r="G8363" t="s">
        <v>1071</v>
      </c>
      <c r="H8363" s="170">
        <v>-1.13801651275557E-10</v>
      </c>
      <c r="I8363" t="s">
        <v>1072</v>
      </c>
      <c r="J8363">
        <v>8</v>
      </c>
    </row>
    <row r="8364" spans="1:10" hidden="1">
      <c r="A8364" t="s">
        <v>5417</v>
      </c>
      <c r="B8364" t="s">
        <v>5418</v>
      </c>
      <c r="C8364" t="s">
        <v>5111</v>
      </c>
      <c r="D8364" t="s">
        <v>5419</v>
      </c>
      <c r="E8364" t="s">
        <v>561</v>
      </c>
      <c r="F8364" t="s">
        <v>1068</v>
      </c>
      <c r="G8364" t="s">
        <v>1073</v>
      </c>
      <c r="H8364" s="170">
        <v>-5.9834129406796198E-8</v>
      </c>
      <c r="I8364" t="s">
        <v>1074</v>
      </c>
      <c r="J8364">
        <v>8</v>
      </c>
    </row>
    <row r="8365" spans="1:10" hidden="1">
      <c r="A8365" t="s">
        <v>5417</v>
      </c>
      <c r="B8365" t="s">
        <v>5418</v>
      </c>
      <c r="C8365" t="s">
        <v>5111</v>
      </c>
      <c r="D8365" t="s">
        <v>5419</v>
      </c>
      <c r="E8365" t="s">
        <v>561</v>
      </c>
      <c r="F8365" t="s">
        <v>1068</v>
      </c>
      <c r="G8365" t="s">
        <v>1075</v>
      </c>
      <c r="H8365">
        <v>7.34877280031193E-4</v>
      </c>
      <c r="I8365" t="s">
        <v>1077</v>
      </c>
      <c r="J8365">
        <v>8</v>
      </c>
    </row>
    <row r="8366" spans="1:10" hidden="1">
      <c r="A8366" t="s">
        <v>5417</v>
      </c>
      <c r="B8366" t="s">
        <v>5418</v>
      </c>
      <c r="C8366" t="s">
        <v>5111</v>
      </c>
      <c r="D8366" t="s">
        <v>5419</v>
      </c>
      <c r="E8366" t="s">
        <v>561</v>
      </c>
      <c r="F8366" t="s">
        <v>1068</v>
      </c>
      <c r="G8366" t="s">
        <v>1078</v>
      </c>
      <c r="H8366" s="171" t="s">
        <v>5420</v>
      </c>
      <c r="I8366" t="s">
        <v>1079</v>
      </c>
      <c r="J8366">
        <v>8</v>
      </c>
    </row>
    <row r="8367" spans="1:10" hidden="1">
      <c r="A8367" t="s">
        <v>5417</v>
      </c>
      <c r="B8367" t="s">
        <v>5418</v>
      </c>
      <c r="C8367" t="s">
        <v>5111</v>
      </c>
      <c r="D8367" t="s">
        <v>5419</v>
      </c>
      <c r="E8367" t="s">
        <v>561</v>
      </c>
      <c r="F8367" t="s">
        <v>1068</v>
      </c>
      <c r="G8367" t="s">
        <v>1080</v>
      </c>
      <c r="H8367" s="170">
        <v>-1.1179249763635501E-9</v>
      </c>
      <c r="I8367" t="s">
        <v>1082</v>
      </c>
      <c r="J8367">
        <v>8</v>
      </c>
    </row>
    <row r="8368" spans="1:10" hidden="1">
      <c r="A8368" t="s">
        <v>5417</v>
      </c>
      <c r="B8368" t="s">
        <v>5418</v>
      </c>
      <c r="C8368" t="s">
        <v>5111</v>
      </c>
      <c r="D8368" t="s">
        <v>5419</v>
      </c>
      <c r="E8368" t="s">
        <v>561</v>
      </c>
      <c r="F8368" t="s">
        <v>1068</v>
      </c>
      <c r="G8368" t="s">
        <v>1083</v>
      </c>
      <c r="H8368" s="170">
        <v>-2.71600419871462E-5</v>
      </c>
      <c r="I8368" t="s">
        <v>1084</v>
      </c>
      <c r="J8368">
        <v>8</v>
      </c>
    </row>
    <row r="8369" spans="1:10" hidden="1">
      <c r="A8369" t="s">
        <v>5417</v>
      </c>
      <c r="B8369" t="s">
        <v>5418</v>
      </c>
      <c r="C8369" t="s">
        <v>5111</v>
      </c>
      <c r="D8369" t="s">
        <v>5419</v>
      </c>
      <c r="E8369" t="s">
        <v>561</v>
      </c>
      <c r="F8369" t="s">
        <v>1068</v>
      </c>
      <c r="G8369" t="s">
        <v>1085</v>
      </c>
      <c r="H8369">
        <v>-1.3180649513872201E-4</v>
      </c>
      <c r="I8369" t="s">
        <v>1086</v>
      </c>
      <c r="J8369">
        <v>8</v>
      </c>
    </row>
    <row r="8370" spans="1:10" hidden="1">
      <c r="A8370" t="s">
        <v>5417</v>
      </c>
      <c r="B8370" t="s">
        <v>5418</v>
      </c>
      <c r="C8370" t="s">
        <v>5111</v>
      </c>
      <c r="D8370" t="s">
        <v>5419</v>
      </c>
      <c r="E8370" t="s">
        <v>561</v>
      </c>
      <c r="F8370" t="s">
        <v>1068</v>
      </c>
      <c r="G8370" t="s">
        <v>1087</v>
      </c>
      <c r="H8370" s="170">
        <v>-2.1148464249709199E-7</v>
      </c>
      <c r="I8370" t="s">
        <v>1088</v>
      </c>
      <c r="J8370">
        <v>8</v>
      </c>
    </row>
    <row r="8371" spans="1:10" hidden="1">
      <c r="A8371" t="s">
        <v>5417</v>
      </c>
      <c r="B8371" t="s">
        <v>5418</v>
      </c>
      <c r="C8371" t="s">
        <v>5111</v>
      </c>
      <c r="D8371" t="s">
        <v>5419</v>
      </c>
      <c r="E8371" t="s">
        <v>561</v>
      </c>
      <c r="F8371" t="s">
        <v>1068</v>
      </c>
      <c r="G8371" t="s">
        <v>1089</v>
      </c>
      <c r="H8371" s="171" t="s">
        <v>5421</v>
      </c>
      <c r="I8371" t="s">
        <v>1090</v>
      </c>
      <c r="J8371">
        <v>8</v>
      </c>
    </row>
    <row r="8372" spans="1:10" hidden="1">
      <c r="A8372" t="s">
        <v>5422</v>
      </c>
      <c r="B8372" t="s">
        <v>5423</v>
      </c>
      <c r="C8372" t="s">
        <v>5111</v>
      </c>
      <c r="D8372" t="s">
        <v>5419</v>
      </c>
      <c r="E8372" t="s">
        <v>555</v>
      </c>
      <c r="F8372" t="s">
        <v>1068</v>
      </c>
      <c r="G8372" t="s">
        <v>1069</v>
      </c>
      <c r="H8372">
        <v>-0.21557472442553499</v>
      </c>
      <c r="I8372" t="s">
        <v>1070</v>
      </c>
      <c r="J8372">
        <v>9.08</v>
      </c>
    </row>
    <row r="8373" spans="1:10" hidden="1">
      <c r="A8373" t="s">
        <v>5422</v>
      </c>
      <c r="B8373" t="s">
        <v>5423</v>
      </c>
      <c r="C8373" t="s">
        <v>5111</v>
      </c>
      <c r="D8373" t="s">
        <v>5419</v>
      </c>
      <c r="E8373" t="s">
        <v>555</v>
      </c>
      <c r="F8373" t="s">
        <v>1068</v>
      </c>
      <c r="G8373" t="s">
        <v>1071</v>
      </c>
      <c r="H8373" s="170">
        <v>-1.6029128694262401E-10</v>
      </c>
      <c r="I8373" t="s">
        <v>1072</v>
      </c>
      <c r="J8373">
        <v>9.08</v>
      </c>
    </row>
    <row r="8374" spans="1:10" hidden="1">
      <c r="A8374" t="s">
        <v>5422</v>
      </c>
      <c r="B8374" t="s">
        <v>5423</v>
      </c>
      <c r="C8374" t="s">
        <v>5111</v>
      </c>
      <c r="D8374" t="s">
        <v>5419</v>
      </c>
      <c r="E8374" t="s">
        <v>555</v>
      </c>
      <c r="F8374" t="s">
        <v>1068</v>
      </c>
      <c r="G8374" t="s">
        <v>1073</v>
      </c>
      <c r="H8374" s="170">
        <v>-7.1375215744221505E-8</v>
      </c>
      <c r="I8374" t="s">
        <v>1074</v>
      </c>
      <c r="J8374">
        <v>9.08</v>
      </c>
    </row>
    <row r="8375" spans="1:10" hidden="1">
      <c r="A8375" t="s">
        <v>5422</v>
      </c>
      <c r="B8375" t="s">
        <v>5423</v>
      </c>
      <c r="C8375" t="s">
        <v>5111</v>
      </c>
      <c r="D8375" t="s">
        <v>5419</v>
      </c>
      <c r="E8375" t="s">
        <v>555</v>
      </c>
      <c r="F8375" t="s">
        <v>1068</v>
      </c>
      <c r="G8375" t="s">
        <v>1075</v>
      </c>
      <c r="H8375">
        <v>-2.9224386503520398E-4</v>
      </c>
      <c r="I8375" t="s">
        <v>1077</v>
      </c>
      <c r="J8375">
        <v>9.08</v>
      </c>
    </row>
    <row r="8376" spans="1:10" hidden="1">
      <c r="A8376" t="s">
        <v>5422</v>
      </c>
      <c r="B8376" t="s">
        <v>5423</v>
      </c>
      <c r="C8376" t="s">
        <v>5111</v>
      </c>
      <c r="D8376" t="s">
        <v>5419</v>
      </c>
      <c r="E8376" t="s">
        <v>555</v>
      </c>
      <c r="F8376" t="s">
        <v>1068</v>
      </c>
      <c r="G8376" t="s">
        <v>1078</v>
      </c>
      <c r="H8376" s="171" t="s">
        <v>5424</v>
      </c>
      <c r="I8376" t="s">
        <v>1079</v>
      </c>
      <c r="J8376">
        <v>9.08</v>
      </c>
    </row>
    <row r="8377" spans="1:10" hidden="1">
      <c r="A8377" t="s">
        <v>5422</v>
      </c>
      <c r="B8377" t="s">
        <v>5423</v>
      </c>
      <c r="C8377" t="s">
        <v>5111</v>
      </c>
      <c r="D8377" t="s">
        <v>5419</v>
      </c>
      <c r="E8377" t="s">
        <v>555</v>
      </c>
      <c r="F8377" t="s">
        <v>1068</v>
      </c>
      <c r="G8377" t="s">
        <v>1080</v>
      </c>
      <c r="H8377" s="170">
        <v>-1.2985388598518499E-9</v>
      </c>
      <c r="I8377" t="s">
        <v>1082</v>
      </c>
      <c r="J8377">
        <v>9.08</v>
      </c>
    </row>
    <row r="8378" spans="1:10" hidden="1">
      <c r="A8378" t="s">
        <v>5422</v>
      </c>
      <c r="B8378" t="s">
        <v>5423</v>
      </c>
      <c r="C8378" t="s">
        <v>5111</v>
      </c>
      <c r="D8378" t="s">
        <v>5419</v>
      </c>
      <c r="E8378" t="s">
        <v>555</v>
      </c>
      <c r="F8378" t="s">
        <v>1068</v>
      </c>
      <c r="G8378" t="s">
        <v>1083</v>
      </c>
      <c r="H8378" s="170">
        <v>-3.2098916162499899E-5</v>
      </c>
      <c r="I8378" t="s">
        <v>1084</v>
      </c>
      <c r="J8378">
        <v>9.08</v>
      </c>
    </row>
    <row r="8379" spans="1:10" hidden="1">
      <c r="A8379" t="s">
        <v>5422</v>
      </c>
      <c r="B8379" t="s">
        <v>5423</v>
      </c>
      <c r="C8379" t="s">
        <v>5111</v>
      </c>
      <c r="D8379" t="s">
        <v>5419</v>
      </c>
      <c r="E8379" t="s">
        <v>555</v>
      </c>
      <c r="F8379" t="s">
        <v>1068</v>
      </c>
      <c r="G8379" t="s">
        <v>1085</v>
      </c>
      <c r="H8379">
        <v>-1.8762579654749899E-4</v>
      </c>
      <c r="I8379" t="s">
        <v>1086</v>
      </c>
      <c r="J8379">
        <v>9.08</v>
      </c>
    </row>
    <row r="8380" spans="1:10" hidden="1">
      <c r="A8380" t="s">
        <v>5422</v>
      </c>
      <c r="B8380" t="s">
        <v>5423</v>
      </c>
      <c r="C8380" t="s">
        <v>5111</v>
      </c>
      <c r="D8380" t="s">
        <v>5419</v>
      </c>
      <c r="E8380" t="s">
        <v>555</v>
      </c>
      <c r="F8380" t="s">
        <v>1068</v>
      </c>
      <c r="G8380" t="s">
        <v>1087</v>
      </c>
      <c r="H8380" s="170">
        <v>-2.3842329279528502E-7</v>
      </c>
      <c r="I8380" t="s">
        <v>1088</v>
      </c>
      <c r="J8380">
        <v>9.08</v>
      </c>
    </row>
    <row r="8381" spans="1:10" hidden="1">
      <c r="A8381" t="s">
        <v>5422</v>
      </c>
      <c r="B8381" t="s">
        <v>5423</v>
      </c>
      <c r="C8381" t="s">
        <v>5111</v>
      </c>
      <c r="D8381" t="s">
        <v>5419</v>
      </c>
      <c r="E8381" t="s">
        <v>555</v>
      </c>
      <c r="F8381" t="s">
        <v>1068</v>
      </c>
      <c r="G8381" t="s">
        <v>1089</v>
      </c>
      <c r="H8381" s="170">
        <v>-9.5524220377991404E-6</v>
      </c>
      <c r="I8381" t="s">
        <v>1090</v>
      </c>
      <c r="J8381">
        <v>9.08</v>
      </c>
    </row>
    <row r="8382" spans="1:10" hidden="1">
      <c r="A8382" t="s">
        <v>5425</v>
      </c>
      <c r="B8382" t="s">
        <v>5426</v>
      </c>
      <c r="C8382" t="s">
        <v>5111</v>
      </c>
      <c r="D8382" t="s">
        <v>5419</v>
      </c>
      <c r="E8382" t="s">
        <v>558</v>
      </c>
      <c r="F8382" t="s">
        <v>1068</v>
      </c>
      <c r="G8382" t="s">
        <v>1069</v>
      </c>
      <c r="H8382">
        <v>-0.180210237615713</v>
      </c>
      <c r="I8382" t="s">
        <v>1070</v>
      </c>
      <c r="J8382">
        <v>8.26</v>
      </c>
    </row>
    <row r="8383" spans="1:10" hidden="1">
      <c r="A8383" t="s">
        <v>5425</v>
      </c>
      <c r="B8383" t="s">
        <v>5426</v>
      </c>
      <c r="C8383" t="s">
        <v>5111</v>
      </c>
      <c r="D8383" t="s">
        <v>5419</v>
      </c>
      <c r="E8383" t="s">
        <v>558</v>
      </c>
      <c r="F8383" t="s">
        <v>1068</v>
      </c>
      <c r="G8383" t="s">
        <v>1071</v>
      </c>
      <c r="H8383" s="170">
        <v>-1.09684648511966E-10</v>
      </c>
      <c r="I8383" t="s">
        <v>1072</v>
      </c>
      <c r="J8383">
        <v>8.26</v>
      </c>
    </row>
    <row r="8384" spans="1:10" hidden="1">
      <c r="A8384" t="s">
        <v>5425</v>
      </c>
      <c r="B8384" t="s">
        <v>5426</v>
      </c>
      <c r="C8384" t="s">
        <v>5111</v>
      </c>
      <c r="D8384" t="s">
        <v>5419</v>
      </c>
      <c r="E8384" t="s">
        <v>558</v>
      </c>
      <c r="F8384" t="s">
        <v>1068</v>
      </c>
      <c r="G8384" t="s">
        <v>1073</v>
      </c>
      <c r="H8384" s="170">
        <v>-5.8812214115108098E-8</v>
      </c>
      <c r="I8384" t="s">
        <v>1074</v>
      </c>
      <c r="J8384">
        <v>8.26</v>
      </c>
    </row>
    <row r="8385" spans="1:10" hidden="1">
      <c r="A8385" t="s">
        <v>5425</v>
      </c>
      <c r="B8385" t="s">
        <v>5426</v>
      </c>
      <c r="C8385" t="s">
        <v>5111</v>
      </c>
      <c r="D8385" t="s">
        <v>5419</v>
      </c>
      <c r="E8385" t="s">
        <v>558</v>
      </c>
      <c r="F8385" t="s">
        <v>1068</v>
      </c>
      <c r="G8385" t="s">
        <v>1075</v>
      </c>
      <c r="H8385">
        <v>8.2582194862516705E-4</v>
      </c>
      <c r="I8385" t="s">
        <v>1077</v>
      </c>
      <c r="J8385">
        <v>8.26</v>
      </c>
    </row>
    <row r="8386" spans="1:10" hidden="1">
      <c r="A8386" t="s">
        <v>5425</v>
      </c>
      <c r="B8386" t="s">
        <v>5426</v>
      </c>
      <c r="C8386" t="s">
        <v>5111</v>
      </c>
      <c r="D8386" t="s">
        <v>5419</v>
      </c>
      <c r="E8386" t="s">
        <v>558</v>
      </c>
      <c r="F8386" t="s">
        <v>1068</v>
      </c>
      <c r="G8386" t="s">
        <v>1078</v>
      </c>
      <c r="H8386" s="171" t="s">
        <v>5427</v>
      </c>
      <c r="I8386" t="s">
        <v>1079</v>
      </c>
      <c r="J8386">
        <v>8.26</v>
      </c>
    </row>
    <row r="8387" spans="1:10" hidden="1">
      <c r="A8387" t="s">
        <v>5425</v>
      </c>
      <c r="B8387" t="s">
        <v>5426</v>
      </c>
      <c r="C8387" t="s">
        <v>5111</v>
      </c>
      <c r="D8387" t="s">
        <v>5419</v>
      </c>
      <c r="E8387" t="s">
        <v>558</v>
      </c>
      <c r="F8387" t="s">
        <v>1068</v>
      </c>
      <c r="G8387" t="s">
        <v>1080</v>
      </c>
      <c r="H8387" s="170">
        <v>-1.1019328319256499E-9</v>
      </c>
      <c r="I8387" t="s">
        <v>1082</v>
      </c>
      <c r="J8387">
        <v>8.26</v>
      </c>
    </row>
    <row r="8388" spans="1:10" hidden="1">
      <c r="A8388" t="s">
        <v>5425</v>
      </c>
      <c r="B8388" t="s">
        <v>5426</v>
      </c>
      <c r="C8388" t="s">
        <v>5111</v>
      </c>
      <c r="D8388" t="s">
        <v>5419</v>
      </c>
      <c r="E8388" t="s">
        <v>558</v>
      </c>
      <c r="F8388" t="s">
        <v>1068</v>
      </c>
      <c r="G8388" t="s">
        <v>1083</v>
      </c>
      <c r="H8388" s="170">
        <v>-2.67227379266984E-5</v>
      </c>
      <c r="I8388" t="s">
        <v>1084</v>
      </c>
      <c r="J8388">
        <v>8.26</v>
      </c>
    </row>
    <row r="8389" spans="1:10" hidden="1">
      <c r="A8389" t="s">
        <v>5425</v>
      </c>
      <c r="B8389" t="s">
        <v>5426</v>
      </c>
      <c r="C8389" t="s">
        <v>5111</v>
      </c>
      <c r="D8389" t="s">
        <v>5419</v>
      </c>
      <c r="E8389" t="s">
        <v>558</v>
      </c>
      <c r="F8389" t="s">
        <v>1068</v>
      </c>
      <c r="G8389" t="s">
        <v>1085</v>
      </c>
      <c r="H8389">
        <v>-1.2686407171509E-4</v>
      </c>
      <c r="I8389" t="s">
        <v>1086</v>
      </c>
      <c r="J8389">
        <v>8.26</v>
      </c>
    </row>
    <row r="8390" spans="1:10" hidden="1">
      <c r="A8390" t="s">
        <v>5425</v>
      </c>
      <c r="B8390" t="s">
        <v>5426</v>
      </c>
      <c r="C8390" t="s">
        <v>5111</v>
      </c>
      <c r="D8390" t="s">
        <v>5419</v>
      </c>
      <c r="E8390" t="s">
        <v>558</v>
      </c>
      <c r="F8390" t="s">
        <v>1068</v>
      </c>
      <c r="G8390" t="s">
        <v>1087</v>
      </c>
      <c r="H8390" s="170">
        <v>-2.09099406385663E-7</v>
      </c>
      <c r="I8390" t="s">
        <v>1088</v>
      </c>
      <c r="J8390">
        <v>8.26</v>
      </c>
    </row>
    <row r="8391" spans="1:10" hidden="1">
      <c r="A8391" t="s">
        <v>5425</v>
      </c>
      <c r="B8391" t="s">
        <v>5426</v>
      </c>
      <c r="C8391" t="s">
        <v>5111</v>
      </c>
      <c r="D8391" t="s">
        <v>5419</v>
      </c>
      <c r="E8391" t="s">
        <v>558</v>
      </c>
      <c r="F8391" t="s">
        <v>1068</v>
      </c>
      <c r="G8391" t="s">
        <v>1089</v>
      </c>
      <c r="H8391" s="171" t="s">
        <v>5428</v>
      </c>
      <c r="I8391" t="s">
        <v>1090</v>
      </c>
      <c r="J8391">
        <v>8.26</v>
      </c>
    </row>
    <row r="8392" spans="1:10" hidden="1">
      <c r="A8392" t="s">
        <v>5429</v>
      </c>
      <c r="B8392" t="s">
        <v>5430</v>
      </c>
      <c r="C8392" t="s">
        <v>5111</v>
      </c>
      <c r="D8392" t="s">
        <v>5419</v>
      </c>
      <c r="E8392" t="s">
        <v>553</v>
      </c>
      <c r="F8392" t="s">
        <v>1068</v>
      </c>
      <c r="G8392" t="s">
        <v>1069</v>
      </c>
      <c r="H8392">
        <v>-0.17738709748928999</v>
      </c>
      <c r="I8392" t="s">
        <v>1070</v>
      </c>
      <c r="J8392">
        <v>7.75</v>
      </c>
    </row>
    <row r="8393" spans="1:10" hidden="1">
      <c r="A8393" t="s">
        <v>5429</v>
      </c>
      <c r="B8393" t="s">
        <v>5430</v>
      </c>
      <c r="C8393" t="s">
        <v>5111</v>
      </c>
      <c r="D8393" t="s">
        <v>5419</v>
      </c>
      <c r="E8393" t="s">
        <v>553</v>
      </c>
      <c r="F8393" t="s">
        <v>1068</v>
      </c>
      <c r="G8393" t="s">
        <v>1071</v>
      </c>
      <c r="H8393" s="170">
        <v>-1.0564435834063601E-10</v>
      </c>
      <c r="I8393" t="s">
        <v>1072</v>
      </c>
      <c r="J8393">
        <v>7.75</v>
      </c>
    </row>
    <row r="8394" spans="1:10" hidden="1">
      <c r="A8394" t="s">
        <v>5429</v>
      </c>
      <c r="B8394" t="s">
        <v>5430</v>
      </c>
      <c r="C8394" t="s">
        <v>5111</v>
      </c>
      <c r="D8394" t="s">
        <v>5419</v>
      </c>
      <c r="E8394" t="s">
        <v>553</v>
      </c>
      <c r="F8394" t="s">
        <v>1068</v>
      </c>
      <c r="G8394" t="s">
        <v>1073</v>
      </c>
      <c r="H8394" s="170">
        <v>-5.7810849823459103E-8</v>
      </c>
      <c r="I8394" t="s">
        <v>1074</v>
      </c>
      <c r="J8394">
        <v>7.75</v>
      </c>
    </row>
    <row r="8395" spans="1:10" hidden="1">
      <c r="A8395" t="s">
        <v>5429</v>
      </c>
      <c r="B8395" t="s">
        <v>5430</v>
      </c>
      <c r="C8395" t="s">
        <v>5111</v>
      </c>
      <c r="D8395" t="s">
        <v>5419</v>
      </c>
      <c r="E8395" t="s">
        <v>553</v>
      </c>
      <c r="F8395" t="s">
        <v>1068</v>
      </c>
      <c r="G8395" t="s">
        <v>1075</v>
      </c>
      <c r="H8395">
        <v>9.1490781709557302E-4</v>
      </c>
      <c r="I8395" t="s">
        <v>1077</v>
      </c>
      <c r="J8395">
        <v>7.75</v>
      </c>
    </row>
    <row r="8396" spans="1:10" hidden="1">
      <c r="A8396" t="s">
        <v>5429</v>
      </c>
      <c r="B8396" t="s">
        <v>5430</v>
      </c>
      <c r="C8396" t="s">
        <v>5111</v>
      </c>
      <c r="D8396" t="s">
        <v>5419</v>
      </c>
      <c r="E8396" t="s">
        <v>553</v>
      </c>
      <c r="F8396" t="s">
        <v>1068</v>
      </c>
      <c r="G8396" t="s">
        <v>1078</v>
      </c>
      <c r="H8396" s="171" t="s">
        <v>5431</v>
      </c>
      <c r="I8396" t="s">
        <v>1079</v>
      </c>
      <c r="J8396">
        <v>7.75</v>
      </c>
    </row>
    <row r="8397" spans="1:10" hidden="1">
      <c r="A8397" t="s">
        <v>5429</v>
      </c>
      <c r="B8397" t="s">
        <v>5430</v>
      </c>
      <c r="C8397" t="s">
        <v>5111</v>
      </c>
      <c r="D8397" t="s">
        <v>5419</v>
      </c>
      <c r="E8397" t="s">
        <v>553</v>
      </c>
      <c r="F8397" t="s">
        <v>1068</v>
      </c>
      <c r="G8397" t="s">
        <v>1080</v>
      </c>
      <c r="H8397" s="170">
        <v>-1.0862675485428399E-9</v>
      </c>
      <c r="I8397" t="s">
        <v>1082</v>
      </c>
      <c r="J8397">
        <v>7.75</v>
      </c>
    </row>
    <row r="8398" spans="1:10" hidden="1">
      <c r="A8398" t="s">
        <v>5429</v>
      </c>
      <c r="B8398" t="s">
        <v>5430</v>
      </c>
      <c r="C8398" t="s">
        <v>5111</v>
      </c>
      <c r="D8398" t="s">
        <v>5419</v>
      </c>
      <c r="E8398" t="s">
        <v>553</v>
      </c>
      <c r="F8398" t="s">
        <v>1068</v>
      </c>
      <c r="G8398" t="s">
        <v>1083</v>
      </c>
      <c r="H8398" s="170">
        <v>-2.6294372143249701E-5</v>
      </c>
      <c r="I8398" t="s">
        <v>1084</v>
      </c>
      <c r="J8398">
        <v>7.75</v>
      </c>
    </row>
    <row r="8399" spans="1:10" hidden="1">
      <c r="A8399" t="s">
        <v>5429</v>
      </c>
      <c r="B8399" t="s">
        <v>5430</v>
      </c>
      <c r="C8399" t="s">
        <v>5111</v>
      </c>
      <c r="D8399" t="s">
        <v>5419</v>
      </c>
      <c r="E8399" t="s">
        <v>553</v>
      </c>
      <c r="F8399" t="s">
        <v>1068</v>
      </c>
      <c r="G8399" t="s">
        <v>1085</v>
      </c>
      <c r="H8399">
        <v>-1.2202266838325301E-4</v>
      </c>
      <c r="I8399" t="s">
        <v>1086</v>
      </c>
      <c r="J8399">
        <v>7.75</v>
      </c>
    </row>
    <row r="8400" spans="1:10" hidden="1">
      <c r="A8400" t="s">
        <v>5429</v>
      </c>
      <c r="B8400" t="s">
        <v>5430</v>
      </c>
      <c r="C8400" t="s">
        <v>5111</v>
      </c>
      <c r="D8400" t="s">
        <v>5419</v>
      </c>
      <c r="E8400" t="s">
        <v>553</v>
      </c>
      <c r="F8400" t="s">
        <v>1068</v>
      </c>
      <c r="G8400" t="s">
        <v>1087</v>
      </c>
      <c r="H8400" s="170">
        <v>-2.0676292359836E-7</v>
      </c>
      <c r="I8400" t="s">
        <v>1088</v>
      </c>
      <c r="J8400">
        <v>7.75</v>
      </c>
    </row>
    <row r="8401" spans="1:10" hidden="1">
      <c r="A8401" t="s">
        <v>5429</v>
      </c>
      <c r="B8401" t="s">
        <v>5430</v>
      </c>
      <c r="C8401" t="s">
        <v>5111</v>
      </c>
      <c r="D8401" t="s">
        <v>5419</v>
      </c>
      <c r="E8401" t="s">
        <v>553</v>
      </c>
      <c r="F8401" t="s">
        <v>1068</v>
      </c>
      <c r="G8401" t="s">
        <v>1089</v>
      </c>
      <c r="H8401" s="171" t="s">
        <v>5432</v>
      </c>
      <c r="I8401" t="s">
        <v>1090</v>
      </c>
      <c r="J8401">
        <v>7.75</v>
      </c>
    </row>
    <row r="8402" spans="1:10" hidden="1">
      <c r="A8402" t="s">
        <v>5433</v>
      </c>
      <c r="B8402" t="s">
        <v>5434</v>
      </c>
      <c r="C8402" t="s">
        <v>5111</v>
      </c>
      <c r="D8402" t="s">
        <v>5419</v>
      </c>
      <c r="E8402" t="s">
        <v>556</v>
      </c>
      <c r="F8402" t="s">
        <v>1068</v>
      </c>
      <c r="G8402" t="s">
        <v>1069</v>
      </c>
      <c r="H8402">
        <v>-0.21198538352160301</v>
      </c>
      <c r="I8402" t="s">
        <v>1070</v>
      </c>
      <c r="J8402">
        <v>7.14</v>
      </c>
    </row>
    <row r="8403" spans="1:10" hidden="1">
      <c r="A8403" t="s">
        <v>5433</v>
      </c>
      <c r="B8403" t="s">
        <v>5434</v>
      </c>
      <c r="C8403" t="s">
        <v>5111</v>
      </c>
      <c r="D8403" t="s">
        <v>5419</v>
      </c>
      <c r="E8403" t="s">
        <v>556</v>
      </c>
      <c r="F8403" t="s">
        <v>1068</v>
      </c>
      <c r="G8403" t="s">
        <v>1071</v>
      </c>
      <c r="H8403" s="170">
        <v>-1.5515489927354601E-10</v>
      </c>
      <c r="I8403" t="s">
        <v>1072</v>
      </c>
      <c r="J8403">
        <v>7.14</v>
      </c>
    </row>
    <row r="8404" spans="1:10" hidden="1">
      <c r="A8404" t="s">
        <v>5433</v>
      </c>
      <c r="B8404" t="s">
        <v>5434</v>
      </c>
      <c r="C8404" t="s">
        <v>5111</v>
      </c>
      <c r="D8404" t="s">
        <v>5419</v>
      </c>
      <c r="E8404" t="s">
        <v>556</v>
      </c>
      <c r="F8404" t="s">
        <v>1068</v>
      </c>
      <c r="G8404" t="s">
        <v>1073</v>
      </c>
      <c r="H8404" s="170">
        <v>-7.0100270497777294E-8</v>
      </c>
      <c r="I8404" t="s">
        <v>1074</v>
      </c>
      <c r="J8404">
        <v>7.14</v>
      </c>
    </row>
    <row r="8405" spans="1:10" hidden="1">
      <c r="A8405" t="s">
        <v>5433</v>
      </c>
      <c r="B8405" t="s">
        <v>5434</v>
      </c>
      <c r="C8405" t="s">
        <v>5111</v>
      </c>
      <c r="D8405" t="s">
        <v>5419</v>
      </c>
      <c r="E8405" t="s">
        <v>556</v>
      </c>
      <c r="F8405" t="s">
        <v>1068</v>
      </c>
      <c r="G8405" t="s">
        <v>1075</v>
      </c>
      <c r="H8405">
        <v>-1.78780964679178E-4</v>
      </c>
      <c r="I8405" t="s">
        <v>1077</v>
      </c>
      <c r="J8405">
        <v>7.14</v>
      </c>
    </row>
    <row r="8406" spans="1:10" hidden="1">
      <c r="A8406" t="s">
        <v>5433</v>
      </c>
      <c r="B8406" t="s">
        <v>5434</v>
      </c>
      <c r="C8406" t="s">
        <v>5111</v>
      </c>
      <c r="D8406" t="s">
        <v>5419</v>
      </c>
      <c r="E8406" t="s">
        <v>556</v>
      </c>
      <c r="F8406" t="s">
        <v>1068</v>
      </c>
      <c r="G8406" t="s">
        <v>1078</v>
      </c>
      <c r="H8406" s="171" t="s">
        <v>5435</v>
      </c>
      <c r="I8406" t="s">
        <v>1079</v>
      </c>
      <c r="J8406">
        <v>7.14</v>
      </c>
    </row>
    <row r="8407" spans="1:10" hidden="1">
      <c r="A8407" t="s">
        <v>5433</v>
      </c>
      <c r="B8407" t="s">
        <v>5434</v>
      </c>
      <c r="C8407" t="s">
        <v>5111</v>
      </c>
      <c r="D8407" t="s">
        <v>5419</v>
      </c>
      <c r="E8407" t="s">
        <v>556</v>
      </c>
      <c r="F8407" t="s">
        <v>1068</v>
      </c>
      <c r="G8407" t="s">
        <v>1080</v>
      </c>
      <c r="H8407" s="170">
        <v>-1.2785870021026899E-9</v>
      </c>
      <c r="I8407" t="s">
        <v>1082</v>
      </c>
      <c r="J8407">
        <v>7.14</v>
      </c>
    </row>
    <row r="8408" spans="1:10" hidden="1">
      <c r="A8408" t="s">
        <v>5433</v>
      </c>
      <c r="B8408" t="s">
        <v>5434</v>
      </c>
      <c r="C8408" t="s">
        <v>5111</v>
      </c>
      <c r="D8408" t="s">
        <v>5419</v>
      </c>
      <c r="E8408" t="s">
        <v>556</v>
      </c>
      <c r="F8408" t="s">
        <v>1068</v>
      </c>
      <c r="G8408" t="s">
        <v>1083</v>
      </c>
      <c r="H8408" s="170">
        <v>-3.1553334021154398E-5</v>
      </c>
      <c r="I8408" t="s">
        <v>1084</v>
      </c>
      <c r="J8408">
        <v>7.14</v>
      </c>
    </row>
    <row r="8409" spans="1:10" hidden="1">
      <c r="A8409" t="s">
        <v>5433</v>
      </c>
      <c r="B8409" t="s">
        <v>5434</v>
      </c>
      <c r="C8409" t="s">
        <v>5111</v>
      </c>
      <c r="D8409" t="s">
        <v>5419</v>
      </c>
      <c r="E8409" t="s">
        <v>556</v>
      </c>
      <c r="F8409" t="s">
        <v>1068</v>
      </c>
      <c r="G8409" t="s">
        <v>1085</v>
      </c>
      <c r="H8409">
        <v>-1.81459611051423E-4</v>
      </c>
      <c r="I8409" t="s">
        <v>1086</v>
      </c>
      <c r="J8409">
        <v>7.14</v>
      </c>
    </row>
    <row r="8410" spans="1:10" hidden="1">
      <c r="A8410" t="s">
        <v>5433</v>
      </c>
      <c r="B8410" t="s">
        <v>5434</v>
      </c>
      <c r="C8410" t="s">
        <v>5111</v>
      </c>
      <c r="D8410" t="s">
        <v>5419</v>
      </c>
      <c r="E8410" t="s">
        <v>556</v>
      </c>
      <c r="F8410" t="s">
        <v>1068</v>
      </c>
      <c r="G8410" t="s">
        <v>1087</v>
      </c>
      <c r="H8410" s="170">
        <v>-2.35447463519987E-7</v>
      </c>
      <c r="I8410" t="s">
        <v>1088</v>
      </c>
      <c r="J8410">
        <v>7.14</v>
      </c>
    </row>
    <row r="8411" spans="1:10" hidden="1">
      <c r="A8411" t="s">
        <v>5433</v>
      </c>
      <c r="B8411" t="s">
        <v>5434</v>
      </c>
      <c r="C8411" t="s">
        <v>5111</v>
      </c>
      <c r="D8411" t="s">
        <v>5419</v>
      </c>
      <c r="E8411" t="s">
        <v>556</v>
      </c>
      <c r="F8411" t="s">
        <v>1068</v>
      </c>
      <c r="G8411" t="s">
        <v>1089</v>
      </c>
      <c r="H8411" s="170">
        <v>-8.2803501465461607E-6</v>
      </c>
      <c r="I8411" t="s">
        <v>1090</v>
      </c>
      <c r="J8411">
        <v>7.14</v>
      </c>
    </row>
    <row r="8412" spans="1:10" hidden="1">
      <c r="A8412" t="s">
        <v>5436</v>
      </c>
      <c r="B8412" t="s">
        <v>5437</v>
      </c>
      <c r="C8412" t="s">
        <v>5111</v>
      </c>
      <c r="D8412" t="s">
        <v>5419</v>
      </c>
      <c r="E8412" t="s">
        <v>557</v>
      </c>
      <c r="F8412" t="s">
        <v>1068</v>
      </c>
      <c r="G8412" t="s">
        <v>1069</v>
      </c>
      <c r="H8412">
        <v>-0.19209344951013499</v>
      </c>
      <c r="I8412" t="s">
        <v>1070</v>
      </c>
      <c r="J8412">
        <v>8.76</v>
      </c>
    </row>
    <row r="8413" spans="1:10" hidden="1">
      <c r="A8413" t="s">
        <v>5436</v>
      </c>
      <c r="B8413" t="s">
        <v>5437</v>
      </c>
      <c r="C8413" t="s">
        <v>5111</v>
      </c>
      <c r="D8413" t="s">
        <v>5419</v>
      </c>
      <c r="E8413" t="s">
        <v>557</v>
      </c>
      <c r="F8413" t="s">
        <v>1068</v>
      </c>
      <c r="G8413" t="s">
        <v>1071</v>
      </c>
      <c r="H8413" s="170">
        <v>-1.26689659926811E-10</v>
      </c>
      <c r="I8413" t="s">
        <v>1072</v>
      </c>
      <c r="J8413">
        <v>8.76</v>
      </c>
    </row>
    <row r="8414" spans="1:10" hidden="1">
      <c r="A8414" t="s">
        <v>5436</v>
      </c>
      <c r="B8414" t="s">
        <v>5437</v>
      </c>
      <c r="C8414" t="s">
        <v>5111</v>
      </c>
      <c r="D8414" t="s">
        <v>5419</v>
      </c>
      <c r="E8414" t="s">
        <v>557</v>
      </c>
      <c r="F8414" t="s">
        <v>1068</v>
      </c>
      <c r="G8414" t="s">
        <v>1073</v>
      </c>
      <c r="H8414" s="170">
        <v>-6.3033168580778205E-8</v>
      </c>
      <c r="I8414" t="s">
        <v>1074</v>
      </c>
      <c r="J8414">
        <v>8.76</v>
      </c>
    </row>
    <row r="8415" spans="1:10" hidden="1">
      <c r="A8415" t="s">
        <v>5436</v>
      </c>
      <c r="B8415" t="s">
        <v>5437</v>
      </c>
      <c r="C8415" t="s">
        <v>5111</v>
      </c>
      <c r="D8415" t="s">
        <v>5419</v>
      </c>
      <c r="E8415" t="s">
        <v>557</v>
      </c>
      <c r="F8415" t="s">
        <v>1068</v>
      </c>
      <c r="G8415" t="s">
        <v>1075</v>
      </c>
      <c r="H8415">
        <v>4.5018092617039797E-4</v>
      </c>
      <c r="I8415" t="s">
        <v>1077</v>
      </c>
      <c r="J8415">
        <v>8.76</v>
      </c>
    </row>
    <row r="8416" spans="1:10" hidden="1">
      <c r="A8416" t="s">
        <v>5436</v>
      </c>
      <c r="B8416" t="s">
        <v>5437</v>
      </c>
      <c r="C8416" t="s">
        <v>5111</v>
      </c>
      <c r="D8416" t="s">
        <v>5419</v>
      </c>
      <c r="E8416" t="s">
        <v>557</v>
      </c>
      <c r="F8416" t="s">
        <v>1068</v>
      </c>
      <c r="G8416" t="s">
        <v>1078</v>
      </c>
      <c r="H8416" s="171" t="s">
        <v>5438</v>
      </c>
      <c r="I8416" t="s">
        <v>1079</v>
      </c>
      <c r="J8416">
        <v>8.76</v>
      </c>
    </row>
    <row r="8417" spans="1:10" hidden="1">
      <c r="A8417" t="s">
        <v>5436</v>
      </c>
      <c r="B8417" t="s">
        <v>5437</v>
      </c>
      <c r="C8417" t="s">
        <v>5111</v>
      </c>
      <c r="D8417" t="s">
        <v>5419</v>
      </c>
      <c r="E8417" t="s">
        <v>557</v>
      </c>
      <c r="F8417" t="s">
        <v>1068</v>
      </c>
      <c r="G8417" t="s">
        <v>1080</v>
      </c>
      <c r="H8417" s="170">
        <v>-1.16798734156049E-9</v>
      </c>
      <c r="I8417" t="s">
        <v>1082</v>
      </c>
      <c r="J8417">
        <v>8.76</v>
      </c>
    </row>
    <row r="8418" spans="1:10" hidden="1">
      <c r="A8418" t="s">
        <v>5436</v>
      </c>
      <c r="B8418" t="s">
        <v>5437</v>
      </c>
      <c r="C8418" t="s">
        <v>5111</v>
      </c>
      <c r="D8418" t="s">
        <v>5419</v>
      </c>
      <c r="E8418" t="s">
        <v>557</v>
      </c>
      <c r="F8418" t="s">
        <v>1068</v>
      </c>
      <c r="G8418" t="s">
        <v>1083</v>
      </c>
      <c r="H8418" s="170">
        <v>-2.8528993828548701E-5</v>
      </c>
      <c r="I8418" t="s">
        <v>1084</v>
      </c>
      <c r="J8418">
        <v>8.76</v>
      </c>
    </row>
    <row r="8419" spans="1:10" hidden="1">
      <c r="A8419" t="s">
        <v>5436</v>
      </c>
      <c r="B8419" t="s">
        <v>5437</v>
      </c>
      <c r="C8419" t="s">
        <v>5111</v>
      </c>
      <c r="D8419" t="s">
        <v>5419</v>
      </c>
      <c r="E8419" t="s">
        <v>557</v>
      </c>
      <c r="F8419" t="s">
        <v>1068</v>
      </c>
      <c r="G8419" t="s">
        <v>1085</v>
      </c>
      <c r="H8419">
        <v>-1.47278429334478E-4</v>
      </c>
      <c r="I8419" t="s">
        <v>1086</v>
      </c>
      <c r="J8419">
        <v>8.76</v>
      </c>
    </row>
    <row r="8420" spans="1:10" hidden="1">
      <c r="A8420" t="s">
        <v>5436</v>
      </c>
      <c r="B8420" t="s">
        <v>5437</v>
      </c>
      <c r="C8420" t="s">
        <v>5111</v>
      </c>
      <c r="D8420" t="s">
        <v>5419</v>
      </c>
      <c r="E8420" t="s">
        <v>557</v>
      </c>
      <c r="F8420" t="s">
        <v>1068</v>
      </c>
      <c r="G8420" t="s">
        <v>1087</v>
      </c>
      <c r="H8420" s="170">
        <v>-2.1895146858504599E-7</v>
      </c>
      <c r="I8420" t="s">
        <v>1088</v>
      </c>
      <c r="J8420">
        <v>8.76</v>
      </c>
    </row>
    <row r="8421" spans="1:10" hidden="1">
      <c r="A8421" t="s">
        <v>5436</v>
      </c>
      <c r="B8421" t="s">
        <v>5437</v>
      </c>
      <c r="C8421" t="s">
        <v>5111</v>
      </c>
      <c r="D8421" t="s">
        <v>5419</v>
      </c>
      <c r="E8421" t="s">
        <v>557</v>
      </c>
      <c r="F8421" t="s">
        <v>1068</v>
      </c>
      <c r="G8421" t="s">
        <v>1089</v>
      </c>
      <c r="H8421" s="170">
        <v>-1.22884012630229E-6</v>
      </c>
      <c r="I8421" t="s">
        <v>1090</v>
      </c>
      <c r="J8421">
        <v>8.76</v>
      </c>
    </row>
    <row r="8422" spans="1:10" hidden="1">
      <c r="A8422" t="s">
        <v>5439</v>
      </c>
      <c r="B8422" t="s">
        <v>5440</v>
      </c>
      <c r="C8422" t="s">
        <v>5111</v>
      </c>
      <c r="D8422" t="s">
        <v>5419</v>
      </c>
      <c r="E8422" t="s">
        <v>559</v>
      </c>
      <c r="F8422" t="s">
        <v>1068</v>
      </c>
      <c r="G8422" t="s">
        <v>1069</v>
      </c>
      <c r="H8422">
        <v>-0.20170131688689899</v>
      </c>
      <c r="I8422" t="s">
        <v>1070</v>
      </c>
      <c r="J8422">
        <v>8</v>
      </c>
    </row>
    <row r="8423" spans="1:10" hidden="1">
      <c r="A8423" t="s">
        <v>5439</v>
      </c>
      <c r="B8423" t="s">
        <v>5440</v>
      </c>
      <c r="C8423" t="s">
        <v>5111</v>
      </c>
      <c r="D8423" t="s">
        <v>5419</v>
      </c>
      <c r="E8423" t="s">
        <v>559</v>
      </c>
      <c r="F8423" t="s">
        <v>1068</v>
      </c>
      <c r="G8423" t="s">
        <v>1071</v>
      </c>
      <c r="H8423" s="170">
        <v>-1.4043828291868099E-10</v>
      </c>
      <c r="I8423" t="s">
        <v>1072</v>
      </c>
      <c r="J8423">
        <v>8</v>
      </c>
    </row>
    <row r="8424" spans="1:10" hidden="1">
      <c r="A8424" t="s">
        <v>5439</v>
      </c>
      <c r="B8424" t="s">
        <v>5440</v>
      </c>
      <c r="C8424" t="s">
        <v>5111</v>
      </c>
      <c r="D8424" t="s">
        <v>5419</v>
      </c>
      <c r="E8424" t="s">
        <v>559</v>
      </c>
      <c r="F8424" t="s">
        <v>1068</v>
      </c>
      <c r="G8424" t="s">
        <v>1073</v>
      </c>
      <c r="H8424" s="170">
        <v>-6.6447337488364103E-8</v>
      </c>
      <c r="I8424" t="s">
        <v>1074</v>
      </c>
      <c r="J8424">
        <v>8</v>
      </c>
    </row>
    <row r="8425" spans="1:10" hidden="1">
      <c r="A8425" t="s">
        <v>5439</v>
      </c>
      <c r="B8425" t="s">
        <v>5440</v>
      </c>
      <c r="C8425" t="s">
        <v>5111</v>
      </c>
      <c r="D8425" t="s">
        <v>5419</v>
      </c>
      <c r="E8425" t="s">
        <v>559</v>
      </c>
      <c r="F8425" t="s">
        <v>1068</v>
      </c>
      <c r="G8425" t="s">
        <v>1075</v>
      </c>
      <c r="H8425">
        <v>1.4630936779882101E-4</v>
      </c>
      <c r="I8425" t="s">
        <v>1077</v>
      </c>
      <c r="J8425">
        <v>8</v>
      </c>
    </row>
    <row r="8426" spans="1:10" hidden="1">
      <c r="A8426" t="s">
        <v>5439</v>
      </c>
      <c r="B8426" t="s">
        <v>5440</v>
      </c>
      <c r="C8426" t="s">
        <v>5111</v>
      </c>
      <c r="D8426" t="s">
        <v>5419</v>
      </c>
      <c r="E8426" t="s">
        <v>559</v>
      </c>
      <c r="F8426" t="s">
        <v>1068</v>
      </c>
      <c r="G8426" t="s">
        <v>1078</v>
      </c>
      <c r="H8426" s="171" t="s">
        <v>5441</v>
      </c>
      <c r="I8426" t="s">
        <v>1079</v>
      </c>
      <c r="J8426">
        <v>8</v>
      </c>
    </row>
    <row r="8427" spans="1:10" hidden="1">
      <c r="A8427" t="s">
        <v>5439</v>
      </c>
      <c r="B8427" t="s">
        <v>5440</v>
      </c>
      <c r="C8427" t="s">
        <v>5111</v>
      </c>
      <c r="D8427" t="s">
        <v>5419</v>
      </c>
      <c r="E8427" t="s">
        <v>559</v>
      </c>
      <c r="F8427" t="s">
        <v>1068</v>
      </c>
      <c r="G8427" t="s">
        <v>1080</v>
      </c>
      <c r="H8427" s="170">
        <v>-1.2214215669792899E-9</v>
      </c>
      <c r="I8427" t="s">
        <v>1082</v>
      </c>
      <c r="J8427">
        <v>8</v>
      </c>
    </row>
    <row r="8428" spans="1:10" hidden="1">
      <c r="A8428" t="s">
        <v>5439</v>
      </c>
      <c r="B8428" t="s">
        <v>5440</v>
      </c>
      <c r="C8428" t="s">
        <v>5111</v>
      </c>
      <c r="D8428" t="s">
        <v>5419</v>
      </c>
      <c r="E8428" t="s">
        <v>559</v>
      </c>
      <c r="F8428" t="s">
        <v>1068</v>
      </c>
      <c r="G8428" t="s">
        <v>1083</v>
      </c>
      <c r="H8428" s="170">
        <v>-2.9990149234158101E-5</v>
      </c>
      <c r="I8428" t="s">
        <v>1084</v>
      </c>
      <c r="J8428">
        <v>8</v>
      </c>
    </row>
    <row r="8429" spans="1:10" hidden="1">
      <c r="A8429" t="s">
        <v>5439</v>
      </c>
      <c r="B8429" t="s">
        <v>5440</v>
      </c>
      <c r="C8429" t="s">
        <v>5111</v>
      </c>
      <c r="D8429" t="s">
        <v>5419</v>
      </c>
      <c r="E8429" t="s">
        <v>559</v>
      </c>
      <c r="F8429" t="s">
        <v>1068</v>
      </c>
      <c r="G8429" t="s">
        <v>1085</v>
      </c>
      <c r="H8429">
        <v>-1.63792450360488E-4</v>
      </c>
      <c r="I8429" t="s">
        <v>1086</v>
      </c>
      <c r="J8429">
        <v>8</v>
      </c>
    </row>
    <row r="8430" spans="1:10" hidden="1">
      <c r="A8430" t="s">
        <v>5439</v>
      </c>
      <c r="B8430" t="s">
        <v>5440</v>
      </c>
      <c r="C8430" t="s">
        <v>5111</v>
      </c>
      <c r="D8430" t="s">
        <v>5419</v>
      </c>
      <c r="E8430" t="s">
        <v>559</v>
      </c>
      <c r="F8430" t="s">
        <v>1068</v>
      </c>
      <c r="G8430" t="s">
        <v>1087</v>
      </c>
      <c r="H8430" s="170">
        <v>-2.2692121110202001E-7</v>
      </c>
      <c r="I8430" t="s">
        <v>1088</v>
      </c>
      <c r="J8430">
        <v>8</v>
      </c>
    </row>
    <row r="8431" spans="1:10" hidden="1">
      <c r="A8431" t="s">
        <v>5439</v>
      </c>
      <c r="B8431" t="s">
        <v>5440</v>
      </c>
      <c r="C8431" t="s">
        <v>5111</v>
      </c>
      <c r="D8431" t="s">
        <v>5419</v>
      </c>
      <c r="E8431" t="s">
        <v>559</v>
      </c>
      <c r="F8431" t="s">
        <v>1068</v>
      </c>
      <c r="G8431" t="s">
        <v>1089</v>
      </c>
      <c r="H8431" s="170">
        <v>-4.6356497839872601E-6</v>
      </c>
      <c r="I8431" t="s">
        <v>1090</v>
      </c>
      <c r="J8431">
        <v>8</v>
      </c>
    </row>
    <row r="8432" spans="1:10" hidden="1">
      <c r="A8432" t="s">
        <v>5442</v>
      </c>
      <c r="B8432" t="s">
        <v>5443</v>
      </c>
      <c r="C8432" t="s">
        <v>5111</v>
      </c>
      <c r="D8432" t="s">
        <v>5419</v>
      </c>
      <c r="E8432" t="s">
        <v>560</v>
      </c>
      <c r="F8432" t="s">
        <v>1068</v>
      </c>
      <c r="G8432" t="s">
        <v>1069</v>
      </c>
      <c r="H8432">
        <v>-0.198431162520494</v>
      </c>
      <c r="I8432" t="s">
        <v>1070</v>
      </c>
      <c r="J8432">
        <v>380.67</v>
      </c>
    </row>
    <row r="8433" spans="1:10" hidden="1">
      <c r="A8433" t="s">
        <v>5442</v>
      </c>
      <c r="B8433" t="s">
        <v>5443</v>
      </c>
      <c r="C8433" t="s">
        <v>5111</v>
      </c>
      <c r="D8433" t="s">
        <v>5419</v>
      </c>
      <c r="E8433" t="s">
        <v>560</v>
      </c>
      <c r="F8433" t="s">
        <v>1068</v>
      </c>
      <c r="G8433" t="s">
        <v>1071</v>
      </c>
      <c r="H8433" s="170">
        <v>-1.3575899934806401E-10</v>
      </c>
      <c r="I8433" t="s">
        <v>1072</v>
      </c>
      <c r="J8433">
        <v>380.67</v>
      </c>
    </row>
    <row r="8434" spans="1:10" hidden="1">
      <c r="A8434" t="s">
        <v>5442</v>
      </c>
      <c r="B8434" t="s">
        <v>5443</v>
      </c>
      <c r="C8434" t="s">
        <v>5111</v>
      </c>
      <c r="D8434" t="s">
        <v>5419</v>
      </c>
      <c r="E8434" t="s">
        <v>560</v>
      </c>
      <c r="F8434" t="s">
        <v>1068</v>
      </c>
      <c r="G8434" t="s">
        <v>1073</v>
      </c>
      <c r="H8434" s="170">
        <v>-6.5284344295802707E-8</v>
      </c>
      <c r="I8434" t="s">
        <v>1074</v>
      </c>
      <c r="J8434">
        <v>380.67</v>
      </c>
    </row>
    <row r="8435" spans="1:10" hidden="1">
      <c r="A8435" t="s">
        <v>5442</v>
      </c>
      <c r="B8435" t="s">
        <v>5443</v>
      </c>
      <c r="C8435" t="s">
        <v>5111</v>
      </c>
      <c r="D8435" t="s">
        <v>5419</v>
      </c>
      <c r="E8435" t="s">
        <v>560</v>
      </c>
      <c r="F8435" t="s">
        <v>1068</v>
      </c>
      <c r="G8435" t="s">
        <v>1075</v>
      </c>
      <c r="H8435">
        <v>2.4983904752761001E-4</v>
      </c>
      <c r="I8435" t="s">
        <v>1077</v>
      </c>
      <c r="J8435">
        <v>380.67</v>
      </c>
    </row>
    <row r="8436" spans="1:10" hidden="1">
      <c r="A8436" t="s">
        <v>5442</v>
      </c>
      <c r="B8436" t="s">
        <v>5443</v>
      </c>
      <c r="C8436" t="s">
        <v>5111</v>
      </c>
      <c r="D8436" t="s">
        <v>5419</v>
      </c>
      <c r="E8436" t="s">
        <v>560</v>
      </c>
      <c r="F8436" t="s">
        <v>1068</v>
      </c>
      <c r="G8436" t="s">
        <v>1078</v>
      </c>
      <c r="H8436" s="171" t="s">
        <v>5444</v>
      </c>
      <c r="I8436" t="s">
        <v>1079</v>
      </c>
      <c r="J8436">
        <v>380.67</v>
      </c>
    </row>
    <row r="8437" spans="1:10" hidden="1">
      <c r="A8437" t="s">
        <v>5442</v>
      </c>
      <c r="B8437" t="s">
        <v>5443</v>
      </c>
      <c r="C8437" t="s">
        <v>5111</v>
      </c>
      <c r="D8437" t="s">
        <v>5419</v>
      </c>
      <c r="E8437" t="s">
        <v>560</v>
      </c>
      <c r="F8437" t="s">
        <v>1068</v>
      </c>
      <c r="G8437" t="s">
        <v>1080</v>
      </c>
      <c r="H8437" s="170">
        <v>-1.2032164133657401E-9</v>
      </c>
      <c r="I8437" t="s">
        <v>1082</v>
      </c>
      <c r="J8437">
        <v>380.67</v>
      </c>
    </row>
    <row r="8438" spans="1:10" hidden="1">
      <c r="A8438" t="s">
        <v>5442</v>
      </c>
      <c r="B8438" t="s">
        <v>5443</v>
      </c>
      <c r="C8438" t="s">
        <v>5111</v>
      </c>
      <c r="D8438" t="s">
        <v>5419</v>
      </c>
      <c r="E8438" t="s">
        <v>560</v>
      </c>
      <c r="F8438" t="s">
        <v>1068</v>
      </c>
      <c r="G8438" t="s">
        <v>1083</v>
      </c>
      <c r="H8438" s="170">
        <v>-2.9492330309535699E-5</v>
      </c>
      <c r="I8438" t="s">
        <v>1084</v>
      </c>
      <c r="J8438">
        <v>380.67</v>
      </c>
    </row>
    <row r="8439" spans="1:10" hidden="1">
      <c r="A8439" t="s">
        <v>5442</v>
      </c>
      <c r="B8439" t="s">
        <v>5443</v>
      </c>
      <c r="C8439" t="s">
        <v>5111</v>
      </c>
      <c r="D8439" t="s">
        <v>5419</v>
      </c>
      <c r="E8439" t="s">
        <v>560</v>
      </c>
      <c r="F8439" t="s">
        <v>1068</v>
      </c>
      <c r="G8439" t="s">
        <v>1085</v>
      </c>
      <c r="H8439">
        <v>-1.58166086731491E-4</v>
      </c>
      <c r="I8439" t="s">
        <v>1086</v>
      </c>
      <c r="J8439">
        <v>380.67</v>
      </c>
    </row>
    <row r="8440" spans="1:10" hidden="1">
      <c r="A8440" t="s">
        <v>5442</v>
      </c>
      <c r="B8440" t="s">
        <v>5443</v>
      </c>
      <c r="C8440" t="s">
        <v>5111</v>
      </c>
      <c r="D8440" t="s">
        <v>5419</v>
      </c>
      <c r="E8440" t="s">
        <v>560</v>
      </c>
      <c r="F8440" t="s">
        <v>1068</v>
      </c>
      <c r="G8440" t="s">
        <v>1087</v>
      </c>
      <c r="H8440" s="170">
        <v>-2.2420590175804999E-7</v>
      </c>
      <c r="I8440" t="s">
        <v>1088</v>
      </c>
      <c r="J8440">
        <v>380.67</v>
      </c>
    </row>
    <row r="8441" spans="1:10" hidden="1">
      <c r="A8441" t="s">
        <v>5442</v>
      </c>
      <c r="B8441" t="s">
        <v>5443</v>
      </c>
      <c r="C8441" t="s">
        <v>5111</v>
      </c>
      <c r="D8441" t="s">
        <v>5419</v>
      </c>
      <c r="E8441" t="s">
        <v>560</v>
      </c>
      <c r="F8441" t="s">
        <v>1068</v>
      </c>
      <c r="G8441" t="s">
        <v>1089</v>
      </c>
      <c r="H8441" s="170">
        <v>-3.4749423470564098E-6</v>
      </c>
      <c r="I8441" t="s">
        <v>1090</v>
      </c>
      <c r="J8441">
        <v>380.67</v>
      </c>
    </row>
    <row r="8442" spans="1:10" hidden="1">
      <c r="A8442" t="s">
        <v>5445</v>
      </c>
      <c r="B8442" t="s">
        <v>5446</v>
      </c>
      <c r="C8442" t="s">
        <v>5111</v>
      </c>
      <c r="D8442" t="s">
        <v>5419</v>
      </c>
      <c r="E8442" t="s">
        <v>1116</v>
      </c>
      <c r="F8442" t="s">
        <v>1068</v>
      </c>
      <c r="G8442" t="s">
        <v>1069</v>
      </c>
      <c r="H8442">
        <v>-0.17919556618070501</v>
      </c>
      <c r="I8442" t="s">
        <v>1070</v>
      </c>
      <c r="J8442">
        <v>35.409999999999997</v>
      </c>
    </row>
    <row r="8443" spans="1:10" hidden="1">
      <c r="A8443" t="s">
        <v>5445</v>
      </c>
      <c r="B8443" t="s">
        <v>5446</v>
      </c>
      <c r="C8443" t="s">
        <v>5111</v>
      </c>
      <c r="D8443" t="s">
        <v>5419</v>
      </c>
      <c r="E8443" t="s">
        <v>1116</v>
      </c>
      <c r="F8443" t="s">
        <v>1068</v>
      </c>
      <c r="G8443" t="s">
        <v>1071</v>
      </c>
      <c r="H8443" s="170">
        <v>-1.08232642144667E-10</v>
      </c>
      <c r="I8443" t="s">
        <v>1072</v>
      </c>
      <c r="J8443">
        <v>35.409999999999997</v>
      </c>
    </row>
    <row r="8444" spans="1:10" hidden="1">
      <c r="A8444" t="s">
        <v>5445</v>
      </c>
      <c r="B8444" t="s">
        <v>5446</v>
      </c>
      <c r="C8444" t="s">
        <v>5111</v>
      </c>
      <c r="D8444" t="s">
        <v>5419</v>
      </c>
      <c r="E8444" t="s">
        <v>1116</v>
      </c>
      <c r="F8444" t="s">
        <v>1068</v>
      </c>
      <c r="G8444" t="s">
        <v>1073</v>
      </c>
      <c r="H8444" s="170">
        <v>-5.8451799610777001E-8</v>
      </c>
      <c r="I8444" t="s">
        <v>1074</v>
      </c>
      <c r="J8444">
        <v>35.409999999999997</v>
      </c>
    </row>
    <row r="8445" spans="1:10" hidden="1">
      <c r="A8445" t="s">
        <v>5445</v>
      </c>
      <c r="B8445" t="s">
        <v>5446</v>
      </c>
      <c r="C8445" t="s">
        <v>5111</v>
      </c>
      <c r="D8445" t="s">
        <v>5419</v>
      </c>
      <c r="E8445" t="s">
        <v>1116</v>
      </c>
      <c r="F8445" t="s">
        <v>1068</v>
      </c>
      <c r="G8445" t="s">
        <v>1075</v>
      </c>
      <c r="H8445">
        <v>8.5789679662870498E-4</v>
      </c>
      <c r="I8445" t="s">
        <v>1077</v>
      </c>
      <c r="J8445">
        <v>35.409999999999997</v>
      </c>
    </row>
    <row r="8446" spans="1:10" hidden="1">
      <c r="A8446" t="s">
        <v>5445</v>
      </c>
      <c r="B8446" t="s">
        <v>5446</v>
      </c>
      <c r="C8446" t="s">
        <v>5111</v>
      </c>
      <c r="D8446" t="s">
        <v>5419</v>
      </c>
      <c r="E8446" t="s">
        <v>1116</v>
      </c>
      <c r="F8446" t="s">
        <v>1068</v>
      </c>
      <c r="G8446" t="s">
        <v>1078</v>
      </c>
      <c r="H8446" s="171" t="s">
        <v>5447</v>
      </c>
      <c r="I8446" t="s">
        <v>1079</v>
      </c>
      <c r="J8446">
        <v>35.409999999999997</v>
      </c>
    </row>
    <row r="8447" spans="1:10" hidden="1">
      <c r="A8447" t="s">
        <v>5445</v>
      </c>
      <c r="B8447" t="s">
        <v>5446</v>
      </c>
      <c r="C8447" t="s">
        <v>5111</v>
      </c>
      <c r="D8447" t="s">
        <v>5419</v>
      </c>
      <c r="E8447" t="s">
        <v>1116</v>
      </c>
      <c r="F8447" t="s">
        <v>1068</v>
      </c>
      <c r="G8447" t="s">
        <v>1080</v>
      </c>
      <c r="H8447" s="170">
        <v>-1.0962926376183E-9</v>
      </c>
      <c r="I8447" t="s">
        <v>1082</v>
      </c>
      <c r="J8447">
        <v>35.409999999999997</v>
      </c>
    </row>
    <row r="8448" spans="1:10" hidden="1">
      <c r="A8448" t="s">
        <v>5445</v>
      </c>
      <c r="B8448" t="s">
        <v>5446</v>
      </c>
      <c r="C8448" t="s">
        <v>5111</v>
      </c>
      <c r="D8448" t="s">
        <v>5419</v>
      </c>
      <c r="E8448" t="s">
        <v>1116</v>
      </c>
      <c r="F8448" t="s">
        <v>1068</v>
      </c>
      <c r="G8448" t="s">
        <v>1083</v>
      </c>
      <c r="H8448" s="170">
        <v>-2.6568507211618501E-5</v>
      </c>
      <c r="I8448" t="s">
        <v>1084</v>
      </c>
      <c r="J8448">
        <v>35.409999999999997</v>
      </c>
    </row>
    <row r="8449" spans="1:10" hidden="1">
      <c r="A8449" t="s">
        <v>5445</v>
      </c>
      <c r="B8449" t="s">
        <v>5446</v>
      </c>
      <c r="C8449" t="s">
        <v>5111</v>
      </c>
      <c r="D8449" t="s">
        <v>5419</v>
      </c>
      <c r="E8449" t="s">
        <v>1116</v>
      </c>
      <c r="F8449" t="s">
        <v>1068</v>
      </c>
      <c r="G8449" t="s">
        <v>1085</v>
      </c>
      <c r="H8449">
        <v>-1.2512095161215799E-4</v>
      </c>
      <c r="I8449" t="s">
        <v>1086</v>
      </c>
      <c r="J8449">
        <v>35.409999999999997</v>
      </c>
    </row>
    <row r="8450" spans="1:10" hidden="1">
      <c r="A8450" t="s">
        <v>5445</v>
      </c>
      <c r="B8450" t="s">
        <v>5446</v>
      </c>
      <c r="C8450" t="s">
        <v>5111</v>
      </c>
      <c r="D8450" t="s">
        <v>5419</v>
      </c>
      <c r="E8450" t="s">
        <v>1116</v>
      </c>
      <c r="F8450" t="s">
        <v>1068</v>
      </c>
      <c r="G8450" t="s">
        <v>1087</v>
      </c>
      <c r="H8450" s="170">
        <v>-2.0825816866488101E-7</v>
      </c>
      <c r="I8450" t="s">
        <v>1088</v>
      </c>
      <c r="J8450">
        <v>35.409999999999997</v>
      </c>
    </row>
    <row r="8451" spans="1:10" hidden="1">
      <c r="A8451" t="s">
        <v>5445</v>
      </c>
      <c r="B8451" t="s">
        <v>5446</v>
      </c>
      <c r="C8451" t="s">
        <v>5111</v>
      </c>
      <c r="D8451" t="s">
        <v>5419</v>
      </c>
      <c r="E8451" t="s">
        <v>1116</v>
      </c>
      <c r="F8451" t="s">
        <v>1068</v>
      </c>
      <c r="G8451" t="s">
        <v>1089</v>
      </c>
      <c r="H8451" s="171" t="s">
        <v>5448</v>
      </c>
      <c r="I8451" t="s">
        <v>1090</v>
      </c>
      <c r="J8451">
        <v>35.409999999999997</v>
      </c>
    </row>
    <row r="8452" spans="1:10" hidden="1">
      <c r="A8452" t="s">
        <v>5449</v>
      </c>
      <c r="B8452" t="s">
        <v>5450</v>
      </c>
      <c r="C8452" t="s">
        <v>5111</v>
      </c>
      <c r="D8452" t="s">
        <v>1067</v>
      </c>
      <c r="E8452" t="s">
        <v>561</v>
      </c>
      <c r="F8452" t="s">
        <v>1068</v>
      </c>
      <c r="G8452" t="s">
        <v>1069</v>
      </c>
      <c r="H8452">
        <v>-0.49924255595453498</v>
      </c>
      <c r="I8452" t="s">
        <v>1070</v>
      </c>
      <c r="J8452">
        <v>13.79</v>
      </c>
    </row>
    <row r="8453" spans="1:10" hidden="1">
      <c r="A8453" t="s">
        <v>5449</v>
      </c>
      <c r="B8453" t="s">
        <v>5450</v>
      </c>
      <c r="C8453" t="s">
        <v>5111</v>
      </c>
      <c r="D8453" t="s">
        <v>1067</v>
      </c>
      <c r="E8453" t="s">
        <v>561</v>
      </c>
      <c r="F8453" t="s">
        <v>1068</v>
      </c>
      <c r="G8453" t="s">
        <v>1071</v>
      </c>
      <c r="H8453" s="170">
        <v>-4.7160088799487401E-10</v>
      </c>
      <c r="I8453" t="s">
        <v>1072</v>
      </c>
      <c r="J8453">
        <v>13.79</v>
      </c>
    </row>
    <row r="8454" spans="1:10" hidden="1">
      <c r="A8454" t="s">
        <v>5449</v>
      </c>
      <c r="B8454" t="s">
        <v>5450</v>
      </c>
      <c r="C8454" t="s">
        <v>5111</v>
      </c>
      <c r="D8454" t="s">
        <v>1067</v>
      </c>
      <c r="E8454" t="s">
        <v>561</v>
      </c>
      <c r="F8454" t="s">
        <v>1068</v>
      </c>
      <c r="G8454" t="s">
        <v>1073</v>
      </c>
      <c r="H8454" s="170">
        <v>-1.73641597197033E-7</v>
      </c>
      <c r="I8454" t="s">
        <v>1074</v>
      </c>
      <c r="J8454">
        <v>13.79</v>
      </c>
    </row>
    <row r="8455" spans="1:10" hidden="1">
      <c r="A8455" t="s">
        <v>5449</v>
      </c>
      <c r="B8455" t="s">
        <v>5450</v>
      </c>
      <c r="C8455" t="s">
        <v>5111</v>
      </c>
      <c r="D8455" t="s">
        <v>1067</v>
      </c>
      <c r="E8455" t="s">
        <v>561</v>
      </c>
      <c r="F8455" t="s">
        <v>1068</v>
      </c>
      <c r="G8455" t="s">
        <v>1075</v>
      </c>
      <c r="H8455">
        <v>-7.8792603995468807E-3</v>
      </c>
      <c r="I8455" t="s">
        <v>1077</v>
      </c>
      <c r="J8455">
        <v>13.79</v>
      </c>
    </row>
    <row r="8456" spans="1:10" hidden="1">
      <c r="A8456" t="s">
        <v>5449</v>
      </c>
      <c r="B8456" t="s">
        <v>5450</v>
      </c>
      <c r="C8456" t="s">
        <v>5111</v>
      </c>
      <c r="D8456" t="s">
        <v>1067</v>
      </c>
      <c r="E8456" t="s">
        <v>561</v>
      </c>
      <c r="F8456" t="s">
        <v>1068</v>
      </c>
      <c r="G8456" t="s">
        <v>1078</v>
      </c>
      <c r="H8456">
        <v>-0.71785899660587404</v>
      </c>
      <c r="I8456" t="s">
        <v>1079</v>
      </c>
      <c r="J8456">
        <v>13.79</v>
      </c>
    </row>
    <row r="8457" spans="1:10" hidden="1">
      <c r="A8457" t="s">
        <v>5449</v>
      </c>
      <c r="B8457" t="s">
        <v>5450</v>
      </c>
      <c r="C8457" t="s">
        <v>5111</v>
      </c>
      <c r="D8457" t="s">
        <v>1067</v>
      </c>
      <c r="E8457" t="s">
        <v>561</v>
      </c>
      <c r="F8457" t="s">
        <v>1068</v>
      </c>
      <c r="G8457" t="s">
        <v>1080</v>
      </c>
      <c r="H8457" s="170">
        <v>-2.85077074080307E-9</v>
      </c>
      <c r="I8457" t="s">
        <v>1082</v>
      </c>
      <c r="J8457">
        <v>13.79</v>
      </c>
    </row>
    <row r="8458" spans="1:10" hidden="1">
      <c r="A8458" t="s">
        <v>5449</v>
      </c>
      <c r="B8458" t="s">
        <v>5450</v>
      </c>
      <c r="C8458" t="s">
        <v>5111</v>
      </c>
      <c r="D8458" t="s">
        <v>1067</v>
      </c>
      <c r="E8458" t="s">
        <v>561</v>
      </c>
      <c r="F8458" t="s">
        <v>1068</v>
      </c>
      <c r="G8458" t="s">
        <v>1083</v>
      </c>
      <c r="H8458" s="170">
        <v>-6.8383971797229804E-5</v>
      </c>
      <c r="I8458" t="s">
        <v>1084</v>
      </c>
      <c r="J8458">
        <v>13.79</v>
      </c>
    </row>
    <row r="8459" spans="1:10" hidden="1">
      <c r="A8459" t="s">
        <v>5449</v>
      </c>
      <c r="B8459" t="s">
        <v>5450</v>
      </c>
      <c r="C8459" t="s">
        <v>5111</v>
      </c>
      <c r="D8459" t="s">
        <v>1067</v>
      </c>
      <c r="E8459" t="s">
        <v>561</v>
      </c>
      <c r="F8459" t="s">
        <v>1068</v>
      </c>
      <c r="G8459" t="s">
        <v>1085</v>
      </c>
      <c r="H8459">
        <v>-5.8655941962622998E-4</v>
      </c>
      <c r="I8459" t="s">
        <v>1086</v>
      </c>
      <c r="J8459">
        <v>13.79</v>
      </c>
    </row>
    <row r="8460" spans="1:10" hidden="1">
      <c r="A8460" t="s">
        <v>5449</v>
      </c>
      <c r="B8460" t="s">
        <v>5450</v>
      </c>
      <c r="C8460" t="s">
        <v>5111</v>
      </c>
      <c r="D8460" t="s">
        <v>1067</v>
      </c>
      <c r="E8460" t="s">
        <v>561</v>
      </c>
      <c r="F8460" t="s">
        <v>1068</v>
      </c>
      <c r="G8460" t="s">
        <v>1087</v>
      </c>
      <c r="H8460" s="170">
        <v>-4.4933148184485902E-7</v>
      </c>
      <c r="I8460" t="s">
        <v>1088</v>
      </c>
      <c r="J8460">
        <v>13.79</v>
      </c>
    </row>
    <row r="8461" spans="1:10" hidden="1">
      <c r="A8461" t="s">
        <v>5449</v>
      </c>
      <c r="B8461" t="s">
        <v>5450</v>
      </c>
      <c r="C8461" t="s">
        <v>5111</v>
      </c>
      <c r="D8461" t="s">
        <v>1067</v>
      </c>
      <c r="E8461" t="s">
        <v>561</v>
      </c>
      <c r="F8461" t="s">
        <v>1068</v>
      </c>
      <c r="G8461" t="s">
        <v>1089</v>
      </c>
      <c r="H8461" s="170">
        <v>-9.1148689814364594E-5</v>
      </c>
      <c r="I8461" t="s">
        <v>1090</v>
      </c>
      <c r="J8461">
        <v>13.79</v>
      </c>
    </row>
    <row r="8462" spans="1:10" hidden="1">
      <c r="A8462" t="s">
        <v>5451</v>
      </c>
      <c r="B8462" t="s">
        <v>5452</v>
      </c>
      <c r="C8462" t="s">
        <v>5111</v>
      </c>
      <c r="D8462" t="s">
        <v>1067</v>
      </c>
      <c r="E8462" t="s">
        <v>555</v>
      </c>
      <c r="F8462" t="s">
        <v>1068</v>
      </c>
      <c r="G8462" t="s">
        <v>1069</v>
      </c>
      <c r="H8462">
        <v>-0.56399756987438299</v>
      </c>
      <c r="I8462" t="s">
        <v>1070</v>
      </c>
      <c r="J8462">
        <v>14.1</v>
      </c>
    </row>
    <row r="8463" spans="1:10" hidden="1">
      <c r="A8463" t="s">
        <v>5451</v>
      </c>
      <c r="B8463" t="s">
        <v>5452</v>
      </c>
      <c r="C8463" t="s">
        <v>5111</v>
      </c>
      <c r="D8463" t="s">
        <v>1067</v>
      </c>
      <c r="E8463" t="s">
        <v>555</v>
      </c>
      <c r="F8463" t="s">
        <v>1068</v>
      </c>
      <c r="G8463" t="s">
        <v>1071</v>
      </c>
      <c r="H8463" s="170">
        <v>-5.6426598981196104E-10</v>
      </c>
      <c r="I8463" t="s">
        <v>1072</v>
      </c>
      <c r="J8463">
        <v>14.1</v>
      </c>
    </row>
    <row r="8464" spans="1:10" hidden="1">
      <c r="A8464" t="s">
        <v>5451</v>
      </c>
      <c r="B8464" t="s">
        <v>5452</v>
      </c>
      <c r="C8464" t="s">
        <v>5111</v>
      </c>
      <c r="D8464" t="s">
        <v>1067</v>
      </c>
      <c r="E8464" t="s">
        <v>555</v>
      </c>
      <c r="F8464" t="s">
        <v>1068</v>
      </c>
      <c r="G8464" t="s">
        <v>1073</v>
      </c>
      <c r="H8464" s="170">
        <v>-1.96643030255003E-7</v>
      </c>
      <c r="I8464" t="s">
        <v>1074</v>
      </c>
      <c r="J8464">
        <v>14.1</v>
      </c>
    </row>
    <row r="8465" spans="1:10" hidden="1">
      <c r="A8465" t="s">
        <v>5451</v>
      </c>
      <c r="B8465" t="s">
        <v>5452</v>
      </c>
      <c r="C8465" t="s">
        <v>5111</v>
      </c>
      <c r="D8465" t="s">
        <v>1067</v>
      </c>
      <c r="E8465" t="s">
        <v>555</v>
      </c>
      <c r="F8465" t="s">
        <v>1068</v>
      </c>
      <c r="G8465" t="s">
        <v>1075</v>
      </c>
      <c r="H8465">
        <v>-9.9262627531158804E-3</v>
      </c>
      <c r="I8465" t="s">
        <v>1077</v>
      </c>
      <c r="J8465">
        <v>14.1</v>
      </c>
    </row>
    <row r="8466" spans="1:10" hidden="1">
      <c r="A8466" t="s">
        <v>5451</v>
      </c>
      <c r="B8466" t="s">
        <v>5452</v>
      </c>
      <c r="C8466" t="s">
        <v>5111</v>
      </c>
      <c r="D8466" t="s">
        <v>1067</v>
      </c>
      <c r="E8466" t="s">
        <v>555</v>
      </c>
      <c r="F8466" t="s">
        <v>1068</v>
      </c>
      <c r="G8466" t="s">
        <v>1078</v>
      </c>
      <c r="H8466">
        <v>-0.80637927493084305</v>
      </c>
      <c r="I8466" t="s">
        <v>1079</v>
      </c>
      <c r="J8466">
        <v>14.1</v>
      </c>
    </row>
    <row r="8467" spans="1:10" hidden="1">
      <c r="A8467" t="s">
        <v>5451</v>
      </c>
      <c r="B8467" t="s">
        <v>5452</v>
      </c>
      <c r="C8467" t="s">
        <v>5111</v>
      </c>
      <c r="D8467" t="s">
        <v>1067</v>
      </c>
      <c r="E8467" t="s">
        <v>555</v>
      </c>
      <c r="F8467" t="s">
        <v>1068</v>
      </c>
      <c r="G8467" t="s">
        <v>1080</v>
      </c>
      <c r="H8467" s="170">
        <v>-3.2107254013803001E-9</v>
      </c>
      <c r="I8467" t="s">
        <v>1082</v>
      </c>
      <c r="J8467">
        <v>14.1</v>
      </c>
    </row>
    <row r="8468" spans="1:10" hidden="1">
      <c r="A8468" t="s">
        <v>5451</v>
      </c>
      <c r="B8468" t="s">
        <v>5452</v>
      </c>
      <c r="C8468" t="s">
        <v>5111</v>
      </c>
      <c r="D8468" t="s">
        <v>1067</v>
      </c>
      <c r="E8468" t="s">
        <v>555</v>
      </c>
      <c r="F8468" t="s">
        <v>1068</v>
      </c>
      <c r="G8468" t="s">
        <v>1083</v>
      </c>
      <c r="H8468" s="170">
        <v>-7.8226906623681802E-5</v>
      </c>
      <c r="I8468" t="s">
        <v>1084</v>
      </c>
      <c r="J8468">
        <v>14.1</v>
      </c>
    </row>
    <row r="8469" spans="1:10" hidden="1">
      <c r="A8469" t="s">
        <v>5451</v>
      </c>
      <c r="B8469" t="s">
        <v>5452</v>
      </c>
      <c r="C8469" t="s">
        <v>5111</v>
      </c>
      <c r="D8469" t="s">
        <v>1067</v>
      </c>
      <c r="E8469" t="s">
        <v>555</v>
      </c>
      <c r="F8469" t="s">
        <v>1068</v>
      </c>
      <c r="G8469" t="s">
        <v>1085</v>
      </c>
      <c r="H8469">
        <v>-6.9780456002088199E-4</v>
      </c>
      <c r="I8469" t="s">
        <v>1086</v>
      </c>
      <c r="J8469">
        <v>14.1</v>
      </c>
    </row>
    <row r="8470" spans="1:10" hidden="1">
      <c r="A8470" t="s">
        <v>5451</v>
      </c>
      <c r="B8470" t="s">
        <v>5452</v>
      </c>
      <c r="C8470" t="s">
        <v>5111</v>
      </c>
      <c r="D8470" t="s">
        <v>1067</v>
      </c>
      <c r="E8470" t="s">
        <v>555</v>
      </c>
      <c r="F8470" t="s">
        <v>1068</v>
      </c>
      <c r="G8470" t="s">
        <v>1087</v>
      </c>
      <c r="H8470" s="170">
        <v>-5.0301889464464303E-7</v>
      </c>
      <c r="I8470" t="s">
        <v>1088</v>
      </c>
      <c r="J8470">
        <v>14.1</v>
      </c>
    </row>
    <row r="8471" spans="1:10" hidden="1">
      <c r="A8471" t="s">
        <v>5451</v>
      </c>
      <c r="B8471" t="s">
        <v>5452</v>
      </c>
      <c r="C8471" t="s">
        <v>5111</v>
      </c>
      <c r="D8471" t="s">
        <v>1067</v>
      </c>
      <c r="E8471" t="s">
        <v>555</v>
      </c>
      <c r="F8471" t="s">
        <v>1068</v>
      </c>
      <c r="G8471" t="s">
        <v>1089</v>
      </c>
      <c r="H8471">
        <v>-1.14098342551264E-4</v>
      </c>
      <c r="I8471" t="s">
        <v>1090</v>
      </c>
      <c r="J8471">
        <v>14.1</v>
      </c>
    </row>
    <row r="8472" spans="1:10" hidden="1">
      <c r="A8472" t="s">
        <v>5453</v>
      </c>
      <c r="B8472" t="s">
        <v>5454</v>
      </c>
      <c r="C8472" t="s">
        <v>5111</v>
      </c>
      <c r="D8472" t="s">
        <v>1067</v>
      </c>
      <c r="E8472" t="s">
        <v>558</v>
      </c>
      <c r="F8472" t="s">
        <v>1068</v>
      </c>
      <c r="G8472" t="s">
        <v>1069</v>
      </c>
      <c r="H8472">
        <v>-0.493508953962212</v>
      </c>
      <c r="I8472" t="s">
        <v>1070</v>
      </c>
      <c r="J8472">
        <v>11.24</v>
      </c>
    </row>
    <row r="8473" spans="1:10" hidden="1">
      <c r="A8473" t="s">
        <v>5453</v>
      </c>
      <c r="B8473" t="s">
        <v>5454</v>
      </c>
      <c r="C8473" t="s">
        <v>5111</v>
      </c>
      <c r="D8473" t="s">
        <v>1067</v>
      </c>
      <c r="E8473" t="s">
        <v>558</v>
      </c>
      <c r="F8473" t="s">
        <v>1068</v>
      </c>
      <c r="G8473" t="s">
        <v>1071</v>
      </c>
      <c r="H8473" s="170">
        <v>-4.6339603831332301E-10</v>
      </c>
      <c r="I8473" t="s">
        <v>1072</v>
      </c>
      <c r="J8473">
        <v>11.24</v>
      </c>
    </row>
    <row r="8474" spans="1:10" hidden="1">
      <c r="A8474" t="s">
        <v>5453</v>
      </c>
      <c r="B8474" t="s">
        <v>5454</v>
      </c>
      <c r="C8474" t="s">
        <v>5111</v>
      </c>
      <c r="D8474" t="s">
        <v>1067</v>
      </c>
      <c r="E8474" t="s">
        <v>558</v>
      </c>
      <c r="F8474" t="s">
        <v>1068</v>
      </c>
      <c r="G8474" t="s">
        <v>1073</v>
      </c>
      <c r="H8474" s="170">
        <v>-1.71605003627138E-7</v>
      </c>
      <c r="I8474" t="s">
        <v>1074</v>
      </c>
      <c r="J8474">
        <v>11.24</v>
      </c>
    </row>
    <row r="8475" spans="1:10" hidden="1">
      <c r="A8475" t="s">
        <v>5453</v>
      </c>
      <c r="B8475" t="s">
        <v>5454</v>
      </c>
      <c r="C8475" t="s">
        <v>5111</v>
      </c>
      <c r="D8475" t="s">
        <v>1067</v>
      </c>
      <c r="E8475" t="s">
        <v>558</v>
      </c>
      <c r="F8475" t="s">
        <v>1068</v>
      </c>
      <c r="G8475" t="s">
        <v>1075</v>
      </c>
      <c r="H8475">
        <v>-7.6980151155383999E-3</v>
      </c>
      <c r="I8475" t="s">
        <v>1077</v>
      </c>
      <c r="J8475">
        <v>11.24</v>
      </c>
    </row>
    <row r="8476" spans="1:10" hidden="1">
      <c r="A8476" t="s">
        <v>5453</v>
      </c>
      <c r="B8476" t="s">
        <v>5454</v>
      </c>
      <c r="C8476" t="s">
        <v>5111</v>
      </c>
      <c r="D8476" t="s">
        <v>1067</v>
      </c>
      <c r="E8476" t="s">
        <v>558</v>
      </c>
      <c r="F8476" t="s">
        <v>1068</v>
      </c>
      <c r="G8476" t="s">
        <v>1078</v>
      </c>
      <c r="H8476">
        <v>-0.71002125139084304</v>
      </c>
      <c r="I8476" t="s">
        <v>1079</v>
      </c>
      <c r="J8476">
        <v>11.24</v>
      </c>
    </row>
    <row r="8477" spans="1:10" hidden="1">
      <c r="A8477" t="s">
        <v>5453</v>
      </c>
      <c r="B8477" t="s">
        <v>5454</v>
      </c>
      <c r="C8477" t="s">
        <v>5111</v>
      </c>
      <c r="D8477" t="s">
        <v>1067</v>
      </c>
      <c r="E8477" t="s">
        <v>558</v>
      </c>
      <c r="F8477" t="s">
        <v>1068</v>
      </c>
      <c r="G8477" t="s">
        <v>1080</v>
      </c>
      <c r="H8477" s="170">
        <v>-2.81889970531124E-9</v>
      </c>
      <c r="I8477" t="s">
        <v>1082</v>
      </c>
      <c r="J8477">
        <v>11.24</v>
      </c>
    </row>
    <row r="8478" spans="1:10" hidden="1">
      <c r="A8478" t="s">
        <v>5453</v>
      </c>
      <c r="B8478" t="s">
        <v>5454</v>
      </c>
      <c r="C8478" t="s">
        <v>5111</v>
      </c>
      <c r="D8478" t="s">
        <v>1067</v>
      </c>
      <c r="E8478" t="s">
        <v>558</v>
      </c>
      <c r="F8478" t="s">
        <v>1068</v>
      </c>
      <c r="G8478" t="s">
        <v>1083</v>
      </c>
      <c r="H8478" s="170">
        <v>-6.7512460582123398E-5</v>
      </c>
      <c r="I8478" t="s">
        <v>1084</v>
      </c>
      <c r="J8478">
        <v>11.24</v>
      </c>
    </row>
    <row r="8479" spans="1:10" hidden="1">
      <c r="A8479" t="s">
        <v>5453</v>
      </c>
      <c r="B8479" t="s">
        <v>5454</v>
      </c>
      <c r="C8479" t="s">
        <v>5111</v>
      </c>
      <c r="D8479" t="s">
        <v>1067</v>
      </c>
      <c r="E8479" t="s">
        <v>558</v>
      </c>
      <c r="F8479" t="s">
        <v>1068</v>
      </c>
      <c r="G8479" t="s">
        <v>1085</v>
      </c>
      <c r="H8479">
        <v>-5.7670957409977598E-4</v>
      </c>
      <c r="I8479" t="s">
        <v>1086</v>
      </c>
      <c r="J8479">
        <v>11.24</v>
      </c>
    </row>
    <row r="8480" spans="1:10" hidden="1">
      <c r="A8480" t="s">
        <v>5453</v>
      </c>
      <c r="B8480" t="s">
        <v>5454</v>
      </c>
      <c r="C8480" t="s">
        <v>5111</v>
      </c>
      <c r="D8480" t="s">
        <v>1067</v>
      </c>
      <c r="E8480" t="s">
        <v>558</v>
      </c>
      <c r="F8480" t="s">
        <v>1068</v>
      </c>
      <c r="G8480" t="s">
        <v>1087</v>
      </c>
      <c r="H8480" s="170">
        <v>-4.4457790141924201E-7</v>
      </c>
      <c r="I8480" t="s">
        <v>1088</v>
      </c>
      <c r="J8480">
        <v>11.24</v>
      </c>
    </row>
    <row r="8481" spans="1:10" hidden="1">
      <c r="A8481" t="s">
        <v>5453</v>
      </c>
      <c r="B8481" t="s">
        <v>5454</v>
      </c>
      <c r="C8481" t="s">
        <v>5111</v>
      </c>
      <c r="D8481" t="s">
        <v>1067</v>
      </c>
      <c r="E8481" t="s">
        <v>558</v>
      </c>
      <c r="F8481" t="s">
        <v>1068</v>
      </c>
      <c r="G8481" t="s">
        <v>1089</v>
      </c>
      <c r="H8481" s="170">
        <v>-8.9116686133104995E-5</v>
      </c>
      <c r="I8481" t="s">
        <v>1090</v>
      </c>
      <c r="J8481">
        <v>11.24</v>
      </c>
    </row>
    <row r="8482" spans="1:10" hidden="1">
      <c r="A8482" t="s">
        <v>5455</v>
      </c>
      <c r="B8482" t="s">
        <v>5456</v>
      </c>
      <c r="C8482" t="s">
        <v>5111</v>
      </c>
      <c r="D8482" t="s">
        <v>1067</v>
      </c>
      <c r="E8482" t="s">
        <v>553</v>
      </c>
      <c r="F8482" t="s">
        <v>1068</v>
      </c>
      <c r="G8482" t="s">
        <v>1069</v>
      </c>
      <c r="H8482">
        <v>-0.48789262152747898</v>
      </c>
      <c r="I8482" t="s">
        <v>1070</v>
      </c>
      <c r="J8482">
        <v>9.31</v>
      </c>
    </row>
    <row r="8483" spans="1:10" hidden="1">
      <c r="A8483" t="s">
        <v>5455</v>
      </c>
      <c r="B8483" t="s">
        <v>5456</v>
      </c>
      <c r="C8483" t="s">
        <v>5111</v>
      </c>
      <c r="D8483" t="s">
        <v>1067</v>
      </c>
      <c r="E8483" t="s">
        <v>553</v>
      </c>
      <c r="F8483" t="s">
        <v>1068</v>
      </c>
      <c r="G8483" t="s">
        <v>1071</v>
      </c>
      <c r="H8483" s="170">
        <v>-4.5535894289033098E-10</v>
      </c>
      <c r="I8483" t="s">
        <v>1072</v>
      </c>
      <c r="J8483">
        <v>9.31</v>
      </c>
    </row>
    <row r="8484" spans="1:10" hidden="1">
      <c r="A8484" t="s">
        <v>5455</v>
      </c>
      <c r="B8484" t="s">
        <v>5456</v>
      </c>
      <c r="C8484" t="s">
        <v>5111</v>
      </c>
      <c r="D8484" t="s">
        <v>1067</v>
      </c>
      <c r="E8484" t="s">
        <v>553</v>
      </c>
      <c r="F8484" t="s">
        <v>1068</v>
      </c>
      <c r="G8484" t="s">
        <v>1073</v>
      </c>
      <c r="H8484" s="170">
        <v>-1.69610311791464E-7</v>
      </c>
      <c r="I8484" t="s">
        <v>1074</v>
      </c>
      <c r="J8484">
        <v>9.31</v>
      </c>
    </row>
    <row r="8485" spans="1:10" hidden="1">
      <c r="A8485" t="s">
        <v>5455</v>
      </c>
      <c r="B8485" t="s">
        <v>5456</v>
      </c>
      <c r="C8485" t="s">
        <v>5111</v>
      </c>
      <c r="D8485" t="s">
        <v>1067</v>
      </c>
      <c r="E8485" t="s">
        <v>553</v>
      </c>
      <c r="F8485" t="s">
        <v>1068</v>
      </c>
      <c r="G8485" t="s">
        <v>1075</v>
      </c>
      <c r="H8485">
        <v>-7.5205040352772099E-3</v>
      </c>
      <c r="I8485" t="s">
        <v>1077</v>
      </c>
      <c r="J8485">
        <v>9.31</v>
      </c>
    </row>
    <row r="8486" spans="1:10" hidden="1">
      <c r="A8486" t="s">
        <v>5455</v>
      </c>
      <c r="B8486" t="s">
        <v>5456</v>
      </c>
      <c r="C8486" t="s">
        <v>5111</v>
      </c>
      <c r="D8486" t="s">
        <v>1067</v>
      </c>
      <c r="E8486" t="s">
        <v>553</v>
      </c>
      <c r="F8486" t="s">
        <v>1068</v>
      </c>
      <c r="G8486" t="s">
        <v>1078</v>
      </c>
      <c r="H8486">
        <v>-0.70234498801210599</v>
      </c>
      <c r="I8486" t="s">
        <v>1079</v>
      </c>
      <c r="J8486">
        <v>9.31</v>
      </c>
    </row>
    <row r="8487" spans="1:10" hidden="1">
      <c r="A8487" t="s">
        <v>5455</v>
      </c>
      <c r="B8487" t="s">
        <v>5456</v>
      </c>
      <c r="C8487" t="s">
        <v>5111</v>
      </c>
      <c r="D8487" t="s">
        <v>1067</v>
      </c>
      <c r="E8487" t="s">
        <v>553</v>
      </c>
      <c r="F8487" t="s">
        <v>1068</v>
      </c>
      <c r="G8487" t="s">
        <v>1080</v>
      </c>
      <c r="H8487" s="170">
        <v>-2.7876853101572201E-9</v>
      </c>
      <c r="I8487" t="s">
        <v>1082</v>
      </c>
      <c r="J8487">
        <v>9.31</v>
      </c>
    </row>
    <row r="8488" spans="1:10" hidden="1">
      <c r="A8488" t="s">
        <v>5455</v>
      </c>
      <c r="B8488" t="s">
        <v>5456</v>
      </c>
      <c r="C8488" t="s">
        <v>5111</v>
      </c>
      <c r="D8488" t="s">
        <v>1067</v>
      </c>
      <c r="E8488" t="s">
        <v>553</v>
      </c>
      <c r="F8488" t="s">
        <v>1068</v>
      </c>
      <c r="G8488" t="s">
        <v>1083</v>
      </c>
      <c r="H8488" s="170">
        <v>-6.6658905200082206E-5</v>
      </c>
      <c r="I8488" t="s">
        <v>1084</v>
      </c>
      <c r="J8488">
        <v>9.31</v>
      </c>
    </row>
    <row r="8489" spans="1:10" hidden="1">
      <c r="A8489" t="s">
        <v>5455</v>
      </c>
      <c r="B8489" t="s">
        <v>5456</v>
      </c>
      <c r="C8489" t="s">
        <v>5111</v>
      </c>
      <c r="D8489" t="s">
        <v>1067</v>
      </c>
      <c r="E8489" t="s">
        <v>553</v>
      </c>
      <c r="F8489" t="s">
        <v>1068</v>
      </c>
      <c r="G8489" t="s">
        <v>1085</v>
      </c>
      <c r="H8489">
        <v>-5.6706266582905998E-4</v>
      </c>
      <c r="I8489" t="s">
        <v>1086</v>
      </c>
      <c r="J8489">
        <v>9.31</v>
      </c>
    </row>
    <row r="8490" spans="1:10" hidden="1">
      <c r="A8490" t="s">
        <v>5455</v>
      </c>
      <c r="B8490" t="s">
        <v>5456</v>
      </c>
      <c r="C8490" t="s">
        <v>5111</v>
      </c>
      <c r="D8490" t="s">
        <v>1067</v>
      </c>
      <c r="E8490" t="s">
        <v>553</v>
      </c>
      <c r="F8490" t="s">
        <v>1068</v>
      </c>
      <c r="G8490" t="s">
        <v>1087</v>
      </c>
      <c r="H8490" s="170">
        <v>-4.3992225953823298E-7</v>
      </c>
      <c r="I8490" t="s">
        <v>1088</v>
      </c>
      <c r="J8490">
        <v>9.31</v>
      </c>
    </row>
    <row r="8491" spans="1:10" hidden="1">
      <c r="A8491" t="s">
        <v>5455</v>
      </c>
      <c r="B8491" t="s">
        <v>5456</v>
      </c>
      <c r="C8491" t="s">
        <v>5111</v>
      </c>
      <c r="D8491" t="s">
        <v>1067</v>
      </c>
      <c r="E8491" t="s">
        <v>553</v>
      </c>
      <c r="F8491" t="s">
        <v>1068</v>
      </c>
      <c r="G8491" t="s">
        <v>1089</v>
      </c>
      <c r="H8491" s="170">
        <v>-8.7126547960226001E-5</v>
      </c>
      <c r="I8491" t="s">
        <v>1090</v>
      </c>
      <c r="J8491">
        <v>9.31</v>
      </c>
    </row>
    <row r="8492" spans="1:10" hidden="1">
      <c r="A8492" t="s">
        <v>5457</v>
      </c>
      <c r="B8492" t="s">
        <v>5458</v>
      </c>
      <c r="C8492" t="s">
        <v>5111</v>
      </c>
      <c r="D8492" t="s">
        <v>1067</v>
      </c>
      <c r="E8492" t="s">
        <v>556</v>
      </c>
      <c r="F8492" t="s">
        <v>1068</v>
      </c>
      <c r="G8492" t="s">
        <v>1069</v>
      </c>
      <c r="H8492">
        <v>-0.55684429469059404</v>
      </c>
      <c r="I8492" t="s">
        <v>1070</v>
      </c>
      <c r="J8492">
        <v>8.35</v>
      </c>
    </row>
    <row r="8493" spans="1:10" hidden="1">
      <c r="A8493" t="s">
        <v>5457</v>
      </c>
      <c r="B8493" t="s">
        <v>5458</v>
      </c>
      <c r="C8493" t="s">
        <v>5111</v>
      </c>
      <c r="D8493" t="s">
        <v>1067</v>
      </c>
      <c r="E8493" t="s">
        <v>556</v>
      </c>
      <c r="F8493" t="s">
        <v>1068</v>
      </c>
      <c r="G8493" t="s">
        <v>1071</v>
      </c>
      <c r="H8493" s="170">
        <v>-5.5402957164195398E-10</v>
      </c>
      <c r="I8493" t="s">
        <v>1072</v>
      </c>
      <c r="J8493">
        <v>8.35</v>
      </c>
    </row>
    <row r="8494" spans="1:10" hidden="1">
      <c r="A8494" t="s">
        <v>5457</v>
      </c>
      <c r="B8494" t="s">
        <v>5458</v>
      </c>
      <c r="C8494" t="s">
        <v>5111</v>
      </c>
      <c r="D8494" t="s">
        <v>1067</v>
      </c>
      <c r="E8494" t="s">
        <v>556</v>
      </c>
      <c r="F8494" t="s">
        <v>1068</v>
      </c>
      <c r="G8494" t="s">
        <v>1073</v>
      </c>
      <c r="H8494" s="170">
        <v>-1.94102164275379E-7</v>
      </c>
      <c r="I8494" t="s">
        <v>1074</v>
      </c>
      <c r="J8494">
        <v>8.35</v>
      </c>
    </row>
    <row r="8495" spans="1:10" hidden="1">
      <c r="A8495" t="s">
        <v>5457</v>
      </c>
      <c r="B8495" t="s">
        <v>5458</v>
      </c>
      <c r="C8495" t="s">
        <v>5111</v>
      </c>
      <c r="D8495" t="s">
        <v>1067</v>
      </c>
      <c r="E8495" t="s">
        <v>556</v>
      </c>
      <c r="F8495" t="s">
        <v>1068</v>
      </c>
      <c r="G8495" t="s">
        <v>1075</v>
      </c>
      <c r="H8495">
        <v>-9.7001400829304901E-3</v>
      </c>
      <c r="I8495" t="s">
        <v>1077</v>
      </c>
      <c r="J8495">
        <v>8.35</v>
      </c>
    </row>
    <row r="8496" spans="1:10" hidden="1">
      <c r="A8496" t="s">
        <v>5457</v>
      </c>
      <c r="B8496" t="s">
        <v>5458</v>
      </c>
      <c r="C8496" t="s">
        <v>5111</v>
      </c>
      <c r="D8496" t="s">
        <v>1067</v>
      </c>
      <c r="E8496" t="s">
        <v>556</v>
      </c>
      <c r="F8496" t="s">
        <v>1068</v>
      </c>
      <c r="G8496" t="s">
        <v>1078</v>
      </c>
      <c r="H8496">
        <v>-0.79660085842781303</v>
      </c>
      <c r="I8496" t="s">
        <v>1079</v>
      </c>
      <c r="J8496">
        <v>8.35</v>
      </c>
    </row>
    <row r="8497" spans="1:10" hidden="1">
      <c r="A8497" t="s">
        <v>5457</v>
      </c>
      <c r="B8497" t="s">
        <v>5458</v>
      </c>
      <c r="C8497" t="s">
        <v>5111</v>
      </c>
      <c r="D8497" t="s">
        <v>1067</v>
      </c>
      <c r="E8497" t="s">
        <v>556</v>
      </c>
      <c r="F8497" t="s">
        <v>1068</v>
      </c>
      <c r="G8497" t="s">
        <v>1080</v>
      </c>
      <c r="H8497" s="170">
        <v>-3.1709629121858102E-9</v>
      </c>
      <c r="I8497" t="s">
        <v>1082</v>
      </c>
      <c r="J8497">
        <v>8.35</v>
      </c>
    </row>
    <row r="8498" spans="1:10" hidden="1">
      <c r="A8498" t="s">
        <v>5457</v>
      </c>
      <c r="B8498" t="s">
        <v>5458</v>
      </c>
      <c r="C8498" t="s">
        <v>5111</v>
      </c>
      <c r="D8498" t="s">
        <v>1067</v>
      </c>
      <c r="E8498" t="s">
        <v>556</v>
      </c>
      <c r="F8498" t="s">
        <v>1068</v>
      </c>
      <c r="G8498" t="s">
        <v>1083</v>
      </c>
      <c r="H8498" s="170">
        <v>-7.7139604164292198E-5</v>
      </c>
      <c r="I8498" t="s">
        <v>1084</v>
      </c>
      <c r="J8498">
        <v>8.35</v>
      </c>
    </row>
    <row r="8499" spans="1:10" hidden="1">
      <c r="A8499" t="s">
        <v>5457</v>
      </c>
      <c r="B8499" t="s">
        <v>5458</v>
      </c>
      <c r="C8499" t="s">
        <v>5111</v>
      </c>
      <c r="D8499" t="s">
        <v>1067</v>
      </c>
      <c r="E8499" t="s">
        <v>556</v>
      </c>
      <c r="F8499" t="s">
        <v>1068</v>
      </c>
      <c r="G8499" t="s">
        <v>1085</v>
      </c>
      <c r="H8499">
        <v>-6.8551583546988103E-4</v>
      </c>
      <c r="I8499" t="s">
        <v>1086</v>
      </c>
      <c r="J8499">
        <v>8.35</v>
      </c>
    </row>
    <row r="8500" spans="1:10" hidden="1">
      <c r="A8500" t="s">
        <v>5457</v>
      </c>
      <c r="B8500" t="s">
        <v>5458</v>
      </c>
      <c r="C8500" t="s">
        <v>5111</v>
      </c>
      <c r="D8500" t="s">
        <v>1067</v>
      </c>
      <c r="E8500" t="s">
        <v>556</v>
      </c>
      <c r="F8500" t="s">
        <v>1068</v>
      </c>
      <c r="G8500" t="s">
        <v>1087</v>
      </c>
      <c r="H8500" s="170">
        <v>-4.9708830006583996E-7</v>
      </c>
      <c r="I8500" t="s">
        <v>1088</v>
      </c>
      <c r="J8500">
        <v>8.35</v>
      </c>
    </row>
    <row r="8501" spans="1:10" hidden="1">
      <c r="A8501" t="s">
        <v>5457</v>
      </c>
      <c r="B8501" t="s">
        <v>5458</v>
      </c>
      <c r="C8501" t="s">
        <v>5111</v>
      </c>
      <c r="D8501" t="s">
        <v>1067</v>
      </c>
      <c r="E8501" t="s">
        <v>556</v>
      </c>
      <c r="F8501" t="s">
        <v>1068</v>
      </c>
      <c r="G8501" t="s">
        <v>1089</v>
      </c>
      <c r="H8501">
        <v>-1.11563202943377E-4</v>
      </c>
      <c r="I8501" t="s">
        <v>1090</v>
      </c>
      <c r="J8501">
        <v>8.35</v>
      </c>
    </row>
    <row r="8502" spans="1:10" hidden="1">
      <c r="A8502" t="s">
        <v>5459</v>
      </c>
      <c r="B8502" t="s">
        <v>5460</v>
      </c>
      <c r="C8502" t="s">
        <v>5111</v>
      </c>
      <c r="D8502" t="s">
        <v>1067</v>
      </c>
      <c r="E8502" t="s">
        <v>557</v>
      </c>
      <c r="F8502" t="s">
        <v>1068</v>
      </c>
      <c r="G8502" t="s">
        <v>1069</v>
      </c>
      <c r="H8502">
        <v>-0.51719122306090204</v>
      </c>
      <c r="I8502" t="s">
        <v>1070</v>
      </c>
      <c r="J8502">
        <v>8.16</v>
      </c>
    </row>
    <row r="8503" spans="1:10" hidden="1">
      <c r="A8503" t="s">
        <v>5459</v>
      </c>
      <c r="B8503" t="s">
        <v>5460</v>
      </c>
      <c r="C8503" t="s">
        <v>5111</v>
      </c>
      <c r="D8503" t="s">
        <v>1067</v>
      </c>
      <c r="E8503" t="s">
        <v>557</v>
      </c>
      <c r="F8503" t="s">
        <v>1068</v>
      </c>
      <c r="G8503" t="s">
        <v>1071</v>
      </c>
      <c r="H8503" s="170">
        <v>-4.9728563482399896E-10</v>
      </c>
      <c r="I8503" t="s">
        <v>1072</v>
      </c>
      <c r="J8503">
        <v>8.16</v>
      </c>
    </row>
    <row r="8504" spans="1:10" hidden="1">
      <c r="A8504" t="s">
        <v>5459</v>
      </c>
      <c r="B8504" t="s">
        <v>5460</v>
      </c>
      <c r="C8504" t="s">
        <v>5111</v>
      </c>
      <c r="D8504" t="s">
        <v>1067</v>
      </c>
      <c r="E8504" t="s">
        <v>557</v>
      </c>
      <c r="F8504" t="s">
        <v>1068</v>
      </c>
      <c r="G8504" t="s">
        <v>1073</v>
      </c>
      <c r="H8504" s="170">
        <v>-1.80017020546255E-7</v>
      </c>
      <c r="I8504" t="s">
        <v>1074</v>
      </c>
      <c r="J8504">
        <v>8.16</v>
      </c>
    </row>
    <row r="8505" spans="1:10" hidden="1">
      <c r="A8505" t="s">
        <v>5459</v>
      </c>
      <c r="B8505" t="s">
        <v>5460</v>
      </c>
      <c r="C8505" t="s">
        <v>5111</v>
      </c>
      <c r="D8505" t="s">
        <v>1067</v>
      </c>
      <c r="E8505" t="s">
        <v>557</v>
      </c>
      <c r="F8505" t="s">
        <v>1068</v>
      </c>
      <c r="G8505" t="s">
        <v>1075</v>
      </c>
      <c r="H8505">
        <v>-8.44663694079229E-3</v>
      </c>
      <c r="I8505" t="s">
        <v>1077</v>
      </c>
      <c r="J8505">
        <v>8.16</v>
      </c>
    </row>
    <row r="8506" spans="1:10" hidden="1">
      <c r="A8506" t="s">
        <v>5459</v>
      </c>
      <c r="B8506" t="s">
        <v>5460</v>
      </c>
      <c r="C8506" t="s">
        <v>5111</v>
      </c>
      <c r="D8506" t="s">
        <v>1067</v>
      </c>
      <c r="E8506" t="s">
        <v>557</v>
      </c>
      <c r="F8506" t="s">
        <v>1068</v>
      </c>
      <c r="G8506" t="s">
        <v>1078</v>
      </c>
      <c r="H8506">
        <v>-0.74239454684422701</v>
      </c>
      <c r="I8506" t="s">
        <v>1079</v>
      </c>
      <c r="J8506">
        <v>8.16</v>
      </c>
    </row>
    <row r="8507" spans="1:10" hidden="1">
      <c r="A8507" t="s">
        <v>5459</v>
      </c>
      <c r="B8507" t="s">
        <v>5460</v>
      </c>
      <c r="C8507" t="s">
        <v>5111</v>
      </c>
      <c r="D8507" t="s">
        <v>1067</v>
      </c>
      <c r="E8507" t="s">
        <v>557</v>
      </c>
      <c r="F8507" t="s">
        <v>1068</v>
      </c>
      <c r="G8507" t="s">
        <v>1080</v>
      </c>
      <c r="H8507" s="170">
        <v>-2.9505409388642902E-9</v>
      </c>
      <c r="I8507" t="s">
        <v>1082</v>
      </c>
      <c r="J8507">
        <v>8.16</v>
      </c>
    </row>
    <row r="8508" spans="1:10" hidden="1">
      <c r="A8508" t="s">
        <v>5459</v>
      </c>
      <c r="B8508" t="s">
        <v>5460</v>
      </c>
      <c r="C8508" t="s">
        <v>5111</v>
      </c>
      <c r="D8508" t="s">
        <v>1067</v>
      </c>
      <c r="E8508" t="s">
        <v>557</v>
      </c>
      <c r="F8508" t="s">
        <v>1068</v>
      </c>
      <c r="G8508" t="s">
        <v>1083</v>
      </c>
      <c r="H8508" s="170">
        <v>-7.1112180818432201E-5</v>
      </c>
      <c r="I8508" t="s">
        <v>1084</v>
      </c>
      <c r="J8508">
        <v>8.16</v>
      </c>
    </row>
    <row r="8509" spans="1:10" hidden="1">
      <c r="A8509" t="s">
        <v>5459</v>
      </c>
      <c r="B8509" t="s">
        <v>5460</v>
      </c>
      <c r="C8509" t="s">
        <v>5111</v>
      </c>
      <c r="D8509" t="s">
        <v>1067</v>
      </c>
      <c r="E8509" t="s">
        <v>557</v>
      </c>
      <c r="F8509" t="s">
        <v>1068</v>
      </c>
      <c r="G8509" t="s">
        <v>1085</v>
      </c>
      <c r="H8509">
        <v>-6.1739371866560797E-4</v>
      </c>
      <c r="I8509" t="s">
        <v>1086</v>
      </c>
      <c r="J8509">
        <v>8.16</v>
      </c>
    </row>
    <row r="8510" spans="1:10" hidden="1">
      <c r="A8510" t="s">
        <v>5459</v>
      </c>
      <c r="B8510" t="s">
        <v>5460</v>
      </c>
      <c r="C8510" t="s">
        <v>5111</v>
      </c>
      <c r="D8510" t="s">
        <v>1067</v>
      </c>
      <c r="E8510" t="s">
        <v>557</v>
      </c>
      <c r="F8510" t="s">
        <v>1068</v>
      </c>
      <c r="G8510" t="s">
        <v>1087</v>
      </c>
      <c r="H8510" s="170">
        <v>-4.6421225535113198E-7</v>
      </c>
      <c r="I8510" t="s">
        <v>1088</v>
      </c>
      <c r="J8510">
        <v>8.16</v>
      </c>
    </row>
    <row r="8511" spans="1:10" hidden="1">
      <c r="A8511" t="s">
        <v>5459</v>
      </c>
      <c r="B8511" t="s">
        <v>5460</v>
      </c>
      <c r="C8511" t="s">
        <v>5111</v>
      </c>
      <c r="D8511" t="s">
        <v>1067</v>
      </c>
      <c r="E8511" t="s">
        <v>557</v>
      </c>
      <c r="F8511" t="s">
        <v>1068</v>
      </c>
      <c r="G8511" t="s">
        <v>1089</v>
      </c>
      <c r="H8511" s="170">
        <v>-9.7509744816585893E-5</v>
      </c>
      <c r="I8511" t="s">
        <v>1090</v>
      </c>
      <c r="J8511">
        <v>8.16</v>
      </c>
    </row>
    <row r="8512" spans="1:10" hidden="1">
      <c r="A8512" t="s">
        <v>5461</v>
      </c>
      <c r="B8512" t="s">
        <v>5462</v>
      </c>
      <c r="C8512" t="s">
        <v>5111</v>
      </c>
      <c r="D8512" t="s">
        <v>1067</v>
      </c>
      <c r="E8512" t="s">
        <v>559</v>
      </c>
      <c r="F8512" t="s">
        <v>1068</v>
      </c>
      <c r="G8512" t="s">
        <v>1069</v>
      </c>
      <c r="H8512">
        <v>-0.53634895568093899</v>
      </c>
      <c r="I8512" t="s">
        <v>1070</v>
      </c>
      <c r="J8512">
        <v>8.52</v>
      </c>
    </row>
    <row r="8513" spans="1:10" hidden="1">
      <c r="A8513" t="s">
        <v>5461</v>
      </c>
      <c r="B8513" t="s">
        <v>5462</v>
      </c>
      <c r="C8513" t="s">
        <v>5111</v>
      </c>
      <c r="D8513" t="s">
        <v>1067</v>
      </c>
      <c r="E8513" t="s">
        <v>559</v>
      </c>
      <c r="F8513" t="s">
        <v>1068</v>
      </c>
      <c r="G8513" t="s">
        <v>1071</v>
      </c>
      <c r="H8513" s="170">
        <v>-5.2470050834605097E-10</v>
      </c>
      <c r="I8513" t="s">
        <v>1072</v>
      </c>
      <c r="J8513">
        <v>8.52</v>
      </c>
    </row>
    <row r="8514" spans="1:10" hidden="1">
      <c r="A8514" t="s">
        <v>5461</v>
      </c>
      <c r="B8514" t="s">
        <v>5462</v>
      </c>
      <c r="C8514" t="s">
        <v>5111</v>
      </c>
      <c r="D8514" t="s">
        <v>1067</v>
      </c>
      <c r="E8514" t="s">
        <v>559</v>
      </c>
      <c r="F8514" t="s">
        <v>1068</v>
      </c>
      <c r="G8514" t="s">
        <v>1073</v>
      </c>
      <c r="H8514" s="170">
        <v>-1.8682215500795E-7</v>
      </c>
      <c r="I8514" t="s">
        <v>1074</v>
      </c>
      <c r="J8514">
        <v>8.52</v>
      </c>
    </row>
    <row r="8515" spans="1:10" hidden="1">
      <c r="A8515" t="s">
        <v>5461</v>
      </c>
      <c r="B8515" t="s">
        <v>5462</v>
      </c>
      <c r="C8515" t="s">
        <v>5111</v>
      </c>
      <c r="D8515" t="s">
        <v>1067</v>
      </c>
      <c r="E8515" t="s">
        <v>559</v>
      </c>
      <c r="F8515" t="s">
        <v>1068</v>
      </c>
      <c r="G8515" t="s">
        <v>1075</v>
      </c>
      <c r="H8515">
        <v>-9.0522605222906009E-3</v>
      </c>
      <c r="I8515" t="s">
        <v>1077</v>
      </c>
      <c r="J8515">
        <v>8.52</v>
      </c>
    </row>
    <row r="8516" spans="1:10" hidden="1">
      <c r="A8516" t="s">
        <v>5461</v>
      </c>
      <c r="B8516" t="s">
        <v>5462</v>
      </c>
      <c r="C8516" t="s">
        <v>5111</v>
      </c>
      <c r="D8516" t="s">
        <v>1067</v>
      </c>
      <c r="E8516" t="s">
        <v>559</v>
      </c>
      <c r="F8516" t="s">
        <v>1068</v>
      </c>
      <c r="G8516" t="s">
        <v>1078</v>
      </c>
      <c r="H8516">
        <v>-0.76858404709894201</v>
      </c>
      <c r="I8516" t="s">
        <v>1079</v>
      </c>
      <c r="J8516">
        <v>8.52</v>
      </c>
    </row>
    <row r="8517" spans="1:10" hidden="1">
      <c r="A8517" t="s">
        <v>5461</v>
      </c>
      <c r="B8517" t="s">
        <v>5462</v>
      </c>
      <c r="C8517" t="s">
        <v>5111</v>
      </c>
      <c r="D8517" t="s">
        <v>1067</v>
      </c>
      <c r="E8517" t="s">
        <v>559</v>
      </c>
      <c r="F8517" t="s">
        <v>1068</v>
      </c>
      <c r="G8517" t="s">
        <v>1080</v>
      </c>
      <c r="H8517" s="170">
        <v>-3.0570366791007601E-9</v>
      </c>
      <c r="I8517" t="s">
        <v>1082</v>
      </c>
      <c r="J8517">
        <v>8.52</v>
      </c>
    </row>
    <row r="8518" spans="1:10" hidden="1">
      <c r="A8518" t="s">
        <v>5461</v>
      </c>
      <c r="B8518" t="s">
        <v>5462</v>
      </c>
      <c r="C8518" t="s">
        <v>5111</v>
      </c>
      <c r="D8518" t="s">
        <v>1067</v>
      </c>
      <c r="E8518" t="s">
        <v>559</v>
      </c>
      <c r="F8518" t="s">
        <v>1068</v>
      </c>
      <c r="G8518" t="s">
        <v>1083</v>
      </c>
      <c r="H8518" s="170">
        <v>-7.4024299364920895E-5</v>
      </c>
      <c r="I8518" t="s">
        <v>1084</v>
      </c>
      <c r="J8518">
        <v>8.52</v>
      </c>
    </row>
    <row r="8519" spans="1:10" hidden="1">
      <c r="A8519" t="s">
        <v>5461</v>
      </c>
      <c r="B8519" t="s">
        <v>5462</v>
      </c>
      <c r="C8519" t="s">
        <v>5111</v>
      </c>
      <c r="D8519" t="s">
        <v>1067</v>
      </c>
      <c r="E8519" t="s">
        <v>559</v>
      </c>
      <c r="F8519" t="s">
        <v>1068</v>
      </c>
      <c r="G8519" t="s">
        <v>1085</v>
      </c>
      <c r="H8519">
        <v>-6.5030656849801105E-4</v>
      </c>
      <c r="I8519" t="s">
        <v>1086</v>
      </c>
      <c r="J8519">
        <v>8.52</v>
      </c>
    </row>
    <row r="8520" spans="1:10" hidden="1">
      <c r="A8520" t="s">
        <v>5461</v>
      </c>
      <c r="B8520" t="s">
        <v>5462</v>
      </c>
      <c r="C8520" t="s">
        <v>5111</v>
      </c>
      <c r="D8520" t="s">
        <v>1067</v>
      </c>
      <c r="E8520" t="s">
        <v>559</v>
      </c>
      <c r="F8520" t="s">
        <v>1068</v>
      </c>
      <c r="G8520" t="s">
        <v>1087</v>
      </c>
      <c r="H8520" s="170">
        <v>-4.8009614705916797E-7</v>
      </c>
      <c r="I8520" t="s">
        <v>1088</v>
      </c>
      <c r="J8520">
        <v>8.52</v>
      </c>
    </row>
    <row r="8521" spans="1:10" hidden="1">
      <c r="A8521" t="s">
        <v>5461</v>
      </c>
      <c r="B8521" t="s">
        <v>5462</v>
      </c>
      <c r="C8521" t="s">
        <v>5111</v>
      </c>
      <c r="D8521" t="s">
        <v>1067</v>
      </c>
      <c r="E8521" t="s">
        <v>559</v>
      </c>
      <c r="F8521" t="s">
        <v>1068</v>
      </c>
      <c r="G8521" t="s">
        <v>1089</v>
      </c>
      <c r="H8521">
        <v>-1.04299600696093E-4</v>
      </c>
      <c r="I8521" t="s">
        <v>1090</v>
      </c>
      <c r="J8521">
        <v>8.52</v>
      </c>
    </row>
    <row r="8522" spans="1:10" hidden="1">
      <c r="A8522" t="s">
        <v>5463</v>
      </c>
      <c r="B8522" t="s">
        <v>5464</v>
      </c>
      <c r="C8522" t="s">
        <v>5111</v>
      </c>
      <c r="D8522" t="s">
        <v>1067</v>
      </c>
      <c r="E8522" t="s">
        <v>560</v>
      </c>
      <c r="F8522" t="s">
        <v>1068</v>
      </c>
      <c r="G8522" t="s">
        <v>1069</v>
      </c>
      <c r="H8522">
        <v>-0.52982176658019697</v>
      </c>
      <c r="I8522" t="s">
        <v>1070</v>
      </c>
      <c r="J8522">
        <v>7.24</v>
      </c>
    </row>
    <row r="8523" spans="1:10" hidden="1">
      <c r="A8523" t="s">
        <v>5463</v>
      </c>
      <c r="B8523" t="s">
        <v>5464</v>
      </c>
      <c r="C8523" t="s">
        <v>5111</v>
      </c>
      <c r="D8523" t="s">
        <v>1067</v>
      </c>
      <c r="E8523" t="s">
        <v>560</v>
      </c>
      <c r="F8523" t="s">
        <v>1068</v>
      </c>
      <c r="G8523" t="s">
        <v>1071</v>
      </c>
      <c r="H8523" s="170">
        <v>-5.1536008629634498E-10</v>
      </c>
      <c r="I8523" t="s">
        <v>1072</v>
      </c>
      <c r="J8523">
        <v>7.24</v>
      </c>
    </row>
    <row r="8524" spans="1:10" hidden="1">
      <c r="A8524" t="s">
        <v>5463</v>
      </c>
      <c r="B8524" t="s">
        <v>5464</v>
      </c>
      <c r="C8524" t="s">
        <v>5111</v>
      </c>
      <c r="D8524" t="s">
        <v>1067</v>
      </c>
      <c r="E8524" t="s">
        <v>560</v>
      </c>
      <c r="F8524" t="s">
        <v>1068</v>
      </c>
      <c r="G8524" t="s">
        <v>1073</v>
      </c>
      <c r="H8524" s="170">
        <v>-1.8450342956978201E-7</v>
      </c>
      <c r="I8524" t="s">
        <v>1074</v>
      </c>
      <c r="J8524">
        <v>7.24</v>
      </c>
    </row>
    <row r="8525" spans="1:10" hidden="1">
      <c r="A8525" t="s">
        <v>5463</v>
      </c>
      <c r="B8525" t="s">
        <v>5464</v>
      </c>
      <c r="C8525" t="s">
        <v>5111</v>
      </c>
      <c r="D8525" t="s">
        <v>1067</v>
      </c>
      <c r="E8525" t="s">
        <v>560</v>
      </c>
      <c r="F8525" t="s">
        <v>1068</v>
      </c>
      <c r="G8525" t="s">
        <v>1075</v>
      </c>
      <c r="H8525">
        <v>-8.8459019142612706E-3</v>
      </c>
      <c r="I8525" t="s">
        <v>1077</v>
      </c>
      <c r="J8525">
        <v>7.24</v>
      </c>
    </row>
    <row r="8526" spans="1:10" hidden="1">
      <c r="A8526" t="s">
        <v>5463</v>
      </c>
      <c r="B8526" t="s">
        <v>5464</v>
      </c>
      <c r="C8526" t="s">
        <v>5111</v>
      </c>
      <c r="D8526" t="s">
        <v>1067</v>
      </c>
      <c r="E8526" t="s">
        <v>560</v>
      </c>
      <c r="F8526" t="s">
        <v>1068</v>
      </c>
      <c r="G8526" t="s">
        <v>1078</v>
      </c>
      <c r="H8526">
        <v>-0.75966030441936305</v>
      </c>
      <c r="I8526" t="s">
        <v>1079</v>
      </c>
      <c r="J8526">
        <v>7.24</v>
      </c>
    </row>
    <row r="8527" spans="1:10" hidden="1">
      <c r="A8527" t="s">
        <v>5463</v>
      </c>
      <c r="B8527" t="s">
        <v>5464</v>
      </c>
      <c r="C8527" t="s">
        <v>5111</v>
      </c>
      <c r="D8527" t="s">
        <v>1067</v>
      </c>
      <c r="E8527" t="s">
        <v>560</v>
      </c>
      <c r="F8527" t="s">
        <v>1068</v>
      </c>
      <c r="G8527" t="s">
        <v>1080</v>
      </c>
      <c r="H8527" s="170">
        <v>-3.0207495967592298E-9</v>
      </c>
      <c r="I8527" t="s">
        <v>1082</v>
      </c>
      <c r="J8527">
        <v>7.24</v>
      </c>
    </row>
    <row r="8528" spans="1:10" hidden="1">
      <c r="A8528" t="s">
        <v>5463</v>
      </c>
      <c r="B8528" t="s">
        <v>5464</v>
      </c>
      <c r="C8528" t="s">
        <v>5111</v>
      </c>
      <c r="D8528" t="s">
        <v>1067</v>
      </c>
      <c r="E8528" t="s">
        <v>560</v>
      </c>
      <c r="F8528" t="s">
        <v>1068</v>
      </c>
      <c r="G8528" t="s">
        <v>1083</v>
      </c>
      <c r="H8528" s="170">
        <v>-7.3032031611130205E-5</v>
      </c>
      <c r="I8528" t="s">
        <v>1084</v>
      </c>
      <c r="J8528">
        <v>7.24</v>
      </c>
    </row>
    <row r="8529" spans="1:10" hidden="1">
      <c r="A8529" t="s">
        <v>5463</v>
      </c>
      <c r="B8529" t="s">
        <v>5464</v>
      </c>
      <c r="C8529" t="s">
        <v>5111</v>
      </c>
      <c r="D8529" t="s">
        <v>1067</v>
      </c>
      <c r="E8529" t="s">
        <v>560</v>
      </c>
      <c r="F8529" t="s">
        <v>1068</v>
      </c>
      <c r="G8529" t="s">
        <v>1085</v>
      </c>
      <c r="H8529">
        <v>-6.3909192910072599E-4</v>
      </c>
      <c r="I8529" t="s">
        <v>1086</v>
      </c>
      <c r="J8529">
        <v>7.24</v>
      </c>
    </row>
    <row r="8530" spans="1:10" hidden="1">
      <c r="A8530" t="s">
        <v>5463</v>
      </c>
      <c r="B8530" t="s">
        <v>5464</v>
      </c>
      <c r="C8530" t="s">
        <v>5111</v>
      </c>
      <c r="D8530" t="s">
        <v>1067</v>
      </c>
      <c r="E8530" t="s">
        <v>560</v>
      </c>
      <c r="F8530" t="s">
        <v>1068</v>
      </c>
      <c r="G8530" t="s">
        <v>1087</v>
      </c>
      <c r="H8530" s="170">
        <v>-4.7468391078147102E-7</v>
      </c>
      <c r="I8530" t="s">
        <v>1088</v>
      </c>
      <c r="J8530">
        <v>7.24</v>
      </c>
    </row>
    <row r="8531" spans="1:10" hidden="1">
      <c r="A8531" t="s">
        <v>5463</v>
      </c>
      <c r="B8531" t="s">
        <v>5464</v>
      </c>
      <c r="C8531" t="s">
        <v>5111</v>
      </c>
      <c r="D8531" t="s">
        <v>1067</v>
      </c>
      <c r="E8531" t="s">
        <v>560</v>
      </c>
      <c r="F8531" t="s">
        <v>1068</v>
      </c>
      <c r="G8531" t="s">
        <v>1089</v>
      </c>
      <c r="H8531">
        <v>-1.0198604278111101E-4</v>
      </c>
      <c r="I8531" t="s">
        <v>1090</v>
      </c>
      <c r="J8531">
        <v>7.24</v>
      </c>
    </row>
    <row r="8532" spans="1:10" hidden="1">
      <c r="A8532" t="s">
        <v>5465</v>
      </c>
      <c r="B8532" t="s">
        <v>5466</v>
      </c>
      <c r="C8532" t="s">
        <v>5111</v>
      </c>
      <c r="D8532" t="s">
        <v>1067</v>
      </c>
      <c r="E8532" t="s">
        <v>1116</v>
      </c>
      <c r="F8532" t="s">
        <v>1068</v>
      </c>
      <c r="G8532" t="s">
        <v>1069</v>
      </c>
      <c r="H8532">
        <v>-0.491486796806055</v>
      </c>
      <c r="I8532" t="s">
        <v>1070</v>
      </c>
      <c r="J8532">
        <v>7.91</v>
      </c>
    </row>
    <row r="8533" spans="1:10" hidden="1">
      <c r="A8533" t="s">
        <v>5465</v>
      </c>
      <c r="B8533" t="s">
        <v>5466</v>
      </c>
      <c r="C8533" t="s">
        <v>5111</v>
      </c>
      <c r="D8533" t="s">
        <v>1067</v>
      </c>
      <c r="E8533" t="s">
        <v>1116</v>
      </c>
      <c r="F8533" t="s">
        <v>1068</v>
      </c>
      <c r="G8533" t="s">
        <v>1071</v>
      </c>
      <c r="H8533" s="170">
        <v>-4.6050230841702199E-10</v>
      </c>
      <c r="I8533" t="s">
        <v>1072</v>
      </c>
      <c r="J8533">
        <v>7.91</v>
      </c>
    </row>
    <row r="8534" spans="1:10" hidden="1">
      <c r="A8534" t="s">
        <v>5465</v>
      </c>
      <c r="B8534" t="s">
        <v>5466</v>
      </c>
      <c r="C8534" t="s">
        <v>5111</v>
      </c>
      <c r="D8534" t="s">
        <v>1067</v>
      </c>
      <c r="E8534" t="s">
        <v>1116</v>
      </c>
      <c r="F8534" t="s">
        <v>1068</v>
      </c>
      <c r="G8534" t="s">
        <v>1073</v>
      </c>
      <c r="H8534" s="170">
        <v>-1.70886727006776E-7</v>
      </c>
      <c r="I8534" t="s">
        <v>1074</v>
      </c>
      <c r="J8534">
        <v>7.91</v>
      </c>
    </row>
    <row r="8535" spans="1:10" hidden="1">
      <c r="A8535" t="s">
        <v>5465</v>
      </c>
      <c r="B8535" t="s">
        <v>5466</v>
      </c>
      <c r="C8535" t="s">
        <v>5111</v>
      </c>
      <c r="D8535" t="s">
        <v>1067</v>
      </c>
      <c r="E8535" t="s">
        <v>1116</v>
      </c>
      <c r="F8535" t="s">
        <v>1068</v>
      </c>
      <c r="G8535" t="s">
        <v>1075</v>
      </c>
      <c r="H8535">
        <v>-7.6340925676226697E-3</v>
      </c>
      <c r="I8535" t="s">
        <v>1077</v>
      </c>
      <c r="J8535">
        <v>7.91</v>
      </c>
    </row>
    <row r="8536" spans="1:10" hidden="1">
      <c r="A8536" t="s">
        <v>5465</v>
      </c>
      <c r="B8536" t="s">
        <v>5466</v>
      </c>
      <c r="C8536" t="s">
        <v>5111</v>
      </c>
      <c r="D8536" t="s">
        <v>1067</v>
      </c>
      <c r="E8536" t="s">
        <v>1116</v>
      </c>
      <c r="F8536" t="s">
        <v>1068</v>
      </c>
      <c r="G8536" t="s">
        <v>1078</v>
      </c>
      <c r="H8536">
        <v>-0.707256993844533</v>
      </c>
      <c r="I8536" t="s">
        <v>1079</v>
      </c>
      <c r="J8536">
        <v>7.91</v>
      </c>
    </row>
    <row r="8537" spans="1:10" hidden="1">
      <c r="A8537" t="s">
        <v>5465</v>
      </c>
      <c r="B8537" t="s">
        <v>5466</v>
      </c>
      <c r="C8537" t="s">
        <v>5111</v>
      </c>
      <c r="D8537" t="s">
        <v>1067</v>
      </c>
      <c r="E8537" t="s">
        <v>1116</v>
      </c>
      <c r="F8537" t="s">
        <v>1068</v>
      </c>
      <c r="G8537" t="s">
        <v>1080</v>
      </c>
      <c r="H8537" s="170">
        <v>-2.8076592595006702E-9</v>
      </c>
      <c r="I8537" t="s">
        <v>1082</v>
      </c>
      <c r="J8537">
        <v>7.91</v>
      </c>
    </row>
    <row r="8538" spans="1:10" hidden="1">
      <c r="A8538" t="s">
        <v>5465</v>
      </c>
      <c r="B8538" t="s">
        <v>5466</v>
      </c>
      <c r="C8538" t="s">
        <v>5111</v>
      </c>
      <c r="D8538" t="s">
        <v>1067</v>
      </c>
      <c r="E8538" t="s">
        <v>1116</v>
      </c>
      <c r="F8538" t="s">
        <v>1068</v>
      </c>
      <c r="G8538" t="s">
        <v>1083</v>
      </c>
      <c r="H8538" s="170">
        <v>-6.7205091385121006E-5</v>
      </c>
      <c r="I8538" t="s">
        <v>1084</v>
      </c>
      <c r="J8538">
        <v>7.91</v>
      </c>
    </row>
    <row r="8539" spans="1:10" hidden="1">
      <c r="A8539" t="s">
        <v>5465</v>
      </c>
      <c r="B8539" t="s">
        <v>5466</v>
      </c>
      <c r="C8539" t="s">
        <v>5111</v>
      </c>
      <c r="D8539" t="s">
        <v>1067</v>
      </c>
      <c r="E8539" t="s">
        <v>1116</v>
      </c>
      <c r="F8539" t="s">
        <v>1068</v>
      </c>
      <c r="G8539" t="s">
        <v>1085</v>
      </c>
      <c r="H8539">
        <v>-5.7323567834536302E-4</v>
      </c>
      <c r="I8539" t="s">
        <v>1086</v>
      </c>
      <c r="J8539">
        <v>7.91</v>
      </c>
    </row>
    <row r="8540" spans="1:10" hidden="1">
      <c r="A8540" t="s">
        <v>5465</v>
      </c>
      <c r="B8540" t="s">
        <v>5466</v>
      </c>
      <c r="C8540" t="s">
        <v>5111</v>
      </c>
      <c r="D8540" t="s">
        <v>1067</v>
      </c>
      <c r="E8540" t="s">
        <v>1116</v>
      </c>
      <c r="F8540" t="s">
        <v>1068</v>
      </c>
      <c r="G8540" t="s">
        <v>1087</v>
      </c>
      <c r="H8540" s="170">
        <v>-4.4290138346631098E-7</v>
      </c>
      <c r="I8540" t="s">
        <v>1088</v>
      </c>
      <c r="J8540">
        <v>7.91</v>
      </c>
    </row>
    <row r="8541" spans="1:10" hidden="1">
      <c r="A8541" t="s">
        <v>5465</v>
      </c>
      <c r="B8541" t="s">
        <v>5466</v>
      </c>
      <c r="C8541" t="s">
        <v>5111</v>
      </c>
      <c r="D8541" t="s">
        <v>1067</v>
      </c>
      <c r="E8541" t="s">
        <v>1116</v>
      </c>
      <c r="F8541" t="s">
        <v>1068</v>
      </c>
      <c r="G8541" t="s">
        <v>1089</v>
      </c>
      <c r="H8541" s="170">
        <v>-8.8400028298994205E-5</v>
      </c>
      <c r="I8541" t="s">
        <v>1090</v>
      </c>
      <c r="J8541">
        <v>7.91</v>
      </c>
    </row>
    <row r="8542" spans="1:10" hidden="1">
      <c r="A8542" t="s">
        <v>5467</v>
      </c>
      <c r="B8542" t="s">
        <v>5468</v>
      </c>
      <c r="C8542" t="s">
        <v>5111</v>
      </c>
      <c r="D8542" t="s">
        <v>1120</v>
      </c>
      <c r="E8542" t="s">
        <v>561</v>
      </c>
      <c r="F8542" t="s">
        <v>1068</v>
      </c>
      <c r="G8542" t="s">
        <v>1069</v>
      </c>
      <c r="H8542">
        <v>-0.50324598307869495</v>
      </c>
      <c r="I8542" t="s">
        <v>1070</v>
      </c>
      <c r="J8542">
        <v>7.18</v>
      </c>
    </row>
    <row r="8543" spans="1:10" hidden="1">
      <c r="A8543" t="s">
        <v>5467</v>
      </c>
      <c r="B8543" t="s">
        <v>5468</v>
      </c>
      <c r="C8543" t="s">
        <v>5111</v>
      </c>
      <c r="D8543" t="s">
        <v>1120</v>
      </c>
      <c r="E8543" t="s">
        <v>561</v>
      </c>
      <c r="F8543" t="s">
        <v>1068</v>
      </c>
      <c r="G8543" t="s">
        <v>1071</v>
      </c>
      <c r="H8543" s="170">
        <v>-4.6895540447602803E-10</v>
      </c>
      <c r="I8543" t="s">
        <v>1072</v>
      </c>
      <c r="J8543">
        <v>7.18</v>
      </c>
    </row>
    <row r="8544" spans="1:10" hidden="1">
      <c r="A8544" t="s">
        <v>5467</v>
      </c>
      <c r="B8544" t="s">
        <v>5468</v>
      </c>
      <c r="C8544" t="s">
        <v>5111</v>
      </c>
      <c r="D8544" t="s">
        <v>1120</v>
      </c>
      <c r="E8544" t="s">
        <v>561</v>
      </c>
      <c r="F8544" t="s">
        <v>1068</v>
      </c>
      <c r="G8544" t="s">
        <v>1073</v>
      </c>
      <c r="H8544" s="170">
        <v>-1.75461638869302E-7</v>
      </c>
      <c r="I8544" t="s">
        <v>1074</v>
      </c>
      <c r="J8544">
        <v>7.18</v>
      </c>
    </row>
    <row r="8545" spans="1:10" hidden="1">
      <c r="A8545" t="s">
        <v>5467</v>
      </c>
      <c r="B8545" t="s">
        <v>5468</v>
      </c>
      <c r="C8545" t="s">
        <v>5111</v>
      </c>
      <c r="D8545" t="s">
        <v>1120</v>
      </c>
      <c r="E8545" t="s">
        <v>561</v>
      </c>
      <c r="F8545" t="s">
        <v>1068</v>
      </c>
      <c r="G8545" t="s">
        <v>1075</v>
      </c>
      <c r="H8545">
        <v>-7.7878060338128696E-3</v>
      </c>
      <c r="I8545" t="s">
        <v>1077</v>
      </c>
      <c r="J8545">
        <v>7.18</v>
      </c>
    </row>
    <row r="8546" spans="1:10" hidden="1">
      <c r="A8546" t="s">
        <v>5467</v>
      </c>
      <c r="B8546" t="s">
        <v>5468</v>
      </c>
      <c r="C8546" t="s">
        <v>5111</v>
      </c>
      <c r="D8546" t="s">
        <v>1120</v>
      </c>
      <c r="E8546" t="s">
        <v>561</v>
      </c>
      <c r="F8546" t="s">
        <v>1068</v>
      </c>
      <c r="G8546" t="s">
        <v>1078</v>
      </c>
      <c r="H8546">
        <v>-0.61503139735331003</v>
      </c>
      <c r="I8546" t="s">
        <v>1079</v>
      </c>
      <c r="J8546">
        <v>7.18</v>
      </c>
    </row>
    <row r="8547" spans="1:10" hidden="1">
      <c r="A8547" t="s">
        <v>5467</v>
      </c>
      <c r="B8547" t="s">
        <v>5468</v>
      </c>
      <c r="C8547" t="s">
        <v>5111</v>
      </c>
      <c r="D8547" t="s">
        <v>1120</v>
      </c>
      <c r="E8547" t="s">
        <v>561</v>
      </c>
      <c r="F8547" t="s">
        <v>1068</v>
      </c>
      <c r="G8547" t="s">
        <v>1080</v>
      </c>
      <c r="H8547" s="170">
        <v>-2.8707333755078702E-9</v>
      </c>
      <c r="I8547" t="s">
        <v>1082</v>
      </c>
      <c r="J8547">
        <v>7.18</v>
      </c>
    </row>
    <row r="8548" spans="1:10" hidden="1">
      <c r="A8548" t="s">
        <v>5467</v>
      </c>
      <c r="B8548" t="s">
        <v>5468</v>
      </c>
      <c r="C8548" t="s">
        <v>5111</v>
      </c>
      <c r="D8548" t="s">
        <v>1120</v>
      </c>
      <c r="E8548" t="s">
        <v>561</v>
      </c>
      <c r="F8548" t="s">
        <v>1068</v>
      </c>
      <c r="G8548" t="s">
        <v>1083</v>
      </c>
      <c r="H8548" s="170">
        <v>-6.8255237729357497E-5</v>
      </c>
      <c r="I8548" t="s">
        <v>1084</v>
      </c>
      <c r="J8548">
        <v>7.18</v>
      </c>
    </row>
    <row r="8549" spans="1:10" hidden="1">
      <c r="A8549" t="s">
        <v>5467</v>
      </c>
      <c r="B8549" t="s">
        <v>5468</v>
      </c>
      <c r="C8549" t="s">
        <v>5111</v>
      </c>
      <c r="D8549" t="s">
        <v>1120</v>
      </c>
      <c r="E8549" t="s">
        <v>561</v>
      </c>
      <c r="F8549" t="s">
        <v>1068</v>
      </c>
      <c r="G8549" t="s">
        <v>1085</v>
      </c>
      <c r="H8549">
        <v>-5.8230720394190504E-4</v>
      </c>
      <c r="I8549" t="s">
        <v>1086</v>
      </c>
      <c r="J8549">
        <v>7.18</v>
      </c>
    </row>
    <row r="8550" spans="1:10" hidden="1">
      <c r="A8550" t="s">
        <v>5467</v>
      </c>
      <c r="B8550" t="s">
        <v>5468</v>
      </c>
      <c r="C8550" t="s">
        <v>5111</v>
      </c>
      <c r="D8550" t="s">
        <v>1120</v>
      </c>
      <c r="E8550" t="s">
        <v>561</v>
      </c>
      <c r="F8550" t="s">
        <v>1068</v>
      </c>
      <c r="G8550" t="s">
        <v>1087</v>
      </c>
      <c r="H8550" s="170">
        <v>-4.5049876089757802E-7</v>
      </c>
      <c r="I8550" t="s">
        <v>1088</v>
      </c>
      <c r="J8550">
        <v>7.18</v>
      </c>
    </row>
    <row r="8551" spans="1:10" hidden="1">
      <c r="A8551" t="s">
        <v>5467</v>
      </c>
      <c r="B8551" t="s">
        <v>5468</v>
      </c>
      <c r="C8551" t="s">
        <v>5111</v>
      </c>
      <c r="D8551" t="s">
        <v>1120</v>
      </c>
      <c r="E8551" t="s">
        <v>561</v>
      </c>
      <c r="F8551" t="s">
        <v>1068</v>
      </c>
      <c r="G8551" t="s">
        <v>1089</v>
      </c>
      <c r="H8551" s="170">
        <v>-8.9829016912820398E-5</v>
      </c>
      <c r="I8551" t="s">
        <v>1090</v>
      </c>
      <c r="J8551">
        <v>7.18</v>
      </c>
    </row>
    <row r="8552" spans="1:10" hidden="1">
      <c r="A8552" t="s">
        <v>5469</v>
      </c>
      <c r="B8552" t="s">
        <v>5470</v>
      </c>
      <c r="C8552" t="s">
        <v>5111</v>
      </c>
      <c r="D8552" t="s">
        <v>1120</v>
      </c>
      <c r="E8552" t="s">
        <v>555</v>
      </c>
      <c r="F8552" t="s">
        <v>1068</v>
      </c>
      <c r="G8552" t="s">
        <v>1069</v>
      </c>
      <c r="H8552">
        <v>-0.56803634002324099</v>
      </c>
      <c r="I8552" t="s">
        <v>1070</v>
      </c>
      <c r="J8552">
        <v>7.96</v>
      </c>
    </row>
    <row r="8553" spans="1:10" hidden="1">
      <c r="A8553" t="s">
        <v>5469</v>
      </c>
      <c r="B8553" t="s">
        <v>5470</v>
      </c>
      <c r="C8553" t="s">
        <v>5111</v>
      </c>
      <c r="D8553" t="s">
        <v>1120</v>
      </c>
      <c r="E8553" t="s">
        <v>555</v>
      </c>
      <c r="F8553" t="s">
        <v>1068</v>
      </c>
      <c r="G8553" t="s">
        <v>1071</v>
      </c>
      <c r="H8553" s="170">
        <v>-5.6167110757268199E-10</v>
      </c>
      <c r="I8553" t="s">
        <v>1072</v>
      </c>
      <c r="J8553">
        <v>7.96</v>
      </c>
    </row>
    <row r="8554" spans="1:10" hidden="1">
      <c r="A8554" t="s">
        <v>5469</v>
      </c>
      <c r="B8554" t="s">
        <v>5470</v>
      </c>
      <c r="C8554" t="s">
        <v>5111</v>
      </c>
      <c r="D8554" t="s">
        <v>1120</v>
      </c>
      <c r="E8554" t="s">
        <v>555</v>
      </c>
      <c r="F8554" t="s">
        <v>1068</v>
      </c>
      <c r="G8554" t="s">
        <v>1073</v>
      </c>
      <c r="H8554" s="170">
        <v>-1.9847552251409201E-7</v>
      </c>
      <c r="I8554" t="s">
        <v>1074</v>
      </c>
      <c r="J8554">
        <v>7.96</v>
      </c>
    </row>
    <row r="8555" spans="1:10" hidden="1">
      <c r="A8555" t="s">
        <v>5469</v>
      </c>
      <c r="B8555" t="s">
        <v>5470</v>
      </c>
      <c r="C8555" t="s">
        <v>5111</v>
      </c>
      <c r="D8555" t="s">
        <v>1120</v>
      </c>
      <c r="E8555" t="s">
        <v>555</v>
      </c>
      <c r="F8555" t="s">
        <v>1068</v>
      </c>
      <c r="G8555" t="s">
        <v>1075</v>
      </c>
      <c r="H8555">
        <v>-9.8359142502595608E-3</v>
      </c>
      <c r="I8555" t="s">
        <v>1077</v>
      </c>
      <c r="J8555">
        <v>7.96</v>
      </c>
    </row>
    <row r="8556" spans="1:10" hidden="1">
      <c r="A8556" t="s">
        <v>5469</v>
      </c>
      <c r="B8556" t="s">
        <v>5470</v>
      </c>
      <c r="C8556" t="s">
        <v>5111</v>
      </c>
      <c r="D8556" t="s">
        <v>1120</v>
      </c>
      <c r="E8556" t="s">
        <v>555</v>
      </c>
      <c r="F8556" t="s">
        <v>1068</v>
      </c>
      <c r="G8556" t="s">
        <v>1078</v>
      </c>
      <c r="H8556">
        <v>-0.703599497261718</v>
      </c>
      <c r="I8556" t="s">
        <v>1079</v>
      </c>
      <c r="J8556">
        <v>7.96</v>
      </c>
    </row>
    <row r="8557" spans="1:10" hidden="1">
      <c r="A8557" t="s">
        <v>5469</v>
      </c>
      <c r="B8557" t="s">
        <v>5470</v>
      </c>
      <c r="C8557" t="s">
        <v>5111</v>
      </c>
      <c r="D8557" t="s">
        <v>1120</v>
      </c>
      <c r="E8557" t="s">
        <v>555</v>
      </c>
      <c r="F8557" t="s">
        <v>1068</v>
      </c>
      <c r="G8557" t="s">
        <v>1080</v>
      </c>
      <c r="H8557" s="170">
        <v>-3.2308824962337001E-9</v>
      </c>
      <c r="I8557" t="s">
        <v>1082</v>
      </c>
      <c r="J8557">
        <v>7.96</v>
      </c>
    </row>
    <row r="8558" spans="1:10" hidden="1">
      <c r="A8558" t="s">
        <v>5469</v>
      </c>
      <c r="B8558" t="s">
        <v>5470</v>
      </c>
      <c r="C8558" t="s">
        <v>5111</v>
      </c>
      <c r="D8558" t="s">
        <v>1120</v>
      </c>
      <c r="E8558" t="s">
        <v>555</v>
      </c>
      <c r="F8558" t="s">
        <v>1068</v>
      </c>
      <c r="G8558" t="s">
        <v>1083</v>
      </c>
      <c r="H8558" s="170">
        <v>-7.8103490034188297E-5</v>
      </c>
      <c r="I8558" t="s">
        <v>1084</v>
      </c>
      <c r="J8558">
        <v>7.96</v>
      </c>
    </row>
    <row r="8559" spans="1:10" hidden="1">
      <c r="A8559" t="s">
        <v>5469</v>
      </c>
      <c r="B8559" t="s">
        <v>5470</v>
      </c>
      <c r="C8559" t="s">
        <v>5111</v>
      </c>
      <c r="D8559" t="s">
        <v>1120</v>
      </c>
      <c r="E8559" t="s">
        <v>555</v>
      </c>
      <c r="F8559" t="s">
        <v>1068</v>
      </c>
      <c r="G8559" t="s">
        <v>1085</v>
      </c>
      <c r="H8559">
        <v>-6.9361244267649098E-4</v>
      </c>
      <c r="I8559" t="s">
        <v>1086</v>
      </c>
      <c r="J8559">
        <v>7.96</v>
      </c>
    </row>
    <row r="8560" spans="1:10" hidden="1">
      <c r="A8560" t="s">
        <v>5469</v>
      </c>
      <c r="B8560" t="s">
        <v>5470</v>
      </c>
      <c r="C8560" t="s">
        <v>5111</v>
      </c>
      <c r="D8560" t="s">
        <v>1120</v>
      </c>
      <c r="E8560" t="s">
        <v>555</v>
      </c>
      <c r="F8560" t="s">
        <v>1068</v>
      </c>
      <c r="G8560" t="s">
        <v>1087</v>
      </c>
      <c r="H8560" s="170">
        <v>-5.0421517738949801E-7</v>
      </c>
      <c r="I8560" t="s">
        <v>1088</v>
      </c>
      <c r="J8560">
        <v>7.96</v>
      </c>
    </row>
    <row r="8561" spans="1:10" hidden="1">
      <c r="A8561" t="s">
        <v>5469</v>
      </c>
      <c r="B8561" t="s">
        <v>5470</v>
      </c>
      <c r="C8561" t="s">
        <v>5111</v>
      </c>
      <c r="D8561" t="s">
        <v>1120</v>
      </c>
      <c r="E8561" t="s">
        <v>555</v>
      </c>
      <c r="F8561" t="s">
        <v>1068</v>
      </c>
      <c r="G8561" t="s">
        <v>1089</v>
      </c>
      <c r="H8561">
        <v>-1.12791067838107E-4</v>
      </c>
      <c r="I8561" t="s">
        <v>1090</v>
      </c>
      <c r="J8561">
        <v>7.96</v>
      </c>
    </row>
    <row r="8562" spans="1:10" hidden="1">
      <c r="A8562" t="s">
        <v>5471</v>
      </c>
      <c r="B8562" t="s">
        <v>5472</v>
      </c>
      <c r="C8562" t="s">
        <v>5111</v>
      </c>
      <c r="D8562" t="s">
        <v>1120</v>
      </c>
      <c r="E8562" t="s">
        <v>558</v>
      </c>
      <c r="F8562" t="s">
        <v>1068</v>
      </c>
      <c r="G8562" t="s">
        <v>1069</v>
      </c>
      <c r="H8562">
        <v>-0.497509287394517</v>
      </c>
      <c r="I8562" t="s">
        <v>1070</v>
      </c>
      <c r="J8562">
        <v>7.85</v>
      </c>
    </row>
    <row r="8563" spans="1:10" hidden="1">
      <c r="A8563" t="s">
        <v>5471</v>
      </c>
      <c r="B8563" t="s">
        <v>5472</v>
      </c>
      <c r="C8563" t="s">
        <v>5111</v>
      </c>
      <c r="D8563" t="s">
        <v>1120</v>
      </c>
      <c r="E8563" t="s">
        <v>558</v>
      </c>
      <c r="F8563" t="s">
        <v>1068</v>
      </c>
      <c r="G8563" t="s">
        <v>1071</v>
      </c>
      <c r="H8563" s="170">
        <v>-4.6074612768622498E-10</v>
      </c>
      <c r="I8563" t="s">
        <v>1072</v>
      </c>
      <c r="J8563">
        <v>7.85</v>
      </c>
    </row>
    <row r="8564" spans="1:10" hidden="1">
      <c r="A8564" t="s">
        <v>5471</v>
      </c>
      <c r="B8564" t="s">
        <v>5472</v>
      </c>
      <c r="C8564" t="s">
        <v>5111</v>
      </c>
      <c r="D8564" t="s">
        <v>1120</v>
      </c>
      <c r="E8564" t="s">
        <v>558</v>
      </c>
      <c r="F8564" t="s">
        <v>1068</v>
      </c>
      <c r="G8564" t="s">
        <v>1073</v>
      </c>
      <c r="H8564" s="170">
        <v>-1.7342394641027001E-7</v>
      </c>
      <c r="I8564" t="s">
        <v>1074</v>
      </c>
      <c r="J8564">
        <v>7.85</v>
      </c>
    </row>
    <row r="8565" spans="1:10" hidden="1">
      <c r="A8565" t="s">
        <v>5471</v>
      </c>
      <c r="B8565" t="s">
        <v>5472</v>
      </c>
      <c r="C8565" t="s">
        <v>5111</v>
      </c>
      <c r="D8565" t="s">
        <v>1120</v>
      </c>
      <c r="E8565" t="s">
        <v>558</v>
      </c>
      <c r="F8565" t="s">
        <v>1068</v>
      </c>
      <c r="G8565" t="s">
        <v>1075</v>
      </c>
      <c r="H8565">
        <v>-7.6064629548987196E-3</v>
      </c>
      <c r="I8565" t="s">
        <v>1077</v>
      </c>
      <c r="J8565">
        <v>7.85</v>
      </c>
    </row>
    <row r="8566" spans="1:10" hidden="1">
      <c r="A8566" t="s">
        <v>5471</v>
      </c>
      <c r="B8566" t="s">
        <v>5472</v>
      </c>
      <c r="C8566" t="s">
        <v>5111</v>
      </c>
      <c r="D8566" t="s">
        <v>1120</v>
      </c>
      <c r="E8566" t="s">
        <v>558</v>
      </c>
      <c r="F8566" t="s">
        <v>1068</v>
      </c>
      <c r="G8566" t="s">
        <v>1078</v>
      </c>
      <c r="H8566">
        <v>-0.60718942310938395</v>
      </c>
      <c r="I8566" t="s">
        <v>1079</v>
      </c>
      <c r="J8566">
        <v>7.85</v>
      </c>
    </row>
    <row r="8567" spans="1:10" hidden="1">
      <c r="A8567" t="s">
        <v>5471</v>
      </c>
      <c r="B8567" t="s">
        <v>5472</v>
      </c>
      <c r="C8567" t="s">
        <v>5111</v>
      </c>
      <c r="D8567" t="s">
        <v>1120</v>
      </c>
      <c r="E8567" t="s">
        <v>558</v>
      </c>
      <c r="F8567" t="s">
        <v>1068</v>
      </c>
      <c r="G8567" t="s">
        <v>1080</v>
      </c>
      <c r="H8567" s="170">
        <v>-2.8388451432934699E-9</v>
      </c>
      <c r="I8567" t="s">
        <v>1082</v>
      </c>
      <c r="J8567">
        <v>7.85</v>
      </c>
    </row>
    <row r="8568" spans="1:10" hidden="1">
      <c r="A8568" t="s">
        <v>5471</v>
      </c>
      <c r="B8568" t="s">
        <v>5472</v>
      </c>
      <c r="C8568" t="s">
        <v>5111</v>
      </c>
      <c r="D8568" t="s">
        <v>1120</v>
      </c>
      <c r="E8568" t="s">
        <v>558</v>
      </c>
      <c r="F8568" t="s">
        <v>1068</v>
      </c>
      <c r="G8568" t="s">
        <v>1083</v>
      </c>
      <c r="H8568" s="170">
        <v>-6.7383256271086602E-5</v>
      </c>
      <c r="I8568" t="s">
        <v>1084</v>
      </c>
      <c r="J8568">
        <v>7.85</v>
      </c>
    </row>
    <row r="8569" spans="1:10" hidden="1">
      <c r="A8569" t="s">
        <v>5471</v>
      </c>
      <c r="B8569" t="s">
        <v>5472</v>
      </c>
      <c r="C8569" t="s">
        <v>5111</v>
      </c>
      <c r="D8569" t="s">
        <v>1120</v>
      </c>
      <c r="E8569" t="s">
        <v>558</v>
      </c>
      <c r="F8569" t="s">
        <v>1068</v>
      </c>
      <c r="G8569" t="s">
        <v>1085</v>
      </c>
      <c r="H8569">
        <v>-5.7245204371326704E-4</v>
      </c>
      <c r="I8569" t="s">
        <v>1086</v>
      </c>
      <c r="J8569">
        <v>7.85</v>
      </c>
    </row>
    <row r="8570" spans="1:10" hidden="1">
      <c r="A8570" t="s">
        <v>5471</v>
      </c>
      <c r="B8570" t="s">
        <v>5472</v>
      </c>
      <c r="C8570" t="s">
        <v>5111</v>
      </c>
      <c r="D8570" t="s">
        <v>1120</v>
      </c>
      <c r="E8570" t="s">
        <v>558</v>
      </c>
      <c r="F8570" t="s">
        <v>1068</v>
      </c>
      <c r="G8570" t="s">
        <v>1087</v>
      </c>
      <c r="H8570" s="170">
        <v>-4.4574261557243998E-7</v>
      </c>
      <c r="I8570" t="s">
        <v>1088</v>
      </c>
      <c r="J8570">
        <v>7.85</v>
      </c>
    </row>
    <row r="8571" spans="1:10" hidden="1">
      <c r="A8571" t="s">
        <v>5471</v>
      </c>
      <c r="B8571" t="s">
        <v>5472</v>
      </c>
      <c r="C8571" t="s">
        <v>5111</v>
      </c>
      <c r="D8571" t="s">
        <v>1120</v>
      </c>
      <c r="E8571" t="s">
        <v>558</v>
      </c>
      <c r="F8571" t="s">
        <v>1068</v>
      </c>
      <c r="G8571" t="s">
        <v>1089</v>
      </c>
      <c r="H8571" s="170">
        <v>-8.7795916818988697E-5</v>
      </c>
      <c r="I8571" t="s">
        <v>1090</v>
      </c>
      <c r="J8571">
        <v>7.85</v>
      </c>
    </row>
    <row r="8572" spans="1:10" hidden="1">
      <c r="A8572" t="s">
        <v>5473</v>
      </c>
      <c r="B8572" t="s">
        <v>5474</v>
      </c>
      <c r="C8572" t="s">
        <v>5111</v>
      </c>
      <c r="D8572" t="s">
        <v>1120</v>
      </c>
      <c r="E8572" t="s">
        <v>553</v>
      </c>
      <c r="F8572" t="s">
        <v>1068</v>
      </c>
      <c r="G8572" t="s">
        <v>1069</v>
      </c>
      <c r="H8572">
        <v>-0.491890322283277</v>
      </c>
      <c r="I8572" t="s">
        <v>1070</v>
      </c>
      <c r="J8572">
        <v>7.88</v>
      </c>
    </row>
    <row r="8573" spans="1:10" hidden="1">
      <c r="A8573" t="s">
        <v>5473</v>
      </c>
      <c r="B8573" t="s">
        <v>5474</v>
      </c>
      <c r="C8573" t="s">
        <v>5111</v>
      </c>
      <c r="D8573" t="s">
        <v>1120</v>
      </c>
      <c r="E8573" t="s">
        <v>553</v>
      </c>
      <c r="F8573" t="s">
        <v>1068</v>
      </c>
      <c r="G8573" t="s">
        <v>1071</v>
      </c>
      <c r="H8573" s="170">
        <v>-4.5270528988234301E-10</v>
      </c>
      <c r="I8573" t="s">
        <v>1072</v>
      </c>
      <c r="J8573">
        <v>7.88</v>
      </c>
    </row>
    <row r="8574" spans="1:10" hidden="1">
      <c r="A8574" t="s">
        <v>5473</v>
      </c>
      <c r="B8574" t="s">
        <v>5474</v>
      </c>
      <c r="C8574" t="s">
        <v>5111</v>
      </c>
      <c r="D8574" t="s">
        <v>1120</v>
      </c>
      <c r="E8574" t="s">
        <v>553</v>
      </c>
      <c r="F8574" t="s">
        <v>1068</v>
      </c>
      <c r="G8574" t="s">
        <v>1073</v>
      </c>
      <c r="H8574" s="170">
        <v>-1.7142821607218699E-7</v>
      </c>
      <c r="I8574" t="s">
        <v>1074</v>
      </c>
      <c r="J8574">
        <v>7.88</v>
      </c>
    </row>
    <row r="8575" spans="1:10" hidden="1">
      <c r="A8575" t="s">
        <v>5473</v>
      </c>
      <c r="B8575" t="s">
        <v>5474</v>
      </c>
      <c r="C8575" t="s">
        <v>5111</v>
      </c>
      <c r="D8575" t="s">
        <v>1120</v>
      </c>
      <c r="E8575" t="s">
        <v>553</v>
      </c>
      <c r="F8575" t="s">
        <v>1068</v>
      </c>
      <c r="G8575" t="s">
        <v>1075</v>
      </c>
      <c r="H8575">
        <v>-7.4288572850331001E-3</v>
      </c>
      <c r="I8575" t="s">
        <v>1077</v>
      </c>
      <c r="J8575">
        <v>7.88</v>
      </c>
    </row>
    <row r="8576" spans="1:10" hidden="1">
      <c r="A8576" t="s">
        <v>5473</v>
      </c>
      <c r="B8576" t="s">
        <v>5474</v>
      </c>
      <c r="C8576" t="s">
        <v>5111</v>
      </c>
      <c r="D8576" t="s">
        <v>1120</v>
      </c>
      <c r="E8576" t="s">
        <v>553</v>
      </c>
      <c r="F8576" t="s">
        <v>1068</v>
      </c>
      <c r="G8576" t="s">
        <v>1078</v>
      </c>
      <c r="H8576">
        <v>-0.59950906911808199</v>
      </c>
      <c r="I8576" t="s">
        <v>1079</v>
      </c>
      <c r="J8576">
        <v>7.88</v>
      </c>
    </row>
    <row r="8577" spans="1:10" hidden="1">
      <c r="A8577" t="s">
        <v>5473</v>
      </c>
      <c r="B8577" t="s">
        <v>5474</v>
      </c>
      <c r="C8577" t="s">
        <v>5111</v>
      </c>
      <c r="D8577" t="s">
        <v>1120</v>
      </c>
      <c r="E8577" t="s">
        <v>553</v>
      </c>
      <c r="F8577" t="s">
        <v>1068</v>
      </c>
      <c r="G8577" t="s">
        <v>1080</v>
      </c>
      <c r="H8577" s="170">
        <v>-2.8076141149957998E-9</v>
      </c>
      <c r="I8577" t="s">
        <v>1082</v>
      </c>
      <c r="J8577">
        <v>7.88</v>
      </c>
    </row>
    <row r="8578" spans="1:10" hidden="1">
      <c r="A8578" t="s">
        <v>5473</v>
      </c>
      <c r="B8578" t="s">
        <v>5474</v>
      </c>
      <c r="C8578" t="s">
        <v>5111</v>
      </c>
      <c r="D8578" t="s">
        <v>1120</v>
      </c>
      <c r="E8578" t="s">
        <v>553</v>
      </c>
      <c r="F8578" t="s">
        <v>1068</v>
      </c>
      <c r="G8578" t="s">
        <v>1083</v>
      </c>
      <c r="H8578" s="170">
        <v>-6.6529246036252894E-5</v>
      </c>
      <c r="I8578" t="s">
        <v>1084</v>
      </c>
      <c r="J8578">
        <v>7.88</v>
      </c>
    </row>
    <row r="8579" spans="1:10" hidden="1">
      <c r="A8579" t="s">
        <v>5473</v>
      </c>
      <c r="B8579" t="s">
        <v>5474</v>
      </c>
      <c r="C8579" t="s">
        <v>5111</v>
      </c>
      <c r="D8579" t="s">
        <v>1120</v>
      </c>
      <c r="E8579" t="s">
        <v>553</v>
      </c>
      <c r="F8579" t="s">
        <v>1068</v>
      </c>
      <c r="G8579" t="s">
        <v>1085</v>
      </c>
      <c r="H8579">
        <v>-5.6279999472491204E-4</v>
      </c>
      <c r="I8579" t="s">
        <v>1086</v>
      </c>
      <c r="J8579">
        <v>7.88</v>
      </c>
    </row>
    <row r="8580" spans="1:10" hidden="1">
      <c r="A8580" t="s">
        <v>5473</v>
      </c>
      <c r="B8580" t="s">
        <v>5474</v>
      </c>
      <c r="C8580" t="s">
        <v>5111</v>
      </c>
      <c r="D8580" t="s">
        <v>1120</v>
      </c>
      <c r="E8580" t="s">
        <v>553</v>
      </c>
      <c r="F8580" t="s">
        <v>1068</v>
      </c>
      <c r="G8580" t="s">
        <v>1087</v>
      </c>
      <c r="H8580" s="170">
        <v>-4.41084492716481E-7</v>
      </c>
      <c r="I8580" t="s">
        <v>1088</v>
      </c>
      <c r="J8580">
        <v>7.88</v>
      </c>
    </row>
    <row r="8581" spans="1:10" hidden="1">
      <c r="A8581" t="s">
        <v>5473</v>
      </c>
      <c r="B8581" t="s">
        <v>5474</v>
      </c>
      <c r="C8581" t="s">
        <v>5111</v>
      </c>
      <c r="D8581" t="s">
        <v>1120</v>
      </c>
      <c r="E8581" t="s">
        <v>553</v>
      </c>
      <c r="F8581" t="s">
        <v>1068</v>
      </c>
      <c r="G8581" t="s">
        <v>1089</v>
      </c>
      <c r="H8581" s="170">
        <v>-8.5804718145756004E-5</v>
      </c>
      <c r="I8581" t="s">
        <v>1090</v>
      </c>
      <c r="J8581">
        <v>7.88</v>
      </c>
    </row>
    <row r="8582" spans="1:10" hidden="1">
      <c r="A8582" t="s">
        <v>5475</v>
      </c>
      <c r="B8582" t="s">
        <v>5476</v>
      </c>
      <c r="C8582" t="s">
        <v>5111</v>
      </c>
      <c r="D8582" t="s">
        <v>1120</v>
      </c>
      <c r="E8582" t="s">
        <v>556</v>
      </c>
      <c r="F8582" t="s">
        <v>1068</v>
      </c>
      <c r="G8582" t="s">
        <v>1069</v>
      </c>
      <c r="H8582">
        <v>-0.56087920463487395</v>
      </c>
      <c r="I8582" t="s">
        <v>1070</v>
      </c>
      <c r="J8582">
        <v>7.64</v>
      </c>
    </row>
    <row r="8583" spans="1:10" hidden="1">
      <c r="A8583" t="s">
        <v>5475</v>
      </c>
      <c r="B8583" t="s">
        <v>5476</v>
      </c>
      <c r="C8583" t="s">
        <v>5111</v>
      </c>
      <c r="D8583" t="s">
        <v>1120</v>
      </c>
      <c r="E8583" t="s">
        <v>556</v>
      </c>
      <c r="F8583" t="s">
        <v>1068</v>
      </c>
      <c r="G8583" t="s">
        <v>1071</v>
      </c>
      <c r="H8583" s="170">
        <v>-5.5142916540600995E-10</v>
      </c>
      <c r="I8583" t="s">
        <v>1072</v>
      </c>
      <c r="J8583">
        <v>7.64</v>
      </c>
    </row>
    <row r="8584" spans="1:10" hidden="1">
      <c r="A8584" t="s">
        <v>5475</v>
      </c>
      <c r="B8584" t="s">
        <v>5476</v>
      </c>
      <c r="C8584" t="s">
        <v>5111</v>
      </c>
      <c r="D8584" t="s">
        <v>1120</v>
      </c>
      <c r="E8584" t="s">
        <v>556</v>
      </c>
      <c r="F8584" t="s">
        <v>1068</v>
      </c>
      <c r="G8584" t="s">
        <v>1073</v>
      </c>
      <c r="H8584" s="170">
        <v>-1.95933285377588E-7</v>
      </c>
      <c r="I8584" t="s">
        <v>1074</v>
      </c>
      <c r="J8584">
        <v>7.64</v>
      </c>
    </row>
    <row r="8585" spans="1:10" hidden="1">
      <c r="A8585" t="s">
        <v>5475</v>
      </c>
      <c r="B8585" t="s">
        <v>5476</v>
      </c>
      <c r="C8585" t="s">
        <v>5111</v>
      </c>
      <c r="D8585" t="s">
        <v>1120</v>
      </c>
      <c r="E8585" t="s">
        <v>556</v>
      </c>
      <c r="F8585" t="s">
        <v>1068</v>
      </c>
      <c r="G8585" t="s">
        <v>1075</v>
      </c>
      <c r="H8585">
        <v>-9.6096695548839907E-3</v>
      </c>
      <c r="I8585" t="s">
        <v>1077</v>
      </c>
      <c r="J8585">
        <v>7.64</v>
      </c>
    </row>
    <row r="8586" spans="1:10" hidden="1">
      <c r="A8586" t="s">
        <v>5475</v>
      </c>
      <c r="B8586" t="s">
        <v>5476</v>
      </c>
      <c r="C8586" t="s">
        <v>5111</v>
      </c>
      <c r="D8586" t="s">
        <v>1120</v>
      </c>
      <c r="E8586" t="s">
        <v>556</v>
      </c>
      <c r="F8586" t="s">
        <v>1068</v>
      </c>
      <c r="G8586" t="s">
        <v>1078</v>
      </c>
      <c r="H8586">
        <v>-0.69381580391875297</v>
      </c>
      <c r="I8586" t="s">
        <v>1079</v>
      </c>
      <c r="J8586">
        <v>7.64</v>
      </c>
    </row>
    <row r="8587" spans="1:10" hidden="1">
      <c r="A8587" t="s">
        <v>5475</v>
      </c>
      <c r="B8587" t="s">
        <v>5476</v>
      </c>
      <c r="C8587" t="s">
        <v>5111</v>
      </c>
      <c r="D8587" t="s">
        <v>1120</v>
      </c>
      <c r="E8587" t="s">
        <v>556</v>
      </c>
      <c r="F8587" t="s">
        <v>1068</v>
      </c>
      <c r="G8587" t="s">
        <v>1080</v>
      </c>
      <c r="H8587" s="170">
        <v>-3.1910985495475101E-9</v>
      </c>
      <c r="I8587" t="s">
        <v>1082</v>
      </c>
      <c r="J8587">
        <v>7.64</v>
      </c>
    </row>
    <row r="8588" spans="1:10" hidden="1">
      <c r="A8588" t="s">
        <v>5475</v>
      </c>
      <c r="B8588" t="s">
        <v>5476</v>
      </c>
      <c r="C8588" t="s">
        <v>5111</v>
      </c>
      <c r="D8588" t="s">
        <v>1120</v>
      </c>
      <c r="E8588" t="s">
        <v>556</v>
      </c>
      <c r="F8588" t="s">
        <v>1068</v>
      </c>
      <c r="G8588" t="s">
        <v>1083</v>
      </c>
      <c r="H8588" s="170">
        <v>-7.7015600821203398E-5</v>
      </c>
      <c r="I8588" t="s">
        <v>1084</v>
      </c>
      <c r="J8588">
        <v>7.64</v>
      </c>
    </row>
    <row r="8589" spans="1:10" hidden="1">
      <c r="A8589" t="s">
        <v>5475</v>
      </c>
      <c r="B8589" t="s">
        <v>5476</v>
      </c>
      <c r="C8589" t="s">
        <v>5111</v>
      </c>
      <c r="D8589" t="s">
        <v>1120</v>
      </c>
      <c r="E8589" t="s">
        <v>556</v>
      </c>
      <c r="F8589" t="s">
        <v>1068</v>
      </c>
      <c r="G8589" t="s">
        <v>1085</v>
      </c>
      <c r="H8589">
        <v>-6.8131708661901098E-4</v>
      </c>
      <c r="I8589" t="s">
        <v>1086</v>
      </c>
      <c r="J8589">
        <v>7.64</v>
      </c>
    </row>
    <row r="8590" spans="1:10" hidden="1">
      <c r="A8590" t="s">
        <v>5475</v>
      </c>
      <c r="B8590" t="s">
        <v>5476</v>
      </c>
      <c r="C8590" t="s">
        <v>5111</v>
      </c>
      <c r="D8590" t="s">
        <v>1120</v>
      </c>
      <c r="E8590" t="s">
        <v>556</v>
      </c>
      <c r="F8590" t="s">
        <v>1068</v>
      </c>
      <c r="G8590" t="s">
        <v>1087</v>
      </c>
      <c r="H8590" s="170">
        <v>-4.9828138241538503E-7</v>
      </c>
      <c r="I8590" t="s">
        <v>1088</v>
      </c>
      <c r="J8590">
        <v>7.64</v>
      </c>
    </row>
    <row r="8591" spans="1:10" hidden="1">
      <c r="A8591" t="s">
        <v>5475</v>
      </c>
      <c r="B8591" t="s">
        <v>5476</v>
      </c>
      <c r="C8591" t="s">
        <v>5111</v>
      </c>
      <c r="D8591" t="s">
        <v>1120</v>
      </c>
      <c r="E8591" t="s">
        <v>556</v>
      </c>
      <c r="F8591" t="s">
        <v>1068</v>
      </c>
      <c r="G8591" t="s">
        <v>1089</v>
      </c>
      <c r="H8591">
        <v>-1.1025456016353E-4</v>
      </c>
      <c r="I8591" t="s">
        <v>1090</v>
      </c>
      <c r="J8591">
        <v>7.64</v>
      </c>
    </row>
    <row r="8592" spans="1:10" hidden="1">
      <c r="A8592" t="s">
        <v>5477</v>
      </c>
      <c r="B8592" t="s">
        <v>5478</v>
      </c>
      <c r="C8592" t="s">
        <v>5111</v>
      </c>
      <c r="D8592" t="s">
        <v>1120</v>
      </c>
      <c r="E8592" t="s">
        <v>557</v>
      </c>
      <c r="F8592" t="s">
        <v>1068</v>
      </c>
      <c r="G8592" t="s">
        <v>1069</v>
      </c>
      <c r="H8592">
        <v>-0.521204334785622</v>
      </c>
      <c r="I8592" t="s">
        <v>1070</v>
      </c>
      <c r="J8592">
        <v>7.87</v>
      </c>
    </row>
    <row r="8593" spans="1:10" hidden="1">
      <c r="A8593" t="s">
        <v>5477</v>
      </c>
      <c r="B8593" t="s">
        <v>5478</v>
      </c>
      <c r="C8593" t="s">
        <v>5111</v>
      </c>
      <c r="D8593" t="s">
        <v>1120</v>
      </c>
      <c r="E8593" t="s">
        <v>557</v>
      </c>
      <c r="F8593" t="s">
        <v>1068</v>
      </c>
      <c r="G8593" t="s">
        <v>1071</v>
      </c>
      <c r="H8593" s="170">
        <v>-4.94654010078735E-10</v>
      </c>
      <c r="I8593" t="s">
        <v>1072</v>
      </c>
      <c r="J8593">
        <v>7.87</v>
      </c>
    </row>
    <row r="8594" spans="1:10" hidden="1">
      <c r="A8594" t="s">
        <v>5477</v>
      </c>
      <c r="B8594" t="s">
        <v>5478</v>
      </c>
      <c r="C8594" t="s">
        <v>5111</v>
      </c>
      <c r="D8594" t="s">
        <v>1120</v>
      </c>
      <c r="E8594" t="s">
        <v>557</v>
      </c>
      <c r="F8594" t="s">
        <v>1068</v>
      </c>
      <c r="G8594" t="s">
        <v>1073</v>
      </c>
      <c r="H8594" s="170">
        <v>-1.81840502219287E-7</v>
      </c>
      <c r="I8594" t="s">
        <v>1074</v>
      </c>
      <c r="J8594">
        <v>7.87</v>
      </c>
    </row>
    <row r="8595" spans="1:10" hidden="1">
      <c r="A8595" t="s">
        <v>5477</v>
      </c>
      <c r="B8595" t="s">
        <v>5478</v>
      </c>
      <c r="C8595" t="s">
        <v>5111</v>
      </c>
      <c r="D8595" t="s">
        <v>1120</v>
      </c>
      <c r="E8595" t="s">
        <v>557</v>
      </c>
      <c r="F8595" t="s">
        <v>1068</v>
      </c>
      <c r="G8595" t="s">
        <v>1075</v>
      </c>
      <c r="H8595">
        <v>-8.3554887156277492E-3</v>
      </c>
      <c r="I8595" t="s">
        <v>1077</v>
      </c>
      <c r="J8595">
        <v>7.87</v>
      </c>
    </row>
    <row r="8596" spans="1:10" hidden="1">
      <c r="A8596" t="s">
        <v>5477</v>
      </c>
      <c r="B8596" t="s">
        <v>5478</v>
      </c>
      <c r="C8596" t="s">
        <v>5111</v>
      </c>
      <c r="D8596" t="s">
        <v>1120</v>
      </c>
      <c r="E8596" t="s">
        <v>557</v>
      </c>
      <c r="F8596" t="s">
        <v>1068</v>
      </c>
      <c r="G8596" t="s">
        <v>1078</v>
      </c>
      <c r="H8596">
        <v>-0.63958018629079105</v>
      </c>
      <c r="I8596" t="s">
        <v>1079</v>
      </c>
      <c r="J8596">
        <v>7.87</v>
      </c>
    </row>
    <row r="8597" spans="1:10" hidden="1">
      <c r="A8597" t="s">
        <v>5477</v>
      </c>
      <c r="B8597" t="s">
        <v>5478</v>
      </c>
      <c r="C8597" t="s">
        <v>5111</v>
      </c>
      <c r="D8597" t="s">
        <v>1120</v>
      </c>
      <c r="E8597" t="s">
        <v>557</v>
      </c>
      <c r="F8597" t="s">
        <v>1068</v>
      </c>
      <c r="G8597" t="s">
        <v>1080</v>
      </c>
      <c r="H8597" s="170">
        <v>-2.9705574067874799E-9</v>
      </c>
      <c r="I8597" t="s">
        <v>1082</v>
      </c>
      <c r="J8597">
        <v>7.87</v>
      </c>
    </row>
    <row r="8598" spans="1:10" hidden="1">
      <c r="A8598" t="s">
        <v>5477</v>
      </c>
      <c r="B8598" t="s">
        <v>5478</v>
      </c>
      <c r="C8598" t="s">
        <v>5111</v>
      </c>
      <c r="D8598" t="s">
        <v>1120</v>
      </c>
      <c r="E8598" t="s">
        <v>557</v>
      </c>
      <c r="F8598" t="s">
        <v>1068</v>
      </c>
      <c r="G8598" t="s">
        <v>1083</v>
      </c>
      <c r="H8598" s="170">
        <v>-7.0984918816115406E-5</v>
      </c>
      <c r="I8598" t="s">
        <v>1084</v>
      </c>
      <c r="J8598">
        <v>7.87</v>
      </c>
    </row>
    <row r="8599" spans="1:10" hidden="1">
      <c r="A8599" t="s">
        <v>5477</v>
      </c>
      <c r="B8599" t="s">
        <v>5478</v>
      </c>
      <c r="C8599" t="s">
        <v>5111</v>
      </c>
      <c r="D8599" t="s">
        <v>1120</v>
      </c>
      <c r="E8599" t="s">
        <v>557</v>
      </c>
      <c r="F8599" t="s">
        <v>1068</v>
      </c>
      <c r="G8599" t="s">
        <v>1085</v>
      </c>
      <c r="H8599">
        <v>-6.1315814030972503E-4</v>
      </c>
      <c r="I8599" t="s">
        <v>1086</v>
      </c>
      <c r="J8599">
        <v>7.87</v>
      </c>
    </row>
    <row r="8600" spans="1:10" hidden="1">
      <c r="A8600" t="s">
        <v>5477</v>
      </c>
      <c r="B8600" t="s">
        <v>5478</v>
      </c>
      <c r="C8600" t="s">
        <v>5111</v>
      </c>
      <c r="D8600" t="s">
        <v>1120</v>
      </c>
      <c r="E8600" t="s">
        <v>557</v>
      </c>
      <c r="F8600" t="s">
        <v>1068</v>
      </c>
      <c r="G8600" t="s">
        <v>1087</v>
      </c>
      <c r="H8600" s="170">
        <v>-4.6538756365452302E-7</v>
      </c>
      <c r="I8600" t="s">
        <v>1088</v>
      </c>
      <c r="J8600">
        <v>7.87</v>
      </c>
    </row>
    <row r="8601" spans="1:10" hidden="1">
      <c r="A8601" t="s">
        <v>5477</v>
      </c>
      <c r="B8601" t="s">
        <v>5478</v>
      </c>
      <c r="C8601" t="s">
        <v>5111</v>
      </c>
      <c r="D8601" t="s">
        <v>1120</v>
      </c>
      <c r="E8601" t="s">
        <v>557</v>
      </c>
      <c r="F8601" t="s">
        <v>1068</v>
      </c>
      <c r="G8601" t="s">
        <v>1089</v>
      </c>
      <c r="H8601" s="170">
        <v>-9.61935041630448E-5</v>
      </c>
      <c r="I8601" t="s">
        <v>1090</v>
      </c>
      <c r="J8601">
        <v>7.87</v>
      </c>
    </row>
    <row r="8602" spans="1:10" hidden="1">
      <c r="A8602" t="s">
        <v>5479</v>
      </c>
      <c r="B8602" t="s">
        <v>5480</v>
      </c>
      <c r="C8602" t="s">
        <v>5111</v>
      </c>
      <c r="D8602" t="s">
        <v>1120</v>
      </c>
      <c r="E8602" t="s">
        <v>559</v>
      </c>
      <c r="F8602" t="s">
        <v>1068</v>
      </c>
      <c r="G8602" t="s">
        <v>1069</v>
      </c>
      <c r="H8602">
        <v>-0.54037280548849798</v>
      </c>
      <c r="I8602" t="s">
        <v>1070</v>
      </c>
      <c r="J8602">
        <v>8.35</v>
      </c>
    </row>
    <row r="8603" spans="1:10" hidden="1">
      <c r="A8603" t="s">
        <v>5479</v>
      </c>
      <c r="B8603" t="s">
        <v>5480</v>
      </c>
      <c r="C8603" t="s">
        <v>5111</v>
      </c>
      <c r="D8603" t="s">
        <v>1120</v>
      </c>
      <c r="E8603" t="s">
        <v>559</v>
      </c>
      <c r="F8603" t="s">
        <v>1068</v>
      </c>
      <c r="G8603" t="s">
        <v>1071</v>
      </c>
      <c r="H8603" s="170">
        <v>-5.2208427492862697E-10</v>
      </c>
      <c r="I8603" t="s">
        <v>1072</v>
      </c>
      <c r="J8603">
        <v>8.35</v>
      </c>
    </row>
    <row r="8604" spans="1:10" hidden="1">
      <c r="A8604" t="s">
        <v>5479</v>
      </c>
      <c r="B8604" t="s">
        <v>5480</v>
      </c>
      <c r="C8604" t="s">
        <v>5111</v>
      </c>
      <c r="D8604" t="s">
        <v>1120</v>
      </c>
      <c r="E8604" t="s">
        <v>559</v>
      </c>
      <c r="F8604" t="s">
        <v>1068</v>
      </c>
      <c r="G8604" t="s">
        <v>1073</v>
      </c>
      <c r="H8604" s="170">
        <v>-1.8864934751459901E-7</v>
      </c>
      <c r="I8604" t="s">
        <v>1074</v>
      </c>
      <c r="J8604">
        <v>8.35</v>
      </c>
    </row>
    <row r="8605" spans="1:10" hidden="1">
      <c r="A8605" t="s">
        <v>5479</v>
      </c>
      <c r="B8605" t="s">
        <v>5480</v>
      </c>
      <c r="C8605" t="s">
        <v>5111</v>
      </c>
      <c r="D8605" t="s">
        <v>1120</v>
      </c>
      <c r="E8605" t="s">
        <v>559</v>
      </c>
      <c r="F8605" t="s">
        <v>1068</v>
      </c>
      <c r="G8605" t="s">
        <v>1075</v>
      </c>
      <c r="H8605">
        <v>-8.9614403715068004E-3</v>
      </c>
      <c r="I8605" t="s">
        <v>1077</v>
      </c>
      <c r="J8605">
        <v>8.35</v>
      </c>
    </row>
    <row r="8606" spans="1:10" hidden="1">
      <c r="A8606" t="s">
        <v>5479</v>
      </c>
      <c r="B8606" t="s">
        <v>5480</v>
      </c>
      <c r="C8606" t="s">
        <v>5111</v>
      </c>
      <c r="D8606" t="s">
        <v>1120</v>
      </c>
      <c r="E8606" t="s">
        <v>559</v>
      </c>
      <c r="F8606" t="s">
        <v>1068</v>
      </c>
      <c r="G8606" t="s">
        <v>1078</v>
      </c>
      <c r="H8606">
        <v>-0.66578387355410495</v>
      </c>
      <c r="I8606" t="s">
        <v>1079</v>
      </c>
      <c r="J8606">
        <v>8.35</v>
      </c>
    </row>
    <row r="8607" spans="1:10" hidden="1">
      <c r="A8607" t="s">
        <v>5479</v>
      </c>
      <c r="B8607" t="s">
        <v>5480</v>
      </c>
      <c r="C8607" t="s">
        <v>5111</v>
      </c>
      <c r="D8607" t="s">
        <v>1120</v>
      </c>
      <c r="E8607" t="s">
        <v>559</v>
      </c>
      <c r="F8607" t="s">
        <v>1068</v>
      </c>
      <c r="G8607" t="s">
        <v>1080</v>
      </c>
      <c r="H8607" s="170">
        <v>-3.0771108371322901E-9</v>
      </c>
      <c r="I8607" t="s">
        <v>1082</v>
      </c>
      <c r="J8607">
        <v>8.35</v>
      </c>
    </row>
    <row r="8608" spans="1:10" hidden="1">
      <c r="A8608" t="s">
        <v>5479</v>
      </c>
      <c r="B8608" t="s">
        <v>5480</v>
      </c>
      <c r="C8608" t="s">
        <v>5111</v>
      </c>
      <c r="D8608" t="s">
        <v>1120</v>
      </c>
      <c r="E8608" t="s">
        <v>559</v>
      </c>
      <c r="F8608" t="s">
        <v>1068</v>
      </c>
      <c r="G8608" t="s">
        <v>1083</v>
      </c>
      <c r="H8608" s="170">
        <v>-7.38986148738896E-5</v>
      </c>
      <c r="I8608" t="s">
        <v>1084</v>
      </c>
      <c r="J8608">
        <v>8.35</v>
      </c>
    </row>
    <row r="8609" spans="1:10" hidden="1">
      <c r="A8609" t="s">
        <v>5479</v>
      </c>
      <c r="B8609" t="s">
        <v>5480</v>
      </c>
      <c r="C8609" t="s">
        <v>5111</v>
      </c>
      <c r="D8609" t="s">
        <v>1120</v>
      </c>
      <c r="E8609" t="s">
        <v>559</v>
      </c>
      <c r="F8609" t="s">
        <v>1068</v>
      </c>
      <c r="G8609" t="s">
        <v>1085</v>
      </c>
      <c r="H8609">
        <v>-6.4608881926336804E-4</v>
      </c>
      <c r="I8609" t="s">
        <v>1086</v>
      </c>
      <c r="J8609">
        <v>8.35</v>
      </c>
    </row>
    <row r="8610" spans="1:10" hidden="1">
      <c r="A8610" t="s">
        <v>5479</v>
      </c>
      <c r="B8610" t="s">
        <v>5480</v>
      </c>
      <c r="C8610" t="s">
        <v>5111</v>
      </c>
      <c r="D8610" t="s">
        <v>1120</v>
      </c>
      <c r="E8610" t="s">
        <v>559</v>
      </c>
      <c r="F8610" t="s">
        <v>1068</v>
      </c>
      <c r="G8610" t="s">
        <v>1087</v>
      </c>
      <c r="H8610" s="170">
        <v>-4.8128005973675395E-7</v>
      </c>
      <c r="I8610" t="s">
        <v>1088</v>
      </c>
      <c r="J8610">
        <v>8.35</v>
      </c>
    </row>
    <row r="8611" spans="1:10" hidden="1">
      <c r="A8611" t="s">
        <v>5479</v>
      </c>
      <c r="B8611" t="s">
        <v>5480</v>
      </c>
      <c r="C8611" t="s">
        <v>5111</v>
      </c>
      <c r="D8611" t="s">
        <v>1120</v>
      </c>
      <c r="E8611" t="s">
        <v>559</v>
      </c>
      <c r="F8611" t="s">
        <v>1068</v>
      </c>
      <c r="G8611" t="s">
        <v>1089</v>
      </c>
      <c r="H8611">
        <v>-1.02987038174593E-4</v>
      </c>
      <c r="I8611" t="s">
        <v>1090</v>
      </c>
      <c r="J8611">
        <v>8.35</v>
      </c>
    </row>
    <row r="8612" spans="1:10" hidden="1">
      <c r="A8612" t="s">
        <v>5481</v>
      </c>
      <c r="B8612" t="s">
        <v>5482</v>
      </c>
      <c r="C8612" t="s">
        <v>5111</v>
      </c>
      <c r="D8612" t="s">
        <v>1120</v>
      </c>
      <c r="E8612" t="s">
        <v>560</v>
      </c>
      <c r="F8612" t="s">
        <v>1068</v>
      </c>
      <c r="G8612" t="s">
        <v>1069</v>
      </c>
      <c r="H8612">
        <v>-0.53384169339419996</v>
      </c>
      <c r="I8612" t="s">
        <v>1070</v>
      </c>
      <c r="J8612">
        <v>9.1199999999999992</v>
      </c>
    </row>
    <row r="8613" spans="1:10" hidden="1">
      <c r="A8613" t="s">
        <v>5481</v>
      </c>
      <c r="B8613" t="s">
        <v>5482</v>
      </c>
      <c r="C8613" t="s">
        <v>5111</v>
      </c>
      <c r="D8613" t="s">
        <v>1120</v>
      </c>
      <c r="E8613" t="s">
        <v>560</v>
      </c>
      <c r="F8613" t="s">
        <v>1068</v>
      </c>
      <c r="G8613" t="s">
        <v>1071</v>
      </c>
      <c r="H8613" s="170">
        <v>-5.1273821402138003E-10</v>
      </c>
      <c r="I8613" t="s">
        <v>1072</v>
      </c>
      <c r="J8613">
        <v>9.1199999999999992</v>
      </c>
    </row>
    <row r="8614" spans="1:10" hidden="1">
      <c r="A8614" t="s">
        <v>5481</v>
      </c>
      <c r="B8614" t="s">
        <v>5482</v>
      </c>
      <c r="C8614" t="s">
        <v>5111</v>
      </c>
      <c r="D8614" t="s">
        <v>1120</v>
      </c>
      <c r="E8614" t="s">
        <v>560</v>
      </c>
      <c r="F8614" t="s">
        <v>1068</v>
      </c>
      <c r="G8614" t="s">
        <v>1073</v>
      </c>
      <c r="H8614" s="170">
        <v>-1.8632933198409099E-7</v>
      </c>
      <c r="I8614" t="s">
        <v>1074</v>
      </c>
      <c r="J8614">
        <v>9.1199999999999992</v>
      </c>
    </row>
    <row r="8615" spans="1:10" hidden="1">
      <c r="A8615" t="s">
        <v>5481</v>
      </c>
      <c r="B8615" t="s">
        <v>5482</v>
      </c>
      <c r="C8615" t="s">
        <v>5111</v>
      </c>
      <c r="D8615" t="s">
        <v>1120</v>
      </c>
      <c r="E8615" t="s">
        <v>560</v>
      </c>
      <c r="F8615" t="s">
        <v>1068</v>
      </c>
      <c r="G8615" t="s">
        <v>1075</v>
      </c>
      <c r="H8615">
        <v>-8.7549691213493208E-3</v>
      </c>
      <c r="I8615" t="s">
        <v>1077</v>
      </c>
      <c r="J8615">
        <v>9.1199999999999992</v>
      </c>
    </row>
    <row r="8616" spans="1:10" hidden="1">
      <c r="A8616" t="s">
        <v>5481</v>
      </c>
      <c r="B8616" t="s">
        <v>5482</v>
      </c>
      <c r="C8616" t="s">
        <v>5111</v>
      </c>
      <c r="D8616" t="s">
        <v>1120</v>
      </c>
      <c r="E8616" t="s">
        <v>560</v>
      </c>
      <c r="F8616" t="s">
        <v>1068</v>
      </c>
      <c r="G8616" t="s">
        <v>1078</v>
      </c>
      <c r="H8616">
        <v>-0.65685525998753602</v>
      </c>
      <c r="I8616" t="s">
        <v>1079</v>
      </c>
      <c r="J8616">
        <v>9.1199999999999992</v>
      </c>
    </row>
    <row r="8617" spans="1:10" hidden="1">
      <c r="A8617" t="s">
        <v>5481</v>
      </c>
      <c r="B8617" t="s">
        <v>5482</v>
      </c>
      <c r="C8617" t="s">
        <v>5111</v>
      </c>
      <c r="D8617" t="s">
        <v>1120</v>
      </c>
      <c r="E8617" t="s">
        <v>560</v>
      </c>
      <c r="F8617" t="s">
        <v>1068</v>
      </c>
      <c r="G8617" t="s">
        <v>1080</v>
      </c>
      <c r="H8617" s="170">
        <v>-3.0408039473175799E-9</v>
      </c>
      <c r="I8617" t="s">
        <v>1082</v>
      </c>
      <c r="J8617">
        <v>9.1199999999999992</v>
      </c>
    </row>
    <row r="8618" spans="1:10" hidden="1">
      <c r="A8618" t="s">
        <v>5481</v>
      </c>
      <c r="B8618" t="s">
        <v>5482</v>
      </c>
      <c r="C8618" t="s">
        <v>5111</v>
      </c>
      <c r="D8618" t="s">
        <v>1120</v>
      </c>
      <c r="E8618" t="s">
        <v>560</v>
      </c>
      <c r="F8618" t="s">
        <v>1068</v>
      </c>
      <c r="G8618" t="s">
        <v>1083</v>
      </c>
      <c r="H8618" s="170">
        <v>-7.2905805506796905E-5</v>
      </c>
      <c r="I8618" t="s">
        <v>1084</v>
      </c>
      <c r="J8618">
        <v>9.1199999999999992</v>
      </c>
    </row>
    <row r="8619" spans="1:10" hidden="1">
      <c r="A8619" t="s">
        <v>5481</v>
      </c>
      <c r="B8619" t="s">
        <v>5482</v>
      </c>
      <c r="C8619" t="s">
        <v>5111</v>
      </c>
      <c r="D8619" t="s">
        <v>1120</v>
      </c>
      <c r="E8619" t="s">
        <v>560</v>
      </c>
      <c r="F8619" t="s">
        <v>1068</v>
      </c>
      <c r="G8619" t="s">
        <v>1085</v>
      </c>
      <c r="H8619">
        <v>-6.3486805849448705E-4</v>
      </c>
      <c r="I8619" t="s">
        <v>1086</v>
      </c>
      <c r="J8619">
        <v>9.1199999999999992</v>
      </c>
    </row>
    <row r="8620" spans="1:10" hidden="1">
      <c r="A8620" t="s">
        <v>5481</v>
      </c>
      <c r="B8620" t="s">
        <v>5482</v>
      </c>
      <c r="C8620" t="s">
        <v>5111</v>
      </c>
      <c r="D8620" t="s">
        <v>1120</v>
      </c>
      <c r="E8620" t="s">
        <v>560</v>
      </c>
      <c r="F8620" t="s">
        <v>1068</v>
      </c>
      <c r="G8620" t="s">
        <v>1087</v>
      </c>
      <c r="H8620" s="170">
        <v>-4.7586486929829902E-7</v>
      </c>
      <c r="I8620" t="s">
        <v>1088</v>
      </c>
      <c r="J8620">
        <v>9.1199999999999992</v>
      </c>
    </row>
    <row r="8621" spans="1:10" hidden="1">
      <c r="A8621" t="s">
        <v>5481</v>
      </c>
      <c r="B8621" t="s">
        <v>5482</v>
      </c>
      <c r="C8621" t="s">
        <v>5111</v>
      </c>
      <c r="D8621" t="s">
        <v>1120</v>
      </c>
      <c r="E8621" t="s">
        <v>560</v>
      </c>
      <c r="F8621" t="s">
        <v>1068</v>
      </c>
      <c r="G8621" t="s">
        <v>1089</v>
      </c>
      <c r="H8621">
        <v>-1.00672217413202E-4</v>
      </c>
      <c r="I8621" t="s">
        <v>1090</v>
      </c>
      <c r="J8621">
        <v>9.1199999999999992</v>
      </c>
    </row>
    <row r="8622" spans="1:10" hidden="1">
      <c r="A8622" t="s">
        <v>5483</v>
      </c>
      <c r="B8622" t="s">
        <v>5484</v>
      </c>
      <c r="C8622" t="s">
        <v>5111</v>
      </c>
      <c r="D8622" t="s">
        <v>1120</v>
      </c>
      <c r="E8622" t="s">
        <v>1116</v>
      </c>
      <c r="F8622" t="s">
        <v>1068</v>
      </c>
      <c r="G8622" t="s">
        <v>1069</v>
      </c>
      <c r="H8622">
        <v>-0.49548603913872302</v>
      </c>
      <c r="I8622" t="s">
        <v>1070</v>
      </c>
      <c r="J8622">
        <v>9.82</v>
      </c>
    </row>
    <row r="8623" spans="1:10" hidden="1">
      <c r="A8623" t="s">
        <v>5483</v>
      </c>
      <c r="B8623" t="s">
        <v>5484</v>
      </c>
      <c r="C8623" t="s">
        <v>5111</v>
      </c>
      <c r="D8623" t="s">
        <v>1120</v>
      </c>
      <c r="E8623" t="s">
        <v>1116</v>
      </c>
      <c r="F8623" t="s">
        <v>1068</v>
      </c>
      <c r="G8623" t="s">
        <v>1071</v>
      </c>
      <c r="H8623" s="170">
        <v>-4.57850836413941E-10</v>
      </c>
      <c r="I8623" t="s">
        <v>1072</v>
      </c>
      <c r="J8623">
        <v>9.82</v>
      </c>
    </row>
    <row r="8624" spans="1:10" hidden="1">
      <c r="A8624" t="s">
        <v>5483</v>
      </c>
      <c r="B8624" t="s">
        <v>5484</v>
      </c>
      <c r="C8624" t="s">
        <v>5111</v>
      </c>
      <c r="D8624" t="s">
        <v>1120</v>
      </c>
      <c r="E8624" t="s">
        <v>1116</v>
      </c>
      <c r="F8624" t="s">
        <v>1068</v>
      </c>
      <c r="G8624" t="s">
        <v>1073</v>
      </c>
      <c r="H8624" s="170">
        <v>-1.72705282227866E-7</v>
      </c>
      <c r="I8624" t="s">
        <v>1074</v>
      </c>
      <c r="J8624">
        <v>9.82</v>
      </c>
    </row>
    <row r="8625" spans="1:10" hidden="1">
      <c r="A8625" t="s">
        <v>5483</v>
      </c>
      <c r="B8625" t="s">
        <v>5484</v>
      </c>
      <c r="C8625" t="s">
        <v>5111</v>
      </c>
      <c r="D8625" t="s">
        <v>1120</v>
      </c>
      <c r="E8625" t="s">
        <v>1116</v>
      </c>
      <c r="F8625" t="s">
        <v>1068</v>
      </c>
      <c r="G8625" t="s">
        <v>1075</v>
      </c>
      <c r="H8625">
        <v>-7.54250591615913E-3</v>
      </c>
      <c r="I8625" t="s">
        <v>1077</v>
      </c>
      <c r="J8625">
        <v>9.82</v>
      </c>
    </row>
    <row r="8626" spans="1:10" hidden="1">
      <c r="A8626" t="s">
        <v>5483</v>
      </c>
      <c r="B8626" t="s">
        <v>5484</v>
      </c>
      <c r="C8626" t="s">
        <v>5111</v>
      </c>
      <c r="D8626" t="s">
        <v>1120</v>
      </c>
      <c r="E8626" t="s">
        <v>1116</v>
      </c>
      <c r="F8626" t="s">
        <v>1068</v>
      </c>
      <c r="G8626" t="s">
        <v>1078</v>
      </c>
      <c r="H8626">
        <v>-0.60442367404674502</v>
      </c>
      <c r="I8626" t="s">
        <v>1079</v>
      </c>
      <c r="J8626">
        <v>9.82</v>
      </c>
    </row>
    <row r="8627" spans="1:10" hidden="1">
      <c r="A8627" t="s">
        <v>5483</v>
      </c>
      <c r="B8627" t="s">
        <v>5484</v>
      </c>
      <c r="C8627" t="s">
        <v>5111</v>
      </c>
      <c r="D8627" t="s">
        <v>1120</v>
      </c>
      <c r="E8627" t="s">
        <v>1116</v>
      </c>
      <c r="F8627" t="s">
        <v>1068</v>
      </c>
      <c r="G8627" t="s">
        <v>1080</v>
      </c>
      <c r="H8627" s="170">
        <v>-2.82759863245164E-9</v>
      </c>
      <c r="I8627" t="s">
        <v>1082</v>
      </c>
      <c r="J8627">
        <v>9.82</v>
      </c>
    </row>
    <row r="8628" spans="1:10" hidden="1">
      <c r="A8628" t="s">
        <v>5483</v>
      </c>
      <c r="B8628" t="s">
        <v>5484</v>
      </c>
      <c r="C8628" t="s">
        <v>5111</v>
      </c>
      <c r="D8628" t="s">
        <v>1120</v>
      </c>
      <c r="E8628" t="s">
        <v>1116</v>
      </c>
      <c r="F8628" t="s">
        <v>1068</v>
      </c>
      <c r="G8628" t="s">
        <v>1083</v>
      </c>
      <c r="H8628" s="170">
        <v>-6.7075721226232495E-5</v>
      </c>
      <c r="I8628" t="s">
        <v>1084</v>
      </c>
      <c r="J8628">
        <v>9.82</v>
      </c>
    </row>
    <row r="8629" spans="1:10" hidden="1">
      <c r="A8629" t="s">
        <v>5483</v>
      </c>
      <c r="B8629" t="s">
        <v>5484</v>
      </c>
      <c r="C8629" t="s">
        <v>5111</v>
      </c>
      <c r="D8629" t="s">
        <v>1120</v>
      </c>
      <c r="E8629" t="s">
        <v>1116</v>
      </c>
      <c r="F8629" t="s">
        <v>1068</v>
      </c>
      <c r="G8629" t="s">
        <v>1085</v>
      </c>
      <c r="H8629">
        <v>-5.6897627354156202E-4</v>
      </c>
      <c r="I8629" t="s">
        <v>1086</v>
      </c>
      <c r="J8629">
        <v>9.82</v>
      </c>
    </row>
    <row r="8630" spans="1:10" hidden="1">
      <c r="A8630" t="s">
        <v>5483</v>
      </c>
      <c r="B8630" t="s">
        <v>5484</v>
      </c>
      <c r="C8630" t="s">
        <v>5111</v>
      </c>
      <c r="D8630" t="s">
        <v>1120</v>
      </c>
      <c r="E8630" t="s">
        <v>1116</v>
      </c>
      <c r="F8630" t="s">
        <v>1068</v>
      </c>
      <c r="G8630" t="s">
        <v>1087</v>
      </c>
      <c r="H8630" s="170">
        <v>-4.4406519301714602E-7</v>
      </c>
      <c r="I8630" t="s">
        <v>1088</v>
      </c>
      <c r="J8630">
        <v>9.82</v>
      </c>
    </row>
    <row r="8631" spans="1:10" hidden="1">
      <c r="A8631" t="s">
        <v>5483</v>
      </c>
      <c r="B8631" t="s">
        <v>5484</v>
      </c>
      <c r="C8631" t="s">
        <v>5111</v>
      </c>
      <c r="D8631" t="s">
        <v>1120</v>
      </c>
      <c r="E8631" t="s">
        <v>1116</v>
      </c>
      <c r="F8631" t="s">
        <v>1068</v>
      </c>
      <c r="G8631" t="s">
        <v>1089</v>
      </c>
      <c r="H8631" s="170">
        <v>-8.7078872296298597E-5</v>
      </c>
      <c r="I8631" t="s">
        <v>1090</v>
      </c>
      <c r="J8631">
        <v>9.82</v>
      </c>
    </row>
    <row r="8632" spans="1:10" hidden="1">
      <c r="A8632" t="s">
        <v>5485</v>
      </c>
      <c r="B8632" t="s">
        <v>5486</v>
      </c>
      <c r="C8632" t="s">
        <v>5111</v>
      </c>
      <c r="D8632" t="s">
        <v>5487</v>
      </c>
      <c r="E8632" t="s">
        <v>561</v>
      </c>
      <c r="F8632" t="s">
        <v>1068</v>
      </c>
      <c r="G8632" t="s">
        <v>1069</v>
      </c>
      <c r="H8632" s="171" t="s">
        <v>5488</v>
      </c>
      <c r="I8632" t="s">
        <v>1070</v>
      </c>
      <c r="J8632">
        <v>9.92</v>
      </c>
    </row>
    <row r="8633" spans="1:10" hidden="1">
      <c r="A8633" t="s">
        <v>5485</v>
      </c>
      <c r="B8633" t="s">
        <v>5486</v>
      </c>
      <c r="C8633" t="s">
        <v>5111</v>
      </c>
      <c r="D8633" t="s">
        <v>5487</v>
      </c>
      <c r="E8633" t="s">
        <v>561</v>
      </c>
      <c r="F8633" t="s">
        <v>1068</v>
      </c>
      <c r="G8633" t="s">
        <v>1071</v>
      </c>
      <c r="H8633" s="171" t="s">
        <v>5489</v>
      </c>
      <c r="I8633" t="s">
        <v>1072</v>
      </c>
      <c r="J8633">
        <v>9.92</v>
      </c>
    </row>
    <row r="8634" spans="1:10" hidden="1">
      <c r="A8634" t="s">
        <v>5485</v>
      </c>
      <c r="B8634" t="s">
        <v>5486</v>
      </c>
      <c r="C8634" t="s">
        <v>5111</v>
      </c>
      <c r="D8634" t="s">
        <v>5487</v>
      </c>
      <c r="E8634" t="s">
        <v>561</v>
      </c>
      <c r="F8634" t="s">
        <v>1068</v>
      </c>
      <c r="G8634" t="s">
        <v>1073</v>
      </c>
      <c r="H8634" s="171" t="s">
        <v>5490</v>
      </c>
      <c r="I8634" t="s">
        <v>1074</v>
      </c>
      <c r="J8634">
        <v>9.92</v>
      </c>
    </row>
    <row r="8635" spans="1:10" hidden="1">
      <c r="A8635" t="s">
        <v>5485</v>
      </c>
      <c r="B8635" t="s">
        <v>5486</v>
      </c>
      <c r="C8635" t="s">
        <v>5111</v>
      </c>
      <c r="D8635" t="s">
        <v>5487</v>
      </c>
      <c r="E8635" t="s">
        <v>561</v>
      </c>
      <c r="F8635" t="s">
        <v>1068</v>
      </c>
      <c r="G8635" t="s">
        <v>1075</v>
      </c>
      <c r="H8635">
        <v>4.0849477348301397E-3</v>
      </c>
      <c r="I8635" t="s">
        <v>1077</v>
      </c>
      <c r="J8635">
        <v>9.92</v>
      </c>
    </row>
    <row r="8636" spans="1:10" hidden="1">
      <c r="A8636" t="s">
        <v>5485</v>
      </c>
      <c r="B8636" t="s">
        <v>5486</v>
      </c>
      <c r="C8636" t="s">
        <v>5111</v>
      </c>
      <c r="D8636" t="s">
        <v>5487</v>
      </c>
      <c r="E8636" t="s">
        <v>561</v>
      </c>
      <c r="F8636" t="s">
        <v>1068</v>
      </c>
      <c r="G8636" t="s">
        <v>1078</v>
      </c>
      <c r="H8636">
        <v>4.1800809795969597E-2</v>
      </c>
      <c r="I8636" t="s">
        <v>1079</v>
      </c>
      <c r="J8636">
        <v>9.92</v>
      </c>
    </row>
    <row r="8637" spans="1:10" hidden="1">
      <c r="A8637" t="s">
        <v>5485</v>
      </c>
      <c r="B8637" t="s">
        <v>5486</v>
      </c>
      <c r="C8637" t="s">
        <v>5111</v>
      </c>
      <c r="D8637" t="s">
        <v>5487</v>
      </c>
      <c r="E8637" t="s">
        <v>561</v>
      </c>
      <c r="F8637" t="s">
        <v>1068</v>
      </c>
      <c r="G8637" t="s">
        <v>1080</v>
      </c>
      <c r="H8637" s="171" t="s">
        <v>5491</v>
      </c>
      <c r="I8637" t="s">
        <v>1082</v>
      </c>
      <c r="J8637">
        <v>9.92</v>
      </c>
    </row>
    <row r="8638" spans="1:10" hidden="1">
      <c r="A8638" t="s">
        <v>5485</v>
      </c>
      <c r="B8638" t="s">
        <v>5486</v>
      </c>
      <c r="C8638" t="s">
        <v>5111</v>
      </c>
      <c r="D8638" t="s">
        <v>5487</v>
      </c>
      <c r="E8638" t="s">
        <v>561</v>
      </c>
      <c r="F8638" t="s">
        <v>1068</v>
      </c>
      <c r="G8638" t="s">
        <v>1083</v>
      </c>
      <c r="H8638" s="171" t="s">
        <v>5117</v>
      </c>
      <c r="I8638" t="s">
        <v>1084</v>
      </c>
      <c r="J8638">
        <v>9.92</v>
      </c>
    </row>
    <row r="8639" spans="1:10" hidden="1">
      <c r="A8639" t="s">
        <v>5485</v>
      </c>
      <c r="B8639" t="s">
        <v>5486</v>
      </c>
      <c r="C8639" t="s">
        <v>5111</v>
      </c>
      <c r="D8639" t="s">
        <v>5487</v>
      </c>
      <c r="E8639" t="s">
        <v>561</v>
      </c>
      <c r="F8639" t="s">
        <v>1068</v>
      </c>
      <c r="G8639" t="s">
        <v>1085</v>
      </c>
      <c r="H8639">
        <v>1.45903580543038E-4</v>
      </c>
      <c r="I8639" t="s">
        <v>1086</v>
      </c>
      <c r="J8639">
        <v>9.92</v>
      </c>
    </row>
    <row r="8640" spans="1:10" hidden="1">
      <c r="A8640" t="s">
        <v>5485</v>
      </c>
      <c r="B8640" t="s">
        <v>5486</v>
      </c>
      <c r="C8640" t="s">
        <v>5111</v>
      </c>
      <c r="D8640" t="s">
        <v>5487</v>
      </c>
      <c r="E8640" t="s">
        <v>561</v>
      </c>
      <c r="F8640" t="s">
        <v>1068</v>
      </c>
      <c r="G8640" t="s">
        <v>1087</v>
      </c>
      <c r="H8640" s="171" t="s">
        <v>5118</v>
      </c>
      <c r="I8640" t="s">
        <v>1088</v>
      </c>
      <c r="J8640">
        <v>9.92</v>
      </c>
    </row>
    <row r="8641" spans="1:10" hidden="1">
      <c r="A8641" t="s">
        <v>5485</v>
      </c>
      <c r="B8641" t="s">
        <v>5486</v>
      </c>
      <c r="C8641" t="s">
        <v>5111</v>
      </c>
      <c r="D8641" t="s">
        <v>5487</v>
      </c>
      <c r="E8641" t="s">
        <v>561</v>
      </c>
      <c r="F8641" t="s">
        <v>1068</v>
      </c>
      <c r="G8641" t="s">
        <v>1089</v>
      </c>
      <c r="H8641" s="171" t="s">
        <v>5492</v>
      </c>
      <c r="I8641" t="s">
        <v>1090</v>
      </c>
      <c r="J8641">
        <v>9.92</v>
      </c>
    </row>
    <row r="8642" spans="1:10" hidden="1">
      <c r="A8642" t="s">
        <v>5493</v>
      </c>
      <c r="B8642" t="s">
        <v>5494</v>
      </c>
      <c r="C8642" t="s">
        <v>5111</v>
      </c>
      <c r="D8642" t="s">
        <v>5487</v>
      </c>
      <c r="E8642" t="s">
        <v>555</v>
      </c>
      <c r="F8642" t="s">
        <v>1068</v>
      </c>
      <c r="G8642" t="s">
        <v>1069</v>
      </c>
      <c r="H8642" s="171" t="s">
        <v>5495</v>
      </c>
      <c r="I8642" t="s">
        <v>1070</v>
      </c>
      <c r="J8642">
        <v>10.26</v>
      </c>
    </row>
    <row r="8643" spans="1:10" hidden="1">
      <c r="A8643" t="s">
        <v>5493</v>
      </c>
      <c r="B8643" t="s">
        <v>5494</v>
      </c>
      <c r="C8643" t="s">
        <v>5111</v>
      </c>
      <c r="D8643" t="s">
        <v>5487</v>
      </c>
      <c r="E8643" t="s">
        <v>555</v>
      </c>
      <c r="F8643" t="s">
        <v>1068</v>
      </c>
      <c r="G8643" t="s">
        <v>1071</v>
      </c>
      <c r="H8643" s="171" t="s">
        <v>5496</v>
      </c>
      <c r="I8643" t="s">
        <v>1072</v>
      </c>
      <c r="J8643">
        <v>10.26</v>
      </c>
    </row>
    <row r="8644" spans="1:10" hidden="1">
      <c r="A8644" t="s">
        <v>5493</v>
      </c>
      <c r="B8644" t="s">
        <v>5494</v>
      </c>
      <c r="C8644" t="s">
        <v>5111</v>
      </c>
      <c r="D8644" t="s">
        <v>5487</v>
      </c>
      <c r="E8644" t="s">
        <v>555</v>
      </c>
      <c r="F8644" t="s">
        <v>1068</v>
      </c>
      <c r="G8644" t="s">
        <v>1073</v>
      </c>
      <c r="H8644" s="171" t="s">
        <v>5497</v>
      </c>
      <c r="I8644" t="s">
        <v>1074</v>
      </c>
      <c r="J8644">
        <v>10.26</v>
      </c>
    </row>
    <row r="8645" spans="1:10" hidden="1">
      <c r="A8645" t="s">
        <v>5493</v>
      </c>
      <c r="B8645" t="s">
        <v>5494</v>
      </c>
      <c r="C8645" t="s">
        <v>5111</v>
      </c>
      <c r="D8645" t="s">
        <v>5487</v>
      </c>
      <c r="E8645" t="s">
        <v>555</v>
      </c>
      <c r="F8645" t="s">
        <v>1068</v>
      </c>
      <c r="G8645" t="s">
        <v>1075</v>
      </c>
      <c r="H8645">
        <v>4.0660788472625404E-3</v>
      </c>
      <c r="I8645" t="s">
        <v>1077</v>
      </c>
      <c r="J8645">
        <v>10.26</v>
      </c>
    </row>
    <row r="8646" spans="1:10" hidden="1">
      <c r="A8646" t="s">
        <v>5493</v>
      </c>
      <c r="B8646" t="s">
        <v>5494</v>
      </c>
      <c r="C8646" t="s">
        <v>5111</v>
      </c>
      <c r="D8646" t="s">
        <v>5487</v>
      </c>
      <c r="E8646" t="s">
        <v>555</v>
      </c>
      <c r="F8646" t="s">
        <v>1068</v>
      </c>
      <c r="G8646" t="s">
        <v>1078</v>
      </c>
      <c r="H8646">
        <v>4.0984842545202599E-2</v>
      </c>
      <c r="I8646" t="s">
        <v>1079</v>
      </c>
      <c r="J8646">
        <v>10.26</v>
      </c>
    </row>
    <row r="8647" spans="1:10" hidden="1">
      <c r="A8647" t="s">
        <v>5493</v>
      </c>
      <c r="B8647" t="s">
        <v>5494</v>
      </c>
      <c r="C8647" t="s">
        <v>5111</v>
      </c>
      <c r="D8647" t="s">
        <v>5487</v>
      </c>
      <c r="E8647" t="s">
        <v>555</v>
      </c>
      <c r="F8647" t="s">
        <v>1068</v>
      </c>
      <c r="G8647" t="s">
        <v>1080</v>
      </c>
      <c r="H8647" s="171" t="s">
        <v>5498</v>
      </c>
      <c r="I8647" t="s">
        <v>1082</v>
      </c>
      <c r="J8647">
        <v>10.26</v>
      </c>
    </row>
    <row r="8648" spans="1:10" hidden="1">
      <c r="A8648" t="s">
        <v>5493</v>
      </c>
      <c r="B8648" t="s">
        <v>5494</v>
      </c>
      <c r="C8648" t="s">
        <v>5111</v>
      </c>
      <c r="D8648" t="s">
        <v>5487</v>
      </c>
      <c r="E8648" t="s">
        <v>555</v>
      </c>
      <c r="F8648" t="s">
        <v>1068</v>
      </c>
      <c r="G8648" t="s">
        <v>1083</v>
      </c>
      <c r="H8648" s="171" t="s">
        <v>5499</v>
      </c>
      <c r="I8648" t="s">
        <v>1084</v>
      </c>
      <c r="J8648">
        <v>10.26</v>
      </c>
    </row>
    <row r="8649" spans="1:10" hidden="1">
      <c r="A8649" t="s">
        <v>5493</v>
      </c>
      <c r="B8649" t="s">
        <v>5494</v>
      </c>
      <c r="C8649" t="s">
        <v>5111</v>
      </c>
      <c r="D8649" t="s">
        <v>5487</v>
      </c>
      <c r="E8649" t="s">
        <v>555</v>
      </c>
      <c r="F8649" t="s">
        <v>1068</v>
      </c>
      <c r="G8649" t="s">
        <v>1085</v>
      </c>
      <c r="H8649">
        <v>1.4487813943021201E-4</v>
      </c>
      <c r="I8649" t="s">
        <v>1086</v>
      </c>
      <c r="J8649">
        <v>10.26</v>
      </c>
    </row>
    <row r="8650" spans="1:10" hidden="1">
      <c r="A8650" t="s">
        <v>5493</v>
      </c>
      <c r="B8650" t="s">
        <v>5494</v>
      </c>
      <c r="C8650" t="s">
        <v>5111</v>
      </c>
      <c r="D8650" t="s">
        <v>5487</v>
      </c>
      <c r="E8650" t="s">
        <v>555</v>
      </c>
      <c r="F8650" t="s">
        <v>1068</v>
      </c>
      <c r="G8650" t="s">
        <v>1087</v>
      </c>
      <c r="H8650" s="171" t="s">
        <v>5500</v>
      </c>
      <c r="I8650" t="s">
        <v>1088</v>
      </c>
      <c r="J8650">
        <v>10.26</v>
      </c>
    </row>
    <row r="8651" spans="1:10" hidden="1">
      <c r="A8651" t="s">
        <v>5493</v>
      </c>
      <c r="B8651" t="s">
        <v>5494</v>
      </c>
      <c r="C8651" t="s">
        <v>5111</v>
      </c>
      <c r="D8651" t="s">
        <v>5487</v>
      </c>
      <c r="E8651" t="s">
        <v>555</v>
      </c>
      <c r="F8651" t="s">
        <v>1068</v>
      </c>
      <c r="G8651" t="s">
        <v>1089</v>
      </c>
      <c r="H8651" s="171" t="s">
        <v>5501</v>
      </c>
      <c r="I8651" t="s">
        <v>1090</v>
      </c>
      <c r="J8651">
        <v>10.26</v>
      </c>
    </row>
    <row r="8652" spans="1:10" hidden="1">
      <c r="A8652" t="s">
        <v>5502</v>
      </c>
      <c r="B8652" t="s">
        <v>5503</v>
      </c>
      <c r="C8652" t="s">
        <v>5111</v>
      </c>
      <c r="D8652" t="s">
        <v>5487</v>
      </c>
      <c r="E8652" t="s">
        <v>558</v>
      </c>
      <c r="F8652" t="s">
        <v>1068</v>
      </c>
      <c r="G8652" t="s">
        <v>1069</v>
      </c>
      <c r="H8652" s="171" t="s">
        <v>5504</v>
      </c>
      <c r="I8652" t="s">
        <v>1070</v>
      </c>
      <c r="J8652">
        <v>17.309999999999999</v>
      </c>
    </row>
    <row r="8653" spans="1:10" hidden="1">
      <c r="A8653" t="s">
        <v>5502</v>
      </c>
      <c r="B8653" t="s">
        <v>5503</v>
      </c>
      <c r="C8653" t="s">
        <v>5111</v>
      </c>
      <c r="D8653" t="s">
        <v>5487</v>
      </c>
      <c r="E8653" t="s">
        <v>558</v>
      </c>
      <c r="F8653" t="s">
        <v>1068</v>
      </c>
      <c r="G8653" t="s">
        <v>1071</v>
      </c>
      <c r="H8653" s="171" t="s">
        <v>5505</v>
      </c>
      <c r="I8653" t="s">
        <v>1072</v>
      </c>
      <c r="J8653">
        <v>17.309999999999999</v>
      </c>
    </row>
    <row r="8654" spans="1:10" hidden="1">
      <c r="A8654" t="s">
        <v>5502</v>
      </c>
      <c r="B8654" t="s">
        <v>5503</v>
      </c>
      <c r="C8654" t="s">
        <v>5111</v>
      </c>
      <c r="D8654" t="s">
        <v>5487</v>
      </c>
      <c r="E8654" t="s">
        <v>558</v>
      </c>
      <c r="F8654" t="s">
        <v>1068</v>
      </c>
      <c r="G8654" t="s">
        <v>1073</v>
      </c>
      <c r="H8654" s="171" t="s">
        <v>5506</v>
      </c>
      <c r="I8654" t="s">
        <v>1074</v>
      </c>
      <c r="J8654">
        <v>17.309999999999999</v>
      </c>
    </row>
    <row r="8655" spans="1:10" hidden="1">
      <c r="A8655" t="s">
        <v>5502</v>
      </c>
      <c r="B8655" t="s">
        <v>5503</v>
      </c>
      <c r="C8655" t="s">
        <v>5111</v>
      </c>
      <c r="D8655" t="s">
        <v>5487</v>
      </c>
      <c r="E8655" t="s">
        <v>558</v>
      </c>
      <c r="F8655" t="s">
        <v>1068</v>
      </c>
      <c r="G8655" t="s">
        <v>1075</v>
      </c>
      <c r="H8655">
        <v>4.0866207560356299E-3</v>
      </c>
      <c r="I8655" t="s">
        <v>1077</v>
      </c>
      <c r="J8655">
        <v>17.309999999999999</v>
      </c>
    </row>
    <row r="8656" spans="1:10" hidden="1">
      <c r="A8656" t="s">
        <v>5502</v>
      </c>
      <c r="B8656" t="s">
        <v>5503</v>
      </c>
      <c r="C8656" t="s">
        <v>5111</v>
      </c>
      <c r="D8656" t="s">
        <v>5487</v>
      </c>
      <c r="E8656" t="s">
        <v>558</v>
      </c>
      <c r="F8656" t="s">
        <v>1068</v>
      </c>
      <c r="G8656" t="s">
        <v>1078</v>
      </c>
      <c r="H8656">
        <v>4.1873157686419603E-2</v>
      </c>
      <c r="I8656" t="s">
        <v>1079</v>
      </c>
      <c r="J8656">
        <v>17.309999999999999</v>
      </c>
    </row>
    <row r="8657" spans="1:10" hidden="1">
      <c r="A8657" t="s">
        <v>5502</v>
      </c>
      <c r="B8657" t="s">
        <v>5503</v>
      </c>
      <c r="C8657" t="s">
        <v>5111</v>
      </c>
      <c r="D8657" t="s">
        <v>5487</v>
      </c>
      <c r="E8657" t="s">
        <v>558</v>
      </c>
      <c r="F8657" t="s">
        <v>1068</v>
      </c>
      <c r="G8657" t="s">
        <v>1080</v>
      </c>
      <c r="H8657" s="171" t="s">
        <v>5507</v>
      </c>
      <c r="I8657" t="s">
        <v>1082</v>
      </c>
      <c r="J8657">
        <v>17.309999999999999</v>
      </c>
    </row>
    <row r="8658" spans="1:10" hidden="1">
      <c r="A8658" t="s">
        <v>5502</v>
      </c>
      <c r="B8658" t="s">
        <v>5503</v>
      </c>
      <c r="C8658" t="s">
        <v>5111</v>
      </c>
      <c r="D8658" t="s">
        <v>5487</v>
      </c>
      <c r="E8658" t="s">
        <v>558</v>
      </c>
      <c r="F8658" t="s">
        <v>1068</v>
      </c>
      <c r="G8658" t="s">
        <v>1083</v>
      </c>
      <c r="H8658" s="171" t="s">
        <v>5508</v>
      </c>
      <c r="I8658" t="s">
        <v>1084</v>
      </c>
      <c r="J8658">
        <v>17.309999999999999</v>
      </c>
    </row>
    <row r="8659" spans="1:10" hidden="1">
      <c r="A8659" t="s">
        <v>5502</v>
      </c>
      <c r="B8659" t="s">
        <v>5503</v>
      </c>
      <c r="C8659" t="s">
        <v>5111</v>
      </c>
      <c r="D8659" t="s">
        <v>5487</v>
      </c>
      <c r="E8659" t="s">
        <v>558</v>
      </c>
      <c r="F8659" t="s">
        <v>1068</v>
      </c>
      <c r="G8659" t="s">
        <v>1085</v>
      </c>
      <c r="H8659">
        <v>1.4599450153184799E-4</v>
      </c>
      <c r="I8659" t="s">
        <v>1086</v>
      </c>
      <c r="J8659">
        <v>17.309999999999999</v>
      </c>
    </row>
    <row r="8660" spans="1:10" hidden="1">
      <c r="A8660" t="s">
        <v>5502</v>
      </c>
      <c r="B8660" t="s">
        <v>5503</v>
      </c>
      <c r="C8660" t="s">
        <v>5111</v>
      </c>
      <c r="D8660" t="s">
        <v>5487</v>
      </c>
      <c r="E8660" t="s">
        <v>558</v>
      </c>
      <c r="F8660" t="s">
        <v>1068</v>
      </c>
      <c r="G8660" t="s">
        <v>1087</v>
      </c>
      <c r="H8660" s="171" t="s">
        <v>5509</v>
      </c>
      <c r="I8660" t="s">
        <v>1088</v>
      </c>
      <c r="J8660">
        <v>17.309999999999999</v>
      </c>
    </row>
    <row r="8661" spans="1:10" hidden="1">
      <c r="A8661" t="s">
        <v>5502</v>
      </c>
      <c r="B8661" t="s">
        <v>5503</v>
      </c>
      <c r="C8661" t="s">
        <v>5111</v>
      </c>
      <c r="D8661" t="s">
        <v>5487</v>
      </c>
      <c r="E8661" t="s">
        <v>558</v>
      </c>
      <c r="F8661" t="s">
        <v>1068</v>
      </c>
      <c r="G8661" t="s">
        <v>1089</v>
      </c>
      <c r="H8661" s="171" t="s">
        <v>5510</v>
      </c>
      <c r="I8661" t="s">
        <v>1090</v>
      </c>
      <c r="J8661">
        <v>17.309999999999999</v>
      </c>
    </row>
    <row r="8662" spans="1:10" hidden="1">
      <c r="A8662" t="s">
        <v>5511</v>
      </c>
      <c r="B8662" t="s">
        <v>5512</v>
      </c>
      <c r="C8662" t="s">
        <v>5111</v>
      </c>
      <c r="D8662" t="s">
        <v>5487</v>
      </c>
      <c r="E8662" t="s">
        <v>553</v>
      </c>
      <c r="F8662" t="s">
        <v>1068</v>
      </c>
      <c r="G8662" t="s">
        <v>1069</v>
      </c>
      <c r="H8662" s="171" t="s">
        <v>5513</v>
      </c>
      <c r="I8662" t="s">
        <v>1070</v>
      </c>
      <c r="J8662">
        <v>13.58</v>
      </c>
    </row>
    <row r="8663" spans="1:10" hidden="1">
      <c r="A8663" t="s">
        <v>5511</v>
      </c>
      <c r="B8663" t="s">
        <v>5512</v>
      </c>
      <c r="C8663" t="s">
        <v>5111</v>
      </c>
      <c r="D8663" t="s">
        <v>5487</v>
      </c>
      <c r="E8663" t="s">
        <v>553</v>
      </c>
      <c r="F8663" t="s">
        <v>1068</v>
      </c>
      <c r="G8663" t="s">
        <v>1071</v>
      </c>
      <c r="H8663" s="171" t="s">
        <v>5514</v>
      </c>
      <c r="I8663" t="s">
        <v>1072</v>
      </c>
      <c r="J8663">
        <v>13.58</v>
      </c>
    </row>
    <row r="8664" spans="1:10" hidden="1">
      <c r="A8664" t="s">
        <v>5511</v>
      </c>
      <c r="B8664" t="s">
        <v>5512</v>
      </c>
      <c r="C8664" t="s">
        <v>5111</v>
      </c>
      <c r="D8664" t="s">
        <v>5487</v>
      </c>
      <c r="E8664" t="s">
        <v>553</v>
      </c>
      <c r="F8664" t="s">
        <v>1068</v>
      </c>
      <c r="G8664" t="s">
        <v>1073</v>
      </c>
      <c r="H8664" s="171" t="s">
        <v>5515</v>
      </c>
      <c r="I8664" t="s">
        <v>1074</v>
      </c>
      <c r="J8664">
        <v>13.58</v>
      </c>
    </row>
    <row r="8665" spans="1:10" hidden="1">
      <c r="A8665" t="s">
        <v>5511</v>
      </c>
      <c r="B8665" t="s">
        <v>5512</v>
      </c>
      <c r="C8665" t="s">
        <v>5111</v>
      </c>
      <c r="D8665" t="s">
        <v>5487</v>
      </c>
      <c r="E8665" t="s">
        <v>553</v>
      </c>
      <c r="F8665" t="s">
        <v>1068</v>
      </c>
      <c r="G8665" t="s">
        <v>1075</v>
      </c>
      <c r="H8665">
        <v>4.0882824430008404E-3</v>
      </c>
      <c r="I8665" t="s">
        <v>1077</v>
      </c>
      <c r="J8665">
        <v>13.58</v>
      </c>
    </row>
    <row r="8666" spans="1:10" hidden="1">
      <c r="A8666" t="s">
        <v>5511</v>
      </c>
      <c r="B8666" t="s">
        <v>5512</v>
      </c>
      <c r="C8666" t="s">
        <v>5111</v>
      </c>
      <c r="D8666" t="s">
        <v>5487</v>
      </c>
      <c r="E8666" t="s">
        <v>553</v>
      </c>
      <c r="F8666" t="s">
        <v>1068</v>
      </c>
      <c r="G8666" t="s">
        <v>1078</v>
      </c>
      <c r="H8666">
        <v>4.1945011672945703E-2</v>
      </c>
      <c r="I8666" t="s">
        <v>1079</v>
      </c>
      <c r="J8666">
        <v>13.58</v>
      </c>
    </row>
    <row r="8667" spans="1:10" hidden="1">
      <c r="A8667" t="s">
        <v>5511</v>
      </c>
      <c r="B8667" t="s">
        <v>5512</v>
      </c>
      <c r="C8667" t="s">
        <v>5111</v>
      </c>
      <c r="D8667" t="s">
        <v>5487</v>
      </c>
      <c r="E8667" t="s">
        <v>553</v>
      </c>
      <c r="F8667" t="s">
        <v>1068</v>
      </c>
      <c r="G8667" t="s">
        <v>1080</v>
      </c>
      <c r="H8667" s="171" t="s">
        <v>5146</v>
      </c>
      <c r="I8667" t="s">
        <v>1082</v>
      </c>
      <c r="J8667">
        <v>13.58</v>
      </c>
    </row>
    <row r="8668" spans="1:10" hidden="1">
      <c r="A8668" t="s">
        <v>5511</v>
      </c>
      <c r="B8668" t="s">
        <v>5512</v>
      </c>
      <c r="C8668" t="s">
        <v>5111</v>
      </c>
      <c r="D8668" t="s">
        <v>5487</v>
      </c>
      <c r="E8668" t="s">
        <v>553</v>
      </c>
      <c r="F8668" t="s">
        <v>1068</v>
      </c>
      <c r="G8668" t="s">
        <v>1083</v>
      </c>
      <c r="H8668" s="171" t="s">
        <v>5147</v>
      </c>
      <c r="I8668" t="s">
        <v>1084</v>
      </c>
      <c r="J8668">
        <v>13.58</v>
      </c>
    </row>
    <row r="8669" spans="1:10" hidden="1">
      <c r="A8669" t="s">
        <v>5511</v>
      </c>
      <c r="B8669" t="s">
        <v>5512</v>
      </c>
      <c r="C8669" t="s">
        <v>5111</v>
      </c>
      <c r="D8669" t="s">
        <v>5487</v>
      </c>
      <c r="E8669" t="s">
        <v>553</v>
      </c>
      <c r="F8669" t="s">
        <v>1068</v>
      </c>
      <c r="G8669" t="s">
        <v>1085</v>
      </c>
      <c r="H8669">
        <v>1.4608480248547699E-4</v>
      </c>
      <c r="I8669" t="s">
        <v>1086</v>
      </c>
      <c r="J8669">
        <v>13.58</v>
      </c>
    </row>
    <row r="8670" spans="1:10" hidden="1">
      <c r="A8670" t="s">
        <v>5511</v>
      </c>
      <c r="B8670" t="s">
        <v>5512</v>
      </c>
      <c r="C8670" t="s">
        <v>5111</v>
      </c>
      <c r="D8670" t="s">
        <v>5487</v>
      </c>
      <c r="E8670" t="s">
        <v>553</v>
      </c>
      <c r="F8670" t="s">
        <v>1068</v>
      </c>
      <c r="G8670" t="s">
        <v>1087</v>
      </c>
      <c r="H8670" s="171" t="s">
        <v>5516</v>
      </c>
      <c r="I8670" t="s">
        <v>1088</v>
      </c>
      <c r="J8670">
        <v>13.58</v>
      </c>
    </row>
    <row r="8671" spans="1:10" hidden="1">
      <c r="A8671" t="s">
        <v>5511</v>
      </c>
      <c r="B8671" t="s">
        <v>5512</v>
      </c>
      <c r="C8671" t="s">
        <v>5111</v>
      </c>
      <c r="D8671" t="s">
        <v>5487</v>
      </c>
      <c r="E8671" t="s">
        <v>553</v>
      </c>
      <c r="F8671" t="s">
        <v>1068</v>
      </c>
      <c r="G8671" t="s">
        <v>1089</v>
      </c>
      <c r="H8671" s="171" t="s">
        <v>5149</v>
      </c>
      <c r="I8671" t="s">
        <v>1090</v>
      </c>
      <c r="J8671">
        <v>13.58</v>
      </c>
    </row>
    <row r="8672" spans="1:10" hidden="1">
      <c r="A8672" t="s">
        <v>5517</v>
      </c>
      <c r="B8672" t="s">
        <v>5518</v>
      </c>
      <c r="C8672" t="s">
        <v>5111</v>
      </c>
      <c r="D8672" t="s">
        <v>5487</v>
      </c>
      <c r="E8672" t="s">
        <v>556</v>
      </c>
      <c r="F8672" t="s">
        <v>1068</v>
      </c>
      <c r="G8672" t="s">
        <v>1069</v>
      </c>
      <c r="H8672" s="171" t="s">
        <v>5519</v>
      </c>
      <c r="I8672" t="s">
        <v>1070</v>
      </c>
      <c r="J8672">
        <v>25.27</v>
      </c>
    </row>
    <row r="8673" spans="1:10" hidden="1">
      <c r="A8673" t="s">
        <v>5517</v>
      </c>
      <c r="B8673" t="s">
        <v>5518</v>
      </c>
      <c r="C8673" t="s">
        <v>5111</v>
      </c>
      <c r="D8673" t="s">
        <v>5487</v>
      </c>
      <c r="E8673" t="s">
        <v>556</v>
      </c>
      <c r="F8673" t="s">
        <v>1068</v>
      </c>
      <c r="G8673" t="s">
        <v>1071</v>
      </c>
      <c r="H8673" s="171" t="s">
        <v>5520</v>
      </c>
      <c r="I8673" t="s">
        <v>1072</v>
      </c>
      <c r="J8673">
        <v>25.27</v>
      </c>
    </row>
    <row r="8674" spans="1:10" hidden="1">
      <c r="A8674" t="s">
        <v>5517</v>
      </c>
      <c r="B8674" t="s">
        <v>5518</v>
      </c>
      <c r="C8674" t="s">
        <v>5111</v>
      </c>
      <c r="D8674" t="s">
        <v>5487</v>
      </c>
      <c r="E8674" t="s">
        <v>556</v>
      </c>
      <c r="F8674" t="s">
        <v>1068</v>
      </c>
      <c r="G8674" t="s">
        <v>1073</v>
      </c>
      <c r="H8674" s="171" t="s">
        <v>5521</v>
      </c>
      <c r="I8674" t="s">
        <v>1074</v>
      </c>
      <c r="J8674">
        <v>25.28</v>
      </c>
    </row>
    <row r="8675" spans="1:10" hidden="1">
      <c r="A8675" t="s">
        <v>5517</v>
      </c>
      <c r="B8675" t="s">
        <v>5518</v>
      </c>
      <c r="C8675" t="s">
        <v>5111</v>
      </c>
      <c r="D8675" t="s">
        <v>5487</v>
      </c>
      <c r="E8675" t="s">
        <v>556</v>
      </c>
      <c r="F8675" t="s">
        <v>1068</v>
      </c>
      <c r="G8675" t="s">
        <v>1075</v>
      </c>
      <c r="H8675">
        <v>4.0681658131419699E-3</v>
      </c>
      <c r="I8675" t="s">
        <v>1077</v>
      </c>
      <c r="J8675">
        <v>25.28</v>
      </c>
    </row>
    <row r="8676" spans="1:10" hidden="1">
      <c r="A8676" t="s">
        <v>5517</v>
      </c>
      <c r="B8676" t="s">
        <v>5518</v>
      </c>
      <c r="C8676" t="s">
        <v>5111</v>
      </c>
      <c r="D8676" t="s">
        <v>5487</v>
      </c>
      <c r="E8676" t="s">
        <v>556</v>
      </c>
      <c r="F8676" t="s">
        <v>1068</v>
      </c>
      <c r="G8676" t="s">
        <v>1078</v>
      </c>
      <c r="H8676" s="171" t="s">
        <v>5155</v>
      </c>
      <c r="I8676" t="s">
        <v>1079</v>
      </c>
      <c r="J8676">
        <v>25.28</v>
      </c>
    </row>
    <row r="8677" spans="1:10" hidden="1">
      <c r="A8677" t="s">
        <v>5517</v>
      </c>
      <c r="B8677" t="s">
        <v>5518</v>
      </c>
      <c r="C8677" t="s">
        <v>5111</v>
      </c>
      <c r="D8677" t="s">
        <v>5487</v>
      </c>
      <c r="E8677" t="s">
        <v>556</v>
      </c>
      <c r="F8677" t="s">
        <v>1068</v>
      </c>
      <c r="G8677" t="s">
        <v>1080</v>
      </c>
      <c r="H8677" s="171" t="s">
        <v>5522</v>
      </c>
      <c r="I8677" t="s">
        <v>1082</v>
      </c>
      <c r="J8677">
        <v>25.28</v>
      </c>
    </row>
    <row r="8678" spans="1:10" hidden="1">
      <c r="A8678" t="s">
        <v>5517</v>
      </c>
      <c r="B8678" t="s">
        <v>5518</v>
      </c>
      <c r="C8678" t="s">
        <v>5111</v>
      </c>
      <c r="D8678" t="s">
        <v>5487</v>
      </c>
      <c r="E8678" t="s">
        <v>556</v>
      </c>
      <c r="F8678" t="s">
        <v>1068</v>
      </c>
      <c r="G8678" t="s">
        <v>1083</v>
      </c>
      <c r="H8678" s="171" t="s">
        <v>5523</v>
      </c>
      <c r="I8678" t="s">
        <v>1084</v>
      </c>
      <c r="J8678">
        <v>25.28</v>
      </c>
    </row>
    <row r="8679" spans="1:10" hidden="1">
      <c r="A8679" t="s">
        <v>5517</v>
      </c>
      <c r="B8679" t="s">
        <v>5518</v>
      </c>
      <c r="C8679" t="s">
        <v>5111</v>
      </c>
      <c r="D8679" t="s">
        <v>5487</v>
      </c>
      <c r="E8679" t="s">
        <v>556</v>
      </c>
      <c r="F8679" t="s">
        <v>1068</v>
      </c>
      <c r="G8679" t="s">
        <v>1085</v>
      </c>
      <c r="H8679">
        <v>1.4499155640345301E-4</v>
      </c>
      <c r="I8679" t="s">
        <v>1086</v>
      </c>
      <c r="J8679">
        <v>25.28</v>
      </c>
    </row>
    <row r="8680" spans="1:10" hidden="1">
      <c r="A8680" t="s">
        <v>5517</v>
      </c>
      <c r="B8680" t="s">
        <v>5518</v>
      </c>
      <c r="C8680" t="s">
        <v>5111</v>
      </c>
      <c r="D8680" t="s">
        <v>5487</v>
      </c>
      <c r="E8680" t="s">
        <v>556</v>
      </c>
      <c r="F8680" t="s">
        <v>1068</v>
      </c>
      <c r="G8680" t="s">
        <v>1087</v>
      </c>
      <c r="H8680" s="171" t="s">
        <v>5524</v>
      </c>
      <c r="I8680" t="s">
        <v>1088</v>
      </c>
      <c r="J8680">
        <v>25.28</v>
      </c>
    </row>
    <row r="8681" spans="1:10" hidden="1">
      <c r="A8681" t="s">
        <v>5517</v>
      </c>
      <c r="B8681" t="s">
        <v>5518</v>
      </c>
      <c r="C8681" t="s">
        <v>5111</v>
      </c>
      <c r="D8681" t="s">
        <v>5487</v>
      </c>
      <c r="E8681" t="s">
        <v>556</v>
      </c>
      <c r="F8681" t="s">
        <v>1068</v>
      </c>
      <c r="G8681" t="s">
        <v>1089</v>
      </c>
      <c r="H8681" s="171" t="s">
        <v>5159</v>
      </c>
      <c r="I8681" t="s">
        <v>1090</v>
      </c>
      <c r="J8681">
        <v>25.28</v>
      </c>
    </row>
    <row r="8682" spans="1:10" hidden="1">
      <c r="A8682" t="s">
        <v>5525</v>
      </c>
      <c r="B8682" t="s">
        <v>5526</v>
      </c>
      <c r="C8682" t="s">
        <v>5111</v>
      </c>
      <c r="D8682" t="s">
        <v>5487</v>
      </c>
      <c r="E8682" t="s">
        <v>557</v>
      </c>
      <c r="F8682" t="s">
        <v>1068</v>
      </c>
      <c r="G8682" t="s">
        <v>1069</v>
      </c>
      <c r="H8682" s="171" t="s">
        <v>5527</v>
      </c>
      <c r="I8682" t="s">
        <v>1070</v>
      </c>
      <c r="J8682">
        <v>15.24</v>
      </c>
    </row>
    <row r="8683" spans="1:10" hidden="1">
      <c r="A8683" t="s">
        <v>5525</v>
      </c>
      <c r="B8683" t="s">
        <v>5526</v>
      </c>
      <c r="C8683" t="s">
        <v>5111</v>
      </c>
      <c r="D8683" t="s">
        <v>5487</v>
      </c>
      <c r="E8683" t="s">
        <v>557</v>
      </c>
      <c r="F8683" t="s">
        <v>1068</v>
      </c>
      <c r="G8683" t="s">
        <v>1071</v>
      </c>
      <c r="H8683" s="171" t="s">
        <v>5528</v>
      </c>
      <c r="I8683" t="s">
        <v>1072</v>
      </c>
      <c r="J8683">
        <v>15.24</v>
      </c>
    </row>
    <row r="8684" spans="1:10" hidden="1">
      <c r="A8684" t="s">
        <v>5525</v>
      </c>
      <c r="B8684" t="s">
        <v>5526</v>
      </c>
      <c r="C8684" t="s">
        <v>5111</v>
      </c>
      <c r="D8684" t="s">
        <v>5487</v>
      </c>
      <c r="E8684" t="s">
        <v>557</v>
      </c>
      <c r="F8684" t="s">
        <v>1068</v>
      </c>
      <c r="G8684" t="s">
        <v>1073</v>
      </c>
      <c r="H8684" s="171" t="s">
        <v>5529</v>
      </c>
      <c r="I8684" t="s">
        <v>1074</v>
      </c>
      <c r="J8684">
        <v>15.24</v>
      </c>
    </row>
    <row r="8685" spans="1:10" hidden="1">
      <c r="A8685" t="s">
        <v>5525</v>
      </c>
      <c r="B8685" t="s">
        <v>5526</v>
      </c>
      <c r="C8685" t="s">
        <v>5111</v>
      </c>
      <c r="D8685" t="s">
        <v>5487</v>
      </c>
      <c r="E8685" t="s">
        <v>557</v>
      </c>
      <c r="F8685" t="s">
        <v>1068</v>
      </c>
      <c r="G8685" t="s">
        <v>1075</v>
      </c>
      <c r="H8685">
        <v>4.0797104510546696E-3</v>
      </c>
      <c r="I8685" t="s">
        <v>1077</v>
      </c>
      <c r="J8685">
        <v>15.24</v>
      </c>
    </row>
    <row r="8686" spans="1:10" hidden="1">
      <c r="A8686" t="s">
        <v>5525</v>
      </c>
      <c r="B8686" t="s">
        <v>5526</v>
      </c>
      <c r="C8686" t="s">
        <v>5111</v>
      </c>
      <c r="D8686" t="s">
        <v>5487</v>
      </c>
      <c r="E8686" t="s">
        <v>557</v>
      </c>
      <c r="F8686" t="s">
        <v>1068</v>
      </c>
      <c r="G8686" t="s">
        <v>1078</v>
      </c>
      <c r="H8686">
        <v>4.1574329443250999E-2</v>
      </c>
      <c r="I8686" t="s">
        <v>1079</v>
      </c>
      <c r="J8686">
        <v>15.24</v>
      </c>
    </row>
    <row r="8687" spans="1:10" hidden="1">
      <c r="A8687" t="s">
        <v>5525</v>
      </c>
      <c r="B8687" t="s">
        <v>5526</v>
      </c>
      <c r="C8687" t="s">
        <v>5111</v>
      </c>
      <c r="D8687" t="s">
        <v>5487</v>
      </c>
      <c r="E8687" t="s">
        <v>557</v>
      </c>
      <c r="F8687" t="s">
        <v>1068</v>
      </c>
      <c r="G8687" t="s">
        <v>1080</v>
      </c>
      <c r="H8687" s="171" t="s">
        <v>5530</v>
      </c>
      <c r="I8687" t="s">
        <v>1082</v>
      </c>
      <c r="J8687">
        <v>15.24</v>
      </c>
    </row>
    <row r="8688" spans="1:10" hidden="1">
      <c r="A8688" t="s">
        <v>5525</v>
      </c>
      <c r="B8688" t="s">
        <v>5526</v>
      </c>
      <c r="C8688" t="s">
        <v>5111</v>
      </c>
      <c r="D8688" t="s">
        <v>5487</v>
      </c>
      <c r="E8688" t="s">
        <v>557</v>
      </c>
      <c r="F8688" t="s">
        <v>1068</v>
      </c>
      <c r="G8688" t="s">
        <v>1083</v>
      </c>
      <c r="H8688" s="171" t="s">
        <v>5531</v>
      </c>
      <c r="I8688" t="s">
        <v>1084</v>
      </c>
      <c r="J8688">
        <v>15.24</v>
      </c>
    </row>
    <row r="8689" spans="1:10" hidden="1">
      <c r="A8689" t="s">
        <v>5525</v>
      </c>
      <c r="B8689" t="s">
        <v>5526</v>
      </c>
      <c r="C8689" t="s">
        <v>5111</v>
      </c>
      <c r="D8689" t="s">
        <v>5487</v>
      </c>
      <c r="E8689" t="s">
        <v>557</v>
      </c>
      <c r="F8689" t="s">
        <v>1068</v>
      </c>
      <c r="G8689" t="s">
        <v>1085</v>
      </c>
      <c r="H8689">
        <v>1.45618958317148E-4</v>
      </c>
      <c r="I8689" t="s">
        <v>1086</v>
      </c>
      <c r="J8689">
        <v>15.24</v>
      </c>
    </row>
    <row r="8690" spans="1:10" hidden="1">
      <c r="A8690" t="s">
        <v>5525</v>
      </c>
      <c r="B8690" t="s">
        <v>5526</v>
      </c>
      <c r="C8690" t="s">
        <v>5111</v>
      </c>
      <c r="D8690" t="s">
        <v>5487</v>
      </c>
      <c r="E8690" t="s">
        <v>557</v>
      </c>
      <c r="F8690" t="s">
        <v>1068</v>
      </c>
      <c r="G8690" t="s">
        <v>1087</v>
      </c>
      <c r="H8690" s="171" t="s">
        <v>5532</v>
      </c>
      <c r="I8690" t="s">
        <v>1088</v>
      </c>
      <c r="J8690">
        <v>15.24</v>
      </c>
    </row>
    <row r="8691" spans="1:10" hidden="1">
      <c r="A8691" t="s">
        <v>5525</v>
      </c>
      <c r="B8691" t="s">
        <v>5526</v>
      </c>
      <c r="C8691" t="s">
        <v>5111</v>
      </c>
      <c r="D8691" t="s">
        <v>5487</v>
      </c>
      <c r="E8691" t="s">
        <v>557</v>
      </c>
      <c r="F8691" t="s">
        <v>1068</v>
      </c>
      <c r="G8691" t="s">
        <v>1089</v>
      </c>
      <c r="H8691" s="171" t="s">
        <v>5533</v>
      </c>
      <c r="I8691" t="s">
        <v>1090</v>
      </c>
      <c r="J8691">
        <v>15.24</v>
      </c>
    </row>
    <row r="8692" spans="1:10" hidden="1">
      <c r="A8692" t="s">
        <v>5534</v>
      </c>
      <c r="B8692" t="s">
        <v>5535</v>
      </c>
      <c r="C8692" t="s">
        <v>5111</v>
      </c>
      <c r="D8692" t="s">
        <v>5487</v>
      </c>
      <c r="E8692" t="s">
        <v>559</v>
      </c>
      <c r="F8692" t="s">
        <v>1068</v>
      </c>
      <c r="G8692" t="s">
        <v>1069</v>
      </c>
      <c r="H8692" s="171" t="s">
        <v>5536</v>
      </c>
      <c r="I8692" t="s">
        <v>1070</v>
      </c>
      <c r="J8692">
        <v>11.6</v>
      </c>
    </row>
    <row r="8693" spans="1:10" hidden="1">
      <c r="A8693" t="s">
        <v>5534</v>
      </c>
      <c r="B8693" t="s">
        <v>5535</v>
      </c>
      <c r="C8693" t="s">
        <v>5111</v>
      </c>
      <c r="D8693" t="s">
        <v>5487</v>
      </c>
      <c r="E8693" t="s">
        <v>559</v>
      </c>
      <c r="F8693" t="s">
        <v>1068</v>
      </c>
      <c r="G8693" t="s">
        <v>1071</v>
      </c>
      <c r="H8693" s="171" t="s">
        <v>5537</v>
      </c>
      <c r="I8693" t="s">
        <v>1072</v>
      </c>
      <c r="J8693">
        <v>11.6</v>
      </c>
    </row>
    <row r="8694" spans="1:10" hidden="1">
      <c r="A8694" t="s">
        <v>5534</v>
      </c>
      <c r="B8694" t="s">
        <v>5535</v>
      </c>
      <c r="C8694" t="s">
        <v>5111</v>
      </c>
      <c r="D8694" t="s">
        <v>5487</v>
      </c>
      <c r="E8694" t="s">
        <v>559</v>
      </c>
      <c r="F8694" t="s">
        <v>1068</v>
      </c>
      <c r="G8694" t="s">
        <v>1073</v>
      </c>
      <c r="H8694" s="171" t="s">
        <v>5538</v>
      </c>
      <c r="I8694" t="s">
        <v>1074</v>
      </c>
      <c r="J8694">
        <v>11.6</v>
      </c>
    </row>
    <row r="8695" spans="1:10" hidden="1">
      <c r="A8695" t="s">
        <v>5534</v>
      </c>
      <c r="B8695" t="s">
        <v>5535</v>
      </c>
      <c r="C8695" t="s">
        <v>5111</v>
      </c>
      <c r="D8695" t="s">
        <v>5487</v>
      </c>
      <c r="E8695" t="s">
        <v>559</v>
      </c>
      <c r="F8695" t="s">
        <v>1068</v>
      </c>
      <c r="G8695" t="s">
        <v>1075</v>
      </c>
      <c r="H8695">
        <v>4.0741453221188901E-3</v>
      </c>
      <c r="I8695" t="s">
        <v>1077</v>
      </c>
      <c r="J8695">
        <v>11.6</v>
      </c>
    </row>
    <row r="8696" spans="1:10" hidden="1">
      <c r="A8696" t="s">
        <v>5534</v>
      </c>
      <c r="B8696" t="s">
        <v>5535</v>
      </c>
      <c r="C8696" t="s">
        <v>5111</v>
      </c>
      <c r="D8696" t="s">
        <v>5487</v>
      </c>
      <c r="E8696" t="s">
        <v>559</v>
      </c>
      <c r="F8696" t="s">
        <v>1068</v>
      </c>
      <c r="G8696" t="s">
        <v>1078</v>
      </c>
      <c r="H8696">
        <v>4.1333668033559097E-2</v>
      </c>
      <c r="I8696" t="s">
        <v>1079</v>
      </c>
      <c r="J8696">
        <v>11.6</v>
      </c>
    </row>
    <row r="8697" spans="1:10" hidden="1">
      <c r="A8697" t="s">
        <v>5534</v>
      </c>
      <c r="B8697" t="s">
        <v>5535</v>
      </c>
      <c r="C8697" t="s">
        <v>5111</v>
      </c>
      <c r="D8697" t="s">
        <v>5487</v>
      </c>
      <c r="E8697" t="s">
        <v>559</v>
      </c>
      <c r="F8697" t="s">
        <v>1068</v>
      </c>
      <c r="G8697" t="s">
        <v>1080</v>
      </c>
      <c r="H8697" s="171" t="s">
        <v>5174</v>
      </c>
      <c r="I8697" t="s">
        <v>1082</v>
      </c>
      <c r="J8697">
        <v>11.6</v>
      </c>
    </row>
    <row r="8698" spans="1:10" hidden="1">
      <c r="A8698" t="s">
        <v>5534</v>
      </c>
      <c r="B8698" t="s">
        <v>5535</v>
      </c>
      <c r="C8698" t="s">
        <v>5111</v>
      </c>
      <c r="D8698" t="s">
        <v>5487</v>
      </c>
      <c r="E8698" t="s">
        <v>559</v>
      </c>
      <c r="F8698" t="s">
        <v>1068</v>
      </c>
      <c r="G8698" t="s">
        <v>1083</v>
      </c>
      <c r="H8698" s="171" t="s">
        <v>5539</v>
      </c>
      <c r="I8698" t="s">
        <v>1084</v>
      </c>
      <c r="J8698">
        <v>11.6</v>
      </c>
    </row>
    <row r="8699" spans="1:10" hidden="1">
      <c r="A8699" t="s">
        <v>5534</v>
      </c>
      <c r="B8699" t="s">
        <v>5535</v>
      </c>
      <c r="C8699" t="s">
        <v>5111</v>
      </c>
      <c r="D8699" t="s">
        <v>5487</v>
      </c>
      <c r="E8699" t="s">
        <v>559</v>
      </c>
      <c r="F8699" t="s">
        <v>1068</v>
      </c>
      <c r="G8699" t="s">
        <v>1085</v>
      </c>
      <c r="H8699">
        <v>1.4531651514692199E-4</v>
      </c>
      <c r="I8699" t="s">
        <v>1086</v>
      </c>
      <c r="J8699">
        <v>11.6</v>
      </c>
    </row>
    <row r="8700" spans="1:10" hidden="1">
      <c r="A8700" t="s">
        <v>5534</v>
      </c>
      <c r="B8700" t="s">
        <v>5535</v>
      </c>
      <c r="C8700" t="s">
        <v>5111</v>
      </c>
      <c r="D8700" t="s">
        <v>5487</v>
      </c>
      <c r="E8700" t="s">
        <v>559</v>
      </c>
      <c r="F8700" t="s">
        <v>1068</v>
      </c>
      <c r="G8700" t="s">
        <v>1087</v>
      </c>
      <c r="H8700" s="171" t="s">
        <v>5540</v>
      </c>
      <c r="I8700" t="s">
        <v>1088</v>
      </c>
      <c r="J8700">
        <v>11.6</v>
      </c>
    </row>
    <row r="8701" spans="1:10" hidden="1">
      <c r="A8701" t="s">
        <v>5534</v>
      </c>
      <c r="B8701" t="s">
        <v>5535</v>
      </c>
      <c r="C8701" t="s">
        <v>5111</v>
      </c>
      <c r="D8701" t="s">
        <v>5487</v>
      </c>
      <c r="E8701" t="s">
        <v>559</v>
      </c>
      <c r="F8701" t="s">
        <v>1068</v>
      </c>
      <c r="G8701" t="s">
        <v>1089</v>
      </c>
      <c r="H8701" s="171" t="s">
        <v>5541</v>
      </c>
      <c r="I8701" t="s">
        <v>1090</v>
      </c>
      <c r="J8701">
        <v>11.6</v>
      </c>
    </row>
    <row r="8702" spans="1:10" hidden="1">
      <c r="A8702" t="s">
        <v>5542</v>
      </c>
      <c r="B8702" t="s">
        <v>5543</v>
      </c>
      <c r="C8702" t="s">
        <v>5111</v>
      </c>
      <c r="D8702" t="s">
        <v>5487</v>
      </c>
      <c r="E8702" t="s">
        <v>560</v>
      </c>
      <c r="F8702" t="s">
        <v>1068</v>
      </c>
      <c r="G8702" t="s">
        <v>1069</v>
      </c>
      <c r="H8702" s="171" t="s">
        <v>5544</v>
      </c>
      <c r="I8702" t="s">
        <v>1070</v>
      </c>
      <c r="J8702">
        <v>35.24</v>
      </c>
    </row>
    <row r="8703" spans="1:10" hidden="1">
      <c r="A8703" t="s">
        <v>5542</v>
      </c>
      <c r="B8703" t="s">
        <v>5543</v>
      </c>
      <c r="C8703" t="s">
        <v>5111</v>
      </c>
      <c r="D8703" t="s">
        <v>5487</v>
      </c>
      <c r="E8703" t="s">
        <v>560</v>
      </c>
      <c r="F8703" t="s">
        <v>1068</v>
      </c>
      <c r="G8703" t="s">
        <v>1071</v>
      </c>
      <c r="H8703" s="171" t="s">
        <v>5545</v>
      </c>
      <c r="I8703" t="s">
        <v>1072</v>
      </c>
      <c r="J8703">
        <v>35.24</v>
      </c>
    </row>
    <row r="8704" spans="1:10" hidden="1">
      <c r="A8704" t="s">
        <v>5542</v>
      </c>
      <c r="B8704" t="s">
        <v>5543</v>
      </c>
      <c r="C8704" t="s">
        <v>5111</v>
      </c>
      <c r="D8704" t="s">
        <v>5487</v>
      </c>
      <c r="E8704" t="s">
        <v>560</v>
      </c>
      <c r="F8704" t="s">
        <v>1068</v>
      </c>
      <c r="G8704" t="s">
        <v>1073</v>
      </c>
      <c r="H8704" s="171" t="s">
        <v>5546</v>
      </c>
      <c r="I8704" t="s">
        <v>1074</v>
      </c>
      <c r="J8704">
        <v>35.24</v>
      </c>
    </row>
    <row r="8705" spans="1:10" hidden="1">
      <c r="A8705" t="s">
        <v>5542</v>
      </c>
      <c r="B8705" t="s">
        <v>5543</v>
      </c>
      <c r="C8705" t="s">
        <v>5111</v>
      </c>
      <c r="D8705" t="s">
        <v>5487</v>
      </c>
      <c r="E8705" t="s">
        <v>560</v>
      </c>
      <c r="F8705" t="s">
        <v>1068</v>
      </c>
      <c r="G8705" t="s">
        <v>1075</v>
      </c>
      <c r="H8705">
        <v>4.0760249550645198E-3</v>
      </c>
      <c r="I8705" t="s">
        <v>1077</v>
      </c>
      <c r="J8705">
        <v>35.24</v>
      </c>
    </row>
    <row r="8706" spans="1:10" hidden="1">
      <c r="A8706" t="s">
        <v>5542</v>
      </c>
      <c r="B8706" t="s">
        <v>5543</v>
      </c>
      <c r="C8706" t="s">
        <v>5111</v>
      </c>
      <c r="D8706" t="s">
        <v>5487</v>
      </c>
      <c r="E8706" t="s">
        <v>560</v>
      </c>
      <c r="F8706" t="s">
        <v>1068</v>
      </c>
      <c r="G8706" t="s">
        <v>1078</v>
      </c>
      <c r="H8706">
        <v>4.1414954380226701E-2</v>
      </c>
      <c r="I8706" t="s">
        <v>1079</v>
      </c>
      <c r="J8706">
        <v>35.24</v>
      </c>
    </row>
    <row r="8707" spans="1:10" hidden="1">
      <c r="A8707" t="s">
        <v>5542</v>
      </c>
      <c r="B8707" t="s">
        <v>5543</v>
      </c>
      <c r="C8707" t="s">
        <v>5111</v>
      </c>
      <c r="D8707" t="s">
        <v>5487</v>
      </c>
      <c r="E8707" t="s">
        <v>560</v>
      </c>
      <c r="F8707" t="s">
        <v>1068</v>
      </c>
      <c r="G8707" t="s">
        <v>1080</v>
      </c>
      <c r="H8707" s="171" t="s">
        <v>5183</v>
      </c>
      <c r="I8707" t="s">
        <v>1082</v>
      </c>
      <c r="J8707">
        <v>35.24</v>
      </c>
    </row>
    <row r="8708" spans="1:10" hidden="1">
      <c r="A8708" t="s">
        <v>5542</v>
      </c>
      <c r="B8708" t="s">
        <v>5543</v>
      </c>
      <c r="C8708" t="s">
        <v>5111</v>
      </c>
      <c r="D8708" t="s">
        <v>5487</v>
      </c>
      <c r="E8708" t="s">
        <v>560</v>
      </c>
      <c r="F8708" t="s">
        <v>1068</v>
      </c>
      <c r="G8708" t="s">
        <v>1083</v>
      </c>
      <c r="H8708" s="171" t="s">
        <v>5184</v>
      </c>
      <c r="I8708" t="s">
        <v>1084</v>
      </c>
      <c r="J8708">
        <v>35.24</v>
      </c>
    </row>
    <row r="8709" spans="1:10" hidden="1">
      <c r="A8709" t="s">
        <v>5542</v>
      </c>
      <c r="B8709" t="s">
        <v>5543</v>
      </c>
      <c r="C8709" t="s">
        <v>5111</v>
      </c>
      <c r="D8709" t="s">
        <v>5487</v>
      </c>
      <c r="E8709" t="s">
        <v>560</v>
      </c>
      <c r="F8709" t="s">
        <v>1068</v>
      </c>
      <c r="G8709" t="s">
        <v>1085</v>
      </c>
      <c r="H8709">
        <v>1.45418668602633E-4</v>
      </c>
      <c r="I8709" t="s">
        <v>1086</v>
      </c>
      <c r="J8709">
        <v>35.24</v>
      </c>
    </row>
    <row r="8710" spans="1:10" hidden="1">
      <c r="A8710" t="s">
        <v>5542</v>
      </c>
      <c r="B8710" t="s">
        <v>5543</v>
      </c>
      <c r="C8710" t="s">
        <v>5111</v>
      </c>
      <c r="D8710" t="s">
        <v>5487</v>
      </c>
      <c r="E8710" t="s">
        <v>560</v>
      </c>
      <c r="F8710" t="s">
        <v>1068</v>
      </c>
      <c r="G8710" t="s">
        <v>1087</v>
      </c>
      <c r="H8710" s="171" t="s">
        <v>5185</v>
      </c>
      <c r="I8710" t="s">
        <v>1088</v>
      </c>
      <c r="J8710">
        <v>35.24</v>
      </c>
    </row>
    <row r="8711" spans="1:10" hidden="1">
      <c r="A8711" t="s">
        <v>5542</v>
      </c>
      <c r="B8711" t="s">
        <v>5543</v>
      </c>
      <c r="C8711" t="s">
        <v>5111</v>
      </c>
      <c r="D8711" t="s">
        <v>5487</v>
      </c>
      <c r="E8711" t="s">
        <v>560</v>
      </c>
      <c r="F8711" t="s">
        <v>1068</v>
      </c>
      <c r="G8711" t="s">
        <v>1089</v>
      </c>
      <c r="H8711" s="171" t="s">
        <v>5547</v>
      </c>
      <c r="I8711" t="s">
        <v>1090</v>
      </c>
      <c r="J8711">
        <v>35.24</v>
      </c>
    </row>
    <row r="8712" spans="1:10" hidden="1">
      <c r="A8712" t="s">
        <v>5548</v>
      </c>
      <c r="B8712" t="s">
        <v>5549</v>
      </c>
      <c r="C8712" t="s">
        <v>5111</v>
      </c>
      <c r="D8712" t="s">
        <v>5487</v>
      </c>
      <c r="E8712" t="s">
        <v>1116</v>
      </c>
      <c r="F8712" t="s">
        <v>1068</v>
      </c>
      <c r="G8712" t="s">
        <v>1069</v>
      </c>
      <c r="H8712" s="171" t="s">
        <v>5550</v>
      </c>
      <c r="I8712" t="s">
        <v>1070</v>
      </c>
      <c r="J8712">
        <v>13.1</v>
      </c>
    </row>
    <row r="8713" spans="1:10" hidden="1">
      <c r="A8713" t="s">
        <v>5548</v>
      </c>
      <c r="B8713" t="s">
        <v>5549</v>
      </c>
      <c r="C8713" t="s">
        <v>5111</v>
      </c>
      <c r="D8713" t="s">
        <v>5487</v>
      </c>
      <c r="E8713" t="s">
        <v>1116</v>
      </c>
      <c r="F8713" t="s">
        <v>1068</v>
      </c>
      <c r="G8713" t="s">
        <v>1071</v>
      </c>
      <c r="H8713" s="171" t="s">
        <v>5551</v>
      </c>
      <c r="I8713" t="s">
        <v>1072</v>
      </c>
      <c r="J8713">
        <v>13.1</v>
      </c>
    </row>
    <row r="8714" spans="1:10" hidden="1">
      <c r="A8714" t="s">
        <v>5548</v>
      </c>
      <c r="B8714" t="s">
        <v>5549</v>
      </c>
      <c r="C8714" t="s">
        <v>5111</v>
      </c>
      <c r="D8714" t="s">
        <v>5487</v>
      </c>
      <c r="E8714" t="s">
        <v>1116</v>
      </c>
      <c r="F8714" t="s">
        <v>1068</v>
      </c>
      <c r="G8714" t="s">
        <v>1073</v>
      </c>
      <c r="H8714" s="171" t="s">
        <v>5552</v>
      </c>
      <c r="I8714" t="s">
        <v>1074</v>
      </c>
      <c r="J8714">
        <v>13.1</v>
      </c>
    </row>
    <row r="8715" spans="1:10" hidden="1">
      <c r="A8715" t="s">
        <v>5548</v>
      </c>
      <c r="B8715" t="s">
        <v>5549</v>
      </c>
      <c r="C8715" t="s">
        <v>5111</v>
      </c>
      <c r="D8715" t="s">
        <v>5487</v>
      </c>
      <c r="E8715" t="s">
        <v>1116</v>
      </c>
      <c r="F8715" t="s">
        <v>1068</v>
      </c>
      <c r="G8715" t="s">
        <v>1075</v>
      </c>
      <c r="H8715">
        <v>4.0872108060272397E-3</v>
      </c>
      <c r="I8715" t="s">
        <v>1077</v>
      </c>
      <c r="J8715">
        <v>13.1</v>
      </c>
    </row>
    <row r="8716" spans="1:10" hidden="1">
      <c r="A8716" t="s">
        <v>5548</v>
      </c>
      <c r="B8716" t="s">
        <v>5549</v>
      </c>
      <c r="C8716" t="s">
        <v>5111</v>
      </c>
      <c r="D8716" t="s">
        <v>5487</v>
      </c>
      <c r="E8716" t="s">
        <v>1116</v>
      </c>
      <c r="F8716" t="s">
        <v>1068</v>
      </c>
      <c r="G8716" t="s">
        <v>1078</v>
      </c>
      <c r="H8716">
        <v>4.1898673724089799E-2</v>
      </c>
      <c r="I8716" t="s">
        <v>1079</v>
      </c>
      <c r="J8716">
        <v>13.1</v>
      </c>
    </row>
    <row r="8717" spans="1:10" hidden="1">
      <c r="A8717" t="s">
        <v>5548</v>
      </c>
      <c r="B8717" t="s">
        <v>5549</v>
      </c>
      <c r="C8717" t="s">
        <v>5111</v>
      </c>
      <c r="D8717" t="s">
        <v>5487</v>
      </c>
      <c r="E8717" t="s">
        <v>1116</v>
      </c>
      <c r="F8717" t="s">
        <v>1068</v>
      </c>
      <c r="G8717" t="s">
        <v>1080</v>
      </c>
      <c r="H8717" s="171" t="s">
        <v>5193</v>
      </c>
      <c r="I8717" t="s">
        <v>1082</v>
      </c>
      <c r="J8717">
        <v>13.1</v>
      </c>
    </row>
    <row r="8718" spans="1:10" hidden="1">
      <c r="A8718" t="s">
        <v>5548</v>
      </c>
      <c r="B8718" t="s">
        <v>5549</v>
      </c>
      <c r="C8718" t="s">
        <v>5111</v>
      </c>
      <c r="D8718" t="s">
        <v>5487</v>
      </c>
      <c r="E8718" t="s">
        <v>1116</v>
      </c>
      <c r="F8718" t="s">
        <v>1068</v>
      </c>
      <c r="G8718" t="s">
        <v>1083</v>
      </c>
      <c r="H8718" s="171" t="s">
        <v>5194</v>
      </c>
      <c r="I8718" t="s">
        <v>1084</v>
      </c>
      <c r="J8718">
        <v>13.1</v>
      </c>
    </row>
    <row r="8719" spans="1:10" hidden="1">
      <c r="A8719" t="s">
        <v>5548</v>
      </c>
      <c r="B8719" t="s">
        <v>5549</v>
      </c>
      <c r="C8719" t="s">
        <v>5111</v>
      </c>
      <c r="D8719" t="s">
        <v>5487</v>
      </c>
      <c r="E8719" t="s">
        <v>1116</v>
      </c>
      <c r="F8719" t="s">
        <v>1068</v>
      </c>
      <c r="G8719" t="s">
        <v>1085</v>
      </c>
      <c r="H8719">
        <v>1.4602656802836E-4</v>
      </c>
      <c r="I8719" t="s">
        <v>1086</v>
      </c>
      <c r="J8719">
        <v>13.1</v>
      </c>
    </row>
    <row r="8720" spans="1:10" hidden="1">
      <c r="A8720" t="s">
        <v>5548</v>
      </c>
      <c r="B8720" t="s">
        <v>5549</v>
      </c>
      <c r="C8720" t="s">
        <v>5111</v>
      </c>
      <c r="D8720" t="s">
        <v>5487</v>
      </c>
      <c r="E8720" t="s">
        <v>1116</v>
      </c>
      <c r="F8720" t="s">
        <v>1068</v>
      </c>
      <c r="G8720" t="s">
        <v>1087</v>
      </c>
      <c r="H8720" s="171" t="s">
        <v>5553</v>
      </c>
      <c r="I8720" t="s">
        <v>1088</v>
      </c>
      <c r="J8720">
        <v>13.1</v>
      </c>
    </row>
    <row r="8721" spans="1:10" hidden="1">
      <c r="A8721" t="s">
        <v>5548</v>
      </c>
      <c r="B8721" t="s">
        <v>5549</v>
      </c>
      <c r="C8721" t="s">
        <v>5111</v>
      </c>
      <c r="D8721" t="s">
        <v>5487</v>
      </c>
      <c r="E8721" t="s">
        <v>1116</v>
      </c>
      <c r="F8721" t="s">
        <v>1068</v>
      </c>
      <c r="G8721" t="s">
        <v>1089</v>
      </c>
      <c r="H8721" s="171" t="s">
        <v>5196</v>
      </c>
      <c r="I8721" t="s">
        <v>1090</v>
      </c>
      <c r="J8721">
        <v>13.1</v>
      </c>
    </row>
    <row r="8722" spans="1:10" hidden="1">
      <c r="A8722" t="s">
        <v>5554</v>
      </c>
      <c r="B8722" t="s">
        <v>5555</v>
      </c>
      <c r="C8722" t="s">
        <v>5111</v>
      </c>
      <c r="D8722" t="s">
        <v>551</v>
      </c>
      <c r="E8722" t="s">
        <v>561</v>
      </c>
      <c r="F8722" t="s">
        <v>1068</v>
      </c>
      <c r="G8722" t="s">
        <v>1069</v>
      </c>
      <c r="H8722">
        <v>1.5407108074733999E-2</v>
      </c>
      <c r="I8722" t="s">
        <v>1070</v>
      </c>
      <c r="J8722">
        <v>27.25</v>
      </c>
    </row>
    <row r="8723" spans="1:10" hidden="1">
      <c r="A8723" t="s">
        <v>5554</v>
      </c>
      <c r="B8723" t="s">
        <v>5555</v>
      </c>
      <c r="C8723" t="s">
        <v>5111</v>
      </c>
      <c r="D8723" t="s">
        <v>551</v>
      </c>
      <c r="E8723" t="s">
        <v>561</v>
      </c>
      <c r="F8723" t="s">
        <v>1068</v>
      </c>
      <c r="G8723" t="s">
        <v>1071</v>
      </c>
      <c r="H8723" s="171" t="s">
        <v>5556</v>
      </c>
      <c r="I8723" t="s">
        <v>1072</v>
      </c>
      <c r="J8723">
        <v>27.25</v>
      </c>
    </row>
    <row r="8724" spans="1:10" hidden="1">
      <c r="A8724" t="s">
        <v>5554</v>
      </c>
      <c r="B8724" t="s">
        <v>5555</v>
      </c>
      <c r="C8724" t="s">
        <v>5111</v>
      </c>
      <c r="D8724" t="s">
        <v>551</v>
      </c>
      <c r="E8724" t="s">
        <v>561</v>
      </c>
      <c r="F8724" t="s">
        <v>1068</v>
      </c>
      <c r="G8724" t="s">
        <v>1073</v>
      </c>
      <c r="H8724" s="171" t="s">
        <v>5557</v>
      </c>
      <c r="I8724" t="s">
        <v>1074</v>
      </c>
      <c r="J8724">
        <v>27.25</v>
      </c>
    </row>
    <row r="8725" spans="1:10" hidden="1">
      <c r="A8725" t="s">
        <v>5554</v>
      </c>
      <c r="B8725" t="s">
        <v>5555</v>
      </c>
      <c r="C8725" t="s">
        <v>5111</v>
      </c>
      <c r="D8725" t="s">
        <v>551</v>
      </c>
      <c r="E8725" t="s">
        <v>561</v>
      </c>
      <c r="F8725" t="s">
        <v>1068</v>
      </c>
      <c r="G8725" t="s">
        <v>1075</v>
      </c>
      <c r="H8725">
        <v>1.60237753316281E-3</v>
      </c>
      <c r="I8725" t="s">
        <v>1077</v>
      </c>
      <c r="J8725">
        <v>27.25</v>
      </c>
    </row>
    <row r="8726" spans="1:10" hidden="1">
      <c r="A8726" t="s">
        <v>5554</v>
      </c>
      <c r="B8726" t="s">
        <v>5555</v>
      </c>
      <c r="C8726" t="s">
        <v>5111</v>
      </c>
      <c r="D8726" t="s">
        <v>551</v>
      </c>
      <c r="E8726" t="s">
        <v>561</v>
      </c>
      <c r="F8726" t="s">
        <v>1068</v>
      </c>
      <c r="G8726" t="s">
        <v>1078</v>
      </c>
      <c r="H8726">
        <v>-0.157565881729051</v>
      </c>
      <c r="I8726" t="s">
        <v>1079</v>
      </c>
      <c r="J8726">
        <v>27.25</v>
      </c>
    </row>
    <row r="8727" spans="1:10" hidden="1">
      <c r="A8727" t="s">
        <v>5554</v>
      </c>
      <c r="B8727" t="s">
        <v>5555</v>
      </c>
      <c r="C8727" t="s">
        <v>5111</v>
      </c>
      <c r="D8727" t="s">
        <v>551</v>
      </c>
      <c r="E8727" t="s">
        <v>561</v>
      </c>
      <c r="F8727" t="s">
        <v>1068</v>
      </c>
      <c r="G8727" t="s">
        <v>1080</v>
      </c>
      <c r="H8727" s="171" t="s">
        <v>5558</v>
      </c>
      <c r="I8727" t="s">
        <v>1082</v>
      </c>
      <c r="J8727">
        <v>27.25</v>
      </c>
    </row>
    <row r="8728" spans="1:10" hidden="1">
      <c r="A8728" t="s">
        <v>5554</v>
      </c>
      <c r="B8728" t="s">
        <v>5555</v>
      </c>
      <c r="C8728" t="s">
        <v>5111</v>
      </c>
      <c r="D8728" t="s">
        <v>551</v>
      </c>
      <c r="E8728" t="s">
        <v>561</v>
      </c>
      <c r="F8728" t="s">
        <v>1068</v>
      </c>
      <c r="G8728" t="s">
        <v>1083</v>
      </c>
      <c r="H8728" s="170">
        <v>-7.8238085602884792E-6</v>
      </c>
      <c r="I8728" t="s">
        <v>1084</v>
      </c>
      <c r="J8728">
        <v>27.25</v>
      </c>
    </row>
    <row r="8729" spans="1:10" hidden="1">
      <c r="A8729" t="s">
        <v>5554</v>
      </c>
      <c r="B8729" t="s">
        <v>5555</v>
      </c>
      <c r="C8729" t="s">
        <v>5111</v>
      </c>
      <c r="D8729" t="s">
        <v>551</v>
      </c>
      <c r="E8729" t="s">
        <v>561</v>
      </c>
      <c r="F8729" t="s">
        <v>1068</v>
      </c>
      <c r="G8729" t="s">
        <v>1085</v>
      </c>
      <c r="H8729" s="170">
        <v>-1.43464198957137E-5</v>
      </c>
      <c r="I8729" t="s">
        <v>1086</v>
      </c>
      <c r="J8729">
        <v>27.25</v>
      </c>
    </row>
    <row r="8730" spans="1:10" hidden="1">
      <c r="A8730" t="s">
        <v>5554</v>
      </c>
      <c r="B8730" t="s">
        <v>5555</v>
      </c>
      <c r="C8730" t="s">
        <v>5111</v>
      </c>
      <c r="D8730" t="s">
        <v>551</v>
      </c>
      <c r="E8730" t="s">
        <v>561</v>
      </c>
      <c r="F8730" t="s">
        <v>1068</v>
      </c>
      <c r="G8730" t="s">
        <v>1087</v>
      </c>
      <c r="H8730" s="171" t="s">
        <v>5559</v>
      </c>
      <c r="I8730" t="s">
        <v>1088</v>
      </c>
      <c r="J8730">
        <v>27.25</v>
      </c>
    </row>
    <row r="8731" spans="1:10" hidden="1">
      <c r="A8731" t="s">
        <v>5554</v>
      </c>
      <c r="B8731" t="s">
        <v>5555</v>
      </c>
      <c r="C8731" t="s">
        <v>5111</v>
      </c>
      <c r="D8731" t="s">
        <v>551</v>
      </c>
      <c r="E8731" t="s">
        <v>561</v>
      </c>
      <c r="F8731" t="s">
        <v>1068</v>
      </c>
      <c r="G8731" t="s">
        <v>1089</v>
      </c>
      <c r="H8731" s="171" t="s">
        <v>5560</v>
      </c>
      <c r="I8731" t="s">
        <v>1090</v>
      </c>
      <c r="J8731">
        <v>27.25</v>
      </c>
    </row>
    <row r="8732" spans="1:10" hidden="1">
      <c r="A8732" t="s">
        <v>5561</v>
      </c>
      <c r="B8732" t="s">
        <v>5562</v>
      </c>
      <c r="C8732" t="s">
        <v>5111</v>
      </c>
      <c r="D8732" t="s">
        <v>551</v>
      </c>
      <c r="E8732" t="s">
        <v>555</v>
      </c>
      <c r="F8732" t="s">
        <v>1068</v>
      </c>
      <c r="G8732" t="s">
        <v>1069</v>
      </c>
      <c r="H8732">
        <v>3.37236541145854E-3</v>
      </c>
      <c r="I8732" t="s">
        <v>1070</v>
      </c>
      <c r="J8732">
        <v>25.62</v>
      </c>
    </row>
    <row r="8733" spans="1:10" hidden="1">
      <c r="A8733" t="s">
        <v>5561</v>
      </c>
      <c r="B8733" t="s">
        <v>5562</v>
      </c>
      <c r="C8733" t="s">
        <v>5111</v>
      </c>
      <c r="D8733" t="s">
        <v>551</v>
      </c>
      <c r="E8733" t="s">
        <v>555</v>
      </c>
      <c r="F8733" t="s">
        <v>1068</v>
      </c>
      <c r="G8733" t="s">
        <v>1071</v>
      </c>
      <c r="H8733" s="170">
        <v>-1.08818290087138E-11</v>
      </c>
      <c r="I8733" t="s">
        <v>1072</v>
      </c>
      <c r="J8733">
        <v>25.62</v>
      </c>
    </row>
    <row r="8734" spans="1:10" hidden="1">
      <c r="A8734" t="s">
        <v>5561</v>
      </c>
      <c r="B8734" t="s">
        <v>5562</v>
      </c>
      <c r="C8734" t="s">
        <v>5111</v>
      </c>
      <c r="D8734" t="s">
        <v>551</v>
      </c>
      <c r="E8734" t="s">
        <v>555</v>
      </c>
      <c r="F8734" t="s">
        <v>1068</v>
      </c>
      <c r="G8734" t="s">
        <v>1073</v>
      </c>
      <c r="H8734" s="171" t="s">
        <v>5563</v>
      </c>
      <c r="I8734" t="s">
        <v>1074</v>
      </c>
      <c r="J8734">
        <v>25.62</v>
      </c>
    </row>
    <row r="8735" spans="1:10" hidden="1">
      <c r="A8735" t="s">
        <v>5561</v>
      </c>
      <c r="B8735" t="s">
        <v>5562</v>
      </c>
      <c r="C8735" t="s">
        <v>5111</v>
      </c>
      <c r="D8735" t="s">
        <v>551</v>
      </c>
      <c r="E8735" t="s">
        <v>555</v>
      </c>
      <c r="F8735" t="s">
        <v>1068</v>
      </c>
      <c r="G8735" t="s">
        <v>1075</v>
      </c>
      <c r="H8735">
        <v>1.25602114223824E-3</v>
      </c>
      <c r="I8735" t="s">
        <v>1077</v>
      </c>
      <c r="J8735">
        <v>25.62</v>
      </c>
    </row>
    <row r="8736" spans="1:10" hidden="1">
      <c r="A8736" t="s">
        <v>5561</v>
      </c>
      <c r="B8736" t="s">
        <v>5562</v>
      </c>
      <c r="C8736" t="s">
        <v>5111</v>
      </c>
      <c r="D8736" t="s">
        <v>551</v>
      </c>
      <c r="E8736" t="s">
        <v>555</v>
      </c>
      <c r="F8736" t="s">
        <v>1068</v>
      </c>
      <c r="G8736" t="s">
        <v>1078</v>
      </c>
      <c r="H8736">
        <v>-0.15958393285442499</v>
      </c>
      <c r="I8736" t="s">
        <v>1079</v>
      </c>
      <c r="J8736">
        <v>25.62</v>
      </c>
    </row>
    <row r="8737" spans="1:10" hidden="1">
      <c r="A8737" t="s">
        <v>5561</v>
      </c>
      <c r="B8737" t="s">
        <v>5562</v>
      </c>
      <c r="C8737" t="s">
        <v>5111</v>
      </c>
      <c r="D8737" t="s">
        <v>551</v>
      </c>
      <c r="E8737" t="s">
        <v>555</v>
      </c>
      <c r="F8737" t="s">
        <v>1068</v>
      </c>
      <c r="G8737" t="s">
        <v>1080</v>
      </c>
      <c r="H8737" s="171" t="s">
        <v>5564</v>
      </c>
      <c r="I8737" t="s">
        <v>1082</v>
      </c>
      <c r="J8737">
        <v>25.62</v>
      </c>
    </row>
    <row r="8738" spans="1:10" hidden="1">
      <c r="A8738" t="s">
        <v>5561</v>
      </c>
      <c r="B8738" t="s">
        <v>5562</v>
      </c>
      <c r="C8738" t="s">
        <v>5111</v>
      </c>
      <c r="D8738" t="s">
        <v>551</v>
      </c>
      <c r="E8738" t="s">
        <v>555</v>
      </c>
      <c r="F8738" t="s">
        <v>1068</v>
      </c>
      <c r="G8738" t="s">
        <v>1083</v>
      </c>
      <c r="H8738" s="170">
        <v>-9.6566205824515401E-6</v>
      </c>
      <c r="I8738" t="s">
        <v>1084</v>
      </c>
      <c r="J8738">
        <v>25.62</v>
      </c>
    </row>
    <row r="8739" spans="1:10" hidden="1">
      <c r="A8739" t="s">
        <v>5561</v>
      </c>
      <c r="B8739" t="s">
        <v>5562</v>
      </c>
      <c r="C8739" t="s">
        <v>5111</v>
      </c>
      <c r="D8739" t="s">
        <v>551</v>
      </c>
      <c r="E8739" t="s">
        <v>555</v>
      </c>
      <c r="F8739" t="s">
        <v>1068</v>
      </c>
      <c r="G8739" t="s">
        <v>1085</v>
      </c>
      <c r="H8739" s="170">
        <v>-3.4877555255100503E-5</v>
      </c>
      <c r="I8739" t="s">
        <v>1086</v>
      </c>
      <c r="J8739">
        <v>25.62</v>
      </c>
    </row>
    <row r="8740" spans="1:10" hidden="1">
      <c r="A8740" t="s">
        <v>5561</v>
      </c>
      <c r="B8740" t="s">
        <v>5562</v>
      </c>
      <c r="C8740" t="s">
        <v>5111</v>
      </c>
      <c r="D8740" t="s">
        <v>551</v>
      </c>
      <c r="E8740" t="s">
        <v>555</v>
      </c>
      <c r="F8740" t="s">
        <v>1068</v>
      </c>
      <c r="G8740" t="s">
        <v>1087</v>
      </c>
      <c r="H8740" s="171" t="s">
        <v>5565</v>
      </c>
      <c r="I8740" t="s">
        <v>1088</v>
      </c>
      <c r="J8740">
        <v>25.62</v>
      </c>
    </row>
    <row r="8741" spans="1:10" hidden="1">
      <c r="A8741" t="s">
        <v>5561</v>
      </c>
      <c r="B8741" t="s">
        <v>5562</v>
      </c>
      <c r="C8741" t="s">
        <v>5111</v>
      </c>
      <c r="D8741" t="s">
        <v>551</v>
      </c>
      <c r="E8741" t="s">
        <v>555</v>
      </c>
      <c r="F8741" t="s">
        <v>1068</v>
      </c>
      <c r="G8741" t="s">
        <v>1089</v>
      </c>
      <c r="H8741" s="171" t="s">
        <v>5566</v>
      </c>
      <c r="I8741" t="s">
        <v>1090</v>
      </c>
      <c r="J8741">
        <v>25.62</v>
      </c>
    </row>
    <row r="8742" spans="1:10" hidden="1">
      <c r="A8742" t="s">
        <v>5567</v>
      </c>
      <c r="B8742" t="s">
        <v>5568</v>
      </c>
      <c r="C8742" t="s">
        <v>5111</v>
      </c>
      <c r="D8742" t="s">
        <v>551</v>
      </c>
      <c r="E8742" t="s">
        <v>558</v>
      </c>
      <c r="F8742" t="s">
        <v>1068</v>
      </c>
      <c r="G8742" t="s">
        <v>1069</v>
      </c>
      <c r="H8742" s="171" t="s">
        <v>5569</v>
      </c>
      <c r="I8742" t="s">
        <v>1070</v>
      </c>
      <c r="J8742">
        <v>11.64</v>
      </c>
    </row>
    <row r="8743" spans="1:10" hidden="1">
      <c r="A8743" t="s">
        <v>5567</v>
      </c>
      <c r="B8743" t="s">
        <v>5568</v>
      </c>
      <c r="C8743" t="s">
        <v>5111</v>
      </c>
      <c r="D8743" t="s">
        <v>551</v>
      </c>
      <c r="E8743" t="s">
        <v>558</v>
      </c>
      <c r="F8743" t="s">
        <v>1068</v>
      </c>
      <c r="G8743" t="s">
        <v>1071</v>
      </c>
      <c r="H8743" s="171" t="s">
        <v>5570</v>
      </c>
      <c r="I8743" t="s">
        <v>1072</v>
      </c>
      <c r="J8743">
        <v>11.64</v>
      </c>
    </row>
    <row r="8744" spans="1:10" hidden="1">
      <c r="A8744" t="s">
        <v>5567</v>
      </c>
      <c r="B8744" t="s">
        <v>5568</v>
      </c>
      <c r="C8744" t="s">
        <v>5111</v>
      </c>
      <c r="D8744" t="s">
        <v>551</v>
      </c>
      <c r="E8744" t="s">
        <v>558</v>
      </c>
      <c r="F8744" t="s">
        <v>1068</v>
      </c>
      <c r="G8744" t="s">
        <v>1073</v>
      </c>
      <c r="H8744" s="171" t="s">
        <v>5571</v>
      </c>
      <c r="I8744" t="s">
        <v>1074</v>
      </c>
      <c r="J8744">
        <v>11.64</v>
      </c>
    </row>
    <row r="8745" spans="1:10" hidden="1">
      <c r="A8745" t="s">
        <v>5567</v>
      </c>
      <c r="B8745" t="s">
        <v>5568</v>
      </c>
      <c r="C8745" t="s">
        <v>5111</v>
      </c>
      <c r="D8745" t="s">
        <v>551</v>
      </c>
      <c r="E8745" t="s">
        <v>558</v>
      </c>
      <c r="F8745" t="s">
        <v>1068</v>
      </c>
      <c r="G8745" t="s">
        <v>1075</v>
      </c>
      <c r="H8745">
        <v>1.6353021660627299E-3</v>
      </c>
      <c r="I8745" t="s">
        <v>1077</v>
      </c>
      <c r="J8745">
        <v>11.64</v>
      </c>
    </row>
    <row r="8746" spans="1:10" hidden="1">
      <c r="A8746" t="s">
        <v>5567</v>
      </c>
      <c r="B8746" t="s">
        <v>5568</v>
      </c>
      <c r="C8746" t="s">
        <v>5111</v>
      </c>
      <c r="D8746" t="s">
        <v>551</v>
      </c>
      <c r="E8746" t="s">
        <v>558</v>
      </c>
      <c r="F8746" t="s">
        <v>1068</v>
      </c>
      <c r="G8746" t="s">
        <v>1078</v>
      </c>
      <c r="H8746">
        <v>-0.156142093599174</v>
      </c>
      <c r="I8746" t="s">
        <v>1079</v>
      </c>
      <c r="J8746">
        <v>11.64</v>
      </c>
    </row>
    <row r="8747" spans="1:10" hidden="1">
      <c r="A8747" t="s">
        <v>5567</v>
      </c>
      <c r="B8747" t="s">
        <v>5568</v>
      </c>
      <c r="C8747" t="s">
        <v>5111</v>
      </c>
      <c r="D8747" t="s">
        <v>551</v>
      </c>
      <c r="E8747" t="s">
        <v>558</v>
      </c>
      <c r="F8747" t="s">
        <v>1068</v>
      </c>
      <c r="G8747" t="s">
        <v>1080</v>
      </c>
      <c r="H8747" s="171" t="s">
        <v>5572</v>
      </c>
      <c r="I8747" t="s">
        <v>1082</v>
      </c>
      <c r="J8747">
        <v>11.64</v>
      </c>
    </row>
    <row r="8748" spans="1:10" hidden="1">
      <c r="A8748" t="s">
        <v>5567</v>
      </c>
      <c r="B8748" t="s">
        <v>5568</v>
      </c>
      <c r="C8748" t="s">
        <v>5111</v>
      </c>
      <c r="D8748" t="s">
        <v>551</v>
      </c>
      <c r="E8748" t="s">
        <v>558</v>
      </c>
      <c r="F8748" t="s">
        <v>1068</v>
      </c>
      <c r="G8748" t="s">
        <v>1083</v>
      </c>
      <c r="H8748" s="170">
        <v>-7.6654916861008599E-6</v>
      </c>
      <c r="I8748" t="s">
        <v>1084</v>
      </c>
      <c r="J8748">
        <v>11.64</v>
      </c>
    </row>
    <row r="8749" spans="1:10" hidden="1">
      <c r="A8749" t="s">
        <v>5567</v>
      </c>
      <c r="B8749" t="s">
        <v>5568</v>
      </c>
      <c r="C8749" t="s">
        <v>5111</v>
      </c>
      <c r="D8749" t="s">
        <v>551</v>
      </c>
      <c r="E8749" t="s">
        <v>558</v>
      </c>
      <c r="F8749" t="s">
        <v>1068</v>
      </c>
      <c r="G8749" t="s">
        <v>1085</v>
      </c>
      <c r="H8749" s="170">
        <v>-1.25571179017161E-5</v>
      </c>
      <c r="I8749" t="s">
        <v>1086</v>
      </c>
      <c r="J8749">
        <v>11.64</v>
      </c>
    </row>
    <row r="8750" spans="1:10" hidden="1">
      <c r="A8750" t="s">
        <v>5567</v>
      </c>
      <c r="B8750" t="s">
        <v>5568</v>
      </c>
      <c r="C8750" t="s">
        <v>5111</v>
      </c>
      <c r="D8750" t="s">
        <v>551</v>
      </c>
      <c r="E8750" t="s">
        <v>558</v>
      </c>
      <c r="F8750" t="s">
        <v>1068</v>
      </c>
      <c r="G8750" t="s">
        <v>1087</v>
      </c>
      <c r="H8750" s="171" t="s">
        <v>5573</v>
      </c>
      <c r="I8750" t="s">
        <v>1088</v>
      </c>
      <c r="J8750">
        <v>11.64</v>
      </c>
    </row>
    <row r="8751" spans="1:10" hidden="1">
      <c r="A8751" t="s">
        <v>5567</v>
      </c>
      <c r="B8751" t="s">
        <v>5568</v>
      </c>
      <c r="C8751" t="s">
        <v>5111</v>
      </c>
      <c r="D8751" t="s">
        <v>551</v>
      </c>
      <c r="E8751" t="s">
        <v>558</v>
      </c>
      <c r="F8751" t="s">
        <v>1068</v>
      </c>
      <c r="G8751" t="s">
        <v>1089</v>
      </c>
      <c r="H8751" s="171" t="s">
        <v>5574</v>
      </c>
      <c r="I8751" t="s">
        <v>1090</v>
      </c>
      <c r="J8751">
        <v>11.64</v>
      </c>
    </row>
    <row r="8752" spans="1:10" hidden="1">
      <c r="A8752" t="s">
        <v>5575</v>
      </c>
      <c r="B8752" s="170" t="s">
        <v>5576</v>
      </c>
      <c r="C8752" t="s">
        <v>5111</v>
      </c>
      <c r="D8752" t="s">
        <v>551</v>
      </c>
      <c r="E8752" t="s">
        <v>553</v>
      </c>
      <c r="F8752" t="s">
        <v>1068</v>
      </c>
      <c r="G8752" t="s">
        <v>1069</v>
      </c>
      <c r="H8752">
        <v>1.7233891912966402E-2</v>
      </c>
      <c r="I8752" t="s">
        <v>1070</v>
      </c>
      <c r="J8752">
        <v>9.89</v>
      </c>
    </row>
    <row r="8753" spans="1:10" hidden="1">
      <c r="A8753" t="s">
        <v>5575</v>
      </c>
      <c r="B8753" s="170" t="s">
        <v>5576</v>
      </c>
      <c r="C8753" t="s">
        <v>5111</v>
      </c>
      <c r="D8753" t="s">
        <v>551</v>
      </c>
      <c r="E8753" t="s">
        <v>553</v>
      </c>
      <c r="F8753" t="s">
        <v>1068</v>
      </c>
      <c r="G8753" t="s">
        <v>1071</v>
      </c>
      <c r="H8753" s="171" t="s">
        <v>5577</v>
      </c>
      <c r="I8753" t="s">
        <v>1072</v>
      </c>
      <c r="J8753">
        <v>9.89</v>
      </c>
    </row>
    <row r="8754" spans="1:10" hidden="1">
      <c r="A8754" t="s">
        <v>5575</v>
      </c>
      <c r="B8754" s="170" t="s">
        <v>5576</v>
      </c>
      <c r="C8754" t="s">
        <v>5111</v>
      </c>
      <c r="D8754" t="s">
        <v>551</v>
      </c>
      <c r="E8754" t="s">
        <v>553</v>
      </c>
      <c r="F8754" t="s">
        <v>1068</v>
      </c>
      <c r="G8754" t="s">
        <v>1073</v>
      </c>
      <c r="H8754" s="171" t="s">
        <v>5578</v>
      </c>
      <c r="I8754" t="s">
        <v>1074</v>
      </c>
      <c r="J8754">
        <v>9.89</v>
      </c>
    </row>
    <row r="8755" spans="1:10" hidden="1">
      <c r="A8755" t="s">
        <v>5575</v>
      </c>
      <c r="B8755" s="170" t="s">
        <v>5576</v>
      </c>
      <c r="C8755" t="s">
        <v>5111</v>
      </c>
      <c r="D8755" t="s">
        <v>551</v>
      </c>
      <c r="E8755" t="s">
        <v>553</v>
      </c>
      <c r="F8755" t="s">
        <v>1068</v>
      </c>
      <c r="G8755" t="s">
        <v>1075</v>
      </c>
      <c r="H8755">
        <v>1.69419880279656E-3</v>
      </c>
      <c r="I8755" t="s">
        <v>1077</v>
      </c>
      <c r="J8755">
        <v>9.89</v>
      </c>
    </row>
    <row r="8756" spans="1:10" hidden="1">
      <c r="A8756" t="s">
        <v>5575</v>
      </c>
      <c r="B8756" s="170" t="s">
        <v>5576</v>
      </c>
      <c r="C8756" t="s">
        <v>5111</v>
      </c>
      <c r="D8756" t="s">
        <v>551</v>
      </c>
      <c r="E8756" t="s">
        <v>553</v>
      </c>
      <c r="F8756" t="s">
        <v>1068</v>
      </c>
      <c r="G8756" t="s">
        <v>1078</v>
      </c>
      <c r="H8756">
        <v>-0.140635440587978</v>
      </c>
      <c r="I8756" t="s">
        <v>1079</v>
      </c>
      <c r="J8756">
        <v>9.89</v>
      </c>
    </row>
    <row r="8757" spans="1:10" hidden="1">
      <c r="A8757" t="s">
        <v>5575</v>
      </c>
      <c r="B8757" s="170" t="s">
        <v>5576</v>
      </c>
      <c r="C8757" t="s">
        <v>5111</v>
      </c>
      <c r="D8757" t="s">
        <v>551</v>
      </c>
      <c r="E8757" t="s">
        <v>553</v>
      </c>
      <c r="F8757" t="s">
        <v>1068</v>
      </c>
      <c r="G8757" t="s">
        <v>1080</v>
      </c>
      <c r="H8757" s="171" t="s">
        <v>5579</v>
      </c>
      <c r="I8757" t="s">
        <v>1082</v>
      </c>
      <c r="J8757">
        <v>9.89</v>
      </c>
    </row>
    <row r="8758" spans="1:10" hidden="1">
      <c r="A8758" t="s">
        <v>5575</v>
      </c>
      <c r="B8758" s="170" t="s">
        <v>5576</v>
      </c>
      <c r="C8758" t="s">
        <v>5111</v>
      </c>
      <c r="D8758" t="s">
        <v>551</v>
      </c>
      <c r="E8758" t="s">
        <v>553</v>
      </c>
      <c r="F8758" t="s">
        <v>1068</v>
      </c>
      <c r="G8758" t="s">
        <v>1083</v>
      </c>
      <c r="H8758" s="170">
        <v>-7.5496595794453902E-6</v>
      </c>
      <c r="I8758" t="s">
        <v>1084</v>
      </c>
      <c r="J8758">
        <v>9.89</v>
      </c>
    </row>
    <row r="8759" spans="1:10" hidden="1">
      <c r="A8759" t="s">
        <v>5575</v>
      </c>
      <c r="B8759" s="170" t="s">
        <v>5576</v>
      </c>
      <c r="C8759" t="s">
        <v>5111</v>
      </c>
      <c r="D8759" t="s">
        <v>551</v>
      </c>
      <c r="E8759" t="s">
        <v>553</v>
      </c>
      <c r="F8759" t="s">
        <v>1068</v>
      </c>
      <c r="G8759" t="s">
        <v>1085</v>
      </c>
      <c r="H8759" s="170">
        <v>-1.10646196896407E-5</v>
      </c>
      <c r="I8759" t="s">
        <v>1086</v>
      </c>
      <c r="J8759">
        <v>9.89</v>
      </c>
    </row>
    <row r="8760" spans="1:10" hidden="1">
      <c r="A8760" t="s">
        <v>5575</v>
      </c>
      <c r="B8760" s="170" t="s">
        <v>5576</v>
      </c>
      <c r="C8760" t="s">
        <v>5111</v>
      </c>
      <c r="D8760" t="s">
        <v>551</v>
      </c>
      <c r="E8760" t="s">
        <v>553</v>
      </c>
      <c r="F8760" t="s">
        <v>1068</v>
      </c>
      <c r="G8760" t="s">
        <v>1087</v>
      </c>
      <c r="H8760" s="171" t="s">
        <v>5580</v>
      </c>
      <c r="I8760" t="s">
        <v>1088</v>
      </c>
      <c r="J8760">
        <v>9.89</v>
      </c>
    </row>
    <row r="8761" spans="1:10" hidden="1">
      <c r="A8761" t="s">
        <v>5575</v>
      </c>
      <c r="B8761" s="170" t="s">
        <v>5576</v>
      </c>
      <c r="C8761" t="s">
        <v>5111</v>
      </c>
      <c r="D8761" t="s">
        <v>551</v>
      </c>
      <c r="E8761" t="s">
        <v>553</v>
      </c>
      <c r="F8761" t="s">
        <v>1068</v>
      </c>
      <c r="G8761" t="s">
        <v>1089</v>
      </c>
      <c r="H8761" s="171" t="s">
        <v>5581</v>
      </c>
      <c r="I8761" t="s">
        <v>1090</v>
      </c>
      <c r="J8761">
        <v>9.89</v>
      </c>
    </row>
    <row r="8762" spans="1:10" hidden="1">
      <c r="A8762" t="s">
        <v>5582</v>
      </c>
      <c r="B8762" t="s">
        <v>5583</v>
      </c>
      <c r="C8762" t="s">
        <v>5111</v>
      </c>
      <c r="D8762" t="s">
        <v>551</v>
      </c>
      <c r="E8762" t="s">
        <v>556</v>
      </c>
      <c r="F8762" t="s">
        <v>1068</v>
      </c>
      <c r="G8762" t="s">
        <v>1069</v>
      </c>
      <c r="H8762" s="171" t="s">
        <v>5584</v>
      </c>
      <c r="I8762" t="s">
        <v>1070</v>
      </c>
      <c r="J8762">
        <v>9.06</v>
      </c>
    </row>
    <row r="8763" spans="1:10" hidden="1">
      <c r="A8763" t="s">
        <v>5582</v>
      </c>
      <c r="B8763" t="s">
        <v>5583</v>
      </c>
      <c r="C8763" t="s">
        <v>5111</v>
      </c>
      <c r="D8763" t="s">
        <v>551</v>
      </c>
      <c r="E8763" t="s">
        <v>556</v>
      </c>
      <c r="F8763" t="s">
        <v>1068</v>
      </c>
      <c r="G8763" t="s">
        <v>1071</v>
      </c>
      <c r="H8763" s="171" t="s">
        <v>5585</v>
      </c>
      <c r="I8763" t="s">
        <v>1072</v>
      </c>
      <c r="J8763">
        <v>9.06</v>
      </c>
    </row>
    <row r="8764" spans="1:10" hidden="1">
      <c r="A8764" t="s">
        <v>5582</v>
      </c>
      <c r="B8764" t="s">
        <v>5583</v>
      </c>
      <c r="C8764" t="s">
        <v>5111</v>
      </c>
      <c r="D8764" t="s">
        <v>551</v>
      </c>
      <c r="E8764" t="s">
        <v>556</v>
      </c>
      <c r="F8764" t="s">
        <v>1068</v>
      </c>
      <c r="G8764" t="s">
        <v>1073</v>
      </c>
      <c r="H8764" s="171" t="s">
        <v>5586</v>
      </c>
      <c r="I8764" t="s">
        <v>1074</v>
      </c>
      <c r="J8764">
        <v>9.06</v>
      </c>
    </row>
    <row r="8765" spans="1:10" hidden="1">
      <c r="A8765" t="s">
        <v>5582</v>
      </c>
      <c r="B8765" t="s">
        <v>5583</v>
      </c>
      <c r="C8765" t="s">
        <v>5111</v>
      </c>
      <c r="D8765" t="s">
        <v>551</v>
      </c>
      <c r="E8765" t="s">
        <v>556</v>
      </c>
      <c r="F8765" t="s">
        <v>1068</v>
      </c>
      <c r="G8765" t="s">
        <v>1075</v>
      </c>
      <c r="H8765">
        <v>1.72439220284099E-3</v>
      </c>
      <c r="I8765" t="s">
        <v>1077</v>
      </c>
      <c r="J8765">
        <v>9.06</v>
      </c>
    </row>
    <row r="8766" spans="1:10" hidden="1">
      <c r="A8766" t="s">
        <v>5582</v>
      </c>
      <c r="B8766" t="s">
        <v>5583</v>
      </c>
      <c r="C8766" t="s">
        <v>5111</v>
      </c>
      <c r="D8766" t="s">
        <v>551</v>
      </c>
      <c r="E8766" t="s">
        <v>556</v>
      </c>
      <c r="F8766" t="s">
        <v>1068</v>
      </c>
      <c r="G8766" t="s">
        <v>1078</v>
      </c>
      <c r="H8766">
        <v>-9.2019421003423599E-2</v>
      </c>
      <c r="I8766" t="s">
        <v>1079</v>
      </c>
      <c r="J8766">
        <v>9.06</v>
      </c>
    </row>
    <row r="8767" spans="1:10" hidden="1">
      <c r="A8767" t="s">
        <v>5582</v>
      </c>
      <c r="B8767" t="s">
        <v>5583</v>
      </c>
      <c r="C8767" t="s">
        <v>5111</v>
      </c>
      <c r="D8767" t="s">
        <v>551</v>
      </c>
      <c r="E8767" t="s">
        <v>556</v>
      </c>
      <c r="F8767" t="s">
        <v>1068</v>
      </c>
      <c r="G8767" t="s">
        <v>1080</v>
      </c>
      <c r="H8767" s="171" t="s">
        <v>5587</v>
      </c>
      <c r="I8767" t="s">
        <v>1082</v>
      </c>
      <c r="J8767">
        <v>9.06</v>
      </c>
    </row>
    <row r="8768" spans="1:10" hidden="1">
      <c r="A8768" t="s">
        <v>5582</v>
      </c>
      <c r="B8768" t="s">
        <v>5583</v>
      </c>
      <c r="C8768" t="s">
        <v>5111</v>
      </c>
      <c r="D8768" t="s">
        <v>551</v>
      </c>
      <c r="E8768" t="s">
        <v>556</v>
      </c>
      <c r="F8768" t="s">
        <v>1068</v>
      </c>
      <c r="G8768" t="s">
        <v>1083</v>
      </c>
      <c r="H8768" s="170">
        <v>-8.0128091261989494E-6</v>
      </c>
      <c r="I8768" t="s">
        <v>1084</v>
      </c>
      <c r="J8768">
        <v>9.06</v>
      </c>
    </row>
    <row r="8769" spans="1:10" hidden="1">
      <c r="A8769" t="s">
        <v>5582</v>
      </c>
      <c r="B8769" t="s">
        <v>5583</v>
      </c>
      <c r="C8769" t="s">
        <v>5111</v>
      </c>
      <c r="D8769" t="s">
        <v>551</v>
      </c>
      <c r="E8769" t="s">
        <v>556</v>
      </c>
      <c r="F8769" t="s">
        <v>1068</v>
      </c>
      <c r="G8769" t="s">
        <v>1085</v>
      </c>
      <c r="H8769" s="170">
        <v>-1.56336929135874E-5</v>
      </c>
      <c r="I8769" t="s">
        <v>1086</v>
      </c>
      <c r="J8769">
        <v>9.06</v>
      </c>
    </row>
    <row r="8770" spans="1:10" hidden="1">
      <c r="A8770" t="s">
        <v>5582</v>
      </c>
      <c r="B8770" t="s">
        <v>5583</v>
      </c>
      <c r="C8770" t="s">
        <v>5111</v>
      </c>
      <c r="D8770" t="s">
        <v>551</v>
      </c>
      <c r="E8770" t="s">
        <v>556</v>
      </c>
      <c r="F8770" t="s">
        <v>1068</v>
      </c>
      <c r="G8770" t="s">
        <v>1087</v>
      </c>
      <c r="H8770" s="171" t="s">
        <v>5588</v>
      </c>
      <c r="I8770" t="s">
        <v>1088</v>
      </c>
      <c r="J8770">
        <v>9.06</v>
      </c>
    </row>
    <row r="8771" spans="1:10" hidden="1">
      <c r="A8771" t="s">
        <v>5582</v>
      </c>
      <c r="B8771" t="s">
        <v>5583</v>
      </c>
      <c r="C8771" t="s">
        <v>5111</v>
      </c>
      <c r="D8771" t="s">
        <v>551</v>
      </c>
      <c r="E8771" t="s">
        <v>556</v>
      </c>
      <c r="F8771" t="s">
        <v>1068</v>
      </c>
      <c r="G8771" t="s">
        <v>1089</v>
      </c>
      <c r="H8771" s="171" t="s">
        <v>5589</v>
      </c>
      <c r="I8771" t="s">
        <v>1090</v>
      </c>
      <c r="J8771">
        <v>9.06</v>
      </c>
    </row>
    <row r="8772" spans="1:10" hidden="1">
      <c r="A8772" t="s">
        <v>5590</v>
      </c>
      <c r="B8772" t="s">
        <v>5591</v>
      </c>
      <c r="C8772" t="s">
        <v>5111</v>
      </c>
      <c r="D8772" t="s">
        <v>551</v>
      </c>
      <c r="E8772" t="s">
        <v>557</v>
      </c>
      <c r="F8772" t="s">
        <v>1068</v>
      </c>
      <c r="G8772" t="s">
        <v>1069</v>
      </c>
      <c r="H8772" s="171" t="s">
        <v>5592</v>
      </c>
      <c r="I8772" t="s">
        <v>1070</v>
      </c>
      <c r="J8772">
        <v>9.0299999999999994</v>
      </c>
    </row>
    <row r="8773" spans="1:10" hidden="1">
      <c r="A8773" t="s">
        <v>5590</v>
      </c>
      <c r="B8773" t="s">
        <v>5591</v>
      </c>
      <c r="C8773" t="s">
        <v>5111</v>
      </c>
      <c r="D8773" t="s">
        <v>551</v>
      </c>
      <c r="E8773" t="s">
        <v>557</v>
      </c>
      <c r="F8773" t="s">
        <v>1068</v>
      </c>
      <c r="G8773" t="s">
        <v>1071</v>
      </c>
      <c r="H8773" s="171" t="s">
        <v>5593</v>
      </c>
      <c r="I8773" t="s">
        <v>1072</v>
      </c>
      <c r="J8773">
        <v>9.0299999999999994</v>
      </c>
    </row>
    <row r="8774" spans="1:10" hidden="1">
      <c r="A8774" t="s">
        <v>5590</v>
      </c>
      <c r="B8774" t="s">
        <v>5591</v>
      </c>
      <c r="C8774" t="s">
        <v>5111</v>
      </c>
      <c r="D8774" t="s">
        <v>551</v>
      </c>
      <c r="E8774" t="s">
        <v>557</v>
      </c>
      <c r="F8774" t="s">
        <v>1068</v>
      </c>
      <c r="G8774" t="s">
        <v>1073</v>
      </c>
      <c r="H8774" s="171" t="s">
        <v>5594</v>
      </c>
      <c r="I8774" t="s">
        <v>1074</v>
      </c>
      <c r="J8774">
        <v>9.0299999999999994</v>
      </c>
    </row>
    <row r="8775" spans="1:10" hidden="1">
      <c r="A8775" t="s">
        <v>5590</v>
      </c>
      <c r="B8775" t="s">
        <v>5591</v>
      </c>
      <c r="C8775" t="s">
        <v>5111</v>
      </c>
      <c r="D8775" t="s">
        <v>551</v>
      </c>
      <c r="E8775" t="s">
        <v>557</v>
      </c>
      <c r="F8775" t="s">
        <v>1068</v>
      </c>
      <c r="G8775" t="s">
        <v>1075</v>
      </c>
      <c r="H8775">
        <v>1.4993091171282601E-3</v>
      </c>
      <c r="I8775" t="s">
        <v>1077</v>
      </c>
      <c r="J8775">
        <v>9.0299999999999994</v>
      </c>
    </row>
    <row r="8776" spans="1:10" hidden="1">
      <c r="A8776" t="s">
        <v>5590</v>
      </c>
      <c r="B8776" t="s">
        <v>5591</v>
      </c>
      <c r="C8776" t="s">
        <v>5111</v>
      </c>
      <c r="D8776" t="s">
        <v>551</v>
      </c>
      <c r="E8776" t="s">
        <v>557</v>
      </c>
      <c r="F8776" t="s">
        <v>1068</v>
      </c>
      <c r="G8776" t="s">
        <v>1078</v>
      </c>
      <c r="H8776">
        <v>-0.16202295761388</v>
      </c>
      <c r="I8776" t="s">
        <v>1079</v>
      </c>
      <c r="J8776">
        <v>9.0299999999999994</v>
      </c>
    </row>
    <row r="8777" spans="1:10" hidden="1">
      <c r="A8777" t="s">
        <v>5590</v>
      </c>
      <c r="B8777" t="s">
        <v>5591</v>
      </c>
      <c r="C8777" t="s">
        <v>5111</v>
      </c>
      <c r="D8777" t="s">
        <v>551</v>
      </c>
      <c r="E8777" t="s">
        <v>557</v>
      </c>
      <c r="F8777" t="s">
        <v>1068</v>
      </c>
      <c r="G8777" t="s">
        <v>1080</v>
      </c>
      <c r="H8777" s="171" t="s">
        <v>5595</v>
      </c>
      <c r="I8777" t="s">
        <v>1082</v>
      </c>
      <c r="J8777">
        <v>9.0299999999999994</v>
      </c>
    </row>
    <row r="8778" spans="1:10" hidden="1">
      <c r="A8778" t="s">
        <v>5590</v>
      </c>
      <c r="B8778" t="s">
        <v>5591</v>
      </c>
      <c r="C8778" t="s">
        <v>5111</v>
      </c>
      <c r="D8778" t="s">
        <v>551</v>
      </c>
      <c r="E8778" t="s">
        <v>557</v>
      </c>
      <c r="F8778" t="s">
        <v>1068</v>
      </c>
      <c r="G8778" t="s">
        <v>1083</v>
      </c>
      <c r="H8778" s="170">
        <v>-8.3194092099192893E-6</v>
      </c>
      <c r="I8778" t="s">
        <v>1084</v>
      </c>
      <c r="J8778">
        <v>9.0299999999999994</v>
      </c>
    </row>
    <row r="8779" spans="1:10" hidden="1">
      <c r="A8779" t="s">
        <v>5590</v>
      </c>
      <c r="B8779" t="s">
        <v>5591</v>
      </c>
      <c r="C8779" t="s">
        <v>5111</v>
      </c>
      <c r="D8779" t="s">
        <v>551</v>
      </c>
      <c r="E8779" t="s">
        <v>557</v>
      </c>
      <c r="F8779" t="s">
        <v>1068</v>
      </c>
      <c r="G8779" t="s">
        <v>1085</v>
      </c>
      <c r="H8779" s="170">
        <v>-1.9947713094316002E-5</v>
      </c>
      <c r="I8779" t="s">
        <v>1086</v>
      </c>
      <c r="J8779">
        <v>9.0299999999999994</v>
      </c>
    </row>
    <row r="8780" spans="1:10" hidden="1">
      <c r="A8780" t="s">
        <v>5590</v>
      </c>
      <c r="B8780" t="s">
        <v>5591</v>
      </c>
      <c r="C8780" t="s">
        <v>5111</v>
      </c>
      <c r="D8780" t="s">
        <v>551</v>
      </c>
      <c r="E8780" t="s">
        <v>557</v>
      </c>
      <c r="F8780" t="s">
        <v>1068</v>
      </c>
      <c r="G8780" t="s">
        <v>1087</v>
      </c>
      <c r="H8780" s="171" t="s">
        <v>5596</v>
      </c>
      <c r="I8780" t="s">
        <v>1088</v>
      </c>
      <c r="J8780">
        <v>9.0299999999999994</v>
      </c>
    </row>
    <row r="8781" spans="1:10" hidden="1">
      <c r="A8781" t="s">
        <v>5590</v>
      </c>
      <c r="B8781" t="s">
        <v>5591</v>
      </c>
      <c r="C8781" t="s">
        <v>5111</v>
      </c>
      <c r="D8781" t="s">
        <v>551</v>
      </c>
      <c r="E8781" t="s">
        <v>557</v>
      </c>
      <c r="F8781" t="s">
        <v>1068</v>
      </c>
      <c r="G8781" t="s">
        <v>1089</v>
      </c>
      <c r="H8781" s="171" t="s">
        <v>5597</v>
      </c>
      <c r="I8781" t="s">
        <v>1090</v>
      </c>
      <c r="J8781">
        <v>9.0299999999999994</v>
      </c>
    </row>
    <row r="8782" spans="1:10" hidden="1">
      <c r="A8782" t="s">
        <v>5598</v>
      </c>
      <c r="B8782" t="s">
        <v>5599</v>
      </c>
      <c r="C8782" t="s">
        <v>5111</v>
      </c>
      <c r="D8782" t="s">
        <v>551</v>
      </c>
      <c r="E8782" t="s">
        <v>559</v>
      </c>
      <c r="F8782" t="s">
        <v>1068</v>
      </c>
      <c r="G8782" t="s">
        <v>1069</v>
      </c>
      <c r="H8782">
        <v>8.4082008820427403E-3</v>
      </c>
      <c r="I8782" t="s">
        <v>1070</v>
      </c>
      <c r="J8782">
        <v>9.93</v>
      </c>
    </row>
    <row r="8783" spans="1:10" hidden="1">
      <c r="A8783" t="s">
        <v>5598</v>
      </c>
      <c r="B8783" t="s">
        <v>5599</v>
      </c>
      <c r="C8783" t="s">
        <v>5111</v>
      </c>
      <c r="D8783" t="s">
        <v>551</v>
      </c>
      <c r="E8783" t="s">
        <v>559</v>
      </c>
      <c r="F8783" t="s">
        <v>1068</v>
      </c>
      <c r="G8783" t="s">
        <v>1071</v>
      </c>
      <c r="H8783" s="170">
        <v>-3.6754911581903696E-12</v>
      </c>
      <c r="I8783" t="s">
        <v>1072</v>
      </c>
      <c r="J8783">
        <v>9.93</v>
      </c>
    </row>
    <row r="8784" spans="1:10" hidden="1">
      <c r="A8784" t="s">
        <v>5598</v>
      </c>
      <c r="B8784" t="s">
        <v>5599</v>
      </c>
      <c r="C8784" t="s">
        <v>5111</v>
      </c>
      <c r="D8784" t="s">
        <v>551</v>
      </c>
      <c r="E8784" t="s">
        <v>559</v>
      </c>
      <c r="F8784" t="s">
        <v>1068</v>
      </c>
      <c r="G8784" t="s">
        <v>1073</v>
      </c>
      <c r="H8784" s="171" t="s">
        <v>5600</v>
      </c>
      <c r="I8784" t="s">
        <v>1074</v>
      </c>
      <c r="J8784">
        <v>9.93</v>
      </c>
    </row>
    <row r="8785" spans="1:10" hidden="1">
      <c r="A8785" t="s">
        <v>5598</v>
      </c>
      <c r="B8785" t="s">
        <v>5599</v>
      </c>
      <c r="C8785" t="s">
        <v>5111</v>
      </c>
      <c r="D8785" t="s">
        <v>551</v>
      </c>
      <c r="E8785" t="s">
        <v>559</v>
      </c>
      <c r="F8785" t="s">
        <v>1068</v>
      </c>
      <c r="G8785" t="s">
        <v>1075</v>
      </c>
      <c r="H8785">
        <v>1.4152092810928701E-3</v>
      </c>
      <c r="I8785" t="s">
        <v>1077</v>
      </c>
      <c r="J8785">
        <v>9.93</v>
      </c>
    </row>
    <row r="8786" spans="1:10" hidden="1">
      <c r="A8786" t="s">
        <v>5598</v>
      </c>
      <c r="B8786" t="s">
        <v>5599</v>
      </c>
      <c r="C8786" t="s">
        <v>5111</v>
      </c>
      <c r="D8786" t="s">
        <v>551</v>
      </c>
      <c r="E8786" t="s">
        <v>559</v>
      </c>
      <c r="F8786" t="s">
        <v>1068</v>
      </c>
      <c r="G8786" t="s">
        <v>1078</v>
      </c>
      <c r="H8786">
        <v>-0.15270002367897401</v>
      </c>
      <c r="I8786" t="s">
        <v>1079</v>
      </c>
      <c r="J8786">
        <v>9.93</v>
      </c>
    </row>
    <row r="8787" spans="1:10" hidden="1">
      <c r="A8787" t="s">
        <v>5598</v>
      </c>
      <c r="B8787" t="s">
        <v>5599</v>
      </c>
      <c r="C8787" t="s">
        <v>5111</v>
      </c>
      <c r="D8787" t="s">
        <v>551</v>
      </c>
      <c r="E8787" t="s">
        <v>559</v>
      </c>
      <c r="F8787" t="s">
        <v>1068</v>
      </c>
      <c r="G8787" t="s">
        <v>1080</v>
      </c>
      <c r="H8787" s="171" t="s">
        <v>5601</v>
      </c>
      <c r="I8787" t="s">
        <v>1082</v>
      </c>
      <c r="J8787">
        <v>9.93</v>
      </c>
    </row>
    <row r="8788" spans="1:10" hidden="1">
      <c r="A8788" t="s">
        <v>5598</v>
      </c>
      <c r="B8788" t="s">
        <v>5599</v>
      </c>
      <c r="C8788" t="s">
        <v>5111</v>
      </c>
      <c r="D8788" t="s">
        <v>551</v>
      </c>
      <c r="E8788" t="s">
        <v>559</v>
      </c>
      <c r="F8788" t="s">
        <v>1068</v>
      </c>
      <c r="G8788" t="s">
        <v>1083</v>
      </c>
      <c r="H8788" s="170">
        <v>-8.89117033042305E-6</v>
      </c>
      <c r="I8788" t="s">
        <v>1084</v>
      </c>
      <c r="J8788">
        <v>9.93</v>
      </c>
    </row>
    <row r="8789" spans="1:10" hidden="1">
      <c r="A8789" t="s">
        <v>5598</v>
      </c>
      <c r="B8789" t="s">
        <v>5599</v>
      </c>
      <c r="C8789" t="s">
        <v>5111</v>
      </c>
      <c r="D8789" t="s">
        <v>551</v>
      </c>
      <c r="E8789" t="s">
        <v>559</v>
      </c>
      <c r="F8789" t="s">
        <v>1068</v>
      </c>
      <c r="G8789" t="s">
        <v>1085</v>
      </c>
      <c r="H8789" s="170">
        <v>-2.6226413869892898E-5</v>
      </c>
      <c r="I8789" t="s">
        <v>1086</v>
      </c>
      <c r="J8789">
        <v>9.93</v>
      </c>
    </row>
    <row r="8790" spans="1:10" hidden="1">
      <c r="A8790" t="s">
        <v>5598</v>
      </c>
      <c r="B8790" t="s">
        <v>5599</v>
      </c>
      <c r="C8790" t="s">
        <v>5111</v>
      </c>
      <c r="D8790" t="s">
        <v>551</v>
      </c>
      <c r="E8790" t="s">
        <v>559</v>
      </c>
      <c r="F8790" t="s">
        <v>1068</v>
      </c>
      <c r="G8790" t="s">
        <v>1087</v>
      </c>
      <c r="H8790" s="171" t="s">
        <v>5602</v>
      </c>
      <c r="I8790" t="s">
        <v>1088</v>
      </c>
      <c r="J8790">
        <v>9.93</v>
      </c>
    </row>
    <row r="8791" spans="1:10" hidden="1">
      <c r="A8791" t="s">
        <v>5598</v>
      </c>
      <c r="B8791" t="s">
        <v>5599</v>
      </c>
      <c r="C8791" t="s">
        <v>5111</v>
      </c>
      <c r="D8791" t="s">
        <v>551</v>
      </c>
      <c r="E8791" t="s">
        <v>559</v>
      </c>
      <c r="F8791" t="s">
        <v>1068</v>
      </c>
      <c r="G8791" t="s">
        <v>1089</v>
      </c>
      <c r="H8791" s="171" t="s">
        <v>5603</v>
      </c>
      <c r="I8791" t="s">
        <v>1090</v>
      </c>
      <c r="J8791">
        <v>9.93</v>
      </c>
    </row>
    <row r="8792" spans="1:10" hidden="1">
      <c r="A8792" t="s">
        <v>5604</v>
      </c>
      <c r="B8792" t="s">
        <v>5605</v>
      </c>
      <c r="C8792" t="s">
        <v>5111</v>
      </c>
      <c r="D8792" t="s">
        <v>551</v>
      </c>
      <c r="E8792" t="s">
        <v>560</v>
      </c>
      <c r="F8792" t="s">
        <v>1068</v>
      </c>
      <c r="G8792" t="s">
        <v>1069</v>
      </c>
      <c r="H8792">
        <v>9.8521536949570405E-3</v>
      </c>
      <c r="I8792" t="s">
        <v>1070</v>
      </c>
      <c r="J8792">
        <v>7.99</v>
      </c>
    </row>
    <row r="8793" spans="1:10" hidden="1">
      <c r="A8793" t="s">
        <v>5604</v>
      </c>
      <c r="B8793" t="s">
        <v>5605</v>
      </c>
      <c r="C8793" t="s">
        <v>5111</v>
      </c>
      <c r="D8793" t="s">
        <v>551</v>
      </c>
      <c r="E8793" t="s">
        <v>560</v>
      </c>
      <c r="F8793" t="s">
        <v>1068</v>
      </c>
      <c r="G8793" t="s">
        <v>1071</v>
      </c>
      <c r="H8793" s="170">
        <v>-1.66143686150918E-12</v>
      </c>
      <c r="I8793" t="s">
        <v>1072</v>
      </c>
      <c r="J8793">
        <v>7.99</v>
      </c>
    </row>
    <row r="8794" spans="1:10" hidden="1">
      <c r="A8794" t="s">
        <v>5604</v>
      </c>
      <c r="B8794" t="s">
        <v>5605</v>
      </c>
      <c r="C8794" t="s">
        <v>5111</v>
      </c>
      <c r="D8794" t="s">
        <v>551</v>
      </c>
      <c r="E8794" t="s">
        <v>560</v>
      </c>
      <c r="F8794" t="s">
        <v>1068</v>
      </c>
      <c r="G8794" t="s">
        <v>1073</v>
      </c>
      <c r="H8794" s="171" t="s">
        <v>5606</v>
      </c>
      <c r="I8794" t="s">
        <v>1074</v>
      </c>
      <c r="J8794">
        <v>7.99</v>
      </c>
    </row>
    <row r="8795" spans="1:10" hidden="1">
      <c r="A8795" t="s">
        <v>5604</v>
      </c>
      <c r="B8795" t="s">
        <v>5605</v>
      </c>
      <c r="C8795" t="s">
        <v>5111</v>
      </c>
      <c r="D8795" t="s">
        <v>551</v>
      </c>
      <c r="E8795" t="s">
        <v>560</v>
      </c>
      <c r="F8795" t="s">
        <v>1068</v>
      </c>
      <c r="G8795" t="s">
        <v>1075</v>
      </c>
      <c r="H8795">
        <v>1.42677949102987E-3</v>
      </c>
      <c r="I8795" t="s">
        <v>1077</v>
      </c>
      <c r="J8795">
        <v>7.99</v>
      </c>
    </row>
    <row r="8796" spans="1:10" hidden="1">
      <c r="A8796" t="s">
        <v>5604</v>
      </c>
      <c r="B8796" t="s">
        <v>5605</v>
      </c>
      <c r="C8796" t="s">
        <v>5111</v>
      </c>
      <c r="D8796" t="s">
        <v>551</v>
      </c>
      <c r="E8796" t="s">
        <v>560</v>
      </c>
      <c r="F8796" t="s">
        <v>1068</v>
      </c>
      <c r="G8796" t="s">
        <v>1078</v>
      </c>
      <c r="H8796">
        <v>-0.16515941842172299</v>
      </c>
      <c r="I8796" t="s">
        <v>1079</v>
      </c>
      <c r="J8796">
        <v>7.99</v>
      </c>
    </row>
    <row r="8797" spans="1:10" hidden="1">
      <c r="A8797" t="s">
        <v>5604</v>
      </c>
      <c r="B8797" t="s">
        <v>5605</v>
      </c>
      <c r="C8797" t="s">
        <v>5111</v>
      </c>
      <c r="D8797" t="s">
        <v>551</v>
      </c>
      <c r="E8797" t="s">
        <v>560</v>
      </c>
      <c r="F8797" t="s">
        <v>1068</v>
      </c>
      <c r="G8797" t="s">
        <v>1080</v>
      </c>
      <c r="H8797" s="171" t="s">
        <v>5607</v>
      </c>
      <c r="I8797" t="s">
        <v>1082</v>
      </c>
      <c r="J8797">
        <v>7.99</v>
      </c>
    </row>
    <row r="8798" spans="1:10" hidden="1">
      <c r="A8798" t="s">
        <v>5604</v>
      </c>
      <c r="B8798" t="s">
        <v>5605</v>
      </c>
      <c r="C8798" t="s">
        <v>5111</v>
      </c>
      <c r="D8798" t="s">
        <v>551</v>
      </c>
      <c r="E8798" t="s">
        <v>560</v>
      </c>
      <c r="F8798" t="s">
        <v>1068</v>
      </c>
      <c r="G8798" t="s">
        <v>1083</v>
      </c>
      <c r="H8798" s="170">
        <v>-8.6681652226224495E-6</v>
      </c>
      <c r="I8798" t="s">
        <v>1084</v>
      </c>
      <c r="J8798">
        <v>7.99</v>
      </c>
    </row>
    <row r="8799" spans="1:10" hidden="1">
      <c r="A8799" t="s">
        <v>5604</v>
      </c>
      <c r="B8799" t="s">
        <v>5605</v>
      </c>
      <c r="C8799" t="s">
        <v>5111</v>
      </c>
      <c r="D8799" t="s">
        <v>551</v>
      </c>
      <c r="E8799" t="s">
        <v>560</v>
      </c>
      <c r="F8799" t="s">
        <v>1068</v>
      </c>
      <c r="G8799" t="s">
        <v>1085</v>
      </c>
      <c r="H8799" s="170">
        <v>-2.3889363863702899E-5</v>
      </c>
      <c r="I8799" t="s">
        <v>1086</v>
      </c>
      <c r="J8799">
        <v>7.99</v>
      </c>
    </row>
    <row r="8800" spans="1:10" hidden="1">
      <c r="A8800" t="s">
        <v>5604</v>
      </c>
      <c r="B8800" t="s">
        <v>5605</v>
      </c>
      <c r="C8800" t="s">
        <v>5111</v>
      </c>
      <c r="D8800" t="s">
        <v>551</v>
      </c>
      <c r="E8800" t="s">
        <v>560</v>
      </c>
      <c r="F8800" t="s">
        <v>1068</v>
      </c>
      <c r="G8800" t="s">
        <v>1087</v>
      </c>
      <c r="H8800" s="171" t="s">
        <v>5608</v>
      </c>
      <c r="I8800" t="s">
        <v>1088</v>
      </c>
      <c r="J8800">
        <v>7.99</v>
      </c>
    </row>
    <row r="8801" spans="1:10" hidden="1">
      <c r="A8801" t="s">
        <v>5604</v>
      </c>
      <c r="B8801" t="s">
        <v>5605</v>
      </c>
      <c r="C8801" t="s">
        <v>5111</v>
      </c>
      <c r="D8801" t="s">
        <v>551</v>
      </c>
      <c r="E8801" t="s">
        <v>560</v>
      </c>
      <c r="F8801" t="s">
        <v>1068</v>
      </c>
      <c r="G8801" t="s">
        <v>1089</v>
      </c>
      <c r="H8801" s="171" t="s">
        <v>5609</v>
      </c>
      <c r="I8801" t="s">
        <v>1090</v>
      </c>
      <c r="J8801">
        <v>7.99</v>
      </c>
    </row>
    <row r="8802" spans="1:10" hidden="1">
      <c r="A8802" t="s">
        <v>5610</v>
      </c>
      <c r="B8802" t="s">
        <v>5611</v>
      </c>
      <c r="C8802" t="s">
        <v>5111</v>
      </c>
      <c r="D8802" t="s">
        <v>551</v>
      </c>
      <c r="E8802" t="s">
        <v>1116</v>
      </c>
      <c r="F8802" t="s">
        <v>1068</v>
      </c>
      <c r="G8802" t="s">
        <v>1069</v>
      </c>
      <c r="H8802">
        <v>1.6816002790093099E-2</v>
      </c>
      <c r="I8802" t="s">
        <v>1070</v>
      </c>
      <c r="J8802">
        <v>9.58</v>
      </c>
    </row>
    <row r="8803" spans="1:10" hidden="1">
      <c r="A8803" t="s">
        <v>5610</v>
      </c>
      <c r="B8803" t="s">
        <v>5611</v>
      </c>
      <c r="C8803" t="s">
        <v>5111</v>
      </c>
      <c r="D8803" t="s">
        <v>551</v>
      </c>
      <c r="E8803" t="s">
        <v>1116</v>
      </c>
      <c r="F8803" t="s">
        <v>1068</v>
      </c>
      <c r="G8803" t="s">
        <v>1071</v>
      </c>
      <c r="H8803" s="171" t="s">
        <v>5612</v>
      </c>
      <c r="I8803" t="s">
        <v>1072</v>
      </c>
      <c r="J8803">
        <v>9.58</v>
      </c>
    </row>
    <row r="8804" spans="1:10" hidden="1">
      <c r="A8804" t="s">
        <v>5610</v>
      </c>
      <c r="B8804" t="s">
        <v>5611</v>
      </c>
      <c r="C8804" t="s">
        <v>5111</v>
      </c>
      <c r="D8804" t="s">
        <v>551</v>
      </c>
      <c r="E8804" t="s">
        <v>1116</v>
      </c>
      <c r="F8804" t="s">
        <v>1068</v>
      </c>
      <c r="G8804" t="s">
        <v>1073</v>
      </c>
      <c r="H8804" s="171" t="s">
        <v>5613</v>
      </c>
      <c r="I8804" t="s">
        <v>1074</v>
      </c>
      <c r="J8804">
        <v>9.58</v>
      </c>
    </row>
    <row r="8805" spans="1:10" hidden="1">
      <c r="A8805" t="s">
        <v>5610</v>
      </c>
      <c r="B8805" t="s">
        <v>5611</v>
      </c>
      <c r="C8805" t="s">
        <v>5111</v>
      </c>
      <c r="D8805" t="s">
        <v>551</v>
      </c>
      <c r="E8805" t="s">
        <v>1116</v>
      </c>
      <c r="F8805" t="s">
        <v>1068</v>
      </c>
      <c r="G8805" t="s">
        <v>1075</v>
      </c>
      <c r="H8805">
        <v>1.64691420019452E-3</v>
      </c>
      <c r="I8805" t="s">
        <v>1077</v>
      </c>
      <c r="J8805">
        <v>9.58</v>
      </c>
    </row>
    <row r="8806" spans="1:10" hidden="1">
      <c r="A8806" t="s">
        <v>5610</v>
      </c>
      <c r="B8806" t="s">
        <v>5611</v>
      </c>
      <c r="C8806" t="s">
        <v>5111</v>
      </c>
      <c r="D8806" t="s">
        <v>551</v>
      </c>
      <c r="E8806" t="s">
        <v>1116</v>
      </c>
      <c r="F8806" t="s">
        <v>1068</v>
      </c>
      <c r="G8806" t="s">
        <v>1078</v>
      </c>
      <c r="H8806">
        <v>-0.155639944451124</v>
      </c>
      <c r="I8806" t="s">
        <v>1079</v>
      </c>
      <c r="J8806">
        <v>9.58</v>
      </c>
    </row>
    <row r="8807" spans="1:10" hidden="1">
      <c r="A8807" t="s">
        <v>5610</v>
      </c>
      <c r="B8807" t="s">
        <v>5611</v>
      </c>
      <c r="C8807" t="s">
        <v>5111</v>
      </c>
      <c r="D8807" t="s">
        <v>551</v>
      </c>
      <c r="E8807" t="s">
        <v>1116</v>
      </c>
      <c r="F8807" t="s">
        <v>1068</v>
      </c>
      <c r="G8807" t="s">
        <v>1080</v>
      </c>
      <c r="H8807" s="171" t="s">
        <v>5614</v>
      </c>
      <c r="I8807" t="s">
        <v>1082</v>
      </c>
      <c r="J8807">
        <v>9.58</v>
      </c>
    </row>
    <row r="8808" spans="1:10" hidden="1">
      <c r="A8808" t="s">
        <v>5610</v>
      </c>
      <c r="B8808" t="s">
        <v>5611</v>
      </c>
      <c r="C8808" t="s">
        <v>5111</v>
      </c>
      <c r="D8808" t="s">
        <v>551</v>
      </c>
      <c r="E8808" t="s">
        <v>1116</v>
      </c>
      <c r="F8808" t="s">
        <v>1068</v>
      </c>
      <c r="G8808" t="s">
        <v>1083</v>
      </c>
      <c r="H8808" s="170">
        <v>-7.6096556513516799E-6</v>
      </c>
      <c r="I8808" t="s">
        <v>1084</v>
      </c>
      <c r="J8808">
        <v>9.58</v>
      </c>
    </row>
    <row r="8809" spans="1:10" hidden="1">
      <c r="A8809" t="s">
        <v>5610</v>
      </c>
      <c r="B8809" t="s">
        <v>5611</v>
      </c>
      <c r="C8809" t="s">
        <v>5111</v>
      </c>
      <c r="D8809" t="s">
        <v>551</v>
      </c>
      <c r="E8809" t="s">
        <v>1116</v>
      </c>
      <c r="F8809" t="s">
        <v>1068</v>
      </c>
      <c r="G8809" t="s">
        <v>1085</v>
      </c>
      <c r="H8809" s="170">
        <v>-1.19260573857329E-5</v>
      </c>
      <c r="I8809" t="s">
        <v>1086</v>
      </c>
      <c r="J8809">
        <v>9.58</v>
      </c>
    </row>
    <row r="8810" spans="1:10" hidden="1">
      <c r="A8810" t="s">
        <v>5610</v>
      </c>
      <c r="B8810" t="s">
        <v>5611</v>
      </c>
      <c r="C8810" t="s">
        <v>5111</v>
      </c>
      <c r="D8810" t="s">
        <v>551</v>
      </c>
      <c r="E8810" t="s">
        <v>1116</v>
      </c>
      <c r="F8810" t="s">
        <v>1068</v>
      </c>
      <c r="G8810" t="s">
        <v>1087</v>
      </c>
      <c r="H8810" s="171" t="s">
        <v>5615</v>
      </c>
      <c r="I8810" t="s">
        <v>1088</v>
      </c>
      <c r="J8810">
        <v>9.58</v>
      </c>
    </row>
    <row r="8811" spans="1:10" hidden="1">
      <c r="A8811" t="s">
        <v>5610</v>
      </c>
      <c r="B8811" t="s">
        <v>5611</v>
      </c>
      <c r="C8811" t="s">
        <v>5111</v>
      </c>
      <c r="D8811" t="s">
        <v>551</v>
      </c>
      <c r="E8811" t="s">
        <v>1116</v>
      </c>
      <c r="F8811" t="s">
        <v>1068</v>
      </c>
      <c r="G8811" t="s">
        <v>1089</v>
      </c>
      <c r="H8811" s="171" t="s">
        <v>5616</v>
      </c>
      <c r="I8811" t="s">
        <v>1090</v>
      </c>
      <c r="J8811">
        <v>9.58</v>
      </c>
    </row>
    <row r="8812" spans="1:10" hidden="1">
      <c r="A8812" t="s">
        <v>5617</v>
      </c>
      <c r="B8812" t="s">
        <v>5618</v>
      </c>
      <c r="C8812" t="s">
        <v>5111</v>
      </c>
      <c r="D8812" t="s">
        <v>2360</v>
      </c>
      <c r="E8812" t="s">
        <v>561</v>
      </c>
      <c r="F8812" t="s">
        <v>1068</v>
      </c>
      <c r="G8812" t="s">
        <v>1069</v>
      </c>
      <c r="H8812">
        <v>1.5407108074733999E-2</v>
      </c>
      <c r="I8812" t="s">
        <v>1070</v>
      </c>
      <c r="J8812">
        <v>8.08</v>
      </c>
    </row>
    <row r="8813" spans="1:10" hidden="1">
      <c r="A8813" t="s">
        <v>5617</v>
      </c>
      <c r="B8813" t="s">
        <v>5618</v>
      </c>
      <c r="C8813" t="s">
        <v>5111</v>
      </c>
      <c r="D8813" t="s">
        <v>2360</v>
      </c>
      <c r="E8813" t="s">
        <v>561</v>
      </c>
      <c r="F8813" t="s">
        <v>1068</v>
      </c>
      <c r="G8813" t="s">
        <v>1071</v>
      </c>
      <c r="H8813" s="171" t="s">
        <v>5556</v>
      </c>
      <c r="I8813" t="s">
        <v>1072</v>
      </c>
      <c r="J8813">
        <v>8.08</v>
      </c>
    </row>
    <row r="8814" spans="1:10" hidden="1">
      <c r="A8814" t="s">
        <v>5617</v>
      </c>
      <c r="B8814" t="s">
        <v>5618</v>
      </c>
      <c r="C8814" t="s">
        <v>5111</v>
      </c>
      <c r="D8814" t="s">
        <v>2360</v>
      </c>
      <c r="E8814" t="s">
        <v>561</v>
      </c>
      <c r="F8814" t="s">
        <v>1068</v>
      </c>
      <c r="G8814" t="s">
        <v>1073</v>
      </c>
      <c r="H8814" s="171" t="s">
        <v>5557</v>
      </c>
      <c r="I8814" t="s">
        <v>1074</v>
      </c>
      <c r="J8814">
        <v>8.08</v>
      </c>
    </row>
    <row r="8815" spans="1:10" hidden="1">
      <c r="A8815" t="s">
        <v>5617</v>
      </c>
      <c r="B8815" t="s">
        <v>5618</v>
      </c>
      <c r="C8815" t="s">
        <v>5111</v>
      </c>
      <c r="D8815" t="s">
        <v>2360</v>
      </c>
      <c r="E8815" t="s">
        <v>561</v>
      </c>
      <c r="F8815" t="s">
        <v>1068</v>
      </c>
      <c r="G8815" t="s">
        <v>1075</v>
      </c>
      <c r="H8815">
        <v>1.60237753316281E-3</v>
      </c>
      <c r="I8815" t="s">
        <v>1077</v>
      </c>
      <c r="J8815">
        <v>8.08</v>
      </c>
    </row>
    <row r="8816" spans="1:10" hidden="1">
      <c r="A8816" t="s">
        <v>5617</v>
      </c>
      <c r="B8816" t="s">
        <v>5618</v>
      </c>
      <c r="C8816" t="s">
        <v>5111</v>
      </c>
      <c r="D8816" t="s">
        <v>2360</v>
      </c>
      <c r="E8816" t="s">
        <v>561</v>
      </c>
      <c r="F8816" t="s">
        <v>1068</v>
      </c>
      <c r="G8816" t="s">
        <v>1078</v>
      </c>
      <c r="H8816">
        <v>-0.157565881729051</v>
      </c>
      <c r="I8816" t="s">
        <v>1079</v>
      </c>
      <c r="J8816">
        <v>8.08</v>
      </c>
    </row>
    <row r="8817" spans="1:10" hidden="1">
      <c r="A8817" t="s">
        <v>5617</v>
      </c>
      <c r="B8817" t="s">
        <v>5618</v>
      </c>
      <c r="C8817" t="s">
        <v>5111</v>
      </c>
      <c r="D8817" t="s">
        <v>2360</v>
      </c>
      <c r="E8817" t="s">
        <v>561</v>
      </c>
      <c r="F8817" t="s">
        <v>1068</v>
      </c>
      <c r="G8817" t="s">
        <v>1080</v>
      </c>
      <c r="H8817" s="171" t="s">
        <v>5558</v>
      </c>
      <c r="I8817" t="s">
        <v>1082</v>
      </c>
      <c r="J8817">
        <v>8.08</v>
      </c>
    </row>
    <row r="8818" spans="1:10" hidden="1">
      <c r="A8818" t="s">
        <v>5617</v>
      </c>
      <c r="B8818" t="s">
        <v>5618</v>
      </c>
      <c r="C8818" t="s">
        <v>5111</v>
      </c>
      <c r="D8818" t="s">
        <v>2360</v>
      </c>
      <c r="E8818" t="s">
        <v>561</v>
      </c>
      <c r="F8818" t="s">
        <v>1068</v>
      </c>
      <c r="G8818" t="s">
        <v>1083</v>
      </c>
      <c r="H8818" s="170">
        <v>-7.8238085602884792E-6</v>
      </c>
      <c r="I8818" t="s">
        <v>1084</v>
      </c>
      <c r="J8818">
        <v>8.08</v>
      </c>
    </row>
    <row r="8819" spans="1:10" hidden="1">
      <c r="A8819" t="s">
        <v>5617</v>
      </c>
      <c r="B8819" t="s">
        <v>5618</v>
      </c>
      <c r="C8819" t="s">
        <v>5111</v>
      </c>
      <c r="D8819" t="s">
        <v>2360</v>
      </c>
      <c r="E8819" t="s">
        <v>561</v>
      </c>
      <c r="F8819" t="s">
        <v>1068</v>
      </c>
      <c r="G8819" t="s">
        <v>1085</v>
      </c>
      <c r="H8819" s="170">
        <v>-1.43464198957137E-5</v>
      </c>
      <c r="I8819" t="s">
        <v>1086</v>
      </c>
      <c r="J8819">
        <v>8.08</v>
      </c>
    </row>
    <row r="8820" spans="1:10" hidden="1">
      <c r="A8820" t="s">
        <v>5617</v>
      </c>
      <c r="B8820" t="s">
        <v>5618</v>
      </c>
      <c r="C8820" t="s">
        <v>5111</v>
      </c>
      <c r="D8820" t="s">
        <v>2360</v>
      </c>
      <c r="E8820" t="s">
        <v>561</v>
      </c>
      <c r="F8820" t="s">
        <v>1068</v>
      </c>
      <c r="G8820" t="s">
        <v>1087</v>
      </c>
      <c r="H8820" s="171" t="s">
        <v>5559</v>
      </c>
      <c r="I8820" t="s">
        <v>1088</v>
      </c>
      <c r="J8820">
        <v>8.08</v>
      </c>
    </row>
    <row r="8821" spans="1:10" hidden="1">
      <c r="A8821" t="s">
        <v>5617</v>
      </c>
      <c r="B8821" t="s">
        <v>5618</v>
      </c>
      <c r="C8821" t="s">
        <v>5111</v>
      </c>
      <c r="D8821" t="s">
        <v>2360</v>
      </c>
      <c r="E8821" t="s">
        <v>561</v>
      </c>
      <c r="F8821" t="s">
        <v>1068</v>
      </c>
      <c r="G8821" t="s">
        <v>1089</v>
      </c>
      <c r="H8821" s="171" t="s">
        <v>5560</v>
      </c>
      <c r="I8821" t="s">
        <v>1090</v>
      </c>
      <c r="J8821">
        <v>8.08</v>
      </c>
    </row>
    <row r="8822" spans="1:10" hidden="1">
      <c r="A8822" t="s">
        <v>5619</v>
      </c>
      <c r="B8822" t="s">
        <v>5620</v>
      </c>
      <c r="C8822" t="s">
        <v>5111</v>
      </c>
      <c r="D8822" t="s">
        <v>2360</v>
      </c>
      <c r="E8822" t="s">
        <v>555</v>
      </c>
      <c r="F8822" t="s">
        <v>1068</v>
      </c>
      <c r="G8822" t="s">
        <v>1069</v>
      </c>
      <c r="H8822">
        <v>3.3723654114585001E-3</v>
      </c>
      <c r="I8822" t="s">
        <v>1070</v>
      </c>
      <c r="J8822">
        <v>7.19</v>
      </c>
    </row>
    <row r="8823" spans="1:10" hidden="1">
      <c r="A8823" t="s">
        <v>5619</v>
      </c>
      <c r="B8823" t="s">
        <v>5620</v>
      </c>
      <c r="C8823" t="s">
        <v>5111</v>
      </c>
      <c r="D8823" t="s">
        <v>2360</v>
      </c>
      <c r="E8823" t="s">
        <v>555</v>
      </c>
      <c r="F8823" t="s">
        <v>1068</v>
      </c>
      <c r="G8823" t="s">
        <v>1071</v>
      </c>
      <c r="H8823" s="170">
        <v>-1.08818290087138E-11</v>
      </c>
      <c r="I8823" t="s">
        <v>1072</v>
      </c>
      <c r="J8823">
        <v>7.19</v>
      </c>
    </row>
    <row r="8824" spans="1:10" hidden="1">
      <c r="A8824" t="s">
        <v>5619</v>
      </c>
      <c r="B8824" t="s">
        <v>5620</v>
      </c>
      <c r="C8824" t="s">
        <v>5111</v>
      </c>
      <c r="D8824" t="s">
        <v>2360</v>
      </c>
      <c r="E8824" t="s">
        <v>555</v>
      </c>
      <c r="F8824" t="s">
        <v>1068</v>
      </c>
      <c r="G8824" t="s">
        <v>1073</v>
      </c>
      <c r="H8824" s="171" t="s">
        <v>5621</v>
      </c>
      <c r="I8824" t="s">
        <v>1074</v>
      </c>
      <c r="J8824">
        <v>7.19</v>
      </c>
    </row>
    <row r="8825" spans="1:10" hidden="1">
      <c r="A8825" t="s">
        <v>5619</v>
      </c>
      <c r="B8825" t="s">
        <v>5620</v>
      </c>
      <c r="C8825" t="s">
        <v>5111</v>
      </c>
      <c r="D8825" t="s">
        <v>2360</v>
      </c>
      <c r="E8825" t="s">
        <v>555</v>
      </c>
      <c r="F8825" t="s">
        <v>1068</v>
      </c>
      <c r="G8825" t="s">
        <v>1075</v>
      </c>
      <c r="H8825">
        <v>1.25602114223824E-3</v>
      </c>
      <c r="I8825" t="s">
        <v>1077</v>
      </c>
      <c r="J8825">
        <v>7.19</v>
      </c>
    </row>
    <row r="8826" spans="1:10" hidden="1">
      <c r="A8826" t="s">
        <v>5619</v>
      </c>
      <c r="B8826" t="s">
        <v>5620</v>
      </c>
      <c r="C8826" t="s">
        <v>5111</v>
      </c>
      <c r="D8826" t="s">
        <v>2360</v>
      </c>
      <c r="E8826" t="s">
        <v>555</v>
      </c>
      <c r="F8826" t="s">
        <v>1068</v>
      </c>
      <c r="G8826" t="s">
        <v>1078</v>
      </c>
      <c r="H8826">
        <v>-0.15958393285442499</v>
      </c>
      <c r="I8826" t="s">
        <v>1079</v>
      </c>
      <c r="J8826">
        <v>7.19</v>
      </c>
    </row>
    <row r="8827" spans="1:10" hidden="1">
      <c r="A8827" t="s">
        <v>5619</v>
      </c>
      <c r="B8827" t="s">
        <v>5620</v>
      </c>
      <c r="C8827" t="s">
        <v>5111</v>
      </c>
      <c r="D8827" t="s">
        <v>2360</v>
      </c>
      <c r="E8827" t="s">
        <v>555</v>
      </c>
      <c r="F8827" t="s">
        <v>1068</v>
      </c>
      <c r="G8827" t="s">
        <v>1080</v>
      </c>
      <c r="H8827" s="171" t="s">
        <v>5564</v>
      </c>
      <c r="I8827" t="s">
        <v>1082</v>
      </c>
      <c r="J8827">
        <v>7.19</v>
      </c>
    </row>
    <row r="8828" spans="1:10" hidden="1">
      <c r="A8828" t="s">
        <v>5619</v>
      </c>
      <c r="B8828" t="s">
        <v>5620</v>
      </c>
      <c r="C8828" t="s">
        <v>5111</v>
      </c>
      <c r="D8828" t="s">
        <v>2360</v>
      </c>
      <c r="E8828" t="s">
        <v>555</v>
      </c>
      <c r="F8828" t="s">
        <v>1068</v>
      </c>
      <c r="G8828" t="s">
        <v>1083</v>
      </c>
      <c r="H8828" s="170">
        <v>-9.6566205824515401E-6</v>
      </c>
      <c r="I8828" t="s">
        <v>1084</v>
      </c>
      <c r="J8828">
        <v>7.19</v>
      </c>
    </row>
    <row r="8829" spans="1:10" hidden="1">
      <c r="A8829" t="s">
        <v>5619</v>
      </c>
      <c r="B8829" t="s">
        <v>5620</v>
      </c>
      <c r="C8829" t="s">
        <v>5111</v>
      </c>
      <c r="D8829" t="s">
        <v>2360</v>
      </c>
      <c r="E8829" t="s">
        <v>555</v>
      </c>
      <c r="F8829" t="s">
        <v>1068</v>
      </c>
      <c r="G8829" t="s">
        <v>1085</v>
      </c>
      <c r="H8829" s="170">
        <v>-3.4877555255100503E-5</v>
      </c>
      <c r="I8829" t="s">
        <v>1086</v>
      </c>
      <c r="J8829">
        <v>7.19</v>
      </c>
    </row>
    <row r="8830" spans="1:10" hidden="1">
      <c r="A8830" t="s">
        <v>5619</v>
      </c>
      <c r="B8830" t="s">
        <v>5620</v>
      </c>
      <c r="C8830" t="s">
        <v>5111</v>
      </c>
      <c r="D8830" t="s">
        <v>2360</v>
      </c>
      <c r="E8830" t="s">
        <v>555</v>
      </c>
      <c r="F8830" t="s">
        <v>1068</v>
      </c>
      <c r="G8830" t="s">
        <v>1087</v>
      </c>
      <c r="H8830" s="171" t="s">
        <v>5565</v>
      </c>
      <c r="I8830" t="s">
        <v>1088</v>
      </c>
      <c r="J8830">
        <v>7.19</v>
      </c>
    </row>
    <row r="8831" spans="1:10" hidden="1">
      <c r="A8831" t="s">
        <v>5619</v>
      </c>
      <c r="B8831" t="s">
        <v>5620</v>
      </c>
      <c r="C8831" t="s">
        <v>5111</v>
      </c>
      <c r="D8831" t="s">
        <v>2360</v>
      </c>
      <c r="E8831" t="s">
        <v>555</v>
      </c>
      <c r="F8831" t="s">
        <v>1068</v>
      </c>
      <c r="G8831" t="s">
        <v>1089</v>
      </c>
      <c r="H8831" s="171" t="s">
        <v>5566</v>
      </c>
      <c r="I8831" t="s">
        <v>1090</v>
      </c>
      <c r="J8831">
        <v>7.19</v>
      </c>
    </row>
    <row r="8832" spans="1:10" hidden="1">
      <c r="A8832" t="s">
        <v>5622</v>
      </c>
      <c r="B8832" t="s">
        <v>5623</v>
      </c>
      <c r="C8832" t="s">
        <v>5111</v>
      </c>
      <c r="D8832" t="s">
        <v>2360</v>
      </c>
      <c r="E8832" t="s">
        <v>558</v>
      </c>
      <c r="F8832" t="s">
        <v>1068</v>
      </c>
      <c r="G8832" t="s">
        <v>1069</v>
      </c>
      <c r="H8832" s="171" t="s">
        <v>5624</v>
      </c>
      <c r="I8832" t="s">
        <v>1070</v>
      </c>
      <c r="J8832">
        <v>8.01</v>
      </c>
    </row>
    <row r="8833" spans="1:10" hidden="1">
      <c r="A8833" t="s">
        <v>5622</v>
      </c>
      <c r="B8833" t="s">
        <v>5623</v>
      </c>
      <c r="C8833" t="s">
        <v>5111</v>
      </c>
      <c r="D8833" t="s">
        <v>2360</v>
      </c>
      <c r="E8833" t="s">
        <v>558</v>
      </c>
      <c r="F8833" t="s">
        <v>1068</v>
      </c>
      <c r="G8833" t="s">
        <v>1071</v>
      </c>
      <c r="H8833" s="171" t="s">
        <v>5625</v>
      </c>
      <c r="I8833" t="s">
        <v>1072</v>
      </c>
      <c r="J8833">
        <v>8.01</v>
      </c>
    </row>
    <row r="8834" spans="1:10" hidden="1">
      <c r="A8834" t="s">
        <v>5622</v>
      </c>
      <c r="B8834" t="s">
        <v>5623</v>
      </c>
      <c r="C8834" t="s">
        <v>5111</v>
      </c>
      <c r="D8834" t="s">
        <v>2360</v>
      </c>
      <c r="E8834" t="s">
        <v>558</v>
      </c>
      <c r="F8834" t="s">
        <v>1068</v>
      </c>
      <c r="G8834" t="s">
        <v>1073</v>
      </c>
      <c r="H8834" s="171" t="s">
        <v>5626</v>
      </c>
      <c r="I8834" t="s">
        <v>1074</v>
      </c>
      <c r="J8834">
        <v>8.01</v>
      </c>
    </row>
    <row r="8835" spans="1:10" hidden="1">
      <c r="A8835" t="s">
        <v>5622</v>
      </c>
      <c r="B8835" t="s">
        <v>5623</v>
      </c>
      <c r="C8835" t="s">
        <v>5111</v>
      </c>
      <c r="D8835" t="s">
        <v>2360</v>
      </c>
      <c r="E8835" t="s">
        <v>558</v>
      </c>
      <c r="F8835" t="s">
        <v>1068</v>
      </c>
      <c r="G8835" t="s">
        <v>1075</v>
      </c>
      <c r="H8835">
        <v>1.6353021660627299E-3</v>
      </c>
      <c r="I8835" t="s">
        <v>1077</v>
      </c>
      <c r="J8835">
        <v>8.01</v>
      </c>
    </row>
    <row r="8836" spans="1:10" hidden="1">
      <c r="A8836" t="s">
        <v>5622</v>
      </c>
      <c r="B8836" t="s">
        <v>5623</v>
      </c>
      <c r="C8836" t="s">
        <v>5111</v>
      </c>
      <c r="D8836" t="s">
        <v>2360</v>
      </c>
      <c r="E8836" t="s">
        <v>558</v>
      </c>
      <c r="F8836" t="s">
        <v>1068</v>
      </c>
      <c r="G8836" t="s">
        <v>1078</v>
      </c>
      <c r="H8836">
        <v>-0.156142093599174</v>
      </c>
      <c r="I8836" t="s">
        <v>1079</v>
      </c>
      <c r="J8836">
        <v>8.01</v>
      </c>
    </row>
    <row r="8837" spans="1:10" hidden="1">
      <c r="A8837" t="s">
        <v>5622</v>
      </c>
      <c r="B8837" t="s">
        <v>5623</v>
      </c>
      <c r="C8837" t="s">
        <v>5111</v>
      </c>
      <c r="D8837" t="s">
        <v>2360</v>
      </c>
      <c r="E8837" t="s">
        <v>558</v>
      </c>
      <c r="F8837" t="s">
        <v>1068</v>
      </c>
      <c r="G8837" t="s">
        <v>1080</v>
      </c>
      <c r="H8837" s="171" t="s">
        <v>5572</v>
      </c>
      <c r="I8837" t="s">
        <v>1082</v>
      </c>
      <c r="J8837">
        <v>8.01</v>
      </c>
    </row>
    <row r="8838" spans="1:10" hidden="1">
      <c r="A8838" t="s">
        <v>5622</v>
      </c>
      <c r="B8838" t="s">
        <v>5623</v>
      </c>
      <c r="C8838" t="s">
        <v>5111</v>
      </c>
      <c r="D8838" t="s">
        <v>2360</v>
      </c>
      <c r="E8838" t="s">
        <v>558</v>
      </c>
      <c r="F8838" t="s">
        <v>1068</v>
      </c>
      <c r="G8838" t="s">
        <v>1083</v>
      </c>
      <c r="H8838" s="170">
        <v>-7.66549168610087E-6</v>
      </c>
      <c r="I8838" t="s">
        <v>1084</v>
      </c>
      <c r="J8838">
        <v>8.01</v>
      </c>
    </row>
    <row r="8839" spans="1:10" hidden="1">
      <c r="A8839" t="s">
        <v>5622</v>
      </c>
      <c r="B8839" t="s">
        <v>5623</v>
      </c>
      <c r="C8839" t="s">
        <v>5111</v>
      </c>
      <c r="D8839" t="s">
        <v>2360</v>
      </c>
      <c r="E8839" t="s">
        <v>558</v>
      </c>
      <c r="F8839" t="s">
        <v>1068</v>
      </c>
      <c r="G8839" t="s">
        <v>1085</v>
      </c>
      <c r="H8839" s="170">
        <v>-1.25571179017161E-5</v>
      </c>
      <c r="I8839" t="s">
        <v>1086</v>
      </c>
      <c r="J8839">
        <v>8.01</v>
      </c>
    </row>
    <row r="8840" spans="1:10" hidden="1">
      <c r="A8840" t="s">
        <v>5622</v>
      </c>
      <c r="B8840" t="s">
        <v>5623</v>
      </c>
      <c r="C8840" t="s">
        <v>5111</v>
      </c>
      <c r="D8840" t="s">
        <v>2360</v>
      </c>
      <c r="E8840" t="s">
        <v>558</v>
      </c>
      <c r="F8840" t="s">
        <v>1068</v>
      </c>
      <c r="G8840" t="s">
        <v>1087</v>
      </c>
      <c r="H8840" s="171" t="s">
        <v>5627</v>
      </c>
      <c r="I8840" t="s">
        <v>1088</v>
      </c>
      <c r="J8840">
        <v>8.01</v>
      </c>
    </row>
    <row r="8841" spans="1:10" hidden="1">
      <c r="A8841" t="s">
        <v>5622</v>
      </c>
      <c r="B8841" t="s">
        <v>5623</v>
      </c>
      <c r="C8841" t="s">
        <v>5111</v>
      </c>
      <c r="D8841" t="s">
        <v>2360</v>
      </c>
      <c r="E8841" t="s">
        <v>558</v>
      </c>
      <c r="F8841" t="s">
        <v>1068</v>
      </c>
      <c r="G8841" t="s">
        <v>1089</v>
      </c>
      <c r="H8841" s="171" t="s">
        <v>5628</v>
      </c>
      <c r="I8841" t="s">
        <v>1090</v>
      </c>
      <c r="J8841">
        <v>8.01</v>
      </c>
    </row>
    <row r="8842" spans="1:10" hidden="1">
      <c r="A8842" t="s">
        <v>5629</v>
      </c>
      <c r="B8842" t="s">
        <v>5630</v>
      </c>
      <c r="C8842" t="s">
        <v>5111</v>
      </c>
      <c r="D8842" t="s">
        <v>2360</v>
      </c>
      <c r="E8842" t="s">
        <v>553</v>
      </c>
      <c r="F8842" t="s">
        <v>1068</v>
      </c>
      <c r="G8842" t="s">
        <v>1069</v>
      </c>
      <c r="H8842" s="171" t="s">
        <v>5631</v>
      </c>
      <c r="I8842" t="s">
        <v>1070</v>
      </c>
      <c r="J8842">
        <v>8.57</v>
      </c>
    </row>
    <row r="8843" spans="1:10" hidden="1">
      <c r="A8843" t="s">
        <v>5629</v>
      </c>
      <c r="B8843" t="s">
        <v>5630</v>
      </c>
      <c r="C8843" t="s">
        <v>5111</v>
      </c>
      <c r="D8843" t="s">
        <v>2360</v>
      </c>
      <c r="E8843" t="s">
        <v>553</v>
      </c>
      <c r="F8843" t="s">
        <v>1068</v>
      </c>
      <c r="G8843" t="s">
        <v>1071</v>
      </c>
      <c r="H8843" s="171" t="s">
        <v>5632</v>
      </c>
      <c r="I8843" t="s">
        <v>1072</v>
      </c>
      <c r="J8843">
        <v>8.57</v>
      </c>
    </row>
    <row r="8844" spans="1:10" hidden="1">
      <c r="A8844" t="s">
        <v>5629</v>
      </c>
      <c r="B8844" t="s">
        <v>5630</v>
      </c>
      <c r="C8844" t="s">
        <v>5111</v>
      </c>
      <c r="D8844" t="s">
        <v>2360</v>
      </c>
      <c r="E8844" t="s">
        <v>553</v>
      </c>
      <c r="F8844" t="s">
        <v>1068</v>
      </c>
      <c r="G8844" t="s">
        <v>1073</v>
      </c>
      <c r="H8844" s="171" t="s">
        <v>5633</v>
      </c>
      <c r="I8844" t="s">
        <v>1074</v>
      </c>
      <c r="J8844">
        <v>8.57</v>
      </c>
    </row>
    <row r="8845" spans="1:10" hidden="1">
      <c r="A8845" t="s">
        <v>5629</v>
      </c>
      <c r="B8845" t="s">
        <v>5630</v>
      </c>
      <c r="C8845" t="s">
        <v>5111</v>
      </c>
      <c r="D8845" t="s">
        <v>2360</v>
      </c>
      <c r="E8845" t="s">
        <v>553</v>
      </c>
      <c r="F8845" t="s">
        <v>1068</v>
      </c>
      <c r="G8845" t="s">
        <v>1075</v>
      </c>
      <c r="H8845">
        <v>1.69419880279656E-3</v>
      </c>
      <c r="I8845" t="s">
        <v>1077</v>
      </c>
      <c r="J8845">
        <v>8.57</v>
      </c>
    </row>
    <row r="8846" spans="1:10" hidden="1">
      <c r="A8846" t="s">
        <v>5629</v>
      </c>
      <c r="B8846" t="s">
        <v>5630</v>
      </c>
      <c r="C8846" t="s">
        <v>5111</v>
      </c>
      <c r="D8846" t="s">
        <v>2360</v>
      </c>
      <c r="E8846" t="s">
        <v>553</v>
      </c>
      <c r="F8846" t="s">
        <v>1068</v>
      </c>
      <c r="G8846" t="s">
        <v>1078</v>
      </c>
      <c r="H8846">
        <v>-0.140635440587978</v>
      </c>
      <c r="I8846" t="s">
        <v>1079</v>
      </c>
      <c r="J8846">
        <v>8.57</v>
      </c>
    </row>
    <row r="8847" spans="1:10" hidden="1">
      <c r="A8847" t="s">
        <v>5629</v>
      </c>
      <c r="B8847" t="s">
        <v>5630</v>
      </c>
      <c r="C8847" t="s">
        <v>5111</v>
      </c>
      <c r="D8847" t="s">
        <v>2360</v>
      </c>
      <c r="E8847" t="s">
        <v>553</v>
      </c>
      <c r="F8847" t="s">
        <v>1068</v>
      </c>
      <c r="G8847" t="s">
        <v>1080</v>
      </c>
      <c r="H8847" s="171" t="s">
        <v>5579</v>
      </c>
      <c r="I8847" t="s">
        <v>1082</v>
      </c>
      <c r="J8847">
        <v>8.57</v>
      </c>
    </row>
    <row r="8848" spans="1:10" hidden="1">
      <c r="A8848" t="s">
        <v>5629</v>
      </c>
      <c r="B8848" t="s">
        <v>5630</v>
      </c>
      <c r="C8848" t="s">
        <v>5111</v>
      </c>
      <c r="D8848" t="s">
        <v>2360</v>
      </c>
      <c r="E8848" t="s">
        <v>553</v>
      </c>
      <c r="F8848" t="s">
        <v>1068</v>
      </c>
      <c r="G8848" t="s">
        <v>1083</v>
      </c>
      <c r="H8848" s="170">
        <v>-7.5496595794453902E-6</v>
      </c>
      <c r="I8848" t="s">
        <v>1084</v>
      </c>
      <c r="J8848">
        <v>8.57</v>
      </c>
    </row>
    <row r="8849" spans="1:10" hidden="1">
      <c r="A8849" t="s">
        <v>5629</v>
      </c>
      <c r="B8849" t="s">
        <v>5630</v>
      </c>
      <c r="C8849" t="s">
        <v>5111</v>
      </c>
      <c r="D8849" t="s">
        <v>2360</v>
      </c>
      <c r="E8849" t="s">
        <v>553</v>
      </c>
      <c r="F8849" t="s">
        <v>1068</v>
      </c>
      <c r="G8849" t="s">
        <v>1085</v>
      </c>
      <c r="H8849" s="170">
        <v>-1.10646196896407E-5</v>
      </c>
      <c r="I8849" t="s">
        <v>1086</v>
      </c>
      <c r="J8849">
        <v>8.57</v>
      </c>
    </row>
    <row r="8850" spans="1:10" hidden="1">
      <c r="A8850" t="s">
        <v>5629</v>
      </c>
      <c r="B8850" t="s">
        <v>5630</v>
      </c>
      <c r="C8850" t="s">
        <v>5111</v>
      </c>
      <c r="D8850" t="s">
        <v>2360</v>
      </c>
      <c r="E8850" t="s">
        <v>553</v>
      </c>
      <c r="F8850" t="s">
        <v>1068</v>
      </c>
      <c r="G8850" t="s">
        <v>1087</v>
      </c>
      <c r="H8850" s="171" t="s">
        <v>5634</v>
      </c>
      <c r="I8850" t="s">
        <v>1088</v>
      </c>
      <c r="J8850">
        <v>8.57</v>
      </c>
    </row>
    <row r="8851" spans="1:10" hidden="1">
      <c r="A8851" t="s">
        <v>5629</v>
      </c>
      <c r="B8851" t="s">
        <v>5630</v>
      </c>
      <c r="C8851" t="s">
        <v>5111</v>
      </c>
      <c r="D8851" t="s">
        <v>2360</v>
      </c>
      <c r="E8851" t="s">
        <v>553</v>
      </c>
      <c r="F8851" t="s">
        <v>1068</v>
      </c>
      <c r="G8851" t="s">
        <v>1089</v>
      </c>
      <c r="H8851" s="171" t="s">
        <v>5635</v>
      </c>
      <c r="I8851" t="s">
        <v>1090</v>
      </c>
      <c r="J8851">
        <v>8.57</v>
      </c>
    </row>
    <row r="8852" spans="1:10" hidden="1">
      <c r="A8852" t="s">
        <v>5636</v>
      </c>
      <c r="B8852" t="s">
        <v>5637</v>
      </c>
      <c r="C8852" t="s">
        <v>5111</v>
      </c>
      <c r="D8852" t="s">
        <v>2360</v>
      </c>
      <c r="E8852" t="s">
        <v>556</v>
      </c>
      <c r="F8852" t="s">
        <v>1068</v>
      </c>
      <c r="G8852" t="s">
        <v>1069</v>
      </c>
      <c r="H8852" s="171" t="s">
        <v>5638</v>
      </c>
      <c r="I8852" t="s">
        <v>1070</v>
      </c>
      <c r="J8852">
        <v>7.63</v>
      </c>
    </row>
    <row r="8853" spans="1:10" hidden="1">
      <c r="A8853" t="s">
        <v>5636</v>
      </c>
      <c r="B8853" t="s">
        <v>5637</v>
      </c>
      <c r="C8853" t="s">
        <v>5111</v>
      </c>
      <c r="D8853" t="s">
        <v>2360</v>
      </c>
      <c r="E8853" t="s">
        <v>556</v>
      </c>
      <c r="F8853" t="s">
        <v>1068</v>
      </c>
      <c r="G8853" t="s">
        <v>1071</v>
      </c>
      <c r="H8853" s="171" t="s">
        <v>5585</v>
      </c>
      <c r="I8853" t="s">
        <v>1072</v>
      </c>
      <c r="J8853">
        <v>7.63</v>
      </c>
    </row>
    <row r="8854" spans="1:10" hidden="1">
      <c r="A8854" t="s">
        <v>5636</v>
      </c>
      <c r="B8854" t="s">
        <v>5637</v>
      </c>
      <c r="C8854" t="s">
        <v>5111</v>
      </c>
      <c r="D8854" t="s">
        <v>2360</v>
      </c>
      <c r="E8854" t="s">
        <v>556</v>
      </c>
      <c r="F8854" t="s">
        <v>1068</v>
      </c>
      <c r="G8854" t="s">
        <v>1073</v>
      </c>
      <c r="H8854" s="171" t="s">
        <v>5586</v>
      </c>
      <c r="I8854" t="s">
        <v>1074</v>
      </c>
      <c r="J8854">
        <v>7.63</v>
      </c>
    </row>
    <row r="8855" spans="1:10" hidden="1">
      <c r="A8855" t="s">
        <v>5636</v>
      </c>
      <c r="B8855" t="s">
        <v>5637</v>
      </c>
      <c r="C8855" t="s">
        <v>5111</v>
      </c>
      <c r="D8855" t="s">
        <v>2360</v>
      </c>
      <c r="E8855" t="s">
        <v>556</v>
      </c>
      <c r="F8855" t="s">
        <v>1068</v>
      </c>
      <c r="G8855" t="s">
        <v>1075</v>
      </c>
      <c r="H8855">
        <v>1.72439220284099E-3</v>
      </c>
      <c r="I8855" t="s">
        <v>1077</v>
      </c>
      <c r="J8855">
        <v>7.63</v>
      </c>
    </row>
    <row r="8856" spans="1:10" hidden="1">
      <c r="A8856" t="s">
        <v>5636</v>
      </c>
      <c r="B8856" t="s">
        <v>5637</v>
      </c>
      <c r="C8856" t="s">
        <v>5111</v>
      </c>
      <c r="D8856" t="s">
        <v>2360</v>
      </c>
      <c r="E8856" t="s">
        <v>556</v>
      </c>
      <c r="F8856" t="s">
        <v>1068</v>
      </c>
      <c r="G8856" t="s">
        <v>1078</v>
      </c>
      <c r="H8856">
        <v>-9.2019421003423696E-2</v>
      </c>
      <c r="I8856" t="s">
        <v>1079</v>
      </c>
      <c r="J8856">
        <v>7.63</v>
      </c>
    </row>
    <row r="8857" spans="1:10" hidden="1">
      <c r="A8857" t="s">
        <v>5636</v>
      </c>
      <c r="B8857" t="s">
        <v>5637</v>
      </c>
      <c r="C8857" t="s">
        <v>5111</v>
      </c>
      <c r="D8857" t="s">
        <v>2360</v>
      </c>
      <c r="E8857" t="s">
        <v>556</v>
      </c>
      <c r="F8857" t="s">
        <v>1068</v>
      </c>
      <c r="G8857" t="s">
        <v>1080</v>
      </c>
      <c r="H8857" s="171" t="s">
        <v>5639</v>
      </c>
      <c r="I8857" t="s">
        <v>1082</v>
      </c>
      <c r="J8857">
        <v>7.63</v>
      </c>
    </row>
    <row r="8858" spans="1:10" hidden="1">
      <c r="A8858" t="s">
        <v>5636</v>
      </c>
      <c r="B8858" t="s">
        <v>5637</v>
      </c>
      <c r="C8858" t="s">
        <v>5111</v>
      </c>
      <c r="D8858" t="s">
        <v>2360</v>
      </c>
      <c r="E8858" t="s">
        <v>556</v>
      </c>
      <c r="F8858" t="s">
        <v>1068</v>
      </c>
      <c r="G8858" t="s">
        <v>1083</v>
      </c>
      <c r="H8858" s="170">
        <v>-8.0128091261989494E-6</v>
      </c>
      <c r="I8858" t="s">
        <v>1084</v>
      </c>
      <c r="J8858">
        <v>7.63</v>
      </c>
    </row>
    <row r="8859" spans="1:10" hidden="1">
      <c r="A8859" t="s">
        <v>5636</v>
      </c>
      <c r="B8859" t="s">
        <v>5637</v>
      </c>
      <c r="C8859" t="s">
        <v>5111</v>
      </c>
      <c r="D8859" t="s">
        <v>2360</v>
      </c>
      <c r="E8859" t="s">
        <v>556</v>
      </c>
      <c r="F8859" t="s">
        <v>1068</v>
      </c>
      <c r="G8859" t="s">
        <v>1085</v>
      </c>
      <c r="H8859" s="170">
        <v>-1.56336929135874E-5</v>
      </c>
      <c r="I8859" t="s">
        <v>1086</v>
      </c>
      <c r="J8859">
        <v>7.63</v>
      </c>
    </row>
    <row r="8860" spans="1:10" hidden="1">
      <c r="A8860" t="s">
        <v>5636</v>
      </c>
      <c r="B8860" t="s">
        <v>5637</v>
      </c>
      <c r="C8860" t="s">
        <v>5111</v>
      </c>
      <c r="D8860" t="s">
        <v>2360</v>
      </c>
      <c r="E8860" t="s">
        <v>556</v>
      </c>
      <c r="F8860" t="s">
        <v>1068</v>
      </c>
      <c r="G8860" t="s">
        <v>1087</v>
      </c>
      <c r="H8860" s="171" t="s">
        <v>5640</v>
      </c>
      <c r="I8860" t="s">
        <v>1088</v>
      </c>
      <c r="J8860">
        <v>7.63</v>
      </c>
    </row>
    <row r="8861" spans="1:10" hidden="1">
      <c r="A8861" t="s">
        <v>5636</v>
      </c>
      <c r="B8861" t="s">
        <v>5637</v>
      </c>
      <c r="C8861" t="s">
        <v>5111</v>
      </c>
      <c r="D8861" t="s">
        <v>2360</v>
      </c>
      <c r="E8861" t="s">
        <v>556</v>
      </c>
      <c r="F8861" t="s">
        <v>1068</v>
      </c>
      <c r="G8861" t="s">
        <v>1089</v>
      </c>
      <c r="H8861" s="171" t="s">
        <v>5589</v>
      </c>
      <c r="I8861" t="s">
        <v>1090</v>
      </c>
      <c r="J8861">
        <v>7.63</v>
      </c>
    </row>
    <row r="8862" spans="1:10" hidden="1">
      <c r="A8862" t="s">
        <v>5641</v>
      </c>
      <c r="B8862" t="s">
        <v>5642</v>
      </c>
      <c r="C8862" t="s">
        <v>5111</v>
      </c>
      <c r="D8862" t="s">
        <v>2360</v>
      </c>
      <c r="E8862" t="s">
        <v>557</v>
      </c>
      <c r="F8862" t="s">
        <v>1068</v>
      </c>
      <c r="G8862" t="s">
        <v>1069</v>
      </c>
      <c r="H8862" s="171" t="s">
        <v>5592</v>
      </c>
      <c r="I8862" t="s">
        <v>1070</v>
      </c>
      <c r="J8862">
        <v>9.3000000000000007</v>
      </c>
    </row>
    <row r="8863" spans="1:10" hidden="1">
      <c r="A8863" t="s">
        <v>5641</v>
      </c>
      <c r="B8863" t="s">
        <v>5642</v>
      </c>
      <c r="C8863" t="s">
        <v>5111</v>
      </c>
      <c r="D8863" t="s">
        <v>2360</v>
      </c>
      <c r="E8863" t="s">
        <v>557</v>
      </c>
      <c r="F8863" t="s">
        <v>1068</v>
      </c>
      <c r="G8863" t="s">
        <v>1071</v>
      </c>
      <c r="H8863" s="171" t="s">
        <v>5593</v>
      </c>
      <c r="I8863" t="s">
        <v>1072</v>
      </c>
      <c r="J8863">
        <v>9.3000000000000007</v>
      </c>
    </row>
    <row r="8864" spans="1:10" hidden="1">
      <c r="A8864" t="s">
        <v>5641</v>
      </c>
      <c r="B8864" t="s">
        <v>5642</v>
      </c>
      <c r="C8864" t="s">
        <v>5111</v>
      </c>
      <c r="D8864" t="s">
        <v>2360</v>
      </c>
      <c r="E8864" t="s">
        <v>557</v>
      </c>
      <c r="F8864" t="s">
        <v>1068</v>
      </c>
      <c r="G8864" t="s">
        <v>1073</v>
      </c>
      <c r="H8864" s="171" t="s">
        <v>5594</v>
      </c>
      <c r="I8864" t="s">
        <v>1074</v>
      </c>
      <c r="J8864">
        <v>9.3000000000000007</v>
      </c>
    </row>
    <row r="8865" spans="1:10" hidden="1">
      <c r="A8865" t="s">
        <v>5641</v>
      </c>
      <c r="B8865" t="s">
        <v>5642</v>
      </c>
      <c r="C8865" t="s">
        <v>5111</v>
      </c>
      <c r="D8865" t="s">
        <v>2360</v>
      </c>
      <c r="E8865" t="s">
        <v>557</v>
      </c>
      <c r="F8865" t="s">
        <v>1068</v>
      </c>
      <c r="G8865" t="s">
        <v>1075</v>
      </c>
      <c r="H8865">
        <v>1.4993091171282601E-3</v>
      </c>
      <c r="I8865" t="s">
        <v>1077</v>
      </c>
      <c r="J8865">
        <v>9.3000000000000007</v>
      </c>
    </row>
    <row r="8866" spans="1:10" hidden="1">
      <c r="A8866" t="s">
        <v>5641</v>
      </c>
      <c r="B8866" t="s">
        <v>5642</v>
      </c>
      <c r="C8866" t="s">
        <v>5111</v>
      </c>
      <c r="D8866" t="s">
        <v>2360</v>
      </c>
      <c r="E8866" t="s">
        <v>557</v>
      </c>
      <c r="F8866" t="s">
        <v>1068</v>
      </c>
      <c r="G8866" t="s">
        <v>1078</v>
      </c>
      <c r="H8866">
        <v>-0.162022957613879</v>
      </c>
      <c r="I8866" t="s">
        <v>1079</v>
      </c>
      <c r="J8866">
        <v>9.3000000000000007</v>
      </c>
    </row>
    <row r="8867" spans="1:10" hidden="1">
      <c r="A8867" t="s">
        <v>5641</v>
      </c>
      <c r="B8867" t="s">
        <v>5642</v>
      </c>
      <c r="C8867" t="s">
        <v>5111</v>
      </c>
      <c r="D8867" t="s">
        <v>2360</v>
      </c>
      <c r="E8867" t="s">
        <v>557</v>
      </c>
      <c r="F8867" t="s">
        <v>1068</v>
      </c>
      <c r="G8867" t="s">
        <v>1080</v>
      </c>
      <c r="H8867" s="171" t="s">
        <v>5595</v>
      </c>
      <c r="I8867" t="s">
        <v>1082</v>
      </c>
      <c r="J8867">
        <v>9.3000000000000007</v>
      </c>
    </row>
    <row r="8868" spans="1:10" hidden="1">
      <c r="A8868" t="s">
        <v>5641</v>
      </c>
      <c r="B8868" t="s">
        <v>5642</v>
      </c>
      <c r="C8868" t="s">
        <v>5111</v>
      </c>
      <c r="D8868" t="s">
        <v>2360</v>
      </c>
      <c r="E8868" t="s">
        <v>557</v>
      </c>
      <c r="F8868" t="s">
        <v>1068</v>
      </c>
      <c r="G8868" t="s">
        <v>1083</v>
      </c>
      <c r="H8868" s="170">
        <v>-8.3194092099192893E-6</v>
      </c>
      <c r="I8868" t="s">
        <v>1084</v>
      </c>
      <c r="J8868">
        <v>9.3000000000000007</v>
      </c>
    </row>
    <row r="8869" spans="1:10" hidden="1">
      <c r="A8869" t="s">
        <v>5641</v>
      </c>
      <c r="B8869" t="s">
        <v>5642</v>
      </c>
      <c r="C8869" t="s">
        <v>5111</v>
      </c>
      <c r="D8869" t="s">
        <v>2360</v>
      </c>
      <c r="E8869" t="s">
        <v>557</v>
      </c>
      <c r="F8869" t="s">
        <v>1068</v>
      </c>
      <c r="G8869" t="s">
        <v>1085</v>
      </c>
      <c r="H8869" s="170">
        <v>-1.9947713094316002E-5</v>
      </c>
      <c r="I8869" t="s">
        <v>1086</v>
      </c>
      <c r="J8869">
        <v>9.3000000000000007</v>
      </c>
    </row>
    <row r="8870" spans="1:10" hidden="1">
      <c r="A8870" t="s">
        <v>5641</v>
      </c>
      <c r="B8870" t="s">
        <v>5642</v>
      </c>
      <c r="C8870" t="s">
        <v>5111</v>
      </c>
      <c r="D8870" t="s">
        <v>2360</v>
      </c>
      <c r="E8870" t="s">
        <v>557</v>
      </c>
      <c r="F8870" t="s">
        <v>1068</v>
      </c>
      <c r="G8870" t="s">
        <v>1087</v>
      </c>
      <c r="H8870" s="171" t="s">
        <v>5596</v>
      </c>
      <c r="I8870" t="s">
        <v>1088</v>
      </c>
      <c r="J8870">
        <v>9.3000000000000007</v>
      </c>
    </row>
    <row r="8871" spans="1:10" hidden="1">
      <c r="A8871" t="s">
        <v>5641</v>
      </c>
      <c r="B8871" t="s">
        <v>5642</v>
      </c>
      <c r="C8871" t="s">
        <v>5111</v>
      </c>
      <c r="D8871" t="s">
        <v>2360</v>
      </c>
      <c r="E8871" t="s">
        <v>557</v>
      </c>
      <c r="F8871" t="s">
        <v>1068</v>
      </c>
      <c r="G8871" t="s">
        <v>1089</v>
      </c>
      <c r="H8871" s="171" t="s">
        <v>5643</v>
      </c>
      <c r="I8871" t="s">
        <v>1090</v>
      </c>
      <c r="J8871">
        <v>9.3000000000000007</v>
      </c>
    </row>
    <row r="8872" spans="1:10" hidden="1">
      <c r="A8872" t="s">
        <v>5644</v>
      </c>
      <c r="B8872" t="s">
        <v>5645</v>
      </c>
      <c r="C8872" t="s">
        <v>5111</v>
      </c>
      <c r="D8872" t="s">
        <v>2360</v>
      </c>
      <c r="E8872" t="s">
        <v>559</v>
      </c>
      <c r="F8872" t="s">
        <v>1068</v>
      </c>
      <c r="G8872" t="s">
        <v>1069</v>
      </c>
      <c r="H8872">
        <v>8.4082008820427299E-3</v>
      </c>
      <c r="I8872" t="s">
        <v>1070</v>
      </c>
      <c r="J8872">
        <v>8.32</v>
      </c>
    </row>
    <row r="8873" spans="1:10" hidden="1">
      <c r="A8873" t="s">
        <v>5644</v>
      </c>
      <c r="B8873" t="s">
        <v>5645</v>
      </c>
      <c r="C8873" t="s">
        <v>5111</v>
      </c>
      <c r="D8873" t="s">
        <v>2360</v>
      </c>
      <c r="E8873" t="s">
        <v>559</v>
      </c>
      <c r="F8873" t="s">
        <v>1068</v>
      </c>
      <c r="G8873" t="s">
        <v>1071</v>
      </c>
      <c r="H8873" s="170">
        <v>-3.6754911581903696E-12</v>
      </c>
      <c r="I8873" t="s">
        <v>1072</v>
      </c>
      <c r="J8873">
        <v>8.32</v>
      </c>
    </row>
    <row r="8874" spans="1:10" hidden="1">
      <c r="A8874" t="s">
        <v>5644</v>
      </c>
      <c r="B8874" t="s">
        <v>5645</v>
      </c>
      <c r="C8874" t="s">
        <v>5111</v>
      </c>
      <c r="D8874" t="s">
        <v>2360</v>
      </c>
      <c r="E8874" t="s">
        <v>559</v>
      </c>
      <c r="F8874" t="s">
        <v>1068</v>
      </c>
      <c r="G8874" t="s">
        <v>1073</v>
      </c>
      <c r="H8874" s="171" t="s">
        <v>5600</v>
      </c>
      <c r="I8874" t="s">
        <v>1074</v>
      </c>
      <c r="J8874">
        <v>8.32</v>
      </c>
    </row>
    <row r="8875" spans="1:10" hidden="1">
      <c r="A8875" t="s">
        <v>5644</v>
      </c>
      <c r="B8875" t="s">
        <v>5645</v>
      </c>
      <c r="C8875" t="s">
        <v>5111</v>
      </c>
      <c r="D8875" t="s">
        <v>2360</v>
      </c>
      <c r="E8875" t="s">
        <v>559</v>
      </c>
      <c r="F8875" t="s">
        <v>1068</v>
      </c>
      <c r="G8875" t="s">
        <v>1075</v>
      </c>
      <c r="H8875">
        <v>1.4152092810928701E-3</v>
      </c>
      <c r="I8875" t="s">
        <v>1077</v>
      </c>
      <c r="J8875">
        <v>8.32</v>
      </c>
    </row>
    <row r="8876" spans="1:10" hidden="1">
      <c r="A8876" t="s">
        <v>5644</v>
      </c>
      <c r="B8876" t="s">
        <v>5645</v>
      </c>
      <c r="C8876" t="s">
        <v>5111</v>
      </c>
      <c r="D8876" t="s">
        <v>2360</v>
      </c>
      <c r="E8876" t="s">
        <v>559</v>
      </c>
      <c r="F8876" t="s">
        <v>1068</v>
      </c>
      <c r="G8876" t="s">
        <v>1078</v>
      </c>
      <c r="H8876">
        <v>-0.15270002367897401</v>
      </c>
      <c r="I8876" t="s">
        <v>1079</v>
      </c>
      <c r="J8876">
        <v>8.32</v>
      </c>
    </row>
    <row r="8877" spans="1:10" hidden="1">
      <c r="A8877" t="s">
        <v>5644</v>
      </c>
      <c r="B8877" t="s">
        <v>5645</v>
      </c>
      <c r="C8877" t="s">
        <v>5111</v>
      </c>
      <c r="D8877" t="s">
        <v>2360</v>
      </c>
      <c r="E8877" t="s">
        <v>559</v>
      </c>
      <c r="F8877" t="s">
        <v>1068</v>
      </c>
      <c r="G8877" t="s">
        <v>1080</v>
      </c>
      <c r="H8877" s="171" t="s">
        <v>5601</v>
      </c>
      <c r="I8877" t="s">
        <v>1082</v>
      </c>
      <c r="J8877">
        <v>8.32</v>
      </c>
    </row>
    <row r="8878" spans="1:10" hidden="1">
      <c r="A8878" t="s">
        <v>5644</v>
      </c>
      <c r="B8878" t="s">
        <v>5645</v>
      </c>
      <c r="C8878" t="s">
        <v>5111</v>
      </c>
      <c r="D8878" t="s">
        <v>2360</v>
      </c>
      <c r="E8878" t="s">
        <v>559</v>
      </c>
      <c r="F8878" t="s">
        <v>1068</v>
      </c>
      <c r="G8878" t="s">
        <v>1083</v>
      </c>
      <c r="H8878" s="170">
        <v>-8.89117033042305E-6</v>
      </c>
      <c r="I8878" t="s">
        <v>1084</v>
      </c>
      <c r="J8878">
        <v>8.32</v>
      </c>
    </row>
    <row r="8879" spans="1:10" hidden="1">
      <c r="A8879" t="s">
        <v>5644</v>
      </c>
      <c r="B8879" t="s">
        <v>5645</v>
      </c>
      <c r="C8879" t="s">
        <v>5111</v>
      </c>
      <c r="D8879" t="s">
        <v>2360</v>
      </c>
      <c r="E8879" t="s">
        <v>559</v>
      </c>
      <c r="F8879" t="s">
        <v>1068</v>
      </c>
      <c r="G8879" t="s">
        <v>1085</v>
      </c>
      <c r="H8879" s="170">
        <v>-2.6226413869892898E-5</v>
      </c>
      <c r="I8879" t="s">
        <v>1086</v>
      </c>
      <c r="J8879">
        <v>8.32</v>
      </c>
    </row>
    <row r="8880" spans="1:10" hidden="1">
      <c r="A8880" t="s">
        <v>5644</v>
      </c>
      <c r="B8880" t="s">
        <v>5645</v>
      </c>
      <c r="C8880" t="s">
        <v>5111</v>
      </c>
      <c r="D8880" t="s">
        <v>2360</v>
      </c>
      <c r="E8880" t="s">
        <v>559</v>
      </c>
      <c r="F8880" t="s">
        <v>1068</v>
      </c>
      <c r="G8880" t="s">
        <v>1087</v>
      </c>
      <c r="H8880" s="171" t="s">
        <v>5646</v>
      </c>
      <c r="I8880" t="s">
        <v>1088</v>
      </c>
      <c r="J8880">
        <v>8.32</v>
      </c>
    </row>
    <row r="8881" spans="1:10" hidden="1">
      <c r="A8881" t="s">
        <v>5644</v>
      </c>
      <c r="B8881" t="s">
        <v>5645</v>
      </c>
      <c r="C8881" t="s">
        <v>5111</v>
      </c>
      <c r="D8881" t="s">
        <v>2360</v>
      </c>
      <c r="E8881" t="s">
        <v>559</v>
      </c>
      <c r="F8881" t="s">
        <v>1068</v>
      </c>
      <c r="G8881" t="s">
        <v>1089</v>
      </c>
      <c r="H8881" s="171" t="s">
        <v>5647</v>
      </c>
      <c r="I8881" t="s">
        <v>1090</v>
      </c>
      <c r="J8881">
        <v>8.32</v>
      </c>
    </row>
    <row r="8882" spans="1:10" hidden="1">
      <c r="A8882" t="s">
        <v>5648</v>
      </c>
      <c r="B8882" t="s">
        <v>5649</v>
      </c>
      <c r="C8882" t="s">
        <v>5111</v>
      </c>
      <c r="D8882" t="s">
        <v>2360</v>
      </c>
      <c r="E8882" t="s">
        <v>560</v>
      </c>
      <c r="F8882" t="s">
        <v>1068</v>
      </c>
      <c r="G8882" t="s">
        <v>1069</v>
      </c>
      <c r="H8882">
        <v>9.8521536949570301E-3</v>
      </c>
      <c r="I8882" t="s">
        <v>1070</v>
      </c>
      <c r="J8882">
        <v>8.3800000000000008</v>
      </c>
    </row>
    <row r="8883" spans="1:10" hidden="1">
      <c r="A8883" t="s">
        <v>5648</v>
      </c>
      <c r="B8883" t="s">
        <v>5649</v>
      </c>
      <c r="C8883" t="s">
        <v>5111</v>
      </c>
      <c r="D8883" t="s">
        <v>2360</v>
      </c>
      <c r="E8883" t="s">
        <v>560</v>
      </c>
      <c r="F8883" t="s">
        <v>1068</v>
      </c>
      <c r="G8883" t="s">
        <v>1071</v>
      </c>
      <c r="H8883" s="170">
        <v>-1.66143686150922E-12</v>
      </c>
      <c r="I8883" t="s">
        <v>1072</v>
      </c>
      <c r="J8883">
        <v>8.3800000000000008</v>
      </c>
    </row>
    <row r="8884" spans="1:10" hidden="1">
      <c r="A8884" t="s">
        <v>5648</v>
      </c>
      <c r="B8884" t="s">
        <v>5649</v>
      </c>
      <c r="C8884" t="s">
        <v>5111</v>
      </c>
      <c r="D8884" t="s">
        <v>2360</v>
      </c>
      <c r="E8884" t="s">
        <v>560</v>
      </c>
      <c r="F8884" t="s">
        <v>1068</v>
      </c>
      <c r="G8884" t="s">
        <v>1073</v>
      </c>
      <c r="H8884" s="171" t="s">
        <v>5650</v>
      </c>
      <c r="I8884" t="s">
        <v>1074</v>
      </c>
      <c r="J8884">
        <v>8.3800000000000008</v>
      </c>
    </row>
    <row r="8885" spans="1:10" hidden="1">
      <c r="A8885" t="s">
        <v>5648</v>
      </c>
      <c r="B8885" t="s">
        <v>5649</v>
      </c>
      <c r="C8885" t="s">
        <v>5111</v>
      </c>
      <c r="D8885" t="s">
        <v>2360</v>
      </c>
      <c r="E8885" t="s">
        <v>560</v>
      </c>
      <c r="F8885" t="s">
        <v>1068</v>
      </c>
      <c r="G8885" t="s">
        <v>1075</v>
      </c>
      <c r="H8885">
        <v>1.42677949102987E-3</v>
      </c>
      <c r="I8885" t="s">
        <v>1077</v>
      </c>
      <c r="J8885">
        <v>8.3800000000000008</v>
      </c>
    </row>
    <row r="8886" spans="1:10" hidden="1">
      <c r="A8886" t="s">
        <v>5648</v>
      </c>
      <c r="B8886" t="s">
        <v>5649</v>
      </c>
      <c r="C8886" t="s">
        <v>5111</v>
      </c>
      <c r="D8886" t="s">
        <v>2360</v>
      </c>
      <c r="E8886" t="s">
        <v>560</v>
      </c>
      <c r="F8886" t="s">
        <v>1068</v>
      </c>
      <c r="G8886" t="s">
        <v>1078</v>
      </c>
      <c r="H8886">
        <v>-0.16515941842172399</v>
      </c>
      <c r="I8886" t="s">
        <v>1079</v>
      </c>
      <c r="J8886">
        <v>8.3800000000000008</v>
      </c>
    </row>
    <row r="8887" spans="1:10" hidden="1">
      <c r="A8887" t="s">
        <v>5648</v>
      </c>
      <c r="B8887" t="s">
        <v>5649</v>
      </c>
      <c r="C8887" t="s">
        <v>5111</v>
      </c>
      <c r="D8887" t="s">
        <v>2360</v>
      </c>
      <c r="E8887" t="s">
        <v>560</v>
      </c>
      <c r="F8887" t="s">
        <v>1068</v>
      </c>
      <c r="G8887" t="s">
        <v>1080</v>
      </c>
      <c r="H8887" s="171" t="s">
        <v>5607</v>
      </c>
      <c r="I8887" t="s">
        <v>1082</v>
      </c>
      <c r="J8887">
        <v>8.3800000000000008</v>
      </c>
    </row>
    <row r="8888" spans="1:10" hidden="1">
      <c r="A8888" t="s">
        <v>5648</v>
      </c>
      <c r="B8888" t="s">
        <v>5649</v>
      </c>
      <c r="C8888" t="s">
        <v>5111</v>
      </c>
      <c r="D8888" t="s">
        <v>2360</v>
      </c>
      <c r="E8888" t="s">
        <v>560</v>
      </c>
      <c r="F8888" t="s">
        <v>1068</v>
      </c>
      <c r="G8888" t="s">
        <v>1083</v>
      </c>
      <c r="H8888" s="170">
        <v>-8.6681652226224393E-6</v>
      </c>
      <c r="I8888" t="s">
        <v>1084</v>
      </c>
      <c r="J8888">
        <v>8.3800000000000008</v>
      </c>
    </row>
    <row r="8889" spans="1:10" hidden="1">
      <c r="A8889" t="s">
        <v>5648</v>
      </c>
      <c r="B8889" t="s">
        <v>5649</v>
      </c>
      <c r="C8889" t="s">
        <v>5111</v>
      </c>
      <c r="D8889" t="s">
        <v>2360</v>
      </c>
      <c r="E8889" t="s">
        <v>560</v>
      </c>
      <c r="F8889" t="s">
        <v>1068</v>
      </c>
      <c r="G8889" t="s">
        <v>1085</v>
      </c>
      <c r="H8889" s="170">
        <v>-2.38893638637028E-5</v>
      </c>
      <c r="I8889" t="s">
        <v>1086</v>
      </c>
      <c r="J8889">
        <v>8.3800000000000008</v>
      </c>
    </row>
    <row r="8890" spans="1:10" hidden="1">
      <c r="A8890" t="s">
        <v>5648</v>
      </c>
      <c r="B8890" t="s">
        <v>5649</v>
      </c>
      <c r="C8890" t="s">
        <v>5111</v>
      </c>
      <c r="D8890" t="s">
        <v>2360</v>
      </c>
      <c r="E8890" t="s">
        <v>560</v>
      </c>
      <c r="F8890" t="s">
        <v>1068</v>
      </c>
      <c r="G8890" t="s">
        <v>1087</v>
      </c>
      <c r="H8890" s="171" t="s">
        <v>5651</v>
      </c>
      <c r="I8890" t="s">
        <v>1088</v>
      </c>
      <c r="J8890">
        <v>8.3800000000000008</v>
      </c>
    </row>
    <row r="8891" spans="1:10" hidden="1">
      <c r="A8891" t="s">
        <v>5648</v>
      </c>
      <c r="B8891" t="s">
        <v>5649</v>
      </c>
      <c r="C8891" t="s">
        <v>5111</v>
      </c>
      <c r="D8891" t="s">
        <v>2360</v>
      </c>
      <c r="E8891" t="s">
        <v>560</v>
      </c>
      <c r="F8891" t="s">
        <v>1068</v>
      </c>
      <c r="G8891" t="s">
        <v>1089</v>
      </c>
      <c r="H8891" s="171" t="s">
        <v>5652</v>
      </c>
      <c r="I8891" t="s">
        <v>1090</v>
      </c>
      <c r="J8891">
        <v>8.3800000000000008</v>
      </c>
    </row>
    <row r="8892" spans="1:10" hidden="1">
      <c r="A8892" t="s">
        <v>5653</v>
      </c>
      <c r="B8892" t="s">
        <v>5654</v>
      </c>
      <c r="C8892" t="s">
        <v>5111</v>
      </c>
      <c r="D8892" t="s">
        <v>2360</v>
      </c>
      <c r="E8892" t="s">
        <v>1116</v>
      </c>
      <c r="F8892" t="s">
        <v>1068</v>
      </c>
      <c r="G8892" t="s">
        <v>1069</v>
      </c>
      <c r="H8892" s="171" t="s">
        <v>5655</v>
      </c>
      <c r="I8892" t="s">
        <v>1070</v>
      </c>
      <c r="J8892">
        <v>7.94</v>
      </c>
    </row>
    <row r="8893" spans="1:10" hidden="1">
      <c r="A8893" t="s">
        <v>5653</v>
      </c>
      <c r="B8893" t="s">
        <v>5654</v>
      </c>
      <c r="C8893" t="s">
        <v>5111</v>
      </c>
      <c r="D8893" t="s">
        <v>2360</v>
      </c>
      <c r="E8893" t="s">
        <v>1116</v>
      </c>
      <c r="F8893" t="s">
        <v>1068</v>
      </c>
      <c r="G8893" t="s">
        <v>1071</v>
      </c>
      <c r="H8893" s="171" t="s">
        <v>5656</v>
      </c>
      <c r="I8893" t="s">
        <v>1072</v>
      </c>
      <c r="J8893">
        <v>7.94</v>
      </c>
    </row>
    <row r="8894" spans="1:10" hidden="1">
      <c r="A8894" t="s">
        <v>5653</v>
      </c>
      <c r="B8894" t="s">
        <v>5654</v>
      </c>
      <c r="C8894" t="s">
        <v>5111</v>
      </c>
      <c r="D8894" t="s">
        <v>2360</v>
      </c>
      <c r="E8894" t="s">
        <v>1116</v>
      </c>
      <c r="F8894" t="s">
        <v>1068</v>
      </c>
      <c r="G8894" t="s">
        <v>1073</v>
      </c>
      <c r="H8894" s="171" t="s">
        <v>5657</v>
      </c>
      <c r="I8894" t="s">
        <v>1074</v>
      </c>
      <c r="J8894">
        <v>7.94</v>
      </c>
    </row>
    <row r="8895" spans="1:10" hidden="1">
      <c r="A8895" t="s">
        <v>5653</v>
      </c>
      <c r="B8895" t="s">
        <v>5654</v>
      </c>
      <c r="C8895" t="s">
        <v>5111</v>
      </c>
      <c r="D8895" t="s">
        <v>2360</v>
      </c>
      <c r="E8895" t="s">
        <v>1116</v>
      </c>
      <c r="F8895" t="s">
        <v>1068</v>
      </c>
      <c r="G8895" t="s">
        <v>1075</v>
      </c>
      <c r="H8895">
        <v>1.64691420019452E-3</v>
      </c>
      <c r="I8895" t="s">
        <v>1077</v>
      </c>
      <c r="J8895">
        <v>7.94</v>
      </c>
    </row>
    <row r="8896" spans="1:10" hidden="1">
      <c r="A8896" t="s">
        <v>5653</v>
      </c>
      <c r="B8896" t="s">
        <v>5654</v>
      </c>
      <c r="C8896" t="s">
        <v>5111</v>
      </c>
      <c r="D8896" t="s">
        <v>2360</v>
      </c>
      <c r="E8896" t="s">
        <v>1116</v>
      </c>
      <c r="F8896" t="s">
        <v>1068</v>
      </c>
      <c r="G8896" t="s">
        <v>1078</v>
      </c>
      <c r="H8896">
        <v>-0.155639944451124</v>
      </c>
      <c r="I8896" t="s">
        <v>1079</v>
      </c>
      <c r="J8896">
        <v>7.94</v>
      </c>
    </row>
    <row r="8897" spans="1:10" hidden="1">
      <c r="A8897" t="s">
        <v>5653</v>
      </c>
      <c r="B8897" t="s">
        <v>5654</v>
      </c>
      <c r="C8897" t="s">
        <v>5111</v>
      </c>
      <c r="D8897" t="s">
        <v>2360</v>
      </c>
      <c r="E8897" t="s">
        <v>1116</v>
      </c>
      <c r="F8897" t="s">
        <v>1068</v>
      </c>
      <c r="G8897" t="s">
        <v>1080</v>
      </c>
      <c r="H8897" s="171" t="s">
        <v>5614</v>
      </c>
      <c r="I8897" t="s">
        <v>1082</v>
      </c>
      <c r="J8897">
        <v>7.94</v>
      </c>
    </row>
    <row r="8898" spans="1:10" hidden="1">
      <c r="A8898" t="s">
        <v>5653</v>
      </c>
      <c r="B8898" t="s">
        <v>5654</v>
      </c>
      <c r="C8898" t="s">
        <v>5111</v>
      </c>
      <c r="D8898" t="s">
        <v>2360</v>
      </c>
      <c r="E8898" t="s">
        <v>1116</v>
      </c>
      <c r="F8898" t="s">
        <v>1068</v>
      </c>
      <c r="G8898" t="s">
        <v>1083</v>
      </c>
      <c r="H8898" s="170">
        <v>-7.6096556513516799E-6</v>
      </c>
      <c r="I8898" t="s">
        <v>1084</v>
      </c>
      <c r="J8898">
        <v>7.94</v>
      </c>
    </row>
    <row r="8899" spans="1:10" hidden="1">
      <c r="A8899" t="s">
        <v>5653</v>
      </c>
      <c r="B8899" t="s">
        <v>5654</v>
      </c>
      <c r="C8899" t="s">
        <v>5111</v>
      </c>
      <c r="D8899" t="s">
        <v>2360</v>
      </c>
      <c r="E8899" t="s">
        <v>1116</v>
      </c>
      <c r="F8899" t="s">
        <v>1068</v>
      </c>
      <c r="G8899" t="s">
        <v>1085</v>
      </c>
      <c r="H8899" s="170">
        <v>-1.19260573857328E-5</v>
      </c>
      <c r="I8899" t="s">
        <v>1086</v>
      </c>
      <c r="J8899">
        <v>7.94</v>
      </c>
    </row>
    <row r="8900" spans="1:10" hidden="1">
      <c r="A8900" t="s">
        <v>5653</v>
      </c>
      <c r="B8900" t="s">
        <v>5654</v>
      </c>
      <c r="C8900" t="s">
        <v>5111</v>
      </c>
      <c r="D8900" t="s">
        <v>2360</v>
      </c>
      <c r="E8900" t="s">
        <v>1116</v>
      </c>
      <c r="F8900" t="s">
        <v>1068</v>
      </c>
      <c r="G8900" t="s">
        <v>1087</v>
      </c>
      <c r="H8900" s="171" t="s">
        <v>5658</v>
      </c>
      <c r="I8900" t="s">
        <v>1088</v>
      </c>
      <c r="J8900">
        <v>7.94</v>
      </c>
    </row>
    <row r="8901" spans="1:10" hidden="1">
      <c r="A8901" t="s">
        <v>5653</v>
      </c>
      <c r="B8901" t="s">
        <v>5654</v>
      </c>
      <c r="C8901" t="s">
        <v>5111</v>
      </c>
      <c r="D8901" t="s">
        <v>2360</v>
      </c>
      <c r="E8901" t="s">
        <v>1116</v>
      </c>
      <c r="F8901" t="s">
        <v>1068</v>
      </c>
      <c r="G8901" t="s">
        <v>1089</v>
      </c>
      <c r="H8901" s="171" t="s">
        <v>5659</v>
      </c>
      <c r="I8901" t="s">
        <v>1090</v>
      </c>
      <c r="J8901">
        <v>7.94</v>
      </c>
    </row>
    <row r="8902" spans="1:10" hidden="1">
      <c r="A8902" t="s">
        <v>5660</v>
      </c>
      <c r="B8902" t="s">
        <v>5661</v>
      </c>
      <c r="C8902" t="s">
        <v>5111</v>
      </c>
      <c r="D8902" t="s">
        <v>2414</v>
      </c>
      <c r="E8902" t="s">
        <v>561</v>
      </c>
      <c r="F8902" t="s">
        <v>1068</v>
      </c>
      <c r="G8902" t="s">
        <v>1069</v>
      </c>
      <c r="H8902" s="171" t="s">
        <v>5662</v>
      </c>
      <c r="I8902" t="s">
        <v>1070</v>
      </c>
      <c r="J8902">
        <v>7.6</v>
      </c>
    </row>
    <row r="8903" spans="1:10" hidden="1">
      <c r="A8903" t="s">
        <v>5660</v>
      </c>
      <c r="B8903" t="s">
        <v>5661</v>
      </c>
      <c r="C8903" t="s">
        <v>5111</v>
      </c>
      <c r="D8903" t="s">
        <v>2414</v>
      </c>
      <c r="E8903" t="s">
        <v>561</v>
      </c>
      <c r="F8903" t="s">
        <v>1068</v>
      </c>
      <c r="G8903" t="s">
        <v>1071</v>
      </c>
      <c r="H8903" s="171" t="s">
        <v>5663</v>
      </c>
      <c r="I8903" t="s">
        <v>1072</v>
      </c>
      <c r="J8903">
        <v>7.6</v>
      </c>
    </row>
    <row r="8904" spans="1:10" hidden="1">
      <c r="A8904" t="s">
        <v>5660</v>
      </c>
      <c r="B8904" t="s">
        <v>5661</v>
      </c>
      <c r="C8904" t="s">
        <v>5111</v>
      </c>
      <c r="D8904" t="s">
        <v>2414</v>
      </c>
      <c r="E8904" t="s">
        <v>561</v>
      </c>
      <c r="F8904" t="s">
        <v>1068</v>
      </c>
      <c r="G8904" t="s">
        <v>1073</v>
      </c>
      <c r="H8904" s="171" t="s">
        <v>5664</v>
      </c>
      <c r="I8904" t="s">
        <v>1074</v>
      </c>
      <c r="J8904">
        <v>7.6</v>
      </c>
    </row>
    <row r="8905" spans="1:10" hidden="1">
      <c r="A8905" t="s">
        <v>5660</v>
      </c>
      <c r="B8905" t="s">
        <v>5661</v>
      </c>
      <c r="C8905" t="s">
        <v>5111</v>
      </c>
      <c r="D8905" t="s">
        <v>2414</v>
      </c>
      <c r="E8905" t="s">
        <v>561</v>
      </c>
      <c r="F8905" t="s">
        <v>1068</v>
      </c>
      <c r="G8905" t="s">
        <v>1075</v>
      </c>
      <c r="H8905">
        <v>4.0849477348301397E-3</v>
      </c>
      <c r="I8905" t="s">
        <v>1077</v>
      </c>
      <c r="J8905">
        <v>7.6</v>
      </c>
    </row>
    <row r="8906" spans="1:10" hidden="1">
      <c r="A8906" t="s">
        <v>5660</v>
      </c>
      <c r="B8906" t="s">
        <v>5661</v>
      </c>
      <c r="C8906" t="s">
        <v>5111</v>
      </c>
      <c r="D8906" t="s">
        <v>2414</v>
      </c>
      <c r="E8906" t="s">
        <v>561</v>
      </c>
      <c r="F8906" t="s">
        <v>1068</v>
      </c>
      <c r="G8906" t="s">
        <v>1078</v>
      </c>
      <c r="H8906">
        <v>4.1800809795969597E-2</v>
      </c>
      <c r="I8906" t="s">
        <v>1079</v>
      </c>
      <c r="J8906">
        <v>7.6</v>
      </c>
    </row>
    <row r="8907" spans="1:10" hidden="1">
      <c r="A8907" t="s">
        <v>5660</v>
      </c>
      <c r="B8907" t="s">
        <v>5661</v>
      </c>
      <c r="C8907" t="s">
        <v>5111</v>
      </c>
      <c r="D8907" t="s">
        <v>2414</v>
      </c>
      <c r="E8907" t="s">
        <v>561</v>
      </c>
      <c r="F8907" t="s">
        <v>1068</v>
      </c>
      <c r="G8907" t="s">
        <v>1080</v>
      </c>
      <c r="H8907" s="171" t="s">
        <v>5116</v>
      </c>
      <c r="I8907" t="s">
        <v>1082</v>
      </c>
      <c r="J8907">
        <v>7.6</v>
      </c>
    </row>
    <row r="8908" spans="1:10" hidden="1">
      <c r="A8908" t="s">
        <v>5660</v>
      </c>
      <c r="B8908" t="s">
        <v>5661</v>
      </c>
      <c r="C8908" t="s">
        <v>5111</v>
      </c>
      <c r="D8908" t="s">
        <v>2414</v>
      </c>
      <c r="E8908" t="s">
        <v>561</v>
      </c>
      <c r="F8908" t="s">
        <v>1068</v>
      </c>
      <c r="G8908" t="s">
        <v>1083</v>
      </c>
      <c r="H8908" s="171" t="s">
        <v>5665</v>
      </c>
      <c r="I8908" t="s">
        <v>1084</v>
      </c>
      <c r="J8908">
        <v>7.6</v>
      </c>
    </row>
    <row r="8909" spans="1:10" hidden="1">
      <c r="A8909" t="s">
        <v>5660</v>
      </c>
      <c r="B8909" t="s">
        <v>5661</v>
      </c>
      <c r="C8909" t="s">
        <v>5111</v>
      </c>
      <c r="D8909" t="s">
        <v>2414</v>
      </c>
      <c r="E8909" t="s">
        <v>561</v>
      </c>
      <c r="F8909" t="s">
        <v>1068</v>
      </c>
      <c r="G8909" t="s">
        <v>1085</v>
      </c>
      <c r="H8909">
        <v>1.45903580543038E-4</v>
      </c>
      <c r="I8909" t="s">
        <v>1086</v>
      </c>
      <c r="J8909">
        <v>7.6</v>
      </c>
    </row>
    <row r="8910" spans="1:10" hidden="1">
      <c r="A8910" t="s">
        <v>5660</v>
      </c>
      <c r="B8910" t="s">
        <v>5661</v>
      </c>
      <c r="C8910" t="s">
        <v>5111</v>
      </c>
      <c r="D8910" t="s">
        <v>2414</v>
      </c>
      <c r="E8910" t="s">
        <v>561</v>
      </c>
      <c r="F8910" t="s">
        <v>1068</v>
      </c>
      <c r="G8910" t="s">
        <v>1087</v>
      </c>
      <c r="H8910" s="171" t="s">
        <v>5118</v>
      </c>
      <c r="I8910" t="s">
        <v>1088</v>
      </c>
      <c r="J8910">
        <v>7.6</v>
      </c>
    </row>
    <row r="8911" spans="1:10" hidden="1">
      <c r="A8911" t="s">
        <v>5660</v>
      </c>
      <c r="B8911" t="s">
        <v>5661</v>
      </c>
      <c r="C8911" t="s">
        <v>5111</v>
      </c>
      <c r="D8911" t="s">
        <v>2414</v>
      </c>
      <c r="E8911" t="s">
        <v>561</v>
      </c>
      <c r="F8911" t="s">
        <v>1068</v>
      </c>
      <c r="G8911" t="s">
        <v>1089</v>
      </c>
      <c r="H8911" s="171" t="s">
        <v>5666</v>
      </c>
      <c r="I8911" t="s">
        <v>1090</v>
      </c>
      <c r="J8911">
        <v>7.6</v>
      </c>
    </row>
    <row r="8912" spans="1:10" hidden="1">
      <c r="A8912" t="s">
        <v>5667</v>
      </c>
      <c r="B8912" t="s">
        <v>5668</v>
      </c>
      <c r="C8912" t="s">
        <v>5111</v>
      </c>
      <c r="D8912" t="s">
        <v>2414</v>
      </c>
      <c r="E8912" t="s">
        <v>555</v>
      </c>
      <c r="F8912" t="s">
        <v>1068</v>
      </c>
      <c r="G8912" t="s">
        <v>1069</v>
      </c>
      <c r="H8912" s="171" t="s">
        <v>5669</v>
      </c>
      <c r="I8912" t="s">
        <v>1070</v>
      </c>
      <c r="J8912">
        <v>7.97</v>
      </c>
    </row>
    <row r="8913" spans="1:10" hidden="1">
      <c r="A8913" t="s">
        <v>5667</v>
      </c>
      <c r="B8913" t="s">
        <v>5668</v>
      </c>
      <c r="C8913" t="s">
        <v>5111</v>
      </c>
      <c r="D8913" t="s">
        <v>2414</v>
      </c>
      <c r="E8913" t="s">
        <v>555</v>
      </c>
      <c r="F8913" t="s">
        <v>1068</v>
      </c>
      <c r="G8913" t="s">
        <v>1071</v>
      </c>
      <c r="H8913" s="171" t="s">
        <v>5670</v>
      </c>
      <c r="I8913" t="s">
        <v>1072</v>
      </c>
      <c r="J8913">
        <v>7.97</v>
      </c>
    </row>
    <row r="8914" spans="1:10" hidden="1">
      <c r="A8914" t="s">
        <v>5667</v>
      </c>
      <c r="B8914" t="s">
        <v>5668</v>
      </c>
      <c r="C8914" t="s">
        <v>5111</v>
      </c>
      <c r="D8914" t="s">
        <v>2414</v>
      </c>
      <c r="E8914" t="s">
        <v>555</v>
      </c>
      <c r="F8914" t="s">
        <v>1068</v>
      </c>
      <c r="G8914" t="s">
        <v>1073</v>
      </c>
      <c r="H8914" s="171" t="s">
        <v>5671</v>
      </c>
      <c r="I8914" t="s">
        <v>1074</v>
      </c>
      <c r="J8914">
        <v>7.97</v>
      </c>
    </row>
    <row r="8915" spans="1:10" hidden="1">
      <c r="A8915" t="s">
        <v>5667</v>
      </c>
      <c r="B8915" t="s">
        <v>5668</v>
      </c>
      <c r="C8915" t="s">
        <v>5111</v>
      </c>
      <c r="D8915" t="s">
        <v>2414</v>
      </c>
      <c r="E8915" t="s">
        <v>555</v>
      </c>
      <c r="F8915" t="s">
        <v>1068</v>
      </c>
      <c r="G8915" t="s">
        <v>1075</v>
      </c>
      <c r="H8915">
        <v>4.0660788472625404E-3</v>
      </c>
      <c r="I8915" t="s">
        <v>1077</v>
      </c>
      <c r="J8915">
        <v>7.97</v>
      </c>
    </row>
    <row r="8916" spans="1:10" hidden="1">
      <c r="A8916" t="s">
        <v>5667</v>
      </c>
      <c r="B8916" t="s">
        <v>5668</v>
      </c>
      <c r="C8916" t="s">
        <v>5111</v>
      </c>
      <c r="D8916" t="s">
        <v>2414</v>
      </c>
      <c r="E8916" t="s">
        <v>555</v>
      </c>
      <c r="F8916" t="s">
        <v>1068</v>
      </c>
      <c r="G8916" t="s">
        <v>1078</v>
      </c>
      <c r="H8916">
        <v>4.0984842545202599E-2</v>
      </c>
      <c r="I8916" t="s">
        <v>1079</v>
      </c>
      <c r="J8916">
        <v>7.97</v>
      </c>
    </row>
    <row r="8917" spans="1:10" hidden="1">
      <c r="A8917" t="s">
        <v>5667</v>
      </c>
      <c r="B8917" t="s">
        <v>5668</v>
      </c>
      <c r="C8917" t="s">
        <v>5111</v>
      </c>
      <c r="D8917" t="s">
        <v>2414</v>
      </c>
      <c r="E8917" t="s">
        <v>555</v>
      </c>
      <c r="F8917" t="s">
        <v>1068</v>
      </c>
      <c r="G8917" t="s">
        <v>1080</v>
      </c>
      <c r="H8917" s="171" t="s">
        <v>5498</v>
      </c>
      <c r="I8917" t="s">
        <v>1082</v>
      </c>
      <c r="J8917">
        <v>7.97</v>
      </c>
    </row>
    <row r="8918" spans="1:10" hidden="1">
      <c r="A8918" t="s">
        <v>5667</v>
      </c>
      <c r="B8918" t="s">
        <v>5668</v>
      </c>
      <c r="C8918" t="s">
        <v>5111</v>
      </c>
      <c r="D8918" t="s">
        <v>2414</v>
      </c>
      <c r="E8918" t="s">
        <v>555</v>
      </c>
      <c r="F8918" t="s">
        <v>1068</v>
      </c>
      <c r="G8918" t="s">
        <v>1083</v>
      </c>
      <c r="H8918" s="171" t="s">
        <v>5499</v>
      </c>
      <c r="I8918" t="s">
        <v>1084</v>
      </c>
      <c r="J8918">
        <v>7.97</v>
      </c>
    </row>
    <row r="8919" spans="1:10" hidden="1">
      <c r="A8919" t="s">
        <v>5667</v>
      </c>
      <c r="B8919" t="s">
        <v>5668</v>
      </c>
      <c r="C8919" t="s">
        <v>5111</v>
      </c>
      <c r="D8919" t="s">
        <v>2414</v>
      </c>
      <c r="E8919" t="s">
        <v>555</v>
      </c>
      <c r="F8919" t="s">
        <v>1068</v>
      </c>
      <c r="G8919" t="s">
        <v>1085</v>
      </c>
      <c r="H8919">
        <v>1.4487813943021201E-4</v>
      </c>
      <c r="I8919" t="s">
        <v>1086</v>
      </c>
      <c r="J8919">
        <v>7.97</v>
      </c>
    </row>
    <row r="8920" spans="1:10" hidden="1">
      <c r="A8920" t="s">
        <v>5667</v>
      </c>
      <c r="B8920" t="s">
        <v>5668</v>
      </c>
      <c r="C8920" t="s">
        <v>5111</v>
      </c>
      <c r="D8920" t="s">
        <v>2414</v>
      </c>
      <c r="E8920" t="s">
        <v>555</v>
      </c>
      <c r="F8920" t="s">
        <v>1068</v>
      </c>
      <c r="G8920" t="s">
        <v>1087</v>
      </c>
      <c r="H8920" s="171" t="s">
        <v>5500</v>
      </c>
      <c r="I8920" t="s">
        <v>1088</v>
      </c>
      <c r="J8920">
        <v>7.97</v>
      </c>
    </row>
    <row r="8921" spans="1:10" hidden="1">
      <c r="A8921" t="s">
        <v>5667</v>
      </c>
      <c r="B8921" t="s">
        <v>5668</v>
      </c>
      <c r="C8921" t="s">
        <v>5111</v>
      </c>
      <c r="D8921" t="s">
        <v>2414</v>
      </c>
      <c r="E8921" t="s">
        <v>555</v>
      </c>
      <c r="F8921" t="s">
        <v>1068</v>
      </c>
      <c r="G8921" t="s">
        <v>1089</v>
      </c>
      <c r="H8921" s="171" t="s">
        <v>5501</v>
      </c>
      <c r="I8921" t="s">
        <v>1090</v>
      </c>
      <c r="J8921">
        <v>7.97</v>
      </c>
    </row>
    <row r="8922" spans="1:10" hidden="1">
      <c r="A8922" t="s">
        <v>5672</v>
      </c>
      <c r="B8922" t="s">
        <v>5673</v>
      </c>
      <c r="C8922" t="s">
        <v>5111</v>
      </c>
      <c r="D8922" t="s">
        <v>2414</v>
      </c>
      <c r="E8922" t="s">
        <v>558</v>
      </c>
      <c r="F8922" t="s">
        <v>1068</v>
      </c>
      <c r="G8922" t="s">
        <v>1069</v>
      </c>
      <c r="H8922" s="171" t="s">
        <v>5674</v>
      </c>
      <c r="I8922" t="s">
        <v>1070</v>
      </c>
      <c r="J8922">
        <v>7.56</v>
      </c>
    </row>
    <row r="8923" spans="1:10" hidden="1">
      <c r="A8923" t="s">
        <v>5672</v>
      </c>
      <c r="B8923" t="s">
        <v>5673</v>
      </c>
      <c r="C8923" t="s">
        <v>5111</v>
      </c>
      <c r="D8923" t="s">
        <v>2414</v>
      </c>
      <c r="E8923" t="s">
        <v>558</v>
      </c>
      <c r="F8923" t="s">
        <v>1068</v>
      </c>
      <c r="G8923" t="s">
        <v>1071</v>
      </c>
      <c r="H8923" s="171" t="s">
        <v>5675</v>
      </c>
      <c r="I8923" t="s">
        <v>1072</v>
      </c>
      <c r="J8923">
        <v>7.56</v>
      </c>
    </row>
    <row r="8924" spans="1:10" hidden="1">
      <c r="A8924" t="s">
        <v>5672</v>
      </c>
      <c r="B8924" t="s">
        <v>5673</v>
      </c>
      <c r="C8924" t="s">
        <v>5111</v>
      </c>
      <c r="D8924" t="s">
        <v>2414</v>
      </c>
      <c r="E8924" t="s">
        <v>558</v>
      </c>
      <c r="F8924" t="s">
        <v>1068</v>
      </c>
      <c r="G8924" t="s">
        <v>1073</v>
      </c>
      <c r="H8924" s="171" t="s">
        <v>5676</v>
      </c>
      <c r="I8924" t="s">
        <v>1074</v>
      </c>
      <c r="J8924">
        <v>7.56</v>
      </c>
    </row>
    <row r="8925" spans="1:10" hidden="1">
      <c r="A8925" t="s">
        <v>5672</v>
      </c>
      <c r="B8925" t="s">
        <v>5673</v>
      </c>
      <c r="C8925" t="s">
        <v>5111</v>
      </c>
      <c r="D8925" t="s">
        <v>2414</v>
      </c>
      <c r="E8925" t="s">
        <v>558</v>
      </c>
      <c r="F8925" t="s">
        <v>1068</v>
      </c>
      <c r="G8925" t="s">
        <v>1075</v>
      </c>
      <c r="H8925">
        <v>4.0866207560361903E-3</v>
      </c>
      <c r="I8925" t="s">
        <v>1077</v>
      </c>
      <c r="J8925">
        <v>7.56</v>
      </c>
    </row>
    <row r="8926" spans="1:10" hidden="1">
      <c r="A8926" t="s">
        <v>5672</v>
      </c>
      <c r="B8926" t="s">
        <v>5673</v>
      </c>
      <c r="C8926" t="s">
        <v>5111</v>
      </c>
      <c r="D8926" t="s">
        <v>2414</v>
      </c>
      <c r="E8926" t="s">
        <v>558</v>
      </c>
      <c r="F8926" t="s">
        <v>1068</v>
      </c>
      <c r="G8926" t="s">
        <v>1078</v>
      </c>
      <c r="H8926">
        <v>4.1873157686421497E-2</v>
      </c>
      <c r="I8926" t="s">
        <v>1079</v>
      </c>
      <c r="J8926">
        <v>7.56</v>
      </c>
    </row>
    <row r="8927" spans="1:10" hidden="1">
      <c r="A8927" t="s">
        <v>5672</v>
      </c>
      <c r="B8927" t="s">
        <v>5673</v>
      </c>
      <c r="C8927" t="s">
        <v>5111</v>
      </c>
      <c r="D8927" t="s">
        <v>2414</v>
      </c>
      <c r="E8927" t="s">
        <v>558</v>
      </c>
      <c r="F8927" t="s">
        <v>1068</v>
      </c>
      <c r="G8927" t="s">
        <v>1080</v>
      </c>
      <c r="H8927" s="171" t="s">
        <v>5677</v>
      </c>
      <c r="I8927" t="s">
        <v>1082</v>
      </c>
      <c r="J8927">
        <v>7.56</v>
      </c>
    </row>
    <row r="8928" spans="1:10" hidden="1">
      <c r="A8928" t="s">
        <v>5672</v>
      </c>
      <c r="B8928" t="s">
        <v>5673</v>
      </c>
      <c r="C8928" t="s">
        <v>5111</v>
      </c>
      <c r="D8928" t="s">
        <v>2414</v>
      </c>
      <c r="E8928" t="s">
        <v>558</v>
      </c>
      <c r="F8928" t="s">
        <v>1068</v>
      </c>
      <c r="G8928" t="s">
        <v>1083</v>
      </c>
      <c r="H8928" s="171" t="s">
        <v>5678</v>
      </c>
      <c r="I8928" t="s">
        <v>1084</v>
      </c>
      <c r="J8928">
        <v>7.56</v>
      </c>
    </row>
    <row r="8929" spans="1:10" hidden="1">
      <c r="A8929" t="s">
        <v>5672</v>
      </c>
      <c r="B8929" t="s">
        <v>5673</v>
      </c>
      <c r="C8929" t="s">
        <v>5111</v>
      </c>
      <c r="D8929" t="s">
        <v>2414</v>
      </c>
      <c r="E8929" t="s">
        <v>558</v>
      </c>
      <c r="F8929" t="s">
        <v>1068</v>
      </c>
      <c r="G8929" t="s">
        <v>1085</v>
      </c>
      <c r="H8929">
        <v>1.4599450153186301E-4</v>
      </c>
      <c r="I8929" t="s">
        <v>1086</v>
      </c>
      <c r="J8929">
        <v>7.56</v>
      </c>
    </row>
    <row r="8930" spans="1:10" hidden="1">
      <c r="A8930" t="s">
        <v>5672</v>
      </c>
      <c r="B8930" t="s">
        <v>5673</v>
      </c>
      <c r="C8930" t="s">
        <v>5111</v>
      </c>
      <c r="D8930" t="s">
        <v>2414</v>
      </c>
      <c r="E8930" t="s">
        <v>558</v>
      </c>
      <c r="F8930" t="s">
        <v>1068</v>
      </c>
      <c r="G8930" t="s">
        <v>1087</v>
      </c>
      <c r="H8930" s="171" t="s">
        <v>5679</v>
      </c>
      <c r="I8930" t="s">
        <v>1088</v>
      </c>
      <c r="J8930">
        <v>7.56</v>
      </c>
    </row>
    <row r="8931" spans="1:10" hidden="1">
      <c r="A8931" t="s">
        <v>5672</v>
      </c>
      <c r="B8931" t="s">
        <v>5673</v>
      </c>
      <c r="C8931" t="s">
        <v>5111</v>
      </c>
      <c r="D8931" t="s">
        <v>2414</v>
      </c>
      <c r="E8931" t="s">
        <v>558</v>
      </c>
      <c r="F8931" t="s">
        <v>1068</v>
      </c>
      <c r="G8931" t="s">
        <v>1089</v>
      </c>
      <c r="H8931" s="171" t="s">
        <v>5680</v>
      </c>
      <c r="I8931" t="s">
        <v>1090</v>
      </c>
      <c r="J8931">
        <v>7.56</v>
      </c>
    </row>
    <row r="8932" spans="1:10" hidden="1">
      <c r="A8932" t="s">
        <v>5681</v>
      </c>
      <c r="B8932" t="s">
        <v>5682</v>
      </c>
      <c r="C8932" t="s">
        <v>5111</v>
      </c>
      <c r="D8932" t="s">
        <v>2414</v>
      </c>
      <c r="E8932" t="s">
        <v>553</v>
      </c>
      <c r="F8932" t="s">
        <v>1068</v>
      </c>
      <c r="G8932" t="s">
        <v>1069</v>
      </c>
      <c r="H8932" s="171" t="s">
        <v>5683</v>
      </c>
      <c r="I8932" t="s">
        <v>1070</v>
      </c>
      <c r="J8932">
        <v>7.94</v>
      </c>
    </row>
    <row r="8933" spans="1:10" hidden="1">
      <c r="A8933" t="s">
        <v>5681</v>
      </c>
      <c r="B8933" t="s">
        <v>5682</v>
      </c>
      <c r="C8933" t="s">
        <v>5111</v>
      </c>
      <c r="D8933" t="s">
        <v>2414</v>
      </c>
      <c r="E8933" t="s">
        <v>553</v>
      </c>
      <c r="F8933" t="s">
        <v>1068</v>
      </c>
      <c r="G8933" t="s">
        <v>1071</v>
      </c>
      <c r="H8933" s="171" t="s">
        <v>5684</v>
      </c>
      <c r="I8933" t="s">
        <v>1072</v>
      </c>
      <c r="J8933">
        <v>7.94</v>
      </c>
    </row>
    <row r="8934" spans="1:10" hidden="1">
      <c r="A8934" t="s">
        <v>5681</v>
      </c>
      <c r="B8934" t="s">
        <v>5682</v>
      </c>
      <c r="C8934" t="s">
        <v>5111</v>
      </c>
      <c r="D8934" t="s">
        <v>2414</v>
      </c>
      <c r="E8934" t="s">
        <v>553</v>
      </c>
      <c r="F8934" t="s">
        <v>1068</v>
      </c>
      <c r="G8934" t="s">
        <v>1073</v>
      </c>
      <c r="H8934" s="171" t="s">
        <v>5685</v>
      </c>
      <c r="I8934" t="s">
        <v>1074</v>
      </c>
      <c r="J8934">
        <v>7.94</v>
      </c>
    </row>
    <row r="8935" spans="1:10" hidden="1">
      <c r="A8935" t="s">
        <v>5681</v>
      </c>
      <c r="B8935" t="s">
        <v>5682</v>
      </c>
      <c r="C8935" t="s">
        <v>5111</v>
      </c>
      <c r="D8935" t="s">
        <v>2414</v>
      </c>
      <c r="E8935" t="s">
        <v>553</v>
      </c>
      <c r="F8935" t="s">
        <v>1068</v>
      </c>
      <c r="G8935" t="s">
        <v>1075</v>
      </c>
      <c r="H8935">
        <v>4.0882824430008404E-3</v>
      </c>
      <c r="I8935" t="s">
        <v>1077</v>
      </c>
      <c r="J8935">
        <v>7.94</v>
      </c>
    </row>
    <row r="8936" spans="1:10" hidden="1">
      <c r="A8936" t="s">
        <v>5681</v>
      </c>
      <c r="B8936" t="s">
        <v>5682</v>
      </c>
      <c r="C8936" t="s">
        <v>5111</v>
      </c>
      <c r="D8936" t="s">
        <v>2414</v>
      </c>
      <c r="E8936" t="s">
        <v>553</v>
      </c>
      <c r="F8936" t="s">
        <v>1068</v>
      </c>
      <c r="G8936" t="s">
        <v>1078</v>
      </c>
      <c r="H8936">
        <v>4.1945011672945703E-2</v>
      </c>
      <c r="I8936" t="s">
        <v>1079</v>
      </c>
      <c r="J8936">
        <v>7.94</v>
      </c>
    </row>
    <row r="8937" spans="1:10" hidden="1">
      <c r="A8937" t="s">
        <v>5681</v>
      </c>
      <c r="B8937" t="s">
        <v>5682</v>
      </c>
      <c r="C8937" t="s">
        <v>5111</v>
      </c>
      <c r="D8937" t="s">
        <v>2414</v>
      </c>
      <c r="E8937" t="s">
        <v>553</v>
      </c>
      <c r="F8937" t="s">
        <v>1068</v>
      </c>
      <c r="G8937" t="s">
        <v>1080</v>
      </c>
      <c r="H8937" s="171" t="s">
        <v>5146</v>
      </c>
      <c r="I8937" t="s">
        <v>1082</v>
      </c>
      <c r="J8937">
        <v>7.94</v>
      </c>
    </row>
    <row r="8938" spans="1:10" hidden="1">
      <c r="A8938" t="s">
        <v>5681</v>
      </c>
      <c r="B8938" t="s">
        <v>5682</v>
      </c>
      <c r="C8938" t="s">
        <v>5111</v>
      </c>
      <c r="D8938" t="s">
        <v>2414</v>
      </c>
      <c r="E8938" t="s">
        <v>553</v>
      </c>
      <c r="F8938" t="s">
        <v>1068</v>
      </c>
      <c r="G8938" t="s">
        <v>1083</v>
      </c>
      <c r="H8938" s="171" t="s">
        <v>5147</v>
      </c>
      <c r="I8938" t="s">
        <v>1084</v>
      </c>
      <c r="J8938">
        <v>7.94</v>
      </c>
    </row>
    <row r="8939" spans="1:10" hidden="1">
      <c r="A8939" t="s">
        <v>5681</v>
      </c>
      <c r="B8939" t="s">
        <v>5682</v>
      </c>
      <c r="C8939" t="s">
        <v>5111</v>
      </c>
      <c r="D8939" t="s">
        <v>2414</v>
      </c>
      <c r="E8939" t="s">
        <v>553</v>
      </c>
      <c r="F8939" t="s">
        <v>1068</v>
      </c>
      <c r="G8939" t="s">
        <v>1085</v>
      </c>
      <c r="H8939">
        <v>1.4608480248547699E-4</v>
      </c>
      <c r="I8939" t="s">
        <v>1086</v>
      </c>
      <c r="J8939">
        <v>7.94</v>
      </c>
    </row>
    <row r="8940" spans="1:10" hidden="1">
      <c r="A8940" t="s">
        <v>5681</v>
      </c>
      <c r="B8940" t="s">
        <v>5682</v>
      </c>
      <c r="C8940" t="s">
        <v>5111</v>
      </c>
      <c r="D8940" t="s">
        <v>2414</v>
      </c>
      <c r="E8940" t="s">
        <v>553</v>
      </c>
      <c r="F8940" t="s">
        <v>1068</v>
      </c>
      <c r="G8940" t="s">
        <v>1087</v>
      </c>
      <c r="H8940" s="171" t="s">
        <v>5148</v>
      </c>
      <c r="I8940" t="s">
        <v>1088</v>
      </c>
      <c r="J8940">
        <v>7.94</v>
      </c>
    </row>
    <row r="8941" spans="1:10" hidden="1">
      <c r="A8941" t="s">
        <v>5681</v>
      </c>
      <c r="B8941" t="s">
        <v>5682</v>
      </c>
      <c r="C8941" t="s">
        <v>5111</v>
      </c>
      <c r="D8941" t="s">
        <v>2414</v>
      </c>
      <c r="E8941" t="s">
        <v>553</v>
      </c>
      <c r="F8941" t="s">
        <v>1068</v>
      </c>
      <c r="G8941" t="s">
        <v>1089</v>
      </c>
      <c r="H8941" s="171" t="s">
        <v>5686</v>
      </c>
      <c r="I8941" t="s">
        <v>1090</v>
      </c>
      <c r="J8941">
        <v>7.94</v>
      </c>
    </row>
    <row r="8942" spans="1:10" hidden="1">
      <c r="A8942" t="s">
        <v>5687</v>
      </c>
      <c r="B8942" t="s">
        <v>5688</v>
      </c>
      <c r="C8942" t="s">
        <v>5111</v>
      </c>
      <c r="D8942" t="s">
        <v>2414</v>
      </c>
      <c r="E8942" t="s">
        <v>556</v>
      </c>
      <c r="F8942" t="s">
        <v>1068</v>
      </c>
      <c r="G8942" t="s">
        <v>1069</v>
      </c>
      <c r="H8942" s="171" t="s">
        <v>5689</v>
      </c>
      <c r="I8942" t="s">
        <v>1070</v>
      </c>
      <c r="J8942">
        <v>8.0299999999999994</v>
      </c>
    </row>
    <row r="8943" spans="1:10" hidden="1">
      <c r="A8943" t="s">
        <v>5687</v>
      </c>
      <c r="B8943" t="s">
        <v>5688</v>
      </c>
      <c r="C8943" t="s">
        <v>5111</v>
      </c>
      <c r="D8943" t="s">
        <v>2414</v>
      </c>
      <c r="E8943" t="s">
        <v>556</v>
      </c>
      <c r="F8943" t="s">
        <v>1068</v>
      </c>
      <c r="G8943" t="s">
        <v>1071</v>
      </c>
      <c r="H8943" s="171" t="s">
        <v>5690</v>
      </c>
      <c r="I8943" t="s">
        <v>1072</v>
      </c>
      <c r="J8943">
        <v>8.0299999999999994</v>
      </c>
    </row>
    <row r="8944" spans="1:10" hidden="1">
      <c r="A8944" t="s">
        <v>5687</v>
      </c>
      <c r="B8944" t="s">
        <v>5688</v>
      </c>
      <c r="C8944" t="s">
        <v>5111</v>
      </c>
      <c r="D8944" t="s">
        <v>2414</v>
      </c>
      <c r="E8944" t="s">
        <v>556</v>
      </c>
      <c r="F8944" t="s">
        <v>1068</v>
      </c>
      <c r="G8944" t="s">
        <v>1073</v>
      </c>
      <c r="H8944" s="171" t="s">
        <v>5691</v>
      </c>
      <c r="I8944" t="s">
        <v>1074</v>
      </c>
      <c r="J8944">
        <v>8.0299999999999994</v>
      </c>
    </row>
    <row r="8945" spans="1:10" hidden="1">
      <c r="A8945" t="s">
        <v>5687</v>
      </c>
      <c r="B8945" t="s">
        <v>5688</v>
      </c>
      <c r="C8945" t="s">
        <v>5111</v>
      </c>
      <c r="D8945" t="s">
        <v>2414</v>
      </c>
      <c r="E8945" t="s">
        <v>556</v>
      </c>
      <c r="F8945" t="s">
        <v>1068</v>
      </c>
      <c r="G8945" t="s">
        <v>1075</v>
      </c>
      <c r="H8945">
        <v>4.0681658131419699E-3</v>
      </c>
      <c r="I8945" t="s">
        <v>1077</v>
      </c>
      <c r="J8945">
        <v>8.0299999999999994</v>
      </c>
    </row>
    <row r="8946" spans="1:10" hidden="1">
      <c r="A8946" t="s">
        <v>5687</v>
      </c>
      <c r="B8946" t="s">
        <v>5688</v>
      </c>
      <c r="C8946" t="s">
        <v>5111</v>
      </c>
      <c r="D8946" t="s">
        <v>2414</v>
      </c>
      <c r="E8946" t="s">
        <v>556</v>
      </c>
      <c r="F8946" t="s">
        <v>1068</v>
      </c>
      <c r="G8946" t="s">
        <v>1078</v>
      </c>
      <c r="H8946" s="171" t="s">
        <v>5155</v>
      </c>
      <c r="I8946" t="s">
        <v>1079</v>
      </c>
      <c r="J8946">
        <v>8.0299999999999994</v>
      </c>
    </row>
    <row r="8947" spans="1:10" hidden="1">
      <c r="A8947" t="s">
        <v>5687</v>
      </c>
      <c r="B8947" t="s">
        <v>5688</v>
      </c>
      <c r="C8947" t="s">
        <v>5111</v>
      </c>
      <c r="D8947" t="s">
        <v>2414</v>
      </c>
      <c r="E8947" t="s">
        <v>556</v>
      </c>
      <c r="F8947" t="s">
        <v>1068</v>
      </c>
      <c r="G8947" t="s">
        <v>1080</v>
      </c>
      <c r="H8947" s="171" t="s">
        <v>5692</v>
      </c>
      <c r="I8947" t="s">
        <v>1082</v>
      </c>
      <c r="J8947">
        <v>8.0299999999999994</v>
      </c>
    </row>
    <row r="8948" spans="1:10" hidden="1">
      <c r="A8948" t="s">
        <v>5687</v>
      </c>
      <c r="B8948" t="s">
        <v>5688</v>
      </c>
      <c r="C8948" t="s">
        <v>5111</v>
      </c>
      <c r="D8948" t="s">
        <v>2414</v>
      </c>
      <c r="E8948" t="s">
        <v>556</v>
      </c>
      <c r="F8948" t="s">
        <v>1068</v>
      </c>
      <c r="G8948" t="s">
        <v>1083</v>
      </c>
      <c r="H8948" s="171" t="s">
        <v>5523</v>
      </c>
      <c r="I8948" t="s">
        <v>1084</v>
      </c>
      <c r="J8948">
        <v>8.0299999999999994</v>
      </c>
    </row>
    <row r="8949" spans="1:10" hidden="1">
      <c r="A8949" t="s">
        <v>5687</v>
      </c>
      <c r="B8949" t="s">
        <v>5688</v>
      </c>
      <c r="C8949" t="s">
        <v>5111</v>
      </c>
      <c r="D8949" t="s">
        <v>2414</v>
      </c>
      <c r="E8949" t="s">
        <v>556</v>
      </c>
      <c r="F8949" t="s">
        <v>1068</v>
      </c>
      <c r="G8949" t="s">
        <v>1085</v>
      </c>
      <c r="H8949">
        <v>1.4499155640345301E-4</v>
      </c>
      <c r="I8949" t="s">
        <v>1086</v>
      </c>
      <c r="J8949">
        <v>8.0299999999999994</v>
      </c>
    </row>
    <row r="8950" spans="1:10" hidden="1">
      <c r="A8950" t="s">
        <v>5687</v>
      </c>
      <c r="B8950" t="s">
        <v>5688</v>
      </c>
      <c r="C8950" t="s">
        <v>5111</v>
      </c>
      <c r="D8950" t="s">
        <v>2414</v>
      </c>
      <c r="E8950" t="s">
        <v>556</v>
      </c>
      <c r="F8950" t="s">
        <v>1068</v>
      </c>
      <c r="G8950" t="s">
        <v>1087</v>
      </c>
      <c r="H8950" s="171" t="s">
        <v>5524</v>
      </c>
      <c r="I8950" t="s">
        <v>1088</v>
      </c>
      <c r="J8950">
        <v>8.0299999999999994</v>
      </c>
    </row>
    <row r="8951" spans="1:10" hidden="1">
      <c r="A8951" t="s">
        <v>5687</v>
      </c>
      <c r="B8951" t="s">
        <v>5688</v>
      </c>
      <c r="C8951" t="s">
        <v>5111</v>
      </c>
      <c r="D8951" t="s">
        <v>2414</v>
      </c>
      <c r="E8951" t="s">
        <v>556</v>
      </c>
      <c r="F8951" t="s">
        <v>1068</v>
      </c>
      <c r="G8951" t="s">
        <v>1089</v>
      </c>
      <c r="H8951" s="171" t="s">
        <v>5159</v>
      </c>
      <c r="I8951" t="s">
        <v>1090</v>
      </c>
      <c r="J8951">
        <v>8.0299999999999994</v>
      </c>
    </row>
    <row r="8952" spans="1:10" hidden="1">
      <c r="A8952" t="s">
        <v>5693</v>
      </c>
      <c r="B8952" t="s">
        <v>5694</v>
      </c>
      <c r="C8952" t="s">
        <v>5111</v>
      </c>
      <c r="D8952" t="s">
        <v>2414</v>
      </c>
      <c r="E8952" t="s">
        <v>557</v>
      </c>
      <c r="F8952" t="s">
        <v>1068</v>
      </c>
      <c r="G8952" t="s">
        <v>1069</v>
      </c>
      <c r="H8952">
        <v>0.10933611860347001</v>
      </c>
      <c r="I8952" t="s">
        <v>1070</v>
      </c>
      <c r="J8952">
        <v>8.11</v>
      </c>
    </row>
    <row r="8953" spans="1:10" hidden="1">
      <c r="A8953" t="s">
        <v>5693</v>
      </c>
      <c r="B8953" t="s">
        <v>5694</v>
      </c>
      <c r="C8953" t="s">
        <v>5111</v>
      </c>
      <c r="D8953" t="s">
        <v>2414</v>
      </c>
      <c r="E8953" t="s">
        <v>557</v>
      </c>
      <c r="F8953" t="s">
        <v>1068</v>
      </c>
      <c r="G8953" t="s">
        <v>1071</v>
      </c>
      <c r="H8953" s="171" t="s">
        <v>5695</v>
      </c>
      <c r="I8953" t="s">
        <v>1072</v>
      </c>
      <c r="J8953">
        <v>8.11</v>
      </c>
    </row>
    <row r="8954" spans="1:10" hidden="1">
      <c r="A8954" t="s">
        <v>5693</v>
      </c>
      <c r="B8954" t="s">
        <v>5694</v>
      </c>
      <c r="C8954" t="s">
        <v>5111</v>
      </c>
      <c r="D8954" t="s">
        <v>2414</v>
      </c>
      <c r="E8954" t="s">
        <v>557</v>
      </c>
      <c r="F8954" t="s">
        <v>1068</v>
      </c>
      <c r="G8954" t="s">
        <v>1073</v>
      </c>
      <c r="H8954" s="171" t="s">
        <v>5696</v>
      </c>
      <c r="I8954" t="s">
        <v>1074</v>
      </c>
      <c r="J8954">
        <v>8.11</v>
      </c>
    </row>
    <row r="8955" spans="1:10" hidden="1">
      <c r="A8955" t="s">
        <v>5693</v>
      </c>
      <c r="B8955" t="s">
        <v>5694</v>
      </c>
      <c r="C8955" t="s">
        <v>5111</v>
      </c>
      <c r="D8955" t="s">
        <v>2414</v>
      </c>
      <c r="E8955" t="s">
        <v>557</v>
      </c>
      <c r="F8955" t="s">
        <v>1068</v>
      </c>
      <c r="G8955" t="s">
        <v>1075</v>
      </c>
      <c r="H8955">
        <v>4.0797104510546696E-3</v>
      </c>
      <c r="I8955" t="s">
        <v>1077</v>
      </c>
      <c r="J8955">
        <v>8.11</v>
      </c>
    </row>
    <row r="8956" spans="1:10" hidden="1">
      <c r="A8956" t="s">
        <v>5693</v>
      </c>
      <c r="B8956" t="s">
        <v>5694</v>
      </c>
      <c r="C8956" t="s">
        <v>5111</v>
      </c>
      <c r="D8956" t="s">
        <v>2414</v>
      </c>
      <c r="E8956" t="s">
        <v>557</v>
      </c>
      <c r="F8956" t="s">
        <v>1068</v>
      </c>
      <c r="G8956" t="s">
        <v>1078</v>
      </c>
      <c r="H8956" s="171" t="s">
        <v>5697</v>
      </c>
      <c r="I8956" t="s">
        <v>1079</v>
      </c>
      <c r="J8956">
        <v>8.11</v>
      </c>
    </row>
    <row r="8957" spans="1:10" hidden="1">
      <c r="A8957" t="s">
        <v>5693</v>
      </c>
      <c r="B8957" t="s">
        <v>5694</v>
      </c>
      <c r="C8957" t="s">
        <v>5111</v>
      </c>
      <c r="D8957" t="s">
        <v>2414</v>
      </c>
      <c r="E8957" t="s">
        <v>557</v>
      </c>
      <c r="F8957" t="s">
        <v>1068</v>
      </c>
      <c r="G8957" t="s">
        <v>1080</v>
      </c>
      <c r="H8957" s="171" t="s">
        <v>5698</v>
      </c>
      <c r="I8957" t="s">
        <v>1082</v>
      </c>
      <c r="J8957">
        <v>8.11</v>
      </c>
    </row>
    <row r="8958" spans="1:10" hidden="1">
      <c r="A8958" t="s">
        <v>5693</v>
      </c>
      <c r="B8958" t="s">
        <v>5694</v>
      </c>
      <c r="C8958" t="s">
        <v>5111</v>
      </c>
      <c r="D8958" t="s">
        <v>2414</v>
      </c>
      <c r="E8958" t="s">
        <v>557</v>
      </c>
      <c r="F8958" t="s">
        <v>1068</v>
      </c>
      <c r="G8958" t="s">
        <v>1083</v>
      </c>
      <c r="H8958" s="171" t="s">
        <v>5699</v>
      </c>
      <c r="I8958" t="s">
        <v>1084</v>
      </c>
      <c r="J8958">
        <v>8.11</v>
      </c>
    </row>
    <row r="8959" spans="1:10" hidden="1">
      <c r="A8959" t="s">
        <v>5693</v>
      </c>
      <c r="B8959" t="s">
        <v>5694</v>
      </c>
      <c r="C8959" t="s">
        <v>5111</v>
      </c>
      <c r="D8959" t="s">
        <v>2414</v>
      </c>
      <c r="E8959" t="s">
        <v>557</v>
      </c>
      <c r="F8959" t="s">
        <v>1068</v>
      </c>
      <c r="G8959" t="s">
        <v>1085</v>
      </c>
      <c r="H8959">
        <v>1.45618958317148E-4</v>
      </c>
      <c r="I8959" t="s">
        <v>1086</v>
      </c>
      <c r="J8959">
        <v>8.11</v>
      </c>
    </row>
    <row r="8960" spans="1:10" hidden="1">
      <c r="A8960" t="s">
        <v>5693</v>
      </c>
      <c r="B8960" t="s">
        <v>5694</v>
      </c>
      <c r="C8960" t="s">
        <v>5111</v>
      </c>
      <c r="D8960" t="s">
        <v>2414</v>
      </c>
      <c r="E8960" t="s">
        <v>557</v>
      </c>
      <c r="F8960" t="s">
        <v>1068</v>
      </c>
      <c r="G8960" t="s">
        <v>1087</v>
      </c>
      <c r="H8960" s="171" t="s">
        <v>5700</v>
      </c>
      <c r="I8960" t="s">
        <v>1088</v>
      </c>
      <c r="J8960">
        <v>8.11</v>
      </c>
    </row>
    <row r="8961" spans="1:10" hidden="1">
      <c r="A8961" t="s">
        <v>5693</v>
      </c>
      <c r="B8961" t="s">
        <v>5694</v>
      </c>
      <c r="C8961" t="s">
        <v>5111</v>
      </c>
      <c r="D8961" t="s">
        <v>2414</v>
      </c>
      <c r="E8961" t="s">
        <v>557</v>
      </c>
      <c r="F8961" t="s">
        <v>1068</v>
      </c>
      <c r="G8961" t="s">
        <v>1089</v>
      </c>
      <c r="H8961" s="171" t="s">
        <v>5701</v>
      </c>
      <c r="I8961" t="s">
        <v>1090</v>
      </c>
      <c r="J8961">
        <v>8.11</v>
      </c>
    </row>
    <row r="8962" spans="1:10" hidden="1">
      <c r="A8962" t="s">
        <v>5702</v>
      </c>
      <c r="B8962" t="s">
        <v>5703</v>
      </c>
      <c r="C8962" t="s">
        <v>5111</v>
      </c>
      <c r="D8962" t="s">
        <v>2414</v>
      </c>
      <c r="E8962" t="s">
        <v>559</v>
      </c>
      <c r="F8962" t="s">
        <v>1068</v>
      </c>
      <c r="G8962" t="s">
        <v>1069</v>
      </c>
      <c r="H8962" s="171" t="s">
        <v>5704</v>
      </c>
      <c r="I8962" t="s">
        <v>1070</v>
      </c>
      <c r="J8962">
        <v>11.21</v>
      </c>
    </row>
    <row r="8963" spans="1:10" hidden="1">
      <c r="A8963" t="s">
        <v>5702</v>
      </c>
      <c r="B8963" t="s">
        <v>5703</v>
      </c>
      <c r="C8963" t="s">
        <v>5111</v>
      </c>
      <c r="D8963" t="s">
        <v>2414</v>
      </c>
      <c r="E8963" t="s">
        <v>559</v>
      </c>
      <c r="F8963" t="s">
        <v>1068</v>
      </c>
      <c r="G8963" t="s">
        <v>1071</v>
      </c>
      <c r="H8963" s="171" t="s">
        <v>5705</v>
      </c>
      <c r="I8963" t="s">
        <v>1072</v>
      </c>
      <c r="J8963">
        <v>11.21</v>
      </c>
    </row>
    <row r="8964" spans="1:10" hidden="1">
      <c r="A8964" t="s">
        <v>5702</v>
      </c>
      <c r="B8964" t="s">
        <v>5703</v>
      </c>
      <c r="C8964" t="s">
        <v>5111</v>
      </c>
      <c r="D8964" t="s">
        <v>2414</v>
      </c>
      <c r="E8964" t="s">
        <v>559</v>
      </c>
      <c r="F8964" t="s">
        <v>1068</v>
      </c>
      <c r="G8964" t="s">
        <v>1073</v>
      </c>
      <c r="H8964" s="171" t="s">
        <v>5706</v>
      </c>
      <c r="I8964" t="s">
        <v>1074</v>
      </c>
      <c r="J8964">
        <v>11.21</v>
      </c>
    </row>
    <row r="8965" spans="1:10" hidden="1">
      <c r="A8965" t="s">
        <v>5702</v>
      </c>
      <c r="B8965" t="s">
        <v>5703</v>
      </c>
      <c r="C8965" t="s">
        <v>5111</v>
      </c>
      <c r="D8965" t="s">
        <v>2414</v>
      </c>
      <c r="E8965" t="s">
        <v>559</v>
      </c>
      <c r="F8965" t="s">
        <v>1068</v>
      </c>
      <c r="G8965" t="s">
        <v>1075</v>
      </c>
      <c r="H8965">
        <v>4.0741453221188901E-3</v>
      </c>
      <c r="I8965" t="s">
        <v>1077</v>
      </c>
      <c r="J8965">
        <v>11.21</v>
      </c>
    </row>
    <row r="8966" spans="1:10" hidden="1">
      <c r="A8966" t="s">
        <v>5702</v>
      </c>
      <c r="B8966" t="s">
        <v>5703</v>
      </c>
      <c r="C8966" t="s">
        <v>5111</v>
      </c>
      <c r="D8966" t="s">
        <v>2414</v>
      </c>
      <c r="E8966" t="s">
        <v>559</v>
      </c>
      <c r="F8966" t="s">
        <v>1068</v>
      </c>
      <c r="G8966" t="s">
        <v>1078</v>
      </c>
      <c r="H8966">
        <v>4.1333668033559097E-2</v>
      </c>
      <c r="I8966" t="s">
        <v>1079</v>
      </c>
      <c r="J8966">
        <v>11.21</v>
      </c>
    </row>
    <row r="8967" spans="1:10" hidden="1">
      <c r="A8967" t="s">
        <v>5702</v>
      </c>
      <c r="B8967" t="s">
        <v>5703</v>
      </c>
      <c r="C8967" t="s">
        <v>5111</v>
      </c>
      <c r="D8967" t="s">
        <v>2414</v>
      </c>
      <c r="E8967" t="s">
        <v>559</v>
      </c>
      <c r="F8967" t="s">
        <v>1068</v>
      </c>
      <c r="G8967" t="s">
        <v>1080</v>
      </c>
      <c r="H8967" s="171" t="s">
        <v>5174</v>
      </c>
      <c r="I8967" t="s">
        <v>1082</v>
      </c>
      <c r="J8967">
        <v>11.21</v>
      </c>
    </row>
    <row r="8968" spans="1:10" hidden="1">
      <c r="A8968" t="s">
        <v>5702</v>
      </c>
      <c r="B8968" t="s">
        <v>5703</v>
      </c>
      <c r="C8968" t="s">
        <v>5111</v>
      </c>
      <c r="D8968" t="s">
        <v>2414</v>
      </c>
      <c r="E8968" t="s">
        <v>559</v>
      </c>
      <c r="F8968" t="s">
        <v>1068</v>
      </c>
      <c r="G8968" t="s">
        <v>1083</v>
      </c>
      <c r="H8968" s="171" t="s">
        <v>5707</v>
      </c>
      <c r="I8968" t="s">
        <v>1084</v>
      </c>
      <c r="J8968">
        <v>11.21</v>
      </c>
    </row>
    <row r="8969" spans="1:10" hidden="1">
      <c r="A8969" t="s">
        <v>5702</v>
      </c>
      <c r="B8969" t="s">
        <v>5703</v>
      </c>
      <c r="C8969" t="s">
        <v>5111</v>
      </c>
      <c r="D8969" t="s">
        <v>2414</v>
      </c>
      <c r="E8969" t="s">
        <v>559</v>
      </c>
      <c r="F8969" t="s">
        <v>1068</v>
      </c>
      <c r="G8969" t="s">
        <v>1085</v>
      </c>
      <c r="H8969">
        <v>1.4531651514692199E-4</v>
      </c>
      <c r="I8969" t="s">
        <v>1086</v>
      </c>
      <c r="J8969">
        <v>11.21</v>
      </c>
    </row>
    <row r="8970" spans="1:10" hidden="1">
      <c r="A8970" t="s">
        <v>5702</v>
      </c>
      <c r="B8970" t="s">
        <v>5703</v>
      </c>
      <c r="C8970" t="s">
        <v>5111</v>
      </c>
      <c r="D8970" t="s">
        <v>2414</v>
      </c>
      <c r="E8970" t="s">
        <v>559</v>
      </c>
      <c r="F8970" t="s">
        <v>1068</v>
      </c>
      <c r="G8970" t="s">
        <v>1087</v>
      </c>
      <c r="H8970" s="171" t="s">
        <v>5708</v>
      </c>
      <c r="I8970" t="s">
        <v>1088</v>
      </c>
      <c r="J8970">
        <v>11.21</v>
      </c>
    </row>
    <row r="8971" spans="1:10" hidden="1">
      <c r="A8971" t="s">
        <v>5702</v>
      </c>
      <c r="B8971" t="s">
        <v>5703</v>
      </c>
      <c r="C8971" t="s">
        <v>5111</v>
      </c>
      <c r="D8971" t="s">
        <v>2414</v>
      </c>
      <c r="E8971" t="s">
        <v>559</v>
      </c>
      <c r="F8971" t="s">
        <v>1068</v>
      </c>
      <c r="G8971" t="s">
        <v>1089</v>
      </c>
      <c r="H8971" s="171" t="s">
        <v>5709</v>
      </c>
      <c r="I8971" t="s">
        <v>1090</v>
      </c>
      <c r="J8971">
        <v>11.21</v>
      </c>
    </row>
    <row r="8972" spans="1:10" hidden="1">
      <c r="A8972" t="s">
        <v>5710</v>
      </c>
      <c r="B8972" t="s">
        <v>5711</v>
      </c>
      <c r="C8972" t="s">
        <v>5111</v>
      </c>
      <c r="D8972" t="s">
        <v>2414</v>
      </c>
      <c r="E8972" t="s">
        <v>560</v>
      </c>
      <c r="F8972" t="s">
        <v>1068</v>
      </c>
      <c r="G8972" t="s">
        <v>1069</v>
      </c>
      <c r="H8972" s="171" t="s">
        <v>5712</v>
      </c>
      <c r="I8972" t="s">
        <v>1070</v>
      </c>
      <c r="J8972">
        <v>9.02</v>
      </c>
    </row>
    <row r="8973" spans="1:10" hidden="1">
      <c r="A8973" t="s">
        <v>5710</v>
      </c>
      <c r="B8973" t="s">
        <v>5711</v>
      </c>
      <c r="C8973" t="s">
        <v>5111</v>
      </c>
      <c r="D8973" t="s">
        <v>2414</v>
      </c>
      <c r="E8973" t="s">
        <v>560</v>
      </c>
      <c r="F8973" t="s">
        <v>1068</v>
      </c>
      <c r="G8973" t="s">
        <v>1071</v>
      </c>
      <c r="H8973" s="171" t="s">
        <v>5713</v>
      </c>
      <c r="I8973" t="s">
        <v>1072</v>
      </c>
      <c r="J8973">
        <v>9.02</v>
      </c>
    </row>
    <row r="8974" spans="1:10" hidden="1">
      <c r="A8974" t="s">
        <v>5710</v>
      </c>
      <c r="B8974" t="s">
        <v>5711</v>
      </c>
      <c r="C8974" t="s">
        <v>5111</v>
      </c>
      <c r="D8974" t="s">
        <v>2414</v>
      </c>
      <c r="E8974" t="s">
        <v>560</v>
      </c>
      <c r="F8974" t="s">
        <v>1068</v>
      </c>
      <c r="G8974" t="s">
        <v>1073</v>
      </c>
      <c r="H8974" s="171" t="s">
        <v>5714</v>
      </c>
      <c r="I8974" t="s">
        <v>1074</v>
      </c>
      <c r="J8974">
        <v>9.02</v>
      </c>
    </row>
    <row r="8975" spans="1:10" hidden="1">
      <c r="A8975" t="s">
        <v>5710</v>
      </c>
      <c r="B8975" t="s">
        <v>5711</v>
      </c>
      <c r="C8975" t="s">
        <v>5111</v>
      </c>
      <c r="D8975" t="s">
        <v>2414</v>
      </c>
      <c r="E8975" t="s">
        <v>560</v>
      </c>
      <c r="F8975" t="s">
        <v>1068</v>
      </c>
      <c r="G8975" t="s">
        <v>1075</v>
      </c>
      <c r="H8975">
        <v>4.0760249550645198E-3</v>
      </c>
      <c r="I8975" t="s">
        <v>1077</v>
      </c>
      <c r="J8975">
        <v>9.02</v>
      </c>
    </row>
    <row r="8976" spans="1:10" hidden="1">
      <c r="A8976" t="s">
        <v>5710</v>
      </c>
      <c r="B8976" t="s">
        <v>5711</v>
      </c>
      <c r="C8976" t="s">
        <v>5111</v>
      </c>
      <c r="D8976" t="s">
        <v>2414</v>
      </c>
      <c r="E8976" t="s">
        <v>560</v>
      </c>
      <c r="F8976" t="s">
        <v>1068</v>
      </c>
      <c r="G8976" t="s">
        <v>1078</v>
      </c>
      <c r="H8976" s="171" t="s">
        <v>5715</v>
      </c>
      <c r="I8976" t="s">
        <v>1079</v>
      </c>
      <c r="J8976">
        <v>9.02</v>
      </c>
    </row>
    <row r="8977" spans="1:10" hidden="1">
      <c r="A8977" t="s">
        <v>5710</v>
      </c>
      <c r="B8977" t="s">
        <v>5711</v>
      </c>
      <c r="C8977" t="s">
        <v>5111</v>
      </c>
      <c r="D8977" t="s">
        <v>2414</v>
      </c>
      <c r="E8977" t="s">
        <v>560</v>
      </c>
      <c r="F8977" t="s">
        <v>1068</v>
      </c>
      <c r="G8977" t="s">
        <v>1080</v>
      </c>
      <c r="H8977" s="171" t="s">
        <v>5183</v>
      </c>
      <c r="I8977" t="s">
        <v>1082</v>
      </c>
      <c r="J8977">
        <v>9.02</v>
      </c>
    </row>
    <row r="8978" spans="1:10" hidden="1">
      <c r="A8978" t="s">
        <v>5710</v>
      </c>
      <c r="B8978" t="s">
        <v>5711</v>
      </c>
      <c r="C8978" t="s">
        <v>5111</v>
      </c>
      <c r="D8978" t="s">
        <v>2414</v>
      </c>
      <c r="E8978" t="s">
        <v>560</v>
      </c>
      <c r="F8978" t="s">
        <v>1068</v>
      </c>
      <c r="G8978" t="s">
        <v>1083</v>
      </c>
      <c r="H8978" s="171" t="s">
        <v>5716</v>
      </c>
      <c r="I8978" t="s">
        <v>1084</v>
      </c>
      <c r="J8978">
        <v>9.02</v>
      </c>
    </row>
    <row r="8979" spans="1:10" hidden="1">
      <c r="A8979" t="s">
        <v>5710</v>
      </c>
      <c r="B8979" t="s">
        <v>5711</v>
      </c>
      <c r="C8979" t="s">
        <v>5111</v>
      </c>
      <c r="D8979" t="s">
        <v>2414</v>
      </c>
      <c r="E8979" t="s">
        <v>560</v>
      </c>
      <c r="F8979" t="s">
        <v>1068</v>
      </c>
      <c r="G8979" t="s">
        <v>1085</v>
      </c>
      <c r="H8979">
        <v>1.45418668602633E-4</v>
      </c>
      <c r="I8979" t="s">
        <v>1086</v>
      </c>
      <c r="J8979">
        <v>9.02</v>
      </c>
    </row>
    <row r="8980" spans="1:10" hidden="1">
      <c r="A8980" t="s">
        <v>5710</v>
      </c>
      <c r="B8980" t="s">
        <v>5711</v>
      </c>
      <c r="C8980" t="s">
        <v>5111</v>
      </c>
      <c r="D8980" t="s">
        <v>2414</v>
      </c>
      <c r="E8980" t="s">
        <v>560</v>
      </c>
      <c r="F8980" t="s">
        <v>1068</v>
      </c>
      <c r="G8980" t="s">
        <v>1087</v>
      </c>
      <c r="H8980" s="171" t="s">
        <v>5185</v>
      </c>
      <c r="I8980" t="s">
        <v>1088</v>
      </c>
      <c r="J8980">
        <v>9.02</v>
      </c>
    </row>
    <row r="8981" spans="1:10" hidden="1">
      <c r="A8981" t="s">
        <v>5710</v>
      </c>
      <c r="B8981" t="s">
        <v>5711</v>
      </c>
      <c r="C8981" t="s">
        <v>5111</v>
      </c>
      <c r="D8981" t="s">
        <v>2414</v>
      </c>
      <c r="E8981" t="s">
        <v>560</v>
      </c>
      <c r="F8981" t="s">
        <v>1068</v>
      </c>
      <c r="G8981" t="s">
        <v>1089</v>
      </c>
      <c r="H8981" s="171" t="s">
        <v>5717</v>
      </c>
      <c r="I8981" t="s">
        <v>1090</v>
      </c>
      <c r="J8981">
        <v>9.02</v>
      </c>
    </row>
    <row r="8982" spans="1:10" hidden="1">
      <c r="A8982" t="s">
        <v>5718</v>
      </c>
      <c r="B8982" t="s">
        <v>5719</v>
      </c>
      <c r="C8982" t="s">
        <v>5111</v>
      </c>
      <c r="D8982" t="s">
        <v>2414</v>
      </c>
      <c r="E8982" t="s">
        <v>1116</v>
      </c>
      <c r="F8982" t="s">
        <v>1068</v>
      </c>
      <c r="G8982" t="s">
        <v>1069</v>
      </c>
      <c r="H8982" s="171" t="s">
        <v>5720</v>
      </c>
      <c r="I8982" t="s">
        <v>1070</v>
      </c>
      <c r="J8982">
        <v>7.65</v>
      </c>
    </row>
    <row r="8983" spans="1:10" hidden="1">
      <c r="A8983" t="s">
        <v>5718</v>
      </c>
      <c r="B8983" t="s">
        <v>5719</v>
      </c>
      <c r="C8983" t="s">
        <v>5111</v>
      </c>
      <c r="D8983" t="s">
        <v>2414</v>
      </c>
      <c r="E8983" t="s">
        <v>1116</v>
      </c>
      <c r="F8983" t="s">
        <v>1068</v>
      </c>
      <c r="G8983" t="s">
        <v>1071</v>
      </c>
      <c r="H8983" s="171" t="s">
        <v>5721</v>
      </c>
      <c r="I8983" t="s">
        <v>1072</v>
      </c>
      <c r="J8983">
        <v>7.65</v>
      </c>
    </row>
    <row r="8984" spans="1:10" hidden="1">
      <c r="A8984" t="s">
        <v>5718</v>
      </c>
      <c r="B8984" t="s">
        <v>5719</v>
      </c>
      <c r="C8984" t="s">
        <v>5111</v>
      </c>
      <c r="D8984" t="s">
        <v>2414</v>
      </c>
      <c r="E8984" t="s">
        <v>1116</v>
      </c>
      <c r="F8984" t="s">
        <v>1068</v>
      </c>
      <c r="G8984" t="s">
        <v>1073</v>
      </c>
      <c r="H8984" s="171" t="s">
        <v>5722</v>
      </c>
      <c r="I8984" t="s">
        <v>1074</v>
      </c>
      <c r="J8984">
        <v>7.65</v>
      </c>
    </row>
    <row r="8985" spans="1:10" hidden="1">
      <c r="A8985" t="s">
        <v>5718</v>
      </c>
      <c r="B8985" t="s">
        <v>5719</v>
      </c>
      <c r="C8985" t="s">
        <v>5111</v>
      </c>
      <c r="D8985" t="s">
        <v>2414</v>
      </c>
      <c r="E8985" t="s">
        <v>1116</v>
      </c>
      <c r="F8985" t="s">
        <v>1068</v>
      </c>
      <c r="G8985" t="s">
        <v>1075</v>
      </c>
      <c r="H8985">
        <v>4.0872108060272397E-3</v>
      </c>
      <c r="I8985" t="s">
        <v>1077</v>
      </c>
      <c r="J8985">
        <v>7.65</v>
      </c>
    </row>
    <row r="8986" spans="1:10" hidden="1">
      <c r="A8986" t="s">
        <v>5718</v>
      </c>
      <c r="B8986" t="s">
        <v>5719</v>
      </c>
      <c r="C8986" t="s">
        <v>5111</v>
      </c>
      <c r="D8986" t="s">
        <v>2414</v>
      </c>
      <c r="E8986" t="s">
        <v>1116</v>
      </c>
      <c r="F8986" t="s">
        <v>1068</v>
      </c>
      <c r="G8986" t="s">
        <v>1078</v>
      </c>
      <c r="H8986">
        <v>4.1898673724089799E-2</v>
      </c>
      <c r="I8986" t="s">
        <v>1079</v>
      </c>
      <c r="J8986">
        <v>7.65</v>
      </c>
    </row>
    <row r="8987" spans="1:10" hidden="1">
      <c r="A8987" t="s">
        <v>5718</v>
      </c>
      <c r="B8987" t="s">
        <v>5719</v>
      </c>
      <c r="C8987" t="s">
        <v>5111</v>
      </c>
      <c r="D8987" t="s">
        <v>2414</v>
      </c>
      <c r="E8987" t="s">
        <v>1116</v>
      </c>
      <c r="F8987" t="s">
        <v>1068</v>
      </c>
      <c r="G8987" t="s">
        <v>1080</v>
      </c>
      <c r="H8987" s="171" t="s">
        <v>5723</v>
      </c>
      <c r="I8987" t="s">
        <v>1082</v>
      </c>
      <c r="J8987">
        <v>7.65</v>
      </c>
    </row>
    <row r="8988" spans="1:10" hidden="1">
      <c r="A8988" t="s">
        <v>5718</v>
      </c>
      <c r="B8988" t="s">
        <v>5719</v>
      </c>
      <c r="C8988" t="s">
        <v>5111</v>
      </c>
      <c r="D8988" t="s">
        <v>2414</v>
      </c>
      <c r="E8988" t="s">
        <v>1116</v>
      </c>
      <c r="F8988" t="s">
        <v>1068</v>
      </c>
      <c r="G8988" t="s">
        <v>1083</v>
      </c>
      <c r="H8988" s="171" t="s">
        <v>5724</v>
      </c>
      <c r="I8988" t="s">
        <v>1084</v>
      </c>
      <c r="J8988">
        <v>7.65</v>
      </c>
    </row>
    <row r="8989" spans="1:10" hidden="1">
      <c r="A8989" t="s">
        <v>5718</v>
      </c>
      <c r="B8989" t="s">
        <v>5719</v>
      </c>
      <c r="C8989" t="s">
        <v>5111</v>
      </c>
      <c r="D8989" t="s">
        <v>2414</v>
      </c>
      <c r="E8989" t="s">
        <v>1116</v>
      </c>
      <c r="F8989" t="s">
        <v>1068</v>
      </c>
      <c r="G8989" t="s">
        <v>1085</v>
      </c>
      <c r="H8989">
        <v>1.4602656802836E-4</v>
      </c>
      <c r="I8989" t="s">
        <v>1086</v>
      </c>
      <c r="J8989">
        <v>7.65</v>
      </c>
    </row>
    <row r="8990" spans="1:10" hidden="1">
      <c r="A8990" t="s">
        <v>5718</v>
      </c>
      <c r="B8990" t="s">
        <v>5719</v>
      </c>
      <c r="C8990" t="s">
        <v>5111</v>
      </c>
      <c r="D8990" t="s">
        <v>2414</v>
      </c>
      <c r="E8990" t="s">
        <v>1116</v>
      </c>
      <c r="F8990" t="s">
        <v>1068</v>
      </c>
      <c r="G8990" t="s">
        <v>1087</v>
      </c>
      <c r="H8990" s="171" t="s">
        <v>5725</v>
      </c>
      <c r="I8990" t="s">
        <v>1088</v>
      </c>
      <c r="J8990">
        <v>7.65</v>
      </c>
    </row>
    <row r="8991" spans="1:10" hidden="1">
      <c r="A8991" t="s">
        <v>5718</v>
      </c>
      <c r="B8991" t="s">
        <v>5719</v>
      </c>
      <c r="C8991" t="s">
        <v>5111</v>
      </c>
      <c r="D8991" t="s">
        <v>2414</v>
      </c>
      <c r="E8991" t="s">
        <v>1116</v>
      </c>
      <c r="F8991" t="s">
        <v>1068</v>
      </c>
      <c r="G8991" t="s">
        <v>1089</v>
      </c>
      <c r="H8991" s="171" t="s">
        <v>5726</v>
      </c>
      <c r="I8991" t="s">
        <v>1090</v>
      </c>
      <c r="J8991">
        <v>7.65</v>
      </c>
    </row>
    <row r="8992" spans="1:10" hidden="1">
      <c r="A8992" t="s">
        <v>5727</v>
      </c>
      <c r="B8992" t="s">
        <v>5728</v>
      </c>
      <c r="C8992" t="s">
        <v>5111</v>
      </c>
      <c r="D8992" t="s">
        <v>2502</v>
      </c>
      <c r="E8992" t="s">
        <v>561</v>
      </c>
      <c r="F8992" t="s">
        <v>1068</v>
      </c>
      <c r="G8992" t="s">
        <v>1069</v>
      </c>
      <c r="H8992">
        <v>0.10703211763396001</v>
      </c>
      <c r="I8992" t="s">
        <v>1070</v>
      </c>
      <c r="J8992">
        <v>8.17</v>
      </c>
    </row>
    <row r="8993" spans="1:10" hidden="1">
      <c r="A8993" t="s">
        <v>5727</v>
      </c>
      <c r="B8993" t="s">
        <v>5728</v>
      </c>
      <c r="C8993" t="s">
        <v>5111</v>
      </c>
      <c r="D8993" t="s">
        <v>2502</v>
      </c>
      <c r="E8993" t="s">
        <v>561</v>
      </c>
      <c r="F8993" t="s">
        <v>1068</v>
      </c>
      <c r="G8993" t="s">
        <v>1071</v>
      </c>
      <c r="H8993" s="171" t="s">
        <v>5729</v>
      </c>
      <c r="I8993" t="s">
        <v>1072</v>
      </c>
      <c r="J8993">
        <v>8.17</v>
      </c>
    </row>
    <row r="8994" spans="1:10" hidden="1">
      <c r="A8994" t="s">
        <v>5727</v>
      </c>
      <c r="B8994" t="s">
        <v>5728</v>
      </c>
      <c r="C8994" t="s">
        <v>5111</v>
      </c>
      <c r="D8994" t="s">
        <v>2502</v>
      </c>
      <c r="E8994" t="s">
        <v>561</v>
      </c>
      <c r="F8994" t="s">
        <v>1068</v>
      </c>
      <c r="G8994" t="s">
        <v>1073</v>
      </c>
      <c r="H8994" s="171" t="s">
        <v>5730</v>
      </c>
      <c r="I8994" t="s">
        <v>1074</v>
      </c>
      <c r="J8994">
        <v>8.17</v>
      </c>
    </row>
    <row r="8995" spans="1:10" hidden="1">
      <c r="A8995" t="s">
        <v>5727</v>
      </c>
      <c r="B8995" t="s">
        <v>5728</v>
      </c>
      <c r="C8995" t="s">
        <v>5111</v>
      </c>
      <c r="D8995" t="s">
        <v>2502</v>
      </c>
      <c r="E8995" t="s">
        <v>561</v>
      </c>
      <c r="F8995" t="s">
        <v>1068</v>
      </c>
      <c r="G8995" t="s">
        <v>1075</v>
      </c>
      <c r="H8995">
        <v>4.6536182744733598E-3</v>
      </c>
      <c r="I8995" t="s">
        <v>1077</v>
      </c>
      <c r="J8995">
        <v>8.17</v>
      </c>
    </row>
    <row r="8996" spans="1:10" hidden="1">
      <c r="A8996" t="s">
        <v>5727</v>
      </c>
      <c r="B8996" t="s">
        <v>5728</v>
      </c>
      <c r="C8996" t="s">
        <v>5111</v>
      </c>
      <c r="D8996" t="s">
        <v>2502</v>
      </c>
      <c r="E8996" t="s">
        <v>561</v>
      </c>
      <c r="F8996" t="s">
        <v>1068</v>
      </c>
      <c r="G8996" t="s">
        <v>1078</v>
      </c>
      <c r="H8996" s="171" t="s">
        <v>5731</v>
      </c>
      <c r="I8996" t="s">
        <v>1079</v>
      </c>
      <c r="J8996">
        <v>8.17</v>
      </c>
    </row>
    <row r="8997" spans="1:10" hidden="1">
      <c r="A8997" t="s">
        <v>5727</v>
      </c>
      <c r="B8997" t="s">
        <v>5728</v>
      </c>
      <c r="C8997" t="s">
        <v>5111</v>
      </c>
      <c r="D8997" t="s">
        <v>2502</v>
      </c>
      <c r="E8997" t="s">
        <v>561</v>
      </c>
      <c r="F8997" t="s">
        <v>1068</v>
      </c>
      <c r="G8997" t="s">
        <v>1080</v>
      </c>
      <c r="H8997" s="171" t="s">
        <v>5732</v>
      </c>
      <c r="I8997" t="s">
        <v>1082</v>
      </c>
      <c r="J8997">
        <v>8.17</v>
      </c>
    </row>
    <row r="8998" spans="1:10" hidden="1">
      <c r="A8998" t="s">
        <v>5727</v>
      </c>
      <c r="B8998" t="s">
        <v>5728</v>
      </c>
      <c r="C8998" t="s">
        <v>5111</v>
      </c>
      <c r="D8998" t="s">
        <v>2502</v>
      </c>
      <c r="E8998" t="s">
        <v>561</v>
      </c>
      <c r="F8998" t="s">
        <v>1068</v>
      </c>
      <c r="G8998" t="s">
        <v>1083</v>
      </c>
      <c r="H8998" s="171" t="s">
        <v>5733</v>
      </c>
      <c r="I8998" t="s">
        <v>1084</v>
      </c>
      <c r="J8998">
        <v>8.17</v>
      </c>
    </row>
    <row r="8999" spans="1:10" hidden="1">
      <c r="A8999" t="s">
        <v>5727</v>
      </c>
      <c r="B8999" t="s">
        <v>5728</v>
      </c>
      <c r="C8999" t="s">
        <v>5111</v>
      </c>
      <c r="D8999" t="s">
        <v>2502</v>
      </c>
      <c r="E8999" t="s">
        <v>561</v>
      </c>
      <c r="F8999" t="s">
        <v>1068</v>
      </c>
      <c r="G8999" t="s">
        <v>1085</v>
      </c>
      <c r="H8999">
        <v>1.66478156766512E-4</v>
      </c>
      <c r="I8999" t="s">
        <v>1086</v>
      </c>
      <c r="J8999">
        <v>8.17</v>
      </c>
    </row>
    <row r="9000" spans="1:10" hidden="1">
      <c r="A9000" t="s">
        <v>5727</v>
      </c>
      <c r="B9000" t="s">
        <v>5728</v>
      </c>
      <c r="C9000" t="s">
        <v>5111</v>
      </c>
      <c r="D9000" t="s">
        <v>2502</v>
      </c>
      <c r="E9000" t="s">
        <v>561</v>
      </c>
      <c r="F9000" t="s">
        <v>1068</v>
      </c>
      <c r="G9000" t="s">
        <v>1087</v>
      </c>
      <c r="H9000" s="171" t="s">
        <v>5734</v>
      </c>
      <c r="I9000" t="s">
        <v>1088</v>
      </c>
      <c r="J9000">
        <v>8.17</v>
      </c>
    </row>
    <row r="9001" spans="1:10" hidden="1">
      <c r="A9001" t="s">
        <v>5727</v>
      </c>
      <c r="B9001" t="s">
        <v>5728</v>
      </c>
      <c r="C9001" t="s">
        <v>5111</v>
      </c>
      <c r="D9001" t="s">
        <v>2502</v>
      </c>
      <c r="E9001" t="s">
        <v>561</v>
      </c>
      <c r="F9001" t="s">
        <v>1068</v>
      </c>
      <c r="G9001" t="s">
        <v>1089</v>
      </c>
      <c r="H9001" s="171" t="s">
        <v>5735</v>
      </c>
      <c r="I9001" t="s">
        <v>1090</v>
      </c>
      <c r="J9001">
        <v>8.17</v>
      </c>
    </row>
    <row r="9002" spans="1:10" hidden="1">
      <c r="A9002" t="s">
        <v>5736</v>
      </c>
      <c r="B9002" t="s">
        <v>5737</v>
      </c>
      <c r="C9002" t="s">
        <v>5111</v>
      </c>
      <c r="D9002" t="s">
        <v>2502</v>
      </c>
      <c r="E9002" t="s">
        <v>555</v>
      </c>
      <c r="F9002" t="s">
        <v>1068</v>
      </c>
      <c r="G9002" t="s">
        <v>1069</v>
      </c>
      <c r="H9002" s="171" t="s">
        <v>5738</v>
      </c>
      <c r="I9002" t="s">
        <v>1070</v>
      </c>
      <c r="J9002">
        <v>7.86</v>
      </c>
    </row>
    <row r="9003" spans="1:10" hidden="1">
      <c r="A9003" t="s">
        <v>5736</v>
      </c>
      <c r="B9003" t="s">
        <v>5737</v>
      </c>
      <c r="C9003" t="s">
        <v>5111</v>
      </c>
      <c r="D9003" t="s">
        <v>2502</v>
      </c>
      <c r="E9003" t="s">
        <v>555</v>
      </c>
      <c r="F9003" t="s">
        <v>1068</v>
      </c>
      <c r="G9003" t="s">
        <v>1071</v>
      </c>
      <c r="H9003" s="171" t="s">
        <v>5739</v>
      </c>
      <c r="I9003" t="s">
        <v>1072</v>
      </c>
      <c r="J9003">
        <v>7.86</v>
      </c>
    </row>
    <row r="9004" spans="1:10" hidden="1">
      <c r="A9004" t="s">
        <v>5736</v>
      </c>
      <c r="B9004" t="s">
        <v>5737</v>
      </c>
      <c r="C9004" t="s">
        <v>5111</v>
      </c>
      <c r="D9004" t="s">
        <v>2502</v>
      </c>
      <c r="E9004" t="s">
        <v>555</v>
      </c>
      <c r="F9004" t="s">
        <v>1068</v>
      </c>
      <c r="G9004" t="s">
        <v>1073</v>
      </c>
      <c r="H9004" s="171" t="s">
        <v>5740</v>
      </c>
      <c r="I9004" t="s">
        <v>1074</v>
      </c>
      <c r="J9004">
        <v>7.86</v>
      </c>
    </row>
    <row r="9005" spans="1:10" hidden="1">
      <c r="A9005" t="s">
        <v>5736</v>
      </c>
      <c r="B9005" t="s">
        <v>5737</v>
      </c>
      <c r="C9005" t="s">
        <v>5111</v>
      </c>
      <c r="D9005" t="s">
        <v>2502</v>
      </c>
      <c r="E9005" t="s">
        <v>555</v>
      </c>
      <c r="F9005" t="s">
        <v>1068</v>
      </c>
      <c r="G9005" t="s">
        <v>1075</v>
      </c>
      <c r="H9005">
        <v>4.6353533894099297E-3</v>
      </c>
      <c r="I9005" t="s">
        <v>1077</v>
      </c>
      <c r="J9005">
        <v>7.86</v>
      </c>
    </row>
    <row r="9006" spans="1:10" hidden="1">
      <c r="A9006" t="s">
        <v>5736</v>
      </c>
      <c r="B9006" t="s">
        <v>5737</v>
      </c>
      <c r="C9006" t="s">
        <v>5111</v>
      </c>
      <c r="D9006" t="s">
        <v>2502</v>
      </c>
      <c r="E9006" t="s">
        <v>555</v>
      </c>
      <c r="F9006" t="s">
        <v>1068</v>
      </c>
      <c r="G9006" t="s">
        <v>1078</v>
      </c>
      <c r="H9006" s="171" t="s">
        <v>5741</v>
      </c>
      <c r="I9006" t="s">
        <v>1079</v>
      </c>
      <c r="J9006">
        <v>7.86</v>
      </c>
    </row>
    <row r="9007" spans="1:10" hidden="1">
      <c r="A9007" t="s">
        <v>5736</v>
      </c>
      <c r="B9007" t="s">
        <v>5737</v>
      </c>
      <c r="C9007" t="s">
        <v>5111</v>
      </c>
      <c r="D9007" t="s">
        <v>2502</v>
      </c>
      <c r="E9007" t="s">
        <v>555</v>
      </c>
      <c r="F9007" t="s">
        <v>1068</v>
      </c>
      <c r="G9007" t="s">
        <v>1080</v>
      </c>
      <c r="H9007" s="171" t="s">
        <v>5742</v>
      </c>
      <c r="I9007" t="s">
        <v>1082</v>
      </c>
      <c r="J9007">
        <v>7.86</v>
      </c>
    </row>
    <row r="9008" spans="1:10" hidden="1">
      <c r="A9008" t="s">
        <v>5736</v>
      </c>
      <c r="B9008" t="s">
        <v>5737</v>
      </c>
      <c r="C9008" t="s">
        <v>5111</v>
      </c>
      <c r="D9008" t="s">
        <v>2502</v>
      </c>
      <c r="E9008" t="s">
        <v>555</v>
      </c>
      <c r="F9008" t="s">
        <v>1068</v>
      </c>
      <c r="G9008" t="s">
        <v>1083</v>
      </c>
      <c r="H9008" s="171" t="s">
        <v>5743</v>
      </c>
      <c r="I9008" t="s">
        <v>1084</v>
      </c>
      <c r="J9008">
        <v>7.86</v>
      </c>
    </row>
    <row r="9009" spans="1:10" hidden="1">
      <c r="A9009" t="s">
        <v>5736</v>
      </c>
      <c r="B9009" t="s">
        <v>5737</v>
      </c>
      <c r="C9009" t="s">
        <v>5111</v>
      </c>
      <c r="D9009" t="s">
        <v>2502</v>
      </c>
      <c r="E9009" t="s">
        <v>555</v>
      </c>
      <c r="F9009" t="s">
        <v>1068</v>
      </c>
      <c r="G9009" t="s">
        <v>1085</v>
      </c>
      <c r="H9009">
        <v>1.6548554053338299E-4</v>
      </c>
      <c r="I9009" t="s">
        <v>1086</v>
      </c>
      <c r="J9009">
        <v>7.86</v>
      </c>
    </row>
    <row r="9010" spans="1:10" hidden="1">
      <c r="A9010" t="s">
        <v>5736</v>
      </c>
      <c r="B9010" t="s">
        <v>5737</v>
      </c>
      <c r="C9010" t="s">
        <v>5111</v>
      </c>
      <c r="D9010" t="s">
        <v>2502</v>
      </c>
      <c r="E9010" t="s">
        <v>555</v>
      </c>
      <c r="F9010" t="s">
        <v>1068</v>
      </c>
      <c r="G9010" t="s">
        <v>1087</v>
      </c>
      <c r="H9010" s="171" t="s">
        <v>5744</v>
      </c>
      <c r="I9010" t="s">
        <v>1088</v>
      </c>
      <c r="J9010">
        <v>7.86</v>
      </c>
    </row>
    <row r="9011" spans="1:10" hidden="1">
      <c r="A9011" t="s">
        <v>5736</v>
      </c>
      <c r="B9011" t="s">
        <v>5737</v>
      </c>
      <c r="C9011" t="s">
        <v>5111</v>
      </c>
      <c r="D9011" t="s">
        <v>2502</v>
      </c>
      <c r="E9011" t="s">
        <v>555</v>
      </c>
      <c r="F9011" t="s">
        <v>1068</v>
      </c>
      <c r="G9011" t="s">
        <v>1089</v>
      </c>
      <c r="H9011" s="171" t="s">
        <v>5745</v>
      </c>
      <c r="I9011" t="s">
        <v>1090</v>
      </c>
      <c r="J9011">
        <v>7.86</v>
      </c>
    </row>
    <row r="9012" spans="1:10" hidden="1">
      <c r="A9012" t="s">
        <v>5746</v>
      </c>
      <c r="B9012" t="s">
        <v>5747</v>
      </c>
      <c r="C9012" t="s">
        <v>5111</v>
      </c>
      <c r="D9012" t="s">
        <v>2502</v>
      </c>
      <c r="E9012" t="s">
        <v>558</v>
      </c>
      <c r="F9012" t="s">
        <v>1068</v>
      </c>
      <c r="G9012" t="s">
        <v>1069</v>
      </c>
      <c r="H9012" s="171" t="s">
        <v>5748</v>
      </c>
      <c r="I9012" t="s">
        <v>1070</v>
      </c>
      <c r="J9012">
        <v>7.83</v>
      </c>
    </row>
    <row r="9013" spans="1:10" hidden="1">
      <c r="A9013" t="s">
        <v>5746</v>
      </c>
      <c r="B9013" t="s">
        <v>5747</v>
      </c>
      <c r="C9013" t="s">
        <v>5111</v>
      </c>
      <c r="D9013" t="s">
        <v>2502</v>
      </c>
      <c r="E9013" t="s">
        <v>558</v>
      </c>
      <c r="F9013" t="s">
        <v>1068</v>
      </c>
      <c r="G9013" t="s">
        <v>1071</v>
      </c>
      <c r="H9013" s="171" t="s">
        <v>5749</v>
      </c>
      <c r="I9013" t="s">
        <v>1072</v>
      </c>
      <c r="J9013">
        <v>7.83</v>
      </c>
    </row>
    <row r="9014" spans="1:10" hidden="1">
      <c r="A9014" t="s">
        <v>5746</v>
      </c>
      <c r="B9014" t="s">
        <v>5747</v>
      </c>
      <c r="C9014" t="s">
        <v>5111</v>
      </c>
      <c r="D9014" t="s">
        <v>2502</v>
      </c>
      <c r="E9014" t="s">
        <v>558</v>
      </c>
      <c r="F9014" t="s">
        <v>1068</v>
      </c>
      <c r="G9014" t="s">
        <v>1073</v>
      </c>
      <c r="H9014" s="171" t="s">
        <v>5750</v>
      </c>
      <c r="I9014" t="s">
        <v>1074</v>
      </c>
      <c r="J9014">
        <v>7.83</v>
      </c>
    </row>
    <row r="9015" spans="1:10" hidden="1">
      <c r="A9015" t="s">
        <v>5746</v>
      </c>
      <c r="B9015" t="s">
        <v>5747</v>
      </c>
      <c r="C9015" t="s">
        <v>5111</v>
      </c>
      <c r="D9015" t="s">
        <v>2502</v>
      </c>
      <c r="E9015" t="s">
        <v>558</v>
      </c>
      <c r="F9015" t="s">
        <v>1068</v>
      </c>
      <c r="G9015" t="s">
        <v>1075</v>
      </c>
      <c r="H9015">
        <v>4.65523774242138E-3</v>
      </c>
      <c r="I9015" t="s">
        <v>1077</v>
      </c>
      <c r="J9015">
        <v>7.83</v>
      </c>
    </row>
    <row r="9016" spans="1:10" hidden="1">
      <c r="A9016" t="s">
        <v>5746</v>
      </c>
      <c r="B9016" t="s">
        <v>5747</v>
      </c>
      <c r="C9016" t="s">
        <v>5111</v>
      </c>
      <c r="D9016" t="s">
        <v>2502</v>
      </c>
      <c r="E9016" t="s">
        <v>558</v>
      </c>
      <c r="F9016" t="s">
        <v>1068</v>
      </c>
      <c r="G9016" t="s">
        <v>1078</v>
      </c>
      <c r="H9016">
        <v>0.12985738300587901</v>
      </c>
      <c r="I9016" t="s">
        <v>1079</v>
      </c>
      <c r="J9016">
        <v>7.83</v>
      </c>
    </row>
    <row r="9017" spans="1:10" hidden="1">
      <c r="A9017" t="s">
        <v>5746</v>
      </c>
      <c r="B9017" t="s">
        <v>5747</v>
      </c>
      <c r="C9017" t="s">
        <v>5111</v>
      </c>
      <c r="D9017" t="s">
        <v>2502</v>
      </c>
      <c r="E9017" t="s">
        <v>558</v>
      </c>
      <c r="F9017" t="s">
        <v>1068</v>
      </c>
      <c r="G9017" t="s">
        <v>1080</v>
      </c>
      <c r="H9017" s="171" t="s">
        <v>5751</v>
      </c>
      <c r="I9017" t="s">
        <v>1082</v>
      </c>
      <c r="J9017">
        <v>7.83</v>
      </c>
    </row>
    <row r="9018" spans="1:10" hidden="1">
      <c r="A9018" t="s">
        <v>5746</v>
      </c>
      <c r="B9018" t="s">
        <v>5747</v>
      </c>
      <c r="C9018" t="s">
        <v>5111</v>
      </c>
      <c r="D9018" t="s">
        <v>2502</v>
      </c>
      <c r="E9018" t="s">
        <v>558</v>
      </c>
      <c r="F9018" t="s">
        <v>1068</v>
      </c>
      <c r="G9018" t="s">
        <v>1083</v>
      </c>
      <c r="H9018" s="171" t="s">
        <v>5752</v>
      </c>
      <c r="I9018" t="s">
        <v>1084</v>
      </c>
      <c r="J9018">
        <v>7.83</v>
      </c>
    </row>
    <row r="9019" spans="1:10" hidden="1">
      <c r="A9019" t="s">
        <v>5746</v>
      </c>
      <c r="B9019" t="s">
        <v>5747</v>
      </c>
      <c r="C9019" t="s">
        <v>5111</v>
      </c>
      <c r="D9019" t="s">
        <v>2502</v>
      </c>
      <c r="E9019" t="s">
        <v>558</v>
      </c>
      <c r="F9019" t="s">
        <v>1068</v>
      </c>
      <c r="G9019" t="s">
        <v>1085</v>
      </c>
      <c r="H9019">
        <v>1.6656616738268E-4</v>
      </c>
      <c r="I9019" t="s">
        <v>1086</v>
      </c>
      <c r="J9019">
        <v>7.83</v>
      </c>
    </row>
    <row r="9020" spans="1:10" hidden="1">
      <c r="A9020" t="s">
        <v>5746</v>
      </c>
      <c r="B9020" t="s">
        <v>5747</v>
      </c>
      <c r="C9020" t="s">
        <v>5111</v>
      </c>
      <c r="D9020" t="s">
        <v>2502</v>
      </c>
      <c r="E9020" t="s">
        <v>558</v>
      </c>
      <c r="F9020" t="s">
        <v>1068</v>
      </c>
      <c r="G9020" t="s">
        <v>1087</v>
      </c>
      <c r="H9020" s="171" t="s">
        <v>5753</v>
      </c>
      <c r="I9020" t="s">
        <v>1088</v>
      </c>
      <c r="J9020">
        <v>7.83</v>
      </c>
    </row>
    <row r="9021" spans="1:10" hidden="1">
      <c r="A9021" t="s">
        <v>5746</v>
      </c>
      <c r="B9021" t="s">
        <v>5747</v>
      </c>
      <c r="C9021" t="s">
        <v>5111</v>
      </c>
      <c r="D9021" t="s">
        <v>2502</v>
      </c>
      <c r="E9021" t="s">
        <v>558</v>
      </c>
      <c r="F9021" t="s">
        <v>1068</v>
      </c>
      <c r="G9021" t="s">
        <v>1089</v>
      </c>
      <c r="H9021" s="171" t="s">
        <v>5754</v>
      </c>
      <c r="I9021" t="s">
        <v>1090</v>
      </c>
      <c r="J9021">
        <v>7.83</v>
      </c>
    </row>
    <row r="9022" spans="1:10" hidden="1">
      <c r="A9022" t="s">
        <v>5755</v>
      </c>
      <c r="B9022" t="s">
        <v>5756</v>
      </c>
      <c r="C9022" t="s">
        <v>5111</v>
      </c>
      <c r="D9022" t="s">
        <v>2502</v>
      </c>
      <c r="E9022" t="s">
        <v>553</v>
      </c>
      <c r="F9022" t="s">
        <v>1068</v>
      </c>
      <c r="G9022" t="s">
        <v>1069</v>
      </c>
      <c r="H9022" s="171" t="s">
        <v>5757</v>
      </c>
      <c r="I9022" t="s">
        <v>1070</v>
      </c>
      <c r="J9022">
        <v>8.85</v>
      </c>
    </row>
    <row r="9023" spans="1:10" hidden="1">
      <c r="A9023" t="s">
        <v>5755</v>
      </c>
      <c r="B9023" t="s">
        <v>5756</v>
      </c>
      <c r="C9023" t="s">
        <v>5111</v>
      </c>
      <c r="D9023" t="s">
        <v>2502</v>
      </c>
      <c r="E9023" t="s">
        <v>553</v>
      </c>
      <c r="F9023" t="s">
        <v>1068</v>
      </c>
      <c r="G9023" t="s">
        <v>1071</v>
      </c>
      <c r="H9023" s="171" t="s">
        <v>5758</v>
      </c>
      <c r="I9023" t="s">
        <v>1072</v>
      </c>
      <c r="J9023">
        <v>8.85</v>
      </c>
    </row>
    <row r="9024" spans="1:10" hidden="1">
      <c r="A9024" t="s">
        <v>5755</v>
      </c>
      <c r="B9024" t="s">
        <v>5756</v>
      </c>
      <c r="C9024" t="s">
        <v>5111</v>
      </c>
      <c r="D9024" t="s">
        <v>2502</v>
      </c>
      <c r="E9024" t="s">
        <v>553</v>
      </c>
      <c r="F9024" t="s">
        <v>1068</v>
      </c>
      <c r="G9024" t="s">
        <v>1073</v>
      </c>
      <c r="H9024" s="171" t="s">
        <v>5759</v>
      </c>
      <c r="I9024" t="s">
        <v>1074</v>
      </c>
      <c r="J9024">
        <v>8.85</v>
      </c>
    </row>
    <row r="9025" spans="1:10" hidden="1">
      <c r="A9025" t="s">
        <v>5755</v>
      </c>
      <c r="B9025" t="s">
        <v>5756</v>
      </c>
      <c r="C9025" t="s">
        <v>5111</v>
      </c>
      <c r="D9025" t="s">
        <v>2502</v>
      </c>
      <c r="E9025" t="s">
        <v>553</v>
      </c>
      <c r="F9025" t="s">
        <v>1068</v>
      </c>
      <c r="G9025" t="s">
        <v>1075</v>
      </c>
      <c r="H9025">
        <v>4.6568462486829701E-3</v>
      </c>
      <c r="I9025" t="s">
        <v>1077</v>
      </c>
      <c r="J9025">
        <v>8.85</v>
      </c>
    </row>
    <row r="9026" spans="1:10" hidden="1">
      <c r="A9026" t="s">
        <v>5755</v>
      </c>
      <c r="B9026" t="s">
        <v>5756</v>
      </c>
      <c r="C9026" t="s">
        <v>5111</v>
      </c>
      <c r="D9026" t="s">
        <v>2502</v>
      </c>
      <c r="E9026" t="s">
        <v>553</v>
      </c>
      <c r="F9026" t="s">
        <v>1068</v>
      </c>
      <c r="G9026" t="s">
        <v>1078</v>
      </c>
      <c r="H9026" s="171" t="s">
        <v>5760</v>
      </c>
      <c r="I9026" t="s">
        <v>1079</v>
      </c>
      <c r="J9026">
        <v>8.85</v>
      </c>
    </row>
    <row r="9027" spans="1:10" hidden="1">
      <c r="A9027" t="s">
        <v>5755</v>
      </c>
      <c r="B9027" t="s">
        <v>5756</v>
      </c>
      <c r="C9027" t="s">
        <v>5111</v>
      </c>
      <c r="D9027" t="s">
        <v>2502</v>
      </c>
      <c r="E9027" t="s">
        <v>553</v>
      </c>
      <c r="F9027" t="s">
        <v>1068</v>
      </c>
      <c r="G9027" t="s">
        <v>1080</v>
      </c>
      <c r="H9027" s="171" t="s">
        <v>5761</v>
      </c>
      <c r="I9027" t="s">
        <v>1082</v>
      </c>
      <c r="J9027">
        <v>8.85</v>
      </c>
    </row>
    <row r="9028" spans="1:10" hidden="1">
      <c r="A9028" t="s">
        <v>5755</v>
      </c>
      <c r="B9028" t="s">
        <v>5756</v>
      </c>
      <c r="C9028" t="s">
        <v>5111</v>
      </c>
      <c r="D9028" t="s">
        <v>2502</v>
      </c>
      <c r="E9028" t="s">
        <v>553</v>
      </c>
      <c r="F9028" t="s">
        <v>1068</v>
      </c>
      <c r="G9028" t="s">
        <v>1083</v>
      </c>
      <c r="H9028" s="171" t="s">
        <v>5762</v>
      </c>
      <c r="I9028" t="s">
        <v>1084</v>
      </c>
      <c r="J9028">
        <v>8.85</v>
      </c>
    </row>
    <row r="9029" spans="1:10" hidden="1">
      <c r="A9029" t="s">
        <v>5755</v>
      </c>
      <c r="B9029" t="s">
        <v>5756</v>
      </c>
      <c r="C9029" t="s">
        <v>5111</v>
      </c>
      <c r="D9029" t="s">
        <v>2502</v>
      </c>
      <c r="E9029" t="s">
        <v>553</v>
      </c>
      <c r="F9029" t="s">
        <v>1068</v>
      </c>
      <c r="G9029" t="s">
        <v>1085</v>
      </c>
      <c r="H9029">
        <v>1.6665357833872099E-4</v>
      </c>
      <c r="I9029" t="s">
        <v>1086</v>
      </c>
      <c r="J9029">
        <v>8.85</v>
      </c>
    </row>
    <row r="9030" spans="1:10" hidden="1">
      <c r="A9030" t="s">
        <v>5755</v>
      </c>
      <c r="B9030" t="s">
        <v>5756</v>
      </c>
      <c r="C9030" t="s">
        <v>5111</v>
      </c>
      <c r="D9030" t="s">
        <v>2502</v>
      </c>
      <c r="E9030" t="s">
        <v>553</v>
      </c>
      <c r="F9030" t="s">
        <v>1068</v>
      </c>
      <c r="G9030" t="s">
        <v>1087</v>
      </c>
      <c r="H9030" s="171" t="s">
        <v>5763</v>
      </c>
      <c r="I9030" t="s">
        <v>1088</v>
      </c>
      <c r="J9030">
        <v>8.85</v>
      </c>
    </row>
    <row r="9031" spans="1:10" hidden="1">
      <c r="A9031" t="s">
        <v>5755</v>
      </c>
      <c r="B9031" t="s">
        <v>5756</v>
      </c>
      <c r="C9031" t="s">
        <v>5111</v>
      </c>
      <c r="D9031" t="s">
        <v>2502</v>
      </c>
      <c r="E9031" t="s">
        <v>553</v>
      </c>
      <c r="F9031" t="s">
        <v>1068</v>
      </c>
      <c r="G9031" t="s">
        <v>1089</v>
      </c>
      <c r="H9031" s="171" t="s">
        <v>5764</v>
      </c>
      <c r="I9031" t="s">
        <v>1090</v>
      </c>
      <c r="J9031">
        <v>8.85</v>
      </c>
    </row>
    <row r="9032" spans="1:10" hidden="1">
      <c r="A9032" t="s">
        <v>5765</v>
      </c>
      <c r="B9032" t="s">
        <v>5766</v>
      </c>
      <c r="C9032" t="s">
        <v>5111</v>
      </c>
      <c r="D9032" t="s">
        <v>2502</v>
      </c>
      <c r="E9032" t="s">
        <v>556</v>
      </c>
      <c r="F9032" t="s">
        <v>1068</v>
      </c>
      <c r="G9032" t="s">
        <v>1069</v>
      </c>
      <c r="H9032" s="171" t="s">
        <v>5767</v>
      </c>
      <c r="I9032" t="s">
        <v>1070</v>
      </c>
      <c r="J9032">
        <v>8.6999999999999993</v>
      </c>
    </row>
    <row r="9033" spans="1:10" hidden="1">
      <c r="A9033" t="s">
        <v>5765</v>
      </c>
      <c r="B9033" t="s">
        <v>5766</v>
      </c>
      <c r="C9033" t="s">
        <v>5111</v>
      </c>
      <c r="D9033" t="s">
        <v>2502</v>
      </c>
      <c r="E9033" t="s">
        <v>556</v>
      </c>
      <c r="F9033" t="s">
        <v>1068</v>
      </c>
      <c r="G9033" t="s">
        <v>1071</v>
      </c>
      <c r="H9033" s="171" t="s">
        <v>5768</v>
      </c>
      <c r="I9033" t="s">
        <v>1072</v>
      </c>
      <c r="J9033">
        <v>8.6999999999999993</v>
      </c>
    </row>
    <row r="9034" spans="1:10" hidden="1">
      <c r="A9034" t="s">
        <v>5765</v>
      </c>
      <c r="B9034" t="s">
        <v>5766</v>
      </c>
      <c r="C9034" t="s">
        <v>5111</v>
      </c>
      <c r="D9034" t="s">
        <v>2502</v>
      </c>
      <c r="E9034" t="s">
        <v>556</v>
      </c>
      <c r="F9034" t="s">
        <v>1068</v>
      </c>
      <c r="G9034" t="s">
        <v>1073</v>
      </c>
      <c r="H9034" s="171" t="s">
        <v>5769</v>
      </c>
      <c r="I9034" t="s">
        <v>1074</v>
      </c>
      <c r="J9034">
        <v>8.6999999999999993</v>
      </c>
    </row>
    <row r="9035" spans="1:10" hidden="1">
      <c r="A9035" t="s">
        <v>5765</v>
      </c>
      <c r="B9035" t="s">
        <v>5766</v>
      </c>
      <c r="C9035" t="s">
        <v>5111</v>
      </c>
      <c r="D9035" t="s">
        <v>2502</v>
      </c>
      <c r="E9035" t="s">
        <v>556</v>
      </c>
      <c r="F9035" t="s">
        <v>1068</v>
      </c>
      <c r="G9035" t="s">
        <v>1075</v>
      </c>
      <c r="H9035">
        <v>4.6373735515712004E-3</v>
      </c>
      <c r="I9035" t="s">
        <v>1077</v>
      </c>
      <c r="J9035">
        <v>8.6999999999999993</v>
      </c>
    </row>
    <row r="9036" spans="1:10" hidden="1">
      <c r="A9036" t="s">
        <v>5765</v>
      </c>
      <c r="B9036" t="s">
        <v>5766</v>
      </c>
      <c r="C9036" t="s">
        <v>5111</v>
      </c>
      <c r="D9036" t="s">
        <v>2502</v>
      </c>
      <c r="E9036" t="s">
        <v>556</v>
      </c>
      <c r="F9036" t="s">
        <v>1068</v>
      </c>
      <c r="G9036" t="s">
        <v>1078</v>
      </c>
      <c r="H9036" s="171" t="s">
        <v>5770</v>
      </c>
      <c r="I9036" t="s">
        <v>1079</v>
      </c>
      <c r="J9036">
        <v>8.6999999999999993</v>
      </c>
    </row>
    <row r="9037" spans="1:10" hidden="1">
      <c r="A9037" t="s">
        <v>5765</v>
      </c>
      <c r="B9037" t="s">
        <v>5766</v>
      </c>
      <c r="C9037" t="s">
        <v>5111</v>
      </c>
      <c r="D9037" t="s">
        <v>2502</v>
      </c>
      <c r="E9037" t="s">
        <v>556</v>
      </c>
      <c r="F9037" t="s">
        <v>1068</v>
      </c>
      <c r="G9037" t="s">
        <v>1080</v>
      </c>
      <c r="H9037" s="171" t="s">
        <v>5771</v>
      </c>
      <c r="I9037" t="s">
        <v>1082</v>
      </c>
      <c r="J9037">
        <v>8.6999999999999993</v>
      </c>
    </row>
    <row r="9038" spans="1:10" hidden="1">
      <c r="A9038" t="s">
        <v>5765</v>
      </c>
      <c r="B9038" t="s">
        <v>5766</v>
      </c>
      <c r="C9038" t="s">
        <v>5111</v>
      </c>
      <c r="D9038" t="s">
        <v>2502</v>
      </c>
      <c r="E9038" t="s">
        <v>556</v>
      </c>
      <c r="F9038" t="s">
        <v>1068</v>
      </c>
      <c r="G9038" t="s">
        <v>1083</v>
      </c>
      <c r="H9038" s="171" t="s">
        <v>5772</v>
      </c>
      <c r="I9038" t="s">
        <v>1084</v>
      </c>
      <c r="J9038">
        <v>8.6999999999999993</v>
      </c>
    </row>
    <row r="9039" spans="1:10" hidden="1">
      <c r="A9039" t="s">
        <v>5765</v>
      </c>
      <c r="B9039" t="s">
        <v>5766</v>
      </c>
      <c r="C9039" t="s">
        <v>5111</v>
      </c>
      <c r="D9039" t="s">
        <v>2502</v>
      </c>
      <c r="E9039" t="s">
        <v>556</v>
      </c>
      <c r="F9039" t="s">
        <v>1068</v>
      </c>
      <c r="G9039" t="s">
        <v>1085</v>
      </c>
      <c r="H9039">
        <v>1.6559532703255101E-4</v>
      </c>
      <c r="I9039" t="s">
        <v>1086</v>
      </c>
      <c r="J9039">
        <v>8.6999999999999993</v>
      </c>
    </row>
    <row r="9040" spans="1:10" hidden="1">
      <c r="A9040" t="s">
        <v>5765</v>
      </c>
      <c r="B9040" t="s">
        <v>5766</v>
      </c>
      <c r="C9040" t="s">
        <v>5111</v>
      </c>
      <c r="D9040" t="s">
        <v>2502</v>
      </c>
      <c r="E9040" t="s">
        <v>556</v>
      </c>
      <c r="F9040" t="s">
        <v>1068</v>
      </c>
      <c r="G9040" t="s">
        <v>1087</v>
      </c>
      <c r="H9040" s="171" t="s">
        <v>5773</v>
      </c>
      <c r="I9040" t="s">
        <v>1088</v>
      </c>
      <c r="J9040">
        <v>8.6999999999999993</v>
      </c>
    </row>
    <row r="9041" spans="1:10" hidden="1">
      <c r="A9041" t="s">
        <v>5765</v>
      </c>
      <c r="B9041" t="s">
        <v>5766</v>
      </c>
      <c r="C9041" t="s">
        <v>5111</v>
      </c>
      <c r="D9041" t="s">
        <v>2502</v>
      </c>
      <c r="E9041" t="s">
        <v>556</v>
      </c>
      <c r="F9041" t="s">
        <v>1068</v>
      </c>
      <c r="G9041" t="s">
        <v>1089</v>
      </c>
      <c r="H9041" s="171" t="s">
        <v>5774</v>
      </c>
      <c r="I9041" t="s">
        <v>1090</v>
      </c>
      <c r="J9041">
        <v>8.6999999999999993</v>
      </c>
    </row>
    <row r="9042" spans="1:10" hidden="1">
      <c r="A9042" t="s">
        <v>5775</v>
      </c>
      <c r="B9042" t="s">
        <v>5776</v>
      </c>
      <c r="C9042" t="s">
        <v>5111</v>
      </c>
      <c r="D9042" t="s">
        <v>2502</v>
      </c>
      <c r="E9042" t="s">
        <v>557</v>
      </c>
      <c r="F9042" t="s">
        <v>1068</v>
      </c>
      <c r="G9042" t="s">
        <v>1069</v>
      </c>
      <c r="H9042" s="171" t="s">
        <v>5777</v>
      </c>
      <c r="I9042" t="s">
        <v>1070</v>
      </c>
      <c r="J9042">
        <v>7.34</v>
      </c>
    </row>
    <row r="9043" spans="1:10" hidden="1">
      <c r="A9043" t="s">
        <v>5775</v>
      </c>
      <c r="B9043" t="s">
        <v>5776</v>
      </c>
      <c r="C9043" t="s">
        <v>5111</v>
      </c>
      <c r="D9043" t="s">
        <v>2502</v>
      </c>
      <c r="E9043" t="s">
        <v>557</v>
      </c>
      <c r="F9043" t="s">
        <v>1068</v>
      </c>
      <c r="G9043" t="s">
        <v>1071</v>
      </c>
      <c r="H9043" s="171" t="s">
        <v>5778</v>
      </c>
      <c r="I9043" t="s">
        <v>1072</v>
      </c>
      <c r="J9043">
        <v>7.34</v>
      </c>
    </row>
    <row r="9044" spans="1:10" hidden="1">
      <c r="A9044" t="s">
        <v>5775</v>
      </c>
      <c r="B9044" t="s">
        <v>5776</v>
      </c>
      <c r="C9044" t="s">
        <v>5111</v>
      </c>
      <c r="D9044" t="s">
        <v>2502</v>
      </c>
      <c r="E9044" t="s">
        <v>557</v>
      </c>
      <c r="F9044" t="s">
        <v>1068</v>
      </c>
      <c r="G9044" t="s">
        <v>1073</v>
      </c>
      <c r="H9044" s="171" t="s">
        <v>5779</v>
      </c>
      <c r="I9044" t="s">
        <v>1074</v>
      </c>
      <c r="J9044">
        <v>7.34</v>
      </c>
    </row>
    <row r="9045" spans="1:10" hidden="1">
      <c r="A9045" t="s">
        <v>5775</v>
      </c>
      <c r="B9045" t="s">
        <v>5776</v>
      </c>
      <c r="C9045" t="s">
        <v>5111</v>
      </c>
      <c r="D9045" t="s">
        <v>2502</v>
      </c>
      <c r="E9045" t="s">
        <v>557</v>
      </c>
      <c r="F9045" t="s">
        <v>1068</v>
      </c>
      <c r="G9045" t="s">
        <v>1075</v>
      </c>
      <c r="H9045">
        <v>4.6485486356795599E-3</v>
      </c>
      <c r="I9045" t="s">
        <v>1077</v>
      </c>
      <c r="J9045">
        <v>7.34</v>
      </c>
    </row>
    <row r="9046" spans="1:10" hidden="1">
      <c r="A9046" t="s">
        <v>5775</v>
      </c>
      <c r="B9046" t="s">
        <v>5776</v>
      </c>
      <c r="C9046" t="s">
        <v>5111</v>
      </c>
      <c r="D9046" t="s">
        <v>2502</v>
      </c>
      <c r="E9046" t="s">
        <v>557</v>
      </c>
      <c r="F9046" t="s">
        <v>1068</v>
      </c>
      <c r="G9046" t="s">
        <v>1078</v>
      </c>
      <c r="H9046" s="171" t="s">
        <v>5780</v>
      </c>
      <c r="I9046" t="s">
        <v>1079</v>
      </c>
      <c r="J9046">
        <v>7.34</v>
      </c>
    </row>
    <row r="9047" spans="1:10" hidden="1">
      <c r="A9047" t="s">
        <v>5775</v>
      </c>
      <c r="B9047" t="s">
        <v>5776</v>
      </c>
      <c r="C9047" t="s">
        <v>5111</v>
      </c>
      <c r="D9047" t="s">
        <v>2502</v>
      </c>
      <c r="E9047" t="s">
        <v>557</v>
      </c>
      <c r="F9047" t="s">
        <v>1068</v>
      </c>
      <c r="G9047" t="s">
        <v>1080</v>
      </c>
      <c r="H9047" s="171" t="s">
        <v>5781</v>
      </c>
      <c r="I9047" t="s">
        <v>1082</v>
      </c>
      <c r="J9047">
        <v>7.34</v>
      </c>
    </row>
    <row r="9048" spans="1:10" hidden="1">
      <c r="A9048" t="s">
        <v>5775</v>
      </c>
      <c r="B9048" t="s">
        <v>5776</v>
      </c>
      <c r="C9048" t="s">
        <v>5111</v>
      </c>
      <c r="D9048" t="s">
        <v>2502</v>
      </c>
      <c r="E9048" t="s">
        <v>557</v>
      </c>
      <c r="F9048" t="s">
        <v>1068</v>
      </c>
      <c r="G9048" t="s">
        <v>1083</v>
      </c>
      <c r="H9048" s="171" t="s">
        <v>5782</v>
      </c>
      <c r="I9048" t="s">
        <v>1084</v>
      </c>
      <c r="J9048">
        <v>7.34</v>
      </c>
    </row>
    <row r="9049" spans="1:10" hidden="1">
      <c r="A9049" t="s">
        <v>5775</v>
      </c>
      <c r="B9049" t="s">
        <v>5776</v>
      </c>
      <c r="C9049" t="s">
        <v>5111</v>
      </c>
      <c r="D9049" t="s">
        <v>2502</v>
      </c>
      <c r="E9049" t="s">
        <v>557</v>
      </c>
      <c r="F9049" t="s">
        <v>1068</v>
      </c>
      <c r="G9049" t="s">
        <v>1085</v>
      </c>
      <c r="H9049">
        <v>1.6620264527242201E-4</v>
      </c>
      <c r="I9049" t="s">
        <v>1086</v>
      </c>
      <c r="J9049">
        <v>7.34</v>
      </c>
    </row>
    <row r="9050" spans="1:10" hidden="1">
      <c r="A9050" t="s">
        <v>5775</v>
      </c>
      <c r="B9050" t="s">
        <v>5776</v>
      </c>
      <c r="C9050" t="s">
        <v>5111</v>
      </c>
      <c r="D9050" t="s">
        <v>2502</v>
      </c>
      <c r="E9050" t="s">
        <v>557</v>
      </c>
      <c r="F9050" t="s">
        <v>1068</v>
      </c>
      <c r="G9050" t="s">
        <v>1087</v>
      </c>
      <c r="H9050" s="171" t="s">
        <v>5783</v>
      </c>
      <c r="I9050" t="s">
        <v>1088</v>
      </c>
      <c r="J9050">
        <v>7.34</v>
      </c>
    </row>
    <row r="9051" spans="1:10" hidden="1">
      <c r="A9051" t="s">
        <v>5775</v>
      </c>
      <c r="B9051" t="s">
        <v>5776</v>
      </c>
      <c r="C9051" t="s">
        <v>5111</v>
      </c>
      <c r="D9051" t="s">
        <v>2502</v>
      </c>
      <c r="E9051" t="s">
        <v>557</v>
      </c>
      <c r="F9051" t="s">
        <v>1068</v>
      </c>
      <c r="G9051" t="s">
        <v>1089</v>
      </c>
      <c r="H9051" s="171" t="s">
        <v>5784</v>
      </c>
      <c r="I9051" t="s">
        <v>1090</v>
      </c>
      <c r="J9051">
        <v>7.34</v>
      </c>
    </row>
    <row r="9052" spans="1:10" hidden="1">
      <c r="A9052" t="s">
        <v>5785</v>
      </c>
      <c r="B9052" t="s">
        <v>5786</v>
      </c>
      <c r="C9052" t="s">
        <v>5111</v>
      </c>
      <c r="D9052" t="s">
        <v>2502</v>
      </c>
      <c r="E9052" t="s">
        <v>559</v>
      </c>
      <c r="F9052" t="s">
        <v>1068</v>
      </c>
      <c r="G9052" t="s">
        <v>1069</v>
      </c>
      <c r="H9052" s="171" t="s">
        <v>5787</v>
      </c>
      <c r="I9052" t="s">
        <v>1070</v>
      </c>
      <c r="J9052">
        <v>12.42</v>
      </c>
    </row>
    <row r="9053" spans="1:10" hidden="1">
      <c r="A9053" t="s">
        <v>5785</v>
      </c>
      <c r="B9053" t="s">
        <v>5786</v>
      </c>
      <c r="C9053" t="s">
        <v>5111</v>
      </c>
      <c r="D9053" t="s">
        <v>2502</v>
      </c>
      <c r="E9053" t="s">
        <v>559</v>
      </c>
      <c r="F9053" t="s">
        <v>1068</v>
      </c>
      <c r="G9053" t="s">
        <v>1071</v>
      </c>
      <c r="H9053" s="171" t="s">
        <v>5788</v>
      </c>
      <c r="I9053" t="s">
        <v>1072</v>
      </c>
      <c r="J9053">
        <v>12.42</v>
      </c>
    </row>
    <row r="9054" spans="1:10" hidden="1">
      <c r="A9054" t="s">
        <v>5785</v>
      </c>
      <c r="B9054" t="s">
        <v>5786</v>
      </c>
      <c r="C9054" t="s">
        <v>5111</v>
      </c>
      <c r="D9054" t="s">
        <v>2502</v>
      </c>
      <c r="E9054" t="s">
        <v>559</v>
      </c>
      <c r="F9054" t="s">
        <v>1068</v>
      </c>
      <c r="G9054" t="s">
        <v>1073</v>
      </c>
      <c r="H9054" s="171" t="s">
        <v>5789</v>
      </c>
      <c r="I9054" t="s">
        <v>1074</v>
      </c>
      <c r="J9054">
        <v>12.42</v>
      </c>
    </row>
    <row r="9055" spans="1:10" hidden="1">
      <c r="A9055" t="s">
        <v>5785</v>
      </c>
      <c r="B9055" t="s">
        <v>5786</v>
      </c>
      <c r="C9055" t="s">
        <v>5111</v>
      </c>
      <c r="D9055" t="s">
        <v>2502</v>
      </c>
      <c r="E9055" t="s">
        <v>559</v>
      </c>
      <c r="F9055" t="s">
        <v>1068</v>
      </c>
      <c r="G9055" t="s">
        <v>1075</v>
      </c>
      <c r="H9055">
        <v>4.6431616566359798E-3</v>
      </c>
      <c r="I9055" t="s">
        <v>1077</v>
      </c>
      <c r="J9055">
        <v>12.42</v>
      </c>
    </row>
    <row r="9056" spans="1:10" hidden="1">
      <c r="A9056" t="s">
        <v>5785</v>
      </c>
      <c r="B9056" t="s">
        <v>5786</v>
      </c>
      <c r="C9056" t="s">
        <v>5111</v>
      </c>
      <c r="D9056" t="s">
        <v>2502</v>
      </c>
      <c r="E9056" t="s">
        <v>559</v>
      </c>
      <c r="F9056" t="s">
        <v>1068</v>
      </c>
      <c r="G9056" t="s">
        <v>1078</v>
      </c>
      <c r="H9056" s="171" t="s">
        <v>5790</v>
      </c>
      <c r="I9056" t="s">
        <v>1079</v>
      </c>
      <c r="J9056">
        <v>12.42</v>
      </c>
    </row>
    <row r="9057" spans="1:10" hidden="1">
      <c r="A9057" t="s">
        <v>5785</v>
      </c>
      <c r="B9057" t="s">
        <v>5786</v>
      </c>
      <c r="C9057" t="s">
        <v>5111</v>
      </c>
      <c r="D9057" t="s">
        <v>2502</v>
      </c>
      <c r="E9057" t="s">
        <v>559</v>
      </c>
      <c r="F9057" t="s">
        <v>1068</v>
      </c>
      <c r="G9057" t="s">
        <v>1080</v>
      </c>
      <c r="H9057" s="171" t="s">
        <v>5791</v>
      </c>
      <c r="I9057" t="s">
        <v>1082</v>
      </c>
      <c r="J9057">
        <v>12.42</v>
      </c>
    </row>
    <row r="9058" spans="1:10" hidden="1">
      <c r="A9058" t="s">
        <v>5785</v>
      </c>
      <c r="B9058" t="s">
        <v>5786</v>
      </c>
      <c r="C9058" t="s">
        <v>5111</v>
      </c>
      <c r="D9058" t="s">
        <v>2502</v>
      </c>
      <c r="E9058" t="s">
        <v>559</v>
      </c>
      <c r="F9058" t="s">
        <v>1068</v>
      </c>
      <c r="G9058" t="s">
        <v>1083</v>
      </c>
      <c r="H9058" s="171" t="s">
        <v>5792</v>
      </c>
      <c r="I9058" t="s">
        <v>1084</v>
      </c>
      <c r="J9058">
        <v>12.42</v>
      </c>
    </row>
    <row r="9059" spans="1:10" hidden="1">
      <c r="A9059" t="s">
        <v>5785</v>
      </c>
      <c r="B9059" t="s">
        <v>5786</v>
      </c>
      <c r="C9059" t="s">
        <v>5111</v>
      </c>
      <c r="D9059" t="s">
        <v>2502</v>
      </c>
      <c r="E9059" t="s">
        <v>559</v>
      </c>
      <c r="F9059" t="s">
        <v>1068</v>
      </c>
      <c r="G9059" t="s">
        <v>1085</v>
      </c>
      <c r="H9059">
        <v>1.65909883855908E-4</v>
      </c>
      <c r="I9059" t="s">
        <v>1086</v>
      </c>
      <c r="J9059">
        <v>12.42</v>
      </c>
    </row>
    <row r="9060" spans="1:10" hidden="1">
      <c r="A9060" t="s">
        <v>5785</v>
      </c>
      <c r="B9060" t="s">
        <v>5786</v>
      </c>
      <c r="C9060" t="s">
        <v>5111</v>
      </c>
      <c r="D9060" t="s">
        <v>2502</v>
      </c>
      <c r="E9060" t="s">
        <v>559</v>
      </c>
      <c r="F9060" t="s">
        <v>1068</v>
      </c>
      <c r="G9060" t="s">
        <v>1087</v>
      </c>
      <c r="H9060" s="171" t="s">
        <v>5793</v>
      </c>
      <c r="I9060" t="s">
        <v>1088</v>
      </c>
      <c r="J9060">
        <v>12.42</v>
      </c>
    </row>
    <row r="9061" spans="1:10" hidden="1">
      <c r="A9061" t="s">
        <v>5785</v>
      </c>
      <c r="B9061" t="s">
        <v>5786</v>
      </c>
      <c r="C9061" t="s">
        <v>5111</v>
      </c>
      <c r="D9061" t="s">
        <v>2502</v>
      </c>
      <c r="E9061" t="s">
        <v>559</v>
      </c>
      <c r="F9061" t="s">
        <v>1068</v>
      </c>
      <c r="G9061" t="s">
        <v>1089</v>
      </c>
      <c r="H9061" s="171" t="s">
        <v>5794</v>
      </c>
      <c r="I9061" t="s">
        <v>1090</v>
      </c>
      <c r="J9061">
        <v>12.42</v>
      </c>
    </row>
    <row r="9062" spans="1:10" hidden="1">
      <c r="A9062" t="s">
        <v>5795</v>
      </c>
      <c r="B9062" t="s">
        <v>5796</v>
      </c>
      <c r="C9062" t="s">
        <v>5111</v>
      </c>
      <c r="D9062" t="s">
        <v>2502</v>
      </c>
      <c r="E9062" t="s">
        <v>560</v>
      </c>
      <c r="F9062" t="s">
        <v>1068</v>
      </c>
      <c r="G9062" t="s">
        <v>1069</v>
      </c>
      <c r="H9062" s="171" t="s">
        <v>5797</v>
      </c>
      <c r="I9062" t="s">
        <v>1070</v>
      </c>
      <c r="J9062">
        <v>7.71</v>
      </c>
    </row>
    <row r="9063" spans="1:10" hidden="1">
      <c r="A9063" t="s">
        <v>5795</v>
      </c>
      <c r="B9063" t="s">
        <v>5796</v>
      </c>
      <c r="C9063" t="s">
        <v>5111</v>
      </c>
      <c r="D9063" t="s">
        <v>2502</v>
      </c>
      <c r="E9063" t="s">
        <v>560</v>
      </c>
      <c r="F9063" t="s">
        <v>1068</v>
      </c>
      <c r="G9063" t="s">
        <v>1071</v>
      </c>
      <c r="H9063" s="171" t="s">
        <v>5798</v>
      </c>
      <c r="I9063" t="s">
        <v>1072</v>
      </c>
      <c r="J9063">
        <v>7.71</v>
      </c>
    </row>
    <row r="9064" spans="1:10" hidden="1">
      <c r="A9064" t="s">
        <v>5795</v>
      </c>
      <c r="B9064" t="s">
        <v>5796</v>
      </c>
      <c r="C9064" t="s">
        <v>5111</v>
      </c>
      <c r="D9064" t="s">
        <v>2502</v>
      </c>
      <c r="E9064" t="s">
        <v>560</v>
      </c>
      <c r="F9064" t="s">
        <v>1068</v>
      </c>
      <c r="G9064" t="s">
        <v>1073</v>
      </c>
      <c r="H9064" s="171" t="s">
        <v>5799</v>
      </c>
      <c r="I9064" t="s">
        <v>1074</v>
      </c>
      <c r="J9064">
        <v>7.71</v>
      </c>
    </row>
    <row r="9065" spans="1:10" hidden="1">
      <c r="A9065" t="s">
        <v>5795</v>
      </c>
      <c r="B9065" t="s">
        <v>5796</v>
      </c>
      <c r="C9065" t="s">
        <v>5111</v>
      </c>
      <c r="D9065" t="s">
        <v>2502</v>
      </c>
      <c r="E9065" t="s">
        <v>560</v>
      </c>
      <c r="F9065" t="s">
        <v>1068</v>
      </c>
      <c r="G9065" t="s">
        <v>1075</v>
      </c>
      <c r="H9065">
        <v>4.6449811120838902E-3</v>
      </c>
      <c r="I9065" t="s">
        <v>1077</v>
      </c>
      <c r="J9065">
        <v>7.71</v>
      </c>
    </row>
    <row r="9066" spans="1:10" hidden="1">
      <c r="A9066" t="s">
        <v>5795</v>
      </c>
      <c r="B9066" t="s">
        <v>5796</v>
      </c>
      <c r="C9066" t="s">
        <v>5111</v>
      </c>
      <c r="D9066" t="s">
        <v>2502</v>
      </c>
      <c r="E9066" t="s">
        <v>560</v>
      </c>
      <c r="F9066" t="s">
        <v>1068</v>
      </c>
      <c r="G9066" t="s">
        <v>1078</v>
      </c>
      <c r="H9066" s="171" t="s">
        <v>5800</v>
      </c>
      <c r="I9066" t="s">
        <v>1079</v>
      </c>
      <c r="J9066">
        <v>7.71</v>
      </c>
    </row>
    <row r="9067" spans="1:10" hidden="1">
      <c r="A9067" t="s">
        <v>5795</v>
      </c>
      <c r="B9067" t="s">
        <v>5796</v>
      </c>
      <c r="C9067" t="s">
        <v>5111</v>
      </c>
      <c r="D9067" t="s">
        <v>2502</v>
      </c>
      <c r="E9067" t="s">
        <v>560</v>
      </c>
      <c r="F9067" t="s">
        <v>1068</v>
      </c>
      <c r="G9067" t="s">
        <v>1080</v>
      </c>
      <c r="H9067" s="171" t="s">
        <v>5801</v>
      </c>
      <c r="I9067" t="s">
        <v>1082</v>
      </c>
      <c r="J9067">
        <v>7.71</v>
      </c>
    </row>
    <row r="9068" spans="1:10" hidden="1">
      <c r="A9068" t="s">
        <v>5795</v>
      </c>
      <c r="B9068" t="s">
        <v>5796</v>
      </c>
      <c r="C9068" t="s">
        <v>5111</v>
      </c>
      <c r="D9068" t="s">
        <v>2502</v>
      </c>
      <c r="E9068" t="s">
        <v>560</v>
      </c>
      <c r="F9068" t="s">
        <v>1068</v>
      </c>
      <c r="G9068" t="s">
        <v>1083</v>
      </c>
      <c r="H9068" s="171" t="s">
        <v>5802</v>
      </c>
      <c r="I9068" t="s">
        <v>1084</v>
      </c>
      <c r="J9068">
        <v>7.71</v>
      </c>
    </row>
    <row r="9069" spans="1:10" hidden="1">
      <c r="A9069" t="s">
        <v>5795</v>
      </c>
      <c r="B9069" t="s">
        <v>5796</v>
      </c>
      <c r="C9069" t="s">
        <v>5111</v>
      </c>
      <c r="D9069" t="s">
        <v>2502</v>
      </c>
      <c r="E9069" t="s">
        <v>560</v>
      </c>
      <c r="F9069" t="s">
        <v>1068</v>
      </c>
      <c r="G9069" t="s">
        <v>1085</v>
      </c>
      <c r="H9069">
        <v>1.6600876681361799E-4</v>
      </c>
      <c r="I9069" t="s">
        <v>1086</v>
      </c>
      <c r="J9069">
        <v>7.71</v>
      </c>
    </row>
    <row r="9070" spans="1:10" hidden="1">
      <c r="A9070" t="s">
        <v>5795</v>
      </c>
      <c r="B9070" t="s">
        <v>5796</v>
      </c>
      <c r="C9070" t="s">
        <v>5111</v>
      </c>
      <c r="D9070" t="s">
        <v>2502</v>
      </c>
      <c r="E9070" t="s">
        <v>560</v>
      </c>
      <c r="F9070" t="s">
        <v>1068</v>
      </c>
      <c r="G9070" t="s">
        <v>1087</v>
      </c>
      <c r="H9070" s="171" t="s">
        <v>5803</v>
      </c>
      <c r="I9070" t="s">
        <v>1088</v>
      </c>
      <c r="J9070">
        <v>7.71</v>
      </c>
    </row>
    <row r="9071" spans="1:10" hidden="1">
      <c r="A9071" t="s">
        <v>5795</v>
      </c>
      <c r="B9071" t="s">
        <v>5796</v>
      </c>
      <c r="C9071" t="s">
        <v>5111</v>
      </c>
      <c r="D9071" t="s">
        <v>2502</v>
      </c>
      <c r="E9071" t="s">
        <v>560</v>
      </c>
      <c r="F9071" t="s">
        <v>1068</v>
      </c>
      <c r="G9071" t="s">
        <v>1089</v>
      </c>
      <c r="H9071" s="171" t="s">
        <v>5804</v>
      </c>
      <c r="I9071" t="s">
        <v>1090</v>
      </c>
      <c r="J9071">
        <v>7.71</v>
      </c>
    </row>
    <row r="9072" spans="1:10" hidden="1">
      <c r="A9072" t="s">
        <v>5805</v>
      </c>
      <c r="B9072" t="s">
        <v>5806</v>
      </c>
      <c r="C9072" t="s">
        <v>5111</v>
      </c>
      <c r="D9072" t="s">
        <v>2502</v>
      </c>
      <c r="E9072" t="s">
        <v>1116</v>
      </c>
      <c r="F9072" t="s">
        <v>1068</v>
      </c>
      <c r="G9072" t="s">
        <v>1069</v>
      </c>
      <c r="H9072" s="171" t="s">
        <v>5807</v>
      </c>
      <c r="I9072" t="s">
        <v>1070</v>
      </c>
      <c r="J9072">
        <v>7.76</v>
      </c>
    </row>
    <row r="9073" spans="1:10" hidden="1">
      <c r="A9073" t="s">
        <v>5805</v>
      </c>
      <c r="B9073" t="s">
        <v>5806</v>
      </c>
      <c r="C9073" t="s">
        <v>5111</v>
      </c>
      <c r="D9073" t="s">
        <v>2502</v>
      </c>
      <c r="E9073" t="s">
        <v>1116</v>
      </c>
      <c r="F9073" t="s">
        <v>1068</v>
      </c>
      <c r="G9073" t="s">
        <v>1071</v>
      </c>
      <c r="H9073" s="171" t="s">
        <v>5808</v>
      </c>
      <c r="I9073" t="s">
        <v>1072</v>
      </c>
      <c r="J9073">
        <v>7.76</v>
      </c>
    </row>
    <row r="9074" spans="1:10" hidden="1">
      <c r="A9074" t="s">
        <v>5805</v>
      </c>
      <c r="B9074" t="s">
        <v>5806</v>
      </c>
      <c r="C9074" t="s">
        <v>5111</v>
      </c>
      <c r="D9074" t="s">
        <v>2502</v>
      </c>
      <c r="E9074" t="s">
        <v>1116</v>
      </c>
      <c r="F9074" t="s">
        <v>1068</v>
      </c>
      <c r="G9074" t="s">
        <v>1073</v>
      </c>
      <c r="H9074" s="171" t="s">
        <v>5809</v>
      </c>
      <c r="I9074" t="s">
        <v>1074</v>
      </c>
      <c r="J9074">
        <v>7.76</v>
      </c>
    </row>
    <row r="9075" spans="1:10" hidden="1">
      <c r="A9075" t="s">
        <v>5805</v>
      </c>
      <c r="B9075" t="s">
        <v>5806</v>
      </c>
      <c r="C9075" t="s">
        <v>5111</v>
      </c>
      <c r="D9075" t="s">
        <v>2502</v>
      </c>
      <c r="E9075" t="s">
        <v>1116</v>
      </c>
      <c r="F9075" t="s">
        <v>1068</v>
      </c>
      <c r="G9075" t="s">
        <v>1075</v>
      </c>
      <c r="H9075">
        <v>4.6558089049654004E-3</v>
      </c>
      <c r="I9075" t="s">
        <v>1077</v>
      </c>
      <c r="J9075">
        <v>7.76</v>
      </c>
    </row>
    <row r="9076" spans="1:10" hidden="1">
      <c r="A9076" t="s">
        <v>5805</v>
      </c>
      <c r="B9076" t="s">
        <v>5806</v>
      </c>
      <c r="C9076" t="s">
        <v>5111</v>
      </c>
      <c r="D9076" t="s">
        <v>2502</v>
      </c>
      <c r="E9076" t="s">
        <v>1116</v>
      </c>
      <c r="F9076" t="s">
        <v>1068</v>
      </c>
      <c r="G9076" t="s">
        <v>1078</v>
      </c>
      <c r="H9076" s="171" t="s">
        <v>5810</v>
      </c>
      <c r="I9076" t="s">
        <v>1079</v>
      </c>
      <c r="J9076">
        <v>7.76</v>
      </c>
    </row>
    <row r="9077" spans="1:10" hidden="1">
      <c r="A9077" t="s">
        <v>5805</v>
      </c>
      <c r="B9077" t="s">
        <v>5806</v>
      </c>
      <c r="C9077" t="s">
        <v>5111</v>
      </c>
      <c r="D9077" t="s">
        <v>2502</v>
      </c>
      <c r="E9077" t="s">
        <v>1116</v>
      </c>
      <c r="F9077" t="s">
        <v>1068</v>
      </c>
      <c r="G9077" t="s">
        <v>1080</v>
      </c>
      <c r="H9077" s="171" t="s">
        <v>5811</v>
      </c>
      <c r="I9077" t="s">
        <v>1082</v>
      </c>
      <c r="J9077">
        <v>7.76</v>
      </c>
    </row>
    <row r="9078" spans="1:10" hidden="1">
      <c r="A9078" t="s">
        <v>5805</v>
      </c>
      <c r="B9078" t="s">
        <v>5806</v>
      </c>
      <c r="C9078" t="s">
        <v>5111</v>
      </c>
      <c r="D9078" t="s">
        <v>2502</v>
      </c>
      <c r="E9078" t="s">
        <v>1116</v>
      </c>
      <c r="F9078" t="s">
        <v>1068</v>
      </c>
      <c r="G9078" t="s">
        <v>1083</v>
      </c>
      <c r="H9078" s="171" t="s">
        <v>5812</v>
      </c>
      <c r="I9078" t="s">
        <v>1084</v>
      </c>
      <c r="J9078">
        <v>7.76</v>
      </c>
    </row>
    <row r="9079" spans="1:10" hidden="1">
      <c r="A9079" t="s">
        <v>5805</v>
      </c>
      <c r="B9079" t="s">
        <v>5806</v>
      </c>
      <c r="C9079" t="s">
        <v>5111</v>
      </c>
      <c r="D9079" t="s">
        <v>2502</v>
      </c>
      <c r="E9079" t="s">
        <v>1116</v>
      </c>
      <c r="F9079" t="s">
        <v>1068</v>
      </c>
      <c r="G9079" t="s">
        <v>1085</v>
      </c>
      <c r="H9079">
        <v>1.6659720743351399E-4</v>
      </c>
      <c r="I9079" t="s">
        <v>1086</v>
      </c>
      <c r="J9079">
        <v>7.76</v>
      </c>
    </row>
    <row r="9080" spans="1:10" hidden="1">
      <c r="A9080" t="s">
        <v>5805</v>
      </c>
      <c r="B9080" t="s">
        <v>5806</v>
      </c>
      <c r="C9080" t="s">
        <v>5111</v>
      </c>
      <c r="D9080" t="s">
        <v>2502</v>
      </c>
      <c r="E9080" t="s">
        <v>1116</v>
      </c>
      <c r="F9080" t="s">
        <v>1068</v>
      </c>
      <c r="G9080" t="s">
        <v>1087</v>
      </c>
      <c r="H9080" s="171" t="s">
        <v>5813</v>
      </c>
      <c r="I9080" t="s">
        <v>1088</v>
      </c>
      <c r="J9080">
        <v>7.76</v>
      </c>
    </row>
    <row r="9081" spans="1:10" hidden="1">
      <c r="A9081" t="s">
        <v>5805</v>
      </c>
      <c r="B9081" t="s">
        <v>5806</v>
      </c>
      <c r="C9081" t="s">
        <v>5111</v>
      </c>
      <c r="D9081" t="s">
        <v>2502</v>
      </c>
      <c r="E9081" t="s">
        <v>1116</v>
      </c>
      <c r="F9081" t="s">
        <v>1068</v>
      </c>
      <c r="G9081" t="s">
        <v>1089</v>
      </c>
      <c r="H9081" s="171" t="s">
        <v>5814</v>
      </c>
      <c r="I9081" t="s">
        <v>1090</v>
      </c>
      <c r="J9081">
        <v>7.76</v>
      </c>
    </row>
    <row r="9082" spans="1:10" hidden="1">
      <c r="A9082" t="s">
        <v>5815</v>
      </c>
      <c r="B9082" t="s">
        <v>5816</v>
      </c>
      <c r="C9082" t="s">
        <v>5111</v>
      </c>
      <c r="D9082" t="s">
        <v>1148</v>
      </c>
      <c r="E9082" t="s">
        <v>561</v>
      </c>
      <c r="F9082" t="s">
        <v>1068</v>
      </c>
      <c r="G9082" t="s">
        <v>1069</v>
      </c>
      <c r="H9082">
        <v>-0.42411853774071201</v>
      </c>
      <c r="I9082" t="s">
        <v>1070</v>
      </c>
      <c r="J9082">
        <v>8.02</v>
      </c>
    </row>
    <row r="9083" spans="1:10" hidden="1">
      <c r="A9083" t="s">
        <v>5815</v>
      </c>
      <c r="B9083" t="s">
        <v>5816</v>
      </c>
      <c r="C9083" t="s">
        <v>5111</v>
      </c>
      <c r="D9083" t="s">
        <v>1148</v>
      </c>
      <c r="E9083" t="s">
        <v>561</v>
      </c>
      <c r="F9083" t="s">
        <v>1068</v>
      </c>
      <c r="G9083" t="s">
        <v>1071</v>
      </c>
      <c r="H9083" s="170">
        <v>-3.8837013340483601E-10</v>
      </c>
      <c r="I9083" t="s">
        <v>1072</v>
      </c>
      <c r="J9083">
        <v>8.02</v>
      </c>
    </row>
    <row r="9084" spans="1:10" hidden="1">
      <c r="A9084" t="s">
        <v>5815</v>
      </c>
      <c r="B9084" t="s">
        <v>5816</v>
      </c>
      <c r="C9084" t="s">
        <v>5111</v>
      </c>
      <c r="D9084" t="s">
        <v>1148</v>
      </c>
      <c r="E9084" t="s">
        <v>561</v>
      </c>
      <c r="F9084" t="s">
        <v>1068</v>
      </c>
      <c r="G9084" t="s">
        <v>1073</v>
      </c>
      <c r="H9084" s="170">
        <v>-1.46943823454626E-7</v>
      </c>
      <c r="I9084" t="s">
        <v>1074</v>
      </c>
      <c r="J9084">
        <v>8.02</v>
      </c>
    </row>
    <row r="9085" spans="1:10" hidden="1">
      <c r="A9085" t="s">
        <v>5815</v>
      </c>
      <c r="B9085" t="s">
        <v>5816</v>
      </c>
      <c r="C9085" t="s">
        <v>5111</v>
      </c>
      <c r="D9085" t="s">
        <v>1148</v>
      </c>
      <c r="E9085" t="s">
        <v>561</v>
      </c>
      <c r="F9085" t="s">
        <v>1068</v>
      </c>
      <c r="G9085" t="s">
        <v>1075</v>
      </c>
      <c r="H9085">
        <v>-6.4464906498788097E-3</v>
      </c>
      <c r="I9085" t="s">
        <v>1077</v>
      </c>
      <c r="J9085">
        <v>8.02</v>
      </c>
    </row>
    <row r="9086" spans="1:10" hidden="1">
      <c r="A9086" t="s">
        <v>5815</v>
      </c>
      <c r="B9086" t="s">
        <v>5816</v>
      </c>
      <c r="C9086" t="s">
        <v>5111</v>
      </c>
      <c r="D9086" t="s">
        <v>1148</v>
      </c>
      <c r="E9086" t="s">
        <v>561</v>
      </c>
      <c r="F9086" t="s">
        <v>1068</v>
      </c>
      <c r="G9086" t="s">
        <v>1078</v>
      </c>
      <c r="H9086">
        <v>-0.62256938148208896</v>
      </c>
      <c r="I9086" t="s">
        <v>1079</v>
      </c>
      <c r="J9086">
        <v>8.02</v>
      </c>
    </row>
    <row r="9087" spans="1:10" hidden="1">
      <c r="A9087" t="s">
        <v>5815</v>
      </c>
      <c r="B9087" t="s">
        <v>5816</v>
      </c>
      <c r="C9087" t="s">
        <v>5111</v>
      </c>
      <c r="D9087" t="s">
        <v>1148</v>
      </c>
      <c r="E9087" t="s">
        <v>561</v>
      </c>
      <c r="F9087" t="s">
        <v>1068</v>
      </c>
      <c r="G9087" t="s">
        <v>1080</v>
      </c>
      <c r="H9087" s="170">
        <v>-2.43398913689386E-9</v>
      </c>
      <c r="I9087" t="s">
        <v>1082</v>
      </c>
      <c r="J9087">
        <v>8.02</v>
      </c>
    </row>
    <row r="9088" spans="1:10" hidden="1">
      <c r="A9088" t="s">
        <v>5815</v>
      </c>
      <c r="B9088" t="s">
        <v>5816</v>
      </c>
      <c r="C9088" t="s">
        <v>5111</v>
      </c>
      <c r="D9088" t="s">
        <v>1148</v>
      </c>
      <c r="E9088" t="s">
        <v>561</v>
      </c>
      <c r="F9088" t="s">
        <v>1068</v>
      </c>
      <c r="G9088" t="s">
        <v>1083</v>
      </c>
      <c r="H9088" s="170">
        <v>-5.8379887069918603E-5</v>
      </c>
      <c r="I9088" t="s">
        <v>1084</v>
      </c>
      <c r="J9088">
        <v>8.02</v>
      </c>
    </row>
    <row r="9089" spans="1:10" hidden="1">
      <c r="A9089" t="s">
        <v>5815</v>
      </c>
      <c r="B9089" t="s">
        <v>5816</v>
      </c>
      <c r="C9089" t="s">
        <v>5111</v>
      </c>
      <c r="D9089" t="s">
        <v>1148</v>
      </c>
      <c r="E9089" t="s">
        <v>561</v>
      </c>
      <c r="F9089" t="s">
        <v>1068</v>
      </c>
      <c r="G9089" t="s">
        <v>1085</v>
      </c>
      <c r="H9089">
        <v>-4.9097802348580704E-4</v>
      </c>
      <c r="I9089" t="s">
        <v>1086</v>
      </c>
      <c r="J9089">
        <v>8.02</v>
      </c>
    </row>
    <row r="9090" spans="1:10" hidden="1">
      <c r="A9090" t="s">
        <v>5815</v>
      </c>
      <c r="B9090" t="s">
        <v>5816</v>
      </c>
      <c r="C9090" t="s">
        <v>5111</v>
      </c>
      <c r="D9090" t="s">
        <v>1148</v>
      </c>
      <c r="E9090" t="s">
        <v>561</v>
      </c>
      <c r="F9090" t="s">
        <v>1068</v>
      </c>
      <c r="G9090" t="s">
        <v>1087</v>
      </c>
      <c r="H9090" s="170">
        <v>-3.8758603184091101E-7</v>
      </c>
      <c r="I9090" t="s">
        <v>1088</v>
      </c>
      <c r="J9090">
        <v>8.02</v>
      </c>
    </row>
    <row r="9091" spans="1:10" hidden="1">
      <c r="A9091" t="s">
        <v>5815</v>
      </c>
      <c r="B9091" t="s">
        <v>5816</v>
      </c>
      <c r="C9091" t="s">
        <v>5111</v>
      </c>
      <c r="D9091" t="s">
        <v>1148</v>
      </c>
      <c r="E9091" t="s">
        <v>561</v>
      </c>
      <c r="F9091" t="s">
        <v>1068</v>
      </c>
      <c r="G9091" t="s">
        <v>1089</v>
      </c>
      <c r="H9091" s="170">
        <v>-7.50610309159557E-5</v>
      </c>
      <c r="I9091" t="s">
        <v>1090</v>
      </c>
      <c r="J9091">
        <v>8.02</v>
      </c>
    </row>
    <row r="9092" spans="1:10" hidden="1">
      <c r="A9092" t="s">
        <v>5817</v>
      </c>
      <c r="B9092" t="s">
        <v>5818</v>
      </c>
      <c r="C9092" t="s">
        <v>5111</v>
      </c>
      <c r="D9092" t="s">
        <v>1148</v>
      </c>
      <c r="E9092" t="s">
        <v>555</v>
      </c>
      <c r="F9092" t="s">
        <v>1068</v>
      </c>
      <c r="G9092" t="s">
        <v>1069</v>
      </c>
      <c r="H9092">
        <v>-0.480141832154588</v>
      </c>
      <c r="I9092" t="s">
        <v>1070</v>
      </c>
      <c r="J9092">
        <v>8.9</v>
      </c>
    </row>
    <row r="9093" spans="1:10" hidden="1">
      <c r="A9093" t="s">
        <v>5817</v>
      </c>
      <c r="B9093" t="s">
        <v>5818</v>
      </c>
      <c r="C9093" t="s">
        <v>5111</v>
      </c>
      <c r="D9093" t="s">
        <v>1148</v>
      </c>
      <c r="E9093" t="s">
        <v>555</v>
      </c>
      <c r="F9093" t="s">
        <v>1068</v>
      </c>
      <c r="G9093" t="s">
        <v>1071</v>
      </c>
      <c r="H9093" s="170">
        <v>-4.6854003949777604E-10</v>
      </c>
      <c r="I9093" t="s">
        <v>1072</v>
      </c>
      <c r="J9093">
        <v>8.9</v>
      </c>
    </row>
    <row r="9094" spans="1:10" hidden="1">
      <c r="A9094" t="s">
        <v>5817</v>
      </c>
      <c r="B9094" t="s">
        <v>5818</v>
      </c>
      <c r="C9094" t="s">
        <v>5111</v>
      </c>
      <c r="D9094" t="s">
        <v>1148</v>
      </c>
      <c r="E9094" t="s">
        <v>555</v>
      </c>
      <c r="F9094" t="s">
        <v>1068</v>
      </c>
      <c r="G9094" t="s">
        <v>1073</v>
      </c>
      <c r="H9094" s="170">
        <v>-1.6684374596924401E-7</v>
      </c>
      <c r="I9094" t="s">
        <v>1074</v>
      </c>
      <c r="J9094">
        <v>8.9</v>
      </c>
    </row>
    <row r="9095" spans="1:10" hidden="1">
      <c r="A9095" t="s">
        <v>5817</v>
      </c>
      <c r="B9095" t="s">
        <v>5818</v>
      </c>
      <c r="C9095" t="s">
        <v>5111</v>
      </c>
      <c r="D9095" t="s">
        <v>1148</v>
      </c>
      <c r="E9095" t="s">
        <v>555</v>
      </c>
      <c r="F9095" t="s">
        <v>1068</v>
      </c>
      <c r="G9095" t="s">
        <v>1075</v>
      </c>
      <c r="H9095">
        <v>-8.2174766453936392E-3</v>
      </c>
      <c r="I9095" t="s">
        <v>1077</v>
      </c>
      <c r="J9095">
        <v>8.9</v>
      </c>
    </row>
    <row r="9096" spans="1:10" hidden="1">
      <c r="A9096" t="s">
        <v>5817</v>
      </c>
      <c r="B9096" t="s">
        <v>5818</v>
      </c>
      <c r="C9096" t="s">
        <v>5111</v>
      </c>
      <c r="D9096" t="s">
        <v>1148</v>
      </c>
      <c r="E9096" t="s">
        <v>555</v>
      </c>
      <c r="F9096" t="s">
        <v>1068</v>
      </c>
      <c r="G9096" t="s">
        <v>1078</v>
      </c>
      <c r="H9096">
        <v>-0.69915364782550704</v>
      </c>
      <c r="I9096" t="s">
        <v>1079</v>
      </c>
      <c r="J9096">
        <v>8.9</v>
      </c>
    </row>
    <row r="9097" spans="1:10" hidden="1">
      <c r="A9097" t="s">
        <v>5817</v>
      </c>
      <c r="B9097" t="s">
        <v>5818</v>
      </c>
      <c r="C9097" t="s">
        <v>5111</v>
      </c>
      <c r="D9097" t="s">
        <v>1148</v>
      </c>
      <c r="E9097" t="s">
        <v>555</v>
      </c>
      <c r="F9097" t="s">
        <v>1068</v>
      </c>
      <c r="G9097" t="s">
        <v>1080</v>
      </c>
      <c r="H9097" s="170">
        <v>-2.7454077641634601E-9</v>
      </c>
      <c r="I9097" t="s">
        <v>1082</v>
      </c>
      <c r="J9097">
        <v>8.9</v>
      </c>
    </row>
    <row r="9098" spans="1:10" hidden="1">
      <c r="A9098" t="s">
        <v>5817</v>
      </c>
      <c r="B9098" t="s">
        <v>5818</v>
      </c>
      <c r="C9098" t="s">
        <v>5111</v>
      </c>
      <c r="D9098" t="s">
        <v>1148</v>
      </c>
      <c r="E9098" t="s">
        <v>555</v>
      </c>
      <c r="F9098" t="s">
        <v>1068</v>
      </c>
      <c r="G9098" t="s">
        <v>1083</v>
      </c>
      <c r="H9098" s="170">
        <v>-6.6895607497472604E-5</v>
      </c>
      <c r="I9098" t="s">
        <v>1084</v>
      </c>
      <c r="J9098">
        <v>8.9</v>
      </c>
    </row>
    <row r="9099" spans="1:10" hidden="1">
      <c r="A9099" t="s">
        <v>5817</v>
      </c>
      <c r="B9099" t="s">
        <v>5818</v>
      </c>
      <c r="C9099" t="s">
        <v>5111</v>
      </c>
      <c r="D9099" t="s">
        <v>1148</v>
      </c>
      <c r="E9099" t="s">
        <v>555</v>
      </c>
      <c r="F9099" t="s">
        <v>1068</v>
      </c>
      <c r="G9099" t="s">
        <v>1085</v>
      </c>
      <c r="H9099">
        <v>-5.8722294748449503E-4</v>
      </c>
      <c r="I9099" t="s">
        <v>1086</v>
      </c>
      <c r="J9099">
        <v>8.9</v>
      </c>
    </row>
    <row r="9100" spans="1:10" hidden="1">
      <c r="A9100" t="s">
        <v>5817</v>
      </c>
      <c r="B9100" t="s">
        <v>5818</v>
      </c>
      <c r="C9100" t="s">
        <v>5111</v>
      </c>
      <c r="D9100" t="s">
        <v>1148</v>
      </c>
      <c r="E9100" t="s">
        <v>555</v>
      </c>
      <c r="F9100" t="s">
        <v>1068</v>
      </c>
      <c r="G9100" t="s">
        <v>1087</v>
      </c>
      <c r="H9100" s="170">
        <v>-4.3403427172628201E-7</v>
      </c>
      <c r="I9100" t="s">
        <v>1088</v>
      </c>
      <c r="J9100">
        <v>8.9</v>
      </c>
    </row>
    <row r="9101" spans="1:10" hidden="1">
      <c r="A9101" t="s">
        <v>5817</v>
      </c>
      <c r="B9101" t="s">
        <v>5818</v>
      </c>
      <c r="C9101" t="s">
        <v>5111</v>
      </c>
      <c r="D9101" t="s">
        <v>1148</v>
      </c>
      <c r="E9101" t="s">
        <v>555</v>
      </c>
      <c r="F9101" t="s">
        <v>1068</v>
      </c>
      <c r="G9101" t="s">
        <v>1089</v>
      </c>
      <c r="H9101" s="170">
        <v>-9.4916168627328095E-5</v>
      </c>
      <c r="I9101" t="s">
        <v>1090</v>
      </c>
      <c r="J9101">
        <v>8.9</v>
      </c>
    </row>
    <row r="9102" spans="1:10" hidden="1">
      <c r="A9102" t="s">
        <v>5819</v>
      </c>
      <c r="B9102" t="s">
        <v>5820</v>
      </c>
      <c r="C9102" t="s">
        <v>5111</v>
      </c>
      <c r="D9102" t="s">
        <v>1148</v>
      </c>
      <c r="E9102" t="s">
        <v>558</v>
      </c>
      <c r="F9102" t="s">
        <v>1068</v>
      </c>
      <c r="G9102" t="s">
        <v>1069</v>
      </c>
      <c r="H9102">
        <v>-0.41915804852206301</v>
      </c>
      <c r="I9102" t="s">
        <v>1070</v>
      </c>
      <c r="J9102">
        <v>7.35</v>
      </c>
    </row>
    <row r="9103" spans="1:10" hidden="1">
      <c r="A9103" t="s">
        <v>5819</v>
      </c>
      <c r="B9103" t="s">
        <v>5820</v>
      </c>
      <c r="C9103" t="s">
        <v>5111</v>
      </c>
      <c r="D9103" t="s">
        <v>1148</v>
      </c>
      <c r="E9103" t="s">
        <v>558</v>
      </c>
      <c r="F9103" t="s">
        <v>1068</v>
      </c>
      <c r="G9103" t="s">
        <v>1071</v>
      </c>
      <c r="H9103" s="170">
        <v>-3.8127161689803698E-10</v>
      </c>
      <c r="I9103" t="s">
        <v>1072</v>
      </c>
      <c r="J9103">
        <v>7.35</v>
      </c>
    </row>
    <row r="9104" spans="1:10" hidden="1">
      <c r="A9104" t="s">
        <v>5819</v>
      </c>
      <c r="B9104" t="s">
        <v>5820</v>
      </c>
      <c r="C9104" t="s">
        <v>5111</v>
      </c>
      <c r="D9104" t="s">
        <v>1148</v>
      </c>
      <c r="E9104" t="s">
        <v>558</v>
      </c>
      <c r="F9104" t="s">
        <v>1068</v>
      </c>
      <c r="G9104" t="s">
        <v>1073</v>
      </c>
      <c r="H9104" s="170">
        <v>-1.4518184198821901E-7</v>
      </c>
      <c r="I9104" t="s">
        <v>1074</v>
      </c>
      <c r="J9104">
        <v>7.35</v>
      </c>
    </row>
    <row r="9105" spans="1:10" hidden="1">
      <c r="A9105" t="s">
        <v>5819</v>
      </c>
      <c r="B9105" t="s">
        <v>5820</v>
      </c>
      <c r="C9105" t="s">
        <v>5111</v>
      </c>
      <c r="D9105" t="s">
        <v>1148</v>
      </c>
      <c r="E9105" t="s">
        <v>558</v>
      </c>
      <c r="F9105" t="s">
        <v>1068</v>
      </c>
      <c r="G9105" t="s">
        <v>1075</v>
      </c>
      <c r="H9105">
        <v>-6.28968428653806E-3</v>
      </c>
      <c r="I9105" t="s">
        <v>1077</v>
      </c>
      <c r="J9105">
        <v>7.35</v>
      </c>
    </row>
    <row r="9106" spans="1:10" hidden="1">
      <c r="A9106" t="s">
        <v>5819</v>
      </c>
      <c r="B9106" t="s">
        <v>5820</v>
      </c>
      <c r="C9106" t="s">
        <v>5111</v>
      </c>
      <c r="D9106" t="s">
        <v>1148</v>
      </c>
      <c r="E9106" t="s">
        <v>558</v>
      </c>
      <c r="F9106" t="s">
        <v>1068</v>
      </c>
      <c r="G9106" t="s">
        <v>1078</v>
      </c>
      <c r="H9106">
        <v>-0.61578846946730303</v>
      </c>
      <c r="I9106" t="s">
        <v>1079</v>
      </c>
      <c r="J9106">
        <v>7.35</v>
      </c>
    </row>
    <row r="9107" spans="1:10" hidden="1">
      <c r="A9107" t="s">
        <v>5819</v>
      </c>
      <c r="B9107" t="s">
        <v>5820</v>
      </c>
      <c r="C9107" t="s">
        <v>5111</v>
      </c>
      <c r="D9107" t="s">
        <v>1148</v>
      </c>
      <c r="E9107" t="s">
        <v>558</v>
      </c>
      <c r="F9107" t="s">
        <v>1068</v>
      </c>
      <c r="G9107" t="s">
        <v>1080</v>
      </c>
      <c r="H9107" s="170">
        <v>-2.4064155578145798E-9</v>
      </c>
      <c r="I9107" t="s">
        <v>1082</v>
      </c>
      <c r="J9107">
        <v>7.35</v>
      </c>
    </row>
    <row r="9108" spans="1:10" hidden="1">
      <c r="A9108" t="s">
        <v>5819</v>
      </c>
      <c r="B9108" t="s">
        <v>5820</v>
      </c>
      <c r="C9108" t="s">
        <v>5111</v>
      </c>
      <c r="D9108" t="s">
        <v>1148</v>
      </c>
      <c r="E9108" t="s">
        <v>558</v>
      </c>
      <c r="F9108" t="s">
        <v>1068</v>
      </c>
      <c r="G9108" t="s">
        <v>1083</v>
      </c>
      <c r="H9108" s="170">
        <v>-5.7625889496968199E-5</v>
      </c>
      <c r="I9108" t="s">
        <v>1084</v>
      </c>
      <c r="J9108">
        <v>7.35</v>
      </c>
    </row>
    <row r="9109" spans="1:10" hidden="1">
      <c r="A9109" t="s">
        <v>5819</v>
      </c>
      <c r="B9109" t="s">
        <v>5820</v>
      </c>
      <c r="C9109" t="s">
        <v>5111</v>
      </c>
      <c r="D9109" t="s">
        <v>1148</v>
      </c>
      <c r="E9109" t="s">
        <v>558</v>
      </c>
      <c r="F9109" t="s">
        <v>1068</v>
      </c>
      <c r="G9109" t="s">
        <v>1085</v>
      </c>
      <c r="H9109">
        <v>-4.82456320618233E-4</v>
      </c>
      <c r="I9109" t="s">
        <v>1086</v>
      </c>
      <c r="J9109">
        <v>7.35</v>
      </c>
    </row>
    <row r="9110" spans="1:10" hidden="1">
      <c r="A9110" t="s">
        <v>5819</v>
      </c>
      <c r="B9110" t="s">
        <v>5820</v>
      </c>
      <c r="C9110" t="s">
        <v>5111</v>
      </c>
      <c r="D9110" t="s">
        <v>1148</v>
      </c>
      <c r="E9110" t="s">
        <v>558</v>
      </c>
      <c r="F9110" t="s">
        <v>1068</v>
      </c>
      <c r="G9110" t="s">
        <v>1087</v>
      </c>
      <c r="H9110" s="170">
        <v>-3.8347341912679903E-7</v>
      </c>
      <c r="I9110" t="s">
        <v>1088</v>
      </c>
      <c r="J9110">
        <v>7.35</v>
      </c>
    </row>
    <row r="9111" spans="1:10" hidden="1">
      <c r="A9111" t="s">
        <v>5819</v>
      </c>
      <c r="B9111" t="s">
        <v>5820</v>
      </c>
      <c r="C9111" t="s">
        <v>5111</v>
      </c>
      <c r="D9111" t="s">
        <v>1148</v>
      </c>
      <c r="E9111" t="s">
        <v>558</v>
      </c>
      <c r="F9111" t="s">
        <v>1068</v>
      </c>
      <c r="G9111" t="s">
        <v>1089</v>
      </c>
      <c r="H9111" s="170">
        <v>-7.3303020442488901E-5</v>
      </c>
      <c r="I9111" t="s">
        <v>1090</v>
      </c>
      <c r="J9111">
        <v>7.35</v>
      </c>
    </row>
    <row r="9112" spans="1:10" hidden="1">
      <c r="A9112" t="s">
        <v>5821</v>
      </c>
      <c r="B9112" t="s">
        <v>5822</v>
      </c>
      <c r="C9112" t="s">
        <v>5111</v>
      </c>
      <c r="D9112" t="s">
        <v>1148</v>
      </c>
      <c r="E9112" t="s">
        <v>553</v>
      </c>
      <c r="F9112" t="s">
        <v>1068</v>
      </c>
      <c r="G9112" t="s">
        <v>1069</v>
      </c>
      <c r="H9112">
        <v>-0.41429879672345199</v>
      </c>
      <c r="I9112" t="s">
        <v>1070</v>
      </c>
      <c r="J9112">
        <v>8.65</v>
      </c>
    </row>
    <row r="9113" spans="1:10" hidden="1">
      <c r="A9113" t="s">
        <v>5821</v>
      </c>
      <c r="B9113" t="s">
        <v>5822</v>
      </c>
      <c r="C9113" t="s">
        <v>5111</v>
      </c>
      <c r="D9113" t="s">
        <v>1148</v>
      </c>
      <c r="E9113" t="s">
        <v>553</v>
      </c>
      <c r="F9113" t="s">
        <v>1068</v>
      </c>
      <c r="G9113" t="s">
        <v>1071</v>
      </c>
      <c r="H9113" s="170">
        <v>-3.7431790670720802E-10</v>
      </c>
      <c r="I9113" t="s">
        <v>1072</v>
      </c>
      <c r="J9113">
        <v>8.65</v>
      </c>
    </row>
    <row r="9114" spans="1:10" hidden="1">
      <c r="A9114" t="s">
        <v>5821</v>
      </c>
      <c r="B9114" t="s">
        <v>5822</v>
      </c>
      <c r="C9114" t="s">
        <v>5111</v>
      </c>
      <c r="D9114" t="s">
        <v>1148</v>
      </c>
      <c r="E9114" t="s">
        <v>553</v>
      </c>
      <c r="F9114" t="s">
        <v>1068</v>
      </c>
      <c r="G9114" t="s">
        <v>1073</v>
      </c>
      <c r="H9114" s="170">
        <v>-1.4345609144405599E-7</v>
      </c>
      <c r="I9114" t="s">
        <v>1074</v>
      </c>
      <c r="J9114">
        <v>8.65</v>
      </c>
    </row>
    <row r="9115" spans="1:10" hidden="1">
      <c r="A9115" t="s">
        <v>5821</v>
      </c>
      <c r="B9115" t="s">
        <v>5822</v>
      </c>
      <c r="C9115" t="s">
        <v>5111</v>
      </c>
      <c r="D9115" t="s">
        <v>1148</v>
      </c>
      <c r="E9115" t="s">
        <v>553</v>
      </c>
      <c r="F9115" t="s">
        <v>1068</v>
      </c>
      <c r="G9115" t="s">
        <v>1075</v>
      </c>
      <c r="H9115">
        <v>-6.1361079573105598E-3</v>
      </c>
      <c r="I9115" t="s">
        <v>1077</v>
      </c>
      <c r="J9115">
        <v>8.65</v>
      </c>
    </row>
    <row r="9116" spans="1:10" hidden="1">
      <c r="A9116" t="s">
        <v>5821</v>
      </c>
      <c r="B9116" t="s">
        <v>5822</v>
      </c>
      <c r="C9116" t="s">
        <v>5111</v>
      </c>
      <c r="D9116" t="s">
        <v>1148</v>
      </c>
      <c r="E9116" t="s">
        <v>553</v>
      </c>
      <c r="F9116" t="s">
        <v>1068</v>
      </c>
      <c r="G9116" t="s">
        <v>1078</v>
      </c>
      <c r="H9116">
        <v>-0.60914723709358098</v>
      </c>
      <c r="I9116" t="s">
        <v>1079</v>
      </c>
      <c r="J9116">
        <v>8.65</v>
      </c>
    </row>
    <row r="9117" spans="1:10" hidden="1">
      <c r="A9117" t="s">
        <v>5821</v>
      </c>
      <c r="B9117" t="s">
        <v>5822</v>
      </c>
      <c r="C9117" t="s">
        <v>5111</v>
      </c>
      <c r="D9117" t="s">
        <v>1148</v>
      </c>
      <c r="E9117" t="s">
        <v>553</v>
      </c>
      <c r="F9117" t="s">
        <v>1068</v>
      </c>
      <c r="G9117" t="s">
        <v>1080</v>
      </c>
      <c r="H9117" s="170">
        <v>-2.3794099634918598E-9</v>
      </c>
      <c r="I9117" t="s">
        <v>1082</v>
      </c>
      <c r="J9117">
        <v>8.65</v>
      </c>
    </row>
    <row r="9118" spans="1:10" hidden="1">
      <c r="A9118" t="s">
        <v>5821</v>
      </c>
      <c r="B9118" t="s">
        <v>5822</v>
      </c>
      <c r="C9118" t="s">
        <v>5111</v>
      </c>
      <c r="D9118" t="s">
        <v>1148</v>
      </c>
      <c r="E9118" t="s">
        <v>553</v>
      </c>
      <c r="F9118" t="s">
        <v>1068</v>
      </c>
      <c r="G9118" t="s">
        <v>1083</v>
      </c>
      <c r="H9118" s="170">
        <v>-5.6887423481242497E-5</v>
      </c>
      <c r="I9118" t="s">
        <v>1084</v>
      </c>
      <c r="J9118">
        <v>8.65</v>
      </c>
    </row>
    <row r="9119" spans="1:10" hidden="1">
      <c r="A9119" t="s">
        <v>5821</v>
      </c>
      <c r="B9119" t="s">
        <v>5822</v>
      </c>
      <c r="C9119" t="s">
        <v>5111</v>
      </c>
      <c r="D9119" t="s">
        <v>1148</v>
      </c>
      <c r="E9119" t="s">
        <v>553</v>
      </c>
      <c r="F9119" t="s">
        <v>1068</v>
      </c>
      <c r="G9119" t="s">
        <v>1085</v>
      </c>
      <c r="H9119">
        <v>-4.74110155759482E-4</v>
      </c>
      <c r="I9119" t="s">
        <v>1086</v>
      </c>
      <c r="J9119">
        <v>8.65</v>
      </c>
    </row>
    <row r="9120" spans="1:10" hidden="1">
      <c r="A9120" t="s">
        <v>5821</v>
      </c>
      <c r="B9120" t="s">
        <v>5822</v>
      </c>
      <c r="C9120" t="s">
        <v>5111</v>
      </c>
      <c r="D9120" t="s">
        <v>1148</v>
      </c>
      <c r="E9120" t="s">
        <v>553</v>
      </c>
      <c r="F9120" t="s">
        <v>1068</v>
      </c>
      <c r="G9120" t="s">
        <v>1087</v>
      </c>
      <c r="H9120" s="170">
        <v>-3.794455219651E-7</v>
      </c>
      <c r="I9120" t="s">
        <v>1088</v>
      </c>
      <c r="J9120">
        <v>8.65</v>
      </c>
    </row>
    <row r="9121" spans="1:10" hidden="1">
      <c r="A9121" t="s">
        <v>5821</v>
      </c>
      <c r="B9121" t="s">
        <v>5822</v>
      </c>
      <c r="C9121" t="s">
        <v>5111</v>
      </c>
      <c r="D9121" t="s">
        <v>1148</v>
      </c>
      <c r="E9121" t="s">
        <v>553</v>
      </c>
      <c r="F9121" t="s">
        <v>1068</v>
      </c>
      <c r="G9121" t="s">
        <v>1089</v>
      </c>
      <c r="H9121" s="170">
        <v>-7.1581223062366895E-5</v>
      </c>
      <c r="I9121" t="s">
        <v>1090</v>
      </c>
      <c r="J9121">
        <v>8.65</v>
      </c>
    </row>
    <row r="9122" spans="1:10" hidden="1">
      <c r="A9122" t="s">
        <v>5823</v>
      </c>
      <c r="B9122" t="s">
        <v>5824</v>
      </c>
      <c r="C9122" t="s">
        <v>5111</v>
      </c>
      <c r="D9122" t="s">
        <v>1148</v>
      </c>
      <c r="E9122" t="s">
        <v>556</v>
      </c>
      <c r="F9122" t="s">
        <v>1068</v>
      </c>
      <c r="G9122" t="s">
        <v>1069</v>
      </c>
      <c r="H9122">
        <v>-0.47395309723516199</v>
      </c>
      <c r="I9122" t="s">
        <v>1070</v>
      </c>
      <c r="J9122">
        <v>7.3</v>
      </c>
    </row>
    <row r="9123" spans="1:10" hidden="1">
      <c r="A9123" t="s">
        <v>5823</v>
      </c>
      <c r="B9123" t="s">
        <v>5824</v>
      </c>
      <c r="C9123" t="s">
        <v>5111</v>
      </c>
      <c r="D9123" t="s">
        <v>1148</v>
      </c>
      <c r="E9123" t="s">
        <v>556</v>
      </c>
      <c r="F9123" t="s">
        <v>1068</v>
      </c>
      <c r="G9123" t="s">
        <v>1071</v>
      </c>
      <c r="H9123" s="170">
        <v>-4.5968388941953E-10</v>
      </c>
      <c r="I9123" t="s">
        <v>1072</v>
      </c>
      <c r="J9123">
        <v>7.3</v>
      </c>
    </row>
    <row r="9124" spans="1:10" hidden="1">
      <c r="A9124" t="s">
        <v>5823</v>
      </c>
      <c r="B9124" t="s">
        <v>5824</v>
      </c>
      <c r="C9124" t="s">
        <v>5111</v>
      </c>
      <c r="D9124" t="s">
        <v>1148</v>
      </c>
      <c r="E9124" t="s">
        <v>556</v>
      </c>
      <c r="F9124" t="s">
        <v>1068</v>
      </c>
      <c r="G9124" t="s">
        <v>1073</v>
      </c>
      <c r="H9124" s="170">
        <v>-1.64645487743513E-7</v>
      </c>
      <c r="I9124" t="s">
        <v>1074</v>
      </c>
      <c r="J9124">
        <v>7.3</v>
      </c>
    </row>
    <row r="9125" spans="1:10" hidden="1">
      <c r="A9125" t="s">
        <v>5823</v>
      </c>
      <c r="B9125" t="s">
        <v>5824</v>
      </c>
      <c r="C9125" t="s">
        <v>5111</v>
      </c>
      <c r="D9125" t="s">
        <v>1148</v>
      </c>
      <c r="E9125" t="s">
        <v>556</v>
      </c>
      <c r="F9125" t="s">
        <v>1068</v>
      </c>
      <c r="G9125" t="s">
        <v>1075</v>
      </c>
      <c r="H9125">
        <v>-8.0218441233542801E-3</v>
      </c>
      <c r="I9125" t="s">
        <v>1077</v>
      </c>
      <c r="J9125">
        <v>7.3</v>
      </c>
    </row>
    <row r="9126" spans="1:10" hidden="1">
      <c r="A9126" t="s">
        <v>5823</v>
      </c>
      <c r="B9126" t="s">
        <v>5824</v>
      </c>
      <c r="C9126" t="s">
        <v>5111</v>
      </c>
      <c r="D9126" t="s">
        <v>1148</v>
      </c>
      <c r="E9126" t="s">
        <v>556</v>
      </c>
      <c r="F9126" t="s">
        <v>1068</v>
      </c>
      <c r="G9126" t="s">
        <v>1078</v>
      </c>
      <c r="H9126">
        <v>-0.69069374294081098</v>
      </c>
      <c r="I9126" t="s">
        <v>1079</v>
      </c>
      <c r="J9126">
        <v>7.3</v>
      </c>
    </row>
    <row r="9127" spans="1:10" hidden="1">
      <c r="A9127" t="s">
        <v>5823</v>
      </c>
      <c r="B9127" t="s">
        <v>5824</v>
      </c>
      <c r="C9127" t="s">
        <v>5111</v>
      </c>
      <c r="D9127" t="s">
        <v>1148</v>
      </c>
      <c r="E9127" t="s">
        <v>556</v>
      </c>
      <c r="F9127" t="s">
        <v>1068</v>
      </c>
      <c r="G9127" t="s">
        <v>1080</v>
      </c>
      <c r="H9127" s="170">
        <v>-2.7110068080924799E-9</v>
      </c>
      <c r="I9127" t="s">
        <v>1082</v>
      </c>
      <c r="J9127">
        <v>7.3</v>
      </c>
    </row>
    <row r="9128" spans="1:10" hidden="1">
      <c r="A9128" t="s">
        <v>5823</v>
      </c>
      <c r="B9128" t="s">
        <v>5824</v>
      </c>
      <c r="C9128" t="s">
        <v>5111</v>
      </c>
      <c r="D9128" t="s">
        <v>1148</v>
      </c>
      <c r="E9128" t="s">
        <v>556</v>
      </c>
      <c r="F9128" t="s">
        <v>1068</v>
      </c>
      <c r="G9128" t="s">
        <v>1083</v>
      </c>
      <c r="H9128" s="170">
        <v>-6.5954915782767896E-5</v>
      </c>
      <c r="I9128" t="s">
        <v>1084</v>
      </c>
      <c r="J9128">
        <v>7.3</v>
      </c>
    </row>
    <row r="9129" spans="1:10" hidden="1">
      <c r="A9129" t="s">
        <v>5823</v>
      </c>
      <c r="B9129" t="s">
        <v>5824</v>
      </c>
      <c r="C9129" t="s">
        <v>5111</v>
      </c>
      <c r="D9129" t="s">
        <v>1148</v>
      </c>
      <c r="E9129" t="s">
        <v>556</v>
      </c>
      <c r="F9129" t="s">
        <v>1068</v>
      </c>
      <c r="G9129" t="s">
        <v>1085</v>
      </c>
      <c r="H9129">
        <v>-5.7659122190567699E-4</v>
      </c>
      <c r="I9129" t="s">
        <v>1086</v>
      </c>
      <c r="J9129">
        <v>7.3</v>
      </c>
    </row>
    <row r="9130" spans="1:10" hidden="1">
      <c r="A9130" t="s">
        <v>5823</v>
      </c>
      <c r="B9130" t="s">
        <v>5824</v>
      </c>
      <c r="C9130" t="s">
        <v>5111</v>
      </c>
      <c r="D9130" t="s">
        <v>1148</v>
      </c>
      <c r="E9130" t="s">
        <v>556</v>
      </c>
      <c r="F9130" t="s">
        <v>1068</v>
      </c>
      <c r="G9130" t="s">
        <v>1087</v>
      </c>
      <c r="H9130" s="170">
        <v>-4.2890335241732998E-7</v>
      </c>
      <c r="I9130" t="s">
        <v>1088</v>
      </c>
      <c r="J9130">
        <v>7.3</v>
      </c>
    </row>
    <row r="9131" spans="1:10" hidden="1">
      <c r="A9131" t="s">
        <v>5823</v>
      </c>
      <c r="B9131" t="s">
        <v>5824</v>
      </c>
      <c r="C9131" t="s">
        <v>5111</v>
      </c>
      <c r="D9131" t="s">
        <v>1148</v>
      </c>
      <c r="E9131" t="s">
        <v>556</v>
      </c>
      <c r="F9131" t="s">
        <v>1068</v>
      </c>
      <c r="G9131" t="s">
        <v>1089</v>
      </c>
      <c r="H9131" s="170">
        <v>-9.2722864635268504E-5</v>
      </c>
      <c r="I9131" t="s">
        <v>1090</v>
      </c>
      <c r="J9131">
        <v>7.3</v>
      </c>
    </row>
    <row r="9132" spans="1:10" hidden="1">
      <c r="A9132" t="s">
        <v>5825</v>
      </c>
      <c r="B9132" t="s">
        <v>5826</v>
      </c>
      <c r="C9132" t="s">
        <v>5111</v>
      </c>
      <c r="D9132" t="s">
        <v>1148</v>
      </c>
      <c r="E9132" t="s">
        <v>557</v>
      </c>
      <c r="F9132" t="s">
        <v>1068</v>
      </c>
      <c r="G9132" t="s">
        <v>1069</v>
      </c>
      <c r="H9132">
        <v>-0.43964702572952502</v>
      </c>
      <c r="I9132" t="s">
        <v>1070</v>
      </c>
      <c r="J9132">
        <v>7.96</v>
      </c>
    </row>
    <row r="9133" spans="1:10" hidden="1">
      <c r="A9133" t="s">
        <v>5825</v>
      </c>
      <c r="B9133" t="s">
        <v>5826</v>
      </c>
      <c r="C9133" t="s">
        <v>5111</v>
      </c>
      <c r="D9133" t="s">
        <v>1148</v>
      </c>
      <c r="E9133" t="s">
        <v>557</v>
      </c>
      <c r="F9133" t="s">
        <v>1068</v>
      </c>
      <c r="G9133" t="s">
        <v>1071</v>
      </c>
      <c r="H9133" s="170">
        <v>-4.10591576382643E-10</v>
      </c>
      <c r="I9133" t="s">
        <v>1072</v>
      </c>
      <c r="J9133">
        <v>7.96</v>
      </c>
    </row>
    <row r="9134" spans="1:10" hidden="1">
      <c r="A9134" t="s">
        <v>5825</v>
      </c>
      <c r="B9134" t="s">
        <v>5826</v>
      </c>
      <c r="C9134" t="s">
        <v>5111</v>
      </c>
      <c r="D9134" t="s">
        <v>1148</v>
      </c>
      <c r="E9134" t="s">
        <v>557</v>
      </c>
      <c r="F9134" t="s">
        <v>1068</v>
      </c>
      <c r="G9134" t="s">
        <v>1073</v>
      </c>
      <c r="H9134" s="170">
        <v>-1.5245959152337999E-7</v>
      </c>
      <c r="I9134" t="s">
        <v>1074</v>
      </c>
      <c r="J9134">
        <v>7.96</v>
      </c>
    </row>
    <row r="9135" spans="1:10" hidden="1">
      <c r="A9135" t="s">
        <v>5825</v>
      </c>
      <c r="B9135" t="s">
        <v>5826</v>
      </c>
      <c r="C9135" t="s">
        <v>5111</v>
      </c>
      <c r="D9135" t="s">
        <v>1148</v>
      </c>
      <c r="E9135" t="s">
        <v>557</v>
      </c>
      <c r="F9135" t="s">
        <v>1068</v>
      </c>
      <c r="G9135" t="s">
        <v>1075</v>
      </c>
      <c r="H9135">
        <v>-6.9373627438148603E-3</v>
      </c>
      <c r="I9135" t="s">
        <v>1077</v>
      </c>
      <c r="J9135">
        <v>7.96</v>
      </c>
    </row>
    <row r="9136" spans="1:10" hidden="1">
      <c r="A9136" t="s">
        <v>5825</v>
      </c>
      <c r="B9136" t="s">
        <v>5826</v>
      </c>
      <c r="C9136" t="s">
        <v>5111</v>
      </c>
      <c r="D9136" t="s">
        <v>1148</v>
      </c>
      <c r="E9136" t="s">
        <v>557</v>
      </c>
      <c r="F9136" t="s">
        <v>1068</v>
      </c>
      <c r="G9136" t="s">
        <v>1078</v>
      </c>
      <c r="H9136">
        <v>-0.64379658431098397</v>
      </c>
      <c r="I9136" t="s">
        <v>1079</v>
      </c>
      <c r="J9136">
        <v>7.96</v>
      </c>
    </row>
    <row r="9137" spans="1:10" hidden="1">
      <c r="A9137" t="s">
        <v>5825</v>
      </c>
      <c r="B9137" t="s">
        <v>5826</v>
      </c>
      <c r="C9137" t="s">
        <v>5111</v>
      </c>
      <c r="D9137" t="s">
        <v>1148</v>
      </c>
      <c r="E9137" t="s">
        <v>557</v>
      </c>
      <c r="F9137" t="s">
        <v>1068</v>
      </c>
      <c r="G9137" t="s">
        <v>1080</v>
      </c>
      <c r="H9137" s="170">
        <v>-2.5203064279246601E-9</v>
      </c>
      <c r="I9137" t="s">
        <v>1082</v>
      </c>
      <c r="J9137">
        <v>7.96</v>
      </c>
    </row>
    <row r="9138" spans="1:10" hidden="1">
      <c r="A9138" t="s">
        <v>5825</v>
      </c>
      <c r="B9138" t="s">
        <v>5826</v>
      </c>
      <c r="C9138" t="s">
        <v>5111</v>
      </c>
      <c r="D9138" t="s">
        <v>1148</v>
      </c>
      <c r="E9138" t="s">
        <v>557</v>
      </c>
      <c r="F9138" t="s">
        <v>1068</v>
      </c>
      <c r="G9138" t="s">
        <v>1083</v>
      </c>
      <c r="H9138" s="170">
        <v>-6.0740227298284901E-5</v>
      </c>
      <c r="I9138" t="s">
        <v>1084</v>
      </c>
      <c r="J9138">
        <v>7.96</v>
      </c>
    </row>
    <row r="9139" spans="1:10" hidden="1">
      <c r="A9139" t="s">
        <v>5825</v>
      </c>
      <c r="B9139" t="s">
        <v>5826</v>
      </c>
      <c r="C9139" t="s">
        <v>5111</v>
      </c>
      <c r="D9139" t="s">
        <v>1148</v>
      </c>
      <c r="E9139" t="s">
        <v>557</v>
      </c>
      <c r="F9139" t="s">
        <v>1068</v>
      </c>
      <c r="G9139" t="s">
        <v>1085</v>
      </c>
      <c r="H9139">
        <v>-5.1765465854951005E-4</v>
      </c>
      <c r="I9139" t="s">
        <v>1086</v>
      </c>
      <c r="J9139">
        <v>7.96</v>
      </c>
    </row>
    <row r="9140" spans="1:10" hidden="1">
      <c r="A9140" t="s">
        <v>5825</v>
      </c>
      <c r="B9140" t="s">
        <v>5826</v>
      </c>
      <c r="C9140" t="s">
        <v>5111</v>
      </c>
      <c r="D9140" t="s">
        <v>1148</v>
      </c>
      <c r="E9140" t="s">
        <v>557</v>
      </c>
      <c r="F9140" t="s">
        <v>1068</v>
      </c>
      <c r="G9140" t="s">
        <v>1087</v>
      </c>
      <c r="H9140" s="170">
        <v>-4.0046029772856702E-7</v>
      </c>
      <c r="I9140" t="s">
        <v>1088</v>
      </c>
      <c r="J9140">
        <v>7.96</v>
      </c>
    </row>
    <row r="9141" spans="1:10" hidden="1">
      <c r="A9141" t="s">
        <v>5825</v>
      </c>
      <c r="B9141" t="s">
        <v>5826</v>
      </c>
      <c r="C9141" t="s">
        <v>5111</v>
      </c>
      <c r="D9141" t="s">
        <v>1148</v>
      </c>
      <c r="E9141" t="s">
        <v>557</v>
      </c>
      <c r="F9141" t="s">
        <v>1068</v>
      </c>
      <c r="G9141" t="s">
        <v>1089</v>
      </c>
      <c r="H9141" s="170">
        <v>-8.0564368050284202E-5</v>
      </c>
      <c r="I9141" t="s">
        <v>1090</v>
      </c>
      <c r="J9141">
        <v>7.96</v>
      </c>
    </row>
    <row r="9142" spans="1:10" hidden="1">
      <c r="A9142" t="s">
        <v>5827</v>
      </c>
      <c r="B9142" t="s">
        <v>5828</v>
      </c>
      <c r="C9142" t="s">
        <v>5111</v>
      </c>
      <c r="D9142" t="s">
        <v>1148</v>
      </c>
      <c r="E9142" t="s">
        <v>559</v>
      </c>
      <c r="F9142" t="s">
        <v>1068</v>
      </c>
      <c r="G9142" t="s">
        <v>1069</v>
      </c>
      <c r="H9142">
        <v>-0.45622132864589898</v>
      </c>
      <c r="I9142" t="s">
        <v>1070</v>
      </c>
      <c r="J9142">
        <v>7.34</v>
      </c>
    </row>
    <row r="9143" spans="1:10" hidden="1">
      <c r="A9143" t="s">
        <v>5827</v>
      </c>
      <c r="B9143" t="s">
        <v>5828</v>
      </c>
      <c r="C9143" t="s">
        <v>5111</v>
      </c>
      <c r="D9143" t="s">
        <v>1148</v>
      </c>
      <c r="E9143" t="s">
        <v>559</v>
      </c>
      <c r="F9143" t="s">
        <v>1068</v>
      </c>
      <c r="G9143" t="s">
        <v>1071</v>
      </c>
      <c r="H9143" s="170">
        <v>-4.34309526836034E-10</v>
      </c>
      <c r="I9143" t="s">
        <v>1072</v>
      </c>
      <c r="J9143">
        <v>7.34</v>
      </c>
    </row>
    <row r="9144" spans="1:10" hidden="1">
      <c r="A9144" t="s">
        <v>5827</v>
      </c>
      <c r="B9144" t="s">
        <v>5828</v>
      </c>
      <c r="C9144" t="s">
        <v>5111</v>
      </c>
      <c r="D9144" t="s">
        <v>1148</v>
      </c>
      <c r="E9144" t="s">
        <v>559</v>
      </c>
      <c r="F9144" t="s">
        <v>1068</v>
      </c>
      <c r="G9144" t="s">
        <v>1073</v>
      </c>
      <c r="H9144" s="170">
        <v>-1.58347107433876E-7</v>
      </c>
      <c r="I9144" t="s">
        <v>1074</v>
      </c>
      <c r="J9144">
        <v>7.34</v>
      </c>
    </row>
    <row r="9145" spans="1:10" hidden="1">
      <c r="A9145" t="s">
        <v>5827</v>
      </c>
      <c r="B9145" t="s">
        <v>5828</v>
      </c>
      <c r="C9145" t="s">
        <v>5111</v>
      </c>
      <c r="D9145" t="s">
        <v>1148</v>
      </c>
      <c r="E9145" t="s">
        <v>559</v>
      </c>
      <c r="F9145" t="s">
        <v>1068</v>
      </c>
      <c r="G9145" t="s">
        <v>1075</v>
      </c>
      <c r="H9145">
        <v>-7.4613239759404202E-3</v>
      </c>
      <c r="I9145" t="s">
        <v>1077</v>
      </c>
      <c r="J9145">
        <v>7.34</v>
      </c>
    </row>
    <row r="9146" spans="1:10" hidden="1">
      <c r="A9146" t="s">
        <v>5827</v>
      </c>
      <c r="B9146" t="s">
        <v>5828</v>
      </c>
      <c r="C9146" t="s">
        <v>5111</v>
      </c>
      <c r="D9146" t="s">
        <v>1148</v>
      </c>
      <c r="E9146" t="s">
        <v>559</v>
      </c>
      <c r="F9146" t="s">
        <v>1068</v>
      </c>
      <c r="G9146" t="s">
        <v>1078</v>
      </c>
      <c r="H9146">
        <v>-0.66645468961952703</v>
      </c>
      <c r="I9146" t="s">
        <v>1079</v>
      </c>
      <c r="J9146">
        <v>7.34</v>
      </c>
    </row>
    <row r="9147" spans="1:10" hidden="1">
      <c r="A9147" t="s">
        <v>5827</v>
      </c>
      <c r="B9147" t="s">
        <v>5828</v>
      </c>
      <c r="C9147" t="s">
        <v>5111</v>
      </c>
      <c r="D9147" t="s">
        <v>1148</v>
      </c>
      <c r="E9147" t="s">
        <v>559</v>
      </c>
      <c r="F9147" t="s">
        <v>1068</v>
      </c>
      <c r="G9147" t="s">
        <v>1080</v>
      </c>
      <c r="H9147" s="170">
        <v>-2.6124422710355802E-9</v>
      </c>
      <c r="I9147" t="s">
        <v>1082</v>
      </c>
      <c r="J9147">
        <v>7.34</v>
      </c>
    </row>
    <row r="9148" spans="1:10" hidden="1">
      <c r="A9148" t="s">
        <v>5827</v>
      </c>
      <c r="B9148" t="s">
        <v>5828</v>
      </c>
      <c r="C9148" t="s">
        <v>5111</v>
      </c>
      <c r="D9148" t="s">
        <v>1148</v>
      </c>
      <c r="E9148" t="s">
        <v>559</v>
      </c>
      <c r="F9148" t="s">
        <v>1068</v>
      </c>
      <c r="G9148" t="s">
        <v>1083</v>
      </c>
      <c r="H9148" s="170">
        <v>-6.3259675476595094E-5</v>
      </c>
      <c r="I9148" t="s">
        <v>1084</v>
      </c>
      <c r="J9148">
        <v>7.34</v>
      </c>
    </row>
    <row r="9149" spans="1:10" hidden="1">
      <c r="A9149" t="s">
        <v>5827</v>
      </c>
      <c r="B9149" t="s">
        <v>5828</v>
      </c>
      <c r="C9149" t="s">
        <v>5111</v>
      </c>
      <c r="D9149" t="s">
        <v>1148</v>
      </c>
      <c r="E9149" t="s">
        <v>559</v>
      </c>
      <c r="F9149" t="s">
        <v>1068</v>
      </c>
      <c r="G9149" t="s">
        <v>1085</v>
      </c>
      <c r="H9149">
        <v>-5.4612953625855895E-4</v>
      </c>
      <c r="I9149" t="s">
        <v>1086</v>
      </c>
      <c r="J9149">
        <v>7.34</v>
      </c>
    </row>
    <row r="9150" spans="1:10" hidden="1">
      <c r="A9150" t="s">
        <v>5827</v>
      </c>
      <c r="B9150" t="s">
        <v>5828</v>
      </c>
      <c r="C9150" t="s">
        <v>5111</v>
      </c>
      <c r="D9150" t="s">
        <v>1148</v>
      </c>
      <c r="E9150" t="s">
        <v>559</v>
      </c>
      <c r="F9150" t="s">
        <v>1068</v>
      </c>
      <c r="G9150" t="s">
        <v>1087</v>
      </c>
      <c r="H9150" s="170">
        <v>-4.1420240383551602E-7</v>
      </c>
      <c r="I9150" t="s">
        <v>1088</v>
      </c>
      <c r="J9150">
        <v>7.34</v>
      </c>
    </row>
    <row r="9151" spans="1:10" hidden="1">
      <c r="A9151" t="s">
        <v>5827</v>
      </c>
      <c r="B9151" t="s">
        <v>5828</v>
      </c>
      <c r="C9151" t="s">
        <v>5111</v>
      </c>
      <c r="D9151" t="s">
        <v>1148</v>
      </c>
      <c r="E9151" t="s">
        <v>559</v>
      </c>
      <c r="F9151" t="s">
        <v>1068</v>
      </c>
      <c r="G9151" t="s">
        <v>1089</v>
      </c>
      <c r="H9151" s="170">
        <v>-8.6438679040059494E-5</v>
      </c>
      <c r="I9151" t="s">
        <v>1090</v>
      </c>
      <c r="J9151">
        <v>7.34</v>
      </c>
    </row>
    <row r="9152" spans="1:10" hidden="1">
      <c r="A9152" t="s">
        <v>5829</v>
      </c>
      <c r="B9152" t="s">
        <v>5830</v>
      </c>
      <c r="C9152" t="s">
        <v>5111</v>
      </c>
      <c r="D9152" t="s">
        <v>1148</v>
      </c>
      <c r="E9152" t="s">
        <v>560</v>
      </c>
      <c r="F9152" t="s">
        <v>1068</v>
      </c>
      <c r="G9152" t="s">
        <v>1069</v>
      </c>
      <c r="H9152">
        <v>-0.45057448024017099</v>
      </c>
      <c r="I9152" t="s">
        <v>1070</v>
      </c>
      <c r="J9152">
        <v>8.11</v>
      </c>
    </row>
    <row r="9153" spans="1:10" hidden="1">
      <c r="A9153" t="s">
        <v>5829</v>
      </c>
      <c r="B9153" t="s">
        <v>5830</v>
      </c>
      <c r="C9153" t="s">
        <v>5111</v>
      </c>
      <c r="D9153" t="s">
        <v>1148</v>
      </c>
      <c r="E9153" t="s">
        <v>560</v>
      </c>
      <c r="F9153" t="s">
        <v>1068</v>
      </c>
      <c r="G9153" t="s">
        <v>1071</v>
      </c>
      <c r="H9153" s="170">
        <v>-4.26228888107765E-10</v>
      </c>
      <c r="I9153" t="s">
        <v>1072</v>
      </c>
      <c r="J9153">
        <v>8.11</v>
      </c>
    </row>
    <row r="9154" spans="1:10" hidden="1">
      <c r="A9154" t="s">
        <v>5829</v>
      </c>
      <c r="B9154" t="s">
        <v>5830</v>
      </c>
      <c r="C9154" t="s">
        <v>5111</v>
      </c>
      <c r="D9154" t="s">
        <v>1148</v>
      </c>
      <c r="E9154" t="s">
        <v>560</v>
      </c>
      <c r="F9154" t="s">
        <v>1068</v>
      </c>
      <c r="G9154" t="s">
        <v>1073</v>
      </c>
      <c r="H9154" s="170">
        <v>-1.5634105794213299E-7</v>
      </c>
      <c r="I9154" t="s">
        <v>1074</v>
      </c>
      <c r="J9154">
        <v>8.11</v>
      </c>
    </row>
    <row r="9155" spans="1:10" hidden="1">
      <c r="A9155" t="s">
        <v>5829</v>
      </c>
      <c r="B9155" t="s">
        <v>5830</v>
      </c>
      <c r="C9155" t="s">
        <v>5111</v>
      </c>
      <c r="D9155" t="s">
        <v>1148</v>
      </c>
      <c r="E9155" t="s">
        <v>560</v>
      </c>
      <c r="F9155" t="s">
        <v>1068</v>
      </c>
      <c r="G9155" t="s">
        <v>1075</v>
      </c>
      <c r="H9155">
        <v>-7.2827912543624602E-3</v>
      </c>
      <c r="I9155" t="s">
        <v>1077</v>
      </c>
      <c r="J9155">
        <v>8.11</v>
      </c>
    </row>
    <row r="9156" spans="1:10" hidden="1">
      <c r="A9156" t="s">
        <v>5829</v>
      </c>
      <c r="B9156" t="s">
        <v>5830</v>
      </c>
      <c r="C9156" t="s">
        <v>5111</v>
      </c>
      <c r="D9156" t="s">
        <v>1148</v>
      </c>
      <c r="E9156" t="s">
        <v>560</v>
      </c>
      <c r="F9156" t="s">
        <v>1068</v>
      </c>
      <c r="G9156" t="s">
        <v>1078</v>
      </c>
      <c r="H9156">
        <v>-0.65873424556094695</v>
      </c>
      <c r="I9156" t="s">
        <v>1079</v>
      </c>
      <c r="J9156">
        <v>8.11</v>
      </c>
    </row>
    <row r="9157" spans="1:10" hidden="1">
      <c r="A9157" t="s">
        <v>5829</v>
      </c>
      <c r="B9157" t="s">
        <v>5830</v>
      </c>
      <c r="C9157" t="s">
        <v>5111</v>
      </c>
      <c r="D9157" t="s">
        <v>1148</v>
      </c>
      <c r="E9157" t="s">
        <v>560</v>
      </c>
      <c r="F9157" t="s">
        <v>1068</v>
      </c>
      <c r="G9157" t="s">
        <v>1080</v>
      </c>
      <c r="H9157" s="170">
        <v>-2.5810482253167098E-9</v>
      </c>
      <c r="I9157" t="s">
        <v>1082</v>
      </c>
      <c r="J9157">
        <v>8.11</v>
      </c>
    </row>
    <row r="9158" spans="1:10" hidden="1">
      <c r="A9158" t="s">
        <v>5829</v>
      </c>
      <c r="B9158" t="s">
        <v>5830</v>
      </c>
      <c r="C9158" t="s">
        <v>5111</v>
      </c>
      <c r="D9158" t="s">
        <v>1148</v>
      </c>
      <c r="E9158" t="s">
        <v>560</v>
      </c>
      <c r="F9158" t="s">
        <v>1068</v>
      </c>
      <c r="G9158" t="s">
        <v>1083</v>
      </c>
      <c r="H9158" s="170">
        <v>-6.2401207458987205E-5</v>
      </c>
      <c r="I9158" t="s">
        <v>1084</v>
      </c>
      <c r="J9158">
        <v>8.11</v>
      </c>
    </row>
    <row r="9159" spans="1:10" hidden="1">
      <c r="A9159" t="s">
        <v>5829</v>
      </c>
      <c r="B9159" t="s">
        <v>5830</v>
      </c>
      <c r="C9159" t="s">
        <v>5111</v>
      </c>
      <c r="D9159" t="s">
        <v>1148</v>
      </c>
      <c r="E9159" t="s">
        <v>560</v>
      </c>
      <c r="F9159" t="s">
        <v>1068</v>
      </c>
      <c r="G9159" t="s">
        <v>1085</v>
      </c>
      <c r="H9159">
        <v>-5.3642710544619097E-4</v>
      </c>
      <c r="I9159" t="s">
        <v>1086</v>
      </c>
      <c r="J9159">
        <v>8.11</v>
      </c>
    </row>
    <row r="9160" spans="1:10" hidden="1">
      <c r="A9160" t="s">
        <v>5829</v>
      </c>
      <c r="B9160" t="s">
        <v>5830</v>
      </c>
      <c r="C9160" t="s">
        <v>5111</v>
      </c>
      <c r="D9160" t="s">
        <v>1148</v>
      </c>
      <c r="E9160" t="s">
        <v>560</v>
      </c>
      <c r="F9160" t="s">
        <v>1068</v>
      </c>
      <c r="G9160" t="s">
        <v>1087</v>
      </c>
      <c r="H9160" s="170">
        <v>-4.0951996631617798E-7</v>
      </c>
      <c r="I9160" t="s">
        <v>1088</v>
      </c>
      <c r="J9160">
        <v>8.11</v>
      </c>
    </row>
    <row r="9161" spans="1:10" hidden="1">
      <c r="A9161" t="s">
        <v>5829</v>
      </c>
      <c r="B9161" t="s">
        <v>5830</v>
      </c>
      <c r="C9161" t="s">
        <v>5111</v>
      </c>
      <c r="D9161" t="s">
        <v>1148</v>
      </c>
      <c r="E9161" t="s">
        <v>560</v>
      </c>
      <c r="F9161" t="s">
        <v>1068</v>
      </c>
      <c r="G9161" t="s">
        <v>1089</v>
      </c>
      <c r="H9161" s="170">
        <v>-8.4437086774441397E-5</v>
      </c>
      <c r="I9161" t="s">
        <v>1090</v>
      </c>
      <c r="J9161">
        <v>8.11</v>
      </c>
    </row>
    <row r="9162" spans="1:10" hidden="1">
      <c r="A9162" t="s">
        <v>5831</v>
      </c>
      <c r="B9162" t="s">
        <v>5832</v>
      </c>
      <c r="C9162" t="s">
        <v>5111</v>
      </c>
      <c r="D9162" t="s">
        <v>1148</v>
      </c>
      <c r="E9162" t="s">
        <v>1116</v>
      </c>
      <c r="F9162" t="s">
        <v>1068</v>
      </c>
      <c r="G9162" t="s">
        <v>1069</v>
      </c>
      <c r="H9162">
        <v>-0.417408556878758</v>
      </c>
      <c r="I9162" t="s">
        <v>1070</v>
      </c>
      <c r="J9162">
        <v>7.57</v>
      </c>
    </row>
    <row r="9163" spans="1:10" hidden="1">
      <c r="A9163" t="s">
        <v>5831</v>
      </c>
      <c r="B9163" t="s">
        <v>5832</v>
      </c>
      <c r="C9163" t="s">
        <v>5111</v>
      </c>
      <c r="D9163" t="s">
        <v>1148</v>
      </c>
      <c r="E9163" t="s">
        <v>1116</v>
      </c>
      <c r="F9163" t="s">
        <v>1068</v>
      </c>
      <c r="G9163" t="s">
        <v>1071</v>
      </c>
      <c r="H9163" s="170">
        <v>-3.7876807445270198E-10</v>
      </c>
      <c r="I9163" t="s">
        <v>1072</v>
      </c>
      <c r="J9163">
        <v>7.57</v>
      </c>
    </row>
    <row r="9164" spans="1:10" hidden="1">
      <c r="A9164" t="s">
        <v>5831</v>
      </c>
      <c r="B9164" t="s">
        <v>5832</v>
      </c>
      <c r="C9164" t="s">
        <v>5111</v>
      </c>
      <c r="D9164" t="s">
        <v>1148</v>
      </c>
      <c r="E9164" t="s">
        <v>1116</v>
      </c>
      <c r="F9164" t="s">
        <v>1068</v>
      </c>
      <c r="G9164" t="s">
        <v>1073</v>
      </c>
      <c r="H9164" s="170">
        <v>-1.4456041702078801E-7</v>
      </c>
      <c r="I9164" t="s">
        <v>1074</v>
      </c>
      <c r="J9164">
        <v>7.57</v>
      </c>
    </row>
    <row r="9165" spans="1:10" hidden="1">
      <c r="A9165" t="s">
        <v>5831</v>
      </c>
      <c r="B9165" t="s">
        <v>5832</v>
      </c>
      <c r="C9165" t="s">
        <v>5111</v>
      </c>
      <c r="D9165" t="s">
        <v>1148</v>
      </c>
      <c r="E9165" t="s">
        <v>1116</v>
      </c>
      <c r="F9165" t="s">
        <v>1068</v>
      </c>
      <c r="G9165" t="s">
        <v>1075</v>
      </c>
      <c r="H9165">
        <v>-6.2343809867647197E-3</v>
      </c>
      <c r="I9165" t="s">
        <v>1077</v>
      </c>
      <c r="J9165">
        <v>7.57</v>
      </c>
    </row>
    <row r="9166" spans="1:10" hidden="1">
      <c r="A9166" t="s">
        <v>5831</v>
      </c>
      <c r="B9166" t="s">
        <v>5832</v>
      </c>
      <c r="C9166" t="s">
        <v>5111</v>
      </c>
      <c r="D9166" t="s">
        <v>1148</v>
      </c>
      <c r="E9166" t="s">
        <v>1116</v>
      </c>
      <c r="F9166" t="s">
        <v>1068</v>
      </c>
      <c r="G9166" t="s">
        <v>1078</v>
      </c>
      <c r="H9166">
        <v>-0.613396941458481</v>
      </c>
      <c r="I9166" t="s">
        <v>1079</v>
      </c>
      <c r="J9166">
        <v>7.57</v>
      </c>
    </row>
    <row r="9167" spans="1:10" hidden="1">
      <c r="A9167" t="s">
        <v>5831</v>
      </c>
      <c r="B9167" t="s">
        <v>5832</v>
      </c>
      <c r="C9167" t="s">
        <v>5111</v>
      </c>
      <c r="D9167" t="s">
        <v>1148</v>
      </c>
      <c r="E9167" t="s">
        <v>1116</v>
      </c>
      <c r="F9167" t="s">
        <v>1068</v>
      </c>
      <c r="G9167" t="s">
        <v>1080</v>
      </c>
      <c r="H9167" s="170">
        <v>-2.3966907617210998E-9</v>
      </c>
      <c r="I9167" t="s">
        <v>1082</v>
      </c>
      <c r="J9167">
        <v>7.57</v>
      </c>
    </row>
    <row r="9168" spans="1:10" hidden="1">
      <c r="A9168" t="s">
        <v>5831</v>
      </c>
      <c r="B9168" t="s">
        <v>5832</v>
      </c>
      <c r="C9168" t="s">
        <v>5111</v>
      </c>
      <c r="D9168" t="s">
        <v>1148</v>
      </c>
      <c r="E9168" t="s">
        <v>1116</v>
      </c>
      <c r="F9168" t="s">
        <v>1068</v>
      </c>
      <c r="G9168" t="s">
        <v>1083</v>
      </c>
      <c r="H9168" s="170">
        <v>-5.7359965634460899E-5</v>
      </c>
      <c r="I9168" t="s">
        <v>1084</v>
      </c>
      <c r="J9168">
        <v>7.57</v>
      </c>
    </row>
    <row r="9169" spans="1:10" hidden="1">
      <c r="A9169" t="s">
        <v>5831</v>
      </c>
      <c r="B9169" t="s">
        <v>5832</v>
      </c>
      <c r="C9169" t="s">
        <v>5111</v>
      </c>
      <c r="D9169" t="s">
        <v>1148</v>
      </c>
      <c r="E9169" t="s">
        <v>1116</v>
      </c>
      <c r="F9169" t="s">
        <v>1068</v>
      </c>
      <c r="G9169" t="s">
        <v>1085</v>
      </c>
      <c r="H9169">
        <v>-4.7945084125996899E-4</v>
      </c>
      <c r="I9169" t="s">
        <v>1086</v>
      </c>
      <c r="J9169">
        <v>7.57</v>
      </c>
    </row>
    <row r="9170" spans="1:10" hidden="1">
      <c r="A9170" t="s">
        <v>5831</v>
      </c>
      <c r="B9170" t="s">
        <v>5832</v>
      </c>
      <c r="C9170" t="s">
        <v>5111</v>
      </c>
      <c r="D9170" t="s">
        <v>1148</v>
      </c>
      <c r="E9170" t="s">
        <v>1116</v>
      </c>
      <c r="F9170" t="s">
        <v>1068</v>
      </c>
      <c r="G9170" t="s">
        <v>1087</v>
      </c>
      <c r="H9170" s="170">
        <v>-3.8202296106543602E-7</v>
      </c>
      <c r="I9170" t="s">
        <v>1088</v>
      </c>
      <c r="J9170">
        <v>7.57</v>
      </c>
    </row>
    <row r="9171" spans="1:10" hidden="1">
      <c r="A9171" t="s">
        <v>5831</v>
      </c>
      <c r="B9171" t="s">
        <v>5832</v>
      </c>
      <c r="C9171" t="s">
        <v>5111</v>
      </c>
      <c r="D9171" t="s">
        <v>1148</v>
      </c>
      <c r="E9171" t="s">
        <v>1116</v>
      </c>
      <c r="F9171" t="s">
        <v>1068</v>
      </c>
      <c r="G9171" t="s">
        <v>1089</v>
      </c>
      <c r="H9171" s="170">
        <v>-7.2682995985907795E-5</v>
      </c>
      <c r="I9171" t="s">
        <v>1090</v>
      </c>
      <c r="J9171">
        <v>7.57</v>
      </c>
    </row>
    <row r="9172" spans="1:10" hidden="1">
      <c r="A9172" t="s">
        <v>5833</v>
      </c>
      <c r="B9172" t="s">
        <v>5834</v>
      </c>
      <c r="C9172" t="s">
        <v>5111</v>
      </c>
      <c r="D9172" t="s">
        <v>1179</v>
      </c>
      <c r="E9172" t="s">
        <v>561</v>
      </c>
      <c r="F9172" t="s">
        <v>1068</v>
      </c>
      <c r="G9172" t="s">
        <v>1069</v>
      </c>
      <c r="H9172">
        <v>-0.14102760661224401</v>
      </c>
      <c r="I9172" t="s">
        <v>1070</v>
      </c>
      <c r="J9172">
        <v>8.06</v>
      </c>
    </row>
    <row r="9173" spans="1:10" hidden="1">
      <c r="A9173" t="s">
        <v>5833</v>
      </c>
      <c r="B9173" t="s">
        <v>5834</v>
      </c>
      <c r="C9173" t="s">
        <v>5111</v>
      </c>
      <c r="D9173" t="s">
        <v>1179</v>
      </c>
      <c r="E9173" t="s">
        <v>561</v>
      </c>
      <c r="F9173" t="s">
        <v>1068</v>
      </c>
      <c r="G9173" t="s">
        <v>1071</v>
      </c>
      <c r="H9173" s="170">
        <v>-6.7879495325809397E-11</v>
      </c>
      <c r="I9173" t="s">
        <v>1072</v>
      </c>
      <c r="J9173">
        <v>8.06</v>
      </c>
    </row>
    <row r="9174" spans="1:10" hidden="1">
      <c r="A9174" t="s">
        <v>5833</v>
      </c>
      <c r="B9174" t="s">
        <v>5834</v>
      </c>
      <c r="C9174" t="s">
        <v>5111</v>
      </c>
      <c r="D9174" t="s">
        <v>1179</v>
      </c>
      <c r="E9174" t="s">
        <v>561</v>
      </c>
      <c r="F9174" t="s">
        <v>1068</v>
      </c>
      <c r="G9174" t="s">
        <v>1073</v>
      </c>
      <c r="H9174" s="170">
        <v>-4.6824970494536799E-8</v>
      </c>
      <c r="I9174" t="s">
        <v>1074</v>
      </c>
      <c r="J9174">
        <v>8.06</v>
      </c>
    </row>
    <row r="9175" spans="1:10" hidden="1">
      <c r="A9175" t="s">
        <v>5833</v>
      </c>
      <c r="B9175" t="s">
        <v>5834</v>
      </c>
      <c r="C9175" t="s">
        <v>5111</v>
      </c>
      <c r="D9175" t="s">
        <v>1179</v>
      </c>
      <c r="E9175" t="s">
        <v>561</v>
      </c>
      <c r="F9175" t="s">
        <v>1068</v>
      </c>
      <c r="G9175" t="s">
        <v>1075</v>
      </c>
      <c r="H9175">
        <v>-1.1175081459632199E-3</v>
      </c>
      <c r="I9175" t="s">
        <v>1077</v>
      </c>
      <c r="J9175">
        <v>8.06</v>
      </c>
    </row>
    <row r="9176" spans="1:10" hidden="1">
      <c r="A9176" t="s">
        <v>5833</v>
      </c>
      <c r="B9176" t="s">
        <v>5834</v>
      </c>
      <c r="C9176" t="s">
        <v>5111</v>
      </c>
      <c r="D9176" t="s">
        <v>1179</v>
      </c>
      <c r="E9176" t="s">
        <v>561</v>
      </c>
      <c r="F9176" t="s">
        <v>1068</v>
      </c>
      <c r="G9176" t="s">
        <v>1078</v>
      </c>
      <c r="H9176">
        <v>-0.232157633003019</v>
      </c>
      <c r="I9176" t="s">
        <v>1079</v>
      </c>
      <c r="J9176">
        <v>8.06</v>
      </c>
    </row>
    <row r="9177" spans="1:10" hidden="1">
      <c r="A9177" t="s">
        <v>5833</v>
      </c>
      <c r="B9177" t="s">
        <v>5834</v>
      </c>
      <c r="C9177" t="s">
        <v>5111</v>
      </c>
      <c r="D9177" t="s">
        <v>1179</v>
      </c>
      <c r="E9177" t="s">
        <v>561</v>
      </c>
      <c r="F9177" t="s">
        <v>1068</v>
      </c>
      <c r="G9177" t="s">
        <v>1080</v>
      </c>
      <c r="H9177" s="170">
        <v>-8.5736604577071899E-10</v>
      </c>
      <c r="I9177" t="s">
        <v>1082</v>
      </c>
      <c r="J9177">
        <v>8.06</v>
      </c>
    </row>
    <row r="9178" spans="1:10" hidden="1">
      <c r="A9178" t="s">
        <v>5833</v>
      </c>
      <c r="B9178" t="s">
        <v>5834</v>
      </c>
      <c r="C9178" t="s">
        <v>5111</v>
      </c>
      <c r="D9178" t="s">
        <v>1179</v>
      </c>
      <c r="E9178" t="s">
        <v>561</v>
      </c>
      <c r="F9178" t="s">
        <v>1068</v>
      </c>
      <c r="G9178" t="s">
        <v>1083</v>
      </c>
      <c r="H9178" s="170">
        <v>-1.98574740362769E-5</v>
      </c>
      <c r="I9178" t="s">
        <v>1084</v>
      </c>
      <c r="J9178">
        <v>8.06</v>
      </c>
    </row>
    <row r="9179" spans="1:10" hidden="1">
      <c r="A9179" t="s">
        <v>5833</v>
      </c>
      <c r="B9179" t="s">
        <v>5834</v>
      </c>
      <c r="C9179" t="s">
        <v>5111</v>
      </c>
      <c r="D9179" t="s">
        <v>1179</v>
      </c>
      <c r="E9179" t="s">
        <v>561</v>
      </c>
      <c r="F9179" t="s">
        <v>1068</v>
      </c>
      <c r="G9179" t="s">
        <v>1085</v>
      </c>
      <c r="H9179">
        <v>-1.25693014317077E-4</v>
      </c>
      <c r="I9179" t="s">
        <v>1086</v>
      </c>
      <c r="J9179">
        <v>8.06</v>
      </c>
    </row>
    <row r="9180" spans="1:10" hidden="1">
      <c r="A9180" t="s">
        <v>5833</v>
      </c>
      <c r="B9180" t="s">
        <v>5834</v>
      </c>
      <c r="C9180" t="s">
        <v>5111</v>
      </c>
      <c r="D9180" t="s">
        <v>1179</v>
      </c>
      <c r="E9180" t="s">
        <v>561</v>
      </c>
      <c r="F9180" t="s">
        <v>1068</v>
      </c>
      <c r="G9180" t="s">
        <v>1087</v>
      </c>
      <c r="H9180" s="170">
        <v>-1.50273667078962E-7</v>
      </c>
      <c r="I9180" t="s">
        <v>1088</v>
      </c>
      <c r="J9180">
        <v>8.06</v>
      </c>
    </row>
    <row r="9181" spans="1:10" hidden="1">
      <c r="A9181" t="s">
        <v>5833</v>
      </c>
      <c r="B9181" t="s">
        <v>5834</v>
      </c>
      <c r="C9181" t="s">
        <v>5111</v>
      </c>
      <c r="D9181" t="s">
        <v>1179</v>
      </c>
      <c r="E9181" t="s">
        <v>561</v>
      </c>
      <c r="F9181" t="s">
        <v>1068</v>
      </c>
      <c r="G9181" t="s">
        <v>1089</v>
      </c>
      <c r="H9181" s="170">
        <v>-1.4562490786246999E-5</v>
      </c>
      <c r="I9181" t="s">
        <v>1090</v>
      </c>
      <c r="J9181">
        <v>8.06</v>
      </c>
    </row>
    <row r="9182" spans="1:10" hidden="1">
      <c r="A9182" t="s">
        <v>5835</v>
      </c>
      <c r="B9182" t="s">
        <v>5836</v>
      </c>
      <c r="C9182" t="s">
        <v>5111</v>
      </c>
      <c r="D9182" t="s">
        <v>1179</v>
      </c>
      <c r="E9182" t="s">
        <v>555</v>
      </c>
      <c r="F9182" t="s">
        <v>1068</v>
      </c>
      <c r="G9182" t="s">
        <v>1069</v>
      </c>
      <c r="H9182">
        <v>-0.1632205068559</v>
      </c>
      <c r="I9182" t="s">
        <v>1070</v>
      </c>
      <c r="J9182">
        <v>7.22</v>
      </c>
    </row>
    <row r="9183" spans="1:10" hidden="1">
      <c r="A9183" t="s">
        <v>5835</v>
      </c>
      <c r="B9183" t="s">
        <v>5836</v>
      </c>
      <c r="C9183" t="s">
        <v>5111</v>
      </c>
      <c r="D9183" t="s">
        <v>1179</v>
      </c>
      <c r="E9183" t="s">
        <v>555</v>
      </c>
      <c r="F9183" t="s">
        <v>1068</v>
      </c>
      <c r="G9183" t="s">
        <v>1071</v>
      </c>
      <c r="H9183" s="170">
        <v>-9.9637752295254894E-11</v>
      </c>
      <c r="I9183" t="s">
        <v>1072</v>
      </c>
      <c r="J9183">
        <v>7.22</v>
      </c>
    </row>
    <row r="9184" spans="1:10" hidden="1">
      <c r="A9184" t="s">
        <v>5835</v>
      </c>
      <c r="B9184" t="s">
        <v>5836</v>
      </c>
      <c r="C9184" t="s">
        <v>5111</v>
      </c>
      <c r="D9184" t="s">
        <v>1179</v>
      </c>
      <c r="E9184" t="s">
        <v>555</v>
      </c>
      <c r="F9184" t="s">
        <v>1068</v>
      </c>
      <c r="G9184" t="s">
        <v>1073</v>
      </c>
      <c r="H9184" s="170">
        <v>-5.4708106708280298E-8</v>
      </c>
      <c r="I9184" t="s">
        <v>1074</v>
      </c>
      <c r="J9184">
        <v>7.22</v>
      </c>
    </row>
    <row r="9185" spans="1:10" hidden="1">
      <c r="A9185" t="s">
        <v>5835</v>
      </c>
      <c r="B9185" t="s">
        <v>5836</v>
      </c>
      <c r="C9185" t="s">
        <v>5111</v>
      </c>
      <c r="D9185" t="s">
        <v>1179</v>
      </c>
      <c r="E9185" t="s">
        <v>555</v>
      </c>
      <c r="F9185" t="s">
        <v>1068</v>
      </c>
      <c r="G9185" t="s">
        <v>1075</v>
      </c>
      <c r="H9185">
        <v>-1.81906568775869E-3</v>
      </c>
      <c r="I9185" t="s">
        <v>1077</v>
      </c>
      <c r="J9185">
        <v>7.22</v>
      </c>
    </row>
    <row r="9186" spans="1:10" hidden="1">
      <c r="A9186" t="s">
        <v>5835</v>
      </c>
      <c r="B9186" t="s">
        <v>5836</v>
      </c>
      <c r="C9186" t="s">
        <v>5111</v>
      </c>
      <c r="D9186" t="s">
        <v>1179</v>
      </c>
      <c r="E9186" t="s">
        <v>555</v>
      </c>
      <c r="F9186" t="s">
        <v>1068</v>
      </c>
      <c r="G9186" t="s">
        <v>1078</v>
      </c>
      <c r="H9186">
        <v>-0.26249568757036001</v>
      </c>
      <c r="I9186" t="s">
        <v>1079</v>
      </c>
      <c r="J9186">
        <v>7.22</v>
      </c>
    </row>
    <row r="9187" spans="1:10" hidden="1">
      <c r="A9187" t="s">
        <v>5835</v>
      </c>
      <c r="B9187" t="s">
        <v>5836</v>
      </c>
      <c r="C9187" t="s">
        <v>5111</v>
      </c>
      <c r="D9187" t="s">
        <v>1179</v>
      </c>
      <c r="E9187" t="s">
        <v>555</v>
      </c>
      <c r="F9187" t="s">
        <v>1068</v>
      </c>
      <c r="G9187" t="s">
        <v>1080</v>
      </c>
      <c r="H9187" s="170">
        <v>-9.8073127124893008E-10</v>
      </c>
      <c r="I9187" t="s">
        <v>1082</v>
      </c>
      <c r="J9187">
        <v>7.22</v>
      </c>
    </row>
    <row r="9188" spans="1:10" hidden="1">
      <c r="A9188" t="s">
        <v>5835</v>
      </c>
      <c r="B9188" t="s">
        <v>5836</v>
      </c>
      <c r="C9188" t="s">
        <v>5111</v>
      </c>
      <c r="D9188" t="s">
        <v>1179</v>
      </c>
      <c r="E9188" t="s">
        <v>555</v>
      </c>
      <c r="F9188" t="s">
        <v>1068</v>
      </c>
      <c r="G9188" t="s">
        <v>1083</v>
      </c>
      <c r="H9188" s="170">
        <v>-2.3230887445686202E-5</v>
      </c>
      <c r="I9188" t="s">
        <v>1084</v>
      </c>
      <c r="J9188">
        <v>7.22</v>
      </c>
    </row>
    <row r="9189" spans="1:10" hidden="1">
      <c r="A9189" t="s">
        <v>5835</v>
      </c>
      <c r="B9189" t="s">
        <v>5836</v>
      </c>
      <c r="C9189" t="s">
        <v>5111</v>
      </c>
      <c r="D9189" t="s">
        <v>1179</v>
      </c>
      <c r="E9189" t="s">
        <v>555</v>
      </c>
      <c r="F9189" t="s">
        <v>1068</v>
      </c>
      <c r="G9189" t="s">
        <v>1085</v>
      </c>
      <c r="H9189">
        <v>-1.63819432372577E-4</v>
      </c>
      <c r="I9189" t="s">
        <v>1086</v>
      </c>
      <c r="J9189">
        <v>7.22</v>
      </c>
    </row>
    <row r="9190" spans="1:10" hidden="1">
      <c r="A9190" t="s">
        <v>5835</v>
      </c>
      <c r="B9190" t="s">
        <v>5836</v>
      </c>
      <c r="C9190" t="s">
        <v>5111</v>
      </c>
      <c r="D9190" t="s">
        <v>1179</v>
      </c>
      <c r="E9190" t="s">
        <v>555</v>
      </c>
      <c r="F9190" t="s">
        <v>1068</v>
      </c>
      <c r="G9190" t="s">
        <v>1087</v>
      </c>
      <c r="H9190" s="170">
        <v>-1.6867365057715199E-7</v>
      </c>
      <c r="I9190" t="s">
        <v>1088</v>
      </c>
      <c r="J9190">
        <v>7.22</v>
      </c>
    </row>
    <row r="9191" spans="1:10" hidden="1">
      <c r="A9191" t="s">
        <v>5835</v>
      </c>
      <c r="B9191" t="s">
        <v>5836</v>
      </c>
      <c r="C9191" t="s">
        <v>5111</v>
      </c>
      <c r="D9191" t="s">
        <v>1179</v>
      </c>
      <c r="E9191" t="s">
        <v>555</v>
      </c>
      <c r="F9191" t="s">
        <v>1068</v>
      </c>
      <c r="G9191" t="s">
        <v>1089</v>
      </c>
      <c r="H9191" s="170">
        <v>-2.24278955135438E-5</v>
      </c>
      <c r="I9191" t="s">
        <v>1090</v>
      </c>
      <c r="J9191">
        <v>7.22</v>
      </c>
    </row>
    <row r="9192" spans="1:10" hidden="1">
      <c r="A9192" t="s">
        <v>5837</v>
      </c>
      <c r="B9192" t="s">
        <v>5838</v>
      </c>
      <c r="C9192" t="s">
        <v>5111</v>
      </c>
      <c r="D9192" t="s">
        <v>1179</v>
      </c>
      <c r="E9192" t="s">
        <v>558</v>
      </c>
      <c r="F9192" t="s">
        <v>1068</v>
      </c>
      <c r="G9192" t="s">
        <v>1069</v>
      </c>
      <c r="H9192">
        <v>-0.13906255936943501</v>
      </c>
      <c r="I9192" t="s">
        <v>1070</v>
      </c>
      <c r="J9192">
        <v>7.78</v>
      </c>
    </row>
    <row r="9193" spans="1:10" hidden="1">
      <c r="A9193" t="s">
        <v>5837</v>
      </c>
      <c r="B9193" t="s">
        <v>5838</v>
      </c>
      <c r="C9193" t="s">
        <v>5111</v>
      </c>
      <c r="D9193" t="s">
        <v>1179</v>
      </c>
      <c r="E9193" t="s">
        <v>558</v>
      </c>
      <c r="F9193" t="s">
        <v>1068</v>
      </c>
      <c r="G9193" t="s">
        <v>1071</v>
      </c>
      <c r="H9193" s="170">
        <v>-6.5067490365233599E-11</v>
      </c>
      <c r="I9193" t="s">
        <v>1072</v>
      </c>
      <c r="J9193">
        <v>7.78</v>
      </c>
    </row>
    <row r="9194" spans="1:10" hidden="1">
      <c r="A9194" t="s">
        <v>5837</v>
      </c>
      <c r="B9194" t="s">
        <v>5838</v>
      </c>
      <c r="C9194" t="s">
        <v>5111</v>
      </c>
      <c r="D9194" t="s">
        <v>1179</v>
      </c>
      <c r="E9194" t="s">
        <v>558</v>
      </c>
      <c r="F9194" t="s">
        <v>1068</v>
      </c>
      <c r="G9194" t="s">
        <v>1073</v>
      </c>
      <c r="H9194" s="170">
        <v>-4.61269794961028E-8</v>
      </c>
      <c r="I9194" t="s">
        <v>1074</v>
      </c>
      <c r="J9194">
        <v>7.78</v>
      </c>
    </row>
    <row r="9195" spans="1:10" hidden="1">
      <c r="A9195" t="s">
        <v>5837</v>
      </c>
      <c r="B9195" t="s">
        <v>5838</v>
      </c>
      <c r="C9195" t="s">
        <v>5111</v>
      </c>
      <c r="D9195" t="s">
        <v>1179</v>
      </c>
      <c r="E9195" t="s">
        <v>558</v>
      </c>
      <c r="F9195" t="s">
        <v>1068</v>
      </c>
      <c r="G9195" t="s">
        <v>1075</v>
      </c>
      <c r="H9195">
        <v>-1.05539090341804E-3</v>
      </c>
      <c r="I9195" t="s">
        <v>1077</v>
      </c>
      <c r="J9195">
        <v>7.78</v>
      </c>
    </row>
    <row r="9196" spans="1:10" hidden="1">
      <c r="A9196" t="s">
        <v>5837</v>
      </c>
      <c r="B9196" t="s">
        <v>5838</v>
      </c>
      <c r="C9196" t="s">
        <v>5111</v>
      </c>
      <c r="D9196" t="s">
        <v>1179</v>
      </c>
      <c r="E9196" t="s">
        <v>558</v>
      </c>
      <c r="F9196" t="s">
        <v>1068</v>
      </c>
      <c r="G9196" t="s">
        <v>1078</v>
      </c>
      <c r="H9196">
        <v>-0.22947144382468301</v>
      </c>
      <c r="I9196" t="s">
        <v>1079</v>
      </c>
      <c r="J9196">
        <v>7.78</v>
      </c>
    </row>
    <row r="9197" spans="1:10" hidden="1">
      <c r="A9197" t="s">
        <v>5837</v>
      </c>
      <c r="B9197" t="s">
        <v>5838</v>
      </c>
      <c r="C9197" t="s">
        <v>5111</v>
      </c>
      <c r="D9197" t="s">
        <v>1179</v>
      </c>
      <c r="E9197" t="s">
        <v>558</v>
      </c>
      <c r="F9197" t="s">
        <v>1068</v>
      </c>
      <c r="G9197" t="s">
        <v>1080</v>
      </c>
      <c r="H9197" s="170">
        <v>-8.4644305346979195E-10</v>
      </c>
      <c r="I9197" t="s">
        <v>1082</v>
      </c>
      <c r="J9197">
        <v>7.78</v>
      </c>
    </row>
    <row r="9198" spans="1:10" hidden="1">
      <c r="A9198" t="s">
        <v>5837</v>
      </c>
      <c r="B9198" t="s">
        <v>5838</v>
      </c>
      <c r="C9198" t="s">
        <v>5111</v>
      </c>
      <c r="D9198" t="s">
        <v>1179</v>
      </c>
      <c r="E9198" t="s">
        <v>558</v>
      </c>
      <c r="F9198" t="s">
        <v>1068</v>
      </c>
      <c r="G9198" t="s">
        <v>1083</v>
      </c>
      <c r="H9198" s="170">
        <v>-1.95587855830814E-5</v>
      </c>
      <c r="I9198" t="s">
        <v>1084</v>
      </c>
      <c r="J9198">
        <v>7.78</v>
      </c>
    </row>
    <row r="9199" spans="1:10" hidden="1">
      <c r="A9199" t="s">
        <v>5837</v>
      </c>
      <c r="B9199" t="s">
        <v>5838</v>
      </c>
      <c r="C9199" t="s">
        <v>5111</v>
      </c>
      <c r="D9199" t="s">
        <v>1179</v>
      </c>
      <c r="E9199" t="s">
        <v>558</v>
      </c>
      <c r="F9199" t="s">
        <v>1068</v>
      </c>
      <c r="G9199" t="s">
        <v>1085</v>
      </c>
      <c r="H9199">
        <v>-1.2231722858590201E-4</v>
      </c>
      <c r="I9199" t="s">
        <v>1086</v>
      </c>
      <c r="J9199">
        <v>7.78</v>
      </c>
    </row>
    <row r="9200" spans="1:10" hidden="1">
      <c r="A9200" t="s">
        <v>5837</v>
      </c>
      <c r="B9200" t="s">
        <v>5838</v>
      </c>
      <c r="C9200" t="s">
        <v>5111</v>
      </c>
      <c r="D9200" t="s">
        <v>1179</v>
      </c>
      <c r="E9200" t="s">
        <v>558</v>
      </c>
      <c r="F9200" t="s">
        <v>1068</v>
      </c>
      <c r="G9200" t="s">
        <v>1087</v>
      </c>
      <c r="H9200" s="170">
        <v>-1.48644497471209E-7</v>
      </c>
      <c r="I9200" t="s">
        <v>1088</v>
      </c>
      <c r="J9200">
        <v>7.78</v>
      </c>
    </row>
    <row r="9201" spans="1:10" hidden="1">
      <c r="A9201" t="s">
        <v>5837</v>
      </c>
      <c r="B9201" t="s">
        <v>5838</v>
      </c>
      <c r="C9201" t="s">
        <v>5111</v>
      </c>
      <c r="D9201" t="s">
        <v>1179</v>
      </c>
      <c r="E9201" t="s">
        <v>558</v>
      </c>
      <c r="F9201" t="s">
        <v>1068</v>
      </c>
      <c r="G9201" t="s">
        <v>1089</v>
      </c>
      <c r="H9201" s="170">
        <v>-1.3866072856191401E-5</v>
      </c>
      <c r="I9201" t="s">
        <v>1090</v>
      </c>
      <c r="J9201">
        <v>7.78</v>
      </c>
    </row>
    <row r="9202" spans="1:10" hidden="1">
      <c r="A9202" t="s">
        <v>5839</v>
      </c>
      <c r="B9202" t="s">
        <v>5840</v>
      </c>
      <c r="C9202" t="s">
        <v>5111</v>
      </c>
      <c r="D9202" t="s">
        <v>1179</v>
      </c>
      <c r="E9202" t="s">
        <v>553</v>
      </c>
      <c r="F9202" t="s">
        <v>1068</v>
      </c>
      <c r="G9202" t="s">
        <v>1069</v>
      </c>
      <c r="H9202">
        <v>-0.13713746147428199</v>
      </c>
      <c r="I9202" t="s">
        <v>1070</v>
      </c>
      <c r="J9202">
        <v>8.74</v>
      </c>
    </row>
    <row r="9203" spans="1:10" hidden="1">
      <c r="A9203" t="s">
        <v>5839</v>
      </c>
      <c r="B9203" t="s">
        <v>5840</v>
      </c>
      <c r="C9203" t="s">
        <v>5111</v>
      </c>
      <c r="D9203" t="s">
        <v>1179</v>
      </c>
      <c r="E9203" t="s">
        <v>553</v>
      </c>
      <c r="F9203" t="s">
        <v>1068</v>
      </c>
      <c r="G9203" t="s">
        <v>1071</v>
      </c>
      <c r="H9203" s="170">
        <v>-6.2312617610363398E-11</v>
      </c>
      <c r="I9203" t="s">
        <v>1072</v>
      </c>
      <c r="J9203">
        <v>8.74</v>
      </c>
    </row>
    <row r="9204" spans="1:10" hidden="1">
      <c r="A9204" t="s">
        <v>5839</v>
      </c>
      <c r="B9204" t="s">
        <v>5840</v>
      </c>
      <c r="C9204" t="s">
        <v>5111</v>
      </c>
      <c r="D9204" t="s">
        <v>1179</v>
      </c>
      <c r="E9204" t="s">
        <v>553</v>
      </c>
      <c r="F9204" t="s">
        <v>1068</v>
      </c>
      <c r="G9204" t="s">
        <v>1073</v>
      </c>
      <c r="H9204" s="170">
        <v>-4.5443326456949E-8</v>
      </c>
      <c r="I9204" t="s">
        <v>1074</v>
      </c>
      <c r="J9204">
        <v>8.74</v>
      </c>
    </row>
    <row r="9205" spans="1:10" hidden="1">
      <c r="A9205" t="s">
        <v>5839</v>
      </c>
      <c r="B9205" t="s">
        <v>5840</v>
      </c>
      <c r="C9205" t="s">
        <v>5111</v>
      </c>
      <c r="D9205" t="s">
        <v>1179</v>
      </c>
      <c r="E9205" t="s">
        <v>553</v>
      </c>
      <c r="F9205" t="s">
        <v>1068</v>
      </c>
      <c r="G9205" t="s">
        <v>1075</v>
      </c>
      <c r="H9205">
        <v>-9.945527595245729E-4</v>
      </c>
      <c r="I9205" t="s">
        <v>1077</v>
      </c>
      <c r="J9205">
        <v>8.74</v>
      </c>
    </row>
    <row r="9206" spans="1:10" hidden="1">
      <c r="A9206" t="s">
        <v>5839</v>
      </c>
      <c r="B9206" t="s">
        <v>5840</v>
      </c>
      <c r="C9206" t="s">
        <v>5111</v>
      </c>
      <c r="D9206" t="s">
        <v>1179</v>
      </c>
      <c r="E9206" t="s">
        <v>553</v>
      </c>
      <c r="F9206" t="s">
        <v>1068</v>
      </c>
      <c r="G9206" t="s">
        <v>1078</v>
      </c>
      <c r="H9206">
        <v>-0.22684056808224501</v>
      </c>
      <c r="I9206" t="s">
        <v>1079</v>
      </c>
      <c r="J9206">
        <v>8.74</v>
      </c>
    </row>
    <row r="9207" spans="1:10" hidden="1">
      <c r="A9207" t="s">
        <v>5839</v>
      </c>
      <c r="B9207" t="s">
        <v>5840</v>
      </c>
      <c r="C9207" t="s">
        <v>5111</v>
      </c>
      <c r="D9207" t="s">
        <v>1179</v>
      </c>
      <c r="E9207" t="s">
        <v>553</v>
      </c>
      <c r="F9207" t="s">
        <v>1068</v>
      </c>
      <c r="G9207" t="s">
        <v>1080</v>
      </c>
      <c r="H9207" s="170">
        <v>-8.3574498405878202E-10</v>
      </c>
      <c r="I9207" t="s">
        <v>1082</v>
      </c>
      <c r="J9207">
        <v>8.74</v>
      </c>
    </row>
    <row r="9208" spans="1:10" hidden="1">
      <c r="A9208" t="s">
        <v>5839</v>
      </c>
      <c r="B9208" t="s">
        <v>5840</v>
      </c>
      <c r="C9208" t="s">
        <v>5111</v>
      </c>
      <c r="D9208" t="s">
        <v>1179</v>
      </c>
      <c r="E9208" t="s">
        <v>553</v>
      </c>
      <c r="F9208" t="s">
        <v>1068</v>
      </c>
      <c r="G9208" t="s">
        <v>1083</v>
      </c>
      <c r="H9208" s="170">
        <v>-1.92662476599652E-5</v>
      </c>
      <c r="I9208" t="s">
        <v>1084</v>
      </c>
      <c r="J9208">
        <v>8.74</v>
      </c>
    </row>
    <row r="9209" spans="1:10" hidden="1">
      <c r="A9209" t="s">
        <v>5839</v>
      </c>
      <c r="B9209" t="s">
        <v>5840</v>
      </c>
      <c r="C9209" t="s">
        <v>5111</v>
      </c>
      <c r="D9209" t="s">
        <v>1179</v>
      </c>
      <c r="E9209" t="s">
        <v>553</v>
      </c>
      <c r="F9209" t="s">
        <v>1068</v>
      </c>
      <c r="G9209" t="s">
        <v>1085</v>
      </c>
      <c r="H9209">
        <v>-1.1901095626745099E-4</v>
      </c>
      <c r="I9209" t="s">
        <v>1086</v>
      </c>
      <c r="J9209">
        <v>8.74</v>
      </c>
    </row>
    <row r="9210" spans="1:10" hidden="1">
      <c r="A9210" t="s">
        <v>5839</v>
      </c>
      <c r="B9210" t="s">
        <v>5840</v>
      </c>
      <c r="C9210" t="s">
        <v>5111</v>
      </c>
      <c r="D9210" t="s">
        <v>1179</v>
      </c>
      <c r="E9210" t="s">
        <v>553</v>
      </c>
      <c r="F9210" t="s">
        <v>1068</v>
      </c>
      <c r="G9210" t="s">
        <v>1087</v>
      </c>
      <c r="H9210" s="170">
        <v>-1.4704887541264899E-7</v>
      </c>
      <c r="I9210" t="s">
        <v>1088</v>
      </c>
      <c r="J9210">
        <v>8.74</v>
      </c>
    </row>
    <row r="9211" spans="1:10" hidden="1">
      <c r="A9211" t="s">
        <v>5839</v>
      </c>
      <c r="B9211" t="s">
        <v>5840</v>
      </c>
      <c r="C9211" t="s">
        <v>5111</v>
      </c>
      <c r="D9211" t="s">
        <v>1179</v>
      </c>
      <c r="E9211" t="s">
        <v>553</v>
      </c>
      <c r="F9211" t="s">
        <v>1068</v>
      </c>
      <c r="G9211" t="s">
        <v>1089</v>
      </c>
      <c r="H9211" s="170">
        <v>-1.31839953779701E-5</v>
      </c>
      <c r="I9211" t="s">
        <v>1090</v>
      </c>
      <c r="J9211">
        <v>8.74</v>
      </c>
    </row>
    <row r="9212" spans="1:10" hidden="1">
      <c r="A9212" t="s">
        <v>5841</v>
      </c>
      <c r="B9212" t="s">
        <v>5842</v>
      </c>
      <c r="C9212" t="s">
        <v>5111</v>
      </c>
      <c r="D9212" t="s">
        <v>1179</v>
      </c>
      <c r="E9212" t="s">
        <v>556</v>
      </c>
      <c r="F9212" t="s">
        <v>1068</v>
      </c>
      <c r="G9212" t="s">
        <v>1069</v>
      </c>
      <c r="H9212">
        <v>-0.160768902784165</v>
      </c>
      <c r="I9212" t="s">
        <v>1070</v>
      </c>
      <c r="J9212">
        <v>12.56</v>
      </c>
    </row>
    <row r="9213" spans="1:10" hidden="1">
      <c r="A9213" t="s">
        <v>5841</v>
      </c>
      <c r="B9213" t="s">
        <v>5842</v>
      </c>
      <c r="C9213" t="s">
        <v>5111</v>
      </c>
      <c r="D9213" t="s">
        <v>1179</v>
      </c>
      <c r="E9213" t="s">
        <v>556</v>
      </c>
      <c r="F9213" t="s">
        <v>1068</v>
      </c>
      <c r="G9213" t="s">
        <v>1071</v>
      </c>
      <c r="H9213" s="170">
        <v>-9.6129478976972104E-11</v>
      </c>
      <c r="I9213" t="s">
        <v>1072</v>
      </c>
      <c r="J9213">
        <v>12.56</v>
      </c>
    </row>
    <row r="9214" spans="1:10" hidden="1">
      <c r="A9214" t="s">
        <v>5841</v>
      </c>
      <c r="B9214" t="s">
        <v>5842</v>
      </c>
      <c r="C9214" t="s">
        <v>5111</v>
      </c>
      <c r="D9214" t="s">
        <v>1179</v>
      </c>
      <c r="E9214" t="s">
        <v>556</v>
      </c>
      <c r="F9214" t="s">
        <v>1068</v>
      </c>
      <c r="G9214" t="s">
        <v>1073</v>
      </c>
      <c r="H9214" s="170">
        <v>-5.3837289184651598E-8</v>
      </c>
      <c r="I9214" t="s">
        <v>1074</v>
      </c>
      <c r="J9214">
        <v>12.56</v>
      </c>
    </row>
    <row r="9215" spans="1:10" hidden="1">
      <c r="A9215" t="s">
        <v>5841</v>
      </c>
      <c r="B9215" t="s">
        <v>5842</v>
      </c>
      <c r="C9215" t="s">
        <v>5111</v>
      </c>
      <c r="D9215" t="s">
        <v>1179</v>
      </c>
      <c r="E9215" t="s">
        <v>556</v>
      </c>
      <c r="F9215" t="s">
        <v>1068</v>
      </c>
      <c r="G9215" t="s">
        <v>1075</v>
      </c>
      <c r="H9215">
        <v>-1.7415678640774999E-3</v>
      </c>
      <c r="I9215" t="s">
        <v>1077</v>
      </c>
      <c r="J9215">
        <v>12.56</v>
      </c>
    </row>
    <row r="9216" spans="1:10" hidden="1">
      <c r="A9216" t="s">
        <v>5841</v>
      </c>
      <c r="B9216" t="s">
        <v>5842</v>
      </c>
      <c r="C9216" t="s">
        <v>5111</v>
      </c>
      <c r="D9216" t="s">
        <v>1179</v>
      </c>
      <c r="E9216" t="s">
        <v>556</v>
      </c>
      <c r="F9216" t="s">
        <v>1068</v>
      </c>
      <c r="G9216" t="s">
        <v>1078</v>
      </c>
      <c r="H9216">
        <v>-0.25914438273474799</v>
      </c>
      <c r="I9216" t="s">
        <v>1079</v>
      </c>
      <c r="J9216">
        <v>12.56</v>
      </c>
    </row>
    <row r="9217" spans="1:10" hidden="1">
      <c r="A9217" t="s">
        <v>5841</v>
      </c>
      <c r="B9217" t="s">
        <v>5842</v>
      </c>
      <c r="C9217" t="s">
        <v>5111</v>
      </c>
      <c r="D9217" t="s">
        <v>1179</v>
      </c>
      <c r="E9217" t="s">
        <v>556</v>
      </c>
      <c r="F9217" t="s">
        <v>1068</v>
      </c>
      <c r="G9217" t="s">
        <v>1080</v>
      </c>
      <c r="H9217" s="170">
        <v>-9.6710368417770996E-10</v>
      </c>
      <c r="I9217" t="s">
        <v>1082</v>
      </c>
      <c r="J9217">
        <v>12.56</v>
      </c>
    </row>
    <row r="9218" spans="1:10" hidden="1">
      <c r="A9218" t="s">
        <v>5841</v>
      </c>
      <c r="B9218" t="s">
        <v>5842</v>
      </c>
      <c r="C9218" t="s">
        <v>5111</v>
      </c>
      <c r="D9218" t="s">
        <v>1179</v>
      </c>
      <c r="E9218" t="s">
        <v>556</v>
      </c>
      <c r="F9218" t="s">
        <v>1068</v>
      </c>
      <c r="G9218" t="s">
        <v>1083</v>
      </c>
      <c r="H9218" s="170">
        <v>-2.2858242039469701E-5</v>
      </c>
      <c r="I9218" t="s">
        <v>1084</v>
      </c>
      <c r="J9218">
        <v>12.56</v>
      </c>
    </row>
    <row r="9219" spans="1:10" hidden="1">
      <c r="A9219" t="s">
        <v>5841</v>
      </c>
      <c r="B9219" t="s">
        <v>5842</v>
      </c>
      <c r="C9219" t="s">
        <v>5111</v>
      </c>
      <c r="D9219" t="s">
        <v>1179</v>
      </c>
      <c r="E9219" t="s">
        <v>556</v>
      </c>
      <c r="F9219" t="s">
        <v>1068</v>
      </c>
      <c r="G9219" t="s">
        <v>1085</v>
      </c>
      <c r="H9219">
        <v>-1.59607782971216E-4</v>
      </c>
      <c r="I9219" t="s">
        <v>1086</v>
      </c>
      <c r="J9219">
        <v>12.56</v>
      </c>
    </row>
    <row r="9220" spans="1:10" hidden="1">
      <c r="A9220" t="s">
        <v>5841</v>
      </c>
      <c r="B9220" t="s">
        <v>5842</v>
      </c>
      <c r="C9220" t="s">
        <v>5111</v>
      </c>
      <c r="D9220" t="s">
        <v>1179</v>
      </c>
      <c r="E9220" t="s">
        <v>556</v>
      </c>
      <c r="F9220" t="s">
        <v>1068</v>
      </c>
      <c r="G9220" t="s">
        <v>1087</v>
      </c>
      <c r="H9220" s="170">
        <v>-1.6664108934560299E-7</v>
      </c>
      <c r="I9220" t="s">
        <v>1088</v>
      </c>
      <c r="J9220">
        <v>12.56</v>
      </c>
    </row>
    <row r="9221" spans="1:10" hidden="1">
      <c r="A9221" t="s">
        <v>5841</v>
      </c>
      <c r="B9221" t="s">
        <v>5842</v>
      </c>
      <c r="C9221" t="s">
        <v>5111</v>
      </c>
      <c r="D9221" t="s">
        <v>1179</v>
      </c>
      <c r="E9221" t="s">
        <v>556</v>
      </c>
      <c r="F9221" t="s">
        <v>1068</v>
      </c>
      <c r="G9221" t="s">
        <v>1089</v>
      </c>
      <c r="H9221" s="170">
        <v>-2.15590405589385E-5</v>
      </c>
      <c r="I9221" t="s">
        <v>1090</v>
      </c>
      <c r="J9221">
        <v>12.56</v>
      </c>
    </row>
    <row r="9222" spans="1:10" hidden="1">
      <c r="A9222" t="s">
        <v>5843</v>
      </c>
      <c r="B9222" t="s">
        <v>5844</v>
      </c>
      <c r="C9222" t="s">
        <v>5111</v>
      </c>
      <c r="D9222" t="s">
        <v>1179</v>
      </c>
      <c r="E9222" t="s">
        <v>557</v>
      </c>
      <c r="F9222" t="s">
        <v>1068</v>
      </c>
      <c r="G9222" t="s">
        <v>1069</v>
      </c>
      <c r="H9222">
        <v>-0.14717905885060401</v>
      </c>
      <c r="I9222" t="s">
        <v>1070</v>
      </c>
      <c r="J9222">
        <v>15.52</v>
      </c>
    </row>
    <row r="9223" spans="1:10" hidden="1">
      <c r="A9223" t="s">
        <v>5843</v>
      </c>
      <c r="B9223" t="s">
        <v>5844</v>
      </c>
      <c r="C9223" t="s">
        <v>5111</v>
      </c>
      <c r="D9223" t="s">
        <v>1179</v>
      </c>
      <c r="E9223" t="s">
        <v>557</v>
      </c>
      <c r="F9223" t="s">
        <v>1068</v>
      </c>
      <c r="G9223" t="s">
        <v>1071</v>
      </c>
      <c r="H9223" s="170">
        <v>-7.6682293463264595E-11</v>
      </c>
      <c r="I9223" t="s">
        <v>1072</v>
      </c>
      <c r="J9223">
        <v>15.52</v>
      </c>
    </row>
    <row r="9224" spans="1:10" hidden="1">
      <c r="A9224" t="s">
        <v>5843</v>
      </c>
      <c r="B9224" t="s">
        <v>5844</v>
      </c>
      <c r="C9224" t="s">
        <v>5111</v>
      </c>
      <c r="D9224" t="s">
        <v>1179</v>
      </c>
      <c r="E9224" t="s">
        <v>557</v>
      </c>
      <c r="F9224" t="s">
        <v>1068</v>
      </c>
      <c r="G9224" t="s">
        <v>1073</v>
      </c>
      <c r="H9224" s="170">
        <v>-4.90099857939822E-8</v>
      </c>
      <c r="I9224" t="s">
        <v>1074</v>
      </c>
      <c r="J9224">
        <v>15.52</v>
      </c>
    </row>
    <row r="9225" spans="1:10" hidden="1">
      <c r="A9225" t="s">
        <v>5843</v>
      </c>
      <c r="B9225" t="s">
        <v>5844</v>
      </c>
      <c r="C9225" t="s">
        <v>5111</v>
      </c>
      <c r="D9225" t="s">
        <v>1179</v>
      </c>
      <c r="E9225" t="s">
        <v>557</v>
      </c>
      <c r="F9225" t="s">
        <v>1068</v>
      </c>
      <c r="G9225" t="s">
        <v>1075</v>
      </c>
      <c r="H9225">
        <v>-1.3119621226264299E-3</v>
      </c>
      <c r="I9225" t="s">
        <v>1077</v>
      </c>
      <c r="J9225">
        <v>15.52</v>
      </c>
    </row>
    <row r="9226" spans="1:10" hidden="1">
      <c r="A9226" t="s">
        <v>5843</v>
      </c>
      <c r="B9226" t="s">
        <v>5844</v>
      </c>
      <c r="C9226" t="s">
        <v>5111</v>
      </c>
      <c r="D9226" t="s">
        <v>1179</v>
      </c>
      <c r="E9226" t="s">
        <v>557</v>
      </c>
      <c r="F9226" t="s">
        <v>1068</v>
      </c>
      <c r="G9226" t="s">
        <v>1078</v>
      </c>
      <c r="H9226">
        <v>-0.24056657303955101</v>
      </c>
      <c r="I9226" t="s">
        <v>1079</v>
      </c>
      <c r="J9226">
        <v>15.52</v>
      </c>
    </row>
    <row r="9227" spans="1:10" hidden="1">
      <c r="A9227" t="s">
        <v>5843</v>
      </c>
      <c r="B9227" t="s">
        <v>5844</v>
      </c>
      <c r="C9227" t="s">
        <v>5111</v>
      </c>
      <c r="D9227" t="s">
        <v>1179</v>
      </c>
      <c r="E9227" t="s">
        <v>557</v>
      </c>
      <c r="F9227" t="s">
        <v>1068</v>
      </c>
      <c r="G9227" t="s">
        <v>1080</v>
      </c>
      <c r="H9227" s="170">
        <v>-8.9155976079971298E-10</v>
      </c>
      <c r="I9227" t="s">
        <v>1082</v>
      </c>
      <c r="J9227">
        <v>15.52</v>
      </c>
    </row>
    <row r="9228" spans="1:10" hidden="1">
      <c r="A9228" t="s">
        <v>5843</v>
      </c>
      <c r="B9228" t="s">
        <v>5844</v>
      </c>
      <c r="C9228" t="s">
        <v>5111</v>
      </c>
      <c r="D9228" t="s">
        <v>1179</v>
      </c>
      <c r="E9228" t="s">
        <v>557</v>
      </c>
      <c r="F9228" t="s">
        <v>1068</v>
      </c>
      <c r="G9228" t="s">
        <v>1083</v>
      </c>
      <c r="H9228" s="170">
        <v>-2.0792498759323799E-5</v>
      </c>
      <c r="I9228" t="s">
        <v>1084</v>
      </c>
      <c r="J9228">
        <v>15.52</v>
      </c>
    </row>
    <row r="9229" spans="1:10" hidden="1">
      <c r="A9229" t="s">
        <v>5843</v>
      </c>
      <c r="B9229" t="s">
        <v>5844</v>
      </c>
      <c r="C9229" t="s">
        <v>5111</v>
      </c>
      <c r="D9229" t="s">
        <v>1179</v>
      </c>
      <c r="E9229" t="s">
        <v>557</v>
      </c>
      <c r="F9229" t="s">
        <v>1068</v>
      </c>
      <c r="G9229" t="s">
        <v>1085</v>
      </c>
      <c r="H9229">
        <v>-1.36260691388584E-4</v>
      </c>
      <c r="I9229" t="s">
        <v>1086</v>
      </c>
      <c r="J9229">
        <v>15.52</v>
      </c>
    </row>
    <row r="9230" spans="1:10" hidden="1">
      <c r="A9230" t="s">
        <v>5843</v>
      </c>
      <c r="B9230" t="s">
        <v>5844</v>
      </c>
      <c r="C9230" t="s">
        <v>5111</v>
      </c>
      <c r="D9230" t="s">
        <v>1179</v>
      </c>
      <c r="E9230" t="s">
        <v>557</v>
      </c>
      <c r="F9230" t="s">
        <v>1068</v>
      </c>
      <c r="G9230" t="s">
        <v>1087</v>
      </c>
      <c r="H9230" s="170">
        <v>-1.55373676285842E-7</v>
      </c>
      <c r="I9230" t="s">
        <v>1088</v>
      </c>
      <c r="J9230">
        <v>15.52</v>
      </c>
    </row>
    <row r="9231" spans="1:10" hidden="1">
      <c r="A9231" t="s">
        <v>5843</v>
      </c>
      <c r="B9231" t="s">
        <v>5844</v>
      </c>
      <c r="C9231" t="s">
        <v>5111</v>
      </c>
      <c r="D9231" t="s">
        <v>1179</v>
      </c>
      <c r="E9231" t="s">
        <v>557</v>
      </c>
      <c r="F9231" t="s">
        <v>1068</v>
      </c>
      <c r="G9231" t="s">
        <v>1089</v>
      </c>
      <c r="H9231" s="170">
        <v>-1.67425816977257E-5</v>
      </c>
      <c r="I9231" t="s">
        <v>1090</v>
      </c>
      <c r="J9231">
        <v>15.52</v>
      </c>
    </row>
    <row r="9232" spans="1:10" hidden="1">
      <c r="A9232" t="s">
        <v>5845</v>
      </c>
      <c r="B9232" t="s">
        <v>5846</v>
      </c>
      <c r="C9232" t="s">
        <v>5111</v>
      </c>
      <c r="D9232" t="s">
        <v>1179</v>
      </c>
      <c r="E9232" t="s">
        <v>559</v>
      </c>
      <c r="F9232" t="s">
        <v>1068</v>
      </c>
      <c r="G9232" t="s">
        <v>1069</v>
      </c>
      <c r="H9232">
        <v>-0.15374464392699799</v>
      </c>
      <c r="I9232" t="s">
        <v>1070</v>
      </c>
      <c r="J9232">
        <v>8.99</v>
      </c>
    </row>
    <row r="9233" spans="1:10" hidden="1">
      <c r="A9233" t="s">
        <v>5845</v>
      </c>
      <c r="B9233" t="s">
        <v>5846</v>
      </c>
      <c r="C9233" t="s">
        <v>5111</v>
      </c>
      <c r="D9233" t="s">
        <v>1179</v>
      </c>
      <c r="E9233" t="s">
        <v>559</v>
      </c>
      <c r="F9233" t="s">
        <v>1068</v>
      </c>
      <c r="G9233" t="s">
        <v>1071</v>
      </c>
      <c r="H9233" s="170">
        <v>-8.60776846381972E-11</v>
      </c>
      <c r="I9233" t="s">
        <v>1072</v>
      </c>
      <c r="J9233">
        <v>8.99</v>
      </c>
    </row>
    <row r="9234" spans="1:10" hidden="1">
      <c r="A9234" t="s">
        <v>5845</v>
      </c>
      <c r="B9234" t="s">
        <v>5846</v>
      </c>
      <c r="C9234" t="s">
        <v>5111</v>
      </c>
      <c r="D9234" t="s">
        <v>1179</v>
      </c>
      <c r="E9234" t="s">
        <v>559</v>
      </c>
      <c r="F9234" t="s">
        <v>1068</v>
      </c>
      <c r="G9234" t="s">
        <v>1073</v>
      </c>
      <c r="H9234" s="170">
        <v>-5.1342250212478398E-8</v>
      </c>
      <c r="I9234" t="s">
        <v>1074</v>
      </c>
      <c r="J9234">
        <v>8.99</v>
      </c>
    </row>
    <row r="9235" spans="1:10" hidden="1">
      <c r="A9235" t="s">
        <v>5845</v>
      </c>
      <c r="B9235" t="s">
        <v>5846</v>
      </c>
      <c r="C9235" t="s">
        <v>5111</v>
      </c>
      <c r="D9235" t="s">
        <v>1179</v>
      </c>
      <c r="E9235" t="s">
        <v>559</v>
      </c>
      <c r="F9235" t="s">
        <v>1068</v>
      </c>
      <c r="G9235" t="s">
        <v>1075</v>
      </c>
      <c r="H9235">
        <v>-1.5195235378010999E-3</v>
      </c>
      <c r="I9235" t="s">
        <v>1077</v>
      </c>
      <c r="J9235">
        <v>8.99</v>
      </c>
    </row>
    <row r="9236" spans="1:10" hidden="1">
      <c r="A9236" t="s">
        <v>5845</v>
      </c>
      <c r="B9236" t="s">
        <v>5846</v>
      </c>
      <c r="C9236" t="s">
        <v>5111</v>
      </c>
      <c r="D9236" t="s">
        <v>1179</v>
      </c>
      <c r="E9236" t="s">
        <v>559</v>
      </c>
      <c r="F9236" t="s">
        <v>1068</v>
      </c>
      <c r="G9236" t="s">
        <v>1078</v>
      </c>
      <c r="H9236">
        <v>-0.24954232955407901</v>
      </c>
      <c r="I9236" t="s">
        <v>1079</v>
      </c>
      <c r="J9236">
        <v>8.99</v>
      </c>
    </row>
    <row r="9237" spans="1:10" hidden="1">
      <c r="A9237" t="s">
        <v>5845</v>
      </c>
      <c r="B9237" t="s">
        <v>5846</v>
      </c>
      <c r="C9237" t="s">
        <v>5111</v>
      </c>
      <c r="D9237" t="s">
        <v>1179</v>
      </c>
      <c r="E9237" t="s">
        <v>559</v>
      </c>
      <c r="F9237" t="s">
        <v>1068</v>
      </c>
      <c r="G9237" t="s">
        <v>1080</v>
      </c>
      <c r="H9237" s="170">
        <v>-9.2805835043452996E-10</v>
      </c>
      <c r="I9237" t="s">
        <v>1082</v>
      </c>
      <c r="J9237">
        <v>8.99</v>
      </c>
    </row>
    <row r="9238" spans="1:10" hidden="1">
      <c r="A9238" t="s">
        <v>5845</v>
      </c>
      <c r="B9238" t="s">
        <v>5846</v>
      </c>
      <c r="C9238" t="s">
        <v>5111</v>
      </c>
      <c r="D9238" t="s">
        <v>1179</v>
      </c>
      <c r="E9238" t="s">
        <v>559</v>
      </c>
      <c r="F9238" t="s">
        <v>1068</v>
      </c>
      <c r="G9238" t="s">
        <v>1083</v>
      </c>
      <c r="H9238" s="170">
        <v>-2.1790550145255801E-5</v>
      </c>
      <c r="I9238" t="s">
        <v>1084</v>
      </c>
      <c r="J9238">
        <v>8.99</v>
      </c>
    </row>
    <row r="9239" spans="1:10" hidden="1">
      <c r="A9239" t="s">
        <v>5845</v>
      </c>
      <c r="B9239" t="s">
        <v>5846</v>
      </c>
      <c r="C9239" t="s">
        <v>5111</v>
      </c>
      <c r="D9239" t="s">
        <v>1179</v>
      </c>
      <c r="E9239" t="s">
        <v>559</v>
      </c>
      <c r="F9239" t="s">
        <v>1068</v>
      </c>
      <c r="G9239" t="s">
        <v>1085</v>
      </c>
      <c r="H9239">
        <v>-1.4754069760779701E-4</v>
      </c>
      <c r="I9239" t="s">
        <v>1086</v>
      </c>
      <c r="J9239">
        <v>8.99</v>
      </c>
    </row>
    <row r="9240" spans="1:10" hidden="1">
      <c r="A9240" t="s">
        <v>5845</v>
      </c>
      <c r="B9240" t="s">
        <v>5846</v>
      </c>
      <c r="C9240" t="s">
        <v>5111</v>
      </c>
      <c r="D9240" t="s">
        <v>1179</v>
      </c>
      <c r="E9240" t="s">
        <v>559</v>
      </c>
      <c r="F9240" t="s">
        <v>1068</v>
      </c>
      <c r="G9240" t="s">
        <v>1087</v>
      </c>
      <c r="H9240" s="170">
        <v>-1.6081745885072201E-7</v>
      </c>
      <c r="I9240" t="s">
        <v>1088</v>
      </c>
      <c r="J9240">
        <v>8.99</v>
      </c>
    </row>
    <row r="9241" spans="1:10" hidden="1">
      <c r="A9241" t="s">
        <v>5845</v>
      </c>
      <c r="B9241" t="s">
        <v>5846</v>
      </c>
      <c r="C9241" t="s">
        <v>5111</v>
      </c>
      <c r="D9241" t="s">
        <v>1179</v>
      </c>
      <c r="E9241" t="s">
        <v>559</v>
      </c>
      <c r="F9241" t="s">
        <v>1068</v>
      </c>
      <c r="G9241" t="s">
        <v>1089</v>
      </c>
      <c r="H9241" s="170">
        <v>-1.9069624677774999E-5</v>
      </c>
      <c r="I9241" t="s">
        <v>1090</v>
      </c>
      <c r="J9241">
        <v>8.99</v>
      </c>
    </row>
    <row r="9242" spans="1:10" hidden="1">
      <c r="A9242" t="s">
        <v>5847</v>
      </c>
      <c r="B9242" t="s">
        <v>5848</v>
      </c>
      <c r="C9242" t="s">
        <v>5111</v>
      </c>
      <c r="D9242" t="s">
        <v>1179</v>
      </c>
      <c r="E9242" t="s">
        <v>560</v>
      </c>
      <c r="F9242" t="s">
        <v>1068</v>
      </c>
      <c r="G9242" t="s">
        <v>1069</v>
      </c>
      <c r="H9242">
        <v>-0.15150785857389501</v>
      </c>
      <c r="I9242" t="s">
        <v>1070</v>
      </c>
      <c r="J9242">
        <v>7.64</v>
      </c>
    </row>
    <row r="9243" spans="1:10" hidden="1">
      <c r="A9243" t="s">
        <v>5847</v>
      </c>
      <c r="B9243" t="s">
        <v>5848</v>
      </c>
      <c r="C9243" t="s">
        <v>5111</v>
      </c>
      <c r="D9243" t="s">
        <v>1179</v>
      </c>
      <c r="E9243" t="s">
        <v>560</v>
      </c>
      <c r="F9243" t="s">
        <v>1068</v>
      </c>
      <c r="G9243" t="s">
        <v>1071</v>
      </c>
      <c r="H9243" s="170">
        <v>-8.2876855115548294E-11</v>
      </c>
      <c r="I9243" t="s">
        <v>1072</v>
      </c>
      <c r="J9243">
        <v>7.64</v>
      </c>
    </row>
    <row r="9244" spans="1:10" hidden="1">
      <c r="A9244" t="s">
        <v>5847</v>
      </c>
      <c r="B9244" t="s">
        <v>5848</v>
      </c>
      <c r="C9244" t="s">
        <v>5111</v>
      </c>
      <c r="D9244" t="s">
        <v>1179</v>
      </c>
      <c r="E9244" t="s">
        <v>560</v>
      </c>
      <c r="F9244" t="s">
        <v>1068</v>
      </c>
      <c r="G9244" t="s">
        <v>1073</v>
      </c>
      <c r="H9244" s="170">
        <v>-5.0547589152851398E-8</v>
      </c>
      <c r="I9244" t="s">
        <v>1074</v>
      </c>
      <c r="J9244">
        <v>7.64</v>
      </c>
    </row>
    <row r="9245" spans="1:10" hidden="1">
      <c r="A9245" t="s">
        <v>5847</v>
      </c>
      <c r="B9245" t="s">
        <v>5848</v>
      </c>
      <c r="C9245" t="s">
        <v>5111</v>
      </c>
      <c r="D9245" t="s">
        <v>1179</v>
      </c>
      <c r="E9245" t="s">
        <v>560</v>
      </c>
      <c r="F9245" t="s">
        <v>1068</v>
      </c>
      <c r="G9245" t="s">
        <v>1075</v>
      </c>
      <c r="H9245">
        <v>-1.4488001062042499E-3</v>
      </c>
      <c r="I9245" t="s">
        <v>1077</v>
      </c>
      <c r="J9245">
        <v>7.64</v>
      </c>
    </row>
    <row r="9246" spans="1:10" hidden="1">
      <c r="A9246" t="s">
        <v>5847</v>
      </c>
      <c r="B9246" t="s">
        <v>5848</v>
      </c>
      <c r="C9246" t="s">
        <v>5111</v>
      </c>
      <c r="D9246" t="s">
        <v>1179</v>
      </c>
      <c r="E9246" t="s">
        <v>560</v>
      </c>
      <c r="F9246" t="s">
        <v>1068</v>
      </c>
      <c r="G9246" t="s">
        <v>1078</v>
      </c>
      <c r="H9246">
        <v>-0.24648397528748101</v>
      </c>
      <c r="I9246" t="s">
        <v>1079</v>
      </c>
      <c r="J9246">
        <v>7.64</v>
      </c>
    </row>
    <row r="9247" spans="1:10" hidden="1">
      <c r="A9247" t="s">
        <v>5847</v>
      </c>
      <c r="B9247" t="s">
        <v>5848</v>
      </c>
      <c r="C9247" t="s">
        <v>5111</v>
      </c>
      <c r="D9247" t="s">
        <v>1179</v>
      </c>
      <c r="E9247" t="s">
        <v>560</v>
      </c>
      <c r="F9247" t="s">
        <v>1068</v>
      </c>
      <c r="G9247" t="s">
        <v>1080</v>
      </c>
      <c r="H9247" s="170">
        <v>-9.1562200470900502E-10</v>
      </c>
      <c r="I9247" t="s">
        <v>1082</v>
      </c>
      <c r="J9247">
        <v>7.64</v>
      </c>
    </row>
    <row r="9248" spans="1:10" hidden="1">
      <c r="A9248" t="s">
        <v>5847</v>
      </c>
      <c r="B9248" t="s">
        <v>5848</v>
      </c>
      <c r="C9248" t="s">
        <v>5111</v>
      </c>
      <c r="D9248" t="s">
        <v>1179</v>
      </c>
      <c r="E9248" t="s">
        <v>560</v>
      </c>
      <c r="F9248" t="s">
        <v>1068</v>
      </c>
      <c r="G9248" t="s">
        <v>1083</v>
      </c>
      <c r="H9248" s="170">
        <v>-2.1450479119986401E-5</v>
      </c>
      <c r="I9248" t="s">
        <v>1084</v>
      </c>
      <c r="J9248">
        <v>7.64</v>
      </c>
    </row>
    <row r="9249" spans="1:10" hidden="1">
      <c r="A9249" t="s">
        <v>5847</v>
      </c>
      <c r="B9249" t="s">
        <v>5848</v>
      </c>
      <c r="C9249" t="s">
        <v>5111</v>
      </c>
      <c r="D9249" t="s">
        <v>1179</v>
      </c>
      <c r="E9249" t="s">
        <v>560</v>
      </c>
      <c r="F9249" t="s">
        <v>1068</v>
      </c>
      <c r="G9249" t="s">
        <v>1085</v>
      </c>
      <c r="H9249">
        <v>-1.43697204883348E-4</v>
      </c>
      <c r="I9249" t="s">
        <v>1086</v>
      </c>
      <c r="J9249">
        <v>7.64</v>
      </c>
    </row>
    <row r="9250" spans="1:10" hidden="1">
      <c r="A9250" t="s">
        <v>5847</v>
      </c>
      <c r="B9250" t="s">
        <v>5848</v>
      </c>
      <c r="C9250" t="s">
        <v>5111</v>
      </c>
      <c r="D9250" t="s">
        <v>1179</v>
      </c>
      <c r="E9250" t="s">
        <v>560</v>
      </c>
      <c r="F9250" t="s">
        <v>1068</v>
      </c>
      <c r="G9250" t="s">
        <v>1087</v>
      </c>
      <c r="H9250" s="170">
        <v>-1.5896257165364601E-7</v>
      </c>
      <c r="I9250" t="s">
        <v>1088</v>
      </c>
      <c r="J9250">
        <v>7.64</v>
      </c>
    </row>
    <row r="9251" spans="1:10" hidden="1">
      <c r="A9251" t="s">
        <v>5847</v>
      </c>
      <c r="B9251" t="s">
        <v>5848</v>
      </c>
      <c r="C9251" t="s">
        <v>5111</v>
      </c>
      <c r="D9251" t="s">
        <v>1179</v>
      </c>
      <c r="E9251" t="s">
        <v>560</v>
      </c>
      <c r="F9251" t="s">
        <v>1068</v>
      </c>
      <c r="G9251" t="s">
        <v>1089</v>
      </c>
      <c r="H9251" s="170">
        <v>-1.8276719746544099E-5</v>
      </c>
      <c r="I9251" t="s">
        <v>1090</v>
      </c>
      <c r="J9251">
        <v>7.64</v>
      </c>
    </row>
    <row r="9252" spans="1:10" hidden="1">
      <c r="A9252" t="s">
        <v>5849</v>
      </c>
      <c r="B9252" t="s">
        <v>5850</v>
      </c>
      <c r="C9252" t="s">
        <v>5111</v>
      </c>
      <c r="D9252" t="s">
        <v>1179</v>
      </c>
      <c r="E9252" t="s">
        <v>1116</v>
      </c>
      <c r="F9252" t="s">
        <v>1068</v>
      </c>
      <c r="G9252" t="s">
        <v>1069</v>
      </c>
      <c r="H9252">
        <v>-0.13836951608711601</v>
      </c>
      <c r="I9252" t="s">
        <v>1070</v>
      </c>
      <c r="J9252">
        <v>7.79</v>
      </c>
    </row>
    <row r="9253" spans="1:10" hidden="1">
      <c r="A9253" t="s">
        <v>5849</v>
      </c>
      <c r="B9253" t="s">
        <v>5850</v>
      </c>
      <c r="C9253" t="s">
        <v>5111</v>
      </c>
      <c r="D9253" t="s">
        <v>1179</v>
      </c>
      <c r="E9253" t="s">
        <v>1116</v>
      </c>
      <c r="F9253" t="s">
        <v>1068</v>
      </c>
      <c r="G9253" t="s">
        <v>1071</v>
      </c>
      <c r="H9253" s="170">
        <v>-6.4075737543562599E-11</v>
      </c>
      <c r="I9253" t="s">
        <v>1072</v>
      </c>
      <c r="J9253">
        <v>7.79</v>
      </c>
    </row>
    <row r="9254" spans="1:10" hidden="1">
      <c r="A9254" t="s">
        <v>5849</v>
      </c>
      <c r="B9254" t="s">
        <v>5850</v>
      </c>
      <c r="C9254" t="s">
        <v>5111</v>
      </c>
      <c r="D9254" t="s">
        <v>1179</v>
      </c>
      <c r="E9254" t="s">
        <v>1116</v>
      </c>
      <c r="F9254" t="s">
        <v>1068</v>
      </c>
      <c r="G9254" t="s">
        <v>1073</v>
      </c>
      <c r="H9254" s="170">
        <v>-4.5880808329300798E-8</v>
      </c>
      <c r="I9254" t="s">
        <v>1074</v>
      </c>
      <c r="J9254">
        <v>7.79</v>
      </c>
    </row>
    <row r="9255" spans="1:10" hidden="1">
      <c r="A9255" t="s">
        <v>5849</v>
      </c>
      <c r="B9255" t="s">
        <v>5850</v>
      </c>
      <c r="C9255" t="s">
        <v>5111</v>
      </c>
      <c r="D9255" t="s">
        <v>1179</v>
      </c>
      <c r="E9255" t="s">
        <v>1116</v>
      </c>
      <c r="F9255" t="s">
        <v>1068</v>
      </c>
      <c r="G9255" t="s">
        <v>1075</v>
      </c>
      <c r="H9255">
        <v>-1.0334830649069799E-3</v>
      </c>
      <c r="I9255" t="s">
        <v>1077</v>
      </c>
      <c r="J9255">
        <v>7.79</v>
      </c>
    </row>
    <row r="9256" spans="1:10" hidden="1">
      <c r="A9256" t="s">
        <v>5849</v>
      </c>
      <c r="B9256" t="s">
        <v>5850</v>
      </c>
      <c r="C9256" t="s">
        <v>5111</v>
      </c>
      <c r="D9256" t="s">
        <v>1179</v>
      </c>
      <c r="E9256" t="s">
        <v>1116</v>
      </c>
      <c r="F9256" t="s">
        <v>1068</v>
      </c>
      <c r="G9256" t="s">
        <v>1078</v>
      </c>
      <c r="H9256">
        <v>-0.22852406438029799</v>
      </c>
      <c r="I9256" t="s">
        <v>1079</v>
      </c>
      <c r="J9256">
        <v>7.79</v>
      </c>
    </row>
    <row r="9257" spans="1:10" hidden="1">
      <c r="A9257" t="s">
        <v>5849</v>
      </c>
      <c r="B9257" t="s">
        <v>5850</v>
      </c>
      <c r="C9257" t="s">
        <v>5111</v>
      </c>
      <c r="D9257" t="s">
        <v>1179</v>
      </c>
      <c r="E9257" t="s">
        <v>1116</v>
      </c>
      <c r="F9257" t="s">
        <v>1068</v>
      </c>
      <c r="G9257" t="s">
        <v>1080</v>
      </c>
      <c r="H9257" s="170">
        <v>-8.4259067462003695E-10</v>
      </c>
      <c r="I9257" t="s">
        <v>1082</v>
      </c>
      <c r="J9257">
        <v>7.79</v>
      </c>
    </row>
    <row r="9258" spans="1:10" hidden="1">
      <c r="A9258" t="s">
        <v>5849</v>
      </c>
      <c r="B9258" t="s">
        <v>5850</v>
      </c>
      <c r="C9258" t="s">
        <v>5111</v>
      </c>
      <c r="D9258" t="s">
        <v>1179</v>
      </c>
      <c r="E9258" t="s">
        <v>1116</v>
      </c>
      <c r="F9258" t="s">
        <v>1068</v>
      </c>
      <c r="G9258" t="s">
        <v>1083</v>
      </c>
      <c r="H9258" s="170">
        <v>-1.94534425554516E-5</v>
      </c>
      <c r="I9258" t="s">
        <v>1084</v>
      </c>
      <c r="J9258">
        <v>7.79</v>
      </c>
    </row>
    <row r="9259" spans="1:10" hidden="1">
      <c r="A9259" t="s">
        <v>5849</v>
      </c>
      <c r="B9259" t="s">
        <v>5850</v>
      </c>
      <c r="C9259" t="s">
        <v>5111</v>
      </c>
      <c r="D9259" t="s">
        <v>1179</v>
      </c>
      <c r="E9259" t="s">
        <v>1116</v>
      </c>
      <c r="F9259" t="s">
        <v>1068</v>
      </c>
      <c r="G9259" t="s">
        <v>1085</v>
      </c>
      <c r="H9259">
        <v>-1.2112663857230399E-4</v>
      </c>
      <c r="I9259" t="s">
        <v>1086</v>
      </c>
      <c r="J9259">
        <v>7.79</v>
      </c>
    </row>
    <row r="9260" spans="1:10" hidden="1">
      <c r="A9260" t="s">
        <v>5849</v>
      </c>
      <c r="B9260" t="s">
        <v>5850</v>
      </c>
      <c r="C9260" t="s">
        <v>5111</v>
      </c>
      <c r="D9260" t="s">
        <v>1179</v>
      </c>
      <c r="E9260" t="s">
        <v>1116</v>
      </c>
      <c r="F9260" t="s">
        <v>1068</v>
      </c>
      <c r="G9260" t="s">
        <v>1087</v>
      </c>
      <c r="H9260" s="170">
        <v>-1.4806991329439501E-7</v>
      </c>
      <c r="I9260" t="s">
        <v>1088</v>
      </c>
      <c r="J9260">
        <v>7.79</v>
      </c>
    </row>
    <row r="9261" spans="1:10" hidden="1">
      <c r="A9261" t="s">
        <v>5849</v>
      </c>
      <c r="B9261" t="s">
        <v>5850</v>
      </c>
      <c r="C9261" t="s">
        <v>5111</v>
      </c>
      <c r="D9261" t="s">
        <v>1179</v>
      </c>
      <c r="E9261" t="s">
        <v>1116</v>
      </c>
      <c r="F9261" t="s">
        <v>1068</v>
      </c>
      <c r="G9261" t="s">
        <v>1089</v>
      </c>
      <c r="H9261" s="170">
        <v>-1.3620456487487299E-5</v>
      </c>
      <c r="I9261" t="s">
        <v>1090</v>
      </c>
      <c r="J9261">
        <v>7.79</v>
      </c>
    </row>
    <row r="9262" spans="1:10" hidden="1">
      <c r="A9262" t="s">
        <v>5851</v>
      </c>
      <c r="B9262" t="s">
        <v>5852</v>
      </c>
      <c r="C9262" t="s">
        <v>5111</v>
      </c>
      <c r="D9262" t="s">
        <v>1210</v>
      </c>
      <c r="E9262" t="s">
        <v>561</v>
      </c>
      <c r="F9262" t="s">
        <v>1068</v>
      </c>
      <c r="G9262" t="s">
        <v>1069</v>
      </c>
      <c r="H9262">
        <v>-6.1111765750595202E-2</v>
      </c>
      <c r="I9262" t="s">
        <v>1070</v>
      </c>
      <c r="J9262">
        <v>7.47</v>
      </c>
    </row>
    <row r="9263" spans="1:10" hidden="1">
      <c r="A9263" t="s">
        <v>5851</v>
      </c>
      <c r="B9263" t="s">
        <v>5852</v>
      </c>
      <c r="C9263" t="s">
        <v>5111</v>
      </c>
      <c r="D9263" t="s">
        <v>1210</v>
      </c>
      <c r="E9263" t="s">
        <v>561</v>
      </c>
      <c r="F9263" t="s">
        <v>1068</v>
      </c>
      <c r="G9263" t="s">
        <v>1071</v>
      </c>
      <c r="H9263" s="171" t="s">
        <v>5853</v>
      </c>
      <c r="I9263" t="s">
        <v>1072</v>
      </c>
      <c r="J9263">
        <v>7.47</v>
      </c>
    </row>
    <row r="9264" spans="1:10" hidden="1">
      <c r="A9264" t="s">
        <v>5851</v>
      </c>
      <c r="B9264" t="s">
        <v>5852</v>
      </c>
      <c r="C9264" t="s">
        <v>5111</v>
      </c>
      <c r="D9264" t="s">
        <v>1210</v>
      </c>
      <c r="E9264" t="s">
        <v>561</v>
      </c>
      <c r="F9264" t="s">
        <v>1068</v>
      </c>
      <c r="G9264" t="s">
        <v>1073</v>
      </c>
      <c r="H9264" s="170">
        <v>-1.8482692336440598E-8</v>
      </c>
      <c r="I9264" t="s">
        <v>1074</v>
      </c>
      <c r="J9264">
        <v>7.47</v>
      </c>
    </row>
    <row r="9265" spans="1:10" hidden="1">
      <c r="A9265" t="s">
        <v>5851</v>
      </c>
      <c r="B9265" t="s">
        <v>5852</v>
      </c>
      <c r="C9265" t="s">
        <v>5111</v>
      </c>
      <c r="D9265" t="s">
        <v>1210</v>
      </c>
      <c r="E9265" t="s">
        <v>561</v>
      </c>
      <c r="F9265" t="s">
        <v>1068</v>
      </c>
      <c r="G9265" t="s">
        <v>1075</v>
      </c>
      <c r="H9265">
        <v>3.4384478149691497E-4</v>
      </c>
      <c r="I9265" t="s">
        <v>1077</v>
      </c>
      <c r="J9265">
        <v>7.47</v>
      </c>
    </row>
    <row r="9266" spans="1:10" hidden="1">
      <c r="A9266" t="s">
        <v>5851</v>
      </c>
      <c r="B9266" t="s">
        <v>5852</v>
      </c>
      <c r="C9266" t="s">
        <v>5111</v>
      </c>
      <c r="D9266" t="s">
        <v>1210</v>
      </c>
      <c r="E9266" t="s">
        <v>561</v>
      </c>
      <c r="F9266" t="s">
        <v>1068</v>
      </c>
      <c r="G9266" t="s">
        <v>1078</v>
      </c>
      <c r="H9266">
        <v>-0.122481791907762</v>
      </c>
      <c r="I9266" t="s">
        <v>1079</v>
      </c>
      <c r="J9266">
        <v>7.47</v>
      </c>
    </row>
    <row r="9267" spans="1:10" hidden="1">
      <c r="A9267" t="s">
        <v>5851</v>
      </c>
      <c r="B9267" t="s">
        <v>5852</v>
      </c>
      <c r="C9267" t="s">
        <v>5111</v>
      </c>
      <c r="D9267" t="s">
        <v>1210</v>
      </c>
      <c r="E9267" t="s">
        <v>561</v>
      </c>
      <c r="F9267" t="s">
        <v>1068</v>
      </c>
      <c r="G9267" t="s">
        <v>1080</v>
      </c>
      <c r="H9267" s="170">
        <v>-4.12682104429484E-10</v>
      </c>
      <c r="I9267" t="s">
        <v>1082</v>
      </c>
      <c r="J9267">
        <v>7.47</v>
      </c>
    </row>
    <row r="9268" spans="1:10" hidden="1">
      <c r="A9268" t="s">
        <v>5851</v>
      </c>
      <c r="B9268" t="s">
        <v>5852</v>
      </c>
      <c r="C9268" t="s">
        <v>5111</v>
      </c>
      <c r="D9268" t="s">
        <v>1210</v>
      </c>
      <c r="E9268" t="s">
        <v>561</v>
      </c>
      <c r="F9268" t="s">
        <v>1068</v>
      </c>
      <c r="G9268" t="s">
        <v>1083</v>
      </c>
      <c r="H9268" s="170">
        <v>-9.0980851668560606E-6</v>
      </c>
      <c r="I9268" t="s">
        <v>1084</v>
      </c>
      <c r="J9268">
        <v>7.47</v>
      </c>
    </row>
    <row r="9269" spans="1:10" hidden="1">
      <c r="A9269" t="s">
        <v>5851</v>
      </c>
      <c r="B9269" t="s">
        <v>5852</v>
      </c>
      <c r="C9269" t="s">
        <v>5111</v>
      </c>
      <c r="D9269" t="s">
        <v>1210</v>
      </c>
      <c r="E9269" t="s">
        <v>561</v>
      </c>
      <c r="F9269" t="s">
        <v>1068</v>
      </c>
      <c r="G9269" t="s">
        <v>1085</v>
      </c>
      <c r="H9269" s="170">
        <v>-2.4516425389239001E-5</v>
      </c>
      <c r="I9269" t="s">
        <v>1086</v>
      </c>
      <c r="J9269">
        <v>7.47</v>
      </c>
    </row>
    <row r="9270" spans="1:10" hidden="1">
      <c r="A9270" t="s">
        <v>5851</v>
      </c>
      <c r="B9270" t="s">
        <v>5852</v>
      </c>
      <c r="C9270" t="s">
        <v>5111</v>
      </c>
      <c r="D9270" t="s">
        <v>1210</v>
      </c>
      <c r="E9270" t="s">
        <v>561</v>
      </c>
      <c r="F9270" t="s">
        <v>1068</v>
      </c>
      <c r="G9270" t="s">
        <v>1087</v>
      </c>
      <c r="H9270" s="170">
        <v>-8.3562442185029298E-8</v>
      </c>
      <c r="I9270" t="s">
        <v>1088</v>
      </c>
      <c r="J9270">
        <v>7.47</v>
      </c>
    </row>
    <row r="9271" spans="1:10" hidden="1">
      <c r="A9271" t="s">
        <v>5851</v>
      </c>
      <c r="B9271" t="s">
        <v>5852</v>
      </c>
      <c r="C9271" t="s">
        <v>5111</v>
      </c>
      <c r="D9271" t="s">
        <v>1210</v>
      </c>
      <c r="E9271" t="s">
        <v>561</v>
      </c>
      <c r="F9271" t="s">
        <v>1068</v>
      </c>
      <c r="G9271" t="s">
        <v>1089</v>
      </c>
      <c r="H9271" s="171" t="s">
        <v>5854</v>
      </c>
      <c r="I9271" t="s">
        <v>1090</v>
      </c>
      <c r="J9271">
        <v>7.47</v>
      </c>
    </row>
    <row r="9272" spans="1:10" hidden="1">
      <c r="A9272" t="s">
        <v>5855</v>
      </c>
      <c r="B9272" t="s">
        <v>5856</v>
      </c>
      <c r="C9272" t="s">
        <v>5111</v>
      </c>
      <c r="D9272" t="s">
        <v>1210</v>
      </c>
      <c r="E9272" t="s">
        <v>555</v>
      </c>
      <c r="F9272" t="s">
        <v>1068</v>
      </c>
      <c r="G9272" t="s">
        <v>1069</v>
      </c>
      <c r="H9272">
        <v>-7.3810412852195695E-2</v>
      </c>
      <c r="I9272" t="s">
        <v>1070</v>
      </c>
      <c r="J9272">
        <v>7.96</v>
      </c>
    </row>
    <row r="9273" spans="1:10" hidden="1">
      <c r="A9273" t="s">
        <v>5855</v>
      </c>
      <c r="B9273" t="s">
        <v>5856</v>
      </c>
      <c r="C9273" t="s">
        <v>5111</v>
      </c>
      <c r="D9273" t="s">
        <v>1210</v>
      </c>
      <c r="E9273" t="s">
        <v>555</v>
      </c>
      <c r="F9273" t="s">
        <v>1068</v>
      </c>
      <c r="G9273" t="s">
        <v>1071</v>
      </c>
      <c r="H9273" s="171" t="s">
        <v>5857</v>
      </c>
      <c r="I9273" t="s">
        <v>1072</v>
      </c>
      <c r="J9273">
        <v>7.96</v>
      </c>
    </row>
    <row r="9274" spans="1:10" hidden="1">
      <c r="A9274" t="s">
        <v>5855</v>
      </c>
      <c r="B9274" t="s">
        <v>5856</v>
      </c>
      <c r="C9274" t="s">
        <v>5111</v>
      </c>
      <c r="D9274" t="s">
        <v>1210</v>
      </c>
      <c r="E9274" t="s">
        <v>555</v>
      </c>
      <c r="F9274" t="s">
        <v>1068</v>
      </c>
      <c r="G9274" t="s">
        <v>1073</v>
      </c>
      <c r="H9274" s="170">
        <v>-2.29934177275191E-8</v>
      </c>
      <c r="I9274" t="s">
        <v>1074</v>
      </c>
      <c r="J9274">
        <v>7.96</v>
      </c>
    </row>
    <row r="9275" spans="1:10" hidden="1">
      <c r="A9275" t="s">
        <v>5855</v>
      </c>
      <c r="B9275" t="s">
        <v>5856</v>
      </c>
      <c r="C9275" t="s">
        <v>5111</v>
      </c>
      <c r="D9275" t="s">
        <v>1210</v>
      </c>
      <c r="E9275" t="s">
        <v>555</v>
      </c>
      <c r="F9275" t="s">
        <v>1068</v>
      </c>
      <c r="G9275" t="s">
        <v>1075</v>
      </c>
      <c r="H9275" s="170">
        <v>-5.7586849450328898E-5</v>
      </c>
      <c r="I9275" t="s">
        <v>1077</v>
      </c>
      <c r="J9275">
        <v>7.96</v>
      </c>
    </row>
    <row r="9276" spans="1:10" hidden="1">
      <c r="A9276" t="s">
        <v>5855</v>
      </c>
      <c r="B9276" t="s">
        <v>5856</v>
      </c>
      <c r="C9276" t="s">
        <v>5111</v>
      </c>
      <c r="D9276" t="s">
        <v>1210</v>
      </c>
      <c r="E9276" t="s">
        <v>555</v>
      </c>
      <c r="F9276" t="s">
        <v>1068</v>
      </c>
      <c r="G9276" t="s">
        <v>1078</v>
      </c>
      <c r="H9276">
        <v>-0.13984124434489101</v>
      </c>
      <c r="I9276" t="s">
        <v>1079</v>
      </c>
      <c r="J9276">
        <v>7.96</v>
      </c>
    </row>
    <row r="9277" spans="1:10" hidden="1">
      <c r="A9277" t="s">
        <v>5855</v>
      </c>
      <c r="B9277" t="s">
        <v>5856</v>
      </c>
      <c r="C9277" t="s">
        <v>5111</v>
      </c>
      <c r="D9277" t="s">
        <v>1210</v>
      </c>
      <c r="E9277" t="s">
        <v>555</v>
      </c>
      <c r="F9277" t="s">
        <v>1068</v>
      </c>
      <c r="G9277" t="s">
        <v>1080</v>
      </c>
      <c r="H9277" s="170">
        <v>-4.8327175778111604E-10</v>
      </c>
      <c r="I9277" t="s">
        <v>1082</v>
      </c>
      <c r="J9277">
        <v>7.96</v>
      </c>
    </row>
    <row r="9278" spans="1:10" hidden="1">
      <c r="A9278" t="s">
        <v>5855</v>
      </c>
      <c r="B9278" t="s">
        <v>5856</v>
      </c>
      <c r="C9278" t="s">
        <v>5111</v>
      </c>
      <c r="D9278" t="s">
        <v>1210</v>
      </c>
      <c r="E9278" t="s">
        <v>555</v>
      </c>
      <c r="F9278" t="s">
        <v>1068</v>
      </c>
      <c r="G9278" t="s">
        <v>1083</v>
      </c>
      <c r="H9278" s="170">
        <v>-1.10283542785427E-5</v>
      </c>
      <c r="I9278" t="s">
        <v>1084</v>
      </c>
      <c r="J9278">
        <v>7.96</v>
      </c>
    </row>
    <row r="9279" spans="1:10" hidden="1">
      <c r="A9279" t="s">
        <v>5855</v>
      </c>
      <c r="B9279" t="s">
        <v>5856</v>
      </c>
      <c r="C9279" t="s">
        <v>5111</v>
      </c>
      <c r="D9279" t="s">
        <v>1210</v>
      </c>
      <c r="E9279" t="s">
        <v>555</v>
      </c>
      <c r="F9279" t="s">
        <v>1068</v>
      </c>
      <c r="G9279" t="s">
        <v>1085</v>
      </c>
      <c r="H9279" s="170">
        <v>-4.6332383922521998E-5</v>
      </c>
      <c r="I9279" t="s">
        <v>1086</v>
      </c>
      <c r="J9279">
        <v>7.96</v>
      </c>
    </row>
    <row r="9280" spans="1:10" hidden="1">
      <c r="A9280" t="s">
        <v>5855</v>
      </c>
      <c r="B9280" t="s">
        <v>5856</v>
      </c>
      <c r="C9280" t="s">
        <v>5111</v>
      </c>
      <c r="D9280" t="s">
        <v>1210</v>
      </c>
      <c r="E9280" t="s">
        <v>555</v>
      </c>
      <c r="F9280" t="s">
        <v>1068</v>
      </c>
      <c r="G9280" t="s">
        <v>1087</v>
      </c>
      <c r="H9280" s="170">
        <v>-9.4090923435217801E-8</v>
      </c>
      <c r="I9280" t="s">
        <v>1088</v>
      </c>
      <c r="J9280">
        <v>7.96</v>
      </c>
    </row>
    <row r="9281" spans="1:10" hidden="1">
      <c r="A9281" t="s">
        <v>5855</v>
      </c>
      <c r="B9281" t="s">
        <v>5856</v>
      </c>
      <c r="C9281" t="s">
        <v>5111</v>
      </c>
      <c r="D9281" t="s">
        <v>1210</v>
      </c>
      <c r="E9281" t="s">
        <v>555</v>
      </c>
      <c r="F9281" t="s">
        <v>1068</v>
      </c>
      <c r="G9281" t="s">
        <v>1089</v>
      </c>
      <c r="H9281" s="170">
        <v>-2.5012731275053201E-6</v>
      </c>
      <c r="I9281" t="s">
        <v>1090</v>
      </c>
      <c r="J9281">
        <v>7.96</v>
      </c>
    </row>
    <row r="9282" spans="1:10" hidden="1">
      <c r="A9282" t="s">
        <v>5858</v>
      </c>
      <c r="B9282" t="s">
        <v>5859</v>
      </c>
      <c r="C9282" t="s">
        <v>5111</v>
      </c>
      <c r="D9282" t="s">
        <v>1210</v>
      </c>
      <c r="E9282" t="s">
        <v>558</v>
      </c>
      <c r="F9282" t="s">
        <v>1068</v>
      </c>
      <c r="G9282" t="s">
        <v>1069</v>
      </c>
      <c r="H9282">
        <v>-5.9987363112180399E-2</v>
      </c>
      <c r="I9282" t="s">
        <v>1070</v>
      </c>
      <c r="J9282">
        <v>7.36</v>
      </c>
    </row>
    <row r="9283" spans="1:10" hidden="1">
      <c r="A9283" t="s">
        <v>5858</v>
      </c>
      <c r="B9283" t="s">
        <v>5859</v>
      </c>
      <c r="C9283" t="s">
        <v>5111</v>
      </c>
      <c r="D9283" t="s">
        <v>1210</v>
      </c>
      <c r="E9283" t="s">
        <v>558</v>
      </c>
      <c r="F9283" t="s">
        <v>1068</v>
      </c>
      <c r="G9283" t="s">
        <v>1071</v>
      </c>
      <c r="H9283" s="171" t="s">
        <v>5860</v>
      </c>
      <c r="I9283" t="s">
        <v>1072</v>
      </c>
      <c r="J9283">
        <v>7.36</v>
      </c>
    </row>
    <row r="9284" spans="1:10" hidden="1">
      <c r="A9284" t="s">
        <v>5858</v>
      </c>
      <c r="B9284" t="s">
        <v>5859</v>
      </c>
      <c r="C9284" t="s">
        <v>5111</v>
      </c>
      <c r="D9284" t="s">
        <v>1210</v>
      </c>
      <c r="E9284" t="s">
        <v>558</v>
      </c>
      <c r="F9284" t="s">
        <v>1068</v>
      </c>
      <c r="G9284" t="s">
        <v>1073</v>
      </c>
      <c r="H9284" s="170">
        <v>-1.8083300961449099E-8</v>
      </c>
      <c r="I9284" t="s">
        <v>1074</v>
      </c>
      <c r="J9284">
        <v>7.36</v>
      </c>
    </row>
    <row r="9285" spans="1:10" hidden="1">
      <c r="A9285" t="s">
        <v>5858</v>
      </c>
      <c r="B9285" t="s">
        <v>5859</v>
      </c>
      <c r="C9285" t="s">
        <v>5111</v>
      </c>
      <c r="D9285" t="s">
        <v>1210</v>
      </c>
      <c r="E9285" t="s">
        <v>558</v>
      </c>
      <c r="F9285" t="s">
        <v>1068</v>
      </c>
      <c r="G9285" t="s">
        <v>1075</v>
      </c>
      <c r="H9285">
        <v>3.7938835006221699E-4</v>
      </c>
      <c r="I9285" t="s">
        <v>1077</v>
      </c>
      <c r="J9285">
        <v>7.36</v>
      </c>
    </row>
    <row r="9286" spans="1:10" hidden="1">
      <c r="A9286" t="s">
        <v>5858</v>
      </c>
      <c r="B9286" t="s">
        <v>5859</v>
      </c>
      <c r="C9286" t="s">
        <v>5111</v>
      </c>
      <c r="D9286" t="s">
        <v>1210</v>
      </c>
      <c r="E9286" t="s">
        <v>558</v>
      </c>
      <c r="F9286" t="s">
        <v>1068</v>
      </c>
      <c r="G9286" t="s">
        <v>1078</v>
      </c>
      <c r="H9286">
        <v>-0.12094475089744799</v>
      </c>
      <c r="I9286" t="s">
        <v>1079</v>
      </c>
      <c r="J9286">
        <v>7.36</v>
      </c>
    </row>
    <row r="9287" spans="1:10" hidden="1">
      <c r="A9287" t="s">
        <v>5858</v>
      </c>
      <c r="B9287" t="s">
        <v>5859</v>
      </c>
      <c r="C9287" t="s">
        <v>5111</v>
      </c>
      <c r="D9287" t="s">
        <v>1210</v>
      </c>
      <c r="E9287" t="s">
        <v>558</v>
      </c>
      <c r="F9287" t="s">
        <v>1068</v>
      </c>
      <c r="G9287" t="s">
        <v>1080</v>
      </c>
      <c r="H9287" s="170">
        <v>-4.06431953748635E-10</v>
      </c>
      <c r="I9287" t="s">
        <v>1082</v>
      </c>
      <c r="J9287">
        <v>7.36</v>
      </c>
    </row>
    <row r="9288" spans="1:10" hidden="1">
      <c r="A9288" t="s">
        <v>5858</v>
      </c>
      <c r="B9288" t="s">
        <v>5859</v>
      </c>
      <c r="C9288" t="s">
        <v>5111</v>
      </c>
      <c r="D9288" t="s">
        <v>1210</v>
      </c>
      <c r="E9288" t="s">
        <v>558</v>
      </c>
      <c r="F9288" t="s">
        <v>1068</v>
      </c>
      <c r="G9288" t="s">
        <v>1083</v>
      </c>
      <c r="H9288" s="170">
        <v>-8.9271752378118706E-6</v>
      </c>
      <c r="I9288" t="s">
        <v>1084</v>
      </c>
      <c r="J9288">
        <v>7.36</v>
      </c>
    </row>
    <row r="9289" spans="1:10" hidden="1">
      <c r="A9289" t="s">
        <v>5858</v>
      </c>
      <c r="B9289" t="s">
        <v>5859</v>
      </c>
      <c r="C9289" t="s">
        <v>5111</v>
      </c>
      <c r="D9289" t="s">
        <v>1210</v>
      </c>
      <c r="E9289" t="s">
        <v>558</v>
      </c>
      <c r="F9289" t="s">
        <v>1068</v>
      </c>
      <c r="G9289" t="s">
        <v>1085</v>
      </c>
      <c r="H9289" s="170">
        <v>-2.2584796316835801E-5</v>
      </c>
      <c r="I9289" t="s">
        <v>1086</v>
      </c>
      <c r="J9289">
        <v>7.36</v>
      </c>
    </row>
    <row r="9290" spans="1:10" hidden="1">
      <c r="A9290" t="s">
        <v>5858</v>
      </c>
      <c r="B9290" t="s">
        <v>5859</v>
      </c>
      <c r="C9290" t="s">
        <v>5111</v>
      </c>
      <c r="D9290" t="s">
        <v>1210</v>
      </c>
      <c r="E9290" t="s">
        <v>558</v>
      </c>
      <c r="F9290" t="s">
        <v>1068</v>
      </c>
      <c r="G9290" t="s">
        <v>1087</v>
      </c>
      <c r="H9290" s="170">
        <v>-8.2630229174840296E-8</v>
      </c>
      <c r="I9290" t="s">
        <v>1088</v>
      </c>
      <c r="J9290">
        <v>7.36</v>
      </c>
    </row>
    <row r="9291" spans="1:10" hidden="1">
      <c r="A9291" t="s">
        <v>5858</v>
      </c>
      <c r="B9291" t="s">
        <v>5859</v>
      </c>
      <c r="C9291" t="s">
        <v>5111</v>
      </c>
      <c r="D9291" t="s">
        <v>1210</v>
      </c>
      <c r="E9291" t="s">
        <v>558</v>
      </c>
      <c r="F9291" t="s">
        <v>1068</v>
      </c>
      <c r="G9291" t="s">
        <v>1089</v>
      </c>
      <c r="H9291" s="171" t="s">
        <v>5861</v>
      </c>
      <c r="I9291" t="s">
        <v>1090</v>
      </c>
      <c r="J9291">
        <v>7.36</v>
      </c>
    </row>
    <row r="9292" spans="1:10" hidden="1">
      <c r="A9292" t="s">
        <v>5862</v>
      </c>
      <c r="B9292" t="s">
        <v>5863</v>
      </c>
      <c r="C9292" t="s">
        <v>5111</v>
      </c>
      <c r="D9292" t="s">
        <v>1210</v>
      </c>
      <c r="E9292" t="s">
        <v>553</v>
      </c>
      <c r="F9292" t="s">
        <v>1068</v>
      </c>
      <c r="G9292" t="s">
        <v>1069</v>
      </c>
      <c r="H9292">
        <v>-5.8885661735853197E-2</v>
      </c>
      <c r="I9292" t="s">
        <v>1070</v>
      </c>
      <c r="J9292">
        <v>8.65</v>
      </c>
    </row>
    <row r="9293" spans="1:10" hidden="1">
      <c r="A9293" t="s">
        <v>5862</v>
      </c>
      <c r="B9293" t="s">
        <v>5863</v>
      </c>
      <c r="C9293" t="s">
        <v>5111</v>
      </c>
      <c r="D9293" t="s">
        <v>1210</v>
      </c>
      <c r="E9293" t="s">
        <v>553</v>
      </c>
      <c r="F9293" t="s">
        <v>1068</v>
      </c>
      <c r="G9293" t="s">
        <v>1071</v>
      </c>
      <c r="H9293" s="171" t="s">
        <v>5864</v>
      </c>
      <c r="I9293" t="s">
        <v>1072</v>
      </c>
      <c r="J9293">
        <v>8.65</v>
      </c>
    </row>
    <row r="9294" spans="1:10" hidden="1">
      <c r="A9294" t="s">
        <v>5862</v>
      </c>
      <c r="B9294" t="s">
        <v>5863</v>
      </c>
      <c r="C9294" t="s">
        <v>5111</v>
      </c>
      <c r="D9294" t="s">
        <v>1210</v>
      </c>
      <c r="E9294" t="s">
        <v>553</v>
      </c>
      <c r="F9294" t="s">
        <v>1068</v>
      </c>
      <c r="G9294" t="s">
        <v>1073</v>
      </c>
      <c r="H9294" s="170">
        <v>-1.76920989062064E-8</v>
      </c>
      <c r="I9294" t="s">
        <v>1074</v>
      </c>
      <c r="J9294">
        <v>8.65</v>
      </c>
    </row>
    <row r="9295" spans="1:10" hidden="1">
      <c r="A9295" t="s">
        <v>5862</v>
      </c>
      <c r="B9295" t="s">
        <v>5863</v>
      </c>
      <c r="C9295" t="s">
        <v>5111</v>
      </c>
      <c r="D9295" t="s">
        <v>1210</v>
      </c>
      <c r="E9295" t="s">
        <v>553</v>
      </c>
      <c r="F9295" t="s">
        <v>1068</v>
      </c>
      <c r="G9295" t="s">
        <v>1075</v>
      </c>
      <c r="H9295">
        <v>4.14200476993297E-4</v>
      </c>
      <c r="I9295" t="s">
        <v>1077</v>
      </c>
      <c r="J9295">
        <v>8.65</v>
      </c>
    </row>
    <row r="9296" spans="1:10" hidden="1">
      <c r="A9296" t="s">
        <v>5862</v>
      </c>
      <c r="B9296" t="s">
        <v>5863</v>
      </c>
      <c r="C9296" t="s">
        <v>5111</v>
      </c>
      <c r="D9296" t="s">
        <v>1210</v>
      </c>
      <c r="E9296" t="s">
        <v>553</v>
      </c>
      <c r="F9296" t="s">
        <v>1068</v>
      </c>
      <c r="G9296" t="s">
        <v>1078</v>
      </c>
      <c r="H9296">
        <v>-0.11943934047983901</v>
      </c>
      <c r="I9296" t="s">
        <v>1079</v>
      </c>
      <c r="J9296">
        <v>8.65</v>
      </c>
    </row>
    <row r="9297" spans="1:10" hidden="1">
      <c r="A9297" t="s">
        <v>5862</v>
      </c>
      <c r="B9297" t="s">
        <v>5863</v>
      </c>
      <c r="C9297" t="s">
        <v>5111</v>
      </c>
      <c r="D9297" t="s">
        <v>1210</v>
      </c>
      <c r="E9297" t="s">
        <v>553</v>
      </c>
      <c r="F9297" t="s">
        <v>1068</v>
      </c>
      <c r="G9297" t="s">
        <v>1080</v>
      </c>
      <c r="H9297" s="170">
        <v>-4.0031042332281202E-10</v>
      </c>
      <c r="I9297" t="s">
        <v>1082</v>
      </c>
      <c r="J9297">
        <v>8.65</v>
      </c>
    </row>
    <row r="9298" spans="1:10" hidden="1">
      <c r="A9298" t="s">
        <v>5862</v>
      </c>
      <c r="B9298" t="s">
        <v>5863</v>
      </c>
      <c r="C9298" t="s">
        <v>5111</v>
      </c>
      <c r="D9298" t="s">
        <v>1210</v>
      </c>
      <c r="E9298" t="s">
        <v>553</v>
      </c>
      <c r="F9298" t="s">
        <v>1068</v>
      </c>
      <c r="G9298" t="s">
        <v>1083</v>
      </c>
      <c r="H9298" s="170">
        <v>-8.7597824456870997E-6</v>
      </c>
      <c r="I9298" t="s">
        <v>1084</v>
      </c>
      <c r="J9298">
        <v>8.65</v>
      </c>
    </row>
    <row r="9299" spans="1:10" hidden="1">
      <c r="A9299" t="s">
        <v>5862</v>
      </c>
      <c r="B9299" t="s">
        <v>5863</v>
      </c>
      <c r="C9299" t="s">
        <v>5111</v>
      </c>
      <c r="D9299" t="s">
        <v>1210</v>
      </c>
      <c r="E9299" t="s">
        <v>553</v>
      </c>
      <c r="F9299" t="s">
        <v>1068</v>
      </c>
      <c r="G9299" t="s">
        <v>1085</v>
      </c>
      <c r="H9299" s="170">
        <v>-2.0692917978759899E-5</v>
      </c>
      <c r="I9299" t="s">
        <v>1086</v>
      </c>
      <c r="J9299">
        <v>8.65</v>
      </c>
    </row>
    <row r="9300" spans="1:10" hidden="1">
      <c r="A9300" t="s">
        <v>5862</v>
      </c>
      <c r="B9300" t="s">
        <v>5863</v>
      </c>
      <c r="C9300" t="s">
        <v>5111</v>
      </c>
      <c r="D9300" t="s">
        <v>1210</v>
      </c>
      <c r="E9300" t="s">
        <v>553</v>
      </c>
      <c r="F9300" t="s">
        <v>1068</v>
      </c>
      <c r="G9300" t="s">
        <v>1087</v>
      </c>
      <c r="H9300" s="170">
        <v>-8.1717200100575197E-8</v>
      </c>
      <c r="I9300" t="s">
        <v>1088</v>
      </c>
      <c r="J9300">
        <v>8.65</v>
      </c>
    </row>
    <row r="9301" spans="1:10" hidden="1">
      <c r="A9301" t="s">
        <v>5862</v>
      </c>
      <c r="B9301" t="s">
        <v>5863</v>
      </c>
      <c r="C9301" t="s">
        <v>5111</v>
      </c>
      <c r="D9301" t="s">
        <v>1210</v>
      </c>
      <c r="E9301" t="s">
        <v>553</v>
      </c>
      <c r="F9301" t="s">
        <v>1068</v>
      </c>
      <c r="G9301" t="s">
        <v>1089</v>
      </c>
      <c r="H9301" s="171" t="s">
        <v>5865</v>
      </c>
      <c r="I9301" t="s">
        <v>1090</v>
      </c>
      <c r="J9301">
        <v>8.65</v>
      </c>
    </row>
    <row r="9302" spans="1:10" hidden="1">
      <c r="A9302" t="s">
        <v>5866</v>
      </c>
      <c r="B9302" t="s">
        <v>5867</v>
      </c>
      <c r="C9302" t="s">
        <v>5111</v>
      </c>
      <c r="D9302" t="s">
        <v>1210</v>
      </c>
      <c r="E9302" t="s">
        <v>556</v>
      </c>
      <c r="F9302" t="s">
        <v>1068</v>
      </c>
      <c r="G9302" t="s">
        <v>1069</v>
      </c>
      <c r="H9302">
        <v>-7.2407601942991007E-2</v>
      </c>
      <c r="I9302" t="s">
        <v>1070</v>
      </c>
      <c r="J9302">
        <v>7.48</v>
      </c>
    </row>
    <row r="9303" spans="1:10" hidden="1">
      <c r="A9303" t="s">
        <v>5866</v>
      </c>
      <c r="B9303" t="s">
        <v>5867</v>
      </c>
      <c r="C9303" t="s">
        <v>5111</v>
      </c>
      <c r="D9303" t="s">
        <v>1210</v>
      </c>
      <c r="E9303" t="s">
        <v>556</v>
      </c>
      <c r="F9303" t="s">
        <v>1068</v>
      </c>
      <c r="G9303" t="s">
        <v>1071</v>
      </c>
      <c r="H9303" s="171" t="s">
        <v>5868</v>
      </c>
      <c r="I9303" t="s">
        <v>1072</v>
      </c>
      <c r="J9303">
        <v>7.48</v>
      </c>
    </row>
    <row r="9304" spans="1:10" hidden="1">
      <c r="A9304" t="s">
        <v>5866</v>
      </c>
      <c r="B9304" t="s">
        <v>5867</v>
      </c>
      <c r="C9304" t="s">
        <v>5111</v>
      </c>
      <c r="D9304" t="s">
        <v>1210</v>
      </c>
      <c r="E9304" t="s">
        <v>556</v>
      </c>
      <c r="F9304" t="s">
        <v>1068</v>
      </c>
      <c r="G9304" t="s">
        <v>1073</v>
      </c>
      <c r="H9304" s="170">
        <v>-2.2495134853804999E-8</v>
      </c>
      <c r="I9304" t="s">
        <v>1074</v>
      </c>
      <c r="J9304">
        <v>7.48</v>
      </c>
    </row>
    <row r="9305" spans="1:10" hidden="1">
      <c r="A9305" t="s">
        <v>5866</v>
      </c>
      <c r="B9305" t="s">
        <v>5867</v>
      </c>
      <c r="C9305" t="s">
        <v>5111</v>
      </c>
      <c r="D9305" t="s">
        <v>1210</v>
      </c>
      <c r="E9305" t="s">
        <v>556</v>
      </c>
      <c r="F9305" t="s">
        <v>1068</v>
      </c>
      <c r="G9305" t="s">
        <v>1075</v>
      </c>
      <c r="H9305" s="170">
        <v>-1.32424980304623E-5</v>
      </c>
      <c r="I9305" t="s">
        <v>1077</v>
      </c>
      <c r="J9305">
        <v>7.48</v>
      </c>
    </row>
    <row r="9306" spans="1:10" hidden="1">
      <c r="A9306" t="s">
        <v>5866</v>
      </c>
      <c r="B9306" t="s">
        <v>5867</v>
      </c>
      <c r="C9306" t="s">
        <v>5111</v>
      </c>
      <c r="D9306" t="s">
        <v>1210</v>
      </c>
      <c r="E9306" t="s">
        <v>556</v>
      </c>
      <c r="F9306" t="s">
        <v>1068</v>
      </c>
      <c r="G9306" t="s">
        <v>1078</v>
      </c>
      <c r="H9306">
        <v>-0.13792362353586499</v>
      </c>
      <c r="I9306" t="s">
        <v>1079</v>
      </c>
      <c r="J9306">
        <v>7.48</v>
      </c>
    </row>
    <row r="9307" spans="1:10" hidden="1">
      <c r="A9307" t="s">
        <v>5866</v>
      </c>
      <c r="B9307" t="s">
        <v>5867</v>
      </c>
      <c r="C9307" t="s">
        <v>5111</v>
      </c>
      <c r="D9307" t="s">
        <v>1210</v>
      </c>
      <c r="E9307" t="s">
        <v>556</v>
      </c>
      <c r="F9307" t="s">
        <v>1068</v>
      </c>
      <c r="G9307" t="s">
        <v>1080</v>
      </c>
      <c r="H9307" s="170">
        <v>-4.7547403545310296E-10</v>
      </c>
      <c r="I9307" t="s">
        <v>1082</v>
      </c>
      <c r="J9307">
        <v>7.48</v>
      </c>
    </row>
    <row r="9308" spans="1:10" hidden="1">
      <c r="A9308" t="s">
        <v>5866</v>
      </c>
      <c r="B9308" t="s">
        <v>5867</v>
      </c>
      <c r="C9308" t="s">
        <v>5111</v>
      </c>
      <c r="D9308" t="s">
        <v>1210</v>
      </c>
      <c r="E9308" t="s">
        <v>556</v>
      </c>
      <c r="F9308" t="s">
        <v>1068</v>
      </c>
      <c r="G9308" t="s">
        <v>1083</v>
      </c>
      <c r="H9308" s="170">
        <v>-1.0815126112082E-5</v>
      </c>
      <c r="I9308" t="s">
        <v>1084</v>
      </c>
      <c r="J9308">
        <v>7.48</v>
      </c>
    </row>
    <row r="9309" spans="1:10" hidden="1">
      <c r="A9309" t="s">
        <v>5866</v>
      </c>
      <c r="B9309" t="s">
        <v>5867</v>
      </c>
      <c r="C9309" t="s">
        <v>5111</v>
      </c>
      <c r="D9309" t="s">
        <v>1210</v>
      </c>
      <c r="E9309" t="s">
        <v>556</v>
      </c>
      <c r="F9309" t="s">
        <v>1068</v>
      </c>
      <c r="G9309" t="s">
        <v>1085</v>
      </c>
      <c r="H9309" s="170">
        <v>-4.3922472879351898E-5</v>
      </c>
      <c r="I9309" t="s">
        <v>1086</v>
      </c>
      <c r="J9309">
        <v>7.48</v>
      </c>
    </row>
    <row r="9310" spans="1:10" hidden="1">
      <c r="A9310" t="s">
        <v>5866</v>
      </c>
      <c r="B9310" t="s">
        <v>5867</v>
      </c>
      <c r="C9310" t="s">
        <v>5111</v>
      </c>
      <c r="D9310" t="s">
        <v>1210</v>
      </c>
      <c r="E9310" t="s">
        <v>556</v>
      </c>
      <c r="F9310" t="s">
        <v>1068</v>
      </c>
      <c r="G9310" t="s">
        <v>1087</v>
      </c>
      <c r="H9310" s="170">
        <v>-9.29278893620953E-8</v>
      </c>
      <c r="I9310" t="s">
        <v>1088</v>
      </c>
      <c r="J9310">
        <v>7.48</v>
      </c>
    </row>
    <row r="9311" spans="1:10" hidden="1">
      <c r="A9311" t="s">
        <v>5866</v>
      </c>
      <c r="B9311" t="s">
        <v>5867</v>
      </c>
      <c r="C9311" t="s">
        <v>5111</v>
      </c>
      <c r="D9311" t="s">
        <v>1210</v>
      </c>
      <c r="E9311" t="s">
        <v>556</v>
      </c>
      <c r="F9311" t="s">
        <v>1068</v>
      </c>
      <c r="G9311" t="s">
        <v>1089</v>
      </c>
      <c r="H9311" s="170">
        <v>-2.0041132382369701E-6</v>
      </c>
      <c r="I9311" t="s">
        <v>1090</v>
      </c>
      <c r="J9311">
        <v>7.48</v>
      </c>
    </row>
    <row r="9312" spans="1:10" hidden="1">
      <c r="A9312" t="s">
        <v>5869</v>
      </c>
      <c r="B9312" t="s">
        <v>5870</v>
      </c>
      <c r="C9312" t="s">
        <v>5111</v>
      </c>
      <c r="D9312" t="s">
        <v>1210</v>
      </c>
      <c r="E9312" t="s">
        <v>557</v>
      </c>
      <c r="F9312" t="s">
        <v>1068</v>
      </c>
      <c r="G9312" t="s">
        <v>1069</v>
      </c>
      <c r="H9312">
        <v>-6.4631634879545999E-2</v>
      </c>
      <c r="I9312" t="s">
        <v>1070</v>
      </c>
      <c r="J9312">
        <v>7.74</v>
      </c>
    </row>
    <row r="9313" spans="1:10" hidden="1">
      <c r="A9313" t="s">
        <v>5869</v>
      </c>
      <c r="B9313" t="s">
        <v>5870</v>
      </c>
      <c r="C9313" t="s">
        <v>5111</v>
      </c>
      <c r="D9313" t="s">
        <v>1210</v>
      </c>
      <c r="E9313" t="s">
        <v>557</v>
      </c>
      <c r="F9313" t="s">
        <v>1068</v>
      </c>
      <c r="G9313" t="s">
        <v>1071</v>
      </c>
      <c r="H9313" s="171" t="s">
        <v>5871</v>
      </c>
      <c r="I9313" t="s">
        <v>1072</v>
      </c>
      <c r="J9313">
        <v>7.74</v>
      </c>
    </row>
    <row r="9314" spans="1:10" hidden="1">
      <c r="A9314" t="s">
        <v>5869</v>
      </c>
      <c r="B9314" t="s">
        <v>5870</v>
      </c>
      <c r="C9314" t="s">
        <v>5111</v>
      </c>
      <c r="D9314" t="s">
        <v>1210</v>
      </c>
      <c r="E9314" t="s">
        <v>557</v>
      </c>
      <c r="F9314" t="s">
        <v>1068</v>
      </c>
      <c r="G9314" t="s">
        <v>1073</v>
      </c>
      <c r="H9314" s="170">
        <v>-1.9732960988587901E-8</v>
      </c>
      <c r="I9314" t="s">
        <v>1074</v>
      </c>
      <c r="J9314">
        <v>7.74</v>
      </c>
    </row>
    <row r="9315" spans="1:10" hidden="1">
      <c r="A9315" t="s">
        <v>5869</v>
      </c>
      <c r="B9315" t="s">
        <v>5870</v>
      </c>
      <c r="C9315" t="s">
        <v>5111</v>
      </c>
      <c r="D9315" t="s">
        <v>1210</v>
      </c>
      <c r="E9315" t="s">
        <v>557</v>
      </c>
      <c r="F9315" t="s">
        <v>1068</v>
      </c>
      <c r="G9315" t="s">
        <v>1075</v>
      </c>
      <c r="H9315">
        <v>2.3257795816204499E-4</v>
      </c>
      <c r="I9315" t="s">
        <v>1077</v>
      </c>
      <c r="J9315">
        <v>7.74</v>
      </c>
    </row>
    <row r="9316" spans="1:10" hidden="1">
      <c r="A9316" t="s">
        <v>5869</v>
      </c>
      <c r="B9316" t="s">
        <v>5870</v>
      </c>
      <c r="C9316" t="s">
        <v>5111</v>
      </c>
      <c r="D9316" t="s">
        <v>1210</v>
      </c>
      <c r="E9316" t="s">
        <v>557</v>
      </c>
      <c r="F9316" t="s">
        <v>1068</v>
      </c>
      <c r="G9316" t="s">
        <v>1078</v>
      </c>
      <c r="H9316">
        <v>-0.127293398548746</v>
      </c>
      <c r="I9316" t="s">
        <v>1079</v>
      </c>
      <c r="J9316">
        <v>7.74</v>
      </c>
    </row>
    <row r="9317" spans="1:10" hidden="1">
      <c r="A9317" t="s">
        <v>5869</v>
      </c>
      <c r="B9317" t="s">
        <v>5870</v>
      </c>
      <c r="C9317" t="s">
        <v>5111</v>
      </c>
      <c r="D9317" t="s">
        <v>1210</v>
      </c>
      <c r="E9317" t="s">
        <v>557</v>
      </c>
      <c r="F9317" t="s">
        <v>1068</v>
      </c>
      <c r="G9317" t="s">
        <v>1080</v>
      </c>
      <c r="H9317" s="170">
        <v>-4.3224779351736398E-10</v>
      </c>
      <c r="I9317" t="s">
        <v>1082</v>
      </c>
      <c r="J9317">
        <v>7.74</v>
      </c>
    </row>
    <row r="9318" spans="1:10" hidden="1">
      <c r="A9318" t="s">
        <v>5869</v>
      </c>
      <c r="B9318" t="s">
        <v>5870</v>
      </c>
      <c r="C9318" t="s">
        <v>5111</v>
      </c>
      <c r="D9318" t="s">
        <v>1210</v>
      </c>
      <c r="E9318" t="s">
        <v>557</v>
      </c>
      <c r="F9318" t="s">
        <v>1068</v>
      </c>
      <c r="G9318" t="s">
        <v>1083</v>
      </c>
      <c r="H9318" s="170">
        <v>-9.6331075534292203E-6</v>
      </c>
      <c r="I9318" t="s">
        <v>1084</v>
      </c>
      <c r="J9318">
        <v>7.74</v>
      </c>
    </row>
    <row r="9319" spans="1:10" hidden="1">
      <c r="A9319" t="s">
        <v>5869</v>
      </c>
      <c r="B9319" t="s">
        <v>5870</v>
      </c>
      <c r="C9319" t="s">
        <v>5111</v>
      </c>
      <c r="D9319" t="s">
        <v>1210</v>
      </c>
      <c r="E9319" t="s">
        <v>557</v>
      </c>
      <c r="F9319" t="s">
        <v>1068</v>
      </c>
      <c r="G9319" t="s">
        <v>1085</v>
      </c>
      <c r="H9319" s="170">
        <v>-3.0563264224588801E-5</v>
      </c>
      <c r="I9319" t="s">
        <v>1086</v>
      </c>
      <c r="J9319">
        <v>7.74</v>
      </c>
    </row>
    <row r="9320" spans="1:10" hidden="1">
      <c r="A9320" t="s">
        <v>5869</v>
      </c>
      <c r="B9320" t="s">
        <v>5870</v>
      </c>
      <c r="C9320" t="s">
        <v>5111</v>
      </c>
      <c r="D9320" t="s">
        <v>1210</v>
      </c>
      <c r="E9320" t="s">
        <v>557</v>
      </c>
      <c r="F9320" t="s">
        <v>1068</v>
      </c>
      <c r="G9320" t="s">
        <v>1087</v>
      </c>
      <c r="H9320" s="170">
        <v>-8.6480674216925297E-8</v>
      </c>
      <c r="I9320" t="s">
        <v>1088</v>
      </c>
      <c r="J9320">
        <v>7.74</v>
      </c>
    </row>
    <row r="9321" spans="1:10" hidden="1">
      <c r="A9321" t="s">
        <v>5869</v>
      </c>
      <c r="B9321" t="s">
        <v>5870</v>
      </c>
      <c r="C9321" t="s">
        <v>5111</v>
      </c>
      <c r="D9321" t="s">
        <v>1210</v>
      </c>
      <c r="E9321" t="s">
        <v>557</v>
      </c>
      <c r="F9321" t="s">
        <v>1068</v>
      </c>
      <c r="G9321" t="s">
        <v>1089</v>
      </c>
      <c r="H9321" s="171" t="s">
        <v>5872</v>
      </c>
      <c r="I9321" t="s">
        <v>1090</v>
      </c>
      <c r="J9321">
        <v>7.74</v>
      </c>
    </row>
    <row r="9322" spans="1:10" hidden="1">
      <c r="A9322" t="s">
        <v>5873</v>
      </c>
      <c r="B9322" t="s">
        <v>5874</v>
      </c>
      <c r="C9322" t="s">
        <v>5111</v>
      </c>
      <c r="D9322" t="s">
        <v>1210</v>
      </c>
      <c r="E9322" t="s">
        <v>559</v>
      </c>
      <c r="F9322" t="s">
        <v>1068</v>
      </c>
      <c r="G9322" t="s">
        <v>1069</v>
      </c>
      <c r="H9322">
        <v>-6.83883122593682E-2</v>
      </c>
      <c r="I9322" t="s">
        <v>1070</v>
      </c>
      <c r="J9322">
        <v>7.45</v>
      </c>
    </row>
    <row r="9323" spans="1:10" hidden="1">
      <c r="A9323" t="s">
        <v>5873</v>
      </c>
      <c r="B9323" t="s">
        <v>5874</v>
      </c>
      <c r="C9323" t="s">
        <v>5111</v>
      </c>
      <c r="D9323" t="s">
        <v>1210</v>
      </c>
      <c r="E9323" t="s">
        <v>559</v>
      </c>
      <c r="F9323" t="s">
        <v>1068</v>
      </c>
      <c r="G9323" t="s">
        <v>1071</v>
      </c>
      <c r="H9323" s="171" t="s">
        <v>5875</v>
      </c>
      <c r="I9323" t="s">
        <v>1072</v>
      </c>
      <c r="J9323">
        <v>7.45</v>
      </c>
    </row>
    <row r="9324" spans="1:10" hidden="1">
      <c r="A9324" t="s">
        <v>5873</v>
      </c>
      <c r="B9324" t="s">
        <v>5874</v>
      </c>
      <c r="C9324" t="s">
        <v>5111</v>
      </c>
      <c r="D9324" t="s">
        <v>1210</v>
      </c>
      <c r="E9324" t="s">
        <v>559</v>
      </c>
      <c r="F9324" t="s">
        <v>1068</v>
      </c>
      <c r="G9324" t="s">
        <v>1073</v>
      </c>
      <c r="H9324" s="170">
        <v>-2.1067470440376E-8</v>
      </c>
      <c r="I9324" t="s">
        <v>1074</v>
      </c>
      <c r="J9324">
        <v>7.45</v>
      </c>
    </row>
    <row r="9325" spans="1:10" hidden="1">
      <c r="A9325" t="s">
        <v>5873</v>
      </c>
      <c r="B9325" t="s">
        <v>5874</v>
      </c>
      <c r="C9325" t="s">
        <v>5111</v>
      </c>
      <c r="D9325" t="s">
        <v>1210</v>
      </c>
      <c r="E9325" t="s">
        <v>559</v>
      </c>
      <c r="F9325" t="s">
        <v>1068</v>
      </c>
      <c r="G9325" t="s">
        <v>1075</v>
      </c>
      <c r="H9325">
        <v>1.13811542553383E-4</v>
      </c>
      <c r="I9325" t="s">
        <v>1077</v>
      </c>
      <c r="J9325">
        <v>7.45</v>
      </c>
    </row>
    <row r="9326" spans="1:10" hidden="1">
      <c r="A9326" t="s">
        <v>5873</v>
      </c>
      <c r="B9326" t="s">
        <v>5874</v>
      </c>
      <c r="C9326" t="s">
        <v>5111</v>
      </c>
      <c r="D9326" t="s">
        <v>1210</v>
      </c>
      <c r="E9326" t="s">
        <v>559</v>
      </c>
      <c r="F9326" t="s">
        <v>1068</v>
      </c>
      <c r="G9326" t="s">
        <v>1078</v>
      </c>
      <c r="H9326">
        <v>-0.132429316723506</v>
      </c>
      <c r="I9326" t="s">
        <v>1079</v>
      </c>
      <c r="J9326">
        <v>7.45</v>
      </c>
    </row>
    <row r="9327" spans="1:10" hidden="1">
      <c r="A9327" t="s">
        <v>5873</v>
      </c>
      <c r="B9327" t="s">
        <v>5874</v>
      </c>
      <c r="C9327" t="s">
        <v>5111</v>
      </c>
      <c r="D9327" t="s">
        <v>1210</v>
      </c>
      <c r="E9327" t="s">
        <v>559</v>
      </c>
      <c r="F9327" t="s">
        <v>1068</v>
      </c>
      <c r="G9327" t="s">
        <v>1080</v>
      </c>
      <c r="H9327" s="170">
        <v>-4.5313224676068701E-10</v>
      </c>
      <c r="I9327" t="s">
        <v>1082</v>
      </c>
      <c r="J9327">
        <v>7.45</v>
      </c>
    </row>
    <row r="9328" spans="1:10" hidden="1">
      <c r="A9328" t="s">
        <v>5873</v>
      </c>
      <c r="B9328" t="s">
        <v>5874</v>
      </c>
      <c r="C9328" t="s">
        <v>5111</v>
      </c>
      <c r="D9328" t="s">
        <v>1210</v>
      </c>
      <c r="E9328" t="s">
        <v>559</v>
      </c>
      <c r="F9328" t="s">
        <v>1068</v>
      </c>
      <c r="G9328" t="s">
        <v>1083</v>
      </c>
      <c r="H9328" s="170">
        <v>-1.02041914778424E-5</v>
      </c>
      <c r="I9328" t="s">
        <v>1084</v>
      </c>
      <c r="J9328">
        <v>7.45</v>
      </c>
    </row>
    <row r="9329" spans="1:10" hidden="1">
      <c r="A9329" t="s">
        <v>5873</v>
      </c>
      <c r="B9329" t="s">
        <v>5874</v>
      </c>
      <c r="C9329" t="s">
        <v>5111</v>
      </c>
      <c r="D9329" t="s">
        <v>1210</v>
      </c>
      <c r="E9329" t="s">
        <v>559</v>
      </c>
      <c r="F9329" t="s">
        <v>1068</v>
      </c>
      <c r="G9329" t="s">
        <v>1085</v>
      </c>
      <c r="H9329" s="170">
        <v>-3.7017671575916E-5</v>
      </c>
      <c r="I9329" t="s">
        <v>1086</v>
      </c>
      <c r="J9329">
        <v>7.45</v>
      </c>
    </row>
    <row r="9330" spans="1:10" hidden="1">
      <c r="A9330" t="s">
        <v>5873</v>
      </c>
      <c r="B9330" t="s">
        <v>5874</v>
      </c>
      <c r="C9330" t="s">
        <v>5111</v>
      </c>
      <c r="D9330" t="s">
        <v>1210</v>
      </c>
      <c r="E9330" t="s">
        <v>559</v>
      </c>
      <c r="F9330" t="s">
        <v>1068</v>
      </c>
      <c r="G9330" t="s">
        <v>1087</v>
      </c>
      <c r="H9330" s="170">
        <v>-8.9595600725628795E-8</v>
      </c>
      <c r="I9330" t="s">
        <v>1088</v>
      </c>
      <c r="J9330">
        <v>7.45</v>
      </c>
    </row>
    <row r="9331" spans="1:10" hidden="1">
      <c r="A9331" t="s">
        <v>5873</v>
      </c>
      <c r="B9331" t="s">
        <v>5874</v>
      </c>
      <c r="C9331" t="s">
        <v>5111</v>
      </c>
      <c r="D9331" t="s">
        <v>1210</v>
      </c>
      <c r="E9331" t="s">
        <v>559</v>
      </c>
      <c r="F9331" t="s">
        <v>1068</v>
      </c>
      <c r="G9331" t="s">
        <v>1089</v>
      </c>
      <c r="H9331" s="170">
        <v>-5.79666364499576E-7</v>
      </c>
      <c r="I9331" t="s">
        <v>1090</v>
      </c>
      <c r="J9331">
        <v>7.45</v>
      </c>
    </row>
    <row r="9332" spans="1:10" hidden="1">
      <c r="A9332" t="s">
        <v>5876</v>
      </c>
      <c r="B9332" t="s">
        <v>5877</v>
      </c>
      <c r="C9332" t="s">
        <v>5111</v>
      </c>
      <c r="D9332" t="s">
        <v>1210</v>
      </c>
      <c r="E9332" t="s">
        <v>560</v>
      </c>
      <c r="F9332" t="s">
        <v>1068</v>
      </c>
      <c r="G9332" t="s">
        <v>1069</v>
      </c>
      <c r="H9332">
        <v>-6.7108579822140996E-2</v>
      </c>
      <c r="I9332" t="s">
        <v>1070</v>
      </c>
      <c r="J9332">
        <v>7.83</v>
      </c>
    </row>
    <row r="9333" spans="1:10" hidden="1">
      <c r="A9333" t="s">
        <v>5876</v>
      </c>
      <c r="B9333" t="s">
        <v>5877</v>
      </c>
      <c r="C9333" t="s">
        <v>5111</v>
      </c>
      <c r="D9333" t="s">
        <v>1210</v>
      </c>
      <c r="E9333" t="s">
        <v>560</v>
      </c>
      <c r="F9333" t="s">
        <v>1068</v>
      </c>
      <c r="G9333" t="s">
        <v>1071</v>
      </c>
      <c r="H9333" s="171" t="s">
        <v>5878</v>
      </c>
      <c r="I9333" t="s">
        <v>1072</v>
      </c>
      <c r="J9333">
        <v>7.83</v>
      </c>
    </row>
    <row r="9334" spans="1:10" hidden="1">
      <c r="A9334" t="s">
        <v>5876</v>
      </c>
      <c r="B9334" t="s">
        <v>5877</v>
      </c>
      <c r="C9334" t="s">
        <v>5111</v>
      </c>
      <c r="D9334" t="s">
        <v>1210</v>
      </c>
      <c r="E9334" t="s">
        <v>560</v>
      </c>
      <c r="F9334" t="s">
        <v>1068</v>
      </c>
      <c r="G9334" t="s">
        <v>1073</v>
      </c>
      <c r="H9334" s="170">
        <v>-2.0612779669728698E-8</v>
      </c>
      <c r="I9334" t="s">
        <v>1074</v>
      </c>
      <c r="J9334">
        <v>7.83</v>
      </c>
    </row>
    <row r="9335" spans="1:10" hidden="1">
      <c r="A9335" t="s">
        <v>5876</v>
      </c>
      <c r="B9335" t="s">
        <v>5877</v>
      </c>
      <c r="C9335" t="s">
        <v>5111</v>
      </c>
      <c r="D9335" t="s">
        <v>1210</v>
      </c>
      <c r="E9335" t="s">
        <v>560</v>
      </c>
      <c r="F9335" t="s">
        <v>1068</v>
      </c>
      <c r="G9335" t="s">
        <v>1075</v>
      </c>
      <c r="H9335">
        <v>1.5427908248194299E-4</v>
      </c>
      <c r="I9335" t="s">
        <v>1077</v>
      </c>
      <c r="J9335">
        <v>7.83</v>
      </c>
    </row>
    <row r="9336" spans="1:10" hidden="1">
      <c r="A9336" t="s">
        <v>5876</v>
      </c>
      <c r="B9336" t="s">
        <v>5877</v>
      </c>
      <c r="C9336" t="s">
        <v>5111</v>
      </c>
      <c r="D9336" t="s">
        <v>1210</v>
      </c>
      <c r="E9336" t="s">
        <v>560</v>
      </c>
      <c r="F9336" t="s">
        <v>1068</v>
      </c>
      <c r="G9336" t="s">
        <v>1078</v>
      </c>
      <c r="H9336">
        <v>-0.13067934396277101</v>
      </c>
      <c r="I9336" t="s">
        <v>1079</v>
      </c>
      <c r="J9336">
        <v>7.83</v>
      </c>
    </row>
    <row r="9337" spans="1:10" hidden="1">
      <c r="A9337" t="s">
        <v>5876</v>
      </c>
      <c r="B9337" t="s">
        <v>5877</v>
      </c>
      <c r="C9337" t="s">
        <v>5111</v>
      </c>
      <c r="D9337" t="s">
        <v>1210</v>
      </c>
      <c r="E9337" t="s">
        <v>560</v>
      </c>
      <c r="F9337" t="s">
        <v>1068</v>
      </c>
      <c r="G9337" t="s">
        <v>1080</v>
      </c>
      <c r="H9337" s="170">
        <v>-4.4601624139402001E-10</v>
      </c>
      <c r="I9337" t="s">
        <v>1082</v>
      </c>
      <c r="J9337">
        <v>7.83</v>
      </c>
    </row>
    <row r="9338" spans="1:10" hidden="1">
      <c r="A9338" t="s">
        <v>5876</v>
      </c>
      <c r="B9338" t="s">
        <v>5877</v>
      </c>
      <c r="C9338" t="s">
        <v>5111</v>
      </c>
      <c r="D9338" t="s">
        <v>1210</v>
      </c>
      <c r="E9338" t="s">
        <v>560</v>
      </c>
      <c r="F9338" t="s">
        <v>1068</v>
      </c>
      <c r="G9338" t="s">
        <v>1083</v>
      </c>
      <c r="H9338" s="170">
        <v>-1.00096047884251E-5</v>
      </c>
      <c r="I9338" t="s">
        <v>1084</v>
      </c>
      <c r="J9338">
        <v>7.83</v>
      </c>
    </row>
    <row r="9339" spans="1:10" hidden="1">
      <c r="A9339" t="s">
        <v>5876</v>
      </c>
      <c r="B9339" t="s">
        <v>5877</v>
      </c>
      <c r="C9339" t="s">
        <v>5111</v>
      </c>
      <c r="D9339" t="s">
        <v>1210</v>
      </c>
      <c r="E9339" t="s">
        <v>560</v>
      </c>
      <c r="F9339" t="s">
        <v>1068</v>
      </c>
      <c r="G9339" t="s">
        <v>1085</v>
      </c>
      <c r="H9339" s="170">
        <v>-3.4818447108724099E-5</v>
      </c>
      <c r="I9339" t="s">
        <v>1086</v>
      </c>
      <c r="J9339">
        <v>7.83</v>
      </c>
    </row>
    <row r="9340" spans="1:10" hidden="1">
      <c r="A9340" t="s">
        <v>5876</v>
      </c>
      <c r="B9340" t="s">
        <v>5877</v>
      </c>
      <c r="C9340" t="s">
        <v>5111</v>
      </c>
      <c r="D9340" t="s">
        <v>1210</v>
      </c>
      <c r="E9340" t="s">
        <v>560</v>
      </c>
      <c r="F9340" t="s">
        <v>1068</v>
      </c>
      <c r="G9340" t="s">
        <v>1087</v>
      </c>
      <c r="H9340" s="170">
        <v>-8.8534244906037397E-8</v>
      </c>
      <c r="I9340" t="s">
        <v>1088</v>
      </c>
      <c r="J9340">
        <v>7.83</v>
      </c>
    </row>
    <row r="9341" spans="1:10" hidden="1">
      <c r="A9341" t="s">
        <v>5876</v>
      </c>
      <c r="B9341" t="s">
        <v>5877</v>
      </c>
      <c r="C9341" t="s">
        <v>5111</v>
      </c>
      <c r="D9341" t="s">
        <v>1210</v>
      </c>
      <c r="E9341" t="s">
        <v>560</v>
      </c>
      <c r="F9341" t="s">
        <v>1068</v>
      </c>
      <c r="G9341" t="s">
        <v>1089</v>
      </c>
      <c r="H9341" s="170">
        <v>-1.2597072357454601E-7</v>
      </c>
      <c r="I9341" t="s">
        <v>1090</v>
      </c>
      <c r="J9341">
        <v>7.83</v>
      </c>
    </row>
    <row r="9342" spans="1:10" hidden="1">
      <c r="A9342" t="s">
        <v>5879</v>
      </c>
      <c r="B9342" t="s">
        <v>5880</v>
      </c>
      <c r="C9342" t="s">
        <v>5111</v>
      </c>
      <c r="D9342" t="s">
        <v>1210</v>
      </c>
      <c r="E9342" t="s">
        <v>1116</v>
      </c>
      <c r="F9342" t="s">
        <v>1068</v>
      </c>
      <c r="G9342" t="s">
        <v>1069</v>
      </c>
      <c r="H9342">
        <v>-5.9590802826912002E-2</v>
      </c>
      <c r="I9342" t="s">
        <v>1070</v>
      </c>
      <c r="J9342">
        <v>7.36</v>
      </c>
    </row>
    <row r="9343" spans="1:10" hidden="1">
      <c r="A9343" t="s">
        <v>5879</v>
      </c>
      <c r="B9343" t="s">
        <v>5880</v>
      </c>
      <c r="C9343" t="s">
        <v>5111</v>
      </c>
      <c r="D9343" t="s">
        <v>1210</v>
      </c>
      <c r="E9343" t="s">
        <v>1116</v>
      </c>
      <c r="F9343" t="s">
        <v>1068</v>
      </c>
      <c r="G9343" t="s">
        <v>1071</v>
      </c>
      <c r="H9343" s="171" t="s">
        <v>5881</v>
      </c>
      <c r="I9343" t="s">
        <v>1072</v>
      </c>
      <c r="J9343">
        <v>7.36</v>
      </c>
    </row>
    <row r="9344" spans="1:10" hidden="1">
      <c r="A9344" t="s">
        <v>5879</v>
      </c>
      <c r="B9344" t="s">
        <v>5880</v>
      </c>
      <c r="C9344" t="s">
        <v>5111</v>
      </c>
      <c r="D9344" t="s">
        <v>1210</v>
      </c>
      <c r="E9344" t="s">
        <v>1116</v>
      </c>
      <c r="F9344" t="s">
        <v>1068</v>
      </c>
      <c r="G9344" t="s">
        <v>1073</v>
      </c>
      <c r="H9344" s="170">
        <v>-1.7942441493328599E-8</v>
      </c>
      <c r="I9344" t="s">
        <v>1074</v>
      </c>
      <c r="J9344">
        <v>7.36</v>
      </c>
    </row>
    <row r="9345" spans="1:10" hidden="1">
      <c r="A9345" t="s">
        <v>5879</v>
      </c>
      <c r="B9345" t="s">
        <v>5880</v>
      </c>
      <c r="C9345" t="s">
        <v>5111</v>
      </c>
      <c r="D9345" t="s">
        <v>1210</v>
      </c>
      <c r="E9345" t="s">
        <v>1116</v>
      </c>
      <c r="F9345" t="s">
        <v>1068</v>
      </c>
      <c r="G9345" t="s">
        <v>1075</v>
      </c>
      <c r="H9345">
        <v>3.9192404431279398E-4</v>
      </c>
      <c r="I9345" t="s">
        <v>1077</v>
      </c>
      <c r="J9345">
        <v>7.36</v>
      </c>
    </row>
    <row r="9346" spans="1:10" hidden="1">
      <c r="A9346" t="s">
        <v>5879</v>
      </c>
      <c r="B9346" t="s">
        <v>5880</v>
      </c>
      <c r="C9346" t="s">
        <v>5111</v>
      </c>
      <c r="D9346" t="s">
        <v>1210</v>
      </c>
      <c r="E9346" t="s">
        <v>1116</v>
      </c>
      <c r="F9346" t="s">
        <v>1068</v>
      </c>
      <c r="G9346" t="s">
        <v>1078</v>
      </c>
      <c r="H9346">
        <v>-0.120402659122941</v>
      </c>
      <c r="I9346" t="s">
        <v>1079</v>
      </c>
      <c r="J9346">
        <v>7.36</v>
      </c>
    </row>
    <row r="9347" spans="1:10" hidden="1">
      <c r="A9347" t="s">
        <v>5879</v>
      </c>
      <c r="B9347" t="s">
        <v>5880</v>
      </c>
      <c r="C9347" t="s">
        <v>5111</v>
      </c>
      <c r="D9347" t="s">
        <v>1210</v>
      </c>
      <c r="E9347" t="s">
        <v>1116</v>
      </c>
      <c r="F9347" t="s">
        <v>1068</v>
      </c>
      <c r="G9347" t="s">
        <v>1080</v>
      </c>
      <c r="H9347" s="170">
        <v>-4.0422761746171503E-10</v>
      </c>
      <c r="I9347" t="s">
        <v>1082</v>
      </c>
      <c r="J9347">
        <v>7.36</v>
      </c>
    </row>
    <row r="9348" spans="1:10" hidden="1">
      <c r="A9348" t="s">
        <v>5879</v>
      </c>
      <c r="B9348" t="s">
        <v>5880</v>
      </c>
      <c r="C9348" t="s">
        <v>5111</v>
      </c>
      <c r="D9348" t="s">
        <v>1210</v>
      </c>
      <c r="E9348" t="s">
        <v>1116</v>
      </c>
      <c r="F9348" t="s">
        <v>1068</v>
      </c>
      <c r="G9348" t="s">
        <v>1083</v>
      </c>
      <c r="H9348" s="170">
        <v>-8.8668978176943804E-6</v>
      </c>
      <c r="I9348" t="s">
        <v>1084</v>
      </c>
      <c r="J9348">
        <v>7.36</v>
      </c>
    </row>
    <row r="9349" spans="1:10" hidden="1">
      <c r="A9349" t="s">
        <v>5879</v>
      </c>
      <c r="B9349" t="s">
        <v>5880</v>
      </c>
      <c r="C9349" t="s">
        <v>5111</v>
      </c>
      <c r="D9349" t="s">
        <v>1210</v>
      </c>
      <c r="E9349" t="s">
        <v>1116</v>
      </c>
      <c r="F9349" t="s">
        <v>1068</v>
      </c>
      <c r="G9349" t="s">
        <v>1085</v>
      </c>
      <c r="H9349" s="170">
        <v>-2.19035391320744E-5</v>
      </c>
      <c r="I9349" t="s">
        <v>1086</v>
      </c>
      <c r="J9349">
        <v>7.36</v>
      </c>
    </row>
    <row r="9350" spans="1:10" hidden="1">
      <c r="A9350" t="s">
        <v>5879</v>
      </c>
      <c r="B9350" t="s">
        <v>5880</v>
      </c>
      <c r="C9350" t="s">
        <v>5111</v>
      </c>
      <c r="D9350" t="s">
        <v>1210</v>
      </c>
      <c r="E9350" t="s">
        <v>1116</v>
      </c>
      <c r="F9350" t="s">
        <v>1068</v>
      </c>
      <c r="G9350" t="s">
        <v>1087</v>
      </c>
      <c r="H9350" s="170">
        <v>-8.2301451346844003E-8</v>
      </c>
      <c r="I9350" t="s">
        <v>1088</v>
      </c>
      <c r="J9350">
        <v>7.36</v>
      </c>
    </row>
    <row r="9351" spans="1:10" hidden="1">
      <c r="A9351" t="s">
        <v>5879</v>
      </c>
      <c r="B9351" t="s">
        <v>5880</v>
      </c>
      <c r="C9351" t="s">
        <v>5111</v>
      </c>
      <c r="D9351" t="s">
        <v>1210</v>
      </c>
      <c r="E9351" t="s">
        <v>1116</v>
      </c>
      <c r="F9351" t="s">
        <v>1068</v>
      </c>
      <c r="G9351" t="s">
        <v>1089</v>
      </c>
      <c r="H9351" s="171" t="s">
        <v>5882</v>
      </c>
      <c r="I9351" t="s">
        <v>1090</v>
      </c>
      <c r="J9351">
        <v>7.36</v>
      </c>
    </row>
    <row r="9352" spans="1:10" hidden="1">
      <c r="A9352" t="s">
        <v>5883</v>
      </c>
      <c r="B9352" t="s">
        <v>5884</v>
      </c>
      <c r="C9352" t="s">
        <v>5111</v>
      </c>
      <c r="D9352" t="s">
        <v>2713</v>
      </c>
      <c r="E9352" t="s">
        <v>561</v>
      </c>
      <c r="F9352" t="s">
        <v>1068</v>
      </c>
      <c r="G9352" t="s">
        <v>1069</v>
      </c>
      <c r="H9352" s="171" t="s">
        <v>5885</v>
      </c>
      <c r="I9352" t="s">
        <v>1070</v>
      </c>
      <c r="J9352">
        <v>7.94</v>
      </c>
    </row>
    <row r="9353" spans="1:10" hidden="1">
      <c r="A9353" t="s">
        <v>5883</v>
      </c>
      <c r="B9353" t="s">
        <v>5884</v>
      </c>
      <c r="C9353" t="s">
        <v>5111</v>
      </c>
      <c r="D9353" t="s">
        <v>2713</v>
      </c>
      <c r="E9353" t="s">
        <v>561</v>
      </c>
      <c r="F9353" t="s">
        <v>1068</v>
      </c>
      <c r="G9353" t="s">
        <v>1071</v>
      </c>
      <c r="H9353" s="171" t="s">
        <v>5886</v>
      </c>
      <c r="I9353" t="s">
        <v>1072</v>
      </c>
      <c r="J9353">
        <v>7.94</v>
      </c>
    </row>
    <row r="9354" spans="1:10" hidden="1">
      <c r="A9354" t="s">
        <v>5883</v>
      </c>
      <c r="B9354" t="s">
        <v>5884</v>
      </c>
      <c r="C9354" t="s">
        <v>5111</v>
      </c>
      <c r="D9354" t="s">
        <v>2713</v>
      </c>
      <c r="E9354" t="s">
        <v>561</v>
      </c>
      <c r="F9354" t="s">
        <v>1068</v>
      </c>
      <c r="G9354" t="s">
        <v>1073</v>
      </c>
      <c r="H9354" s="171" t="s">
        <v>5887</v>
      </c>
      <c r="I9354" t="s">
        <v>1074</v>
      </c>
      <c r="J9354">
        <v>7.94</v>
      </c>
    </row>
    <row r="9355" spans="1:10" hidden="1">
      <c r="A9355" t="s">
        <v>5883</v>
      </c>
      <c r="B9355" t="s">
        <v>5884</v>
      </c>
      <c r="C9355" t="s">
        <v>5111</v>
      </c>
      <c r="D9355" t="s">
        <v>2713</v>
      </c>
      <c r="E9355" t="s">
        <v>561</v>
      </c>
      <c r="F9355" t="s">
        <v>1068</v>
      </c>
      <c r="G9355" t="s">
        <v>1075</v>
      </c>
      <c r="H9355">
        <v>3.92277102312312E-3</v>
      </c>
      <c r="I9355" t="s">
        <v>1077</v>
      </c>
      <c r="J9355">
        <v>7.94</v>
      </c>
    </row>
    <row r="9356" spans="1:10" hidden="1">
      <c r="A9356" t="s">
        <v>5883</v>
      </c>
      <c r="B9356" t="s">
        <v>5884</v>
      </c>
      <c r="C9356" t="s">
        <v>5111</v>
      </c>
      <c r="D9356" t="s">
        <v>2713</v>
      </c>
      <c r="E9356" t="s">
        <v>561</v>
      </c>
      <c r="F9356" t="s">
        <v>1068</v>
      </c>
      <c r="G9356" t="s">
        <v>1078</v>
      </c>
      <c r="H9356" s="171" t="s">
        <v>5888</v>
      </c>
      <c r="I9356" t="s">
        <v>1079</v>
      </c>
      <c r="J9356">
        <v>7.94</v>
      </c>
    </row>
    <row r="9357" spans="1:10" hidden="1">
      <c r="A9357" t="s">
        <v>5883</v>
      </c>
      <c r="B9357" t="s">
        <v>5884</v>
      </c>
      <c r="C9357" t="s">
        <v>5111</v>
      </c>
      <c r="D9357" t="s">
        <v>2713</v>
      </c>
      <c r="E9357" t="s">
        <v>561</v>
      </c>
      <c r="F9357" t="s">
        <v>1068</v>
      </c>
      <c r="G9357" t="s">
        <v>1080</v>
      </c>
      <c r="H9357" s="171" t="s">
        <v>5889</v>
      </c>
      <c r="I9357" t="s">
        <v>1082</v>
      </c>
      <c r="J9357">
        <v>7.94</v>
      </c>
    </row>
    <row r="9358" spans="1:10" hidden="1">
      <c r="A9358" t="s">
        <v>5883</v>
      </c>
      <c r="B9358" t="s">
        <v>5884</v>
      </c>
      <c r="C9358" t="s">
        <v>5111</v>
      </c>
      <c r="D9358" t="s">
        <v>2713</v>
      </c>
      <c r="E9358" t="s">
        <v>561</v>
      </c>
      <c r="F9358" t="s">
        <v>1068</v>
      </c>
      <c r="G9358" t="s">
        <v>1083</v>
      </c>
      <c r="H9358" s="171" t="s">
        <v>5890</v>
      </c>
      <c r="I9358" t="s">
        <v>1084</v>
      </c>
      <c r="J9358">
        <v>7.94</v>
      </c>
    </row>
    <row r="9359" spans="1:10" hidden="1">
      <c r="A9359" t="s">
        <v>5883</v>
      </c>
      <c r="B9359" t="s">
        <v>5884</v>
      </c>
      <c r="C9359" t="s">
        <v>5111</v>
      </c>
      <c r="D9359" t="s">
        <v>2713</v>
      </c>
      <c r="E9359" t="s">
        <v>561</v>
      </c>
      <c r="F9359" t="s">
        <v>1068</v>
      </c>
      <c r="G9359" t="s">
        <v>1085</v>
      </c>
      <c r="H9359">
        <v>1.3707463231647001E-4</v>
      </c>
      <c r="I9359" t="s">
        <v>1086</v>
      </c>
      <c r="J9359">
        <v>7.94</v>
      </c>
    </row>
    <row r="9360" spans="1:10" hidden="1">
      <c r="A9360" t="s">
        <v>5883</v>
      </c>
      <c r="B9360" t="s">
        <v>5884</v>
      </c>
      <c r="C9360" t="s">
        <v>5111</v>
      </c>
      <c r="D9360" t="s">
        <v>2713</v>
      </c>
      <c r="E9360" t="s">
        <v>561</v>
      </c>
      <c r="F9360" t="s">
        <v>1068</v>
      </c>
      <c r="G9360" t="s">
        <v>1087</v>
      </c>
      <c r="H9360" s="171" t="s">
        <v>5891</v>
      </c>
      <c r="I9360" t="s">
        <v>1088</v>
      </c>
      <c r="J9360">
        <v>7.94</v>
      </c>
    </row>
    <row r="9361" spans="1:10" hidden="1">
      <c r="A9361" t="s">
        <v>5883</v>
      </c>
      <c r="B9361" t="s">
        <v>5884</v>
      </c>
      <c r="C9361" t="s">
        <v>5111</v>
      </c>
      <c r="D9361" t="s">
        <v>2713</v>
      </c>
      <c r="E9361" t="s">
        <v>561</v>
      </c>
      <c r="F9361" t="s">
        <v>1068</v>
      </c>
      <c r="G9361" t="s">
        <v>1089</v>
      </c>
      <c r="H9361" s="171" t="s">
        <v>5892</v>
      </c>
      <c r="I9361" t="s">
        <v>1090</v>
      </c>
      <c r="J9361">
        <v>7.94</v>
      </c>
    </row>
    <row r="9362" spans="1:10" hidden="1">
      <c r="A9362" t="s">
        <v>5893</v>
      </c>
      <c r="B9362" t="s">
        <v>5894</v>
      </c>
      <c r="C9362" t="s">
        <v>5111</v>
      </c>
      <c r="D9362" t="s">
        <v>2713</v>
      </c>
      <c r="E9362" t="s">
        <v>555</v>
      </c>
      <c r="F9362" t="s">
        <v>1068</v>
      </c>
      <c r="G9362" t="s">
        <v>1069</v>
      </c>
      <c r="H9362" s="171" t="s">
        <v>5895</v>
      </c>
      <c r="I9362" t="s">
        <v>1070</v>
      </c>
      <c r="J9362">
        <v>7.27</v>
      </c>
    </row>
    <row r="9363" spans="1:10" hidden="1">
      <c r="A9363" t="s">
        <v>5893</v>
      </c>
      <c r="B9363" t="s">
        <v>5894</v>
      </c>
      <c r="C9363" t="s">
        <v>5111</v>
      </c>
      <c r="D9363" t="s">
        <v>2713</v>
      </c>
      <c r="E9363" t="s">
        <v>555</v>
      </c>
      <c r="F9363" t="s">
        <v>1068</v>
      </c>
      <c r="G9363" t="s">
        <v>1071</v>
      </c>
      <c r="H9363" s="171" t="s">
        <v>5896</v>
      </c>
      <c r="I9363" t="s">
        <v>1072</v>
      </c>
      <c r="J9363">
        <v>7.27</v>
      </c>
    </row>
    <row r="9364" spans="1:10" hidden="1">
      <c r="A9364" t="s">
        <v>5893</v>
      </c>
      <c r="B9364" t="s">
        <v>5894</v>
      </c>
      <c r="C9364" t="s">
        <v>5111</v>
      </c>
      <c r="D9364" t="s">
        <v>2713</v>
      </c>
      <c r="E9364" t="s">
        <v>555</v>
      </c>
      <c r="F9364" t="s">
        <v>1068</v>
      </c>
      <c r="G9364" t="s">
        <v>1073</v>
      </c>
      <c r="H9364" s="171" t="s">
        <v>5897</v>
      </c>
      <c r="I9364" t="s">
        <v>1074</v>
      </c>
      <c r="J9364">
        <v>7.27</v>
      </c>
    </row>
    <row r="9365" spans="1:10" hidden="1">
      <c r="A9365" t="s">
        <v>5893</v>
      </c>
      <c r="B9365" t="s">
        <v>5894</v>
      </c>
      <c r="C9365" t="s">
        <v>5111</v>
      </c>
      <c r="D9365" t="s">
        <v>2713</v>
      </c>
      <c r="E9365" t="s">
        <v>555</v>
      </c>
      <c r="F9365" t="s">
        <v>1068</v>
      </c>
      <c r="G9365" t="s">
        <v>1075</v>
      </c>
      <c r="H9365">
        <v>3.88473069029972E-3</v>
      </c>
      <c r="I9365" t="s">
        <v>1077</v>
      </c>
      <c r="J9365">
        <v>7.27</v>
      </c>
    </row>
    <row r="9366" spans="1:10" hidden="1">
      <c r="A9366" t="s">
        <v>5893</v>
      </c>
      <c r="B9366" t="s">
        <v>5894</v>
      </c>
      <c r="C9366" t="s">
        <v>5111</v>
      </c>
      <c r="D9366" t="s">
        <v>2713</v>
      </c>
      <c r="E9366" t="s">
        <v>555</v>
      </c>
      <c r="F9366" t="s">
        <v>1068</v>
      </c>
      <c r="G9366" t="s">
        <v>1078</v>
      </c>
      <c r="H9366">
        <v>3.3109226842325201E-2</v>
      </c>
      <c r="I9366" t="s">
        <v>1079</v>
      </c>
      <c r="J9366">
        <v>7.27</v>
      </c>
    </row>
    <row r="9367" spans="1:10" hidden="1">
      <c r="A9367" t="s">
        <v>5893</v>
      </c>
      <c r="B9367" t="s">
        <v>5894</v>
      </c>
      <c r="C9367" t="s">
        <v>5111</v>
      </c>
      <c r="D9367" t="s">
        <v>2713</v>
      </c>
      <c r="E9367" t="s">
        <v>555</v>
      </c>
      <c r="F9367" t="s">
        <v>1068</v>
      </c>
      <c r="G9367" t="s">
        <v>1080</v>
      </c>
      <c r="H9367" s="171" t="s">
        <v>5898</v>
      </c>
      <c r="I9367" t="s">
        <v>1082</v>
      </c>
      <c r="J9367">
        <v>7.27</v>
      </c>
    </row>
    <row r="9368" spans="1:10" hidden="1">
      <c r="A9368" t="s">
        <v>5893</v>
      </c>
      <c r="B9368" t="s">
        <v>5894</v>
      </c>
      <c r="C9368" t="s">
        <v>5111</v>
      </c>
      <c r="D9368" t="s">
        <v>2713</v>
      </c>
      <c r="E9368" t="s">
        <v>555</v>
      </c>
      <c r="F9368" t="s">
        <v>1068</v>
      </c>
      <c r="G9368" t="s">
        <v>1083</v>
      </c>
      <c r="H9368" s="171" t="s">
        <v>5899</v>
      </c>
      <c r="I9368" t="s">
        <v>1084</v>
      </c>
      <c r="J9368">
        <v>7.27</v>
      </c>
    </row>
    <row r="9369" spans="1:10" hidden="1">
      <c r="A9369" t="s">
        <v>5893</v>
      </c>
      <c r="B9369" t="s">
        <v>5894</v>
      </c>
      <c r="C9369" t="s">
        <v>5111</v>
      </c>
      <c r="D9369" t="s">
        <v>2713</v>
      </c>
      <c r="E9369" t="s">
        <v>555</v>
      </c>
      <c r="F9369" t="s">
        <v>1068</v>
      </c>
      <c r="G9369" t="s">
        <v>1085</v>
      </c>
      <c r="H9369">
        <v>1.3500731154690601E-4</v>
      </c>
      <c r="I9369" t="s">
        <v>1086</v>
      </c>
      <c r="J9369">
        <v>7.27</v>
      </c>
    </row>
    <row r="9370" spans="1:10" hidden="1">
      <c r="A9370" t="s">
        <v>5893</v>
      </c>
      <c r="B9370" t="s">
        <v>5894</v>
      </c>
      <c r="C9370" t="s">
        <v>5111</v>
      </c>
      <c r="D9370" t="s">
        <v>2713</v>
      </c>
      <c r="E9370" t="s">
        <v>555</v>
      </c>
      <c r="F9370" t="s">
        <v>1068</v>
      </c>
      <c r="G9370" t="s">
        <v>1087</v>
      </c>
      <c r="H9370" s="171" t="s">
        <v>5900</v>
      </c>
      <c r="I9370" t="s">
        <v>1088</v>
      </c>
      <c r="J9370">
        <v>7.27</v>
      </c>
    </row>
    <row r="9371" spans="1:10" hidden="1">
      <c r="A9371" t="s">
        <v>5893</v>
      </c>
      <c r="B9371" t="s">
        <v>5894</v>
      </c>
      <c r="C9371" t="s">
        <v>5111</v>
      </c>
      <c r="D9371" t="s">
        <v>2713</v>
      </c>
      <c r="E9371" t="s">
        <v>555</v>
      </c>
      <c r="F9371" t="s">
        <v>1068</v>
      </c>
      <c r="G9371" t="s">
        <v>1089</v>
      </c>
      <c r="H9371" s="171" t="s">
        <v>5901</v>
      </c>
      <c r="I9371" t="s">
        <v>1090</v>
      </c>
      <c r="J9371">
        <v>7.27</v>
      </c>
    </row>
    <row r="9372" spans="1:10" hidden="1">
      <c r="A9372" t="s">
        <v>5902</v>
      </c>
      <c r="B9372" t="s">
        <v>5903</v>
      </c>
      <c r="C9372" t="s">
        <v>5111</v>
      </c>
      <c r="D9372" t="s">
        <v>2713</v>
      </c>
      <c r="E9372" t="s">
        <v>558</v>
      </c>
      <c r="F9372" t="s">
        <v>1068</v>
      </c>
      <c r="G9372" t="s">
        <v>1069</v>
      </c>
      <c r="H9372" s="171" t="s">
        <v>5904</v>
      </c>
      <c r="I9372" t="s">
        <v>1070</v>
      </c>
      <c r="J9372">
        <v>7.88</v>
      </c>
    </row>
    <row r="9373" spans="1:10" hidden="1">
      <c r="A9373" t="s">
        <v>5902</v>
      </c>
      <c r="B9373" t="s">
        <v>5903</v>
      </c>
      <c r="C9373" t="s">
        <v>5111</v>
      </c>
      <c r="D9373" t="s">
        <v>2713</v>
      </c>
      <c r="E9373" t="s">
        <v>558</v>
      </c>
      <c r="F9373" t="s">
        <v>1068</v>
      </c>
      <c r="G9373" t="s">
        <v>1071</v>
      </c>
      <c r="H9373" s="171" t="s">
        <v>5905</v>
      </c>
      <c r="I9373" t="s">
        <v>1072</v>
      </c>
      <c r="J9373">
        <v>7.88</v>
      </c>
    </row>
    <row r="9374" spans="1:10" hidden="1">
      <c r="A9374" t="s">
        <v>5902</v>
      </c>
      <c r="B9374" t="s">
        <v>5903</v>
      </c>
      <c r="C9374" t="s">
        <v>5111</v>
      </c>
      <c r="D9374" t="s">
        <v>2713</v>
      </c>
      <c r="E9374" t="s">
        <v>558</v>
      </c>
      <c r="F9374" t="s">
        <v>1068</v>
      </c>
      <c r="G9374" t="s">
        <v>1073</v>
      </c>
      <c r="H9374" s="171" t="s">
        <v>5906</v>
      </c>
      <c r="I9374" t="s">
        <v>1074</v>
      </c>
      <c r="J9374">
        <v>7.88</v>
      </c>
    </row>
    <row r="9375" spans="1:10" hidden="1">
      <c r="A9375" t="s">
        <v>5902</v>
      </c>
      <c r="B9375" t="s">
        <v>5903</v>
      </c>
      <c r="C9375" t="s">
        <v>5111</v>
      </c>
      <c r="D9375" t="s">
        <v>2713</v>
      </c>
      <c r="E9375" t="s">
        <v>558</v>
      </c>
      <c r="F9375" t="s">
        <v>1068</v>
      </c>
      <c r="G9375" t="s">
        <v>1075</v>
      </c>
      <c r="H9375">
        <v>3.9261415160445302E-3</v>
      </c>
      <c r="I9375" t="s">
        <v>1077</v>
      </c>
      <c r="J9375">
        <v>7.88</v>
      </c>
    </row>
    <row r="9376" spans="1:10" hidden="1">
      <c r="A9376" t="s">
        <v>5902</v>
      </c>
      <c r="B9376" t="s">
        <v>5903</v>
      </c>
      <c r="C9376" t="s">
        <v>5111</v>
      </c>
      <c r="D9376" t="s">
        <v>2713</v>
      </c>
      <c r="E9376" t="s">
        <v>558</v>
      </c>
      <c r="F9376" t="s">
        <v>1068</v>
      </c>
      <c r="G9376" t="s">
        <v>1078</v>
      </c>
      <c r="H9376" s="171" t="s">
        <v>5907</v>
      </c>
      <c r="I9376" t="s">
        <v>1079</v>
      </c>
      <c r="J9376">
        <v>7.88</v>
      </c>
    </row>
    <row r="9377" spans="1:10" hidden="1">
      <c r="A9377" t="s">
        <v>5902</v>
      </c>
      <c r="B9377" t="s">
        <v>5903</v>
      </c>
      <c r="C9377" t="s">
        <v>5111</v>
      </c>
      <c r="D9377" t="s">
        <v>2713</v>
      </c>
      <c r="E9377" t="s">
        <v>558</v>
      </c>
      <c r="F9377" t="s">
        <v>1068</v>
      </c>
      <c r="G9377" t="s">
        <v>1080</v>
      </c>
      <c r="H9377" s="171" t="s">
        <v>5908</v>
      </c>
      <c r="I9377" t="s">
        <v>1082</v>
      </c>
      <c r="J9377">
        <v>7.88</v>
      </c>
    </row>
    <row r="9378" spans="1:10" hidden="1">
      <c r="A9378" t="s">
        <v>5902</v>
      </c>
      <c r="B9378" t="s">
        <v>5903</v>
      </c>
      <c r="C9378" t="s">
        <v>5111</v>
      </c>
      <c r="D9378" t="s">
        <v>2713</v>
      </c>
      <c r="E9378" t="s">
        <v>558</v>
      </c>
      <c r="F9378" t="s">
        <v>1068</v>
      </c>
      <c r="G9378" t="s">
        <v>1083</v>
      </c>
      <c r="H9378" s="171" t="s">
        <v>5909</v>
      </c>
      <c r="I9378" t="s">
        <v>1084</v>
      </c>
      <c r="J9378">
        <v>7.88</v>
      </c>
    </row>
    <row r="9379" spans="1:10" hidden="1">
      <c r="A9379" t="s">
        <v>5902</v>
      </c>
      <c r="B9379" t="s">
        <v>5903</v>
      </c>
      <c r="C9379" t="s">
        <v>5111</v>
      </c>
      <c r="D9379" t="s">
        <v>2713</v>
      </c>
      <c r="E9379" t="s">
        <v>558</v>
      </c>
      <c r="F9379" t="s">
        <v>1068</v>
      </c>
      <c r="G9379" t="s">
        <v>1085</v>
      </c>
      <c r="H9379">
        <v>1.3725780306657001E-4</v>
      </c>
      <c r="I9379" t="s">
        <v>1086</v>
      </c>
      <c r="J9379">
        <v>7.88</v>
      </c>
    </row>
    <row r="9380" spans="1:10" hidden="1">
      <c r="A9380" t="s">
        <v>5902</v>
      </c>
      <c r="B9380" t="s">
        <v>5903</v>
      </c>
      <c r="C9380" t="s">
        <v>5111</v>
      </c>
      <c r="D9380" t="s">
        <v>2713</v>
      </c>
      <c r="E9380" t="s">
        <v>558</v>
      </c>
      <c r="F9380" t="s">
        <v>1068</v>
      </c>
      <c r="G9380" t="s">
        <v>1087</v>
      </c>
      <c r="H9380" s="171" t="s">
        <v>5910</v>
      </c>
      <c r="I9380" t="s">
        <v>1088</v>
      </c>
      <c r="J9380">
        <v>7.88</v>
      </c>
    </row>
    <row r="9381" spans="1:10" hidden="1">
      <c r="A9381" t="s">
        <v>5902</v>
      </c>
      <c r="B9381" t="s">
        <v>5903</v>
      </c>
      <c r="C9381" t="s">
        <v>5111</v>
      </c>
      <c r="D9381" t="s">
        <v>2713</v>
      </c>
      <c r="E9381" t="s">
        <v>558</v>
      </c>
      <c r="F9381" t="s">
        <v>1068</v>
      </c>
      <c r="G9381" t="s">
        <v>1089</v>
      </c>
      <c r="H9381" s="171" t="s">
        <v>5911</v>
      </c>
      <c r="I9381" t="s">
        <v>1090</v>
      </c>
      <c r="J9381">
        <v>7.88</v>
      </c>
    </row>
    <row r="9382" spans="1:10" hidden="1">
      <c r="A9382" t="s">
        <v>5912</v>
      </c>
      <c r="B9382" t="s">
        <v>5913</v>
      </c>
      <c r="C9382" t="s">
        <v>5111</v>
      </c>
      <c r="D9382" t="s">
        <v>2713</v>
      </c>
      <c r="E9382" t="s">
        <v>553</v>
      </c>
      <c r="F9382" t="s">
        <v>1068</v>
      </c>
      <c r="G9382" t="s">
        <v>1069</v>
      </c>
      <c r="H9382" s="171" t="s">
        <v>5914</v>
      </c>
      <c r="I9382" t="s">
        <v>1070</v>
      </c>
      <c r="J9382">
        <v>7.37</v>
      </c>
    </row>
    <row r="9383" spans="1:10" hidden="1">
      <c r="A9383" t="s">
        <v>5912</v>
      </c>
      <c r="B9383" t="s">
        <v>5913</v>
      </c>
      <c r="C9383" t="s">
        <v>5111</v>
      </c>
      <c r="D9383" t="s">
        <v>2713</v>
      </c>
      <c r="E9383" t="s">
        <v>553</v>
      </c>
      <c r="F9383" t="s">
        <v>1068</v>
      </c>
      <c r="G9383" t="s">
        <v>1071</v>
      </c>
      <c r="H9383" s="171" t="s">
        <v>5915</v>
      </c>
      <c r="I9383" t="s">
        <v>1072</v>
      </c>
      <c r="J9383">
        <v>7.37</v>
      </c>
    </row>
    <row r="9384" spans="1:10" hidden="1">
      <c r="A9384" t="s">
        <v>5912</v>
      </c>
      <c r="B9384" t="s">
        <v>5913</v>
      </c>
      <c r="C9384" t="s">
        <v>5111</v>
      </c>
      <c r="D9384" t="s">
        <v>2713</v>
      </c>
      <c r="E9384" t="s">
        <v>553</v>
      </c>
      <c r="F9384" t="s">
        <v>1068</v>
      </c>
      <c r="G9384" t="s">
        <v>1073</v>
      </c>
      <c r="H9384" s="171" t="s">
        <v>5916</v>
      </c>
      <c r="I9384" t="s">
        <v>1074</v>
      </c>
      <c r="J9384">
        <v>7.37</v>
      </c>
    </row>
    <row r="9385" spans="1:10" hidden="1">
      <c r="A9385" t="s">
        <v>5912</v>
      </c>
      <c r="B9385" t="s">
        <v>5913</v>
      </c>
      <c r="C9385" t="s">
        <v>5111</v>
      </c>
      <c r="D9385" t="s">
        <v>2713</v>
      </c>
      <c r="E9385" t="s">
        <v>553</v>
      </c>
      <c r="F9385" t="s">
        <v>1068</v>
      </c>
      <c r="G9385" t="s">
        <v>1075</v>
      </c>
      <c r="H9385">
        <v>3.9294656753078496E-3</v>
      </c>
      <c r="I9385" t="s">
        <v>1077</v>
      </c>
      <c r="J9385">
        <v>7.37</v>
      </c>
    </row>
    <row r="9386" spans="1:10" hidden="1">
      <c r="A9386" t="s">
        <v>5912</v>
      </c>
      <c r="B9386" t="s">
        <v>5913</v>
      </c>
      <c r="C9386" t="s">
        <v>5111</v>
      </c>
      <c r="D9386" t="s">
        <v>2713</v>
      </c>
      <c r="E9386" t="s">
        <v>553</v>
      </c>
      <c r="F9386" t="s">
        <v>1068</v>
      </c>
      <c r="G9386" t="s">
        <v>1078</v>
      </c>
      <c r="H9386">
        <v>3.5043740154537401E-2</v>
      </c>
      <c r="I9386" t="s">
        <v>1079</v>
      </c>
      <c r="J9386">
        <v>7.37</v>
      </c>
    </row>
    <row r="9387" spans="1:10" hidden="1">
      <c r="A9387" t="s">
        <v>5912</v>
      </c>
      <c r="B9387" t="s">
        <v>5913</v>
      </c>
      <c r="C9387" t="s">
        <v>5111</v>
      </c>
      <c r="D9387" t="s">
        <v>2713</v>
      </c>
      <c r="E9387" t="s">
        <v>553</v>
      </c>
      <c r="F9387" t="s">
        <v>1068</v>
      </c>
      <c r="G9387" t="s">
        <v>1080</v>
      </c>
      <c r="H9387" s="171" t="s">
        <v>5917</v>
      </c>
      <c r="I9387" t="s">
        <v>1082</v>
      </c>
      <c r="J9387">
        <v>7.37</v>
      </c>
    </row>
    <row r="9388" spans="1:10" hidden="1">
      <c r="A9388" t="s">
        <v>5912</v>
      </c>
      <c r="B9388" t="s">
        <v>5913</v>
      </c>
      <c r="C9388" t="s">
        <v>5111</v>
      </c>
      <c r="D9388" t="s">
        <v>2713</v>
      </c>
      <c r="E9388" t="s">
        <v>553</v>
      </c>
      <c r="F9388" t="s">
        <v>1068</v>
      </c>
      <c r="G9388" t="s">
        <v>1083</v>
      </c>
      <c r="H9388" s="171" t="s">
        <v>5918</v>
      </c>
      <c r="I9388" t="s">
        <v>1084</v>
      </c>
      <c r="J9388">
        <v>7.37</v>
      </c>
    </row>
    <row r="9389" spans="1:10" hidden="1">
      <c r="A9389" t="s">
        <v>5912</v>
      </c>
      <c r="B9389" t="s">
        <v>5913</v>
      </c>
      <c r="C9389" t="s">
        <v>5111</v>
      </c>
      <c r="D9389" t="s">
        <v>2713</v>
      </c>
      <c r="E9389" t="s">
        <v>553</v>
      </c>
      <c r="F9389" t="s">
        <v>1068</v>
      </c>
      <c r="G9389" t="s">
        <v>1085</v>
      </c>
      <c r="H9389">
        <v>1.3743845172452699E-4</v>
      </c>
      <c r="I9389" t="s">
        <v>1086</v>
      </c>
      <c r="J9389">
        <v>7.37</v>
      </c>
    </row>
    <row r="9390" spans="1:10" hidden="1">
      <c r="A9390" t="s">
        <v>5912</v>
      </c>
      <c r="B9390" t="s">
        <v>5913</v>
      </c>
      <c r="C9390" t="s">
        <v>5111</v>
      </c>
      <c r="D9390" t="s">
        <v>2713</v>
      </c>
      <c r="E9390" t="s">
        <v>553</v>
      </c>
      <c r="F9390" t="s">
        <v>1068</v>
      </c>
      <c r="G9390" t="s">
        <v>1087</v>
      </c>
      <c r="H9390" s="171" t="s">
        <v>5919</v>
      </c>
      <c r="I9390" t="s">
        <v>1088</v>
      </c>
      <c r="J9390">
        <v>7.37</v>
      </c>
    </row>
    <row r="9391" spans="1:10" hidden="1">
      <c r="A9391" t="s">
        <v>5912</v>
      </c>
      <c r="B9391" t="s">
        <v>5913</v>
      </c>
      <c r="C9391" t="s">
        <v>5111</v>
      </c>
      <c r="D9391" t="s">
        <v>2713</v>
      </c>
      <c r="E9391" t="s">
        <v>553</v>
      </c>
      <c r="F9391" t="s">
        <v>1068</v>
      </c>
      <c r="G9391" t="s">
        <v>1089</v>
      </c>
      <c r="H9391" s="171" t="s">
        <v>5920</v>
      </c>
      <c r="I9391" t="s">
        <v>1090</v>
      </c>
      <c r="J9391">
        <v>7.37</v>
      </c>
    </row>
    <row r="9392" spans="1:10" hidden="1">
      <c r="A9392" t="s">
        <v>5921</v>
      </c>
      <c r="B9392" t="s">
        <v>5922</v>
      </c>
      <c r="C9392" t="s">
        <v>5111</v>
      </c>
      <c r="D9392" t="s">
        <v>2713</v>
      </c>
      <c r="E9392" t="s">
        <v>556</v>
      </c>
      <c r="F9392" t="s">
        <v>1068</v>
      </c>
      <c r="G9392" t="s">
        <v>1069</v>
      </c>
      <c r="H9392" s="171" t="s">
        <v>5923</v>
      </c>
      <c r="I9392" t="s">
        <v>1070</v>
      </c>
      <c r="J9392">
        <v>7.91</v>
      </c>
    </row>
    <row r="9393" spans="1:10" hidden="1">
      <c r="A9393" t="s">
        <v>5921</v>
      </c>
      <c r="B9393" t="s">
        <v>5922</v>
      </c>
      <c r="C9393" t="s">
        <v>5111</v>
      </c>
      <c r="D9393" t="s">
        <v>2713</v>
      </c>
      <c r="E9393" t="s">
        <v>556</v>
      </c>
      <c r="F9393" t="s">
        <v>1068</v>
      </c>
      <c r="G9393" t="s">
        <v>1071</v>
      </c>
      <c r="H9393" s="171" t="s">
        <v>5924</v>
      </c>
      <c r="I9393" t="s">
        <v>1072</v>
      </c>
      <c r="J9393">
        <v>7.91</v>
      </c>
    </row>
    <row r="9394" spans="1:10" hidden="1">
      <c r="A9394" t="s">
        <v>5921</v>
      </c>
      <c r="B9394" t="s">
        <v>5922</v>
      </c>
      <c r="C9394" t="s">
        <v>5111</v>
      </c>
      <c r="D9394" t="s">
        <v>2713</v>
      </c>
      <c r="E9394" t="s">
        <v>556</v>
      </c>
      <c r="F9394" t="s">
        <v>1068</v>
      </c>
      <c r="G9394" t="s">
        <v>1073</v>
      </c>
      <c r="H9394" s="171" t="s">
        <v>5925</v>
      </c>
      <c r="I9394" t="s">
        <v>1074</v>
      </c>
      <c r="J9394">
        <v>7.91</v>
      </c>
    </row>
    <row r="9395" spans="1:10" hidden="1">
      <c r="A9395" t="s">
        <v>5921</v>
      </c>
      <c r="B9395" t="s">
        <v>5922</v>
      </c>
      <c r="C9395" t="s">
        <v>5111</v>
      </c>
      <c r="D9395" t="s">
        <v>2713</v>
      </c>
      <c r="E9395" t="s">
        <v>556</v>
      </c>
      <c r="F9395" t="s">
        <v>1068</v>
      </c>
      <c r="G9395" t="s">
        <v>1075</v>
      </c>
      <c r="H9395">
        <v>3.8889354321085799E-3</v>
      </c>
      <c r="I9395" t="s">
        <v>1077</v>
      </c>
      <c r="J9395">
        <v>7.91</v>
      </c>
    </row>
    <row r="9396" spans="1:10" hidden="1">
      <c r="A9396" t="s">
        <v>5921</v>
      </c>
      <c r="B9396" t="s">
        <v>5922</v>
      </c>
      <c r="C9396" t="s">
        <v>5111</v>
      </c>
      <c r="D9396" t="s">
        <v>2713</v>
      </c>
      <c r="E9396" t="s">
        <v>556</v>
      </c>
      <c r="F9396" t="s">
        <v>1068</v>
      </c>
      <c r="G9396" t="s">
        <v>1078</v>
      </c>
      <c r="H9396">
        <v>3.3291056097463002E-2</v>
      </c>
      <c r="I9396" t="s">
        <v>1079</v>
      </c>
      <c r="J9396">
        <v>7.91</v>
      </c>
    </row>
    <row r="9397" spans="1:10" hidden="1">
      <c r="A9397" t="s">
        <v>5921</v>
      </c>
      <c r="B9397" t="s">
        <v>5922</v>
      </c>
      <c r="C9397" t="s">
        <v>5111</v>
      </c>
      <c r="D9397" t="s">
        <v>2713</v>
      </c>
      <c r="E9397" t="s">
        <v>556</v>
      </c>
      <c r="F9397" t="s">
        <v>1068</v>
      </c>
      <c r="G9397" t="s">
        <v>1080</v>
      </c>
      <c r="H9397" s="171" t="s">
        <v>5926</v>
      </c>
      <c r="I9397" t="s">
        <v>1082</v>
      </c>
      <c r="J9397">
        <v>7.91</v>
      </c>
    </row>
    <row r="9398" spans="1:10" hidden="1">
      <c r="A9398" t="s">
        <v>5921</v>
      </c>
      <c r="B9398" t="s">
        <v>5922</v>
      </c>
      <c r="C9398" t="s">
        <v>5111</v>
      </c>
      <c r="D9398" t="s">
        <v>2713</v>
      </c>
      <c r="E9398" t="s">
        <v>556</v>
      </c>
      <c r="F9398" t="s">
        <v>1068</v>
      </c>
      <c r="G9398" t="s">
        <v>1083</v>
      </c>
      <c r="H9398" s="171" t="s">
        <v>5927</v>
      </c>
      <c r="I9398" t="s">
        <v>1084</v>
      </c>
      <c r="J9398">
        <v>7.91</v>
      </c>
    </row>
    <row r="9399" spans="1:10" hidden="1">
      <c r="A9399" t="s">
        <v>5921</v>
      </c>
      <c r="B9399" t="s">
        <v>5922</v>
      </c>
      <c r="C9399" t="s">
        <v>5111</v>
      </c>
      <c r="D9399" t="s">
        <v>2713</v>
      </c>
      <c r="E9399" t="s">
        <v>556</v>
      </c>
      <c r="F9399" t="s">
        <v>1068</v>
      </c>
      <c r="G9399" t="s">
        <v>1085</v>
      </c>
      <c r="H9399">
        <v>1.3523581987757701E-4</v>
      </c>
      <c r="I9399" t="s">
        <v>1086</v>
      </c>
      <c r="J9399">
        <v>7.91</v>
      </c>
    </row>
    <row r="9400" spans="1:10" hidden="1">
      <c r="A9400" t="s">
        <v>5921</v>
      </c>
      <c r="B9400" t="s">
        <v>5922</v>
      </c>
      <c r="C9400" t="s">
        <v>5111</v>
      </c>
      <c r="D9400" t="s">
        <v>2713</v>
      </c>
      <c r="E9400" t="s">
        <v>556</v>
      </c>
      <c r="F9400" t="s">
        <v>1068</v>
      </c>
      <c r="G9400" t="s">
        <v>1087</v>
      </c>
      <c r="H9400" s="171" t="s">
        <v>5928</v>
      </c>
      <c r="I9400" t="s">
        <v>1088</v>
      </c>
      <c r="J9400">
        <v>7.91</v>
      </c>
    </row>
    <row r="9401" spans="1:10" hidden="1">
      <c r="A9401" t="s">
        <v>5921</v>
      </c>
      <c r="B9401" t="s">
        <v>5922</v>
      </c>
      <c r="C9401" t="s">
        <v>5111</v>
      </c>
      <c r="D9401" t="s">
        <v>2713</v>
      </c>
      <c r="E9401" t="s">
        <v>556</v>
      </c>
      <c r="F9401" t="s">
        <v>1068</v>
      </c>
      <c r="G9401" t="s">
        <v>1089</v>
      </c>
      <c r="H9401" s="171" t="s">
        <v>5929</v>
      </c>
      <c r="I9401" t="s">
        <v>1090</v>
      </c>
      <c r="J9401">
        <v>7.91</v>
      </c>
    </row>
    <row r="9402" spans="1:10" hidden="1">
      <c r="A9402" t="s">
        <v>5930</v>
      </c>
      <c r="B9402" t="s">
        <v>5931</v>
      </c>
      <c r="C9402" t="s">
        <v>5111</v>
      </c>
      <c r="D9402" t="s">
        <v>2713</v>
      </c>
      <c r="E9402" t="s">
        <v>557</v>
      </c>
      <c r="F9402" t="s">
        <v>1068</v>
      </c>
      <c r="G9402" t="s">
        <v>1069</v>
      </c>
      <c r="H9402" s="171" t="s">
        <v>5932</v>
      </c>
      <c r="I9402" t="s">
        <v>1070</v>
      </c>
      <c r="J9402">
        <v>7.34</v>
      </c>
    </row>
    <row r="9403" spans="1:10" hidden="1">
      <c r="A9403" t="s">
        <v>5930</v>
      </c>
      <c r="B9403" t="s">
        <v>5931</v>
      </c>
      <c r="C9403" t="s">
        <v>5111</v>
      </c>
      <c r="D9403" t="s">
        <v>2713</v>
      </c>
      <c r="E9403" t="s">
        <v>557</v>
      </c>
      <c r="F9403" t="s">
        <v>1068</v>
      </c>
      <c r="G9403" t="s">
        <v>1071</v>
      </c>
      <c r="H9403" s="171" t="s">
        <v>5933</v>
      </c>
      <c r="I9403" t="s">
        <v>1072</v>
      </c>
      <c r="J9403">
        <v>7.34</v>
      </c>
    </row>
    <row r="9404" spans="1:10" hidden="1">
      <c r="A9404" t="s">
        <v>5930</v>
      </c>
      <c r="B9404" t="s">
        <v>5931</v>
      </c>
      <c r="C9404" t="s">
        <v>5111</v>
      </c>
      <c r="D9404" t="s">
        <v>2713</v>
      </c>
      <c r="E9404" t="s">
        <v>557</v>
      </c>
      <c r="F9404" t="s">
        <v>1068</v>
      </c>
      <c r="G9404" t="s">
        <v>1073</v>
      </c>
      <c r="H9404" s="171" t="s">
        <v>5934</v>
      </c>
      <c r="I9404" t="s">
        <v>1074</v>
      </c>
      <c r="J9404">
        <v>7.34</v>
      </c>
    </row>
    <row r="9405" spans="1:10" hidden="1">
      <c r="A9405" t="s">
        <v>5930</v>
      </c>
      <c r="B9405" t="s">
        <v>5931</v>
      </c>
      <c r="C9405" t="s">
        <v>5111</v>
      </c>
      <c r="D9405" t="s">
        <v>2713</v>
      </c>
      <c r="E9405" t="s">
        <v>557</v>
      </c>
      <c r="F9405" t="s">
        <v>1068</v>
      </c>
      <c r="G9405" t="s">
        <v>1075</v>
      </c>
      <c r="H9405">
        <v>3.9122199148474198E-3</v>
      </c>
      <c r="I9405" t="s">
        <v>1077</v>
      </c>
      <c r="J9405">
        <v>7.34</v>
      </c>
    </row>
    <row r="9406" spans="1:10" hidden="1">
      <c r="A9406" t="s">
        <v>5930</v>
      </c>
      <c r="B9406" t="s">
        <v>5931</v>
      </c>
      <c r="C9406" t="s">
        <v>5111</v>
      </c>
      <c r="D9406" t="s">
        <v>2713</v>
      </c>
      <c r="E9406" t="s">
        <v>557</v>
      </c>
      <c r="F9406" t="s">
        <v>1068</v>
      </c>
      <c r="G9406" t="s">
        <v>1078</v>
      </c>
      <c r="H9406">
        <v>3.4297970716147402E-2</v>
      </c>
      <c r="I9406" t="s">
        <v>1079</v>
      </c>
      <c r="J9406">
        <v>7.34</v>
      </c>
    </row>
    <row r="9407" spans="1:10" hidden="1">
      <c r="A9407" t="s">
        <v>5930</v>
      </c>
      <c r="B9407" t="s">
        <v>5931</v>
      </c>
      <c r="C9407" t="s">
        <v>5111</v>
      </c>
      <c r="D9407" t="s">
        <v>2713</v>
      </c>
      <c r="E9407" t="s">
        <v>557</v>
      </c>
      <c r="F9407" t="s">
        <v>1068</v>
      </c>
      <c r="G9407" t="s">
        <v>1080</v>
      </c>
      <c r="H9407" s="171" t="s">
        <v>5935</v>
      </c>
      <c r="I9407" t="s">
        <v>1082</v>
      </c>
      <c r="J9407">
        <v>7.34</v>
      </c>
    </row>
    <row r="9408" spans="1:10" hidden="1">
      <c r="A9408" t="s">
        <v>5930</v>
      </c>
      <c r="B9408" t="s">
        <v>5931</v>
      </c>
      <c r="C9408" t="s">
        <v>5111</v>
      </c>
      <c r="D9408" t="s">
        <v>2713</v>
      </c>
      <c r="E9408" t="s">
        <v>557</v>
      </c>
      <c r="F9408" t="s">
        <v>1068</v>
      </c>
      <c r="G9408" t="s">
        <v>1083</v>
      </c>
      <c r="H9408" s="171" t="s">
        <v>5936</v>
      </c>
      <c r="I9408" t="s">
        <v>1084</v>
      </c>
      <c r="J9408">
        <v>7.34</v>
      </c>
    </row>
    <row r="9409" spans="1:10" hidden="1">
      <c r="A9409" t="s">
        <v>5930</v>
      </c>
      <c r="B9409" t="s">
        <v>5931</v>
      </c>
      <c r="C9409" t="s">
        <v>5111</v>
      </c>
      <c r="D9409" t="s">
        <v>2713</v>
      </c>
      <c r="E9409" t="s">
        <v>557</v>
      </c>
      <c r="F9409" t="s">
        <v>1068</v>
      </c>
      <c r="G9409" t="s">
        <v>1085</v>
      </c>
      <c r="H9409">
        <v>1.36501228229202E-4</v>
      </c>
      <c r="I9409" t="s">
        <v>1086</v>
      </c>
      <c r="J9409">
        <v>7.34</v>
      </c>
    </row>
    <row r="9410" spans="1:10" hidden="1">
      <c r="A9410" t="s">
        <v>5930</v>
      </c>
      <c r="B9410" t="s">
        <v>5931</v>
      </c>
      <c r="C9410" t="s">
        <v>5111</v>
      </c>
      <c r="D9410" t="s">
        <v>2713</v>
      </c>
      <c r="E9410" t="s">
        <v>557</v>
      </c>
      <c r="F9410" t="s">
        <v>1068</v>
      </c>
      <c r="G9410" t="s">
        <v>1087</v>
      </c>
      <c r="H9410" s="171" t="s">
        <v>5937</v>
      </c>
      <c r="I9410" t="s">
        <v>1088</v>
      </c>
      <c r="J9410">
        <v>7.34</v>
      </c>
    </row>
    <row r="9411" spans="1:10" hidden="1">
      <c r="A9411" t="s">
        <v>5930</v>
      </c>
      <c r="B9411" t="s">
        <v>5931</v>
      </c>
      <c r="C9411" t="s">
        <v>5111</v>
      </c>
      <c r="D9411" t="s">
        <v>2713</v>
      </c>
      <c r="E9411" t="s">
        <v>557</v>
      </c>
      <c r="F9411" t="s">
        <v>1068</v>
      </c>
      <c r="G9411" t="s">
        <v>1089</v>
      </c>
      <c r="H9411" s="171" t="s">
        <v>5938</v>
      </c>
      <c r="I9411" t="s">
        <v>1090</v>
      </c>
      <c r="J9411">
        <v>7.34</v>
      </c>
    </row>
    <row r="9412" spans="1:10" hidden="1">
      <c r="A9412" t="s">
        <v>5939</v>
      </c>
      <c r="B9412" t="s">
        <v>5940</v>
      </c>
      <c r="C9412" t="s">
        <v>5111</v>
      </c>
      <c r="D9412" t="s">
        <v>2713</v>
      </c>
      <c r="E9412" t="s">
        <v>559</v>
      </c>
      <c r="F9412" t="s">
        <v>1068</v>
      </c>
      <c r="G9412" t="s">
        <v>1069</v>
      </c>
      <c r="H9412" s="171" t="s">
        <v>5941</v>
      </c>
      <c r="I9412" t="s">
        <v>1070</v>
      </c>
      <c r="J9412">
        <v>8.01</v>
      </c>
    </row>
    <row r="9413" spans="1:10" hidden="1">
      <c r="A9413" t="s">
        <v>5939</v>
      </c>
      <c r="B9413" t="s">
        <v>5940</v>
      </c>
      <c r="C9413" t="s">
        <v>5111</v>
      </c>
      <c r="D9413" t="s">
        <v>2713</v>
      </c>
      <c r="E9413" t="s">
        <v>559</v>
      </c>
      <c r="F9413" t="s">
        <v>1068</v>
      </c>
      <c r="G9413" t="s">
        <v>1071</v>
      </c>
      <c r="H9413" s="171" t="s">
        <v>5942</v>
      </c>
      <c r="I9413" t="s">
        <v>1072</v>
      </c>
      <c r="J9413">
        <v>8.01</v>
      </c>
    </row>
    <row r="9414" spans="1:10" hidden="1">
      <c r="A9414" t="s">
        <v>5939</v>
      </c>
      <c r="B9414" t="s">
        <v>5940</v>
      </c>
      <c r="C9414" t="s">
        <v>5111</v>
      </c>
      <c r="D9414" t="s">
        <v>2713</v>
      </c>
      <c r="E9414" t="s">
        <v>559</v>
      </c>
      <c r="F9414" t="s">
        <v>1068</v>
      </c>
      <c r="G9414" t="s">
        <v>1073</v>
      </c>
      <c r="H9414" s="171" t="s">
        <v>5943</v>
      </c>
      <c r="I9414" t="s">
        <v>1074</v>
      </c>
      <c r="J9414">
        <v>8.01</v>
      </c>
    </row>
    <row r="9415" spans="1:10" hidden="1">
      <c r="A9415" t="s">
        <v>5939</v>
      </c>
      <c r="B9415" t="s">
        <v>5940</v>
      </c>
      <c r="C9415" t="s">
        <v>5111</v>
      </c>
      <c r="D9415" t="s">
        <v>2713</v>
      </c>
      <c r="E9415" t="s">
        <v>559</v>
      </c>
      <c r="F9415" t="s">
        <v>1068</v>
      </c>
      <c r="G9415" t="s">
        <v>1075</v>
      </c>
      <c r="H9415">
        <v>3.9009827260511202E-3</v>
      </c>
      <c r="I9415" t="s">
        <v>1077</v>
      </c>
      <c r="J9415">
        <v>8.01</v>
      </c>
    </row>
    <row r="9416" spans="1:10" hidden="1">
      <c r="A9416" t="s">
        <v>5939</v>
      </c>
      <c r="B9416" t="s">
        <v>5940</v>
      </c>
      <c r="C9416" t="s">
        <v>5111</v>
      </c>
      <c r="D9416" t="s">
        <v>2713</v>
      </c>
      <c r="E9416" t="s">
        <v>559</v>
      </c>
      <c r="F9416" t="s">
        <v>1068</v>
      </c>
      <c r="G9416" t="s">
        <v>1078</v>
      </c>
      <c r="H9416">
        <v>3.3812027558744399E-2</v>
      </c>
      <c r="I9416" t="s">
        <v>1079</v>
      </c>
      <c r="J9416">
        <v>8.01</v>
      </c>
    </row>
    <row r="9417" spans="1:10" hidden="1">
      <c r="A9417" t="s">
        <v>5939</v>
      </c>
      <c r="B9417" t="s">
        <v>5940</v>
      </c>
      <c r="C9417" t="s">
        <v>5111</v>
      </c>
      <c r="D9417" t="s">
        <v>2713</v>
      </c>
      <c r="E9417" t="s">
        <v>559</v>
      </c>
      <c r="F9417" t="s">
        <v>1068</v>
      </c>
      <c r="G9417" t="s">
        <v>1080</v>
      </c>
      <c r="H9417" s="171" t="s">
        <v>5944</v>
      </c>
      <c r="I9417" t="s">
        <v>1082</v>
      </c>
      <c r="J9417">
        <v>8.01</v>
      </c>
    </row>
    <row r="9418" spans="1:10" hidden="1">
      <c r="A9418" t="s">
        <v>5939</v>
      </c>
      <c r="B9418" t="s">
        <v>5940</v>
      </c>
      <c r="C9418" t="s">
        <v>5111</v>
      </c>
      <c r="D9418" t="s">
        <v>2713</v>
      </c>
      <c r="E9418" t="s">
        <v>559</v>
      </c>
      <c r="F9418" t="s">
        <v>1068</v>
      </c>
      <c r="G9418" t="s">
        <v>1083</v>
      </c>
      <c r="H9418" s="171" t="s">
        <v>5945</v>
      </c>
      <c r="I9418" t="s">
        <v>1084</v>
      </c>
      <c r="J9418">
        <v>8.01</v>
      </c>
    </row>
    <row r="9419" spans="1:10" hidden="1">
      <c r="A9419" t="s">
        <v>5939</v>
      </c>
      <c r="B9419" t="s">
        <v>5940</v>
      </c>
      <c r="C9419" t="s">
        <v>5111</v>
      </c>
      <c r="D9419" t="s">
        <v>2713</v>
      </c>
      <c r="E9419" t="s">
        <v>559</v>
      </c>
      <c r="F9419" t="s">
        <v>1068</v>
      </c>
      <c r="G9419" t="s">
        <v>1085</v>
      </c>
      <c r="H9419">
        <v>1.3589053475748501E-4</v>
      </c>
      <c r="I9419" t="s">
        <v>1086</v>
      </c>
      <c r="J9419">
        <v>8.01</v>
      </c>
    </row>
    <row r="9420" spans="1:10" hidden="1">
      <c r="A9420" t="s">
        <v>5939</v>
      </c>
      <c r="B9420" t="s">
        <v>5940</v>
      </c>
      <c r="C9420" t="s">
        <v>5111</v>
      </c>
      <c r="D9420" t="s">
        <v>2713</v>
      </c>
      <c r="E9420" t="s">
        <v>559</v>
      </c>
      <c r="F9420" t="s">
        <v>1068</v>
      </c>
      <c r="G9420" t="s">
        <v>1087</v>
      </c>
      <c r="H9420" s="171" t="s">
        <v>5946</v>
      </c>
      <c r="I9420" t="s">
        <v>1088</v>
      </c>
      <c r="J9420">
        <v>8.01</v>
      </c>
    </row>
    <row r="9421" spans="1:10" hidden="1">
      <c r="A9421" t="s">
        <v>5939</v>
      </c>
      <c r="B9421" t="s">
        <v>5940</v>
      </c>
      <c r="C9421" t="s">
        <v>5111</v>
      </c>
      <c r="D9421" t="s">
        <v>2713</v>
      </c>
      <c r="E9421" t="s">
        <v>559</v>
      </c>
      <c r="F9421" t="s">
        <v>1068</v>
      </c>
      <c r="G9421" t="s">
        <v>1089</v>
      </c>
      <c r="H9421" s="171" t="s">
        <v>5947</v>
      </c>
      <c r="I9421" t="s">
        <v>1090</v>
      </c>
      <c r="J9421">
        <v>8.01</v>
      </c>
    </row>
    <row r="9422" spans="1:10" hidden="1">
      <c r="A9422" t="s">
        <v>5948</v>
      </c>
      <c r="B9422" t="s">
        <v>5949</v>
      </c>
      <c r="C9422" t="s">
        <v>5111</v>
      </c>
      <c r="D9422" t="s">
        <v>2713</v>
      </c>
      <c r="E9422" t="s">
        <v>560</v>
      </c>
      <c r="F9422" t="s">
        <v>1068</v>
      </c>
      <c r="G9422" t="s">
        <v>1069</v>
      </c>
      <c r="H9422" s="171" t="s">
        <v>5950</v>
      </c>
      <c r="I9422" t="s">
        <v>1070</v>
      </c>
      <c r="J9422">
        <v>7.8</v>
      </c>
    </row>
    <row r="9423" spans="1:10" hidden="1">
      <c r="A9423" t="s">
        <v>5948</v>
      </c>
      <c r="B9423" t="s">
        <v>5949</v>
      </c>
      <c r="C9423" t="s">
        <v>5111</v>
      </c>
      <c r="D9423" t="s">
        <v>2713</v>
      </c>
      <c r="E9423" t="s">
        <v>560</v>
      </c>
      <c r="F9423" t="s">
        <v>1068</v>
      </c>
      <c r="G9423" t="s">
        <v>1071</v>
      </c>
      <c r="H9423" s="171" t="s">
        <v>5951</v>
      </c>
      <c r="I9423" t="s">
        <v>1072</v>
      </c>
      <c r="J9423">
        <v>7.8</v>
      </c>
    </row>
    <row r="9424" spans="1:10" hidden="1">
      <c r="A9424" t="s">
        <v>5948</v>
      </c>
      <c r="B9424" t="s">
        <v>5949</v>
      </c>
      <c r="C9424" t="s">
        <v>5111</v>
      </c>
      <c r="D9424" t="s">
        <v>2713</v>
      </c>
      <c r="E9424" t="s">
        <v>560</v>
      </c>
      <c r="F9424" t="s">
        <v>1068</v>
      </c>
      <c r="G9424" t="s">
        <v>1073</v>
      </c>
      <c r="H9424" s="171" t="s">
        <v>5952</v>
      </c>
      <c r="I9424" t="s">
        <v>1074</v>
      </c>
      <c r="J9424">
        <v>7.8</v>
      </c>
    </row>
    <row r="9425" spans="1:10" hidden="1">
      <c r="A9425" t="s">
        <v>5948</v>
      </c>
      <c r="B9425" t="s">
        <v>5949</v>
      </c>
      <c r="C9425" t="s">
        <v>5111</v>
      </c>
      <c r="D9425" t="s">
        <v>2713</v>
      </c>
      <c r="E9425" t="s">
        <v>560</v>
      </c>
      <c r="F9425" t="s">
        <v>1068</v>
      </c>
      <c r="G9425" t="s">
        <v>1075</v>
      </c>
      <c r="H9425">
        <v>3.9047950608756001E-3</v>
      </c>
      <c r="I9425" t="s">
        <v>1077</v>
      </c>
      <c r="J9425">
        <v>7.8</v>
      </c>
    </row>
    <row r="9426" spans="1:10" hidden="1">
      <c r="A9426" t="s">
        <v>5948</v>
      </c>
      <c r="B9426" t="s">
        <v>5949</v>
      </c>
      <c r="C9426" t="s">
        <v>5111</v>
      </c>
      <c r="D9426" t="s">
        <v>2713</v>
      </c>
      <c r="E9426" t="s">
        <v>560</v>
      </c>
      <c r="F9426" t="s">
        <v>1068</v>
      </c>
      <c r="G9426" t="s">
        <v>1078</v>
      </c>
      <c r="H9426">
        <v>3.3976891389819103E-2</v>
      </c>
      <c r="I9426" t="s">
        <v>1079</v>
      </c>
      <c r="J9426">
        <v>7.8</v>
      </c>
    </row>
    <row r="9427" spans="1:10" hidden="1">
      <c r="A9427" t="s">
        <v>5948</v>
      </c>
      <c r="B9427" t="s">
        <v>5949</v>
      </c>
      <c r="C9427" t="s">
        <v>5111</v>
      </c>
      <c r="D9427" t="s">
        <v>2713</v>
      </c>
      <c r="E9427" t="s">
        <v>560</v>
      </c>
      <c r="F9427" t="s">
        <v>1068</v>
      </c>
      <c r="G9427" t="s">
        <v>1080</v>
      </c>
      <c r="H9427" s="171" t="s">
        <v>5953</v>
      </c>
      <c r="I9427" t="s">
        <v>1082</v>
      </c>
      <c r="J9427">
        <v>7.8</v>
      </c>
    </row>
    <row r="9428" spans="1:10" hidden="1">
      <c r="A9428" t="s">
        <v>5948</v>
      </c>
      <c r="B9428" t="s">
        <v>5949</v>
      </c>
      <c r="C9428" t="s">
        <v>5111</v>
      </c>
      <c r="D9428" t="s">
        <v>2713</v>
      </c>
      <c r="E9428" t="s">
        <v>560</v>
      </c>
      <c r="F9428" t="s">
        <v>1068</v>
      </c>
      <c r="G9428" t="s">
        <v>1083</v>
      </c>
      <c r="H9428" s="171" t="s">
        <v>5954</v>
      </c>
      <c r="I9428" t="s">
        <v>1084</v>
      </c>
      <c r="J9428">
        <v>7.8</v>
      </c>
    </row>
    <row r="9429" spans="1:10" hidden="1">
      <c r="A9429" t="s">
        <v>5948</v>
      </c>
      <c r="B9429" t="s">
        <v>5949</v>
      </c>
      <c r="C9429" t="s">
        <v>5111</v>
      </c>
      <c r="D9429" t="s">
        <v>2713</v>
      </c>
      <c r="E9429" t="s">
        <v>560</v>
      </c>
      <c r="F9429" t="s">
        <v>1068</v>
      </c>
      <c r="G9429" t="s">
        <v>1085</v>
      </c>
      <c r="H9429">
        <v>1.36097721649272E-4</v>
      </c>
      <c r="I9429" t="s">
        <v>1086</v>
      </c>
      <c r="J9429">
        <v>7.8</v>
      </c>
    </row>
    <row r="9430" spans="1:10" hidden="1">
      <c r="A9430" t="s">
        <v>5948</v>
      </c>
      <c r="B9430" t="s">
        <v>5949</v>
      </c>
      <c r="C9430" t="s">
        <v>5111</v>
      </c>
      <c r="D9430" t="s">
        <v>2713</v>
      </c>
      <c r="E9430" t="s">
        <v>560</v>
      </c>
      <c r="F9430" t="s">
        <v>1068</v>
      </c>
      <c r="G9430" t="s">
        <v>1087</v>
      </c>
      <c r="H9430" s="171" t="s">
        <v>5955</v>
      </c>
      <c r="I9430" t="s">
        <v>1088</v>
      </c>
      <c r="J9430">
        <v>7.8</v>
      </c>
    </row>
    <row r="9431" spans="1:10" hidden="1">
      <c r="A9431" t="s">
        <v>5948</v>
      </c>
      <c r="B9431" t="s">
        <v>5949</v>
      </c>
      <c r="C9431" t="s">
        <v>5111</v>
      </c>
      <c r="D9431" t="s">
        <v>2713</v>
      </c>
      <c r="E9431" t="s">
        <v>560</v>
      </c>
      <c r="F9431" t="s">
        <v>1068</v>
      </c>
      <c r="G9431" t="s">
        <v>1089</v>
      </c>
      <c r="H9431" s="171" t="s">
        <v>5956</v>
      </c>
      <c r="I9431" t="s">
        <v>1090</v>
      </c>
      <c r="J9431">
        <v>7.8</v>
      </c>
    </row>
    <row r="9432" spans="1:10" hidden="1">
      <c r="A9432" t="s">
        <v>5957</v>
      </c>
      <c r="B9432" t="s">
        <v>5958</v>
      </c>
      <c r="C9432" t="s">
        <v>5111</v>
      </c>
      <c r="D9432" t="s">
        <v>2713</v>
      </c>
      <c r="E9432" t="s">
        <v>1116</v>
      </c>
      <c r="F9432" t="s">
        <v>1068</v>
      </c>
      <c r="G9432" t="s">
        <v>1069</v>
      </c>
      <c r="H9432" s="171" t="s">
        <v>5959</v>
      </c>
      <c r="I9432" t="s">
        <v>1070</v>
      </c>
      <c r="J9432">
        <v>9.2799999999999994</v>
      </c>
    </row>
    <row r="9433" spans="1:10" hidden="1">
      <c r="A9433" t="s">
        <v>5957</v>
      </c>
      <c r="B9433" t="s">
        <v>5958</v>
      </c>
      <c r="C9433" t="s">
        <v>5111</v>
      </c>
      <c r="D9433" t="s">
        <v>2713</v>
      </c>
      <c r="E9433" t="s">
        <v>1116</v>
      </c>
      <c r="F9433" t="s">
        <v>1068</v>
      </c>
      <c r="G9433" t="s">
        <v>1071</v>
      </c>
      <c r="H9433" s="171" t="s">
        <v>5960</v>
      </c>
      <c r="I9433" t="s">
        <v>1072</v>
      </c>
      <c r="J9433">
        <v>9.2799999999999994</v>
      </c>
    </row>
    <row r="9434" spans="1:10" hidden="1">
      <c r="A9434" t="s">
        <v>5957</v>
      </c>
      <c r="B9434" t="s">
        <v>5958</v>
      </c>
      <c r="C9434" t="s">
        <v>5111</v>
      </c>
      <c r="D9434" t="s">
        <v>2713</v>
      </c>
      <c r="E9434" t="s">
        <v>1116</v>
      </c>
      <c r="F9434" t="s">
        <v>1068</v>
      </c>
      <c r="G9434" t="s">
        <v>1073</v>
      </c>
      <c r="H9434" s="171" t="s">
        <v>5961</v>
      </c>
      <c r="I9434" t="s">
        <v>1074</v>
      </c>
      <c r="J9434">
        <v>9.2799999999999994</v>
      </c>
    </row>
    <row r="9435" spans="1:10" hidden="1">
      <c r="A9435" t="s">
        <v>5957</v>
      </c>
      <c r="B9435" t="s">
        <v>5958</v>
      </c>
      <c r="C9435" t="s">
        <v>5111</v>
      </c>
      <c r="D9435" t="s">
        <v>2713</v>
      </c>
      <c r="E9435" t="s">
        <v>1116</v>
      </c>
      <c r="F9435" t="s">
        <v>1068</v>
      </c>
      <c r="G9435" t="s">
        <v>1075</v>
      </c>
      <c r="H9435">
        <v>3.9273302393619102E-3</v>
      </c>
      <c r="I9435" t="s">
        <v>1077</v>
      </c>
      <c r="J9435">
        <v>9.2799999999999994</v>
      </c>
    </row>
    <row r="9436" spans="1:10" hidden="1">
      <c r="A9436" t="s">
        <v>5957</v>
      </c>
      <c r="B9436" t="s">
        <v>5958</v>
      </c>
      <c r="C9436" t="s">
        <v>5111</v>
      </c>
      <c r="D9436" t="s">
        <v>2713</v>
      </c>
      <c r="E9436" t="s">
        <v>1116</v>
      </c>
      <c r="F9436" t="s">
        <v>1068</v>
      </c>
      <c r="G9436" t="s">
        <v>1078</v>
      </c>
      <c r="H9436">
        <v>3.4951399434630701E-2</v>
      </c>
      <c r="I9436" t="s">
        <v>1079</v>
      </c>
      <c r="J9436">
        <v>9.2799999999999994</v>
      </c>
    </row>
    <row r="9437" spans="1:10" hidden="1">
      <c r="A9437" t="s">
        <v>5957</v>
      </c>
      <c r="B9437" t="s">
        <v>5958</v>
      </c>
      <c r="C9437" t="s">
        <v>5111</v>
      </c>
      <c r="D9437" t="s">
        <v>2713</v>
      </c>
      <c r="E9437" t="s">
        <v>1116</v>
      </c>
      <c r="F9437" t="s">
        <v>1068</v>
      </c>
      <c r="G9437" t="s">
        <v>1080</v>
      </c>
      <c r="H9437" s="171" t="s">
        <v>5962</v>
      </c>
      <c r="I9437" t="s">
        <v>1082</v>
      </c>
      <c r="J9437">
        <v>9.2799999999999994</v>
      </c>
    </row>
    <row r="9438" spans="1:10" hidden="1">
      <c r="A9438" t="s">
        <v>5957</v>
      </c>
      <c r="B9438" t="s">
        <v>5958</v>
      </c>
      <c r="C9438" t="s">
        <v>5111</v>
      </c>
      <c r="D9438" t="s">
        <v>2713</v>
      </c>
      <c r="E9438" t="s">
        <v>1116</v>
      </c>
      <c r="F9438" t="s">
        <v>1068</v>
      </c>
      <c r="G9438" t="s">
        <v>1083</v>
      </c>
      <c r="H9438" s="171" t="s">
        <v>5963</v>
      </c>
      <c r="I9438" t="s">
        <v>1084</v>
      </c>
      <c r="J9438">
        <v>9.2799999999999994</v>
      </c>
    </row>
    <row r="9439" spans="1:10" hidden="1">
      <c r="A9439" t="s">
        <v>5957</v>
      </c>
      <c r="B9439" t="s">
        <v>5958</v>
      </c>
      <c r="C9439" t="s">
        <v>5111</v>
      </c>
      <c r="D9439" t="s">
        <v>2713</v>
      </c>
      <c r="E9439" t="s">
        <v>1116</v>
      </c>
      <c r="F9439" t="s">
        <v>1068</v>
      </c>
      <c r="G9439" t="s">
        <v>1085</v>
      </c>
      <c r="H9439">
        <v>1.37322404698077E-4</v>
      </c>
      <c r="I9439" t="s">
        <v>1086</v>
      </c>
      <c r="J9439">
        <v>9.2799999999999994</v>
      </c>
    </row>
    <row r="9440" spans="1:10" hidden="1">
      <c r="A9440" t="s">
        <v>5957</v>
      </c>
      <c r="B9440" t="s">
        <v>5958</v>
      </c>
      <c r="C9440" t="s">
        <v>5111</v>
      </c>
      <c r="D9440" t="s">
        <v>2713</v>
      </c>
      <c r="E9440" t="s">
        <v>1116</v>
      </c>
      <c r="F9440" t="s">
        <v>1068</v>
      </c>
      <c r="G9440" t="s">
        <v>1087</v>
      </c>
      <c r="H9440" s="171" t="s">
        <v>5964</v>
      </c>
      <c r="I9440" t="s">
        <v>1088</v>
      </c>
      <c r="J9440">
        <v>9.2799999999999994</v>
      </c>
    </row>
    <row r="9441" spans="1:10" hidden="1">
      <c r="A9441" t="s">
        <v>5957</v>
      </c>
      <c r="B9441" t="s">
        <v>5958</v>
      </c>
      <c r="C9441" t="s">
        <v>5111</v>
      </c>
      <c r="D9441" t="s">
        <v>2713</v>
      </c>
      <c r="E9441" t="s">
        <v>1116</v>
      </c>
      <c r="F9441" t="s">
        <v>1068</v>
      </c>
      <c r="G9441" t="s">
        <v>1089</v>
      </c>
      <c r="H9441" s="171" t="s">
        <v>5965</v>
      </c>
      <c r="I9441" t="s">
        <v>1090</v>
      </c>
      <c r="J9441">
        <v>9.2799999999999994</v>
      </c>
    </row>
    <row r="9442" spans="1:10" hidden="1">
      <c r="A9442" t="s">
        <v>5966</v>
      </c>
      <c r="B9442" t="s">
        <v>5967</v>
      </c>
      <c r="C9442" t="s">
        <v>5111</v>
      </c>
      <c r="D9442" t="s">
        <v>2798</v>
      </c>
      <c r="E9442" t="s">
        <v>561</v>
      </c>
      <c r="F9442" t="s">
        <v>1068</v>
      </c>
      <c r="G9442" t="s">
        <v>1069</v>
      </c>
      <c r="H9442">
        <v>9.68573845043703E-2</v>
      </c>
      <c r="I9442" t="s">
        <v>1070</v>
      </c>
      <c r="J9442">
        <v>7.87</v>
      </c>
    </row>
    <row r="9443" spans="1:10" hidden="1">
      <c r="A9443" t="s">
        <v>5966</v>
      </c>
      <c r="B9443" t="s">
        <v>5967</v>
      </c>
      <c r="C9443" t="s">
        <v>5111</v>
      </c>
      <c r="D9443" t="s">
        <v>2798</v>
      </c>
      <c r="E9443" t="s">
        <v>561</v>
      </c>
      <c r="F9443" t="s">
        <v>1068</v>
      </c>
      <c r="G9443" t="s">
        <v>1071</v>
      </c>
      <c r="H9443" s="171" t="s">
        <v>5968</v>
      </c>
      <c r="I9443" t="s">
        <v>1072</v>
      </c>
      <c r="J9443">
        <v>7.87</v>
      </c>
    </row>
    <row r="9444" spans="1:10" hidden="1">
      <c r="A9444" t="s">
        <v>5966</v>
      </c>
      <c r="B9444" t="s">
        <v>5967</v>
      </c>
      <c r="C9444" t="s">
        <v>5111</v>
      </c>
      <c r="D9444" t="s">
        <v>2798</v>
      </c>
      <c r="E9444" t="s">
        <v>561</v>
      </c>
      <c r="F9444" t="s">
        <v>1068</v>
      </c>
      <c r="G9444" t="s">
        <v>1073</v>
      </c>
      <c r="H9444" s="171" t="s">
        <v>5969</v>
      </c>
      <c r="I9444" t="s">
        <v>1074</v>
      </c>
      <c r="J9444">
        <v>7.87</v>
      </c>
    </row>
    <row r="9445" spans="1:10" hidden="1">
      <c r="A9445" t="s">
        <v>5966</v>
      </c>
      <c r="B9445" t="s">
        <v>5967</v>
      </c>
      <c r="C9445" t="s">
        <v>5111</v>
      </c>
      <c r="D9445" t="s">
        <v>2798</v>
      </c>
      <c r="E9445" t="s">
        <v>561</v>
      </c>
      <c r="F9445" t="s">
        <v>1068</v>
      </c>
      <c r="G9445" t="s">
        <v>1075</v>
      </c>
      <c r="H9445">
        <v>3.7027238574022102E-3</v>
      </c>
      <c r="I9445" t="s">
        <v>1077</v>
      </c>
      <c r="J9445">
        <v>7.87</v>
      </c>
    </row>
    <row r="9446" spans="1:10" hidden="1">
      <c r="A9446" t="s">
        <v>5966</v>
      </c>
      <c r="B9446" t="s">
        <v>5967</v>
      </c>
      <c r="C9446" t="s">
        <v>5111</v>
      </c>
      <c r="D9446" t="s">
        <v>2798</v>
      </c>
      <c r="E9446" t="s">
        <v>561</v>
      </c>
      <c r="F9446" t="s">
        <v>1068</v>
      </c>
      <c r="G9446" t="s">
        <v>1078</v>
      </c>
      <c r="H9446">
        <v>2.4991907646140801E-2</v>
      </c>
      <c r="I9446" t="s">
        <v>1079</v>
      </c>
      <c r="J9446">
        <v>7.87</v>
      </c>
    </row>
    <row r="9447" spans="1:10" hidden="1">
      <c r="A9447" t="s">
        <v>5966</v>
      </c>
      <c r="B9447" t="s">
        <v>5967</v>
      </c>
      <c r="C9447" t="s">
        <v>5111</v>
      </c>
      <c r="D9447" t="s">
        <v>2798</v>
      </c>
      <c r="E9447" t="s">
        <v>561</v>
      </c>
      <c r="F9447" t="s">
        <v>1068</v>
      </c>
      <c r="G9447" t="s">
        <v>1080</v>
      </c>
      <c r="H9447" s="171" t="s">
        <v>5970</v>
      </c>
      <c r="I9447" t="s">
        <v>1082</v>
      </c>
      <c r="J9447">
        <v>7.87</v>
      </c>
    </row>
    <row r="9448" spans="1:10" hidden="1">
      <c r="A9448" t="s">
        <v>5966</v>
      </c>
      <c r="B9448" t="s">
        <v>5967</v>
      </c>
      <c r="C9448" t="s">
        <v>5111</v>
      </c>
      <c r="D9448" t="s">
        <v>2798</v>
      </c>
      <c r="E9448" t="s">
        <v>561</v>
      </c>
      <c r="F9448" t="s">
        <v>1068</v>
      </c>
      <c r="G9448" t="s">
        <v>1083</v>
      </c>
      <c r="H9448" s="171" t="s">
        <v>5971</v>
      </c>
      <c r="I9448" t="s">
        <v>1084</v>
      </c>
      <c r="J9448">
        <v>7.87</v>
      </c>
    </row>
    <row r="9449" spans="1:10" hidden="1">
      <c r="A9449" t="s">
        <v>5966</v>
      </c>
      <c r="B9449" t="s">
        <v>5967</v>
      </c>
      <c r="C9449" t="s">
        <v>5111</v>
      </c>
      <c r="D9449" t="s">
        <v>2798</v>
      </c>
      <c r="E9449" t="s">
        <v>561</v>
      </c>
      <c r="F9449" t="s">
        <v>1068</v>
      </c>
      <c r="G9449" t="s">
        <v>1085</v>
      </c>
      <c r="H9449">
        <v>1.2500249642622801E-4</v>
      </c>
      <c r="I9449" t="s">
        <v>1086</v>
      </c>
      <c r="J9449">
        <v>7.87</v>
      </c>
    </row>
    <row r="9450" spans="1:10" hidden="1">
      <c r="A9450" t="s">
        <v>5966</v>
      </c>
      <c r="B9450" t="s">
        <v>5967</v>
      </c>
      <c r="C9450" t="s">
        <v>5111</v>
      </c>
      <c r="D9450" t="s">
        <v>2798</v>
      </c>
      <c r="E9450" t="s">
        <v>561</v>
      </c>
      <c r="F9450" t="s">
        <v>1068</v>
      </c>
      <c r="G9450" t="s">
        <v>1087</v>
      </c>
      <c r="H9450" s="171" t="s">
        <v>5972</v>
      </c>
      <c r="I9450" t="s">
        <v>1088</v>
      </c>
      <c r="J9450">
        <v>7.87</v>
      </c>
    </row>
    <row r="9451" spans="1:10" hidden="1">
      <c r="A9451" t="s">
        <v>5966</v>
      </c>
      <c r="B9451" t="s">
        <v>5967</v>
      </c>
      <c r="C9451" t="s">
        <v>5111</v>
      </c>
      <c r="D9451" t="s">
        <v>2798</v>
      </c>
      <c r="E9451" t="s">
        <v>561</v>
      </c>
      <c r="F9451" t="s">
        <v>1068</v>
      </c>
      <c r="G9451" t="s">
        <v>1089</v>
      </c>
      <c r="H9451" s="171" t="s">
        <v>5973</v>
      </c>
      <c r="I9451" t="s">
        <v>1090</v>
      </c>
      <c r="J9451">
        <v>7.87</v>
      </c>
    </row>
    <row r="9452" spans="1:10" hidden="1">
      <c r="A9452" t="s">
        <v>5974</v>
      </c>
      <c r="B9452" t="s">
        <v>5975</v>
      </c>
      <c r="C9452" t="s">
        <v>5111</v>
      </c>
      <c r="D9452" t="s">
        <v>2798</v>
      </c>
      <c r="E9452" t="s">
        <v>555</v>
      </c>
      <c r="F9452" t="s">
        <v>1068</v>
      </c>
      <c r="G9452" t="s">
        <v>1069</v>
      </c>
      <c r="H9452">
        <v>9.48206238417382E-2</v>
      </c>
      <c r="I9452" t="s">
        <v>1070</v>
      </c>
      <c r="J9452">
        <v>7.99</v>
      </c>
    </row>
    <row r="9453" spans="1:10" hidden="1">
      <c r="A9453" t="s">
        <v>5974</v>
      </c>
      <c r="B9453" t="s">
        <v>5975</v>
      </c>
      <c r="C9453" t="s">
        <v>5111</v>
      </c>
      <c r="D9453" t="s">
        <v>2798</v>
      </c>
      <c r="E9453" t="s">
        <v>555</v>
      </c>
      <c r="F9453" t="s">
        <v>1068</v>
      </c>
      <c r="G9453" t="s">
        <v>1071</v>
      </c>
      <c r="H9453" s="171" t="s">
        <v>5976</v>
      </c>
      <c r="I9453" t="s">
        <v>1072</v>
      </c>
      <c r="J9453">
        <v>7.99</v>
      </c>
    </row>
    <row r="9454" spans="1:10" hidden="1">
      <c r="A9454" t="s">
        <v>5974</v>
      </c>
      <c r="B9454" t="s">
        <v>5975</v>
      </c>
      <c r="C9454" t="s">
        <v>5111</v>
      </c>
      <c r="D9454" t="s">
        <v>2798</v>
      </c>
      <c r="E9454" t="s">
        <v>555</v>
      </c>
      <c r="F9454" t="s">
        <v>1068</v>
      </c>
      <c r="G9454" t="s">
        <v>1073</v>
      </c>
      <c r="H9454" s="171" t="s">
        <v>5977</v>
      </c>
      <c r="I9454" t="s">
        <v>1074</v>
      </c>
      <c r="J9454">
        <v>7.99</v>
      </c>
    </row>
    <row r="9455" spans="1:10" hidden="1">
      <c r="A9455" t="s">
        <v>5974</v>
      </c>
      <c r="B9455" t="s">
        <v>5975</v>
      </c>
      <c r="C9455" t="s">
        <v>5111</v>
      </c>
      <c r="D9455" t="s">
        <v>2798</v>
      </c>
      <c r="E9455" t="s">
        <v>555</v>
      </c>
      <c r="F9455" t="s">
        <v>1068</v>
      </c>
      <c r="G9455" t="s">
        <v>1075</v>
      </c>
      <c r="H9455">
        <v>3.63811792349871E-3</v>
      </c>
      <c r="I9455" t="s">
        <v>1077</v>
      </c>
      <c r="J9455">
        <v>8</v>
      </c>
    </row>
    <row r="9456" spans="1:10" hidden="1">
      <c r="A9456" t="s">
        <v>5974</v>
      </c>
      <c r="B9456" t="s">
        <v>5975</v>
      </c>
      <c r="C9456" t="s">
        <v>5111</v>
      </c>
      <c r="D9456" t="s">
        <v>2798</v>
      </c>
      <c r="E9456" t="s">
        <v>555</v>
      </c>
      <c r="F9456" t="s">
        <v>1068</v>
      </c>
      <c r="G9456" t="s">
        <v>1078</v>
      </c>
      <c r="H9456" s="171" t="s">
        <v>5978</v>
      </c>
      <c r="I9456" t="s">
        <v>1079</v>
      </c>
      <c r="J9456">
        <v>8</v>
      </c>
    </row>
    <row r="9457" spans="1:10" hidden="1">
      <c r="A9457" t="s">
        <v>5974</v>
      </c>
      <c r="B9457" t="s">
        <v>5975</v>
      </c>
      <c r="C9457" t="s">
        <v>5111</v>
      </c>
      <c r="D9457" t="s">
        <v>2798</v>
      </c>
      <c r="E9457" t="s">
        <v>555</v>
      </c>
      <c r="F9457" t="s">
        <v>1068</v>
      </c>
      <c r="G9457" t="s">
        <v>1080</v>
      </c>
      <c r="H9457" s="171" t="s">
        <v>5979</v>
      </c>
      <c r="I9457" t="s">
        <v>1082</v>
      </c>
      <c r="J9457">
        <v>8</v>
      </c>
    </row>
    <row r="9458" spans="1:10" hidden="1">
      <c r="A9458" t="s">
        <v>5974</v>
      </c>
      <c r="B9458" t="s">
        <v>5975</v>
      </c>
      <c r="C9458" t="s">
        <v>5111</v>
      </c>
      <c r="D9458" t="s">
        <v>2798</v>
      </c>
      <c r="E9458" t="s">
        <v>555</v>
      </c>
      <c r="F9458" t="s">
        <v>1068</v>
      </c>
      <c r="G9458" t="s">
        <v>1083</v>
      </c>
      <c r="H9458" s="171" t="s">
        <v>5980</v>
      </c>
      <c r="I9458" t="s">
        <v>1084</v>
      </c>
      <c r="J9458">
        <v>8</v>
      </c>
    </row>
    <row r="9459" spans="1:10" hidden="1">
      <c r="A9459" t="s">
        <v>5974</v>
      </c>
      <c r="B9459" t="s">
        <v>5975</v>
      </c>
      <c r="C9459" t="s">
        <v>5111</v>
      </c>
      <c r="D9459" t="s">
        <v>2798</v>
      </c>
      <c r="E9459" t="s">
        <v>555</v>
      </c>
      <c r="F9459" t="s">
        <v>1068</v>
      </c>
      <c r="G9459" t="s">
        <v>1085</v>
      </c>
      <c r="H9459">
        <v>1.21491457722774E-4</v>
      </c>
      <c r="I9459" t="s">
        <v>1086</v>
      </c>
      <c r="J9459">
        <v>8</v>
      </c>
    </row>
    <row r="9460" spans="1:10" hidden="1">
      <c r="A9460" t="s">
        <v>5974</v>
      </c>
      <c r="B9460" t="s">
        <v>5975</v>
      </c>
      <c r="C9460" t="s">
        <v>5111</v>
      </c>
      <c r="D9460" t="s">
        <v>2798</v>
      </c>
      <c r="E9460" t="s">
        <v>555</v>
      </c>
      <c r="F9460" t="s">
        <v>1068</v>
      </c>
      <c r="G9460" t="s">
        <v>1087</v>
      </c>
      <c r="H9460" s="171" t="s">
        <v>5981</v>
      </c>
      <c r="I9460" t="s">
        <v>1088</v>
      </c>
      <c r="J9460">
        <v>8</v>
      </c>
    </row>
    <row r="9461" spans="1:10" hidden="1">
      <c r="A9461" t="s">
        <v>5974</v>
      </c>
      <c r="B9461" t="s">
        <v>5975</v>
      </c>
      <c r="C9461" t="s">
        <v>5111</v>
      </c>
      <c r="D9461" t="s">
        <v>2798</v>
      </c>
      <c r="E9461" t="s">
        <v>555</v>
      </c>
      <c r="F9461" t="s">
        <v>1068</v>
      </c>
      <c r="G9461" t="s">
        <v>1089</v>
      </c>
      <c r="H9461" s="171" t="s">
        <v>5982</v>
      </c>
      <c r="I9461" t="s">
        <v>1090</v>
      </c>
      <c r="J9461">
        <v>8</v>
      </c>
    </row>
    <row r="9462" spans="1:10" hidden="1">
      <c r="A9462" t="s">
        <v>5983</v>
      </c>
      <c r="B9462" t="s">
        <v>5984</v>
      </c>
      <c r="C9462" t="s">
        <v>5111</v>
      </c>
      <c r="D9462" t="s">
        <v>2798</v>
      </c>
      <c r="E9462" t="s">
        <v>558</v>
      </c>
      <c r="F9462" t="s">
        <v>1068</v>
      </c>
      <c r="G9462" t="s">
        <v>1069</v>
      </c>
      <c r="H9462">
        <v>9.7038417788922998E-2</v>
      </c>
      <c r="I9462" t="s">
        <v>1070</v>
      </c>
      <c r="J9462">
        <v>7.57</v>
      </c>
    </row>
    <row r="9463" spans="1:10" hidden="1">
      <c r="A9463" t="s">
        <v>5983</v>
      </c>
      <c r="B9463" t="s">
        <v>5984</v>
      </c>
      <c r="C9463" t="s">
        <v>5111</v>
      </c>
      <c r="D9463" t="s">
        <v>2798</v>
      </c>
      <c r="E9463" t="s">
        <v>558</v>
      </c>
      <c r="F9463" t="s">
        <v>1068</v>
      </c>
      <c r="G9463" t="s">
        <v>1071</v>
      </c>
      <c r="H9463" s="171" t="s">
        <v>5985</v>
      </c>
      <c r="I9463" t="s">
        <v>1072</v>
      </c>
      <c r="J9463">
        <v>7.57</v>
      </c>
    </row>
    <row r="9464" spans="1:10" hidden="1">
      <c r="A9464" t="s">
        <v>5983</v>
      </c>
      <c r="B9464" t="s">
        <v>5984</v>
      </c>
      <c r="C9464" t="s">
        <v>5111</v>
      </c>
      <c r="D9464" t="s">
        <v>2798</v>
      </c>
      <c r="E9464" t="s">
        <v>558</v>
      </c>
      <c r="F9464" t="s">
        <v>1068</v>
      </c>
      <c r="G9464" t="s">
        <v>1073</v>
      </c>
      <c r="H9464" s="171" t="s">
        <v>5986</v>
      </c>
      <c r="I9464" t="s">
        <v>1074</v>
      </c>
      <c r="J9464">
        <v>7.57</v>
      </c>
    </row>
    <row r="9465" spans="1:10" hidden="1">
      <c r="A9465" t="s">
        <v>5983</v>
      </c>
      <c r="B9465" t="s">
        <v>5984</v>
      </c>
      <c r="C9465" t="s">
        <v>5111</v>
      </c>
      <c r="D9465" t="s">
        <v>2798</v>
      </c>
      <c r="E9465" t="s">
        <v>558</v>
      </c>
      <c r="F9465" t="s">
        <v>1068</v>
      </c>
      <c r="G9465" t="s">
        <v>1075</v>
      </c>
      <c r="H9465">
        <v>3.7084465129192399E-3</v>
      </c>
      <c r="I9465" t="s">
        <v>1077</v>
      </c>
      <c r="J9465">
        <v>7.57</v>
      </c>
    </row>
    <row r="9466" spans="1:10" hidden="1">
      <c r="A9466" t="s">
        <v>5983</v>
      </c>
      <c r="B9466" t="s">
        <v>5984</v>
      </c>
      <c r="C9466" t="s">
        <v>5111</v>
      </c>
      <c r="D9466" t="s">
        <v>2798</v>
      </c>
      <c r="E9466" t="s">
        <v>558</v>
      </c>
      <c r="F9466" t="s">
        <v>1068</v>
      </c>
      <c r="G9466" t="s">
        <v>1078</v>
      </c>
      <c r="H9466" s="171" t="s">
        <v>5987</v>
      </c>
      <c r="I9466" t="s">
        <v>1079</v>
      </c>
      <c r="J9466">
        <v>7.57</v>
      </c>
    </row>
    <row r="9467" spans="1:10" hidden="1">
      <c r="A9467" t="s">
        <v>5983</v>
      </c>
      <c r="B9467" t="s">
        <v>5984</v>
      </c>
      <c r="C9467" t="s">
        <v>5111</v>
      </c>
      <c r="D9467" t="s">
        <v>2798</v>
      </c>
      <c r="E9467" t="s">
        <v>558</v>
      </c>
      <c r="F9467" t="s">
        <v>1068</v>
      </c>
      <c r="G9467" t="s">
        <v>1080</v>
      </c>
      <c r="H9467" s="171" t="s">
        <v>5988</v>
      </c>
      <c r="I9467" t="s">
        <v>1082</v>
      </c>
      <c r="J9467">
        <v>7.57</v>
      </c>
    </row>
    <row r="9468" spans="1:10" hidden="1">
      <c r="A9468" t="s">
        <v>5983</v>
      </c>
      <c r="B9468" t="s">
        <v>5984</v>
      </c>
      <c r="C9468" t="s">
        <v>5111</v>
      </c>
      <c r="D9468" t="s">
        <v>2798</v>
      </c>
      <c r="E9468" t="s">
        <v>558</v>
      </c>
      <c r="F9468" t="s">
        <v>1068</v>
      </c>
      <c r="G9468" t="s">
        <v>1083</v>
      </c>
      <c r="H9468" s="171" t="s">
        <v>5989</v>
      </c>
      <c r="I9468" t="s">
        <v>1084</v>
      </c>
      <c r="J9468">
        <v>7.57</v>
      </c>
    </row>
    <row r="9469" spans="1:10" hidden="1">
      <c r="A9469" t="s">
        <v>5983</v>
      </c>
      <c r="B9469" t="s">
        <v>5984</v>
      </c>
      <c r="C9469" t="s">
        <v>5111</v>
      </c>
      <c r="D9469" t="s">
        <v>2798</v>
      </c>
      <c r="E9469" t="s">
        <v>558</v>
      </c>
      <c r="F9469" t="s">
        <v>1068</v>
      </c>
      <c r="G9469" t="s">
        <v>1085</v>
      </c>
      <c r="H9469">
        <v>1.2531349636839099E-4</v>
      </c>
      <c r="I9469" t="s">
        <v>1086</v>
      </c>
      <c r="J9469">
        <v>7.57</v>
      </c>
    </row>
    <row r="9470" spans="1:10" hidden="1">
      <c r="A9470" t="s">
        <v>5983</v>
      </c>
      <c r="B9470" t="s">
        <v>5984</v>
      </c>
      <c r="C9470" t="s">
        <v>5111</v>
      </c>
      <c r="D9470" t="s">
        <v>2798</v>
      </c>
      <c r="E9470" t="s">
        <v>558</v>
      </c>
      <c r="F9470" t="s">
        <v>1068</v>
      </c>
      <c r="G9470" t="s">
        <v>1087</v>
      </c>
      <c r="H9470" s="171" t="s">
        <v>5990</v>
      </c>
      <c r="I9470" t="s">
        <v>1088</v>
      </c>
      <c r="J9470">
        <v>7.57</v>
      </c>
    </row>
    <row r="9471" spans="1:10" hidden="1">
      <c r="A9471" t="s">
        <v>5983</v>
      </c>
      <c r="B9471" t="s">
        <v>5984</v>
      </c>
      <c r="C9471" t="s">
        <v>5111</v>
      </c>
      <c r="D9471" t="s">
        <v>2798</v>
      </c>
      <c r="E9471" t="s">
        <v>558</v>
      </c>
      <c r="F9471" t="s">
        <v>1068</v>
      </c>
      <c r="G9471" t="s">
        <v>1089</v>
      </c>
      <c r="H9471" s="171" t="s">
        <v>5991</v>
      </c>
      <c r="I9471" t="s">
        <v>1090</v>
      </c>
      <c r="J9471">
        <v>7.57</v>
      </c>
    </row>
    <row r="9472" spans="1:10" hidden="1">
      <c r="A9472" t="s">
        <v>5992</v>
      </c>
      <c r="B9472" t="s">
        <v>5993</v>
      </c>
      <c r="C9472" t="s">
        <v>5111</v>
      </c>
      <c r="D9472" t="s">
        <v>2798</v>
      </c>
      <c r="E9472" t="s">
        <v>553</v>
      </c>
      <c r="F9472" t="s">
        <v>1068</v>
      </c>
      <c r="G9472" t="s">
        <v>1069</v>
      </c>
      <c r="H9472">
        <v>9.7223466176391798E-2</v>
      </c>
      <c r="I9472" t="s">
        <v>1070</v>
      </c>
      <c r="J9472">
        <v>7.84</v>
      </c>
    </row>
    <row r="9473" spans="1:10" hidden="1">
      <c r="A9473" t="s">
        <v>5992</v>
      </c>
      <c r="B9473" t="s">
        <v>5993</v>
      </c>
      <c r="C9473" t="s">
        <v>5111</v>
      </c>
      <c r="D9473" t="s">
        <v>2798</v>
      </c>
      <c r="E9473" t="s">
        <v>553</v>
      </c>
      <c r="F9473" t="s">
        <v>1068</v>
      </c>
      <c r="G9473" t="s">
        <v>1071</v>
      </c>
      <c r="H9473" s="171" t="s">
        <v>5994</v>
      </c>
      <c r="I9473" t="s">
        <v>1072</v>
      </c>
      <c r="J9473">
        <v>7.84</v>
      </c>
    </row>
    <row r="9474" spans="1:10" hidden="1">
      <c r="A9474" t="s">
        <v>5992</v>
      </c>
      <c r="B9474" t="s">
        <v>5993</v>
      </c>
      <c r="C9474" t="s">
        <v>5111</v>
      </c>
      <c r="D9474" t="s">
        <v>2798</v>
      </c>
      <c r="E9474" t="s">
        <v>553</v>
      </c>
      <c r="F9474" t="s">
        <v>1068</v>
      </c>
      <c r="G9474" t="s">
        <v>1073</v>
      </c>
      <c r="H9474" s="171" t="s">
        <v>5995</v>
      </c>
      <c r="I9474" t="s">
        <v>1074</v>
      </c>
      <c r="J9474">
        <v>7.84</v>
      </c>
    </row>
    <row r="9475" spans="1:10" hidden="1">
      <c r="A9475" t="s">
        <v>5992</v>
      </c>
      <c r="B9475" t="s">
        <v>5993</v>
      </c>
      <c r="C9475" t="s">
        <v>5111</v>
      </c>
      <c r="D9475" t="s">
        <v>2798</v>
      </c>
      <c r="E9475" t="s">
        <v>553</v>
      </c>
      <c r="F9475" t="s">
        <v>1068</v>
      </c>
      <c r="G9475" t="s">
        <v>1075</v>
      </c>
      <c r="H9475">
        <v>3.7140743365803599E-3</v>
      </c>
      <c r="I9475" t="s">
        <v>1077</v>
      </c>
      <c r="J9475">
        <v>7.84</v>
      </c>
    </row>
    <row r="9476" spans="1:10" hidden="1">
      <c r="A9476" t="s">
        <v>5992</v>
      </c>
      <c r="B9476" t="s">
        <v>5993</v>
      </c>
      <c r="C9476" t="s">
        <v>5111</v>
      </c>
      <c r="D9476" t="s">
        <v>2798</v>
      </c>
      <c r="E9476" t="s">
        <v>553</v>
      </c>
      <c r="F9476" t="s">
        <v>1068</v>
      </c>
      <c r="G9476" t="s">
        <v>1078</v>
      </c>
      <c r="H9476" s="171" t="s">
        <v>5996</v>
      </c>
      <c r="I9476" t="s">
        <v>1079</v>
      </c>
      <c r="J9476">
        <v>7.84</v>
      </c>
    </row>
    <row r="9477" spans="1:10" hidden="1">
      <c r="A9477" t="s">
        <v>5992</v>
      </c>
      <c r="B9477" t="s">
        <v>5993</v>
      </c>
      <c r="C9477" t="s">
        <v>5111</v>
      </c>
      <c r="D9477" t="s">
        <v>2798</v>
      </c>
      <c r="E9477" t="s">
        <v>553</v>
      </c>
      <c r="F9477" t="s">
        <v>1068</v>
      </c>
      <c r="G9477" t="s">
        <v>1080</v>
      </c>
      <c r="H9477" s="171" t="s">
        <v>5997</v>
      </c>
      <c r="I9477" t="s">
        <v>1082</v>
      </c>
      <c r="J9477">
        <v>7.84</v>
      </c>
    </row>
    <row r="9478" spans="1:10" hidden="1">
      <c r="A9478" t="s">
        <v>5992</v>
      </c>
      <c r="B9478" t="s">
        <v>5993</v>
      </c>
      <c r="C9478" t="s">
        <v>5111</v>
      </c>
      <c r="D9478" t="s">
        <v>2798</v>
      </c>
      <c r="E9478" t="s">
        <v>553</v>
      </c>
      <c r="F9478" t="s">
        <v>1068</v>
      </c>
      <c r="G9478" t="s">
        <v>1083</v>
      </c>
      <c r="H9478" s="171" t="s">
        <v>5998</v>
      </c>
      <c r="I9478" t="s">
        <v>1084</v>
      </c>
      <c r="J9478">
        <v>7.84</v>
      </c>
    </row>
    <row r="9479" spans="1:10" hidden="1">
      <c r="A9479" t="s">
        <v>5992</v>
      </c>
      <c r="B9479" t="s">
        <v>5993</v>
      </c>
      <c r="C9479" t="s">
        <v>5111</v>
      </c>
      <c r="D9479" t="s">
        <v>2798</v>
      </c>
      <c r="E9479" t="s">
        <v>553</v>
      </c>
      <c r="F9479" t="s">
        <v>1068</v>
      </c>
      <c r="G9479" t="s">
        <v>1085</v>
      </c>
      <c r="H9479">
        <v>1.2561933856496601E-4</v>
      </c>
      <c r="I9479" t="s">
        <v>1086</v>
      </c>
      <c r="J9479">
        <v>7.84</v>
      </c>
    </row>
    <row r="9480" spans="1:10" hidden="1">
      <c r="A9480" t="s">
        <v>5992</v>
      </c>
      <c r="B9480" t="s">
        <v>5993</v>
      </c>
      <c r="C9480" t="s">
        <v>5111</v>
      </c>
      <c r="D9480" t="s">
        <v>2798</v>
      </c>
      <c r="E9480" t="s">
        <v>553</v>
      </c>
      <c r="F9480" t="s">
        <v>1068</v>
      </c>
      <c r="G9480" t="s">
        <v>1087</v>
      </c>
      <c r="H9480" s="171" t="s">
        <v>5999</v>
      </c>
      <c r="I9480" t="s">
        <v>1088</v>
      </c>
      <c r="J9480">
        <v>7.84</v>
      </c>
    </row>
    <row r="9481" spans="1:10" hidden="1">
      <c r="A9481" t="s">
        <v>5992</v>
      </c>
      <c r="B9481" t="s">
        <v>5993</v>
      </c>
      <c r="C9481" t="s">
        <v>5111</v>
      </c>
      <c r="D9481" t="s">
        <v>2798</v>
      </c>
      <c r="E9481" t="s">
        <v>553</v>
      </c>
      <c r="F9481" t="s">
        <v>1068</v>
      </c>
      <c r="G9481" t="s">
        <v>1089</v>
      </c>
      <c r="H9481" s="171" t="s">
        <v>6000</v>
      </c>
      <c r="I9481" t="s">
        <v>1090</v>
      </c>
      <c r="J9481">
        <v>7.84</v>
      </c>
    </row>
    <row r="9482" spans="1:10" hidden="1">
      <c r="A9482" t="s">
        <v>6001</v>
      </c>
      <c r="B9482" t="s">
        <v>6002</v>
      </c>
      <c r="C9482" t="s">
        <v>5111</v>
      </c>
      <c r="D9482" t="s">
        <v>2798</v>
      </c>
      <c r="E9482" t="s">
        <v>556</v>
      </c>
      <c r="F9482" t="s">
        <v>1068</v>
      </c>
      <c r="G9482" t="s">
        <v>1069</v>
      </c>
      <c r="H9482">
        <v>9.5046472394563097E-2</v>
      </c>
      <c r="I9482" t="s">
        <v>1070</v>
      </c>
      <c r="J9482">
        <v>10.050000000000001</v>
      </c>
    </row>
    <row r="9483" spans="1:10" hidden="1">
      <c r="A9483" t="s">
        <v>6001</v>
      </c>
      <c r="B9483" t="s">
        <v>6002</v>
      </c>
      <c r="C9483" t="s">
        <v>5111</v>
      </c>
      <c r="D9483" t="s">
        <v>2798</v>
      </c>
      <c r="E9483" t="s">
        <v>556</v>
      </c>
      <c r="F9483" t="s">
        <v>1068</v>
      </c>
      <c r="G9483" t="s">
        <v>1071</v>
      </c>
      <c r="H9483" s="171" t="s">
        <v>6003</v>
      </c>
      <c r="I9483" t="s">
        <v>1072</v>
      </c>
      <c r="J9483">
        <v>10.050000000000001</v>
      </c>
    </row>
    <row r="9484" spans="1:10" hidden="1">
      <c r="A9484" t="s">
        <v>6001</v>
      </c>
      <c r="B9484" t="s">
        <v>6002</v>
      </c>
      <c r="C9484" t="s">
        <v>5111</v>
      </c>
      <c r="D9484" t="s">
        <v>2798</v>
      </c>
      <c r="E9484" t="s">
        <v>556</v>
      </c>
      <c r="F9484" t="s">
        <v>1068</v>
      </c>
      <c r="G9484" t="s">
        <v>1073</v>
      </c>
      <c r="H9484" s="171" t="s">
        <v>6004</v>
      </c>
      <c r="I9484" t="s">
        <v>1074</v>
      </c>
      <c r="J9484">
        <v>10.050000000000001</v>
      </c>
    </row>
    <row r="9485" spans="1:10" hidden="1">
      <c r="A9485" t="s">
        <v>6001</v>
      </c>
      <c r="B9485" t="s">
        <v>6002</v>
      </c>
      <c r="C9485" t="s">
        <v>5111</v>
      </c>
      <c r="D9485" t="s">
        <v>2798</v>
      </c>
      <c r="E9485" t="s">
        <v>556</v>
      </c>
      <c r="F9485" t="s">
        <v>1068</v>
      </c>
      <c r="G9485" t="s">
        <v>1075</v>
      </c>
      <c r="H9485">
        <v>3.6452572375199098E-3</v>
      </c>
      <c r="I9485" t="s">
        <v>1077</v>
      </c>
      <c r="J9485">
        <v>10.050000000000001</v>
      </c>
    </row>
    <row r="9486" spans="1:10" hidden="1">
      <c r="A9486" t="s">
        <v>6001</v>
      </c>
      <c r="B9486" t="s">
        <v>6002</v>
      </c>
      <c r="C9486" t="s">
        <v>5111</v>
      </c>
      <c r="D9486" t="s">
        <v>2798</v>
      </c>
      <c r="E9486" t="s">
        <v>556</v>
      </c>
      <c r="F9486" t="s">
        <v>1068</v>
      </c>
      <c r="G9486" t="s">
        <v>1078</v>
      </c>
      <c r="H9486">
        <v>2.25068255633998E-2</v>
      </c>
      <c r="I9486" t="s">
        <v>1079</v>
      </c>
      <c r="J9486">
        <v>10.050000000000001</v>
      </c>
    </row>
    <row r="9487" spans="1:10" hidden="1">
      <c r="A9487" t="s">
        <v>6001</v>
      </c>
      <c r="B9487" t="s">
        <v>6002</v>
      </c>
      <c r="C9487" t="s">
        <v>5111</v>
      </c>
      <c r="D9487" t="s">
        <v>2798</v>
      </c>
      <c r="E9487" t="s">
        <v>556</v>
      </c>
      <c r="F9487" t="s">
        <v>1068</v>
      </c>
      <c r="G9487" t="s">
        <v>1080</v>
      </c>
      <c r="H9487" s="171" t="s">
        <v>6005</v>
      </c>
      <c r="I9487" t="s">
        <v>1082</v>
      </c>
      <c r="J9487">
        <v>10.050000000000001</v>
      </c>
    </row>
    <row r="9488" spans="1:10" hidden="1">
      <c r="A9488" t="s">
        <v>6001</v>
      </c>
      <c r="B9488" t="s">
        <v>6002</v>
      </c>
      <c r="C9488" t="s">
        <v>5111</v>
      </c>
      <c r="D9488" t="s">
        <v>2798</v>
      </c>
      <c r="E9488" t="s">
        <v>556</v>
      </c>
      <c r="F9488" t="s">
        <v>1068</v>
      </c>
      <c r="G9488" t="s">
        <v>1083</v>
      </c>
      <c r="H9488" s="171" t="s">
        <v>6006</v>
      </c>
      <c r="I9488" t="s">
        <v>1084</v>
      </c>
      <c r="J9488">
        <v>10.050000000000001</v>
      </c>
    </row>
    <row r="9489" spans="1:10" hidden="1">
      <c r="A9489" t="s">
        <v>6001</v>
      </c>
      <c r="B9489" t="s">
        <v>6002</v>
      </c>
      <c r="C9489" t="s">
        <v>5111</v>
      </c>
      <c r="D9489" t="s">
        <v>2798</v>
      </c>
      <c r="E9489" t="s">
        <v>556</v>
      </c>
      <c r="F9489" t="s">
        <v>1068</v>
      </c>
      <c r="G9489" t="s">
        <v>1085</v>
      </c>
      <c r="H9489">
        <v>1.21879446522887E-4</v>
      </c>
      <c r="I9489" t="s">
        <v>1086</v>
      </c>
      <c r="J9489">
        <v>10.050000000000001</v>
      </c>
    </row>
    <row r="9490" spans="1:10" hidden="1">
      <c r="A9490" t="s">
        <v>6001</v>
      </c>
      <c r="B9490" t="s">
        <v>6002</v>
      </c>
      <c r="C9490" t="s">
        <v>5111</v>
      </c>
      <c r="D9490" t="s">
        <v>2798</v>
      </c>
      <c r="E9490" t="s">
        <v>556</v>
      </c>
      <c r="F9490" t="s">
        <v>1068</v>
      </c>
      <c r="G9490" t="s">
        <v>1087</v>
      </c>
      <c r="H9490" s="171" t="s">
        <v>6007</v>
      </c>
      <c r="I9490" t="s">
        <v>1088</v>
      </c>
      <c r="J9490">
        <v>10.050000000000001</v>
      </c>
    </row>
    <row r="9491" spans="1:10" hidden="1">
      <c r="A9491" t="s">
        <v>6001</v>
      </c>
      <c r="B9491" t="s">
        <v>6002</v>
      </c>
      <c r="C9491" t="s">
        <v>5111</v>
      </c>
      <c r="D9491" t="s">
        <v>2798</v>
      </c>
      <c r="E9491" t="s">
        <v>556</v>
      </c>
      <c r="F9491" t="s">
        <v>1068</v>
      </c>
      <c r="G9491" t="s">
        <v>1089</v>
      </c>
      <c r="H9491" s="171" t="s">
        <v>6008</v>
      </c>
      <c r="I9491" t="s">
        <v>1090</v>
      </c>
      <c r="J9491">
        <v>10.050000000000001</v>
      </c>
    </row>
    <row r="9492" spans="1:10" hidden="1">
      <c r="A9492" t="s">
        <v>6009</v>
      </c>
      <c r="B9492" t="s">
        <v>6010</v>
      </c>
      <c r="C9492" t="s">
        <v>5111</v>
      </c>
      <c r="D9492" t="s">
        <v>2798</v>
      </c>
      <c r="E9492" t="s">
        <v>557</v>
      </c>
      <c r="F9492" t="s">
        <v>1068</v>
      </c>
      <c r="G9492" t="s">
        <v>1069</v>
      </c>
      <c r="H9492">
        <v>9.6290671613596904E-2</v>
      </c>
      <c r="I9492" t="s">
        <v>1070</v>
      </c>
      <c r="J9492">
        <v>23.03</v>
      </c>
    </row>
    <row r="9493" spans="1:10" hidden="1">
      <c r="A9493" t="s">
        <v>6009</v>
      </c>
      <c r="B9493" t="s">
        <v>6010</v>
      </c>
      <c r="C9493" t="s">
        <v>5111</v>
      </c>
      <c r="D9493" t="s">
        <v>2798</v>
      </c>
      <c r="E9493" t="s">
        <v>557</v>
      </c>
      <c r="F9493" t="s">
        <v>1068</v>
      </c>
      <c r="G9493" t="s">
        <v>1071</v>
      </c>
      <c r="H9493" s="171" t="s">
        <v>6011</v>
      </c>
      <c r="I9493" t="s">
        <v>1072</v>
      </c>
      <c r="J9493">
        <v>23.03</v>
      </c>
    </row>
    <row r="9494" spans="1:10" hidden="1">
      <c r="A9494" t="s">
        <v>6009</v>
      </c>
      <c r="B9494" t="s">
        <v>6010</v>
      </c>
      <c r="C9494" t="s">
        <v>5111</v>
      </c>
      <c r="D9494" t="s">
        <v>2798</v>
      </c>
      <c r="E9494" t="s">
        <v>557</v>
      </c>
      <c r="F9494" t="s">
        <v>1068</v>
      </c>
      <c r="G9494" t="s">
        <v>1073</v>
      </c>
      <c r="H9494" s="171" t="s">
        <v>6012</v>
      </c>
      <c r="I9494" t="s">
        <v>1074</v>
      </c>
      <c r="J9494">
        <v>23.03</v>
      </c>
    </row>
    <row r="9495" spans="1:10" hidden="1">
      <c r="A9495" t="s">
        <v>6009</v>
      </c>
      <c r="B9495" t="s">
        <v>6010</v>
      </c>
      <c r="C9495" t="s">
        <v>5111</v>
      </c>
      <c r="D9495" t="s">
        <v>2798</v>
      </c>
      <c r="E9495" t="s">
        <v>557</v>
      </c>
      <c r="F9495" t="s">
        <v>1068</v>
      </c>
      <c r="G9495" t="s">
        <v>1075</v>
      </c>
      <c r="H9495">
        <v>3.6848094575227799E-3</v>
      </c>
      <c r="I9495" t="s">
        <v>1077</v>
      </c>
      <c r="J9495">
        <v>23.03</v>
      </c>
    </row>
    <row r="9496" spans="1:10" hidden="1">
      <c r="A9496" t="s">
        <v>6009</v>
      </c>
      <c r="B9496" t="s">
        <v>6010</v>
      </c>
      <c r="C9496" t="s">
        <v>5111</v>
      </c>
      <c r="D9496" t="s">
        <v>2798</v>
      </c>
      <c r="E9496" t="s">
        <v>557</v>
      </c>
      <c r="F9496" t="s">
        <v>1068</v>
      </c>
      <c r="G9496" t="s">
        <v>1078</v>
      </c>
      <c r="H9496" s="171" t="s">
        <v>6013</v>
      </c>
      <c r="I9496" t="s">
        <v>1079</v>
      </c>
      <c r="J9496">
        <v>23.03</v>
      </c>
    </row>
    <row r="9497" spans="1:10" hidden="1">
      <c r="A9497" t="s">
        <v>6009</v>
      </c>
      <c r="B9497" t="s">
        <v>6010</v>
      </c>
      <c r="C9497" t="s">
        <v>5111</v>
      </c>
      <c r="D9497" t="s">
        <v>2798</v>
      </c>
      <c r="E9497" t="s">
        <v>557</v>
      </c>
      <c r="F9497" t="s">
        <v>1068</v>
      </c>
      <c r="G9497" t="s">
        <v>1080</v>
      </c>
      <c r="H9497" s="171" t="s">
        <v>6014</v>
      </c>
      <c r="I9497" t="s">
        <v>1082</v>
      </c>
      <c r="J9497">
        <v>23.03</v>
      </c>
    </row>
    <row r="9498" spans="1:10" hidden="1">
      <c r="A9498" t="s">
        <v>6009</v>
      </c>
      <c r="B9498" t="s">
        <v>6010</v>
      </c>
      <c r="C9498" t="s">
        <v>5111</v>
      </c>
      <c r="D9498" t="s">
        <v>2798</v>
      </c>
      <c r="E9498" t="s">
        <v>557</v>
      </c>
      <c r="F9498" t="s">
        <v>1068</v>
      </c>
      <c r="G9498" t="s">
        <v>1083</v>
      </c>
      <c r="H9498" s="171" t="s">
        <v>6015</v>
      </c>
      <c r="I9498" t="s">
        <v>1084</v>
      </c>
      <c r="J9498">
        <v>23.03</v>
      </c>
    </row>
    <row r="9499" spans="1:10" hidden="1">
      <c r="A9499" t="s">
        <v>6009</v>
      </c>
      <c r="B9499" t="s">
        <v>6010</v>
      </c>
      <c r="C9499" t="s">
        <v>5111</v>
      </c>
      <c r="D9499" t="s">
        <v>2798</v>
      </c>
      <c r="E9499" t="s">
        <v>557</v>
      </c>
      <c r="F9499" t="s">
        <v>1068</v>
      </c>
      <c r="G9499" t="s">
        <v>1085</v>
      </c>
      <c r="H9499">
        <v>1.2402893138989201E-4</v>
      </c>
      <c r="I9499" t="s">
        <v>1086</v>
      </c>
      <c r="J9499">
        <v>23.03</v>
      </c>
    </row>
    <row r="9500" spans="1:10" hidden="1">
      <c r="A9500" t="s">
        <v>6009</v>
      </c>
      <c r="B9500" t="s">
        <v>6010</v>
      </c>
      <c r="C9500" t="s">
        <v>5111</v>
      </c>
      <c r="D9500" t="s">
        <v>2798</v>
      </c>
      <c r="E9500" t="s">
        <v>557</v>
      </c>
      <c r="F9500" t="s">
        <v>1068</v>
      </c>
      <c r="G9500" t="s">
        <v>1087</v>
      </c>
      <c r="H9500" s="171" t="s">
        <v>6016</v>
      </c>
      <c r="I9500" t="s">
        <v>1088</v>
      </c>
      <c r="J9500">
        <v>23.03</v>
      </c>
    </row>
    <row r="9501" spans="1:10" hidden="1">
      <c r="A9501" t="s">
        <v>6009</v>
      </c>
      <c r="B9501" t="s">
        <v>6010</v>
      </c>
      <c r="C9501" t="s">
        <v>5111</v>
      </c>
      <c r="D9501" t="s">
        <v>2798</v>
      </c>
      <c r="E9501" t="s">
        <v>557</v>
      </c>
      <c r="F9501" t="s">
        <v>1068</v>
      </c>
      <c r="G9501" t="s">
        <v>1089</v>
      </c>
      <c r="H9501" s="171" t="s">
        <v>6017</v>
      </c>
      <c r="I9501" t="s">
        <v>1090</v>
      </c>
      <c r="J9501">
        <v>23.03</v>
      </c>
    </row>
    <row r="9502" spans="1:10" hidden="1">
      <c r="A9502" t="s">
        <v>6018</v>
      </c>
      <c r="B9502" t="s">
        <v>6019</v>
      </c>
      <c r="C9502" t="s">
        <v>5111</v>
      </c>
      <c r="D9502" t="s">
        <v>2798</v>
      </c>
      <c r="E9502" t="s">
        <v>559</v>
      </c>
      <c r="F9502" t="s">
        <v>1068</v>
      </c>
      <c r="G9502" t="s">
        <v>1069</v>
      </c>
      <c r="H9502">
        <v>9.5693566562563601E-2</v>
      </c>
      <c r="I9502" t="s">
        <v>1070</v>
      </c>
      <c r="J9502">
        <v>15.26</v>
      </c>
    </row>
    <row r="9503" spans="1:10" hidden="1">
      <c r="A9503" t="s">
        <v>6018</v>
      </c>
      <c r="B9503" t="s">
        <v>6019</v>
      </c>
      <c r="C9503" t="s">
        <v>5111</v>
      </c>
      <c r="D9503" t="s">
        <v>2798</v>
      </c>
      <c r="E9503" t="s">
        <v>559</v>
      </c>
      <c r="F9503" t="s">
        <v>1068</v>
      </c>
      <c r="G9503" t="s">
        <v>1071</v>
      </c>
      <c r="H9503" s="171" t="s">
        <v>6020</v>
      </c>
      <c r="I9503" t="s">
        <v>1072</v>
      </c>
      <c r="J9503">
        <v>15.26</v>
      </c>
    </row>
    <row r="9504" spans="1:10" hidden="1">
      <c r="A9504" t="s">
        <v>6018</v>
      </c>
      <c r="B9504" t="s">
        <v>6019</v>
      </c>
      <c r="C9504" t="s">
        <v>5111</v>
      </c>
      <c r="D9504" t="s">
        <v>2798</v>
      </c>
      <c r="E9504" t="s">
        <v>559</v>
      </c>
      <c r="F9504" t="s">
        <v>1068</v>
      </c>
      <c r="G9504" t="s">
        <v>1073</v>
      </c>
      <c r="H9504" s="171" t="s">
        <v>6021</v>
      </c>
      <c r="I9504" t="s">
        <v>1074</v>
      </c>
      <c r="J9504">
        <v>15.26</v>
      </c>
    </row>
    <row r="9505" spans="1:10" hidden="1">
      <c r="A9505" t="s">
        <v>6018</v>
      </c>
      <c r="B9505" t="s">
        <v>6019</v>
      </c>
      <c r="C9505" t="s">
        <v>5111</v>
      </c>
      <c r="D9505" t="s">
        <v>2798</v>
      </c>
      <c r="E9505" t="s">
        <v>559</v>
      </c>
      <c r="F9505" t="s">
        <v>1068</v>
      </c>
      <c r="G9505" t="s">
        <v>1075</v>
      </c>
      <c r="H9505">
        <v>3.66571257544161E-3</v>
      </c>
      <c r="I9505" t="s">
        <v>1077</v>
      </c>
      <c r="J9505">
        <v>15.26</v>
      </c>
    </row>
    <row r="9506" spans="1:10" hidden="1">
      <c r="A9506" t="s">
        <v>6018</v>
      </c>
      <c r="B9506" t="s">
        <v>6019</v>
      </c>
      <c r="C9506" t="s">
        <v>5111</v>
      </c>
      <c r="D9506" t="s">
        <v>2798</v>
      </c>
      <c r="E9506" t="s">
        <v>559</v>
      </c>
      <c r="F9506" t="s">
        <v>1068</v>
      </c>
      <c r="G9506" t="s">
        <v>1078</v>
      </c>
      <c r="H9506">
        <v>2.33913932794792E-2</v>
      </c>
      <c r="I9506" t="s">
        <v>1079</v>
      </c>
      <c r="J9506">
        <v>15.26</v>
      </c>
    </row>
    <row r="9507" spans="1:10" hidden="1">
      <c r="A9507" t="s">
        <v>6018</v>
      </c>
      <c r="B9507" t="s">
        <v>6019</v>
      </c>
      <c r="C9507" t="s">
        <v>5111</v>
      </c>
      <c r="D9507" t="s">
        <v>2798</v>
      </c>
      <c r="E9507" t="s">
        <v>559</v>
      </c>
      <c r="F9507" t="s">
        <v>1068</v>
      </c>
      <c r="G9507" t="s">
        <v>1080</v>
      </c>
      <c r="H9507" s="171" t="s">
        <v>6022</v>
      </c>
      <c r="I9507" t="s">
        <v>1082</v>
      </c>
      <c r="J9507">
        <v>15.26</v>
      </c>
    </row>
    <row r="9508" spans="1:10" hidden="1">
      <c r="A9508" t="s">
        <v>6018</v>
      </c>
      <c r="B9508" t="s">
        <v>6019</v>
      </c>
      <c r="C9508" t="s">
        <v>5111</v>
      </c>
      <c r="D9508" t="s">
        <v>2798</v>
      </c>
      <c r="E9508" t="s">
        <v>559</v>
      </c>
      <c r="F9508" t="s">
        <v>1068</v>
      </c>
      <c r="G9508" t="s">
        <v>1083</v>
      </c>
      <c r="H9508" s="171" t="s">
        <v>6023</v>
      </c>
      <c r="I9508" t="s">
        <v>1084</v>
      </c>
      <c r="J9508">
        <v>15.26</v>
      </c>
    </row>
    <row r="9509" spans="1:10" hidden="1">
      <c r="A9509" t="s">
        <v>6018</v>
      </c>
      <c r="B9509" t="s">
        <v>6019</v>
      </c>
      <c r="C9509" t="s">
        <v>5111</v>
      </c>
      <c r="D9509" t="s">
        <v>2798</v>
      </c>
      <c r="E9509" t="s">
        <v>559</v>
      </c>
      <c r="F9509" t="s">
        <v>1068</v>
      </c>
      <c r="G9509" t="s">
        <v>1085</v>
      </c>
      <c r="H9509">
        <v>1.22991099826475E-4</v>
      </c>
      <c r="I9509" t="s">
        <v>1086</v>
      </c>
      <c r="J9509">
        <v>15.26</v>
      </c>
    </row>
    <row r="9510" spans="1:10" hidden="1">
      <c r="A9510" t="s">
        <v>6018</v>
      </c>
      <c r="B9510" t="s">
        <v>6019</v>
      </c>
      <c r="C9510" t="s">
        <v>5111</v>
      </c>
      <c r="D9510" t="s">
        <v>2798</v>
      </c>
      <c r="E9510" t="s">
        <v>559</v>
      </c>
      <c r="F9510" t="s">
        <v>1068</v>
      </c>
      <c r="G9510" t="s">
        <v>1087</v>
      </c>
      <c r="H9510" s="171" t="s">
        <v>6024</v>
      </c>
      <c r="I9510" t="s">
        <v>1088</v>
      </c>
      <c r="J9510">
        <v>15.26</v>
      </c>
    </row>
    <row r="9511" spans="1:10" hidden="1">
      <c r="A9511" t="s">
        <v>6018</v>
      </c>
      <c r="B9511" t="s">
        <v>6019</v>
      </c>
      <c r="C9511" t="s">
        <v>5111</v>
      </c>
      <c r="D9511" t="s">
        <v>2798</v>
      </c>
      <c r="E9511" t="s">
        <v>559</v>
      </c>
      <c r="F9511" t="s">
        <v>1068</v>
      </c>
      <c r="G9511" t="s">
        <v>1089</v>
      </c>
      <c r="H9511" s="171" t="s">
        <v>6025</v>
      </c>
      <c r="I9511" t="s">
        <v>1090</v>
      </c>
      <c r="J9511">
        <v>15.26</v>
      </c>
    </row>
    <row r="9512" spans="1:10" hidden="1">
      <c r="A9512" t="s">
        <v>6026</v>
      </c>
      <c r="B9512" t="s">
        <v>6027</v>
      </c>
      <c r="C9512" t="s">
        <v>5111</v>
      </c>
      <c r="D9512" t="s">
        <v>2798</v>
      </c>
      <c r="E9512" t="s">
        <v>560</v>
      </c>
      <c r="F9512" t="s">
        <v>1068</v>
      </c>
      <c r="G9512" t="s">
        <v>1069</v>
      </c>
      <c r="H9512">
        <v>9.5891873653422596E-2</v>
      </c>
      <c r="I9512" t="s">
        <v>1070</v>
      </c>
      <c r="J9512">
        <v>7.31</v>
      </c>
    </row>
    <row r="9513" spans="1:10" hidden="1">
      <c r="A9513" t="s">
        <v>6026</v>
      </c>
      <c r="B9513" t="s">
        <v>6027</v>
      </c>
      <c r="C9513" t="s">
        <v>5111</v>
      </c>
      <c r="D9513" t="s">
        <v>2798</v>
      </c>
      <c r="E9513" t="s">
        <v>560</v>
      </c>
      <c r="F9513" t="s">
        <v>1068</v>
      </c>
      <c r="G9513" t="s">
        <v>1071</v>
      </c>
      <c r="H9513" s="171" t="s">
        <v>6028</v>
      </c>
      <c r="I9513" t="s">
        <v>1072</v>
      </c>
      <c r="J9513">
        <v>7.31</v>
      </c>
    </row>
    <row r="9514" spans="1:10" hidden="1">
      <c r="A9514" t="s">
        <v>6026</v>
      </c>
      <c r="B9514" t="s">
        <v>6027</v>
      </c>
      <c r="C9514" t="s">
        <v>5111</v>
      </c>
      <c r="D9514" t="s">
        <v>2798</v>
      </c>
      <c r="E9514" t="s">
        <v>560</v>
      </c>
      <c r="F9514" t="s">
        <v>1068</v>
      </c>
      <c r="G9514" t="s">
        <v>1073</v>
      </c>
      <c r="H9514" s="171" t="s">
        <v>6029</v>
      </c>
      <c r="I9514" t="s">
        <v>1074</v>
      </c>
      <c r="J9514">
        <v>7.31</v>
      </c>
    </row>
    <row r="9515" spans="1:10" hidden="1">
      <c r="A9515" t="s">
        <v>6026</v>
      </c>
      <c r="B9515" t="s">
        <v>6027</v>
      </c>
      <c r="C9515" t="s">
        <v>5111</v>
      </c>
      <c r="D9515" t="s">
        <v>2798</v>
      </c>
      <c r="E9515" t="s">
        <v>560</v>
      </c>
      <c r="F9515" t="s">
        <v>1068</v>
      </c>
      <c r="G9515" t="s">
        <v>1075</v>
      </c>
      <c r="H9515">
        <v>3.67220302797797E-3</v>
      </c>
      <c r="I9515" t="s">
        <v>1077</v>
      </c>
      <c r="J9515">
        <v>7.31</v>
      </c>
    </row>
    <row r="9516" spans="1:10" hidden="1">
      <c r="A9516" t="s">
        <v>6026</v>
      </c>
      <c r="B9516" t="s">
        <v>6027</v>
      </c>
      <c r="C9516" t="s">
        <v>5111</v>
      </c>
      <c r="D9516" t="s">
        <v>2798</v>
      </c>
      <c r="E9516" t="s">
        <v>560</v>
      </c>
      <c r="F9516" t="s">
        <v>1068</v>
      </c>
      <c r="G9516" t="s">
        <v>1078</v>
      </c>
      <c r="H9516">
        <v>2.3672069250971001E-2</v>
      </c>
      <c r="I9516" t="s">
        <v>1079</v>
      </c>
      <c r="J9516">
        <v>7.31</v>
      </c>
    </row>
    <row r="9517" spans="1:10" hidden="1">
      <c r="A9517" t="s">
        <v>6026</v>
      </c>
      <c r="B9517" t="s">
        <v>6027</v>
      </c>
      <c r="C9517" t="s">
        <v>5111</v>
      </c>
      <c r="D9517" t="s">
        <v>2798</v>
      </c>
      <c r="E9517" t="s">
        <v>560</v>
      </c>
      <c r="F9517" t="s">
        <v>1068</v>
      </c>
      <c r="G9517" t="s">
        <v>1080</v>
      </c>
      <c r="H9517" s="171" t="s">
        <v>6030</v>
      </c>
      <c r="I9517" t="s">
        <v>1082</v>
      </c>
      <c r="J9517">
        <v>7.31</v>
      </c>
    </row>
    <row r="9518" spans="1:10" hidden="1">
      <c r="A9518" t="s">
        <v>6026</v>
      </c>
      <c r="B9518" t="s">
        <v>6027</v>
      </c>
      <c r="C9518" t="s">
        <v>5111</v>
      </c>
      <c r="D9518" t="s">
        <v>2798</v>
      </c>
      <c r="E9518" t="s">
        <v>560</v>
      </c>
      <c r="F9518" t="s">
        <v>1068</v>
      </c>
      <c r="G9518" t="s">
        <v>1083</v>
      </c>
      <c r="H9518" s="171" t="s">
        <v>6031</v>
      </c>
      <c r="I9518" t="s">
        <v>1084</v>
      </c>
      <c r="J9518">
        <v>7.31</v>
      </c>
    </row>
    <row r="9519" spans="1:10" hidden="1">
      <c r="A9519" t="s">
        <v>6026</v>
      </c>
      <c r="B9519" t="s">
        <v>6027</v>
      </c>
      <c r="C9519" t="s">
        <v>5111</v>
      </c>
      <c r="D9519" t="s">
        <v>2798</v>
      </c>
      <c r="E9519" t="s">
        <v>560</v>
      </c>
      <c r="F9519" t="s">
        <v>1068</v>
      </c>
      <c r="G9519" t="s">
        <v>1085</v>
      </c>
      <c r="H9519">
        <v>1.2334383006802599E-4</v>
      </c>
      <c r="I9519" t="s">
        <v>1086</v>
      </c>
      <c r="J9519">
        <v>7.31</v>
      </c>
    </row>
    <row r="9520" spans="1:10" hidden="1">
      <c r="A9520" t="s">
        <v>6026</v>
      </c>
      <c r="B9520" t="s">
        <v>6027</v>
      </c>
      <c r="C9520" t="s">
        <v>5111</v>
      </c>
      <c r="D9520" t="s">
        <v>2798</v>
      </c>
      <c r="E9520" t="s">
        <v>560</v>
      </c>
      <c r="F9520" t="s">
        <v>1068</v>
      </c>
      <c r="G9520" t="s">
        <v>1087</v>
      </c>
      <c r="H9520" s="171" t="s">
        <v>6032</v>
      </c>
      <c r="I9520" t="s">
        <v>1088</v>
      </c>
      <c r="J9520">
        <v>7.31</v>
      </c>
    </row>
    <row r="9521" spans="1:10" hidden="1">
      <c r="A9521" t="s">
        <v>6026</v>
      </c>
      <c r="B9521" t="s">
        <v>6027</v>
      </c>
      <c r="C9521" t="s">
        <v>5111</v>
      </c>
      <c r="D9521" t="s">
        <v>2798</v>
      </c>
      <c r="E9521" t="s">
        <v>560</v>
      </c>
      <c r="F9521" t="s">
        <v>1068</v>
      </c>
      <c r="G9521" t="s">
        <v>1089</v>
      </c>
      <c r="H9521" s="171" t="s">
        <v>6033</v>
      </c>
      <c r="I9521" t="s">
        <v>1090</v>
      </c>
      <c r="J9521">
        <v>7.31</v>
      </c>
    </row>
    <row r="9522" spans="1:10" hidden="1">
      <c r="A9522" t="s">
        <v>6034</v>
      </c>
      <c r="B9522" t="s">
        <v>6035</v>
      </c>
      <c r="C9522" t="s">
        <v>5111</v>
      </c>
      <c r="D9522" t="s">
        <v>2798</v>
      </c>
      <c r="E9522" t="s">
        <v>1116</v>
      </c>
      <c r="F9522" t="s">
        <v>1068</v>
      </c>
      <c r="G9522" t="s">
        <v>1069</v>
      </c>
      <c r="H9522">
        <v>9.7102265567746204E-2</v>
      </c>
      <c r="I9522" t="s">
        <v>1070</v>
      </c>
      <c r="J9522">
        <v>6.98</v>
      </c>
    </row>
    <row r="9523" spans="1:10" hidden="1">
      <c r="A9523" t="s">
        <v>6034</v>
      </c>
      <c r="B9523" t="s">
        <v>6035</v>
      </c>
      <c r="C9523" t="s">
        <v>5111</v>
      </c>
      <c r="D9523" t="s">
        <v>2798</v>
      </c>
      <c r="E9523" t="s">
        <v>1116</v>
      </c>
      <c r="F9523" t="s">
        <v>1068</v>
      </c>
      <c r="G9523" t="s">
        <v>1071</v>
      </c>
      <c r="H9523" s="171" t="s">
        <v>6036</v>
      </c>
      <c r="I9523" t="s">
        <v>1072</v>
      </c>
      <c r="J9523">
        <v>6.98</v>
      </c>
    </row>
    <row r="9524" spans="1:10" hidden="1">
      <c r="A9524" t="s">
        <v>6034</v>
      </c>
      <c r="B9524" t="s">
        <v>6035</v>
      </c>
      <c r="C9524" t="s">
        <v>5111</v>
      </c>
      <c r="D9524" t="s">
        <v>2798</v>
      </c>
      <c r="E9524" t="s">
        <v>1116</v>
      </c>
      <c r="F9524" t="s">
        <v>1068</v>
      </c>
      <c r="G9524" t="s">
        <v>1073</v>
      </c>
      <c r="H9524" s="171" t="s">
        <v>6037</v>
      </c>
      <c r="I9524" t="s">
        <v>1074</v>
      </c>
      <c r="J9524">
        <v>6.98</v>
      </c>
    </row>
    <row r="9525" spans="1:10" hidden="1">
      <c r="A9525" t="s">
        <v>6034</v>
      </c>
      <c r="B9525" t="s">
        <v>6035</v>
      </c>
      <c r="C9525" t="s">
        <v>5111</v>
      </c>
      <c r="D9525" t="s">
        <v>2798</v>
      </c>
      <c r="E9525" t="s">
        <v>1116</v>
      </c>
      <c r="F9525" t="s">
        <v>1068</v>
      </c>
      <c r="G9525" t="s">
        <v>1075</v>
      </c>
      <c r="H9525">
        <v>3.71046480941447E-3</v>
      </c>
      <c r="I9525" t="s">
        <v>1077</v>
      </c>
      <c r="J9525">
        <v>6.98</v>
      </c>
    </row>
    <row r="9526" spans="1:10" hidden="1">
      <c r="A9526" t="s">
        <v>6034</v>
      </c>
      <c r="B9526" t="s">
        <v>6035</v>
      </c>
      <c r="C9526" t="s">
        <v>5111</v>
      </c>
      <c r="D9526" t="s">
        <v>2798</v>
      </c>
      <c r="E9526" t="s">
        <v>1116</v>
      </c>
      <c r="F9526" t="s">
        <v>1068</v>
      </c>
      <c r="G9526" t="s">
        <v>1078</v>
      </c>
      <c r="H9526">
        <v>2.5326656271053499E-2</v>
      </c>
      <c r="I9526" t="s">
        <v>1079</v>
      </c>
      <c r="J9526">
        <v>6.98</v>
      </c>
    </row>
    <row r="9527" spans="1:10" hidden="1">
      <c r="A9527" t="s">
        <v>6034</v>
      </c>
      <c r="B9527" t="s">
        <v>6035</v>
      </c>
      <c r="C9527" t="s">
        <v>5111</v>
      </c>
      <c r="D9527" t="s">
        <v>2798</v>
      </c>
      <c r="E9527" t="s">
        <v>1116</v>
      </c>
      <c r="F9527" t="s">
        <v>1068</v>
      </c>
      <c r="G9527" t="s">
        <v>1080</v>
      </c>
      <c r="H9527" s="171" t="s">
        <v>6038</v>
      </c>
      <c r="I9527" t="s">
        <v>1082</v>
      </c>
      <c r="J9527">
        <v>6.98</v>
      </c>
    </row>
    <row r="9528" spans="1:10" hidden="1">
      <c r="A9528" t="s">
        <v>6034</v>
      </c>
      <c r="B9528" t="s">
        <v>6035</v>
      </c>
      <c r="C9528" t="s">
        <v>5111</v>
      </c>
      <c r="D9528" t="s">
        <v>2798</v>
      </c>
      <c r="E9528" t="s">
        <v>1116</v>
      </c>
      <c r="F9528" t="s">
        <v>1068</v>
      </c>
      <c r="G9528" t="s">
        <v>1083</v>
      </c>
      <c r="H9528" s="171" t="s">
        <v>6039</v>
      </c>
      <c r="I9528" t="s">
        <v>1084</v>
      </c>
      <c r="J9528">
        <v>6.98</v>
      </c>
    </row>
    <row r="9529" spans="1:10" hidden="1">
      <c r="A9529" t="s">
        <v>6034</v>
      </c>
      <c r="B9529" t="s">
        <v>6035</v>
      </c>
      <c r="C9529" t="s">
        <v>5111</v>
      </c>
      <c r="D9529" t="s">
        <v>2798</v>
      </c>
      <c r="E9529" t="s">
        <v>1116</v>
      </c>
      <c r="F9529" t="s">
        <v>1068</v>
      </c>
      <c r="G9529" t="s">
        <v>1085</v>
      </c>
      <c r="H9529">
        <v>1.2542318147723799E-4</v>
      </c>
      <c r="I9529" t="s">
        <v>1086</v>
      </c>
      <c r="J9529">
        <v>6.98</v>
      </c>
    </row>
    <row r="9530" spans="1:10" hidden="1">
      <c r="A9530" t="s">
        <v>6034</v>
      </c>
      <c r="B9530" t="s">
        <v>6035</v>
      </c>
      <c r="C9530" t="s">
        <v>5111</v>
      </c>
      <c r="D9530" t="s">
        <v>2798</v>
      </c>
      <c r="E9530" t="s">
        <v>1116</v>
      </c>
      <c r="F9530" t="s">
        <v>1068</v>
      </c>
      <c r="G9530" t="s">
        <v>1087</v>
      </c>
      <c r="H9530" s="171" t="s">
        <v>6040</v>
      </c>
      <c r="I9530" t="s">
        <v>1088</v>
      </c>
      <c r="J9530">
        <v>6.98</v>
      </c>
    </row>
    <row r="9531" spans="1:10" hidden="1">
      <c r="A9531" t="s">
        <v>6034</v>
      </c>
      <c r="B9531" t="s">
        <v>6035</v>
      </c>
      <c r="C9531" t="s">
        <v>5111</v>
      </c>
      <c r="D9531" t="s">
        <v>2798</v>
      </c>
      <c r="E9531" t="s">
        <v>1116</v>
      </c>
      <c r="F9531" t="s">
        <v>1068</v>
      </c>
      <c r="G9531" t="s">
        <v>1089</v>
      </c>
      <c r="H9531" s="171" t="s">
        <v>6041</v>
      </c>
      <c r="I9531" t="s">
        <v>1090</v>
      </c>
      <c r="J9531">
        <v>6.98</v>
      </c>
    </row>
    <row r="9532" spans="1:10" hidden="1">
      <c r="A9532" t="s">
        <v>6042</v>
      </c>
      <c r="B9532" t="s">
        <v>6043</v>
      </c>
      <c r="C9532" t="s">
        <v>5111</v>
      </c>
      <c r="D9532" t="s">
        <v>2886</v>
      </c>
      <c r="E9532" t="s">
        <v>561</v>
      </c>
      <c r="F9532" t="s">
        <v>1068</v>
      </c>
      <c r="G9532" t="s">
        <v>1069</v>
      </c>
      <c r="H9532" s="171" t="s">
        <v>6044</v>
      </c>
      <c r="I9532" t="s">
        <v>1070</v>
      </c>
      <c r="J9532">
        <v>11.47</v>
      </c>
    </row>
    <row r="9533" spans="1:10" hidden="1">
      <c r="A9533" t="s">
        <v>6042</v>
      </c>
      <c r="B9533" t="s">
        <v>6043</v>
      </c>
      <c r="C9533" t="s">
        <v>5111</v>
      </c>
      <c r="D9533" t="s">
        <v>2886</v>
      </c>
      <c r="E9533" t="s">
        <v>561</v>
      </c>
      <c r="F9533" t="s">
        <v>1068</v>
      </c>
      <c r="G9533" t="s">
        <v>1071</v>
      </c>
      <c r="H9533" s="171" t="s">
        <v>6045</v>
      </c>
      <c r="I9533" t="s">
        <v>1072</v>
      </c>
      <c r="J9533">
        <v>11.47</v>
      </c>
    </row>
    <row r="9534" spans="1:10" hidden="1">
      <c r="A9534" t="s">
        <v>6042</v>
      </c>
      <c r="B9534" t="s">
        <v>6043</v>
      </c>
      <c r="C9534" t="s">
        <v>5111</v>
      </c>
      <c r="D9534" t="s">
        <v>2886</v>
      </c>
      <c r="E9534" t="s">
        <v>561</v>
      </c>
      <c r="F9534" t="s">
        <v>1068</v>
      </c>
      <c r="G9534" t="s">
        <v>1073</v>
      </c>
      <c r="H9534" s="171" t="s">
        <v>6046</v>
      </c>
      <c r="I9534" t="s">
        <v>1074</v>
      </c>
      <c r="J9534">
        <v>11.47</v>
      </c>
    </row>
    <row r="9535" spans="1:10" hidden="1">
      <c r="A9535" t="s">
        <v>6042</v>
      </c>
      <c r="B9535" t="s">
        <v>6043</v>
      </c>
      <c r="C9535" t="s">
        <v>5111</v>
      </c>
      <c r="D9535" t="s">
        <v>2886</v>
      </c>
      <c r="E9535" t="s">
        <v>561</v>
      </c>
      <c r="F9535" t="s">
        <v>1068</v>
      </c>
      <c r="G9535" t="s">
        <v>1075</v>
      </c>
      <c r="H9535">
        <v>3.9747834141294703E-3</v>
      </c>
      <c r="I9535" t="s">
        <v>1077</v>
      </c>
      <c r="J9535">
        <v>11.47</v>
      </c>
    </row>
    <row r="9536" spans="1:10" hidden="1">
      <c r="A9536" t="s">
        <v>6042</v>
      </c>
      <c r="B9536" t="s">
        <v>6043</v>
      </c>
      <c r="C9536" t="s">
        <v>5111</v>
      </c>
      <c r="D9536" t="s">
        <v>2886</v>
      </c>
      <c r="E9536" t="s">
        <v>561</v>
      </c>
      <c r="F9536" t="s">
        <v>1068</v>
      </c>
      <c r="G9536" t="s">
        <v>1078</v>
      </c>
      <c r="H9536">
        <v>3.69958760565346E-2</v>
      </c>
      <c r="I9536" t="s">
        <v>1079</v>
      </c>
      <c r="J9536">
        <v>11.47</v>
      </c>
    </row>
    <row r="9537" spans="1:10" hidden="1">
      <c r="A9537" t="s">
        <v>6042</v>
      </c>
      <c r="B9537" t="s">
        <v>6043</v>
      </c>
      <c r="C9537" t="s">
        <v>5111</v>
      </c>
      <c r="D9537" t="s">
        <v>2886</v>
      </c>
      <c r="E9537" t="s">
        <v>561</v>
      </c>
      <c r="F9537" t="s">
        <v>1068</v>
      </c>
      <c r="G9537" t="s">
        <v>1080</v>
      </c>
      <c r="H9537" s="171" t="s">
        <v>6047</v>
      </c>
      <c r="I9537" t="s">
        <v>1082</v>
      </c>
      <c r="J9537">
        <v>11.47</v>
      </c>
    </row>
    <row r="9538" spans="1:10" hidden="1">
      <c r="A9538" t="s">
        <v>6042</v>
      </c>
      <c r="B9538" t="s">
        <v>6043</v>
      </c>
      <c r="C9538" t="s">
        <v>5111</v>
      </c>
      <c r="D9538" t="s">
        <v>2886</v>
      </c>
      <c r="E9538" t="s">
        <v>561</v>
      </c>
      <c r="F9538" t="s">
        <v>1068</v>
      </c>
      <c r="G9538" t="s">
        <v>1083</v>
      </c>
      <c r="H9538" s="171" t="s">
        <v>6048</v>
      </c>
      <c r="I9538" t="s">
        <v>1084</v>
      </c>
      <c r="J9538">
        <v>11.47</v>
      </c>
    </row>
    <row r="9539" spans="1:10" hidden="1">
      <c r="A9539" t="s">
        <v>6042</v>
      </c>
      <c r="B9539" t="s">
        <v>6043</v>
      </c>
      <c r="C9539" t="s">
        <v>5111</v>
      </c>
      <c r="D9539" t="s">
        <v>2886</v>
      </c>
      <c r="E9539" t="s">
        <v>561</v>
      </c>
      <c r="F9539" t="s">
        <v>1068</v>
      </c>
      <c r="G9539" t="s">
        <v>1085</v>
      </c>
      <c r="H9539">
        <v>1.39897774375212E-4</v>
      </c>
      <c r="I9539" t="s">
        <v>1086</v>
      </c>
      <c r="J9539">
        <v>11.47</v>
      </c>
    </row>
    <row r="9540" spans="1:10" hidden="1">
      <c r="A9540" t="s">
        <v>6042</v>
      </c>
      <c r="B9540" t="s">
        <v>6043</v>
      </c>
      <c r="C9540" t="s">
        <v>5111</v>
      </c>
      <c r="D9540" t="s">
        <v>2886</v>
      </c>
      <c r="E9540" t="s">
        <v>561</v>
      </c>
      <c r="F9540" t="s">
        <v>1068</v>
      </c>
      <c r="G9540" t="s">
        <v>1087</v>
      </c>
      <c r="H9540" s="171" t="s">
        <v>6049</v>
      </c>
      <c r="I9540" t="s">
        <v>1088</v>
      </c>
      <c r="J9540">
        <v>11.47</v>
      </c>
    </row>
    <row r="9541" spans="1:10" hidden="1">
      <c r="A9541" t="s">
        <v>6042</v>
      </c>
      <c r="B9541" t="s">
        <v>6043</v>
      </c>
      <c r="C9541" t="s">
        <v>5111</v>
      </c>
      <c r="D9541" t="s">
        <v>2886</v>
      </c>
      <c r="E9541" t="s">
        <v>561</v>
      </c>
      <c r="F9541" t="s">
        <v>1068</v>
      </c>
      <c r="G9541" t="s">
        <v>1089</v>
      </c>
      <c r="H9541" s="171" t="s">
        <v>6050</v>
      </c>
      <c r="I9541" t="s">
        <v>1090</v>
      </c>
      <c r="J9541">
        <v>11.47</v>
      </c>
    </row>
    <row r="9542" spans="1:10" hidden="1">
      <c r="A9542" t="s">
        <v>6051</v>
      </c>
      <c r="B9542" t="s">
        <v>6052</v>
      </c>
      <c r="C9542" t="s">
        <v>5111</v>
      </c>
      <c r="D9542" t="s">
        <v>2886</v>
      </c>
      <c r="E9542" t="s">
        <v>555</v>
      </c>
      <c r="F9542" t="s">
        <v>1068</v>
      </c>
      <c r="G9542" t="s">
        <v>1069</v>
      </c>
      <c r="H9542" s="171" t="s">
        <v>6053</v>
      </c>
      <c r="I9542" t="s">
        <v>1070</v>
      </c>
      <c r="J9542">
        <v>7.93</v>
      </c>
    </row>
    <row r="9543" spans="1:10" hidden="1">
      <c r="A9543" t="s">
        <v>6051</v>
      </c>
      <c r="B9543" t="s">
        <v>6052</v>
      </c>
      <c r="C9543" t="s">
        <v>5111</v>
      </c>
      <c r="D9543" t="s">
        <v>2886</v>
      </c>
      <c r="E9543" t="s">
        <v>555</v>
      </c>
      <c r="F9543" t="s">
        <v>1068</v>
      </c>
      <c r="G9543" t="s">
        <v>1071</v>
      </c>
      <c r="H9543" s="171" t="s">
        <v>6054</v>
      </c>
      <c r="I9543" t="s">
        <v>1072</v>
      </c>
      <c r="J9543">
        <v>7.93</v>
      </c>
    </row>
    <row r="9544" spans="1:10" hidden="1">
      <c r="A9544" t="s">
        <v>6051</v>
      </c>
      <c r="B9544" t="s">
        <v>6052</v>
      </c>
      <c r="C9544" t="s">
        <v>5111</v>
      </c>
      <c r="D9544" t="s">
        <v>2886</v>
      </c>
      <c r="E9544" t="s">
        <v>555</v>
      </c>
      <c r="F9544" t="s">
        <v>1068</v>
      </c>
      <c r="G9544" t="s">
        <v>1073</v>
      </c>
      <c r="H9544" s="171" t="s">
        <v>6055</v>
      </c>
      <c r="I9544" t="s">
        <v>1074</v>
      </c>
      <c r="J9544">
        <v>7.93</v>
      </c>
    </row>
    <row r="9545" spans="1:10" hidden="1">
      <c r="A9545" t="s">
        <v>6051</v>
      </c>
      <c r="B9545" t="s">
        <v>6052</v>
      </c>
      <c r="C9545" t="s">
        <v>5111</v>
      </c>
      <c r="D9545" t="s">
        <v>2886</v>
      </c>
      <c r="E9545" t="s">
        <v>555</v>
      </c>
      <c r="F9545" t="s">
        <v>1068</v>
      </c>
      <c r="G9545" t="s">
        <v>1075</v>
      </c>
      <c r="H9545">
        <v>3.94284135415085E-3</v>
      </c>
      <c r="I9545" t="s">
        <v>1077</v>
      </c>
      <c r="J9545">
        <v>7.93</v>
      </c>
    </row>
    <row r="9546" spans="1:10" hidden="1">
      <c r="A9546" t="s">
        <v>6051</v>
      </c>
      <c r="B9546" t="s">
        <v>6052</v>
      </c>
      <c r="C9546" t="s">
        <v>5111</v>
      </c>
      <c r="D9546" t="s">
        <v>2886</v>
      </c>
      <c r="E9546" t="s">
        <v>555</v>
      </c>
      <c r="F9546" t="s">
        <v>1068</v>
      </c>
      <c r="G9546" t="s">
        <v>1078</v>
      </c>
      <c r="H9546">
        <v>3.5614574402337999E-2</v>
      </c>
      <c r="I9546" t="s">
        <v>1079</v>
      </c>
      <c r="J9546">
        <v>7.93</v>
      </c>
    </row>
    <row r="9547" spans="1:10" hidden="1">
      <c r="A9547" t="s">
        <v>6051</v>
      </c>
      <c r="B9547" t="s">
        <v>6052</v>
      </c>
      <c r="C9547" t="s">
        <v>5111</v>
      </c>
      <c r="D9547" t="s">
        <v>2886</v>
      </c>
      <c r="E9547" t="s">
        <v>555</v>
      </c>
      <c r="F9547" t="s">
        <v>1068</v>
      </c>
      <c r="G9547" t="s">
        <v>1080</v>
      </c>
      <c r="H9547" s="171" t="s">
        <v>6056</v>
      </c>
      <c r="I9547" t="s">
        <v>1082</v>
      </c>
      <c r="J9547">
        <v>7.93</v>
      </c>
    </row>
    <row r="9548" spans="1:10" hidden="1">
      <c r="A9548" t="s">
        <v>6051</v>
      </c>
      <c r="B9548" t="s">
        <v>6052</v>
      </c>
      <c r="C9548" t="s">
        <v>5111</v>
      </c>
      <c r="D9548" t="s">
        <v>2886</v>
      </c>
      <c r="E9548" t="s">
        <v>555</v>
      </c>
      <c r="F9548" t="s">
        <v>1068</v>
      </c>
      <c r="G9548" t="s">
        <v>1083</v>
      </c>
      <c r="H9548" s="171" t="s">
        <v>6057</v>
      </c>
      <c r="I9548" t="s">
        <v>1084</v>
      </c>
      <c r="J9548">
        <v>7.93</v>
      </c>
    </row>
    <row r="9549" spans="1:10" hidden="1">
      <c r="A9549" t="s">
        <v>6051</v>
      </c>
      <c r="B9549" t="s">
        <v>6052</v>
      </c>
      <c r="C9549" t="s">
        <v>5111</v>
      </c>
      <c r="D9549" t="s">
        <v>2886</v>
      </c>
      <c r="E9549" t="s">
        <v>555</v>
      </c>
      <c r="F9549" t="s">
        <v>1068</v>
      </c>
      <c r="G9549" t="s">
        <v>1085</v>
      </c>
      <c r="H9549">
        <v>1.3816186661773101E-4</v>
      </c>
      <c r="I9549" t="s">
        <v>1086</v>
      </c>
      <c r="J9549">
        <v>7.93</v>
      </c>
    </row>
    <row r="9550" spans="1:10" hidden="1">
      <c r="A9550" t="s">
        <v>6051</v>
      </c>
      <c r="B9550" t="s">
        <v>6052</v>
      </c>
      <c r="C9550" t="s">
        <v>5111</v>
      </c>
      <c r="D9550" t="s">
        <v>2886</v>
      </c>
      <c r="E9550" t="s">
        <v>555</v>
      </c>
      <c r="F9550" t="s">
        <v>1068</v>
      </c>
      <c r="G9550" t="s">
        <v>1087</v>
      </c>
      <c r="H9550" s="171" t="s">
        <v>6058</v>
      </c>
      <c r="I9550" t="s">
        <v>1088</v>
      </c>
      <c r="J9550">
        <v>7.93</v>
      </c>
    </row>
    <row r="9551" spans="1:10" hidden="1">
      <c r="A9551" t="s">
        <v>6051</v>
      </c>
      <c r="B9551" t="s">
        <v>6052</v>
      </c>
      <c r="C9551" t="s">
        <v>5111</v>
      </c>
      <c r="D9551" t="s">
        <v>2886</v>
      </c>
      <c r="E9551" t="s">
        <v>555</v>
      </c>
      <c r="F9551" t="s">
        <v>1068</v>
      </c>
      <c r="G9551" t="s">
        <v>1089</v>
      </c>
      <c r="H9551" s="171" t="s">
        <v>6059</v>
      </c>
      <c r="I9551" t="s">
        <v>1090</v>
      </c>
      <c r="J9551">
        <v>7.93</v>
      </c>
    </row>
    <row r="9552" spans="1:10" hidden="1">
      <c r="A9552" t="s">
        <v>6060</v>
      </c>
      <c r="B9552" t="s">
        <v>6061</v>
      </c>
      <c r="C9552" t="s">
        <v>5111</v>
      </c>
      <c r="D9552" t="s">
        <v>2886</v>
      </c>
      <c r="E9552" t="s">
        <v>558</v>
      </c>
      <c r="F9552" t="s">
        <v>1068</v>
      </c>
      <c r="G9552" t="s">
        <v>1069</v>
      </c>
      <c r="H9552" s="171" t="s">
        <v>6062</v>
      </c>
      <c r="I9552" t="s">
        <v>1070</v>
      </c>
      <c r="J9552">
        <v>8.68</v>
      </c>
    </row>
    <row r="9553" spans="1:10" hidden="1">
      <c r="A9553" t="s">
        <v>6060</v>
      </c>
      <c r="B9553" t="s">
        <v>6061</v>
      </c>
      <c r="C9553" t="s">
        <v>5111</v>
      </c>
      <c r="D9553" t="s">
        <v>2886</v>
      </c>
      <c r="E9553" t="s">
        <v>558</v>
      </c>
      <c r="F9553" t="s">
        <v>1068</v>
      </c>
      <c r="G9553" t="s">
        <v>1071</v>
      </c>
      <c r="H9553" s="171" t="s">
        <v>6063</v>
      </c>
      <c r="I9553" t="s">
        <v>1072</v>
      </c>
      <c r="J9553">
        <v>8.68</v>
      </c>
    </row>
    <row r="9554" spans="1:10" hidden="1">
      <c r="A9554" t="s">
        <v>6060</v>
      </c>
      <c r="B9554" t="s">
        <v>6061</v>
      </c>
      <c r="C9554" t="s">
        <v>5111</v>
      </c>
      <c r="D9554" t="s">
        <v>2886</v>
      </c>
      <c r="E9554" t="s">
        <v>558</v>
      </c>
      <c r="F9554" t="s">
        <v>1068</v>
      </c>
      <c r="G9554" t="s">
        <v>1073</v>
      </c>
      <c r="H9554" s="171" t="s">
        <v>6064</v>
      </c>
      <c r="I9554" t="s">
        <v>1074</v>
      </c>
      <c r="J9554">
        <v>8.68</v>
      </c>
    </row>
    <row r="9555" spans="1:10" hidden="1">
      <c r="A9555" t="s">
        <v>6060</v>
      </c>
      <c r="B9555" t="s">
        <v>6061</v>
      </c>
      <c r="C9555" t="s">
        <v>5111</v>
      </c>
      <c r="D9555" t="s">
        <v>2886</v>
      </c>
      <c r="E9555" t="s">
        <v>558</v>
      </c>
      <c r="F9555" t="s">
        <v>1068</v>
      </c>
      <c r="G9555" t="s">
        <v>1075</v>
      </c>
      <c r="H9555">
        <v>3.9776139558094104E-3</v>
      </c>
      <c r="I9555" t="s">
        <v>1077</v>
      </c>
      <c r="J9555">
        <v>8.68</v>
      </c>
    </row>
    <row r="9556" spans="1:10" hidden="1">
      <c r="A9556" t="s">
        <v>6060</v>
      </c>
      <c r="B9556" t="s">
        <v>6061</v>
      </c>
      <c r="C9556" t="s">
        <v>5111</v>
      </c>
      <c r="D9556" t="s">
        <v>2886</v>
      </c>
      <c r="E9556" t="s">
        <v>558</v>
      </c>
      <c r="F9556" t="s">
        <v>1068</v>
      </c>
      <c r="G9556" t="s">
        <v>1078</v>
      </c>
      <c r="H9556">
        <v>3.7118279597290103E-2</v>
      </c>
      <c r="I9556" t="s">
        <v>1079</v>
      </c>
      <c r="J9556">
        <v>8.68</v>
      </c>
    </row>
    <row r="9557" spans="1:10" hidden="1">
      <c r="A9557" t="s">
        <v>6060</v>
      </c>
      <c r="B9557" t="s">
        <v>6061</v>
      </c>
      <c r="C9557" t="s">
        <v>5111</v>
      </c>
      <c r="D9557" t="s">
        <v>2886</v>
      </c>
      <c r="E9557" t="s">
        <v>558</v>
      </c>
      <c r="F9557" t="s">
        <v>1068</v>
      </c>
      <c r="G9557" t="s">
        <v>1080</v>
      </c>
      <c r="H9557" s="171" t="s">
        <v>6065</v>
      </c>
      <c r="I9557" t="s">
        <v>1082</v>
      </c>
      <c r="J9557">
        <v>8.68</v>
      </c>
    </row>
    <row r="9558" spans="1:10" hidden="1">
      <c r="A9558" t="s">
        <v>6060</v>
      </c>
      <c r="B9558" t="s">
        <v>6061</v>
      </c>
      <c r="C9558" t="s">
        <v>5111</v>
      </c>
      <c r="D9558" t="s">
        <v>2886</v>
      </c>
      <c r="E9558" t="s">
        <v>558</v>
      </c>
      <c r="F9558" t="s">
        <v>1068</v>
      </c>
      <c r="G9558" t="s">
        <v>1083</v>
      </c>
      <c r="H9558" s="171" t="s">
        <v>6066</v>
      </c>
      <c r="I9558" t="s">
        <v>1084</v>
      </c>
      <c r="J9558">
        <v>8.68</v>
      </c>
    </row>
    <row r="9559" spans="1:10" hidden="1">
      <c r="A9559" t="s">
        <v>6060</v>
      </c>
      <c r="B9559" t="s">
        <v>6061</v>
      </c>
      <c r="C9559" t="s">
        <v>5111</v>
      </c>
      <c r="D9559" t="s">
        <v>2886</v>
      </c>
      <c r="E9559" t="s">
        <v>558</v>
      </c>
      <c r="F9559" t="s">
        <v>1068</v>
      </c>
      <c r="G9559" t="s">
        <v>1085</v>
      </c>
      <c r="H9559">
        <v>1.40051601264866E-4</v>
      </c>
      <c r="I9559" t="s">
        <v>1086</v>
      </c>
      <c r="J9559">
        <v>8.68</v>
      </c>
    </row>
    <row r="9560" spans="1:10" hidden="1">
      <c r="A9560" t="s">
        <v>6060</v>
      </c>
      <c r="B9560" t="s">
        <v>6061</v>
      </c>
      <c r="C9560" t="s">
        <v>5111</v>
      </c>
      <c r="D9560" t="s">
        <v>2886</v>
      </c>
      <c r="E9560" t="s">
        <v>558</v>
      </c>
      <c r="F9560" t="s">
        <v>1068</v>
      </c>
      <c r="G9560" t="s">
        <v>1087</v>
      </c>
      <c r="H9560" s="171" t="s">
        <v>6067</v>
      </c>
      <c r="I9560" t="s">
        <v>1088</v>
      </c>
      <c r="J9560">
        <v>8.68</v>
      </c>
    </row>
    <row r="9561" spans="1:10" hidden="1">
      <c r="A9561" t="s">
        <v>6060</v>
      </c>
      <c r="B9561" t="s">
        <v>6061</v>
      </c>
      <c r="C9561" t="s">
        <v>5111</v>
      </c>
      <c r="D9561" t="s">
        <v>2886</v>
      </c>
      <c r="E9561" t="s">
        <v>558</v>
      </c>
      <c r="F9561" t="s">
        <v>1068</v>
      </c>
      <c r="G9561" t="s">
        <v>1089</v>
      </c>
      <c r="H9561" s="171" t="s">
        <v>6068</v>
      </c>
      <c r="I9561" t="s">
        <v>1090</v>
      </c>
      <c r="J9561">
        <v>8.68</v>
      </c>
    </row>
    <row r="9562" spans="1:10" hidden="1">
      <c r="A9562" t="s">
        <v>6069</v>
      </c>
      <c r="B9562" t="s">
        <v>6070</v>
      </c>
      <c r="C9562" t="s">
        <v>5111</v>
      </c>
      <c r="D9562" t="s">
        <v>2886</v>
      </c>
      <c r="E9562" t="s">
        <v>553</v>
      </c>
      <c r="F9562" t="s">
        <v>1068</v>
      </c>
      <c r="G9562" t="s">
        <v>1069</v>
      </c>
      <c r="H9562" s="171" t="s">
        <v>6071</v>
      </c>
      <c r="I9562" t="s">
        <v>1070</v>
      </c>
      <c r="J9562">
        <v>6.82</v>
      </c>
    </row>
    <row r="9563" spans="1:10" hidden="1">
      <c r="A9563" t="s">
        <v>6069</v>
      </c>
      <c r="B9563" t="s">
        <v>6070</v>
      </c>
      <c r="C9563" t="s">
        <v>5111</v>
      </c>
      <c r="D9563" t="s">
        <v>2886</v>
      </c>
      <c r="E9563" t="s">
        <v>553</v>
      </c>
      <c r="F9563" t="s">
        <v>1068</v>
      </c>
      <c r="G9563" t="s">
        <v>1071</v>
      </c>
      <c r="H9563" s="171" t="s">
        <v>6072</v>
      </c>
      <c r="I9563" t="s">
        <v>1072</v>
      </c>
      <c r="J9563">
        <v>6.82</v>
      </c>
    </row>
    <row r="9564" spans="1:10" hidden="1">
      <c r="A9564" t="s">
        <v>6069</v>
      </c>
      <c r="B9564" t="s">
        <v>6070</v>
      </c>
      <c r="C9564" t="s">
        <v>5111</v>
      </c>
      <c r="D9564" t="s">
        <v>2886</v>
      </c>
      <c r="E9564" t="s">
        <v>553</v>
      </c>
      <c r="F9564" t="s">
        <v>1068</v>
      </c>
      <c r="G9564" t="s">
        <v>1073</v>
      </c>
      <c r="H9564" s="171" t="s">
        <v>6073</v>
      </c>
      <c r="I9564" t="s">
        <v>1074</v>
      </c>
      <c r="J9564">
        <v>6.82</v>
      </c>
    </row>
    <row r="9565" spans="1:10" hidden="1">
      <c r="A9565" t="s">
        <v>6069</v>
      </c>
      <c r="B9565" t="s">
        <v>6070</v>
      </c>
      <c r="C9565" t="s">
        <v>5111</v>
      </c>
      <c r="D9565" t="s">
        <v>2886</v>
      </c>
      <c r="E9565" t="s">
        <v>553</v>
      </c>
      <c r="F9565" t="s">
        <v>1068</v>
      </c>
      <c r="G9565" t="s">
        <v>1075</v>
      </c>
      <c r="H9565">
        <v>3.9804092968465602E-3</v>
      </c>
      <c r="I9565" t="s">
        <v>1077</v>
      </c>
      <c r="J9565">
        <v>6.82</v>
      </c>
    </row>
    <row r="9566" spans="1:10" hidden="1">
      <c r="A9566" t="s">
        <v>6069</v>
      </c>
      <c r="B9566" t="s">
        <v>6070</v>
      </c>
      <c r="C9566" t="s">
        <v>5111</v>
      </c>
      <c r="D9566" t="s">
        <v>2886</v>
      </c>
      <c r="E9566" t="s">
        <v>553</v>
      </c>
      <c r="F9566" t="s">
        <v>1068</v>
      </c>
      <c r="G9566" t="s">
        <v>1078</v>
      </c>
      <c r="H9566" s="171" t="s">
        <v>6074</v>
      </c>
      <c r="I9566" t="s">
        <v>1079</v>
      </c>
      <c r="J9566">
        <v>6.82</v>
      </c>
    </row>
    <row r="9567" spans="1:10" hidden="1">
      <c r="A9567" t="s">
        <v>6069</v>
      </c>
      <c r="B9567" t="s">
        <v>6070</v>
      </c>
      <c r="C9567" t="s">
        <v>5111</v>
      </c>
      <c r="D9567" t="s">
        <v>2886</v>
      </c>
      <c r="E9567" t="s">
        <v>553</v>
      </c>
      <c r="F9567" t="s">
        <v>1068</v>
      </c>
      <c r="G9567" t="s">
        <v>1080</v>
      </c>
      <c r="H9567" s="171" t="s">
        <v>6075</v>
      </c>
      <c r="I9567" t="s">
        <v>1082</v>
      </c>
      <c r="J9567">
        <v>6.82</v>
      </c>
    </row>
    <row r="9568" spans="1:10" hidden="1">
      <c r="A9568" t="s">
        <v>6069</v>
      </c>
      <c r="B9568" t="s">
        <v>6070</v>
      </c>
      <c r="C9568" t="s">
        <v>5111</v>
      </c>
      <c r="D9568" t="s">
        <v>2886</v>
      </c>
      <c r="E9568" t="s">
        <v>553</v>
      </c>
      <c r="F9568" t="s">
        <v>1068</v>
      </c>
      <c r="G9568" t="s">
        <v>1083</v>
      </c>
      <c r="H9568" s="171" t="s">
        <v>6076</v>
      </c>
      <c r="I9568" t="s">
        <v>1084</v>
      </c>
      <c r="J9568">
        <v>6.82</v>
      </c>
    </row>
    <row r="9569" spans="1:10" hidden="1">
      <c r="A9569" t="s">
        <v>6069</v>
      </c>
      <c r="B9569" t="s">
        <v>6070</v>
      </c>
      <c r="C9569" t="s">
        <v>5111</v>
      </c>
      <c r="D9569" t="s">
        <v>2886</v>
      </c>
      <c r="E9569" t="s">
        <v>553</v>
      </c>
      <c r="F9569" t="s">
        <v>1068</v>
      </c>
      <c r="G9569" t="s">
        <v>1085</v>
      </c>
      <c r="H9569">
        <v>1.40203511090429E-4</v>
      </c>
      <c r="I9569" t="s">
        <v>1086</v>
      </c>
      <c r="J9569">
        <v>6.82</v>
      </c>
    </row>
    <row r="9570" spans="1:10" hidden="1">
      <c r="A9570" t="s">
        <v>6069</v>
      </c>
      <c r="B9570" t="s">
        <v>6070</v>
      </c>
      <c r="C9570" t="s">
        <v>5111</v>
      </c>
      <c r="D9570" t="s">
        <v>2886</v>
      </c>
      <c r="E9570" t="s">
        <v>553</v>
      </c>
      <c r="F9570" t="s">
        <v>1068</v>
      </c>
      <c r="G9570" t="s">
        <v>1087</v>
      </c>
      <c r="H9570" s="171" t="s">
        <v>6077</v>
      </c>
      <c r="I9570" t="s">
        <v>1088</v>
      </c>
      <c r="J9570">
        <v>6.82</v>
      </c>
    </row>
    <row r="9571" spans="1:10" hidden="1">
      <c r="A9571" t="s">
        <v>6069</v>
      </c>
      <c r="B9571" t="s">
        <v>6070</v>
      </c>
      <c r="C9571" t="s">
        <v>5111</v>
      </c>
      <c r="D9571" t="s">
        <v>2886</v>
      </c>
      <c r="E9571" t="s">
        <v>553</v>
      </c>
      <c r="F9571" t="s">
        <v>1068</v>
      </c>
      <c r="G9571" t="s">
        <v>1089</v>
      </c>
      <c r="H9571" s="171" t="s">
        <v>6078</v>
      </c>
      <c r="I9571" t="s">
        <v>1090</v>
      </c>
      <c r="J9571">
        <v>6.82</v>
      </c>
    </row>
    <row r="9572" spans="1:10" hidden="1">
      <c r="A9572" t="s">
        <v>6079</v>
      </c>
      <c r="B9572" t="s">
        <v>6080</v>
      </c>
      <c r="C9572" t="s">
        <v>5111</v>
      </c>
      <c r="D9572" t="s">
        <v>2886</v>
      </c>
      <c r="E9572" t="s">
        <v>556</v>
      </c>
      <c r="F9572" t="s">
        <v>1068</v>
      </c>
      <c r="G9572" t="s">
        <v>1069</v>
      </c>
      <c r="H9572" s="171" t="s">
        <v>6081</v>
      </c>
      <c r="I9572" t="s">
        <v>1070</v>
      </c>
      <c r="J9572">
        <v>11.72</v>
      </c>
    </row>
    <row r="9573" spans="1:10" hidden="1">
      <c r="A9573" t="s">
        <v>6079</v>
      </c>
      <c r="B9573" t="s">
        <v>6080</v>
      </c>
      <c r="C9573" t="s">
        <v>5111</v>
      </c>
      <c r="D9573" t="s">
        <v>2886</v>
      </c>
      <c r="E9573" t="s">
        <v>556</v>
      </c>
      <c r="F9573" t="s">
        <v>1068</v>
      </c>
      <c r="G9573" t="s">
        <v>1071</v>
      </c>
      <c r="H9573" s="171" t="s">
        <v>6082</v>
      </c>
      <c r="I9573" t="s">
        <v>1072</v>
      </c>
      <c r="J9573">
        <v>11.72</v>
      </c>
    </row>
    <row r="9574" spans="1:10" hidden="1">
      <c r="A9574" t="s">
        <v>6079</v>
      </c>
      <c r="B9574" t="s">
        <v>6080</v>
      </c>
      <c r="C9574" t="s">
        <v>5111</v>
      </c>
      <c r="D9574" t="s">
        <v>2886</v>
      </c>
      <c r="E9574" t="s">
        <v>556</v>
      </c>
      <c r="F9574" t="s">
        <v>1068</v>
      </c>
      <c r="G9574" t="s">
        <v>1073</v>
      </c>
      <c r="H9574" s="171" t="s">
        <v>6083</v>
      </c>
      <c r="I9574" t="s">
        <v>1074</v>
      </c>
      <c r="J9574">
        <v>11.72</v>
      </c>
    </row>
    <row r="9575" spans="1:10" hidden="1">
      <c r="A9575" t="s">
        <v>6079</v>
      </c>
      <c r="B9575" t="s">
        <v>6080</v>
      </c>
      <c r="C9575" t="s">
        <v>5111</v>
      </c>
      <c r="D9575" t="s">
        <v>2886</v>
      </c>
      <c r="E9575" t="s">
        <v>556</v>
      </c>
      <c r="F9575" t="s">
        <v>1068</v>
      </c>
      <c r="G9575" t="s">
        <v>1075</v>
      </c>
      <c r="H9575">
        <v>3.94637244954081E-3</v>
      </c>
      <c r="I9575" t="s">
        <v>1077</v>
      </c>
      <c r="J9575">
        <v>11.72</v>
      </c>
    </row>
    <row r="9576" spans="1:10" hidden="1">
      <c r="A9576" t="s">
        <v>6079</v>
      </c>
      <c r="B9576" t="s">
        <v>6080</v>
      </c>
      <c r="C9576" t="s">
        <v>5111</v>
      </c>
      <c r="D9576" t="s">
        <v>2886</v>
      </c>
      <c r="E9576" t="s">
        <v>556</v>
      </c>
      <c r="F9576" t="s">
        <v>1068</v>
      </c>
      <c r="G9576" t="s">
        <v>1078</v>
      </c>
      <c r="H9576">
        <v>3.5767272587802802E-2</v>
      </c>
      <c r="I9576" t="s">
        <v>1079</v>
      </c>
      <c r="J9576">
        <v>11.72</v>
      </c>
    </row>
    <row r="9577" spans="1:10" hidden="1">
      <c r="A9577" t="s">
        <v>6079</v>
      </c>
      <c r="B9577" t="s">
        <v>6080</v>
      </c>
      <c r="C9577" t="s">
        <v>5111</v>
      </c>
      <c r="D9577" t="s">
        <v>2886</v>
      </c>
      <c r="E9577" t="s">
        <v>556</v>
      </c>
      <c r="F9577" t="s">
        <v>1068</v>
      </c>
      <c r="G9577" t="s">
        <v>1080</v>
      </c>
      <c r="H9577" s="171" t="s">
        <v>6084</v>
      </c>
      <c r="I9577" t="s">
        <v>1082</v>
      </c>
      <c r="J9577">
        <v>11.72</v>
      </c>
    </row>
    <row r="9578" spans="1:10" hidden="1">
      <c r="A9578" t="s">
        <v>6079</v>
      </c>
      <c r="B9578" t="s">
        <v>6080</v>
      </c>
      <c r="C9578" t="s">
        <v>5111</v>
      </c>
      <c r="D9578" t="s">
        <v>2886</v>
      </c>
      <c r="E9578" t="s">
        <v>556</v>
      </c>
      <c r="F9578" t="s">
        <v>1068</v>
      </c>
      <c r="G9578" t="s">
        <v>1083</v>
      </c>
      <c r="H9578" s="171" t="s">
        <v>6085</v>
      </c>
      <c r="I9578" t="s">
        <v>1084</v>
      </c>
      <c r="J9578">
        <v>11.72</v>
      </c>
    </row>
    <row r="9579" spans="1:10" hidden="1">
      <c r="A9579" t="s">
        <v>6079</v>
      </c>
      <c r="B9579" t="s">
        <v>6080</v>
      </c>
      <c r="C9579" t="s">
        <v>5111</v>
      </c>
      <c r="D9579" t="s">
        <v>2886</v>
      </c>
      <c r="E9579" t="s">
        <v>556</v>
      </c>
      <c r="F9579" t="s">
        <v>1068</v>
      </c>
      <c r="G9579" t="s">
        <v>1085</v>
      </c>
      <c r="H9579">
        <v>1.3835376537148599E-4</v>
      </c>
      <c r="I9579" t="s">
        <v>1086</v>
      </c>
      <c r="J9579">
        <v>11.72</v>
      </c>
    </row>
    <row r="9580" spans="1:10" hidden="1">
      <c r="A9580" t="s">
        <v>6079</v>
      </c>
      <c r="B9580" t="s">
        <v>6080</v>
      </c>
      <c r="C9580" t="s">
        <v>5111</v>
      </c>
      <c r="D9580" t="s">
        <v>2886</v>
      </c>
      <c r="E9580" t="s">
        <v>556</v>
      </c>
      <c r="F9580" t="s">
        <v>1068</v>
      </c>
      <c r="G9580" t="s">
        <v>1087</v>
      </c>
      <c r="H9580" s="171" t="s">
        <v>6086</v>
      </c>
      <c r="I9580" t="s">
        <v>1088</v>
      </c>
      <c r="J9580">
        <v>11.72</v>
      </c>
    </row>
    <row r="9581" spans="1:10" hidden="1">
      <c r="A9581" t="s">
        <v>6079</v>
      </c>
      <c r="B9581" t="s">
        <v>6080</v>
      </c>
      <c r="C9581" t="s">
        <v>5111</v>
      </c>
      <c r="D9581" t="s">
        <v>2886</v>
      </c>
      <c r="E9581" t="s">
        <v>556</v>
      </c>
      <c r="F9581" t="s">
        <v>1068</v>
      </c>
      <c r="G9581" t="s">
        <v>1089</v>
      </c>
      <c r="H9581" s="171" t="s">
        <v>6087</v>
      </c>
      <c r="I9581" t="s">
        <v>1090</v>
      </c>
      <c r="J9581">
        <v>11.72</v>
      </c>
    </row>
    <row r="9582" spans="1:10" hidden="1">
      <c r="A9582" t="s">
        <v>6088</v>
      </c>
      <c r="B9582" t="s">
        <v>6089</v>
      </c>
      <c r="C9582" t="s">
        <v>5111</v>
      </c>
      <c r="D9582" t="s">
        <v>2886</v>
      </c>
      <c r="E9582" t="s">
        <v>557</v>
      </c>
      <c r="F9582" t="s">
        <v>1068</v>
      </c>
      <c r="G9582" t="s">
        <v>1069</v>
      </c>
      <c r="H9582" s="171" t="s">
        <v>6090</v>
      </c>
      <c r="I9582" t="s">
        <v>1070</v>
      </c>
      <c r="J9582">
        <v>10.17</v>
      </c>
    </row>
    <row r="9583" spans="1:10" hidden="1">
      <c r="A9583" t="s">
        <v>6088</v>
      </c>
      <c r="B9583" t="s">
        <v>6089</v>
      </c>
      <c r="C9583" t="s">
        <v>5111</v>
      </c>
      <c r="D9583" t="s">
        <v>2886</v>
      </c>
      <c r="E9583" t="s">
        <v>557</v>
      </c>
      <c r="F9583" t="s">
        <v>1068</v>
      </c>
      <c r="G9583" t="s">
        <v>1071</v>
      </c>
      <c r="H9583" s="171" t="s">
        <v>6091</v>
      </c>
      <c r="I9583" t="s">
        <v>1072</v>
      </c>
      <c r="J9583">
        <v>10.17</v>
      </c>
    </row>
    <row r="9584" spans="1:10" hidden="1">
      <c r="A9584" t="s">
        <v>6088</v>
      </c>
      <c r="B9584" t="s">
        <v>6089</v>
      </c>
      <c r="C9584" t="s">
        <v>5111</v>
      </c>
      <c r="D9584" t="s">
        <v>2886</v>
      </c>
      <c r="E9584" t="s">
        <v>557</v>
      </c>
      <c r="F9584" t="s">
        <v>1068</v>
      </c>
      <c r="G9584" t="s">
        <v>1073</v>
      </c>
      <c r="H9584" s="171" t="s">
        <v>6092</v>
      </c>
      <c r="I9584" t="s">
        <v>1074</v>
      </c>
      <c r="J9584">
        <v>10.17</v>
      </c>
    </row>
    <row r="9585" spans="1:10" hidden="1">
      <c r="A9585" t="s">
        <v>6088</v>
      </c>
      <c r="B9585" t="s">
        <v>6089</v>
      </c>
      <c r="C9585" t="s">
        <v>5111</v>
      </c>
      <c r="D9585" t="s">
        <v>2886</v>
      </c>
      <c r="E9585" t="s">
        <v>557</v>
      </c>
      <c r="F9585" t="s">
        <v>1068</v>
      </c>
      <c r="G9585" t="s">
        <v>1075</v>
      </c>
      <c r="H9585">
        <v>3.9659225880009502E-3</v>
      </c>
      <c r="I9585" t="s">
        <v>1077</v>
      </c>
      <c r="J9585">
        <v>10.17</v>
      </c>
    </row>
    <row r="9586" spans="1:10" hidden="1">
      <c r="A9586" t="s">
        <v>6088</v>
      </c>
      <c r="B9586" t="s">
        <v>6089</v>
      </c>
      <c r="C9586" t="s">
        <v>5111</v>
      </c>
      <c r="D9586" t="s">
        <v>2886</v>
      </c>
      <c r="E9586" t="s">
        <v>557</v>
      </c>
      <c r="F9586" t="s">
        <v>1068</v>
      </c>
      <c r="G9586" t="s">
        <v>1078</v>
      </c>
      <c r="H9586">
        <v>3.66126997550393E-2</v>
      </c>
      <c r="I9586" t="s">
        <v>1079</v>
      </c>
      <c r="J9586">
        <v>10.17</v>
      </c>
    </row>
    <row r="9587" spans="1:10" hidden="1">
      <c r="A9587" t="s">
        <v>6088</v>
      </c>
      <c r="B9587" t="s">
        <v>6089</v>
      </c>
      <c r="C9587" t="s">
        <v>5111</v>
      </c>
      <c r="D9587" t="s">
        <v>2886</v>
      </c>
      <c r="E9587" t="s">
        <v>557</v>
      </c>
      <c r="F9587" t="s">
        <v>1068</v>
      </c>
      <c r="G9587" t="s">
        <v>1080</v>
      </c>
      <c r="H9587" s="171" t="s">
        <v>6093</v>
      </c>
      <c r="I9587" t="s">
        <v>1082</v>
      </c>
      <c r="J9587">
        <v>10.17</v>
      </c>
    </row>
    <row r="9588" spans="1:10" hidden="1">
      <c r="A9588" t="s">
        <v>6088</v>
      </c>
      <c r="B9588" t="s">
        <v>6089</v>
      </c>
      <c r="C9588" t="s">
        <v>5111</v>
      </c>
      <c r="D9588" t="s">
        <v>2886</v>
      </c>
      <c r="E9588" t="s">
        <v>557</v>
      </c>
      <c r="F9588" t="s">
        <v>1068</v>
      </c>
      <c r="G9588" t="s">
        <v>1083</v>
      </c>
      <c r="H9588" s="171" t="s">
        <v>6094</v>
      </c>
      <c r="I9588" t="s">
        <v>1084</v>
      </c>
      <c r="J9588">
        <v>10.17</v>
      </c>
    </row>
    <row r="9589" spans="1:10" hidden="1">
      <c r="A9589" t="s">
        <v>6088</v>
      </c>
      <c r="B9589" t="s">
        <v>6089</v>
      </c>
      <c r="C9589" t="s">
        <v>5111</v>
      </c>
      <c r="D9589" t="s">
        <v>2886</v>
      </c>
      <c r="E9589" t="s">
        <v>557</v>
      </c>
      <c r="F9589" t="s">
        <v>1068</v>
      </c>
      <c r="G9589" t="s">
        <v>1085</v>
      </c>
      <c r="H9589">
        <v>1.3941622932933599E-4</v>
      </c>
      <c r="I9589" t="s">
        <v>1086</v>
      </c>
      <c r="J9589">
        <v>10.17</v>
      </c>
    </row>
    <row r="9590" spans="1:10" hidden="1">
      <c r="A9590" t="s">
        <v>6088</v>
      </c>
      <c r="B9590" t="s">
        <v>6089</v>
      </c>
      <c r="C9590" t="s">
        <v>5111</v>
      </c>
      <c r="D9590" t="s">
        <v>2886</v>
      </c>
      <c r="E9590" t="s">
        <v>557</v>
      </c>
      <c r="F9590" t="s">
        <v>1068</v>
      </c>
      <c r="G9590" t="s">
        <v>1087</v>
      </c>
      <c r="H9590" s="171" t="s">
        <v>6095</v>
      </c>
      <c r="I9590" t="s">
        <v>1088</v>
      </c>
      <c r="J9590">
        <v>10.17</v>
      </c>
    </row>
    <row r="9591" spans="1:10" hidden="1">
      <c r="A9591" t="s">
        <v>6088</v>
      </c>
      <c r="B9591" t="s">
        <v>6089</v>
      </c>
      <c r="C9591" t="s">
        <v>5111</v>
      </c>
      <c r="D9591" t="s">
        <v>2886</v>
      </c>
      <c r="E9591" t="s">
        <v>557</v>
      </c>
      <c r="F9591" t="s">
        <v>1068</v>
      </c>
      <c r="G9591" t="s">
        <v>1089</v>
      </c>
      <c r="H9591" s="171" t="s">
        <v>6096</v>
      </c>
      <c r="I9591" t="s">
        <v>1090</v>
      </c>
      <c r="J9591">
        <v>10.17</v>
      </c>
    </row>
    <row r="9592" spans="1:10" hidden="1">
      <c r="A9592" t="s">
        <v>6097</v>
      </c>
      <c r="B9592" t="s">
        <v>6098</v>
      </c>
      <c r="C9592" t="s">
        <v>5111</v>
      </c>
      <c r="D9592" t="s">
        <v>2886</v>
      </c>
      <c r="E9592" t="s">
        <v>559</v>
      </c>
      <c r="F9592" t="s">
        <v>1068</v>
      </c>
      <c r="G9592" t="s">
        <v>1069</v>
      </c>
      <c r="H9592" s="171" t="s">
        <v>6099</v>
      </c>
      <c r="I9592" t="s">
        <v>1070</v>
      </c>
      <c r="J9592">
        <v>11.29</v>
      </c>
    </row>
    <row r="9593" spans="1:10" hidden="1">
      <c r="A9593" t="s">
        <v>6097</v>
      </c>
      <c r="B9593" t="s">
        <v>6098</v>
      </c>
      <c r="C9593" t="s">
        <v>5111</v>
      </c>
      <c r="D9593" t="s">
        <v>2886</v>
      </c>
      <c r="E9593" t="s">
        <v>559</v>
      </c>
      <c r="F9593" t="s">
        <v>1068</v>
      </c>
      <c r="G9593" t="s">
        <v>1071</v>
      </c>
      <c r="H9593" s="171" t="s">
        <v>6100</v>
      </c>
      <c r="I9593" t="s">
        <v>1072</v>
      </c>
      <c r="J9593">
        <v>11.29</v>
      </c>
    </row>
    <row r="9594" spans="1:10" hidden="1">
      <c r="A9594" t="s">
        <v>6097</v>
      </c>
      <c r="B9594" t="s">
        <v>6098</v>
      </c>
      <c r="C9594" t="s">
        <v>5111</v>
      </c>
      <c r="D9594" t="s">
        <v>2886</v>
      </c>
      <c r="E9594" t="s">
        <v>559</v>
      </c>
      <c r="F9594" t="s">
        <v>1068</v>
      </c>
      <c r="G9594" t="s">
        <v>1073</v>
      </c>
      <c r="H9594" s="171" t="s">
        <v>6101</v>
      </c>
      <c r="I9594" t="s">
        <v>1074</v>
      </c>
      <c r="J9594">
        <v>11.29</v>
      </c>
    </row>
    <row r="9595" spans="1:10" hidden="1">
      <c r="A9595" t="s">
        <v>6097</v>
      </c>
      <c r="B9595" t="s">
        <v>6098</v>
      </c>
      <c r="C9595" t="s">
        <v>5111</v>
      </c>
      <c r="D9595" t="s">
        <v>2886</v>
      </c>
      <c r="E9595" t="s">
        <v>559</v>
      </c>
      <c r="F9595" t="s">
        <v>1068</v>
      </c>
      <c r="G9595" t="s">
        <v>1075</v>
      </c>
      <c r="H9595">
        <v>3.9564896329573399E-3</v>
      </c>
      <c r="I9595" t="s">
        <v>1077</v>
      </c>
      <c r="J9595">
        <v>11.29</v>
      </c>
    </row>
    <row r="9596" spans="1:10" hidden="1">
      <c r="A9596" t="s">
        <v>6097</v>
      </c>
      <c r="B9596" t="s">
        <v>6098</v>
      </c>
      <c r="C9596" t="s">
        <v>5111</v>
      </c>
      <c r="D9596" t="s">
        <v>2886</v>
      </c>
      <c r="E9596" t="s">
        <v>559</v>
      </c>
      <c r="F9596" t="s">
        <v>1068</v>
      </c>
      <c r="G9596" t="s">
        <v>1078</v>
      </c>
      <c r="H9596">
        <v>3.62047786247413E-2</v>
      </c>
      <c r="I9596" t="s">
        <v>1079</v>
      </c>
      <c r="J9596">
        <v>11.29</v>
      </c>
    </row>
    <row r="9597" spans="1:10" hidden="1">
      <c r="A9597" t="s">
        <v>6097</v>
      </c>
      <c r="B9597" t="s">
        <v>6098</v>
      </c>
      <c r="C9597" t="s">
        <v>5111</v>
      </c>
      <c r="D9597" t="s">
        <v>2886</v>
      </c>
      <c r="E9597" t="s">
        <v>559</v>
      </c>
      <c r="F9597" t="s">
        <v>1068</v>
      </c>
      <c r="G9597" t="s">
        <v>1080</v>
      </c>
      <c r="H9597" s="171" t="s">
        <v>6102</v>
      </c>
      <c r="I9597" t="s">
        <v>1082</v>
      </c>
      <c r="J9597">
        <v>11.29</v>
      </c>
    </row>
    <row r="9598" spans="1:10" hidden="1">
      <c r="A9598" t="s">
        <v>6097</v>
      </c>
      <c r="B9598" t="s">
        <v>6098</v>
      </c>
      <c r="C9598" t="s">
        <v>5111</v>
      </c>
      <c r="D9598" t="s">
        <v>2886</v>
      </c>
      <c r="E9598" t="s">
        <v>559</v>
      </c>
      <c r="F9598" t="s">
        <v>1068</v>
      </c>
      <c r="G9598" t="s">
        <v>1083</v>
      </c>
      <c r="H9598" s="171" t="s">
        <v>6103</v>
      </c>
      <c r="I9598" t="s">
        <v>1084</v>
      </c>
      <c r="J9598">
        <v>11.29</v>
      </c>
    </row>
    <row r="9599" spans="1:10" hidden="1">
      <c r="A9599" t="s">
        <v>6097</v>
      </c>
      <c r="B9599" t="s">
        <v>6098</v>
      </c>
      <c r="C9599" t="s">
        <v>5111</v>
      </c>
      <c r="D9599" t="s">
        <v>2886</v>
      </c>
      <c r="E9599" t="s">
        <v>559</v>
      </c>
      <c r="F9599" t="s">
        <v>1068</v>
      </c>
      <c r="G9599" t="s">
        <v>1085</v>
      </c>
      <c r="H9599">
        <v>1.38903587643377E-4</v>
      </c>
      <c r="I9599" t="s">
        <v>1086</v>
      </c>
      <c r="J9599">
        <v>11.29</v>
      </c>
    </row>
    <row r="9600" spans="1:10" hidden="1">
      <c r="A9600" t="s">
        <v>6097</v>
      </c>
      <c r="B9600" t="s">
        <v>6098</v>
      </c>
      <c r="C9600" t="s">
        <v>5111</v>
      </c>
      <c r="D9600" t="s">
        <v>2886</v>
      </c>
      <c r="E9600" t="s">
        <v>559</v>
      </c>
      <c r="F9600" t="s">
        <v>1068</v>
      </c>
      <c r="G9600" t="s">
        <v>1087</v>
      </c>
      <c r="H9600" s="171" t="s">
        <v>6104</v>
      </c>
      <c r="I9600" t="s">
        <v>1088</v>
      </c>
      <c r="J9600">
        <v>11.29</v>
      </c>
    </row>
    <row r="9601" spans="1:10" hidden="1">
      <c r="A9601" t="s">
        <v>6097</v>
      </c>
      <c r="B9601" t="s">
        <v>6098</v>
      </c>
      <c r="C9601" t="s">
        <v>5111</v>
      </c>
      <c r="D9601" t="s">
        <v>2886</v>
      </c>
      <c r="E9601" t="s">
        <v>559</v>
      </c>
      <c r="F9601" t="s">
        <v>1068</v>
      </c>
      <c r="G9601" t="s">
        <v>1089</v>
      </c>
      <c r="H9601" s="171" t="s">
        <v>6105</v>
      </c>
      <c r="I9601" t="s">
        <v>1090</v>
      </c>
      <c r="J9601">
        <v>11.29</v>
      </c>
    </row>
    <row r="9602" spans="1:10" hidden="1">
      <c r="A9602" t="s">
        <v>6106</v>
      </c>
      <c r="B9602" t="s">
        <v>6107</v>
      </c>
      <c r="C9602" t="s">
        <v>5111</v>
      </c>
      <c r="D9602" t="s">
        <v>2886</v>
      </c>
      <c r="E9602" t="s">
        <v>560</v>
      </c>
      <c r="F9602" t="s">
        <v>1068</v>
      </c>
      <c r="G9602" t="s">
        <v>1069</v>
      </c>
      <c r="H9602" s="171" t="s">
        <v>6108</v>
      </c>
      <c r="I9602" t="s">
        <v>1070</v>
      </c>
      <c r="J9602">
        <v>9.2799999999999994</v>
      </c>
    </row>
    <row r="9603" spans="1:10" hidden="1">
      <c r="A9603" t="s">
        <v>6106</v>
      </c>
      <c r="B9603" t="s">
        <v>6107</v>
      </c>
      <c r="C9603" t="s">
        <v>5111</v>
      </c>
      <c r="D9603" t="s">
        <v>2886</v>
      </c>
      <c r="E9603" t="s">
        <v>560</v>
      </c>
      <c r="F9603" t="s">
        <v>1068</v>
      </c>
      <c r="G9603" t="s">
        <v>1071</v>
      </c>
      <c r="H9603" s="171" t="s">
        <v>6109</v>
      </c>
      <c r="I9603" t="s">
        <v>1072</v>
      </c>
      <c r="J9603">
        <v>9.2799999999999994</v>
      </c>
    </row>
    <row r="9604" spans="1:10" hidden="1">
      <c r="A9604" t="s">
        <v>6106</v>
      </c>
      <c r="B9604" t="s">
        <v>6107</v>
      </c>
      <c r="C9604" t="s">
        <v>5111</v>
      </c>
      <c r="D9604" t="s">
        <v>2886</v>
      </c>
      <c r="E9604" t="s">
        <v>560</v>
      </c>
      <c r="F9604" t="s">
        <v>1068</v>
      </c>
      <c r="G9604" t="s">
        <v>1073</v>
      </c>
      <c r="H9604" s="171" t="s">
        <v>6110</v>
      </c>
      <c r="I9604" t="s">
        <v>1074</v>
      </c>
      <c r="J9604">
        <v>9.2799999999999994</v>
      </c>
    </row>
    <row r="9605" spans="1:10" hidden="1">
      <c r="A9605" t="s">
        <v>6106</v>
      </c>
      <c r="B9605" t="s">
        <v>6107</v>
      </c>
      <c r="C9605" t="s">
        <v>5111</v>
      </c>
      <c r="D9605" t="s">
        <v>2886</v>
      </c>
      <c r="E9605" t="s">
        <v>560</v>
      </c>
      <c r="F9605" t="s">
        <v>1068</v>
      </c>
      <c r="G9605" t="s">
        <v>1075</v>
      </c>
      <c r="H9605">
        <v>3.9596871918364304E-3</v>
      </c>
      <c r="I9605" t="s">
        <v>1077</v>
      </c>
      <c r="J9605">
        <v>9.2799999999999994</v>
      </c>
    </row>
    <row r="9606" spans="1:10" hidden="1">
      <c r="A9606" t="s">
        <v>6106</v>
      </c>
      <c r="B9606" t="s">
        <v>6107</v>
      </c>
      <c r="C9606" t="s">
        <v>5111</v>
      </c>
      <c r="D9606" t="s">
        <v>2886</v>
      </c>
      <c r="E9606" t="s">
        <v>560</v>
      </c>
      <c r="F9606" t="s">
        <v>1068</v>
      </c>
      <c r="G9606" t="s">
        <v>1078</v>
      </c>
      <c r="H9606" s="171" t="s">
        <v>6111</v>
      </c>
      <c r="I9606" t="s">
        <v>1079</v>
      </c>
      <c r="J9606">
        <v>9.2799999999999994</v>
      </c>
    </row>
    <row r="9607" spans="1:10" hidden="1">
      <c r="A9607" t="s">
        <v>6106</v>
      </c>
      <c r="B9607" t="s">
        <v>6107</v>
      </c>
      <c r="C9607" t="s">
        <v>5111</v>
      </c>
      <c r="D9607" t="s">
        <v>2886</v>
      </c>
      <c r="E9607" t="s">
        <v>560</v>
      </c>
      <c r="F9607" t="s">
        <v>1068</v>
      </c>
      <c r="G9607" t="s">
        <v>1080</v>
      </c>
      <c r="H9607" s="171" t="s">
        <v>6112</v>
      </c>
      <c r="I9607" t="s">
        <v>1082</v>
      </c>
      <c r="J9607">
        <v>9.2799999999999994</v>
      </c>
    </row>
    <row r="9608" spans="1:10" hidden="1">
      <c r="A9608" t="s">
        <v>6106</v>
      </c>
      <c r="B9608" t="s">
        <v>6107</v>
      </c>
      <c r="C9608" t="s">
        <v>5111</v>
      </c>
      <c r="D9608" t="s">
        <v>2886</v>
      </c>
      <c r="E9608" t="s">
        <v>560</v>
      </c>
      <c r="F9608" t="s">
        <v>1068</v>
      </c>
      <c r="G9608" t="s">
        <v>1083</v>
      </c>
      <c r="H9608" s="171" t="s">
        <v>6113</v>
      </c>
      <c r="I9608" t="s">
        <v>1084</v>
      </c>
      <c r="J9608">
        <v>9.2799999999999994</v>
      </c>
    </row>
    <row r="9609" spans="1:10" hidden="1">
      <c r="A9609" t="s">
        <v>6106</v>
      </c>
      <c r="B9609" t="s">
        <v>6107</v>
      </c>
      <c r="C9609" t="s">
        <v>5111</v>
      </c>
      <c r="D9609" t="s">
        <v>2886</v>
      </c>
      <c r="E9609" t="s">
        <v>560</v>
      </c>
      <c r="F9609" t="s">
        <v>1068</v>
      </c>
      <c r="G9609" t="s">
        <v>1085</v>
      </c>
      <c r="H9609">
        <v>1.3907736429705301E-4</v>
      </c>
      <c r="I9609" t="s">
        <v>1086</v>
      </c>
      <c r="J9609">
        <v>9.2799999999999994</v>
      </c>
    </row>
    <row r="9610" spans="1:10" hidden="1">
      <c r="A9610" t="s">
        <v>6106</v>
      </c>
      <c r="B9610" t="s">
        <v>6107</v>
      </c>
      <c r="C9610" t="s">
        <v>5111</v>
      </c>
      <c r="D9610" t="s">
        <v>2886</v>
      </c>
      <c r="E9610" t="s">
        <v>560</v>
      </c>
      <c r="F9610" t="s">
        <v>1068</v>
      </c>
      <c r="G9610" t="s">
        <v>1087</v>
      </c>
      <c r="H9610" s="171" t="s">
        <v>6114</v>
      </c>
      <c r="I9610" t="s">
        <v>1088</v>
      </c>
      <c r="J9610">
        <v>9.2799999999999994</v>
      </c>
    </row>
    <row r="9611" spans="1:10" hidden="1">
      <c r="A9611" t="s">
        <v>6106</v>
      </c>
      <c r="B9611" t="s">
        <v>6107</v>
      </c>
      <c r="C9611" t="s">
        <v>5111</v>
      </c>
      <c r="D9611" t="s">
        <v>2886</v>
      </c>
      <c r="E9611" t="s">
        <v>560</v>
      </c>
      <c r="F9611" t="s">
        <v>1068</v>
      </c>
      <c r="G9611" t="s">
        <v>1089</v>
      </c>
      <c r="H9611" s="171" t="s">
        <v>6115</v>
      </c>
      <c r="I9611" t="s">
        <v>1090</v>
      </c>
      <c r="J9611">
        <v>9.2799999999999994</v>
      </c>
    </row>
    <row r="9612" spans="1:10" hidden="1">
      <c r="A9612" t="s">
        <v>6116</v>
      </c>
      <c r="B9612" t="s">
        <v>6117</v>
      </c>
      <c r="C9612" t="s">
        <v>5111</v>
      </c>
      <c r="D9612" t="s">
        <v>2886</v>
      </c>
      <c r="E9612" t="s">
        <v>1116</v>
      </c>
      <c r="F9612" t="s">
        <v>1068</v>
      </c>
      <c r="G9612" t="s">
        <v>1069</v>
      </c>
      <c r="H9612" s="171" t="s">
        <v>6118</v>
      </c>
      <c r="I9612" t="s">
        <v>1070</v>
      </c>
      <c r="J9612">
        <v>9.67</v>
      </c>
    </row>
    <row r="9613" spans="1:10" hidden="1">
      <c r="A9613" t="s">
        <v>6116</v>
      </c>
      <c r="B9613" t="s">
        <v>6117</v>
      </c>
      <c r="C9613" t="s">
        <v>5111</v>
      </c>
      <c r="D9613" t="s">
        <v>2886</v>
      </c>
      <c r="E9613" t="s">
        <v>1116</v>
      </c>
      <c r="F9613" t="s">
        <v>1068</v>
      </c>
      <c r="G9613" t="s">
        <v>1071</v>
      </c>
      <c r="H9613" s="171" t="s">
        <v>6119</v>
      </c>
      <c r="I9613" t="s">
        <v>1072</v>
      </c>
      <c r="J9613">
        <v>9.67</v>
      </c>
    </row>
    <row r="9614" spans="1:10" hidden="1">
      <c r="A9614" t="s">
        <v>6116</v>
      </c>
      <c r="B9614" t="s">
        <v>6117</v>
      </c>
      <c r="C9614" t="s">
        <v>5111</v>
      </c>
      <c r="D9614" t="s">
        <v>2886</v>
      </c>
      <c r="E9614" t="s">
        <v>1116</v>
      </c>
      <c r="F9614" t="s">
        <v>1068</v>
      </c>
      <c r="G9614" t="s">
        <v>1073</v>
      </c>
      <c r="H9614" s="171" t="s">
        <v>6120</v>
      </c>
      <c r="I9614" t="s">
        <v>1074</v>
      </c>
      <c r="J9614">
        <v>9.67</v>
      </c>
    </row>
    <row r="9615" spans="1:10" hidden="1">
      <c r="A9615" t="s">
        <v>6116</v>
      </c>
      <c r="B9615" t="s">
        <v>6117</v>
      </c>
      <c r="C9615" t="s">
        <v>5111</v>
      </c>
      <c r="D9615" t="s">
        <v>2886</v>
      </c>
      <c r="E9615" t="s">
        <v>1116</v>
      </c>
      <c r="F9615" t="s">
        <v>1068</v>
      </c>
      <c r="G9615" t="s">
        <v>1075</v>
      </c>
      <c r="H9615">
        <v>3.9786122462595799E-3</v>
      </c>
      <c r="I9615" t="s">
        <v>1077</v>
      </c>
      <c r="J9615">
        <v>9.67</v>
      </c>
    </row>
    <row r="9616" spans="1:10" hidden="1">
      <c r="A9616" t="s">
        <v>6116</v>
      </c>
      <c r="B9616" t="s">
        <v>6117</v>
      </c>
      <c r="C9616" t="s">
        <v>5111</v>
      </c>
      <c r="D9616" t="s">
        <v>2886</v>
      </c>
      <c r="E9616" t="s">
        <v>1116</v>
      </c>
      <c r="F9616" t="s">
        <v>1068</v>
      </c>
      <c r="G9616" t="s">
        <v>1078</v>
      </c>
      <c r="H9616">
        <v>3.7161449527154597E-2</v>
      </c>
      <c r="I9616" t="s">
        <v>1079</v>
      </c>
      <c r="J9616">
        <v>9.67</v>
      </c>
    </row>
    <row r="9617" spans="1:10" hidden="1">
      <c r="A9617" t="s">
        <v>6116</v>
      </c>
      <c r="B9617" t="s">
        <v>6117</v>
      </c>
      <c r="C9617" t="s">
        <v>5111</v>
      </c>
      <c r="D9617" t="s">
        <v>2886</v>
      </c>
      <c r="E9617" t="s">
        <v>1116</v>
      </c>
      <c r="F9617" t="s">
        <v>1068</v>
      </c>
      <c r="G9617" t="s">
        <v>1080</v>
      </c>
      <c r="H9617" s="171" t="s">
        <v>6121</v>
      </c>
      <c r="I9617" t="s">
        <v>1082</v>
      </c>
      <c r="J9617">
        <v>9.67</v>
      </c>
    </row>
    <row r="9618" spans="1:10" hidden="1">
      <c r="A9618" t="s">
        <v>6116</v>
      </c>
      <c r="B9618" t="s">
        <v>6117</v>
      </c>
      <c r="C9618" t="s">
        <v>5111</v>
      </c>
      <c r="D9618" t="s">
        <v>2886</v>
      </c>
      <c r="E9618" t="s">
        <v>1116</v>
      </c>
      <c r="F9618" t="s">
        <v>1068</v>
      </c>
      <c r="G9618" t="s">
        <v>1083</v>
      </c>
      <c r="H9618" s="171" t="s">
        <v>6122</v>
      </c>
      <c r="I9618" t="s">
        <v>1084</v>
      </c>
      <c r="J9618">
        <v>9.67</v>
      </c>
    </row>
    <row r="9619" spans="1:10" hidden="1">
      <c r="A9619" t="s">
        <v>6116</v>
      </c>
      <c r="B9619" t="s">
        <v>6117</v>
      </c>
      <c r="C9619" t="s">
        <v>5111</v>
      </c>
      <c r="D9619" t="s">
        <v>2886</v>
      </c>
      <c r="E9619" t="s">
        <v>1116</v>
      </c>
      <c r="F9619" t="s">
        <v>1068</v>
      </c>
      <c r="G9619" t="s">
        <v>1085</v>
      </c>
      <c r="H9619">
        <v>1.4010585374806E-4</v>
      </c>
      <c r="I9619" t="s">
        <v>1086</v>
      </c>
      <c r="J9619">
        <v>9.67</v>
      </c>
    </row>
    <row r="9620" spans="1:10" hidden="1">
      <c r="A9620" t="s">
        <v>6116</v>
      </c>
      <c r="B9620" t="s">
        <v>6117</v>
      </c>
      <c r="C9620" t="s">
        <v>5111</v>
      </c>
      <c r="D9620" t="s">
        <v>2886</v>
      </c>
      <c r="E9620" t="s">
        <v>1116</v>
      </c>
      <c r="F9620" t="s">
        <v>1068</v>
      </c>
      <c r="G9620" t="s">
        <v>1087</v>
      </c>
      <c r="H9620" s="171" t="s">
        <v>6123</v>
      </c>
      <c r="I9620" t="s">
        <v>1088</v>
      </c>
      <c r="J9620">
        <v>9.67</v>
      </c>
    </row>
    <row r="9621" spans="1:10" hidden="1">
      <c r="A9621" t="s">
        <v>6116</v>
      </c>
      <c r="B9621" t="s">
        <v>6117</v>
      </c>
      <c r="C9621" t="s">
        <v>5111</v>
      </c>
      <c r="D9621" t="s">
        <v>2886</v>
      </c>
      <c r="E9621" t="s">
        <v>1116</v>
      </c>
      <c r="F9621" t="s">
        <v>1068</v>
      </c>
      <c r="G9621" t="s">
        <v>1089</v>
      </c>
      <c r="H9621" s="171" t="s">
        <v>6124</v>
      </c>
      <c r="I9621" t="s">
        <v>1090</v>
      </c>
      <c r="J9621">
        <v>9.67</v>
      </c>
    </row>
    <row r="9622" spans="1:10" hidden="1">
      <c r="A9622" t="s">
        <v>6125</v>
      </c>
      <c r="B9622" t="s">
        <v>6126</v>
      </c>
      <c r="C9622" t="s">
        <v>5111</v>
      </c>
      <c r="D9622" t="s">
        <v>2975</v>
      </c>
      <c r="E9622" t="s">
        <v>561</v>
      </c>
      <c r="F9622" t="s">
        <v>1068</v>
      </c>
      <c r="G9622" t="s">
        <v>1069</v>
      </c>
      <c r="H9622">
        <v>9.8532048914581505E-2</v>
      </c>
      <c r="I9622" t="s">
        <v>1070</v>
      </c>
      <c r="J9622">
        <v>11.41</v>
      </c>
    </row>
    <row r="9623" spans="1:10" hidden="1">
      <c r="A9623" t="s">
        <v>6125</v>
      </c>
      <c r="B9623" t="s">
        <v>6126</v>
      </c>
      <c r="C9623" t="s">
        <v>5111</v>
      </c>
      <c r="D9623" t="s">
        <v>2975</v>
      </c>
      <c r="E9623" t="s">
        <v>561</v>
      </c>
      <c r="F9623" t="s">
        <v>1068</v>
      </c>
      <c r="G9623" t="s">
        <v>1071</v>
      </c>
      <c r="H9623" s="171" t="s">
        <v>6127</v>
      </c>
      <c r="I9623" t="s">
        <v>1072</v>
      </c>
      <c r="J9623">
        <v>11.41</v>
      </c>
    </row>
    <row r="9624" spans="1:10" hidden="1">
      <c r="A9624" t="s">
        <v>6125</v>
      </c>
      <c r="B9624" t="s">
        <v>6126</v>
      </c>
      <c r="C9624" t="s">
        <v>5111</v>
      </c>
      <c r="D9624" t="s">
        <v>2975</v>
      </c>
      <c r="E9624" t="s">
        <v>561</v>
      </c>
      <c r="F9624" t="s">
        <v>1068</v>
      </c>
      <c r="G9624" t="s">
        <v>1073</v>
      </c>
      <c r="H9624" s="171" t="s">
        <v>6128</v>
      </c>
      <c r="I9624" t="s">
        <v>1074</v>
      </c>
      <c r="J9624">
        <v>11.41</v>
      </c>
    </row>
    <row r="9625" spans="1:10" hidden="1">
      <c r="A9625" t="s">
        <v>6125</v>
      </c>
      <c r="B9625" t="s">
        <v>6126</v>
      </c>
      <c r="C9625" t="s">
        <v>5111</v>
      </c>
      <c r="D9625" t="s">
        <v>2975</v>
      </c>
      <c r="E9625" t="s">
        <v>561</v>
      </c>
      <c r="F9625" t="s">
        <v>1068</v>
      </c>
      <c r="G9625" t="s">
        <v>1075</v>
      </c>
      <c r="H9625">
        <v>3.7535174167989001E-3</v>
      </c>
      <c r="I9625" t="s">
        <v>1077</v>
      </c>
      <c r="J9625">
        <v>11.41</v>
      </c>
    </row>
    <row r="9626" spans="1:10" hidden="1">
      <c r="A9626" t="s">
        <v>6125</v>
      </c>
      <c r="B9626" t="s">
        <v>6126</v>
      </c>
      <c r="C9626" t="s">
        <v>5111</v>
      </c>
      <c r="D9626" t="s">
        <v>2975</v>
      </c>
      <c r="E9626" t="s">
        <v>561</v>
      </c>
      <c r="F9626" t="s">
        <v>1068</v>
      </c>
      <c r="G9626" t="s">
        <v>1078</v>
      </c>
      <c r="H9626">
        <v>2.7233022209676799E-2</v>
      </c>
      <c r="I9626" t="s">
        <v>1079</v>
      </c>
      <c r="J9626">
        <v>11.41</v>
      </c>
    </row>
    <row r="9627" spans="1:10" hidden="1">
      <c r="A9627" t="s">
        <v>6125</v>
      </c>
      <c r="B9627" t="s">
        <v>6126</v>
      </c>
      <c r="C9627" t="s">
        <v>5111</v>
      </c>
      <c r="D9627" t="s">
        <v>2975</v>
      </c>
      <c r="E9627" t="s">
        <v>561</v>
      </c>
      <c r="F9627" t="s">
        <v>1068</v>
      </c>
      <c r="G9627" t="s">
        <v>1080</v>
      </c>
      <c r="H9627" s="171" t="s">
        <v>6129</v>
      </c>
      <c r="I9627" t="s">
        <v>1082</v>
      </c>
      <c r="J9627">
        <v>11.41</v>
      </c>
    </row>
    <row r="9628" spans="1:10" hidden="1">
      <c r="A9628" t="s">
        <v>6125</v>
      </c>
      <c r="B9628" t="s">
        <v>6126</v>
      </c>
      <c r="C9628" t="s">
        <v>5111</v>
      </c>
      <c r="D9628" t="s">
        <v>2975</v>
      </c>
      <c r="E9628" t="s">
        <v>561</v>
      </c>
      <c r="F9628" t="s">
        <v>1068</v>
      </c>
      <c r="G9628" t="s">
        <v>1083</v>
      </c>
      <c r="H9628" s="171" t="s">
        <v>6130</v>
      </c>
      <c r="I9628" t="s">
        <v>1084</v>
      </c>
      <c r="J9628">
        <v>11.41</v>
      </c>
    </row>
    <row r="9629" spans="1:10" hidden="1">
      <c r="A9629" t="s">
        <v>6125</v>
      </c>
      <c r="B9629" t="s">
        <v>6126</v>
      </c>
      <c r="C9629" t="s">
        <v>5111</v>
      </c>
      <c r="D9629" t="s">
        <v>2975</v>
      </c>
      <c r="E9629" t="s">
        <v>561</v>
      </c>
      <c r="F9629" t="s">
        <v>1068</v>
      </c>
      <c r="G9629" t="s">
        <v>1085</v>
      </c>
      <c r="H9629">
        <v>1.27783434072192E-4</v>
      </c>
      <c r="I9629" t="s">
        <v>1086</v>
      </c>
      <c r="J9629">
        <v>11.41</v>
      </c>
    </row>
    <row r="9630" spans="1:10" hidden="1">
      <c r="A9630" t="s">
        <v>6125</v>
      </c>
      <c r="B9630" t="s">
        <v>6126</v>
      </c>
      <c r="C9630" t="s">
        <v>5111</v>
      </c>
      <c r="D9630" t="s">
        <v>2975</v>
      </c>
      <c r="E9630" t="s">
        <v>561</v>
      </c>
      <c r="F9630" t="s">
        <v>1068</v>
      </c>
      <c r="G9630" t="s">
        <v>1087</v>
      </c>
      <c r="H9630" s="171" t="s">
        <v>6131</v>
      </c>
      <c r="I9630" t="s">
        <v>1088</v>
      </c>
      <c r="J9630">
        <v>11.41</v>
      </c>
    </row>
    <row r="9631" spans="1:10" hidden="1">
      <c r="A9631" t="s">
        <v>6125</v>
      </c>
      <c r="B9631" t="s">
        <v>6126</v>
      </c>
      <c r="C9631" t="s">
        <v>5111</v>
      </c>
      <c r="D9631" t="s">
        <v>2975</v>
      </c>
      <c r="E9631" t="s">
        <v>561</v>
      </c>
      <c r="F9631" t="s">
        <v>1068</v>
      </c>
      <c r="G9631" t="s">
        <v>1089</v>
      </c>
      <c r="H9631" s="171" t="s">
        <v>6132</v>
      </c>
      <c r="I9631" t="s">
        <v>1090</v>
      </c>
      <c r="J9631">
        <v>11.41</v>
      </c>
    </row>
    <row r="9632" spans="1:10" hidden="1">
      <c r="A9632" t="s">
        <v>6133</v>
      </c>
      <c r="B9632" t="s">
        <v>6134</v>
      </c>
      <c r="C9632" t="s">
        <v>5111</v>
      </c>
      <c r="D9632" t="s">
        <v>2975</v>
      </c>
      <c r="E9632" t="s">
        <v>555</v>
      </c>
      <c r="F9632" t="s">
        <v>1068</v>
      </c>
      <c r="G9632" t="s">
        <v>1069</v>
      </c>
      <c r="H9632">
        <v>9.6688203998826397E-2</v>
      </c>
      <c r="I9632" t="s">
        <v>1070</v>
      </c>
      <c r="J9632">
        <v>9.39</v>
      </c>
    </row>
    <row r="9633" spans="1:10" hidden="1">
      <c r="A9633" t="s">
        <v>6133</v>
      </c>
      <c r="B9633" t="s">
        <v>6134</v>
      </c>
      <c r="C9633" t="s">
        <v>5111</v>
      </c>
      <c r="D9633" t="s">
        <v>2975</v>
      </c>
      <c r="E9633" t="s">
        <v>555</v>
      </c>
      <c r="F9633" t="s">
        <v>1068</v>
      </c>
      <c r="G9633" t="s">
        <v>1071</v>
      </c>
      <c r="H9633" s="171" t="s">
        <v>6135</v>
      </c>
      <c r="I9633" t="s">
        <v>1072</v>
      </c>
      <c r="J9633">
        <v>9.39</v>
      </c>
    </row>
    <row r="9634" spans="1:10" hidden="1">
      <c r="A9634" t="s">
        <v>6133</v>
      </c>
      <c r="B9634" t="s">
        <v>6134</v>
      </c>
      <c r="C9634" t="s">
        <v>5111</v>
      </c>
      <c r="D9634" t="s">
        <v>2975</v>
      </c>
      <c r="E9634" t="s">
        <v>555</v>
      </c>
      <c r="F9634" t="s">
        <v>1068</v>
      </c>
      <c r="G9634" t="s">
        <v>1073</v>
      </c>
      <c r="H9634" s="171" t="s">
        <v>6136</v>
      </c>
      <c r="I9634" t="s">
        <v>1074</v>
      </c>
      <c r="J9634">
        <v>9.39</v>
      </c>
    </row>
    <row r="9635" spans="1:10" hidden="1">
      <c r="A9635" t="s">
        <v>6133</v>
      </c>
      <c r="B9635" t="s">
        <v>6134</v>
      </c>
      <c r="C9635" t="s">
        <v>5111</v>
      </c>
      <c r="D9635" t="s">
        <v>2975</v>
      </c>
      <c r="E9635" t="s">
        <v>555</v>
      </c>
      <c r="F9635" t="s">
        <v>1068</v>
      </c>
      <c r="G9635" t="s">
        <v>1075</v>
      </c>
      <c r="H9635">
        <v>3.6950097557400599E-3</v>
      </c>
      <c r="I9635" t="s">
        <v>1077</v>
      </c>
      <c r="J9635">
        <v>9.39</v>
      </c>
    </row>
    <row r="9636" spans="1:10" hidden="1">
      <c r="A9636" t="s">
        <v>6133</v>
      </c>
      <c r="B9636" t="s">
        <v>6134</v>
      </c>
      <c r="C9636" t="s">
        <v>5111</v>
      </c>
      <c r="D9636" t="s">
        <v>2975</v>
      </c>
      <c r="E9636" t="s">
        <v>555</v>
      </c>
      <c r="F9636" t="s">
        <v>1068</v>
      </c>
      <c r="G9636" t="s">
        <v>1078</v>
      </c>
      <c r="H9636" s="171" t="s">
        <v>6137</v>
      </c>
      <c r="I9636" t="s">
        <v>1079</v>
      </c>
      <c r="J9636">
        <v>9.39</v>
      </c>
    </row>
    <row r="9637" spans="1:10" hidden="1">
      <c r="A9637" t="s">
        <v>6133</v>
      </c>
      <c r="B9637" t="s">
        <v>6134</v>
      </c>
      <c r="C9637" t="s">
        <v>5111</v>
      </c>
      <c r="D9637" t="s">
        <v>2975</v>
      </c>
      <c r="E9637" t="s">
        <v>555</v>
      </c>
      <c r="F9637" t="s">
        <v>1068</v>
      </c>
      <c r="G9637" t="s">
        <v>1080</v>
      </c>
      <c r="H9637" s="171" t="s">
        <v>6138</v>
      </c>
      <c r="I9637" t="s">
        <v>1082</v>
      </c>
      <c r="J9637">
        <v>9.39</v>
      </c>
    </row>
    <row r="9638" spans="1:10" hidden="1">
      <c r="A9638" t="s">
        <v>6133</v>
      </c>
      <c r="B9638" t="s">
        <v>6134</v>
      </c>
      <c r="C9638" t="s">
        <v>5111</v>
      </c>
      <c r="D9638" t="s">
        <v>2975</v>
      </c>
      <c r="E9638" t="s">
        <v>555</v>
      </c>
      <c r="F9638" t="s">
        <v>1068</v>
      </c>
      <c r="G9638" t="s">
        <v>1083</v>
      </c>
      <c r="H9638" s="171" t="s">
        <v>6139</v>
      </c>
      <c r="I9638" t="s">
        <v>1084</v>
      </c>
      <c r="J9638">
        <v>9.39</v>
      </c>
    </row>
    <row r="9639" spans="1:10" hidden="1">
      <c r="A9639" t="s">
        <v>6133</v>
      </c>
      <c r="B9639" t="s">
        <v>6134</v>
      </c>
      <c r="C9639" t="s">
        <v>5111</v>
      </c>
      <c r="D9639" t="s">
        <v>2975</v>
      </c>
      <c r="E9639" t="s">
        <v>555</v>
      </c>
      <c r="F9639" t="s">
        <v>1068</v>
      </c>
      <c r="G9639" t="s">
        <v>1085</v>
      </c>
      <c r="H9639">
        <v>1.24603808380819E-4</v>
      </c>
      <c r="I9639" t="s">
        <v>1086</v>
      </c>
      <c r="J9639">
        <v>9.39</v>
      </c>
    </row>
    <row r="9640" spans="1:10" hidden="1">
      <c r="A9640" t="s">
        <v>6133</v>
      </c>
      <c r="B9640" t="s">
        <v>6134</v>
      </c>
      <c r="C9640" t="s">
        <v>5111</v>
      </c>
      <c r="D9640" t="s">
        <v>2975</v>
      </c>
      <c r="E9640" t="s">
        <v>555</v>
      </c>
      <c r="F9640" t="s">
        <v>1068</v>
      </c>
      <c r="G9640" t="s">
        <v>1087</v>
      </c>
      <c r="H9640" s="171" t="s">
        <v>6140</v>
      </c>
      <c r="I9640" t="s">
        <v>1088</v>
      </c>
      <c r="J9640">
        <v>9.39</v>
      </c>
    </row>
    <row r="9641" spans="1:10" hidden="1">
      <c r="A9641" t="s">
        <v>6133</v>
      </c>
      <c r="B9641" t="s">
        <v>6134</v>
      </c>
      <c r="C9641" t="s">
        <v>5111</v>
      </c>
      <c r="D9641" t="s">
        <v>2975</v>
      </c>
      <c r="E9641" t="s">
        <v>555</v>
      </c>
      <c r="F9641" t="s">
        <v>1068</v>
      </c>
      <c r="G9641" t="s">
        <v>1089</v>
      </c>
      <c r="H9641" s="171" t="s">
        <v>6141</v>
      </c>
      <c r="I9641" t="s">
        <v>1090</v>
      </c>
      <c r="J9641">
        <v>9.39</v>
      </c>
    </row>
    <row r="9642" spans="1:10" hidden="1">
      <c r="A9642" t="s">
        <v>6142</v>
      </c>
      <c r="B9642" t="s">
        <v>6143</v>
      </c>
      <c r="C9642" t="s">
        <v>5111</v>
      </c>
      <c r="D9642" t="s">
        <v>2975</v>
      </c>
      <c r="E9642" t="s">
        <v>558</v>
      </c>
      <c r="F9642" t="s">
        <v>1068</v>
      </c>
      <c r="G9642" t="s">
        <v>1069</v>
      </c>
      <c r="H9642">
        <v>9.86960011173795E-2</v>
      </c>
      <c r="I9642" t="s">
        <v>1070</v>
      </c>
      <c r="J9642">
        <v>9.68</v>
      </c>
    </row>
    <row r="9643" spans="1:10" hidden="1">
      <c r="A9643" t="s">
        <v>6142</v>
      </c>
      <c r="B9643" t="s">
        <v>6143</v>
      </c>
      <c r="C9643" t="s">
        <v>5111</v>
      </c>
      <c r="D9643" t="s">
        <v>2975</v>
      </c>
      <c r="E9643" t="s">
        <v>558</v>
      </c>
      <c r="F9643" t="s">
        <v>1068</v>
      </c>
      <c r="G9643" t="s">
        <v>1071</v>
      </c>
      <c r="H9643" s="171" t="s">
        <v>6144</v>
      </c>
      <c r="I9643" t="s">
        <v>1072</v>
      </c>
      <c r="J9643">
        <v>9.68</v>
      </c>
    </row>
    <row r="9644" spans="1:10" hidden="1">
      <c r="A9644" t="s">
        <v>6142</v>
      </c>
      <c r="B9644" t="s">
        <v>6143</v>
      </c>
      <c r="C9644" t="s">
        <v>5111</v>
      </c>
      <c r="D9644" t="s">
        <v>2975</v>
      </c>
      <c r="E9644" t="s">
        <v>558</v>
      </c>
      <c r="F9644" t="s">
        <v>1068</v>
      </c>
      <c r="G9644" t="s">
        <v>1073</v>
      </c>
      <c r="H9644" s="171" t="s">
        <v>6145</v>
      </c>
      <c r="I9644" t="s">
        <v>1074</v>
      </c>
      <c r="J9644">
        <v>9.68</v>
      </c>
    </row>
    <row r="9645" spans="1:10" hidden="1">
      <c r="A9645" t="s">
        <v>6142</v>
      </c>
      <c r="B9645" t="s">
        <v>6143</v>
      </c>
      <c r="C9645" t="s">
        <v>5111</v>
      </c>
      <c r="D9645" t="s">
        <v>2975</v>
      </c>
      <c r="E9645" t="s">
        <v>558</v>
      </c>
      <c r="F9645" t="s">
        <v>1068</v>
      </c>
      <c r="G9645" t="s">
        <v>1075</v>
      </c>
      <c r="H9645">
        <v>3.75870012107434E-3</v>
      </c>
      <c r="I9645" t="s">
        <v>1077</v>
      </c>
      <c r="J9645">
        <v>9.68</v>
      </c>
    </row>
    <row r="9646" spans="1:10" hidden="1">
      <c r="A9646" t="s">
        <v>6142</v>
      </c>
      <c r="B9646" t="s">
        <v>6143</v>
      </c>
      <c r="C9646" t="s">
        <v>5111</v>
      </c>
      <c r="D9646" t="s">
        <v>2975</v>
      </c>
      <c r="E9646" t="s">
        <v>558</v>
      </c>
      <c r="F9646" t="s">
        <v>1068</v>
      </c>
      <c r="G9646" t="s">
        <v>1078</v>
      </c>
      <c r="H9646" s="171" t="s">
        <v>6146</v>
      </c>
      <c r="I9646" t="s">
        <v>1079</v>
      </c>
      <c r="J9646">
        <v>9.68</v>
      </c>
    </row>
    <row r="9647" spans="1:10" hidden="1">
      <c r="A9647" t="s">
        <v>6142</v>
      </c>
      <c r="B9647" t="s">
        <v>6143</v>
      </c>
      <c r="C9647" t="s">
        <v>5111</v>
      </c>
      <c r="D9647" t="s">
        <v>2975</v>
      </c>
      <c r="E9647" t="s">
        <v>558</v>
      </c>
      <c r="F9647" t="s">
        <v>1068</v>
      </c>
      <c r="G9647" t="s">
        <v>1080</v>
      </c>
      <c r="H9647" s="171" t="s">
        <v>6147</v>
      </c>
      <c r="I9647" t="s">
        <v>1082</v>
      </c>
      <c r="J9647">
        <v>9.68</v>
      </c>
    </row>
    <row r="9648" spans="1:10" hidden="1">
      <c r="A9648" t="s">
        <v>6142</v>
      </c>
      <c r="B9648" t="s">
        <v>6143</v>
      </c>
      <c r="C9648" t="s">
        <v>5111</v>
      </c>
      <c r="D9648" t="s">
        <v>2975</v>
      </c>
      <c r="E9648" t="s">
        <v>558</v>
      </c>
      <c r="F9648" t="s">
        <v>1068</v>
      </c>
      <c r="G9648" t="s">
        <v>1083</v>
      </c>
      <c r="H9648" s="171" t="s">
        <v>6148</v>
      </c>
      <c r="I9648" t="s">
        <v>1084</v>
      </c>
      <c r="J9648">
        <v>9.68</v>
      </c>
    </row>
    <row r="9649" spans="1:10" hidden="1">
      <c r="A9649" t="s">
        <v>6142</v>
      </c>
      <c r="B9649" t="s">
        <v>6143</v>
      </c>
      <c r="C9649" t="s">
        <v>5111</v>
      </c>
      <c r="D9649" t="s">
        <v>2975</v>
      </c>
      <c r="E9649" t="s">
        <v>558</v>
      </c>
      <c r="F9649" t="s">
        <v>1068</v>
      </c>
      <c r="G9649" t="s">
        <v>1085</v>
      </c>
      <c r="H9649">
        <v>1.2806509015390701E-4</v>
      </c>
      <c r="I9649" t="s">
        <v>1086</v>
      </c>
      <c r="J9649">
        <v>9.68</v>
      </c>
    </row>
    <row r="9650" spans="1:10" hidden="1">
      <c r="A9650" t="s">
        <v>6142</v>
      </c>
      <c r="B9650" t="s">
        <v>6143</v>
      </c>
      <c r="C9650" t="s">
        <v>5111</v>
      </c>
      <c r="D9650" t="s">
        <v>2975</v>
      </c>
      <c r="E9650" t="s">
        <v>558</v>
      </c>
      <c r="F9650" t="s">
        <v>1068</v>
      </c>
      <c r="G9650" t="s">
        <v>1087</v>
      </c>
      <c r="H9650" s="171" t="s">
        <v>6149</v>
      </c>
      <c r="I9650" t="s">
        <v>1088</v>
      </c>
      <c r="J9650">
        <v>9.68</v>
      </c>
    </row>
    <row r="9651" spans="1:10" hidden="1">
      <c r="A9651" t="s">
        <v>6142</v>
      </c>
      <c r="B9651" t="s">
        <v>6143</v>
      </c>
      <c r="C9651" t="s">
        <v>5111</v>
      </c>
      <c r="D9651" t="s">
        <v>2975</v>
      </c>
      <c r="E9651" t="s">
        <v>558</v>
      </c>
      <c r="F9651" t="s">
        <v>1068</v>
      </c>
      <c r="G9651" t="s">
        <v>1089</v>
      </c>
      <c r="H9651" s="171" t="s">
        <v>6150</v>
      </c>
      <c r="I9651" t="s">
        <v>1090</v>
      </c>
      <c r="J9651">
        <v>9.68</v>
      </c>
    </row>
    <row r="9652" spans="1:10" hidden="1">
      <c r="A9652" t="s">
        <v>6151</v>
      </c>
      <c r="B9652" t="s">
        <v>6152</v>
      </c>
      <c r="C9652" t="s">
        <v>5111</v>
      </c>
      <c r="D9652" t="s">
        <v>2975</v>
      </c>
      <c r="E9652" t="s">
        <v>553</v>
      </c>
      <c r="F9652" t="s">
        <v>1068</v>
      </c>
      <c r="G9652" t="s">
        <v>1069</v>
      </c>
      <c r="H9652">
        <v>9.8864320610347306E-2</v>
      </c>
      <c r="I9652" t="s">
        <v>1070</v>
      </c>
      <c r="J9652">
        <v>13.16</v>
      </c>
    </row>
    <row r="9653" spans="1:10" hidden="1">
      <c r="A9653" t="s">
        <v>6151</v>
      </c>
      <c r="B9653" t="s">
        <v>6152</v>
      </c>
      <c r="C9653" t="s">
        <v>5111</v>
      </c>
      <c r="D9653" t="s">
        <v>2975</v>
      </c>
      <c r="E9653" t="s">
        <v>553</v>
      </c>
      <c r="F9653" t="s">
        <v>1068</v>
      </c>
      <c r="G9653" t="s">
        <v>1071</v>
      </c>
      <c r="H9653" s="171" t="s">
        <v>6153</v>
      </c>
      <c r="I9653" t="s">
        <v>1072</v>
      </c>
      <c r="J9653">
        <v>13.16</v>
      </c>
    </row>
    <row r="9654" spans="1:10" hidden="1">
      <c r="A9654" t="s">
        <v>6151</v>
      </c>
      <c r="B9654" t="s">
        <v>6152</v>
      </c>
      <c r="C9654" t="s">
        <v>5111</v>
      </c>
      <c r="D9654" t="s">
        <v>2975</v>
      </c>
      <c r="E9654" t="s">
        <v>553</v>
      </c>
      <c r="F9654" t="s">
        <v>1068</v>
      </c>
      <c r="G9654" t="s">
        <v>1073</v>
      </c>
      <c r="H9654" s="171" t="s">
        <v>6154</v>
      </c>
      <c r="I9654" t="s">
        <v>1074</v>
      </c>
      <c r="J9654">
        <v>13.16</v>
      </c>
    </row>
    <row r="9655" spans="1:10" hidden="1">
      <c r="A9655" t="s">
        <v>6151</v>
      </c>
      <c r="B9655" t="s">
        <v>6152</v>
      </c>
      <c r="C9655" t="s">
        <v>5111</v>
      </c>
      <c r="D9655" t="s">
        <v>2975</v>
      </c>
      <c r="E9655" t="s">
        <v>553</v>
      </c>
      <c r="F9655" t="s">
        <v>1068</v>
      </c>
      <c r="G9655" t="s">
        <v>1075</v>
      </c>
      <c r="H9655">
        <v>3.7637991265086499E-3</v>
      </c>
      <c r="I9655" t="s">
        <v>1077</v>
      </c>
      <c r="J9655">
        <v>13.16</v>
      </c>
    </row>
    <row r="9656" spans="1:10" hidden="1">
      <c r="A9656" t="s">
        <v>6151</v>
      </c>
      <c r="B9656" t="s">
        <v>6152</v>
      </c>
      <c r="C9656" t="s">
        <v>5111</v>
      </c>
      <c r="D9656" t="s">
        <v>2975</v>
      </c>
      <c r="E9656" t="s">
        <v>553</v>
      </c>
      <c r="F9656" t="s">
        <v>1068</v>
      </c>
      <c r="G9656" t="s">
        <v>1078</v>
      </c>
      <c r="H9656">
        <v>2.76776392305495E-2</v>
      </c>
      <c r="I9656" t="s">
        <v>1079</v>
      </c>
      <c r="J9656">
        <v>13.16</v>
      </c>
    </row>
    <row r="9657" spans="1:10" hidden="1">
      <c r="A9657" t="s">
        <v>6151</v>
      </c>
      <c r="B9657" t="s">
        <v>6152</v>
      </c>
      <c r="C9657" t="s">
        <v>5111</v>
      </c>
      <c r="D9657" t="s">
        <v>2975</v>
      </c>
      <c r="E9657" t="s">
        <v>553</v>
      </c>
      <c r="F9657" t="s">
        <v>1068</v>
      </c>
      <c r="G9657" t="s">
        <v>1080</v>
      </c>
      <c r="H9657" s="171" t="s">
        <v>6155</v>
      </c>
      <c r="I9657" t="s">
        <v>1082</v>
      </c>
      <c r="J9657">
        <v>13.16</v>
      </c>
    </row>
    <row r="9658" spans="1:10" hidden="1">
      <c r="A9658" t="s">
        <v>6151</v>
      </c>
      <c r="B9658" t="s">
        <v>6152</v>
      </c>
      <c r="C9658" t="s">
        <v>5111</v>
      </c>
      <c r="D9658" t="s">
        <v>2975</v>
      </c>
      <c r="E9658" t="s">
        <v>553</v>
      </c>
      <c r="F9658" t="s">
        <v>1068</v>
      </c>
      <c r="G9658" t="s">
        <v>1083</v>
      </c>
      <c r="H9658" s="171" t="s">
        <v>6156</v>
      </c>
      <c r="I9658" t="s">
        <v>1084</v>
      </c>
      <c r="J9658">
        <v>13.16</v>
      </c>
    </row>
    <row r="9659" spans="1:10" hidden="1">
      <c r="A9659" t="s">
        <v>6151</v>
      </c>
      <c r="B9659" t="s">
        <v>6152</v>
      </c>
      <c r="C9659" t="s">
        <v>5111</v>
      </c>
      <c r="D9659" t="s">
        <v>2975</v>
      </c>
      <c r="E9659" t="s">
        <v>553</v>
      </c>
      <c r="F9659" t="s">
        <v>1068</v>
      </c>
      <c r="G9659" t="s">
        <v>1085</v>
      </c>
      <c r="H9659">
        <v>1.2834219351806999E-4</v>
      </c>
      <c r="I9659" t="s">
        <v>1086</v>
      </c>
      <c r="J9659">
        <v>13.16</v>
      </c>
    </row>
    <row r="9660" spans="1:10" hidden="1">
      <c r="A9660" t="s">
        <v>6151</v>
      </c>
      <c r="B9660" t="s">
        <v>6152</v>
      </c>
      <c r="C9660" t="s">
        <v>5111</v>
      </c>
      <c r="D9660" t="s">
        <v>2975</v>
      </c>
      <c r="E9660" t="s">
        <v>553</v>
      </c>
      <c r="F9660" t="s">
        <v>1068</v>
      </c>
      <c r="G9660" t="s">
        <v>1087</v>
      </c>
      <c r="H9660" s="171" t="s">
        <v>6157</v>
      </c>
      <c r="I9660" t="s">
        <v>1088</v>
      </c>
      <c r="J9660">
        <v>13.16</v>
      </c>
    </row>
    <row r="9661" spans="1:10" hidden="1">
      <c r="A9661" t="s">
        <v>6151</v>
      </c>
      <c r="B9661" t="s">
        <v>6152</v>
      </c>
      <c r="C9661" t="s">
        <v>5111</v>
      </c>
      <c r="D9661" t="s">
        <v>2975</v>
      </c>
      <c r="E9661" t="s">
        <v>553</v>
      </c>
      <c r="F9661" t="s">
        <v>1068</v>
      </c>
      <c r="G9661" t="s">
        <v>1089</v>
      </c>
      <c r="H9661" s="171" t="s">
        <v>6158</v>
      </c>
      <c r="I9661" t="s">
        <v>1090</v>
      </c>
      <c r="J9661">
        <v>13.16</v>
      </c>
    </row>
    <row r="9662" spans="1:10" hidden="1">
      <c r="A9662" t="s">
        <v>6159</v>
      </c>
      <c r="B9662" t="s">
        <v>6160</v>
      </c>
      <c r="C9662" t="s">
        <v>5111</v>
      </c>
      <c r="D9662" t="s">
        <v>2975</v>
      </c>
      <c r="E9662" t="s">
        <v>556</v>
      </c>
      <c r="F9662" t="s">
        <v>1068</v>
      </c>
      <c r="G9662" t="s">
        <v>1069</v>
      </c>
      <c r="H9662">
        <v>9.6892742091240394E-2</v>
      </c>
      <c r="I9662" t="s">
        <v>1070</v>
      </c>
      <c r="J9662">
        <v>12.8</v>
      </c>
    </row>
    <row r="9663" spans="1:10" hidden="1">
      <c r="A9663" t="s">
        <v>6159</v>
      </c>
      <c r="B9663" t="s">
        <v>6160</v>
      </c>
      <c r="C9663" t="s">
        <v>5111</v>
      </c>
      <c r="D9663" t="s">
        <v>2975</v>
      </c>
      <c r="E9663" t="s">
        <v>556</v>
      </c>
      <c r="F9663" t="s">
        <v>1068</v>
      </c>
      <c r="G9663" t="s">
        <v>1071</v>
      </c>
      <c r="H9663" s="171" t="s">
        <v>6161</v>
      </c>
      <c r="I9663" t="s">
        <v>1072</v>
      </c>
      <c r="J9663">
        <v>12.8</v>
      </c>
    </row>
    <row r="9664" spans="1:10" hidden="1">
      <c r="A9664" t="s">
        <v>6159</v>
      </c>
      <c r="B9664" t="s">
        <v>6160</v>
      </c>
      <c r="C9664" t="s">
        <v>5111</v>
      </c>
      <c r="D9664" t="s">
        <v>2975</v>
      </c>
      <c r="E9664" t="s">
        <v>556</v>
      </c>
      <c r="F9664" t="s">
        <v>1068</v>
      </c>
      <c r="G9664" t="s">
        <v>1073</v>
      </c>
      <c r="H9664" s="171" t="s">
        <v>6162</v>
      </c>
      <c r="I9664" t="s">
        <v>1074</v>
      </c>
      <c r="J9664">
        <v>12.8</v>
      </c>
    </row>
    <row r="9665" spans="1:10" hidden="1">
      <c r="A9665" t="s">
        <v>6159</v>
      </c>
      <c r="B9665" t="s">
        <v>6160</v>
      </c>
      <c r="C9665" t="s">
        <v>5111</v>
      </c>
      <c r="D9665" t="s">
        <v>2975</v>
      </c>
      <c r="E9665" t="s">
        <v>556</v>
      </c>
      <c r="F9665" t="s">
        <v>1068</v>
      </c>
      <c r="G9665" t="s">
        <v>1075</v>
      </c>
      <c r="H9665">
        <v>3.7014754233423599E-3</v>
      </c>
      <c r="I9665" t="s">
        <v>1077</v>
      </c>
      <c r="J9665">
        <v>12.8</v>
      </c>
    </row>
    <row r="9666" spans="1:10" hidden="1">
      <c r="A9666" t="s">
        <v>6159</v>
      </c>
      <c r="B9666" t="s">
        <v>6160</v>
      </c>
      <c r="C9666" t="s">
        <v>5111</v>
      </c>
      <c r="D9666" t="s">
        <v>2975</v>
      </c>
      <c r="E9666" t="s">
        <v>556</v>
      </c>
      <c r="F9666" t="s">
        <v>1068</v>
      </c>
      <c r="G9666" t="s">
        <v>1078</v>
      </c>
      <c r="H9666">
        <v>2.4982521898512501E-2</v>
      </c>
      <c r="I9666" t="s">
        <v>1079</v>
      </c>
      <c r="J9666">
        <v>12.8</v>
      </c>
    </row>
    <row r="9667" spans="1:10" hidden="1">
      <c r="A9667" t="s">
        <v>6159</v>
      </c>
      <c r="B9667" t="s">
        <v>6160</v>
      </c>
      <c r="C9667" t="s">
        <v>5111</v>
      </c>
      <c r="D9667" t="s">
        <v>2975</v>
      </c>
      <c r="E9667" t="s">
        <v>556</v>
      </c>
      <c r="F9667" t="s">
        <v>1068</v>
      </c>
      <c r="G9667" t="s">
        <v>1080</v>
      </c>
      <c r="H9667" s="171" t="s">
        <v>6163</v>
      </c>
      <c r="I9667" t="s">
        <v>1082</v>
      </c>
      <c r="J9667">
        <v>12.8</v>
      </c>
    </row>
    <row r="9668" spans="1:10" hidden="1">
      <c r="A9668" t="s">
        <v>6159</v>
      </c>
      <c r="B9668" t="s">
        <v>6160</v>
      </c>
      <c r="C9668" t="s">
        <v>5111</v>
      </c>
      <c r="D9668" t="s">
        <v>2975</v>
      </c>
      <c r="E9668" t="s">
        <v>556</v>
      </c>
      <c r="F9668" t="s">
        <v>1068</v>
      </c>
      <c r="G9668" t="s">
        <v>1083</v>
      </c>
      <c r="H9668" s="171" t="s">
        <v>6164</v>
      </c>
      <c r="I9668" t="s">
        <v>1084</v>
      </c>
      <c r="J9668">
        <v>12.8</v>
      </c>
    </row>
    <row r="9669" spans="1:10" hidden="1">
      <c r="A9669" t="s">
        <v>6159</v>
      </c>
      <c r="B9669" t="s">
        <v>6160</v>
      </c>
      <c r="C9669" t="s">
        <v>5111</v>
      </c>
      <c r="D9669" t="s">
        <v>2975</v>
      </c>
      <c r="E9669" t="s">
        <v>556</v>
      </c>
      <c r="F9669" t="s">
        <v>1068</v>
      </c>
      <c r="G9669" t="s">
        <v>1085</v>
      </c>
      <c r="H9669">
        <v>1.24955187604015E-4</v>
      </c>
      <c r="I9669" t="s">
        <v>1086</v>
      </c>
      <c r="J9669">
        <v>12.8</v>
      </c>
    </row>
    <row r="9670" spans="1:10" hidden="1">
      <c r="A9670" t="s">
        <v>6159</v>
      </c>
      <c r="B9670" t="s">
        <v>6160</v>
      </c>
      <c r="C9670" t="s">
        <v>5111</v>
      </c>
      <c r="D9670" t="s">
        <v>2975</v>
      </c>
      <c r="E9670" t="s">
        <v>556</v>
      </c>
      <c r="F9670" t="s">
        <v>1068</v>
      </c>
      <c r="G9670" t="s">
        <v>1087</v>
      </c>
      <c r="H9670" s="171" t="s">
        <v>6165</v>
      </c>
      <c r="I9670" t="s">
        <v>1088</v>
      </c>
      <c r="J9670">
        <v>12.8</v>
      </c>
    </row>
    <row r="9671" spans="1:10" hidden="1">
      <c r="A9671" t="s">
        <v>6159</v>
      </c>
      <c r="B9671" t="s">
        <v>6160</v>
      </c>
      <c r="C9671" t="s">
        <v>5111</v>
      </c>
      <c r="D9671" t="s">
        <v>2975</v>
      </c>
      <c r="E9671" t="s">
        <v>556</v>
      </c>
      <c r="F9671" t="s">
        <v>1068</v>
      </c>
      <c r="G9671" t="s">
        <v>1089</v>
      </c>
      <c r="H9671" s="171" t="s">
        <v>6166</v>
      </c>
      <c r="I9671" t="s">
        <v>1090</v>
      </c>
      <c r="J9671">
        <v>12.8</v>
      </c>
    </row>
    <row r="9672" spans="1:10" hidden="1">
      <c r="A9672" t="s">
        <v>6167</v>
      </c>
      <c r="B9672" t="s">
        <v>6168</v>
      </c>
      <c r="C9672" t="s">
        <v>5111</v>
      </c>
      <c r="D9672" t="s">
        <v>2975</v>
      </c>
      <c r="E9672" t="s">
        <v>557</v>
      </c>
      <c r="F9672" t="s">
        <v>1068</v>
      </c>
      <c r="G9672" t="s">
        <v>1069</v>
      </c>
      <c r="H9672">
        <v>9.8018807236257693E-2</v>
      </c>
      <c r="I9672" t="s">
        <v>1070</v>
      </c>
      <c r="J9672">
        <v>11.92</v>
      </c>
    </row>
    <row r="9673" spans="1:10" hidden="1">
      <c r="A9673" t="s">
        <v>6167</v>
      </c>
      <c r="B9673" t="s">
        <v>6168</v>
      </c>
      <c r="C9673" t="s">
        <v>5111</v>
      </c>
      <c r="D9673" t="s">
        <v>2975</v>
      </c>
      <c r="E9673" t="s">
        <v>557</v>
      </c>
      <c r="F9673" t="s">
        <v>1068</v>
      </c>
      <c r="G9673" t="s">
        <v>1071</v>
      </c>
      <c r="H9673" s="171" t="s">
        <v>6169</v>
      </c>
      <c r="I9673" t="s">
        <v>1072</v>
      </c>
      <c r="J9673">
        <v>11.92</v>
      </c>
    </row>
    <row r="9674" spans="1:10" hidden="1">
      <c r="A9674" t="s">
        <v>6167</v>
      </c>
      <c r="B9674" t="s">
        <v>6168</v>
      </c>
      <c r="C9674" t="s">
        <v>5111</v>
      </c>
      <c r="D9674" t="s">
        <v>2975</v>
      </c>
      <c r="E9674" t="s">
        <v>557</v>
      </c>
      <c r="F9674" t="s">
        <v>1068</v>
      </c>
      <c r="G9674" t="s">
        <v>1073</v>
      </c>
      <c r="H9674" s="171" t="s">
        <v>6170</v>
      </c>
      <c r="I9674" t="s">
        <v>1074</v>
      </c>
      <c r="J9674">
        <v>11.92</v>
      </c>
    </row>
    <row r="9675" spans="1:10" hidden="1">
      <c r="A9675" t="s">
        <v>6167</v>
      </c>
      <c r="B9675" t="s">
        <v>6168</v>
      </c>
      <c r="C9675" t="s">
        <v>5111</v>
      </c>
      <c r="D9675" t="s">
        <v>2975</v>
      </c>
      <c r="E9675" t="s">
        <v>557</v>
      </c>
      <c r="F9675" t="s">
        <v>1068</v>
      </c>
      <c r="G9675" t="s">
        <v>1075</v>
      </c>
      <c r="H9675">
        <v>3.7372932990665298E-3</v>
      </c>
      <c r="I9675" t="s">
        <v>1077</v>
      </c>
      <c r="J9675">
        <v>11.92</v>
      </c>
    </row>
    <row r="9676" spans="1:10" hidden="1">
      <c r="A9676" t="s">
        <v>6167</v>
      </c>
      <c r="B9676" t="s">
        <v>6168</v>
      </c>
      <c r="C9676" t="s">
        <v>5111</v>
      </c>
      <c r="D9676" t="s">
        <v>2975</v>
      </c>
      <c r="E9676" t="s">
        <v>557</v>
      </c>
      <c r="F9676" t="s">
        <v>1068</v>
      </c>
      <c r="G9676" t="s">
        <v>1078</v>
      </c>
      <c r="H9676" s="171" t="s">
        <v>6171</v>
      </c>
      <c r="I9676" t="s">
        <v>1079</v>
      </c>
      <c r="J9676">
        <v>11.92</v>
      </c>
    </row>
    <row r="9677" spans="1:10" hidden="1">
      <c r="A9677" t="s">
        <v>6167</v>
      </c>
      <c r="B9677" t="s">
        <v>6168</v>
      </c>
      <c r="C9677" t="s">
        <v>5111</v>
      </c>
      <c r="D9677" t="s">
        <v>2975</v>
      </c>
      <c r="E9677" t="s">
        <v>557</v>
      </c>
      <c r="F9677" t="s">
        <v>1068</v>
      </c>
      <c r="G9677" t="s">
        <v>1080</v>
      </c>
      <c r="H9677" s="171" t="s">
        <v>6172</v>
      </c>
      <c r="I9677" t="s">
        <v>1082</v>
      </c>
      <c r="J9677">
        <v>11.92</v>
      </c>
    </row>
    <row r="9678" spans="1:10" hidden="1">
      <c r="A9678" t="s">
        <v>6167</v>
      </c>
      <c r="B9678" t="s">
        <v>6168</v>
      </c>
      <c r="C9678" t="s">
        <v>5111</v>
      </c>
      <c r="D9678" t="s">
        <v>2975</v>
      </c>
      <c r="E9678" t="s">
        <v>557</v>
      </c>
      <c r="F9678" t="s">
        <v>1068</v>
      </c>
      <c r="G9678" t="s">
        <v>1083</v>
      </c>
      <c r="H9678" s="171" t="s">
        <v>6173</v>
      </c>
      <c r="I9678" t="s">
        <v>1084</v>
      </c>
      <c r="J9678">
        <v>11.92</v>
      </c>
    </row>
    <row r="9679" spans="1:10" hidden="1">
      <c r="A9679" t="s">
        <v>6167</v>
      </c>
      <c r="B9679" t="s">
        <v>6168</v>
      </c>
      <c r="C9679" t="s">
        <v>5111</v>
      </c>
      <c r="D9679" t="s">
        <v>2975</v>
      </c>
      <c r="E9679" t="s">
        <v>557</v>
      </c>
      <c r="F9679" t="s">
        <v>1068</v>
      </c>
      <c r="G9679" t="s">
        <v>1085</v>
      </c>
      <c r="H9679">
        <v>1.2690172807724599E-4</v>
      </c>
      <c r="I9679" t="s">
        <v>1086</v>
      </c>
      <c r="J9679">
        <v>11.92</v>
      </c>
    </row>
    <row r="9680" spans="1:10" hidden="1">
      <c r="A9680" t="s">
        <v>6167</v>
      </c>
      <c r="B9680" t="s">
        <v>6168</v>
      </c>
      <c r="C9680" t="s">
        <v>5111</v>
      </c>
      <c r="D9680" t="s">
        <v>2975</v>
      </c>
      <c r="E9680" t="s">
        <v>557</v>
      </c>
      <c r="F9680" t="s">
        <v>1068</v>
      </c>
      <c r="G9680" t="s">
        <v>1087</v>
      </c>
      <c r="H9680" s="171" t="s">
        <v>6174</v>
      </c>
      <c r="I9680" t="s">
        <v>1088</v>
      </c>
      <c r="J9680">
        <v>11.92</v>
      </c>
    </row>
    <row r="9681" spans="1:10" hidden="1">
      <c r="A9681" t="s">
        <v>6167</v>
      </c>
      <c r="B9681" t="s">
        <v>6168</v>
      </c>
      <c r="C9681" t="s">
        <v>5111</v>
      </c>
      <c r="D9681" t="s">
        <v>2975</v>
      </c>
      <c r="E9681" t="s">
        <v>557</v>
      </c>
      <c r="F9681" t="s">
        <v>1068</v>
      </c>
      <c r="G9681" t="s">
        <v>1089</v>
      </c>
      <c r="H9681" s="171" t="s">
        <v>6175</v>
      </c>
      <c r="I9681" t="s">
        <v>1090</v>
      </c>
      <c r="J9681">
        <v>11.92</v>
      </c>
    </row>
    <row r="9682" spans="1:10" hidden="1">
      <c r="A9682" t="s">
        <v>6176</v>
      </c>
      <c r="B9682" t="s">
        <v>6177</v>
      </c>
      <c r="C9682" t="s">
        <v>5111</v>
      </c>
      <c r="D9682" t="s">
        <v>2975</v>
      </c>
      <c r="E9682" t="s">
        <v>559</v>
      </c>
      <c r="F9682" t="s">
        <v>1068</v>
      </c>
      <c r="G9682" t="s">
        <v>1069</v>
      </c>
      <c r="H9682">
        <v>9.7478778198517496E-2</v>
      </c>
      <c r="I9682" t="s">
        <v>1070</v>
      </c>
      <c r="J9682">
        <v>10.62</v>
      </c>
    </row>
    <row r="9683" spans="1:10" hidden="1">
      <c r="A9683" t="s">
        <v>6176</v>
      </c>
      <c r="B9683" t="s">
        <v>6177</v>
      </c>
      <c r="C9683" t="s">
        <v>5111</v>
      </c>
      <c r="D9683" t="s">
        <v>2975</v>
      </c>
      <c r="E9683" t="s">
        <v>559</v>
      </c>
      <c r="F9683" t="s">
        <v>1068</v>
      </c>
      <c r="G9683" t="s">
        <v>1071</v>
      </c>
      <c r="H9683" s="171" t="s">
        <v>6178</v>
      </c>
      <c r="I9683" t="s">
        <v>1072</v>
      </c>
      <c r="J9683">
        <v>10.62</v>
      </c>
    </row>
    <row r="9684" spans="1:10" hidden="1">
      <c r="A9684" t="s">
        <v>6176</v>
      </c>
      <c r="B9684" t="s">
        <v>6177</v>
      </c>
      <c r="C9684" t="s">
        <v>5111</v>
      </c>
      <c r="D9684" t="s">
        <v>2975</v>
      </c>
      <c r="E9684" t="s">
        <v>559</v>
      </c>
      <c r="F9684" t="s">
        <v>1068</v>
      </c>
      <c r="G9684" t="s">
        <v>1073</v>
      </c>
      <c r="H9684" s="171" t="s">
        <v>6179</v>
      </c>
      <c r="I9684" t="s">
        <v>1074</v>
      </c>
      <c r="J9684">
        <v>10.62</v>
      </c>
    </row>
    <row r="9685" spans="1:10" hidden="1">
      <c r="A9685" t="s">
        <v>6176</v>
      </c>
      <c r="B9685" t="s">
        <v>6177</v>
      </c>
      <c r="C9685" t="s">
        <v>5111</v>
      </c>
      <c r="D9685" t="s">
        <v>2975</v>
      </c>
      <c r="E9685" t="s">
        <v>559</v>
      </c>
      <c r="F9685" t="s">
        <v>1068</v>
      </c>
      <c r="G9685" t="s">
        <v>1075</v>
      </c>
      <c r="H9685">
        <v>3.72000065073805E-3</v>
      </c>
      <c r="I9685" t="s">
        <v>1077</v>
      </c>
      <c r="J9685">
        <v>10.62</v>
      </c>
    </row>
    <row r="9686" spans="1:10" hidden="1">
      <c r="A9686" t="s">
        <v>6176</v>
      </c>
      <c r="B9686" t="s">
        <v>6177</v>
      </c>
      <c r="C9686" t="s">
        <v>5111</v>
      </c>
      <c r="D9686" t="s">
        <v>2975</v>
      </c>
      <c r="E9686" t="s">
        <v>559</v>
      </c>
      <c r="F9686" t="s">
        <v>1068</v>
      </c>
      <c r="G9686" t="s">
        <v>1078</v>
      </c>
      <c r="H9686">
        <v>2.5783624190248901E-2</v>
      </c>
      <c r="I9686" t="s">
        <v>1079</v>
      </c>
      <c r="J9686">
        <v>10.62</v>
      </c>
    </row>
    <row r="9687" spans="1:10" hidden="1">
      <c r="A9687" t="s">
        <v>6176</v>
      </c>
      <c r="B9687" t="s">
        <v>6177</v>
      </c>
      <c r="C9687" t="s">
        <v>5111</v>
      </c>
      <c r="D9687" t="s">
        <v>2975</v>
      </c>
      <c r="E9687" t="s">
        <v>559</v>
      </c>
      <c r="F9687" t="s">
        <v>1068</v>
      </c>
      <c r="G9687" t="s">
        <v>1080</v>
      </c>
      <c r="H9687" s="171" t="s">
        <v>6180</v>
      </c>
      <c r="I9687" t="s">
        <v>1082</v>
      </c>
      <c r="J9687">
        <v>10.62</v>
      </c>
    </row>
    <row r="9688" spans="1:10" hidden="1">
      <c r="A9688" t="s">
        <v>6176</v>
      </c>
      <c r="B9688" t="s">
        <v>6177</v>
      </c>
      <c r="C9688" t="s">
        <v>5111</v>
      </c>
      <c r="D9688" t="s">
        <v>2975</v>
      </c>
      <c r="E9688" t="s">
        <v>559</v>
      </c>
      <c r="F9688" t="s">
        <v>1068</v>
      </c>
      <c r="G9688" t="s">
        <v>1083</v>
      </c>
      <c r="H9688" s="171" t="s">
        <v>6181</v>
      </c>
      <c r="I9688" t="s">
        <v>1084</v>
      </c>
      <c r="J9688">
        <v>10.62</v>
      </c>
    </row>
    <row r="9689" spans="1:10" hidden="1">
      <c r="A9689" t="s">
        <v>6176</v>
      </c>
      <c r="B9689" t="s">
        <v>6177</v>
      </c>
      <c r="C9689" t="s">
        <v>5111</v>
      </c>
      <c r="D9689" t="s">
        <v>2975</v>
      </c>
      <c r="E9689" t="s">
        <v>559</v>
      </c>
      <c r="F9689" t="s">
        <v>1068</v>
      </c>
      <c r="G9689" t="s">
        <v>1085</v>
      </c>
      <c r="H9689">
        <v>1.25961948299586E-4</v>
      </c>
      <c r="I9689" t="s">
        <v>1086</v>
      </c>
      <c r="J9689">
        <v>10.62</v>
      </c>
    </row>
    <row r="9690" spans="1:10" hidden="1">
      <c r="A9690" t="s">
        <v>6176</v>
      </c>
      <c r="B9690" t="s">
        <v>6177</v>
      </c>
      <c r="C9690" t="s">
        <v>5111</v>
      </c>
      <c r="D9690" t="s">
        <v>2975</v>
      </c>
      <c r="E9690" t="s">
        <v>559</v>
      </c>
      <c r="F9690" t="s">
        <v>1068</v>
      </c>
      <c r="G9690" t="s">
        <v>1087</v>
      </c>
      <c r="H9690" s="171" t="s">
        <v>6182</v>
      </c>
      <c r="I9690" t="s">
        <v>1088</v>
      </c>
      <c r="J9690">
        <v>10.62</v>
      </c>
    </row>
    <row r="9691" spans="1:10" hidden="1">
      <c r="A9691" t="s">
        <v>6176</v>
      </c>
      <c r="B9691" t="s">
        <v>6177</v>
      </c>
      <c r="C9691" t="s">
        <v>5111</v>
      </c>
      <c r="D9691" t="s">
        <v>2975</v>
      </c>
      <c r="E9691" t="s">
        <v>559</v>
      </c>
      <c r="F9691" t="s">
        <v>1068</v>
      </c>
      <c r="G9691" t="s">
        <v>1089</v>
      </c>
      <c r="H9691" s="171" t="s">
        <v>6183</v>
      </c>
      <c r="I9691" t="s">
        <v>1090</v>
      </c>
      <c r="J9691">
        <v>10.62</v>
      </c>
    </row>
    <row r="9692" spans="1:10" hidden="1">
      <c r="A9692" t="s">
        <v>6184</v>
      </c>
      <c r="B9692" t="s">
        <v>6185</v>
      </c>
      <c r="C9692" t="s">
        <v>5111</v>
      </c>
      <c r="D9692" t="s">
        <v>2975</v>
      </c>
      <c r="E9692" t="s">
        <v>560</v>
      </c>
      <c r="F9692" t="s">
        <v>1068</v>
      </c>
      <c r="G9692" t="s">
        <v>1069</v>
      </c>
      <c r="H9692">
        <v>9.7657637166325695E-2</v>
      </c>
      <c r="I9692" t="s">
        <v>1070</v>
      </c>
      <c r="J9692">
        <v>9.84</v>
      </c>
    </row>
    <row r="9693" spans="1:10" hidden="1">
      <c r="A9693" t="s">
        <v>6184</v>
      </c>
      <c r="B9693" t="s">
        <v>6185</v>
      </c>
      <c r="C9693" t="s">
        <v>5111</v>
      </c>
      <c r="D9693" t="s">
        <v>2975</v>
      </c>
      <c r="E9693" t="s">
        <v>560</v>
      </c>
      <c r="F9693" t="s">
        <v>1068</v>
      </c>
      <c r="G9693" t="s">
        <v>1071</v>
      </c>
      <c r="H9693" s="171" t="s">
        <v>6186</v>
      </c>
      <c r="I9693" t="s">
        <v>1072</v>
      </c>
      <c r="J9693">
        <v>9.84</v>
      </c>
    </row>
    <row r="9694" spans="1:10" hidden="1">
      <c r="A9694" t="s">
        <v>6184</v>
      </c>
      <c r="B9694" t="s">
        <v>6185</v>
      </c>
      <c r="C9694" t="s">
        <v>5111</v>
      </c>
      <c r="D9694" t="s">
        <v>2975</v>
      </c>
      <c r="E9694" t="s">
        <v>560</v>
      </c>
      <c r="F9694" t="s">
        <v>1068</v>
      </c>
      <c r="G9694" t="s">
        <v>1073</v>
      </c>
      <c r="H9694" s="171" t="s">
        <v>6187</v>
      </c>
      <c r="I9694" t="s">
        <v>1074</v>
      </c>
      <c r="J9694">
        <v>9.84</v>
      </c>
    </row>
    <row r="9695" spans="1:10" hidden="1">
      <c r="A9695" t="s">
        <v>6184</v>
      </c>
      <c r="B9695" t="s">
        <v>6185</v>
      </c>
      <c r="C9695" t="s">
        <v>5111</v>
      </c>
      <c r="D9695" t="s">
        <v>2975</v>
      </c>
      <c r="E9695" t="s">
        <v>560</v>
      </c>
      <c r="F9695" t="s">
        <v>1068</v>
      </c>
      <c r="G9695" t="s">
        <v>1075</v>
      </c>
      <c r="H9695">
        <v>3.7258763273290202E-3</v>
      </c>
      <c r="I9695" t="s">
        <v>1077</v>
      </c>
      <c r="J9695">
        <v>9.84</v>
      </c>
    </row>
    <row r="9696" spans="1:10" hidden="1">
      <c r="A9696" t="s">
        <v>6184</v>
      </c>
      <c r="B9696" t="s">
        <v>6185</v>
      </c>
      <c r="C9696" t="s">
        <v>5111</v>
      </c>
      <c r="D9696" t="s">
        <v>2975</v>
      </c>
      <c r="E9696" t="s">
        <v>560</v>
      </c>
      <c r="F9696" t="s">
        <v>1068</v>
      </c>
      <c r="G9696" t="s">
        <v>1078</v>
      </c>
      <c r="H9696">
        <v>2.6037714878430301E-2</v>
      </c>
      <c r="I9696" t="s">
        <v>1079</v>
      </c>
      <c r="J9696">
        <v>9.84</v>
      </c>
    </row>
    <row r="9697" spans="1:10" hidden="1">
      <c r="A9697" t="s">
        <v>6184</v>
      </c>
      <c r="B9697" t="s">
        <v>6185</v>
      </c>
      <c r="C9697" t="s">
        <v>5111</v>
      </c>
      <c r="D9697" t="s">
        <v>2975</v>
      </c>
      <c r="E9697" t="s">
        <v>560</v>
      </c>
      <c r="F9697" t="s">
        <v>1068</v>
      </c>
      <c r="G9697" t="s">
        <v>1080</v>
      </c>
      <c r="H9697" s="171" t="s">
        <v>6188</v>
      </c>
      <c r="I9697" t="s">
        <v>1082</v>
      </c>
      <c r="J9697">
        <v>9.84</v>
      </c>
    </row>
    <row r="9698" spans="1:10" hidden="1">
      <c r="A9698" t="s">
        <v>6184</v>
      </c>
      <c r="B9698" t="s">
        <v>6185</v>
      </c>
      <c r="C9698" t="s">
        <v>5111</v>
      </c>
      <c r="D9698" t="s">
        <v>2975</v>
      </c>
      <c r="E9698" t="s">
        <v>560</v>
      </c>
      <c r="F9698" t="s">
        <v>1068</v>
      </c>
      <c r="G9698" t="s">
        <v>1083</v>
      </c>
      <c r="H9698" s="171" t="s">
        <v>6189</v>
      </c>
      <c r="I9698" t="s">
        <v>1084</v>
      </c>
      <c r="J9698">
        <v>9.84</v>
      </c>
    </row>
    <row r="9699" spans="1:10" hidden="1">
      <c r="A9699" t="s">
        <v>6184</v>
      </c>
      <c r="B9699" t="s">
        <v>6185</v>
      </c>
      <c r="C9699" t="s">
        <v>5111</v>
      </c>
      <c r="D9699" t="s">
        <v>2975</v>
      </c>
      <c r="E9699" t="s">
        <v>560</v>
      </c>
      <c r="F9699" t="s">
        <v>1068</v>
      </c>
      <c r="G9699" t="s">
        <v>1085</v>
      </c>
      <c r="H9699">
        <v>1.2628126830302699E-4</v>
      </c>
      <c r="I9699" t="s">
        <v>1086</v>
      </c>
      <c r="J9699">
        <v>9.84</v>
      </c>
    </row>
    <row r="9700" spans="1:10" hidden="1">
      <c r="A9700" t="s">
        <v>6184</v>
      </c>
      <c r="B9700" t="s">
        <v>6185</v>
      </c>
      <c r="C9700" t="s">
        <v>5111</v>
      </c>
      <c r="D9700" t="s">
        <v>2975</v>
      </c>
      <c r="E9700" t="s">
        <v>560</v>
      </c>
      <c r="F9700" t="s">
        <v>1068</v>
      </c>
      <c r="G9700" t="s">
        <v>1087</v>
      </c>
      <c r="H9700" s="171" t="s">
        <v>6190</v>
      </c>
      <c r="I9700" t="s">
        <v>1088</v>
      </c>
      <c r="J9700">
        <v>9.84</v>
      </c>
    </row>
    <row r="9701" spans="1:10" hidden="1">
      <c r="A9701" t="s">
        <v>6184</v>
      </c>
      <c r="B9701" t="s">
        <v>6185</v>
      </c>
      <c r="C9701" t="s">
        <v>5111</v>
      </c>
      <c r="D9701" t="s">
        <v>2975</v>
      </c>
      <c r="E9701" t="s">
        <v>560</v>
      </c>
      <c r="F9701" t="s">
        <v>1068</v>
      </c>
      <c r="G9701" t="s">
        <v>1089</v>
      </c>
      <c r="H9701" s="171" t="s">
        <v>6191</v>
      </c>
      <c r="I9701" t="s">
        <v>1090</v>
      </c>
      <c r="J9701">
        <v>9.84</v>
      </c>
    </row>
    <row r="9702" spans="1:10" hidden="1">
      <c r="A9702" t="s">
        <v>6192</v>
      </c>
      <c r="B9702" t="s">
        <v>6193</v>
      </c>
      <c r="C9702" t="s">
        <v>5111</v>
      </c>
      <c r="D9702" t="s">
        <v>2975</v>
      </c>
      <c r="E9702" t="s">
        <v>1116</v>
      </c>
      <c r="F9702" t="s">
        <v>1068</v>
      </c>
      <c r="G9702" t="s">
        <v>1069</v>
      </c>
      <c r="H9702">
        <v>9.8753824649707403E-2</v>
      </c>
      <c r="I9702" t="s">
        <v>1070</v>
      </c>
      <c r="J9702">
        <v>21.18</v>
      </c>
    </row>
    <row r="9703" spans="1:10" hidden="1">
      <c r="A9703" t="s">
        <v>6192</v>
      </c>
      <c r="B9703" t="s">
        <v>6193</v>
      </c>
      <c r="C9703" t="s">
        <v>5111</v>
      </c>
      <c r="D9703" t="s">
        <v>2975</v>
      </c>
      <c r="E9703" t="s">
        <v>1116</v>
      </c>
      <c r="F9703" t="s">
        <v>1068</v>
      </c>
      <c r="G9703" t="s">
        <v>1071</v>
      </c>
      <c r="H9703" s="171" t="s">
        <v>6194</v>
      </c>
      <c r="I9703" t="s">
        <v>1072</v>
      </c>
      <c r="J9703">
        <v>21.18</v>
      </c>
    </row>
    <row r="9704" spans="1:10" hidden="1">
      <c r="A9704" t="s">
        <v>6192</v>
      </c>
      <c r="B9704" t="s">
        <v>6193</v>
      </c>
      <c r="C9704" t="s">
        <v>5111</v>
      </c>
      <c r="D9704" t="s">
        <v>2975</v>
      </c>
      <c r="E9704" t="s">
        <v>1116</v>
      </c>
      <c r="F9704" t="s">
        <v>1068</v>
      </c>
      <c r="G9704" t="s">
        <v>1073</v>
      </c>
      <c r="H9704" s="171" t="s">
        <v>6195</v>
      </c>
      <c r="I9704" t="s">
        <v>1074</v>
      </c>
      <c r="J9704">
        <v>21.18</v>
      </c>
    </row>
    <row r="9705" spans="1:10" hidden="1">
      <c r="A9705" t="s">
        <v>6192</v>
      </c>
      <c r="B9705" t="s">
        <v>6193</v>
      </c>
      <c r="C9705" t="s">
        <v>5111</v>
      </c>
      <c r="D9705" t="s">
        <v>2975</v>
      </c>
      <c r="E9705" t="s">
        <v>1116</v>
      </c>
      <c r="F9705" t="s">
        <v>1068</v>
      </c>
      <c r="G9705" t="s">
        <v>1075</v>
      </c>
      <c r="H9705">
        <v>3.7605279847023601E-3</v>
      </c>
      <c r="I9705" t="s">
        <v>1077</v>
      </c>
      <c r="J9705">
        <v>21.18</v>
      </c>
    </row>
    <row r="9706" spans="1:10" hidden="1">
      <c r="A9706" t="s">
        <v>6192</v>
      </c>
      <c r="B9706" t="s">
        <v>6193</v>
      </c>
      <c r="C9706" t="s">
        <v>5111</v>
      </c>
      <c r="D9706" t="s">
        <v>2975</v>
      </c>
      <c r="E9706" t="s">
        <v>1116</v>
      </c>
      <c r="F9706" t="s">
        <v>1068</v>
      </c>
      <c r="G9706" t="s">
        <v>1078</v>
      </c>
      <c r="H9706">
        <v>2.75361862083503E-2</v>
      </c>
      <c r="I9706" t="s">
        <v>1079</v>
      </c>
      <c r="J9706">
        <v>21.18</v>
      </c>
    </row>
    <row r="9707" spans="1:10" hidden="1">
      <c r="A9707" t="s">
        <v>6192</v>
      </c>
      <c r="B9707" t="s">
        <v>6193</v>
      </c>
      <c r="C9707" t="s">
        <v>5111</v>
      </c>
      <c r="D9707" t="s">
        <v>2975</v>
      </c>
      <c r="E9707" t="s">
        <v>1116</v>
      </c>
      <c r="F9707" t="s">
        <v>1068</v>
      </c>
      <c r="G9707" t="s">
        <v>1080</v>
      </c>
      <c r="H9707" s="171" t="s">
        <v>6196</v>
      </c>
      <c r="I9707" t="s">
        <v>1082</v>
      </c>
      <c r="J9707">
        <v>21.18</v>
      </c>
    </row>
    <row r="9708" spans="1:10" hidden="1">
      <c r="A9708" t="s">
        <v>6192</v>
      </c>
      <c r="B9708" t="s">
        <v>6193</v>
      </c>
      <c r="C9708" t="s">
        <v>5111</v>
      </c>
      <c r="D9708" t="s">
        <v>2975</v>
      </c>
      <c r="E9708" t="s">
        <v>1116</v>
      </c>
      <c r="F9708" t="s">
        <v>1068</v>
      </c>
      <c r="G9708" t="s">
        <v>1083</v>
      </c>
      <c r="H9708" s="171" t="s">
        <v>6197</v>
      </c>
      <c r="I9708" t="s">
        <v>1084</v>
      </c>
      <c r="J9708">
        <v>21.18</v>
      </c>
    </row>
    <row r="9709" spans="1:10" hidden="1">
      <c r="A9709" t="s">
        <v>6192</v>
      </c>
      <c r="B9709" t="s">
        <v>6193</v>
      </c>
      <c r="C9709" t="s">
        <v>5111</v>
      </c>
      <c r="D9709" t="s">
        <v>2975</v>
      </c>
      <c r="E9709" t="s">
        <v>1116</v>
      </c>
      <c r="F9709" t="s">
        <v>1068</v>
      </c>
      <c r="G9709" t="s">
        <v>1085</v>
      </c>
      <c r="H9709">
        <v>1.2816442611444099E-4</v>
      </c>
      <c r="I9709" t="s">
        <v>1086</v>
      </c>
      <c r="J9709">
        <v>21.18</v>
      </c>
    </row>
    <row r="9710" spans="1:10" hidden="1">
      <c r="A9710" t="s">
        <v>6192</v>
      </c>
      <c r="B9710" t="s">
        <v>6193</v>
      </c>
      <c r="C9710" t="s">
        <v>5111</v>
      </c>
      <c r="D9710" t="s">
        <v>2975</v>
      </c>
      <c r="E9710" t="s">
        <v>1116</v>
      </c>
      <c r="F9710" t="s">
        <v>1068</v>
      </c>
      <c r="G9710" t="s">
        <v>1087</v>
      </c>
      <c r="H9710" s="171" t="s">
        <v>6198</v>
      </c>
      <c r="I9710" t="s">
        <v>1088</v>
      </c>
      <c r="J9710">
        <v>21.18</v>
      </c>
    </row>
    <row r="9711" spans="1:10" hidden="1">
      <c r="A9711" t="s">
        <v>6192</v>
      </c>
      <c r="B9711" t="s">
        <v>6193</v>
      </c>
      <c r="C9711" t="s">
        <v>5111</v>
      </c>
      <c r="D9711" t="s">
        <v>2975</v>
      </c>
      <c r="E9711" t="s">
        <v>1116</v>
      </c>
      <c r="F9711" t="s">
        <v>1068</v>
      </c>
      <c r="G9711" t="s">
        <v>1089</v>
      </c>
      <c r="H9711" s="171" t="s">
        <v>6199</v>
      </c>
      <c r="I9711" t="s">
        <v>1090</v>
      </c>
      <c r="J9711">
        <v>21.18</v>
      </c>
    </row>
    <row r="9712" spans="1:10" hidden="1">
      <c r="A9712" t="s">
        <v>6200</v>
      </c>
      <c r="B9712" t="s">
        <v>6201</v>
      </c>
      <c r="C9712" t="s">
        <v>5111</v>
      </c>
      <c r="D9712" t="s">
        <v>3062</v>
      </c>
      <c r="E9712" t="s">
        <v>561</v>
      </c>
      <c r="F9712" t="s">
        <v>1068</v>
      </c>
      <c r="G9712" t="s">
        <v>1069</v>
      </c>
      <c r="H9712">
        <v>-1.9251674567080299</v>
      </c>
      <c r="I9712" t="s">
        <v>1070</v>
      </c>
      <c r="J9712">
        <v>32.42</v>
      </c>
    </row>
    <row r="9713" spans="1:10" hidden="1">
      <c r="A9713" t="s">
        <v>6200</v>
      </c>
      <c r="B9713" t="s">
        <v>6201</v>
      </c>
      <c r="C9713" t="s">
        <v>5111</v>
      </c>
      <c r="D9713" t="s">
        <v>3062</v>
      </c>
      <c r="E9713" t="s">
        <v>561</v>
      </c>
      <c r="F9713" t="s">
        <v>1068</v>
      </c>
      <c r="G9713" t="s">
        <v>1071</v>
      </c>
      <c r="H9713" s="170">
        <v>-2.03242496321013E-9</v>
      </c>
      <c r="I9713" t="s">
        <v>1072</v>
      </c>
      <c r="J9713">
        <v>32.42</v>
      </c>
    </row>
    <row r="9714" spans="1:10" hidden="1">
      <c r="A9714" t="s">
        <v>6200</v>
      </c>
      <c r="B9714" t="s">
        <v>6201</v>
      </c>
      <c r="C9714" t="s">
        <v>5111</v>
      </c>
      <c r="D9714" t="s">
        <v>3062</v>
      </c>
      <c r="E9714" t="s">
        <v>561</v>
      </c>
      <c r="F9714" t="s">
        <v>1068</v>
      </c>
      <c r="G9714" t="s">
        <v>1073</v>
      </c>
      <c r="H9714" s="170">
        <v>-6.8066366106429901E-7</v>
      </c>
      <c r="I9714" t="s">
        <v>1074</v>
      </c>
      <c r="J9714">
        <v>32.42</v>
      </c>
    </row>
    <row r="9715" spans="1:10" hidden="1">
      <c r="A9715" t="s">
        <v>6200</v>
      </c>
      <c r="B9715" t="s">
        <v>6201</v>
      </c>
      <c r="C9715" t="s">
        <v>5111</v>
      </c>
      <c r="D9715" t="s">
        <v>3062</v>
      </c>
      <c r="E9715" t="s">
        <v>561</v>
      </c>
      <c r="F9715" t="s">
        <v>1068</v>
      </c>
      <c r="G9715" t="s">
        <v>1075</v>
      </c>
      <c r="H9715">
        <v>-3.3702037682595602E-2</v>
      </c>
      <c r="I9715" t="s">
        <v>1077</v>
      </c>
      <c r="J9715">
        <v>32.42</v>
      </c>
    </row>
    <row r="9716" spans="1:10" hidden="1">
      <c r="A9716" t="s">
        <v>6200</v>
      </c>
      <c r="B9716" t="s">
        <v>6201</v>
      </c>
      <c r="C9716" t="s">
        <v>5111</v>
      </c>
      <c r="D9716" t="s">
        <v>3062</v>
      </c>
      <c r="E9716" t="s">
        <v>561</v>
      </c>
      <c r="F9716" t="s">
        <v>1068</v>
      </c>
      <c r="G9716" t="s">
        <v>1078</v>
      </c>
      <c r="H9716" s="171" t="s">
        <v>6202</v>
      </c>
      <c r="I9716" t="s">
        <v>1079</v>
      </c>
      <c r="J9716">
        <v>32.42</v>
      </c>
    </row>
    <row r="9717" spans="1:10" hidden="1">
      <c r="A9717" t="s">
        <v>6200</v>
      </c>
      <c r="B9717" t="s">
        <v>6201</v>
      </c>
      <c r="C9717" t="s">
        <v>5111</v>
      </c>
      <c r="D9717" t="s">
        <v>3062</v>
      </c>
      <c r="E9717" t="s">
        <v>561</v>
      </c>
      <c r="F9717" t="s">
        <v>1068</v>
      </c>
      <c r="G9717" t="s">
        <v>1080</v>
      </c>
      <c r="H9717" s="170">
        <v>-1.07724303622061E-8</v>
      </c>
      <c r="I9717" t="s">
        <v>1082</v>
      </c>
      <c r="J9717">
        <v>32.42</v>
      </c>
    </row>
    <row r="9718" spans="1:10" hidden="1">
      <c r="A9718" t="s">
        <v>6200</v>
      </c>
      <c r="B9718" t="s">
        <v>6201</v>
      </c>
      <c r="C9718" t="s">
        <v>5111</v>
      </c>
      <c r="D9718" t="s">
        <v>3062</v>
      </c>
      <c r="E9718" t="s">
        <v>561</v>
      </c>
      <c r="F9718" t="s">
        <v>1068</v>
      </c>
      <c r="G9718" t="s">
        <v>1083</v>
      </c>
      <c r="H9718">
        <v>-2.5745498270464997E-4</v>
      </c>
      <c r="I9718" t="s">
        <v>1084</v>
      </c>
      <c r="J9718">
        <v>32.42</v>
      </c>
    </row>
    <row r="9719" spans="1:10" hidden="1">
      <c r="A9719" t="s">
        <v>6200</v>
      </c>
      <c r="B9719" t="s">
        <v>6201</v>
      </c>
      <c r="C9719" t="s">
        <v>5111</v>
      </c>
      <c r="D9719" t="s">
        <v>3062</v>
      </c>
      <c r="E9719" t="s">
        <v>561</v>
      </c>
      <c r="F9719" t="s">
        <v>1068</v>
      </c>
      <c r="G9719" t="s">
        <v>1085</v>
      </c>
      <c r="H9719">
        <v>-2.36199130805731E-3</v>
      </c>
      <c r="I9719" t="s">
        <v>1086</v>
      </c>
      <c r="J9719">
        <v>32.42</v>
      </c>
    </row>
    <row r="9720" spans="1:10" hidden="1">
      <c r="A9720" t="s">
        <v>6200</v>
      </c>
      <c r="B9720" t="s">
        <v>6201</v>
      </c>
      <c r="C9720" t="s">
        <v>5111</v>
      </c>
      <c r="D9720" t="s">
        <v>3062</v>
      </c>
      <c r="E9720" t="s">
        <v>561</v>
      </c>
      <c r="F9720" t="s">
        <v>1068</v>
      </c>
      <c r="G9720" t="s">
        <v>1087</v>
      </c>
      <c r="H9720" s="170">
        <v>-1.62702168292615E-6</v>
      </c>
      <c r="I9720" t="s">
        <v>1088</v>
      </c>
      <c r="J9720">
        <v>32.42</v>
      </c>
    </row>
    <row r="9721" spans="1:10" hidden="1">
      <c r="A9721" t="s">
        <v>6200</v>
      </c>
      <c r="B9721" t="s">
        <v>6201</v>
      </c>
      <c r="C9721" t="s">
        <v>5111</v>
      </c>
      <c r="D9721" t="s">
        <v>3062</v>
      </c>
      <c r="E9721" t="s">
        <v>561</v>
      </c>
      <c r="F9721" t="s">
        <v>1068</v>
      </c>
      <c r="G9721" t="s">
        <v>1089</v>
      </c>
      <c r="H9721">
        <v>-3.8198303270849598E-4</v>
      </c>
      <c r="I9721" t="s">
        <v>1090</v>
      </c>
      <c r="J9721">
        <v>32.42</v>
      </c>
    </row>
    <row r="9722" spans="1:10" hidden="1">
      <c r="A9722" t="s">
        <v>6203</v>
      </c>
      <c r="B9722" t="s">
        <v>6204</v>
      </c>
      <c r="C9722" t="s">
        <v>5111</v>
      </c>
      <c r="D9722" t="s">
        <v>3062</v>
      </c>
      <c r="E9722" t="s">
        <v>555</v>
      </c>
      <c r="F9722" t="s">
        <v>1068</v>
      </c>
      <c r="G9722" t="s">
        <v>1069</v>
      </c>
      <c r="H9722">
        <v>-2.1567631524864299</v>
      </c>
      <c r="I9722" t="s">
        <v>1070</v>
      </c>
      <c r="J9722">
        <v>25.54</v>
      </c>
    </row>
    <row r="9723" spans="1:10" hidden="1">
      <c r="A9723" t="s">
        <v>6203</v>
      </c>
      <c r="B9723" t="s">
        <v>6204</v>
      </c>
      <c r="C9723" t="s">
        <v>5111</v>
      </c>
      <c r="D9723" t="s">
        <v>3062</v>
      </c>
      <c r="E9723" t="s">
        <v>555</v>
      </c>
      <c r="F9723" t="s">
        <v>1068</v>
      </c>
      <c r="G9723" t="s">
        <v>1071</v>
      </c>
      <c r="H9723" s="170">
        <v>-2.36384103179791E-9</v>
      </c>
      <c r="I9723" t="s">
        <v>1072</v>
      </c>
      <c r="J9723">
        <v>25.54</v>
      </c>
    </row>
    <row r="9724" spans="1:10" hidden="1">
      <c r="A9724" t="s">
        <v>6203</v>
      </c>
      <c r="B9724" t="s">
        <v>6204</v>
      </c>
      <c r="C9724" t="s">
        <v>5111</v>
      </c>
      <c r="D9724" t="s">
        <v>3062</v>
      </c>
      <c r="E9724" t="s">
        <v>555</v>
      </c>
      <c r="F9724" t="s">
        <v>1068</v>
      </c>
      <c r="G9724" t="s">
        <v>1073</v>
      </c>
      <c r="H9724" s="170">
        <v>-7.6292721357270996E-7</v>
      </c>
      <c r="I9724" t="s">
        <v>1074</v>
      </c>
      <c r="J9724">
        <v>25.54</v>
      </c>
    </row>
    <row r="9725" spans="1:10" hidden="1">
      <c r="A9725" t="s">
        <v>6203</v>
      </c>
      <c r="B9725" t="s">
        <v>6204</v>
      </c>
      <c r="C9725" t="s">
        <v>5111</v>
      </c>
      <c r="D9725" t="s">
        <v>3062</v>
      </c>
      <c r="E9725" t="s">
        <v>555</v>
      </c>
      <c r="F9725" t="s">
        <v>1068</v>
      </c>
      <c r="G9725" t="s">
        <v>1075</v>
      </c>
      <c r="H9725">
        <v>-4.1023028173063303E-2</v>
      </c>
      <c r="I9725" t="s">
        <v>1077</v>
      </c>
      <c r="J9725">
        <v>25.54</v>
      </c>
    </row>
    <row r="9726" spans="1:10" hidden="1">
      <c r="A9726" t="s">
        <v>6203</v>
      </c>
      <c r="B9726" t="s">
        <v>6204</v>
      </c>
      <c r="C9726" t="s">
        <v>5111</v>
      </c>
      <c r="D9726" t="s">
        <v>3062</v>
      </c>
      <c r="E9726" t="s">
        <v>555</v>
      </c>
      <c r="F9726" t="s">
        <v>1068</v>
      </c>
      <c r="G9726" t="s">
        <v>1078</v>
      </c>
      <c r="H9726" s="171" t="s">
        <v>6205</v>
      </c>
      <c r="I9726" t="s">
        <v>1079</v>
      </c>
      <c r="J9726">
        <v>25.54</v>
      </c>
    </row>
    <row r="9727" spans="1:10" hidden="1">
      <c r="A9727" t="s">
        <v>6203</v>
      </c>
      <c r="B9727" t="s">
        <v>6204</v>
      </c>
      <c r="C9727" t="s">
        <v>5111</v>
      </c>
      <c r="D9727" t="s">
        <v>3062</v>
      </c>
      <c r="E9727" t="s">
        <v>555</v>
      </c>
      <c r="F9727" t="s">
        <v>1068</v>
      </c>
      <c r="G9727" t="s">
        <v>1080</v>
      </c>
      <c r="H9727" s="170">
        <v>-1.20597882597389E-8</v>
      </c>
      <c r="I9727" t="s">
        <v>1082</v>
      </c>
      <c r="J9727">
        <v>25.54</v>
      </c>
    </row>
    <row r="9728" spans="1:10" hidden="1">
      <c r="A9728" t="s">
        <v>6203</v>
      </c>
      <c r="B9728" t="s">
        <v>6204</v>
      </c>
      <c r="C9728" t="s">
        <v>5111</v>
      </c>
      <c r="D9728" t="s">
        <v>3062</v>
      </c>
      <c r="E9728" t="s">
        <v>555</v>
      </c>
      <c r="F9728" t="s">
        <v>1068</v>
      </c>
      <c r="G9728" t="s">
        <v>1083</v>
      </c>
      <c r="H9728">
        <v>-2.9265769351794298E-4</v>
      </c>
      <c r="I9728" t="s">
        <v>1084</v>
      </c>
      <c r="J9728">
        <v>25.54</v>
      </c>
    </row>
    <row r="9729" spans="1:10" hidden="1">
      <c r="A9729" t="s">
        <v>6203</v>
      </c>
      <c r="B9729" t="s">
        <v>6204</v>
      </c>
      <c r="C9729" t="s">
        <v>5111</v>
      </c>
      <c r="D9729" t="s">
        <v>3062</v>
      </c>
      <c r="E9729" t="s">
        <v>555</v>
      </c>
      <c r="F9729" t="s">
        <v>1068</v>
      </c>
      <c r="G9729" t="s">
        <v>1085</v>
      </c>
      <c r="H9729">
        <v>-2.7598533867127699E-3</v>
      </c>
      <c r="I9729" t="s">
        <v>1086</v>
      </c>
      <c r="J9729">
        <v>25.54</v>
      </c>
    </row>
    <row r="9730" spans="1:10" hidden="1">
      <c r="A9730" t="s">
        <v>6203</v>
      </c>
      <c r="B9730" t="s">
        <v>6204</v>
      </c>
      <c r="C9730" t="s">
        <v>5111</v>
      </c>
      <c r="D9730" t="s">
        <v>3062</v>
      </c>
      <c r="E9730" t="s">
        <v>555</v>
      </c>
      <c r="F9730" t="s">
        <v>1068</v>
      </c>
      <c r="G9730" t="s">
        <v>1087</v>
      </c>
      <c r="H9730" s="170">
        <v>-1.8190317387408E-6</v>
      </c>
      <c r="I9730" t="s">
        <v>1088</v>
      </c>
      <c r="J9730">
        <v>25.54</v>
      </c>
    </row>
    <row r="9731" spans="1:10" hidden="1">
      <c r="A9731" t="s">
        <v>6203</v>
      </c>
      <c r="B9731" t="s">
        <v>6204</v>
      </c>
      <c r="C9731" t="s">
        <v>5111</v>
      </c>
      <c r="D9731" t="s">
        <v>3062</v>
      </c>
      <c r="E9731" t="s">
        <v>555</v>
      </c>
      <c r="F9731" t="s">
        <v>1068</v>
      </c>
      <c r="G9731" t="s">
        <v>1089</v>
      </c>
      <c r="H9731">
        <v>-4.6406119385712099E-4</v>
      </c>
      <c r="I9731" t="s">
        <v>1090</v>
      </c>
      <c r="J9731">
        <v>25.54</v>
      </c>
    </row>
    <row r="9732" spans="1:10" hidden="1">
      <c r="A9732" t="s">
        <v>6206</v>
      </c>
      <c r="B9732" t="s">
        <v>6207</v>
      </c>
      <c r="C9732" t="s">
        <v>5111</v>
      </c>
      <c r="D9732" t="s">
        <v>3062</v>
      </c>
      <c r="E9732" t="s">
        <v>558</v>
      </c>
      <c r="F9732" t="s">
        <v>1068</v>
      </c>
      <c r="G9732" t="s">
        <v>1069</v>
      </c>
      <c r="H9732">
        <v>-1.9046615780652301</v>
      </c>
      <c r="I9732" t="s">
        <v>1070</v>
      </c>
      <c r="J9732">
        <v>8.93</v>
      </c>
    </row>
    <row r="9733" spans="1:10" hidden="1">
      <c r="A9733" t="s">
        <v>6206</v>
      </c>
      <c r="B9733" t="s">
        <v>6207</v>
      </c>
      <c r="C9733" t="s">
        <v>5111</v>
      </c>
      <c r="D9733" t="s">
        <v>3062</v>
      </c>
      <c r="E9733" t="s">
        <v>558</v>
      </c>
      <c r="F9733" t="s">
        <v>1068</v>
      </c>
      <c r="G9733" t="s">
        <v>1071</v>
      </c>
      <c r="H9733" s="170">
        <v>-2.0030808175792601E-9</v>
      </c>
      <c r="I9733" t="s">
        <v>1072</v>
      </c>
      <c r="J9733">
        <v>8.93</v>
      </c>
    </row>
    <row r="9734" spans="1:10" hidden="1">
      <c r="A9734" t="s">
        <v>6206</v>
      </c>
      <c r="B9734" t="s">
        <v>6207</v>
      </c>
      <c r="C9734" t="s">
        <v>5111</v>
      </c>
      <c r="D9734" t="s">
        <v>3062</v>
      </c>
      <c r="E9734" t="s">
        <v>558</v>
      </c>
      <c r="F9734" t="s">
        <v>1068</v>
      </c>
      <c r="G9734" t="s">
        <v>1073</v>
      </c>
      <c r="H9734" s="170">
        <v>-6.7337990808582397E-7</v>
      </c>
      <c r="I9734" t="s">
        <v>1074</v>
      </c>
      <c r="J9734">
        <v>8.93</v>
      </c>
    </row>
    <row r="9735" spans="1:10" hidden="1">
      <c r="A9735" t="s">
        <v>6206</v>
      </c>
      <c r="B9735" t="s">
        <v>6207</v>
      </c>
      <c r="C9735" t="s">
        <v>5111</v>
      </c>
      <c r="D9735" t="s">
        <v>3062</v>
      </c>
      <c r="E9735" t="s">
        <v>558</v>
      </c>
      <c r="F9735" t="s">
        <v>1068</v>
      </c>
      <c r="G9735" t="s">
        <v>1075</v>
      </c>
      <c r="H9735">
        <v>-3.3053824952892302E-2</v>
      </c>
      <c r="I9735" t="s">
        <v>1077</v>
      </c>
      <c r="J9735">
        <v>8.93</v>
      </c>
    </row>
    <row r="9736" spans="1:10" hidden="1">
      <c r="A9736" t="s">
        <v>6206</v>
      </c>
      <c r="B9736" t="s">
        <v>6207</v>
      </c>
      <c r="C9736" t="s">
        <v>5111</v>
      </c>
      <c r="D9736" t="s">
        <v>3062</v>
      </c>
      <c r="E9736" t="s">
        <v>558</v>
      </c>
      <c r="F9736" t="s">
        <v>1068</v>
      </c>
      <c r="G9736" t="s">
        <v>1078</v>
      </c>
      <c r="H9736" s="171" t="s">
        <v>6208</v>
      </c>
      <c r="I9736" t="s">
        <v>1079</v>
      </c>
      <c r="J9736">
        <v>8.93</v>
      </c>
    </row>
    <row r="9737" spans="1:10" hidden="1">
      <c r="A9737" t="s">
        <v>6206</v>
      </c>
      <c r="B9737" t="s">
        <v>6207</v>
      </c>
      <c r="C9737" t="s">
        <v>5111</v>
      </c>
      <c r="D9737" t="s">
        <v>3062</v>
      </c>
      <c r="E9737" t="s">
        <v>558</v>
      </c>
      <c r="F9737" t="s">
        <v>1068</v>
      </c>
      <c r="G9737" t="s">
        <v>1080</v>
      </c>
      <c r="H9737" s="170">
        <v>-1.06584455430835E-8</v>
      </c>
      <c r="I9737" t="s">
        <v>1082</v>
      </c>
      <c r="J9737">
        <v>8.93</v>
      </c>
    </row>
    <row r="9738" spans="1:10" hidden="1">
      <c r="A9738" t="s">
        <v>6206</v>
      </c>
      <c r="B9738" t="s">
        <v>6207</v>
      </c>
      <c r="C9738" t="s">
        <v>5111</v>
      </c>
      <c r="D9738" t="s">
        <v>3062</v>
      </c>
      <c r="E9738" t="s">
        <v>558</v>
      </c>
      <c r="F9738" t="s">
        <v>1068</v>
      </c>
      <c r="G9738" t="s">
        <v>1083</v>
      </c>
      <c r="H9738">
        <v>-2.5433807587421799E-4</v>
      </c>
      <c r="I9738" t="s">
        <v>1084</v>
      </c>
      <c r="J9738">
        <v>8.93</v>
      </c>
    </row>
    <row r="9739" spans="1:10" hidden="1">
      <c r="A9739" t="s">
        <v>6206</v>
      </c>
      <c r="B9739" t="s">
        <v>6207</v>
      </c>
      <c r="C9739" t="s">
        <v>5111</v>
      </c>
      <c r="D9739" t="s">
        <v>3062</v>
      </c>
      <c r="E9739" t="s">
        <v>558</v>
      </c>
      <c r="F9739" t="s">
        <v>1068</v>
      </c>
      <c r="G9739" t="s">
        <v>1085</v>
      </c>
      <c r="H9739">
        <v>-2.3267639348829999E-3</v>
      </c>
      <c r="I9739" t="s">
        <v>1086</v>
      </c>
      <c r="J9739">
        <v>8.93</v>
      </c>
    </row>
    <row r="9740" spans="1:10" hidden="1">
      <c r="A9740" t="s">
        <v>6206</v>
      </c>
      <c r="B9740" t="s">
        <v>6207</v>
      </c>
      <c r="C9740" t="s">
        <v>5111</v>
      </c>
      <c r="D9740" t="s">
        <v>3062</v>
      </c>
      <c r="E9740" t="s">
        <v>558</v>
      </c>
      <c r="F9740" t="s">
        <v>1068</v>
      </c>
      <c r="G9740" t="s">
        <v>1087</v>
      </c>
      <c r="H9740" s="170">
        <v>-1.6100207917835099E-6</v>
      </c>
      <c r="I9740" t="s">
        <v>1088</v>
      </c>
      <c r="J9740">
        <v>8.93</v>
      </c>
    </row>
    <row r="9741" spans="1:10" hidden="1">
      <c r="A9741" t="s">
        <v>6206</v>
      </c>
      <c r="B9741" t="s">
        <v>6207</v>
      </c>
      <c r="C9741" t="s">
        <v>5111</v>
      </c>
      <c r="D9741" t="s">
        <v>3062</v>
      </c>
      <c r="E9741" t="s">
        <v>558</v>
      </c>
      <c r="F9741" t="s">
        <v>1068</v>
      </c>
      <c r="G9741" t="s">
        <v>1089</v>
      </c>
      <c r="H9741">
        <v>-3.7471569518739899E-4</v>
      </c>
      <c r="I9741" t="s">
        <v>1090</v>
      </c>
      <c r="J9741">
        <v>8.93</v>
      </c>
    </row>
    <row r="9742" spans="1:10" hidden="1">
      <c r="A9742" t="s">
        <v>6209</v>
      </c>
      <c r="B9742" t="s">
        <v>6210</v>
      </c>
      <c r="C9742" t="s">
        <v>5111</v>
      </c>
      <c r="D9742" t="s">
        <v>3062</v>
      </c>
      <c r="E9742" t="s">
        <v>553</v>
      </c>
      <c r="F9742" t="s">
        <v>1068</v>
      </c>
      <c r="G9742" t="s">
        <v>1069</v>
      </c>
      <c r="H9742">
        <v>-1.88457839229343</v>
      </c>
      <c r="I9742" t="s">
        <v>1070</v>
      </c>
      <c r="J9742">
        <v>20.29</v>
      </c>
    </row>
    <row r="9743" spans="1:10" hidden="1">
      <c r="A9743" t="s">
        <v>6209</v>
      </c>
      <c r="B9743" t="s">
        <v>6210</v>
      </c>
      <c r="C9743" t="s">
        <v>5111</v>
      </c>
      <c r="D9743" t="s">
        <v>3062</v>
      </c>
      <c r="E9743" t="s">
        <v>553</v>
      </c>
      <c r="F9743" t="s">
        <v>1068</v>
      </c>
      <c r="G9743" t="s">
        <v>1071</v>
      </c>
      <c r="H9743" s="170">
        <v>-1.97434154334713E-9</v>
      </c>
      <c r="I9743" t="s">
        <v>1072</v>
      </c>
      <c r="J9743">
        <v>20.29</v>
      </c>
    </row>
    <row r="9744" spans="1:10" hidden="1">
      <c r="A9744" t="s">
        <v>6209</v>
      </c>
      <c r="B9744" t="s">
        <v>6210</v>
      </c>
      <c r="C9744" t="s">
        <v>5111</v>
      </c>
      <c r="D9744" t="s">
        <v>3062</v>
      </c>
      <c r="E9744" t="s">
        <v>553</v>
      </c>
      <c r="F9744" t="s">
        <v>1068</v>
      </c>
      <c r="G9744" t="s">
        <v>1073</v>
      </c>
      <c r="H9744" s="170">
        <v>-6.6624632550713798E-7</v>
      </c>
      <c r="I9744" t="s">
        <v>1074</v>
      </c>
      <c r="J9744">
        <v>20.29</v>
      </c>
    </row>
    <row r="9745" spans="1:10" hidden="1">
      <c r="A9745" t="s">
        <v>6209</v>
      </c>
      <c r="B9745" t="s">
        <v>6210</v>
      </c>
      <c r="C9745" t="s">
        <v>5111</v>
      </c>
      <c r="D9745" t="s">
        <v>3062</v>
      </c>
      <c r="E9745" t="s">
        <v>553</v>
      </c>
      <c r="F9745" t="s">
        <v>1068</v>
      </c>
      <c r="G9745" t="s">
        <v>1075</v>
      </c>
      <c r="H9745">
        <v>-3.2418977136692402E-2</v>
      </c>
      <c r="I9745" t="s">
        <v>1077</v>
      </c>
      <c r="J9745">
        <v>20.29</v>
      </c>
    </row>
    <row r="9746" spans="1:10" hidden="1">
      <c r="A9746" t="s">
        <v>6209</v>
      </c>
      <c r="B9746" t="s">
        <v>6210</v>
      </c>
      <c r="C9746" t="s">
        <v>5111</v>
      </c>
      <c r="D9746" t="s">
        <v>3062</v>
      </c>
      <c r="E9746" t="s">
        <v>553</v>
      </c>
      <c r="F9746" t="s">
        <v>1068</v>
      </c>
      <c r="G9746" t="s">
        <v>1078</v>
      </c>
      <c r="H9746" s="171" t="s">
        <v>6211</v>
      </c>
      <c r="I9746" t="s">
        <v>1079</v>
      </c>
      <c r="J9746">
        <v>20.29</v>
      </c>
    </row>
    <row r="9747" spans="1:10" hidden="1">
      <c r="A9747" t="s">
        <v>6209</v>
      </c>
      <c r="B9747" t="s">
        <v>6210</v>
      </c>
      <c r="C9747" t="s">
        <v>5111</v>
      </c>
      <c r="D9747" t="s">
        <v>3062</v>
      </c>
      <c r="E9747" t="s">
        <v>553</v>
      </c>
      <c r="F9747" t="s">
        <v>1068</v>
      </c>
      <c r="G9747" t="s">
        <v>1080</v>
      </c>
      <c r="H9747" s="170">
        <v>-1.05468108741329E-8</v>
      </c>
      <c r="I9747" t="s">
        <v>1082</v>
      </c>
      <c r="J9747">
        <v>20.29</v>
      </c>
    </row>
    <row r="9748" spans="1:10" hidden="1">
      <c r="A9748" t="s">
        <v>6209</v>
      </c>
      <c r="B9748" t="s">
        <v>6210</v>
      </c>
      <c r="C9748" t="s">
        <v>5111</v>
      </c>
      <c r="D9748" t="s">
        <v>3062</v>
      </c>
      <c r="E9748" t="s">
        <v>553</v>
      </c>
      <c r="F9748" t="s">
        <v>1068</v>
      </c>
      <c r="G9748" t="s">
        <v>1083</v>
      </c>
      <c r="H9748">
        <v>-2.51285433740004E-4</v>
      </c>
      <c r="I9748" t="s">
        <v>1084</v>
      </c>
      <c r="J9748">
        <v>20.29</v>
      </c>
    </row>
    <row r="9749" spans="1:10" hidden="1">
      <c r="A9749" t="s">
        <v>6209</v>
      </c>
      <c r="B9749" t="s">
        <v>6210</v>
      </c>
      <c r="C9749" t="s">
        <v>5111</v>
      </c>
      <c r="D9749" t="s">
        <v>3062</v>
      </c>
      <c r="E9749" t="s">
        <v>553</v>
      </c>
      <c r="F9749" t="s">
        <v>1068</v>
      </c>
      <c r="G9749" t="s">
        <v>1085</v>
      </c>
      <c r="H9749">
        <v>-2.2922628831942501E-3</v>
      </c>
      <c r="I9749" t="s">
        <v>1086</v>
      </c>
      <c r="J9749">
        <v>20.29</v>
      </c>
    </row>
    <row r="9750" spans="1:10" hidden="1">
      <c r="A9750" t="s">
        <v>6209</v>
      </c>
      <c r="B9750" t="s">
        <v>6210</v>
      </c>
      <c r="C9750" t="s">
        <v>5111</v>
      </c>
      <c r="D9750" t="s">
        <v>3062</v>
      </c>
      <c r="E9750" t="s">
        <v>553</v>
      </c>
      <c r="F9750" t="s">
        <v>1068</v>
      </c>
      <c r="G9750" t="s">
        <v>1087</v>
      </c>
      <c r="H9750" s="170">
        <v>-1.5933704267175601E-6</v>
      </c>
      <c r="I9750" t="s">
        <v>1088</v>
      </c>
      <c r="J9750">
        <v>20.29</v>
      </c>
    </row>
    <row r="9751" spans="1:10" hidden="1">
      <c r="A9751" t="s">
        <v>6209</v>
      </c>
      <c r="B9751" t="s">
        <v>6210</v>
      </c>
      <c r="C9751" t="s">
        <v>5111</v>
      </c>
      <c r="D9751" t="s">
        <v>3062</v>
      </c>
      <c r="E9751" t="s">
        <v>553</v>
      </c>
      <c r="F9751" t="s">
        <v>1068</v>
      </c>
      <c r="G9751" t="s">
        <v>1089</v>
      </c>
      <c r="H9751">
        <v>-3.6759819634908501E-4</v>
      </c>
      <c r="I9751" t="s">
        <v>1090</v>
      </c>
      <c r="J9751">
        <v>20.29</v>
      </c>
    </row>
    <row r="9752" spans="1:10" hidden="1">
      <c r="A9752" t="s">
        <v>6212</v>
      </c>
      <c r="B9752" t="s">
        <v>6213</v>
      </c>
      <c r="C9752" t="s">
        <v>5111</v>
      </c>
      <c r="D9752" t="s">
        <v>3062</v>
      </c>
      <c r="E9752" t="s">
        <v>556</v>
      </c>
      <c r="F9752" t="s">
        <v>1068</v>
      </c>
      <c r="G9752" t="s">
        <v>1069</v>
      </c>
      <c r="H9752">
        <v>-2.1311798949876701</v>
      </c>
      <c r="I9752" t="s">
        <v>1070</v>
      </c>
      <c r="J9752">
        <v>13.03</v>
      </c>
    </row>
    <row r="9753" spans="1:10" hidden="1">
      <c r="A9753" t="s">
        <v>6212</v>
      </c>
      <c r="B9753" t="s">
        <v>6213</v>
      </c>
      <c r="C9753" t="s">
        <v>5111</v>
      </c>
      <c r="D9753" t="s">
        <v>3062</v>
      </c>
      <c r="E9753" t="s">
        <v>556</v>
      </c>
      <c r="F9753" t="s">
        <v>1068</v>
      </c>
      <c r="G9753" t="s">
        <v>1071</v>
      </c>
      <c r="H9753" s="170">
        <v>-2.3272310992594099E-9</v>
      </c>
      <c r="I9753" t="s">
        <v>1072</v>
      </c>
      <c r="J9753">
        <v>13.03</v>
      </c>
    </row>
    <row r="9754" spans="1:10" hidden="1">
      <c r="A9754" t="s">
        <v>6212</v>
      </c>
      <c r="B9754" t="s">
        <v>6213</v>
      </c>
      <c r="C9754" t="s">
        <v>5111</v>
      </c>
      <c r="D9754" t="s">
        <v>3062</v>
      </c>
      <c r="E9754" t="s">
        <v>556</v>
      </c>
      <c r="F9754" t="s">
        <v>1068</v>
      </c>
      <c r="G9754" t="s">
        <v>1073</v>
      </c>
      <c r="H9754" s="170">
        <v>-7.5383995955879504E-7</v>
      </c>
      <c r="I9754" t="s">
        <v>1074</v>
      </c>
      <c r="J9754">
        <v>13.03</v>
      </c>
    </row>
    <row r="9755" spans="1:10" hidden="1">
      <c r="A9755" t="s">
        <v>6212</v>
      </c>
      <c r="B9755" t="s">
        <v>6213</v>
      </c>
      <c r="C9755" t="s">
        <v>5111</v>
      </c>
      <c r="D9755" t="s">
        <v>3062</v>
      </c>
      <c r="E9755" t="s">
        <v>556</v>
      </c>
      <c r="F9755" t="s">
        <v>1068</v>
      </c>
      <c r="G9755" t="s">
        <v>1075</v>
      </c>
      <c r="H9755">
        <v>-4.0214314073714501E-2</v>
      </c>
      <c r="I9755" t="s">
        <v>1077</v>
      </c>
      <c r="J9755">
        <v>13.03</v>
      </c>
    </row>
    <row r="9756" spans="1:10" hidden="1">
      <c r="A9756" t="s">
        <v>6212</v>
      </c>
      <c r="B9756" t="s">
        <v>6213</v>
      </c>
      <c r="C9756" t="s">
        <v>5111</v>
      </c>
      <c r="D9756" t="s">
        <v>3062</v>
      </c>
      <c r="E9756" t="s">
        <v>556</v>
      </c>
      <c r="F9756" t="s">
        <v>1068</v>
      </c>
      <c r="G9756" t="s">
        <v>1078</v>
      </c>
      <c r="H9756" s="171" t="s">
        <v>6214</v>
      </c>
      <c r="I9756" t="s">
        <v>1079</v>
      </c>
      <c r="J9756">
        <v>13.03</v>
      </c>
    </row>
    <row r="9757" spans="1:10" hidden="1">
      <c r="A9757" t="s">
        <v>6212</v>
      </c>
      <c r="B9757" t="s">
        <v>6213</v>
      </c>
      <c r="C9757" t="s">
        <v>5111</v>
      </c>
      <c r="D9757" t="s">
        <v>3062</v>
      </c>
      <c r="E9757" t="s">
        <v>556</v>
      </c>
      <c r="F9757" t="s">
        <v>1068</v>
      </c>
      <c r="G9757" t="s">
        <v>1080</v>
      </c>
      <c r="H9757" s="170">
        <v>-1.19175801139989E-8</v>
      </c>
      <c r="I9757" t="s">
        <v>1082</v>
      </c>
      <c r="J9757">
        <v>13.03</v>
      </c>
    </row>
    <row r="9758" spans="1:10" hidden="1">
      <c r="A9758" t="s">
        <v>6212</v>
      </c>
      <c r="B9758" t="s">
        <v>6213</v>
      </c>
      <c r="C9758" t="s">
        <v>5111</v>
      </c>
      <c r="D9758" t="s">
        <v>3062</v>
      </c>
      <c r="E9758" t="s">
        <v>556</v>
      </c>
      <c r="F9758" t="s">
        <v>1068</v>
      </c>
      <c r="G9758" t="s">
        <v>1083</v>
      </c>
      <c r="H9758">
        <v>-2.8876902181400901E-4</v>
      </c>
      <c r="I9758" t="s">
        <v>1084</v>
      </c>
      <c r="J9758">
        <v>13.03</v>
      </c>
    </row>
    <row r="9759" spans="1:10" hidden="1">
      <c r="A9759" t="s">
        <v>6212</v>
      </c>
      <c r="B9759" t="s">
        <v>6213</v>
      </c>
      <c r="C9759" t="s">
        <v>5111</v>
      </c>
      <c r="D9759" t="s">
        <v>3062</v>
      </c>
      <c r="E9759" t="s">
        <v>556</v>
      </c>
      <c r="F9759" t="s">
        <v>1068</v>
      </c>
      <c r="G9759" t="s">
        <v>1085</v>
      </c>
      <c r="H9759">
        <v>-2.7159035041146098E-3</v>
      </c>
      <c r="I9759" t="s">
        <v>1086</v>
      </c>
      <c r="J9759">
        <v>13.03</v>
      </c>
    </row>
    <row r="9760" spans="1:10" hidden="1">
      <c r="A9760" t="s">
        <v>6212</v>
      </c>
      <c r="B9760" t="s">
        <v>6213</v>
      </c>
      <c r="C9760" t="s">
        <v>5111</v>
      </c>
      <c r="D9760" t="s">
        <v>3062</v>
      </c>
      <c r="E9760" t="s">
        <v>556</v>
      </c>
      <c r="F9760" t="s">
        <v>1068</v>
      </c>
      <c r="G9760" t="s">
        <v>1087</v>
      </c>
      <c r="H9760" s="170">
        <v>-1.7978213247231201E-6</v>
      </c>
      <c r="I9760" t="s">
        <v>1088</v>
      </c>
      <c r="J9760">
        <v>13.03</v>
      </c>
    </row>
    <row r="9761" spans="1:10" hidden="1">
      <c r="A9761" t="s">
        <v>6212</v>
      </c>
      <c r="B9761" t="s">
        <v>6213</v>
      </c>
      <c r="C9761" t="s">
        <v>5111</v>
      </c>
      <c r="D9761" t="s">
        <v>3062</v>
      </c>
      <c r="E9761" t="s">
        <v>556</v>
      </c>
      <c r="F9761" t="s">
        <v>1068</v>
      </c>
      <c r="G9761" t="s">
        <v>1089</v>
      </c>
      <c r="H9761">
        <v>-4.5499441986653999E-4</v>
      </c>
      <c r="I9761" t="s">
        <v>1090</v>
      </c>
      <c r="J9761">
        <v>13.03</v>
      </c>
    </row>
    <row r="9762" spans="1:10" hidden="1">
      <c r="A9762" t="s">
        <v>6215</v>
      </c>
      <c r="B9762" t="s">
        <v>6216</v>
      </c>
      <c r="C9762" t="s">
        <v>5111</v>
      </c>
      <c r="D9762" t="s">
        <v>3062</v>
      </c>
      <c r="E9762" t="s">
        <v>557</v>
      </c>
      <c r="F9762" t="s">
        <v>1068</v>
      </c>
      <c r="G9762" t="s">
        <v>1069</v>
      </c>
      <c r="H9762">
        <v>-1.9893597724594301</v>
      </c>
      <c r="I9762" t="s">
        <v>1070</v>
      </c>
      <c r="J9762">
        <v>22.22</v>
      </c>
    </row>
    <row r="9763" spans="1:10" hidden="1">
      <c r="A9763" t="s">
        <v>6215</v>
      </c>
      <c r="B9763" t="s">
        <v>6216</v>
      </c>
      <c r="C9763" t="s">
        <v>5111</v>
      </c>
      <c r="D9763" t="s">
        <v>3062</v>
      </c>
      <c r="E9763" t="s">
        <v>557</v>
      </c>
      <c r="F9763" t="s">
        <v>1068</v>
      </c>
      <c r="G9763" t="s">
        <v>1071</v>
      </c>
      <c r="H9763" s="170">
        <v>-2.12428489735894E-9</v>
      </c>
      <c r="I9763" t="s">
        <v>1072</v>
      </c>
      <c r="J9763">
        <v>22.22</v>
      </c>
    </row>
    <row r="9764" spans="1:10" hidden="1">
      <c r="A9764" t="s">
        <v>6215</v>
      </c>
      <c r="B9764" t="s">
        <v>6216</v>
      </c>
      <c r="C9764" t="s">
        <v>5111</v>
      </c>
      <c r="D9764" t="s">
        <v>3062</v>
      </c>
      <c r="E9764" t="s">
        <v>557</v>
      </c>
      <c r="F9764" t="s">
        <v>1068</v>
      </c>
      <c r="G9764" t="s">
        <v>1073</v>
      </c>
      <c r="H9764" s="170">
        <v>-7.0346497473604899E-7</v>
      </c>
      <c r="I9764" t="s">
        <v>1074</v>
      </c>
      <c r="J9764">
        <v>22.22</v>
      </c>
    </row>
    <row r="9765" spans="1:10" hidden="1">
      <c r="A9765" t="s">
        <v>6215</v>
      </c>
      <c r="B9765" t="s">
        <v>6216</v>
      </c>
      <c r="C9765" t="s">
        <v>5111</v>
      </c>
      <c r="D9765" t="s">
        <v>3062</v>
      </c>
      <c r="E9765" t="s">
        <v>557</v>
      </c>
      <c r="F9765" t="s">
        <v>1068</v>
      </c>
      <c r="G9765" t="s">
        <v>1075</v>
      </c>
      <c r="H9765">
        <v>-3.5731225358188498E-2</v>
      </c>
      <c r="I9765" t="s">
        <v>1077</v>
      </c>
      <c r="J9765">
        <v>22.22</v>
      </c>
    </row>
    <row r="9766" spans="1:10" hidden="1">
      <c r="A9766" t="s">
        <v>6215</v>
      </c>
      <c r="B9766" t="s">
        <v>6216</v>
      </c>
      <c r="C9766" t="s">
        <v>5111</v>
      </c>
      <c r="D9766" t="s">
        <v>3062</v>
      </c>
      <c r="E9766" t="s">
        <v>557</v>
      </c>
      <c r="F9766" t="s">
        <v>1068</v>
      </c>
      <c r="G9766" t="s">
        <v>1078</v>
      </c>
      <c r="H9766" s="171" t="s">
        <v>6217</v>
      </c>
      <c r="I9766" t="s">
        <v>1079</v>
      </c>
      <c r="J9766">
        <v>22.22</v>
      </c>
    </row>
    <row r="9767" spans="1:10" hidden="1">
      <c r="A9767" t="s">
        <v>6215</v>
      </c>
      <c r="B9767" t="s">
        <v>6216</v>
      </c>
      <c r="C9767" t="s">
        <v>5111</v>
      </c>
      <c r="D9767" t="s">
        <v>3062</v>
      </c>
      <c r="E9767" t="s">
        <v>557</v>
      </c>
      <c r="F9767" t="s">
        <v>1068</v>
      </c>
      <c r="G9767" t="s">
        <v>1080</v>
      </c>
      <c r="H9767" s="170">
        <v>-1.11292524046771E-8</v>
      </c>
      <c r="I9767" t="s">
        <v>1082</v>
      </c>
      <c r="J9767">
        <v>22.22</v>
      </c>
    </row>
    <row r="9768" spans="1:10" hidden="1">
      <c r="A9768" t="s">
        <v>6215</v>
      </c>
      <c r="B9768" t="s">
        <v>6216</v>
      </c>
      <c r="C9768" t="s">
        <v>5111</v>
      </c>
      <c r="D9768" t="s">
        <v>3062</v>
      </c>
      <c r="E9768" t="s">
        <v>557</v>
      </c>
      <c r="F9768" t="s">
        <v>1068</v>
      </c>
      <c r="G9768" t="s">
        <v>1083</v>
      </c>
      <c r="H9768">
        <v>-2.6721225626078599E-4</v>
      </c>
      <c r="I9768" t="s">
        <v>1084</v>
      </c>
      <c r="J9768">
        <v>22.22</v>
      </c>
    </row>
    <row r="9769" spans="1:10" hidden="1">
      <c r="A9769" t="s">
        <v>6215</v>
      </c>
      <c r="B9769" t="s">
        <v>6216</v>
      </c>
      <c r="C9769" t="s">
        <v>5111</v>
      </c>
      <c r="D9769" t="s">
        <v>3062</v>
      </c>
      <c r="E9769" t="s">
        <v>557</v>
      </c>
      <c r="F9769" t="s">
        <v>1068</v>
      </c>
      <c r="G9769" t="s">
        <v>1085</v>
      </c>
      <c r="H9769">
        <v>-2.4722683023421202E-3</v>
      </c>
      <c r="I9769" t="s">
        <v>1086</v>
      </c>
      <c r="J9769">
        <v>22.22</v>
      </c>
    </row>
    <row r="9770" spans="1:10" hidden="1">
      <c r="A9770" t="s">
        <v>6215</v>
      </c>
      <c r="B9770" t="s">
        <v>6216</v>
      </c>
      <c r="C9770" t="s">
        <v>5111</v>
      </c>
      <c r="D9770" t="s">
        <v>3062</v>
      </c>
      <c r="E9770" t="s">
        <v>557</v>
      </c>
      <c r="F9770" t="s">
        <v>1068</v>
      </c>
      <c r="G9770" t="s">
        <v>1087</v>
      </c>
      <c r="H9770" s="170">
        <v>-1.6802418638943901E-6</v>
      </c>
      <c r="I9770" t="s">
        <v>1088</v>
      </c>
      <c r="J9770">
        <v>22.22</v>
      </c>
    </row>
    <row r="9771" spans="1:10" hidden="1">
      <c r="A9771" t="s">
        <v>6215</v>
      </c>
      <c r="B9771" t="s">
        <v>6216</v>
      </c>
      <c r="C9771" t="s">
        <v>5111</v>
      </c>
      <c r="D9771" t="s">
        <v>3062</v>
      </c>
      <c r="E9771" t="s">
        <v>557</v>
      </c>
      <c r="F9771" t="s">
        <v>1068</v>
      </c>
      <c r="G9771" t="s">
        <v>1089</v>
      </c>
      <c r="H9771">
        <v>-4.0473295886149301E-4</v>
      </c>
      <c r="I9771" t="s">
        <v>1090</v>
      </c>
      <c r="J9771">
        <v>22.22</v>
      </c>
    </row>
    <row r="9772" spans="1:10" hidden="1">
      <c r="A9772" t="s">
        <v>6218</v>
      </c>
      <c r="B9772" t="s">
        <v>6219</v>
      </c>
      <c r="C9772" t="s">
        <v>5111</v>
      </c>
      <c r="D9772" t="s">
        <v>3062</v>
      </c>
      <c r="E9772" t="s">
        <v>559</v>
      </c>
      <c r="F9772" t="s">
        <v>1068</v>
      </c>
      <c r="G9772" t="s">
        <v>1069</v>
      </c>
      <c r="H9772">
        <v>-2.0578795504687499</v>
      </c>
      <c r="I9772" t="s">
        <v>1070</v>
      </c>
      <c r="J9772">
        <v>9.51</v>
      </c>
    </row>
    <row r="9773" spans="1:10" hidden="1">
      <c r="A9773" t="s">
        <v>6218</v>
      </c>
      <c r="B9773" t="s">
        <v>6219</v>
      </c>
      <c r="C9773" t="s">
        <v>5111</v>
      </c>
      <c r="D9773" t="s">
        <v>3062</v>
      </c>
      <c r="E9773" t="s">
        <v>559</v>
      </c>
      <c r="F9773" t="s">
        <v>1068</v>
      </c>
      <c r="G9773" t="s">
        <v>1071</v>
      </c>
      <c r="H9773" s="170">
        <v>-2.22233747232327E-9</v>
      </c>
      <c r="I9773" t="s">
        <v>1072</v>
      </c>
      <c r="J9773">
        <v>9.51</v>
      </c>
    </row>
    <row r="9774" spans="1:10" hidden="1">
      <c r="A9774" t="s">
        <v>6218</v>
      </c>
      <c r="B9774" t="s">
        <v>6219</v>
      </c>
      <c r="C9774" t="s">
        <v>5111</v>
      </c>
      <c r="D9774" t="s">
        <v>3062</v>
      </c>
      <c r="E9774" t="s">
        <v>559</v>
      </c>
      <c r="F9774" t="s">
        <v>1068</v>
      </c>
      <c r="G9774" t="s">
        <v>1073</v>
      </c>
      <c r="H9774" s="170">
        <v>-7.2780344524926205E-7</v>
      </c>
      <c r="I9774" t="s">
        <v>1074</v>
      </c>
      <c r="J9774">
        <v>9.51</v>
      </c>
    </row>
    <row r="9775" spans="1:10" hidden="1">
      <c r="A9775" t="s">
        <v>6218</v>
      </c>
      <c r="B9775" t="s">
        <v>6219</v>
      </c>
      <c r="C9775" t="s">
        <v>5111</v>
      </c>
      <c r="D9775" t="s">
        <v>3062</v>
      </c>
      <c r="E9775" t="s">
        <v>559</v>
      </c>
      <c r="F9775" t="s">
        <v>1068</v>
      </c>
      <c r="G9775" t="s">
        <v>1075</v>
      </c>
      <c r="H9775">
        <v>-3.7897211878950898E-2</v>
      </c>
      <c r="I9775" t="s">
        <v>1077</v>
      </c>
      <c r="J9775">
        <v>9.51</v>
      </c>
    </row>
    <row r="9776" spans="1:10" hidden="1">
      <c r="A9776" t="s">
        <v>6218</v>
      </c>
      <c r="B9776" t="s">
        <v>6219</v>
      </c>
      <c r="C9776" t="s">
        <v>5111</v>
      </c>
      <c r="D9776" t="s">
        <v>3062</v>
      </c>
      <c r="E9776" t="s">
        <v>559</v>
      </c>
      <c r="F9776" t="s">
        <v>1068</v>
      </c>
      <c r="G9776" t="s">
        <v>1078</v>
      </c>
      <c r="H9776" s="171" t="s">
        <v>6220</v>
      </c>
      <c r="I9776" t="s">
        <v>1079</v>
      </c>
      <c r="J9776">
        <v>9.51</v>
      </c>
    </row>
    <row r="9777" spans="1:10" hidden="1">
      <c r="A9777" t="s">
        <v>6218</v>
      </c>
      <c r="B9777" t="s">
        <v>6219</v>
      </c>
      <c r="C9777" t="s">
        <v>5111</v>
      </c>
      <c r="D9777" t="s">
        <v>3062</v>
      </c>
      <c r="E9777" t="s">
        <v>559</v>
      </c>
      <c r="F9777" t="s">
        <v>1068</v>
      </c>
      <c r="G9777" t="s">
        <v>1080</v>
      </c>
      <c r="H9777" s="170">
        <v>-1.15101298087884E-8</v>
      </c>
      <c r="I9777" t="s">
        <v>1082</v>
      </c>
      <c r="J9777">
        <v>9.51</v>
      </c>
    </row>
    <row r="9778" spans="1:10" hidden="1">
      <c r="A9778" t="s">
        <v>6218</v>
      </c>
      <c r="B9778" t="s">
        <v>6219</v>
      </c>
      <c r="C9778" t="s">
        <v>5111</v>
      </c>
      <c r="D9778" t="s">
        <v>3062</v>
      </c>
      <c r="E9778" t="s">
        <v>559</v>
      </c>
      <c r="F9778" t="s">
        <v>1068</v>
      </c>
      <c r="G9778" t="s">
        <v>1083</v>
      </c>
      <c r="H9778">
        <v>-2.7762732198813002E-4</v>
      </c>
      <c r="I9778" t="s">
        <v>1084</v>
      </c>
      <c r="J9778">
        <v>9.51</v>
      </c>
    </row>
    <row r="9779" spans="1:10" hidden="1">
      <c r="A9779" t="s">
        <v>6218</v>
      </c>
      <c r="B9779" t="s">
        <v>6219</v>
      </c>
      <c r="C9779" t="s">
        <v>5111</v>
      </c>
      <c r="D9779" t="s">
        <v>3062</v>
      </c>
      <c r="E9779" t="s">
        <v>559</v>
      </c>
      <c r="F9779" t="s">
        <v>1068</v>
      </c>
      <c r="G9779" t="s">
        <v>1085</v>
      </c>
      <c r="H9779">
        <v>-2.5899796831873102E-3</v>
      </c>
      <c r="I9779" t="s">
        <v>1086</v>
      </c>
      <c r="J9779">
        <v>9.51</v>
      </c>
    </row>
    <row r="9780" spans="1:10" hidden="1">
      <c r="A9780" t="s">
        <v>6218</v>
      </c>
      <c r="B9780" t="s">
        <v>6219</v>
      </c>
      <c r="C9780" t="s">
        <v>5111</v>
      </c>
      <c r="D9780" t="s">
        <v>3062</v>
      </c>
      <c r="E9780" t="s">
        <v>559</v>
      </c>
      <c r="F9780" t="s">
        <v>1068</v>
      </c>
      <c r="G9780" t="s">
        <v>1087</v>
      </c>
      <c r="H9780" s="170">
        <v>-1.73704991377356E-6</v>
      </c>
      <c r="I9780" t="s">
        <v>1088</v>
      </c>
      <c r="J9780">
        <v>9.51</v>
      </c>
    </row>
    <row r="9781" spans="1:10" hidden="1">
      <c r="A9781" t="s">
        <v>6218</v>
      </c>
      <c r="B9781" t="s">
        <v>6219</v>
      </c>
      <c r="C9781" t="s">
        <v>5111</v>
      </c>
      <c r="D9781" t="s">
        <v>3062</v>
      </c>
      <c r="E9781" t="s">
        <v>559</v>
      </c>
      <c r="F9781" t="s">
        <v>1068</v>
      </c>
      <c r="G9781" t="s">
        <v>1089</v>
      </c>
      <c r="H9781">
        <v>-4.29016584275549E-4</v>
      </c>
      <c r="I9781" t="s">
        <v>1090</v>
      </c>
      <c r="J9781">
        <v>9.51</v>
      </c>
    </row>
    <row r="9782" spans="1:10" hidden="1">
      <c r="A9782" t="s">
        <v>6221</v>
      </c>
      <c r="B9782" t="s">
        <v>6222</v>
      </c>
      <c r="C9782" t="s">
        <v>5111</v>
      </c>
      <c r="D9782" t="s">
        <v>3062</v>
      </c>
      <c r="E9782" t="s">
        <v>560</v>
      </c>
      <c r="F9782" t="s">
        <v>1068</v>
      </c>
      <c r="G9782" t="s">
        <v>1069</v>
      </c>
      <c r="H9782">
        <v>-2.0345321428030099</v>
      </c>
      <c r="I9782" t="s">
        <v>1070</v>
      </c>
      <c r="J9782">
        <v>8.36</v>
      </c>
    </row>
    <row r="9783" spans="1:10" hidden="1">
      <c r="A9783" t="s">
        <v>6221</v>
      </c>
      <c r="B9783" t="s">
        <v>6222</v>
      </c>
      <c r="C9783" t="s">
        <v>5111</v>
      </c>
      <c r="D9783" t="s">
        <v>3062</v>
      </c>
      <c r="E9783" t="s">
        <v>560</v>
      </c>
      <c r="F9783" t="s">
        <v>1068</v>
      </c>
      <c r="G9783" t="s">
        <v>1071</v>
      </c>
      <c r="H9783" s="170">
        <v>-2.1889270732414402E-9</v>
      </c>
      <c r="I9783" t="s">
        <v>1072</v>
      </c>
      <c r="J9783">
        <v>8.36</v>
      </c>
    </row>
    <row r="9784" spans="1:10" hidden="1">
      <c r="A9784" t="s">
        <v>6221</v>
      </c>
      <c r="B9784" t="s">
        <v>6222</v>
      </c>
      <c r="C9784" t="s">
        <v>5111</v>
      </c>
      <c r="D9784" t="s">
        <v>3062</v>
      </c>
      <c r="E9784" t="s">
        <v>560</v>
      </c>
      <c r="F9784" t="s">
        <v>1068</v>
      </c>
      <c r="G9784" t="s">
        <v>1073</v>
      </c>
      <c r="H9784" s="170">
        <v>-7.1951034361616998E-7</v>
      </c>
      <c r="I9784" t="s">
        <v>1074</v>
      </c>
      <c r="J9784">
        <v>8.36</v>
      </c>
    </row>
    <row r="9785" spans="1:10" hidden="1">
      <c r="A9785" t="s">
        <v>6221</v>
      </c>
      <c r="B9785" t="s">
        <v>6222</v>
      </c>
      <c r="C9785" t="s">
        <v>5111</v>
      </c>
      <c r="D9785" t="s">
        <v>3062</v>
      </c>
      <c r="E9785" t="s">
        <v>560</v>
      </c>
      <c r="F9785" t="s">
        <v>1068</v>
      </c>
      <c r="G9785" t="s">
        <v>1075</v>
      </c>
      <c r="H9785">
        <v>-3.71591722410132E-2</v>
      </c>
      <c r="I9785" t="s">
        <v>1077</v>
      </c>
      <c r="J9785">
        <v>8.36</v>
      </c>
    </row>
    <row r="9786" spans="1:10" hidden="1">
      <c r="A9786" t="s">
        <v>6221</v>
      </c>
      <c r="B9786" t="s">
        <v>6222</v>
      </c>
      <c r="C9786" t="s">
        <v>5111</v>
      </c>
      <c r="D9786" t="s">
        <v>3062</v>
      </c>
      <c r="E9786" t="s">
        <v>560</v>
      </c>
      <c r="F9786" t="s">
        <v>1068</v>
      </c>
      <c r="G9786" t="s">
        <v>1078</v>
      </c>
      <c r="H9786" s="171" t="s">
        <v>6223</v>
      </c>
      <c r="I9786" t="s">
        <v>1079</v>
      </c>
      <c r="J9786">
        <v>8.36</v>
      </c>
    </row>
    <row r="9787" spans="1:10" hidden="1">
      <c r="A9787" t="s">
        <v>6221</v>
      </c>
      <c r="B9787" t="s">
        <v>6222</v>
      </c>
      <c r="C9787" t="s">
        <v>5111</v>
      </c>
      <c r="D9787" t="s">
        <v>3062</v>
      </c>
      <c r="E9787" t="s">
        <v>560</v>
      </c>
      <c r="F9787" t="s">
        <v>1068</v>
      </c>
      <c r="G9787" t="s">
        <v>1080</v>
      </c>
      <c r="H9787" s="170">
        <v>-1.1380349397527099E-8</v>
      </c>
      <c r="I9787" t="s">
        <v>1082</v>
      </c>
      <c r="J9787">
        <v>8.36</v>
      </c>
    </row>
    <row r="9788" spans="1:10" hidden="1">
      <c r="A9788" t="s">
        <v>6221</v>
      </c>
      <c r="B9788" t="s">
        <v>6222</v>
      </c>
      <c r="C9788" t="s">
        <v>5111</v>
      </c>
      <c r="D9788" t="s">
        <v>3062</v>
      </c>
      <c r="E9788" t="s">
        <v>560</v>
      </c>
      <c r="F9788" t="s">
        <v>1068</v>
      </c>
      <c r="G9788" t="s">
        <v>1083</v>
      </c>
      <c r="H9788">
        <v>-2.7407848580028902E-4</v>
      </c>
      <c r="I9788" t="s">
        <v>1084</v>
      </c>
      <c r="J9788">
        <v>8.36</v>
      </c>
    </row>
    <row r="9789" spans="1:10" hidden="1">
      <c r="A9789" t="s">
        <v>6221</v>
      </c>
      <c r="B9789" t="s">
        <v>6222</v>
      </c>
      <c r="C9789" t="s">
        <v>5111</v>
      </c>
      <c r="D9789" t="s">
        <v>3062</v>
      </c>
      <c r="E9789" t="s">
        <v>560</v>
      </c>
      <c r="F9789" t="s">
        <v>1068</v>
      </c>
      <c r="G9789" t="s">
        <v>1085</v>
      </c>
      <c r="H9789">
        <v>-2.54987063165366E-3</v>
      </c>
      <c r="I9789" t="s">
        <v>1086</v>
      </c>
      <c r="J9789">
        <v>8.36</v>
      </c>
    </row>
    <row r="9790" spans="1:10" hidden="1">
      <c r="A9790" t="s">
        <v>6221</v>
      </c>
      <c r="B9790" t="s">
        <v>6222</v>
      </c>
      <c r="C9790" t="s">
        <v>5111</v>
      </c>
      <c r="D9790" t="s">
        <v>3062</v>
      </c>
      <c r="E9790" t="s">
        <v>560</v>
      </c>
      <c r="F9790" t="s">
        <v>1068</v>
      </c>
      <c r="G9790" t="s">
        <v>1087</v>
      </c>
      <c r="H9790" s="170">
        <v>-1.71769310235353E-6</v>
      </c>
      <c r="I9790" t="s">
        <v>1088</v>
      </c>
      <c r="J9790">
        <v>8.36</v>
      </c>
    </row>
    <row r="9791" spans="1:10" hidden="1">
      <c r="A9791" t="s">
        <v>6221</v>
      </c>
      <c r="B9791" t="s">
        <v>6222</v>
      </c>
      <c r="C9791" t="s">
        <v>5111</v>
      </c>
      <c r="D9791" t="s">
        <v>3062</v>
      </c>
      <c r="E9791" t="s">
        <v>560</v>
      </c>
      <c r="F9791" t="s">
        <v>1068</v>
      </c>
      <c r="G9791" t="s">
        <v>1089</v>
      </c>
      <c r="H9791">
        <v>-4.2074216615434402E-4</v>
      </c>
      <c r="I9791" t="s">
        <v>1090</v>
      </c>
      <c r="J9791">
        <v>8.36</v>
      </c>
    </row>
    <row r="9792" spans="1:10" hidden="1">
      <c r="A9792" t="s">
        <v>6224</v>
      </c>
      <c r="B9792" t="s">
        <v>6225</v>
      </c>
      <c r="C9792" t="s">
        <v>5111</v>
      </c>
      <c r="D9792" t="s">
        <v>3062</v>
      </c>
      <c r="E9792" t="s">
        <v>1116</v>
      </c>
      <c r="F9792" t="s">
        <v>1068</v>
      </c>
      <c r="G9792" t="s">
        <v>1069</v>
      </c>
      <c r="H9792">
        <v>-1.89742945604199</v>
      </c>
      <c r="I9792" t="s">
        <v>1070</v>
      </c>
      <c r="J9792">
        <v>12.29</v>
      </c>
    </row>
    <row r="9793" spans="1:10" hidden="1">
      <c r="A9793" t="s">
        <v>6224</v>
      </c>
      <c r="B9793" t="s">
        <v>6225</v>
      </c>
      <c r="C9793" t="s">
        <v>5111</v>
      </c>
      <c r="D9793" t="s">
        <v>3062</v>
      </c>
      <c r="E9793" t="s">
        <v>1116</v>
      </c>
      <c r="F9793" t="s">
        <v>1068</v>
      </c>
      <c r="G9793" t="s">
        <v>1071</v>
      </c>
      <c r="H9793" s="170">
        <v>-1.9927315686849898E-9</v>
      </c>
      <c r="I9793" t="s">
        <v>1072</v>
      </c>
      <c r="J9793">
        <v>12.29</v>
      </c>
    </row>
    <row r="9794" spans="1:10" hidden="1">
      <c r="A9794" t="s">
        <v>6224</v>
      </c>
      <c r="B9794" t="s">
        <v>6225</v>
      </c>
      <c r="C9794" t="s">
        <v>5111</v>
      </c>
      <c r="D9794" t="s">
        <v>3062</v>
      </c>
      <c r="E9794" t="s">
        <v>1116</v>
      </c>
      <c r="F9794" t="s">
        <v>1068</v>
      </c>
      <c r="G9794" t="s">
        <v>1073</v>
      </c>
      <c r="H9794" s="170">
        <v>-6.7081103545934195E-7</v>
      </c>
      <c r="I9794" t="s">
        <v>1074</v>
      </c>
      <c r="J9794">
        <v>12.29</v>
      </c>
    </row>
    <row r="9795" spans="1:10" hidden="1">
      <c r="A9795" t="s">
        <v>6224</v>
      </c>
      <c r="B9795" t="s">
        <v>6225</v>
      </c>
      <c r="C9795" t="s">
        <v>5111</v>
      </c>
      <c r="D9795" t="s">
        <v>3062</v>
      </c>
      <c r="E9795" t="s">
        <v>1116</v>
      </c>
      <c r="F9795" t="s">
        <v>1068</v>
      </c>
      <c r="G9795" t="s">
        <v>1075</v>
      </c>
      <c r="H9795">
        <v>-3.2825209849882499E-2</v>
      </c>
      <c r="I9795" t="s">
        <v>1077</v>
      </c>
      <c r="J9795">
        <v>12.29</v>
      </c>
    </row>
    <row r="9796" spans="1:10" hidden="1">
      <c r="A9796" t="s">
        <v>6224</v>
      </c>
      <c r="B9796" t="s">
        <v>6225</v>
      </c>
      <c r="C9796" t="s">
        <v>5111</v>
      </c>
      <c r="D9796" t="s">
        <v>3062</v>
      </c>
      <c r="E9796" t="s">
        <v>1116</v>
      </c>
      <c r="F9796" t="s">
        <v>1068</v>
      </c>
      <c r="G9796" t="s">
        <v>1078</v>
      </c>
      <c r="H9796" s="171" t="s">
        <v>6226</v>
      </c>
      <c r="I9796" t="s">
        <v>1079</v>
      </c>
      <c r="J9796">
        <v>12.29</v>
      </c>
    </row>
    <row r="9797" spans="1:10" hidden="1">
      <c r="A9797" t="s">
        <v>6224</v>
      </c>
      <c r="B9797" t="s">
        <v>6225</v>
      </c>
      <c r="C9797" t="s">
        <v>5111</v>
      </c>
      <c r="D9797" t="s">
        <v>3062</v>
      </c>
      <c r="E9797" t="s">
        <v>1116</v>
      </c>
      <c r="F9797" t="s">
        <v>1068</v>
      </c>
      <c r="G9797" t="s">
        <v>1080</v>
      </c>
      <c r="H9797" s="170">
        <v>-1.0618244772609199E-8</v>
      </c>
      <c r="I9797" t="s">
        <v>1082</v>
      </c>
      <c r="J9797">
        <v>12.29</v>
      </c>
    </row>
    <row r="9798" spans="1:10" hidden="1">
      <c r="A9798" t="s">
        <v>6224</v>
      </c>
      <c r="B9798" t="s">
        <v>6225</v>
      </c>
      <c r="C9798" t="s">
        <v>5111</v>
      </c>
      <c r="D9798" t="s">
        <v>3062</v>
      </c>
      <c r="E9798" t="s">
        <v>1116</v>
      </c>
      <c r="F9798" t="s">
        <v>1068</v>
      </c>
      <c r="G9798" t="s">
        <v>1083</v>
      </c>
      <c r="H9798">
        <v>-2.5323878864417999E-4</v>
      </c>
      <c r="I9798" t="s">
        <v>1084</v>
      </c>
      <c r="J9798">
        <v>12.29</v>
      </c>
    </row>
    <row r="9799" spans="1:10" hidden="1">
      <c r="A9799" t="s">
        <v>6224</v>
      </c>
      <c r="B9799" t="s">
        <v>6225</v>
      </c>
      <c r="C9799" t="s">
        <v>5111</v>
      </c>
      <c r="D9799" t="s">
        <v>3062</v>
      </c>
      <c r="E9799" t="s">
        <v>1116</v>
      </c>
      <c r="F9799" t="s">
        <v>1068</v>
      </c>
      <c r="G9799" t="s">
        <v>1085</v>
      </c>
      <c r="H9799">
        <v>-2.31433975809972E-3</v>
      </c>
      <c r="I9799" t="s">
        <v>1086</v>
      </c>
      <c r="J9799">
        <v>12.29</v>
      </c>
    </row>
    <row r="9800" spans="1:10" hidden="1">
      <c r="A9800" t="s">
        <v>6224</v>
      </c>
      <c r="B9800" t="s">
        <v>6225</v>
      </c>
      <c r="C9800" t="s">
        <v>5111</v>
      </c>
      <c r="D9800" t="s">
        <v>3062</v>
      </c>
      <c r="E9800" t="s">
        <v>1116</v>
      </c>
      <c r="F9800" t="s">
        <v>1068</v>
      </c>
      <c r="G9800" t="s">
        <v>1087</v>
      </c>
      <c r="H9800" s="170">
        <v>-1.6040248273389201E-6</v>
      </c>
      <c r="I9800" t="s">
        <v>1088</v>
      </c>
      <c r="J9800">
        <v>12.29</v>
      </c>
    </row>
    <row r="9801" spans="1:10" hidden="1">
      <c r="A9801" t="s">
        <v>6224</v>
      </c>
      <c r="B9801" t="s">
        <v>6225</v>
      </c>
      <c r="C9801" t="s">
        <v>5111</v>
      </c>
      <c r="D9801" t="s">
        <v>3062</v>
      </c>
      <c r="E9801" t="s">
        <v>1116</v>
      </c>
      <c r="F9801" t="s">
        <v>1068</v>
      </c>
      <c r="G9801" t="s">
        <v>1089</v>
      </c>
      <c r="H9801">
        <v>-3.7215261205147802E-4</v>
      </c>
      <c r="I9801" t="s">
        <v>1090</v>
      </c>
      <c r="J9801">
        <v>12.29</v>
      </c>
    </row>
    <row r="9802" spans="1:10" hidden="1">
      <c r="A9802" t="s">
        <v>6227</v>
      </c>
      <c r="B9802" s="170" t="s">
        <v>6228</v>
      </c>
      <c r="C9802" t="s">
        <v>5111</v>
      </c>
      <c r="D9802" t="s">
        <v>3151</v>
      </c>
      <c r="E9802" t="s">
        <v>561</v>
      </c>
      <c r="F9802" t="s">
        <v>1068</v>
      </c>
      <c r="G9802" t="s">
        <v>1069</v>
      </c>
      <c r="H9802">
        <v>-1.8659876250243601</v>
      </c>
      <c r="I9802" t="s">
        <v>1070</v>
      </c>
      <c r="J9802">
        <v>10.61</v>
      </c>
    </row>
    <row r="9803" spans="1:10" hidden="1">
      <c r="A9803" t="s">
        <v>6227</v>
      </c>
      <c r="B9803" s="170" t="s">
        <v>6228</v>
      </c>
      <c r="C9803" t="s">
        <v>5111</v>
      </c>
      <c r="D9803" t="s">
        <v>3151</v>
      </c>
      <c r="E9803" t="s">
        <v>561</v>
      </c>
      <c r="F9803" t="s">
        <v>1068</v>
      </c>
      <c r="G9803" t="s">
        <v>1071</v>
      </c>
      <c r="H9803" s="170">
        <v>-1.9685219131040401E-9</v>
      </c>
      <c r="I9803" t="s">
        <v>1072</v>
      </c>
      <c r="J9803">
        <v>10.61</v>
      </c>
    </row>
    <row r="9804" spans="1:10" hidden="1">
      <c r="A9804" t="s">
        <v>6227</v>
      </c>
      <c r="B9804" s="170" t="s">
        <v>6228</v>
      </c>
      <c r="C9804" t="s">
        <v>5111</v>
      </c>
      <c r="D9804" t="s">
        <v>3151</v>
      </c>
      <c r="E9804" t="s">
        <v>561</v>
      </c>
      <c r="F9804" t="s">
        <v>1068</v>
      </c>
      <c r="G9804" t="s">
        <v>1073</v>
      </c>
      <c r="H9804" s="170">
        <v>-6.5956310266750102E-7</v>
      </c>
      <c r="I9804" t="s">
        <v>1074</v>
      </c>
      <c r="J9804">
        <v>10.61</v>
      </c>
    </row>
    <row r="9805" spans="1:10" hidden="1">
      <c r="A9805" t="s">
        <v>6227</v>
      </c>
      <c r="B9805" s="170" t="s">
        <v>6228</v>
      </c>
      <c r="C9805" t="s">
        <v>5111</v>
      </c>
      <c r="D9805" t="s">
        <v>3151</v>
      </c>
      <c r="E9805" t="s">
        <v>561</v>
      </c>
      <c r="F9805" t="s">
        <v>1068</v>
      </c>
      <c r="G9805" t="s">
        <v>1075</v>
      </c>
      <c r="H9805">
        <v>-3.2577107696630803E-2</v>
      </c>
      <c r="I9805" t="s">
        <v>1077</v>
      </c>
      <c r="J9805">
        <v>10.61</v>
      </c>
    </row>
    <row r="9806" spans="1:10" hidden="1">
      <c r="A9806" t="s">
        <v>6227</v>
      </c>
      <c r="B9806" s="170" t="s">
        <v>6228</v>
      </c>
      <c r="C9806" t="s">
        <v>5111</v>
      </c>
      <c r="D9806" t="s">
        <v>3151</v>
      </c>
      <c r="E9806" t="s">
        <v>561</v>
      </c>
      <c r="F9806" t="s">
        <v>1068</v>
      </c>
      <c r="G9806" t="s">
        <v>1078</v>
      </c>
      <c r="H9806" s="171" t="s">
        <v>6229</v>
      </c>
      <c r="I9806" t="s">
        <v>1079</v>
      </c>
      <c r="J9806">
        <v>10.61</v>
      </c>
    </row>
    <row r="9807" spans="1:10" hidden="1">
      <c r="A9807" t="s">
        <v>6227</v>
      </c>
      <c r="B9807" s="170" t="s">
        <v>6228</v>
      </c>
      <c r="C9807" t="s">
        <v>5111</v>
      </c>
      <c r="D9807" t="s">
        <v>3151</v>
      </c>
      <c r="E9807" t="s">
        <v>561</v>
      </c>
      <c r="F9807" t="s">
        <v>1068</v>
      </c>
      <c r="G9807" t="s">
        <v>1080</v>
      </c>
      <c r="H9807" s="170">
        <v>-1.04445547872496E-8</v>
      </c>
      <c r="I9807" t="s">
        <v>1082</v>
      </c>
      <c r="J9807">
        <v>10.61</v>
      </c>
    </row>
    <row r="9808" spans="1:10" hidden="1">
      <c r="A9808" t="s">
        <v>6227</v>
      </c>
      <c r="B9808" s="170" t="s">
        <v>6228</v>
      </c>
      <c r="C9808" t="s">
        <v>5111</v>
      </c>
      <c r="D9808" t="s">
        <v>3151</v>
      </c>
      <c r="E9808" t="s">
        <v>561</v>
      </c>
      <c r="F9808" t="s">
        <v>1068</v>
      </c>
      <c r="G9808" t="s">
        <v>1083</v>
      </c>
      <c r="H9808">
        <v>-2.4971210346305298E-4</v>
      </c>
      <c r="I9808" t="s">
        <v>1084</v>
      </c>
      <c r="J9808">
        <v>10.61</v>
      </c>
    </row>
    <row r="9809" spans="1:10" hidden="1">
      <c r="A9809" t="s">
        <v>6227</v>
      </c>
      <c r="B9809" s="170" t="s">
        <v>6228</v>
      </c>
      <c r="C9809" t="s">
        <v>5111</v>
      </c>
      <c r="D9809" t="s">
        <v>3151</v>
      </c>
      <c r="E9809" t="s">
        <v>561</v>
      </c>
      <c r="F9809" t="s">
        <v>1068</v>
      </c>
      <c r="G9809" t="s">
        <v>1085</v>
      </c>
      <c r="H9809">
        <v>-2.2879338963179602E-3</v>
      </c>
      <c r="I9809" t="s">
        <v>1086</v>
      </c>
      <c r="J9809">
        <v>10.61</v>
      </c>
    </row>
    <row r="9810" spans="1:10" hidden="1">
      <c r="A9810" t="s">
        <v>6227</v>
      </c>
      <c r="B9810" s="170" t="s">
        <v>6228</v>
      </c>
      <c r="C9810" t="s">
        <v>5111</v>
      </c>
      <c r="D9810" t="s">
        <v>3151</v>
      </c>
      <c r="E9810" t="s">
        <v>561</v>
      </c>
      <c r="F9810" t="s">
        <v>1068</v>
      </c>
      <c r="G9810" t="s">
        <v>1087</v>
      </c>
      <c r="H9810" s="170">
        <v>-1.57902396045441E-6</v>
      </c>
      <c r="I9810" t="s">
        <v>1088</v>
      </c>
      <c r="J9810">
        <v>10.61</v>
      </c>
    </row>
    <row r="9811" spans="1:10" hidden="1">
      <c r="A9811" t="s">
        <v>6227</v>
      </c>
      <c r="B9811" s="170" t="s">
        <v>6228</v>
      </c>
      <c r="C9811" t="s">
        <v>5111</v>
      </c>
      <c r="D9811" t="s">
        <v>3151</v>
      </c>
      <c r="E9811" t="s">
        <v>561</v>
      </c>
      <c r="F9811" t="s">
        <v>1068</v>
      </c>
      <c r="G9811" t="s">
        <v>1089</v>
      </c>
      <c r="H9811">
        <v>-3.6945215022140399E-4</v>
      </c>
      <c r="I9811" t="s">
        <v>1090</v>
      </c>
      <c r="J9811">
        <v>10.61</v>
      </c>
    </row>
    <row r="9812" spans="1:10" hidden="1">
      <c r="A9812" t="s">
        <v>6230</v>
      </c>
      <c r="B9812" t="s">
        <v>6231</v>
      </c>
      <c r="C9812" t="s">
        <v>5111</v>
      </c>
      <c r="D9812" t="s">
        <v>3151</v>
      </c>
      <c r="E9812" t="s">
        <v>555</v>
      </c>
      <c r="F9812" t="s">
        <v>1068</v>
      </c>
      <c r="G9812" t="s">
        <v>1069</v>
      </c>
      <c r="H9812">
        <v>-2.0908375076495802</v>
      </c>
      <c r="I9812" t="s">
        <v>1070</v>
      </c>
      <c r="J9812">
        <v>9.98</v>
      </c>
    </row>
    <row r="9813" spans="1:10" hidden="1">
      <c r="A9813" t="s">
        <v>6230</v>
      </c>
      <c r="B9813" t="s">
        <v>6231</v>
      </c>
      <c r="C9813" t="s">
        <v>5111</v>
      </c>
      <c r="D9813" t="s">
        <v>3151</v>
      </c>
      <c r="E9813" t="s">
        <v>555</v>
      </c>
      <c r="F9813" t="s">
        <v>1068</v>
      </c>
      <c r="G9813" t="s">
        <v>1071</v>
      </c>
      <c r="H9813" s="170">
        <v>-2.2902846338187201E-9</v>
      </c>
      <c r="I9813" t="s">
        <v>1072</v>
      </c>
      <c r="J9813">
        <v>9.98</v>
      </c>
    </row>
    <row r="9814" spans="1:10" hidden="1">
      <c r="A9814" t="s">
        <v>6230</v>
      </c>
      <c r="B9814" t="s">
        <v>6231</v>
      </c>
      <c r="C9814" t="s">
        <v>5111</v>
      </c>
      <c r="D9814" t="s">
        <v>3151</v>
      </c>
      <c r="E9814" t="s">
        <v>555</v>
      </c>
      <c r="F9814" t="s">
        <v>1068</v>
      </c>
      <c r="G9814" t="s">
        <v>1073</v>
      </c>
      <c r="H9814" s="170">
        <v>-7.3943057268254202E-7</v>
      </c>
      <c r="I9814" t="s">
        <v>1074</v>
      </c>
      <c r="J9814">
        <v>9.98</v>
      </c>
    </row>
    <row r="9815" spans="1:10" hidden="1">
      <c r="A9815" t="s">
        <v>6230</v>
      </c>
      <c r="B9815" t="s">
        <v>6231</v>
      </c>
      <c r="C9815" t="s">
        <v>5111</v>
      </c>
      <c r="D9815" t="s">
        <v>3151</v>
      </c>
      <c r="E9815" t="s">
        <v>555</v>
      </c>
      <c r="F9815" t="s">
        <v>1068</v>
      </c>
      <c r="G9815" t="s">
        <v>1075</v>
      </c>
      <c r="H9815">
        <v>-3.9684861510924797E-2</v>
      </c>
      <c r="I9815" t="s">
        <v>1077</v>
      </c>
      <c r="J9815">
        <v>9.98</v>
      </c>
    </row>
    <row r="9816" spans="1:10" hidden="1">
      <c r="A9816" t="s">
        <v>6230</v>
      </c>
      <c r="B9816" t="s">
        <v>6231</v>
      </c>
      <c r="C9816" t="s">
        <v>5111</v>
      </c>
      <c r="D9816" t="s">
        <v>3151</v>
      </c>
      <c r="E9816" t="s">
        <v>555</v>
      </c>
      <c r="F9816" t="s">
        <v>1068</v>
      </c>
      <c r="G9816" t="s">
        <v>1078</v>
      </c>
      <c r="H9816">
        <v>9.8979147394148301E-2</v>
      </c>
      <c r="I9816" t="s">
        <v>1079</v>
      </c>
      <c r="J9816">
        <v>9.98</v>
      </c>
    </row>
    <row r="9817" spans="1:10" hidden="1">
      <c r="A9817" t="s">
        <v>6230</v>
      </c>
      <c r="B9817" t="s">
        <v>6231</v>
      </c>
      <c r="C9817" t="s">
        <v>5111</v>
      </c>
      <c r="D9817" t="s">
        <v>3151</v>
      </c>
      <c r="E9817" t="s">
        <v>555</v>
      </c>
      <c r="F9817" t="s">
        <v>1068</v>
      </c>
      <c r="G9817" t="s">
        <v>1080</v>
      </c>
      <c r="H9817" s="170">
        <v>-1.16944161302841E-8</v>
      </c>
      <c r="I9817" t="s">
        <v>1082</v>
      </c>
      <c r="J9817">
        <v>9.98</v>
      </c>
    </row>
    <row r="9818" spans="1:10" hidden="1">
      <c r="A9818" t="s">
        <v>6230</v>
      </c>
      <c r="B9818" t="s">
        <v>6231</v>
      </c>
      <c r="C9818" t="s">
        <v>5111</v>
      </c>
      <c r="D9818" t="s">
        <v>3151</v>
      </c>
      <c r="E9818" t="s">
        <v>555</v>
      </c>
      <c r="F9818" t="s">
        <v>1068</v>
      </c>
      <c r="G9818" t="s">
        <v>1083</v>
      </c>
      <c r="H9818">
        <v>-2.8388947365155201E-4</v>
      </c>
      <c r="I9818" t="s">
        <v>1084</v>
      </c>
      <c r="J9818">
        <v>9.98</v>
      </c>
    </row>
    <row r="9819" spans="1:10" hidden="1">
      <c r="A9819" t="s">
        <v>6230</v>
      </c>
      <c r="B9819" t="s">
        <v>6231</v>
      </c>
      <c r="C9819" t="s">
        <v>5111</v>
      </c>
      <c r="D9819" t="s">
        <v>3151</v>
      </c>
      <c r="E9819" t="s">
        <v>555</v>
      </c>
      <c r="F9819" t="s">
        <v>1068</v>
      </c>
      <c r="G9819" t="s">
        <v>1085</v>
      </c>
      <c r="H9819">
        <v>-2.6742075448884001E-3</v>
      </c>
      <c r="I9819" t="s">
        <v>1086</v>
      </c>
      <c r="J9819">
        <v>9.98</v>
      </c>
    </row>
    <row r="9820" spans="1:10" hidden="1">
      <c r="A9820" t="s">
        <v>6230</v>
      </c>
      <c r="B9820" t="s">
        <v>6231</v>
      </c>
      <c r="C9820" t="s">
        <v>5111</v>
      </c>
      <c r="D9820" t="s">
        <v>3151</v>
      </c>
      <c r="E9820" t="s">
        <v>555</v>
      </c>
      <c r="F9820" t="s">
        <v>1068</v>
      </c>
      <c r="G9820" t="s">
        <v>1087</v>
      </c>
      <c r="H9820" s="170">
        <v>-1.76544138701766E-6</v>
      </c>
      <c r="I9820" t="s">
        <v>1088</v>
      </c>
      <c r="J9820">
        <v>9.98</v>
      </c>
    </row>
    <row r="9821" spans="1:10" hidden="1">
      <c r="A9821" t="s">
        <v>6230</v>
      </c>
      <c r="B9821" t="s">
        <v>6231</v>
      </c>
      <c r="C9821" t="s">
        <v>5111</v>
      </c>
      <c r="D9821" t="s">
        <v>3151</v>
      </c>
      <c r="E9821" t="s">
        <v>555</v>
      </c>
      <c r="F9821" t="s">
        <v>1068</v>
      </c>
      <c r="G9821" t="s">
        <v>1089</v>
      </c>
      <c r="H9821">
        <v>-4.4913964111781502E-4</v>
      </c>
      <c r="I9821" t="s">
        <v>1090</v>
      </c>
      <c r="J9821">
        <v>9.98</v>
      </c>
    </row>
    <row r="9822" spans="1:10" hidden="1">
      <c r="A9822" t="s">
        <v>6232</v>
      </c>
      <c r="B9822" t="s">
        <v>6233</v>
      </c>
      <c r="C9822" t="s">
        <v>5111</v>
      </c>
      <c r="D9822" t="s">
        <v>3151</v>
      </c>
      <c r="E9822" t="s">
        <v>558</v>
      </c>
      <c r="F9822" t="s">
        <v>1068</v>
      </c>
      <c r="G9822" t="s">
        <v>1069</v>
      </c>
      <c r="H9822">
        <v>-1.8460790141019201</v>
      </c>
      <c r="I9822" t="s">
        <v>1070</v>
      </c>
      <c r="J9822">
        <v>9.23</v>
      </c>
    </row>
    <row r="9823" spans="1:10" hidden="1">
      <c r="A9823" t="s">
        <v>6232</v>
      </c>
      <c r="B9823" t="s">
        <v>6233</v>
      </c>
      <c r="C9823" t="s">
        <v>5111</v>
      </c>
      <c r="D9823" t="s">
        <v>3151</v>
      </c>
      <c r="E9823" t="s">
        <v>558</v>
      </c>
      <c r="F9823" t="s">
        <v>1068</v>
      </c>
      <c r="G9823" t="s">
        <v>1071</v>
      </c>
      <c r="H9823" s="170">
        <v>-1.9400324643760702E-9</v>
      </c>
      <c r="I9823" t="s">
        <v>1072</v>
      </c>
      <c r="J9823">
        <v>9.23</v>
      </c>
    </row>
    <row r="9824" spans="1:10" hidden="1">
      <c r="A9824" t="s">
        <v>6232</v>
      </c>
      <c r="B9824" t="s">
        <v>6233</v>
      </c>
      <c r="C9824" t="s">
        <v>5111</v>
      </c>
      <c r="D9824" t="s">
        <v>3151</v>
      </c>
      <c r="E9824" t="s">
        <v>558</v>
      </c>
      <c r="F9824" t="s">
        <v>1068</v>
      </c>
      <c r="G9824" t="s">
        <v>1073</v>
      </c>
      <c r="H9824" s="170">
        <v>-6.5249150107317103E-7</v>
      </c>
      <c r="I9824" t="s">
        <v>1074</v>
      </c>
      <c r="J9824">
        <v>9.23</v>
      </c>
    </row>
    <row r="9825" spans="1:10" hidden="1">
      <c r="A9825" t="s">
        <v>6232</v>
      </c>
      <c r="B9825" t="s">
        <v>6233</v>
      </c>
      <c r="C9825" t="s">
        <v>5111</v>
      </c>
      <c r="D9825" t="s">
        <v>3151</v>
      </c>
      <c r="E9825" t="s">
        <v>558</v>
      </c>
      <c r="F9825" t="s">
        <v>1068</v>
      </c>
      <c r="G9825" t="s">
        <v>1075</v>
      </c>
      <c r="H9825">
        <v>-3.19477752376114E-2</v>
      </c>
      <c r="I9825" t="s">
        <v>1077</v>
      </c>
      <c r="J9825">
        <v>9.23</v>
      </c>
    </row>
    <row r="9826" spans="1:10" hidden="1">
      <c r="A9826" t="s">
        <v>6232</v>
      </c>
      <c r="B9826" t="s">
        <v>6233</v>
      </c>
      <c r="C9826" t="s">
        <v>5111</v>
      </c>
      <c r="D9826" t="s">
        <v>3151</v>
      </c>
      <c r="E9826" t="s">
        <v>558</v>
      </c>
      <c r="F9826" t="s">
        <v>1068</v>
      </c>
      <c r="G9826" t="s">
        <v>1078</v>
      </c>
      <c r="H9826">
        <v>0.43356060299278798</v>
      </c>
      <c r="I9826" t="s">
        <v>1079</v>
      </c>
      <c r="J9826">
        <v>9.23</v>
      </c>
    </row>
    <row r="9827" spans="1:10" hidden="1">
      <c r="A9827" t="s">
        <v>6232</v>
      </c>
      <c r="B9827" t="s">
        <v>6233</v>
      </c>
      <c r="C9827" t="s">
        <v>5111</v>
      </c>
      <c r="D9827" t="s">
        <v>3151</v>
      </c>
      <c r="E9827" t="s">
        <v>558</v>
      </c>
      <c r="F9827" t="s">
        <v>1068</v>
      </c>
      <c r="G9827" t="s">
        <v>1080</v>
      </c>
      <c r="H9827" s="170">
        <v>-1.03338899650049E-8</v>
      </c>
      <c r="I9827" t="s">
        <v>1082</v>
      </c>
      <c r="J9827">
        <v>9.23</v>
      </c>
    </row>
    <row r="9828" spans="1:10" hidden="1">
      <c r="A9828" t="s">
        <v>6232</v>
      </c>
      <c r="B9828" t="s">
        <v>6233</v>
      </c>
      <c r="C9828" t="s">
        <v>5111</v>
      </c>
      <c r="D9828" t="s">
        <v>3151</v>
      </c>
      <c r="E9828" t="s">
        <v>558</v>
      </c>
      <c r="F9828" t="s">
        <v>1068</v>
      </c>
      <c r="G9828" t="s">
        <v>1083</v>
      </c>
      <c r="H9828">
        <v>-2.46685981712824E-4</v>
      </c>
      <c r="I9828" t="s">
        <v>1084</v>
      </c>
      <c r="J9828">
        <v>9.23</v>
      </c>
    </row>
    <row r="9829" spans="1:10" hidden="1">
      <c r="A9829" t="s">
        <v>6232</v>
      </c>
      <c r="B9829" t="s">
        <v>6233</v>
      </c>
      <c r="C9829" t="s">
        <v>5111</v>
      </c>
      <c r="D9829" t="s">
        <v>3151</v>
      </c>
      <c r="E9829" t="s">
        <v>558</v>
      </c>
      <c r="F9829" t="s">
        <v>1068</v>
      </c>
      <c r="G9829" t="s">
        <v>1085</v>
      </c>
      <c r="H9829">
        <v>-2.2537325788048999E-3</v>
      </c>
      <c r="I9829" t="s">
        <v>1086</v>
      </c>
      <c r="J9829">
        <v>9.23</v>
      </c>
    </row>
    <row r="9830" spans="1:10" hidden="1">
      <c r="A9830" t="s">
        <v>6232</v>
      </c>
      <c r="B9830" t="s">
        <v>6233</v>
      </c>
      <c r="C9830" t="s">
        <v>5111</v>
      </c>
      <c r="D9830" t="s">
        <v>3151</v>
      </c>
      <c r="E9830" t="s">
        <v>558</v>
      </c>
      <c r="F9830" t="s">
        <v>1068</v>
      </c>
      <c r="G9830" t="s">
        <v>1087</v>
      </c>
      <c r="H9830" s="170">
        <v>-1.5625182484588801E-6</v>
      </c>
      <c r="I9830" t="s">
        <v>1088</v>
      </c>
      <c r="J9830">
        <v>9.23</v>
      </c>
    </row>
    <row r="9831" spans="1:10" hidden="1">
      <c r="A9831" t="s">
        <v>6232</v>
      </c>
      <c r="B9831" t="s">
        <v>6233</v>
      </c>
      <c r="C9831" t="s">
        <v>5111</v>
      </c>
      <c r="D9831" t="s">
        <v>3151</v>
      </c>
      <c r="E9831" t="s">
        <v>558</v>
      </c>
      <c r="F9831" t="s">
        <v>1068</v>
      </c>
      <c r="G9831" t="s">
        <v>1089</v>
      </c>
      <c r="H9831">
        <v>-3.6239648595703602E-4</v>
      </c>
      <c r="I9831" t="s">
        <v>1090</v>
      </c>
      <c r="J9831">
        <v>9.23</v>
      </c>
    </row>
    <row r="9832" spans="1:10" hidden="1">
      <c r="A9832" t="s">
        <v>6234</v>
      </c>
      <c r="B9832" s="170" t="s">
        <v>6235</v>
      </c>
      <c r="C9832" t="s">
        <v>5111</v>
      </c>
      <c r="D9832" t="s">
        <v>3151</v>
      </c>
      <c r="E9832" t="s">
        <v>553</v>
      </c>
      <c r="F9832" t="s">
        <v>1068</v>
      </c>
      <c r="G9832" t="s">
        <v>1069</v>
      </c>
      <c r="H9832">
        <v>-1.8265805826382</v>
      </c>
      <c r="I9832" t="s">
        <v>1070</v>
      </c>
      <c r="J9832">
        <v>11.3</v>
      </c>
    </row>
    <row r="9833" spans="1:10" hidden="1">
      <c r="A9833" t="s">
        <v>6234</v>
      </c>
      <c r="B9833" s="170" t="s">
        <v>6235</v>
      </c>
      <c r="C9833" t="s">
        <v>5111</v>
      </c>
      <c r="D9833" t="s">
        <v>3151</v>
      </c>
      <c r="E9833" t="s">
        <v>553</v>
      </c>
      <c r="F9833" t="s">
        <v>1068</v>
      </c>
      <c r="G9833" t="s">
        <v>1071</v>
      </c>
      <c r="H9833" s="170">
        <v>-1.9121299677069199E-9</v>
      </c>
      <c r="I9833" t="s">
        <v>1072</v>
      </c>
      <c r="J9833">
        <v>11.3</v>
      </c>
    </row>
    <row r="9834" spans="1:10" hidden="1">
      <c r="A9834" t="s">
        <v>6234</v>
      </c>
      <c r="B9834" s="170" t="s">
        <v>6235</v>
      </c>
      <c r="C9834" t="s">
        <v>5111</v>
      </c>
      <c r="D9834" t="s">
        <v>3151</v>
      </c>
      <c r="E9834" t="s">
        <v>553</v>
      </c>
      <c r="F9834" t="s">
        <v>1068</v>
      </c>
      <c r="G9834" t="s">
        <v>1073</v>
      </c>
      <c r="H9834" s="170">
        <v>-6.4556567675868298E-7</v>
      </c>
      <c r="I9834" t="s">
        <v>1074</v>
      </c>
      <c r="J9834">
        <v>11.3</v>
      </c>
    </row>
    <row r="9835" spans="1:10" hidden="1">
      <c r="A9835" t="s">
        <v>6234</v>
      </c>
      <c r="B9835" s="170" t="s">
        <v>6235</v>
      </c>
      <c r="C9835" t="s">
        <v>5111</v>
      </c>
      <c r="D9835" t="s">
        <v>3151</v>
      </c>
      <c r="E9835" t="s">
        <v>553</v>
      </c>
      <c r="F9835" t="s">
        <v>1068</v>
      </c>
      <c r="G9835" t="s">
        <v>1075</v>
      </c>
      <c r="H9835">
        <v>-3.1331417813709503E-2</v>
      </c>
      <c r="I9835" t="s">
        <v>1077</v>
      </c>
      <c r="J9835">
        <v>11.3</v>
      </c>
    </row>
    <row r="9836" spans="1:10" hidden="1">
      <c r="A9836" t="s">
        <v>6234</v>
      </c>
      <c r="B9836" s="170" t="s">
        <v>6235</v>
      </c>
      <c r="C9836" t="s">
        <v>5111</v>
      </c>
      <c r="D9836" t="s">
        <v>3151</v>
      </c>
      <c r="E9836" t="s">
        <v>553</v>
      </c>
      <c r="F9836" t="s">
        <v>1068</v>
      </c>
      <c r="G9836" t="s">
        <v>1078</v>
      </c>
      <c r="H9836" s="171" t="s">
        <v>6236</v>
      </c>
      <c r="I9836" t="s">
        <v>1079</v>
      </c>
      <c r="J9836">
        <v>11.3</v>
      </c>
    </row>
    <row r="9837" spans="1:10" hidden="1">
      <c r="A9837" t="s">
        <v>6234</v>
      </c>
      <c r="B9837" s="170" t="s">
        <v>6235</v>
      </c>
      <c r="C9837" t="s">
        <v>5111</v>
      </c>
      <c r="D9837" t="s">
        <v>3151</v>
      </c>
      <c r="E9837" t="s">
        <v>553</v>
      </c>
      <c r="F9837" t="s">
        <v>1068</v>
      </c>
      <c r="G9837" t="s">
        <v>1080</v>
      </c>
      <c r="H9837" s="170">
        <v>-1.02255067348848E-8</v>
      </c>
      <c r="I9837" t="s">
        <v>1082</v>
      </c>
      <c r="J9837">
        <v>11.3</v>
      </c>
    </row>
    <row r="9838" spans="1:10" hidden="1">
      <c r="A9838" t="s">
        <v>6234</v>
      </c>
      <c r="B9838" s="170" t="s">
        <v>6235</v>
      </c>
      <c r="C9838" t="s">
        <v>5111</v>
      </c>
      <c r="D9838" t="s">
        <v>3151</v>
      </c>
      <c r="E9838" t="s">
        <v>553</v>
      </c>
      <c r="F9838" t="s">
        <v>1068</v>
      </c>
      <c r="G9838" t="s">
        <v>1083</v>
      </c>
      <c r="H9838">
        <v>-2.4372224995417201E-4</v>
      </c>
      <c r="I9838" t="s">
        <v>1084</v>
      </c>
      <c r="J9838">
        <v>11.3</v>
      </c>
    </row>
    <row r="9839" spans="1:10" hidden="1">
      <c r="A9839" t="s">
        <v>6234</v>
      </c>
      <c r="B9839" s="170" t="s">
        <v>6235</v>
      </c>
      <c r="C9839" t="s">
        <v>5111</v>
      </c>
      <c r="D9839" t="s">
        <v>3151</v>
      </c>
      <c r="E9839" t="s">
        <v>553</v>
      </c>
      <c r="F9839" t="s">
        <v>1068</v>
      </c>
      <c r="G9839" t="s">
        <v>1085</v>
      </c>
      <c r="H9839">
        <v>-2.2202363947890899E-3</v>
      </c>
      <c r="I9839" t="s">
        <v>1086</v>
      </c>
      <c r="J9839">
        <v>11.3</v>
      </c>
    </row>
    <row r="9840" spans="1:10" hidden="1">
      <c r="A9840" t="s">
        <v>6234</v>
      </c>
      <c r="B9840" s="170" t="s">
        <v>6235</v>
      </c>
      <c r="C9840" t="s">
        <v>5111</v>
      </c>
      <c r="D9840" t="s">
        <v>3151</v>
      </c>
      <c r="E9840" t="s">
        <v>553</v>
      </c>
      <c r="F9840" t="s">
        <v>1068</v>
      </c>
      <c r="G9840" t="s">
        <v>1087</v>
      </c>
      <c r="H9840" s="170">
        <v>-1.5463528371407001E-6</v>
      </c>
      <c r="I9840" t="s">
        <v>1088</v>
      </c>
      <c r="J9840">
        <v>11.3</v>
      </c>
    </row>
    <row r="9841" spans="1:10" hidden="1">
      <c r="A9841" t="s">
        <v>6234</v>
      </c>
      <c r="B9841" s="170" t="s">
        <v>6235</v>
      </c>
      <c r="C9841" t="s">
        <v>5111</v>
      </c>
      <c r="D9841" t="s">
        <v>3151</v>
      </c>
      <c r="E9841" t="s">
        <v>553</v>
      </c>
      <c r="F9841" t="s">
        <v>1068</v>
      </c>
      <c r="G9841" t="s">
        <v>1089</v>
      </c>
      <c r="H9841">
        <v>-3.5548628932553198E-4</v>
      </c>
      <c r="I9841" t="s">
        <v>1090</v>
      </c>
      <c r="J9841">
        <v>11.3</v>
      </c>
    </row>
    <row r="9842" spans="1:10" hidden="1">
      <c r="A9842" t="s">
        <v>6237</v>
      </c>
      <c r="B9842" t="s">
        <v>6238</v>
      </c>
      <c r="C9842" t="s">
        <v>5111</v>
      </c>
      <c r="D9842" t="s">
        <v>3151</v>
      </c>
      <c r="E9842" t="s">
        <v>556</v>
      </c>
      <c r="F9842" t="s">
        <v>1068</v>
      </c>
      <c r="G9842" t="s">
        <v>1069</v>
      </c>
      <c r="H9842">
        <v>-2.0659994052017701</v>
      </c>
      <c r="I9842" t="s">
        <v>1070</v>
      </c>
      <c r="J9842">
        <v>9.89</v>
      </c>
    </row>
    <row r="9843" spans="1:10" hidden="1">
      <c r="A9843" t="s">
        <v>6237</v>
      </c>
      <c r="B9843" t="s">
        <v>6238</v>
      </c>
      <c r="C9843" t="s">
        <v>5111</v>
      </c>
      <c r="D9843" t="s">
        <v>3151</v>
      </c>
      <c r="E9843" t="s">
        <v>556</v>
      </c>
      <c r="F9843" t="s">
        <v>1068</v>
      </c>
      <c r="G9843" t="s">
        <v>1071</v>
      </c>
      <c r="H9843" s="170">
        <v>-2.2547410266356499E-9</v>
      </c>
      <c r="I9843" t="s">
        <v>1072</v>
      </c>
      <c r="J9843">
        <v>9.89</v>
      </c>
    </row>
    <row r="9844" spans="1:10" hidden="1">
      <c r="A9844" t="s">
        <v>6237</v>
      </c>
      <c r="B9844" t="s">
        <v>6238</v>
      </c>
      <c r="C9844" t="s">
        <v>5111</v>
      </c>
      <c r="D9844" t="s">
        <v>3151</v>
      </c>
      <c r="E9844" t="s">
        <v>556</v>
      </c>
      <c r="F9844" t="s">
        <v>1068</v>
      </c>
      <c r="G9844" t="s">
        <v>1073</v>
      </c>
      <c r="H9844" s="170">
        <v>-7.3060800010053905E-7</v>
      </c>
      <c r="I9844" t="s">
        <v>1074</v>
      </c>
      <c r="J9844">
        <v>9.89</v>
      </c>
    </row>
    <row r="9845" spans="1:10" hidden="1">
      <c r="A9845" t="s">
        <v>6237</v>
      </c>
      <c r="B9845" t="s">
        <v>6238</v>
      </c>
      <c r="C9845" t="s">
        <v>5111</v>
      </c>
      <c r="D9845" t="s">
        <v>3151</v>
      </c>
      <c r="E9845" t="s">
        <v>556</v>
      </c>
      <c r="F9845" t="s">
        <v>1068</v>
      </c>
      <c r="G9845" t="s">
        <v>1075</v>
      </c>
      <c r="H9845">
        <v>-3.8899702558763301E-2</v>
      </c>
      <c r="I9845" t="s">
        <v>1077</v>
      </c>
      <c r="J9845">
        <v>9.89</v>
      </c>
    </row>
    <row r="9846" spans="1:10" hidden="1">
      <c r="A9846" t="s">
        <v>6237</v>
      </c>
      <c r="B9846" t="s">
        <v>6238</v>
      </c>
      <c r="C9846" t="s">
        <v>5111</v>
      </c>
      <c r="D9846" t="s">
        <v>3151</v>
      </c>
      <c r="E9846" t="s">
        <v>556</v>
      </c>
      <c r="F9846" t="s">
        <v>1068</v>
      </c>
      <c r="G9846" t="s">
        <v>1078</v>
      </c>
      <c r="H9846" s="171" t="s">
        <v>6239</v>
      </c>
      <c r="I9846" t="s">
        <v>1079</v>
      </c>
      <c r="J9846">
        <v>9.89</v>
      </c>
    </row>
    <row r="9847" spans="1:10" hidden="1">
      <c r="A9847" t="s">
        <v>6237</v>
      </c>
      <c r="B9847" t="s">
        <v>6238</v>
      </c>
      <c r="C9847" t="s">
        <v>5111</v>
      </c>
      <c r="D9847" t="s">
        <v>3151</v>
      </c>
      <c r="E9847" t="s">
        <v>556</v>
      </c>
      <c r="F9847" t="s">
        <v>1068</v>
      </c>
      <c r="G9847" t="s">
        <v>1080</v>
      </c>
      <c r="H9847" s="170">
        <v>-1.1556350034011E-8</v>
      </c>
      <c r="I9847" t="s">
        <v>1082</v>
      </c>
      <c r="J9847">
        <v>9.89</v>
      </c>
    </row>
    <row r="9848" spans="1:10" hidden="1">
      <c r="A9848" t="s">
        <v>6237</v>
      </c>
      <c r="B9848" t="s">
        <v>6238</v>
      </c>
      <c r="C9848" t="s">
        <v>5111</v>
      </c>
      <c r="D9848" t="s">
        <v>3151</v>
      </c>
      <c r="E9848" t="s">
        <v>556</v>
      </c>
      <c r="F9848" t="s">
        <v>1068</v>
      </c>
      <c r="G9848" t="s">
        <v>1083</v>
      </c>
      <c r="H9848">
        <v>-2.80114065997824E-4</v>
      </c>
      <c r="I9848" t="s">
        <v>1084</v>
      </c>
      <c r="J9848">
        <v>9.89</v>
      </c>
    </row>
    <row r="9849" spans="1:10" hidden="1">
      <c r="A9849" t="s">
        <v>6237</v>
      </c>
      <c r="B9849" t="s">
        <v>6238</v>
      </c>
      <c r="C9849" t="s">
        <v>5111</v>
      </c>
      <c r="D9849" t="s">
        <v>3151</v>
      </c>
      <c r="E9849" t="s">
        <v>556</v>
      </c>
      <c r="F9849" t="s">
        <v>1068</v>
      </c>
      <c r="G9849" t="s">
        <v>1085</v>
      </c>
      <c r="H9849">
        <v>-2.6315377759352498E-3</v>
      </c>
      <c r="I9849" t="s">
        <v>1086</v>
      </c>
      <c r="J9849">
        <v>9.89</v>
      </c>
    </row>
    <row r="9850" spans="1:10" hidden="1">
      <c r="A9850" t="s">
        <v>6237</v>
      </c>
      <c r="B9850" t="s">
        <v>6238</v>
      </c>
      <c r="C9850" t="s">
        <v>5111</v>
      </c>
      <c r="D9850" t="s">
        <v>3151</v>
      </c>
      <c r="E9850" t="s">
        <v>556</v>
      </c>
      <c r="F9850" t="s">
        <v>1068</v>
      </c>
      <c r="G9850" t="s">
        <v>1087</v>
      </c>
      <c r="H9850" s="170">
        <v>-1.7448487616900701E-6</v>
      </c>
      <c r="I9850" t="s">
        <v>1088</v>
      </c>
      <c r="J9850">
        <v>9.89</v>
      </c>
    </row>
    <row r="9851" spans="1:10" hidden="1">
      <c r="A9851" t="s">
        <v>6237</v>
      </c>
      <c r="B9851" t="s">
        <v>6238</v>
      </c>
      <c r="C9851" t="s">
        <v>5111</v>
      </c>
      <c r="D9851" t="s">
        <v>3151</v>
      </c>
      <c r="E9851" t="s">
        <v>556</v>
      </c>
      <c r="F9851" t="s">
        <v>1068</v>
      </c>
      <c r="G9851" t="s">
        <v>1089</v>
      </c>
      <c r="H9851">
        <v>-4.40336952044309E-4</v>
      </c>
      <c r="I9851" t="s">
        <v>1090</v>
      </c>
      <c r="J9851">
        <v>9.89</v>
      </c>
    </row>
    <row r="9852" spans="1:10" hidden="1">
      <c r="A9852" t="s">
        <v>6240</v>
      </c>
      <c r="B9852" t="s">
        <v>6241</v>
      </c>
      <c r="C9852" t="s">
        <v>5111</v>
      </c>
      <c r="D9852" t="s">
        <v>3151</v>
      </c>
      <c r="E9852" t="s">
        <v>557</v>
      </c>
      <c r="F9852" t="s">
        <v>1068</v>
      </c>
      <c r="G9852" t="s">
        <v>1069</v>
      </c>
      <c r="H9852">
        <v>-1.92831023312938</v>
      </c>
      <c r="I9852" t="s">
        <v>1070</v>
      </c>
      <c r="J9852">
        <v>8.89</v>
      </c>
    </row>
    <row r="9853" spans="1:10" hidden="1">
      <c r="A9853" t="s">
        <v>6240</v>
      </c>
      <c r="B9853" t="s">
        <v>6241</v>
      </c>
      <c r="C9853" t="s">
        <v>5111</v>
      </c>
      <c r="D9853" t="s">
        <v>3151</v>
      </c>
      <c r="E9853" t="s">
        <v>557</v>
      </c>
      <c r="F9853" t="s">
        <v>1068</v>
      </c>
      <c r="G9853" t="s">
        <v>1071</v>
      </c>
      <c r="H9853" s="170">
        <v>-2.05770627433944E-9</v>
      </c>
      <c r="I9853" t="s">
        <v>1072</v>
      </c>
      <c r="J9853">
        <v>8.89</v>
      </c>
    </row>
    <row r="9854" spans="1:10" hidden="1">
      <c r="A9854" t="s">
        <v>6240</v>
      </c>
      <c r="B9854" t="s">
        <v>6241</v>
      </c>
      <c r="C9854" t="s">
        <v>5111</v>
      </c>
      <c r="D9854" t="s">
        <v>3151</v>
      </c>
      <c r="E9854" t="s">
        <v>557</v>
      </c>
      <c r="F9854" t="s">
        <v>1068</v>
      </c>
      <c r="G9854" t="s">
        <v>1073</v>
      </c>
      <c r="H9854" s="170">
        <v>-6.8170029026714198E-7</v>
      </c>
      <c r="I9854" t="s">
        <v>1074</v>
      </c>
      <c r="J9854">
        <v>8.89</v>
      </c>
    </row>
    <row r="9855" spans="1:10" hidden="1">
      <c r="A9855" t="s">
        <v>6240</v>
      </c>
      <c r="B9855" t="s">
        <v>6241</v>
      </c>
      <c r="C9855" t="s">
        <v>5111</v>
      </c>
      <c r="D9855" t="s">
        <v>3151</v>
      </c>
      <c r="E9855" t="s">
        <v>557</v>
      </c>
      <c r="F9855" t="s">
        <v>1068</v>
      </c>
      <c r="G9855" t="s">
        <v>1075</v>
      </c>
      <c r="H9855">
        <v>-3.45471919161702E-2</v>
      </c>
      <c r="I9855" t="s">
        <v>1077</v>
      </c>
      <c r="J9855">
        <v>8.89</v>
      </c>
    </row>
    <row r="9856" spans="1:10" hidden="1">
      <c r="A9856" t="s">
        <v>6240</v>
      </c>
      <c r="B9856" t="s">
        <v>6241</v>
      </c>
      <c r="C9856" t="s">
        <v>5111</v>
      </c>
      <c r="D9856" t="s">
        <v>3151</v>
      </c>
      <c r="E9856" t="s">
        <v>557</v>
      </c>
      <c r="F9856" t="s">
        <v>1068</v>
      </c>
      <c r="G9856" t="s">
        <v>1078</v>
      </c>
      <c r="H9856" s="171" t="s">
        <v>6242</v>
      </c>
      <c r="I9856" t="s">
        <v>1079</v>
      </c>
      <c r="J9856">
        <v>8.89</v>
      </c>
    </row>
    <row r="9857" spans="1:10" hidden="1">
      <c r="A9857" t="s">
        <v>6240</v>
      </c>
      <c r="B9857" t="s">
        <v>6241</v>
      </c>
      <c r="C9857" t="s">
        <v>5111</v>
      </c>
      <c r="D9857" t="s">
        <v>3151</v>
      </c>
      <c r="E9857" t="s">
        <v>557</v>
      </c>
      <c r="F9857" t="s">
        <v>1068</v>
      </c>
      <c r="G9857" t="s">
        <v>1080</v>
      </c>
      <c r="H9857" s="170">
        <v>-1.07909837960156E-8</v>
      </c>
      <c r="I9857" t="s">
        <v>1082</v>
      </c>
      <c r="J9857">
        <v>8.89</v>
      </c>
    </row>
    <row r="9858" spans="1:10" hidden="1">
      <c r="A9858" t="s">
        <v>6240</v>
      </c>
      <c r="B9858" t="s">
        <v>6241</v>
      </c>
      <c r="C9858" t="s">
        <v>5111</v>
      </c>
      <c r="D9858" t="s">
        <v>3151</v>
      </c>
      <c r="E9858" t="s">
        <v>557</v>
      </c>
      <c r="F9858" t="s">
        <v>1068</v>
      </c>
      <c r="G9858" t="s">
        <v>1083</v>
      </c>
      <c r="H9858">
        <v>-2.5918518024637901E-4</v>
      </c>
      <c r="I9858" t="s">
        <v>1084</v>
      </c>
      <c r="J9858">
        <v>8.89</v>
      </c>
    </row>
    <row r="9859" spans="1:10" hidden="1">
      <c r="A9859" t="s">
        <v>6240</v>
      </c>
      <c r="B9859" t="s">
        <v>6241</v>
      </c>
      <c r="C9859" t="s">
        <v>5111</v>
      </c>
      <c r="D9859" t="s">
        <v>3151</v>
      </c>
      <c r="E9859" t="s">
        <v>557</v>
      </c>
      <c r="F9859" t="s">
        <v>1068</v>
      </c>
      <c r="G9859" t="s">
        <v>1085</v>
      </c>
      <c r="H9859">
        <v>-2.3949988902718798E-3</v>
      </c>
      <c r="I9859" t="s">
        <v>1086</v>
      </c>
      <c r="J9859">
        <v>8.89</v>
      </c>
    </row>
    <row r="9860" spans="1:10" hidden="1">
      <c r="A9860" t="s">
        <v>6240</v>
      </c>
      <c r="B9860" t="s">
        <v>6241</v>
      </c>
      <c r="C9860" t="s">
        <v>5111</v>
      </c>
      <c r="D9860" t="s">
        <v>3151</v>
      </c>
      <c r="E9860" t="s">
        <v>557</v>
      </c>
      <c r="F9860" t="s">
        <v>1068</v>
      </c>
      <c r="G9860" t="s">
        <v>1087</v>
      </c>
      <c r="H9860" s="170">
        <v>-1.6306940153969299E-6</v>
      </c>
      <c r="I9860" t="s">
        <v>1088</v>
      </c>
      <c r="J9860">
        <v>8.89</v>
      </c>
    </row>
    <row r="9861" spans="1:10" hidden="1">
      <c r="A9861" t="s">
        <v>6240</v>
      </c>
      <c r="B9861" t="s">
        <v>6241</v>
      </c>
      <c r="C9861" t="s">
        <v>5111</v>
      </c>
      <c r="D9861" t="s">
        <v>3151</v>
      </c>
      <c r="E9861" t="s">
        <v>557</v>
      </c>
      <c r="F9861" t="s">
        <v>1068</v>
      </c>
      <c r="G9861" t="s">
        <v>1089</v>
      </c>
      <c r="H9861">
        <v>-3.9153944704899298E-4</v>
      </c>
      <c r="I9861" t="s">
        <v>1090</v>
      </c>
      <c r="J9861">
        <v>8.89</v>
      </c>
    </row>
    <row r="9862" spans="1:10" hidden="1">
      <c r="A9862" t="s">
        <v>6243</v>
      </c>
      <c r="B9862" t="s">
        <v>6244</v>
      </c>
      <c r="C9862" t="s">
        <v>5111</v>
      </c>
      <c r="D9862" t="s">
        <v>3151</v>
      </c>
      <c r="E9862" t="s">
        <v>559</v>
      </c>
      <c r="F9862" t="s">
        <v>1068</v>
      </c>
      <c r="G9862" t="s">
        <v>1069</v>
      </c>
      <c r="H9862">
        <v>-1.99483405549188</v>
      </c>
      <c r="I9862" t="s">
        <v>1070</v>
      </c>
      <c r="J9862">
        <v>11.87</v>
      </c>
    </row>
    <row r="9863" spans="1:10" hidden="1">
      <c r="A9863" t="s">
        <v>6243</v>
      </c>
      <c r="B9863" t="s">
        <v>6244</v>
      </c>
      <c r="C9863" t="s">
        <v>5111</v>
      </c>
      <c r="D9863" t="s">
        <v>3151</v>
      </c>
      <c r="E9863" t="s">
        <v>559</v>
      </c>
      <c r="F9863" t="s">
        <v>1068</v>
      </c>
      <c r="G9863" t="s">
        <v>1071</v>
      </c>
      <c r="H9863" s="170">
        <v>-2.15290260156085E-9</v>
      </c>
      <c r="I9863" t="s">
        <v>1072</v>
      </c>
      <c r="J9863">
        <v>11.87</v>
      </c>
    </row>
    <row r="9864" spans="1:10" hidden="1">
      <c r="A9864" t="s">
        <v>6243</v>
      </c>
      <c r="B9864" t="s">
        <v>6244</v>
      </c>
      <c r="C9864" t="s">
        <v>5111</v>
      </c>
      <c r="D9864" t="s">
        <v>3151</v>
      </c>
      <c r="E9864" t="s">
        <v>559</v>
      </c>
      <c r="F9864" t="s">
        <v>1068</v>
      </c>
      <c r="G9864" t="s">
        <v>1073</v>
      </c>
      <c r="H9864" s="170">
        <v>-7.0532984270270995E-7</v>
      </c>
      <c r="I9864" t="s">
        <v>1074</v>
      </c>
      <c r="J9864">
        <v>11.87</v>
      </c>
    </row>
    <row r="9865" spans="1:10" hidden="1">
      <c r="A9865" t="s">
        <v>6243</v>
      </c>
      <c r="B9865" t="s">
        <v>6244</v>
      </c>
      <c r="C9865" t="s">
        <v>5111</v>
      </c>
      <c r="D9865" t="s">
        <v>3151</v>
      </c>
      <c r="E9865" t="s">
        <v>559</v>
      </c>
      <c r="F9865" t="s">
        <v>1068</v>
      </c>
      <c r="G9865" t="s">
        <v>1075</v>
      </c>
      <c r="H9865">
        <v>-3.6650089830662501E-2</v>
      </c>
      <c r="I9865" t="s">
        <v>1077</v>
      </c>
      <c r="J9865">
        <v>11.87</v>
      </c>
    </row>
    <row r="9866" spans="1:10" hidden="1">
      <c r="A9866" t="s">
        <v>6243</v>
      </c>
      <c r="B9866" t="s">
        <v>6244</v>
      </c>
      <c r="C9866" t="s">
        <v>5111</v>
      </c>
      <c r="D9866" t="s">
        <v>3151</v>
      </c>
      <c r="E9866" t="s">
        <v>559</v>
      </c>
      <c r="F9866" t="s">
        <v>1068</v>
      </c>
      <c r="G9866" t="s">
        <v>1078</v>
      </c>
      <c r="H9866" s="171" t="s">
        <v>6245</v>
      </c>
      <c r="I9866" t="s">
        <v>1079</v>
      </c>
      <c r="J9866">
        <v>11.87</v>
      </c>
    </row>
    <row r="9867" spans="1:10" hidden="1">
      <c r="A9867" t="s">
        <v>6243</v>
      </c>
      <c r="B9867" t="s">
        <v>6244</v>
      </c>
      <c r="C9867" t="s">
        <v>5111</v>
      </c>
      <c r="D9867" t="s">
        <v>3151</v>
      </c>
      <c r="E9867" t="s">
        <v>559</v>
      </c>
      <c r="F9867" t="s">
        <v>1068</v>
      </c>
      <c r="G9867" t="s">
        <v>1080</v>
      </c>
      <c r="H9867" s="170">
        <v>-1.11607673986222E-8</v>
      </c>
      <c r="I9867" t="s">
        <v>1082</v>
      </c>
      <c r="J9867">
        <v>11.87</v>
      </c>
    </row>
    <row r="9868" spans="1:10" hidden="1">
      <c r="A9868" t="s">
        <v>6243</v>
      </c>
      <c r="B9868" t="s">
        <v>6244</v>
      </c>
      <c r="C9868" t="s">
        <v>5111</v>
      </c>
      <c r="D9868" t="s">
        <v>3151</v>
      </c>
      <c r="E9868" t="s">
        <v>559</v>
      </c>
      <c r="F9868" t="s">
        <v>1068</v>
      </c>
      <c r="G9868" t="s">
        <v>1083</v>
      </c>
      <c r="H9868">
        <v>-2.6929688676523799E-4</v>
      </c>
      <c r="I9868" t="s">
        <v>1084</v>
      </c>
      <c r="J9868">
        <v>11.87</v>
      </c>
    </row>
    <row r="9869" spans="1:10" hidden="1">
      <c r="A9869" t="s">
        <v>6243</v>
      </c>
      <c r="B9869" t="s">
        <v>6244</v>
      </c>
      <c r="C9869" t="s">
        <v>5111</v>
      </c>
      <c r="D9869" t="s">
        <v>3151</v>
      </c>
      <c r="E9869" t="s">
        <v>559</v>
      </c>
      <c r="F9869" t="s">
        <v>1068</v>
      </c>
      <c r="G9869" t="s">
        <v>1085</v>
      </c>
      <c r="H9869">
        <v>-2.5092816963504399E-3</v>
      </c>
      <c r="I9869" t="s">
        <v>1086</v>
      </c>
      <c r="J9869">
        <v>11.87</v>
      </c>
    </row>
    <row r="9870" spans="1:10" hidden="1">
      <c r="A9870" t="s">
        <v>6243</v>
      </c>
      <c r="B9870" t="s">
        <v>6244</v>
      </c>
      <c r="C9870" t="s">
        <v>5111</v>
      </c>
      <c r="D9870" t="s">
        <v>3151</v>
      </c>
      <c r="E9870" t="s">
        <v>559</v>
      </c>
      <c r="F9870" t="s">
        <v>1068</v>
      </c>
      <c r="G9870" t="s">
        <v>1087</v>
      </c>
      <c r="H9870" s="170">
        <v>-1.6858474194593599E-6</v>
      </c>
      <c r="I9870" t="s">
        <v>1088</v>
      </c>
      <c r="J9870">
        <v>11.87</v>
      </c>
    </row>
    <row r="9871" spans="1:10" hidden="1">
      <c r="A9871" t="s">
        <v>6243</v>
      </c>
      <c r="B9871" t="s">
        <v>6244</v>
      </c>
      <c r="C9871" t="s">
        <v>5111</v>
      </c>
      <c r="D9871" t="s">
        <v>3151</v>
      </c>
      <c r="E9871" t="s">
        <v>559</v>
      </c>
      <c r="F9871" t="s">
        <v>1068</v>
      </c>
      <c r="G9871" t="s">
        <v>1089</v>
      </c>
      <c r="H9871">
        <v>-4.15115764249452E-4</v>
      </c>
      <c r="I9871" t="s">
        <v>1090</v>
      </c>
      <c r="J9871">
        <v>11.87</v>
      </c>
    </row>
    <row r="9872" spans="1:10" hidden="1">
      <c r="A9872" t="s">
        <v>6246</v>
      </c>
      <c r="B9872" t="s">
        <v>6247</v>
      </c>
      <c r="C9872" t="s">
        <v>5111</v>
      </c>
      <c r="D9872" t="s">
        <v>3151</v>
      </c>
      <c r="E9872" t="s">
        <v>560</v>
      </c>
      <c r="F9872" t="s">
        <v>1068</v>
      </c>
      <c r="G9872" t="s">
        <v>1069</v>
      </c>
      <c r="H9872">
        <v>-1.97216688327735</v>
      </c>
      <c r="I9872" t="s">
        <v>1070</v>
      </c>
      <c r="J9872">
        <v>12.37</v>
      </c>
    </row>
    <row r="9873" spans="1:10" hidden="1">
      <c r="A9873" t="s">
        <v>6246</v>
      </c>
      <c r="B9873" t="s">
        <v>6247</v>
      </c>
      <c r="C9873" t="s">
        <v>5111</v>
      </c>
      <c r="D9873" t="s">
        <v>3151</v>
      </c>
      <c r="E9873" t="s">
        <v>560</v>
      </c>
      <c r="F9873" t="s">
        <v>1068</v>
      </c>
      <c r="G9873" t="s">
        <v>1071</v>
      </c>
      <c r="H9873" s="170">
        <v>-2.1204656396532399E-9</v>
      </c>
      <c r="I9873" t="s">
        <v>1072</v>
      </c>
      <c r="J9873">
        <v>12.37</v>
      </c>
    </row>
    <row r="9874" spans="1:10" hidden="1">
      <c r="A9874" t="s">
        <v>6246</v>
      </c>
      <c r="B9874" t="s">
        <v>6247</v>
      </c>
      <c r="C9874" t="s">
        <v>5111</v>
      </c>
      <c r="D9874" t="s">
        <v>3151</v>
      </c>
      <c r="E9874" t="s">
        <v>560</v>
      </c>
      <c r="F9874" t="s">
        <v>1068</v>
      </c>
      <c r="G9874" t="s">
        <v>1073</v>
      </c>
      <c r="H9874" s="170">
        <v>-6.9727831117059198E-7</v>
      </c>
      <c r="I9874" t="s">
        <v>1074</v>
      </c>
      <c r="J9874">
        <v>12.37</v>
      </c>
    </row>
    <row r="9875" spans="1:10" hidden="1">
      <c r="A9875" t="s">
        <v>6246</v>
      </c>
      <c r="B9875" t="s">
        <v>6247</v>
      </c>
      <c r="C9875" t="s">
        <v>5111</v>
      </c>
      <c r="D9875" t="s">
        <v>3151</v>
      </c>
      <c r="E9875" t="s">
        <v>560</v>
      </c>
      <c r="F9875" t="s">
        <v>1068</v>
      </c>
      <c r="G9875" t="s">
        <v>1075</v>
      </c>
      <c r="H9875">
        <v>-3.5933547478068303E-2</v>
      </c>
      <c r="I9875" t="s">
        <v>1077</v>
      </c>
      <c r="J9875">
        <v>12.37</v>
      </c>
    </row>
    <row r="9876" spans="1:10" hidden="1">
      <c r="A9876" t="s">
        <v>6246</v>
      </c>
      <c r="B9876" t="s">
        <v>6247</v>
      </c>
      <c r="C9876" t="s">
        <v>5111</v>
      </c>
      <c r="D9876" t="s">
        <v>3151</v>
      </c>
      <c r="E9876" t="s">
        <v>560</v>
      </c>
      <c r="F9876" t="s">
        <v>1068</v>
      </c>
      <c r="G9876" t="s">
        <v>1078</v>
      </c>
      <c r="H9876" s="171" t="s">
        <v>6248</v>
      </c>
      <c r="I9876" t="s">
        <v>1079</v>
      </c>
      <c r="J9876">
        <v>12.37</v>
      </c>
    </row>
    <row r="9877" spans="1:10" hidden="1">
      <c r="A9877" t="s">
        <v>6246</v>
      </c>
      <c r="B9877" t="s">
        <v>6247</v>
      </c>
      <c r="C9877" t="s">
        <v>5111</v>
      </c>
      <c r="D9877" t="s">
        <v>3151</v>
      </c>
      <c r="E9877" t="s">
        <v>560</v>
      </c>
      <c r="F9877" t="s">
        <v>1068</v>
      </c>
      <c r="G9877" t="s">
        <v>1080</v>
      </c>
      <c r="H9877" s="170">
        <v>-1.1034767172554699E-8</v>
      </c>
      <c r="I9877" t="s">
        <v>1082</v>
      </c>
      <c r="J9877">
        <v>12.37</v>
      </c>
    </row>
    <row r="9878" spans="1:10" hidden="1">
      <c r="A9878" t="s">
        <v>6246</v>
      </c>
      <c r="B9878" t="s">
        <v>6247</v>
      </c>
      <c r="C9878" t="s">
        <v>5111</v>
      </c>
      <c r="D9878" t="s">
        <v>3151</v>
      </c>
      <c r="E9878" t="s">
        <v>560</v>
      </c>
      <c r="F9878" t="s">
        <v>1068</v>
      </c>
      <c r="G9878" t="s">
        <v>1083</v>
      </c>
      <c r="H9878">
        <v>-2.65851419464275E-4</v>
      </c>
      <c r="I9878" t="s">
        <v>1084</v>
      </c>
      <c r="J9878">
        <v>12.37</v>
      </c>
    </row>
    <row r="9879" spans="1:10" hidden="1">
      <c r="A9879" t="s">
        <v>6246</v>
      </c>
      <c r="B9879" t="s">
        <v>6247</v>
      </c>
      <c r="C9879" t="s">
        <v>5111</v>
      </c>
      <c r="D9879" t="s">
        <v>3151</v>
      </c>
      <c r="E9879" t="s">
        <v>560</v>
      </c>
      <c r="F9879" t="s">
        <v>1068</v>
      </c>
      <c r="G9879" t="s">
        <v>1085</v>
      </c>
      <c r="H9879">
        <v>-2.4703409230542699E-3</v>
      </c>
      <c r="I9879" t="s">
        <v>1086</v>
      </c>
      <c r="J9879">
        <v>12.37</v>
      </c>
    </row>
    <row r="9880" spans="1:10" hidden="1">
      <c r="A9880" t="s">
        <v>6246</v>
      </c>
      <c r="B9880" t="s">
        <v>6247</v>
      </c>
      <c r="C9880" t="s">
        <v>5111</v>
      </c>
      <c r="D9880" t="s">
        <v>3151</v>
      </c>
      <c r="E9880" t="s">
        <v>560</v>
      </c>
      <c r="F9880" t="s">
        <v>1068</v>
      </c>
      <c r="G9880" t="s">
        <v>1087</v>
      </c>
      <c r="H9880" s="170">
        <v>-1.66705442443055E-6</v>
      </c>
      <c r="I9880" t="s">
        <v>1088</v>
      </c>
      <c r="J9880">
        <v>12.37</v>
      </c>
    </row>
    <row r="9881" spans="1:10" hidden="1">
      <c r="A9881" t="s">
        <v>6246</v>
      </c>
      <c r="B9881" t="s">
        <v>6247</v>
      </c>
      <c r="C9881" t="s">
        <v>5111</v>
      </c>
      <c r="D9881" t="s">
        <v>3151</v>
      </c>
      <c r="E9881" t="s">
        <v>560</v>
      </c>
      <c r="F9881" t="s">
        <v>1068</v>
      </c>
      <c r="G9881" t="s">
        <v>1089</v>
      </c>
      <c r="H9881">
        <v>-4.0708235963137E-4</v>
      </c>
      <c r="I9881" t="s">
        <v>1090</v>
      </c>
      <c r="J9881">
        <v>12.37</v>
      </c>
    </row>
    <row r="9882" spans="1:10" hidden="1">
      <c r="A9882" t="s">
        <v>6249</v>
      </c>
      <c r="B9882" t="s">
        <v>6250</v>
      </c>
      <c r="C9882" t="s">
        <v>5111</v>
      </c>
      <c r="D9882" t="s">
        <v>3151</v>
      </c>
      <c r="E9882" t="s">
        <v>1116</v>
      </c>
      <c r="F9882" t="s">
        <v>1068</v>
      </c>
      <c r="G9882" t="s">
        <v>1069</v>
      </c>
      <c r="H9882">
        <v>-1.8390575396256399</v>
      </c>
      <c r="I9882" t="s">
        <v>1070</v>
      </c>
      <c r="J9882">
        <v>10.039999999999999</v>
      </c>
    </row>
    <row r="9883" spans="1:10" hidden="1">
      <c r="A9883" t="s">
        <v>6249</v>
      </c>
      <c r="B9883" t="s">
        <v>6250</v>
      </c>
      <c r="C9883" t="s">
        <v>5111</v>
      </c>
      <c r="D9883" t="s">
        <v>3151</v>
      </c>
      <c r="E9883" t="s">
        <v>1116</v>
      </c>
      <c r="F9883" t="s">
        <v>1068</v>
      </c>
      <c r="G9883" t="s">
        <v>1071</v>
      </c>
      <c r="H9883" s="170">
        <v>-1.9299846545179999E-9</v>
      </c>
      <c r="I9883" t="s">
        <v>1072</v>
      </c>
      <c r="J9883">
        <v>10.039999999999999</v>
      </c>
    </row>
    <row r="9884" spans="1:10" hidden="1">
      <c r="A9884" t="s">
        <v>6249</v>
      </c>
      <c r="B9884" t="s">
        <v>6250</v>
      </c>
      <c r="C9884" t="s">
        <v>5111</v>
      </c>
      <c r="D9884" t="s">
        <v>3151</v>
      </c>
      <c r="E9884" t="s">
        <v>1116</v>
      </c>
      <c r="F9884" t="s">
        <v>1068</v>
      </c>
      <c r="G9884" t="s">
        <v>1073</v>
      </c>
      <c r="H9884" s="170">
        <v>-6.4999745112189703E-7</v>
      </c>
      <c r="I9884" t="s">
        <v>1074</v>
      </c>
      <c r="J9884">
        <v>10.039999999999999</v>
      </c>
    </row>
    <row r="9885" spans="1:10" hidden="1">
      <c r="A9885" t="s">
        <v>6249</v>
      </c>
      <c r="B9885" t="s">
        <v>6250</v>
      </c>
      <c r="C9885" t="s">
        <v>5111</v>
      </c>
      <c r="D9885" t="s">
        <v>3151</v>
      </c>
      <c r="E9885" t="s">
        <v>1116</v>
      </c>
      <c r="F9885" t="s">
        <v>1068</v>
      </c>
      <c r="G9885" t="s">
        <v>1075</v>
      </c>
      <c r="H9885">
        <v>-3.1725818928589299E-2</v>
      </c>
      <c r="I9885" t="s">
        <v>1077</v>
      </c>
      <c r="J9885">
        <v>10.039999999999999</v>
      </c>
    </row>
    <row r="9886" spans="1:10" hidden="1">
      <c r="A9886" t="s">
        <v>6249</v>
      </c>
      <c r="B9886" t="s">
        <v>6250</v>
      </c>
      <c r="C9886" t="s">
        <v>5111</v>
      </c>
      <c r="D9886" t="s">
        <v>3151</v>
      </c>
      <c r="E9886" t="s">
        <v>1116</v>
      </c>
      <c r="F9886" t="s">
        <v>1068</v>
      </c>
      <c r="G9886" t="s">
        <v>1078</v>
      </c>
      <c r="H9886" s="171" t="s">
        <v>6251</v>
      </c>
      <c r="I9886" t="s">
        <v>1079</v>
      </c>
      <c r="J9886">
        <v>10.039999999999999</v>
      </c>
    </row>
    <row r="9887" spans="1:10" hidden="1">
      <c r="A9887" t="s">
        <v>6249</v>
      </c>
      <c r="B9887" t="s">
        <v>6250</v>
      </c>
      <c r="C9887" t="s">
        <v>5111</v>
      </c>
      <c r="D9887" t="s">
        <v>3151</v>
      </c>
      <c r="E9887" t="s">
        <v>1116</v>
      </c>
      <c r="F9887" t="s">
        <v>1068</v>
      </c>
      <c r="G9887" t="s">
        <v>1080</v>
      </c>
      <c r="H9887" s="170">
        <v>-1.0294860108635601E-8</v>
      </c>
      <c r="I9887" t="s">
        <v>1082</v>
      </c>
      <c r="J9887">
        <v>10.039999999999999</v>
      </c>
    </row>
    <row r="9888" spans="1:10" hidden="1">
      <c r="A9888" t="s">
        <v>6249</v>
      </c>
      <c r="B9888" t="s">
        <v>6250</v>
      </c>
      <c r="C9888" t="s">
        <v>5111</v>
      </c>
      <c r="D9888" t="s">
        <v>3151</v>
      </c>
      <c r="E9888" t="s">
        <v>1116</v>
      </c>
      <c r="F9888" t="s">
        <v>1068</v>
      </c>
      <c r="G9888" t="s">
        <v>1083</v>
      </c>
      <c r="H9888">
        <v>-2.4561871304630897E-4</v>
      </c>
      <c r="I9888" t="s">
        <v>1084</v>
      </c>
      <c r="J9888">
        <v>10.039999999999999</v>
      </c>
    </row>
    <row r="9889" spans="1:10" hidden="1">
      <c r="A9889" t="s">
        <v>6249</v>
      </c>
      <c r="B9889" t="s">
        <v>6250</v>
      </c>
      <c r="C9889" t="s">
        <v>5111</v>
      </c>
      <c r="D9889" t="s">
        <v>3151</v>
      </c>
      <c r="E9889" t="s">
        <v>1116</v>
      </c>
      <c r="F9889" t="s">
        <v>1068</v>
      </c>
      <c r="G9889" t="s">
        <v>1085</v>
      </c>
      <c r="H9889">
        <v>-2.24167027677344E-3</v>
      </c>
      <c r="I9889" t="s">
        <v>1086</v>
      </c>
      <c r="J9889">
        <v>10.039999999999999</v>
      </c>
    </row>
    <row r="9890" spans="1:10" hidden="1">
      <c r="A9890" t="s">
        <v>6249</v>
      </c>
      <c r="B9890" t="s">
        <v>6250</v>
      </c>
      <c r="C9890" t="s">
        <v>5111</v>
      </c>
      <c r="D9890" t="s">
        <v>3151</v>
      </c>
      <c r="E9890" t="s">
        <v>1116</v>
      </c>
      <c r="F9890" t="s">
        <v>1068</v>
      </c>
      <c r="G9890" t="s">
        <v>1087</v>
      </c>
      <c r="H9890" s="170">
        <v>-1.5566969264218501E-6</v>
      </c>
      <c r="I9890" t="s">
        <v>1088</v>
      </c>
      <c r="J9890">
        <v>10.039999999999999</v>
      </c>
    </row>
    <row r="9891" spans="1:10" hidden="1">
      <c r="A9891" t="s">
        <v>6249</v>
      </c>
      <c r="B9891" t="s">
        <v>6250</v>
      </c>
      <c r="C9891" t="s">
        <v>5111</v>
      </c>
      <c r="D9891" t="s">
        <v>3151</v>
      </c>
      <c r="E9891" t="s">
        <v>1116</v>
      </c>
      <c r="F9891" t="s">
        <v>1068</v>
      </c>
      <c r="G9891" t="s">
        <v>1089</v>
      </c>
      <c r="H9891">
        <v>-3.59908056867809E-4</v>
      </c>
      <c r="I9891" t="s">
        <v>1090</v>
      </c>
      <c r="J9891">
        <v>10.039999999999999</v>
      </c>
    </row>
    <row r="9892" spans="1:10" hidden="1">
      <c r="A9892" t="s">
        <v>6252</v>
      </c>
      <c r="B9892" t="s">
        <v>6253</v>
      </c>
      <c r="C9892" t="s">
        <v>5111</v>
      </c>
      <c r="D9892" t="s">
        <v>271</v>
      </c>
      <c r="E9892" t="s">
        <v>561</v>
      </c>
      <c r="F9892" t="s">
        <v>1068</v>
      </c>
      <c r="G9892" t="s">
        <v>1069</v>
      </c>
      <c r="H9892">
        <v>-0.463955114788211</v>
      </c>
      <c r="I9892" t="s">
        <v>1070</v>
      </c>
      <c r="J9892">
        <v>9.33</v>
      </c>
    </row>
    <row r="9893" spans="1:10" hidden="1">
      <c r="A9893" t="s">
        <v>6252</v>
      </c>
      <c r="B9893" t="s">
        <v>6253</v>
      </c>
      <c r="C9893" t="s">
        <v>5111</v>
      </c>
      <c r="D9893" t="s">
        <v>271</v>
      </c>
      <c r="E9893" t="s">
        <v>561</v>
      </c>
      <c r="F9893" t="s">
        <v>1068</v>
      </c>
      <c r="G9893" t="s">
        <v>1071</v>
      </c>
      <c r="H9893" s="170">
        <v>-4.4399440724965402E-10</v>
      </c>
      <c r="I9893" t="s">
        <v>1072</v>
      </c>
      <c r="J9893">
        <v>9.33</v>
      </c>
    </row>
    <row r="9894" spans="1:10" hidden="1">
      <c r="A9894" t="s">
        <v>6252</v>
      </c>
      <c r="B9894" t="s">
        <v>6253</v>
      </c>
      <c r="C9894" t="s">
        <v>5111</v>
      </c>
      <c r="D9894" t="s">
        <v>271</v>
      </c>
      <c r="E9894" t="s">
        <v>561</v>
      </c>
      <c r="F9894" t="s">
        <v>1068</v>
      </c>
      <c r="G9894" t="s">
        <v>1073</v>
      </c>
      <c r="H9894" s="170">
        <v>-1.60363036456879E-7</v>
      </c>
      <c r="I9894" t="s">
        <v>1074</v>
      </c>
      <c r="J9894">
        <v>9.33</v>
      </c>
    </row>
    <row r="9895" spans="1:10" hidden="1">
      <c r="A9895" t="s">
        <v>6252</v>
      </c>
      <c r="B9895" t="s">
        <v>6253</v>
      </c>
      <c r="C9895" t="s">
        <v>5111</v>
      </c>
      <c r="D9895" t="s">
        <v>271</v>
      </c>
      <c r="E9895" t="s">
        <v>561</v>
      </c>
      <c r="F9895" t="s">
        <v>1068</v>
      </c>
      <c r="G9895" t="s">
        <v>1075</v>
      </c>
      <c r="H9895">
        <v>-6.7910892150124203E-3</v>
      </c>
      <c r="I9895" t="s">
        <v>1077</v>
      </c>
      <c r="J9895">
        <v>9.33</v>
      </c>
    </row>
    <row r="9896" spans="1:10" hidden="1">
      <c r="A9896" t="s">
        <v>6252</v>
      </c>
      <c r="B9896" t="s">
        <v>6253</v>
      </c>
      <c r="C9896" t="s">
        <v>5111</v>
      </c>
      <c r="D9896" t="s">
        <v>271</v>
      </c>
      <c r="E9896" t="s">
        <v>561</v>
      </c>
      <c r="F9896" t="s">
        <v>1068</v>
      </c>
      <c r="G9896" t="s">
        <v>1078</v>
      </c>
      <c r="H9896">
        <v>-0.68616883313143695</v>
      </c>
      <c r="I9896" t="s">
        <v>1079</v>
      </c>
      <c r="J9896">
        <v>9.33</v>
      </c>
    </row>
    <row r="9897" spans="1:10" hidden="1">
      <c r="A9897" t="s">
        <v>6252</v>
      </c>
      <c r="B9897" t="s">
        <v>6253</v>
      </c>
      <c r="C9897" t="s">
        <v>5111</v>
      </c>
      <c r="D9897" t="s">
        <v>271</v>
      </c>
      <c r="E9897" t="s">
        <v>561</v>
      </c>
      <c r="F9897" t="s">
        <v>1068</v>
      </c>
      <c r="G9897" t="s">
        <v>1080</v>
      </c>
      <c r="H9897" s="170">
        <v>-2.6643730436502201E-9</v>
      </c>
      <c r="I9897" t="s">
        <v>1082</v>
      </c>
      <c r="J9897">
        <v>9.33</v>
      </c>
    </row>
    <row r="9898" spans="1:10" hidden="1">
      <c r="A9898" t="s">
        <v>6252</v>
      </c>
      <c r="B9898" t="s">
        <v>6253</v>
      </c>
      <c r="C9898" t="s">
        <v>5111</v>
      </c>
      <c r="D9898" t="s">
        <v>271</v>
      </c>
      <c r="E9898" t="s">
        <v>561</v>
      </c>
      <c r="F9898" t="s">
        <v>1068</v>
      </c>
      <c r="G9898" t="s">
        <v>1083</v>
      </c>
      <c r="H9898" s="170">
        <v>-6.4971571411955498E-5</v>
      </c>
      <c r="I9898" t="s">
        <v>1084</v>
      </c>
      <c r="J9898">
        <v>9.33</v>
      </c>
    </row>
    <row r="9899" spans="1:10" hidden="1">
      <c r="A9899" t="s">
        <v>6252</v>
      </c>
      <c r="B9899" t="s">
        <v>6253</v>
      </c>
      <c r="C9899" t="s">
        <v>5111</v>
      </c>
      <c r="D9899" t="s">
        <v>271</v>
      </c>
      <c r="E9899" t="s">
        <v>561</v>
      </c>
      <c r="F9899" t="s">
        <v>1068</v>
      </c>
      <c r="G9899" t="s">
        <v>1085</v>
      </c>
      <c r="H9899">
        <v>-5.4267966539130804E-4</v>
      </c>
      <c r="I9899" t="s">
        <v>1086</v>
      </c>
      <c r="J9899">
        <v>9.33</v>
      </c>
    </row>
    <row r="9900" spans="1:10" hidden="1">
      <c r="A9900" t="s">
        <v>6252</v>
      </c>
      <c r="B9900" t="s">
        <v>6253</v>
      </c>
      <c r="C9900" t="s">
        <v>5111</v>
      </c>
      <c r="D9900" t="s">
        <v>271</v>
      </c>
      <c r="E9900" t="s">
        <v>561</v>
      </c>
      <c r="F9900" t="s">
        <v>1068</v>
      </c>
      <c r="G9900" t="s">
        <v>1087</v>
      </c>
      <c r="H9900" s="170">
        <v>-4.2953664112328301E-7</v>
      </c>
      <c r="I9900" t="s">
        <v>1088</v>
      </c>
      <c r="J9900">
        <v>9.33</v>
      </c>
    </row>
    <row r="9901" spans="1:10" hidden="1">
      <c r="A9901" t="s">
        <v>6252</v>
      </c>
      <c r="B9901" t="s">
        <v>6253</v>
      </c>
      <c r="C9901" t="s">
        <v>5111</v>
      </c>
      <c r="D9901" t="s">
        <v>271</v>
      </c>
      <c r="E9901" t="s">
        <v>561</v>
      </c>
      <c r="F9901" t="s">
        <v>1068</v>
      </c>
      <c r="G9901" t="s">
        <v>1089</v>
      </c>
      <c r="H9901" s="170">
        <v>-8.0347684359586505E-5</v>
      </c>
      <c r="I9901" t="s">
        <v>1090</v>
      </c>
      <c r="J9901">
        <v>9.33</v>
      </c>
    </row>
    <row r="9902" spans="1:10" hidden="1">
      <c r="A9902" t="s">
        <v>6254</v>
      </c>
      <c r="B9902" t="s">
        <v>6255</v>
      </c>
      <c r="C9902" t="s">
        <v>5111</v>
      </c>
      <c r="D9902" t="s">
        <v>271</v>
      </c>
      <c r="E9902" t="s">
        <v>555</v>
      </c>
      <c r="F9902" t="s">
        <v>1068</v>
      </c>
      <c r="G9902" t="s">
        <v>1069</v>
      </c>
      <c r="H9902">
        <v>-0.52647751493483497</v>
      </c>
      <c r="I9902" t="s">
        <v>1070</v>
      </c>
      <c r="J9902">
        <v>7.88</v>
      </c>
    </row>
    <row r="9903" spans="1:10" hidden="1">
      <c r="A9903" t="s">
        <v>6254</v>
      </c>
      <c r="B9903" t="s">
        <v>6255</v>
      </c>
      <c r="C9903" t="s">
        <v>5111</v>
      </c>
      <c r="D9903" t="s">
        <v>271</v>
      </c>
      <c r="E9903" t="s">
        <v>555</v>
      </c>
      <c r="F9903" t="s">
        <v>1068</v>
      </c>
      <c r="G9903" t="s">
        <v>1071</v>
      </c>
      <c r="H9903" s="170">
        <v>-5.3346450273975498E-10</v>
      </c>
      <c r="I9903" t="s">
        <v>1072</v>
      </c>
      <c r="J9903">
        <v>7.88</v>
      </c>
    </row>
    <row r="9904" spans="1:10" hidden="1">
      <c r="A9904" t="s">
        <v>6254</v>
      </c>
      <c r="B9904" t="s">
        <v>6255</v>
      </c>
      <c r="C9904" t="s">
        <v>5111</v>
      </c>
      <c r="D9904" t="s">
        <v>271</v>
      </c>
      <c r="E9904" t="s">
        <v>555</v>
      </c>
      <c r="F9904" t="s">
        <v>1068</v>
      </c>
      <c r="G9904" t="s">
        <v>1073</v>
      </c>
      <c r="H9904" s="170">
        <v>-1.82571895240072E-7</v>
      </c>
      <c r="I9904" t="s">
        <v>1074</v>
      </c>
      <c r="J9904">
        <v>7.88</v>
      </c>
    </row>
    <row r="9905" spans="1:10" hidden="1">
      <c r="A9905" t="s">
        <v>6254</v>
      </c>
      <c r="B9905" t="s">
        <v>6255</v>
      </c>
      <c r="C9905" t="s">
        <v>5111</v>
      </c>
      <c r="D9905" t="s">
        <v>271</v>
      </c>
      <c r="E9905" t="s">
        <v>555</v>
      </c>
      <c r="F9905" t="s">
        <v>1068</v>
      </c>
      <c r="G9905" t="s">
        <v>1075</v>
      </c>
      <c r="H9905">
        <v>-8.7675665432234099E-3</v>
      </c>
      <c r="I9905" t="s">
        <v>1077</v>
      </c>
      <c r="J9905">
        <v>7.88</v>
      </c>
    </row>
    <row r="9906" spans="1:10" hidden="1">
      <c r="A9906" t="s">
        <v>6254</v>
      </c>
      <c r="B9906" t="s">
        <v>6255</v>
      </c>
      <c r="C9906" t="s">
        <v>5111</v>
      </c>
      <c r="D9906" t="s">
        <v>271</v>
      </c>
      <c r="E9906" t="s">
        <v>555</v>
      </c>
      <c r="F9906" t="s">
        <v>1068</v>
      </c>
      <c r="G9906" t="s">
        <v>1078</v>
      </c>
      <c r="H9906">
        <v>-0.77163933817139796</v>
      </c>
      <c r="I9906" t="s">
        <v>1079</v>
      </c>
      <c r="J9906">
        <v>7.88</v>
      </c>
    </row>
    <row r="9907" spans="1:10" hidden="1">
      <c r="A9907" t="s">
        <v>6254</v>
      </c>
      <c r="B9907" t="s">
        <v>6255</v>
      </c>
      <c r="C9907" t="s">
        <v>5111</v>
      </c>
      <c r="D9907" t="s">
        <v>271</v>
      </c>
      <c r="E9907" t="s">
        <v>555</v>
      </c>
      <c r="F9907" t="s">
        <v>1068</v>
      </c>
      <c r="G9907" t="s">
        <v>1080</v>
      </c>
      <c r="H9907" s="170">
        <v>-3.0119262475298699E-9</v>
      </c>
      <c r="I9907" t="s">
        <v>1082</v>
      </c>
      <c r="J9907">
        <v>7.88</v>
      </c>
    </row>
    <row r="9908" spans="1:10" hidden="1">
      <c r="A9908" t="s">
        <v>6254</v>
      </c>
      <c r="B9908" t="s">
        <v>6255</v>
      </c>
      <c r="C9908" t="s">
        <v>5111</v>
      </c>
      <c r="D9908" t="s">
        <v>271</v>
      </c>
      <c r="E9908" t="s">
        <v>555</v>
      </c>
      <c r="F9908" t="s">
        <v>1068</v>
      </c>
      <c r="G9908" t="s">
        <v>1083</v>
      </c>
      <c r="H9908" s="170">
        <v>-7.4475389372031506E-5</v>
      </c>
      <c r="I9908" t="s">
        <v>1084</v>
      </c>
      <c r="J9908">
        <v>7.88</v>
      </c>
    </row>
    <row r="9909" spans="1:10" hidden="1">
      <c r="A9909" t="s">
        <v>6254</v>
      </c>
      <c r="B9909" t="s">
        <v>6255</v>
      </c>
      <c r="C9909" t="s">
        <v>5111</v>
      </c>
      <c r="D9909" t="s">
        <v>271</v>
      </c>
      <c r="E9909" t="s">
        <v>555</v>
      </c>
      <c r="F9909" t="s">
        <v>1068</v>
      </c>
      <c r="G9909" t="s">
        <v>1085</v>
      </c>
      <c r="H9909">
        <v>-6.5009209674746899E-4</v>
      </c>
      <c r="I9909" t="s">
        <v>1086</v>
      </c>
      <c r="J9909">
        <v>7.88</v>
      </c>
    </row>
    <row r="9910" spans="1:10" hidden="1">
      <c r="A9910" t="s">
        <v>6254</v>
      </c>
      <c r="B9910" t="s">
        <v>6255</v>
      </c>
      <c r="C9910" t="s">
        <v>5111</v>
      </c>
      <c r="D9910" t="s">
        <v>271</v>
      </c>
      <c r="E9910" t="s">
        <v>555</v>
      </c>
      <c r="F9910" t="s">
        <v>1068</v>
      </c>
      <c r="G9910" t="s">
        <v>1087</v>
      </c>
      <c r="H9910" s="170">
        <v>-4.8137437122279005E-7</v>
      </c>
      <c r="I9910" t="s">
        <v>1088</v>
      </c>
      <c r="J9910">
        <v>7.88</v>
      </c>
    </row>
    <row r="9911" spans="1:10" hidden="1">
      <c r="A9911" t="s">
        <v>6254</v>
      </c>
      <c r="B9911" t="s">
        <v>6255</v>
      </c>
      <c r="C9911" t="s">
        <v>5111</v>
      </c>
      <c r="D9911" t="s">
        <v>271</v>
      </c>
      <c r="E9911" t="s">
        <v>555</v>
      </c>
      <c r="F9911" t="s">
        <v>1068</v>
      </c>
      <c r="G9911" t="s">
        <v>1089</v>
      </c>
      <c r="H9911">
        <v>-1.02506656704019E-4</v>
      </c>
      <c r="I9911" t="s">
        <v>1090</v>
      </c>
      <c r="J9911">
        <v>7.88</v>
      </c>
    </row>
    <row r="9912" spans="1:10" hidden="1">
      <c r="A9912" t="s">
        <v>6256</v>
      </c>
      <c r="B9912" t="s">
        <v>6257</v>
      </c>
      <c r="C9912" t="s">
        <v>5111</v>
      </c>
      <c r="D9912" t="s">
        <v>271</v>
      </c>
      <c r="E9912" t="s">
        <v>558</v>
      </c>
      <c r="F9912" t="s">
        <v>1068</v>
      </c>
      <c r="G9912" t="s">
        <v>1069</v>
      </c>
      <c r="H9912">
        <v>-0.45841903450872601</v>
      </c>
      <c r="I9912" t="s">
        <v>1070</v>
      </c>
      <c r="J9912">
        <v>9.32</v>
      </c>
    </row>
    <row r="9913" spans="1:10" hidden="1">
      <c r="A9913" t="s">
        <v>6256</v>
      </c>
      <c r="B9913" t="s">
        <v>6257</v>
      </c>
      <c r="C9913" t="s">
        <v>5111</v>
      </c>
      <c r="D9913" t="s">
        <v>271</v>
      </c>
      <c r="E9913" t="s">
        <v>558</v>
      </c>
      <c r="F9913" t="s">
        <v>1068</v>
      </c>
      <c r="G9913" t="s">
        <v>1071</v>
      </c>
      <c r="H9913" s="170">
        <v>-4.36072213386364E-10</v>
      </c>
      <c r="I9913" t="s">
        <v>1072</v>
      </c>
      <c r="J9913">
        <v>9.32</v>
      </c>
    </row>
    <row r="9914" spans="1:10" hidden="1">
      <c r="A9914" t="s">
        <v>6256</v>
      </c>
      <c r="B9914" t="s">
        <v>6257</v>
      </c>
      <c r="C9914" t="s">
        <v>5111</v>
      </c>
      <c r="D9914" t="s">
        <v>271</v>
      </c>
      <c r="E9914" t="s">
        <v>558</v>
      </c>
      <c r="F9914" t="s">
        <v>1068</v>
      </c>
      <c r="G9914" t="s">
        <v>1073</v>
      </c>
      <c r="H9914" s="170">
        <v>-1.5839660322438099E-7</v>
      </c>
      <c r="I9914" t="s">
        <v>1074</v>
      </c>
      <c r="J9914">
        <v>9.32</v>
      </c>
    </row>
    <row r="9915" spans="1:10" hidden="1">
      <c r="A9915" t="s">
        <v>6256</v>
      </c>
      <c r="B9915" t="s">
        <v>6257</v>
      </c>
      <c r="C9915" t="s">
        <v>5111</v>
      </c>
      <c r="D9915" t="s">
        <v>271</v>
      </c>
      <c r="E9915" t="s">
        <v>558</v>
      </c>
      <c r="F9915" t="s">
        <v>1068</v>
      </c>
      <c r="G9915" t="s">
        <v>1075</v>
      </c>
      <c r="H9915">
        <v>-6.6160878033521397E-3</v>
      </c>
      <c r="I9915" t="s">
        <v>1077</v>
      </c>
      <c r="J9915">
        <v>9.32</v>
      </c>
    </row>
    <row r="9916" spans="1:10" hidden="1">
      <c r="A9916" t="s">
        <v>6256</v>
      </c>
      <c r="B9916" t="s">
        <v>6257</v>
      </c>
      <c r="C9916" t="s">
        <v>5111</v>
      </c>
      <c r="D9916" t="s">
        <v>271</v>
      </c>
      <c r="E9916" t="s">
        <v>558</v>
      </c>
      <c r="F9916" t="s">
        <v>1068</v>
      </c>
      <c r="G9916" t="s">
        <v>1078</v>
      </c>
      <c r="H9916">
        <v>-0.67860109704184801</v>
      </c>
      <c r="I9916" t="s">
        <v>1079</v>
      </c>
      <c r="J9916">
        <v>9.32</v>
      </c>
    </row>
    <row r="9917" spans="1:10" hidden="1">
      <c r="A9917" t="s">
        <v>6256</v>
      </c>
      <c r="B9917" t="s">
        <v>6257</v>
      </c>
      <c r="C9917" t="s">
        <v>5111</v>
      </c>
      <c r="D9917" t="s">
        <v>271</v>
      </c>
      <c r="E9917" t="s">
        <v>558</v>
      </c>
      <c r="F9917" t="s">
        <v>1068</v>
      </c>
      <c r="G9917" t="s">
        <v>1080</v>
      </c>
      <c r="H9917" s="170">
        <v>-2.6335999604628298E-9</v>
      </c>
      <c r="I9917" t="s">
        <v>1082</v>
      </c>
      <c r="J9917">
        <v>9.32</v>
      </c>
    </row>
    <row r="9918" spans="1:10" hidden="1">
      <c r="A9918" t="s">
        <v>6256</v>
      </c>
      <c r="B9918" t="s">
        <v>6257</v>
      </c>
      <c r="C9918" t="s">
        <v>5111</v>
      </c>
      <c r="D9918" t="s">
        <v>271</v>
      </c>
      <c r="E9918" t="s">
        <v>558</v>
      </c>
      <c r="F9918" t="s">
        <v>1068</v>
      </c>
      <c r="G9918" t="s">
        <v>1083</v>
      </c>
      <c r="H9918" s="170">
        <v>-6.4130083625086007E-5</v>
      </c>
      <c r="I9918" t="s">
        <v>1084</v>
      </c>
      <c r="J9918">
        <v>9.32</v>
      </c>
    </row>
    <row r="9919" spans="1:10" hidden="1">
      <c r="A9919" t="s">
        <v>6256</v>
      </c>
      <c r="B9919" t="s">
        <v>6257</v>
      </c>
      <c r="C9919" t="s">
        <v>5111</v>
      </c>
      <c r="D9919" t="s">
        <v>271</v>
      </c>
      <c r="E9919" t="s">
        <v>558</v>
      </c>
      <c r="F9919" t="s">
        <v>1068</v>
      </c>
      <c r="G9919" t="s">
        <v>1085</v>
      </c>
      <c r="H9919">
        <v>-5.3316914553865502E-4</v>
      </c>
      <c r="I9919" t="s">
        <v>1086</v>
      </c>
      <c r="J9919">
        <v>9.32</v>
      </c>
    </row>
    <row r="9920" spans="1:10" hidden="1">
      <c r="A9920" t="s">
        <v>6256</v>
      </c>
      <c r="B9920" t="s">
        <v>6257</v>
      </c>
      <c r="C9920" t="s">
        <v>5111</v>
      </c>
      <c r="D9920" t="s">
        <v>271</v>
      </c>
      <c r="E9920" t="s">
        <v>558</v>
      </c>
      <c r="F9920" t="s">
        <v>1068</v>
      </c>
      <c r="G9920" t="s">
        <v>1087</v>
      </c>
      <c r="H9920" s="170">
        <v>-4.2494682081721999E-7</v>
      </c>
      <c r="I9920" t="s">
        <v>1088</v>
      </c>
      <c r="J9920">
        <v>9.32</v>
      </c>
    </row>
    <row r="9921" spans="1:10" hidden="1">
      <c r="A9921" t="s">
        <v>6256</v>
      </c>
      <c r="B9921" t="s">
        <v>6257</v>
      </c>
      <c r="C9921" t="s">
        <v>5111</v>
      </c>
      <c r="D9921" t="s">
        <v>271</v>
      </c>
      <c r="E9921" t="s">
        <v>558</v>
      </c>
      <c r="F9921" t="s">
        <v>1068</v>
      </c>
      <c r="G9921" t="s">
        <v>1089</v>
      </c>
      <c r="H9921" s="170">
        <v>-7.8385682894750096E-5</v>
      </c>
      <c r="I9921" t="s">
        <v>1090</v>
      </c>
      <c r="J9921">
        <v>9.32</v>
      </c>
    </row>
    <row r="9922" spans="1:10" hidden="1">
      <c r="A9922" t="s">
        <v>6258</v>
      </c>
      <c r="B9922" t="s">
        <v>6259</v>
      </c>
      <c r="C9922" t="s">
        <v>5111</v>
      </c>
      <c r="D9922" t="s">
        <v>271</v>
      </c>
      <c r="E9922" t="s">
        <v>553</v>
      </c>
      <c r="F9922" t="s">
        <v>1068</v>
      </c>
      <c r="G9922" t="s">
        <v>1069</v>
      </c>
      <c r="H9922">
        <v>-0.45299439420475501</v>
      </c>
      <c r="I9922" t="s">
        <v>1070</v>
      </c>
      <c r="J9922">
        <v>7.63</v>
      </c>
    </row>
    <row r="9923" spans="1:10" hidden="1">
      <c r="A9923" t="s">
        <v>6258</v>
      </c>
      <c r="B9923" t="s">
        <v>6259</v>
      </c>
      <c r="C9923" t="s">
        <v>5111</v>
      </c>
      <c r="D9923" t="s">
        <v>271</v>
      </c>
      <c r="E9923" t="s">
        <v>553</v>
      </c>
      <c r="F9923" t="s">
        <v>1068</v>
      </c>
      <c r="G9923" t="s">
        <v>1071</v>
      </c>
      <c r="H9923" s="170">
        <v>-4.2830932096603101E-10</v>
      </c>
      <c r="I9923" t="s">
        <v>1072</v>
      </c>
      <c r="J9923">
        <v>7.63</v>
      </c>
    </row>
    <row r="9924" spans="1:10" hidden="1">
      <c r="A9924" t="s">
        <v>6258</v>
      </c>
      <c r="B9924" t="s">
        <v>6259</v>
      </c>
      <c r="C9924" t="s">
        <v>5111</v>
      </c>
      <c r="D9924" t="s">
        <v>271</v>
      </c>
      <c r="E9924" t="s">
        <v>553</v>
      </c>
      <c r="F9924" t="s">
        <v>1068</v>
      </c>
      <c r="G9924" t="s">
        <v>1073</v>
      </c>
      <c r="H9924" s="170">
        <v>-1.5647045824199701E-7</v>
      </c>
      <c r="I9924" t="s">
        <v>1074</v>
      </c>
      <c r="J9924">
        <v>7.63</v>
      </c>
    </row>
    <row r="9925" spans="1:10" hidden="1">
      <c r="A9925" t="s">
        <v>6258</v>
      </c>
      <c r="B9925" t="s">
        <v>6259</v>
      </c>
      <c r="C9925" t="s">
        <v>5111</v>
      </c>
      <c r="D9925" t="s">
        <v>271</v>
      </c>
      <c r="E9925" t="s">
        <v>553</v>
      </c>
      <c r="F9925" t="s">
        <v>1068</v>
      </c>
      <c r="G9925" t="s">
        <v>1075</v>
      </c>
      <c r="H9925">
        <v>-6.4446865971716097E-3</v>
      </c>
      <c r="I9925" t="s">
        <v>1077</v>
      </c>
      <c r="J9925">
        <v>7.63</v>
      </c>
    </row>
    <row r="9926" spans="1:10" hidden="1">
      <c r="A9926" t="s">
        <v>6258</v>
      </c>
      <c r="B9926" t="s">
        <v>6259</v>
      </c>
      <c r="C9926" t="s">
        <v>5111</v>
      </c>
      <c r="D9926" t="s">
        <v>271</v>
      </c>
      <c r="E9926" t="s">
        <v>553</v>
      </c>
      <c r="F9926" t="s">
        <v>1068</v>
      </c>
      <c r="G9926" t="s">
        <v>1078</v>
      </c>
      <c r="H9926">
        <v>-0.67118904904078103</v>
      </c>
      <c r="I9926" t="s">
        <v>1079</v>
      </c>
      <c r="J9926">
        <v>7.63</v>
      </c>
    </row>
    <row r="9927" spans="1:10" hidden="1">
      <c r="A9927" t="s">
        <v>6258</v>
      </c>
      <c r="B9927" t="s">
        <v>6259</v>
      </c>
      <c r="C9927" t="s">
        <v>5111</v>
      </c>
      <c r="D9927" t="s">
        <v>271</v>
      </c>
      <c r="E9927" t="s">
        <v>553</v>
      </c>
      <c r="F9927" t="s">
        <v>1068</v>
      </c>
      <c r="G9927" t="s">
        <v>1080</v>
      </c>
      <c r="H9927" s="170">
        <v>-2.6034599549662001E-9</v>
      </c>
      <c r="I9927" t="s">
        <v>1082</v>
      </c>
      <c r="J9927">
        <v>7.63</v>
      </c>
    </row>
    <row r="9928" spans="1:10" hidden="1">
      <c r="A9928" t="s">
        <v>6258</v>
      </c>
      <c r="B9928" t="s">
        <v>6259</v>
      </c>
      <c r="C9928" t="s">
        <v>5111</v>
      </c>
      <c r="D9928" t="s">
        <v>271</v>
      </c>
      <c r="E9928" t="s">
        <v>553</v>
      </c>
      <c r="F9928" t="s">
        <v>1068</v>
      </c>
      <c r="G9928" t="s">
        <v>1083</v>
      </c>
      <c r="H9928" s="170">
        <v>-6.3305907443716596E-5</v>
      </c>
      <c r="I9928" t="s">
        <v>1084</v>
      </c>
      <c r="J9928">
        <v>7.63</v>
      </c>
    </row>
    <row r="9929" spans="1:10" hidden="1">
      <c r="A9929" t="s">
        <v>6258</v>
      </c>
      <c r="B9929" t="s">
        <v>6259</v>
      </c>
      <c r="C9929" t="s">
        <v>5111</v>
      </c>
      <c r="D9929" t="s">
        <v>271</v>
      </c>
      <c r="E9929" t="s">
        <v>553</v>
      </c>
      <c r="F9929" t="s">
        <v>1068</v>
      </c>
      <c r="G9929" t="s">
        <v>1085</v>
      </c>
      <c r="H9929">
        <v>-5.2385428167684898E-4</v>
      </c>
      <c r="I9929" t="s">
        <v>1086</v>
      </c>
      <c r="J9929">
        <v>7.63</v>
      </c>
    </row>
    <row r="9930" spans="1:10" hidden="1">
      <c r="A9930" t="s">
        <v>6258</v>
      </c>
      <c r="B9930" t="s">
        <v>6259</v>
      </c>
      <c r="C9930" t="s">
        <v>5111</v>
      </c>
      <c r="D9930" t="s">
        <v>271</v>
      </c>
      <c r="E9930" t="s">
        <v>553</v>
      </c>
      <c r="F9930" t="s">
        <v>1068</v>
      </c>
      <c r="G9930" t="s">
        <v>1087</v>
      </c>
      <c r="H9930" s="170">
        <v>-4.2045142526595502E-7</v>
      </c>
      <c r="I9930" t="s">
        <v>1088</v>
      </c>
      <c r="J9930">
        <v>7.63</v>
      </c>
    </row>
    <row r="9931" spans="1:10" hidden="1">
      <c r="A9931" t="s">
        <v>6258</v>
      </c>
      <c r="B9931" t="s">
        <v>6259</v>
      </c>
      <c r="C9931" t="s">
        <v>5111</v>
      </c>
      <c r="D9931" t="s">
        <v>271</v>
      </c>
      <c r="E9931" t="s">
        <v>553</v>
      </c>
      <c r="F9931" t="s">
        <v>1068</v>
      </c>
      <c r="G9931" t="s">
        <v>1089</v>
      </c>
      <c r="H9931" s="170">
        <v>-7.6464044741320205E-5</v>
      </c>
      <c r="I9931" t="s">
        <v>1090</v>
      </c>
      <c r="J9931">
        <v>7.63</v>
      </c>
    </row>
    <row r="9932" spans="1:10" hidden="1">
      <c r="A9932" t="s">
        <v>6260</v>
      </c>
      <c r="B9932" s="170" t="s">
        <v>6261</v>
      </c>
      <c r="C9932" t="s">
        <v>5111</v>
      </c>
      <c r="D9932" t="s">
        <v>271</v>
      </c>
      <c r="E9932" t="s">
        <v>556</v>
      </c>
      <c r="F9932" t="s">
        <v>1068</v>
      </c>
      <c r="G9932" t="s">
        <v>1069</v>
      </c>
      <c r="H9932">
        <v>-0.51957067122276701</v>
      </c>
      <c r="I9932" t="s">
        <v>1070</v>
      </c>
      <c r="J9932">
        <v>8.4700000000000006</v>
      </c>
    </row>
    <row r="9933" spans="1:10" hidden="1">
      <c r="A9933" t="s">
        <v>6260</v>
      </c>
      <c r="B9933" s="170" t="s">
        <v>6261</v>
      </c>
      <c r="C9933" t="s">
        <v>5111</v>
      </c>
      <c r="D9933" t="s">
        <v>271</v>
      </c>
      <c r="E9933" t="s">
        <v>556</v>
      </c>
      <c r="F9933" t="s">
        <v>1068</v>
      </c>
      <c r="G9933" t="s">
        <v>1071</v>
      </c>
      <c r="H9933" s="170">
        <v>-5.2358073080939097E-10</v>
      </c>
      <c r="I9933" t="s">
        <v>1072</v>
      </c>
      <c r="J9933">
        <v>8.4700000000000006</v>
      </c>
    </row>
    <row r="9934" spans="1:10" hidden="1">
      <c r="A9934" t="s">
        <v>6260</v>
      </c>
      <c r="B9934" s="170" t="s">
        <v>6261</v>
      </c>
      <c r="C9934" t="s">
        <v>5111</v>
      </c>
      <c r="D9934" t="s">
        <v>271</v>
      </c>
      <c r="E9934" t="s">
        <v>556</v>
      </c>
      <c r="F9934" t="s">
        <v>1068</v>
      </c>
      <c r="G9934" t="s">
        <v>1073</v>
      </c>
      <c r="H9934" s="170">
        <v>-1.8011856249896E-7</v>
      </c>
      <c r="I9934" t="s">
        <v>1074</v>
      </c>
      <c r="J9934">
        <v>8.4700000000000006</v>
      </c>
    </row>
    <row r="9935" spans="1:10" hidden="1">
      <c r="A9935" t="s">
        <v>6260</v>
      </c>
      <c r="B9935" s="170" t="s">
        <v>6261</v>
      </c>
      <c r="C9935" t="s">
        <v>5111</v>
      </c>
      <c r="D9935" t="s">
        <v>271</v>
      </c>
      <c r="E9935" t="s">
        <v>556</v>
      </c>
      <c r="F9935" t="s">
        <v>1068</v>
      </c>
      <c r="G9935" t="s">
        <v>1075</v>
      </c>
      <c r="H9935">
        <v>-8.5492338351152997E-3</v>
      </c>
      <c r="I9935" t="s">
        <v>1077</v>
      </c>
      <c r="J9935">
        <v>8.4700000000000006</v>
      </c>
    </row>
    <row r="9936" spans="1:10" hidden="1">
      <c r="A9936" t="s">
        <v>6260</v>
      </c>
      <c r="B9936" s="170" t="s">
        <v>6261</v>
      </c>
      <c r="C9936" t="s">
        <v>5111</v>
      </c>
      <c r="D9936" t="s">
        <v>271</v>
      </c>
      <c r="E9936" t="s">
        <v>556</v>
      </c>
      <c r="F9936" t="s">
        <v>1068</v>
      </c>
      <c r="G9936" t="s">
        <v>1078</v>
      </c>
      <c r="H9936">
        <v>-0.76219778967752105</v>
      </c>
      <c r="I9936" t="s">
        <v>1079</v>
      </c>
      <c r="J9936">
        <v>8.4700000000000006</v>
      </c>
    </row>
    <row r="9937" spans="1:10" hidden="1">
      <c r="A9937" t="s">
        <v>6260</v>
      </c>
      <c r="B9937" s="170" t="s">
        <v>6261</v>
      </c>
      <c r="C9937" t="s">
        <v>5111</v>
      </c>
      <c r="D9937" t="s">
        <v>271</v>
      </c>
      <c r="E9937" t="s">
        <v>556</v>
      </c>
      <c r="F9937" t="s">
        <v>1068</v>
      </c>
      <c r="G9937" t="s">
        <v>1080</v>
      </c>
      <c r="H9937" s="170">
        <v>-2.97353358243412E-9</v>
      </c>
      <c r="I9937" t="s">
        <v>1082</v>
      </c>
      <c r="J9937">
        <v>8.4700000000000006</v>
      </c>
    </row>
    <row r="9938" spans="1:10" hidden="1">
      <c r="A9938" t="s">
        <v>6260</v>
      </c>
      <c r="B9938" s="170" t="s">
        <v>6261</v>
      </c>
      <c r="C9938" t="s">
        <v>5111</v>
      </c>
      <c r="D9938" t="s">
        <v>271</v>
      </c>
      <c r="E9938" t="s">
        <v>556</v>
      </c>
      <c r="F9938" t="s">
        <v>1068</v>
      </c>
      <c r="G9938" t="s">
        <v>1083</v>
      </c>
      <c r="H9938" s="170">
        <v>-7.3425544655899994E-5</v>
      </c>
      <c r="I9938" t="s">
        <v>1084</v>
      </c>
      <c r="J9938">
        <v>8.4700000000000006</v>
      </c>
    </row>
    <row r="9939" spans="1:10" hidden="1">
      <c r="A9939" t="s">
        <v>6260</v>
      </c>
      <c r="B9939" s="170" t="s">
        <v>6261</v>
      </c>
      <c r="C9939" t="s">
        <v>5111</v>
      </c>
      <c r="D9939" t="s">
        <v>271</v>
      </c>
      <c r="E9939" t="s">
        <v>556</v>
      </c>
      <c r="F9939" t="s">
        <v>1068</v>
      </c>
      <c r="G9939" t="s">
        <v>1085</v>
      </c>
      <c r="H9939">
        <v>-6.3822672071853204E-4</v>
      </c>
      <c r="I9939" t="s">
        <v>1086</v>
      </c>
      <c r="J9939">
        <v>8.4700000000000006</v>
      </c>
    </row>
    <row r="9940" spans="1:10" hidden="1">
      <c r="A9940" t="s">
        <v>6260</v>
      </c>
      <c r="B9940" s="170" t="s">
        <v>6261</v>
      </c>
      <c r="C9940" t="s">
        <v>5111</v>
      </c>
      <c r="D9940" t="s">
        <v>271</v>
      </c>
      <c r="E9940" t="s">
        <v>556</v>
      </c>
      <c r="F9940" t="s">
        <v>1068</v>
      </c>
      <c r="G9940" t="s">
        <v>1087</v>
      </c>
      <c r="H9940" s="170">
        <v>-4.7564808657374099E-7</v>
      </c>
      <c r="I9940" t="s">
        <v>1088</v>
      </c>
      <c r="J9940">
        <v>8.4700000000000006</v>
      </c>
    </row>
    <row r="9941" spans="1:10" hidden="1">
      <c r="A9941" t="s">
        <v>6260</v>
      </c>
      <c r="B9941" s="170" t="s">
        <v>6261</v>
      </c>
      <c r="C9941" t="s">
        <v>5111</v>
      </c>
      <c r="D9941" t="s">
        <v>271</v>
      </c>
      <c r="E9941" t="s">
        <v>556</v>
      </c>
      <c r="F9941" t="s">
        <v>1068</v>
      </c>
      <c r="G9941" t="s">
        <v>1089</v>
      </c>
      <c r="H9941">
        <v>-1.00058853060235E-4</v>
      </c>
      <c r="I9941" t="s">
        <v>1090</v>
      </c>
      <c r="J9941">
        <v>8.4700000000000006</v>
      </c>
    </row>
    <row r="9942" spans="1:10" hidden="1">
      <c r="A9942" t="s">
        <v>6262</v>
      </c>
      <c r="B9942" t="s">
        <v>6263</v>
      </c>
      <c r="C9942" t="s">
        <v>5111</v>
      </c>
      <c r="D9942" t="s">
        <v>271</v>
      </c>
      <c r="E9942" t="s">
        <v>557</v>
      </c>
      <c r="F9942" t="s">
        <v>1068</v>
      </c>
      <c r="G9942" t="s">
        <v>1069</v>
      </c>
      <c r="H9942">
        <v>-0.48128545305442499</v>
      </c>
      <c r="I9942" t="s">
        <v>1070</v>
      </c>
      <c r="J9942">
        <v>17.23</v>
      </c>
    </row>
    <row r="9943" spans="1:10" hidden="1">
      <c r="A9943" t="s">
        <v>6262</v>
      </c>
      <c r="B9943" t="s">
        <v>6263</v>
      </c>
      <c r="C9943" t="s">
        <v>5111</v>
      </c>
      <c r="D9943" t="s">
        <v>271</v>
      </c>
      <c r="E9943" t="s">
        <v>557</v>
      </c>
      <c r="F9943" t="s">
        <v>1068</v>
      </c>
      <c r="G9943" t="s">
        <v>1071</v>
      </c>
      <c r="H9943" s="170">
        <v>-4.6879431847386397E-10</v>
      </c>
      <c r="I9943" t="s">
        <v>1072</v>
      </c>
      <c r="J9943">
        <v>17.23</v>
      </c>
    </row>
    <row r="9944" spans="1:10" hidden="1">
      <c r="A9944" t="s">
        <v>6262</v>
      </c>
      <c r="B9944" t="s">
        <v>6263</v>
      </c>
      <c r="C9944" t="s">
        <v>5111</v>
      </c>
      <c r="D9944" t="s">
        <v>271</v>
      </c>
      <c r="E9944" t="s">
        <v>557</v>
      </c>
      <c r="F9944" t="s">
        <v>1068</v>
      </c>
      <c r="G9944" t="s">
        <v>1073</v>
      </c>
      <c r="H9944" s="170">
        <v>-1.6651882744556701E-7</v>
      </c>
      <c r="I9944" t="s">
        <v>1074</v>
      </c>
      <c r="J9944">
        <v>17.23</v>
      </c>
    </row>
    <row r="9945" spans="1:10" hidden="1">
      <c r="A9945" t="s">
        <v>6262</v>
      </c>
      <c r="B9945" t="s">
        <v>6263</v>
      </c>
      <c r="C9945" t="s">
        <v>5111</v>
      </c>
      <c r="D9945" t="s">
        <v>271</v>
      </c>
      <c r="E9945" t="s">
        <v>557</v>
      </c>
      <c r="F9945" t="s">
        <v>1068</v>
      </c>
      <c r="G9945" t="s">
        <v>1075</v>
      </c>
      <c r="H9945">
        <v>-7.3389197210785599E-3</v>
      </c>
      <c r="I9945" t="s">
        <v>1077</v>
      </c>
      <c r="J9945">
        <v>17.23</v>
      </c>
    </row>
    <row r="9946" spans="1:10" hidden="1">
      <c r="A9946" t="s">
        <v>6262</v>
      </c>
      <c r="B9946" t="s">
        <v>6263</v>
      </c>
      <c r="C9946" t="s">
        <v>5111</v>
      </c>
      <c r="D9946" t="s">
        <v>271</v>
      </c>
      <c r="E9946" t="s">
        <v>557</v>
      </c>
      <c r="F9946" t="s">
        <v>1068</v>
      </c>
      <c r="G9946" t="s">
        <v>1078</v>
      </c>
      <c r="H9946">
        <v>-0.709859137411887</v>
      </c>
      <c r="I9946" t="s">
        <v>1079</v>
      </c>
      <c r="J9946">
        <v>17.23</v>
      </c>
    </row>
    <row r="9947" spans="1:10" hidden="1">
      <c r="A9947" t="s">
        <v>6262</v>
      </c>
      <c r="B9947" t="s">
        <v>6263</v>
      </c>
      <c r="C9947" t="s">
        <v>5111</v>
      </c>
      <c r="D9947" t="s">
        <v>271</v>
      </c>
      <c r="E9947" t="s">
        <v>557</v>
      </c>
      <c r="F9947" t="s">
        <v>1068</v>
      </c>
      <c r="G9947" t="s">
        <v>1080</v>
      </c>
      <c r="H9947" s="170">
        <v>-2.76070617362815E-9</v>
      </c>
      <c r="I9947" t="s">
        <v>1082</v>
      </c>
      <c r="J9947">
        <v>17.23</v>
      </c>
    </row>
    <row r="9948" spans="1:10" hidden="1">
      <c r="A9948" t="s">
        <v>6262</v>
      </c>
      <c r="B9948" t="s">
        <v>6263</v>
      </c>
      <c r="C9948" t="s">
        <v>5111</v>
      </c>
      <c r="D9948" t="s">
        <v>271</v>
      </c>
      <c r="E9948" t="s">
        <v>557</v>
      </c>
      <c r="F9948" t="s">
        <v>1068</v>
      </c>
      <c r="G9948" t="s">
        <v>1083</v>
      </c>
      <c r="H9948" s="170">
        <v>-6.7605794049111701E-5</v>
      </c>
      <c r="I9948" t="s">
        <v>1084</v>
      </c>
      <c r="J9948">
        <v>17.23</v>
      </c>
    </row>
    <row r="9949" spans="1:10" hidden="1">
      <c r="A9949" t="s">
        <v>6262</v>
      </c>
      <c r="B9949" t="s">
        <v>6263</v>
      </c>
      <c r="C9949" t="s">
        <v>5111</v>
      </c>
      <c r="D9949" t="s">
        <v>271</v>
      </c>
      <c r="E9949" t="s">
        <v>557</v>
      </c>
      <c r="F9949" t="s">
        <v>1068</v>
      </c>
      <c r="G9949" t="s">
        <v>1085</v>
      </c>
      <c r="H9949">
        <v>-5.7245172753871696E-4</v>
      </c>
      <c r="I9949" t="s">
        <v>1086</v>
      </c>
      <c r="J9949">
        <v>17.23</v>
      </c>
    </row>
    <row r="9950" spans="1:10" hidden="1">
      <c r="A9950" t="s">
        <v>6262</v>
      </c>
      <c r="B9950" t="s">
        <v>6263</v>
      </c>
      <c r="C9950" t="s">
        <v>5111</v>
      </c>
      <c r="D9950" t="s">
        <v>271</v>
      </c>
      <c r="E9950" t="s">
        <v>557</v>
      </c>
      <c r="F9950" t="s">
        <v>1068</v>
      </c>
      <c r="G9950" t="s">
        <v>1087</v>
      </c>
      <c r="H9950" s="170">
        <v>-4.43904774255305E-7</v>
      </c>
      <c r="I9950" t="s">
        <v>1088</v>
      </c>
      <c r="J9950">
        <v>17.23</v>
      </c>
    </row>
    <row r="9951" spans="1:10" hidden="1">
      <c r="A9951" t="s">
        <v>6262</v>
      </c>
      <c r="B9951" t="s">
        <v>6263</v>
      </c>
      <c r="C9951" t="s">
        <v>5111</v>
      </c>
      <c r="D9951" t="s">
        <v>271</v>
      </c>
      <c r="E9951" t="s">
        <v>557</v>
      </c>
      <c r="F9951" t="s">
        <v>1068</v>
      </c>
      <c r="G9951" t="s">
        <v>1089</v>
      </c>
      <c r="H9951" s="170">
        <v>-8.6489601988631095E-5</v>
      </c>
      <c r="I9951" t="s">
        <v>1090</v>
      </c>
      <c r="J9951">
        <v>17.23</v>
      </c>
    </row>
    <row r="9952" spans="1:10" hidden="1">
      <c r="A9952" t="s">
        <v>6264</v>
      </c>
      <c r="B9952" t="s">
        <v>6265</v>
      </c>
      <c r="C9952" t="s">
        <v>5111</v>
      </c>
      <c r="D9952" t="s">
        <v>271</v>
      </c>
      <c r="E9952" t="s">
        <v>559</v>
      </c>
      <c r="F9952" t="s">
        <v>1068</v>
      </c>
      <c r="G9952" t="s">
        <v>1069</v>
      </c>
      <c r="H9952">
        <v>-0.49978139991304599</v>
      </c>
      <c r="I9952" t="s">
        <v>1070</v>
      </c>
      <c r="J9952">
        <v>8.59</v>
      </c>
    </row>
    <row r="9953" spans="1:10" hidden="1">
      <c r="A9953" t="s">
        <v>6264</v>
      </c>
      <c r="B9953" t="s">
        <v>6265</v>
      </c>
      <c r="C9953" t="s">
        <v>5111</v>
      </c>
      <c r="D9953" t="s">
        <v>271</v>
      </c>
      <c r="E9953" t="s">
        <v>559</v>
      </c>
      <c r="F9953" t="s">
        <v>1068</v>
      </c>
      <c r="G9953" t="s">
        <v>1071</v>
      </c>
      <c r="H9953" s="170">
        <v>-4.9526205842495596E-10</v>
      </c>
      <c r="I9953" t="s">
        <v>1072</v>
      </c>
      <c r="J9953">
        <v>8.59</v>
      </c>
    </row>
    <row r="9954" spans="1:10" hidden="1">
      <c r="A9954" t="s">
        <v>6264</v>
      </c>
      <c r="B9954" t="s">
        <v>6265</v>
      </c>
      <c r="C9954" t="s">
        <v>5111</v>
      </c>
      <c r="D9954" t="s">
        <v>271</v>
      </c>
      <c r="E9954" t="s">
        <v>559</v>
      </c>
      <c r="F9954" t="s">
        <v>1068</v>
      </c>
      <c r="G9954" t="s">
        <v>1073</v>
      </c>
      <c r="H9954" s="170">
        <v>-1.73089350712682E-7</v>
      </c>
      <c r="I9954" t="s">
        <v>1074</v>
      </c>
      <c r="J9954">
        <v>8.59</v>
      </c>
    </row>
    <row r="9955" spans="1:10" hidden="1">
      <c r="A9955" t="s">
        <v>6264</v>
      </c>
      <c r="B9955" t="s">
        <v>6265</v>
      </c>
      <c r="C9955" t="s">
        <v>5111</v>
      </c>
      <c r="D9955" t="s">
        <v>271</v>
      </c>
      <c r="E9955" t="s">
        <v>559</v>
      </c>
      <c r="F9955" t="s">
        <v>1068</v>
      </c>
      <c r="G9955" t="s">
        <v>1075</v>
      </c>
      <c r="H9955">
        <v>-7.92367382873993E-3</v>
      </c>
      <c r="I9955" t="s">
        <v>1077</v>
      </c>
      <c r="J9955">
        <v>8.59</v>
      </c>
    </row>
    <row r="9956" spans="1:10" hidden="1">
      <c r="A9956" t="s">
        <v>6264</v>
      </c>
      <c r="B9956" t="s">
        <v>6265</v>
      </c>
      <c r="C9956" t="s">
        <v>5111</v>
      </c>
      <c r="D9956" t="s">
        <v>271</v>
      </c>
      <c r="E9956" t="s">
        <v>559</v>
      </c>
      <c r="F9956" t="s">
        <v>1068</v>
      </c>
      <c r="G9956" t="s">
        <v>1078</v>
      </c>
      <c r="H9956">
        <v>-0.73514616197038696</v>
      </c>
      <c r="I9956" t="s">
        <v>1079</v>
      </c>
      <c r="J9956">
        <v>8.59</v>
      </c>
    </row>
    <row r="9957" spans="1:10" hidden="1">
      <c r="A9957" t="s">
        <v>6264</v>
      </c>
      <c r="B9957" t="s">
        <v>6265</v>
      </c>
      <c r="C9957" t="s">
        <v>5111</v>
      </c>
      <c r="D9957" t="s">
        <v>271</v>
      </c>
      <c r="E9957" t="s">
        <v>559</v>
      </c>
      <c r="F9957" t="s">
        <v>1068</v>
      </c>
      <c r="G9957" t="s">
        <v>1080</v>
      </c>
      <c r="H9957" s="170">
        <v>-2.86353212626142E-9</v>
      </c>
      <c r="I9957" t="s">
        <v>1082</v>
      </c>
      <c r="J9957">
        <v>8.59</v>
      </c>
    </row>
    <row r="9958" spans="1:10" hidden="1">
      <c r="A9958" t="s">
        <v>6264</v>
      </c>
      <c r="B9958" t="s">
        <v>6265</v>
      </c>
      <c r="C9958" t="s">
        <v>5111</v>
      </c>
      <c r="D9958" t="s">
        <v>271</v>
      </c>
      <c r="E9958" t="s">
        <v>559</v>
      </c>
      <c r="F9958" t="s">
        <v>1068</v>
      </c>
      <c r="G9958" t="s">
        <v>1083</v>
      </c>
      <c r="H9958" s="170">
        <v>-7.0417562604066795E-5</v>
      </c>
      <c r="I9958" t="s">
        <v>1084</v>
      </c>
      <c r="J9958">
        <v>8.59</v>
      </c>
    </row>
    <row r="9959" spans="1:10" hidden="1">
      <c r="A9959" t="s">
        <v>6264</v>
      </c>
      <c r="B9959" t="s">
        <v>6265</v>
      </c>
      <c r="C9959" t="s">
        <v>5111</v>
      </c>
      <c r="D9959" t="s">
        <v>271</v>
      </c>
      <c r="E9959" t="s">
        <v>559</v>
      </c>
      <c r="F9959" t="s">
        <v>1068</v>
      </c>
      <c r="G9959" t="s">
        <v>1085</v>
      </c>
      <c r="H9959">
        <v>-6.0423041861319205E-4</v>
      </c>
      <c r="I9959" t="s">
        <v>1086</v>
      </c>
      <c r="J9959">
        <v>8.59</v>
      </c>
    </row>
    <row r="9960" spans="1:10" hidden="1">
      <c r="A9960" t="s">
        <v>6264</v>
      </c>
      <c r="B9960" t="s">
        <v>6265</v>
      </c>
      <c r="C9960" t="s">
        <v>5111</v>
      </c>
      <c r="D9960" t="s">
        <v>271</v>
      </c>
      <c r="E9960" t="s">
        <v>559</v>
      </c>
      <c r="F9960" t="s">
        <v>1068</v>
      </c>
      <c r="G9960" t="s">
        <v>1087</v>
      </c>
      <c r="H9960" s="170">
        <v>-4.59241315950082E-7</v>
      </c>
      <c r="I9960" t="s">
        <v>1088</v>
      </c>
      <c r="J9960">
        <v>8.59</v>
      </c>
    </row>
    <row r="9961" spans="1:10" hidden="1">
      <c r="A9961" t="s">
        <v>6264</v>
      </c>
      <c r="B9961" t="s">
        <v>6265</v>
      </c>
      <c r="C9961" t="s">
        <v>5111</v>
      </c>
      <c r="D9961" t="s">
        <v>271</v>
      </c>
      <c r="E9961" t="s">
        <v>559</v>
      </c>
      <c r="F9961" t="s">
        <v>1068</v>
      </c>
      <c r="G9961" t="s">
        <v>1089</v>
      </c>
      <c r="H9961" s="170">
        <v>-9.3045483069628096E-5</v>
      </c>
      <c r="I9961" t="s">
        <v>1090</v>
      </c>
      <c r="J9961">
        <v>8.59</v>
      </c>
    </row>
    <row r="9962" spans="1:10" hidden="1">
      <c r="A9962" t="s">
        <v>6266</v>
      </c>
      <c r="B9962" t="s">
        <v>6267</v>
      </c>
      <c r="C9962" t="s">
        <v>5111</v>
      </c>
      <c r="D9962" t="s">
        <v>271</v>
      </c>
      <c r="E9962" t="s">
        <v>560</v>
      </c>
      <c r="F9962" t="s">
        <v>1068</v>
      </c>
      <c r="G9962" t="s">
        <v>1069</v>
      </c>
      <c r="H9962">
        <v>-0.493480876278799</v>
      </c>
      <c r="I9962" t="s">
        <v>1070</v>
      </c>
      <c r="J9962">
        <v>8.67</v>
      </c>
    </row>
    <row r="9963" spans="1:10" hidden="1">
      <c r="A9963" t="s">
        <v>6266</v>
      </c>
      <c r="B9963" t="s">
        <v>6267</v>
      </c>
      <c r="C9963" t="s">
        <v>5111</v>
      </c>
      <c r="D9963" t="s">
        <v>271</v>
      </c>
      <c r="E9963" t="s">
        <v>560</v>
      </c>
      <c r="F9963" t="s">
        <v>1068</v>
      </c>
      <c r="G9963" t="s">
        <v>1071</v>
      </c>
      <c r="H9963" s="170">
        <v>-4.8624610785386397E-10</v>
      </c>
      <c r="I9963" t="s">
        <v>1072</v>
      </c>
      <c r="J9963">
        <v>8.67</v>
      </c>
    </row>
    <row r="9964" spans="1:10" hidden="1">
      <c r="A9964" t="s">
        <v>6266</v>
      </c>
      <c r="B9964" t="s">
        <v>6267</v>
      </c>
      <c r="C9964" t="s">
        <v>5111</v>
      </c>
      <c r="D9964" t="s">
        <v>271</v>
      </c>
      <c r="E9964" t="s">
        <v>560</v>
      </c>
      <c r="F9964" t="s">
        <v>1068</v>
      </c>
      <c r="G9964" t="s">
        <v>1073</v>
      </c>
      <c r="H9964" s="170">
        <v>-1.7085068036353299E-7</v>
      </c>
      <c r="I9964" t="s">
        <v>1074</v>
      </c>
      <c r="J9964">
        <v>8.67</v>
      </c>
    </row>
    <row r="9965" spans="1:10" hidden="1">
      <c r="A9965" t="s">
        <v>6266</v>
      </c>
      <c r="B9965" t="s">
        <v>6267</v>
      </c>
      <c r="C9965" t="s">
        <v>5111</v>
      </c>
      <c r="D9965" t="s">
        <v>271</v>
      </c>
      <c r="E9965" t="s">
        <v>560</v>
      </c>
      <c r="F9965" t="s">
        <v>1068</v>
      </c>
      <c r="G9965" t="s">
        <v>1075</v>
      </c>
      <c r="H9965">
        <v>-7.7244300771993199E-3</v>
      </c>
      <c r="I9965" t="s">
        <v>1077</v>
      </c>
      <c r="J9965">
        <v>8.67</v>
      </c>
    </row>
    <row r="9966" spans="1:10" hidden="1">
      <c r="A9966" t="s">
        <v>6266</v>
      </c>
      <c r="B9966" t="s">
        <v>6267</v>
      </c>
      <c r="C9966" t="s">
        <v>5111</v>
      </c>
      <c r="D9966" t="s">
        <v>271</v>
      </c>
      <c r="E9966" t="s">
        <v>560</v>
      </c>
      <c r="F9966" t="s">
        <v>1068</v>
      </c>
      <c r="G9966" t="s">
        <v>1078</v>
      </c>
      <c r="H9966">
        <v>-0.72653009227590704</v>
      </c>
      <c r="I9966" t="s">
        <v>1079</v>
      </c>
      <c r="J9966">
        <v>8.67</v>
      </c>
    </row>
    <row r="9967" spans="1:10" hidden="1">
      <c r="A9967" t="s">
        <v>6266</v>
      </c>
      <c r="B9967" t="s">
        <v>6267</v>
      </c>
      <c r="C9967" t="s">
        <v>5111</v>
      </c>
      <c r="D9967" t="s">
        <v>271</v>
      </c>
      <c r="E9967" t="s">
        <v>560</v>
      </c>
      <c r="F9967" t="s">
        <v>1068</v>
      </c>
      <c r="G9967" t="s">
        <v>1080</v>
      </c>
      <c r="H9967" s="170">
        <v>-2.8284961539829999E-9</v>
      </c>
      <c r="I9967" t="s">
        <v>1082</v>
      </c>
      <c r="J9967">
        <v>8.67</v>
      </c>
    </row>
    <row r="9968" spans="1:10" hidden="1">
      <c r="A9968" t="s">
        <v>6266</v>
      </c>
      <c r="B9968" t="s">
        <v>6267</v>
      </c>
      <c r="C9968" t="s">
        <v>5111</v>
      </c>
      <c r="D9968" t="s">
        <v>271</v>
      </c>
      <c r="E9968" t="s">
        <v>560</v>
      </c>
      <c r="F9968" t="s">
        <v>1068</v>
      </c>
      <c r="G9968" t="s">
        <v>1083</v>
      </c>
      <c r="H9968" s="170">
        <v>-6.9459506275258804E-5</v>
      </c>
      <c r="I9968" t="s">
        <v>1084</v>
      </c>
      <c r="J9968">
        <v>8.67</v>
      </c>
    </row>
    <row r="9969" spans="1:10" hidden="1">
      <c r="A9969" t="s">
        <v>6266</v>
      </c>
      <c r="B9969" t="s">
        <v>6267</v>
      </c>
      <c r="C9969" t="s">
        <v>5111</v>
      </c>
      <c r="D9969" t="s">
        <v>271</v>
      </c>
      <c r="E9969" t="s">
        <v>560</v>
      </c>
      <c r="F9969" t="s">
        <v>1068</v>
      </c>
      <c r="G9969" t="s">
        <v>1085</v>
      </c>
      <c r="H9969">
        <v>-5.9340243793874997E-4</v>
      </c>
      <c r="I9969" t="s">
        <v>1086</v>
      </c>
      <c r="J9969">
        <v>8.67</v>
      </c>
    </row>
    <row r="9970" spans="1:10" hidden="1">
      <c r="A9970" t="s">
        <v>6266</v>
      </c>
      <c r="B9970" t="s">
        <v>6267</v>
      </c>
      <c r="C9970" t="s">
        <v>5111</v>
      </c>
      <c r="D9970" t="s">
        <v>271</v>
      </c>
      <c r="E9970" t="s">
        <v>560</v>
      </c>
      <c r="F9970" t="s">
        <v>1068</v>
      </c>
      <c r="G9970" t="s">
        <v>1087</v>
      </c>
      <c r="H9970" s="170">
        <v>-4.5401568275561701E-7</v>
      </c>
      <c r="I9970" t="s">
        <v>1088</v>
      </c>
      <c r="J9970">
        <v>8.67</v>
      </c>
    </row>
    <row r="9971" spans="1:10" hidden="1">
      <c r="A9971" t="s">
        <v>6266</v>
      </c>
      <c r="B9971" t="s">
        <v>6267</v>
      </c>
      <c r="C9971" t="s">
        <v>5111</v>
      </c>
      <c r="D9971" t="s">
        <v>271</v>
      </c>
      <c r="E9971" t="s">
        <v>560</v>
      </c>
      <c r="F9971" t="s">
        <v>1068</v>
      </c>
      <c r="G9971" t="s">
        <v>1089</v>
      </c>
      <c r="H9971" s="170">
        <v>-9.0811692172034406E-5</v>
      </c>
      <c r="I9971" t="s">
        <v>1090</v>
      </c>
      <c r="J9971">
        <v>8.67</v>
      </c>
    </row>
    <row r="9972" spans="1:10" hidden="1">
      <c r="A9972" t="s">
        <v>6268</v>
      </c>
      <c r="B9972" t="s">
        <v>6269</v>
      </c>
      <c r="C9972" t="s">
        <v>5111</v>
      </c>
      <c r="D9972" t="s">
        <v>271</v>
      </c>
      <c r="E9972" t="s">
        <v>1116</v>
      </c>
      <c r="F9972" t="s">
        <v>1068</v>
      </c>
      <c r="G9972" t="s">
        <v>1069</v>
      </c>
      <c r="H9972">
        <v>-0.45646654035770201</v>
      </c>
      <c r="I9972" t="s">
        <v>1070</v>
      </c>
      <c r="J9972">
        <v>10.34</v>
      </c>
    </row>
    <row r="9973" spans="1:10" hidden="1">
      <c r="A9973" t="s">
        <v>6268</v>
      </c>
      <c r="B9973" t="s">
        <v>6269</v>
      </c>
      <c r="C9973" t="s">
        <v>5111</v>
      </c>
      <c r="D9973" t="s">
        <v>271</v>
      </c>
      <c r="E9973" t="s">
        <v>1116</v>
      </c>
      <c r="F9973" t="s">
        <v>1068</v>
      </c>
      <c r="G9973" t="s">
        <v>1071</v>
      </c>
      <c r="H9973" s="170">
        <v>-4.3327817204294901E-10</v>
      </c>
      <c r="I9973" t="s">
        <v>1072</v>
      </c>
      <c r="J9973">
        <v>10.34</v>
      </c>
    </row>
    <row r="9974" spans="1:10" hidden="1">
      <c r="A9974" t="s">
        <v>6268</v>
      </c>
      <c r="B9974" t="s">
        <v>6269</v>
      </c>
      <c r="C9974" t="s">
        <v>5111</v>
      </c>
      <c r="D9974" t="s">
        <v>271</v>
      </c>
      <c r="E9974" t="s">
        <v>1116</v>
      </c>
      <c r="F9974" t="s">
        <v>1068</v>
      </c>
      <c r="G9974" t="s">
        <v>1073</v>
      </c>
      <c r="H9974" s="170">
        <v>-1.5770307112387E-7</v>
      </c>
      <c r="I9974" t="s">
        <v>1074</v>
      </c>
      <c r="J9974">
        <v>10.34</v>
      </c>
    </row>
    <row r="9975" spans="1:10" hidden="1">
      <c r="A9975" t="s">
        <v>6268</v>
      </c>
      <c r="B9975" t="s">
        <v>6269</v>
      </c>
      <c r="C9975" t="s">
        <v>5111</v>
      </c>
      <c r="D9975" t="s">
        <v>271</v>
      </c>
      <c r="E9975" t="s">
        <v>1116</v>
      </c>
      <c r="F9975" t="s">
        <v>1068</v>
      </c>
      <c r="G9975" t="s">
        <v>1075</v>
      </c>
      <c r="H9975">
        <v>-6.5543673774483497E-3</v>
      </c>
      <c r="I9975" t="s">
        <v>1077</v>
      </c>
      <c r="J9975">
        <v>10.34</v>
      </c>
    </row>
    <row r="9976" spans="1:10" hidden="1">
      <c r="A9976" t="s">
        <v>6268</v>
      </c>
      <c r="B9976" t="s">
        <v>6269</v>
      </c>
      <c r="C9976" t="s">
        <v>5111</v>
      </c>
      <c r="D9976" t="s">
        <v>271</v>
      </c>
      <c r="E9976" t="s">
        <v>1116</v>
      </c>
      <c r="F9976" t="s">
        <v>1068</v>
      </c>
      <c r="G9976" t="s">
        <v>1078</v>
      </c>
      <c r="H9976">
        <v>-0.67593206774576597</v>
      </c>
      <c r="I9976" t="s">
        <v>1079</v>
      </c>
      <c r="J9976">
        <v>10.34</v>
      </c>
    </row>
    <row r="9977" spans="1:10" hidden="1">
      <c r="A9977" t="s">
        <v>6268</v>
      </c>
      <c r="B9977" t="s">
        <v>6269</v>
      </c>
      <c r="C9977" t="s">
        <v>5111</v>
      </c>
      <c r="D9977" t="s">
        <v>271</v>
      </c>
      <c r="E9977" t="s">
        <v>1116</v>
      </c>
      <c r="F9977" t="s">
        <v>1068</v>
      </c>
      <c r="G9977" t="s">
        <v>1080</v>
      </c>
      <c r="H9977" s="170">
        <v>-2.6227467462934099E-9</v>
      </c>
      <c r="I9977" t="s">
        <v>1082</v>
      </c>
      <c r="J9977">
        <v>10.34</v>
      </c>
    </row>
    <row r="9978" spans="1:10" hidden="1">
      <c r="A9978" t="s">
        <v>6268</v>
      </c>
      <c r="B9978" t="s">
        <v>6269</v>
      </c>
      <c r="C9978" t="s">
        <v>5111</v>
      </c>
      <c r="D9978" t="s">
        <v>271</v>
      </c>
      <c r="E9978" t="s">
        <v>1116</v>
      </c>
      <c r="F9978" t="s">
        <v>1068</v>
      </c>
      <c r="G9978" t="s">
        <v>1083</v>
      </c>
      <c r="H9978" s="170">
        <v>-6.3833303249969498E-5</v>
      </c>
      <c r="I9978" t="s">
        <v>1084</v>
      </c>
      <c r="J9978">
        <v>10.34</v>
      </c>
    </row>
    <row r="9979" spans="1:10" hidden="1">
      <c r="A9979" t="s">
        <v>6268</v>
      </c>
      <c r="B9979" t="s">
        <v>6269</v>
      </c>
      <c r="C9979" t="s">
        <v>5111</v>
      </c>
      <c r="D9979" t="s">
        <v>271</v>
      </c>
      <c r="E9979" t="s">
        <v>1116</v>
      </c>
      <c r="F9979" t="s">
        <v>1068</v>
      </c>
      <c r="G9979" t="s">
        <v>1085</v>
      </c>
      <c r="H9979">
        <v>-5.2981492496235604E-4</v>
      </c>
      <c r="I9979" t="s">
        <v>1086</v>
      </c>
      <c r="J9979">
        <v>10.34</v>
      </c>
    </row>
    <row r="9980" spans="1:10" hidden="1">
      <c r="A9980" t="s">
        <v>6268</v>
      </c>
      <c r="B9980" t="s">
        <v>6269</v>
      </c>
      <c r="C9980" t="s">
        <v>5111</v>
      </c>
      <c r="D9980" t="s">
        <v>271</v>
      </c>
      <c r="E9980" t="s">
        <v>1116</v>
      </c>
      <c r="F9980" t="s">
        <v>1068</v>
      </c>
      <c r="G9980" t="s">
        <v>1087</v>
      </c>
      <c r="H9980" s="170">
        <v>-4.23328058651678E-7</v>
      </c>
      <c r="I9980" t="s">
        <v>1088</v>
      </c>
      <c r="J9980">
        <v>10.34</v>
      </c>
    </row>
    <row r="9981" spans="1:10" hidden="1">
      <c r="A9981" t="s">
        <v>6268</v>
      </c>
      <c r="B9981" t="s">
        <v>6269</v>
      </c>
      <c r="C9981" t="s">
        <v>5111</v>
      </c>
      <c r="D9981" t="s">
        <v>271</v>
      </c>
      <c r="E9981" t="s">
        <v>1116</v>
      </c>
      <c r="F9981" t="s">
        <v>1068</v>
      </c>
      <c r="G9981" t="s">
        <v>1089</v>
      </c>
      <c r="H9981" s="170">
        <v>-7.7693713813559804E-5</v>
      </c>
      <c r="I9981" t="s">
        <v>1090</v>
      </c>
      <c r="J9981">
        <v>10.34</v>
      </c>
    </row>
    <row r="9982" spans="1:10" hidden="1">
      <c r="A9982" t="s">
        <v>6270</v>
      </c>
      <c r="B9982" t="s">
        <v>6271</v>
      </c>
      <c r="C9982" t="s">
        <v>5111</v>
      </c>
      <c r="D9982" t="s">
        <v>3246</v>
      </c>
      <c r="E9982" t="s">
        <v>561</v>
      </c>
      <c r="F9982" t="s">
        <v>1068</v>
      </c>
      <c r="G9982" t="s">
        <v>1069</v>
      </c>
      <c r="H9982" s="171" t="s">
        <v>6272</v>
      </c>
      <c r="I9982" t="s">
        <v>1070</v>
      </c>
      <c r="J9982">
        <v>12.84</v>
      </c>
    </row>
    <row r="9983" spans="1:10" hidden="1">
      <c r="A9983" t="s">
        <v>6270</v>
      </c>
      <c r="B9983" t="s">
        <v>6271</v>
      </c>
      <c r="C9983" t="s">
        <v>5111</v>
      </c>
      <c r="D9983" t="s">
        <v>3246</v>
      </c>
      <c r="E9983" t="s">
        <v>561</v>
      </c>
      <c r="F9983" t="s">
        <v>1068</v>
      </c>
      <c r="G9983" t="s">
        <v>1071</v>
      </c>
      <c r="H9983" s="171" t="s">
        <v>6273</v>
      </c>
      <c r="I9983" t="s">
        <v>1072</v>
      </c>
      <c r="J9983">
        <v>12.84</v>
      </c>
    </row>
    <row r="9984" spans="1:10" hidden="1">
      <c r="A9984" t="s">
        <v>6270</v>
      </c>
      <c r="B9984" t="s">
        <v>6271</v>
      </c>
      <c r="C9984" t="s">
        <v>5111</v>
      </c>
      <c r="D9984" t="s">
        <v>3246</v>
      </c>
      <c r="E9984" t="s">
        <v>561</v>
      </c>
      <c r="F9984" t="s">
        <v>1068</v>
      </c>
      <c r="G9984" t="s">
        <v>1073</v>
      </c>
      <c r="H9984" s="171" t="s">
        <v>6274</v>
      </c>
      <c r="I9984" t="s">
        <v>1074</v>
      </c>
      <c r="J9984">
        <v>12.84</v>
      </c>
    </row>
    <row r="9985" spans="1:10" hidden="1">
      <c r="A9985" t="s">
        <v>6270</v>
      </c>
      <c r="B9985" t="s">
        <v>6271</v>
      </c>
      <c r="C9985" t="s">
        <v>5111</v>
      </c>
      <c r="D9985" t="s">
        <v>3246</v>
      </c>
      <c r="E9985" t="s">
        <v>561</v>
      </c>
      <c r="F9985" t="s">
        <v>1068</v>
      </c>
      <c r="G9985" t="s">
        <v>1075</v>
      </c>
      <c r="H9985">
        <v>4.0849477348302602E-3</v>
      </c>
      <c r="I9985" t="s">
        <v>1077</v>
      </c>
      <c r="J9985">
        <v>12.84</v>
      </c>
    </row>
    <row r="9986" spans="1:10" hidden="1">
      <c r="A9986" t="s">
        <v>6270</v>
      </c>
      <c r="B9986" t="s">
        <v>6271</v>
      </c>
      <c r="C9986" t="s">
        <v>5111</v>
      </c>
      <c r="D9986" t="s">
        <v>3246</v>
      </c>
      <c r="E9986" t="s">
        <v>561</v>
      </c>
      <c r="F9986" t="s">
        <v>1068</v>
      </c>
      <c r="G9986" t="s">
        <v>1078</v>
      </c>
      <c r="H9986" s="171" t="s">
        <v>6275</v>
      </c>
      <c r="I9986" t="s">
        <v>1079</v>
      </c>
      <c r="J9986">
        <v>12.84</v>
      </c>
    </row>
    <row r="9987" spans="1:10" hidden="1">
      <c r="A9987" t="s">
        <v>6270</v>
      </c>
      <c r="B9987" t="s">
        <v>6271</v>
      </c>
      <c r="C9987" t="s">
        <v>5111</v>
      </c>
      <c r="D9987" t="s">
        <v>3246</v>
      </c>
      <c r="E9987" t="s">
        <v>561</v>
      </c>
      <c r="F9987" t="s">
        <v>1068</v>
      </c>
      <c r="G9987" t="s">
        <v>1080</v>
      </c>
      <c r="H9987" s="171" t="s">
        <v>5116</v>
      </c>
      <c r="I9987" t="s">
        <v>1082</v>
      </c>
      <c r="J9987">
        <v>12.84</v>
      </c>
    </row>
    <row r="9988" spans="1:10" hidden="1">
      <c r="A9988" t="s">
        <v>6270</v>
      </c>
      <c r="B9988" t="s">
        <v>6271</v>
      </c>
      <c r="C9988" t="s">
        <v>5111</v>
      </c>
      <c r="D9988" t="s">
        <v>3246</v>
      </c>
      <c r="E9988" t="s">
        <v>561</v>
      </c>
      <c r="F9988" t="s">
        <v>1068</v>
      </c>
      <c r="G9988" t="s">
        <v>1083</v>
      </c>
      <c r="H9988" s="171" t="s">
        <v>6276</v>
      </c>
      <c r="I9988" t="s">
        <v>1084</v>
      </c>
      <c r="J9988">
        <v>12.84</v>
      </c>
    </row>
    <row r="9989" spans="1:10" hidden="1">
      <c r="A9989" t="s">
        <v>6270</v>
      </c>
      <c r="B9989" t="s">
        <v>6271</v>
      </c>
      <c r="C9989" t="s">
        <v>5111</v>
      </c>
      <c r="D9989" t="s">
        <v>3246</v>
      </c>
      <c r="E9989" t="s">
        <v>561</v>
      </c>
      <c r="F9989" t="s">
        <v>1068</v>
      </c>
      <c r="G9989" t="s">
        <v>1085</v>
      </c>
      <c r="H9989">
        <v>1.4590358054304101E-4</v>
      </c>
      <c r="I9989" t="s">
        <v>1086</v>
      </c>
      <c r="J9989">
        <v>12.84</v>
      </c>
    </row>
    <row r="9990" spans="1:10" hidden="1">
      <c r="A9990" t="s">
        <v>6270</v>
      </c>
      <c r="B9990" t="s">
        <v>6271</v>
      </c>
      <c r="C9990" t="s">
        <v>5111</v>
      </c>
      <c r="D9990" t="s">
        <v>3246</v>
      </c>
      <c r="E9990" t="s">
        <v>561</v>
      </c>
      <c r="F9990" t="s">
        <v>1068</v>
      </c>
      <c r="G9990" t="s">
        <v>1087</v>
      </c>
      <c r="H9990" s="171" t="s">
        <v>6277</v>
      </c>
      <c r="I9990" t="s">
        <v>1088</v>
      </c>
      <c r="J9990">
        <v>12.84</v>
      </c>
    </row>
    <row r="9991" spans="1:10" hidden="1">
      <c r="A9991" t="s">
        <v>6270</v>
      </c>
      <c r="B9991" t="s">
        <v>6271</v>
      </c>
      <c r="C9991" t="s">
        <v>5111</v>
      </c>
      <c r="D9991" t="s">
        <v>3246</v>
      </c>
      <c r="E9991" t="s">
        <v>561</v>
      </c>
      <c r="F9991" t="s">
        <v>1068</v>
      </c>
      <c r="G9991" t="s">
        <v>1089</v>
      </c>
      <c r="H9991" s="171" t="s">
        <v>6278</v>
      </c>
      <c r="I9991" t="s">
        <v>1090</v>
      </c>
      <c r="J9991">
        <v>12.84</v>
      </c>
    </row>
    <row r="9992" spans="1:10" hidden="1">
      <c r="A9992" t="s">
        <v>6279</v>
      </c>
      <c r="B9992" t="s">
        <v>6280</v>
      </c>
      <c r="C9992" t="s">
        <v>5111</v>
      </c>
      <c r="D9992" t="s">
        <v>3246</v>
      </c>
      <c r="E9992" t="s">
        <v>555</v>
      </c>
      <c r="F9992" t="s">
        <v>1068</v>
      </c>
      <c r="G9992" t="s">
        <v>1069</v>
      </c>
      <c r="H9992" s="171" t="s">
        <v>6281</v>
      </c>
      <c r="I9992" t="s">
        <v>1070</v>
      </c>
      <c r="J9992">
        <v>10.35</v>
      </c>
    </row>
    <row r="9993" spans="1:10" hidden="1">
      <c r="A9993" t="s">
        <v>6279</v>
      </c>
      <c r="B9993" t="s">
        <v>6280</v>
      </c>
      <c r="C9993" t="s">
        <v>5111</v>
      </c>
      <c r="D9993" t="s">
        <v>3246</v>
      </c>
      <c r="E9993" t="s">
        <v>555</v>
      </c>
      <c r="F9993" t="s">
        <v>1068</v>
      </c>
      <c r="G9993" t="s">
        <v>1071</v>
      </c>
      <c r="H9993" s="171" t="s">
        <v>6282</v>
      </c>
      <c r="I9993" t="s">
        <v>1072</v>
      </c>
      <c r="J9993">
        <v>10.35</v>
      </c>
    </row>
    <row r="9994" spans="1:10" hidden="1">
      <c r="A9994" t="s">
        <v>6279</v>
      </c>
      <c r="B9994" t="s">
        <v>6280</v>
      </c>
      <c r="C9994" t="s">
        <v>5111</v>
      </c>
      <c r="D9994" t="s">
        <v>3246</v>
      </c>
      <c r="E9994" t="s">
        <v>555</v>
      </c>
      <c r="F9994" t="s">
        <v>1068</v>
      </c>
      <c r="G9994" t="s">
        <v>1073</v>
      </c>
      <c r="H9994" s="171" t="s">
        <v>6283</v>
      </c>
      <c r="I9994" t="s">
        <v>1074</v>
      </c>
      <c r="J9994">
        <v>10.35</v>
      </c>
    </row>
    <row r="9995" spans="1:10" hidden="1">
      <c r="A9995" t="s">
        <v>6279</v>
      </c>
      <c r="B9995" t="s">
        <v>6280</v>
      </c>
      <c r="C9995" t="s">
        <v>5111</v>
      </c>
      <c r="D9995" t="s">
        <v>3246</v>
      </c>
      <c r="E9995" t="s">
        <v>555</v>
      </c>
      <c r="F9995" t="s">
        <v>1068</v>
      </c>
      <c r="G9995" t="s">
        <v>1075</v>
      </c>
      <c r="H9995">
        <v>4.06607884726253E-3</v>
      </c>
      <c r="I9995" t="s">
        <v>1077</v>
      </c>
      <c r="J9995">
        <v>10.35</v>
      </c>
    </row>
    <row r="9996" spans="1:10" hidden="1">
      <c r="A9996" t="s">
        <v>6279</v>
      </c>
      <c r="B9996" t="s">
        <v>6280</v>
      </c>
      <c r="C9996" t="s">
        <v>5111</v>
      </c>
      <c r="D9996" t="s">
        <v>3246</v>
      </c>
      <c r="E9996" t="s">
        <v>555</v>
      </c>
      <c r="F9996" t="s">
        <v>1068</v>
      </c>
      <c r="G9996" t="s">
        <v>1078</v>
      </c>
      <c r="H9996">
        <v>4.0984842545202502E-2</v>
      </c>
      <c r="I9996" t="s">
        <v>1079</v>
      </c>
      <c r="J9996">
        <v>10.35</v>
      </c>
    </row>
    <row r="9997" spans="1:10" hidden="1">
      <c r="A9997" t="s">
        <v>6279</v>
      </c>
      <c r="B9997" t="s">
        <v>6280</v>
      </c>
      <c r="C9997" t="s">
        <v>5111</v>
      </c>
      <c r="D9997" t="s">
        <v>3246</v>
      </c>
      <c r="E9997" t="s">
        <v>555</v>
      </c>
      <c r="F9997" t="s">
        <v>1068</v>
      </c>
      <c r="G9997" t="s">
        <v>1080</v>
      </c>
      <c r="H9997" s="171" t="s">
        <v>5126</v>
      </c>
      <c r="I9997" t="s">
        <v>1082</v>
      </c>
      <c r="J9997">
        <v>10.35</v>
      </c>
    </row>
    <row r="9998" spans="1:10" hidden="1">
      <c r="A9998" t="s">
        <v>6279</v>
      </c>
      <c r="B9998" t="s">
        <v>6280</v>
      </c>
      <c r="C9998" t="s">
        <v>5111</v>
      </c>
      <c r="D9998" t="s">
        <v>3246</v>
      </c>
      <c r="E9998" t="s">
        <v>555</v>
      </c>
      <c r="F9998" t="s">
        <v>1068</v>
      </c>
      <c r="G9998" t="s">
        <v>1083</v>
      </c>
      <c r="H9998" s="171" t="s">
        <v>5127</v>
      </c>
      <c r="I9998" t="s">
        <v>1084</v>
      </c>
      <c r="J9998">
        <v>10.35</v>
      </c>
    </row>
    <row r="9999" spans="1:10" hidden="1">
      <c r="A9999" t="s">
        <v>6279</v>
      </c>
      <c r="B9999" t="s">
        <v>6280</v>
      </c>
      <c r="C9999" t="s">
        <v>5111</v>
      </c>
      <c r="D9999" t="s">
        <v>3246</v>
      </c>
      <c r="E9999" t="s">
        <v>555</v>
      </c>
      <c r="F9999" t="s">
        <v>1068</v>
      </c>
      <c r="G9999" t="s">
        <v>1085</v>
      </c>
      <c r="H9999">
        <v>1.4487813943021201E-4</v>
      </c>
      <c r="I9999" t="s">
        <v>1086</v>
      </c>
      <c r="J9999">
        <v>10.35</v>
      </c>
    </row>
    <row r="10000" spans="1:10" hidden="1">
      <c r="A10000" t="s">
        <v>6279</v>
      </c>
      <c r="B10000" t="s">
        <v>6280</v>
      </c>
      <c r="C10000" t="s">
        <v>5111</v>
      </c>
      <c r="D10000" t="s">
        <v>3246</v>
      </c>
      <c r="E10000" t="s">
        <v>555</v>
      </c>
      <c r="F10000" t="s">
        <v>1068</v>
      </c>
      <c r="G10000" t="s">
        <v>1087</v>
      </c>
      <c r="H10000" s="171" t="s">
        <v>6284</v>
      </c>
      <c r="I10000" t="s">
        <v>1088</v>
      </c>
      <c r="J10000">
        <v>10.35</v>
      </c>
    </row>
    <row r="10001" spans="1:10" hidden="1">
      <c r="A10001" t="s">
        <v>6279</v>
      </c>
      <c r="B10001" t="s">
        <v>6280</v>
      </c>
      <c r="C10001" t="s">
        <v>5111</v>
      </c>
      <c r="D10001" t="s">
        <v>3246</v>
      </c>
      <c r="E10001" t="s">
        <v>555</v>
      </c>
      <c r="F10001" t="s">
        <v>1068</v>
      </c>
      <c r="G10001" t="s">
        <v>1089</v>
      </c>
      <c r="H10001" s="171" t="s">
        <v>6285</v>
      </c>
      <c r="I10001" t="s">
        <v>1090</v>
      </c>
      <c r="J10001">
        <v>10.35</v>
      </c>
    </row>
    <row r="10002" spans="1:10" hidden="1">
      <c r="A10002" t="s">
        <v>6286</v>
      </c>
      <c r="B10002" t="s">
        <v>6287</v>
      </c>
      <c r="C10002" t="s">
        <v>5111</v>
      </c>
      <c r="D10002" t="s">
        <v>3246</v>
      </c>
      <c r="E10002" t="s">
        <v>558</v>
      </c>
      <c r="F10002" t="s">
        <v>1068</v>
      </c>
      <c r="G10002" t="s">
        <v>1069</v>
      </c>
      <c r="H10002" s="171" t="s">
        <v>6288</v>
      </c>
      <c r="I10002" t="s">
        <v>1070</v>
      </c>
      <c r="J10002">
        <v>10.48</v>
      </c>
    </row>
    <row r="10003" spans="1:10" hidden="1">
      <c r="A10003" t="s">
        <v>6286</v>
      </c>
      <c r="B10003" t="s">
        <v>6287</v>
      </c>
      <c r="C10003" t="s">
        <v>5111</v>
      </c>
      <c r="D10003" t="s">
        <v>3246</v>
      </c>
      <c r="E10003" t="s">
        <v>558</v>
      </c>
      <c r="F10003" t="s">
        <v>1068</v>
      </c>
      <c r="G10003" t="s">
        <v>1071</v>
      </c>
      <c r="H10003" s="171" t="s">
        <v>6289</v>
      </c>
      <c r="I10003" t="s">
        <v>1072</v>
      </c>
      <c r="J10003">
        <v>10.48</v>
      </c>
    </row>
    <row r="10004" spans="1:10" hidden="1">
      <c r="A10004" t="s">
        <v>6286</v>
      </c>
      <c r="B10004" t="s">
        <v>6287</v>
      </c>
      <c r="C10004" t="s">
        <v>5111</v>
      </c>
      <c r="D10004" t="s">
        <v>3246</v>
      </c>
      <c r="E10004" t="s">
        <v>558</v>
      </c>
      <c r="F10004" t="s">
        <v>1068</v>
      </c>
      <c r="G10004" t="s">
        <v>1073</v>
      </c>
      <c r="H10004" s="171" t="s">
        <v>6290</v>
      </c>
      <c r="I10004" t="s">
        <v>1074</v>
      </c>
      <c r="J10004">
        <v>10.48</v>
      </c>
    </row>
    <row r="10005" spans="1:10" hidden="1">
      <c r="A10005" t="s">
        <v>6286</v>
      </c>
      <c r="B10005" t="s">
        <v>6287</v>
      </c>
      <c r="C10005" t="s">
        <v>5111</v>
      </c>
      <c r="D10005" t="s">
        <v>3246</v>
      </c>
      <c r="E10005" t="s">
        <v>558</v>
      </c>
      <c r="F10005" t="s">
        <v>1068</v>
      </c>
      <c r="G10005" t="s">
        <v>1075</v>
      </c>
      <c r="H10005">
        <v>4.0866207560361903E-3</v>
      </c>
      <c r="I10005" t="s">
        <v>1077</v>
      </c>
      <c r="J10005">
        <v>10.48</v>
      </c>
    </row>
    <row r="10006" spans="1:10" hidden="1">
      <c r="A10006" t="s">
        <v>6286</v>
      </c>
      <c r="B10006" t="s">
        <v>6287</v>
      </c>
      <c r="C10006" t="s">
        <v>5111</v>
      </c>
      <c r="D10006" t="s">
        <v>3246</v>
      </c>
      <c r="E10006" t="s">
        <v>558</v>
      </c>
      <c r="F10006" t="s">
        <v>1068</v>
      </c>
      <c r="G10006" t="s">
        <v>1078</v>
      </c>
      <c r="H10006">
        <v>4.1873157686421497E-2</v>
      </c>
      <c r="I10006" t="s">
        <v>1079</v>
      </c>
      <c r="J10006">
        <v>10.48</v>
      </c>
    </row>
    <row r="10007" spans="1:10" hidden="1">
      <c r="A10007" t="s">
        <v>6286</v>
      </c>
      <c r="B10007" t="s">
        <v>6287</v>
      </c>
      <c r="C10007" t="s">
        <v>5111</v>
      </c>
      <c r="D10007" t="s">
        <v>3246</v>
      </c>
      <c r="E10007" t="s">
        <v>558</v>
      </c>
      <c r="F10007" t="s">
        <v>1068</v>
      </c>
      <c r="G10007" t="s">
        <v>1080</v>
      </c>
      <c r="H10007" s="171" t="s">
        <v>6291</v>
      </c>
      <c r="I10007" t="s">
        <v>1082</v>
      </c>
      <c r="J10007">
        <v>10.48</v>
      </c>
    </row>
    <row r="10008" spans="1:10" hidden="1">
      <c r="A10008" t="s">
        <v>6286</v>
      </c>
      <c r="B10008" t="s">
        <v>6287</v>
      </c>
      <c r="C10008" t="s">
        <v>5111</v>
      </c>
      <c r="D10008" t="s">
        <v>3246</v>
      </c>
      <c r="E10008" t="s">
        <v>558</v>
      </c>
      <c r="F10008" t="s">
        <v>1068</v>
      </c>
      <c r="G10008" t="s">
        <v>1083</v>
      </c>
      <c r="H10008" s="171" t="s">
        <v>6292</v>
      </c>
      <c r="I10008" t="s">
        <v>1084</v>
      </c>
      <c r="J10008">
        <v>10.48</v>
      </c>
    </row>
    <row r="10009" spans="1:10" hidden="1">
      <c r="A10009" t="s">
        <v>6286</v>
      </c>
      <c r="B10009" t="s">
        <v>6287</v>
      </c>
      <c r="C10009" t="s">
        <v>5111</v>
      </c>
      <c r="D10009" t="s">
        <v>3246</v>
      </c>
      <c r="E10009" t="s">
        <v>558</v>
      </c>
      <c r="F10009" t="s">
        <v>1068</v>
      </c>
      <c r="G10009" t="s">
        <v>1085</v>
      </c>
      <c r="H10009">
        <v>1.4599450153186301E-4</v>
      </c>
      <c r="I10009" t="s">
        <v>1086</v>
      </c>
      <c r="J10009">
        <v>10.48</v>
      </c>
    </row>
    <row r="10010" spans="1:10" hidden="1">
      <c r="A10010" t="s">
        <v>6286</v>
      </c>
      <c r="B10010" t="s">
        <v>6287</v>
      </c>
      <c r="C10010" t="s">
        <v>5111</v>
      </c>
      <c r="D10010" t="s">
        <v>3246</v>
      </c>
      <c r="E10010" t="s">
        <v>558</v>
      </c>
      <c r="F10010" t="s">
        <v>1068</v>
      </c>
      <c r="G10010" t="s">
        <v>1087</v>
      </c>
      <c r="H10010" s="171" t="s">
        <v>6293</v>
      </c>
      <c r="I10010" t="s">
        <v>1088</v>
      </c>
      <c r="J10010">
        <v>10.48</v>
      </c>
    </row>
    <row r="10011" spans="1:10" hidden="1">
      <c r="A10011" t="s">
        <v>6286</v>
      </c>
      <c r="B10011" t="s">
        <v>6287</v>
      </c>
      <c r="C10011" t="s">
        <v>5111</v>
      </c>
      <c r="D10011" t="s">
        <v>3246</v>
      </c>
      <c r="E10011" t="s">
        <v>558</v>
      </c>
      <c r="F10011" t="s">
        <v>1068</v>
      </c>
      <c r="G10011" t="s">
        <v>1089</v>
      </c>
      <c r="H10011" s="171" t="s">
        <v>5680</v>
      </c>
      <c r="I10011" t="s">
        <v>1090</v>
      </c>
      <c r="J10011">
        <v>10.48</v>
      </c>
    </row>
    <row r="10012" spans="1:10" hidden="1">
      <c r="A10012" t="s">
        <v>6294</v>
      </c>
      <c r="B10012" t="s">
        <v>6295</v>
      </c>
      <c r="C10012" t="s">
        <v>5111</v>
      </c>
      <c r="D10012" t="s">
        <v>3246</v>
      </c>
      <c r="E10012" t="s">
        <v>553</v>
      </c>
      <c r="F10012" t="s">
        <v>1068</v>
      </c>
      <c r="G10012" t="s">
        <v>1069</v>
      </c>
      <c r="H10012" s="171" t="s">
        <v>6296</v>
      </c>
      <c r="I10012" t="s">
        <v>1070</v>
      </c>
      <c r="J10012">
        <v>25.01</v>
      </c>
    </row>
    <row r="10013" spans="1:10" hidden="1">
      <c r="A10013" t="s">
        <v>6294</v>
      </c>
      <c r="B10013" t="s">
        <v>6295</v>
      </c>
      <c r="C10013" t="s">
        <v>5111</v>
      </c>
      <c r="D10013" t="s">
        <v>3246</v>
      </c>
      <c r="E10013" t="s">
        <v>553</v>
      </c>
      <c r="F10013" t="s">
        <v>1068</v>
      </c>
      <c r="G10013" t="s">
        <v>1071</v>
      </c>
      <c r="H10013" s="171" t="s">
        <v>6297</v>
      </c>
      <c r="I10013" t="s">
        <v>1072</v>
      </c>
      <c r="J10013">
        <v>25.02</v>
      </c>
    </row>
    <row r="10014" spans="1:10" hidden="1">
      <c r="A10014" t="s">
        <v>6294</v>
      </c>
      <c r="B10014" t="s">
        <v>6295</v>
      </c>
      <c r="C10014" t="s">
        <v>5111</v>
      </c>
      <c r="D10014" t="s">
        <v>3246</v>
      </c>
      <c r="E10014" t="s">
        <v>553</v>
      </c>
      <c r="F10014" t="s">
        <v>1068</v>
      </c>
      <c r="G10014" t="s">
        <v>1073</v>
      </c>
      <c r="H10014" s="171" t="s">
        <v>6298</v>
      </c>
      <c r="I10014" t="s">
        <v>1074</v>
      </c>
      <c r="J10014">
        <v>25.02</v>
      </c>
    </row>
    <row r="10015" spans="1:10" hidden="1">
      <c r="A10015" t="s">
        <v>6294</v>
      </c>
      <c r="B10015" t="s">
        <v>6295</v>
      </c>
      <c r="C10015" t="s">
        <v>5111</v>
      </c>
      <c r="D10015" t="s">
        <v>3246</v>
      </c>
      <c r="E10015" t="s">
        <v>553</v>
      </c>
      <c r="F10015" t="s">
        <v>1068</v>
      </c>
      <c r="G10015" t="s">
        <v>1075</v>
      </c>
      <c r="H10015">
        <v>4.0882824430002697E-3</v>
      </c>
      <c r="I10015" t="s">
        <v>1077</v>
      </c>
      <c r="J10015">
        <v>25.02</v>
      </c>
    </row>
    <row r="10016" spans="1:10" hidden="1">
      <c r="A10016" t="s">
        <v>6294</v>
      </c>
      <c r="B10016" t="s">
        <v>6295</v>
      </c>
      <c r="C10016" t="s">
        <v>5111</v>
      </c>
      <c r="D10016" t="s">
        <v>3246</v>
      </c>
      <c r="E10016" t="s">
        <v>553</v>
      </c>
      <c r="F10016" t="s">
        <v>1068</v>
      </c>
      <c r="G10016" t="s">
        <v>1078</v>
      </c>
      <c r="H10016">
        <v>4.1945011672943601E-2</v>
      </c>
      <c r="I10016" t="s">
        <v>1079</v>
      </c>
      <c r="J10016">
        <v>25.02</v>
      </c>
    </row>
    <row r="10017" spans="1:10" hidden="1">
      <c r="A10017" t="s">
        <v>6294</v>
      </c>
      <c r="B10017" t="s">
        <v>6295</v>
      </c>
      <c r="C10017" t="s">
        <v>5111</v>
      </c>
      <c r="D10017" t="s">
        <v>3246</v>
      </c>
      <c r="E10017" t="s">
        <v>553</v>
      </c>
      <c r="F10017" t="s">
        <v>1068</v>
      </c>
      <c r="G10017" t="s">
        <v>1080</v>
      </c>
      <c r="H10017" s="171" t="s">
        <v>6299</v>
      </c>
      <c r="I10017" t="s">
        <v>1082</v>
      </c>
      <c r="J10017">
        <v>25.02</v>
      </c>
    </row>
    <row r="10018" spans="1:10" hidden="1">
      <c r="A10018" t="s">
        <v>6294</v>
      </c>
      <c r="B10018" t="s">
        <v>6295</v>
      </c>
      <c r="C10018" t="s">
        <v>5111</v>
      </c>
      <c r="D10018" t="s">
        <v>3246</v>
      </c>
      <c r="E10018" t="s">
        <v>553</v>
      </c>
      <c r="F10018" t="s">
        <v>1068</v>
      </c>
      <c r="G10018" t="s">
        <v>1083</v>
      </c>
      <c r="H10018" s="171" t="s">
        <v>6300</v>
      </c>
      <c r="I10018" t="s">
        <v>1084</v>
      </c>
      <c r="J10018">
        <v>25.02</v>
      </c>
    </row>
    <row r="10019" spans="1:10" hidden="1">
      <c r="A10019" t="s">
        <v>6294</v>
      </c>
      <c r="B10019" t="s">
        <v>6295</v>
      </c>
      <c r="C10019" t="s">
        <v>5111</v>
      </c>
      <c r="D10019" t="s">
        <v>3246</v>
      </c>
      <c r="E10019" t="s">
        <v>553</v>
      </c>
      <c r="F10019" t="s">
        <v>1068</v>
      </c>
      <c r="G10019" t="s">
        <v>1085</v>
      </c>
      <c r="H10019">
        <v>1.46084802485461E-4</v>
      </c>
      <c r="I10019" t="s">
        <v>1086</v>
      </c>
      <c r="J10019">
        <v>25.02</v>
      </c>
    </row>
    <row r="10020" spans="1:10" hidden="1">
      <c r="A10020" t="s">
        <v>6294</v>
      </c>
      <c r="B10020" t="s">
        <v>6295</v>
      </c>
      <c r="C10020" t="s">
        <v>5111</v>
      </c>
      <c r="D10020" t="s">
        <v>3246</v>
      </c>
      <c r="E10020" t="s">
        <v>553</v>
      </c>
      <c r="F10020" t="s">
        <v>1068</v>
      </c>
      <c r="G10020" t="s">
        <v>1087</v>
      </c>
      <c r="H10020" s="171" t="s">
        <v>6301</v>
      </c>
      <c r="I10020" t="s">
        <v>1088</v>
      </c>
      <c r="J10020">
        <v>25.02</v>
      </c>
    </row>
    <row r="10021" spans="1:10" hidden="1">
      <c r="A10021" t="s">
        <v>6294</v>
      </c>
      <c r="B10021" t="s">
        <v>6295</v>
      </c>
      <c r="C10021" t="s">
        <v>5111</v>
      </c>
      <c r="D10021" t="s">
        <v>3246</v>
      </c>
      <c r="E10021" t="s">
        <v>553</v>
      </c>
      <c r="F10021" t="s">
        <v>1068</v>
      </c>
      <c r="G10021" t="s">
        <v>1089</v>
      </c>
      <c r="H10021" s="171" t="s">
        <v>6302</v>
      </c>
      <c r="I10021" t="s">
        <v>1090</v>
      </c>
      <c r="J10021">
        <v>25.02</v>
      </c>
    </row>
    <row r="10022" spans="1:10" hidden="1">
      <c r="A10022" t="s">
        <v>6303</v>
      </c>
      <c r="B10022" t="s">
        <v>6304</v>
      </c>
      <c r="C10022" t="s">
        <v>5111</v>
      </c>
      <c r="D10022" t="s">
        <v>3246</v>
      </c>
      <c r="E10022" t="s">
        <v>556</v>
      </c>
      <c r="F10022" t="s">
        <v>1068</v>
      </c>
      <c r="G10022" t="s">
        <v>1069</v>
      </c>
      <c r="H10022" s="171" t="s">
        <v>6305</v>
      </c>
      <c r="I10022" t="s">
        <v>1070</v>
      </c>
      <c r="J10022">
        <v>21.25</v>
      </c>
    </row>
    <row r="10023" spans="1:10" hidden="1">
      <c r="A10023" t="s">
        <v>6303</v>
      </c>
      <c r="B10023" t="s">
        <v>6304</v>
      </c>
      <c r="C10023" t="s">
        <v>5111</v>
      </c>
      <c r="D10023" t="s">
        <v>3246</v>
      </c>
      <c r="E10023" t="s">
        <v>556</v>
      </c>
      <c r="F10023" t="s">
        <v>1068</v>
      </c>
      <c r="G10023" t="s">
        <v>1071</v>
      </c>
      <c r="H10023" s="171" t="s">
        <v>6306</v>
      </c>
      <c r="I10023" t="s">
        <v>1072</v>
      </c>
      <c r="J10023">
        <v>21.25</v>
      </c>
    </row>
    <row r="10024" spans="1:10" hidden="1">
      <c r="A10024" t="s">
        <v>6303</v>
      </c>
      <c r="B10024" t="s">
        <v>6304</v>
      </c>
      <c r="C10024" t="s">
        <v>5111</v>
      </c>
      <c r="D10024" t="s">
        <v>3246</v>
      </c>
      <c r="E10024" t="s">
        <v>556</v>
      </c>
      <c r="F10024" t="s">
        <v>1068</v>
      </c>
      <c r="G10024" t="s">
        <v>1073</v>
      </c>
      <c r="H10024" s="171" t="s">
        <v>6307</v>
      </c>
      <c r="I10024" t="s">
        <v>1074</v>
      </c>
      <c r="J10024">
        <v>21.25</v>
      </c>
    </row>
    <row r="10025" spans="1:10" hidden="1">
      <c r="A10025" t="s">
        <v>6303</v>
      </c>
      <c r="B10025" t="s">
        <v>6304</v>
      </c>
      <c r="C10025" t="s">
        <v>5111</v>
      </c>
      <c r="D10025" t="s">
        <v>3246</v>
      </c>
      <c r="E10025" t="s">
        <v>556</v>
      </c>
      <c r="F10025" t="s">
        <v>1068</v>
      </c>
      <c r="G10025" t="s">
        <v>1075</v>
      </c>
      <c r="H10025">
        <v>4.0681658131419699E-3</v>
      </c>
      <c r="I10025" t="s">
        <v>1077</v>
      </c>
      <c r="J10025">
        <v>21.25</v>
      </c>
    </row>
    <row r="10026" spans="1:10" hidden="1">
      <c r="A10026" t="s">
        <v>6303</v>
      </c>
      <c r="B10026" t="s">
        <v>6304</v>
      </c>
      <c r="C10026" t="s">
        <v>5111</v>
      </c>
      <c r="D10026" t="s">
        <v>3246</v>
      </c>
      <c r="E10026" t="s">
        <v>556</v>
      </c>
      <c r="F10026" t="s">
        <v>1068</v>
      </c>
      <c r="G10026" t="s">
        <v>1078</v>
      </c>
      <c r="H10026">
        <v>4.1075091000055998E-2</v>
      </c>
      <c r="I10026" t="s">
        <v>1079</v>
      </c>
      <c r="J10026">
        <v>21.25</v>
      </c>
    </row>
    <row r="10027" spans="1:10" hidden="1">
      <c r="A10027" t="s">
        <v>6303</v>
      </c>
      <c r="B10027" t="s">
        <v>6304</v>
      </c>
      <c r="C10027" t="s">
        <v>5111</v>
      </c>
      <c r="D10027" t="s">
        <v>3246</v>
      </c>
      <c r="E10027" t="s">
        <v>556</v>
      </c>
      <c r="F10027" t="s">
        <v>1068</v>
      </c>
      <c r="G10027" t="s">
        <v>1080</v>
      </c>
      <c r="H10027" s="171" t="s">
        <v>5522</v>
      </c>
      <c r="I10027" t="s">
        <v>1082</v>
      </c>
      <c r="J10027">
        <v>21.25</v>
      </c>
    </row>
    <row r="10028" spans="1:10" hidden="1">
      <c r="A10028" t="s">
        <v>6303</v>
      </c>
      <c r="B10028" t="s">
        <v>6304</v>
      </c>
      <c r="C10028" t="s">
        <v>5111</v>
      </c>
      <c r="D10028" t="s">
        <v>3246</v>
      </c>
      <c r="E10028" t="s">
        <v>556</v>
      </c>
      <c r="F10028" t="s">
        <v>1068</v>
      </c>
      <c r="G10028" t="s">
        <v>1083</v>
      </c>
      <c r="H10028" s="171" t="s">
        <v>5523</v>
      </c>
      <c r="I10028" t="s">
        <v>1084</v>
      </c>
      <c r="J10028">
        <v>21.25</v>
      </c>
    </row>
    <row r="10029" spans="1:10" hidden="1">
      <c r="A10029" t="s">
        <v>6303</v>
      </c>
      <c r="B10029" t="s">
        <v>6304</v>
      </c>
      <c r="C10029" t="s">
        <v>5111</v>
      </c>
      <c r="D10029" t="s">
        <v>3246</v>
      </c>
      <c r="E10029" t="s">
        <v>556</v>
      </c>
      <c r="F10029" t="s">
        <v>1068</v>
      </c>
      <c r="G10029" t="s">
        <v>1085</v>
      </c>
      <c r="H10029">
        <v>1.4499155640345301E-4</v>
      </c>
      <c r="I10029" t="s">
        <v>1086</v>
      </c>
      <c r="J10029">
        <v>21.25</v>
      </c>
    </row>
    <row r="10030" spans="1:10" hidden="1">
      <c r="A10030" t="s">
        <v>6303</v>
      </c>
      <c r="B10030" t="s">
        <v>6304</v>
      </c>
      <c r="C10030" t="s">
        <v>5111</v>
      </c>
      <c r="D10030" t="s">
        <v>3246</v>
      </c>
      <c r="E10030" t="s">
        <v>556</v>
      </c>
      <c r="F10030" t="s">
        <v>1068</v>
      </c>
      <c r="G10030" t="s">
        <v>1087</v>
      </c>
      <c r="H10030" s="171" t="s">
        <v>6308</v>
      </c>
      <c r="I10030" t="s">
        <v>1088</v>
      </c>
      <c r="J10030">
        <v>21.25</v>
      </c>
    </row>
    <row r="10031" spans="1:10" hidden="1">
      <c r="A10031" t="s">
        <v>6303</v>
      </c>
      <c r="B10031" t="s">
        <v>6304</v>
      </c>
      <c r="C10031" t="s">
        <v>5111</v>
      </c>
      <c r="D10031" t="s">
        <v>3246</v>
      </c>
      <c r="E10031" t="s">
        <v>556</v>
      </c>
      <c r="F10031" t="s">
        <v>1068</v>
      </c>
      <c r="G10031" t="s">
        <v>1089</v>
      </c>
      <c r="H10031" s="171" t="s">
        <v>6309</v>
      </c>
      <c r="I10031" t="s">
        <v>1090</v>
      </c>
      <c r="J10031">
        <v>21.25</v>
      </c>
    </row>
    <row r="10032" spans="1:10" hidden="1">
      <c r="A10032" t="s">
        <v>6310</v>
      </c>
      <c r="B10032" s="170" t="s">
        <v>6311</v>
      </c>
      <c r="C10032" t="s">
        <v>5111</v>
      </c>
      <c r="D10032" t="s">
        <v>3246</v>
      </c>
      <c r="E10032" t="s">
        <v>557</v>
      </c>
      <c r="F10032" t="s">
        <v>1068</v>
      </c>
      <c r="G10032" t="s">
        <v>1069</v>
      </c>
      <c r="H10032" s="171" t="s">
        <v>6312</v>
      </c>
      <c r="I10032" t="s">
        <v>1070</v>
      </c>
      <c r="J10032">
        <v>13.53</v>
      </c>
    </row>
    <row r="10033" spans="1:10" hidden="1">
      <c r="A10033" t="s">
        <v>6310</v>
      </c>
      <c r="B10033" s="170" t="s">
        <v>6311</v>
      </c>
      <c r="C10033" t="s">
        <v>5111</v>
      </c>
      <c r="D10033" t="s">
        <v>3246</v>
      </c>
      <c r="E10033" t="s">
        <v>557</v>
      </c>
      <c r="F10033" t="s">
        <v>1068</v>
      </c>
      <c r="G10033" t="s">
        <v>1071</v>
      </c>
      <c r="H10033" s="171" t="s">
        <v>6313</v>
      </c>
      <c r="I10033" t="s">
        <v>1072</v>
      </c>
      <c r="J10033">
        <v>13.53</v>
      </c>
    </row>
    <row r="10034" spans="1:10" hidden="1">
      <c r="A10034" t="s">
        <v>6310</v>
      </c>
      <c r="B10034" s="170" t="s">
        <v>6311</v>
      </c>
      <c r="C10034" t="s">
        <v>5111</v>
      </c>
      <c r="D10034" t="s">
        <v>3246</v>
      </c>
      <c r="E10034" t="s">
        <v>557</v>
      </c>
      <c r="F10034" t="s">
        <v>1068</v>
      </c>
      <c r="G10034" t="s">
        <v>1073</v>
      </c>
      <c r="H10034" s="171" t="s">
        <v>6314</v>
      </c>
      <c r="I10034" t="s">
        <v>1074</v>
      </c>
      <c r="J10034">
        <v>13.53</v>
      </c>
    </row>
    <row r="10035" spans="1:10" hidden="1">
      <c r="A10035" t="s">
        <v>6310</v>
      </c>
      <c r="B10035" s="170" t="s">
        <v>6311</v>
      </c>
      <c r="C10035" t="s">
        <v>5111</v>
      </c>
      <c r="D10035" t="s">
        <v>3246</v>
      </c>
      <c r="E10035" t="s">
        <v>557</v>
      </c>
      <c r="F10035" t="s">
        <v>1068</v>
      </c>
      <c r="G10035" t="s">
        <v>1075</v>
      </c>
      <c r="H10035">
        <v>4.0797104510546696E-3</v>
      </c>
      <c r="I10035" t="s">
        <v>1077</v>
      </c>
      <c r="J10035">
        <v>13.53</v>
      </c>
    </row>
    <row r="10036" spans="1:10" hidden="1">
      <c r="A10036" t="s">
        <v>6310</v>
      </c>
      <c r="B10036" s="170" t="s">
        <v>6311</v>
      </c>
      <c r="C10036" t="s">
        <v>5111</v>
      </c>
      <c r="D10036" t="s">
        <v>3246</v>
      </c>
      <c r="E10036" t="s">
        <v>557</v>
      </c>
      <c r="F10036" t="s">
        <v>1068</v>
      </c>
      <c r="G10036" t="s">
        <v>1078</v>
      </c>
      <c r="H10036">
        <v>4.1574329443250999E-2</v>
      </c>
      <c r="I10036" t="s">
        <v>1079</v>
      </c>
      <c r="J10036">
        <v>13.53</v>
      </c>
    </row>
    <row r="10037" spans="1:10" hidden="1">
      <c r="A10037" t="s">
        <v>6310</v>
      </c>
      <c r="B10037" s="170" t="s">
        <v>6311</v>
      </c>
      <c r="C10037" t="s">
        <v>5111</v>
      </c>
      <c r="D10037" t="s">
        <v>3246</v>
      </c>
      <c r="E10037" t="s">
        <v>557</v>
      </c>
      <c r="F10037" t="s">
        <v>1068</v>
      </c>
      <c r="G10037" t="s">
        <v>1080</v>
      </c>
      <c r="H10037" s="171" t="s">
        <v>5530</v>
      </c>
      <c r="I10037" t="s">
        <v>1082</v>
      </c>
      <c r="J10037">
        <v>13.53</v>
      </c>
    </row>
    <row r="10038" spans="1:10" hidden="1">
      <c r="A10038" t="s">
        <v>6310</v>
      </c>
      <c r="B10038" s="170" t="s">
        <v>6311</v>
      </c>
      <c r="C10038" t="s">
        <v>5111</v>
      </c>
      <c r="D10038" t="s">
        <v>3246</v>
      </c>
      <c r="E10038" t="s">
        <v>557</v>
      </c>
      <c r="F10038" t="s">
        <v>1068</v>
      </c>
      <c r="G10038" t="s">
        <v>1083</v>
      </c>
      <c r="H10038" s="171" t="s">
        <v>6315</v>
      </c>
      <c r="I10038" t="s">
        <v>1084</v>
      </c>
      <c r="J10038">
        <v>13.53</v>
      </c>
    </row>
    <row r="10039" spans="1:10" hidden="1">
      <c r="A10039" t="s">
        <v>6310</v>
      </c>
      <c r="B10039" s="170" t="s">
        <v>6311</v>
      </c>
      <c r="C10039" t="s">
        <v>5111</v>
      </c>
      <c r="D10039" t="s">
        <v>3246</v>
      </c>
      <c r="E10039" t="s">
        <v>557</v>
      </c>
      <c r="F10039" t="s">
        <v>1068</v>
      </c>
      <c r="G10039" t="s">
        <v>1085</v>
      </c>
      <c r="H10039">
        <v>1.45618958317148E-4</v>
      </c>
      <c r="I10039" t="s">
        <v>1086</v>
      </c>
      <c r="J10039">
        <v>13.53</v>
      </c>
    </row>
    <row r="10040" spans="1:10" hidden="1">
      <c r="A10040" t="s">
        <v>6310</v>
      </c>
      <c r="B10040" s="170" t="s">
        <v>6311</v>
      </c>
      <c r="C10040" t="s">
        <v>5111</v>
      </c>
      <c r="D10040" t="s">
        <v>3246</v>
      </c>
      <c r="E10040" t="s">
        <v>557</v>
      </c>
      <c r="F10040" t="s">
        <v>1068</v>
      </c>
      <c r="G10040" t="s">
        <v>1087</v>
      </c>
      <c r="H10040" s="171" t="s">
        <v>6316</v>
      </c>
      <c r="I10040" t="s">
        <v>1088</v>
      </c>
      <c r="J10040">
        <v>13.53</v>
      </c>
    </row>
    <row r="10041" spans="1:10" hidden="1">
      <c r="A10041" t="s">
        <v>6310</v>
      </c>
      <c r="B10041" s="170" t="s">
        <v>6311</v>
      </c>
      <c r="C10041" t="s">
        <v>5111</v>
      </c>
      <c r="D10041" t="s">
        <v>3246</v>
      </c>
      <c r="E10041" t="s">
        <v>557</v>
      </c>
      <c r="F10041" t="s">
        <v>1068</v>
      </c>
      <c r="G10041" t="s">
        <v>1089</v>
      </c>
      <c r="H10041" s="171" t="s">
        <v>6317</v>
      </c>
      <c r="I10041" t="s">
        <v>1090</v>
      </c>
      <c r="J10041">
        <v>13.53</v>
      </c>
    </row>
    <row r="10042" spans="1:10" hidden="1">
      <c r="A10042" t="s">
        <v>6318</v>
      </c>
      <c r="B10042" t="s">
        <v>6319</v>
      </c>
      <c r="C10042" t="s">
        <v>5111</v>
      </c>
      <c r="D10042" t="s">
        <v>3246</v>
      </c>
      <c r="E10042" t="s">
        <v>559</v>
      </c>
      <c r="F10042" t="s">
        <v>1068</v>
      </c>
      <c r="G10042" t="s">
        <v>1069</v>
      </c>
      <c r="H10042" s="171" t="s">
        <v>6320</v>
      </c>
      <c r="I10042" t="s">
        <v>1070</v>
      </c>
      <c r="J10042">
        <v>11.85</v>
      </c>
    </row>
    <row r="10043" spans="1:10" hidden="1">
      <c r="A10043" t="s">
        <v>6318</v>
      </c>
      <c r="B10043" t="s">
        <v>6319</v>
      </c>
      <c r="C10043" t="s">
        <v>5111</v>
      </c>
      <c r="D10043" t="s">
        <v>3246</v>
      </c>
      <c r="E10043" t="s">
        <v>559</v>
      </c>
      <c r="F10043" t="s">
        <v>1068</v>
      </c>
      <c r="G10043" t="s">
        <v>1071</v>
      </c>
      <c r="H10043" s="171" t="s">
        <v>6321</v>
      </c>
      <c r="I10043" t="s">
        <v>1072</v>
      </c>
      <c r="J10043">
        <v>11.85</v>
      </c>
    </row>
    <row r="10044" spans="1:10" hidden="1">
      <c r="A10044" t="s">
        <v>6318</v>
      </c>
      <c r="B10044" t="s">
        <v>6319</v>
      </c>
      <c r="C10044" t="s">
        <v>5111</v>
      </c>
      <c r="D10044" t="s">
        <v>3246</v>
      </c>
      <c r="E10044" t="s">
        <v>559</v>
      </c>
      <c r="F10044" t="s">
        <v>1068</v>
      </c>
      <c r="G10044" t="s">
        <v>1073</v>
      </c>
      <c r="H10044" s="171" t="s">
        <v>6322</v>
      </c>
      <c r="I10044" t="s">
        <v>1074</v>
      </c>
      <c r="J10044">
        <v>11.85</v>
      </c>
    </row>
    <row r="10045" spans="1:10" hidden="1">
      <c r="A10045" t="s">
        <v>6318</v>
      </c>
      <c r="B10045" t="s">
        <v>6319</v>
      </c>
      <c r="C10045" t="s">
        <v>5111</v>
      </c>
      <c r="D10045" t="s">
        <v>3246</v>
      </c>
      <c r="E10045" t="s">
        <v>559</v>
      </c>
      <c r="F10045" t="s">
        <v>1068</v>
      </c>
      <c r="G10045" t="s">
        <v>1075</v>
      </c>
      <c r="H10045">
        <v>4.0741453221187704E-3</v>
      </c>
      <c r="I10045" t="s">
        <v>1077</v>
      </c>
      <c r="J10045">
        <v>11.85</v>
      </c>
    </row>
    <row r="10046" spans="1:10" hidden="1">
      <c r="A10046" t="s">
        <v>6318</v>
      </c>
      <c r="B10046" t="s">
        <v>6319</v>
      </c>
      <c r="C10046" t="s">
        <v>5111</v>
      </c>
      <c r="D10046" t="s">
        <v>3246</v>
      </c>
      <c r="E10046" t="s">
        <v>559</v>
      </c>
      <c r="F10046" t="s">
        <v>1068</v>
      </c>
      <c r="G10046" t="s">
        <v>1078</v>
      </c>
      <c r="H10046" s="171" t="s">
        <v>6323</v>
      </c>
      <c r="I10046" t="s">
        <v>1079</v>
      </c>
      <c r="J10046">
        <v>11.85</v>
      </c>
    </row>
    <row r="10047" spans="1:10" hidden="1">
      <c r="A10047" t="s">
        <v>6318</v>
      </c>
      <c r="B10047" t="s">
        <v>6319</v>
      </c>
      <c r="C10047" t="s">
        <v>5111</v>
      </c>
      <c r="D10047" t="s">
        <v>3246</v>
      </c>
      <c r="E10047" t="s">
        <v>559</v>
      </c>
      <c r="F10047" t="s">
        <v>1068</v>
      </c>
      <c r="G10047" t="s">
        <v>1080</v>
      </c>
      <c r="H10047" s="171" t="s">
        <v>5174</v>
      </c>
      <c r="I10047" t="s">
        <v>1082</v>
      </c>
      <c r="J10047">
        <v>11.85</v>
      </c>
    </row>
    <row r="10048" spans="1:10" hidden="1">
      <c r="A10048" t="s">
        <v>6318</v>
      </c>
      <c r="B10048" t="s">
        <v>6319</v>
      </c>
      <c r="C10048" t="s">
        <v>5111</v>
      </c>
      <c r="D10048" t="s">
        <v>3246</v>
      </c>
      <c r="E10048" t="s">
        <v>559</v>
      </c>
      <c r="F10048" t="s">
        <v>1068</v>
      </c>
      <c r="G10048" t="s">
        <v>1083</v>
      </c>
      <c r="H10048" s="171" t="s">
        <v>6324</v>
      </c>
      <c r="I10048" t="s">
        <v>1084</v>
      </c>
      <c r="J10048">
        <v>11.85</v>
      </c>
    </row>
    <row r="10049" spans="1:10" hidden="1">
      <c r="A10049" t="s">
        <v>6318</v>
      </c>
      <c r="B10049" t="s">
        <v>6319</v>
      </c>
      <c r="C10049" t="s">
        <v>5111</v>
      </c>
      <c r="D10049" t="s">
        <v>3246</v>
      </c>
      <c r="E10049" t="s">
        <v>559</v>
      </c>
      <c r="F10049" t="s">
        <v>1068</v>
      </c>
      <c r="G10049" t="s">
        <v>1085</v>
      </c>
      <c r="H10049">
        <v>1.4531651514691901E-4</v>
      </c>
      <c r="I10049" t="s">
        <v>1086</v>
      </c>
      <c r="J10049">
        <v>11.85</v>
      </c>
    </row>
    <row r="10050" spans="1:10" hidden="1">
      <c r="A10050" t="s">
        <v>6318</v>
      </c>
      <c r="B10050" t="s">
        <v>6319</v>
      </c>
      <c r="C10050" t="s">
        <v>5111</v>
      </c>
      <c r="D10050" t="s">
        <v>3246</v>
      </c>
      <c r="E10050" t="s">
        <v>559</v>
      </c>
      <c r="F10050" t="s">
        <v>1068</v>
      </c>
      <c r="G10050" t="s">
        <v>1087</v>
      </c>
      <c r="H10050" s="171" t="s">
        <v>6325</v>
      </c>
      <c r="I10050" t="s">
        <v>1088</v>
      </c>
      <c r="J10050">
        <v>11.85</v>
      </c>
    </row>
    <row r="10051" spans="1:10" hidden="1">
      <c r="A10051" t="s">
        <v>6318</v>
      </c>
      <c r="B10051" t="s">
        <v>6319</v>
      </c>
      <c r="C10051" t="s">
        <v>5111</v>
      </c>
      <c r="D10051" t="s">
        <v>3246</v>
      </c>
      <c r="E10051" t="s">
        <v>559</v>
      </c>
      <c r="F10051" t="s">
        <v>1068</v>
      </c>
      <c r="G10051" t="s">
        <v>1089</v>
      </c>
      <c r="H10051" s="171" t="s">
        <v>6326</v>
      </c>
      <c r="I10051" t="s">
        <v>1090</v>
      </c>
      <c r="J10051">
        <v>11.85</v>
      </c>
    </row>
    <row r="10052" spans="1:10" hidden="1">
      <c r="A10052" t="s">
        <v>6327</v>
      </c>
      <c r="B10052" t="s">
        <v>6328</v>
      </c>
      <c r="C10052" t="s">
        <v>5111</v>
      </c>
      <c r="D10052" t="s">
        <v>3246</v>
      </c>
      <c r="E10052" t="s">
        <v>560</v>
      </c>
      <c r="F10052" t="s">
        <v>1068</v>
      </c>
      <c r="G10052" t="s">
        <v>1069</v>
      </c>
      <c r="H10052" s="171" t="s">
        <v>6329</v>
      </c>
      <c r="I10052" t="s">
        <v>1070</v>
      </c>
      <c r="J10052">
        <v>8.7100000000000009</v>
      </c>
    </row>
    <row r="10053" spans="1:10" hidden="1">
      <c r="A10053" t="s">
        <v>6327</v>
      </c>
      <c r="B10053" t="s">
        <v>6328</v>
      </c>
      <c r="C10053" t="s">
        <v>5111</v>
      </c>
      <c r="D10053" t="s">
        <v>3246</v>
      </c>
      <c r="E10053" t="s">
        <v>560</v>
      </c>
      <c r="F10053" t="s">
        <v>1068</v>
      </c>
      <c r="G10053" t="s">
        <v>1071</v>
      </c>
      <c r="H10053" s="171" t="s">
        <v>6330</v>
      </c>
      <c r="I10053" t="s">
        <v>1072</v>
      </c>
      <c r="J10053">
        <v>8.7100000000000009</v>
      </c>
    </row>
    <row r="10054" spans="1:10" hidden="1">
      <c r="A10054" t="s">
        <v>6327</v>
      </c>
      <c r="B10054" t="s">
        <v>6328</v>
      </c>
      <c r="C10054" t="s">
        <v>5111</v>
      </c>
      <c r="D10054" t="s">
        <v>3246</v>
      </c>
      <c r="E10054" t="s">
        <v>560</v>
      </c>
      <c r="F10054" t="s">
        <v>1068</v>
      </c>
      <c r="G10054" t="s">
        <v>1073</v>
      </c>
      <c r="H10054" s="171" t="s">
        <v>6331</v>
      </c>
      <c r="I10054" t="s">
        <v>1074</v>
      </c>
      <c r="J10054">
        <v>8.7100000000000009</v>
      </c>
    </row>
    <row r="10055" spans="1:10" hidden="1">
      <c r="A10055" t="s">
        <v>6327</v>
      </c>
      <c r="B10055" t="s">
        <v>6328</v>
      </c>
      <c r="C10055" t="s">
        <v>5111</v>
      </c>
      <c r="D10055" t="s">
        <v>3246</v>
      </c>
      <c r="E10055" t="s">
        <v>560</v>
      </c>
      <c r="F10055" t="s">
        <v>1068</v>
      </c>
      <c r="G10055" t="s">
        <v>1075</v>
      </c>
      <c r="H10055">
        <v>4.0760249550645198E-3</v>
      </c>
      <c r="I10055" t="s">
        <v>1077</v>
      </c>
      <c r="J10055">
        <v>8.7100000000000009</v>
      </c>
    </row>
    <row r="10056" spans="1:10" hidden="1">
      <c r="A10056" t="s">
        <v>6327</v>
      </c>
      <c r="B10056" t="s">
        <v>6328</v>
      </c>
      <c r="C10056" t="s">
        <v>5111</v>
      </c>
      <c r="D10056" t="s">
        <v>3246</v>
      </c>
      <c r="E10056" t="s">
        <v>560</v>
      </c>
      <c r="F10056" t="s">
        <v>1068</v>
      </c>
      <c r="G10056" t="s">
        <v>1078</v>
      </c>
      <c r="H10056">
        <v>4.1414954380226701E-2</v>
      </c>
      <c r="I10056" t="s">
        <v>1079</v>
      </c>
      <c r="J10056">
        <v>8.7100000000000009</v>
      </c>
    </row>
    <row r="10057" spans="1:10" hidden="1">
      <c r="A10057" t="s">
        <v>6327</v>
      </c>
      <c r="B10057" t="s">
        <v>6328</v>
      </c>
      <c r="C10057" t="s">
        <v>5111</v>
      </c>
      <c r="D10057" t="s">
        <v>3246</v>
      </c>
      <c r="E10057" t="s">
        <v>560</v>
      </c>
      <c r="F10057" t="s">
        <v>1068</v>
      </c>
      <c r="G10057" t="s">
        <v>1080</v>
      </c>
      <c r="H10057" s="171" t="s">
        <v>5183</v>
      </c>
      <c r="I10057" t="s">
        <v>1082</v>
      </c>
      <c r="J10057">
        <v>8.7100000000000009</v>
      </c>
    </row>
    <row r="10058" spans="1:10" hidden="1">
      <c r="A10058" t="s">
        <v>6327</v>
      </c>
      <c r="B10058" t="s">
        <v>6328</v>
      </c>
      <c r="C10058" t="s">
        <v>5111</v>
      </c>
      <c r="D10058" t="s">
        <v>3246</v>
      </c>
      <c r="E10058" t="s">
        <v>560</v>
      </c>
      <c r="F10058" t="s">
        <v>1068</v>
      </c>
      <c r="G10058" t="s">
        <v>1083</v>
      </c>
      <c r="H10058" s="171" t="s">
        <v>5184</v>
      </c>
      <c r="I10058" t="s">
        <v>1084</v>
      </c>
      <c r="J10058">
        <v>8.7100000000000009</v>
      </c>
    </row>
    <row r="10059" spans="1:10" hidden="1">
      <c r="A10059" t="s">
        <v>6327</v>
      </c>
      <c r="B10059" t="s">
        <v>6328</v>
      </c>
      <c r="C10059" t="s">
        <v>5111</v>
      </c>
      <c r="D10059" t="s">
        <v>3246</v>
      </c>
      <c r="E10059" t="s">
        <v>560</v>
      </c>
      <c r="F10059" t="s">
        <v>1068</v>
      </c>
      <c r="G10059" t="s">
        <v>1085</v>
      </c>
      <c r="H10059">
        <v>1.45418668602633E-4</v>
      </c>
      <c r="I10059" t="s">
        <v>1086</v>
      </c>
      <c r="J10059">
        <v>8.7100000000000009</v>
      </c>
    </row>
    <row r="10060" spans="1:10" hidden="1">
      <c r="A10060" t="s">
        <v>6327</v>
      </c>
      <c r="B10060" t="s">
        <v>6328</v>
      </c>
      <c r="C10060" t="s">
        <v>5111</v>
      </c>
      <c r="D10060" t="s">
        <v>3246</v>
      </c>
      <c r="E10060" t="s">
        <v>560</v>
      </c>
      <c r="F10060" t="s">
        <v>1068</v>
      </c>
      <c r="G10060" t="s">
        <v>1087</v>
      </c>
      <c r="H10060" s="171" t="s">
        <v>6332</v>
      </c>
      <c r="I10060" t="s">
        <v>1088</v>
      </c>
      <c r="J10060">
        <v>8.7100000000000009</v>
      </c>
    </row>
    <row r="10061" spans="1:10" hidden="1">
      <c r="A10061" t="s">
        <v>6327</v>
      </c>
      <c r="B10061" t="s">
        <v>6328</v>
      </c>
      <c r="C10061" t="s">
        <v>5111</v>
      </c>
      <c r="D10061" t="s">
        <v>3246</v>
      </c>
      <c r="E10061" t="s">
        <v>560</v>
      </c>
      <c r="F10061" t="s">
        <v>1068</v>
      </c>
      <c r="G10061" t="s">
        <v>1089</v>
      </c>
      <c r="H10061" s="171" t="s">
        <v>5547</v>
      </c>
      <c r="I10061" t="s">
        <v>1090</v>
      </c>
      <c r="J10061">
        <v>8.7100000000000009</v>
      </c>
    </row>
    <row r="10062" spans="1:10" hidden="1">
      <c r="A10062" t="s">
        <v>6333</v>
      </c>
      <c r="B10062" t="s">
        <v>6334</v>
      </c>
      <c r="C10062" t="s">
        <v>5111</v>
      </c>
      <c r="D10062" t="s">
        <v>3246</v>
      </c>
      <c r="E10062" t="s">
        <v>1116</v>
      </c>
      <c r="F10062" t="s">
        <v>1068</v>
      </c>
      <c r="G10062" t="s">
        <v>1069</v>
      </c>
      <c r="H10062" s="171" t="s">
        <v>6335</v>
      </c>
      <c r="I10062" t="s">
        <v>1070</v>
      </c>
      <c r="J10062">
        <v>9.02</v>
      </c>
    </row>
    <row r="10063" spans="1:10" hidden="1">
      <c r="A10063" t="s">
        <v>6333</v>
      </c>
      <c r="B10063" t="s">
        <v>6334</v>
      </c>
      <c r="C10063" t="s">
        <v>5111</v>
      </c>
      <c r="D10063" t="s">
        <v>3246</v>
      </c>
      <c r="E10063" t="s">
        <v>1116</v>
      </c>
      <c r="F10063" t="s">
        <v>1068</v>
      </c>
      <c r="G10063" t="s">
        <v>1071</v>
      </c>
      <c r="H10063" s="171" t="s">
        <v>6336</v>
      </c>
      <c r="I10063" t="s">
        <v>1072</v>
      </c>
      <c r="J10063">
        <v>9.02</v>
      </c>
    </row>
    <row r="10064" spans="1:10" hidden="1">
      <c r="A10064" t="s">
        <v>6333</v>
      </c>
      <c r="B10064" t="s">
        <v>6334</v>
      </c>
      <c r="C10064" t="s">
        <v>5111</v>
      </c>
      <c r="D10064" t="s">
        <v>3246</v>
      </c>
      <c r="E10064" t="s">
        <v>1116</v>
      </c>
      <c r="F10064" t="s">
        <v>1068</v>
      </c>
      <c r="G10064" t="s">
        <v>1073</v>
      </c>
      <c r="H10064" s="171" t="s">
        <v>6337</v>
      </c>
      <c r="I10064" t="s">
        <v>1074</v>
      </c>
      <c r="J10064">
        <v>9.02</v>
      </c>
    </row>
    <row r="10065" spans="1:10" hidden="1">
      <c r="A10065" t="s">
        <v>6333</v>
      </c>
      <c r="B10065" t="s">
        <v>6334</v>
      </c>
      <c r="C10065" t="s">
        <v>5111</v>
      </c>
      <c r="D10065" t="s">
        <v>3246</v>
      </c>
      <c r="E10065" t="s">
        <v>1116</v>
      </c>
      <c r="F10065" t="s">
        <v>1068</v>
      </c>
      <c r="G10065" t="s">
        <v>1075</v>
      </c>
      <c r="H10065">
        <v>4.0872108060272501E-3</v>
      </c>
      <c r="I10065" t="s">
        <v>1077</v>
      </c>
      <c r="J10065">
        <v>9.02</v>
      </c>
    </row>
    <row r="10066" spans="1:10" hidden="1">
      <c r="A10066" t="s">
        <v>6333</v>
      </c>
      <c r="B10066" t="s">
        <v>6334</v>
      </c>
      <c r="C10066" t="s">
        <v>5111</v>
      </c>
      <c r="D10066" t="s">
        <v>3246</v>
      </c>
      <c r="E10066" t="s">
        <v>1116</v>
      </c>
      <c r="F10066" t="s">
        <v>1068</v>
      </c>
      <c r="G10066" t="s">
        <v>1078</v>
      </c>
      <c r="H10066" s="171" t="s">
        <v>6338</v>
      </c>
      <c r="I10066" t="s">
        <v>1079</v>
      </c>
      <c r="J10066">
        <v>9.02</v>
      </c>
    </row>
    <row r="10067" spans="1:10" hidden="1">
      <c r="A10067" t="s">
        <v>6333</v>
      </c>
      <c r="B10067" t="s">
        <v>6334</v>
      </c>
      <c r="C10067" t="s">
        <v>5111</v>
      </c>
      <c r="D10067" t="s">
        <v>3246</v>
      </c>
      <c r="E10067" t="s">
        <v>1116</v>
      </c>
      <c r="F10067" t="s">
        <v>1068</v>
      </c>
      <c r="G10067" t="s">
        <v>1080</v>
      </c>
      <c r="H10067" s="171" t="s">
        <v>5723</v>
      </c>
      <c r="I10067" t="s">
        <v>1082</v>
      </c>
      <c r="J10067">
        <v>9.02</v>
      </c>
    </row>
    <row r="10068" spans="1:10" hidden="1">
      <c r="A10068" t="s">
        <v>6333</v>
      </c>
      <c r="B10068" t="s">
        <v>6334</v>
      </c>
      <c r="C10068" t="s">
        <v>5111</v>
      </c>
      <c r="D10068" t="s">
        <v>3246</v>
      </c>
      <c r="E10068" t="s">
        <v>1116</v>
      </c>
      <c r="F10068" t="s">
        <v>1068</v>
      </c>
      <c r="G10068" t="s">
        <v>1083</v>
      </c>
      <c r="H10068" s="171" t="s">
        <v>6339</v>
      </c>
      <c r="I10068" t="s">
        <v>1084</v>
      </c>
      <c r="J10068">
        <v>9.02</v>
      </c>
    </row>
    <row r="10069" spans="1:10" hidden="1">
      <c r="A10069" t="s">
        <v>6333</v>
      </c>
      <c r="B10069" t="s">
        <v>6334</v>
      </c>
      <c r="C10069" t="s">
        <v>5111</v>
      </c>
      <c r="D10069" t="s">
        <v>3246</v>
      </c>
      <c r="E10069" t="s">
        <v>1116</v>
      </c>
      <c r="F10069" t="s">
        <v>1068</v>
      </c>
      <c r="G10069" t="s">
        <v>1085</v>
      </c>
      <c r="H10069">
        <v>1.46026568028361E-4</v>
      </c>
      <c r="I10069" t="s">
        <v>1086</v>
      </c>
      <c r="J10069">
        <v>9.02</v>
      </c>
    </row>
    <row r="10070" spans="1:10" hidden="1">
      <c r="A10070" t="s">
        <v>6333</v>
      </c>
      <c r="B10070" t="s">
        <v>6334</v>
      </c>
      <c r="C10070" t="s">
        <v>5111</v>
      </c>
      <c r="D10070" t="s">
        <v>3246</v>
      </c>
      <c r="E10070" t="s">
        <v>1116</v>
      </c>
      <c r="F10070" t="s">
        <v>1068</v>
      </c>
      <c r="G10070" t="s">
        <v>1087</v>
      </c>
      <c r="H10070" s="171" t="s">
        <v>6340</v>
      </c>
      <c r="I10070" t="s">
        <v>1088</v>
      </c>
      <c r="J10070">
        <v>9.02</v>
      </c>
    </row>
    <row r="10071" spans="1:10" hidden="1">
      <c r="A10071" t="s">
        <v>6333</v>
      </c>
      <c r="B10071" t="s">
        <v>6334</v>
      </c>
      <c r="C10071" t="s">
        <v>5111</v>
      </c>
      <c r="D10071" t="s">
        <v>3246</v>
      </c>
      <c r="E10071" t="s">
        <v>1116</v>
      </c>
      <c r="F10071" t="s">
        <v>1068</v>
      </c>
      <c r="G10071" t="s">
        <v>1089</v>
      </c>
      <c r="H10071" s="171" t="s">
        <v>6341</v>
      </c>
      <c r="I10071" t="s">
        <v>1090</v>
      </c>
      <c r="J10071">
        <v>9.02</v>
      </c>
    </row>
    <row r="10072" spans="1:10" hidden="1">
      <c r="A10072" t="s">
        <v>6342</v>
      </c>
      <c r="B10072" t="s">
        <v>6343</v>
      </c>
      <c r="C10072" t="s">
        <v>5111</v>
      </c>
      <c r="D10072" t="s">
        <v>1273</v>
      </c>
      <c r="E10072" t="s">
        <v>561</v>
      </c>
      <c r="F10072" t="s">
        <v>1068</v>
      </c>
      <c r="G10072" t="s">
        <v>1069</v>
      </c>
      <c r="H10072">
        <v>-0.14286183569626301</v>
      </c>
      <c r="I10072" t="s">
        <v>1070</v>
      </c>
      <c r="J10072">
        <v>7.98</v>
      </c>
    </row>
    <row r="10073" spans="1:10" hidden="1">
      <c r="A10073" t="s">
        <v>6342</v>
      </c>
      <c r="B10073" t="s">
        <v>6343</v>
      </c>
      <c r="C10073" t="s">
        <v>5111</v>
      </c>
      <c r="D10073" t="s">
        <v>1273</v>
      </c>
      <c r="E10073" t="s">
        <v>561</v>
      </c>
      <c r="F10073" t="s">
        <v>1068</v>
      </c>
      <c r="G10073" t="s">
        <v>1071</v>
      </c>
      <c r="H10073" s="170">
        <v>-7.0882811452091498E-11</v>
      </c>
      <c r="I10073" t="s">
        <v>1072</v>
      </c>
      <c r="J10073">
        <v>7.98</v>
      </c>
    </row>
    <row r="10074" spans="1:10" hidden="1">
      <c r="A10074" t="s">
        <v>6342</v>
      </c>
      <c r="B10074" t="s">
        <v>6343</v>
      </c>
      <c r="C10074" t="s">
        <v>5111</v>
      </c>
      <c r="D10074" t="s">
        <v>1273</v>
      </c>
      <c r="E10074" t="s">
        <v>561</v>
      </c>
      <c r="F10074" t="s">
        <v>1068</v>
      </c>
      <c r="G10074" t="s">
        <v>1073</v>
      </c>
      <c r="H10074" s="170">
        <v>-4.6958326092692199E-8</v>
      </c>
      <c r="I10074" t="s">
        <v>1074</v>
      </c>
      <c r="J10074">
        <v>7.98</v>
      </c>
    </row>
    <row r="10075" spans="1:10" hidden="1">
      <c r="A10075" t="s">
        <v>6342</v>
      </c>
      <c r="B10075" t="s">
        <v>6343</v>
      </c>
      <c r="C10075" t="s">
        <v>5111</v>
      </c>
      <c r="D10075" t="s">
        <v>1273</v>
      </c>
      <c r="E10075" t="s">
        <v>561</v>
      </c>
      <c r="F10075" t="s">
        <v>1068</v>
      </c>
      <c r="G10075" t="s">
        <v>1075</v>
      </c>
      <c r="H10075">
        <v>-1.0738705211724799E-3</v>
      </c>
      <c r="I10075" t="s">
        <v>1077</v>
      </c>
      <c r="J10075">
        <v>7.98</v>
      </c>
    </row>
    <row r="10076" spans="1:10" hidden="1">
      <c r="A10076" t="s">
        <v>6342</v>
      </c>
      <c r="B10076" t="s">
        <v>6343</v>
      </c>
      <c r="C10076" t="s">
        <v>5111</v>
      </c>
      <c r="D10076" t="s">
        <v>1273</v>
      </c>
      <c r="E10076" t="s">
        <v>561</v>
      </c>
      <c r="F10076" t="s">
        <v>1068</v>
      </c>
      <c r="G10076" t="s">
        <v>1078</v>
      </c>
      <c r="H10076">
        <v>-0.23975545799391401</v>
      </c>
      <c r="I10076" t="s">
        <v>1079</v>
      </c>
      <c r="J10076">
        <v>7.98</v>
      </c>
    </row>
    <row r="10077" spans="1:10" hidden="1">
      <c r="A10077" t="s">
        <v>6342</v>
      </c>
      <c r="B10077" t="s">
        <v>6343</v>
      </c>
      <c r="C10077" t="s">
        <v>5111</v>
      </c>
      <c r="D10077" t="s">
        <v>1273</v>
      </c>
      <c r="E10077" t="s">
        <v>561</v>
      </c>
      <c r="F10077" t="s">
        <v>1068</v>
      </c>
      <c r="G10077" t="s">
        <v>1080</v>
      </c>
      <c r="H10077" s="170">
        <v>-8.7088730606826899E-10</v>
      </c>
      <c r="I10077" t="s">
        <v>1082</v>
      </c>
      <c r="J10077">
        <v>7.98</v>
      </c>
    </row>
    <row r="10078" spans="1:10" hidden="1">
      <c r="A10078" t="s">
        <v>6342</v>
      </c>
      <c r="B10078" t="s">
        <v>6343</v>
      </c>
      <c r="C10078" t="s">
        <v>5111</v>
      </c>
      <c r="D10078" t="s">
        <v>1273</v>
      </c>
      <c r="E10078" t="s">
        <v>561</v>
      </c>
      <c r="F10078" t="s">
        <v>1068</v>
      </c>
      <c r="G10078" t="s">
        <v>1083</v>
      </c>
      <c r="H10078" s="170">
        <v>-2.0584317062366499E-5</v>
      </c>
      <c r="I10078" t="s">
        <v>1084</v>
      </c>
      <c r="J10078">
        <v>7.98</v>
      </c>
    </row>
    <row r="10079" spans="1:10" hidden="1">
      <c r="A10079" t="s">
        <v>6342</v>
      </c>
      <c r="B10079" t="s">
        <v>6343</v>
      </c>
      <c r="C10079" t="s">
        <v>5111</v>
      </c>
      <c r="D10079" t="s">
        <v>1273</v>
      </c>
      <c r="E10079" t="s">
        <v>561</v>
      </c>
      <c r="F10079" t="s">
        <v>1068</v>
      </c>
      <c r="G10079" t="s">
        <v>1085</v>
      </c>
      <c r="H10079">
        <v>-1.30172740055257E-4</v>
      </c>
      <c r="I10079" t="s">
        <v>1086</v>
      </c>
      <c r="J10079">
        <v>7.98</v>
      </c>
    </row>
    <row r="10080" spans="1:10" hidden="1">
      <c r="A10080" t="s">
        <v>6342</v>
      </c>
      <c r="B10080" t="s">
        <v>6343</v>
      </c>
      <c r="C10080" t="s">
        <v>5111</v>
      </c>
      <c r="D10080" t="s">
        <v>1273</v>
      </c>
      <c r="E10080" t="s">
        <v>561</v>
      </c>
      <c r="F10080" t="s">
        <v>1068</v>
      </c>
      <c r="G10080" t="s">
        <v>1087</v>
      </c>
      <c r="H10080" s="170">
        <v>-1.5472712025045199E-7</v>
      </c>
      <c r="I10080" t="s">
        <v>1088</v>
      </c>
      <c r="J10080">
        <v>7.98</v>
      </c>
    </row>
    <row r="10081" spans="1:10" hidden="1">
      <c r="A10081" t="s">
        <v>6342</v>
      </c>
      <c r="B10081" t="s">
        <v>6343</v>
      </c>
      <c r="C10081" t="s">
        <v>5111</v>
      </c>
      <c r="D10081" t="s">
        <v>1273</v>
      </c>
      <c r="E10081" t="s">
        <v>561</v>
      </c>
      <c r="F10081" t="s">
        <v>1068</v>
      </c>
      <c r="G10081" t="s">
        <v>1089</v>
      </c>
      <c r="H10081" s="170">
        <v>-1.45106047107402E-5</v>
      </c>
      <c r="I10081" t="s">
        <v>1090</v>
      </c>
      <c r="J10081">
        <v>7.98</v>
      </c>
    </row>
    <row r="10082" spans="1:10" hidden="1">
      <c r="A10082" t="s">
        <v>6344</v>
      </c>
      <c r="B10082" t="s">
        <v>6345</v>
      </c>
      <c r="C10082" t="s">
        <v>5111</v>
      </c>
      <c r="D10082" t="s">
        <v>1273</v>
      </c>
      <c r="E10082" t="s">
        <v>555</v>
      </c>
      <c r="F10082" t="s">
        <v>1068</v>
      </c>
      <c r="G10082" t="s">
        <v>1069</v>
      </c>
      <c r="H10082">
        <v>-0.16586208712409201</v>
      </c>
      <c r="I10082" t="s">
        <v>1070</v>
      </c>
      <c r="J10082">
        <v>9.75</v>
      </c>
    </row>
    <row r="10083" spans="1:10" hidden="1">
      <c r="A10083" t="s">
        <v>6344</v>
      </c>
      <c r="B10083" t="s">
        <v>6345</v>
      </c>
      <c r="C10083" t="s">
        <v>5111</v>
      </c>
      <c r="D10083" t="s">
        <v>1273</v>
      </c>
      <c r="E10083" t="s">
        <v>555</v>
      </c>
      <c r="F10083" t="s">
        <v>1068</v>
      </c>
      <c r="G10083" t="s">
        <v>1071</v>
      </c>
      <c r="H10083" s="170">
        <v>-1.03796363485091E-10</v>
      </c>
      <c r="I10083" t="s">
        <v>1072</v>
      </c>
      <c r="J10083">
        <v>9.75</v>
      </c>
    </row>
    <row r="10084" spans="1:10" hidden="1">
      <c r="A10084" t="s">
        <v>6344</v>
      </c>
      <c r="B10084" t="s">
        <v>6345</v>
      </c>
      <c r="C10084" t="s">
        <v>5111</v>
      </c>
      <c r="D10084" t="s">
        <v>1273</v>
      </c>
      <c r="E10084" t="s">
        <v>555</v>
      </c>
      <c r="F10084" t="s">
        <v>1068</v>
      </c>
      <c r="G10084" t="s">
        <v>1073</v>
      </c>
      <c r="H10084" s="170">
        <v>-5.5128375150070799E-8</v>
      </c>
      <c r="I10084" t="s">
        <v>1074</v>
      </c>
      <c r="J10084">
        <v>9.75</v>
      </c>
    </row>
    <row r="10085" spans="1:10" hidden="1">
      <c r="A10085" t="s">
        <v>6344</v>
      </c>
      <c r="B10085" t="s">
        <v>6345</v>
      </c>
      <c r="C10085" t="s">
        <v>5111</v>
      </c>
      <c r="D10085" t="s">
        <v>1273</v>
      </c>
      <c r="E10085" t="s">
        <v>555</v>
      </c>
      <c r="F10085" t="s">
        <v>1068</v>
      </c>
      <c r="G10085" t="s">
        <v>1075</v>
      </c>
      <c r="H10085">
        <v>-1.8009645992956001E-3</v>
      </c>
      <c r="I10085" t="s">
        <v>1077</v>
      </c>
      <c r="J10085">
        <v>9.75</v>
      </c>
    </row>
    <row r="10086" spans="1:10" hidden="1">
      <c r="A10086" t="s">
        <v>6344</v>
      </c>
      <c r="B10086" t="s">
        <v>6345</v>
      </c>
      <c r="C10086" t="s">
        <v>5111</v>
      </c>
      <c r="D10086" t="s">
        <v>1273</v>
      </c>
      <c r="E10086" t="s">
        <v>555</v>
      </c>
      <c r="F10086" t="s">
        <v>1068</v>
      </c>
      <c r="G10086" t="s">
        <v>1078</v>
      </c>
      <c r="H10086">
        <v>-0.27119781115654301</v>
      </c>
      <c r="I10086" t="s">
        <v>1079</v>
      </c>
      <c r="J10086">
        <v>9.75</v>
      </c>
    </row>
    <row r="10087" spans="1:10" hidden="1">
      <c r="A10087" t="s">
        <v>6344</v>
      </c>
      <c r="B10087" t="s">
        <v>6345</v>
      </c>
      <c r="C10087" t="s">
        <v>5111</v>
      </c>
      <c r="D10087" t="s">
        <v>1273</v>
      </c>
      <c r="E10087" t="s">
        <v>555</v>
      </c>
      <c r="F10087" t="s">
        <v>1068</v>
      </c>
      <c r="G10087" t="s">
        <v>1080</v>
      </c>
      <c r="H10087" s="170">
        <v>-9.9874299800891705E-10</v>
      </c>
      <c r="I10087" t="s">
        <v>1082</v>
      </c>
      <c r="J10087">
        <v>9.75</v>
      </c>
    </row>
    <row r="10088" spans="1:10" hidden="1">
      <c r="A10088" t="s">
        <v>6344</v>
      </c>
      <c r="B10088" t="s">
        <v>6345</v>
      </c>
      <c r="C10088" t="s">
        <v>5111</v>
      </c>
      <c r="D10088" t="s">
        <v>1273</v>
      </c>
      <c r="E10088" t="s">
        <v>555</v>
      </c>
      <c r="F10088" t="s">
        <v>1068</v>
      </c>
      <c r="G10088" t="s">
        <v>1083</v>
      </c>
      <c r="H10088" s="170">
        <v>-2.4080521987921799E-5</v>
      </c>
      <c r="I10088" t="s">
        <v>1084</v>
      </c>
      <c r="J10088">
        <v>9.75</v>
      </c>
    </row>
    <row r="10089" spans="1:10" hidden="1">
      <c r="A10089" t="s">
        <v>6344</v>
      </c>
      <c r="B10089" t="s">
        <v>6345</v>
      </c>
      <c r="C10089" t="s">
        <v>5111</v>
      </c>
      <c r="D10089" t="s">
        <v>1273</v>
      </c>
      <c r="E10089" t="s">
        <v>555</v>
      </c>
      <c r="F10089" t="s">
        <v>1068</v>
      </c>
      <c r="G10089" t="s">
        <v>1085</v>
      </c>
      <c r="H10089">
        <v>-1.6968695140097799E-4</v>
      </c>
      <c r="I10089" t="s">
        <v>1086</v>
      </c>
      <c r="J10089">
        <v>9.75</v>
      </c>
    </row>
    <row r="10090" spans="1:10" hidden="1">
      <c r="A10090" t="s">
        <v>6344</v>
      </c>
      <c r="B10090" t="s">
        <v>6345</v>
      </c>
      <c r="C10090" t="s">
        <v>5111</v>
      </c>
      <c r="D10090" t="s">
        <v>1273</v>
      </c>
      <c r="E10090" t="s">
        <v>555</v>
      </c>
      <c r="F10090" t="s">
        <v>1068</v>
      </c>
      <c r="G10090" t="s">
        <v>1087</v>
      </c>
      <c r="H10090" s="170">
        <v>-1.7379685918254801E-7</v>
      </c>
      <c r="I10090" t="s">
        <v>1088</v>
      </c>
      <c r="J10090">
        <v>9.75</v>
      </c>
    </row>
    <row r="10091" spans="1:10" hidden="1">
      <c r="A10091" t="s">
        <v>6344</v>
      </c>
      <c r="B10091" t="s">
        <v>6345</v>
      </c>
      <c r="C10091" t="s">
        <v>5111</v>
      </c>
      <c r="D10091" t="s">
        <v>1273</v>
      </c>
      <c r="E10091" t="s">
        <v>555</v>
      </c>
      <c r="F10091" t="s">
        <v>1068</v>
      </c>
      <c r="G10091" t="s">
        <v>1089</v>
      </c>
      <c r="H10091" s="170">
        <v>-2.2662308426984399E-5</v>
      </c>
      <c r="I10091" t="s">
        <v>1090</v>
      </c>
      <c r="J10091">
        <v>9.75</v>
      </c>
    </row>
    <row r="10092" spans="1:10" hidden="1">
      <c r="A10092" t="s">
        <v>6346</v>
      </c>
      <c r="B10092" t="s">
        <v>6347</v>
      </c>
      <c r="C10092" t="s">
        <v>5111</v>
      </c>
      <c r="D10092" t="s">
        <v>1273</v>
      </c>
      <c r="E10092" t="s">
        <v>558</v>
      </c>
      <c r="F10092" t="s">
        <v>1068</v>
      </c>
      <c r="G10092" t="s">
        <v>1069</v>
      </c>
      <c r="H10092">
        <v>-0.14082525625916301</v>
      </c>
      <c r="I10092" t="s">
        <v>1070</v>
      </c>
      <c r="J10092">
        <v>10.88</v>
      </c>
    </row>
    <row r="10093" spans="1:10" hidden="1">
      <c r="A10093" t="s">
        <v>6346</v>
      </c>
      <c r="B10093" t="s">
        <v>6347</v>
      </c>
      <c r="C10093" t="s">
        <v>5111</v>
      </c>
      <c r="D10093" t="s">
        <v>1273</v>
      </c>
      <c r="E10093" t="s">
        <v>558</v>
      </c>
      <c r="F10093" t="s">
        <v>1068</v>
      </c>
      <c r="G10093" t="s">
        <v>1071</v>
      </c>
      <c r="H10093" s="170">
        <v>-6.7968443107673E-11</v>
      </c>
      <c r="I10093" t="s">
        <v>1072</v>
      </c>
      <c r="J10093">
        <v>10.88</v>
      </c>
    </row>
    <row r="10094" spans="1:10" hidden="1">
      <c r="A10094" t="s">
        <v>6346</v>
      </c>
      <c r="B10094" t="s">
        <v>6347</v>
      </c>
      <c r="C10094" t="s">
        <v>5111</v>
      </c>
      <c r="D10094" t="s">
        <v>1273</v>
      </c>
      <c r="E10094" t="s">
        <v>558</v>
      </c>
      <c r="F10094" t="s">
        <v>1068</v>
      </c>
      <c r="G10094" t="s">
        <v>1073</v>
      </c>
      <c r="H10094" s="170">
        <v>-4.62349266325048E-8</v>
      </c>
      <c r="I10094" t="s">
        <v>1074</v>
      </c>
      <c r="J10094">
        <v>10.88</v>
      </c>
    </row>
    <row r="10095" spans="1:10" hidden="1">
      <c r="A10095" t="s">
        <v>6346</v>
      </c>
      <c r="B10095" t="s">
        <v>6347</v>
      </c>
      <c r="C10095" t="s">
        <v>5111</v>
      </c>
      <c r="D10095" t="s">
        <v>1273</v>
      </c>
      <c r="E10095" t="s">
        <v>558</v>
      </c>
      <c r="F10095" t="s">
        <v>1068</v>
      </c>
      <c r="G10095" t="s">
        <v>1075</v>
      </c>
      <c r="H10095">
        <v>-1.00949206955016E-3</v>
      </c>
      <c r="I10095" t="s">
        <v>1077</v>
      </c>
      <c r="J10095">
        <v>10.88</v>
      </c>
    </row>
    <row r="10096" spans="1:10" hidden="1">
      <c r="A10096" t="s">
        <v>6346</v>
      </c>
      <c r="B10096" t="s">
        <v>6347</v>
      </c>
      <c r="C10096" t="s">
        <v>5111</v>
      </c>
      <c r="D10096" t="s">
        <v>1273</v>
      </c>
      <c r="E10096" t="s">
        <v>558</v>
      </c>
      <c r="F10096" t="s">
        <v>1068</v>
      </c>
      <c r="G10096" t="s">
        <v>1078</v>
      </c>
      <c r="H10096">
        <v>-0.23697148541270599</v>
      </c>
      <c r="I10096" t="s">
        <v>1079</v>
      </c>
      <c r="J10096">
        <v>10.88</v>
      </c>
    </row>
    <row r="10097" spans="1:10" hidden="1">
      <c r="A10097" t="s">
        <v>6346</v>
      </c>
      <c r="B10097" t="s">
        <v>6347</v>
      </c>
      <c r="C10097" t="s">
        <v>5111</v>
      </c>
      <c r="D10097" t="s">
        <v>1273</v>
      </c>
      <c r="E10097" t="s">
        <v>558</v>
      </c>
      <c r="F10097" t="s">
        <v>1068</v>
      </c>
      <c r="G10097" t="s">
        <v>1080</v>
      </c>
      <c r="H10097" s="170">
        <v>-8.5956669197460203E-10</v>
      </c>
      <c r="I10097" t="s">
        <v>1082</v>
      </c>
      <c r="J10097">
        <v>10.88</v>
      </c>
    </row>
    <row r="10098" spans="1:10" hidden="1">
      <c r="A10098" t="s">
        <v>6346</v>
      </c>
      <c r="B10098" t="s">
        <v>6347</v>
      </c>
      <c r="C10098" t="s">
        <v>5111</v>
      </c>
      <c r="D10098" t="s">
        <v>1273</v>
      </c>
      <c r="E10098" t="s">
        <v>558</v>
      </c>
      <c r="F10098" t="s">
        <v>1068</v>
      </c>
      <c r="G10098" t="s">
        <v>1083</v>
      </c>
      <c r="H10098" s="170">
        <v>-2.0274755669324701E-5</v>
      </c>
      <c r="I10098" t="s">
        <v>1084</v>
      </c>
      <c r="J10098">
        <v>10.88</v>
      </c>
    </row>
    <row r="10099" spans="1:10" hidden="1">
      <c r="A10099" t="s">
        <v>6346</v>
      </c>
      <c r="B10099" t="s">
        <v>6347</v>
      </c>
      <c r="C10099" t="s">
        <v>5111</v>
      </c>
      <c r="D10099" t="s">
        <v>1273</v>
      </c>
      <c r="E10099" t="s">
        <v>558</v>
      </c>
      <c r="F10099" t="s">
        <v>1068</v>
      </c>
      <c r="G10099" t="s">
        <v>1085</v>
      </c>
      <c r="H10099">
        <v>-1.2667406803639199E-4</v>
      </c>
      <c r="I10099" t="s">
        <v>1086</v>
      </c>
      <c r="J10099">
        <v>10.88</v>
      </c>
    </row>
    <row r="10100" spans="1:10" hidden="1">
      <c r="A10100" t="s">
        <v>6346</v>
      </c>
      <c r="B10100" t="s">
        <v>6347</v>
      </c>
      <c r="C10100" t="s">
        <v>5111</v>
      </c>
      <c r="D10100" t="s">
        <v>1273</v>
      </c>
      <c r="E10100" t="s">
        <v>558</v>
      </c>
      <c r="F10100" t="s">
        <v>1068</v>
      </c>
      <c r="G10100" t="s">
        <v>1087</v>
      </c>
      <c r="H10100" s="170">
        <v>-1.53038645159158E-7</v>
      </c>
      <c r="I10100" t="s">
        <v>1088</v>
      </c>
      <c r="J10100">
        <v>10.88</v>
      </c>
    </row>
    <row r="10101" spans="1:10" hidden="1">
      <c r="A10101" t="s">
        <v>6346</v>
      </c>
      <c r="B10101" t="s">
        <v>6347</v>
      </c>
      <c r="C10101" t="s">
        <v>5111</v>
      </c>
      <c r="D10101" t="s">
        <v>1273</v>
      </c>
      <c r="E10101" t="s">
        <v>558</v>
      </c>
      <c r="F10101" t="s">
        <v>1068</v>
      </c>
      <c r="G10101" t="s">
        <v>1089</v>
      </c>
      <c r="H10101" s="170">
        <v>-1.3788835582202401E-5</v>
      </c>
      <c r="I10101" t="s">
        <v>1090</v>
      </c>
      <c r="J10101">
        <v>10.88</v>
      </c>
    </row>
    <row r="10102" spans="1:10" hidden="1">
      <c r="A10102" t="s">
        <v>6348</v>
      </c>
      <c r="B10102" t="s">
        <v>6349</v>
      </c>
      <c r="C10102" t="s">
        <v>5111</v>
      </c>
      <c r="D10102" t="s">
        <v>1273</v>
      </c>
      <c r="E10102" t="s">
        <v>553</v>
      </c>
      <c r="F10102" t="s">
        <v>1068</v>
      </c>
      <c r="G10102" t="s">
        <v>1069</v>
      </c>
      <c r="H10102">
        <v>-0.138829566330504</v>
      </c>
      <c r="I10102" t="s">
        <v>1070</v>
      </c>
      <c r="J10102">
        <v>9.59</v>
      </c>
    </row>
    <row r="10103" spans="1:10" hidden="1">
      <c r="A10103" t="s">
        <v>6348</v>
      </c>
      <c r="B10103" t="s">
        <v>6349</v>
      </c>
      <c r="C10103" t="s">
        <v>5111</v>
      </c>
      <c r="D10103" t="s">
        <v>1273</v>
      </c>
      <c r="E10103" t="s">
        <v>553</v>
      </c>
      <c r="F10103" t="s">
        <v>1068</v>
      </c>
      <c r="G10103" t="s">
        <v>1071</v>
      </c>
      <c r="H10103" s="170">
        <v>-6.5112518683599598E-11</v>
      </c>
      <c r="I10103" t="s">
        <v>1072</v>
      </c>
      <c r="J10103">
        <v>9.59</v>
      </c>
    </row>
    <row r="10104" spans="1:10" hidden="1">
      <c r="A10104" t="s">
        <v>6348</v>
      </c>
      <c r="B10104" t="s">
        <v>6349</v>
      </c>
      <c r="C10104" t="s">
        <v>5111</v>
      </c>
      <c r="D10104" t="s">
        <v>1273</v>
      </c>
      <c r="E10104" t="s">
        <v>553</v>
      </c>
      <c r="F10104" t="s">
        <v>1068</v>
      </c>
      <c r="G10104" t="s">
        <v>1073</v>
      </c>
      <c r="H10104" s="170">
        <v>-4.55263382280847E-8</v>
      </c>
      <c r="I10104" t="s">
        <v>1074</v>
      </c>
      <c r="J10104">
        <v>9.59</v>
      </c>
    </row>
    <row r="10105" spans="1:10" hidden="1">
      <c r="A10105" t="s">
        <v>6348</v>
      </c>
      <c r="B10105" t="s">
        <v>6349</v>
      </c>
      <c r="C10105" t="s">
        <v>5111</v>
      </c>
      <c r="D10105" t="s">
        <v>1273</v>
      </c>
      <c r="E10105" t="s">
        <v>553</v>
      </c>
      <c r="F10105" t="s">
        <v>1068</v>
      </c>
      <c r="G10105" t="s">
        <v>1075</v>
      </c>
      <c r="H10105">
        <v>-9.4643773899369898E-4</v>
      </c>
      <c r="I10105" t="s">
        <v>1077</v>
      </c>
      <c r="J10105">
        <v>9.59</v>
      </c>
    </row>
    <row r="10106" spans="1:10" hidden="1">
      <c r="A10106" t="s">
        <v>6348</v>
      </c>
      <c r="B10106" t="s">
        <v>6349</v>
      </c>
      <c r="C10106" t="s">
        <v>5111</v>
      </c>
      <c r="D10106" t="s">
        <v>1273</v>
      </c>
      <c r="E10106" t="s">
        <v>553</v>
      </c>
      <c r="F10106" t="s">
        <v>1068</v>
      </c>
      <c r="G10106" t="s">
        <v>1078</v>
      </c>
      <c r="H10106">
        <v>-0.234244773470244</v>
      </c>
      <c r="I10106" t="s">
        <v>1079</v>
      </c>
      <c r="J10106">
        <v>9.59</v>
      </c>
    </row>
    <row r="10107" spans="1:10" hidden="1">
      <c r="A10107" t="s">
        <v>6348</v>
      </c>
      <c r="B10107" t="s">
        <v>6349</v>
      </c>
      <c r="C10107" t="s">
        <v>5111</v>
      </c>
      <c r="D10107" t="s">
        <v>1273</v>
      </c>
      <c r="E10107" t="s">
        <v>553</v>
      </c>
      <c r="F10107" t="s">
        <v>1068</v>
      </c>
      <c r="G10107" t="s">
        <v>1080</v>
      </c>
      <c r="H10107" s="170">
        <v>-8.4847891780242596E-10</v>
      </c>
      <c r="I10107" t="s">
        <v>1082</v>
      </c>
      <c r="J10107">
        <v>9.59</v>
      </c>
    </row>
    <row r="10108" spans="1:10" hidden="1">
      <c r="A10108" t="s">
        <v>6348</v>
      </c>
      <c r="B10108" t="s">
        <v>6349</v>
      </c>
      <c r="C10108" t="s">
        <v>5111</v>
      </c>
      <c r="D10108" t="s">
        <v>1273</v>
      </c>
      <c r="E10108" t="s">
        <v>553</v>
      </c>
      <c r="F10108" t="s">
        <v>1068</v>
      </c>
      <c r="G10108" t="s">
        <v>1083</v>
      </c>
      <c r="H10108" s="170">
        <v>-1.9971561324834401E-5</v>
      </c>
      <c r="I10108" t="s">
        <v>1084</v>
      </c>
      <c r="J10108">
        <v>9.59</v>
      </c>
    </row>
    <row r="10109" spans="1:10" hidden="1">
      <c r="A10109" t="s">
        <v>6348</v>
      </c>
      <c r="B10109" t="s">
        <v>6349</v>
      </c>
      <c r="C10109" t="s">
        <v>5111</v>
      </c>
      <c r="D10109" t="s">
        <v>1273</v>
      </c>
      <c r="E10109" t="s">
        <v>553</v>
      </c>
      <c r="F10109" t="s">
        <v>1068</v>
      </c>
      <c r="G10109" t="s">
        <v>1085</v>
      </c>
      <c r="H10109">
        <v>-1.2324735647183899E-4</v>
      </c>
      <c r="I10109" t="s">
        <v>1086</v>
      </c>
      <c r="J10109">
        <v>9.59</v>
      </c>
    </row>
    <row r="10110" spans="1:10" hidden="1">
      <c r="A10110" t="s">
        <v>6348</v>
      </c>
      <c r="B10110" t="s">
        <v>6349</v>
      </c>
      <c r="C10110" t="s">
        <v>5111</v>
      </c>
      <c r="D10110" t="s">
        <v>1273</v>
      </c>
      <c r="E10110" t="s">
        <v>553</v>
      </c>
      <c r="F10110" t="s">
        <v>1068</v>
      </c>
      <c r="G10110" t="s">
        <v>1087</v>
      </c>
      <c r="H10110" s="170">
        <v>-1.51384898625861E-7</v>
      </c>
      <c r="I10110" t="s">
        <v>1088</v>
      </c>
      <c r="J10110">
        <v>9.59</v>
      </c>
    </row>
    <row r="10111" spans="1:10" hidden="1">
      <c r="A10111" t="s">
        <v>6348</v>
      </c>
      <c r="B10111" t="s">
        <v>6349</v>
      </c>
      <c r="C10111" t="s">
        <v>5111</v>
      </c>
      <c r="D10111" t="s">
        <v>1273</v>
      </c>
      <c r="E10111" t="s">
        <v>553</v>
      </c>
      <c r="F10111" t="s">
        <v>1068</v>
      </c>
      <c r="G10111" t="s">
        <v>1089</v>
      </c>
      <c r="H10111" s="170">
        <v>-1.3081911699047E-5</v>
      </c>
      <c r="I10111" t="s">
        <v>1090</v>
      </c>
      <c r="J10111">
        <v>9.59</v>
      </c>
    </row>
    <row r="10112" spans="1:10" hidden="1">
      <c r="A10112" t="s">
        <v>6350</v>
      </c>
      <c r="B10112" t="s">
        <v>6351</v>
      </c>
      <c r="C10112" t="s">
        <v>5111</v>
      </c>
      <c r="D10112" t="s">
        <v>1273</v>
      </c>
      <c r="E10112" t="s">
        <v>556</v>
      </c>
      <c r="F10112" t="s">
        <v>1068</v>
      </c>
      <c r="G10112" t="s">
        <v>1069</v>
      </c>
      <c r="H10112">
        <v>-0.163321239723902</v>
      </c>
      <c r="I10112" t="s">
        <v>1070</v>
      </c>
      <c r="J10112">
        <v>10.35</v>
      </c>
    </row>
    <row r="10113" spans="1:10" hidden="1">
      <c r="A10113" t="s">
        <v>6350</v>
      </c>
      <c r="B10113" t="s">
        <v>6351</v>
      </c>
      <c r="C10113" t="s">
        <v>5111</v>
      </c>
      <c r="D10113" t="s">
        <v>1273</v>
      </c>
      <c r="E10113" t="s">
        <v>556</v>
      </c>
      <c r="F10113" t="s">
        <v>1068</v>
      </c>
      <c r="G10113" t="s">
        <v>1071</v>
      </c>
      <c r="H10113" s="170">
        <v>-1.00160381948478E-10</v>
      </c>
      <c r="I10113" t="s">
        <v>1072</v>
      </c>
      <c r="J10113">
        <v>10.35</v>
      </c>
    </row>
    <row r="10114" spans="1:10" hidden="1">
      <c r="A10114" t="s">
        <v>6350</v>
      </c>
      <c r="B10114" t="s">
        <v>6351</v>
      </c>
      <c r="C10114" t="s">
        <v>5111</v>
      </c>
      <c r="D10114" t="s">
        <v>1273</v>
      </c>
      <c r="E10114" t="s">
        <v>556</v>
      </c>
      <c r="F10114" t="s">
        <v>1068</v>
      </c>
      <c r="G10114" t="s">
        <v>1073</v>
      </c>
      <c r="H10114" s="170">
        <v>-5.42258581137921E-8</v>
      </c>
      <c r="I10114" t="s">
        <v>1074</v>
      </c>
      <c r="J10114">
        <v>10.35</v>
      </c>
    </row>
    <row r="10115" spans="1:10" hidden="1">
      <c r="A10115" t="s">
        <v>6350</v>
      </c>
      <c r="B10115" t="s">
        <v>6351</v>
      </c>
      <c r="C10115" t="s">
        <v>5111</v>
      </c>
      <c r="D10115" t="s">
        <v>1273</v>
      </c>
      <c r="E10115" t="s">
        <v>556</v>
      </c>
      <c r="F10115" t="s">
        <v>1068</v>
      </c>
      <c r="G10115" t="s">
        <v>1075</v>
      </c>
      <c r="H10115">
        <v>-1.72064569866611E-3</v>
      </c>
      <c r="I10115" t="s">
        <v>1077</v>
      </c>
      <c r="J10115">
        <v>10.35</v>
      </c>
    </row>
    <row r="10116" spans="1:10" hidden="1">
      <c r="A10116" t="s">
        <v>6350</v>
      </c>
      <c r="B10116" t="s">
        <v>6351</v>
      </c>
      <c r="C10116" t="s">
        <v>5111</v>
      </c>
      <c r="D10116" t="s">
        <v>1273</v>
      </c>
      <c r="E10116" t="s">
        <v>556</v>
      </c>
      <c r="F10116" t="s">
        <v>1068</v>
      </c>
      <c r="G10116" t="s">
        <v>1078</v>
      </c>
      <c r="H10116">
        <v>-0.26772451207168102</v>
      </c>
      <c r="I10116" t="s">
        <v>1079</v>
      </c>
      <c r="J10116">
        <v>10.35</v>
      </c>
    </row>
    <row r="10117" spans="1:10" hidden="1">
      <c r="A10117" t="s">
        <v>6350</v>
      </c>
      <c r="B10117" t="s">
        <v>6351</v>
      </c>
      <c r="C10117" t="s">
        <v>5111</v>
      </c>
      <c r="D10117" t="s">
        <v>1273</v>
      </c>
      <c r="E10117" t="s">
        <v>556</v>
      </c>
      <c r="F10117" t="s">
        <v>1068</v>
      </c>
      <c r="G10117" t="s">
        <v>1080</v>
      </c>
      <c r="H10117" s="170">
        <v>-9.846193393072741E-10</v>
      </c>
      <c r="I10117" t="s">
        <v>1082</v>
      </c>
      <c r="J10117">
        <v>10.35</v>
      </c>
    </row>
    <row r="10118" spans="1:10" hidden="1">
      <c r="A10118" t="s">
        <v>6350</v>
      </c>
      <c r="B10118" t="s">
        <v>6351</v>
      </c>
      <c r="C10118" t="s">
        <v>5111</v>
      </c>
      <c r="D10118" t="s">
        <v>1273</v>
      </c>
      <c r="E10118" t="s">
        <v>556</v>
      </c>
      <c r="F10118" t="s">
        <v>1068</v>
      </c>
      <c r="G10118" t="s">
        <v>1083</v>
      </c>
      <c r="H10118" s="170">
        <v>-2.3694311537999202E-5</v>
      </c>
      <c r="I10118" t="s">
        <v>1084</v>
      </c>
      <c r="J10118">
        <v>10.35</v>
      </c>
    </row>
    <row r="10119" spans="1:10" hidden="1">
      <c r="A10119" t="s">
        <v>6350</v>
      </c>
      <c r="B10119" t="s">
        <v>6351</v>
      </c>
      <c r="C10119" t="s">
        <v>5111</v>
      </c>
      <c r="D10119" t="s">
        <v>1273</v>
      </c>
      <c r="E10119" t="s">
        <v>556</v>
      </c>
      <c r="F10119" t="s">
        <v>1068</v>
      </c>
      <c r="G10119" t="s">
        <v>1085</v>
      </c>
      <c r="H10119">
        <v>-1.6532198947449099E-4</v>
      </c>
      <c r="I10119" t="s">
        <v>1086</v>
      </c>
      <c r="J10119">
        <v>10.35</v>
      </c>
    </row>
    <row r="10120" spans="1:10" hidden="1">
      <c r="A10120" t="s">
        <v>6350</v>
      </c>
      <c r="B10120" t="s">
        <v>6351</v>
      </c>
      <c r="C10120" t="s">
        <v>5111</v>
      </c>
      <c r="D10120" t="s">
        <v>1273</v>
      </c>
      <c r="E10120" t="s">
        <v>556</v>
      </c>
      <c r="F10120" t="s">
        <v>1068</v>
      </c>
      <c r="G10120" t="s">
        <v>1087</v>
      </c>
      <c r="H10120" s="170">
        <v>-1.7169030862634601E-7</v>
      </c>
      <c r="I10120" t="s">
        <v>1088</v>
      </c>
      <c r="J10120">
        <v>10.35</v>
      </c>
    </row>
    <row r="10121" spans="1:10" hidden="1">
      <c r="A10121" t="s">
        <v>6350</v>
      </c>
      <c r="B10121" t="s">
        <v>6351</v>
      </c>
      <c r="C10121" t="s">
        <v>5111</v>
      </c>
      <c r="D10121" t="s">
        <v>1273</v>
      </c>
      <c r="E10121" t="s">
        <v>556</v>
      </c>
      <c r="F10121" t="s">
        <v>1068</v>
      </c>
      <c r="G10121" t="s">
        <v>1089</v>
      </c>
      <c r="H10121" s="170">
        <v>-2.1761825401197099E-5</v>
      </c>
      <c r="I10121" t="s">
        <v>1090</v>
      </c>
      <c r="J10121">
        <v>10.35</v>
      </c>
    </row>
    <row r="10122" spans="1:10" hidden="1">
      <c r="A10122" t="s">
        <v>6352</v>
      </c>
      <c r="B10122" t="s">
        <v>6353</v>
      </c>
      <c r="C10122" t="s">
        <v>5111</v>
      </c>
      <c r="D10122" t="s">
        <v>1273</v>
      </c>
      <c r="E10122" t="s">
        <v>557</v>
      </c>
      <c r="F10122" t="s">
        <v>1068</v>
      </c>
      <c r="G10122" t="s">
        <v>1069</v>
      </c>
      <c r="H10122">
        <v>-0.149237214803707</v>
      </c>
      <c r="I10122" t="s">
        <v>1070</v>
      </c>
      <c r="J10122">
        <v>21.85</v>
      </c>
    </row>
    <row r="10123" spans="1:10" hidden="1">
      <c r="A10123" t="s">
        <v>6352</v>
      </c>
      <c r="B10123" t="s">
        <v>6353</v>
      </c>
      <c r="C10123" t="s">
        <v>5111</v>
      </c>
      <c r="D10123" t="s">
        <v>1273</v>
      </c>
      <c r="E10123" t="s">
        <v>557</v>
      </c>
      <c r="F10123" t="s">
        <v>1068</v>
      </c>
      <c r="G10123" t="s">
        <v>1071</v>
      </c>
      <c r="H10123" s="170">
        <v>-8.0006051486796894E-11</v>
      </c>
      <c r="I10123" t="s">
        <v>1072</v>
      </c>
      <c r="J10123">
        <v>21.85</v>
      </c>
    </row>
    <row r="10124" spans="1:10" hidden="1">
      <c r="A10124" t="s">
        <v>6352</v>
      </c>
      <c r="B10124" t="s">
        <v>6353</v>
      </c>
      <c r="C10124" t="s">
        <v>5111</v>
      </c>
      <c r="D10124" t="s">
        <v>1273</v>
      </c>
      <c r="E10124" t="s">
        <v>557</v>
      </c>
      <c r="F10124" t="s">
        <v>1068</v>
      </c>
      <c r="G10124" t="s">
        <v>1073</v>
      </c>
      <c r="H10124" s="170">
        <v>-4.9222880924584099E-8</v>
      </c>
      <c r="I10124" t="s">
        <v>1074</v>
      </c>
      <c r="J10124">
        <v>21.85</v>
      </c>
    </row>
    <row r="10125" spans="1:10" hidden="1">
      <c r="A10125" t="s">
        <v>6352</v>
      </c>
      <c r="B10125" t="s">
        <v>6353</v>
      </c>
      <c r="C10125" t="s">
        <v>5111</v>
      </c>
      <c r="D10125" t="s">
        <v>1273</v>
      </c>
      <c r="E10125" t="s">
        <v>557</v>
      </c>
      <c r="F10125" t="s">
        <v>1068</v>
      </c>
      <c r="G10125" t="s">
        <v>1075</v>
      </c>
      <c r="H10125">
        <v>-1.27540306538166E-3</v>
      </c>
      <c r="I10125" t="s">
        <v>1077</v>
      </c>
      <c r="J10125">
        <v>21.85</v>
      </c>
    </row>
    <row r="10126" spans="1:10" hidden="1">
      <c r="A10126" t="s">
        <v>6352</v>
      </c>
      <c r="B10126" t="s">
        <v>6353</v>
      </c>
      <c r="C10126" t="s">
        <v>5111</v>
      </c>
      <c r="D10126" t="s">
        <v>1273</v>
      </c>
      <c r="E10126" t="s">
        <v>557</v>
      </c>
      <c r="F10126" t="s">
        <v>1068</v>
      </c>
      <c r="G10126" t="s">
        <v>1078</v>
      </c>
      <c r="H10126">
        <v>-0.24847050259595699</v>
      </c>
      <c r="I10126" t="s">
        <v>1079</v>
      </c>
      <c r="J10126">
        <v>21.85</v>
      </c>
    </row>
    <row r="10127" spans="1:10" hidden="1">
      <c r="A10127" t="s">
        <v>6352</v>
      </c>
      <c r="B10127" t="s">
        <v>6353</v>
      </c>
      <c r="C10127" t="s">
        <v>5111</v>
      </c>
      <c r="D10127" t="s">
        <v>1273</v>
      </c>
      <c r="E10127" t="s">
        <v>557</v>
      </c>
      <c r="F10127" t="s">
        <v>1068</v>
      </c>
      <c r="G10127" t="s">
        <v>1080</v>
      </c>
      <c r="H10127" s="170">
        <v>-9.0632575018757396E-10</v>
      </c>
      <c r="I10127" t="s">
        <v>1082</v>
      </c>
      <c r="J10127">
        <v>21.85</v>
      </c>
    </row>
    <row r="10128" spans="1:10" hidden="1">
      <c r="A10128" t="s">
        <v>6352</v>
      </c>
      <c r="B10128" t="s">
        <v>6353</v>
      </c>
      <c r="C10128" t="s">
        <v>5111</v>
      </c>
      <c r="D10128" t="s">
        <v>1273</v>
      </c>
      <c r="E10128" t="s">
        <v>557</v>
      </c>
      <c r="F10128" t="s">
        <v>1068</v>
      </c>
      <c r="G10128" t="s">
        <v>1083</v>
      </c>
      <c r="H10128" s="170">
        <v>-2.1553378814497499E-5</v>
      </c>
      <c r="I10128" t="s">
        <v>1084</v>
      </c>
      <c r="J10128">
        <v>21.85</v>
      </c>
    </row>
    <row r="10129" spans="1:10" hidden="1">
      <c r="A10129" t="s">
        <v>6352</v>
      </c>
      <c r="B10129" t="s">
        <v>6353</v>
      </c>
      <c r="C10129" t="s">
        <v>5111</v>
      </c>
      <c r="D10129" t="s">
        <v>1273</v>
      </c>
      <c r="E10129" t="s">
        <v>557</v>
      </c>
      <c r="F10129" t="s">
        <v>1068</v>
      </c>
      <c r="G10129" t="s">
        <v>1085</v>
      </c>
      <c r="H10129">
        <v>-1.4112510463605601E-4</v>
      </c>
      <c r="I10129" t="s">
        <v>1086</v>
      </c>
      <c r="J10129">
        <v>21.85</v>
      </c>
    </row>
    <row r="10130" spans="1:10" hidden="1">
      <c r="A10130" t="s">
        <v>6352</v>
      </c>
      <c r="B10130" t="s">
        <v>6353</v>
      </c>
      <c r="C10130" t="s">
        <v>5111</v>
      </c>
      <c r="D10130" t="s">
        <v>1273</v>
      </c>
      <c r="E10130" t="s">
        <v>557</v>
      </c>
      <c r="F10130" t="s">
        <v>1068</v>
      </c>
      <c r="G10130" t="s">
        <v>1087</v>
      </c>
      <c r="H10130" s="170">
        <v>-1.60012781405804E-7</v>
      </c>
      <c r="I10130" t="s">
        <v>1088</v>
      </c>
      <c r="J10130">
        <v>21.85</v>
      </c>
    </row>
    <row r="10131" spans="1:10" hidden="1">
      <c r="A10131" t="s">
        <v>6352</v>
      </c>
      <c r="B10131" t="s">
        <v>6353</v>
      </c>
      <c r="C10131" t="s">
        <v>5111</v>
      </c>
      <c r="D10131" t="s">
        <v>1273</v>
      </c>
      <c r="E10131" t="s">
        <v>557</v>
      </c>
      <c r="F10131" t="s">
        <v>1068</v>
      </c>
      <c r="G10131" t="s">
        <v>1089</v>
      </c>
      <c r="H10131" s="170">
        <v>-1.6770055895729601E-5</v>
      </c>
      <c r="I10131" t="s">
        <v>1090</v>
      </c>
      <c r="J10131">
        <v>21.85</v>
      </c>
    </row>
    <row r="10132" spans="1:10" hidden="1">
      <c r="A10132" t="s">
        <v>6354</v>
      </c>
      <c r="B10132" t="s">
        <v>6355</v>
      </c>
      <c r="C10132" t="s">
        <v>5111</v>
      </c>
      <c r="D10132" t="s">
        <v>1273</v>
      </c>
      <c r="E10132" t="s">
        <v>559</v>
      </c>
      <c r="F10132" t="s">
        <v>1068</v>
      </c>
      <c r="G10132" t="s">
        <v>1069</v>
      </c>
      <c r="H10132">
        <v>-0.15604128368971701</v>
      </c>
      <c r="I10132" t="s">
        <v>1070</v>
      </c>
      <c r="J10132">
        <v>25.1</v>
      </c>
    </row>
    <row r="10133" spans="1:10" hidden="1">
      <c r="A10133" t="s">
        <v>6354</v>
      </c>
      <c r="B10133" t="s">
        <v>6355</v>
      </c>
      <c r="C10133" t="s">
        <v>5111</v>
      </c>
      <c r="D10133" t="s">
        <v>1273</v>
      </c>
      <c r="E10133" t="s">
        <v>559</v>
      </c>
      <c r="F10133" t="s">
        <v>1068</v>
      </c>
      <c r="G10133" t="s">
        <v>1071</v>
      </c>
      <c r="H10133" s="170">
        <v>-8.9742682040354099E-11</v>
      </c>
      <c r="I10133" t="s">
        <v>1072</v>
      </c>
      <c r="J10133">
        <v>25.1</v>
      </c>
    </row>
    <row r="10134" spans="1:10" hidden="1">
      <c r="A10134" t="s">
        <v>6354</v>
      </c>
      <c r="B10134" t="s">
        <v>6355</v>
      </c>
      <c r="C10134" t="s">
        <v>5111</v>
      </c>
      <c r="D10134" t="s">
        <v>1273</v>
      </c>
      <c r="E10134" t="s">
        <v>559</v>
      </c>
      <c r="F10134" t="s">
        <v>1068</v>
      </c>
      <c r="G10134" t="s">
        <v>1073</v>
      </c>
      <c r="H10134" s="170">
        <v>-5.1639994695266801E-8</v>
      </c>
      <c r="I10134" t="s">
        <v>1074</v>
      </c>
      <c r="J10134">
        <v>25.1</v>
      </c>
    </row>
    <row r="10135" spans="1:10" hidden="1">
      <c r="A10135" t="s">
        <v>6354</v>
      </c>
      <c r="B10135" t="s">
        <v>6355</v>
      </c>
      <c r="C10135" t="s">
        <v>5111</v>
      </c>
      <c r="D10135" t="s">
        <v>1273</v>
      </c>
      <c r="E10135" t="s">
        <v>559</v>
      </c>
      <c r="F10135" t="s">
        <v>1068</v>
      </c>
      <c r="G10135" t="s">
        <v>1075</v>
      </c>
      <c r="H10135">
        <v>-1.4905185114705E-3</v>
      </c>
      <c r="I10135" t="s">
        <v>1077</v>
      </c>
      <c r="J10135">
        <v>25.1</v>
      </c>
    </row>
    <row r="10136" spans="1:10" hidden="1">
      <c r="A10136" t="s">
        <v>6354</v>
      </c>
      <c r="B10136" t="s">
        <v>6355</v>
      </c>
      <c r="C10136" t="s">
        <v>5111</v>
      </c>
      <c r="D10136" t="s">
        <v>1273</v>
      </c>
      <c r="E10136" t="s">
        <v>559</v>
      </c>
      <c r="F10136" t="s">
        <v>1068</v>
      </c>
      <c r="G10136" t="s">
        <v>1078</v>
      </c>
      <c r="H10136">
        <v>-0.25777292480608899</v>
      </c>
      <c r="I10136" t="s">
        <v>1079</v>
      </c>
      <c r="J10136">
        <v>25.1</v>
      </c>
    </row>
    <row r="10137" spans="1:10" hidden="1">
      <c r="A10137" t="s">
        <v>6354</v>
      </c>
      <c r="B10137" t="s">
        <v>6355</v>
      </c>
      <c r="C10137" t="s">
        <v>5111</v>
      </c>
      <c r="D10137" t="s">
        <v>1273</v>
      </c>
      <c r="E10137" t="s">
        <v>559</v>
      </c>
      <c r="F10137" t="s">
        <v>1068</v>
      </c>
      <c r="G10137" t="s">
        <v>1080</v>
      </c>
      <c r="H10137" s="170">
        <v>-9.4415267673539796E-10</v>
      </c>
      <c r="I10137" t="s">
        <v>1082</v>
      </c>
      <c r="J10137">
        <v>25.1</v>
      </c>
    </row>
    <row r="10138" spans="1:10" hidden="1">
      <c r="A10138" t="s">
        <v>6354</v>
      </c>
      <c r="B10138" t="s">
        <v>6355</v>
      </c>
      <c r="C10138" t="s">
        <v>5111</v>
      </c>
      <c r="D10138" t="s">
        <v>1273</v>
      </c>
      <c r="E10138" t="s">
        <v>559</v>
      </c>
      <c r="F10138" t="s">
        <v>1068</v>
      </c>
      <c r="G10138" t="s">
        <v>1083</v>
      </c>
      <c r="H10138" s="170">
        <v>-2.2587753507324501E-5</v>
      </c>
      <c r="I10138" t="s">
        <v>1084</v>
      </c>
      <c r="J10138">
        <v>25.1</v>
      </c>
    </row>
    <row r="10139" spans="1:10" hidden="1">
      <c r="A10139" t="s">
        <v>6354</v>
      </c>
      <c r="B10139" t="s">
        <v>6355</v>
      </c>
      <c r="C10139" t="s">
        <v>5111</v>
      </c>
      <c r="D10139" t="s">
        <v>1273</v>
      </c>
      <c r="E10139" t="s">
        <v>559</v>
      </c>
      <c r="F10139" t="s">
        <v>1068</v>
      </c>
      <c r="G10139" t="s">
        <v>1085</v>
      </c>
      <c r="H10139">
        <v>-1.5281563788739399E-4</v>
      </c>
      <c r="I10139" t="s">
        <v>1086</v>
      </c>
      <c r="J10139">
        <v>25.1</v>
      </c>
    </row>
    <row r="10140" spans="1:10" hidden="1">
      <c r="A10140" t="s">
        <v>6354</v>
      </c>
      <c r="B10140" t="s">
        <v>6355</v>
      </c>
      <c r="C10140" t="s">
        <v>5111</v>
      </c>
      <c r="D10140" t="s">
        <v>1273</v>
      </c>
      <c r="E10140" t="s">
        <v>559</v>
      </c>
      <c r="F10140" t="s">
        <v>1068</v>
      </c>
      <c r="G10140" t="s">
        <v>1087</v>
      </c>
      <c r="H10140" s="170">
        <v>-1.6565468624622399E-7</v>
      </c>
      <c r="I10140" t="s">
        <v>1088</v>
      </c>
      <c r="J10140">
        <v>25.1</v>
      </c>
    </row>
    <row r="10141" spans="1:10" hidden="1">
      <c r="A10141" t="s">
        <v>6354</v>
      </c>
      <c r="B10141" t="s">
        <v>6355</v>
      </c>
      <c r="C10141" t="s">
        <v>5111</v>
      </c>
      <c r="D10141" t="s">
        <v>1273</v>
      </c>
      <c r="E10141" t="s">
        <v>559</v>
      </c>
      <c r="F10141" t="s">
        <v>1068</v>
      </c>
      <c r="G10141" t="s">
        <v>1089</v>
      </c>
      <c r="H10141" s="170">
        <v>-1.9181789765523299E-5</v>
      </c>
      <c r="I10141" t="s">
        <v>1090</v>
      </c>
      <c r="J10141">
        <v>25.1</v>
      </c>
    </row>
    <row r="10142" spans="1:10" hidden="1">
      <c r="A10142" t="s">
        <v>6356</v>
      </c>
      <c r="B10142" t="s">
        <v>6357</v>
      </c>
      <c r="C10142" t="s">
        <v>5111</v>
      </c>
      <c r="D10142" t="s">
        <v>1273</v>
      </c>
      <c r="E10142" t="s">
        <v>560</v>
      </c>
      <c r="F10142" t="s">
        <v>1068</v>
      </c>
      <c r="G10142" t="s">
        <v>1069</v>
      </c>
      <c r="H10142">
        <v>-0.153723592694129</v>
      </c>
      <c r="I10142" t="s">
        <v>1070</v>
      </c>
      <c r="J10142">
        <v>10.62</v>
      </c>
    </row>
    <row r="10143" spans="1:10" hidden="1">
      <c r="A10143" t="s">
        <v>6356</v>
      </c>
      <c r="B10143" t="s">
        <v>6357</v>
      </c>
      <c r="C10143" t="s">
        <v>5111</v>
      </c>
      <c r="D10143" t="s">
        <v>1273</v>
      </c>
      <c r="E10143" t="s">
        <v>560</v>
      </c>
      <c r="F10143" t="s">
        <v>1068</v>
      </c>
      <c r="G10143" t="s">
        <v>1071</v>
      </c>
      <c r="H10143" s="170">
        <v>-8.6426109288993101E-11</v>
      </c>
      <c r="I10143" t="s">
        <v>1072</v>
      </c>
      <c r="J10143">
        <v>10.62</v>
      </c>
    </row>
    <row r="10144" spans="1:10" hidden="1">
      <c r="A10144" t="s">
        <v>6356</v>
      </c>
      <c r="B10144" t="s">
        <v>6357</v>
      </c>
      <c r="C10144" t="s">
        <v>5111</v>
      </c>
      <c r="D10144" t="s">
        <v>1273</v>
      </c>
      <c r="E10144" t="s">
        <v>560</v>
      </c>
      <c r="F10144" t="s">
        <v>1068</v>
      </c>
      <c r="G10144" t="s">
        <v>1073</v>
      </c>
      <c r="H10144" s="170">
        <v>-5.0816456547025798E-8</v>
      </c>
      <c r="I10144" t="s">
        <v>1074</v>
      </c>
      <c r="J10144">
        <v>10.62</v>
      </c>
    </row>
    <row r="10145" spans="1:10" hidden="1">
      <c r="A10145" t="s">
        <v>6356</v>
      </c>
      <c r="B10145" t="s">
        <v>6357</v>
      </c>
      <c r="C10145" t="s">
        <v>5111</v>
      </c>
      <c r="D10145" t="s">
        <v>1273</v>
      </c>
      <c r="E10145" t="s">
        <v>560</v>
      </c>
      <c r="F10145" t="s">
        <v>1068</v>
      </c>
      <c r="G10145" t="s">
        <v>1075</v>
      </c>
      <c r="H10145">
        <v>-1.4172222631584799E-3</v>
      </c>
      <c r="I10145" t="s">
        <v>1077</v>
      </c>
      <c r="J10145">
        <v>10.62</v>
      </c>
    </row>
    <row r="10146" spans="1:10" hidden="1">
      <c r="A10146" t="s">
        <v>6356</v>
      </c>
      <c r="B10146" t="s">
        <v>6357</v>
      </c>
      <c r="C10146" t="s">
        <v>5111</v>
      </c>
      <c r="D10146" t="s">
        <v>1273</v>
      </c>
      <c r="E10146" t="s">
        <v>560</v>
      </c>
      <c r="F10146" t="s">
        <v>1068</v>
      </c>
      <c r="G10146" t="s">
        <v>1078</v>
      </c>
      <c r="H10146">
        <v>-0.254603311760357</v>
      </c>
      <c r="I10146" t="s">
        <v>1079</v>
      </c>
      <c r="J10146">
        <v>10.62</v>
      </c>
    </row>
    <row r="10147" spans="1:10" hidden="1">
      <c r="A10147" t="s">
        <v>6356</v>
      </c>
      <c r="B10147" t="s">
        <v>6357</v>
      </c>
      <c r="C10147" t="s">
        <v>5111</v>
      </c>
      <c r="D10147" t="s">
        <v>1273</v>
      </c>
      <c r="E10147" t="s">
        <v>560</v>
      </c>
      <c r="F10147" t="s">
        <v>1068</v>
      </c>
      <c r="G10147" t="s">
        <v>1080</v>
      </c>
      <c r="H10147" s="170">
        <v>-9.3126391456782596E-10</v>
      </c>
      <c r="I10147" t="s">
        <v>1082</v>
      </c>
      <c r="J10147">
        <v>10.62</v>
      </c>
    </row>
    <row r="10148" spans="1:10" hidden="1">
      <c r="A10148" t="s">
        <v>6356</v>
      </c>
      <c r="B10148" t="s">
        <v>6357</v>
      </c>
      <c r="C10148" t="s">
        <v>5111</v>
      </c>
      <c r="D10148" t="s">
        <v>1273</v>
      </c>
      <c r="E10148" t="s">
        <v>560</v>
      </c>
      <c r="F10148" t="s">
        <v>1068</v>
      </c>
      <c r="G10148" t="s">
        <v>1083</v>
      </c>
      <c r="H10148" s="170">
        <v>-2.2235311158589701E-5</v>
      </c>
      <c r="I10148" t="s">
        <v>1084</v>
      </c>
      <c r="J10148">
        <v>10.62</v>
      </c>
    </row>
    <row r="10149" spans="1:10" hidden="1">
      <c r="A10149" t="s">
        <v>6356</v>
      </c>
      <c r="B10149" t="s">
        <v>6357</v>
      </c>
      <c r="C10149" t="s">
        <v>5111</v>
      </c>
      <c r="D10149" t="s">
        <v>1273</v>
      </c>
      <c r="E10149" t="s">
        <v>560</v>
      </c>
      <c r="F10149" t="s">
        <v>1068</v>
      </c>
      <c r="G10149" t="s">
        <v>1085</v>
      </c>
      <c r="H10149">
        <v>-1.48832324155876E-4</v>
      </c>
      <c r="I10149" t="s">
        <v>1086</v>
      </c>
      <c r="J10149">
        <v>10.62</v>
      </c>
    </row>
    <row r="10150" spans="1:10" hidden="1">
      <c r="A10150" t="s">
        <v>6356</v>
      </c>
      <c r="B10150" t="s">
        <v>6357</v>
      </c>
      <c r="C10150" t="s">
        <v>5111</v>
      </c>
      <c r="D10150" t="s">
        <v>1273</v>
      </c>
      <c r="E10150" t="s">
        <v>560</v>
      </c>
      <c r="F10150" t="s">
        <v>1068</v>
      </c>
      <c r="G10150" t="s">
        <v>1087</v>
      </c>
      <c r="H10150" s="170">
        <v>-1.6373232073734901E-7</v>
      </c>
      <c r="I10150" t="s">
        <v>1088</v>
      </c>
      <c r="J10150">
        <v>10.62</v>
      </c>
    </row>
    <row r="10151" spans="1:10" hidden="1">
      <c r="A10151" t="s">
        <v>6356</v>
      </c>
      <c r="B10151" t="s">
        <v>6357</v>
      </c>
      <c r="C10151" t="s">
        <v>5111</v>
      </c>
      <c r="D10151" t="s">
        <v>1273</v>
      </c>
      <c r="E10151" t="s">
        <v>560</v>
      </c>
      <c r="F10151" t="s">
        <v>1068</v>
      </c>
      <c r="G10151" t="s">
        <v>1089</v>
      </c>
      <c r="H10151" s="170">
        <v>-1.8360040062944299E-5</v>
      </c>
      <c r="I10151" t="s">
        <v>1090</v>
      </c>
      <c r="J10151">
        <v>10.62</v>
      </c>
    </row>
    <row r="10152" spans="1:10" hidden="1">
      <c r="A10152" t="s">
        <v>6358</v>
      </c>
      <c r="B10152" t="s">
        <v>6359</v>
      </c>
      <c r="C10152" t="s">
        <v>5111</v>
      </c>
      <c r="D10152" t="s">
        <v>1273</v>
      </c>
      <c r="E10152" t="s">
        <v>1116</v>
      </c>
      <c r="F10152" t="s">
        <v>1068</v>
      </c>
      <c r="G10152" t="s">
        <v>1069</v>
      </c>
      <c r="H10152">
        <v>-0.14010698462322599</v>
      </c>
      <c r="I10152" t="s">
        <v>1070</v>
      </c>
      <c r="J10152">
        <v>9.0399999999999991</v>
      </c>
    </row>
    <row r="10153" spans="1:10" hidden="1">
      <c r="A10153" t="s">
        <v>6358</v>
      </c>
      <c r="B10153" t="s">
        <v>6359</v>
      </c>
      <c r="C10153" t="s">
        <v>5111</v>
      </c>
      <c r="D10153" t="s">
        <v>1273</v>
      </c>
      <c r="E10153" t="s">
        <v>1116</v>
      </c>
      <c r="F10153" t="s">
        <v>1068</v>
      </c>
      <c r="G10153" t="s">
        <v>1071</v>
      </c>
      <c r="H10153" s="170">
        <v>-6.6940588224953998E-11</v>
      </c>
      <c r="I10153" t="s">
        <v>1072</v>
      </c>
      <c r="J10153">
        <v>9.0399999999999991</v>
      </c>
    </row>
    <row r="10154" spans="1:10" hidden="1">
      <c r="A10154" t="s">
        <v>6358</v>
      </c>
      <c r="B10154" t="s">
        <v>6359</v>
      </c>
      <c r="C10154" t="s">
        <v>5111</v>
      </c>
      <c r="D10154" t="s">
        <v>1273</v>
      </c>
      <c r="E10154" t="s">
        <v>1116</v>
      </c>
      <c r="F10154" t="s">
        <v>1068</v>
      </c>
      <c r="G10154" t="s">
        <v>1073</v>
      </c>
      <c r="H10154" s="170">
        <v>-4.5979794274670099E-8</v>
      </c>
      <c r="I10154" t="s">
        <v>1074</v>
      </c>
      <c r="J10154">
        <v>9.0399999999999991</v>
      </c>
    </row>
    <row r="10155" spans="1:10" hidden="1">
      <c r="A10155" t="s">
        <v>6358</v>
      </c>
      <c r="B10155" t="s">
        <v>6359</v>
      </c>
      <c r="C10155" t="s">
        <v>5111</v>
      </c>
      <c r="D10155" t="s">
        <v>1273</v>
      </c>
      <c r="E10155" t="s">
        <v>1116</v>
      </c>
      <c r="F10155" t="s">
        <v>1068</v>
      </c>
      <c r="G10155" t="s">
        <v>1075</v>
      </c>
      <c r="H10155">
        <v>-9.867867358304709E-4</v>
      </c>
      <c r="I10155" t="s">
        <v>1077</v>
      </c>
      <c r="J10155">
        <v>9.0399999999999991</v>
      </c>
    </row>
    <row r="10156" spans="1:10" hidden="1">
      <c r="A10156" t="s">
        <v>6358</v>
      </c>
      <c r="B10156" t="s">
        <v>6359</v>
      </c>
      <c r="C10156" t="s">
        <v>5111</v>
      </c>
      <c r="D10156" t="s">
        <v>1273</v>
      </c>
      <c r="E10156" t="s">
        <v>1116</v>
      </c>
      <c r="F10156" t="s">
        <v>1068</v>
      </c>
      <c r="G10156" t="s">
        <v>1078</v>
      </c>
      <c r="H10156">
        <v>-0.23598961919924699</v>
      </c>
      <c r="I10156" t="s">
        <v>1079</v>
      </c>
      <c r="J10156">
        <v>9.0399999999999991</v>
      </c>
    </row>
    <row r="10157" spans="1:10" hidden="1">
      <c r="A10157" t="s">
        <v>6358</v>
      </c>
      <c r="B10157" t="s">
        <v>6359</v>
      </c>
      <c r="C10157" t="s">
        <v>5111</v>
      </c>
      <c r="D10157" t="s">
        <v>1273</v>
      </c>
      <c r="E10157" t="s">
        <v>1116</v>
      </c>
      <c r="F10157" t="s">
        <v>1068</v>
      </c>
      <c r="G10157" t="s">
        <v>1080</v>
      </c>
      <c r="H10157" s="170">
        <v>-8.5557407776237899E-10</v>
      </c>
      <c r="I10157" t="s">
        <v>1082</v>
      </c>
      <c r="J10157">
        <v>9.0399999999999991</v>
      </c>
    </row>
    <row r="10158" spans="1:10" hidden="1">
      <c r="A10158" t="s">
        <v>6358</v>
      </c>
      <c r="B10158" t="s">
        <v>6359</v>
      </c>
      <c r="C10158" t="s">
        <v>5111</v>
      </c>
      <c r="D10158" t="s">
        <v>1273</v>
      </c>
      <c r="E10158" t="s">
        <v>1116</v>
      </c>
      <c r="F10158" t="s">
        <v>1068</v>
      </c>
      <c r="G10158" t="s">
        <v>1083</v>
      </c>
      <c r="H10158" s="170">
        <v>-2.0165577915610299E-5</v>
      </c>
      <c r="I10158" t="s">
        <v>1084</v>
      </c>
      <c r="J10158">
        <v>9.0399999999999991</v>
      </c>
    </row>
    <row r="10159" spans="1:10" hidden="1">
      <c r="A10159" t="s">
        <v>6358</v>
      </c>
      <c r="B10159" t="s">
        <v>6359</v>
      </c>
      <c r="C10159" t="s">
        <v>5111</v>
      </c>
      <c r="D10159" t="s">
        <v>1273</v>
      </c>
      <c r="E10159" t="s">
        <v>1116</v>
      </c>
      <c r="F10159" t="s">
        <v>1068</v>
      </c>
      <c r="G10159" t="s">
        <v>1085</v>
      </c>
      <c r="H10159">
        <v>-1.25440137835181E-4</v>
      </c>
      <c r="I10159" t="s">
        <v>1086</v>
      </c>
      <c r="J10159">
        <v>9.0399999999999991</v>
      </c>
    </row>
    <row r="10160" spans="1:10" hidden="1">
      <c r="A10160" t="s">
        <v>6358</v>
      </c>
      <c r="B10160" t="s">
        <v>6359</v>
      </c>
      <c r="C10160" t="s">
        <v>5111</v>
      </c>
      <c r="D10160" t="s">
        <v>1273</v>
      </c>
      <c r="E10160" t="s">
        <v>1116</v>
      </c>
      <c r="F10160" t="s">
        <v>1068</v>
      </c>
      <c r="G10160" t="s">
        <v>1087</v>
      </c>
      <c r="H10160" s="170">
        <v>-1.5244314480991001E-7</v>
      </c>
      <c r="I10160" t="s">
        <v>1088</v>
      </c>
      <c r="J10160">
        <v>9.0399999999999991</v>
      </c>
    </row>
    <row r="10161" spans="1:10" hidden="1">
      <c r="A10161" t="s">
        <v>6358</v>
      </c>
      <c r="B10161" t="s">
        <v>6359</v>
      </c>
      <c r="C10161" t="s">
        <v>5111</v>
      </c>
      <c r="D10161" t="s">
        <v>1273</v>
      </c>
      <c r="E10161" t="s">
        <v>1116</v>
      </c>
      <c r="F10161" t="s">
        <v>1068</v>
      </c>
      <c r="G10161" t="s">
        <v>1089</v>
      </c>
      <c r="H10161" s="170">
        <v>-1.35342782183789E-5</v>
      </c>
      <c r="I10161" t="s">
        <v>1090</v>
      </c>
      <c r="J10161">
        <v>9.0399999999999991</v>
      </c>
    </row>
    <row r="10162" spans="1:10" hidden="1">
      <c r="A10162" t="s">
        <v>6360</v>
      </c>
      <c r="B10162" t="s">
        <v>6361</v>
      </c>
      <c r="C10162" t="s">
        <v>5111</v>
      </c>
      <c r="D10162" t="s">
        <v>3374</v>
      </c>
      <c r="E10162" t="s">
        <v>561</v>
      </c>
      <c r="F10162" t="s">
        <v>1068</v>
      </c>
      <c r="G10162" t="s">
        <v>1069</v>
      </c>
      <c r="H10162" s="171" t="s">
        <v>6362</v>
      </c>
      <c r="I10162" t="s">
        <v>1070</v>
      </c>
      <c r="J10162">
        <v>8.17</v>
      </c>
    </row>
    <row r="10163" spans="1:10" hidden="1">
      <c r="A10163" t="s">
        <v>6360</v>
      </c>
      <c r="B10163" t="s">
        <v>6361</v>
      </c>
      <c r="C10163" t="s">
        <v>5111</v>
      </c>
      <c r="D10163" t="s">
        <v>3374</v>
      </c>
      <c r="E10163" t="s">
        <v>561</v>
      </c>
      <c r="F10163" t="s">
        <v>1068</v>
      </c>
      <c r="G10163" t="s">
        <v>1071</v>
      </c>
      <c r="H10163" s="171" t="s">
        <v>6363</v>
      </c>
      <c r="I10163" t="s">
        <v>1072</v>
      </c>
      <c r="J10163">
        <v>8.17</v>
      </c>
    </row>
    <row r="10164" spans="1:10" hidden="1">
      <c r="A10164" t="s">
        <v>6360</v>
      </c>
      <c r="B10164" t="s">
        <v>6361</v>
      </c>
      <c r="C10164" t="s">
        <v>5111</v>
      </c>
      <c r="D10164" t="s">
        <v>3374</v>
      </c>
      <c r="E10164" t="s">
        <v>561</v>
      </c>
      <c r="F10164" t="s">
        <v>1068</v>
      </c>
      <c r="G10164" t="s">
        <v>1073</v>
      </c>
      <c r="H10164" s="171" t="s">
        <v>6364</v>
      </c>
      <c r="I10164" t="s">
        <v>1074</v>
      </c>
      <c r="J10164">
        <v>8.17</v>
      </c>
    </row>
    <row r="10165" spans="1:10" hidden="1">
      <c r="A10165" t="s">
        <v>6360</v>
      </c>
      <c r="B10165" t="s">
        <v>6361</v>
      </c>
      <c r="C10165" t="s">
        <v>5111</v>
      </c>
      <c r="D10165" t="s">
        <v>3374</v>
      </c>
      <c r="E10165" t="s">
        <v>561</v>
      </c>
      <c r="F10165" t="s">
        <v>1068</v>
      </c>
      <c r="G10165" t="s">
        <v>1075</v>
      </c>
      <c r="H10165">
        <v>3.8390442677301399E-3</v>
      </c>
      <c r="I10165" t="s">
        <v>1077</v>
      </c>
      <c r="J10165">
        <v>8.17</v>
      </c>
    </row>
    <row r="10166" spans="1:10" hidden="1">
      <c r="A10166" t="s">
        <v>6360</v>
      </c>
      <c r="B10166" t="s">
        <v>6361</v>
      </c>
      <c r="C10166" t="s">
        <v>5111</v>
      </c>
      <c r="D10166" t="s">
        <v>3374</v>
      </c>
      <c r="E10166" t="s">
        <v>561</v>
      </c>
      <c r="F10166" t="s">
        <v>1068</v>
      </c>
      <c r="G10166" t="s">
        <v>1078</v>
      </c>
      <c r="H10166" s="171" t="s">
        <v>6365</v>
      </c>
      <c r="I10166" t="s">
        <v>1079</v>
      </c>
      <c r="J10166">
        <v>8.17</v>
      </c>
    </row>
    <row r="10167" spans="1:10" hidden="1">
      <c r="A10167" t="s">
        <v>6360</v>
      </c>
      <c r="B10167" t="s">
        <v>6361</v>
      </c>
      <c r="C10167" t="s">
        <v>5111</v>
      </c>
      <c r="D10167" t="s">
        <v>3374</v>
      </c>
      <c r="E10167" t="s">
        <v>561</v>
      </c>
      <c r="F10167" t="s">
        <v>1068</v>
      </c>
      <c r="G10167" t="s">
        <v>1080</v>
      </c>
      <c r="H10167" s="171" t="s">
        <v>6366</v>
      </c>
      <c r="I10167" t="s">
        <v>1082</v>
      </c>
      <c r="J10167">
        <v>8.17</v>
      </c>
    </row>
    <row r="10168" spans="1:10" hidden="1">
      <c r="A10168" t="s">
        <v>6360</v>
      </c>
      <c r="B10168" t="s">
        <v>6361</v>
      </c>
      <c r="C10168" t="s">
        <v>5111</v>
      </c>
      <c r="D10168" t="s">
        <v>3374</v>
      </c>
      <c r="E10168" t="s">
        <v>561</v>
      </c>
      <c r="F10168" t="s">
        <v>1068</v>
      </c>
      <c r="G10168" t="s">
        <v>1083</v>
      </c>
      <c r="H10168" s="171" t="s">
        <v>6367</v>
      </c>
      <c r="I10168" t="s">
        <v>1084</v>
      </c>
      <c r="J10168">
        <v>8.17</v>
      </c>
    </row>
    <row r="10169" spans="1:10" hidden="1">
      <c r="A10169" t="s">
        <v>6360</v>
      </c>
      <c r="B10169" t="s">
        <v>6361</v>
      </c>
      <c r="C10169" t="s">
        <v>5111</v>
      </c>
      <c r="D10169" t="s">
        <v>3374</v>
      </c>
      <c r="E10169" t="s">
        <v>561</v>
      </c>
      <c r="F10169" t="s">
        <v>1068</v>
      </c>
      <c r="G10169" t="s">
        <v>1085</v>
      </c>
      <c r="H10169">
        <v>1.32469781396794E-4</v>
      </c>
      <c r="I10169" t="s">
        <v>1086</v>
      </c>
      <c r="J10169">
        <v>8.17</v>
      </c>
    </row>
    <row r="10170" spans="1:10" hidden="1">
      <c r="A10170" t="s">
        <v>6360</v>
      </c>
      <c r="B10170" t="s">
        <v>6361</v>
      </c>
      <c r="C10170" t="s">
        <v>5111</v>
      </c>
      <c r="D10170" t="s">
        <v>3374</v>
      </c>
      <c r="E10170" t="s">
        <v>561</v>
      </c>
      <c r="F10170" t="s">
        <v>1068</v>
      </c>
      <c r="G10170" t="s">
        <v>1087</v>
      </c>
      <c r="H10170" s="171" t="s">
        <v>6368</v>
      </c>
      <c r="I10170" t="s">
        <v>1088</v>
      </c>
      <c r="J10170">
        <v>8.17</v>
      </c>
    </row>
    <row r="10171" spans="1:10" hidden="1">
      <c r="A10171" t="s">
        <v>6360</v>
      </c>
      <c r="B10171" t="s">
        <v>6361</v>
      </c>
      <c r="C10171" t="s">
        <v>5111</v>
      </c>
      <c r="D10171" t="s">
        <v>3374</v>
      </c>
      <c r="E10171" t="s">
        <v>561</v>
      </c>
      <c r="F10171" t="s">
        <v>1068</v>
      </c>
      <c r="G10171" t="s">
        <v>1089</v>
      </c>
      <c r="H10171" s="171" t="s">
        <v>6369</v>
      </c>
      <c r="I10171" t="s">
        <v>1090</v>
      </c>
      <c r="J10171">
        <v>8.17</v>
      </c>
    </row>
    <row r="10172" spans="1:10" hidden="1">
      <c r="A10172" t="s">
        <v>6370</v>
      </c>
      <c r="B10172" t="s">
        <v>6371</v>
      </c>
      <c r="C10172" t="s">
        <v>5111</v>
      </c>
      <c r="D10172" t="s">
        <v>3374</v>
      </c>
      <c r="E10172" t="s">
        <v>555</v>
      </c>
      <c r="F10172" t="s">
        <v>1068</v>
      </c>
      <c r="G10172" t="s">
        <v>1069</v>
      </c>
      <c r="H10172">
        <v>9.9793726296743698E-2</v>
      </c>
      <c r="I10172" t="s">
        <v>1070</v>
      </c>
      <c r="J10172">
        <v>7.33</v>
      </c>
    </row>
    <row r="10173" spans="1:10" hidden="1">
      <c r="A10173" t="s">
        <v>6370</v>
      </c>
      <c r="B10173" t="s">
        <v>6371</v>
      </c>
      <c r="C10173" t="s">
        <v>5111</v>
      </c>
      <c r="D10173" t="s">
        <v>3374</v>
      </c>
      <c r="E10173" t="s">
        <v>555</v>
      </c>
      <c r="F10173" t="s">
        <v>1068</v>
      </c>
      <c r="G10173" t="s">
        <v>1071</v>
      </c>
      <c r="H10173" s="171" t="s">
        <v>6372</v>
      </c>
      <c r="I10173" t="s">
        <v>1072</v>
      </c>
      <c r="J10173">
        <v>7.33</v>
      </c>
    </row>
    <row r="10174" spans="1:10" hidden="1">
      <c r="A10174" t="s">
        <v>6370</v>
      </c>
      <c r="B10174" t="s">
        <v>6371</v>
      </c>
      <c r="C10174" t="s">
        <v>5111</v>
      </c>
      <c r="D10174" t="s">
        <v>3374</v>
      </c>
      <c r="E10174" t="s">
        <v>555</v>
      </c>
      <c r="F10174" t="s">
        <v>1068</v>
      </c>
      <c r="G10174" t="s">
        <v>1073</v>
      </c>
      <c r="H10174" s="171" t="s">
        <v>6373</v>
      </c>
      <c r="I10174" t="s">
        <v>1074</v>
      </c>
      <c r="J10174">
        <v>7.33</v>
      </c>
    </row>
    <row r="10175" spans="1:10" hidden="1">
      <c r="A10175" t="s">
        <v>6370</v>
      </c>
      <c r="B10175" t="s">
        <v>6371</v>
      </c>
      <c r="C10175" t="s">
        <v>5111</v>
      </c>
      <c r="D10175" t="s">
        <v>3374</v>
      </c>
      <c r="E10175" t="s">
        <v>555</v>
      </c>
      <c r="F10175" t="s">
        <v>1068</v>
      </c>
      <c r="G10175" t="s">
        <v>1075</v>
      </c>
      <c r="H10175">
        <v>3.7908274420975102E-3</v>
      </c>
      <c r="I10175" t="s">
        <v>1077</v>
      </c>
      <c r="J10175">
        <v>7.33</v>
      </c>
    </row>
    <row r="10176" spans="1:10" hidden="1">
      <c r="A10176" t="s">
        <v>6370</v>
      </c>
      <c r="B10176" t="s">
        <v>6371</v>
      </c>
      <c r="C10176" t="s">
        <v>5111</v>
      </c>
      <c r="D10176" t="s">
        <v>3374</v>
      </c>
      <c r="E10176" t="s">
        <v>555</v>
      </c>
      <c r="F10176" t="s">
        <v>1068</v>
      </c>
      <c r="G10176" t="s">
        <v>1078</v>
      </c>
      <c r="H10176" s="171" t="s">
        <v>6374</v>
      </c>
      <c r="I10176" t="s">
        <v>1079</v>
      </c>
      <c r="J10176">
        <v>7.33</v>
      </c>
    </row>
    <row r="10177" spans="1:10" hidden="1">
      <c r="A10177" t="s">
        <v>6370</v>
      </c>
      <c r="B10177" t="s">
        <v>6371</v>
      </c>
      <c r="C10177" t="s">
        <v>5111</v>
      </c>
      <c r="D10177" t="s">
        <v>3374</v>
      </c>
      <c r="E10177" t="s">
        <v>555</v>
      </c>
      <c r="F10177" t="s">
        <v>1068</v>
      </c>
      <c r="G10177" t="s">
        <v>1080</v>
      </c>
      <c r="H10177" s="171" t="s">
        <v>6375</v>
      </c>
      <c r="I10177" t="s">
        <v>1082</v>
      </c>
      <c r="J10177">
        <v>7.33</v>
      </c>
    </row>
    <row r="10178" spans="1:10" hidden="1">
      <c r="A10178" t="s">
        <v>6370</v>
      </c>
      <c r="B10178" t="s">
        <v>6371</v>
      </c>
      <c r="C10178" t="s">
        <v>5111</v>
      </c>
      <c r="D10178" t="s">
        <v>3374</v>
      </c>
      <c r="E10178" t="s">
        <v>555</v>
      </c>
      <c r="F10178" t="s">
        <v>1068</v>
      </c>
      <c r="G10178" t="s">
        <v>1083</v>
      </c>
      <c r="H10178" s="171" t="s">
        <v>6376</v>
      </c>
      <c r="I10178" t="s">
        <v>1084</v>
      </c>
      <c r="J10178">
        <v>7.33</v>
      </c>
    </row>
    <row r="10179" spans="1:10" hidden="1">
      <c r="A10179" t="s">
        <v>6370</v>
      </c>
      <c r="B10179" t="s">
        <v>6371</v>
      </c>
      <c r="C10179" t="s">
        <v>5111</v>
      </c>
      <c r="D10179" t="s">
        <v>3374</v>
      </c>
      <c r="E10179" t="s">
        <v>555</v>
      </c>
      <c r="F10179" t="s">
        <v>1068</v>
      </c>
      <c r="G10179" t="s">
        <v>1085</v>
      </c>
      <c r="H10179">
        <v>1.2984941516333001E-4</v>
      </c>
      <c r="I10179" t="s">
        <v>1086</v>
      </c>
      <c r="J10179">
        <v>7.33</v>
      </c>
    </row>
    <row r="10180" spans="1:10" hidden="1">
      <c r="A10180" t="s">
        <v>6370</v>
      </c>
      <c r="B10180" t="s">
        <v>6371</v>
      </c>
      <c r="C10180" t="s">
        <v>5111</v>
      </c>
      <c r="D10180" t="s">
        <v>3374</v>
      </c>
      <c r="E10180" t="s">
        <v>555</v>
      </c>
      <c r="F10180" t="s">
        <v>1068</v>
      </c>
      <c r="G10180" t="s">
        <v>1087</v>
      </c>
      <c r="H10180" s="171" t="s">
        <v>6377</v>
      </c>
      <c r="I10180" t="s">
        <v>1088</v>
      </c>
      <c r="J10180">
        <v>7.33</v>
      </c>
    </row>
    <row r="10181" spans="1:10" hidden="1">
      <c r="A10181" t="s">
        <v>6370</v>
      </c>
      <c r="B10181" t="s">
        <v>6371</v>
      </c>
      <c r="C10181" t="s">
        <v>5111</v>
      </c>
      <c r="D10181" t="s">
        <v>3374</v>
      </c>
      <c r="E10181" t="s">
        <v>555</v>
      </c>
      <c r="F10181" t="s">
        <v>1068</v>
      </c>
      <c r="G10181" t="s">
        <v>1089</v>
      </c>
      <c r="H10181" s="171" t="s">
        <v>6378</v>
      </c>
      <c r="I10181" t="s">
        <v>1090</v>
      </c>
      <c r="J10181">
        <v>7.33</v>
      </c>
    </row>
    <row r="10182" spans="1:10" hidden="1">
      <c r="A10182" t="s">
        <v>6379</v>
      </c>
      <c r="B10182" t="s">
        <v>6380</v>
      </c>
      <c r="C10182" t="s">
        <v>5111</v>
      </c>
      <c r="D10182" t="s">
        <v>3374</v>
      </c>
      <c r="E10182" t="s">
        <v>558</v>
      </c>
      <c r="F10182" t="s">
        <v>1068</v>
      </c>
      <c r="G10182" t="s">
        <v>1069</v>
      </c>
      <c r="H10182" s="171" t="s">
        <v>6381</v>
      </c>
      <c r="I10182" t="s">
        <v>1070</v>
      </c>
      <c r="J10182">
        <v>6.77</v>
      </c>
    </row>
    <row r="10183" spans="1:10" hidden="1">
      <c r="A10183" t="s">
        <v>6379</v>
      </c>
      <c r="B10183" t="s">
        <v>6380</v>
      </c>
      <c r="C10183" t="s">
        <v>5111</v>
      </c>
      <c r="D10183" t="s">
        <v>3374</v>
      </c>
      <c r="E10183" t="s">
        <v>558</v>
      </c>
      <c r="F10183" t="s">
        <v>1068</v>
      </c>
      <c r="G10183" t="s">
        <v>1071</v>
      </c>
      <c r="H10183" s="171" t="s">
        <v>6382</v>
      </c>
      <c r="I10183" t="s">
        <v>1072</v>
      </c>
      <c r="J10183">
        <v>6.77</v>
      </c>
    </row>
    <row r="10184" spans="1:10" hidden="1">
      <c r="A10184" t="s">
        <v>6379</v>
      </c>
      <c r="B10184" t="s">
        <v>6380</v>
      </c>
      <c r="C10184" t="s">
        <v>5111</v>
      </c>
      <c r="D10184" t="s">
        <v>3374</v>
      </c>
      <c r="E10184" t="s">
        <v>558</v>
      </c>
      <c r="F10184" t="s">
        <v>1068</v>
      </c>
      <c r="G10184" t="s">
        <v>1073</v>
      </c>
      <c r="H10184" s="171" t="s">
        <v>6383</v>
      </c>
      <c r="I10184" t="s">
        <v>1074</v>
      </c>
      <c r="J10184">
        <v>6.77</v>
      </c>
    </row>
    <row r="10185" spans="1:10" hidden="1">
      <c r="A10185" t="s">
        <v>6379</v>
      </c>
      <c r="B10185" t="s">
        <v>6380</v>
      </c>
      <c r="C10185" t="s">
        <v>5111</v>
      </c>
      <c r="D10185" t="s">
        <v>3374</v>
      </c>
      <c r="E10185" t="s">
        <v>558</v>
      </c>
      <c r="F10185" t="s">
        <v>1068</v>
      </c>
      <c r="G10185" t="s">
        <v>1075</v>
      </c>
      <c r="H10185">
        <v>3.8433158042862499E-3</v>
      </c>
      <c r="I10185" t="s">
        <v>1077</v>
      </c>
      <c r="J10185">
        <v>6.77</v>
      </c>
    </row>
    <row r="10186" spans="1:10" hidden="1">
      <c r="A10186" t="s">
        <v>6379</v>
      </c>
      <c r="B10186" t="s">
        <v>6380</v>
      </c>
      <c r="C10186" t="s">
        <v>5111</v>
      </c>
      <c r="D10186" t="s">
        <v>3374</v>
      </c>
      <c r="E10186" t="s">
        <v>558</v>
      </c>
      <c r="F10186" t="s">
        <v>1068</v>
      </c>
      <c r="G10186" t="s">
        <v>1078</v>
      </c>
      <c r="H10186" s="171" t="s">
        <v>6384</v>
      </c>
      <c r="I10186" t="s">
        <v>1079</v>
      </c>
      <c r="J10186">
        <v>6.77</v>
      </c>
    </row>
    <row r="10187" spans="1:10" hidden="1">
      <c r="A10187" t="s">
        <v>6379</v>
      </c>
      <c r="B10187" t="s">
        <v>6380</v>
      </c>
      <c r="C10187" t="s">
        <v>5111</v>
      </c>
      <c r="D10187" t="s">
        <v>3374</v>
      </c>
      <c r="E10187" t="s">
        <v>558</v>
      </c>
      <c r="F10187" t="s">
        <v>1068</v>
      </c>
      <c r="G10187" t="s">
        <v>1080</v>
      </c>
      <c r="H10187" s="171" t="s">
        <v>6385</v>
      </c>
      <c r="I10187" t="s">
        <v>1082</v>
      </c>
      <c r="J10187">
        <v>6.77</v>
      </c>
    </row>
    <row r="10188" spans="1:10" hidden="1">
      <c r="A10188" t="s">
        <v>6379</v>
      </c>
      <c r="B10188" t="s">
        <v>6380</v>
      </c>
      <c r="C10188" t="s">
        <v>5111</v>
      </c>
      <c r="D10188" t="s">
        <v>3374</v>
      </c>
      <c r="E10188" t="s">
        <v>558</v>
      </c>
      <c r="F10188" t="s">
        <v>1068</v>
      </c>
      <c r="G10188" t="s">
        <v>1083</v>
      </c>
      <c r="H10188" s="171" t="s">
        <v>6386</v>
      </c>
      <c r="I10188" t="s">
        <v>1084</v>
      </c>
      <c r="J10188">
        <v>6.77</v>
      </c>
    </row>
    <row r="10189" spans="1:10" hidden="1">
      <c r="A10189" t="s">
        <v>6379</v>
      </c>
      <c r="B10189" t="s">
        <v>6380</v>
      </c>
      <c r="C10189" t="s">
        <v>5111</v>
      </c>
      <c r="D10189" t="s">
        <v>3374</v>
      </c>
      <c r="E10189" t="s">
        <v>558</v>
      </c>
      <c r="F10189" t="s">
        <v>1068</v>
      </c>
      <c r="G10189" t="s">
        <v>1085</v>
      </c>
      <c r="H10189">
        <v>1.3270191971402501E-4</v>
      </c>
      <c r="I10189" t="s">
        <v>1086</v>
      </c>
      <c r="J10189">
        <v>6.77</v>
      </c>
    </row>
    <row r="10190" spans="1:10" hidden="1">
      <c r="A10190" t="s">
        <v>6379</v>
      </c>
      <c r="B10190" t="s">
        <v>6380</v>
      </c>
      <c r="C10190" t="s">
        <v>5111</v>
      </c>
      <c r="D10190" t="s">
        <v>3374</v>
      </c>
      <c r="E10190" t="s">
        <v>558</v>
      </c>
      <c r="F10190" t="s">
        <v>1068</v>
      </c>
      <c r="G10190" t="s">
        <v>1087</v>
      </c>
      <c r="H10190" s="171" t="s">
        <v>6387</v>
      </c>
      <c r="I10190" t="s">
        <v>1088</v>
      </c>
      <c r="J10190">
        <v>6.77</v>
      </c>
    </row>
    <row r="10191" spans="1:10" hidden="1">
      <c r="A10191" t="s">
        <v>6379</v>
      </c>
      <c r="B10191" t="s">
        <v>6380</v>
      </c>
      <c r="C10191" t="s">
        <v>5111</v>
      </c>
      <c r="D10191" t="s">
        <v>3374</v>
      </c>
      <c r="E10191" t="s">
        <v>558</v>
      </c>
      <c r="F10191" t="s">
        <v>1068</v>
      </c>
      <c r="G10191" t="s">
        <v>1089</v>
      </c>
      <c r="H10191" s="171" t="s">
        <v>6388</v>
      </c>
      <c r="I10191" t="s">
        <v>1090</v>
      </c>
      <c r="J10191">
        <v>6.77</v>
      </c>
    </row>
    <row r="10192" spans="1:10" hidden="1">
      <c r="A10192" t="s">
        <v>6389</v>
      </c>
      <c r="B10192" t="s">
        <v>6390</v>
      </c>
      <c r="C10192" t="s">
        <v>5111</v>
      </c>
      <c r="D10192" t="s">
        <v>3374</v>
      </c>
      <c r="E10192" t="s">
        <v>553</v>
      </c>
      <c r="F10192" t="s">
        <v>1068</v>
      </c>
      <c r="G10192" t="s">
        <v>1069</v>
      </c>
      <c r="H10192" s="171" t="s">
        <v>6391</v>
      </c>
      <c r="I10192" t="s">
        <v>1070</v>
      </c>
      <c r="J10192">
        <v>7.77</v>
      </c>
    </row>
    <row r="10193" spans="1:10" hidden="1">
      <c r="A10193" t="s">
        <v>6389</v>
      </c>
      <c r="B10193" t="s">
        <v>6390</v>
      </c>
      <c r="C10193" t="s">
        <v>5111</v>
      </c>
      <c r="D10193" t="s">
        <v>3374</v>
      </c>
      <c r="E10193" t="s">
        <v>553</v>
      </c>
      <c r="F10193" t="s">
        <v>1068</v>
      </c>
      <c r="G10193" t="s">
        <v>1071</v>
      </c>
      <c r="H10193" s="171" t="s">
        <v>6392</v>
      </c>
      <c r="I10193" t="s">
        <v>1072</v>
      </c>
      <c r="J10193">
        <v>7.77</v>
      </c>
    </row>
    <row r="10194" spans="1:10" hidden="1">
      <c r="A10194" t="s">
        <v>6389</v>
      </c>
      <c r="B10194" t="s">
        <v>6390</v>
      </c>
      <c r="C10194" t="s">
        <v>5111</v>
      </c>
      <c r="D10194" t="s">
        <v>3374</v>
      </c>
      <c r="E10194" t="s">
        <v>553</v>
      </c>
      <c r="F10194" t="s">
        <v>1068</v>
      </c>
      <c r="G10194" t="s">
        <v>1073</v>
      </c>
      <c r="H10194" s="171" t="s">
        <v>6393</v>
      </c>
      <c r="I10194" t="s">
        <v>1074</v>
      </c>
      <c r="J10194">
        <v>7.77</v>
      </c>
    </row>
    <row r="10195" spans="1:10" hidden="1">
      <c r="A10195" t="s">
        <v>6389</v>
      </c>
      <c r="B10195" t="s">
        <v>6390</v>
      </c>
      <c r="C10195" t="s">
        <v>5111</v>
      </c>
      <c r="D10195" t="s">
        <v>3374</v>
      </c>
      <c r="E10195" t="s">
        <v>553</v>
      </c>
      <c r="F10195" t="s">
        <v>1068</v>
      </c>
      <c r="G10195" t="s">
        <v>1075</v>
      </c>
      <c r="H10195">
        <v>3.8475224289638301E-3</v>
      </c>
      <c r="I10195" t="s">
        <v>1077</v>
      </c>
      <c r="J10195">
        <v>7.77</v>
      </c>
    </row>
    <row r="10196" spans="1:10" hidden="1">
      <c r="A10196" t="s">
        <v>6389</v>
      </c>
      <c r="B10196" t="s">
        <v>6390</v>
      </c>
      <c r="C10196" t="s">
        <v>5111</v>
      </c>
      <c r="D10196" t="s">
        <v>3374</v>
      </c>
      <c r="E10196" t="s">
        <v>553</v>
      </c>
      <c r="F10196" t="s">
        <v>1068</v>
      </c>
      <c r="G10196" t="s">
        <v>1078</v>
      </c>
      <c r="H10196">
        <v>3.13814477385191E-2</v>
      </c>
      <c r="I10196" t="s">
        <v>1079</v>
      </c>
      <c r="J10196">
        <v>7.77</v>
      </c>
    </row>
    <row r="10197" spans="1:10" hidden="1">
      <c r="A10197" t="s">
        <v>6389</v>
      </c>
      <c r="B10197" t="s">
        <v>6390</v>
      </c>
      <c r="C10197" t="s">
        <v>5111</v>
      </c>
      <c r="D10197" t="s">
        <v>3374</v>
      </c>
      <c r="E10197" t="s">
        <v>553</v>
      </c>
      <c r="F10197" t="s">
        <v>1068</v>
      </c>
      <c r="G10197" t="s">
        <v>1080</v>
      </c>
      <c r="H10197" s="171" t="s">
        <v>6394</v>
      </c>
      <c r="I10197" t="s">
        <v>1082</v>
      </c>
      <c r="J10197">
        <v>7.77</v>
      </c>
    </row>
    <row r="10198" spans="1:10" hidden="1">
      <c r="A10198" t="s">
        <v>6389</v>
      </c>
      <c r="B10198" t="s">
        <v>6390</v>
      </c>
      <c r="C10198" t="s">
        <v>5111</v>
      </c>
      <c r="D10198" t="s">
        <v>3374</v>
      </c>
      <c r="E10198" t="s">
        <v>553</v>
      </c>
      <c r="F10198" t="s">
        <v>1068</v>
      </c>
      <c r="G10198" t="s">
        <v>1083</v>
      </c>
      <c r="H10198" s="171" t="s">
        <v>6395</v>
      </c>
      <c r="I10198" t="s">
        <v>1084</v>
      </c>
      <c r="J10198">
        <v>7.77</v>
      </c>
    </row>
    <row r="10199" spans="1:10" hidden="1">
      <c r="A10199" t="s">
        <v>6389</v>
      </c>
      <c r="B10199" t="s">
        <v>6390</v>
      </c>
      <c r="C10199" t="s">
        <v>5111</v>
      </c>
      <c r="D10199" t="s">
        <v>3374</v>
      </c>
      <c r="E10199" t="s">
        <v>553</v>
      </c>
      <c r="F10199" t="s">
        <v>1068</v>
      </c>
      <c r="G10199" t="s">
        <v>1085</v>
      </c>
      <c r="H10199">
        <v>1.3293052629852201E-4</v>
      </c>
      <c r="I10199" t="s">
        <v>1086</v>
      </c>
      <c r="J10199">
        <v>7.77</v>
      </c>
    </row>
    <row r="10200" spans="1:10" hidden="1">
      <c r="A10200" t="s">
        <v>6389</v>
      </c>
      <c r="B10200" t="s">
        <v>6390</v>
      </c>
      <c r="C10200" t="s">
        <v>5111</v>
      </c>
      <c r="D10200" t="s">
        <v>3374</v>
      </c>
      <c r="E10200" t="s">
        <v>553</v>
      </c>
      <c r="F10200" t="s">
        <v>1068</v>
      </c>
      <c r="G10200" t="s">
        <v>1087</v>
      </c>
      <c r="H10200" s="171" t="s">
        <v>6396</v>
      </c>
      <c r="I10200" t="s">
        <v>1088</v>
      </c>
      <c r="J10200">
        <v>7.77</v>
      </c>
    </row>
    <row r="10201" spans="1:10" hidden="1">
      <c r="A10201" t="s">
        <v>6389</v>
      </c>
      <c r="B10201" t="s">
        <v>6390</v>
      </c>
      <c r="C10201" t="s">
        <v>5111</v>
      </c>
      <c r="D10201" t="s">
        <v>3374</v>
      </c>
      <c r="E10201" t="s">
        <v>553</v>
      </c>
      <c r="F10201" t="s">
        <v>1068</v>
      </c>
      <c r="G10201" t="s">
        <v>1089</v>
      </c>
      <c r="H10201" s="171" t="s">
        <v>6397</v>
      </c>
      <c r="I10201" t="s">
        <v>1090</v>
      </c>
      <c r="J10201">
        <v>7.77</v>
      </c>
    </row>
    <row r="10202" spans="1:10" hidden="1">
      <c r="A10202" t="s">
        <v>6398</v>
      </c>
      <c r="B10202" t="s">
        <v>6399</v>
      </c>
      <c r="C10202" t="s">
        <v>5111</v>
      </c>
      <c r="D10202" t="s">
        <v>3374</v>
      </c>
      <c r="E10202" t="s">
        <v>556</v>
      </c>
      <c r="F10202" t="s">
        <v>1068</v>
      </c>
      <c r="G10202" t="s">
        <v>1069</v>
      </c>
      <c r="H10202">
        <v>9.9962302987214396E-2</v>
      </c>
      <c r="I10202" t="s">
        <v>1070</v>
      </c>
      <c r="J10202">
        <v>8.81</v>
      </c>
    </row>
    <row r="10203" spans="1:10" hidden="1">
      <c r="A10203" t="s">
        <v>6398</v>
      </c>
      <c r="B10203" t="s">
        <v>6399</v>
      </c>
      <c r="C10203" t="s">
        <v>5111</v>
      </c>
      <c r="D10203" t="s">
        <v>3374</v>
      </c>
      <c r="E10203" t="s">
        <v>556</v>
      </c>
      <c r="F10203" t="s">
        <v>1068</v>
      </c>
      <c r="G10203" t="s">
        <v>1071</v>
      </c>
      <c r="H10203" s="171" t="s">
        <v>6400</v>
      </c>
      <c r="I10203" t="s">
        <v>1072</v>
      </c>
      <c r="J10203">
        <v>8.81</v>
      </c>
    </row>
    <row r="10204" spans="1:10" hidden="1">
      <c r="A10204" t="s">
        <v>6398</v>
      </c>
      <c r="B10204" t="s">
        <v>6399</v>
      </c>
      <c r="C10204" t="s">
        <v>5111</v>
      </c>
      <c r="D10204" t="s">
        <v>3374</v>
      </c>
      <c r="E10204" t="s">
        <v>556</v>
      </c>
      <c r="F10204" t="s">
        <v>1068</v>
      </c>
      <c r="G10204" t="s">
        <v>1073</v>
      </c>
      <c r="H10204" s="171" t="s">
        <v>6401</v>
      </c>
      <c r="I10204" t="s">
        <v>1074</v>
      </c>
      <c r="J10204">
        <v>8.81</v>
      </c>
    </row>
    <row r="10205" spans="1:10" hidden="1">
      <c r="A10205" t="s">
        <v>6398</v>
      </c>
      <c r="B10205" t="s">
        <v>6399</v>
      </c>
      <c r="C10205" t="s">
        <v>5111</v>
      </c>
      <c r="D10205" t="s">
        <v>3374</v>
      </c>
      <c r="E10205" t="s">
        <v>556</v>
      </c>
      <c r="F10205" t="s">
        <v>1068</v>
      </c>
      <c r="G10205" t="s">
        <v>1075</v>
      </c>
      <c r="H10205">
        <v>3.7961563313679198E-3</v>
      </c>
      <c r="I10205" t="s">
        <v>1077</v>
      </c>
      <c r="J10205">
        <v>8.81</v>
      </c>
    </row>
    <row r="10206" spans="1:10" hidden="1">
      <c r="A10206" t="s">
        <v>6398</v>
      </c>
      <c r="B10206" t="s">
        <v>6399</v>
      </c>
      <c r="C10206" t="s">
        <v>5111</v>
      </c>
      <c r="D10206" t="s">
        <v>3374</v>
      </c>
      <c r="E10206" t="s">
        <v>556</v>
      </c>
      <c r="F10206" t="s">
        <v>1068</v>
      </c>
      <c r="G10206" t="s">
        <v>1078</v>
      </c>
      <c r="H10206" s="171" t="s">
        <v>6402</v>
      </c>
      <c r="I10206" t="s">
        <v>1079</v>
      </c>
      <c r="J10206">
        <v>8.81</v>
      </c>
    </row>
    <row r="10207" spans="1:10" hidden="1">
      <c r="A10207" t="s">
        <v>6398</v>
      </c>
      <c r="B10207" t="s">
        <v>6399</v>
      </c>
      <c r="C10207" t="s">
        <v>5111</v>
      </c>
      <c r="D10207" t="s">
        <v>3374</v>
      </c>
      <c r="E10207" t="s">
        <v>556</v>
      </c>
      <c r="F10207" t="s">
        <v>1068</v>
      </c>
      <c r="G10207" t="s">
        <v>1080</v>
      </c>
      <c r="H10207" s="171" t="s">
        <v>6403</v>
      </c>
      <c r="I10207" t="s">
        <v>1082</v>
      </c>
      <c r="J10207">
        <v>8.81</v>
      </c>
    </row>
    <row r="10208" spans="1:10" hidden="1">
      <c r="A10208" t="s">
        <v>6398</v>
      </c>
      <c r="B10208" t="s">
        <v>6399</v>
      </c>
      <c r="C10208" t="s">
        <v>5111</v>
      </c>
      <c r="D10208" t="s">
        <v>3374</v>
      </c>
      <c r="E10208" t="s">
        <v>556</v>
      </c>
      <c r="F10208" t="s">
        <v>1068</v>
      </c>
      <c r="G10208" t="s">
        <v>1083</v>
      </c>
      <c r="H10208" s="171" t="s">
        <v>6404</v>
      </c>
      <c r="I10208" t="s">
        <v>1084</v>
      </c>
      <c r="J10208">
        <v>8.81</v>
      </c>
    </row>
    <row r="10209" spans="1:10" hidden="1">
      <c r="A10209" t="s">
        <v>6398</v>
      </c>
      <c r="B10209" t="s">
        <v>6399</v>
      </c>
      <c r="C10209" t="s">
        <v>5111</v>
      </c>
      <c r="D10209" t="s">
        <v>3374</v>
      </c>
      <c r="E10209" t="s">
        <v>556</v>
      </c>
      <c r="F10209" t="s">
        <v>1068</v>
      </c>
      <c r="G10209" t="s">
        <v>1085</v>
      </c>
      <c r="H10209">
        <v>1.3013901572548001E-4</v>
      </c>
      <c r="I10209" t="s">
        <v>1086</v>
      </c>
      <c r="J10209">
        <v>8.81</v>
      </c>
    </row>
    <row r="10210" spans="1:10" hidden="1">
      <c r="A10210" t="s">
        <v>6398</v>
      </c>
      <c r="B10210" t="s">
        <v>6399</v>
      </c>
      <c r="C10210" t="s">
        <v>5111</v>
      </c>
      <c r="D10210" t="s">
        <v>3374</v>
      </c>
      <c r="E10210" t="s">
        <v>556</v>
      </c>
      <c r="F10210" t="s">
        <v>1068</v>
      </c>
      <c r="G10210" t="s">
        <v>1087</v>
      </c>
      <c r="H10210" s="171" t="s">
        <v>6405</v>
      </c>
      <c r="I10210" t="s">
        <v>1088</v>
      </c>
      <c r="J10210">
        <v>8.81</v>
      </c>
    </row>
    <row r="10211" spans="1:10" hidden="1">
      <c r="A10211" t="s">
        <v>6398</v>
      </c>
      <c r="B10211" t="s">
        <v>6399</v>
      </c>
      <c r="C10211" t="s">
        <v>5111</v>
      </c>
      <c r="D10211" t="s">
        <v>3374</v>
      </c>
      <c r="E10211" t="s">
        <v>556</v>
      </c>
      <c r="F10211" t="s">
        <v>1068</v>
      </c>
      <c r="G10211" t="s">
        <v>1089</v>
      </c>
      <c r="H10211" s="171" t="s">
        <v>6406</v>
      </c>
      <c r="I10211" t="s">
        <v>1090</v>
      </c>
      <c r="J10211">
        <v>8.81</v>
      </c>
    </row>
    <row r="10212" spans="1:10" hidden="1">
      <c r="A10212" t="s">
        <v>6407</v>
      </c>
      <c r="B10212" t="s">
        <v>6408</v>
      </c>
      <c r="C10212" t="s">
        <v>5111</v>
      </c>
      <c r="D10212" t="s">
        <v>3374</v>
      </c>
      <c r="E10212" t="s">
        <v>557</v>
      </c>
      <c r="F10212" t="s">
        <v>1068</v>
      </c>
      <c r="G10212" t="s">
        <v>1069</v>
      </c>
      <c r="H10212" s="171" t="s">
        <v>6409</v>
      </c>
      <c r="I10212" t="s">
        <v>1070</v>
      </c>
      <c r="J10212">
        <v>6.83</v>
      </c>
    </row>
    <row r="10213" spans="1:10" hidden="1">
      <c r="A10213" t="s">
        <v>6407</v>
      </c>
      <c r="B10213" t="s">
        <v>6408</v>
      </c>
      <c r="C10213" t="s">
        <v>5111</v>
      </c>
      <c r="D10213" t="s">
        <v>3374</v>
      </c>
      <c r="E10213" t="s">
        <v>557</v>
      </c>
      <c r="F10213" t="s">
        <v>1068</v>
      </c>
      <c r="G10213" t="s">
        <v>1071</v>
      </c>
      <c r="H10213" s="171" t="s">
        <v>6410</v>
      </c>
      <c r="I10213" t="s">
        <v>1072</v>
      </c>
      <c r="J10213">
        <v>6.83</v>
      </c>
    </row>
    <row r="10214" spans="1:10" hidden="1">
      <c r="A10214" t="s">
        <v>6407</v>
      </c>
      <c r="B10214" t="s">
        <v>6408</v>
      </c>
      <c r="C10214" t="s">
        <v>5111</v>
      </c>
      <c r="D10214" t="s">
        <v>3374</v>
      </c>
      <c r="E10214" t="s">
        <v>557</v>
      </c>
      <c r="F10214" t="s">
        <v>1068</v>
      </c>
      <c r="G10214" t="s">
        <v>1073</v>
      </c>
      <c r="H10214" s="171" t="s">
        <v>6411</v>
      </c>
      <c r="I10214" t="s">
        <v>1074</v>
      </c>
      <c r="J10214">
        <v>6.83</v>
      </c>
    </row>
    <row r="10215" spans="1:10" hidden="1">
      <c r="A10215" t="s">
        <v>6407</v>
      </c>
      <c r="B10215" t="s">
        <v>6408</v>
      </c>
      <c r="C10215" t="s">
        <v>5111</v>
      </c>
      <c r="D10215" t="s">
        <v>3374</v>
      </c>
      <c r="E10215" t="s">
        <v>557</v>
      </c>
      <c r="F10215" t="s">
        <v>1068</v>
      </c>
      <c r="G10215" t="s">
        <v>1075</v>
      </c>
      <c r="H10215">
        <v>3.8256725011217999E-3</v>
      </c>
      <c r="I10215" t="s">
        <v>1077</v>
      </c>
      <c r="J10215">
        <v>6.83</v>
      </c>
    </row>
    <row r="10216" spans="1:10" hidden="1">
      <c r="A10216" t="s">
        <v>6407</v>
      </c>
      <c r="B10216" t="s">
        <v>6408</v>
      </c>
      <c r="C10216" t="s">
        <v>5111</v>
      </c>
      <c r="D10216" t="s">
        <v>3374</v>
      </c>
      <c r="E10216" t="s">
        <v>557</v>
      </c>
      <c r="F10216" t="s">
        <v>1068</v>
      </c>
      <c r="G10216" t="s">
        <v>1078</v>
      </c>
      <c r="H10216">
        <v>3.0436576342434098E-2</v>
      </c>
      <c r="I10216" t="s">
        <v>1079</v>
      </c>
      <c r="J10216">
        <v>6.83</v>
      </c>
    </row>
    <row r="10217" spans="1:10" hidden="1">
      <c r="A10217" t="s">
        <v>6407</v>
      </c>
      <c r="B10217" t="s">
        <v>6408</v>
      </c>
      <c r="C10217" t="s">
        <v>5111</v>
      </c>
      <c r="D10217" t="s">
        <v>3374</v>
      </c>
      <c r="E10217" t="s">
        <v>557</v>
      </c>
      <c r="F10217" t="s">
        <v>1068</v>
      </c>
      <c r="G10217" t="s">
        <v>1080</v>
      </c>
      <c r="H10217" s="171" t="s">
        <v>6412</v>
      </c>
      <c r="I10217" t="s">
        <v>1082</v>
      </c>
      <c r="J10217">
        <v>6.83</v>
      </c>
    </row>
    <row r="10218" spans="1:10" hidden="1">
      <c r="A10218" t="s">
        <v>6407</v>
      </c>
      <c r="B10218" t="s">
        <v>6408</v>
      </c>
      <c r="C10218" t="s">
        <v>5111</v>
      </c>
      <c r="D10218" t="s">
        <v>3374</v>
      </c>
      <c r="E10218" t="s">
        <v>557</v>
      </c>
      <c r="F10218" t="s">
        <v>1068</v>
      </c>
      <c r="G10218" t="s">
        <v>1083</v>
      </c>
      <c r="H10218" s="171" t="s">
        <v>6413</v>
      </c>
      <c r="I10218" t="s">
        <v>1084</v>
      </c>
      <c r="J10218">
        <v>6.83</v>
      </c>
    </row>
    <row r="10219" spans="1:10" hidden="1">
      <c r="A10219" t="s">
        <v>6407</v>
      </c>
      <c r="B10219" t="s">
        <v>6408</v>
      </c>
      <c r="C10219" t="s">
        <v>5111</v>
      </c>
      <c r="D10219" t="s">
        <v>3374</v>
      </c>
      <c r="E10219" t="s">
        <v>557</v>
      </c>
      <c r="F10219" t="s">
        <v>1068</v>
      </c>
      <c r="G10219" t="s">
        <v>1085</v>
      </c>
      <c r="H10219">
        <v>1.3174308753421599E-4</v>
      </c>
      <c r="I10219" t="s">
        <v>1086</v>
      </c>
      <c r="J10219">
        <v>6.83</v>
      </c>
    </row>
    <row r="10220" spans="1:10" hidden="1">
      <c r="A10220" t="s">
        <v>6407</v>
      </c>
      <c r="B10220" t="s">
        <v>6408</v>
      </c>
      <c r="C10220" t="s">
        <v>5111</v>
      </c>
      <c r="D10220" t="s">
        <v>3374</v>
      </c>
      <c r="E10220" t="s">
        <v>557</v>
      </c>
      <c r="F10220" t="s">
        <v>1068</v>
      </c>
      <c r="G10220" t="s">
        <v>1087</v>
      </c>
      <c r="H10220" s="171" t="s">
        <v>6414</v>
      </c>
      <c r="I10220" t="s">
        <v>1088</v>
      </c>
      <c r="J10220">
        <v>6.83</v>
      </c>
    </row>
    <row r="10221" spans="1:10" hidden="1">
      <c r="A10221" t="s">
        <v>6407</v>
      </c>
      <c r="B10221" t="s">
        <v>6408</v>
      </c>
      <c r="C10221" t="s">
        <v>5111</v>
      </c>
      <c r="D10221" t="s">
        <v>3374</v>
      </c>
      <c r="E10221" t="s">
        <v>557</v>
      </c>
      <c r="F10221" t="s">
        <v>1068</v>
      </c>
      <c r="G10221" t="s">
        <v>1089</v>
      </c>
      <c r="H10221" s="171" t="s">
        <v>6415</v>
      </c>
      <c r="I10221" t="s">
        <v>1090</v>
      </c>
      <c r="J10221">
        <v>6.83</v>
      </c>
    </row>
    <row r="10222" spans="1:10" hidden="1">
      <c r="A10222" t="s">
        <v>6416</v>
      </c>
      <c r="B10222" t="s">
        <v>6417</v>
      </c>
      <c r="C10222" t="s">
        <v>5111</v>
      </c>
      <c r="D10222" t="s">
        <v>3374</v>
      </c>
      <c r="E10222" t="s">
        <v>559</v>
      </c>
      <c r="F10222" t="s">
        <v>1068</v>
      </c>
      <c r="G10222" t="s">
        <v>1069</v>
      </c>
      <c r="H10222" s="171" t="s">
        <v>6418</v>
      </c>
      <c r="I10222" t="s">
        <v>1070</v>
      </c>
      <c r="J10222">
        <v>7.1</v>
      </c>
    </row>
    <row r="10223" spans="1:10" hidden="1">
      <c r="A10223" t="s">
        <v>6416</v>
      </c>
      <c r="B10223" t="s">
        <v>6417</v>
      </c>
      <c r="C10223" t="s">
        <v>5111</v>
      </c>
      <c r="D10223" t="s">
        <v>3374</v>
      </c>
      <c r="E10223" t="s">
        <v>559</v>
      </c>
      <c r="F10223" t="s">
        <v>1068</v>
      </c>
      <c r="G10223" t="s">
        <v>1071</v>
      </c>
      <c r="H10223" s="171" t="s">
        <v>6419</v>
      </c>
      <c r="I10223" t="s">
        <v>1072</v>
      </c>
      <c r="J10223">
        <v>7.1</v>
      </c>
    </row>
    <row r="10224" spans="1:10" hidden="1">
      <c r="A10224" t="s">
        <v>6416</v>
      </c>
      <c r="B10224" t="s">
        <v>6417</v>
      </c>
      <c r="C10224" t="s">
        <v>5111</v>
      </c>
      <c r="D10224" t="s">
        <v>3374</v>
      </c>
      <c r="E10224" t="s">
        <v>559</v>
      </c>
      <c r="F10224" t="s">
        <v>1068</v>
      </c>
      <c r="G10224" t="s">
        <v>1073</v>
      </c>
      <c r="H10224" s="171" t="s">
        <v>6420</v>
      </c>
      <c r="I10224" t="s">
        <v>1074</v>
      </c>
      <c r="J10224">
        <v>7.1</v>
      </c>
    </row>
    <row r="10225" spans="1:10" hidden="1">
      <c r="A10225" t="s">
        <v>6416</v>
      </c>
      <c r="B10225" t="s">
        <v>6417</v>
      </c>
      <c r="C10225" t="s">
        <v>5111</v>
      </c>
      <c r="D10225" t="s">
        <v>3374</v>
      </c>
      <c r="E10225" t="s">
        <v>559</v>
      </c>
      <c r="F10225" t="s">
        <v>1068</v>
      </c>
      <c r="G10225" t="s">
        <v>1075</v>
      </c>
      <c r="H10225">
        <v>3.8114244972513901E-3</v>
      </c>
      <c r="I10225" t="s">
        <v>1077</v>
      </c>
      <c r="J10225">
        <v>7.1</v>
      </c>
    </row>
    <row r="10226" spans="1:10" hidden="1">
      <c r="A10226" t="s">
        <v>6416</v>
      </c>
      <c r="B10226" t="s">
        <v>6417</v>
      </c>
      <c r="C10226" t="s">
        <v>5111</v>
      </c>
      <c r="D10226" t="s">
        <v>3374</v>
      </c>
      <c r="E10226" t="s">
        <v>559</v>
      </c>
      <c r="F10226" t="s">
        <v>1068</v>
      </c>
      <c r="G10226" t="s">
        <v>1078</v>
      </c>
      <c r="H10226" s="171" t="s">
        <v>6421</v>
      </c>
      <c r="I10226" t="s">
        <v>1079</v>
      </c>
      <c r="J10226">
        <v>7.1</v>
      </c>
    </row>
    <row r="10227" spans="1:10" hidden="1">
      <c r="A10227" t="s">
        <v>6416</v>
      </c>
      <c r="B10227" t="s">
        <v>6417</v>
      </c>
      <c r="C10227" t="s">
        <v>5111</v>
      </c>
      <c r="D10227" t="s">
        <v>3374</v>
      </c>
      <c r="E10227" t="s">
        <v>559</v>
      </c>
      <c r="F10227" t="s">
        <v>1068</v>
      </c>
      <c r="G10227" t="s">
        <v>1080</v>
      </c>
      <c r="H10227" s="171" t="s">
        <v>6422</v>
      </c>
      <c r="I10227" t="s">
        <v>1082</v>
      </c>
      <c r="J10227">
        <v>7.1</v>
      </c>
    </row>
    <row r="10228" spans="1:10" hidden="1">
      <c r="A10228" t="s">
        <v>6416</v>
      </c>
      <c r="B10228" t="s">
        <v>6417</v>
      </c>
      <c r="C10228" t="s">
        <v>5111</v>
      </c>
      <c r="D10228" t="s">
        <v>3374</v>
      </c>
      <c r="E10228" t="s">
        <v>559</v>
      </c>
      <c r="F10228" t="s">
        <v>1068</v>
      </c>
      <c r="G10228" t="s">
        <v>1083</v>
      </c>
      <c r="H10228" s="171" t="s">
        <v>6423</v>
      </c>
      <c r="I10228" t="s">
        <v>1084</v>
      </c>
      <c r="J10228">
        <v>7.11</v>
      </c>
    </row>
    <row r="10229" spans="1:10" hidden="1">
      <c r="A10229" t="s">
        <v>6416</v>
      </c>
      <c r="B10229" t="s">
        <v>6417</v>
      </c>
      <c r="C10229" t="s">
        <v>5111</v>
      </c>
      <c r="D10229" t="s">
        <v>3374</v>
      </c>
      <c r="E10229" t="s">
        <v>559</v>
      </c>
      <c r="F10229" t="s">
        <v>1068</v>
      </c>
      <c r="G10229" t="s">
        <v>1085</v>
      </c>
      <c r="H10229">
        <v>1.3096877014503401E-4</v>
      </c>
      <c r="I10229" t="s">
        <v>1086</v>
      </c>
      <c r="J10229">
        <v>7.11</v>
      </c>
    </row>
    <row r="10230" spans="1:10" hidden="1">
      <c r="A10230" t="s">
        <v>6416</v>
      </c>
      <c r="B10230" t="s">
        <v>6417</v>
      </c>
      <c r="C10230" t="s">
        <v>5111</v>
      </c>
      <c r="D10230" t="s">
        <v>3374</v>
      </c>
      <c r="E10230" t="s">
        <v>559</v>
      </c>
      <c r="F10230" t="s">
        <v>1068</v>
      </c>
      <c r="G10230" t="s">
        <v>1087</v>
      </c>
      <c r="H10230" s="171" t="s">
        <v>6424</v>
      </c>
      <c r="I10230" t="s">
        <v>1088</v>
      </c>
      <c r="J10230">
        <v>7.11</v>
      </c>
    </row>
    <row r="10231" spans="1:10" hidden="1">
      <c r="A10231" t="s">
        <v>6416</v>
      </c>
      <c r="B10231" t="s">
        <v>6417</v>
      </c>
      <c r="C10231" t="s">
        <v>5111</v>
      </c>
      <c r="D10231" t="s">
        <v>3374</v>
      </c>
      <c r="E10231" t="s">
        <v>559</v>
      </c>
      <c r="F10231" t="s">
        <v>1068</v>
      </c>
      <c r="G10231" t="s">
        <v>1089</v>
      </c>
      <c r="H10231" s="171" t="s">
        <v>6425</v>
      </c>
      <c r="I10231" t="s">
        <v>1090</v>
      </c>
      <c r="J10231">
        <v>7.11</v>
      </c>
    </row>
    <row r="10232" spans="1:10" hidden="1">
      <c r="A10232" t="s">
        <v>6426</v>
      </c>
      <c r="B10232" t="s">
        <v>6427</v>
      </c>
      <c r="C10232" t="s">
        <v>5111</v>
      </c>
      <c r="D10232" t="s">
        <v>3374</v>
      </c>
      <c r="E10232" t="s">
        <v>560</v>
      </c>
      <c r="F10232" t="s">
        <v>1068</v>
      </c>
      <c r="G10232" t="s">
        <v>1069</v>
      </c>
      <c r="H10232" s="171" t="s">
        <v>6428</v>
      </c>
      <c r="I10232" t="s">
        <v>1070</v>
      </c>
      <c r="J10232">
        <v>7.21</v>
      </c>
    </row>
    <row r="10233" spans="1:10" hidden="1">
      <c r="A10233" t="s">
        <v>6426</v>
      </c>
      <c r="B10233" t="s">
        <v>6427</v>
      </c>
      <c r="C10233" t="s">
        <v>5111</v>
      </c>
      <c r="D10233" t="s">
        <v>3374</v>
      </c>
      <c r="E10233" t="s">
        <v>560</v>
      </c>
      <c r="F10233" t="s">
        <v>1068</v>
      </c>
      <c r="G10233" t="s">
        <v>1071</v>
      </c>
      <c r="H10233" s="171" t="s">
        <v>6429</v>
      </c>
      <c r="I10233" t="s">
        <v>1072</v>
      </c>
      <c r="J10233">
        <v>7.21</v>
      </c>
    </row>
    <row r="10234" spans="1:10" hidden="1">
      <c r="A10234" t="s">
        <v>6426</v>
      </c>
      <c r="B10234" t="s">
        <v>6427</v>
      </c>
      <c r="C10234" t="s">
        <v>5111</v>
      </c>
      <c r="D10234" t="s">
        <v>3374</v>
      </c>
      <c r="E10234" t="s">
        <v>560</v>
      </c>
      <c r="F10234" t="s">
        <v>1068</v>
      </c>
      <c r="G10234" t="s">
        <v>1073</v>
      </c>
      <c r="H10234" s="171" t="s">
        <v>6430</v>
      </c>
      <c r="I10234" t="s">
        <v>1074</v>
      </c>
      <c r="J10234">
        <v>7.21</v>
      </c>
    </row>
    <row r="10235" spans="1:10" hidden="1">
      <c r="A10235" t="s">
        <v>6426</v>
      </c>
      <c r="B10235" t="s">
        <v>6427</v>
      </c>
      <c r="C10235" t="s">
        <v>5111</v>
      </c>
      <c r="D10235" t="s">
        <v>3374</v>
      </c>
      <c r="E10235" t="s">
        <v>560</v>
      </c>
      <c r="F10235" t="s">
        <v>1068</v>
      </c>
      <c r="G10235" t="s">
        <v>1075</v>
      </c>
      <c r="H10235">
        <v>3.8162627394342E-3</v>
      </c>
      <c r="I10235" t="s">
        <v>1077</v>
      </c>
      <c r="J10235">
        <v>7.21</v>
      </c>
    </row>
    <row r="10236" spans="1:10" hidden="1">
      <c r="A10236" t="s">
        <v>6426</v>
      </c>
      <c r="B10236" t="s">
        <v>6427</v>
      </c>
      <c r="C10236" t="s">
        <v>5111</v>
      </c>
      <c r="D10236" t="s">
        <v>3374</v>
      </c>
      <c r="E10236" t="s">
        <v>560</v>
      </c>
      <c r="F10236" t="s">
        <v>1068</v>
      </c>
      <c r="G10236" t="s">
        <v>1078</v>
      </c>
      <c r="H10236" s="171" t="s">
        <v>6431</v>
      </c>
      <c r="I10236" t="s">
        <v>1079</v>
      </c>
      <c r="J10236">
        <v>7.21</v>
      </c>
    </row>
    <row r="10237" spans="1:10" hidden="1">
      <c r="A10237" t="s">
        <v>6426</v>
      </c>
      <c r="B10237" t="s">
        <v>6427</v>
      </c>
      <c r="C10237" t="s">
        <v>5111</v>
      </c>
      <c r="D10237" t="s">
        <v>3374</v>
      </c>
      <c r="E10237" t="s">
        <v>560</v>
      </c>
      <c r="F10237" t="s">
        <v>1068</v>
      </c>
      <c r="G10237" t="s">
        <v>1080</v>
      </c>
      <c r="H10237" s="171" t="s">
        <v>6432</v>
      </c>
      <c r="I10237" t="s">
        <v>1082</v>
      </c>
      <c r="J10237">
        <v>7.21</v>
      </c>
    </row>
    <row r="10238" spans="1:10" hidden="1">
      <c r="A10238" t="s">
        <v>6426</v>
      </c>
      <c r="B10238" t="s">
        <v>6427</v>
      </c>
      <c r="C10238" t="s">
        <v>5111</v>
      </c>
      <c r="D10238" t="s">
        <v>3374</v>
      </c>
      <c r="E10238" t="s">
        <v>560</v>
      </c>
      <c r="F10238" t="s">
        <v>1068</v>
      </c>
      <c r="G10238" t="s">
        <v>1083</v>
      </c>
      <c r="H10238" s="171" t="s">
        <v>6433</v>
      </c>
      <c r="I10238" t="s">
        <v>1084</v>
      </c>
      <c r="J10238">
        <v>7.21</v>
      </c>
    </row>
    <row r="10239" spans="1:10" hidden="1">
      <c r="A10239" t="s">
        <v>6426</v>
      </c>
      <c r="B10239" t="s">
        <v>6427</v>
      </c>
      <c r="C10239" t="s">
        <v>5111</v>
      </c>
      <c r="D10239" t="s">
        <v>3374</v>
      </c>
      <c r="E10239" t="s">
        <v>560</v>
      </c>
      <c r="F10239" t="s">
        <v>1068</v>
      </c>
      <c r="G10239" t="s">
        <v>1085</v>
      </c>
      <c r="H10239">
        <v>1.3123171037165399E-4</v>
      </c>
      <c r="I10239" t="s">
        <v>1086</v>
      </c>
      <c r="J10239">
        <v>7.21</v>
      </c>
    </row>
    <row r="10240" spans="1:10" hidden="1">
      <c r="A10240" t="s">
        <v>6426</v>
      </c>
      <c r="B10240" t="s">
        <v>6427</v>
      </c>
      <c r="C10240" t="s">
        <v>5111</v>
      </c>
      <c r="D10240" t="s">
        <v>3374</v>
      </c>
      <c r="E10240" t="s">
        <v>560</v>
      </c>
      <c r="F10240" t="s">
        <v>1068</v>
      </c>
      <c r="G10240" t="s">
        <v>1087</v>
      </c>
      <c r="H10240" s="171" t="s">
        <v>6434</v>
      </c>
      <c r="I10240" t="s">
        <v>1088</v>
      </c>
      <c r="J10240">
        <v>7.21</v>
      </c>
    </row>
    <row r="10241" spans="1:10" hidden="1">
      <c r="A10241" t="s">
        <v>6426</v>
      </c>
      <c r="B10241" t="s">
        <v>6427</v>
      </c>
      <c r="C10241" t="s">
        <v>5111</v>
      </c>
      <c r="D10241" t="s">
        <v>3374</v>
      </c>
      <c r="E10241" t="s">
        <v>560</v>
      </c>
      <c r="F10241" t="s">
        <v>1068</v>
      </c>
      <c r="G10241" t="s">
        <v>1089</v>
      </c>
      <c r="H10241" s="171" t="s">
        <v>6435</v>
      </c>
      <c r="I10241" t="s">
        <v>1090</v>
      </c>
      <c r="J10241">
        <v>7.21</v>
      </c>
    </row>
    <row r="10242" spans="1:10" hidden="1">
      <c r="A10242" t="s">
        <v>6436</v>
      </c>
      <c r="B10242" t="s">
        <v>6437</v>
      </c>
      <c r="C10242" t="s">
        <v>5111</v>
      </c>
      <c r="D10242" t="s">
        <v>3374</v>
      </c>
      <c r="E10242" t="s">
        <v>1116</v>
      </c>
      <c r="F10242" t="s">
        <v>1068</v>
      </c>
      <c r="G10242" t="s">
        <v>1069</v>
      </c>
      <c r="H10242" s="171" t="s">
        <v>6438</v>
      </c>
      <c r="I10242" t="s">
        <v>1070</v>
      </c>
      <c r="J10242">
        <v>7.67</v>
      </c>
    </row>
    <row r="10243" spans="1:10" hidden="1">
      <c r="A10243" t="s">
        <v>6436</v>
      </c>
      <c r="B10243" t="s">
        <v>6437</v>
      </c>
      <c r="C10243" t="s">
        <v>5111</v>
      </c>
      <c r="D10243" t="s">
        <v>3374</v>
      </c>
      <c r="E10243" t="s">
        <v>1116</v>
      </c>
      <c r="F10243" t="s">
        <v>1068</v>
      </c>
      <c r="G10243" t="s">
        <v>1071</v>
      </c>
      <c r="H10243" s="171" t="s">
        <v>6439</v>
      </c>
      <c r="I10243" t="s">
        <v>1072</v>
      </c>
      <c r="J10243">
        <v>7.67</v>
      </c>
    </row>
    <row r="10244" spans="1:10" hidden="1">
      <c r="A10244" t="s">
        <v>6436</v>
      </c>
      <c r="B10244" t="s">
        <v>6437</v>
      </c>
      <c r="C10244" t="s">
        <v>5111</v>
      </c>
      <c r="D10244" t="s">
        <v>3374</v>
      </c>
      <c r="E10244" t="s">
        <v>1116</v>
      </c>
      <c r="F10244" t="s">
        <v>1068</v>
      </c>
      <c r="G10244" t="s">
        <v>1073</v>
      </c>
      <c r="H10244" s="171" t="s">
        <v>6440</v>
      </c>
      <c r="I10244" t="s">
        <v>1074</v>
      </c>
      <c r="J10244">
        <v>7.67</v>
      </c>
    </row>
    <row r="10245" spans="1:10" hidden="1">
      <c r="A10245" t="s">
        <v>6436</v>
      </c>
      <c r="B10245" t="s">
        <v>6437</v>
      </c>
      <c r="C10245" t="s">
        <v>5111</v>
      </c>
      <c r="D10245" t="s">
        <v>3374</v>
      </c>
      <c r="E10245" t="s">
        <v>1116</v>
      </c>
      <c r="F10245" t="s">
        <v>1068</v>
      </c>
      <c r="G10245" t="s">
        <v>1075</v>
      </c>
      <c r="H10245">
        <v>3.8448223124508199E-3</v>
      </c>
      <c r="I10245" t="s">
        <v>1077</v>
      </c>
      <c r="J10245">
        <v>7.67</v>
      </c>
    </row>
    <row r="10246" spans="1:10" hidden="1">
      <c r="A10246" t="s">
        <v>6436</v>
      </c>
      <c r="B10246" t="s">
        <v>6437</v>
      </c>
      <c r="C10246" t="s">
        <v>5111</v>
      </c>
      <c r="D10246" t="s">
        <v>3374</v>
      </c>
      <c r="E10246" t="s">
        <v>1116</v>
      </c>
      <c r="F10246" t="s">
        <v>1068</v>
      </c>
      <c r="G10246" t="s">
        <v>1078</v>
      </c>
      <c r="H10246">
        <v>3.1264688052669298E-2</v>
      </c>
      <c r="I10246" t="s">
        <v>1079</v>
      </c>
      <c r="J10246">
        <v>7.67</v>
      </c>
    </row>
    <row r="10247" spans="1:10" hidden="1">
      <c r="A10247" t="s">
        <v>6436</v>
      </c>
      <c r="B10247" t="s">
        <v>6437</v>
      </c>
      <c r="C10247" t="s">
        <v>5111</v>
      </c>
      <c r="D10247" t="s">
        <v>3374</v>
      </c>
      <c r="E10247" t="s">
        <v>1116</v>
      </c>
      <c r="F10247" t="s">
        <v>1068</v>
      </c>
      <c r="G10247" t="s">
        <v>1080</v>
      </c>
      <c r="H10247" s="171" t="s">
        <v>6441</v>
      </c>
      <c r="I10247" t="s">
        <v>1082</v>
      </c>
      <c r="J10247">
        <v>7.67</v>
      </c>
    </row>
    <row r="10248" spans="1:10" hidden="1">
      <c r="A10248" t="s">
        <v>6436</v>
      </c>
      <c r="B10248" t="s">
        <v>6437</v>
      </c>
      <c r="C10248" t="s">
        <v>5111</v>
      </c>
      <c r="D10248" t="s">
        <v>3374</v>
      </c>
      <c r="E10248" t="s">
        <v>1116</v>
      </c>
      <c r="F10248" t="s">
        <v>1068</v>
      </c>
      <c r="G10248" t="s">
        <v>1083</v>
      </c>
      <c r="H10248" s="171" t="s">
        <v>6442</v>
      </c>
      <c r="I10248" t="s">
        <v>1084</v>
      </c>
      <c r="J10248">
        <v>7.67</v>
      </c>
    </row>
    <row r="10249" spans="1:10" hidden="1">
      <c r="A10249" t="s">
        <v>6436</v>
      </c>
      <c r="B10249" t="s">
        <v>6437</v>
      </c>
      <c r="C10249" t="s">
        <v>5111</v>
      </c>
      <c r="D10249" t="s">
        <v>3374</v>
      </c>
      <c r="E10249" t="s">
        <v>1116</v>
      </c>
      <c r="F10249" t="s">
        <v>1068</v>
      </c>
      <c r="G10249" t="s">
        <v>1085</v>
      </c>
      <c r="H10249">
        <v>1.3278379148678099E-4</v>
      </c>
      <c r="I10249" t="s">
        <v>1086</v>
      </c>
      <c r="J10249">
        <v>7.67</v>
      </c>
    </row>
    <row r="10250" spans="1:10" hidden="1">
      <c r="A10250" t="s">
        <v>6436</v>
      </c>
      <c r="B10250" t="s">
        <v>6437</v>
      </c>
      <c r="C10250" t="s">
        <v>5111</v>
      </c>
      <c r="D10250" t="s">
        <v>3374</v>
      </c>
      <c r="E10250" t="s">
        <v>1116</v>
      </c>
      <c r="F10250" t="s">
        <v>1068</v>
      </c>
      <c r="G10250" t="s">
        <v>1087</v>
      </c>
      <c r="H10250" s="171" t="s">
        <v>6443</v>
      </c>
      <c r="I10250" t="s">
        <v>1088</v>
      </c>
      <c r="J10250">
        <v>7.67</v>
      </c>
    </row>
    <row r="10251" spans="1:10" hidden="1">
      <c r="A10251" t="s">
        <v>6436</v>
      </c>
      <c r="B10251" t="s">
        <v>6437</v>
      </c>
      <c r="C10251" t="s">
        <v>5111</v>
      </c>
      <c r="D10251" t="s">
        <v>3374</v>
      </c>
      <c r="E10251" t="s">
        <v>1116</v>
      </c>
      <c r="F10251" t="s">
        <v>1068</v>
      </c>
      <c r="G10251" t="s">
        <v>1089</v>
      </c>
      <c r="H10251" s="171" t="s">
        <v>6444</v>
      </c>
      <c r="I10251" t="s">
        <v>1090</v>
      </c>
      <c r="J10251">
        <v>7.67</v>
      </c>
    </row>
    <row r="10252" spans="1:10" hidden="1">
      <c r="A10252" t="s">
        <v>6445</v>
      </c>
      <c r="B10252" t="s">
        <v>6446</v>
      </c>
      <c r="C10252" t="s">
        <v>5111</v>
      </c>
      <c r="D10252" t="s">
        <v>1307</v>
      </c>
      <c r="E10252" t="s">
        <v>561</v>
      </c>
      <c r="F10252" t="s">
        <v>1068</v>
      </c>
      <c r="G10252" t="s">
        <v>1069</v>
      </c>
      <c r="H10252">
        <v>-0.58702963750925097</v>
      </c>
      <c r="I10252" t="s">
        <v>1070</v>
      </c>
      <c r="J10252">
        <v>8.9499999999999993</v>
      </c>
    </row>
    <row r="10253" spans="1:10" hidden="1">
      <c r="A10253" t="s">
        <v>6445</v>
      </c>
      <c r="B10253" t="s">
        <v>6446</v>
      </c>
      <c r="C10253" t="s">
        <v>5111</v>
      </c>
      <c r="D10253" t="s">
        <v>1307</v>
      </c>
      <c r="E10253" t="s">
        <v>561</v>
      </c>
      <c r="F10253" t="s">
        <v>1068</v>
      </c>
      <c r="G10253" t="s">
        <v>1071</v>
      </c>
      <c r="H10253" s="170">
        <v>-5.6640617221819701E-10</v>
      </c>
      <c r="I10253" t="s">
        <v>1072</v>
      </c>
      <c r="J10253">
        <v>8.9499999999999993</v>
      </c>
    </row>
    <row r="10254" spans="1:10" hidden="1">
      <c r="A10254" t="s">
        <v>6445</v>
      </c>
      <c r="B10254" t="s">
        <v>6446</v>
      </c>
      <c r="C10254" t="s">
        <v>5111</v>
      </c>
      <c r="D10254" t="s">
        <v>1307</v>
      </c>
      <c r="E10254" t="s">
        <v>561</v>
      </c>
      <c r="F10254" t="s">
        <v>1068</v>
      </c>
      <c r="G10254" t="s">
        <v>1073</v>
      </c>
      <c r="H10254" s="170">
        <v>-2.0490688253894E-7</v>
      </c>
      <c r="I10254" t="s">
        <v>1074</v>
      </c>
      <c r="J10254">
        <v>8.9499999999999993</v>
      </c>
    </row>
    <row r="10255" spans="1:10" hidden="1">
      <c r="A10255" t="s">
        <v>6445</v>
      </c>
      <c r="B10255" t="s">
        <v>6446</v>
      </c>
      <c r="C10255" t="s">
        <v>5111</v>
      </c>
      <c r="D10255" t="s">
        <v>1307</v>
      </c>
      <c r="E10255" t="s">
        <v>561</v>
      </c>
      <c r="F10255" t="s">
        <v>1068</v>
      </c>
      <c r="G10255" t="s">
        <v>1075</v>
      </c>
      <c r="H10255">
        <v>-9.6207990405689399E-3</v>
      </c>
      <c r="I10255" t="s">
        <v>1077</v>
      </c>
      <c r="J10255">
        <v>8.9499999999999993</v>
      </c>
    </row>
    <row r="10256" spans="1:10" hidden="1">
      <c r="A10256" t="s">
        <v>6445</v>
      </c>
      <c r="B10256" t="s">
        <v>6446</v>
      </c>
      <c r="C10256" t="s">
        <v>5111</v>
      </c>
      <c r="D10256" t="s">
        <v>1307</v>
      </c>
      <c r="E10256" t="s">
        <v>561</v>
      </c>
      <c r="F10256" t="s">
        <v>1068</v>
      </c>
      <c r="G10256" t="s">
        <v>1078</v>
      </c>
      <c r="H10256">
        <v>-0.84015304589553597</v>
      </c>
      <c r="I10256" t="s">
        <v>1079</v>
      </c>
      <c r="J10256">
        <v>8.9499999999999993</v>
      </c>
    </row>
    <row r="10257" spans="1:10" hidden="1">
      <c r="A10257" t="s">
        <v>6445</v>
      </c>
      <c r="B10257" t="s">
        <v>6446</v>
      </c>
      <c r="C10257" t="s">
        <v>5111</v>
      </c>
      <c r="D10257" t="s">
        <v>1307</v>
      </c>
      <c r="E10257" t="s">
        <v>561</v>
      </c>
      <c r="F10257" t="s">
        <v>1068</v>
      </c>
      <c r="G10257" t="s">
        <v>1080</v>
      </c>
      <c r="H10257" s="170">
        <v>-3.33677737902452E-9</v>
      </c>
      <c r="I10257" t="s">
        <v>1082</v>
      </c>
      <c r="J10257">
        <v>8.9499999999999993</v>
      </c>
    </row>
    <row r="10258" spans="1:10" hidden="1">
      <c r="A10258" t="s">
        <v>6445</v>
      </c>
      <c r="B10258" t="s">
        <v>6446</v>
      </c>
      <c r="C10258" t="s">
        <v>5111</v>
      </c>
      <c r="D10258" t="s">
        <v>1307</v>
      </c>
      <c r="E10258" t="s">
        <v>561</v>
      </c>
      <c r="F10258" t="s">
        <v>1068</v>
      </c>
      <c r="G10258" t="s">
        <v>1083</v>
      </c>
      <c r="H10258" s="170">
        <v>-7.98782122112306E-5</v>
      </c>
      <c r="I10258" t="s">
        <v>1084</v>
      </c>
      <c r="J10258">
        <v>8.9499999999999993</v>
      </c>
    </row>
    <row r="10259" spans="1:10" hidden="1">
      <c r="A10259" t="s">
        <v>6445</v>
      </c>
      <c r="B10259" t="s">
        <v>6446</v>
      </c>
      <c r="C10259" t="s">
        <v>5111</v>
      </c>
      <c r="D10259" t="s">
        <v>1307</v>
      </c>
      <c r="E10259" t="s">
        <v>561</v>
      </c>
      <c r="F10259" t="s">
        <v>1068</v>
      </c>
      <c r="G10259" t="s">
        <v>1085</v>
      </c>
      <c r="H10259">
        <v>-6.9816608314207499E-4</v>
      </c>
      <c r="I10259" t="s">
        <v>1086</v>
      </c>
      <c r="J10259">
        <v>8.9499999999999993</v>
      </c>
    </row>
    <row r="10260" spans="1:10" hidden="1">
      <c r="A10260" t="s">
        <v>6445</v>
      </c>
      <c r="B10260" t="s">
        <v>6446</v>
      </c>
      <c r="C10260" t="s">
        <v>5111</v>
      </c>
      <c r="D10260" t="s">
        <v>1307</v>
      </c>
      <c r="E10260" t="s">
        <v>561</v>
      </c>
      <c r="F10260" t="s">
        <v>1068</v>
      </c>
      <c r="G10260" t="s">
        <v>1087</v>
      </c>
      <c r="H10260" s="170">
        <v>-5.20079071859183E-7</v>
      </c>
      <c r="I10260" t="s">
        <v>1088</v>
      </c>
      <c r="J10260">
        <v>8.9499999999999993</v>
      </c>
    </row>
    <row r="10261" spans="1:10" hidden="1">
      <c r="A10261" t="s">
        <v>6445</v>
      </c>
      <c r="B10261" t="s">
        <v>6446</v>
      </c>
      <c r="C10261" t="s">
        <v>5111</v>
      </c>
      <c r="D10261" t="s">
        <v>1307</v>
      </c>
      <c r="E10261" t="s">
        <v>561</v>
      </c>
      <c r="F10261" t="s">
        <v>1068</v>
      </c>
      <c r="G10261" t="s">
        <v>1089</v>
      </c>
      <c r="H10261">
        <v>-1.10476235165825E-4</v>
      </c>
      <c r="I10261" t="s">
        <v>1090</v>
      </c>
      <c r="J10261">
        <v>8.9499999999999993</v>
      </c>
    </row>
    <row r="10262" spans="1:10" hidden="1">
      <c r="A10262" t="s">
        <v>6447</v>
      </c>
      <c r="B10262" t="s">
        <v>6448</v>
      </c>
      <c r="C10262" t="s">
        <v>5111</v>
      </c>
      <c r="D10262" t="s">
        <v>1307</v>
      </c>
      <c r="E10262" t="s">
        <v>555</v>
      </c>
      <c r="F10262" t="s">
        <v>1068</v>
      </c>
      <c r="G10262" t="s">
        <v>1069</v>
      </c>
      <c r="H10262">
        <v>-0.66169857416117095</v>
      </c>
      <c r="I10262" t="s">
        <v>1070</v>
      </c>
      <c r="J10262">
        <v>8.07</v>
      </c>
    </row>
    <row r="10263" spans="1:10" hidden="1">
      <c r="A10263" t="s">
        <v>6447</v>
      </c>
      <c r="B10263" t="s">
        <v>6448</v>
      </c>
      <c r="C10263" t="s">
        <v>5111</v>
      </c>
      <c r="D10263" t="s">
        <v>1307</v>
      </c>
      <c r="E10263" t="s">
        <v>555</v>
      </c>
      <c r="F10263" t="s">
        <v>1068</v>
      </c>
      <c r="G10263" t="s">
        <v>1071</v>
      </c>
      <c r="H10263" s="170">
        <v>-6.73258234301675E-10</v>
      </c>
      <c r="I10263" t="s">
        <v>1072</v>
      </c>
      <c r="J10263">
        <v>8.07</v>
      </c>
    </row>
    <row r="10264" spans="1:10" hidden="1">
      <c r="A10264" t="s">
        <v>6447</v>
      </c>
      <c r="B10264" t="s">
        <v>6448</v>
      </c>
      <c r="C10264" t="s">
        <v>5111</v>
      </c>
      <c r="D10264" t="s">
        <v>1307</v>
      </c>
      <c r="E10264" t="s">
        <v>555</v>
      </c>
      <c r="F10264" t="s">
        <v>1068</v>
      </c>
      <c r="G10264" t="s">
        <v>1073</v>
      </c>
      <c r="H10264" s="170">
        <v>-2.3142967292918699E-7</v>
      </c>
      <c r="I10264" t="s">
        <v>1074</v>
      </c>
      <c r="J10264">
        <v>8.07</v>
      </c>
    </row>
    <row r="10265" spans="1:10" hidden="1">
      <c r="A10265" t="s">
        <v>6447</v>
      </c>
      <c r="B10265" t="s">
        <v>6448</v>
      </c>
      <c r="C10265" t="s">
        <v>5111</v>
      </c>
      <c r="D10265" t="s">
        <v>1307</v>
      </c>
      <c r="E10265" t="s">
        <v>555</v>
      </c>
      <c r="F10265" t="s">
        <v>1068</v>
      </c>
      <c r="G10265" t="s">
        <v>1075</v>
      </c>
      <c r="H10265">
        <v>-1.1981180151777101E-2</v>
      </c>
      <c r="I10265" t="s">
        <v>1077</v>
      </c>
      <c r="J10265">
        <v>8.07</v>
      </c>
    </row>
    <row r="10266" spans="1:10" hidden="1">
      <c r="A10266" t="s">
        <v>6447</v>
      </c>
      <c r="B10266" t="s">
        <v>6448</v>
      </c>
      <c r="C10266" t="s">
        <v>5111</v>
      </c>
      <c r="D10266" t="s">
        <v>1307</v>
      </c>
      <c r="E10266" t="s">
        <v>555</v>
      </c>
      <c r="F10266" t="s">
        <v>1068</v>
      </c>
      <c r="G10266" t="s">
        <v>1078</v>
      </c>
      <c r="H10266">
        <v>-0.942225030340478</v>
      </c>
      <c r="I10266" t="s">
        <v>1079</v>
      </c>
      <c r="J10266">
        <v>8.07</v>
      </c>
    </row>
    <row r="10267" spans="1:10" hidden="1">
      <c r="A10267" t="s">
        <v>6447</v>
      </c>
      <c r="B10267" t="s">
        <v>6448</v>
      </c>
      <c r="C10267" t="s">
        <v>5111</v>
      </c>
      <c r="D10267" t="s">
        <v>1307</v>
      </c>
      <c r="E10267" t="s">
        <v>555</v>
      </c>
      <c r="F10267" t="s">
        <v>1068</v>
      </c>
      <c r="G10267" t="s">
        <v>1080</v>
      </c>
      <c r="H10267" s="170">
        <v>-3.75183805547377E-9</v>
      </c>
      <c r="I10267" t="s">
        <v>1082</v>
      </c>
      <c r="J10267">
        <v>8.07</v>
      </c>
    </row>
    <row r="10268" spans="1:10" hidden="1">
      <c r="A10268" t="s">
        <v>6447</v>
      </c>
      <c r="B10268" t="s">
        <v>6448</v>
      </c>
      <c r="C10268" t="s">
        <v>5111</v>
      </c>
      <c r="D10268" t="s">
        <v>1307</v>
      </c>
      <c r="E10268" t="s">
        <v>555</v>
      </c>
      <c r="F10268" t="s">
        <v>1068</v>
      </c>
      <c r="G10268" t="s">
        <v>1083</v>
      </c>
      <c r="H10268" s="170">
        <v>-9.1228017130803098E-5</v>
      </c>
      <c r="I10268" t="s">
        <v>1084</v>
      </c>
      <c r="J10268">
        <v>8.07</v>
      </c>
    </row>
    <row r="10269" spans="1:10" hidden="1">
      <c r="A10269" t="s">
        <v>6447</v>
      </c>
      <c r="B10269" t="s">
        <v>6448</v>
      </c>
      <c r="C10269" t="s">
        <v>5111</v>
      </c>
      <c r="D10269" t="s">
        <v>1307</v>
      </c>
      <c r="E10269" t="s">
        <v>555</v>
      </c>
      <c r="F10269" t="s">
        <v>1068</v>
      </c>
      <c r="G10269" t="s">
        <v>1085</v>
      </c>
      <c r="H10269">
        <v>-8.2644191393249698E-4</v>
      </c>
      <c r="I10269" t="s">
        <v>1086</v>
      </c>
      <c r="J10269">
        <v>8.07</v>
      </c>
    </row>
    <row r="10270" spans="1:10" hidden="1">
      <c r="A10270" t="s">
        <v>6447</v>
      </c>
      <c r="B10270" t="s">
        <v>6448</v>
      </c>
      <c r="C10270" t="s">
        <v>5111</v>
      </c>
      <c r="D10270" t="s">
        <v>1307</v>
      </c>
      <c r="E10270" t="s">
        <v>555</v>
      </c>
      <c r="F10270" t="s">
        <v>1068</v>
      </c>
      <c r="G10270" t="s">
        <v>1087</v>
      </c>
      <c r="H10270" s="170">
        <v>-5.8198557356680996E-7</v>
      </c>
      <c r="I10270" t="s">
        <v>1088</v>
      </c>
      <c r="J10270">
        <v>8.07</v>
      </c>
    </row>
    <row r="10271" spans="1:10" hidden="1">
      <c r="A10271" t="s">
        <v>6447</v>
      </c>
      <c r="B10271" t="s">
        <v>6448</v>
      </c>
      <c r="C10271" t="s">
        <v>5111</v>
      </c>
      <c r="D10271" t="s">
        <v>1307</v>
      </c>
      <c r="E10271" t="s">
        <v>555</v>
      </c>
      <c r="F10271" t="s">
        <v>1068</v>
      </c>
      <c r="G10271" t="s">
        <v>1089</v>
      </c>
      <c r="H10271">
        <v>-1.3693928571903801E-4</v>
      </c>
      <c r="I10271" t="s">
        <v>1090</v>
      </c>
      <c r="J10271">
        <v>8.07</v>
      </c>
    </row>
    <row r="10272" spans="1:10" hidden="1">
      <c r="A10272" t="s">
        <v>6449</v>
      </c>
      <c r="B10272" t="s">
        <v>6450</v>
      </c>
      <c r="C10272" t="s">
        <v>5111</v>
      </c>
      <c r="D10272" t="s">
        <v>1307</v>
      </c>
      <c r="E10272" t="s">
        <v>558</v>
      </c>
      <c r="F10272" t="s">
        <v>1068</v>
      </c>
      <c r="G10272" t="s">
        <v>1069</v>
      </c>
      <c r="H10272">
        <v>-0.58041827454279205</v>
      </c>
      <c r="I10272" t="s">
        <v>1070</v>
      </c>
      <c r="J10272">
        <v>9.5500000000000007</v>
      </c>
    </row>
    <row r="10273" spans="1:10" hidden="1">
      <c r="A10273" t="s">
        <v>6449</v>
      </c>
      <c r="B10273" t="s">
        <v>6450</v>
      </c>
      <c r="C10273" t="s">
        <v>5111</v>
      </c>
      <c r="D10273" t="s">
        <v>1307</v>
      </c>
      <c r="E10273" t="s">
        <v>558</v>
      </c>
      <c r="F10273" t="s">
        <v>1068</v>
      </c>
      <c r="G10273" t="s">
        <v>1071</v>
      </c>
      <c r="H10273" s="170">
        <v>-5.5694523659648205E-10</v>
      </c>
      <c r="I10273" t="s">
        <v>1072</v>
      </c>
      <c r="J10273">
        <v>9.5500000000000007</v>
      </c>
    </row>
    <row r="10274" spans="1:10" hidden="1">
      <c r="A10274" t="s">
        <v>6449</v>
      </c>
      <c r="B10274" t="s">
        <v>6450</v>
      </c>
      <c r="C10274" t="s">
        <v>5111</v>
      </c>
      <c r="D10274" t="s">
        <v>1307</v>
      </c>
      <c r="E10274" t="s">
        <v>558</v>
      </c>
      <c r="F10274" t="s">
        <v>1068</v>
      </c>
      <c r="G10274" t="s">
        <v>1073</v>
      </c>
      <c r="H10274" s="170">
        <v>-2.02558505493628E-7</v>
      </c>
      <c r="I10274" t="s">
        <v>1074</v>
      </c>
      <c r="J10274">
        <v>9.5500000000000007</v>
      </c>
    </row>
    <row r="10275" spans="1:10" hidden="1">
      <c r="A10275" t="s">
        <v>6449</v>
      </c>
      <c r="B10275" t="s">
        <v>6450</v>
      </c>
      <c r="C10275" t="s">
        <v>5111</v>
      </c>
      <c r="D10275" t="s">
        <v>1307</v>
      </c>
      <c r="E10275" t="s">
        <v>558</v>
      </c>
      <c r="F10275" t="s">
        <v>1068</v>
      </c>
      <c r="G10275" t="s">
        <v>1075</v>
      </c>
      <c r="H10275">
        <v>-9.4118067944816992E-3</v>
      </c>
      <c r="I10275" t="s">
        <v>1077</v>
      </c>
      <c r="J10275">
        <v>9.5500000000000007</v>
      </c>
    </row>
    <row r="10276" spans="1:10" hidden="1">
      <c r="A10276" t="s">
        <v>6449</v>
      </c>
      <c r="B10276" t="s">
        <v>6450</v>
      </c>
      <c r="C10276" t="s">
        <v>5111</v>
      </c>
      <c r="D10276" t="s">
        <v>1307</v>
      </c>
      <c r="E10276" t="s">
        <v>558</v>
      </c>
      <c r="F10276" t="s">
        <v>1068</v>
      </c>
      <c r="G10276" t="s">
        <v>1078</v>
      </c>
      <c r="H10276">
        <v>-0.83111541500928499</v>
      </c>
      <c r="I10276" t="s">
        <v>1079</v>
      </c>
      <c r="J10276">
        <v>9.5500000000000007</v>
      </c>
    </row>
    <row r="10277" spans="1:10" hidden="1">
      <c r="A10277" t="s">
        <v>6449</v>
      </c>
      <c r="B10277" t="s">
        <v>6450</v>
      </c>
      <c r="C10277" t="s">
        <v>5111</v>
      </c>
      <c r="D10277" t="s">
        <v>1307</v>
      </c>
      <c r="E10277" t="s">
        <v>558</v>
      </c>
      <c r="F10277" t="s">
        <v>1068</v>
      </c>
      <c r="G10277" t="s">
        <v>1080</v>
      </c>
      <c r="H10277" s="170">
        <v>-3.3000271853355301E-9</v>
      </c>
      <c r="I10277" t="s">
        <v>1082</v>
      </c>
      <c r="J10277">
        <v>9.5500000000000007</v>
      </c>
    </row>
    <row r="10278" spans="1:10" hidden="1">
      <c r="A10278" t="s">
        <v>6449</v>
      </c>
      <c r="B10278" t="s">
        <v>6450</v>
      </c>
      <c r="C10278" t="s">
        <v>5111</v>
      </c>
      <c r="D10278" t="s">
        <v>1307</v>
      </c>
      <c r="E10278" t="s">
        <v>558</v>
      </c>
      <c r="F10278" t="s">
        <v>1068</v>
      </c>
      <c r="G10278" t="s">
        <v>1083</v>
      </c>
      <c r="H10278" s="170">
        <v>-7.8873280759739298E-5</v>
      </c>
      <c r="I10278" t="s">
        <v>1084</v>
      </c>
      <c r="J10278">
        <v>9.5500000000000007</v>
      </c>
    </row>
    <row r="10279" spans="1:10" hidden="1">
      <c r="A10279" t="s">
        <v>6449</v>
      </c>
      <c r="B10279" t="s">
        <v>6450</v>
      </c>
      <c r="C10279" t="s">
        <v>5111</v>
      </c>
      <c r="D10279" t="s">
        <v>1307</v>
      </c>
      <c r="E10279" t="s">
        <v>558</v>
      </c>
      <c r="F10279" t="s">
        <v>1068</v>
      </c>
      <c r="G10279" t="s">
        <v>1085</v>
      </c>
      <c r="H10279">
        <v>-6.8680831815832002E-4</v>
      </c>
      <c r="I10279" t="s">
        <v>1086</v>
      </c>
      <c r="J10279">
        <v>9.5500000000000007</v>
      </c>
    </row>
    <row r="10280" spans="1:10" hidden="1">
      <c r="A10280" t="s">
        <v>6449</v>
      </c>
      <c r="B10280" t="s">
        <v>6450</v>
      </c>
      <c r="C10280" t="s">
        <v>5111</v>
      </c>
      <c r="D10280" t="s">
        <v>1307</v>
      </c>
      <c r="E10280" t="s">
        <v>558</v>
      </c>
      <c r="F10280" t="s">
        <v>1068</v>
      </c>
      <c r="G10280" t="s">
        <v>1087</v>
      </c>
      <c r="H10280" s="170">
        <v>-5.1459776261830202E-7</v>
      </c>
      <c r="I10280" t="s">
        <v>1088</v>
      </c>
      <c r="J10280">
        <v>9.5500000000000007</v>
      </c>
    </row>
    <row r="10281" spans="1:10" hidden="1">
      <c r="A10281" t="s">
        <v>6449</v>
      </c>
      <c r="B10281" t="s">
        <v>6450</v>
      </c>
      <c r="C10281" t="s">
        <v>5111</v>
      </c>
      <c r="D10281" t="s">
        <v>1307</v>
      </c>
      <c r="E10281" t="s">
        <v>558</v>
      </c>
      <c r="F10281" t="s">
        <v>1068</v>
      </c>
      <c r="G10281" t="s">
        <v>1089</v>
      </c>
      <c r="H10281">
        <v>-1.08133150678264E-4</v>
      </c>
      <c r="I10281" t="s">
        <v>1090</v>
      </c>
      <c r="J10281">
        <v>9.5500000000000007</v>
      </c>
    </row>
    <row r="10282" spans="1:10" hidden="1">
      <c r="A10282" t="s">
        <v>6451</v>
      </c>
      <c r="B10282" t="s">
        <v>6452</v>
      </c>
      <c r="C10282" t="s">
        <v>5111</v>
      </c>
      <c r="D10282" t="s">
        <v>1307</v>
      </c>
      <c r="E10282" t="s">
        <v>553</v>
      </c>
      <c r="F10282" t="s">
        <v>1068</v>
      </c>
      <c r="G10282" t="s">
        <v>1069</v>
      </c>
      <c r="H10282">
        <v>-0.57394266124818805</v>
      </c>
      <c r="I10282" t="s">
        <v>1070</v>
      </c>
      <c r="J10282">
        <v>7.7</v>
      </c>
    </row>
    <row r="10283" spans="1:10" hidden="1">
      <c r="A10283" t="s">
        <v>6451</v>
      </c>
      <c r="B10283" t="s">
        <v>6452</v>
      </c>
      <c r="C10283" t="s">
        <v>5111</v>
      </c>
      <c r="D10283" t="s">
        <v>1307</v>
      </c>
      <c r="E10283" t="s">
        <v>553</v>
      </c>
      <c r="F10283" t="s">
        <v>1068</v>
      </c>
      <c r="G10283" t="s">
        <v>1071</v>
      </c>
      <c r="H10283" s="170">
        <v>-5.4767852453430503E-10</v>
      </c>
      <c r="I10283" t="s">
        <v>1072</v>
      </c>
      <c r="J10283">
        <v>7.7</v>
      </c>
    </row>
    <row r="10284" spans="1:10" hidden="1">
      <c r="A10284" t="s">
        <v>6451</v>
      </c>
      <c r="B10284" t="s">
        <v>6452</v>
      </c>
      <c r="C10284" t="s">
        <v>5111</v>
      </c>
      <c r="D10284" t="s">
        <v>1307</v>
      </c>
      <c r="E10284" t="s">
        <v>553</v>
      </c>
      <c r="F10284" t="s">
        <v>1068</v>
      </c>
      <c r="G10284" t="s">
        <v>1073</v>
      </c>
      <c r="H10284" s="170">
        <v>-2.0025849498588101E-7</v>
      </c>
      <c r="I10284" t="s">
        <v>1074</v>
      </c>
      <c r="J10284">
        <v>7.7</v>
      </c>
    </row>
    <row r="10285" spans="1:10" hidden="1">
      <c r="A10285" t="s">
        <v>6451</v>
      </c>
      <c r="B10285" t="s">
        <v>6452</v>
      </c>
      <c r="C10285" t="s">
        <v>5111</v>
      </c>
      <c r="D10285" t="s">
        <v>1307</v>
      </c>
      <c r="E10285" t="s">
        <v>553</v>
      </c>
      <c r="F10285" t="s">
        <v>1068</v>
      </c>
      <c r="G10285" t="s">
        <v>1075</v>
      </c>
      <c r="H10285">
        <v>-9.2071219976344893E-3</v>
      </c>
      <c r="I10285" t="s">
        <v>1077</v>
      </c>
      <c r="J10285">
        <v>7.7</v>
      </c>
    </row>
    <row r="10286" spans="1:10" hidden="1">
      <c r="A10286" t="s">
        <v>6451</v>
      </c>
      <c r="B10286" t="s">
        <v>6452</v>
      </c>
      <c r="C10286" t="s">
        <v>5111</v>
      </c>
      <c r="D10286" t="s">
        <v>1307</v>
      </c>
      <c r="E10286" t="s">
        <v>553</v>
      </c>
      <c r="F10286" t="s">
        <v>1068</v>
      </c>
      <c r="G10286" t="s">
        <v>1078</v>
      </c>
      <c r="H10286">
        <v>-0.82226405511991896</v>
      </c>
      <c r="I10286" t="s">
        <v>1079</v>
      </c>
      <c r="J10286">
        <v>7.7</v>
      </c>
    </row>
    <row r="10287" spans="1:10" hidden="1">
      <c r="A10287" t="s">
        <v>6451</v>
      </c>
      <c r="B10287" t="s">
        <v>6452</v>
      </c>
      <c r="C10287" t="s">
        <v>5111</v>
      </c>
      <c r="D10287" t="s">
        <v>1307</v>
      </c>
      <c r="E10287" t="s">
        <v>553</v>
      </c>
      <c r="F10287" t="s">
        <v>1068</v>
      </c>
      <c r="G10287" t="s">
        <v>1080</v>
      </c>
      <c r="H10287" s="170">
        <v>-3.2640344341526998E-9</v>
      </c>
      <c r="I10287" t="s">
        <v>1082</v>
      </c>
      <c r="J10287">
        <v>7.7</v>
      </c>
    </row>
    <row r="10288" spans="1:10" hidden="1">
      <c r="A10288" t="s">
        <v>6451</v>
      </c>
      <c r="B10288" t="s">
        <v>6452</v>
      </c>
      <c r="C10288" t="s">
        <v>5111</v>
      </c>
      <c r="D10288" t="s">
        <v>1307</v>
      </c>
      <c r="E10288" t="s">
        <v>553</v>
      </c>
      <c r="F10288" t="s">
        <v>1068</v>
      </c>
      <c r="G10288" t="s">
        <v>1083</v>
      </c>
      <c r="H10288" s="170">
        <v>-7.7889061549632198E-5</v>
      </c>
      <c r="I10288" t="s">
        <v>1084</v>
      </c>
      <c r="J10288">
        <v>7.7</v>
      </c>
    </row>
    <row r="10289" spans="1:10" hidden="1">
      <c r="A10289" t="s">
        <v>6451</v>
      </c>
      <c r="B10289" t="s">
        <v>6452</v>
      </c>
      <c r="C10289" t="s">
        <v>5111</v>
      </c>
      <c r="D10289" t="s">
        <v>1307</v>
      </c>
      <c r="E10289" t="s">
        <v>553</v>
      </c>
      <c r="F10289" t="s">
        <v>1068</v>
      </c>
      <c r="G10289" t="s">
        <v>1085</v>
      </c>
      <c r="H10289">
        <v>-6.7568464347908996E-4</v>
      </c>
      <c r="I10289" t="s">
        <v>1086</v>
      </c>
      <c r="J10289">
        <v>7.7</v>
      </c>
    </row>
    <row r="10290" spans="1:10" hidden="1">
      <c r="A10290" t="s">
        <v>6451</v>
      </c>
      <c r="B10290" t="s">
        <v>6452</v>
      </c>
      <c r="C10290" t="s">
        <v>5111</v>
      </c>
      <c r="D10290" t="s">
        <v>1307</v>
      </c>
      <c r="E10290" t="s">
        <v>553</v>
      </c>
      <c r="F10290" t="s">
        <v>1068</v>
      </c>
      <c r="G10290" t="s">
        <v>1087</v>
      </c>
      <c r="H10290" s="170">
        <v>-5.0922942648606101E-7</v>
      </c>
      <c r="I10290" t="s">
        <v>1088</v>
      </c>
      <c r="J10290">
        <v>7.7</v>
      </c>
    </row>
    <row r="10291" spans="1:10" hidden="1">
      <c r="A10291" t="s">
        <v>6451</v>
      </c>
      <c r="B10291" t="s">
        <v>6452</v>
      </c>
      <c r="C10291" t="s">
        <v>5111</v>
      </c>
      <c r="D10291" t="s">
        <v>1307</v>
      </c>
      <c r="E10291" t="s">
        <v>553</v>
      </c>
      <c r="F10291" t="s">
        <v>1068</v>
      </c>
      <c r="G10291" t="s">
        <v>1089</v>
      </c>
      <c r="H10291">
        <v>-1.05838358530318E-4</v>
      </c>
      <c r="I10291" t="s">
        <v>1090</v>
      </c>
      <c r="J10291">
        <v>7.7</v>
      </c>
    </row>
    <row r="10292" spans="1:10" hidden="1">
      <c r="A10292" t="s">
        <v>6453</v>
      </c>
      <c r="B10292" t="s">
        <v>6454</v>
      </c>
      <c r="C10292" t="s">
        <v>5111</v>
      </c>
      <c r="D10292" t="s">
        <v>1307</v>
      </c>
      <c r="E10292" t="s">
        <v>556</v>
      </c>
      <c r="F10292" t="s">
        <v>1068</v>
      </c>
      <c r="G10292" t="s">
        <v>1069</v>
      </c>
      <c r="H10292">
        <v>-0.65345019862572296</v>
      </c>
      <c r="I10292" t="s">
        <v>1070</v>
      </c>
      <c r="J10292">
        <v>9.24</v>
      </c>
    </row>
    <row r="10293" spans="1:10" hidden="1">
      <c r="A10293" t="s">
        <v>6453</v>
      </c>
      <c r="B10293" t="s">
        <v>6454</v>
      </c>
      <c r="C10293" t="s">
        <v>5111</v>
      </c>
      <c r="D10293" t="s">
        <v>1307</v>
      </c>
      <c r="E10293" t="s">
        <v>556</v>
      </c>
      <c r="F10293" t="s">
        <v>1068</v>
      </c>
      <c r="G10293" t="s">
        <v>1071</v>
      </c>
      <c r="H10293" s="170">
        <v>-6.6145471506961205E-10</v>
      </c>
      <c r="I10293" t="s">
        <v>1072</v>
      </c>
      <c r="J10293">
        <v>9.24</v>
      </c>
    </row>
    <row r="10294" spans="1:10" hidden="1">
      <c r="A10294" t="s">
        <v>6453</v>
      </c>
      <c r="B10294" t="s">
        <v>6454</v>
      </c>
      <c r="C10294" t="s">
        <v>5111</v>
      </c>
      <c r="D10294" t="s">
        <v>1307</v>
      </c>
      <c r="E10294" t="s">
        <v>556</v>
      </c>
      <c r="F10294" t="s">
        <v>1068</v>
      </c>
      <c r="G10294" t="s">
        <v>1073</v>
      </c>
      <c r="H10294" s="170">
        <v>-2.28499823839546E-7</v>
      </c>
      <c r="I10294" t="s">
        <v>1074</v>
      </c>
      <c r="J10294">
        <v>9.24</v>
      </c>
    </row>
    <row r="10295" spans="1:10" hidden="1">
      <c r="A10295" t="s">
        <v>6453</v>
      </c>
      <c r="B10295" t="s">
        <v>6454</v>
      </c>
      <c r="C10295" t="s">
        <v>5111</v>
      </c>
      <c r="D10295" t="s">
        <v>1307</v>
      </c>
      <c r="E10295" t="s">
        <v>556</v>
      </c>
      <c r="F10295" t="s">
        <v>1068</v>
      </c>
      <c r="G10295" t="s">
        <v>1075</v>
      </c>
      <c r="H10295">
        <v>-1.17204401896146E-2</v>
      </c>
      <c r="I10295" t="s">
        <v>1077</v>
      </c>
      <c r="J10295">
        <v>9.24</v>
      </c>
    </row>
    <row r="10296" spans="1:10" hidden="1">
      <c r="A10296" t="s">
        <v>6453</v>
      </c>
      <c r="B10296" t="s">
        <v>6454</v>
      </c>
      <c r="C10296" t="s">
        <v>5111</v>
      </c>
      <c r="D10296" t="s">
        <v>1307</v>
      </c>
      <c r="E10296" t="s">
        <v>556</v>
      </c>
      <c r="F10296" t="s">
        <v>1068</v>
      </c>
      <c r="G10296" t="s">
        <v>1078</v>
      </c>
      <c r="H10296">
        <v>-0.93094962859978103</v>
      </c>
      <c r="I10296" t="s">
        <v>1079</v>
      </c>
      <c r="J10296">
        <v>9.24</v>
      </c>
    </row>
    <row r="10297" spans="1:10" hidden="1">
      <c r="A10297" t="s">
        <v>6453</v>
      </c>
      <c r="B10297" t="s">
        <v>6454</v>
      </c>
      <c r="C10297" t="s">
        <v>5111</v>
      </c>
      <c r="D10297" t="s">
        <v>1307</v>
      </c>
      <c r="E10297" t="s">
        <v>556</v>
      </c>
      <c r="F10297" t="s">
        <v>1068</v>
      </c>
      <c r="G10297" t="s">
        <v>1080</v>
      </c>
      <c r="H10297" s="170">
        <v>-3.7059882964929199E-9</v>
      </c>
      <c r="I10297" t="s">
        <v>1082</v>
      </c>
      <c r="J10297">
        <v>9.24</v>
      </c>
    </row>
    <row r="10298" spans="1:10" hidden="1">
      <c r="A10298" t="s">
        <v>6453</v>
      </c>
      <c r="B10298" t="s">
        <v>6454</v>
      </c>
      <c r="C10298" t="s">
        <v>5111</v>
      </c>
      <c r="D10298" t="s">
        <v>1307</v>
      </c>
      <c r="E10298" t="s">
        <v>556</v>
      </c>
      <c r="F10298" t="s">
        <v>1068</v>
      </c>
      <c r="G10298" t="s">
        <v>1083</v>
      </c>
      <c r="H10298" s="170">
        <v>-8.9974258708928903E-5</v>
      </c>
      <c r="I10298" t="s">
        <v>1084</v>
      </c>
      <c r="J10298">
        <v>9.24</v>
      </c>
    </row>
    <row r="10299" spans="1:10" hidden="1">
      <c r="A10299" t="s">
        <v>6453</v>
      </c>
      <c r="B10299" t="s">
        <v>6454</v>
      </c>
      <c r="C10299" t="s">
        <v>5111</v>
      </c>
      <c r="D10299" t="s">
        <v>1307</v>
      </c>
      <c r="E10299" t="s">
        <v>556</v>
      </c>
      <c r="F10299" t="s">
        <v>1068</v>
      </c>
      <c r="G10299" t="s">
        <v>1085</v>
      </c>
      <c r="H10299">
        <v>-8.1227189917089295E-4</v>
      </c>
      <c r="I10299" t="s">
        <v>1086</v>
      </c>
      <c r="J10299">
        <v>9.24</v>
      </c>
    </row>
    <row r="10300" spans="1:10" hidden="1">
      <c r="A10300" t="s">
        <v>6453</v>
      </c>
      <c r="B10300" t="s">
        <v>6454</v>
      </c>
      <c r="C10300" t="s">
        <v>5111</v>
      </c>
      <c r="D10300" t="s">
        <v>1307</v>
      </c>
      <c r="E10300" t="s">
        <v>556</v>
      </c>
      <c r="F10300" t="s">
        <v>1068</v>
      </c>
      <c r="G10300" t="s">
        <v>1087</v>
      </c>
      <c r="H10300" s="170">
        <v>-5.7514705974235697E-7</v>
      </c>
      <c r="I10300" t="s">
        <v>1088</v>
      </c>
      <c r="J10300">
        <v>9.24</v>
      </c>
    </row>
    <row r="10301" spans="1:10" hidden="1">
      <c r="A10301" t="s">
        <v>6453</v>
      </c>
      <c r="B10301" t="s">
        <v>6454</v>
      </c>
      <c r="C10301" t="s">
        <v>5111</v>
      </c>
      <c r="D10301" t="s">
        <v>1307</v>
      </c>
      <c r="E10301" t="s">
        <v>556</v>
      </c>
      <c r="F10301" t="s">
        <v>1068</v>
      </c>
      <c r="G10301" t="s">
        <v>1089</v>
      </c>
      <c r="H10301">
        <v>-1.3401603965576E-4</v>
      </c>
      <c r="I10301" t="s">
        <v>1090</v>
      </c>
      <c r="J10301">
        <v>9.24</v>
      </c>
    </row>
    <row r="10302" spans="1:10" hidden="1">
      <c r="A10302" t="s">
        <v>6455</v>
      </c>
      <c r="B10302" t="s">
        <v>6456</v>
      </c>
      <c r="C10302" t="s">
        <v>5111</v>
      </c>
      <c r="D10302" t="s">
        <v>1307</v>
      </c>
      <c r="E10302" t="s">
        <v>557</v>
      </c>
      <c r="F10302" t="s">
        <v>1068</v>
      </c>
      <c r="G10302" t="s">
        <v>1069</v>
      </c>
      <c r="H10302">
        <v>-0.60772607809990098</v>
      </c>
      <c r="I10302" t="s">
        <v>1070</v>
      </c>
      <c r="J10302">
        <v>9.5500000000000007</v>
      </c>
    </row>
    <row r="10303" spans="1:10" hidden="1">
      <c r="A10303" t="s">
        <v>6455</v>
      </c>
      <c r="B10303" t="s">
        <v>6456</v>
      </c>
      <c r="C10303" t="s">
        <v>5111</v>
      </c>
      <c r="D10303" t="s">
        <v>1307</v>
      </c>
      <c r="E10303" t="s">
        <v>557</v>
      </c>
      <c r="F10303" t="s">
        <v>1068</v>
      </c>
      <c r="G10303" t="s">
        <v>1071</v>
      </c>
      <c r="H10303" s="170">
        <v>-5.9602301416443298E-10</v>
      </c>
      <c r="I10303" t="s">
        <v>1072</v>
      </c>
      <c r="J10303">
        <v>9.5500000000000007</v>
      </c>
    </row>
    <row r="10304" spans="1:10" hidden="1">
      <c r="A10304" t="s">
        <v>6455</v>
      </c>
      <c r="B10304" t="s">
        <v>6456</v>
      </c>
      <c r="C10304" t="s">
        <v>5111</v>
      </c>
      <c r="D10304" t="s">
        <v>1307</v>
      </c>
      <c r="E10304" t="s">
        <v>557</v>
      </c>
      <c r="F10304" t="s">
        <v>1068</v>
      </c>
      <c r="G10304" t="s">
        <v>1073</v>
      </c>
      <c r="H10304" s="170">
        <v>-2.1225832372426399E-7</v>
      </c>
      <c r="I10304" t="s">
        <v>1074</v>
      </c>
      <c r="J10304">
        <v>9.5500000000000007</v>
      </c>
    </row>
    <row r="10305" spans="1:10" hidden="1">
      <c r="A10305" t="s">
        <v>6455</v>
      </c>
      <c r="B10305" t="s">
        <v>6456</v>
      </c>
      <c r="C10305" t="s">
        <v>5111</v>
      </c>
      <c r="D10305" t="s">
        <v>1307</v>
      </c>
      <c r="E10305" t="s">
        <v>557</v>
      </c>
      <c r="F10305" t="s">
        <v>1068</v>
      </c>
      <c r="G10305" t="s">
        <v>1075</v>
      </c>
      <c r="H10305">
        <v>-1.02750356370148E-2</v>
      </c>
      <c r="I10305" t="s">
        <v>1077</v>
      </c>
      <c r="J10305">
        <v>9.5500000000000007</v>
      </c>
    </row>
    <row r="10306" spans="1:10" hidden="1">
      <c r="A10306" t="s">
        <v>6455</v>
      </c>
      <c r="B10306" t="s">
        <v>6456</v>
      </c>
      <c r="C10306" t="s">
        <v>5111</v>
      </c>
      <c r="D10306" t="s">
        <v>1307</v>
      </c>
      <c r="E10306" t="s">
        <v>557</v>
      </c>
      <c r="F10306" t="s">
        <v>1068</v>
      </c>
      <c r="G10306" t="s">
        <v>1078</v>
      </c>
      <c r="H10306">
        <v>-0.86844475997422799</v>
      </c>
      <c r="I10306" t="s">
        <v>1079</v>
      </c>
      <c r="J10306">
        <v>9.5500000000000007</v>
      </c>
    </row>
    <row r="10307" spans="1:10" hidden="1">
      <c r="A10307" t="s">
        <v>6455</v>
      </c>
      <c r="B10307" t="s">
        <v>6456</v>
      </c>
      <c r="C10307" t="s">
        <v>5111</v>
      </c>
      <c r="D10307" t="s">
        <v>1307</v>
      </c>
      <c r="E10307" t="s">
        <v>557</v>
      </c>
      <c r="F10307" t="s">
        <v>1068</v>
      </c>
      <c r="G10307" t="s">
        <v>1080</v>
      </c>
      <c r="H10307" s="170">
        <v>-3.4518214636161401E-9</v>
      </c>
      <c r="I10307" t="s">
        <v>1082</v>
      </c>
      <c r="J10307">
        <v>9.5500000000000007</v>
      </c>
    </row>
    <row r="10308" spans="1:10" hidden="1">
      <c r="A10308" t="s">
        <v>6455</v>
      </c>
      <c r="B10308" t="s">
        <v>6456</v>
      </c>
      <c r="C10308" t="s">
        <v>5111</v>
      </c>
      <c r="D10308" t="s">
        <v>1307</v>
      </c>
      <c r="E10308" t="s">
        <v>557</v>
      </c>
      <c r="F10308" t="s">
        <v>1068</v>
      </c>
      <c r="G10308" t="s">
        <v>1083</v>
      </c>
      <c r="H10308" s="170">
        <v>-8.3024084581116101E-5</v>
      </c>
      <c r="I10308" t="s">
        <v>1084</v>
      </c>
      <c r="J10308">
        <v>9.5500000000000007</v>
      </c>
    </row>
    <row r="10309" spans="1:10" hidden="1">
      <c r="A10309" t="s">
        <v>6455</v>
      </c>
      <c r="B10309" t="s">
        <v>6456</v>
      </c>
      <c r="C10309" t="s">
        <v>5111</v>
      </c>
      <c r="D10309" t="s">
        <v>1307</v>
      </c>
      <c r="E10309" t="s">
        <v>557</v>
      </c>
      <c r="F10309" t="s">
        <v>1068</v>
      </c>
      <c r="G10309" t="s">
        <v>1085</v>
      </c>
      <c r="H10309">
        <v>-7.3372082569988703E-4</v>
      </c>
      <c r="I10309" t="s">
        <v>1086</v>
      </c>
      <c r="J10309">
        <v>9.5500000000000007</v>
      </c>
    </row>
    <row r="10310" spans="1:10" hidden="1">
      <c r="A10310" t="s">
        <v>6455</v>
      </c>
      <c r="B10310" t="s">
        <v>6456</v>
      </c>
      <c r="C10310" t="s">
        <v>5111</v>
      </c>
      <c r="D10310" t="s">
        <v>1307</v>
      </c>
      <c r="E10310" t="s">
        <v>557</v>
      </c>
      <c r="F10310" t="s">
        <v>1068</v>
      </c>
      <c r="G10310" t="s">
        <v>1087</v>
      </c>
      <c r="H10310" s="170">
        <v>-5.3723795296106999E-7</v>
      </c>
      <c r="I10310" t="s">
        <v>1088</v>
      </c>
      <c r="J10310">
        <v>9.5500000000000007</v>
      </c>
    </row>
    <row r="10311" spans="1:10" hidden="1">
      <c r="A10311" t="s">
        <v>6455</v>
      </c>
      <c r="B10311" t="s">
        <v>6456</v>
      </c>
      <c r="C10311" t="s">
        <v>5111</v>
      </c>
      <c r="D10311" t="s">
        <v>1307</v>
      </c>
      <c r="E10311" t="s">
        <v>557</v>
      </c>
      <c r="F10311" t="s">
        <v>1068</v>
      </c>
      <c r="G10311" t="s">
        <v>1089</v>
      </c>
      <c r="H10311">
        <v>-1.1781110834426801E-4</v>
      </c>
      <c r="I10311" t="s">
        <v>1090</v>
      </c>
      <c r="J10311">
        <v>9.5500000000000007</v>
      </c>
    </row>
    <row r="10312" spans="1:10" hidden="1">
      <c r="A10312" t="s">
        <v>6457</v>
      </c>
      <c r="B10312" t="s">
        <v>6458</v>
      </c>
      <c r="C10312" t="s">
        <v>5111</v>
      </c>
      <c r="D10312" t="s">
        <v>1307</v>
      </c>
      <c r="E10312" t="s">
        <v>559</v>
      </c>
      <c r="F10312" t="s">
        <v>1068</v>
      </c>
      <c r="G10312" t="s">
        <v>1069</v>
      </c>
      <c r="H10312">
        <v>-0.62981721254109901</v>
      </c>
      <c r="I10312" t="s">
        <v>1070</v>
      </c>
      <c r="J10312">
        <v>9.92</v>
      </c>
    </row>
    <row r="10313" spans="1:10" hidden="1">
      <c r="A10313" t="s">
        <v>6457</v>
      </c>
      <c r="B10313" t="s">
        <v>6458</v>
      </c>
      <c r="C10313" t="s">
        <v>5111</v>
      </c>
      <c r="D10313" t="s">
        <v>1307</v>
      </c>
      <c r="E10313" t="s">
        <v>559</v>
      </c>
      <c r="F10313" t="s">
        <v>1068</v>
      </c>
      <c r="G10313" t="s">
        <v>1071</v>
      </c>
      <c r="H10313" s="170">
        <v>-6.2763564311278201E-10</v>
      </c>
      <c r="I10313" t="s">
        <v>1072</v>
      </c>
      <c r="J10313">
        <v>9.92</v>
      </c>
    </row>
    <row r="10314" spans="1:10" hidden="1">
      <c r="A10314" t="s">
        <v>6457</v>
      </c>
      <c r="B10314" t="s">
        <v>6458</v>
      </c>
      <c r="C10314" t="s">
        <v>5111</v>
      </c>
      <c r="D10314" t="s">
        <v>1307</v>
      </c>
      <c r="E10314" t="s">
        <v>559</v>
      </c>
      <c r="F10314" t="s">
        <v>1068</v>
      </c>
      <c r="G10314" t="s">
        <v>1073</v>
      </c>
      <c r="H10314" s="170">
        <v>-2.20105312402968E-7</v>
      </c>
      <c r="I10314" t="s">
        <v>1074</v>
      </c>
      <c r="J10314">
        <v>9.92</v>
      </c>
    </row>
    <row r="10315" spans="1:10" hidden="1">
      <c r="A10315" t="s">
        <v>6457</v>
      </c>
      <c r="B10315" t="s">
        <v>6458</v>
      </c>
      <c r="C10315" t="s">
        <v>5111</v>
      </c>
      <c r="D10315" t="s">
        <v>1307</v>
      </c>
      <c r="E10315" t="s">
        <v>559</v>
      </c>
      <c r="F10315" t="s">
        <v>1068</v>
      </c>
      <c r="G10315" t="s">
        <v>1075</v>
      </c>
      <c r="H10315">
        <v>-1.0973376253081301E-2</v>
      </c>
      <c r="I10315" t="s">
        <v>1077</v>
      </c>
      <c r="J10315">
        <v>9.92</v>
      </c>
    </row>
    <row r="10316" spans="1:10" hidden="1">
      <c r="A10316" t="s">
        <v>6457</v>
      </c>
      <c r="B10316" t="s">
        <v>6458</v>
      </c>
      <c r="C10316" t="s">
        <v>5111</v>
      </c>
      <c r="D10316" t="s">
        <v>1307</v>
      </c>
      <c r="E10316" t="s">
        <v>559</v>
      </c>
      <c r="F10316" t="s">
        <v>1068</v>
      </c>
      <c r="G10316" t="s">
        <v>1078</v>
      </c>
      <c r="H10316">
        <v>-0.89864370226409696</v>
      </c>
      <c r="I10316" t="s">
        <v>1079</v>
      </c>
      <c r="J10316">
        <v>9.92</v>
      </c>
    </row>
    <row r="10317" spans="1:10" hidden="1">
      <c r="A10317" t="s">
        <v>6457</v>
      </c>
      <c r="B10317" t="s">
        <v>6458</v>
      </c>
      <c r="C10317" t="s">
        <v>5111</v>
      </c>
      <c r="D10317" t="s">
        <v>1307</v>
      </c>
      <c r="E10317" t="s">
        <v>559</v>
      </c>
      <c r="F10317" t="s">
        <v>1068</v>
      </c>
      <c r="G10317" t="s">
        <v>1080</v>
      </c>
      <c r="H10317" s="170">
        <v>-3.5746210095256702E-9</v>
      </c>
      <c r="I10317" t="s">
        <v>1082</v>
      </c>
      <c r="J10317">
        <v>9.92</v>
      </c>
    </row>
    <row r="10318" spans="1:10" hidden="1">
      <c r="A10318" t="s">
        <v>6457</v>
      </c>
      <c r="B10318" t="s">
        <v>6458</v>
      </c>
      <c r="C10318" t="s">
        <v>5111</v>
      </c>
      <c r="D10318" t="s">
        <v>1307</v>
      </c>
      <c r="E10318" t="s">
        <v>559</v>
      </c>
      <c r="F10318" t="s">
        <v>1068</v>
      </c>
      <c r="G10318" t="s">
        <v>1083</v>
      </c>
      <c r="H10318" s="170">
        <v>-8.63820295226625E-5</v>
      </c>
      <c r="I10318" t="s">
        <v>1084</v>
      </c>
      <c r="J10318">
        <v>9.92</v>
      </c>
    </row>
    <row r="10319" spans="1:10" hidden="1">
      <c r="A10319" t="s">
        <v>6457</v>
      </c>
      <c r="B10319" t="s">
        <v>6458</v>
      </c>
      <c r="C10319" t="s">
        <v>5111</v>
      </c>
      <c r="D10319" t="s">
        <v>1307</v>
      </c>
      <c r="E10319" t="s">
        <v>559</v>
      </c>
      <c r="F10319" t="s">
        <v>1068</v>
      </c>
      <c r="G10319" t="s">
        <v>1085</v>
      </c>
      <c r="H10319">
        <v>-7.71672418674149E-4</v>
      </c>
      <c r="I10319" t="s">
        <v>1086</v>
      </c>
      <c r="J10319">
        <v>9.92</v>
      </c>
    </row>
    <row r="10320" spans="1:10" hidden="1">
      <c r="A10320" t="s">
        <v>6457</v>
      </c>
      <c r="B10320" t="s">
        <v>6458</v>
      </c>
      <c r="C10320" t="s">
        <v>5111</v>
      </c>
      <c r="D10320" t="s">
        <v>1307</v>
      </c>
      <c r="E10320" t="s">
        <v>559</v>
      </c>
      <c r="F10320" t="s">
        <v>1068</v>
      </c>
      <c r="G10320" t="s">
        <v>1087</v>
      </c>
      <c r="H10320" s="170">
        <v>-5.5555356507680104E-7</v>
      </c>
      <c r="I10320" t="s">
        <v>1088</v>
      </c>
      <c r="J10320">
        <v>9.92</v>
      </c>
    </row>
    <row r="10321" spans="1:10" hidden="1">
      <c r="A10321" t="s">
        <v>6457</v>
      </c>
      <c r="B10321" t="s">
        <v>6458</v>
      </c>
      <c r="C10321" t="s">
        <v>5111</v>
      </c>
      <c r="D10321" t="s">
        <v>1307</v>
      </c>
      <c r="E10321" t="s">
        <v>559</v>
      </c>
      <c r="F10321" t="s">
        <v>1068</v>
      </c>
      <c r="G10321" t="s">
        <v>1089</v>
      </c>
      <c r="H10321">
        <v>-1.2564044700253901E-4</v>
      </c>
      <c r="I10321" t="s">
        <v>1090</v>
      </c>
      <c r="J10321">
        <v>9.92</v>
      </c>
    </row>
    <row r="10322" spans="1:10" hidden="1">
      <c r="A10322" t="s">
        <v>6459</v>
      </c>
      <c r="B10322" t="s">
        <v>6460</v>
      </c>
      <c r="C10322" t="s">
        <v>5111</v>
      </c>
      <c r="D10322" t="s">
        <v>1307</v>
      </c>
      <c r="E10322" t="s">
        <v>560</v>
      </c>
      <c r="F10322" t="s">
        <v>1068</v>
      </c>
      <c r="G10322" t="s">
        <v>1069</v>
      </c>
      <c r="H10322">
        <v>-0.62229023999702604</v>
      </c>
      <c r="I10322" t="s">
        <v>1070</v>
      </c>
      <c r="J10322">
        <v>9.16</v>
      </c>
    </row>
    <row r="10323" spans="1:10" hidden="1">
      <c r="A10323" t="s">
        <v>6459</v>
      </c>
      <c r="B10323" t="s">
        <v>6460</v>
      </c>
      <c r="C10323" t="s">
        <v>5111</v>
      </c>
      <c r="D10323" t="s">
        <v>1307</v>
      </c>
      <c r="E10323" t="s">
        <v>560</v>
      </c>
      <c r="F10323" t="s">
        <v>1068</v>
      </c>
      <c r="G10323" t="s">
        <v>1071</v>
      </c>
      <c r="H10323" s="170">
        <v>-6.1686449553400696E-10</v>
      </c>
      <c r="I10323" t="s">
        <v>1072</v>
      </c>
      <c r="J10323">
        <v>9.16</v>
      </c>
    </row>
    <row r="10324" spans="1:10" hidden="1">
      <c r="A10324" t="s">
        <v>6459</v>
      </c>
      <c r="B10324" t="s">
        <v>6460</v>
      </c>
      <c r="C10324" t="s">
        <v>5111</v>
      </c>
      <c r="D10324" t="s">
        <v>1307</v>
      </c>
      <c r="E10324" t="s">
        <v>560</v>
      </c>
      <c r="F10324" t="s">
        <v>1068</v>
      </c>
      <c r="G10324" t="s">
        <v>1073</v>
      </c>
      <c r="H10324" s="170">
        <v>-2.17431560113937E-7</v>
      </c>
      <c r="I10324" t="s">
        <v>1074</v>
      </c>
      <c r="J10324">
        <v>9.16</v>
      </c>
    </row>
    <row r="10325" spans="1:10" hidden="1">
      <c r="A10325" t="s">
        <v>6459</v>
      </c>
      <c r="B10325" t="s">
        <v>6460</v>
      </c>
      <c r="C10325" t="s">
        <v>5111</v>
      </c>
      <c r="D10325" t="s">
        <v>1307</v>
      </c>
      <c r="E10325" t="s">
        <v>560</v>
      </c>
      <c r="F10325" t="s">
        <v>1068</v>
      </c>
      <c r="G10325" t="s">
        <v>1075</v>
      </c>
      <c r="H10325">
        <v>-1.0735424353032499E-2</v>
      </c>
      <c r="I10325" t="s">
        <v>1077</v>
      </c>
      <c r="J10325">
        <v>9.16</v>
      </c>
    </row>
    <row r="10326" spans="1:10" hidden="1">
      <c r="A10326" t="s">
        <v>6459</v>
      </c>
      <c r="B10326" t="s">
        <v>6460</v>
      </c>
      <c r="C10326" t="s">
        <v>5111</v>
      </c>
      <c r="D10326" t="s">
        <v>1307</v>
      </c>
      <c r="E10326" t="s">
        <v>560</v>
      </c>
      <c r="F10326" t="s">
        <v>1068</v>
      </c>
      <c r="G10326" t="s">
        <v>1078</v>
      </c>
      <c r="H10326">
        <v>-0.88835374395553102</v>
      </c>
      <c r="I10326" t="s">
        <v>1079</v>
      </c>
      <c r="J10326">
        <v>9.16</v>
      </c>
    </row>
    <row r="10327" spans="1:10" hidden="1">
      <c r="A10327" t="s">
        <v>6459</v>
      </c>
      <c r="B10327" t="s">
        <v>6460</v>
      </c>
      <c r="C10327" t="s">
        <v>5111</v>
      </c>
      <c r="D10327" t="s">
        <v>1307</v>
      </c>
      <c r="E10327" t="s">
        <v>560</v>
      </c>
      <c r="F10327" t="s">
        <v>1068</v>
      </c>
      <c r="G10327" t="s">
        <v>1080</v>
      </c>
      <c r="H10327" s="170">
        <v>-3.5327784120324701E-9</v>
      </c>
      <c r="I10327" t="s">
        <v>1082</v>
      </c>
      <c r="J10327">
        <v>9.16</v>
      </c>
    </row>
    <row r="10328" spans="1:10" hidden="1">
      <c r="A10328" t="s">
        <v>6459</v>
      </c>
      <c r="B10328" t="s">
        <v>6460</v>
      </c>
      <c r="C10328" t="s">
        <v>5111</v>
      </c>
      <c r="D10328" t="s">
        <v>1307</v>
      </c>
      <c r="E10328" t="s">
        <v>560</v>
      </c>
      <c r="F10328" t="s">
        <v>1068</v>
      </c>
      <c r="G10328" t="s">
        <v>1083</v>
      </c>
      <c r="H10328" s="170">
        <v>-8.5237846619183705E-5</v>
      </c>
      <c r="I10328" t="s">
        <v>1084</v>
      </c>
      <c r="J10328">
        <v>9.16</v>
      </c>
    </row>
    <row r="10329" spans="1:10" hidden="1">
      <c r="A10329" t="s">
        <v>6459</v>
      </c>
      <c r="B10329" t="s">
        <v>6460</v>
      </c>
      <c r="C10329" t="s">
        <v>5111</v>
      </c>
      <c r="D10329" t="s">
        <v>1307</v>
      </c>
      <c r="E10329" t="s">
        <v>560</v>
      </c>
      <c r="F10329" t="s">
        <v>1068</v>
      </c>
      <c r="G10329" t="s">
        <v>1085</v>
      </c>
      <c r="H10329">
        <v>-7.5874082972205597E-4</v>
      </c>
      <c r="I10329" t="s">
        <v>1086</v>
      </c>
      <c r="J10329">
        <v>9.16</v>
      </c>
    </row>
    <row r="10330" spans="1:10" hidden="1">
      <c r="A10330" t="s">
        <v>6459</v>
      </c>
      <c r="B10330" t="s">
        <v>6460</v>
      </c>
      <c r="C10330" t="s">
        <v>5111</v>
      </c>
      <c r="D10330" t="s">
        <v>1307</v>
      </c>
      <c r="E10330" t="s">
        <v>560</v>
      </c>
      <c r="F10330" t="s">
        <v>1068</v>
      </c>
      <c r="G10330" t="s">
        <v>1087</v>
      </c>
      <c r="H10330" s="170">
        <v>-5.4931272114387899E-7</v>
      </c>
      <c r="I10330" t="s">
        <v>1088</v>
      </c>
      <c r="J10330">
        <v>9.16</v>
      </c>
    </row>
    <row r="10331" spans="1:10" hidden="1">
      <c r="A10331" t="s">
        <v>6459</v>
      </c>
      <c r="B10331" t="s">
        <v>6460</v>
      </c>
      <c r="C10331" t="s">
        <v>5111</v>
      </c>
      <c r="D10331" t="s">
        <v>1307</v>
      </c>
      <c r="E10331" t="s">
        <v>560</v>
      </c>
      <c r="F10331" t="s">
        <v>1068</v>
      </c>
      <c r="G10331" t="s">
        <v>1089</v>
      </c>
      <c r="H10331">
        <v>-1.22972685766138E-4</v>
      </c>
      <c r="I10331" t="s">
        <v>1090</v>
      </c>
      <c r="J10331">
        <v>9.16</v>
      </c>
    </row>
    <row r="10332" spans="1:10" hidden="1">
      <c r="A10332" t="s">
        <v>6461</v>
      </c>
      <c r="B10332" t="s">
        <v>6462</v>
      </c>
      <c r="C10332" t="s">
        <v>5111</v>
      </c>
      <c r="D10332" t="s">
        <v>1307</v>
      </c>
      <c r="E10332" t="s">
        <v>1116</v>
      </c>
      <c r="F10332" t="s">
        <v>1068</v>
      </c>
      <c r="G10332" t="s">
        <v>1069</v>
      </c>
      <c r="H10332">
        <v>-0.57808654399145998</v>
      </c>
      <c r="I10332" t="s">
        <v>1070</v>
      </c>
      <c r="J10332">
        <v>9.1199999999999992</v>
      </c>
    </row>
    <row r="10333" spans="1:10" hidden="1">
      <c r="A10333" t="s">
        <v>6461</v>
      </c>
      <c r="B10333" t="s">
        <v>6462</v>
      </c>
      <c r="C10333" t="s">
        <v>5111</v>
      </c>
      <c r="D10333" t="s">
        <v>1307</v>
      </c>
      <c r="E10333" t="s">
        <v>1116</v>
      </c>
      <c r="F10333" t="s">
        <v>1068</v>
      </c>
      <c r="G10333" t="s">
        <v>1071</v>
      </c>
      <c r="H10333" s="170">
        <v>-5.5360850364969597E-10</v>
      </c>
      <c r="I10333" t="s">
        <v>1072</v>
      </c>
      <c r="J10333">
        <v>9.1199999999999992</v>
      </c>
    </row>
    <row r="10334" spans="1:10" hidden="1">
      <c r="A10334" t="s">
        <v>6461</v>
      </c>
      <c r="B10334" t="s">
        <v>6462</v>
      </c>
      <c r="C10334" t="s">
        <v>5111</v>
      </c>
      <c r="D10334" t="s">
        <v>1307</v>
      </c>
      <c r="E10334" t="s">
        <v>1116</v>
      </c>
      <c r="F10334" t="s">
        <v>1068</v>
      </c>
      <c r="G10334" t="s">
        <v>1073</v>
      </c>
      <c r="H10334" s="170">
        <v>-2.0173026742375E-7</v>
      </c>
      <c r="I10334" t="s">
        <v>1074</v>
      </c>
      <c r="J10334">
        <v>9.1199999999999992</v>
      </c>
    </row>
    <row r="10335" spans="1:10" hidden="1">
      <c r="A10335" t="s">
        <v>6461</v>
      </c>
      <c r="B10335" t="s">
        <v>6462</v>
      </c>
      <c r="C10335" t="s">
        <v>5111</v>
      </c>
      <c r="D10335" t="s">
        <v>1307</v>
      </c>
      <c r="E10335" t="s">
        <v>1116</v>
      </c>
      <c r="F10335" t="s">
        <v>1068</v>
      </c>
      <c r="G10335" t="s">
        <v>1075</v>
      </c>
      <c r="H10335">
        <v>-9.3380983008375801E-3</v>
      </c>
      <c r="I10335" t="s">
        <v>1077</v>
      </c>
      <c r="J10335">
        <v>9.1199999999999992</v>
      </c>
    </row>
    <row r="10336" spans="1:10" hidden="1">
      <c r="A10336" t="s">
        <v>6461</v>
      </c>
      <c r="B10336" t="s">
        <v>6462</v>
      </c>
      <c r="C10336" t="s">
        <v>5111</v>
      </c>
      <c r="D10336" t="s">
        <v>1307</v>
      </c>
      <c r="E10336" t="s">
        <v>1116</v>
      </c>
      <c r="F10336" t="s">
        <v>1068</v>
      </c>
      <c r="G10336" t="s">
        <v>1078</v>
      </c>
      <c r="H10336">
        <v>-0.82792797542140595</v>
      </c>
      <c r="I10336" t="s">
        <v>1079</v>
      </c>
      <c r="J10336">
        <v>9.1199999999999992</v>
      </c>
    </row>
    <row r="10337" spans="1:10" hidden="1">
      <c r="A10337" t="s">
        <v>6461</v>
      </c>
      <c r="B10337" t="s">
        <v>6462</v>
      </c>
      <c r="C10337" t="s">
        <v>5111</v>
      </c>
      <c r="D10337" t="s">
        <v>1307</v>
      </c>
      <c r="E10337" t="s">
        <v>1116</v>
      </c>
      <c r="F10337" t="s">
        <v>1068</v>
      </c>
      <c r="G10337" t="s">
        <v>1080</v>
      </c>
      <c r="H10337" s="170">
        <v>-3.2870659321375602E-9</v>
      </c>
      <c r="I10337" t="s">
        <v>1082</v>
      </c>
      <c r="J10337">
        <v>9.1199999999999992</v>
      </c>
    </row>
    <row r="10338" spans="1:10" hidden="1">
      <c r="A10338" t="s">
        <v>6461</v>
      </c>
      <c r="B10338" t="s">
        <v>6462</v>
      </c>
      <c r="C10338" t="s">
        <v>5111</v>
      </c>
      <c r="D10338" t="s">
        <v>1307</v>
      </c>
      <c r="E10338" t="s">
        <v>1116</v>
      </c>
      <c r="F10338" t="s">
        <v>1068</v>
      </c>
      <c r="G10338" t="s">
        <v>1083</v>
      </c>
      <c r="H10338" s="170">
        <v>-7.8518856206235803E-5</v>
      </c>
      <c r="I10338" t="s">
        <v>1084</v>
      </c>
      <c r="J10338">
        <v>9.1199999999999992</v>
      </c>
    </row>
    <row r="10339" spans="1:10" hidden="1">
      <c r="A10339" t="s">
        <v>6461</v>
      </c>
      <c r="B10339" t="s">
        <v>6462</v>
      </c>
      <c r="C10339" t="s">
        <v>5111</v>
      </c>
      <c r="D10339" t="s">
        <v>1307</v>
      </c>
      <c r="E10339" t="s">
        <v>1116</v>
      </c>
      <c r="F10339" t="s">
        <v>1068</v>
      </c>
      <c r="G10339" t="s">
        <v>1085</v>
      </c>
      <c r="H10339">
        <v>-6.8280260137317298E-4</v>
      </c>
      <c r="I10339" t="s">
        <v>1086</v>
      </c>
      <c r="J10339">
        <v>9.1199999999999992</v>
      </c>
    </row>
    <row r="10340" spans="1:10" hidden="1">
      <c r="A10340" t="s">
        <v>6461</v>
      </c>
      <c r="B10340" t="s">
        <v>6462</v>
      </c>
      <c r="C10340" t="s">
        <v>5111</v>
      </c>
      <c r="D10340" t="s">
        <v>1307</v>
      </c>
      <c r="E10340" t="s">
        <v>1116</v>
      </c>
      <c r="F10340" t="s">
        <v>1068</v>
      </c>
      <c r="G10340" t="s">
        <v>1087</v>
      </c>
      <c r="H10340" s="170">
        <v>-5.1266458540762703E-7</v>
      </c>
      <c r="I10340" t="s">
        <v>1088</v>
      </c>
      <c r="J10340">
        <v>9.1199999999999992</v>
      </c>
    </row>
    <row r="10341" spans="1:10" hidden="1">
      <c r="A10341" t="s">
        <v>6461</v>
      </c>
      <c r="B10341" t="s">
        <v>6462</v>
      </c>
      <c r="C10341" t="s">
        <v>5111</v>
      </c>
      <c r="D10341" t="s">
        <v>1307</v>
      </c>
      <c r="E10341" t="s">
        <v>1116</v>
      </c>
      <c r="F10341" t="s">
        <v>1068</v>
      </c>
      <c r="G10341" t="s">
        <v>1089</v>
      </c>
      <c r="H10341">
        <v>-1.0730677921572101E-4</v>
      </c>
      <c r="I10341" t="s">
        <v>1090</v>
      </c>
      <c r="J10341">
        <v>9.1199999999999992</v>
      </c>
    </row>
    <row r="10342" spans="1:10" hidden="1">
      <c r="A10342" t="s">
        <v>6463</v>
      </c>
      <c r="B10342" t="s">
        <v>6464</v>
      </c>
      <c r="C10342" t="s">
        <v>5111</v>
      </c>
      <c r="D10342" t="s">
        <v>3489</v>
      </c>
      <c r="E10342" t="s">
        <v>561</v>
      </c>
      <c r="F10342" t="s">
        <v>1068</v>
      </c>
      <c r="G10342" t="s">
        <v>1069</v>
      </c>
      <c r="H10342">
        <v>-1.0902409910492601</v>
      </c>
      <c r="I10342" t="s">
        <v>1070</v>
      </c>
      <c r="J10342">
        <v>9.1</v>
      </c>
    </row>
    <row r="10343" spans="1:10" hidden="1">
      <c r="A10343" t="s">
        <v>6463</v>
      </c>
      <c r="B10343" t="s">
        <v>6464</v>
      </c>
      <c r="C10343" t="s">
        <v>5111</v>
      </c>
      <c r="D10343" t="s">
        <v>3489</v>
      </c>
      <c r="E10343" t="s">
        <v>561</v>
      </c>
      <c r="F10343" t="s">
        <v>1068</v>
      </c>
      <c r="G10343" t="s">
        <v>1071</v>
      </c>
      <c r="H10343" s="170">
        <v>-1.1209505888319601E-9</v>
      </c>
      <c r="I10343" t="s">
        <v>1072</v>
      </c>
      <c r="J10343">
        <v>9.1</v>
      </c>
    </row>
    <row r="10344" spans="1:10" hidden="1">
      <c r="A10344" t="s">
        <v>6463</v>
      </c>
      <c r="B10344" t="s">
        <v>6464</v>
      </c>
      <c r="C10344" t="s">
        <v>5111</v>
      </c>
      <c r="D10344" t="s">
        <v>3489</v>
      </c>
      <c r="E10344" t="s">
        <v>561</v>
      </c>
      <c r="F10344" t="s">
        <v>1068</v>
      </c>
      <c r="G10344" t="s">
        <v>1073</v>
      </c>
      <c r="H10344" s="170">
        <v>-3.8376396662083601E-7</v>
      </c>
      <c r="I10344" t="s">
        <v>1074</v>
      </c>
      <c r="J10344">
        <v>9.1</v>
      </c>
    </row>
    <row r="10345" spans="1:10" hidden="1">
      <c r="A10345" t="s">
        <v>6463</v>
      </c>
      <c r="B10345" t="s">
        <v>6464</v>
      </c>
      <c r="C10345" t="s">
        <v>5111</v>
      </c>
      <c r="D10345" t="s">
        <v>3489</v>
      </c>
      <c r="E10345" t="s">
        <v>561</v>
      </c>
      <c r="F10345" t="s">
        <v>1068</v>
      </c>
      <c r="G10345" t="s">
        <v>1075</v>
      </c>
      <c r="H10345">
        <v>-1.8500174108632299E-2</v>
      </c>
      <c r="I10345" t="s">
        <v>1077</v>
      </c>
      <c r="J10345">
        <v>9.1</v>
      </c>
    </row>
    <row r="10346" spans="1:10" hidden="1">
      <c r="A10346" t="s">
        <v>6463</v>
      </c>
      <c r="B10346" t="s">
        <v>6464</v>
      </c>
      <c r="C10346" t="s">
        <v>5111</v>
      </c>
      <c r="D10346" t="s">
        <v>3489</v>
      </c>
      <c r="E10346" t="s">
        <v>561</v>
      </c>
      <c r="F10346" t="s">
        <v>1068</v>
      </c>
      <c r="G10346" t="s">
        <v>1078</v>
      </c>
      <c r="H10346" s="171" t="s">
        <v>6465</v>
      </c>
      <c r="I10346" t="s">
        <v>1079</v>
      </c>
      <c r="J10346">
        <v>9.1</v>
      </c>
    </row>
    <row r="10347" spans="1:10" hidden="1">
      <c r="A10347" t="s">
        <v>6463</v>
      </c>
      <c r="B10347" t="s">
        <v>6464</v>
      </c>
      <c r="C10347" t="s">
        <v>5111</v>
      </c>
      <c r="D10347" t="s">
        <v>3489</v>
      </c>
      <c r="E10347" t="s">
        <v>561</v>
      </c>
      <c r="F10347" t="s">
        <v>1068</v>
      </c>
      <c r="G10347" t="s">
        <v>1080</v>
      </c>
      <c r="H10347" s="170">
        <v>-6.1357355381223303E-9</v>
      </c>
      <c r="I10347" t="s">
        <v>1082</v>
      </c>
      <c r="J10347">
        <v>9.1</v>
      </c>
    </row>
    <row r="10348" spans="1:10" hidden="1">
      <c r="A10348" t="s">
        <v>6463</v>
      </c>
      <c r="B10348" t="s">
        <v>6464</v>
      </c>
      <c r="C10348" t="s">
        <v>5111</v>
      </c>
      <c r="D10348" t="s">
        <v>3489</v>
      </c>
      <c r="E10348" t="s">
        <v>561</v>
      </c>
      <c r="F10348" t="s">
        <v>1068</v>
      </c>
      <c r="G10348" t="s">
        <v>1083</v>
      </c>
      <c r="H10348">
        <v>-1.4694876160208101E-4</v>
      </c>
      <c r="I10348" t="s">
        <v>1084</v>
      </c>
      <c r="J10348">
        <v>9.1</v>
      </c>
    </row>
    <row r="10349" spans="1:10" hidden="1">
      <c r="A10349" t="s">
        <v>6463</v>
      </c>
      <c r="B10349" t="s">
        <v>6464</v>
      </c>
      <c r="C10349" t="s">
        <v>5111</v>
      </c>
      <c r="D10349" t="s">
        <v>3489</v>
      </c>
      <c r="E10349" t="s">
        <v>561</v>
      </c>
      <c r="F10349" t="s">
        <v>1068</v>
      </c>
      <c r="G10349" t="s">
        <v>1085</v>
      </c>
      <c r="H10349">
        <v>-1.32217907904931E-3</v>
      </c>
      <c r="I10349" t="s">
        <v>1086</v>
      </c>
      <c r="J10349">
        <v>9.1</v>
      </c>
    </row>
    <row r="10350" spans="1:10" hidden="1">
      <c r="A10350" t="s">
        <v>6463</v>
      </c>
      <c r="B10350" t="s">
        <v>6464</v>
      </c>
      <c r="C10350" t="s">
        <v>5111</v>
      </c>
      <c r="D10350" t="s">
        <v>3489</v>
      </c>
      <c r="E10350" t="s">
        <v>561</v>
      </c>
      <c r="F10350" t="s">
        <v>1068</v>
      </c>
      <c r="G10350" t="s">
        <v>1087</v>
      </c>
      <c r="H10350" s="170">
        <v>-9.3900709131845201E-7</v>
      </c>
      <c r="I10350" t="s">
        <v>1088</v>
      </c>
      <c r="J10350">
        <v>9.1</v>
      </c>
    </row>
    <row r="10351" spans="1:10" hidden="1">
      <c r="A10351" t="s">
        <v>6463</v>
      </c>
      <c r="B10351" t="s">
        <v>6464</v>
      </c>
      <c r="C10351" t="s">
        <v>5111</v>
      </c>
      <c r="D10351" t="s">
        <v>3489</v>
      </c>
      <c r="E10351" t="s">
        <v>561</v>
      </c>
      <c r="F10351" t="s">
        <v>1068</v>
      </c>
      <c r="G10351" t="s">
        <v>1089</v>
      </c>
      <c r="H10351">
        <v>-2.1101075120135001E-4</v>
      </c>
      <c r="I10351" t="s">
        <v>1090</v>
      </c>
      <c r="J10351">
        <v>9.1</v>
      </c>
    </row>
    <row r="10352" spans="1:10" hidden="1">
      <c r="A10352" t="s">
        <v>6466</v>
      </c>
      <c r="B10352" t="s">
        <v>6467</v>
      </c>
      <c r="C10352" t="s">
        <v>5111</v>
      </c>
      <c r="D10352" t="s">
        <v>3489</v>
      </c>
      <c r="E10352" t="s">
        <v>555</v>
      </c>
      <c r="F10352" t="s">
        <v>1068</v>
      </c>
      <c r="G10352" t="s">
        <v>1069</v>
      </c>
      <c r="H10352">
        <v>-1.22446178841855</v>
      </c>
      <c r="I10352" t="s">
        <v>1070</v>
      </c>
      <c r="J10352">
        <v>8.82</v>
      </c>
    </row>
    <row r="10353" spans="1:10" hidden="1">
      <c r="A10353" t="s">
        <v>6466</v>
      </c>
      <c r="B10353" t="s">
        <v>6467</v>
      </c>
      <c r="C10353" t="s">
        <v>5111</v>
      </c>
      <c r="D10353" t="s">
        <v>3489</v>
      </c>
      <c r="E10353" t="s">
        <v>555</v>
      </c>
      <c r="F10353" t="s">
        <v>1068</v>
      </c>
      <c r="G10353" t="s">
        <v>1071</v>
      </c>
      <c r="H10353" s="170">
        <v>-1.31302202091695E-9</v>
      </c>
      <c r="I10353" t="s">
        <v>1072</v>
      </c>
      <c r="J10353">
        <v>8.82</v>
      </c>
    </row>
    <row r="10354" spans="1:10" hidden="1">
      <c r="A10354" t="s">
        <v>6466</v>
      </c>
      <c r="B10354" t="s">
        <v>6467</v>
      </c>
      <c r="C10354" t="s">
        <v>5111</v>
      </c>
      <c r="D10354" t="s">
        <v>3489</v>
      </c>
      <c r="E10354" t="s">
        <v>555</v>
      </c>
      <c r="F10354" t="s">
        <v>1068</v>
      </c>
      <c r="G10354" t="s">
        <v>1073</v>
      </c>
      <c r="H10354" s="170">
        <v>-4.3143984986049398E-7</v>
      </c>
      <c r="I10354" t="s">
        <v>1074</v>
      </c>
      <c r="J10354">
        <v>8.82</v>
      </c>
    </row>
    <row r="10355" spans="1:10" hidden="1">
      <c r="A10355" t="s">
        <v>6466</v>
      </c>
      <c r="B10355" t="s">
        <v>6467</v>
      </c>
      <c r="C10355" t="s">
        <v>5111</v>
      </c>
      <c r="D10355" t="s">
        <v>3489</v>
      </c>
      <c r="E10355" t="s">
        <v>555</v>
      </c>
      <c r="F10355" t="s">
        <v>1068</v>
      </c>
      <c r="G10355" t="s">
        <v>1075</v>
      </c>
      <c r="H10355">
        <v>-2.2743062336307799E-2</v>
      </c>
      <c r="I10355" t="s">
        <v>1077</v>
      </c>
      <c r="J10355">
        <v>8.82</v>
      </c>
    </row>
    <row r="10356" spans="1:10" hidden="1">
      <c r="A10356" t="s">
        <v>6466</v>
      </c>
      <c r="B10356" t="s">
        <v>6467</v>
      </c>
      <c r="C10356" t="s">
        <v>5111</v>
      </c>
      <c r="D10356" t="s">
        <v>3489</v>
      </c>
      <c r="E10356" t="s">
        <v>555</v>
      </c>
      <c r="F10356" t="s">
        <v>1068</v>
      </c>
      <c r="G10356" t="s">
        <v>1078</v>
      </c>
      <c r="H10356" s="171" t="s">
        <v>6468</v>
      </c>
      <c r="I10356" t="s">
        <v>1079</v>
      </c>
      <c r="J10356">
        <v>8.82</v>
      </c>
    </row>
    <row r="10357" spans="1:10" hidden="1">
      <c r="A10357" t="s">
        <v>6466</v>
      </c>
      <c r="B10357" t="s">
        <v>6467</v>
      </c>
      <c r="C10357" t="s">
        <v>5111</v>
      </c>
      <c r="D10357" t="s">
        <v>3489</v>
      </c>
      <c r="E10357" t="s">
        <v>555</v>
      </c>
      <c r="F10357" t="s">
        <v>1068</v>
      </c>
      <c r="G10357" t="s">
        <v>1080</v>
      </c>
      <c r="H10357" s="170">
        <v>-6.8818252477336597E-9</v>
      </c>
      <c r="I10357" t="s">
        <v>1082</v>
      </c>
      <c r="J10357">
        <v>8.82</v>
      </c>
    </row>
    <row r="10358" spans="1:10" hidden="1">
      <c r="A10358" t="s">
        <v>6466</v>
      </c>
      <c r="B10358" t="s">
        <v>6467</v>
      </c>
      <c r="C10358" t="s">
        <v>5111</v>
      </c>
      <c r="D10358" t="s">
        <v>3489</v>
      </c>
      <c r="E10358" t="s">
        <v>555</v>
      </c>
      <c r="F10358" t="s">
        <v>1068</v>
      </c>
      <c r="G10358" t="s">
        <v>1083</v>
      </c>
      <c r="H10358">
        <v>-1.67350532076165E-4</v>
      </c>
      <c r="I10358" t="s">
        <v>1084</v>
      </c>
      <c r="J10358">
        <v>8.82</v>
      </c>
    </row>
    <row r="10359" spans="1:10" hidden="1">
      <c r="A10359" t="s">
        <v>6466</v>
      </c>
      <c r="B10359" t="s">
        <v>6467</v>
      </c>
      <c r="C10359" t="s">
        <v>5111</v>
      </c>
      <c r="D10359" t="s">
        <v>3489</v>
      </c>
      <c r="E10359" t="s">
        <v>555</v>
      </c>
      <c r="F10359" t="s">
        <v>1068</v>
      </c>
      <c r="G10359" t="s">
        <v>1085</v>
      </c>
      <c r="H10359">
        <v>-1.55276049219804E-3</v>
      </c>
      <c r="I10359" t="s">
        <v>1086</v>
      </c>
      <c r="J10359">
        <v>8.82</v>
      </c>
    </row>
    <row r="10360" spans="1:10" hidden="1">
      <c r="A10360" t="s">
        <v>6466</v>
      </c>
      <c r="B10360" t="s">
        <v>6467</v>
      </c>
      <c r="C10360" t="s">
        <v>5111</v>
      </c>
      <c r="D10360" t="s">
        <v>3489</v>
      </c>
      <c r="E10360" t="s">
        <v>555</v>
      </c>
      <c r="F10360" t="s">
        <v>1068</v>
      </c>
      <c r="G10360" t="s">
        <v>1087</v>
      </c>
      <c r="H10360" s="170">
        <v>-1.0502867342342301E-6</v>
      </c>
      <c r="I10360" t="s">
        <v>1088</v>
      </c>
      <c r="J10360">
        <v>8.82</v>
      </c>
    </row>
    <row r="10361" spans="1:10" hidden="1">
      <c r="A10361" t="s">
        <v>6466</v>
      </c>
      <c r="B10361" t="s">
        <v>6467</v>
      </c>
      <c r="C10361" t="s">
        <v>5111</v>
      </c>
      <c r="D10361" t="s">
        <v>3489</v>
      </c>
      <c r="E10361" t="s">
        <v>555</v>
      </c>
      <c r="F10361" t="s">
        <v>1068</v>
      </c>
      <c r="G10361" t="s">
        <v>1089</v>
      </c>
      <c r="H10361">
        <v>-2.5857924135277998E-4</v>
      </c>
      <c r="I10361" t="s">
        <v>1090</v>
      </c>
      <c r="J10361">
        <v>8.82</v>
      </c>
    </row>
    <row r="10362" spans="1:10" hidden="1">
      <c r="A10362" t="s">
        <v>6469</v>
      </c>
      <c r="B10362" t="s">
        <v>6470</v>
      </c>
      <c r="C10362" t="s">
        <v>5111</v>
      </c>
      <c r="D10362" t="s">
        <v>3489</v>
      </c>
      <c r="E10362" t="s">
        <v>558</v>
      </c>
      <c r="F10362" t="s">
        <v>1068</v>
      </c>
      <c r="G10362" t="s">
        <v>1069</v>
      </c>
      <c r="H10362">
        <v>-1.0783567782968699</v>
      </c>
      <c r="I10362" t="s">
        <v>1070</v>
      </c>
      <c r="J10362">
        <v>8.75</v>
      </c>
    </row>
    <row r="10363" spans="1:10" hidden="1">
      <c r="A10363" t="s">
        <v>6469</v>
      </c>
      <c r="B10363" t="s">
        <v>6470</v>
      </c>
      <c r="C10363" t="s">
        <v>5111</v>
      </c>
      <c r="D10363" t="s">
        <v>3489</v>
      </c>
      <c r="E10363" t="s">
        <v>558</v>
      </c>
      <c r="F10363" t="s">
        <v>1068</v>
      </c>
      <c r="G10363" t="s">
        <v>1071</v>
      </c>
      <c r="H10363" s="170">
        <v>-1.1039441451779699E-9</v>
      </c>
      <c r="I10363" t="s">
        <v>1072</v>
      </c>
      <c r="J10363">
        <v>8.75</v>
      </c>
    </row>
    <row r="10364" spans="1:10" hidden="1">
      <c r="A10364" t="s">
        <v>6469</v>
      </c>
      <c r="B10364" t="s">
        <v>6470</v>
      </c>
      <c r="C10364" t="s">
        <v>5111</v>
      </c>
      <c r="D10364" t="s">
        <v>3489</v>
      </c>
      <c r="E10364" t="s">
        <v>558</v>
      </c>
      <c r="F10364" t="s">
        <v>1068</v>
      </c>
      <c r="G10364" t="s">
        <v>1073</v>
      </c>
      <c r="H10364" s="170">
        <v>-3.7954265664724903E-7</v>
      </c>
      <c r="I10364" t="s">
        <v>1074</v>
      </c>
      <c r="J10364">
        <v>8.75</v>
      </c>
    </row>
    <row r="10365" spans="1:10" hidden="1">
      <c r="A10365" t="s">
        <v>6469</v>
      </c>
      <c r="B10365" t="s">
        <v>6470</v>
      </c>
      <c r="C10365" t="s">
        <v>5111</v>
      </c>
      <c r="D10365" t="s">
        <v>3489</v>
      </c>
      <c r="E10365" t="s">
        <v>558</v>
      </c>
      <c r="F10365" t="s">
        <v>1068</v>
      </c>
      <c r="G10365" t="s">
        <v>1075</v>
      </c>
      <c r="H10365">
        <v>-1.8124501447987398E-2</v>
      </c>
      <c r="I10365" t="s">
        <v>1077</v>
      </c>
      <c r="J10365">
        <v>8.75</v>
      </c>
    </row>
    <row r="10366" spans="1:10" hidden="1">
      <c r="A10366" t="s">
        <v>6469</v>
      </c>
      <c r="B10366" t="s">
        <v>6470</v>
      </c>
      <c r="C10366" t="s">
        <v>5111</v>
      </c>
      <c r="D10366" t="s">
        <v>3489</v>
      </c>
      <c r="E10366" t="s">
        <v>558</v>
      </c>
      <c r="F10366" t="s">
        <v>1068</v>
      </c>
      <c r="G10366" t="s">
        <v>1078</v>
      </c>
      <c r="H10366" s="171" t="s">
        <v>6471</v>
      </c>
      <c r="I10366" t="s">
        <v>1079</v>
      </c>
      <c r="J10366">
        <v>8.75</v>
      </c>
    </row>
    <row r="10367" spans="1:10" hidden="1">
      <c r="A10367" t="s">
        <v>6469</v>
      </c>
      <c r="B10367" t="s">
        <v>6470</v>
      </c>
      <c r="C10367" t="s">
        <v>5111</v>
      </c>
      <c r="D10367" t="s">
        <v>3489</v>
      </c>
      <c r="E10367" t="s">
        <v>558</v>
      </c>
      <c r="F10367" t="s">
        <v>1068</v>
      </c>
      <c r="G10367" t="s">
        <v>1080</v>
      </c>
      <c r="H10367" s="170">
        <v>-6.0696754650772897E-9</v>
      </c>
      <c r="I10367" t="s">
        <v>1082</v>
      </c>
      <c r="J10367">
        <v>8.75</v>
      </c>
    </row>
    <row r="10368" spans="1:10" hidden="1">
      <c r="A10368" t="s">
        <v>6469</v>
      </c>
      <c r="B10368" t="s">
        <v>6470</v>
      </c>
      <c r="C10368" t="s">
        <v>5111</v>
      </c>
      <c r="D10368" t="s">
        <v>3489</v>
      </c>
      <c r="E10368" t="s">
        <v>558</v>
      </c>
      <c r="F10368" t="s">
        <v>1068</v>
      </c>
      <c r="G10368" t="s">
        <v>1083</v>
      </c>
      <c r="H10368">
        <v>-1.45142353569171E-4</v>
      </c>
      <c r="I10368" t="s">
        <v>1084</v>
      </c>
      <c r="J10368">
        <v>8.75</v>
      </c>
    </row>
    <row r="10369" spans="1:10" hidden="1">
      <c r="A10369" t="s">
        <v>6469</v>
      </c>
      <c r="B10369" t="s">
        <v>6470</v>
      </c>
      <c r="C10369" t="s">
        <v>5111</v>
      </c>
      <c r="D10369" t="s">
        <v>3489</v>
      </c>
      <c r="E10369" t="s">
        <v>558</v>
      </c>
      <c r="F10369" t="s">
        <v>1068</v>
      </c>
      <c r="G10369" t="s">
        <v>1085</v>
      </c>
      <c r="H10369">
        <v>-1.30176300204017E-3</v>
      </c>
      <c r="I10369" t="s">
        <v>1086</v>
      </c>
      <c r="J10369">
        <v>8.75</v>
      </c>
    </row>
    <row r="10370" spans="1:10" hidden="1">
      <c r="A10370" t="s">
        <v>6469</v>
      </c>
      <c r="B10370" t="s">
        <v>6470</v>
      </c>
      <c r="C10370" t="s">
        <v>5111</v>
      </c>
      <c r="D10370" t="s">
        <v>3489</v>
      </c>
      <c r="E10370" t="s">
        <v>558</v>
      </c>
      <c r="F10370" t="s">
        <v>1068</v>
      </c>
      <c r="G10370" t="s">
        <v>1087</v>
      </c>
      <c r="H10370" s="170">
        <v>-9.2915419933373502E-7</v>
      </c>
      <c r="I10370" t="s">
        <v>1088</v>
      </c>
      <c r="J10370">
        <v>8.75</v>
      </c>
    </row>
    <row r="10371" spans="1:10" hidden="1">
      <c r="A10371" t="s">
        <v>6469</v>
      </c>
      <c r="B10371" t="s">
        <v>6470</v>
      </c>
      <c r="C10371" t="s">
        <v>5111</v>
      </c>
      <c r="D10371" t="s">
        <v>3489</v>
      </c>
      <c r="E10371" t="s">
        <v>558</v>
      </c>
      <c r="F10371" t="s">
        <v>1068</v>
      </c>
      <c r="G10371" t="s">
        <v>1089</v>
      </c>
      <c r="H10371">
        <v>-2.06798954830729E-4</v>
      </c>
      <c r="I10371" t="s">
        <v>1090</v>
      </c>
      <c r="J10371">
        <v>8.75</v>
      </c>
    </row>
    <row r="10372" spans="1:10" hidden="1">
      <c r="A10372" t="s">
        <v>6472</v>
      </c>
      <c r="B10372" t="s">
        <v>6473</v>
      </c>
      <c r="C10372" t="s">
        <v>5111</v>
      </c>
      <c r="D10372" t="s">
        <v>3489</v>
      </c>
      <c r="E10372" t="s">
        <v>553</v>
      </c>
      <c r="F10372" t="s">
        <v>1068</v>
      </c>
      <c r="G10372" t="s">
        <v>1069</v>
      </c>
      <c r="H10372">
        <v>-1.06671671293068</v>
      </c>
      <c r="I10372" t="s">
        <v>1070</v>
      </c>
      <c r="J10372">
        <v>9.11</v>
      </c>
    </row>
    <row r="10373" spans="1:10" hidden="1">
      <c r="A10373" t="s">
        <v>6472</v>
      </c>
      <c r="B10373" t="s">
        <v>6473</v>
      </c>
      <c r="C10373" t="s">
        <v>5111</v>
      </c>
      <c r="D10373" t="s">
        <v>3489</v>
      </c>
      <c r="E10373" t="s">
        <v>553</v>
      </c>
      <c r="F10373" t="s">
        <v>1068</v>
      </c>
      <c r="G10373" t="s">
        <v>1071</v>
      </c>
      <c r="H10373" s="170">
        <v>-1.08728702324626E-9</v>
      </c>
      <c r="I10373" t="s">
        <v>1072</v>
      </c>
      <c r="J10373">
        <v>9.11</v>
      </c>
    </row>
    <row r="10374" spans="1:10" hidden="1">
      <c r="A10374" t="s">
        <v>6472</v>
      </c>
      <c r="B10374" t="s">
        <v>6473</v>
      </c>
      <c r="C10374" t="s">
        <v>5111</v>
      </c>
      <c r="D10374" t="s">
        <v>3489</v>
      </c>
      <c r="E10374" t="s">
        <v>553</v>
      </c>
      <c r="F10374" t="s">
        <v>1068</v>
      </c>
      <c r="G10374" t="s">
        <v>1073</v>
      </c>
      <c r="H10374" s="170">
        <v>-3.7540829991139403E-7</v>
      </c>
      <c r="I10374" t="s">
        <v>1074</v>
      </c>
      <c r="J10374">
        <v>9.11</v>
      </c>
    </row>
    <row r="10375" spans="1:10" hidden="1">
      <c r="A10375" t="s">
        <v>6472</v>
      </c>
      <c r="B10375" t="s">
        <v>6473</v>
      </c>
      <c r="C10375" t="s">
        <v>5111</v>
      </c>
      <c r="D10375" t="s">
        <v>3489</v>
      </c>
      <c r="E10375" t="s">
        <v>553</v>
      </c>
      <c r="F10375" t="s">
        <v>1068</v>
      </c>
      <c r="G10375" t="s">
        <v>1075</v>
      </c>
      <c r="H10375">
        <v>-1.7756571985888599E-2</v>
      </c>
      <c r="I10375" t="s">
        <v>1077</v>
      </c>
      <c r="J10375">
        <v>9.11</v>
      </c>
    </row>
    <row r="10376" spans="1:10" hidden="1">
      <c r="A10376" t="s">
        <v>6472</v>
      </c>
      <c r="B10376" t="s">
        <v>6473</v>
      </c>
      <c r="C10376" t="s">
        <v>5111</v>
      </c>
      <c r="D10376" t="s">
        <v>3489</v>
      </c>
      <c r="E10376" t="s">
        <v>553</v>
      </c>
      <c r="F10376" t="s">
        <v>1068</v>
      </c>
      <c r="G10376" t="s">
        <v>1078</v>
      </c>
      <c r="H10376">
        <v>0.65959040494211596</v>
      </c>
      <c r="I10376" t="s">
        <v>1079</v>
      </c>
      <c r="J10376">
        <v>9.11</v>
      </c>
    </row>
    <row r="10377" spans="1:10" hidden="1">
      <c r="A10377" t="s">
        <v>6472</v>
      </c>
      <c r="B10377" t="s">
        <v>6473</v>
      </c>
      <c r="C10377" t="s">
        <v>5111</v>
      </c>
      <c r="D10377" t="s">
        <v>3489</v>
      </c>
      <c r="E10377" t="s">
        <v>553</v>
      </c>
      <c r="F10377" t="s">
        <v>1068</v>
      </c>
      <c r="G10377" t="s">
        <v>1080</v>
      </c>
      <c r="H10377" s="170">
        <v>-6.0049769931340998E-9</v>
      </c>
      <c r="I10377" t="s">
        <v>1082</v>
      </c>
      <c r="J10377">
        <v>9.11</v>
      </c>
    </row>
    <row r="10378" spans="1:10" hidden="1">
      <c r="A10378" t="s">
        <v>6472</v>
      </c>
      <c r="B10378" t="s">
        <v>6473</v>
      </c>
      <c r="C10378" t="s">
        <v>5111</v>
      </c>
      <c r="D10378" t="s">
        <v>3489</v>
      </c>
      <c r="E10378" t="s">
        <v>553</v>
      </c>
      <c r="F10378" t="s">
        <v>1068</v>
      </c>
      <c r="G10378" t="s">
        <v>1083</v>
      </c>
      <c r="H10378">
        <v>-1.4337317846847101E-4</v>
      </c>
      <c r="I10378" t="s">
        <v>1084</v>
      </c>
      <c r="J10378">
        <v>9.11</v>
      </c>
    </row>
    <row r="10379" spans="1:10" hidden="1">
      <c r="A10379" t="s">
        <v>6472</v>
      </c>
      <c r="B10379" t="s">
        <v>6473</v>
      </c>
      <c r="C10379" t="s">
        <v>5111</v>
      </c>
      <c r="D10379" t="s">
        <v>3489</v>
      </c>
      <c r="E10379" t="s">
        <v>553</v>
      </c>
      <c r="F10379" t="s">
        <v>1068</v>
      </c>
      <c r="G10379" t="s">
        <v>1085</v>
      </c>
      <c r="H10379">
        <v>-1.2817677326378901E-3</v>
      </c>
      <c r="I10379" t="s">
        <v>1086</v>
      </c>
      <c r="J10379">
        <v>9.11</v>
      </c>
    </row>
    <row r="10380" spans="1:10" hidden="1">
      <c r="A10380" t="s">
        <v>6472</v>
      </c>
      <c r="B10380" t="s">
        <v>6473</v>
      </c>
      <c r="C10380" t="s">
        <v>5111</v>
      </c>
      <c r="D10380" t="s">
        <v>3489</v>
      </c>
      <c r="E10380" t="s">
        <v>553</v>
      </c>
      <c r="F10380" t="s">
        <v>1068</v>
      </c>
      <c r="G10380" t="s">
        <v>1087</v>
      </c>
      <c r="H10380" s="170">
        <v>-9.19504391113524E-7</v>
      </c>
      <c r="I10380" t="s">
        <v>1088</v>
      </c>
      <c r="J10380">
        <v>9.11</v>
      </c>
    </row>
    <row r="10381" spans="1:10" hidden="1">
      <c r="A10381" t="s">
        <v>6472</v>
      </c>
      <c r="B10381" t="s">
        <v>6473</v>
      </c>
      <c r="C10381" t="s">
        <v>5111</v>
      </c>
      <c r="D10381" t="s">
        <v>3489</v>
      </c>
      <c r="E10381" t="s">
        <v>553</v>
      </c>
      <c r="F10381" t="s">
        <v>1068</v>
      </c>
      <c r="G10381" t="s">
        <v>1089</v>
      </c>
      <c r="H10381">
        <v>-2.0267397019469699E-4</v>
      </c>
      <c r="I10381" t="s">
        <v>1090</v>
      </c>
      <c r="J10381">
        <v>9.11</v>
      </c>
    </row>
    <row r="10382" spans="1:10" hidden="1">
      <c r="A10382" t="s">
        <v>6474</v>
      </c>
      <c r="B10382" t="s">
        <v>6475</v>
      </c>
      <c r="C10382" t="s">
        <v>5111</v>
      </c>
      <c r="D10382" t="s">
        <v>3489</v>
      </c>
      <c r="E10382" t="s">
        <v>556</v>
      </c>
      <c r="F10382" t="s">
        <v>1068</v>
      </c>
      <c r="G10382" t="s">
        <v>1069</v>
      </c>
      <c r="H10382">
        <v>-1.2096349741526999</v>
      </c>
      <c r="I10382" t="s">
        <v>1070</v>
      </c>
      <c r="J10382">
        <v>10.63</v>
      </c>
    </row>
    <row r="10383" spans="1:10" hidden="1">
      <c r="A10383" t="s">
        <v>6474</v>
      </c>
      <c r="B10383" t="s">
        <v>6475</v>
      </c>
      <c r="C10383" t="s">
        <v>5111</v>
      </c>
      <c r="D10383" t="s">
        <v>3489</v>
      </c>
      <c r="E10383" t="s">
        <v>556</v>
      </c>
      <c r="F10383" t="s">
        <v>1068</v>
      </c>
      <c r="G10383" t="s">
        <v>1071</v>
      </c>
      <c r="H10383" s="170">
        <v>-1.29180468101954E-9</v>
      </c>
      <c r="I10383" t="s">
        <v>1072</v>
      </c>
      <c r="J10383">
        <v>10.63</v>
      </c>
    </row>
    <row r="10384" spans="1:10" hidden="1">
      <c r="A10384" t="s">
        <v>6474</v>
      </c>
      <c r="B10384" t="s">
        <v>6475</v>
      </c>
      <c r="C10384" t="s">
        <v>5111</v>
      </c>
      <c r="D10384" t="s">
        <v>3489</v>
      </c>
      <c r="E10384" t="s">
        <v>556</v>
      </c>
      <c r="F10384" t="s">
        <v>1068</v>
      </c>
      <c r="G10384" t="s">
        <v>1073</v>
      </c>
      <c r="H10384" s="170">
        <v>-4.2617331851836799E-7</v>
      </c>
      <c r="I10384" t="s">
        <v>1074</v>
      </c>
      <c r="J10384">
        <v>10.63</v>
      </c>
    </row>
    <row r="10385" spans="1:10" hidden="1">
      <c r="A10385" t="s">
        <v>6474</v>
      </c>
      <c r="B10385" t="s">
        <v>6475</v>
      </c>
      <c r="C10385" t="s">
        <v>5111</v>
      </c>
      <c r="D10385" t="s">
        <v>3489</v>
      </c>
      <c r="E10385" t="s">
        <v>556</v>
      </c>
      <c r="F10385" t="s">
        <v>1068</v>
      </c>
      <c r="G10385" t="s">
        <v>1075</v>
      </c>
      <c r="H10385">
        <v>-2.2274370898331598E-2</v>
      </c>
      <c r="I10385" t="s">
        <v>1077</v>
      </c>
      <c r="J10385">
        <v>10.63</v>
      </c>
    </row>
    <row r="10386" spans="1:10" hidden="1">
      <c r="A10386" t="s">
        <v>6474</v>
      </c>
      <c r="B10386" t="s">
        <v>6475</v>
      </c>
      <c r="C10386" t="s">
        <v>5111</v>
      </c>
      <c r="D10386" t="s">
        <v>3489</v>
      </c>
      <c r="E10386" t="s">
        <v>556</v>
      </c>
      <c r="F10386" t="s">
        <v>1068</v>
      </c>
      <c r="G10386" t="s">
        <v>1078</v>
      </c>
      <c r="H10386" s="171" t="s">
        <v>6476</v>
      </c>
      <c r="I10386" t="s">
        <v>1079</v>
      </c>
      <c r="J10386">
        <v>10.63</v>
      </c>
    </row>
    <row r="10387" spans="1:10" hidden="1">
      <c r="A10387" t="s">
        <v>6474</v>
      </c>
      <c r="B10387" t="s">
        <v>6475</v>
      </c>
      <c r="C10387" t="s">
        <v>5111</v>
      </c>
      <c r="D10387" t="s">
        <v>3489</v>
      </c>
      <c r="E10387" t="s">
        <v>556</v>
      </c>
      <c r="F10387" t="s">
        <v>1068</v>
      </c>
      <c r="G10387" t="s">
        <v>1080</v>
      </c>
      <c r="H10387" s="170">
        <v>-6.7994083090744803E-9</v>
      </c>
      <c r="I10387" t="s">
        <v>1082</v>
      </c>
      <c r="J10387">
        <v>10.63</v>
      </c>
    </row>
    <row r="10388" spans="1:10" hidden="1">
      <c r="A10388" t="s">
        <v>6474</v>
      </c>
      <c r="B10388" t="s">
        <v>6475</v>
      </c>
      <c r="C10388" t="s">
        <v>5111</v>
      </c>
      <c r="D10388" t="s">
        <v>3489</v>
      </c>
      <c r="E10388" t="s">
        <v>556</v>
      </c>
      <c r="F10388" t="s">
        <v>1068</v>
      </c>
      <c r="G10388" t="s">
        <v>1083</v>
      </c>
      <c r="H10388">
        <v>-1.6509684670799901E-4</v>
      </c>
      <c r="I10388" t="s">
        <v>1084</v>
      </c>
      <c r="J10388">
        <v>10.63</v>
      </c>
    </row>
    <row r="10389" spans="1:10" hidden="1">
      <c r="A10389" t="s">
        <v>6474</v>
      </c>
      <c r="B10389" t="s">
        <v>6475</v>
      </c>
      <c r="C10389" t="s">
        <v>5111</v>
      </c>
      <c r="D10389" t="s">
        <v>3489</v>
      </c>
      <c r="E10389" t="s">
        <v>556</v>
      </c>
      <c r="F10389" t="s">
        <v>1068</v>
      </c>
      <c r="G10389" t="s">
        <v>1085</v>
      </c>
      <c r="H10389">
        <v>-1.5272892735184299E-3</v>
      </c>
      <c r="I10389" t="s">
        <v>1086</v>
      </c>
      <c r="J10389">
        <v>10.63</v>
      </c>
    </row>
    <row r="10390" spans="1:10" hidden="1">
      <c r="A10390" t="s">
        <v>6474</v>
      </c>
      <c r="B10390" t="s">
        <v>6475</v>
      </c>
      <c r="C10390" t="s">
        <v>5111</v>
      </c>
      <c r="D10390" t="s">
        <v>3489</v>
      </c>
      <c r="E10390" t="s">
        <v>556</v>
      </c>
      <c r="F10390" t="s">
        <v>1068</v>
      </c>
      <c r="G10390" t="s">
        <v>1087</v>
      </c>
      <c r="H10390" s="170">
        <v>-1.0379942077974901E-6</v>
      </c>
      <c r="I10390" t="s">
        <v>1088</v>
      </c>
      <c r="J10390">
        <v>10.63</v>
      </c>
    </row>
    <row r="10391" spans="1:10" hidden="1">
      <c r="A10391" t="s">
        <v>6474</v>
      </c>
      <c r="B10391" t="s">
        <v>6475</v>
      </c>
      <c r="C10391" t="s">
        <v>5111</v>
      </c>
      <c r="D10391" t="s">
        <v>3489</v>
      </c>
      <c r="E10391" t="s">
        <v>556</v>
      </c>
      <c r="F10391" t="s">
        <v>1068</v>
      </c>
      <c r="G10391" t="s">
        <v>1089</v>
      </c>
      <c r="H10391">
        <v>-2.53324579238109E-4</v>
      </c>
      <c r="I10391" t="s">
        <v>1090</v>
      </c>
      <c r="J10391">
        <v>10.63</v>
      </c>
    </row>
    <row r="10392" spans="1:10" hidden="1">
      <c r="A10392" t="s">
        <v>6477</v>
      </c>
      <c r="B10392" t="s">
        <v>6478</v>
      </c>
      <c r="C10392" t="s">
        <v>5111</v>
      </c>
      <c r="D10392" t="s">
        <v>3489</v>
      </c>
      <c r="E10392" t="s">
        <v>557</v>
      </c>
      <c r="F10392" t="s">
        <v>1068</v>
      </c>
      <c r="G10392" t="s">
        <v>1069</v>
      </c>
      <c r="H10392">
        <v>-1.1274437440132601</v>
      </c>
      <c r="I10392" t="s">
        <v>1070</v>
      </c>
      <c r="J10392">
        <v>11.13</v>
      </c>
    </row>
    <row r="10393" spans="1:10" hidden="1">
      <c r="A10393" t="s">
        <v>6477</v>
      </c>
      <c r="B10393" t="s">
        <v>6478</v>
      </c>
      <c r="C10393" t="s">
        <v>5111</v>
      </c>
      <c r="D10393" t="s">
        <v>3489</v>
      </c>
      <c r="E10393" t="s">
        <v>557</v>
      </c>
      <c r="F10393" t="s">
        <v>1068</v>
      </c>
      <c r="G10393" t="s">
        <v>1071</v>
      </c>
      <c r="H10393" s="170">
        <v>-1.1741881515748701E-9</v>
      </c>
      <c r="I10393" t="s">
        <v>1072</v>
      </c>
      <c r="J10393">
        <v>11.13</v>
      </c>
    </row>
    <row r="10394" spans="1:10" hidden="1">
      <c r="A10394" t="s">
        <v>6477</v>
      </c>
      <c r="B10394" t="s">
        <v>6478</v>
      </c>
      <c r="C10394" t="s">
        <v>5111</v>
      </c>
      <c r="D10394" t="s">
        <v>3489</v>
      </c>
      <c r="E10394" t="s">
        <v>557</v>
      </c>
      <c r="F10394" t="s">
        <v>1068</v>
      </c>
      <c r="G10394" t="s">
        <v>1073</v>
      </c>
      <c r="H10394" s="170">
        <v>-3.96978502190328E-7</v>
      </c>
      <c r="I10394" t="s">
        <v>1074</v>
      </c>
      <c r="J10394">
        <v>11.13</v>
      </c>
    </row>
    <row r="10395" spans="1:10" hidden="1">
      <c r="A10395" t="s">
        <v>6477</v>
      </c>
      <c r="B10395" t="s">
        <v>6478</v>
      </c>
      <c r="C10395" t="s">
        <v>5111</v>
      </c>
      <c r="D10395" t="s">
        <v>3489</v>
      </c>
      <c r="E10395" t="s">
        <v>557</v>
      </c>
      <c r="F10395" t="s">
        <v>1068</v>
      </c>
      <c r="G10395" t="s">
        <v>1075</v>
      </c>
      <c r="H10395">
        <v>-1.96761928723895E-2</v>
      </c>
      <c r="I10395" t="s">
        <v>1077</v>
      </c>
      <c r="J10395">
        <v>11.13</v>
      </c>
    </row>
    <row r="10396" spans="1:10" hidden="1">
      <c r="A10396" t="s">
        <v>6477</v>
      </c>
      <c r="B10396" t="s">
        <v>6478</v>
      </c>
      <c r="C10396" t="s">
        <v>5111</v>
      </c>
      <c r="D10396" t="s">
        <v>3489</v>
      </c>
      <c r="E10396" t="s">
        <v>557</v>
      </c>
      <c r="F10396" t="s">
        <v>1068</v>
      </c>
      <c r="G10396" t="s">
        <v>1078</v>
      </c>
      <c r="H10396" s="171" t="s">
        <v>6479</v>
      </c>
      <c r="I10396" t="s">
        <v>1079</v>
      </c>
      <c r="J10396">
        <v>11.13</v>
      </c>
    </row>
    <row r="10397" spans="1:10" hidden="1">
      <c r="A10397" t="s">
        <v>6477</v>
      </c>
      <c r="B10397" t="s">
        <v>6478</v>
      </c>
      <c r="C10397" t="s">
        <v>5111</v>
      </c>
      <c r="D10397" t="s">
        <v>3489</v>
      </c>
      <c r="E10397" t="s">
        <v>557</v>
      </c>
      <c r="F10397" t="s">
        <v>1068</v>
      </c>
      <c r="G10397" t="s">
        <v>1080</v>
      </c>
      <c r="H10397" s="170">
        <v>-6.3425322885241999E-9</v>
      </c>
      <c r="I10397" t="s">
        <v>1082</v>
      </c>
      <c r="J10397">
        <v>11.13</v>
      </c>
    </row>
    <row r="10398" spans="1:10" hidden="1">
      <c r="A10398" t="s">
        <v>6477</v>
      </c>
      <c r="B10398" t="s">
        <v>6478</v>
      </c>
      <c r="C10398" t="s">
        <v>5111</v>
      </c>
      <c r="D10398" t="s">
        <v>3489</v>
      </c>
      <c r="E10398" t="s">
        <v>557</v>
      </c>
      <c r="F10398" t="s">
        <v>1068</v>
      </c>
      <c r="G10398" t="s">
        <v>1083</v>
      </c>
      <c r="H10398">
        <v>-1.52603604139884E-4</v>
      </c>
      <c r="I10398" t="s">
        <v>1084</v>
      </c>
      <c r="J10398">
        <v>11.13</v>
      </c>
    </row>
    <row r="10399" spans="1:10" hidden="1">
      <c r="A10399" t="s">
        <v>6477</v>
      </c>
      <c r="B10399" t="s">
        <v>6478</v>
      </c>
      <c r="C10399" t="s">
        <v>5111</v>
      </c>
      <c r="D10399" t="s">
        <v>3489</v>
      </c>
      <c r="E10399" t="s">
        <v>557</v>
      </c>
      <c r="F10399" t="s">
        <v>1068</v>
      </c>
      <c r="G10399" t="s">
        <v>1085</v>
      </c>
      <c r="H10399">
        <v>-1.3860902766430899E-3</v>
      </c>
      <c r="I10399" t="s">
        <v>1086</v>
      </c>
      <c r="J10399">
        <v>11.13</v>
      </c>
    </row>
    <row r="10400" spans="1:10" hidden="1">
      <c r="A10400" t="s">
        <v>6477</v>
      </c>
      <c r="B10400" t="s">
        <v>6478</v>
      </c>
      <c r="C10400" t="s">
        <v>5111</v>
      </c>
      <c r="D10400" t="s">
        <v>3489</v>
      </c>
      <c r="E10400" t="s">
        <v>557</v>
      </c>
      <c r="F10400" t="s">
        <v>1068</v>
      </c>
      <c r="G10400" t="s">
        <v>1087</v>
      </c>
      <c r="H10400" s="170">
        <v>-9.6985092709669495E-7</v>
      </c>
      <c r="I10400" t="s">
        <v>1088</v>
      </c>
      <c r="J10400">
        <v>11.13</v>
      </c>
    </row>
    <row r="10401" spans="1:10" hidden="1">
      <c r="A10401" t="s">
        <v>6477</v>
      </c>
      <c r="B10401" t="s">
        <v>6478</v>
      </c>
      <c r="C10401" t="s">
        <v>5111</v>
      </c>
      <c r="D10401" t="s">
        <v>3489</v>
      </c>
      <c r="E10401" t="s">
        <v>557</v>
      </c>
      <c r="F10401" t="s">
        <v>1068</v>
      </c>
      <c r="G10401" t="s">
        <v>1089</v>
      </c>
      <c r="H10401">
        <v>-2.241955050572E-4</v>
      </c>
      <c r="I10401" t="s">
        <v>1090</v>
      </c>
      <c r="J10401">
        <v>11.13</v>
      </c>
    </row>
    <row r="10402" spans="1:10" hidden="1">
      <c r="A10402" t="s">
        <v>6480</v>
      </c>
      <c r="B10402" t="s">
        <v>6481</v>
      </c>
      <c r="C10402" t="s">
        <v>5111</v>
      </c>
      <c r="D10402" t="s">
        <v>3489</v>
      </c>
      <c r="E10402" t="s">
        <v>559</v>
      </c>
      <c r="F10402" t="s">
        <v>1068</v>
      </c>
      <c r="G10402" t="s">
        <v>1069</v>
      </c>
      <c r="H10402">
        <v>-1.1671536523799</v>
      </c>
      <c r="I10402" t="s">
        <v>1070</v>
      </c>
      <c r="J10402">
        <v>9.9700000000000006</v>
      </c>
    </row>
    <row r="10403" spans="1:10" hidden="1">
      <c r="A10403" t="s">
        <v>6480</v>
      </c>
      <c r="B10403" t="s">
        <v>6481</v>
      </c>
      <c r="C10403" t="s">
        <v>5111</v>
      </c>
      <c r="D10403" t="s">
        <v>3489</v>
      </c>
      <c r="E10403" t="s">
        <v>559</v>
      </c>
      <c r="F10403" t="s">
        <v>1068</v>
      </c>
      <c r="G10403" t="s">
        <v>1071</v>
      </c>
      <c r="H10403" s="170">
        <v>-1.2310134262576E-9</v>
      </c>
      <c r="I10403" t="s">
        <v>1072</v>
      </c>
      <c r="J10403">
        <v>9.9700000000000006</v>
      </c>
    </row>
    <row r="10404" spans="1:10" hidden="1">
      <c r="A10404" t="s">
        <v>6480</v>
      </c>
      <c r="B10404" t="s">
        <v>6481</v>
      </c>
      <c r="C10404" t="s">
        <v>5111</v>
      </c>
      <c r="D10404" t="s">
        <v>3489</v>
      </c>
      <c r="E10404" t="s">
        <v>559</v>
      </c>
      <c r="F10404" t="s">
        <v>1068</v>
      </c>
      <c r="G10404" t="s">
        <v>1073</v>
      </c>
      <c r="H10404" s="170">
        <v>-4.1108381860558502E-7</v>
      </c>
      <c r="I10404" t="s">
        <v>1074</v>
      </c>
      <c r="J10404">
        <v>9.9700000000000006</v>
      </c>
    </row>
    <row r="10405" spans="1:10" hidden="1">
      <c r="A10405" t="s">
        <v>6480</v>
      </c>
      <c r="B10405" t="s">
        <v>6481</v>
      </c>
      <c r="C10405" t="s">
        <v>5111</v>
      </c>
      <c r="D10405" t="s">
        <v>3489</v>
      </c>
      <c r="E10405" t="s">
        <v>559</v>
      </c>
      <c r="F10405" t="s">
        <v>1068</v>
      </c>
      <c r="G10405" t="s">
        <v>1075</v>
      </c>
      <c r="H10405">
        <v>-2.0931490935593901E-2</v>
      </c>
      <c r="I10405" t="s">
        <v>1077</v>
      </c>
      <c r="J10405">
        <v>9.9700000000000006</v>
      </c>
    </row>
    <row r="10406" spans="1:10" hidden="1">
      <c r="A10406" t="s">
        <v>6480</v>
      </c>
      <c r="B10406" t="s">
        <v>6481</v>
      </c>
      <c r="C10406" t="s">
        <v>5111</v>
      </c>
      <c r="D10406" t="s">
        <v>3489</v>
      </c>
      <c r="E10406" t="s">
        <v>559</v>
      </c>
      <c r="F10406" t="s">
        <v>1068</v>
      </c>
      <c r="G10406" t="s">
        <v>1078</v>
      </c>
      <c r="H10406" s="171" t="s">
        <v>6482</v>
      </c>
      <c r="I10406" t="s">
        <v>1079</v>
      </c>
      <c r="J10406">
        <v>9.9700000000000006</v>
      </c>
    </row>
    <row r="10407" spans="1:10" hidden="1">
      <c r="A10407" t="s">
        <v>6480</v>
      </c>
      <c r="B10407" t="s">
        <v>6481</v>
      </c>
      <c r="C10407" t="s">
        <v>5111</v>
      </c>
      <c r="D10407" t="s">
        <v>3489</v>
      </c>
      <c r="E10407" t="s">
        <v>559</v>
      </c>
      <c r="F10407" t="s">
        <v>1068</v>
      </c>
      <c r="G10407" t="s">
        <v>1080</v>
      </c>
      <c r="H10407" s="170">
        <v>-6.5632698893211502E-9</v>
      </c>
      <c r="I10407" t="s">
        <v>1082</v>
      </c>
      <c r="J10407">
        <v>9.9700000000000006</v>
      </c>
    </row>
    <row r="10408" spans="1:10" hidden="1">
      <c r="A10408" t="s">
        <v>6480</v>
      </c>
      <c r="B10408" t="s">
        <v>6481</v>
      </c>
      <c r="C10408" t="s">
        <v>5111</v>
      </c>
      <c r="D10408" t="s">
        <v>3489</v>
      </c>
      <c r="E10408" t="s">
        <v>559</v>
      </c>
      <c r="F10408" t="s">
        <v>1068</v>
      </c>
      <c r="G10408" t="s">
        <v>1083</v>
      </c>
      <c r="H10408">
        <v>-1.5863965829359501E-4</v>
      </c>
      <c r="I10408" t="s">
        <v>1084</v>
      </c>
      <c r="J10408">
        <v>9.9700000000000006</v>
      </c>
    </row>
    <row r="10409" spans="1:10" hidden="1">
      <c r="A10409" t="s">
        <v>6480</v>
      </c>
      <c r="B10409" t="s">
        <v>6481</v>
      </c>
      <c r="C10409" t="s">
        <v>5111</v>
      </c>
      <c r="D10409" t="s">
        <v>3489</v>
      </c>
      <c r="E10409" t="s">
        <v>559</v>
      </c>
      <c r="F10409" t="s">
        <v>1068</v>
      </c>
      <c r="G10409" t="s">
        <v>1085</v>
      </c>
      <c r="H10409">
        <v>-1.45430993909941E-3</v>
      </c>
      <c r="I10409" t="s">
        <v>1086</v>
      </c>
      <c r="J10409">
        <v>9.9700000000000006</v>
      </c>
    </row>
    <row r="10410" spans="1:10" hidden="1">
      <c r="A10410" t="s">
        <v>6480</v>
      </c>
      <c r="B10410" t="s">
        <v>6481</v>
      </c>
      <c r="C10410" t="s">
        <v>5111</v>
      </c>
      <c r="D10410" t="s">
        <v>3489</v>
      </c>
      <c r="E10410" t="s">
        <v>559</v>
      </c>
      <c r="F10410" t="s">
        <v>1068</v>
      </c>
      <c r="G10410" t="s">
        <v>1087</v>
      </c>
      <c r="H10410" s="170">
        <v>-1.00277404778214E-6</v>
      </c>
      <c r="I10410" t="s">
        <v>1088</v>
      </c>
      <c r="J10410">
        <v>9.9700000000000006</v>
      </c>
    </row>
    <row r="10411" spans="1:10" hidden="1">
      <c r="A10411" t="s">
        <v>6480</v>
      </c>
      <c r="B10411" t="s">
        <v>6481</v>
      </c>
      <c r="C10411" t="s">
        <v>5111</v>
      </c>
      <c r="D10411" t="s">
        <v>3489</v>
      </c>
      <c r="E10411" t="s">
        <v>559</v>
      </c>
      <c r="F10411" t="s">
        <v>1068</v>
      </c>
      <c r="G10411" t="s">
        <v>1089</v>
      </c>
      <c r="H10411">
        <v>-2.3826908666239199E-4</v>
      </c>
      <c r="I10411" t="s">
        <v>1090</v>
      </c>
      <c r="J10411">
        <v>9.9700000000000006</v>
      </c>
    </row>
    <row r="10412" spans="1:10" hidden="1">
      <c r="A10412" t="s">
        <v>6483</v>
      </c>
      <c r="B10412" t="s">
        <v>6484</v>
      </c>
      <c r="C10412" t="s">
        <v>5111</v>
      </c>
      <c r="D10412" t="s">
        <v>3489</v>
      </c>
      <c r="E10412" t="s">
        <v>560</v>
      </c>
      <c r="F10412" t="s">
        <v>1068</v>
      </c>
      <c r="G10412" t="s">
        <v>1069</v>
      </c>
      <c r="H10412">
        <v>-1.153623459062</v>
      </c>
      <c r="I10412" t="s">
        <v>1070</v>
      </c>
      <c r="J10412">
        <v>9.36</v>
      </c>
    </row>
    <row r="10413" spans="1:10" hidden="1">
      <c r="A10413" t="s">
        <v>6483</v>
      </c>
      <c r="B10413" t="s">
        <v>6484</v>
      </c>
      <c r="C10413" t="s">
        <v>5111</v>
      </c>
      <c r="D10413" t="s">
        <v>3489</v>
      </c>
      <c r="E10413" t="s">
        <v>560</v>
      </c>
      <c r="F10413" t="s">
        <v>1068</v>
      </c>
      <c r="G10413" t="s">
        <v>1071</v>
      </c>
      <c r="H10413" s="170">
        <v>-1.21165162165322E-9</v>
      </c>
      <c r="I10413" t="s">
        <v>1072</v>
      </c>
      <c r="J10413">
        <v>9.36</v>
      </c>
    </row>
    <row r="10414" spans="1:10" hidden="1">
      <c r="A10414" t="s">
        <v>6483</v>
      </c>
      <c r="B10414" t="s">
        <v>6484</v>
      </c>
      <c r="C10414" t="s">
        <v>5111</v>
      </c>
      <c r="D10414" t="s">
        <v>3489</v>
      </c>
      <c r="E10414" t="s">
        <v>560</v>
      </c>
      <c r="F10414" t="s">
        <v>1068</v>
      </c>
      <c r="G10414" t="s">
        <v>1073</v>
      </c>
      <c r="H10414" s="170">
        <v>-4.0627761981330298E-7</v>
      </c>
      <c r="I10414" t="s">
        <v>1074</v>
      </c>
      <c r="J10414">
        <v>9.36</v>
      </c>
    </row>
    <row r="10415" spans="1:10" hidden="1">
      <c r="A10415" t="s">
        <v>6483</v>
      </c>
      <c r="B10415" t="s">
        <v>6484</v>
      </c>
      <c r="C10415" t="s">
        <v>5111</v>
      </c>
      <c r="D10415" t="s">
        <v>3489</v>
      </c>
      <c r="E10415" t="s">
        <v>560</v>
      </c>
      <c r="F10415" t="s">
        <v>1068</v>
      </c>
      <c r="G10415" t="s">
        <v>1075</v>
      </c>
      <c r="H10415">
        <v>-2.05037616320707E-2</v>
      </c>
      <c r="I10415" t="s">
        <v>1077</v>
      </c>
      <c r="J10415">
        <v>9.36</v>
      </c>
    </row>
    <row r="10416" spans="1:10" hidden="1">
      <c r="A10416" t="s">
        <v>6483</v>
      </c>
      <c r="B10416" t="s">
        <v>6484</v>
      </c>
      <c r="C10416" t="s">
        <v>5111</v>
      </c>
      <c r="D10416" t="s">
        <v>3489</v>
      </c>
      <c r="E10416" t="s">
        <v>560</v>
      </c>
      <c r="F10416" t="s">
        <v>1068</v>
      </c>
      <c r="G10416" t="s">
        <v>1078</v>
      </c>
      <c r="H10416" s="171" t="s">
        <v>6485</v>
      </c>
      <c r="I10416" t="s">
        <v>1079</v>
      </c>
      <c r="J10416">
        <v>9.36</v>
      </c>
    </row>
    <row r="10417" spans="1:10" hidden="1">
      <c r="A10417" t="s">
        <v>6483</v>
      </c>
      <c r="B10417" t="s">
        <v>6484</v>
      </c>
      <c r="C10417" t="s">
        <v>5111</v>
      </c>
      <c r="D10417" t="s">
        <v>3489</v>
      </c>
      <c r="E10417" t="s">
        <v>560</v>
      </c>
      <c r="F10417" t="s">
        <v>1068</v>
      </c>
      <c r="G10417" t="s">
        <v>1080</v>
      </c>
      <c r="H10417" s="170">
        <v>-6.48805592769588E-9</v>
      </c>
      <c r="I10417" t="s">
        <v>1082</v>
      </c>
      <c r="J10417">
        <v>9.36</v>
      </c>
    </row>
    <row r="10418" spans="1:10" hidden="1">
      <c r="A10418" t="s">
        <v>6483</v>
      </c>
      <c r="B10418" t="s">
        <v>6484</v>
      </c>
      <c r="C10418" t="s">
        <v>5111</v>
      </c>
      <c r="D10418" t="s">
        <v>3489</v>
      </c>
      <c r="E10418" t="s">
        <v>560</v>
      </c>
      <c r="F10418" t="s">
        <v>1068</v>
      </c>
      <c r="G10418" t="s">
        <v>1083</v>
      </c>
      <c r="H10418">
        <v>-1.5658293777759801E-4</v>
      </c>
      <c r="I10418" t="s">
        <v>1084</v>
      </c>
      <c r="J10418">
        <v>9.36</v>
      </c>
    </row>
    <row r="10419" spans="1:10" hidden="1">
      <c r="A10419" t="s">
        <v>6483</v>
      </c>
      <c r="B10419" t="s">
        <v>6484</v>
      </c>
      <c r="C10419" t="s">
        <v>5111</v>
      </c>
      <c r="D10419" t="s">
        <v>3489</v>
      </c>
      <c r="E10419" t="s">
        <v>560</v>
      </c>
      <c r="F10419" t="s">
        <v>1068</v>
      </c>
      <c r="G10419" t="s">
        <v>1085</v>
      </c>
      <c r="H10419">
        <v>-1.4310648230979801E-3</v>
      </c>
      <c r="I10419" t="s">
        <v>1086</v>
      </c>
      <c r="J10419">
        <v>9.36</v>
      </c>
    </row>
    <row r="10420" spans="1:10" hidden="1">
      <c r="A10420" t="s">
        <v>6483</v>
      </c>
      <c r="B10420" t="s">
        <v>6484</v>
      </c>
      <c r="C10420" t="s">
        <v>5111</v>
      </c>
      <c r="D10420" t="s">
        <v>3489</v>
      </c>
      <c r="E10420" t="s">
        <v>560</v>
      </c>
      <c r="F10420" t="s">
        <v>1068</v>
      </c>
      <c r="G10420" t="s">
        <v>1087</v>
      </c>
      <c r="H10420" s="170">
        <v>-9.9155584857027392E-7</v>
      </c>
      <c r="I10420" t="s">
        <v>1088</v>
      </c>
      <c r="J10420">
        <v>9.36</v>
      </c>
    </row>
    <row r="10421" spans="1:10" hidden="1">
      <c r="A10421" t="s">
        <v>6483</v>
      </c>
      <c r="B10421" t="s">
        <v>6484</v>
      </c>
      <c r="C10421" t="s">
        <v>5111</v>
      </c>
      <c r="D10421" t="s">
        <v>3489</v>
      </c>
      <c r="E10421" t="s">
        <v>560</v>
      </c>
      <c r="F10421" t="s">
        <v>1068</v>
      </c>
      <c r="G10421" t="s">
        <v>1089</v>
      </c>
      <c r="H10421">
        <v>-2.3347366517798501E-4</v>
      </c>
      <c r="I10421" t="s">
        <v>1090</v>
      </c>
      <c r="J10421">
        <v>9.36</v>
      </c>
    </row>
    <row r="10422" spans="1:10" hidden="1">
      <c r="A10422" t="s">
        <v>6486</v>
      </c>
      <c r="B10422" t="s">
        <v>6487</v>
      </c>
      <c r="C10422" t="s">
        <v>5111</v>
      </c>
      <c r="D10422" t="s">
        <v>3489</v>
      </c>
      <c r="E10422" t="s">
        <v>1116</v>
      </c>
      <c r="F10422" t="s">
        <v>1068</v>
      </c>
      <c r="G10422" t="s">
        <v>1069</v>
      </c>
      <c r="H10422">
        <v>-1.0741653911208999</v>
      </c>
      <c r="I10422" t="s">
        <v>1070</v>
      </c>
      <c r="J10422">
        <v>10.83</v>
      </c>
    </row>
    <row r="10423" spans="1:10" hidden="1">
      <c r="A10423" t="s">
        <v>6486</v>
      </c>
      <c r="B10423" t="s">
        <v>6487</v>
      </c>
      <c r="C10423" t="s">
        <v>5111</v>
      </c>
      <c r="D10423" t="s">
        <v>3489</v>
      </c>
      <c r="E10423" t="s">
        <v>1116</v>
      </c>
      <c r="F10423" t="s">
        <v>1068</v>
      </c>
      <c r="G10423" t="s">
        <v>1071</v>
      </c>
      <c r="H10423" s="170">
        <v>-1.09794622244423E-9</v>
      </c>
      <c r="I10423" t="s">
        <v>1072</v>
      </c>
      <c r="J10423">
        <v>10.83</v>
      </c>
    </row>
    <row r="10424" spans="1:10" hidden="1">
      <c r="A10424" t="s">
        <v>6486</v>
      </c>
      <c r="B10424" t="s">
        <v>6487</v>
      </c>
      <c r="C10424" t="s">
        <v>5111</v>
      </c>
      <c r="D10424" t="s">
        <v>3489</v>
      </c>
      <c r="E10424" t="s">
        <v>1116</v>
      </c>
      <c r="F10424" t="s">
        <v>1068</v>
      </c>
      <c r="G10424" t="s">
        <v>1073</v>
      </c>
      <c r="H10424" s="170">
        <v>-3.7805386265998802E-7</v>
      </c>
      <c r="I10424" t="s">
        <v>1074</v>
      </c>
      <c r="J10424">
        <v>10.83</v>
      </c>
    </row>
    <row r="10425" spans="1:10" hidden="1">
      <c r="A10425" t="s">
        <v>6486</v>
      </c>
      <c r="B10425" t="s">
        <v>6487</v>
      </c>
      <c r="C10425" t="s">
        <v>5111</v>
      </c>
      <c r="D10425" t="s">
        <v>3489</v>
      </c>
      <c r="E10425" t="s">
        <v>1116</v>
      </c>
      <c r="F10425" t="s">
        <v>1068</v>
      </c>
      <c r="G10425" t="s">
        <v>1075</v>
      </c>
      <c r="H10425">
        <v>-1.7992007221824001E-2</v>
      </c>
      <c r="I10425" t="s">
        <v>1077</v>
      </c>
      <c r="J10425">
        <v>10.83</v>
      </c>
    </row>
    <row r="10426" spans="1:10" hidden="1">
      <c r="A10426" t="s">
        <v>6486</v>
      </c>
      <c r="B10426" t="s">
        <v>6487</v>
      </c>
      <c r="C10426" t="s">
        <v>5111</v>
      </c>
      <c r="D10426" t="s">
        <v>3489</v>
      </c>
      <c r="E10426" t="s">
        <v>1116</v>
      </c>
      <c r="F10426" t="s">
        <v>1068</v>
      </c>
      <c r="G10426" t="s">
        <v>1078</v>
      </c>
      <c r="H10426" s="171" t="s">
        <v>6488</v>
      </c>
      <c r="I10426" t="s">
        <v>1079</v>
      </c>
      <c r="J10426">
        <v>10.83</v>
      </c>
    </row>
    <row r="10427" spans="1:10" hidden="1">
      <c r="A10427" t="s">
        <v>6486</v>
      </c>
      <c r="B10427" t="s">
        <v>6487</v>
      </c>
      <c r="C10427" t="s">
        <v>5111</v>
      </c>
      <c r="D10427" t="s">
        <v>3489</v>
      </c>
      <c r="E10427" t="s">
        <v>1116</v>
      </c>
      <c r="F10427" t="s">
        <v>1068</v>
      </c>
      <c r="G10427" t="s">
        <v>1080</v>
      </c>
      <c r="H10427" s="170">
        <v>-6.0463770481965497E-9</v>
      </c>
      <c r="I10427" t="s">
        <v>1082</v>
      </c>
      <c r="J10427">
        <v>10.83</v>
      </c>
    </row>
    <row r="10428" spans="1:10" hidden="1">
      <c r="A10428" t="s">
        <v>6486</v>
      </c>
      <c r="B10428" t="s">
        <v>6487</v>
      </c>
      <c r="C10428" t="s">
        <v>5111</v>
      </c>
      <c r="D10428" t="s">
        <v>3489</v>
      </c>
      <c r="E10428" t="s">
        <v>1116</v>
      </c>
      <c r="F10428" t="s">
        <v>1068</v>
      </c>
      <c r="G10428" t="s">
        <v>1083</v>
      </c>
      <c r="H10428">
        <v>-1.4450526000467099E-4</v>
      </c>
      <c r="I10428" t="s">
        <v>1084</v>
      </c>
      <c r="J10428">
        <v>10.83</v>
      </c>
    </row>
    <row r="10429" spans="1:10" hidden="1">
      <c r="A10429" t="s">
        <v>6486</v>
      </c>
      <c r="B10429" t="s">
        <v>6487</v>
      </c>
      <c r="C10429" t="s">
        <v>5111</v>
      </c>
      <c r="D10429" t="s">
        <v>3489</v>
      </c>
      <c r="E10429" t="s">
        <v>1116</v>
      </c>
      <c r="F10429" t="s">
        <v>1068</v>
      </c>
      <c r="G10429" t="s">
        <v>1085</v>
      </c>
      <c r="H10429">
        <v>-1.29456255173332E-3</v>
      </c>
      <c r="I10429" t="s">
        <v>1086</v>
      </c>
      <c r="J10429">
        <v>10.83</v>
      </c>
    </row>
    <row r="10430" spans="1:10" hidden="1">
      <c r="A10430" t="s">
        <v>6486</v>
      </c>
      <c r="B10430" t="s">
        <v>6487</v>
      </c>
      <c r="C10430" t="s">
        <v>5111</v>
      </c>
      <c r="D10430" t="s">
        <v>3489</v>
      </c>
      <c r="E10430" t="s">
        <v>1116</v>
      </c>
      <c r="F10430" t="s">
        <v>1068</v>
      </c>
      <c r="G10430" t="s">
        <v>1087</v>
      </c>
      <c r="H10430" s="170">
        <v>-9.2567922913828503E-7</v>
      </c>
      <c r="I10430" t="s">
        <v>1088</v>
      </c>
      <c r="J10430">
        <v>10.83</v>
      </c>
    </row>
    <row r="10431" spans="1:10" hidden="1">
      <c r="A10431" t="s">
        <v>6486</v>
      </c>
      <c r="B10431" t="s">
        <v>6487</v>
      </c>
      <c r="C10431" t="s">
        <v>5111</v>
      </c>
      <c r="D10431" t="s">
        <v>3489</v>
      </c>
      <c r="E10431" t="s">
        <v>1116</v>
      </c>
      <c r="F10431" t="s">
        <v>1068</v>
      </c>
      <c r="G10431" t="s">
        <v>1089</v>
      </c>
      <c r="H10431">
        <v>-2.05313516151414E-4</v>
      </c>
      <c r="I10431" t="s">
        <v>1090</v>
      </c>
      <c r="J10431">
        <v>10.83</v>
      </c>
    </row>
    <row r="10432" spans="1:10" hidden="1">
      <c r="A10432" t="s">
        <v>6489</v>
      </c>
      <c r="B10432" t="s">
        <v>6490</v>
      </c>
      <c r="C10432" t="s">
        <v>5111</v>
      </c>
      <c r="D10432" t="s">
        <v>324</v>
      </c>
      <c r="E10432" t="s">
        <v>561</v>
      </c>
      <c r="F10432" t="s">
        <v>1068</v>
      </c>
      <c r="G10432" t="s">
        <v>1069</v>
      </c>
      <c r="H10432">
        <v>-0.64308441208769995</v>
      </c>
      <c r="I10432" t="s">
        <v>1070</v>
      </c>
      <c r="J10432">
        <v>8.27</v>
      </c>
    </row>
    <row r="10433" spans="1:10" hidden="1">
      <c r="A10433" t="s">
        <v>6489</v>
      </c>
      <c r="B10433" t="s">
        <v>6490</v>
      </c>
      <c r="C10433" t="s">
        <v>5111</v>
      </c>
      <c r="D10433" t="s">
        <v>324</v>
      </c>
      <c r="E10433" t="s">
        <v>561</v>
      </c>
      <c r="F10433" t="s">
        <v>1068</v>
      </c>
      <c r="G10433" t="s">
        <v>1071</v>
      </c>
      <c r="H10433" s="170">
        <v>-6.2561353292479503E-10</v>
      </c>
      <c r="I10433" t="s">
        <v>1072</v>
      </c>
      <c r="J10433">
        <v>8.27</v>
      </c>
    </row>
    <row r="10434" spans="1:10" hidden="1">
      <c r="A10434" t="s">
        <v>6489</v>
      </c>
      <c r="B10434" t="s">
        <v>6490</v>
      </c>
      <c r="C10434" t="s">
        <v>5111</v>
      </c>
      <c r="D10434" t="s">
        <v>324</v>
      </c>
      <c r="E10434" t="s">
        <v>561</v>
      </c>
      <c r="F10434" t="s">
        <v>1068</v>
      </c>
      <c r="G10434" t="s">
        <v>1073</v>
      </c>
      <c r="H10434" s="170">
        <v>-2.2515521034488E-7</v>
      </c>
      <c r="I10434" t="s">
        <v>1074</v>
      </c>
      <c r="J10434">
        <v>8.27</v>
      </c>
    </row>
    <row r="10435" spans="1:10" hidden="1">
      <c r="A10435" t="s">
        <v>6489</v>
      </c>
      <c r="B10435" t="s">
        <v>6490</v>
      </c>
      <c r="C10435" t="s">
        <v>5111</v>
      </c>
      <c r="D10435" t="s">
        <v>324</v>
      </c>
      <c r="E10435" t="s">
        <v>561</v>
      </c>
      <c r="F10435" t="s">
        <v>1068</v>
      </c>
      <c r="G10435" t="s">
        <v>1075</v>
      </c>
      <c r="H10435">
        <v>-1.06250578088376E-2</v>
      </c>
      <c r="I10435" t="s">
        <v>1077</v>
      </c>
      <c r="J10435">
        <v>8.27</v>
      </c>
    </row>
    <row r="10436" spans="1:10" hidden="1">
      <c r="A10436" t="s">
        <v>6489</v>
      </c>
      <c r="B10436" t="s">
        <v>6490</v>
      </c>
      <c r="C10436" t="s">
        <v>5111</v>
      </c>
      <c r="D10436" t="s">
        <v>324</v>
      </c>
      <c r="E10436" t="s">
        <v>561</v>
      </c>
      <c r="F10436" t="s">
        <v>1068</v>
      </c>
      <c r="G10436" t="s">
        <v>1078</v>
      </c>
      <c r="H10436">
        <v>-0.91353993473315398</v>
      </c>
      <c r="I10436" t="s">
        <v>1079</v>
      </c>
      <c r="J10436">
        <v>8.27</v>
      </c>
    </row>
    <row r="10437" spans="1:10" hidden="1">
      <c r="A10437" t="s">
        <v>6489</v>
      </c>
      <c r="B10437" t="s">
        <v>6490</v>
      </c>
      <c r="C10437" t="s">
        <v>5111</v>
      </c>
      <c r="D10437" t="s">
        <v>324</v>
      </c>
      <c r="E10437" t="s">
        <v>561</v>
      </c>
      <c r="F10437" t="s">
        <v>1068</v>
      </c>
      <c r="G10437" t="s">
        <v>1080</v>
      </c>
      <c r="H10437" s="170">
        <v>-3.6465570691477399E-9</v>
      </c>
      <c r="I10437" t="s">
        <v>1082</v>
      </c>
      <c r="J10437">
        <v>8.27</v>
      </c>
    </row>
    <row r="10438" spans="1:10" hidden="1">
      <c r="A10438" t="s">
        <v>6489</v>
      </c>
      <c r="B10438" t="s">
        <v>6490</v>
      </c>
      <c r="C10438" t="s">
        <v>5111</v>
      </c>
      <c r="D10438" t="s">
        <v>324</v>
      </c>
      <c r="E10438" t="s">
        <v>561</v>
      </c>
      <c r="F10438" t="s">
        <v>1068</v>
      </c>
      <c r="G10438" t="s">
        <v>1083</v>
      </c>
      <c r="H10438" s="170">
        <v>-8.69869049331221E-5</v>
      </c>
      <c r="I10438" t="s">
        <v>1084</v>
      </c>
      <c r="J10438">
        <v>8.27</v>
      </c>
    </row>
    <row r="10439" spans="1:10" hidden="1">
      <c r="A10439" t="s">
        <v>6489</v>
      </c>
      <c r="B10439" t="s">
        <v>6490</v>
      </c>
      <c r="C10439" t="s">
        <v>5111</v>
      </c>
      <c r="D10439" t="s">
        <v>324</v>
      </c>
      <c r="E10439" t="s">
        <v>561</v>
      </c>
      <c r="F10439" t="s">
        <v>1068</v>
      </c>
      <c r="G10439" t="s">
        <v>1085</v>
      </c>
      <c r="H10439">
        <v>-7.6503781919011905E-4</v>
      </c>
      <c r="I10439" t="s">
        <v>1086</v>
      </c>
      <c r="J10439">
        <v>8.27</v>
      </c>
    </row>
    <row r="10440" spans="1:10" hidden="1">
      <c r="A10440" t="s">
        <v>6489</v>
      </c>
      <c r="B10440" t="s">
        <v>6490</v>
      </c>
      <c r="C10440" t="s">
        <v>5111</v>
      </c>
      <c r="D10440" t="s">
        <v>324</v>
      </c>
      <c r="E10440" t="s">
        <v>561</v>
      </c>
      <c r="F10440" t="s">
        <v>1068</v>
      </c>
      <c r="G10440" t="s">
        <v>1087</v>
      </c>
      <c r="H10440" s="170">
        <v>-5.6484518025133497E-7</v>
      </c>
      <c r="I10440" t="s">
        <v>1088</v>
      </c>
      <c r="J10440">
        <v>8.27</v>
      </c>
    </row>
    <row r="10441" spans="1:10" hidden="1">
      <c r="A10441" t="s">
        <v>6489</v>
      </c>
      <c r="B10441" t="s">
        <v>6490</v>
      </c>
      <c r="C10441" t="s">
        <v>5111</v>
      </c>
      <c r="D10441" t="s">
        <v>324</v>
      </c>
      <c r="E10441" t="s">
        <v>561</v>
      </c>
      <c r="F10441" t="s">
        <v>1068</v>
      </c>
      <c r="G10441" t="s">
        <v>1089</v>
      </c>
      <c r="H10441">
        <v>-1.21563212650005E-4</v>
      </c>
      <c r="I10441" t="s">
        <v>1090</v>
      </c>
      <c r="J10441">
        <v>8.27</v>
      </c>
    </row>
    <row r="10442" spans="1:10" hidden="1">
      <c r="A10442" t="s">
        <v>6491</v>
      </c>
      <c r="B10442" t="s">
        <v>6492</v>
      </c>
      <c r="C10442" t="s">
        <v>5111</v>
      </c>
      <c r="D10442" t="s">
        <v>324</v>
      </c>
      <c r="E10442" t="s">
        <v>555</v>
      </c>
      <c r="F10442" t="s">
        <v>1068</v>
      </c>
      <c r="G10442" t="s">
        <v>1069</v>
      </c>
      <c r="H10442">
        <v>-0.72400225310976896</v>
      </c>
      <c r="I10442" t="s">
        <v>1070</v>
      </c>
      <c r="J10442">
        <v>8.44</v>
      </c>
    </row>
    <row r="10443" spans="1:10" hidden="1">
      <c r="A10443" t="s">
        <v>6491</v>
      </c>
      <c r="B10443" t="s">
        <v>6492</v>
      </c>
      <c r="C10443" t="s">
        <v>5111</v>
      </c>
      <c r="D10443" t="s">
        <v>324</v>
      </c>
      <c r="E10443" t="s">
        <v>555</v>
      </c>
      <c r="F10443" t="s">
        <v>1068</v>
      </c>
      <c r="G10443" t="s">
        <v>1071</v>
      </c>
      <c r="H10443" s="170">
        <v>-7.4140786811804504E-10</v>
      </c>
      <c r="I10443" t="s">
        <v>1072</v>
      </c>
      <c r="J10443">
        <v>8.44</v>
      </c>
    </row>
    <row r="10444" spans="1:10" hidden="1">
      <c r="A10444" t="s">
        <v>6491</v>
      </c>
      <c r="B10444" t="s">
        <v>6492</v>
      </c>
      <c r="C10444" t="s">
        <v>5111</v>
      </c>
      <c r="D10444" t="s">
        <v>324</v>
      </c>
      <c r="E10444" t="s">
        <v>555</v>
      </c>
      <c r="F10444" t="s">
        <v>1068</v>
      </c>
      <c r="G10444" t="s">
        <v>1073</v>
      </c>
      <c r="H10444" s="170">
        <v>-2.5389754924258401E-7</v>
      </c>
      <c r="I10444" t="s">
        <v>1074</v>
      </c>
      <c r="J10444">
        <v>8.44</v>
      </c>
    </row>
    <row r="10445" spans="1:10" hidden="1">
      <c r="A10445" t="s">
        <v>6491</v>
      </c>
      <c r="B10445" t="s">
        <v>6492</v>
      </c>
      <c r="C10445" t="s">
        <v>5111</v>
      </c>
      <c r="D10445" t="s">
        <v>324</v>
      </c>
      <c r="E10445" t="s">
        <v>555</v>
      </c>
      <c r="F10445" t="s">
        <v>1068</v>
      </c>
      <c r="G10445" t="s">
        <v>1075</v>
      </c>
      <c r="H10445">
        <v>-1.3182964433972899E-2</v>
      </c>
      <c r="I10445" t="s">
        <v>1077</v>
      </c>
      <c r="J10445">
        <v>8.44</v>
      </c>
    </row>
    <row r="10446" spans="1:10" hidden="1">
      <c r="A10446" t="s">
        <v>6491</v>
      </c>
      <c r="B10446" t="s">
        <v>6492</v>
      </c>
      <c r="C10446" t="s">
        <v>5111</v>
      </c>
      <c r="D10446" t="s">
        <v>324</v>
      </c>
      <c r="E10446" t="s">
        <v>555</v>
      </c>
      <c r="F10446" t="s">
        <v>1068</v>
      </c>
      <c r="G10446" t="s">
        <v>1078</v>
      </c>
      <c r="H10446">
        <v>-1.02415368418064</v>
      </c>
      <c r="I10446" t="s">
        <v>1079</v>
      </c>
      <c r="J10446">
        <v>8.44</v>
      </c>
    </row>
    <row r="10447" spans="1:10" hidden="1">
      <c r="A10447" t="s">
        <v>6491</v>
      </c>
      <c r="B10447" t="s">
        <v>6492</v>
      </c>
      <c r="C10447" t="s">
        <v>5111</v>
      </c>
      <c r="D10447" t="s">
        <v>324</v>
      </c>
      <c r="E10447" t="s">
        <v>555</v>
      </c>
      <c r="F10447" t="s">
        <v>1068</v>
      </c>
      <c r="G10447" t="s">
        <v>1080</v>
      </c>
      <c r="H10447" s="170">
        <v>-4.09635157434873E-9</v>
      </c>
      <c r="I10447" t="s">
        <v>1082</v>
      </c>
      <c r="J10447">
        <v>8.44</v>
      </c>
    </row>
    <row r="10448" spans="1:10" hidden="1">
      <c r="A10448" t="s">
        <v>6491</v>
      </c>
      <c r="B10448" t="s">
        <v>6492</v>
      </c>
      <c r="C10448" t="s">
        <v>5111</v>
      </c>
      <c r="D10448" t="s">
        <v>324</v>
      </c>
      <c r="E10448" t="s">
        <v>555</v>
      </c>
      <c r="F10448" t="s">
        <v>1068</v>
      </c>
      <c r="G10448" t="s">
        <v>1083</v>
      </c>
      <c r="H10448" s="170">
        <v>-9.9286503930948495E-5</v>
      </c>
      <c r="I10448" t="s">
        <v>1084</v>
      </c>
      <c r="J10448">
        <v>8.44</v>
      </c>
    </row>
    <row r="10449" spans="1:10" hidden="1">
      <c r="A10449" t="s">
        <v>6491</v>
      </c>
      <c r="B10449" t="s">
        <v>6492</v>
      </c>
      <c r="C10449" t="s">
        <v>5111</v>
      </c>
      <c r="D10449" t="s">
        <v>324</v>
      </c>
      <c r="E10449" t="s">
        <v>555</v>
      </c>
      <c r="F10449" t="s">
        <v>1068</v>
      </c>
      <c r="G10449" t="s">
        <v>1085</v>
      </c>
      <c r="H10449">
        <v>-9.0404825077476702E-4</v>
      </c>
      <c r="I10449" t="s">
        <v>1086</v>
      </c>
      <c r="J10449">
        <v>8.44</v>
      </c>
    </row>
    <row r="10450" spans="1:10" hidden="1">
      <c r="A10450" t="s">
        <v>6491</v>
      </c>
      <c r="B10450" t="s">
        <v>6492</v>
      </c>
      <c r="C10450" t="s">
        <v>5111</v>
      </c>
      <c r="D10450" t="s">
        <v>324</v>
      </c>
      <c r="E10450" t="s">
        <v>555</v>
      </c>
      <c r="F10450" t="s">
        <v>1068</v>
      </c>
      <c r="G10450" t="s">
        <v>1087</v>
      </c>
      <c r="H10450" s="170">
        <v>-6.3193224928393902E-7</v>
      </c>
      <c r="I10450" t="s">
        <v>1088</v>
      </c>
      <c r="J10450">
        <v>8.44</v>
      </c>
    </row>
    <row r="10451" spans="1:10" hidden="1">
      <c r="A10451" t="s">
        <v>6491</v>
      </c>
      <c r="B10451" t="s">
        <v>6492</v>
      </c>
      <c r="C10451" t="s">
        <v>5111</v>
      </c>
      <c r="D10451" t="s">
        <v>324</v>
      </c>
      <c r="E10451" t="s">
        <v>555</v>
      </c>
      <c r="F10451" t="s">
        <v>1068</v>
      </c>
      <c r="G10451" t="s">
        <v>1089</v>
      </c>
      <c r="H10451">
        <v>-1.5024079016458201E-4</v>
      </c>
      <c r="I10451" t="s">
        <v>1090</v>
      </c>
      <c r="J10451">
        <v>8.44</v>
      </c>
    </row>
    <row r="10452" spans="1:10" hidden="1">
      <c r="A10452" t="s">
        <v>6493</v>
      </c>
      <c r="B10452" t="s">
        <v>6494</v>
      </c>
      <c r="C10452" t="s">
        <v>5111</v>
      </c>
      <c r="D10452" t="s">
        <v>324</v>
      </c>
      <c r="E10452" t="s">
        <v>558</v>
      </c>
      <c r="F10452" t="s">
        <v>1068</v>
      </c>
      <c r="G10452" t="s">
        <v>1069</v>
      </c>
      <c r="H10452">
        <v>-0.63591978901863999</v>
      </c>
      <c r="I10452" t="s">
        <v>1070</v>
      </c>
      <c r="J10452">
        <v>9.85</v>
      </c>
    </row>
    <row r="10453" spans="1:10" hidden="1">
      <c r="A10453" t="s">
        <v>6493</v>
      </c>
      <c r="B10453" t="s">
        <v>6494</v>
      </c>
      <c r="C10453" t="s">
        <v>5111</v>
      </c>
      <c r="D10453" t="s">
        <v>324</v>
      </c>
      <c r="E10453" t="s">
        <v>558</v>
      </c>
      <c r="F10453" t="s">
        <v>1068</v>
      </c>
      <c r="G10453" t="s">
        <v>1071</v>
      </c>
      <c r="H10453" s="170">
        <v>-6.1536087580188398E-10</v>
      </c>
      <c r="I10453" t="s">
        <v>1072</v>
      </c>
      <c r="J10453">
        <v>9.85</v>
      </c>
    </row>
    <row r="10454" spans="1:10" hidden="1">
      <c r="A10454" t="s">
        <v>6493</v>
      </c>
      <c r="B10454" t="s">
        <v>6494</v>
      </c>
      <c r="C10454" t="s">
        <v>5111</v>
      </c>
      <c r="D10454" t="s">
        <v>324</v>
      </c>
      <c r="E10454" t="s">
        <v>558</v>
      </c>
      <c r="F10454" t="s">
        <v>1068</v>
      </c>
      <c r="G10454" t="s">
        <v>1073</v>
      </c>
      <c r="H10454" s="170">
        <v>-2.2261031356050201E-7</v>
      </c>
      <c r="I10454" t="s">
        <v>1074</v>
      </c>
      <c r="J10454">
        <v>9.85</v>
      </c>
    </row>
    <row r="10455" spans="1:10" hidden="1">
      <c r="A10455" t="s">
        <v>6493</v>
      </c>
      <c r="B10455" t="s">
        <v>6494</v>
      </c>
      <c r="C10455" t="s">
        <v>5111</v>
      </c>
      <c r="D10455" t="s">
        <v>324</v>
      </c>
      <c r="E10455" t="s">
        <v>558</v>
      </c>
      <c r="F10455" t="s">
        <v>1068</v>
      </c>
      <c r="G10455" t="s">
        <v>1075</v>
      </c>
      <c r="H10455">
        <v>-1.03985764198763E-2</v>
      </c>
      <c r="I10455" t="s">
        <v>1077</v>
      </c>
      <c r="J10455">
        <v>9.85</v>
      </c>
    </row>
    <row r="10456" spans="1:10" hidden="1">
      <c r="A10456" t="s">
        <v>6493</v>
      </c>
      <c r="B10456" t="s">
        <v>6494</v>
      </c>
      <c r="C10456" t="s">
        <v>5111</v>
      </c>
      <c r="D10456" t="s">
        <v>324</v>
      </c>
      <c r="E10456" t="s">
        <v>558</v>
      </c>
      <c r="F10456" t="s">
        <v>1068</v>
      </c>
      <c r="G10456" t="s">
        <v>1078</v>
      </c>
      <c r="H10456">
        <v>-0.903746005846506</v>
      </c>
      <c r="I10456" t="s">
        <v>1079</v>
      </c>
      <c r="J10456">
        <v>9.85</v>
      </c>
    </row>
    <row r="10457" spans="1:10" hidden="1">
      <c r="A10457" t="s">
        <v>6493</v>
      </c>
      <c r="B10457" t="s">
        <v>6494</v>
      </c>
      <c r="C10457" t="s">
        <v>5111</v>
      </c>
      <c r="D10457" t="s">
        <v>324</v>
      </c>
      <c r="E10457" t="s">
        <v>558</v>
      </c>
      <c r="F10457" t="s">
        <v>1068</v>
      </c>
      <c r="G10457" t="s">
        <v>1080</v>
      </c>
      <c r="H10457" s="170">
        <v>-3.60673150113212E-9</v>
      </c>
      <c r="I10457" t="s">
        <v>1082</v>
      </c>
      <c r="J10457">
        <v>9.85</v>
      </c>
    </row>
    <row r="10458" spans="1:10" hidden="1">
      <c r="A10458" t="s">
        <v>6493</v>
      </c>
      <c r="B10458" t="s">
        <v>6494</v>
      </c>
      <c r="C10458" t="s">
        <v>5111</v>
      </c>
      <c r="D10458" t="s">
        <v>324</v>
      </c>
      <c r="E10458" t="s">
        <v>558</v>
      </c>
      <c r="F10458" t="s">
        <v>1068</v>
      </c>
      <c r="G10458" t="s">
        <v>1083</v>
      </c>
      <c r="H10458" s="170">
        <v>-8.5897877587821201E-5</v>
      </c>
      <c r="I10458" t="s">
        <v>1084</v>
      </c>
      <c r="J10458">
        <v>9.85</v>
      </c>
    </row>
    <row r="10459" spans="1:10" hidden="1">
      <c r="A10459" t="s">
        <v>6493</v>
      </c>
      <c r="B10459" t="s">
        <v>6494</v>
      </c>
      <c r="C10459" t="s">
        <v>5111</v>
      </c>
      <c r="D10459" t="s">
        <v>324</v>
      </c>
      <c r="E10459" t="s">
        <v>558</v>
      </c>
      <c r="F10459" t="s">
        <v>1068</v>
      </c>
      <c r="G10459" t="s">
        <v>1085</v>
      </c>
      <c r="H10459">
        <v>-7.5272959992755202E-4</v>
      </c>
      <c r="I10459" t="s">
        <v>1086</v>
      </c>
      <c r="J10459">
        <v>9.85</v>
      </c>
    </row>
    <row r="10460" spans="1:10" hidden="1">
      <c r="A10460" t="s">
        <v>6493</v>
      </c>
      <c r="B10460" t="s">
        <v>6494</v>
      </c>
      <c r="C10460" t="s">
        <v>5111</v>
      </c>
      <c r="D10460" t="s">
        <v>324</v>
      </c>
      <c r="E10460" t="s">
        <v>558</v>
      </c>
      <c r="F10460" t="s">
        <v>1068</v>
      </c>
      <c r="G10460" t="s">
        <v>1087</v>
      </c>
      <c r="H10460" s="170">
        <v>-5.5890517743570898E-7</v>
      </c>
      <c r="I10460" t="s">
        <v>1088</v>
      </c>
      <c r="J10460">
        <v>9.85</v>
      </c>
    </row>
    <row r="10461" spans="1:10" hidden="1">
      <c r="A10461" t="s">
        <v>6493</v>
      </c>
      <c r="B10461" t="s">
        <v>6494</v>
      </c>
      <c r="C10461" t="s">
        <v>5111</v>
      </c>
      <c r="D10461" t="s">
        <v>324</v>
      </c>
      <c r="E10461" t="s">
        <v>558</v>
      </c>
      <c r="F10461" t="s">
        <v>1068</v>
      </c>
      <c r="G10461" t="s">
        <v>1089</v>
      </c>
      <c r="H10461">
        <v>-1.1902405132162201E-4</v>
      </c>
      <c r="I10461" t="s">
        <v>1090</v>
      </c>
      <c r="J10461">
        <v>9.85</v>
      </c>
    </row>
    <row r="10462" spans="1:10" hidden="1">
      <c r="A10462" t="s">
        <v>6495</v>
      </c>
      <c r="B10462" t="s">
        <v>6496</v>
      </c>
      <c r="C10462" t="s">
        <v>5111</v>
      </c>
      <c r="D10462" t="s">
        <v>324</v>
      </c>
      <c r="E10462" t="s">
        <v>553</v>
      </c>
      <c r="F10462" t="s">
        <v>1068</v>
      </c>
      <c r="G10462" t="s">
        <v>1069</v>
      </c>
      <c r="H10462">
        <v>-0.62890263853682205</v>
      </c>
      <c r="I10462" t="s">
        <v>1070</v>
      </c>
      <c r="J10462">
        <v>8.32</v>
      </c>
    </row>
    <row r="10463" spans="1:10" hidden="1">
      <c r="A10463" t="s">
        <v>6495</v>
      </c>
      <c r="B10463" t="s">
        <v>6496</v>
      </c>
      <c r="C10463" t="s">
        <v>5111</v>
      </c>
      <c r="D10463" t="s">
        <v>324</v>
      </c>
      <c r="E10463" t="s">
        <v>553</v>
      </c>
      <c r="F10463" t="s">
        <v>1068</v>
      </c>
      <c r="G10463" t="s">
        <v>1071</v>
      </c>
      <c r="H10463" s="170">
        <v>-6.0531923772682399E-10</v>
      </c>
      <c r="I10463" t="s">
        <v>1072</v>
      </c>
      <c r="J10463">
        <v>8.32</v>
      </c>
    </row>
    <row r="10464" spans="1:10" hidden="1">
      <c r="A10464" t="s">
        <v>6495</v>
      </c>
      <c r="B10464" t="s">
        <v>6496</v>
      </c>
      <c r="C10464" t="s">
        <v>5111</v>
      </c>
      <c r="D10464" t="s">
        <v>324</v>
      </c>
      <c r="E10464" t="s">
        <v>553</v>
      </c>
      <c r="F10464" t="s">
        <v>1068</v>
      </c>
      <c r="G10464" t="s">
        <v>1073</v>
      </c>
      <c r="H10464" s="170">
        <v>-2.2011786523277201E-7</v>
      </c>
      <c r="I10464" t="s">
        <v>1074</v>
      </c>
      <c r="J10464">
        <v>8.32</v>
      </c>
    </row>
    <row r="10465" spans="1:10" hidden="1">
      <c r="A10465" t="s">
        <v>6495</v>
      </c>
      <c r="B10465" t="s">
        <v>6496</v>
      </c>
      <c r="C10465" t="s">
        <v>5111</v>
      </c>
      <c r="D10465" t="s">
        <v>324</v>
      </c>
      <c r="E10465" t="s">
        <v>553</v>
      </c>
      <c r="F10465" t="s">
        <v>1068</v>
      </c>
      <c r="G10465" t="s">
        <v>1075</v>
      </c>
      <c r="H10465">
        <v>-1.01767640253069E-2</v>
      </c>
      <c r="I10465" t="s">
        <v>1077</v>
      </c>
      <c r="J10465">
        <v>8.32</v>
      </c>
    </row>
    <row r="10466" spans="1:10" hidden="1">
      <c r="A10466" t="s">
        <v>6495</v>
      </c>
      <c r="B10466" t="s">
        <v>6496</v>
      </c>
      <c r="C10466" t="s">
        <v>5111</v>
      </c>
      <c r="D10466" t="s">
        <v>324</v>
      </c>
      <c r="E10466" t="s">
        <v>553</v>
      </c>
      <c r="F10466" t="s">
        <v>1068</v>
      </c>
      <c r="G10466" t="s">
        <v>1078</v>
      </c>
      <c r="H10466">
        <v>-0.89415398241032396</v>
      </c>
      <c r="I10466" t="s">
        <v>1079</v>
      </c>
      <c r="J10466">
        <v>8.32</v>
      </c>
    </row>
    <row r="10467" spans="1:10" hidden="1">
      <c r="A10467" t="s">
        <v>6495</v>
      </c>
      <c r="B10467" t="s">
        <v>6496</v>
      </c>
      <c r="C10467" t="s">
        <v>5111</v>
      </c>
      <c r="D10467" t="s">
        <v>324</v>
      </c>
      <c r="E10467" t="s">
        <v>553</v>
      </c>
      <c r="F10467" t="s">
        <v>1068</v>
      </c>
      <c r="G10467" t="s">
        <v>1080</v>
      </c>
      <c r="H10467" s="170">
        <v>-3.5677269514025698E-9</v>
      </c>
      <c r="I10467" t="s">
        <v>1082</v>
      </c>
      <c r="J10467">
        <v>8.32</v>
      </c>
    </row>
    <row r="10468" spans="1:10" hidden="1">
      <c r="A10468" t="s">
        <v>6495</v>
      </c>
      <c r="B10468" t="s">
        <v>6496</v>
      </c>
      <c r="C10468" t="s">
        <v>5111</v>
      </c>
      <c r="D10468" t="s">
        <v>324</v>
      </c>
      <c r="E10468" t="s">
        <v>553</v>
      </c>
      <c r="F10468" t="s">
        <v>1068</v>
      </c>
      <c r="G10468" t="s">
        <v>1083</v>
      </c>
      <c r="H10468" s="170">
        <v>-8.4831300942713798E-5</v>
      </c>
      <c r="I10468" t="s">
        <v>1084</v>
      </c>
      <c r="J10468">
        <v>8.32</v>
      </c>
    </row>
    <row r="10469" spans="1:10" hidden="1">
      <c r="A10469" t="s">
        <v>6495</v>
      </c>
      <c r="B10469" t="s">
        <v>6496</v>
      </c>
      <c r="C10469" t="s">
        <v>5111</v>
      </c>
      <c r="D10469" t="s">
        <v>324</v>
      </c>
      <c r="E10469" t="s">
        <v>553</v>
      </c>
      <c r="F10469" t="s">
        <v>1068</v>
      </c>
      <c r="G10469" t="s">
        <v>1085</v>
      </c>
      <c r="H10469">
        <v>-7.4067511911577897E-4</v>
      </c>
      <c r="I10469" t="s">
        <v>1086</v>
      </c>
      <c r="J10469">
        <v>8.32</v>
      </c>
    </row>
    <row r="10470" spans="1:10" hidden="1">
      <c r="A10470" t="s">
        <v>6495</v>
      </c>
      <c r="B10470" t="s">
        <v>6496</v>
      </c>
      <c r="C10470" t="s">
        <v>5111</v>
      </c>
      <c r="D10470" t="s">
        <v>324</v>
      </c>
      <c r="E10470" t="s">
        <v>553</v>
      </c>
      <c r="F10470" t="s">
        <v>1068</v>
      </c>
      <c r="G10470" t="s">
        <v>1087</v>
      </c>
      <c r="H10470" s="170">
        <v>-5.5308762998115899E-7</v>
      </c>
      <c r="I10470" t="s">
        <v>1088</v>
      </c>
      <c r="J10470">
        <v>8.32</v>
      </c>
    </row>
    <row r="10471" spans="1:10" hidden="1">
      <c r="A10471" t="s">
        <v>6495</v>
      </c>
      <c r="B10471" t="s">
        <v>6496</v>
      </c>
      <c r="C10471" t="s">
        <v>5111</v>
      </c>
      <c r="D10471" t="s">
        <v>324</v>
      </c>
      <c r="E10471" t="s">
        <v>553</v>
      </c>
      <c r="F10471" t="s">
        <v>1068</v>
      </c>
      <c r="G10471" t="s">
        <v>1089</v>
      </c>
      <c r="H10471">
        <v>-1.16537235722148E-4</v>
      </c>
      <c r="I10471" t="s">
        <v>1090</v>
      </c>
      <c r="J10471">
        <v>8.32</v>
      </c>
    </row>
    <row r="10472" spans="1:10" hidden="1">
      <c r="A10472" t="s">
        <v>6497</v>
      </c>
      <c r="B10472" t="s">
        <v>6498</v>
      </c>
      <c r="C10472" t="s">
        <v>5111</v>
      </c>
      <c r="D10472" t="s">
        <v>324</v>
      </c>
      <c r="E10472" t="s">
        <v>556</v>
      </c>
      <c r="F10472" t="s">
        <v>1068</v>
      </c>
      <c r="G10472" t="s">
        <v>1069</v>
      </c>
      <c r="H10472">
        <v>-0.71506362654620403</v>
      </c>
      <c r="I10472" t="s">
        <v>1070</v>
      </c>
      <c r="J10472">
        <v>8.51</v>
      </c>
    </row>
    <row r="10473" spans="1:10" hidden="1">
      <c r="A10473" t="s">
        <v>6497</v>
      </c>
      <c r="B10473" t="s">
        <v>6498</v>
      </c>
      <c r="C10473" t="s">
        <v>5111</v>
      </c>
      <c r="D10473" t="s">
        <v>324</v>
      </c>
      <c r="E10473" t="s">
        <v>556</v>
      </c>
      <c r="F10473" t="s">
        <v>1068</v>
      </c>
      <c r="G10473" t="s">
        <v>1071</v>
      </c>
      <c r="H10473" s="170">
        <v>-7.2861659181184196E-10</v>
      </c>
      <c r="I10473" t="s">
        <v>1072</v>
      </c>
      <c r="J10473">
        <v>8.51</v>
      </c>
    </row>
    <row r="10474" spans="1:10" hidden="1">
      <c r="A10474" t="s">
        <v>6497</v>
      </c>
      <c r="B10474" t="s">
        <v>6498</v>
      </c>
      <c r="C10474" t="s">
        <v>5111</v>
      </c>
      <c r="D10474" t="s">
        <v>324</v>
      </c>
      <c r="E10474" t="s">
        <v>556</v>
      </c>
      <c r="F10474" t="s">
        <v>1068</v>
      </c>
      <c r="G10474" t="s">
        <v>1073</v>
      </c>
      <c r="H10474" s="170">
        <v>-2.5072252080366898E-7</v>
      </c>
      <c r="I10474" t="s">
        <v>1074</v>
      </c>
      <c r="J10474">
        <v>8.51</v>
      </c>
    </row>
    <row r="10475" spans="1:10" hidden="1">
      <c r="A10475" t="s">
        <v>6497</v>
      </c>
      <c r="B10475" t="s">
        <v>6498</v>
      </c>
      <c r="C10475" t="s">
        <v>5111</v>
      </c>
      <c r="D10475" t="s">
        <v>324</v>
      </c>
      <c r="E10475" t="s">
        <v>556</v>
      </c>
      <c r="F10475" t="s">
        <v>1068</v>
      </c>
      <c r="G10475" t="s">
        <v>1075</v>
      </c>
      <c r="H10475">
        <v>-1.2900404899436901E-2</v>
      </c>
      <c r="I10475" t="s">
        <v>1077</v>
      </c>
      <c r="J10475">
        <v>8.51</v>
      </c>
    </row>
    <row r="10476" spans="1:10" hidden="1">
      <c r="A10476" t="s">
        <v>6497</v>
      </c>
      <c r="B10476" t="s">
        <v>6498</v>
      </c>
      <c r="C10476" t="s">
        <v>5111</v>
      </c>
      <c r="D10476" t="s">
        <v>324</v>
      </c>
      <c r="E10476" t="s">
        <v>556</v>
      </c>
      <c r="F10476" t="s">
        <v>1068</v>
      </c>
      <c r="G10476" t="s">
        <v>1078</v>
      </c>
      <c r="H10476">
        <v>-1.01193471996385</v>
      </c>
      <c r="I10476" t="s">
        <v>1079</v>
      </c>
      <c r="J10476">
        <v>8.51</v>
      </c>
    </row>
    <row r="10477" spans="1:10" hidden="1">
      <c r="A10477" t="s">
        <v>6497</v>
      </c>
      <c r="B10477" t="s">
        <v>6498</v>
      </c>
      <c r="C10477" t="s">
        <v>5111</v>
      </c>
      <c r="D10477" t="s">
        <v>324</v>
      </c>
      <c r="E10477" t="s">
        <v>556</v>
      </c>
      <c r="F10477" t="s">
        <v>1068</v>
      </c>
      <c r="G10477" t="s">
        <v>1080</v>
      </c>
      <c r="H10477" s="170">
        <v>-4.0466649576569997E-9</v>
      </c>
      <c r="I10477" t="s">
        <v>1082</v>
      </c>
      <c r="J10477">
        <v>8.51</v>
      </c>
    </row>
    <row r="10478" spans="1:10" hidden="1">
      <c r="A10478" t="s">
        <v>6497</v>
      </c>
      <c r="B10478" t="s">
        <v>6498</v>
      </c>
      <c r="C10478" t="s">
        <v>5111</v>
      </c>
      <c r="D10478" t="s">
        <v>324</v>
      </c>
      <c r="E10478" t="s">
        <v>556</v>
      </c>
      <c r="F10478" t="s">
        <v>1068</v>
      </c>
      <c r="G10478" t="s">
        <v>1083</v>
      </c>
      <c r="H10478" s="170">
        <v>-9.7927826905890806E-5</v>
      </c>
      <c r="I10478" t="s">
        <v>1084</v>
      </c>
      <c r="J10478">
        <v>8.51</v>
      </c>
    </row>
    <row r="10479" spans="1:10" hidden="1">
      <c r="A10479" t="s">
        <v>6497</v>
      </c>
      <c r="B10479" t="s">
        <v>6498</v>
      </c>
      <c r="C10479" t="s">
        <v>5111</v>
      </c>
      <c r="D10479" t="s">
        <v>324</v>
      </c>
      <c r="E10479" t="s">
        <v>556</v>
      </c>
      <c r="F10479" t="s">
        <v>1068</v>
      </c>
      <c r="G10479" t="s">
        <v>1085</v>
      </c>
      <c r="H10479">
        <v>-8.8869244285719499E-4</v>
      </c>
      <c r="I10479" t="s">
        <v>1086</v>
      </c>
      <c r="J10479">
        <v>8.51</v>
      </c>
    </row>
    <row r="10480" spans="1:10" hidden="1">
      <c r="A10480" t="s">
        <v>6497</v>
      </c>
      <c r="B10480" t="s">
        <v>6498</v>
      </c>
      <c r="C10480" t="s">
        <v>5111</v>
      </c>
      <c r="D10480" t="s">
        <v>324</v>
      </c>
      <c r="E10480" t="s">
        <v>556</v>
      </c>
      <c r="F10480" t="s">
        <v>1068</v>
      </c>
      <c r="G10480" t="s">
        <v>1087</v>
      </c>
      <c r="H10480" s="170">
        <v>-6.2452146626807402E-7</v>
      </c>
      <c r="I10480" t="s">
        <v>1088</v>
      </c>
      <c r="J10480">
        <v>8.51</v>
      </c>
    </row>
    <row r="10481" spans="1:10" hidden="1">
      <c r="A10481" t="s">
        <v>6497</v>
      </c>
      <c r="B10481" t="s">
        <v>6498</v>
      </c>
      <c r="C10481" t="s">
        <v>5111</v>
      </c>
      <c r="D10481" t="s">
        <v>324</v>
      </c>
      <c r="E10481" t="s">
        <v>556</v>
      </c>
      <c r="F10481" t="s">
        <v>1068</v>
      </c>
      <c r="G10481" t="s">
        <v>1089</v>
      </c>
      <c r="H10481">
        <v>-1.47072917314853E-4</v>
      </c>
      <c r="I10481" t="s">
        <v>1090</v>
      </c>
      <c r="J10481">
        <v>8.51</v>
      </c>
    </row>
    <row r="10482" spans="1:10" hidden="1">
      <c r="A10482" t="s">
        <v>6499</v>
      </c>
      <c r="B10482" t="s">
        <v>6500</v>
      </c>
      <c r="C10482" t="s">
        <v>5111</v>
      </c>
      <c r="D10482" t="s">
        <v>324</v>
      </c>
      <c r="E10482" t="s">
        <v>557</v>
      </c>
      <c r="F10482" t="s">
        <v>1068</v>
      </c>
      <c r="G10482" t="s">
        <v>1069</v>
      </c>
      <c r="H10482">
        <v>-0.665512797347385</v>
      </c>
      <c r="I10482" t="s">
        <v>1070</v>
      </c>
      <c r="J10482">
        <v>9.57</v>
      </c>
    </row>
    <row r="10483" spans="1:10" hidden="1">
      <c r="A10483" t="s">
        <v>6499</v>
      </c>
      <c r="B10483" t="s">
        <v>6500</v>
      </c>
      <c r="C10483" t="s">
        <v>5111</v>
      </c>
      <c r="D10483" t="s">
        <v>324</v>
      </c>
      <c r="E10483" t="s">
        <v>557</v>
      </c>
      <c r="F10483" t="s">
        <v>1068</v>
      </c>
      <c r="G10483" t="s">
        <v>1071</v>
      </c>
      <c r="H10483" s="170">
        <v>-6.5770880739655797E-10</v>
      </c>
      <c r="I10483" t="s">
        <v>1072</v>
      </c>
      <c r="J10483">
        <v>9.57</v>
      </c>
    </row>
    <row r="10484" spans="1:10" hidden="1">
      <c r="A10484" t="s">
        <v>6499</v>
      </c>
      <c r="B10484" t="s">
        <v>6500</v>
      </c>
      <c r="C10484" t="s">
        <v>5111</v>
      </c>
      <c r="D10484" t="s">
        <v>324</v>
      </c>
      <c r="E10484" t="s">
        <v>557</v>
      </c>
      <c r="F10484" t="s">
        <v>1068</v>
      </c>
      <c r="G10484" t="s">
        <v>1073</v>
      </c>
      <c r="H10484" s="170">
        <v>-2.33121843756852E-7</v>
      </c>
      <c r="I10484" t="s">
        <v>1074</v>
      </c>
      <c r="J10484">
        <v>9.57</v>
      </c>
    </row>
    <row r="10485" spans="1:10" hidden="1">
      <c r="A10485" t="s">
        <v>6499</v>
      </c>
      <c r="B10485" t="s">
        <v>6500</v>
      </c>
      <c r="C10485" t="s">
        <v>5111</v>
      </c>
      <c r="D10485" t="s">
        <v>324</v>
      </c>
      <c r="E10485" t="s">
        <v>557</v>
      </c>
      <c r="F10485" t="s">
        <v>1068</v>
      </c>
      <c r="G10485" t="s">
        <v>1075</v>
      </c>
      <c r="H10485">
        <v>-1.13340430264553E-2</v>
      </c>
      <c r="I10485" t="s">
        <v>1077</v>
      </c>
      <c r="J10485">
        <v>9.57</v>
      </c>
    </row>
    <row r="10486" spans="1:10" hidden="1">
      <c r="A10486" t="s">
        <v>6499</v>
      </c>
      <c r="B10486" t="s">
        <v>6500</v>
      </c>
      <c r="C10486" t="s">
        <v>5111</v>
      </c>
      <c r="D10486" t="s">
        <v>324</v>
      </c>
      <c r="E10486" t="s">
        <v>557</v>
      </c>
      <c r="F10486" t="s">
        <v>1068</v>
      </c>
      <c r="G10486" t="s">
        <v>1078</v>
      </c>
      <c r="H10486">
        <v>-0.94419919037831701</v>
      </c>
      <c r="I10486" t="s">
        <v>1079</v>
      </c>
      <c r="J10486">
        <v>9.57</v>
      </c>
    </row>
    <row r="10487" spans="1:10" hidden="1">
      <c r="A10487" t="s">
        <v>6499</v>
      </c>
      <c r="B10487" t="s">
        <v>6500</v>
      </c>
      <c r="C10487" t="s">
        <v>5111</v>
      </c>
      <c r="D10487" t="s">
        <v>324</v>
      </c>
      <c r="E10487" t="s">
        <v>557</v>
      </c>
      <c r="F10487" t="s">
        <v>1068</v>
      </c>
      <c r="G10487" t="s">
        <v>1080</v>
      </c>
      <c r="H10487" s="170">
        <v>-3.7712284125010502E-9</v>
      </c>
      <c r="I10487" t="s">
        <v>1082</v>
      </c>
      <c r="J10487">
        <v>9.57</v>
      </c>
    </row>
    <row r="10488" spans="1:10" hidden="1">
      <c r="A10488" t="s">
        <v>6499</v>
      </c>
      <c r="B10488" t="s">
        <v>6500</v>
      </c>
      <c r="C10488" t="s">
        <v>5111</v>
      </c>
      <c r="D10488" t="s">
        <v>324</v>
      </c>
      <c r="E10488" t="s">
        <v>557</v>
      </c>
      <c r="F10488" t="s">
        <v>1068</v>
      </c>
      <c r="G10488" t="s">
        <v>1083</v>
      </c>
      <c r="H10488" s="170">
        <v>-9.0396034014064196E-5</v>
      </c>
      <c r="I10488" t="s">
        <v>1084</v>
      </c>
      <c r="J10488">
        <v>9.57</v>
      </c>
    </row>
    <row r="10489" spans="1:10" hidden="1">
      <c r="A10489" t="s">
        <v>6499</v>
      </c>
      <c r="B10489" t="s">
        <v>6500</v>
      </c>
      <c r="C10489" t="s">
        <v>5111</v>
      </c>
      <c r="D10489" t="s">
        <v>324</v>
      </c>
      <c r="E10489" t="s">
        <v>557</v>
      </c>
      <c r="F10489" t="s">
        <v>1068</v>
      </c>
      <c r="G10489" t="s">
        <v>1085</v>
      </c>
      <c r="H10489">
        <v>-8.0356789688162803E-4</v>
      </c>
      <c r="I10489" t="s">
        <v>1086</v>
      </c>
      <c r="J10489">
        <v>9.57</v>
      </c>
    </row>
    <row r="10490" spans="1:10" hidden="1">
      <c r="A10490" t="s">
        <v>6499</v>
      </c>
      <c r="B10490" t="s">
        <v>6500</v>
      </c>
      <c r="C10490" t="s">
        <v>5111</v>
      </c>
      <c r="D10490" t="s">
        <v>324</v>
      </c>
      <c r="E10490" t="s">
        <v>557</v>
      </c>
      <c r="F10490" t="s">
        <v>1068</v>
      </c>
      <c r="G10490" t="s">
        <v>1087</v>
      </c>
      <c r="H10490" s="170">
        <v>-5.8343997167416796E-7</v>
      </c>
      <c r="I10490" t="s">
        <v>1088</v>
      </c>
      <c r="J10490">
        <v>9.57</v>
      </c>
    </row>
    <row r="10491" spans="1:10" hidden="1">
      <c r="A10491" t="s">
        <v>6499</v>
      </c>
      <c r="B10491" t="s">
        <v>6500</v>
      </c>
      <c r="C10491" t="s">
        <v>5111</v>
      </c>
      <c r="D10491" t="s">
        <v>324</v>
      </c>
      <c r="E10491" t="s">
        <v>557</v>
      </c>
      <c r="F10491" t="s">
        <v>1068</v>
      </c>
      <c r="G10491" t="s">
        <v>1089</v>
      </c>
      <c r="H10491">
        <v>-1.2951189159102899E-4</v>
      </c>
      <c r="I10491" t="s">
        <v>1090</v>
      </c>
      <c r="J10491">
        <v>9.57</v>
      </c>
    </row>
    <row r="10492" spans="1:10" hidden="1">
      <c r="A10492" t="s">
        <v>6501</v>
      </c>
      <c r="B10492" t="s">
        <v>6502</v>
      </c>
      <c r="C10492" t="s">
        <v>5111</v>
      </c>
      <c r="D10492" t="s">
        <v>324</v>
      </c>
      <c r="E10492" t="s">
        <v>559</v>
      </c>
      <c r="F10492" t="s">
        <v>1068</v>
      </c>
      <c r="G10492" t="s">
        <v>1069</v>
      </c>
      <c r="H10492">
        <v>-0.68945295493158298</v>
      </c>
      <c r="I10492" t="s">
        <v>1070</v>
      </c>
      <c r="J10492">
        <v>8.8699999999999992</v>
      </c>
    </row>
    <row r="10493" spans="1:10" hidden="1">
      <c r="A10493" t="s">
        <v>6501</v>
      </c>
      <c r="B10493" t="s">
        <v>6502</v>
      </c>
      <c r="C10493" t="s">
        <v>5111</v>
      </c>
      <c r="D10493" t="s">
        <v>324</v>
      </c>
      <c r="E10493" t="s">
        <v>559</v>
      </c>
      <c r="F10493" t="s">
        <v>1068</v>
      </c>
      <c r="G10493" t="s">
        <v>1071</v>
      </c>
      <c r="H10493" s="170">
        <v>-6.9196742936168402E-10</v>
      </c>
      <c r="I10493" t="s">
        <v>1072</v>
      </c>
      <c r="J10493">
        <v>8.8699999999999992</v>
      </c>
    </row>
    <row r="10494" spans="1:10" hidden="1">
      <c r="A10494" t="s">
        <v>6501</v>
      </c>
      <c r="B10494" t="s">
        <v>6502</v>
      </c>
      <c r="C10494" t="s">
        <v>5111</v>
      </c>
      <c r="D10494" t="s">
        <v>324</v>
      </c>
      <c r="E10494" t="s">
        <v>559</v>
      </c>
      <c r="F10494" t="s">
        <v>1068</v>
      </c>
      <c r="G10494" t="s">
        <v>1073</v>
      </c>
      <c r="H10494" s="170">
        <v>-2.41625529209057E-7</v>
      </c>
      <c r="I10494" t="s">
        <v>1074</v>
      </c>
      <c r="J10494">
        <v>8.8699999999999992</v>
      </c>
    </row>
    <row r="10495" spans="1:10" hidden="1">
      <c r="A10495" t="s">
        <v>6501</v>
      </c>
      <c r="B10495" t="s">
        <v>6502</v>
      </c>
      <c r="C10495" t="s">
        <v>5111</v>
      </c>
      <c r="D10495" t="s">
        <v>324</v>
      </c>
      <c r="E10495" t="s">
        <v>559</v>
      </c>
      <c r="F10495" t="s">
        <v>1068</v>
      </c>
      <c r="G10495" t="s">
        <v>1075</v>
      </c>
      <c r="H10495">
        <v>-1.20908242105999E-2</v>
      </c>
      <c r="I10495" t="s">
        <v>1077</v>
      </c>
      <c r="J10495">
        <v>8.8699999999999992</v>
      </c>
    </row>
    <row r="10496" spans="1:10" hidden="1">
      <c r="A10496" t="s">
        <v>6501</v>
      </c>
      <c r="B10496" t="s">
        <v>6502</v>
      </c>
      <c r="C10496" t="s">
        <v>5111</v>
      </c>
      <c r="D10496" t="s">
        <v>324</v>
      </c>
      <c r="E10496" t="s">
        <v>559</v>
      </c>
      <c r="F10496" t="s">
        <v>1068</v>
      </c>
      <c r="G10496" t="s">
        <v>1078</v>
      </c>
      <c r="H10496">
        <v>-0.97692532810678301</v>
      </c>
      <c r="I10496" t="s">
        <v>1079</v>
      </c>
      <c r="J10496">
        <v>8.8699999999999992</v>
      </c>
    </row>
    <row r="10497" spans="1:10" hidden="1">
      <c r="A10497" t="s">
        <v>6501</v>
      </c>
      <c r="B10497" t="s">
        <v>6502</v>
      </c>
      <c r="C10497" t="s">
        <v>5111</v>
      </c>
      <c r="D10497" t="s">
        <v>324</v>
      </c>
      <c r="E10497" t="s">
        <v>559</v>
      </c>
      <c r="F10497" t="s">
        <v>1068</v>
      </c>
      <c r="G10497" t="s">
        <v>1080</v>
      </c>
      <c r="H10497" s="170">
        <v>-3.9043044266866399E-9</v>
      </c>
      <c r="I10497" t="s">
        <v>1082</v>
      </c>
      <c r="J10497">
        <v>8.8699999999999992</v>
      </c>
    </row>
    <row r="10498" spans="1:10" hidden="1">
      <c r="A10498" t="s">
        <v>6501</v>
      </c>
      <c r="B10498" t="s">
        <v>6502</v>
      </c>
      <c r="C10498" t="s">
        <v>5111</v>
      </c>
      <c r="D10498" t="s">
        <v>324</v>
      </c>
      <c r="E10498" t="s">
        <v>559</v>
      </c>
      <c r="F10498" t="s">
        <v>1068</v>
      </c>
      <c r="G10498" t="s">
        <v>1083</v>
      </c>
      <c r="H10498" s="170">
        <v>-9.4034988238593607E-5</v>
      </c>
      <c r="I10498" t="s">
        <v>1084</v>
      </c>
      <c r="J10498">
        <v>8.8699999999999992</v>
      </c>
    </row>
    <row r="10499" spans="1:10" hidden="1">
      <c r="A10499" t="s">
        <v>6501</v>
      </c>
      <c r="B10499" t="s">
        <v>6502</v>
      </c>
      <c r="C10499" t="s">
        <v>5111</v>
      </c>
      <c r="D10499" t="s">
        <v>324</v>
      </c>
      <c r="E10499" t="s">
        <v>559</v>
      </c>
      <c r="F10499" t="s">
        <v>1068</v>
      </c>
      <c r="G10499" t="s">
        <v>1085</v>
      </c>
      <c r="H10499">
        <v>-8.4469546511588397E-4</v>
      </c>
      <c r="I10499" t="s">
        <v>1086</v>
      </c>
      <c r="J10499">
        <v>8.8699999999999992</v>
      </c>
    </row>
    <row r="10500" spans="1:10" hidden="1">
      <c r="A10500" t="s">
        <v>6501</v>
      </c>
      <c r="B10500" t="s">
        <v>6502</v>
      </c>
      <c r="C10500" t="s">
        <v>5111</v>
      </c>
      <c r="D10500" t="s">
        <v>324</v>
      </c>
      <c r="E10500" t="s">
        <v>559</v>
      </c>
      <c r="F10500" t="s">
        <v>1068</v>
      </c>
      <c r="G10500" t="s">
        <v>1087</v>
      </c>
      <c r="H10500" s="170">
        <v>-6.0328832391925903E-7</v>
      </c>
      <c r="I10500" t="s">
        <v>1088</v>
      </c>
      <c r="J10500">
        <v>8.8699999999999992</v>
      </c>
    </row>
    <row r="10501" spans="1:10" hidden="1">
      <c r="A10501" t="s">
        <v>6501</v>
      </c>
      <c r="B10501" t="s">
        <v>6502</v>
      </c>
      <c r="C10501" t="s">
        <v>5111</v>
      </c>
      <c r="D10501" t="s">
        <v>324</v>
      </c>
      <c r="E10501" t="s">
        <v>559</v>
      </c>
      <c r="F10501" t="s">
        <v>1068</v>
      </c>
      <c r="G10501" t="s">
        <v>1089</v>
      </c>
      <c r="H10501">
        <v>-1.37996427689241E-4</v>
      </c>
      <c r="I10501" t="s">
        <v>1090</v>
      </c>
      <c r="J10501">
        <v>8.8699999999999992</v>
      </c>
    </row>
    <row r="10502" spans="1:10" hidden="1">
      <c r="A10502" t="s">
        <v>6503</v>
      </c>
      <c r="B10502" t="s">
        <v>6504</v>
      </c>
      <c r="C10502" t="s">
        <v>5111</v>
      </c>
      <c r="D10502" t="s">
        <v>324</v>
      </c>
      <c r="E10502" t="s">
        <v>560</v>
      </c>
      <c r="F10502" t="s">
        <v>1068</v>
      </c>
      <c r="G10502" t="s">
        <v>1069</v>
      </c>
      <c r="H10502">
        <v>-0.68129573512271602</v>
      </c>
      <c r="I10502" t="s">
        <v>1070</v>
      </c>
      <c r="J10502">
        <v>10.25</v>
      </c>
    </row>
    <row r="10503" spans="1:10" hidden="1">
      <c r="A10503" t="s">
        <v>6503</v>
      </c>
      <c r="B10503" t="s">
        <v>6504</v>
      </c>
      <c r="C10503" t="s">
        <v>5111</v>
      </c>
      <c r="D10503" t="s">
        <v>324</v>
      </c>
      <c r="E10503" t="s">
        <v>560</v>
      </c>
      <c r="F10503" t="s">
        <v>1068</v>
      </c>
      <c r="G10503" t="s">
        <v>1071</v>
      </c>
      <c r="H10503" s="170">
        <v>-6.80294370913717E-10</v>
      </c>
      <c r="I10503" t="s">
        <v>1072</v>
      </c>
      <c r="J10503">
        <v>10.25</v>
      </c>
    </row>
    <row r="10504" spans="1:10" hidden="1">
      <c r="A10504" t="s">
        <v>6503</v>
      </c>
      <c r="B10504" t="s">
        <v>6504</v>
      </c>
      <c r="C10504" t="s">
        <v>5111</v>
      </c>
      <c r="D10504" t="s">
        <v>324</v>
      </c>
      <c r="E10504" t="s">
        <v>560</v>
      </c>
      <c r="F10504" t="s">
        <v>1068</v>
      </c>
      <c r="G10504" t="s">
        <v>1073</v>
      </c>
      <c r="H10504" s="170">
        <v>-2.3872799319490497E-7</v>
      </c>
      <c r="I10504" t="s">
        <v>1074</v>
      </c>
      <c r="J10504">
        <v>10.25</v>
      </c>
    </row>
    <row r="10505" spans="1:10" hidden="1">
      <c r="A10505" t="s">
        <v>6503</v>
      </c>
      <c r="B10505" t="s">
        <v>6504</v>
      </c>
      <c r="C10505" t="s">
        <v>5111</v>
      </c>
      <c r="D10505" t="s">
        <v>324</v>
      </c>
      <c r="E10505" t="s">
        <v>560</v>
      </c>
      <c r="F10505" t="s">
        <v>1068</v>
      </c>
      <c r="G10505" t="s">
        <v>1075</v>
      </c>
      <c r="H10505">
        <v>-1.18329585499642E-2</v>
      </c>
      <c r="I10505" t="s">
        <v>1077</v>
      </c>
      <c r="J10505">
        <v>10.25</v>
      </c>
    </row>
    <row r="10506" spans="1:10" hidden="1">
      <c r="A10506" t="s">
        <v>6503</v>
      </c>
      <c r="B10506" t="s">
        <v>6504</v>
      </c>
      <c r="C10506" t="s">
        <v>5111</v>
      </c>
      <c r="D10506" t="s">
        <v>324</v>
      </c>
      <c r="E10506" t="s">
        <v>560</v>
      </c>
      <c r="F10506" t="s">
        <v>1068</v>
      </c>
      <c r="G10506" t="s">
        <v>1078</v>
      </c>
      <c r="H10506">
        <v>-0.96577422212861597</v>
      </c>
      <c r="I10506" t="s">
        <v>1079</v>
      </c>
      <c r="J10506">
        <v>10.25</v>
      </c>
    </row>
    <row r="10507" spans="1:10" hidden="1">
      <c r="A10507" t="s">
        <v>6503</v>
      </c>
      <c r="B10507" t="s">
        <v>6504</v>
      </c>
      <c r="C10507" t="s">
        <v>5111</v>
      </c>
      <c r="D10507" t="s">
        <v>324</v>
      </c>
      <c r="E10507" t="s">
        <v>560</v>
      </c>
      <c r="F10507" t="s">
        <v>1068</v>
      </c>
      <c r="G10507" t="s">
        <v>1080</v>
      </c>
      <c r="H10507" s="170">
        <v>-3.8589600985644799E-9</v>
      </c>
      <c r="I10507" t="s">
        <v>1082</v>
      </c>
      <c r="J10507">
        <v>10.25</v>
      </c>
    </row>
    <row r="10508" spans="1:10" hidden="1">
      <c r="A10508" t="s">
        <v>6503</v>
      </c>
      <c r="B10508" t="s">
        <v>6504</v>
      </c>
      <c r="C10508" t="s">
        <v>5111</v>
      </c>
      <c r="D10508" t="s">
        <v>324</v>
      </c>
      <c r="E10508" t="s">
        <v>560</v>
      </c>
      <c r="F10508" t="s">
        <v>1068</v>
      </c>
      <c r="G10508" t="s">
        <v>1083</v>
      </c>
      <c r="H10508" s="170">
        <v>-9.2795050774727205E-5</v>
      </c>
      <c r="I10508" t="s">
        <v>1084</v>
      </c>
      <c r="J10508">
        <v>10.25</v>
      </c>
    </row>
    <row r="10509" spans="1:10" hidden="1">
      <c r="A10509" t="s">
        <v>6503</v>
      </c>
      <c r="B10509" t="s">
        <v>6504</v>
      </c>
      <c r="C10509" t="s">
        <v>5111</v>
      </c>
      <c r="D10509" t="s">
        <v>324</v>
      </c>
      <c r="E10509" t="s">
        <v>560</v>
      </c>
      <c r="F10509" t="s">
        <v>1068</v>
      </c>
      <c r="G10509" t="s">
        <v>1085</v>
      </c>
      <c r="H10509">
        <v>-8.3068165525713696E-4</v>
      </c>
      <c r="I10509" t="s">
        <v>1086</v>
      </c>
      <c r="J10509">
        <v>10.25</v>
      </c>
    </row>
    <row r="10510" spans="1:10" hidden="1">
      <c r="A10510" t="s">
        <v>6503</v>
      </c>
      <c r="B10510" t="s">
        <v>6504</v>
      </c>
      <c r="C10510" t="s">
        <v>5111</v>
      </c>
      <c r="D10510" t="s">
        <v>324</v>
      </c>
      <c r="E10510" t="s">
        <v>560</v>
      </c>
      <c r="F10510" t="s">
        <v>1068</v>
      </c>
      <c r="G10510" t="s">
        <v>1087</v>
      </c>
      <c r="H10510" s="170">
        <v>-5.9652519526801197E-7</v>
      </c>
      <c r="I10510" t="s">
        <v>1088</v>
      </c>
      <c r="J10510">
        <v>10.25</v>
      </c>
    </row>
    <row r="10511" spans="1:10" hidden="1">
      <c r="A10511" t="s">
        <v>6503</v>
      </c>
      <c r="B10511" t="s">
        <v>6504</v>
      </c>
      <c r="C10511" t="s">
        <v>5111</v>
      </c>
      <c r="D10511" t="s">
        <v>324</v>
      </c>
      <c r="E10511" t="s">
        <v>560</v>
      </c>
      <c r="F10511" t="s">
        <v>1068</v>
      </c>
      <c r="G10511" t="s">
        <v>1089</v>
      </c>
      <c r="H10511">
        <v>-1.3510540640138E-4</v>
      </c>
      <c r="I10511" t="s">
        <v>1090</v>
      </c>
      <c r="J10511">
        <v>10.25</v>
      </c>
    </row>
    <row r="10512" spans="1:10" hidden="1">
      <c r="A10512" t="s">
        <v>6505</v>
      </c>
      <c r="B10512" t="s">
        <v>6506</v>
      </c>
      <c r="C10512" t="s">
        <v>5111</v>
      </c>
      <c r="D10512" t="s">
        <v>324</v>
      </c>
      <c r="E10512" t="s">
        <v>1116</v>
      </c>
      <c r="F10512" t="s">
        <v>1068</v>
      </c>
      <c r="G10512" t="s">
        <v>1069</v>
      </c>
      <c r="H10512">
        <v>-0.63339293176036005</v>
      </c>
      <c r="I10512" t="s">
        <v>1070</v>
      </c>
      <c r="J10512">
        <v>9.31</v>
      </c>
    </row>
    <row r="10513" spans="1:10" hidden="1">
      <c r="A10513" t="s">
        <v>6505</v>
      </c>
      <c r="B10513" t="s">
        <v>6506</v>
      </c>
      <c r="C10513" t="s">
        <v>5111</v>
      </c>
      <c r="D10513" t="s">
        <v>324</v>
      </c>
      <c r="E10513" t="s">
        <v>1116</v>
      </c>
      <c r="F10513" t="s">
        <v>1068</v>
      </c>
      <c r="G10513" t="s">
        <v>1071</v>
      </c>
      <c r="H10513" s="170">
        <v>-6.1174491431752199E-10</v>
      </c>
      <c r="I10513" t="s">
        <v>1072</v>
      </c>
      <c r="J10513">
        <v>9.31</v>
      </c>
    </row>
    <row r="10514" spans="1:10" hidden="1">
      <c r="A10514" t="s">
        <v>6505</v>
      </c>
      <c r="B10514" t="s">
        <v>6506</v>
      </c>
      <c r="C10514" t="s">
        <v>5111</v>
      </c>
      <c r="D10514" t="s">
        <v>324</v>
      </c>
      <c r="E10514" t="s">
        <v>1116</v>
      </c>
      <c r="F10514" t="s">
        <v>1068</v>
      </c>
      <c r="G10514" t="s">
        <v>1073</v>
      </c>
      <c r="H10514" s="170">
        <v>-2.21712765866898E-7</v>
      </c>
      <c r="I10514" t="s">
        <v>1074</v>
      </c>
      <c r="J10514">
        <v>9.31</v>
      </c>
    </row>
    <row r="10515" spans="1:10" hidden="1">
      <c r="A10515" t="s">
        <v>6505</v>
      </c>
      <c r="B10515" t="s">
        <v>6506</v>
      </c>
      <c r="C10515" t="s">
        <v>5111</v>
      </c>
      <c r="D10515" t="s">
        <v>324</v>
      </c>
      <c r="E10515" t="s">
        <v>1116</v>
      </c>
      <c r="F10515" t="s">
        <v>1068</v>
      </c>
      <c r="G10515" t="s">
        <v>1075</v>
      </c>
      <c r="H10515">
        <v>-1.0318699762577601E-2</v>
      </c>
      <c r="I10515" t="s">
        <v>1077</v>
      </c>
      <c r="J10515">
        <v>9.31</v>
      </c>
    </row>
    <row r="10516" spans="1:10" hidden="1">
      <c r="A10516" t="s">
        <v>6505</v>
      </c>
      <c r="B10516" t="s">
        <v>6506</v>
      </c>
      <c r="C10516" t="s">
        <v>5111</v>
      </c>
      <c r="D10516" t="s">
        <v>324</v>
      </c>
      <c r="E10516" t="s">
        <v>1116</v>
      </c>
      <c r="F10516" t="s">
        <v>1068</v>
      </c>
      <c r="G10516" t="s">
        <v>1078</v>
      </c>
      <c r="H10516">
        <v>-0.90029183106916599</v>
      </c>
      <c r="I10516" t="s">
        <v>1079</v>
      </c>
      <c r="J10516">
        <v>9.31</v>
      </c>
    </row>
    <row r="10517" spans="1:10" hidden="1">
      <c r="A10517" t="s">
        <v>6505</v>
      </c>
      <c r="B10517" t="s">
        <v>6506</v>
      </c>
      <c r="C10517" t="s">
        <v>5111</v>
      </c>
      <c r="D10517" t="s">
        <v>324</v>
      </c>
      <c r="E10517" t="s">
        <v>1116</v>
      </c>
      <c r="F10517" t="s">
        <v>1068</v>
      </c>
      <c r="G10517" t="s">
        <v>1080</v>
      </c>
      <c r="H10517" s="170">
        <v>-3.5926856086077901E-9</v>
      </c>
      <c r="I10517" t="s">
        <v>1082</v>
      </c>
      <c r="J10517">
        <v>9.31</v>
      </c>
    </row>
    <row r="10518" spans="1:10" hidden="1">
      <c r="A10518" t="s">
        <v>6505</v>
      </c>
      <c r="B10518" t="s">
        <v>6506</v>
      </c>
      <c r="C10518" t="s">
        <v>5111</v>
      </c>
      <c r="D10518" t="s">
        <v>324</v>
      </c>
      <c r="E10518" t="s">
        <v>1116</v>
      </c>
      <c r="F10518" t="s">
        <v>1068</v>
      </c>
      <c r="G10518" t="s">
        <v>1083</v>
      </c>
      <c r="H10518" s="170">
        <v>-8.5513793648524998E-5</v>
      </c>
      <c r="I10518" t="s">
        <v>1084</v>
      </c>
      <c r="J10518">
        <v>9.31</v>
      </c>
    </row>
    <row r="10519" spans="1:10" hidden="1">
      <c r="A10519" t="s">
        <v>6505</v>
      </c>
      <c r="B10519" t="s">
        <v>6506</v>
      </c>
      <c r="C10519" t="s">
        <v>5111</v>
      </c>
      <c r="D10519" t="s">
        <v>324</v>
      </c>
      <c r="E10519" t="s">
        <v>1116</v>
      </c>
      <c r="F10519" t="s">
        <v>1068</v>
      </c>
      <c r="G10519" t="s">
        <v>1085</v>
      </c>
      <c r="H10519">
        <v>-7.4838867188705197E-4</v>
      </c>
      <c r="I10519" t="s">
        <v>1086</v>
      </c>
      <c r="J10519">
        <v>9.31</v>
      </c>
    </row>
    <row r="10520" spans="1:10" hidden="1">
      <c r="A10520" t="s">
        <v>6505</v>
      </c>
      <c r="B10520" t="s">
        <v>6506</v>
      </c>
      <c r="C10520" t="s">
        <v>5111</v>
      </c>
      <c r="D10520" t="s">
        <v>324</v>
      </c>
      <c r="E10520" t="s">
        <v>1116</v>
      </c>
      <c r="F10520" t="s">
        <v>1068</v>
      </c>
      <c r="G10520" t="s">
        <v>1087</v>
      </c>
      <c r="H10520" s="170">
        <v>-5.5681022574262199E-7</v>
      </c>
      <c r="I10520" t="s">
        <v>1088</v>
      </c>
      <c r="J10520">
        <v>9.31</v>
      </c>
    </row>
    <row r="10521" spans="1:10" hidden="1">
      <c r="A10521" t="s">
        <v>6505</v>
      </c>
      <c r="B10521" t="s">
        <v>6506</v>
      </c>
      <c r="C10521" t="s">
        <v>5111</v>
      </c>
      <c r="D10521" t="s">
        <v>324</v>
      </c>
      <c r="E10521" t="s">
        <v>1116</v>
      </c>
      <c r="F10521" t="s">
        <v>1068</v>
      </c>
      <c r="G10521" t="s">
        <v>1089</v>
      </c>
      <c r="H10521">
        <v>-1.18128526439054E-4</v>
      </c>
      <c r="I10521" t="s">
        <v>1090</v>
      </c>
      <c r="J10521">
        <v>9.31</v>
      </c>
    </row>
    <row r="10522" spans="1:10" hidden="1">
      <c r="A10522" t="s">
        <v>6507</v>
      </c>
      <c r="B10522" t="s">
        <v>6508</v>
      </c>
      <c r="C10522" t="s">
        <v>5111</v>
      </c>
      <c r="D10522" t="s">
        <v>1368</v>
      </c>
      <c r="E10522" t="s">
        <v>561</v>
      </c>
      <c r="F10522" t="s">
        <v>1068</v>
      </c>
      <c r="G10522" t="s">
        <v>1069</v>
      </c>
      <c r="H10522">
        <v>-0.49620018189472997</v>
      </c>
      <c r="I10522" t="s">
        <v>1070</v>
      </c>
      <c r="J10522">
        <v>9.8699999999999992</v>
      </c>
    </row>
    <row r="10523" spans="1:10" hidden="1">
      <c r="A10523" t="s">
        <v>6507</v>
      </c>
      <c r="B10523" t="s">
        <v>6508</v>
      </c>
      <c r="C10523" t="s">
        <v>5111</v>
      </c>
      <c r="D10523" t="s">
        <v>1368</v>
      </c>
      <c r="E10523" t="s">
        <v>561</v>
      </c>
      <c r="F10523" t="s">
        <v>1068</v>
      </c>
      <c r="G10523" t="s">
        <v>1071</v>
      </c>
      <c r="H10523" s="170">
        <v>-4.7458828808728395E-10</v>
      </c>
      <c r="I10523" t="s">
        <v>1072</v>
      </c>
      <c r="J10523">
        <v>9.8699999999999992</v>
      </c>
    </row>
    <row r="10524" spans="1:10" hidden="1">
      <c r="A10524" t="s">
        <v>6507</v>
      </c>
      <c r="B10524" t="s">
        <v>6508</v>
      </c>
      <c r="C10524" t="s">
        <v>5111</v>
      </c>
      <c r="D10524" t="s">
        <v>1368</v>
      </c>
      <c r="E10524" t="s">
        <v>561</v>
      </c>
      <c r="F10524" t="s">
        <v>1068</v>
      </c>
      <c r="G10524" t="s">
        <v>1073</v>
      </c>
      <c r="H10524" s="170">
        <v>-1.72369382060676E-7</v>
      </c>
      <c r="I10524" t="s">
        <v>1074</v>
      </c>
      <c r="J10524">
        <v>9.8699999999999992</v>
      </c>
    </row>
    <row r="10525" spans="1:10" hidden="1">
      <c r="A10525" t="s">
        <v>6507</v>
      </c>
      <c r="B10525" t="s">
        <v>6508</v>
      </c>
      <c r="C10525" t="s">
        <v>5111</v>
      </c>
      <c r="D10525" t="s">
        <v>1368</v>
      </c>
      <c r="E10525" t="s">
        <v>561</v>
      </c>
      <c r="F10525" t="s">
        <v>1068</v>
      </c>
      <c r="G10525" t="s">
        <v>1075</v>
      </c>
      <c r="H10525">
        <v>-7.6548073274488497E-3</v>
      </c>
      <c r="I10525" t="s">
        <v>1077</v>
      </c>
      <c r="J10525">
        <v>9.8699999999999992</v>
      </c>
    </row>
    <row r="10526" spans="1:10" hidden="1">
      <c r="A10526" t="s">
        <v>6507</v>
      </c>
      <c r="B10526" t="s">
        <v>6508</v>
      </c>
      <c r="C10526" t="s">
        <v>5111</v>
      </c>
      <c r="D10526" t="s">
        <v>1368</v>
      </c>
      <c r="E10526" t="s">
        <v>561</v>
      </c>
      <c r="F10526" t="s">
        <v>1068</v>
      </c>
      <c r="G10526" t="s">
        <v>1078</v>
      </c>
      <c r="H10526">
        <v>-0.72042664235723797</v>
      </c>
      <c r="I10526" t="s">
        <v>1079</v>
      </c>
      <c r="J10526">
        <v>9.8699999999999992</v>
      </c>
    </row>
    <row r="10527" spans="1:10" hidden="1">
      <c r="A10527" t="s">
        <v>6507</v>
      </c>
      <c r="B10527" t="s">
        <v>6508</v>
      </c>
      <c r="C10527" t="s">
        <v>5111</v>
      </c>
      <c r="D10527" t="s">
        <v>1368</v>
      </c>
      <c r="E10527" t="s">
        <v>561</v>
      </c>
      <c r="F10527" t="s">
        <v>1068</v>
      </c>
      <c r="G10527" t="s">
        <v>1080</v>
      </c>
      <c r="H10527" s="170">
        <v>-2.8378152863196099E-9</v>
      </c>
      <c r="I10527" t="s">
        <v>1082</v>
      </c>
      <c r="J10527">
        <v>9.8699999999999992</v>
      </c>
    </row>
    <row r="10528" spans="1:10" hidden="1">
      <c r="A10528" t="s">
        <v>6507</v>
      </c>
      <c r="B10528" t="s">
        <v>6508</v>
      </c>
      <c r="C10528" t="s">
        <v>5111</v>
      </c>
      <c r="D10528" t="s">
        <v>1368</v>
      </c>
      <c r="E10528" t="s">
        <v>561</v>
      </c>
      <c r="F10528" t="s">
        <v>1068</v>
      </c>
      <c r="G10528" t="s">
        <v>1083</v>
      </c>
      <c r="H10528" s="170">
        <v>-6.8547127755875302E-5</v>
      </c>
      <c r="I10528" t="s">
        <v>1084</v>
      </c>
      <c r="J10528">
        <v>9.8699999999999992</v>
      </c>
    </row>
    <row r="10529" spans="1:10" hidden="1">
      <c r="A10529" t="s">
        <v>6507</v>
      </c>
      <c r="B10529" t="s">
        <v>6508</v>
      </c>
      <c r="C10529" t="s">
        <v>5111</v>
      </c>
      <c r="D10529" t="s">
        <v>1368</v>
      </c>
      <c r="E10529" t="s">
        <v>561</v>
      </c>
      <c r="F10529" t="s">
        <v>1068</v>
      </c>
      <c r="G10529" t="s">
        <v>1085</v>
      </c>
      <c r="H10529">
        <v>-5.8353497648271102E-4</v>
      </c>
      <c r="I10529" t="s">
        <v>1086</v>
      </c>
      <c r="J10529">
        <v>9.8699999999999992</v>
      </c>
    </row>
    <row r="10530" spans="1:10" hidden="1">
      <c r="A10530" t="s">
        <v>6507</v>
      </c>
      <c r="B10530" t="s">
        <v>6508</v>
      </c>
      <c r="C10530" t="s">
        <v>5111</v>
      </c>
      <c r="D10530" t="s">
        <v>1368</v>
      </c>
      <c r="E10530" t="s">
        <v>561</v>
      </c>
      <c r="F10530" t="s">
        <v>1068</v>
      </c>
      <c r="G10530" t="s">
        <v>1087</v>
      </c>
      <c r="H10530" s="170">
        <v>-4.5077580967381398E-7</v>
      </c>
      <c r="I10530" t="s">
        <v>1088</v>
      </c>
      <c r="J10530">
        <v>9.8699999999999992</v>
      </c>
    </row>
    <row r="10531" spans="1:10" hidden="1">
      <c r="A10531" t="s">
        <v>6507</v>
      </c>
      <c r="B10531" t="s">
        <v>6508</v>
      </c>
      <c r="C10531" t="s">
        <v>5111</v>
      </c>
      <c r="D10531" t="s">
        <v>1368</v>
      </c>
      <c r="E10531" t="s">
        <v>561</v>
      </c>
      <c r="F10531" t="s">
        <v>1068</v>
      </c>
      <c r="G10531" t="s">
        <v>1089</v>
      </c>
      <c r="H10531" s="170">
        <v>-8.9236626883027893E-5</v>
      </c>
      <c r="I10531" t="s">
        <v>1090</v>
      </c>
      <c r="J10531">
        <v>9.8699999999999992</v>
      </c>
    </row>
    <row r="10532" spans="1:10" hidden="1">
      <c r="A10532" t="s">
        <v>6509</v>
      </c>
      <c r="B10532" t="s">
        <v>6510</v>
      </c>
      <c r="C10532" t="s">
        <v>5111</v>
      </c>
      <c r="D10532" t="s">
        <v>1368</v>
      </c>
      <c r="E10532" t="s">
        <v>555</v>
      </c>
      <c r="F10532" t="s">
        <v>1068</v>
      </c>
      <c r="G10532" t="s">
        <v>1069</v>
      </c>
      <c r="H10532">
        <v>-0.56140320048014802</v>
      </c>
      <c r="I10532" t="s">
        <v>1070</v>
      </c>
      <c r="J10532">
        <v>13.52</v>
      </c>
    </row>
    <row r="10533" spans="1:10" hidden="1">
      <c r="A10533" t="s">
        <v>6509</v>
      </c>
      <c r="B10533" t="s">
        <v>6510</v>
      </c>
      <c r="C10533" t="s">
        <v>5111</v>
      </c>
      <c r="D10533" t="s">
        <v>1368</v>
      </c>
      <c r="E10533" t="s">
        <v>555</v>
      </c>
      <c r="F10533" t="s">
        <v>1068</v>
      </c>
      <c r="G10533" t="s">
        <v>1071</v>
      </c>
      <c r="H10533" s="170">
        <v>-5.6789444302604301E-10</v>
      </c>
      <c r="I10533" t="s">
        <v>1072</v>
      </c>
      <c r="J10533">
        <v>13.52</v>
      </c>
    </row>
    <row r="10534" spans="1:10" hidden="1">
      <c r="A10534" t="s">
        <v>6509</v>
      </c>
      <c r="B10534" t="s">
        <v>6510</v>
      </c>
      <c r="C10534" t="s">
        <v>5111</v>
      </c>
      <c r="D10534" t="s">
        <v>1368</v>
      </c>
      <c r="E10534" t="s">
        <v>555</v>
      </c>
      <c r="F10534" t="s">
        <v>1068</v>
      </c>
      <c r="G10534" t="s">
        <v>1073</v>
      </c>
      <c r="H10534" s="170">
        <v>-1.9553014061335801E-7</v>
      </c>
      <c r="I10534" t="s">
        <v>1074</v>
      </c>
      <c r="J10534">
        <v>13.52</v>
      </c>
    </row>
    <row r="10535" spans="1:10" hidden="1">
      <c r="A10535" t="s">
        <v>6509</v>
      </c>
      <c r="B10535" t="s">
        <v>6510</v>
      </c>
      <c r="C10535" t="s">
        <v>5111</v>
      </c>
      <c r="D10535" t="s">
        <v>1368</v>
      </c>
      <c r="E10535" t="s">
        <v>555</v>
      </c>
      <c r="F10535" t="s">
        <v>1068</v>
      </c>
      <c r="G10535" t="s">
        <v>1075</v>
      </c>
      <c r="H10535">
        <v>-9.7159927925715601E-3</v>
      </c>
      <c r="I10535" t="s">
        <v>1077</v>
      </c>
      <c r="J10535">
        <v>13.52</v>
      </c>
    </row>
    <row r="10536" spans="1:10" hidden="1">
      <c r="A10536" t="s">
        <v>6509</v>
      </c>
      <c r="B10536" t="s">
        <v>6510</v>
      </c>
      <c r="C10536" t="s">
        <v>5111</v>
      </c>
      <c r="D10536" t="s">
        <v>1368</v>
      </c>
      <c r="E10536" t="s">
        <v>555</v>
      </c>
      <c r="F10536" t="s">
        <v>1068</v>
      </c>
      <c r="G10536" t="s">
        <v>1078</v>
      </c>
      <c r="H10536">
        <v>-0.80956025349591698</v>
      </c>
      <c r="I10536" t="s">
        <v>1079</v>
      </c>
      <c r="J10536">
        <v>13.52</v>
      </c>
    </row>
    <row r="10537" spans="1:10" hidden="1">
      <c r="A10537" t="s">
        <v>6509</v>
      </c>
      <c r="B10537" t="s">
        <v>6510</v>
      </c>
      <c r="C10537" t="s">
        <v>5111</v>
      </c>
      <c r="D10537" t="s">
        <v>1368</v>
      </c>
      <c r="E10537" t="s">
        <v>555</v>
      </c>
      <c r="F10537" t="s">
        <v>1068</v>
      </c>
      <c r="G10537" t="s">
        <v>1080</v>
      </c>
      <c r="H10537" s="170">
        <v>-3.2002639730070298E-9</v>
      </c>
      <c r="I10537" t="s">
        <v>1082</v>
      </c>
      <c r="J10537">
        <v>13.52</v>
      </c>
    </row>
    <row r="10538" spans="1:10" hidden="1">
      <c r="A10538" t="s">
        <v>6509</v>
      </c>
      <c r="B10538" t="s">
        <v>6510</v>
      </c>
      <c r="C10538" t="s">
        <v>5111</v>
      </c>
      <c r="D10538" t="s">
        <v>1368</v>
      </c>
      <c r="E10538" t="s">
        <v>555</v>
      </c>
      <c r="F10538" t="s">
        <v>1068</v>
      </c>
      <c r="G10538" t="s">
        <v>1083</v>
      </c>
      <c r="H10538" s="170">
        <v>-7.84582615887341E-5</v>
      </c>
      <c r="I10538" t="s">
        <v>1084</v>
      </c>
      <c r="J10538">
        <v>13.52</v>
      </c>
    </row>
    <row r="10539" spans="1:10" hidden="1">
      <c r="A10539" t="s">
        <v>6509</v>
      </c>
      <c r="B10539" t="s">
        <v>6510</v>
      </c>
      <c r="C10539" t="s">
        <v>5111</v>
      </c>
      <c r="D10539" t="s">
        <v>1368</v>
      </c>
      <c r="E10539" t="s">
        <v>555</v>
      </c>
      <c r="F10539" t="s">
        <v>1068</v>
      </c>
      <c r="G10539" t="s">
        <v>1085</v>
      </c>
      <c r="H10539">
        <v>-6.9555090398621398E-4</v>
      </c>
      <c r="I10539" t="s">
        <v>1086</v>
      </c>
      <c r="J10539">
        <v>13.52</v>
      </c>
    </row>
    <row r="10540" spans="1:10" hidden="1">
      <c r="A10540" t="s">
        <v>6509</v>
      </c>
      <c r="B10540" t="s">
        <v>6510</v>
      </c>
      <c r="C10540" t="s">
        <v>5111</v>
      </c>
      <c r="D10540" t="s">
        <v>1368</v>
      </c>
      <c r="E10540" t="s">
        <v>555</v>
      </c>
      <c r="F10540" t="s">
        <v>1068</v>
      </c>
      <c r="G10540" t="s">
        <v>1087</v>
      </c>
      <c r="H10540" s="170">
        <v>-5.0483520792846801E-7</v>
      </c>
      <c r="I10540" t="s">
        <v>1088</v>
      </c>
      <c r="J10540">
        <v>13.52</v>
      </c>
    </row>
    <row r="10541" spans="1:10" hidden="1">
      <c r="A10541" t="s">
        <v>6509</v>
      </c>
      <c r="B10541" t="s">
        <v>6510</v>
      </c>
      <c r="C10541" t="s">
        <v>5111</v>
      </c>
      <c r="D10541" t="s">
        <v>1368</v>
      </c>
      <c r="E10541" t="s">
        <v>555</v>
      </c>
      <c r="F10541" t="s">
        <v>1068</v>
      </c>
      <c r="G10541" t="s">
        <v>1089</v>
      </c>
      <c r="H10541">
        <v>-1.1234529144193901E-4</v>
      </c>
      <c r="I10541" t="s">
        <v>1090</v>
      </c>
      <c r="J10541">
        <v>13.52</v>
      </c>
    </row>
    <row r="10542" spans="1:10" hidden="1">
      <c r="A10542" t="s">
        <v>6511</v>
      </c>
      <c r="B10542" t="s">
        <v>6512</v>
      </c>
      <c r="C10542" t="s">
        <v>5111</v>
      </c>
      <c r="D10542" t="s">
        <v>1368</v>
      </c>
      <c r="E10542" t="s">
        <v>558</v>
      </c>
      <c r="F10542" t="s">
        <v>1068</v>
      </c>
      <c r="G10542" t="s">
        <v>1069</v>
      </c>
      <c r="H10542">
        <v>-0.490426846343199</v>
      </c>
      <c r="I10542" t="s">
        <v>1070</v>
      </c>
      <c r="J10542">
        <v>12.5</v>
      </c>
    </row>
    <row r="10543" spans="1:10" hidden="1">
      <c r="A10543" t="s">
        <v>6511</v>
      </c>
      <c r="B10543" t="s">
        <v>6512</v>
      </c>
      <c r="C10543" t="s">
        <v>5111</v>
      </c>
      <c r="D10543" t="s">
        <v>1368</v>
      </c>
      <c r="E10543" t="s">
        <v>558</v>
      </c>
      <c r="F10543" t="s">
        <v>1068</v>
      </c>
      <c r="G10543" t="s">
        <v>1071</v>
      </c>
      <c r="H10543" s="170">
        <v>-4.6632657923046503E-10</v>
      </c>
      <c r="I10543" t="s">
        <v>1072</v>
      </c>
      <c r="J10543">
        <v>12.5</v>
      </c>
    </row>
    <row r="10544" spans="1:10" hidden="1">
      <c r="A10544" t="s">
        <v>6511</v>
      </c>
      <c r="B10544" t="s">
        <v>6512</v>
      </c>
      <c r="C10544" t="s">
        <v>5111</v>
      </c>
      <c r="D10544" t="s">
        <v>1368</v>
      </c>
      <c r="E10544" t="s">
        <v>558</v>
      </c>
      <c r="F10544" t="s">
        <v>1068</v>
      </c>
      <c r="G10544" t="s">
        <v>1073</v>
      </c>
      <c r="H10544" s="170">
        <v>-1.7031867500482599E-7</v>
      </c>
      <c r="I10544" t="s">
        <v>1074</v>
      </c>
      <c r="J10544">
        <v>12.5</v>
      </c>
    </row>
    <row r="10545" spans="1:10" hidden="1">
      <c r="A10545" t="s">
        <v>6511</v>
      </c>
      <c r="B10545" t="s">
        <v>6512</v>
      </c>
      <c r="C10545" t="s">
        <v>5111</v>
      </c>
      <c r="D10545" t="s">
        <v>1368</v>
      </c>
      <c r="E10545" t="s">
        <v>558</v>
      </c>
      <c r="F10545" t="s">
        <v>1068</v>
      </c>
      <c r="G10545" t="s">
        <v>1075</v>
      </c>
      <c r="H10545">
        <v>-7.4723060231871802E-3</v>
      </c>
      <c r="I10545" t="s">
        <v>1077</v>
      </c>
      <c r="J10545">
        <v>12.5</v>
      </c>
    </row>
    <row r="10546" spans="1:10" hidden="1">
      <c r="A10546" t="s">
        <v>6511</v>
      </c>
      <c r="B10546" t="s">
        <v>6512</v>
      </c>
      <c r="C10546" t="s">
        <v>5111</v>
      </c>
      <c r="D10546" t="s">
        <v>1368</v>
      </c>
      <c r="E10546" t="s">
        <v>558</v>
      </c>
      <c r="F10546" t="s">
        <v>1068</v>
      </c>
      <c r="G10546" t="s">
        <v>1078</v>
      </c>
      <c r="H10546">
        <v>-0.71253458198150998</v>
      </c>
      <c r="I10546" t="s">
        <v>1079</v>
      </c>
      <c r="J10546">
        <v>12.5</v>
      </c>
    </row>
    <row r="10547" spans="1:10" hidden="1">
      <c r="A10547" t="s">
        <v>6511</v>
      </c>
      <c r="B10547" t="s">
        <v>6512</v>
      </c>
      <c r="C10547" t="s">
        <v>5111</v>
      </c>
      <c r="D10547" t="s">
        <v>1368</v>
      </c>
      <c r="E10547" t="s">
        <v>558</v>
      </c>
      <c r="F10547" t="s">
        <v>1068</v>
      </c>
      <c r="G10547" t="s">
        <v>1080</v>
      </c>
      <c r="H10547" s="170">
        <v>-2.80572338623386E-9</v>
      </c>
      <c r="I10547" t="s">
        <v>1082</v>
      </c>
      <c r="J10547">
        <v>12.5</v>
      </c>
    </row>
    <row r="10548" spans="1:10" hidden="1">
      <c r="A10548" t="s">
        <v>6511</v>
      </c>
      <c r="B10548" t="s">
        <v>6512</v>
      </c>
      <c r="C10548" t="s">
        <v>5111</v>
      </c>
      <c r="D10548" t="s">
        <v>1368</v>
      </c>
      <c r="E10548" t="s">
        <v>558</v>
      </c>
      <c r="F10548" t="s">
        <v>1068</v>
      </c>
      <c r="G10548" t="s">
        <v>1083</v>
      </c>
      <c r="H10548" s="170">
        <v>-6.7669577014042794E-5</v>
      </c>
      <c r="I10548" t="s">
        <v>1084</v>
      </c>
      <c r="J10548">
        <v>12.5</v>
      </c>
    </row>
    <row r="10549" spans="1:10" hidden="1">
      <c r="A10549" t="s">
        <v>6511</v>
      </c>
      <c r="B10549" t="s">
        <v>6512</v>
      </c>
      <c r="C10549" t="s">
        <v>5111</v>
      </c>
      <c r="D10549" t="s">
        <v>1368</v>
      </c>
      <c r="E10549" t="s">
        <v>558</v>
      </c>
      <c r="F10549" t="s">
        <v>1068</v>
      </c>
      <c r="G10549" t="s">
        <v>1085</v>
      </c>
      <c r="H10549">
        <v>-5.7361687204658099E-4</v>
      </c>
      <c r="I10549" t="s">
        <v>1086</v>
      </c>
      <c r="J10549">
        <v>12.5</v>
      </c>
    </row>
    <row r="10550" spans="1:10" hidden="1">
      <c r="A10550" t="s">
        <v>6511</v>
      </c>
      <c r="B10550" t="s">
        <v>6512</v>
      </c>
      <c r="C10550" t="s">
        <v>5111</v>
      </c>
      <c r="D10550" t="s">
        <v>1368</v>
      </c>
      <c r="E10550" t="s">
        <v>558</v>
      </c>
      <c r="F10550" t="s">
        <v>1068</v>
      </c>
      <c r="G10550" t="s">
        <v>1087</v>
      </c>
      <c r="H10550" s="170">
        <v>-4.45989287186722E-7</v>
      </c>
      <c r="I10550" t="s">
        <v>1088</v>
      </c>
      <c r="J10550">
        <v>12.5</v>
      </c>
    </row>
    <row r="10551" spans="1:10" hidden="1">
      <c r="A10551" t="s">
        <v>6511</v>
      </c>
      <c r="B10551" t="s">
        <v>6512</v>
      </c>
      <c r="C10551" t="s">
        <v>5111</v>
      </c>
      <c r="D10551" t="s">
        <v>1368</v>
      </c>
      <c r="E10551" t="s">
        <v>558</v>
      </c>
      <c r="F10551" t="s">
        <v>1068</v>
      </c>
      <c r="G10551" t="s">
        <v>1089</v>
      </c>
      <c r="H10551" s="170">
        <v>-8.7190541523493701E-5</v>
      </c>
      <c r="I10551" t="s">
        <v>1090</v>
      </c>
      <c r="J10551">
        <v>12.5</v>
      </c>
    </row>
    <row r="10552" spans="1:10" hidden="1">
      <c r="A10552" t="s">
        <v>6513</v>
      </c>
      <c r="B10552" t="s">
        <v>6514</v>
      </c>
      <c r="C10552" t="s">
        <v>5111</v>
      </c>
      <c r="D10552" t="s">
        <v>1368</v>
      </c>
      <c r="E10552" t="s">
        <v>553</v>
      </c>
      <c r="F10552" t="s">
        <v>1068</v>
      </c>
      <c r="G10552" t="s">
        <v>1069</v>
      </c>
      <c r="H10552">
        <v>-0.48477085861513203</v>
      </c>
      <c r="I10552" t="s">
        <v>1070</v>
      </c>
      <c r="J10552">
        <v>9.41</v>
      </c>
    </row>
    <row r="10553" spans="1:10" hidden="1">
      <c r="A10553" t="s">
        <v>6513</v>
      </c>
      <c r="B10553" t="s">
        <v>6514</v>
      </c>
      <c r="C10553" t="s">
        <v>5111</v>
      </c>
      <c r="D10553" t="s">
        <v>1368</v>
      </c>
      <c r="E10553" t="s">
        <v>553</v>
      </c>
      <c r="F10553" t="s">
        <v>1068</v>
      </c>
      <c r="G10553" t="s">
        <v>1071</v>
      </c>
      <c r="H10553" s="170">
        <v>-4.5823268997989999E-10</v>
      </c>
      <c r="I10553" t="s">
        <v>1072</v>
      </c>
      <c r="J10553">
        <v>9.41</v>
      </c>
    </row>
    <row r="10554" spans="1:10" hidden="1">
      <c r="A10554" t="s">
        <v>6513</v>
      </c>
      <c r="B10554" t="s">
        <v>6514</v>
      </c>
      <c r="C10554" t="s">
        <v>5111</v>
      </c>
      <c r="D10554" t="s">
        <v>1368</v>
      </c>
      <c r="E10554" t="s">
        <v>553</v>
      </c>
      <c r="F10554" t="s">
        <v>1068</v>
      </c>
      <c r="G10554" t="s">
        <v>1073</v>
      </c>
      <c r="H10554" s="170">
        <v>-1.68310090303411E-7</v>
      </c>
      <c r="I10554" t="s">
        <v>1074</v>
      </c>
      <c r="J10554">
        <v>9.41</v>
      </c>
    </row>
    <row r="10555" spans="1:10" hidden="1">
      <c r="A10555" t="s">
        <v>6513</v>
      </c>
      <c r="B10555" t="s">
        <v>6514</v>
      </c>
      <c r="C10555" t="s">
        <v>5111</v>
      </c>
      <c r="D10555" t="s">
        <v>1368</v>
      </c>
      <c r="E10555" t="s">
        <v>553</v>
      </c>
      <c r="F10555" t="s">
        <v>1068</v>
      </c>
      <c r="G10555" t="s">
        <v>1075</v>
      </c>
      <c r="H10555">
        <v>-7.2935626022269801E-3</v>
      </c>
      <c r="I10555" t="s">
        <v>1077</v>
      </c>
      <c r="J10555">
        <v>9.41</v>
      </c>
    </row>
    <row r="10556" spans="1:10" hidden="1">
      <c r="A10556" t="s">
        <v>6513</v>
      </c>
      <c r="B10556" t="s">
        <v>6514</v>
      </c>
      <c r="C10556" t="s">
        <v>5111</v>
      </c>
      <c r="D10556" t="s">
        <v>1368</v>
      </c>
      <c r="E10556" t="s">
        <v>553</v>
      </c>
      <c r="F10556" t="s">
        <v>1068</v>
      </c>
      <c r="G10556" t="s">
        <v>1078</v>
      </c>
      <c r="H10556">
        <v>-0.70480502779758603</v>
      </c>
      <c r="I10556" t="s">
        <v>1079</v>
      </c>
      <c r="J10556">
        <v>9.41</v>
      </c>
    </row>
    <row r="10557" spans="1:10" hidden="1">
      <c r="A10557" t="s">
        <v>6513</v>
      </c>
      <c r="B10557" t="s">
        <v>6514</v>
      </c>
      <c r="C10557" t="s">
        <v>5111</v>
      </c>
      <c r="D10557" t="s">
        <v>1368</v>
      </c>
      <c r="E10557" t="s">
        <v>553</v>
      </c>
      <c r="F10557" t="s">
        <v>1068</v>
      </c>
      <c r="G10557" t="s">
        <v>1080</v>
      </c>
      <c r="H10557" s="170">
        <v>-2.7742922905161202E-9</v>
      </c>
      <c r="I10557" t="s">
        <v>1082</v>
      </c>
      <c r="J10557">
        <v>9.41</v>
      </c>
    </row>
    <row r="10558" spans="1:10" hidden="1">
      <c r="A10558" t="s">
        <v>6513</v>
      </c>
      <c r="B10558" t="s">
        <v>6514</v>
      </c>
      <c r="C10558" t="s">
        <v>5111</v>
      </c>
      <c r="D10558" t="s">
        <v>1368</v>
      </c>
      <c r="E10558" t="s">
        <v>553</v>
      </c>
      <c r="F10558" t="s">
        <v>1068</v>
      </c>
      <c r="G10558" t="s">
        <v>1083</v>
      </c>
      <c r="H10558" s="170">
        <v>-6.6810096008915599E-5</v>
      </c>
      <c r="I10558" t="s">
        <v>1084</v>
      </c>
      <c r="J10558">
        <v>9.41</v>
      </c>
    </row>
    <row r="10559" spans="1:10" hidden="1">
      <c r="A10559" t="s">
        <v>6513</v>
      </c>
      <c r="B10559" t="s">
        <v>6514</v>
      </c>
      <c r="C10559" t="s">
        <v>5111</v>
      </c>
      <c r="D10559" t="s">
        <v>1368</v>
      </c>
      <c r="E10559" t="s">
        <v>553</v>
      </c>
      <c r="F10559" t="s">
        <v>1068</v>
      </c>
      <c r="G10559" t="s">
        <v>1085</v>
      </c>
      <c r="H10559">
        <v>-5.6390299213009902E-4</v>
      </c>
      <c r="I10559" t="s">
        <v>1086</v>
      </c>
      <c r="J10559">
        <v>9.41</v>
      </c>
    </row>
    <row r="10560" spans="1:10" hidden="1">
      <c r="A10560" t="s">
        <v>6513</v>
      </c>
      <c r="B10560" t="s">
        <v>6514</v>
      </c>
      <c r="C10560" t="s">
        <v>5111</v>
      </c>
      <c r="D10560" t="s">
        <v>1368</v>
      </c>
      <c r="E10560" t="s">
        <v>553</v>
      </c>
      <c r="F10560" t="s">
        <v>1068</v>
      </c>
      <c r="G10560" t="s">
        <v>1087</v>
      </c>
      <c r="H10560" s="170">
        <v>-4.4130132456038E-7</v>
      </c>
      <c r="I10560" t="s">
        <v>1088</v>
      </c>
      <c r="J10560">
        <v>9.41</v>
      </c>
    </row>
    <row r="10561" spans="1:10" hidden="1">
      <c r="A10561" t="s">
        <v>6513</v>
      </c>
      <c r="B10561" t="s">
        <v>6514</v>
      </c>
      <c r="C10561" t="s">
        <v>5111</v>
      </c>
      <c r="D10561" t="s">
        <v>1368</v>
      </c>
      <c r="E10561" t="s">
        <v>553</v>
      </c>
      <c r="F10561" t="s">
        <v>1068</v>
      </c>
      <c r="G10561" t="s">
        <v>1089</v>
      </c>
      <c r="H10561" s="170">
        <v>-8.51865871959026E-5</v>
      </c>
      <c r="I10561" t="s">
        <v>1090</v>
      </c>
      <c r="J10561">
        <v>9.41</v>
      </c>
    </row>
    <row r="10562" spans="1:10" hidden="1">
      <c r="A10562" t="s">
        <v>6515</v>
      </c>
      <c r="B10562" t="s">
        <v>6516</v>
      </c>
      <c r="C10562" t="s">
        <v>5111</v>
      </c>
      <c r="D10562" t="s">
        <v>1368</v>
      </c>
      <c r="E10562" t="s">
        <v>556</v>
      </c>
      <c r="F10562" t="s">
        <v>1068</v>
      </c>
      <c r="G10562" t="s">
        <v>1069</v>
      </c>
      <c r="H10562">
        <v>-0.55420035439396498</v>
      </c>
      <c r="I10562" t="s">
        <v>1070</v>
      </c>
      <c r="J10562">
        <v>9.5500000000000007</v>
      </c>
    </row>
    <row r="10563" spans="1:10" hidden="1">
      <c r="A10563" t="s">
        <v>6515</v>
      </c>
      <c r="B10563" t="s">
        <v>6516</v>
      </c>
      <c r="C10563" t="s">
        <v>5111</v>
      </c>
      <c r="D10563" t="s">
        <v>1368</v>
      </c>
      <c r="E10563" t="s">
        <v>556</v>
      </c>
      <c r="F10563" t="s">
        <v>1068</v>
      </c>
      <c r="G10563" t="s">
        <v>1071</v>
      </c>
      <c r="H10563" s="170">
        <v>-5.5758708833073701E-10</v>
      </c>
      <c r="I10563" t="s">
        <v>1072</v>
      </c>
      <c r="J10563">
        <v>9.5500000000000007</v>
      </c>
    </row>
    <row r="10564" spans="1:10" hidden="1">
      <c r="A10564" t="s">
        <v>6515</v>
      </c>
      <c r="B10564" t="s">
        <v>6516</v>
      </c>
      <c r="C10564" t="s">
        <v>5111</v>
      </c>
      <c r="D10564" t="s">
        <v>1368</v>
      </c>
      <c r="E10564" t="s">
        <v>556</v>
      </c>
      <c r="F10564" t="s">
        <v>1068</v>
      </c>
      <c r="G10564" t="s">
        <v>1073</v>
      </c>
      <c r="H10564" s="170">
        <v>-1.9297166689235101E-7</v>
      </c>
      <c r="I10564" t="s">
        <v>1074</v>
      </c>
      <c r="J10564">
        <v>9.5500000000000007</v>
      </c>
    </row>
    <row r="10565" spans="1:10" hidden="1">
      <c r="A10565" t="s">
        <v>6515</v>
      </c>
      <c r="B10565" t="s">
        <v>6516</v>
      </c>
      <c r="C10565" t="s">
        <v>5111</v>
      </c>
      <c r="D10565" t="s">
        <v>1368</v>
      </c>
      <c r="E10565" t="s">
        <v>556</v>
      </c>
      <c r="F10565" t="s">
        <v>1068</v>
      </c>
      <c r="G10565" t="s">
        <v>1075</v>
      </c>
      <c r="H10565">
        <v>-9.4883031332072699E-3</v>
      </c>
      <c r="I10565" t="s">
        <v>1077</v>
      </c>
      <c r="J10565">
        <v>9.5500000000000007</v>
      </c>
    </row>
    <row r="10566" spans="1:10" hidden="1">
      <c r="A10566" t="s">
        <v>6515</v>
      </c>
      <c r="B10566" t="s">
        <v>6516</v>
      </c>
      <c r="C10566" t="s">
        <v>5111</v>
      </c>
      <c r="D10566" t="s">
        <v>1368</v>
      </c>
      <c r="E10566" t="s">
        <v>556</v>
      </c>
      <c r="F10566" t="s">
        <v>1068</v>
      </c>
      <c r="G10566" t="s">
        <v>1078</v>
      </c>
      <c r="H10566">
        <v>-0.79971407433627795</v>
      </c>
      <c r="I10566" t="s">
        <v>1079</v>
      </c>
      <c r="J10566">
        <v>9.5500000000000007</v>
      </c>
    </row>
    <row r="10567" spans="1:10" hidden="1">
      <c r="A10567" t="s">
        <v>6515</v>
      </c>
      <c r="B10567" t="s">
        <v>6516</v>
      </c>
      <c r="C10567" t="s">
        <v>5111</v>
      </c>
      <c r="D10567" t="s">
        <v>1368</v>
      </c>
      <c r="E10567" t="s">
        <v>556</v>
      </c>
      <c r="F10567" t="s">
        <v>1068</v>
      </c>
      <c r="G10567" t="s">
        <v>1080</v>
      </c>
      <c r="H10567" s="170">
        <v>-3.16022593695883E-9</v>
      </c>
      <c r="I10567" t="s">
        <v>1082</v>
      </c>
      <c r="J10567">
        <v>9.5500000000000007</v>
      </c>
    </row>
    <row r="10568" spans="1:10" hidden="1">
      <c r="A10568" t="s">
        <v>6515</v>
      </c>
      <c r="B10568" t="s">
        <v>6516</v>
      </c>
      <c r="C10568" t="s">
        <v>5111</v>
      </c>
      <c r="D10568" t="s">
        <v>1368</v>
      </c>
      <c r="E10568" t="s">
        <v>556</v>
      </c>
      <c r="F10568" t="s">
        <v>1068</v>
      </c>
      <c r="G10568" t="s">
        <v>1083</v>
      </c>
      <c r="H10568" s="170">
        <v>-7.7363424320087297E-5</v>
      </c>
      <c r="I10568" t="s">
        <v>1084</v>
      </c>
      <c r="J10568">
        <v>9.5500000000000007</v>
      </c>
    </row>
    <row r="10569" spans="1:10" hidden="1">
      <c r="A10569" t="s">
        <v>6515</v>
      </c>
      <c r="B10569" t="s">
        <v>6516</v>
      </c>
      <c r="C10569" t="s">
        <v>5111</v>
      </c>
      <c r="D10569" t="s">
        <v>1368</v>
      </c>
      <c r="E10569" t="s">
        <v>556</v>
      </c>
      <c r="F10569" t="s">
        <v>1068</v>
      </c>
      <c r="G10569" t="s">
        <v>1085</v>
      </c>
      <c r="H10569">
        <v>-6.8317702079817599E-4</v>
      </c>
      <c r="I10569" t="s">
        <v>1086</v>
      </c>
      <c r="J10569">
        <v>9.5500000000000007</v>
      </c>
    </row>
    <row r="10570" spans="1:10" hidden="1">
      <c r="A10570" t="s">
        <v>6515</v>
      </c>
      <c r="B10570" t="s">
        <v>6516</v>
      </c>
      <c r="C10570" t="s">
        <v>5111</v>
      </c>
      <c r="D10570" t="s">
        <v>1368</v>
      </c>
      <c r="E10570" t="s">
        <v>556</v>
      </c>
      <c r="F10570" t="s">
        <v>1068</v>
      </c>
      <c r="G10570" t="s">
        <v>1087</v>
      </c>
      <c r="H10570" s="170">
        <v>-4.9886351540258703E-7</v>
      </c>
      <c r="I10570" t="s">
        <v>1088</v>
      </c>
      <c r="J10570">
        <v>9.5500000000000007</v>
      </c>
    </row>
    <row r="10571" spans="1:10" hidden="1">
      <c r="A10571" t="s">
        <v>6515</v>
      </c>
      <c r="B10571" t="s">
        <v>6516</v>
      </c>
      <c r="C10571" t="s">
        <v>5111</v>
      </c>
      <c r="D10571" t="s">
        <v>1368</v>
      </c>
      <c r="E10571" t="s">
        <v>556</v>
      </c>
      <c r="F10571" t="s">
        <v>1068</v>
      </c>
      <c r="G10571" t="s">
        <v>1089</v>
      </c>
      <c r="H10571">
        <v>-1.09792583775399E-4</v>
      </c>
      <c r="I10571" t="s">
        <v>1090</v>
      </c>
      <c r="J10571">
        <v>9.5500000000000007</v>
      </c>
    </row>
    <row r="10572" spans="1:10" hidden="1">
      <c r="A10572" t="s">
        <v>6517</v>
      </c>
      <c r="B10572" t="s">
        <v>6518</v>
      </c>
      <c r="C10572" t="s">
        <v>5111</v>
      </c>
      <c r="D10572" t="s">
        <v>1368</v>
      </c>
      <c r="E10572" t="s">
        <v>557</v>
      </c>
      <c r="F10572" t="s">
        <v>1068</v>
      </c>
      <c r="G10572" t="s">
        <v>1069</v>
      </c>
      <c r="H10572">
        <v>-0.51427323231688105</v>
      </c>
      <c r="I10572" t="s">
        <v>1070</v>
      </c>
      <c r="J10572">
        <v>9.02</v>
      </c>
    </row>
    <row r="10573" spans="1:10" hidden="1">
      <c r="A10573" t="s">
        <v>6517</v>
      </c>
      <c r="B10573" t="s">
        <v>6518</v>
      </c>
      <c r="C10573" t="s">
        <v>5111</v>
      </c>
      <c r="D10573" t="s">
        <v>1368</v>
      </c>
      <c r="E10573" t="s">
        <v>557</v>
      </c>
      <c r="F10573" t="s">
        <v>1068</v>
      </c>
      <c r="G10573" t="s">
        <v>1071</v>
      </c>
      <c r="H10573" s="170">
        <v>-5.0045102885638403E-10</v>
      </c>
      <c r="I10573" t="s">
        <v>1072</v>
      </c>
      <c r="J10573">
        <v>9.02</v>
      </c>
    </row>
    <row r="10574" spans="1:10" hidden="1">
      <c r="A10574" t="s">
        <v>6517</v>
      </c>
      <c r="B10574" t="s">
        <v>6518</v>
      </c>
      <c r="C10574" t="s">
        <v>5111</v>
      </c>
      <c r="D10574" t="s">
        <v>1368</v>
      </c>
      <c r="E10574" t="s">
        <v>557</v>
      </c>
      <c r="F10574" t="s">
        <v>1068</v>
      </c>
      <c r="G10574" t="s">
        <v>1073</v>
      </c>
      <c r="H10574" s="170">
        <v>-1.78788986757237E-7</v>
      </c>
      <c r="I10574" t="s">
        <v>1074</v>
      </c>
      <c r="J10574">
        <v>9.02</v>
      </c>
    </row>
    <row r="10575" spans="1:10" hidden="1">
      <c r="A10575" t="s">
        <v>6517</v>
      </c>
      <c r="B10575" t="s">
        <v>6518</v>
      </c>
      <c r="C10575" t="s">
        <v>5111</v>
      </c>
      <c r="D10575" t="s">
        <v>1368</v>
      </c>
      <c r="E10575" t="s">
        <v>557</v>
      </c>
      <c r="F10575" t="s">
        <v>1068</v>
      </c>
      <c r="G10575" t="s">
        <v>1075</v>
      </c>
      <c r="H10575">
        <v>-8.2261157581813901E-3</v>
      </c>
      <c r="I10575" t="s">
        <v>1077</v>
      </c>
      <c r="J10575">
        <v>9.02</v>
      </c>
    </row>
    <row r="10576" spans="1:10" hidden="1">
      <c r="A10576" t="s">
        <v>6517</v>
      </c>
      <c r="B10576" t="s">
        <v>6518</v>
      </c>
      <c r="C10576" t="s">
        <v>5111</v>
      </c>
      <c r="D10576" t="s">
        <v>1368</v>
      </c>
      <c r="E10576" t="s">
        <v>557</v>
      </c>
      <c r="F10576" t="s">
        <v>1068</v>
      </c>
      <c r="G10576" t="s">
        <v>1078</v>
      </c>
      <c r="H10576">
        <v>-0.74513222266385803</v>
      </c>
      <c r="I10576" t="s">
        <v>1079</v>
      </c>
      <c r="J10576">
        <v>9.02</v>
      </c>
    </row>
    <row r="10577" spans="1:10" hidden="1">
      <c r="A10577" t="s">
        <v>6517</v>
      </c>
      <c r="B10577" t="s">
        <v>6518</v>
      </c>
      <c r="C10577" t="s">
        <v>5111</v>
      </c>
      <c r="D10577" t="s">
        <v>1368</v>
      </c>
      <c r="E10577" t="s">
        <v>557</v>
      </c>
      <c r="F10577" t="s">
        <v>1068</v>
      </c>
      <c r="G10577" t="s">
        <v>1080</v>
      </c>
      <c r="H10577" s="170">
        <v>-2.9382768865879299E-9</v>
      </c>
      <c r="I10577" t="s">
        <v>1082</v>
      </c>
      <c r="J10577">
        <v>9.02</v>
      </c>
    </row>
    <row r="10578" spans="1:10" hidden="1">
      <c r="A10578" t="s">
        <v>6517</v>
      </c>
      <c r="B10578" t="s">
        <v>6518</v>
      </c>
      <c r="C10578" t="s">
        <v>5111</v>
      </c>
      <c r="D10578" t="s">
        <v>1368</v>
      </c>
      <c r="E10578" t="s">
        <v>557</v>
      </c>
      <c r="F10578" t="s">
        <v>1068</v>
      </c>
      <c r="G10578" t="s">
        <v>1083</v>
      </c>
      <c r="H10578" s="170">
        <v>-7.1294243121611099E-5</v>
      </c>
      <c r="I10578" t="s">
        <v>1084</v>
      </c>
      <c r="J10578">
        <v>9.02</v>
      </c>
    </row>
    <row r="10579" spans="1:10" hidden="1">
      <c r="A10579" t="s">
        <v>6517</v>
      </c>
      <c r="B10579" t="s">
        <v>6518</v>
      </c>
      <c r="C10579" t="s">
        <v>5111</v>
      </c>
      <c r="D10579" t="s">
        <v>1368</v>
      </c>
      <c r="E10579" t="s">
        <v>557</v>
      </c>
      <c r="F10579" t="s">
        <v>1068</v>
      </c>
      <c r="G10579" t="s">
        <v>1085</v>
      </c>
      <c r="H10579">
        <v>-6.1458295558712898E-4</v>
      </c>
      <c r="I10579" t="s">
        <v>1086</v>
      </c>
      <c r="J10579">
        <v>9.02</v>
      </c>
    </row>
    <row r="10580" spans="1:10" hidden="1">
      <c r="A10580" t="s">
        <v>6517</v>
      </c>
      <c r="B10580" t="s">
        <v>6518</v>
      </c>
      <c r="C10580" t="s">
        <v>5111</v>
      </c>
      <c r="D10580" t="s">
        <v>1368</v>
      </c>
      <c r="E10580" t="s">
        <v>557</v>
      </c>
      <c r="F10580" t="s">
        <v>1068</v>
      </c>
      <c r="G10580" t="s">
        <v>1087</v>
      </c>
      <c r="H10580" s="170">
        <v>-4.6575970615513901E-7</v>
      </c>
      <c r="I10580" t="s">
        <v>1088</v>
      </c>
      <c r="J10580">
        <v>9.02</v>
      </c>
    </row>
    <row r="10581" spans="1:10" hidden="1">
      <c r="A10581" t="s">
        <v>6517</v>
      </c>
      <c r="B10581" t="s">
        <v>6518</v>
      </c>
      <c r="C10581" t="s">
        <v>5111</v>
      </c>
      <c r="D10581" t="s">
        <v>1368</v>
      </c>
      <c r="E10581" t="s">
        <v>557</v>
      </c>
      <c r="F10581" t="s">
        <v>1068</v>
      </c>
      <c r="G10581" t="s">
        <v>1089</v>
      </c>
      <c r="H10581" s="170">
        <v>-9.5641763660705799E-5</v>
      </c>
      <c r="I10581" t="s">
        <v>1090</v>
      </c>
      <c r="J10581">
        <v>9.02</v>
      </c>
    </row>
    <row r="10582" spans="1:10" hidden="1">
      <c r="A10582" t="s">
        <v>6519</v>
      </c>
      <c r="B10582" t="s">
        <v>6520</v>
      </c>
      <c r="C10582" t="s">
        <v>5111</v>
      </c>
      <c r="D10582" t="s">
        <v>1368</v>
      </c>
      <c r="E10582" t="s">
        <v>559</v>
      </c>
      <c r="F10582" t="s">
        <v>1068</v>
      </c>
      <c r="G10582" t="s">
        <v>1069</v>
      </c>
      <c r="H10582">
        <v>-0.53356298639435595</v>
      </c>
      <c r="I10582" t="s">
        <v>1070</v>
      </c>
      <c r="J10582">
        <v>8.24</v>
      </c>
    </row>
    <row r="10583" spans="1:10" hidden="1">
      <c r="A10583" t="s">
        <v>6519</v>
      </c>
      <c r="B10583" t="s">
        <v>6520</v>
      </c>
      <c r="C10583" t="s">
        <v>5111</v>
      </c>
      <c r="D10583" t="s">
        <v>1368</v>
      </c>
      <c r="E10583" t="s">
        <v>559</v>
      </c>
      <c r="F10583" t="s">
        <v>1068</v>
      </c>
      <c r="G10583" t="s">
        <v>1071</v>
      </c>
      <c r="H10583" s="170">
        <v>-5.2805477993437298E-10</v>
      </c>
      <c r="I10583" t="s">
        <v>1072</v>
      </c>
      <c r="J10583">
        <v>8.24</v>
      </c>
    </row>
    <row r="10584" spans="1:10" hidden="1">
      <c r="A10584" t="s">
        <v>6519</v>
      </c>
      <c r="B10584" t="s">
        <v>6520</v>
      </c>
      <c r="C10584" t="s">
        <v>5111</v>
      </c>
      <c r="D10584" t="s">
        <v>1368</v>
      </c>
      <c r="E10584" t="s">
        <v>559</v>
      </c>
      <c r="F10584" t="s">
        <v>1068</v>
      </c>
      <c r="G10584" t="s">
        <v>1073</v>
      </c>
      <c r="H10584" s="170">
        <v>-1.8564120847828401E-7</v>
      </c>
      <c r="I10584" t="s">
        <v>1074</v>
      </c>
      <c r="J10584">
        <v>8.24</v>
      </c>
    </row>
    <row r="10585" spans="1:10" hidden="1">
      <c r="A10585" t="s">
        <v>6519</v>
      </c>
      <c r="B10585" t="s">
        <v>6520</v>
      </c>
      <c r="C10585" t="s">
        <v>5111</v>
      </c>
      <c r="D10585" t="s">
        <v>1368</v>
      </c>
      <c r="E10585" t="s">
        <v>559</v>
      </c>
      <c r="F10585" t="s">
        <v>1068</v>
      </c>
      <c r="G10585" t="s">
        <v>1075</v>
      </c>
      <c r="H10585">
        <v>-8.8359338844688495E-3</v>
      </c>
      <c r="I10585" t="s">
        <v>1077</v>
      </c>
      <c r="J10585">
        <v>8.24</v>
      </c>
    </row>
    <row r="10586" spans="1:10" hidden="1">
      <c r="A10586" t="s">
        <v>6519</v>
      </c>
      <c r="B10586" t="s">
        <v>6520</v>
      </c>
      <c r="C10586" t="s">
        <v>5111</v>
      </c>
      <c r="D10586" t="s">
        <v>1368</v>
      </c>
      <c r="E10586" t="s">
        <v>559</v>
      </c>
      <c r="F10586" t="s">
        <v>1068</v>
      </c>
      <c r="G10586" t="s">
        <v>1078</v>
      </c>
      <c r="H10586">
        <v>-0.77150311157554996</v>
      </c>
      <c r="I10586" t="s">
        <v>1079</v>
      </c>
      <c r="J10586">
        <v>8.24</v>
      </c>
    </row>
    <row r="10587" spans="1:10" hidden="1">
      <c r="A10587" t="s">
        <v>6519</v>
      </c>
      <c r="B10587" t="s">
        <v>6520</v>
      </c>
      <c r="C10587" t="s">
        <v>5111</v>
      </c>
      <c r="D10587" t="s">
        <v>1368</v>
      </c>
      <c r="E10587" t="s">
        <v>559</v>
      </c>
      <c r="F10587" t="s">
        <v>1068</v>
      </c>
      <c r="G10587" t="s">
        <v>1080</v>
      </c>
      <c r="H10587" s="170">
        <v>-3.0455102156975999E-9</v>
      </c>
      <c r="I10587" t="s">
        <v>1082</v>
      </c>
      <c r="J10587">
        <v>8.24</v>
      </c>
    </row>
    <row r="10588" spans="1:10" hidden="1">
      <c r="A10588" t="s">
        <v>6519</v>
      </c>
      <c r="B10588" t="s">
        <v>6520</v>
      </c>
      <c r="C10588" t="s">
        <v>5111</v>
      </c>
      <c r="D10588" t="s">
        <v>1368</v>
      </c>
      <c r="E10588" t="s">
        <v>559</v>
      </c>
      <c r="F10588" t="s">
        <v>1068</v>
      </c>
      <c r="G10588" t="s">
        <v>1083</v>
      </c>
      <c r="H10588" s="170">
        <v>-7.4226531022283197E-5</v>
      </c>
      <c r="I10588" t="s">
        <v>1084</v>
      </c>
      <c r="J10588">
        <v>8.24</v>
      </c>
    </row>
    <row r="10589" spans="1:10" hidden="1">
      <c r="A10589" t="s">
        <v>6519</v>
      </c>
      <c r="B10589" t="s">
        <v>6520</v>
      </c>
      <c r="C10589" t="s">
        <v>5111</v>
      </c>
      <c r="D10589" t="s">
        <v>1368</v>
      </c>
      <c r="E10589" t="s">
        <v>559</v>
      </c>
      <c r="F10589" t="s">
        <v>1068</v>
      </c>
      <c r="G10589" t="s">
        <v>1085</v>
      </c>
      <c r="H10589">
        <v>-6.4772375997856197E-4</v>
      </c>
      <c r="I10589" t="s">
        <v>1086</v>
      </c>
      <c r="J10589">
        <v>8.24</v>
      </c>
    </row>
    <row r="10590" spans="1:10" hidden="1">
      <c r="A10590" t="s">
        <v>6519</v>
      </c>
      <c r="B10590" t="s">
        <v>6520</v>
      </c>
      <c r="C10590" t="s">
        <v>5111</v>
      </c>
      <c r="D10590" t="s">
        <v>1368</v>
      </c>
      <c r="E10590" t="s">
        <v>559</v>
      </c>
      <c r="F10590" t="s">
        <v>1068</v>
      </c>
      <c r="G10590" t="s">
        <v>1087</v>
      </c>
      <c r="H10590" s="170">
        <v>-4.81753609850923E-7</v>
      </c>
      <c r="I10590" t="s">
        <v>1088</v>
      </c>
      <c r="J10590">
        <v>8.24</v>
      </c>
    </row>
    <row r="10591" spans="1:10" hidden="1">
      <c r="A10591" t="s">
        <v>6519</v>
      </c>
      <c r="B10591" t="s">
        <v>6520</v>
      </c>
      <c r="C10591" t="s">
        <v>5111</v>
      </c>
      <c r="D10591" t="s">
        <v>1368</v>
      </c>
      <c r="E10591" t="s">
        <v>559</v>
      </c>
      <c r="F10591" t="s">
        <v>1068</v>
      </c>
      <c r="G10591" t="s">
        <v>1089</v>
      </c>
      <c r="H10591">
        <v>-1.02478646079146E-4</v>
      </c>
      <c r="I10591" t="s">
        <v>1090</v>
      </c>
      <c r="J10591">
        <v>8.24</v>
      </c>
    </row>
    <row r="10592" spans="1:10" hidden="1">
      <c r="A10592" t="s">
        <v>6521</v>
      </c>
      <c r="B10592" t="s">
        <v>6522</v>
      </c>
      <c r="C10592" t="s">
        <v>5111</v>
      </c>
      <c r="D10592" t="s">
        <v>1368</v>
      </c>
      <c r="E10592" t="s">
        <v>560</v>
      </c>
      <c r="F10592" t="s">
        <v>1068</v>
      </c>
      <c r="G10592" t="s">
        <v>1069</v>
      </c>
      <c r="H10592">
        <v>-0.52699130483617895</v>
      </c>
      <c r="I10592" t="s">
        <v>1070</v>
      </c>
      <c r="J10592">
        <v>8.35</v>
      </c>
    </row>
    <row r="10593" spans="1:10" hidden="1">
      <c r="A10593" t="s">
        <v>6521</v>
      </c>
      <c r="B10593" t="s">
        <v>6522</v>
      </c>
      <c r="C10593" t="s">
        <v>5111</v>
      </c>
      <c r="D10593" t="s">
        <v>1368</v>
      </c>
      <c r="E10593" t="s">
        <v>560</v>
      </c>
      <c r="F10593" t="s">
        <v>1068</v>
      </c>
      <c r="G10593" t="s">
        <v>1071</v>
      </c>
      <c r="H10593" s="170">
        <v>-5.1865073532354097E-10</v>
      </c>
      <c r="I10593" t="s">
        <v>1072</v>
      </c>
      <c r="J10593">
        <v>8.35</v>
      </c>
    </row>
    <row r="10594" spans="1:10" hidden="1">
      <c r="A10594" t="s">
        <v>6521</v>
      </c>
      <c r="B10594" t="s">
        <v>6522</v>
      </c>
      <c r="C10594" t="s">
        <v>5111</v>
      </c>
      <c r="D10594" t="s">
        <v>1368</v>
      </c>
      <c r="E10594" t="s">
        <v>560</v>
      </c>
      <c r="F10594" t="s">
        <v>1068</v>
      </c>
      <c r="G10594" t="s">
        <v>1073</v>
      </c>
      <c r="H10594" s="170">
        <v>-1.83306486358523E-7</v>
      </c>
      <c r="I10594" t="s">
        <v>1074</v>
      </c>
      <c r="J10594">
        <v>8.35</v>
      </c>
    </row>
    <row r="10595" spans="1:10" hidden="1">
      <c r="A10595" t="s">
        <v>6521</v>
      </c>
      <c r="B10595" t="s">
        <v>6522</v>
      </c>
      <c r="C10595" t="s">
        <v>5111</v>
      </c>
      <c r="D10595" t="s">
        <v>1368</v>
      </c>
      <c r="E10595" t="s">
        <v>560</v>
      </c>
      <c r="F10595" t="s">
        <v>1068</v>
      </c>
      <c r="G10595" t="s">
        <v>1075</v>
      </c>
      <c r="H10595">
        <v>-8.6281476168451401E-3</v>
      </c>
      <c r="I10595" t="s">
        <v>1077</v>
      </c>
      <c r="J10595">
        <v>8.35</v>
      </c>
    </row>
    <row r="10596" spans="1:10" hidden="1">
      <c r="A10596" t="s">
        <v>6521</v>
      </c>
      <c r="B10596" t="s">
        <v>6522</v>
      </c>
      <c r="C10596" t="s">
        <v>5111</v>
      </c>
      <c r="D10596" t="s">
        <v>1368</v>
      </c>
      <c r="E10596" t="s">
        <v>560</v>
      </c>
      <c r="F10596" t="s">
        <v>1068</v>
      </c>
      <c r="G10596" t="s">
        <v>1078</v>
      </c>
      <c r="H10596">
        <v>-0.76251763102777603</v>
      </c>
      <c r="I10596" t="s">
        <v>1079</v>
      </c>
      <c r="J10596">
        <v>8.35</v>
      </c>
    </row>
    <row r="10597" spans="1:10" hidden="1">
      <c r="A10597" t="s">
        <v>6521</v>
      </c>
      <c r="B10597" t="s">
        <v>6522</v>
      </c>
      <c r="C10597" t="s">
        <v>5111</v>
      </c>
      <c r="D10597" t="s">
        <v>1368</v>
      </c>
      <c r="E10597" t="s">
        <v>560</v>
      </c>
      <c r="F10597" t="s">
        <v>1068</v>
      </c>
      <c r="G10597" t="s">
        <v>1080</v>
      </c>
      <c r="H10597" s="170">
        <v>-3.0089720867767598E-9</v>
      </c>
      <c r="I10597" t="s">
        <v>1082</v>
      </c>
      <c r="J10597">
        <v>8.35</v>
      </c>
    </row>
    <row r="10598" spans="1:10" hidden="1">
      <c r="A10598" t="s">
        <v>6521</v>
      </c>
      <c r="B10598" t="s">
        <v>6522</v>
      </c>
      <c r="C10598" t="s">
        <v>5111</v>
      </c>
      <c r="D10598" t="s">
        <v>1368</v>
      </c>
      <c r="E10598" t="s">
        <v>560</v>
      </c>
      <c r="F10598" t="s">
        <v>1068</v>
      </c>
      <c r="G10598" t="s">
        <v>1083</v>
      </c>
      <c r="H10598" s="170">
        <v>-7.3227398378980895E-5</v>
      </c>
      <c r="I10598" t="s">
        <v>1084</v>
      </c>
      <c r="J10598">
        <v>8.35</v>
      </c>
    </row>
    <row r="10599" spans="1:10" hidden="1">
      <c r="A10599" t="s">
        <v>6521</v>
      </c>
      <c r="B10599" t="s">
        <v>6522</v>
      </c>
      <c r="C10599" t="s">
        <v>5111</v>
      </c>
      <c r="D10599" t="s">
        <v>1368</v>
      </c>
      <c r="E10599" t="s">
        <v>560</v>
      </c>
      <c r="F10599" t="s">
        <v>1068</v>
      </c>
      <c r="G10599" t="s">
        <v>1085</v>
      </c>
      <c r="H10599">
        <v>-6.3643153347542596E-4</v>
      </c>
      <c r="I10599" t="s">
        <v>1086</v>
      </c>
      <c r="J10599">
        <v>8.35</v>
      </c>
    </row>
    <row r="10600" spans="1:10" hidden="1">
      <c r="A10600" t="s">
        <v>6521</v>
      </c>
      <c r="B10600" t="s">
        <v>6522</v>
      </c>
      <c r="C10600" t="s">
        <v>5111</v>
      </c>
      <c r="D10600" t="s">
        <v>1368</v>
      </c>
      <c r="E10600" t="s">
        <v>560</v>
      </c>
      <c r="F10600" t="s">
        <v>1068</v>
      </c>
      <c r="G10600" t="s">
        <v>1087</v>
      </c>
      <c r="H10600" s="170">
        <v>-4.76303929604962E-7</v>
      </c>
      <c r="I10600" t="s">
        <v>1088</v>
      </c>
      <c r="J10600">
        <v>8.35</v>
      </c>
    </row>
    <row r="10601" spans="1:10" hidden="1">
      <c r="A10601" t="s">
        <v>6521</v>
      </c>
      <c r="B10601" t="s">
        <v>6522</v>
      </c>
      <c r="C10601" t="s">
        <v>5111</v>
      </c>
      <c r="D10601" t="s">
        <v>1368</v>
      </c>
      <c r="E10601" t="s">
        <v>560</v>
      </c>
      <c r="F10601" t="s">
        <v>1068</v>
      </c>
      <c r="G10601" t="s">
        <v>1089</v>
      </c>
      <c r="H10601">
        <v>-1.0014908213388701E-4</v>
      </c>
      <c r="I10601" t="s">
        <v>1090</v>
      </c>
      <c r="J10601">
        <v>8.35</v>
      </c>
    </row>
    <row r="10602" spans="1:10" hidden="1">
      <c r="A10602" t="s">
        <v>6523</v>
      </c>
      <c r="B10602" t="s">
        <v>6524</v>
      </c>
      <c r="C10602" t="s">
        <v>5111</v>
      </c>
      <c r="D10602" t="s">
        <v>1368</v>
      </c>
      <c r="E10602" t="s">
        <v>1116</v>
      </c>
      <c r="F10602" t="s">
        <v>1068</v>
      </c>
      <c r="G10602" t="s">
        <v>1069</v>
      </c>
      <c r="H10602">
        <v>-0.488390675744659</v>
      </c>
      <c r="I10602" t="s">
        <v>1070</v>
      </c>
      <c r="J10602">
        <v>10.02</v>
      </c>
    </row>
    <row r="10603" spans="1:10" hidden="1">
      <c r="A10603" t="s">
        <v>6523</v>
      </c>
      <c r="B10603" t="s">
        <v>6524</v>
      </c>
      <c r="C10603" t="s">
        <v>5111</v>
      </c>
      <c r="D10603" t="s">
        <v>1368</v>
      </c>
      <c r="E10603" t="s">
        <v>1116</v>
      </c>
      <c r="F10603" t="s">
        <v>1068</v>
      </c>
      <c r="G10603" t="s">
        <v>1071</v>
      </c>
      <c r="H10603" s="170">
        <v>-4.6341279593867603E-10</v>
      </c>
      <c r="I10603" t="s">
        <v>1072</v>
      </c>
      <c r="J10603">
        <v>10.02</v>
      </c>
    </row>
    <row r="10604" spans="1:10" hidden="1">
      <c r="A10604" t="s">
        <v>6523</v>
      </c>
      <c r="B10604" t="s">
        <v>6524</v>
      </c>
      <c r="C10604" t="s">
        <v>5111</v>
      </c>
      <c r="D10604" t="s">
        <v>1368</v>
      </c>
      <c r="E10604" t="s">
        <v>1116</v>
      </c>
      <c r="F10604" t="s">
        <v>1068</v>
      </c>
      <c r="G10604" t="s">
        <v>1073</v>
      </c>
      <c r="H10604" s="170">
        <v>-1.69595420765389E-7</v>
      </c>
      <c r="I10604" t="s">
        <v>1074</v>
      </c>
      <c r="J10604">
        <v>10.02</v>
      </c>
    </row>
    <row r="10605" spans="1:10" hidden="1">
      <c r="A10605" t="s">
        <v>6523</v>
      </c>
      <c r="B10605" t="s">
        <v>6524</v>
      </c>
      <c r="C10605" t="s">
        <v>5111</v>
      </c>
      <c r="D10605" t="s">
        <v>1368</v>
      </c>
      <c r="E10605" t="s">
        <v>1116</v>
      </c>
      <c r="F10605" t="s">
        <v>1068</v>
      </c>
      <c r="G10605" t="s">
        <v>1075</v>
      </c>
      <c r="H10605">
        <v>-7.4079404953883796E-3</v>
      </c>
      <c r="I10605" t="s">
        <v>1077</v>
      </c>
      <c r="J10605">
        <v>10.02</v>
      </c>
    </row>
    <row r="10606" spans="1:10" hidden="1">
      <c r="A10606" t="s">
        <v>6523</v>
      </c>
      <c r="B10606" t="s">
        <v>6524</v>
      </c>
      <c r="C10606" t="s">
        <v>5111</v>
      </c>
      <c r="D10606" t="s">
        <v>1368</v>
      </c>
      <c r="E10606" t="s">
        <v>1116</v>
      </c>
      <c r="F10606" t="s">
        <v>1068</v>
      </c>
      <c r="G10606" t="s">
        <v>1078</v>
      </c>
      <c r="H10606">
        <v>-0.70975116827628704</v>
      </c>
      <c r="I10606" t="s">
        <v>1079</v>
      </c>
      <c r="J10606">
        <v>10.02</v>
      </c>
    </row>
    <row r="10607" spans="1:10" hidden="1">
      <c r="A10607" t="s">
        <v>6523</v>
      </c>
      <c r="B10607" t="s">
        <v>6524</v>
      </c>
      <c r="C10607" t="s">
        <v>5111</v>
      </c>
      <c r="D10607" t="s">
        <v>1368</v>
      </c>
      <c r="E10607" t="s">
        <v>1116</v>
      </c>
      <c r="F10607" t="s">
        <v>1068</v>
      </c>
      <c r="G10607" t="s">
        <v>1080</v>
      </c>
      <c r="H10607" s="170">
        <v>-2.794405044727E-9</v>
      </c>
      <c r="I10607" t="s">
        <v>1082</v>
      </c>
      <c r="J10607">
        <v>10.02</v>
      </c>
    </row>
    <row r="10608" spans="1:10" hidden="1">
      <c r="A10608" t="s">
        <v>6523</v>
      </c>
      <c r="B10608" t="s">
        <v>6524</v>
      </c>
      <c r="C10608" t="s">
        <v>5111</v>
      </c>
      <c r="D10608" t="s">
        <v>1368</v>
      </c>
      <c r="E10608" t="s">
        <v>1116</v>
      </c>
      <c r="F10608" t="s">
        <v>1068</v>
      </c>
      <c r="G10608" t="s">
        <v>1083</v>
      </c>
      <c r="H10608" s="170">
        <v>-6.7360077764726698E-5</v>
      </c>
      <c r="I10608" t="s">
        <v>1084</v>
      </c>
      <c r="J10608">
        <v>10.02</v>
      </c>
    </row>
    <row r="10609" spans="1:10" hidden="1">
      <c r="A10609" t="s">
        <v>6523</v>
      </c>
      <c r="B10609" t="s">
        <v>6524</v>
      </c>
      <c r="C10609" t="s">
        <v>5111</v>
      </c>
      <c r="D10609" t="s">
        <v>1368</v>
      </c>
      <c r="E10609" t="s">
        <v>1116</v>
      </c>
      <c r="F10609" t="s">
        <v>1068</v>
      </c>
      <c r="G10609" t="s">
        <v>1085</v>
      </c>
      <c r="H10609">
        <v>-5.7011890237793897E-4</v>
      </c>
      <c r="I10609" t="s">
        <v>1086</v>
      </c>
      <c r="J10609">
        <v>10.02</v>
      </c>
    </row>
    <row r="10610" spans="1:10" hidden="1">
      <c r="A10610" t="s">
        <v>6523</v>
      </c>
      <c r="B10610" t="s">
        <v>6524</v>
      </c>
      <c r="C10610" t="s">
        <v>5111</v>
      </c>
      <c r="D10610" t="s">
        <v>1368</v>
      </c>
      <c r="E10610" t="s">
        <v>1116</v>
      </c>
      <c r="F10610" t="s">
        <v>1068</v>
      </c>
      <c r="G10610" t="s">
        <v>1087</v>
      </c>
      <c r="H10610" s="170">
        <v>-4.4430115105285498E-7</v>
      </c>
      <c r="I10610" t="s">
        <v>1088</v>
      </c>
      <c r="J10610">
        <v>10.02</v>
      </c>
    </row>
    <row r="10611" spans="1:10" hidden="1">
      <c r="A10611" t="s">
        <v>6523</v>
      </c>
      <c r="B10611" t="s">
        <v>6524</v>
      </c>
      <c r="C10611" t="s">
        <v>5111</v>
      </c>
      <c r="D10611" t="s">
        <v>1368</v>
      </c>
      <c r="E10611" t="s">
        <v>1116</v>
      </c>
      <c r="F10611" t="s">
        <v>1068</v>
      </c>
      <c r="G10611" t="s">
        <v>1089</v>
      </c>
      <c r="H10611" s="170">
        <v>-8.64689172884197E-5</v>
      </c>
      <c r="I10611" t="s">
        <v>1090</v>
      </c>
      <c r="J10611">
        <v>10.02</v>
      </c>
    </row>
    <row r="10612" spans="1:10" hidden="1">
      <c r="A10612" t="s">
        <v>6525</v>
      </c>
      <c r="B10612" t="s">
        <v>6526</v>
      </c>
      <c r="C10612" t="s">
        <v>5111</v>
      </c>
      <c r="D10612" t="s">
        <v>3640</v>
      </c>
      <c r="E10612" t="s">
        <v>561</v>
      </c>
      <c r="F10612" t="s">
        <v>1068</v>
      </c>
      <c r="G10612" t="s">
        <v>1069</v>
      </c>
      <c r="H10612">
        <v>-1.3010908092075799</v>
      </c>
      <c r="I10612" t="s">
        <v>1070</v>
      </c>
      <c r="J10612">
        <v>8.7899999999999991</v>
      </c>
    </row>
    <row r="10613" spans="1:10" hidden="1">
      <c r="A10613" t="s">
        <v>6525</v>
      </c>
      <c r="B10613" t="s">
        <v>6526</v>
      </c>
      <c r="C10613" t="s">
        <v>5111</v>
      </c>
      <c r="D10613" t="s">
        <v>3640</v>
      </c>
      <c r="E10613" t="s">
        <v>561</v>
      </c>
      <c r="F10613" t="s">
        <v>1068</v>
      </c>
      <c r="G10613" t="s">
        <v>1071</v>
      </c>
      <c r="H10613" s="170">
        <v>-1.3472714530851501E-9</v>
      </c>
      <c r="I10613" t="s">
        <v>1072</v>
      </c>
      <c r="J10613">
        <v>8.7899999999999991</v>
      </c>
    </row>
    <row r="10614" spans="1:10" hidden="1">
      <c r="A10614" t="s">
        <v>6525</v>
      </c>
      <c r="B10614" t="s">
        <v>6526</v>
      </c>
      <c r="C10614" t="s">
        <v>5111</v>
      </c>
      <c r="D10614" t="s">
        <v>3640</v>
      </c>
      <c r="E10614" t="s">
        <v>561</v>
      </c>
      <c r="F10614" t="s">
        <v>1068</v>
      </c>
      <c r="G10614" t="s">
        <v>1073</v>
      </c>
      <c r="H10614" s="170">
        <v>-4.5894767430609801E-7</v>
      </c>
      <c r="I10614" t="s">
        <v>1074</v>
      </c>
      <c r="J10614">
        <v>8.7899999999999991</v>
      </c>
    </row>
    <row r="10615" spans="1:10" hidden="1">
      <c r="A10615" t="s">
        <v>6525</v>
      </c>
      <c r="B10615" t="s">
        <v>6526</v>
      </c>
      <c r="C10615" t="s">
        <v>5111</v>
      </c>
      <c r="D10615" t="s">
        <v>3640</v>
      </c>
      <c r="E10615" t="s">
        <v>561</v>
      </c>
      <c r="F10615" t="s">
        <v>1068</v>
      </c>
      <c r="G10615" t="s">
        <v>1075</v>
      </c>
      <c r="H10615">
        <v>-2.24273495345053E-2</v>
      </c>
      <c r="I10615" t="s">
        <v>1077</v>
      </c>
      <c r="J10615">
        <v>8.7899999999999991</v>
      </c>
    </row>
    <row r="10616" spans="1:10" hidden="1">
      <c r="A10616" t="s">
        <v>6525</v>
      </c>
      <c r="B10616" t="s">
        <v>6526</v>
      </c>
      <c r="C10616" t="s">
        <v>5111</v>
      </c>
      <c r="D10616" t="s">
        <v>3640</v>
      </c>
      <c r="E10616" t="s">
        <v>561</v>
      </c>
      <c r="F10616" t="s">
        <v>1068</v>
      </c>
      <c r="G10616" t="s">
        <v>1078</v>
      </c>
      <c r="H10616" s="171" t="s">
        <v>6527</v>
      </c>
      <c r="I10616" t="s">
        <v>1079</v>
      </c>
      <c r="J10616">
        <v>8.7899999999999991</v>
      </c>
    </row>
    <row r="10617" spans="1:10" hidden="1">
      <c r="A10617" t="s">
        <v>6525</v>
      </c>
      <c r="B10617" t="s">
        <v>6526</v>
      </c>
      <c r="C10617" t="s">
        <v>5111</v>
      </c>
      <c r="D10617" t="s">
        <v>3640</v>
      </c>
      <c r="E10617" t="s">
        <v>561</v>
      </c>
      <c r="F10617" t="s">
        <v>1068</v>
      </c>
      <c r="G10617" t="s">
        <v>1080</v>
      </c>
      <c r="H10617" s="170">
        <v>-7.3039745278428297E-9</v>
      </c>
      <c r="I10617" t="s">
        <v>1082</v>
      </c>
      <c r="J10617">
        <v>8.7899999999999991</v>
      </c>
    </row>
    <row r="10618" spans="1:10" hidden="1">
      <c r="A10618" t="s">
        <v>6525</v>
      </c>
      <c r="B10618" t="s">
        <v>6526</v>
      </c>
      <c r="C10618" t="s">
        <v>5111</v>
      </c>
      <c r="D10618" t="s">
        <v>3640</v>
      </c>
      <c r="E10618" t="s">
        <v>561</v>
      </c>
      <c r="F10618" t="s">
        <v>1068</v>
      </c>
      <c r="G10618" t="s">
        <v>1083</v>
      </c>
      <c r="H10618">
        <v>-1.7445625015571499E-4</v>
      </c>
      <c r="I10618" t="s">
        <v>1084</v>
      </c>
      <c r="J10618">
        <v>8.7899999999999991</v>
      </c>
    </row>
    <row r="10619" spans="1:10" hidden="1">
      <c r="A10619" t="s">
        <v>6525</v>
      </c>
      <c r="B10619" t="s">
        <v>6526</v>
      </c>
      <c r="C10619" t="s">
        <v>5111</v>
      </c>
      <c r="D10619" t="s">
        <v>3640</v>
      </c>
      <c r="E10619" t="s">
        <v>561</v>
      </c>
      <c r="F10619" t="s">
        <v>1068</v>
      </c>
      <c r="G10619" t="s">
        <v>1085</v>
      </c>
      <c r="H10619">
        <v>-1.5835155379923501E-3</v>
      </c>
      <c r="I10619" t="s">
        <v>1086</v>
      </c>
      <c r="J10619">
        <v>8.7899999999999991</v>
      </c>
    </row>
    <row r="10620" spans="1:10" hidden="1">
      <c r="A10620" t="s">
        <v>6525</v>
      </c>
      <c r="B10620" t="s">
        <v>6526</v>
      </c>
      <c r="C10620" t="s">
        <v>5111</v>
      </c>
      <c r="D10620" t="s">
        <v>3640</v>
      </c>
      <c r="E10620" t="s">
        <v>561</v>
      </c>
      <c r="F10620" t="s">
        <v>1068</v>
      </c>
      <c r="G10620" t="s">
        <v>1087</v>
      </c>
      <c r="H10620" s="170">
        <v>-1.11017323619325E-6</v>
      </c>
      <c r="I10620" t="s">
        <v>1088</v>
      </c>
      <c r="J10620">
        <v>8.7899999999999991</v>
      </c>
    </row>
    <row r="10621" spans="1:10" hidden="1">
      <c r="A10621" t="s">
        <v>6525</v>
      </c>
      <c r="B10621" t="s">
        <v>6526</v>
      </c>
      <c r="C10621" t="s">
        <v>5111</v>
      </c>
      <c r="D10621" t="s">
        <v>3640</v>
      </c>
      <c r="E10621" t="s">
        <v>561</v>
      </c>
      <c r="F10621" t="s">
        <v>1068</v>
      </c>
      <c r="G10621" t="s">
        <v>1089</v>
      </c>
      <c r="H10621">
        <v>-2.5478485309971802E-4</v>
      </c>
      <c r="I10621" t="s">
        <v>1090</v>
      </c>
      <c r="J10621">
        <v>8.7899999999999991</v>
      </c>
    </row>
    <row r="10622" spans="1:10" hidden="1">
      <c r="A10622" t="s">
        <v>6528</v>
      </c>
      <c r="B10622" t="s">
        <v>6529</v>
      </c>
      <c r="C10622" t="s">
        <v>5111</v>
      </c>
      <c r="D10622" t="s">
        <v>3640</v>
      </c>
      <c r="E10622" t="s">
        <v>555</v>
      </c>
      <c r="F10622" t="s">
        <v>1068</v>
      </c>
      <c r="G10622" t="s">
        <v>1069</v>
      </c>
      <c r="H10622">
        <v>-1.45937888007584</v>
      </c>
      <c r="I10622" t="s">
        <v>1070</v>
      </c>
      <c r="J10622">
        <v>9.49</v>
      </c>
    </row>
    <row r="10623" spans="1:10" hidden="1">
      <c r="A10623" t="s">
        <v>6528</v>
      </c>
      <c r="B10623" t="s">
        <v>6529</v>
      </c>
      <c r="C10623" t="s">
        <v>5111</v>
      </c>
      <c r="D10623" t="s">
        <v>3640</v>
      </c>
      <c r="E10623" t="s">
        <v>555</v>
      </c>
      <c r="F10623" t="s">
        <v>1068</v>
      </c>
      <c r="G10623" t="s">
        <v>1071</v>
      </c>
      <c r="H10623" s="170">
        <v>-1.5737834698732901E-9</v>
      </c>
      <c r="I10623" t="s">
        <v>1072</v>
      </c>
      <c r="J10623">
        <v>9.49</v>
      </c>
    </row>
    <row r="10624" spans="1:10" hidden="1">
      <c r="A10624" t="s">
        <v>6528</v>
      </c>
      <c r="B10624" t="s">
        <v>6529</v>
      </c>
      <c r="C10624" t="s">
        <v>5111</v>
      </c>
      <c r="D10624" t="s">
        <v>3640</v>
      </c>
      <c r="E10624" t="s">
        <v>555</v>
      </c>
      <c r="F10624" t="s">
        <v>1068</v>
      </c>
      <c r="G10624" t="s">
        <v>1073</v>
      </c>
      <c r="H10624" s="170">
        <v>-5.1517215352152703E-7</v>
      </c>
      <c r="I10624" t="s">
        <v>1074</v>
      </c>
      <c r="J10624">
        <v>9.49</v>
      </c>
    </row>
    <row r="10625" spans="1:10" hidden="1">
      <c r="A10625" t="s">
        <v>6528</v>
      </c>
      <c r="B10625" t="s">
        <v>6529</v>
      </c>
      <c r="C10625" t="s">
        <v>5111</v>
      </c>
      <c r="D10625" t="s">
        <v>3640</v>
      </c>
      <c r="E10625" t="s">
        <v>555</v>
      </c>
      <c r="F10625" t="s">
        <v>1068</v>
      </c>
      <c r="G10625" t="s">
        <v>1075</v>
      </c>
      <c r="H10625">
        <v>-2.74310106624059E-2</v>
      </c>
      <c r="I10625" t="s">
        <v>1077</v>
      </c>
      <c r="J10625">
        <v>9.49</v>
      </c>
    </row>
    <row r="10626" spans="1:10" hidden="1">
      <c r="A10626" t="s">
        <v>6528</v>
      </c>
      <c r="B10626" t="s">
        <v>6529</v>
      </c>
      <c r="C10626" t="s">
        <v>5111</v>
      </c>
      <c r="D10626" t="s">
        <v>3640</v>
      </c>
      <c r="E10626" t="s">
        <v>555</v>
      </c>
      <c r="F10626" t="s">
        <v>1068</v>
      </c>
      <c r="G10626" t="s">
        <v>1078</v>
      </c>
      <c r="H10626" s="171" t="s">
        <v>6530</v>
      </c>
      <c r="I10626" t="s">
        <v>1079</v>
      </c>
      <c r="J10626">
        <v>9.49</v>
      </c>
    </row>
    <row r="10627" spans="1:10" hidden="1">
      <c r="A10627" t="s">
        <v>6528</v>
      </c>
      <c r="B10627" t="s">
        <v>6529</v>
      </c>
      <c r="C10627" t="s">
        <v>5111</v>
      </c>
      <c r="D10627" t="s">
        <v>3640</v>
      </c>
      <c r="E10627" t="s">
        <v>555</v>
      </c>
      <c r="F10627" t="s">
        <v>1068</v>
      </c>
      <c r="G10627" t="s">
        <v>1080</v>
      </c>
      <c r="H10627" s="170">
        <v>-8.1838421739094397E-9</v>
      </c>
      <c r="I10627" t="s">
        <v>1082</v>
      </c>
      <c r="J10627">
        <v>9.49</v>
      </c>
    </row>
    <row r="10628" spans="1:10" hidden="1">
      <c r="A10628" t="s">
        <v>6528</v>
      </c>
      <c r="B10628" t="s">
        <v>6529</v>
      </c>
      <c r="C10628" t="s">
        <v>5111</v>
      </c>
      <c r="D10628" t="s">
        <v>3640</v>
      </c>
      <c r="E10628" t="s">
        <v>555</v>
      </c>
      <c r="F10628" t="s">
        <v>1068</v>
      </c>
      <c r="G10628" t="s">
        <v>1083</v>
      </c>
      <c r="H10628">
        <v>-1.9851616882098601E-4</v>
      </c>
      <c r="I10628" t="s">
        <v>1084</v>
      </c>
      <c r="J10628">
        <v>9.49</v>
      </c>
    </row>
    <row r="10629" spans="1:10" hidden="1">
      <c r="A10629" t="s">
        <v>6528</v>
      </c>
      <c r="B10629" t="s">
        <v>6529</v>
      </c>
      <c r="C10629" t="s">
        <v>5111</v>
      </c>
      <c r="D10629" t="s">
        <v>3640</v>
      </c>
      <c r="E10629" t="s">
        <v>555</v>
      </c>
      <c r="F10629" t="s">
        <v>1068</v>
      </c>
      <c r="G10629" t="s">
        <v>1085</v>
      </c>
      <c r="H10629">
        <v>-1.85544145025234E-3</v>
      </c>
      <c r="I10629" t="s">
        <v>1086</v>
      </c>
      <c r="J10629">
        <v>9.49</v>
      </c>
    </row>
    <row r="10630" spans="1:10" hidden="1">
      <c r="A10630" t="s">
        <v>6528</v>
      </c>
      <c r="B10630" t="s">
        <v>6529</v>
      </c>
      <c r="C10630" t="s">
        <v>5111</v>
      </c>
      <c r="D10630" t="s">
        <v>3640</v>
      </c>
      <c r="E10630" t="s">
        <v>555</v>
      </c>
      <c r="F10630" t="s">
        <v>1068</v>
      </c>
      <c r="G10630" t="s">
        <v>1087</v>
      </c>
      <c r="H10630" s="170">
        <v>-1.2414059230898E-6</v>
      </c>
      <c r="I10630" t="s">
        <v>1088</v>
      </c>
      <c r="J10630">
        <v>9.49</v>
      </c>
    </row>
    <row r="10631" spans="1:10" hidden="1">
      <c r="A10631" t="s">
        <v>6528</v>
      </c>
      <c r="B10631" t="s">
        <v>6529</v>
      </c>
      <c r="C10631" t="s">
        <v>5111</v>
      </c>
      <c r="D10631" t="s">
        <v>3640</v>
      </c>
      <c r="E10631" t="s">
        <v>555</v>
      </c>
      <c r="F10631" t="s">
        <v>1068</v>
      </c>
      <c r="G10631" t="s">
        <v>1089</v>
      </c>
      <c r="H10631">
        <v>-3.1088263180654302E-4</v>
      </c>
      <c r="I10631" t="s">
        <v>1090</v>
      </c>
      <c r="J10631">
        <v>9.49</v>
      </c>
    </row>
    <row r="10632" spans="1:10" hidden="1">
      <c r="A10632" t="s">
        <v>6531</v>
      </c>
      <c r="B10632" t="s">
        <v>6532</v>
      </c>
      <c r="C10632" t="s">
        <v>5111</v>
      </c>
      <c r="D10632" t="s">
        <v>3640</v>
      </c>
      <c r="E10632" t="s">
        <v>558</v>
      </c>
      <c r="F10632" t="s">
        <v>1068</v>
      </c>
      <c r="G10632" t="s">
        <v>1069</v>
      </c>
      <c r="H10632">
        <v>-1.2870757005328799</v>
      </c>
      <c r="I10632" t="s">
        <v>1070</v>
      </c>
      <c r="J10632">
        <v>9.8800000000000008</v>
      </c>
    </row>
    <row r="10633" spans="1:10" hidden="1">
      <c r="A10633" t="s">
        <v>6531</v>
      </c>
      <c r="B10633" t="s">
        <v>6532</v>
      </c>
      <c r="C10633" t="s">
        <v>5111</v>
      </c>
      <c r="D10633" t="s">
        <v>3640</v>
      </c>
      <c r="E10633" t="s">
        <v>558</v>
      </c>
      <c r="F10633" t="s">
        <v>1068</v>
      </c>
      <c r="G10633" t="s">
        <v>1071</v>
      </c>
      <c r="H10633" s="170">
        <v>-1.3272156731233801E-9</v>
      </c>
      <c r="I10633" t="s">
        <v>1072</v>
      </c>
      <c r="J10633">
        <v>9.8800000000000008</v>
      </c>
    </row>
    <row r="10634" spans="1:10" hidden="1">
      <c r="A10634" t="s">
        <v>6531</v>
      </c>
      <c r="B10634" t="s">
        <v>6532</v>
      </c>
      <c r="C10634" t="s">
        <v>5111</v>
      </c>
      <c r="D10634" t="s">
        <v>3640</v>
      </c>
      <c r="E10634" t="s">
        <v>558</v>
      </c>
      <c r="F10634" t="s">
        <v>1068</v>
      </c>
      <c r="G10634" t="s">
        <v>1073</v>
      </c>
      <c r="H10634" s="170">
        <v>-4.5396946335833897E-7</v>
      </c>
      <c r="I10634" t="s">
        <v>1074</v>
      </c>
      <c r="J10634">
        <v>9.8800000000000008</v>
      </c>
    </row>
    <row r="10635" spans="1:10" hidden="1">
      <c r="A10635" t="s">
        <v>6531</v>
      </c>
      <c r="B10635" t="s">
        <v>6532</v>
      </c>
      <c r="C10635" t="s">
        <v>5111</v>
      </c>
      <c r="D10635" t="s">
        <v>3640</v>
      </c>
      <c r="E10635" t="s">
        <v>558</v>
      </c>
      <c r="F10635" t="s">
        <v>1068</v>
      </c>
      <c r="G10635" t="s">
        <v>1075</v>
      </c>
      <c r="H10635">
        <v>-2.1984316977385201E-2</v>
      </c>
      <c r="I10635" t="s">
        <v>1077</v>
      </c>
      <c r="J10635">
        <v>9.8800000000000008</v>
      </c>
    </row>
    <row r="10636" spans="1:10" hidden="1">
      <c r="A10636" t="s">
        <v>6531</v>
      </c>
      <c r="B10636" t="s">
        <v>6532</v>
      </c>
      <c r="C10636" t="s">
        <v>5111</v>
      </c>
      <c r="D10636" t="s">
        <v>3640</v>
      </c>
      <c r="E10636" t="s">
        <v>558</v>
      </c>
      <c r="F10636" t="s">
        <v>1068</v>
      </c>
      <c r="G10636" t="s">
        <v>1078</v>
      </c>
      <c r="H10636" s="171" t="s">
        <v>6533</v>
      </c>
      <c r="I10636" t="s">
        <v>1079</v>
      </c>
      <c r="J10636">
        <v>9.8800000000000008</v>
      </c>
    </row>
    <row r="10637" spans="1:10" hidden="1">
      <c r="A10637" t="s">
        <v>6531</v>
      </c>
      <c r="B10637" t="s">
        <v>6532</v>
      </c>
      <c r="C10637" t="s">
        <v>5111</v>
      </c>
      <c r="D10637" t="s">
        <v>3640</v>
      </c>
      <c r="E10637" t="s">
        <v>558</v>
      </c>
      <c r="F10637" t="s">
        <v>1068</v>
      </c>
      <c r="G10637" t="s">
        <v>1080</v>
      </c>
      <c r="H10637" s="170">
        <v>-7.2260695692161603E-9</v>
      </c>
      <c r="I10637" t="s">
        <v>1082</v>
      </c>
      <c r="J10637">
        <v>9.8800000000000008</v>
      </c>
    </row>
    <row r="10638" spans="1:10" hidden="1">
      <c r="A10638" t="s">
        <v>6531</v>
      </c>
      <c r="B10638" t="s">
        <v>6532</v>
      </c>
      <c r="C10638" t="s">
        <v>5111</v>
      </c>
      <c r="D10638" t="s">
        <v>3640</v>
      </c>
      <c r="E10638" t="s">
        <v>558</v>
      </c>
      <c r="F10638" t="s">
        <v>1068</v>
      </c>
      <c r="G10638" t="s">
        <v>1083</v>
      </c>
      <c r="H10638">
        <v>-1.72325944562944E-4</v>
      </c>
      <c r="I10638" t="s">
        <v>1084</v>
      </c>
      <c r="J10638">
        <v>9.8800000000000008</v>
      </c>
    </row>
    <row r="10639" spans="1:10" hidden="1">
      <c r="A10639" t="s">
        <v>6531</v>
      </c>
      <c r="B10639" t="s">
        <v>6532</v>
      </c>
      <c r="C10639" t="s">
        <v>5111</v>
      </c>
      <c r="D10639" t="s">
        <v>3640</v>
      </c>
      <c r="E10639" t="s">
        <v>558</v>
      </c>
      <c r="F10639" t="s">
        <v>1068</v>
      </c>
      <c r="G10639" t="s">
        <v>1085</v>
      </c>
      <c r="H10639">
        <v>-1.5594387611829899E-3</v>
      </c>
      <c r="I10639" t="s">
        <v>1086</v>
      </c>
      <c r="J10639">
        <v>9.8800000000000008</v>
      </c>
    </row>
    <row r="10640" spans="1:10" hidden="1">
      <c r="A10640" t="s">
        <v>6531</v>
      </c>
      <c r="B10640" t="s">
        <v>6532</v>
      </c>
      <c r="C10640" t="s">
        <v>5111</v>
      </c>
      <c r="D10640" t="s">
        <v>3640</v>
      </c>
      <c r="E10640" t="s">
        <v>558</v>
      </c>
      <c r="F10640" t="s">
        <v>1068</v>
      </c>
      <c r="G10640" t="s">
        <v>1087</v>
      </c>
      <c r="H10640" s="170">
        <v>-1.0985536737701299E-6</v>
      </c>
      <c r="I10640" t="s">
        <v>1088</v>
      </c>
      <c r="J10640">
        <v>9.8800000000000008</v>
      </c>
    </row>
    <row r="10641" spans="1:10" hidden="1">
      <c r="A10641" t="s">
        <v>6531</v>
      </c>
      <c r="B10641" t="s">
        <v>6532</v>
      </c>
      <c r="C10641" t="s">
        <v>5111</v>
      </c>
      <c r="D10641" t="s">
        <v>3640</v>
      </c>
      <c r="E10641" t="s">
        <v>558</v>
      </c>
      <c r="F10641" t="s">
        <v>1068</v>
      </c>
      <c r="G10641" t="s">
        <v>1089</v>
      </c>
      <c r="H10641">
        <v>-2.4981786158923003E-4</v>
      </c>
      <c r="I10641" t="s">
        <v>1090</v>
      </c>
      <c r="J10641">
        <v>9.8800000000000008</v>
      </c>
    </row>
    <row r="10642" spans="1:10" hidden="1">
      <c r="A10642" t="s">
        <v>6534</v>
      </c>
      <c r="B10642" t="s">
        <v>6535</v>
      </c>
      <c r="C10642" t="s">
        <v>5111</v>
      </c>
      <c r="D10642" t="s">
        <v>3640</v>
      </c>
      <c r="E10642" t="s">
        <v>553</v>
      </c>
      <c r="F10642" t="s">
        <v>1068</v>
      </c>
      <c r="G10642" t="s">
        <v>1069</v>
      </c>
      <c r="H10642">
        <v>-1.27334935053019</v>
      </c>
      <c r="I10642" t="s">
        <v>1070</v>
      </c>
      <c r="J10642">
        <v>9.7200000000000006</v>
      </c>
    </row>
    <row r="10643" spans="1:10" hidden="1">
      <c r="A10643" t="s">
        <v>6534</v>
      </c>
      <c r="B10643" t="s">
        <v>6535</v>
      </c>
      <c r="C10643" t="s">
        <v>5111</v>
      </c>
      <c r="D10643" t="s">
        <v>3640</v>
      </c>
      <c r="E10643" t="s">
        <v>553</v>
      </c>
      <c r="F10643" t="s">
        <v>1068</v>
      </c>
      <c r="G10643" t="s">
        <v>1071</v>
      </c>
      <c r="H10643" s="170">
        <v>-1.30757309665698E-9</v>
      </c>
      <c r="I10643" t="s">
        <v>1072</v>
      </c>
      <c r="J10643">
        <v>9.7200000000000006</v>
      </c>
    </row>
    <row r="10644" spans="1:10" hidden="1">
      <c r="A10644" t="s">
        <v>6534</v>
      </c>
      <c r="B10644" t="s">
        <v>6535</v>
      </c>
      <c r="C10644" t="s">
        <v>5111</v>
      </c>
      <c r="D10644" t="s">
        <v>3640</v>
      </c>
      <c r="E10644" t="s">
        <v>553</v>
      </c>
      <c r="F10644" t="s">
        <v>1068</v>
      </c>
      <c r="G10644" t="s">
        <v>1073</v>
      </c>
      <c r="H10644" s="170">
        <v>-4.4909387599363998E-7</v>
      </c>
      <c r="I10644" t="s">
        <v>1074</v>
      </c>
      <c r="J10644">
        <v>9.7200000000000006</v>
      </c>
    </row>
    <row r="10645" spans="1:10" hidden="1">
      <c r="A10645" t="s">
        <v>6534</v>
      </c>
      <c r="B10645" t="s">
        <v>6535</v>
      </c>
      <c r="C10645" t="s">
        <v>5111</v>
      </c>
      <c r="D10645" t="s">
        <v>3640</v>
      </c>
      <c r="E10645" t="s">
        <v>553</v>
      </c>
      <c r="F10645" t="s">
        <v>1068</v>
      </c>
      <c r="G10645" t="s">
        <v>1075</v>
      </c>
      <c r="H10645">
        <v>-2.1550418503800298E-2</v>
      </c>
      <c r="I10645" t="s">
        <v>1077</v>
      </c>
      <c r="J10645">
        <v>9.7200000000000006</v>
      </c>
    </row>
    <row r="10646" spans="1:10" hidden="1">
      <c r="A10646" t="s">
        <v>6534</v>
      </c>
      <c r="B10646" t="s">
        <v>6535</v>
      </c>
      <c r="C10646" t="s">
        <v>5111</v>
      </c>
      <c r="D10646" t="s">
        <v>3640</v>
      </c>
      <c r="E10646" t="s">
        <v>553</v>
      </c>
      <c r="F10646" t="s">
        <v>1068</v>
      </c>
      <c r="G10646" t="s">
        <v>1078</v>
      </c>
      <c r="H10646" s="171" t="s">
        <v>6536</v>
      </c>
      <c r="I10646" t="s">
        <v>1079</v>
      </c>
      <c r="J10646">
        <v>9.7200000000000006</v>
      </c>
    </row>
    <row r="10647" spans="1:10" hidden="1">
      <c r="A10647" t="s">
        <v>6534</v>
      </c>
      <c r="B10647" t="s">
        <v>6535</v>
      </c>
      <c r="C10647" t="s">
        <v>5111</v>
      </c>
      <c r="D10647" t="s">
        <v>3640</v>
      </c>
      <c r="E10647" t="s">
        <v>553</v>
      </c>
      <c r="F10647" t="s">
        <v>1068</v>
      </c>
      <c r="G10647" t="s">
        <v>1080</v>
      </c>
      <c r="H10647" s="170">
        <v>-7.1497707914487698E-9</v>
      </c>
      <c r="I10647" t="s">
        <v>1082</v>
      </c>
      <c r="J10647">
        <v>9.7200000000000006</v>
      </c>
    </row>
    <row r="10648" spans="1:10" hidden="1">
      <c r="A10648" t="s">
        <v>6534</v>
      </c>
      <c r="B10648" t="s">
        <v>6535</v>
      </c>
      <c r="C10648" t="s">
        <v>5111</v>
      </c>
      <c r="D10648" t="s">
        <v>3640</v>
      </c>
      <c r="E10648" t="s">
        <v>553</v>
      </c>
      <c r="F10648" t="s">
        <v>1068</v>
      </c>
      <c r="G10648" t="s">
        <v>1083</v>
      </c>
      <c r="H10648">
        <v>-1.7023955988346401E-4</v>
      </c>
      <c r="I10648" t="s">
        <v>1084</v>
      </c>
      <c r="J10648">
        <v>9.7200000000000006</v>
      </c>
    </row>
    <row r="10649" spans="1:10" hidden="1">
      <c r="A10649" t="s">
        <v>6534</v>
      </c>
      <c r="B10649" t="s">
        <v>6535</v>
      </c>
      <c r="C10649" t="s">
        <v>5111</v>
      </c>
      <c r="D10649" t="s">
        <v>3640</v>
      </c>
      <c r="E10649" t="s">
        <v>553</v>
      </c>
      <c r="F10649" t="s">
        <v>1068</v>
      </c>
      <c r="G10649" t="s">
        <v>1085</v>
      </c>
      <c r="H10649">
        <v>-1.5358583798119299E-3</v>
      </c>
      <c r="I10649" t="s">
        <v>1086</v>
      </c>
      <c r="J10649">
        <v>9.7200000000000006</v>
      </c>
    </row>
    <row r="10650" spans="1:10" hidden="1">
      <c r="A10650" t="s">
        <v>6534</v>
      </c>
      <c r="B10650" t="s">
        <v>6535</v>
      </c>
      <c r="C10650" t="s">
        <v>5111</v>
      </c>
      <c r="D10650" t="s">
        <v>3640</v>
      </c>
      <c r="E10650" t="s">
        <v>553</v>
      </c>
      <c r="F10650" t="s">
        <v>1068</v>
      </c>
      <c r="G10650" t="s">
        <v>1087</v>
      </c>
      <c r="H10650" s="170">
        <v>-1.0871736740742E-6</v>
      </c>
      <c r="I10650" t="s">
        <v>1088</v>
      </c>
      <c r="J10650">
        <v>9.7200000000000006</v>
      </c>
    </row>
    <row r="10651" spans="1:10" hidden="1">
      <c r="A10651" t="s">
        <v>6534</v>
      </c>
      <c r="B10651" t="s">
        <v>6535</v>
      </c>
      <c r="C10651" t="s">
        <v>5111</v>
      </c>
      <c r="D10651" t="s">
        <v>3640</v>
      </c>
      <c r="E10651" t="s">
        <v>553</v>
      </c>
      <c r="F10651" t="s">
        <v>1068</v>
      </c>
      <c r="G10651" t="s">
        <v>1089</v>
      </c>
      <c r="H10651">
        <v>-2.4495327546690201E-4</v>
      </c>
      <c r="I10651" t="s">
        <v>1090</v>
      </c>
      <c r="J10651">
        <v>9.7200000000000006</v>
      </c>
    </row>
    <row r="10652" spans="1:10" hidden="1">
      <c r="A10652" t="s">
        <v>6537</v>
      </c>
      <c r="B10652" t="s">
        <v>6538</v>
      </c>
      <c r="C10652" t="s">
        <v>5111</v>
      </c>
      <c r="D10652" t="s">
        <v>3640</v>
      </c>
      <c r="E10652" t="s">
        <v>556</v>
      </c>
      <c r="F10652" t="s">
        <v>1068</v>
      </c>
      <c r="G10652" t="s">
        <v>1069</v>
      </c>
      <c r="H10652">
        <v>-1.4418935463878999</v>
      </c>
      <c r="I10652" t="s">
        <v>1070</v>
      </c>
      <c r="J10652">
        <v>9.42</v>
      </c>
    </row>
    <row r="10653" spans="1:10" hidden="1">
      <c r="A10653" t="s">
        <v>6537</v>
      </c>
      <c r="B10653" t="s">
        <v>6538</v>
      </c>
      <c r="C10653" t="s">
        <v>5111</v>
      </c>
      <c r="D10653" t="s">
        <v>3640</v>
      </c>
      <c r="E10653" t="s">
        <v>556</v>
      </c>
      <c r="F10653" t="s">
        <v>1068</v>
      </c>
      <c r="G10653" t="s">
        <v>1071</v>
      </c>
      <c r="H10653" s="170">
        <v>-1.5487617584371999E-9</v>
      </c>
      <c r="I10653" t="s">
        <v>1072</v>
      </c>
      <c r="J10653">
        <v>9.42</v>
      </c>
    </row>
    <row r="10654" spans="1:10" hidden="1">
      <c r="A10654" t="s">
        <v>6537</v>
      </c>
      <c r="B10654" t="s">
        <v>6538</v>
      </c>
      <c r="C10654" t="s">
        <v>5111</v>
      </c>
      <c r="D10654" t="s">
        <v>3640</v>
      </c>
      <c r="E10654" t="s">
        <v>556</v>
      </c>
      <c r="F10654" t="s">
        <v>1068</v>
      </c>
      <c r="G10654" t="s">
        <v>1073</v>
      </c>
      <c r="H10654" s="170">
        <v>-5.0896130766860297E-7</v>
      </c>
      <c r="I10654" t="s">
        <v>1074</v>
      </c>
      <c r="J10654">
        <v>9.42</v>
      </c>
    </row>
    <row r="10655" spans="1:10" hidden="1">
      <c r="A10655" t="s">
        <v>6537</v>
      </c>
      <c r="B10655" t="s">
        <v>6538</v>
      </c>
      <c r="C10655" t="s">
        <v>5111</v>
      </c>
      <c r="D10655" t="s">
        <v>3640</v>
      </c>
      <c r="E10655" t="s">
        <v>556</v>
      </c>
      <c r="F10655" t="s">
        <v>1068</v>
      </c>
      <c r="G10655" t="s">
        <v>1075</v>
      </c>
      <c r="H10655">
        <v>-2.6878280585481699E-2</v>
      </c>
      <c r="I10655" t="s">
        <v>1077</v>
      </c>
      <c r="J10655">
        <v>9.42</v>
      </c>
    </row>
    <row r="10656" spans="1:10" hidden="1">
      <c r="A10656" t="s">
        <v>6537</v>
      </c>
      <c r="B10656" t="s">
        <v>6538</v>
      </c>
      <c r="C10656" t="s">
        <v>5111</v>
      </c>
      <c r="D10656" t="s">
        <v>3640</v>
      </c>
      <c r="E10656" t="s">
        <v>556</v>
      </c>
      <c r="F10656" t="s">
        <v>1068</v>
      </c>
      <c r="G10656" t="s">
        <v>1078</v>
      </c>
      <c r="H10656" s="171" t="s">
        <v>6539</v>
      </c>
      <c r="I10656" t="s">
        <v>1079</v>
      </c>
      <c r="J10656">
        <v>9.42</v>
      </c>
    </row>
    <row r="10657" spans="1:10" hidden="1">
      <c r="A10657" t="s">
        <v>6537</v>
      </c>
      <c r="B10657" t="s">
        <v>6538</v>
      </c>
      <c r="C10657" t="s">
        <v>5111</v>
      </c>
      <c r="D10657" t="s">
        <v>3640</v>
      </c>
      <c r="E10657" t="s">
        <v>556</v>
      </c>
      <c r="F10657" t="s">
        <v>1068</v>
      </c>
      <c r="G10657" t="s">
        <v>1080</v>
      </c>
      <c r="H10657" s="170">
        <v>-8.0866474800152602E-9</v>
      </c>
      <c r="I10657" t="s">
        <v>1082</v>
      </c>
      <c r="J10657">
        <v>9.42</v>
      </c>
    </row>
    <row r="10658" spans="1:10" hidden="1">
      <c r="A10658" t="s">
        <v>6537</v>
      </c>
      <c r="B10658" t="s">
        <v>6538</v>
      </c>
      <c r="C10658" t="s">
        <v>5111</v>
      </c>
      <c r="D10658" t="s">
        <v>3640</v>
      </c>
      <c r="E10658" t="s">
        <v>556</v>
      </c>
      <c r="F10658" t="s">
        <v>1068</v>
      </c>
      <c r="G10658" t="s">
        <v>1083</v>
      </c>
      <c r="H10658">
        <v>-1.9585838677937701E-4</v>
      </c>
      <c r="I10658" t="s">
        <v>1084</v>
      </c>
      <c r="J10658">
        <v>9.42</v>
      </c>
    </row>
    <row r="10659" spans="1:10" hidden="1">
      <c r="A10659" t="s">
        <v>6537</v>
      </c>
      <c r="B10659" t="s">
        <v>6538</v>
      </c>
      <c r="C10659" t="s">
        <v>5111</v>
      </c>
      <c r="D10659" t="s">
        <v>3640</v>
      </c>
      <c r="E10659" t="s">
        <v>556</v>
      </c>
      <c r="F10659" t="s">
        <v>1068</v>
      </c>
      <c r="G10659" t="s">
        <v>1085</v>
      </c>
      <c r="H10659">
        <v>-1.82540311901906E-3</v>
      </c>
      <c r="I10659" t="s">
        <v>1086</v>
      </c>
      <c r="J10659">
        <v>9.42</v>
      </c>
    </row>
    <row r="10660" spans="1:10" hidden="1">
      <c r="A10660" t="s">
        <v>6537</v>
      </c>
      <c r="B10660" t="s">
        <v>6538</v>
      </c>
      <c r="C10660" t="s">
        <v>5111</v>
      </c>
      <c r="D10660" t="s">
        <v>3640</v>
      </c>
      <c r="E10660" t="s">
        <v>556</v>
      </c>
      <c r="F10660" t="s">
        <v>1068</v>
      </c>
      <c r="G10660" t="s">
        <v>1087</v>
      </c>
      <c r="H10660" s="170">
        <v>-1.2269092872811601E-6</v>
      </c>
      <c r="I10660" t="s">
        <v>1088</v>
      </c>
      <c r="J10660">
        <v>9.42</v>
      </c>
    </row>
    <row r="10661" spans="1:10" hidden="1">
      <c r="A10661" t="s">
        <v>6537</v>
      </c>
      <c r="B10661" t="s">
        <v>6538</v>
      </c>
      <c r="C10661" t="s">
        <v>5111</v>
      </c>
      <c r="D10661" t="s">
        <v>3640</v>
      </c>
      <c r="E10661" t="s">
        <v>556</v>
      </c>
      <c r="F10661" t="s">
        <v>1068</v>
      </c>
      <c r="G10661" t="s">
        <v>1089</v>
      </c>
      <c r="H10661">
        <v>-3.0468578339088999E-4</v>
      </c>
      <c r="I10661" t="s">
        <v>1090</v>
      </c>
      <c r="J10661">
        <v>9.42</v>
      </c>
    </row>
    <row r="10662" spans="1:10" hidden="1">
      <c r="A10662" t="s">
        <v>6540</v>
      </c>
      <c r="B10662" t="s">
        <v>6541</v>
      </c>
      <c r="C10662" t="s">
        <v>5111</v>
      </c>
      <c r="D10662" t="s">
        <v>3640</v>
      </c>
      <c r="E10662" t="s">
        <v>557</v>
      </c>
      <c r="F10662" t="s">
        <v>1068</v>
      </c>
      <c r="G10662" t="s">
        <v>1069</v>
      </c>
      <c r="H10662">
        <v>-1.34496419288497</v>
      </c>
      <c r="I10662" t="s">
        <v>1070</v>
      </c>
      <c r="J10662">
        <v>10.15</v>
      </c>
    </row>
    <row r="10663" spans="1:10" hidden="1">
      <c r="A10663" t="s">
        <v>6540</v>
      </c>
      <c r="B10663" t="s">
        <v>6541</v>
      </c>
      <c r="C10663" t="s">
        <v>5111</v>
      </c>
      <c r="D10663" t="s">
        <v>3640</v>
      </c>
      <c r="E10663" t="s">
        <v>557</v>
      </c>
      <c r="F10663" t="s">
        <v>1068</v>
      </c>
      <c r="G10663" t="s">
        <v>1071</v>
      </c>
      <c r="H10663" s="170">
        <v>-1.41005476426992E-9</v>
      </c>
      <c r="I10663" t="s">
        <v>1072</v>
      </c>
      <c r="J10663">
        <v>10.15</v>
      </c>
    </row>
    <row r="10664" spans="1:10" hidden="1">
      <c r="A10664" t="s">
        <v>6540</v>
      </c>
      <c r="B10664" t="s">
        <v>6541</v>
      </c>
      <c r="C10664" t="s">
        <v>5111</v>
      </c>
      <c r="D10664" t="s">
        <v>3640</v>
      </c>
      <c r="E10664" t="s">
        <v>557</v>
      </c>
      <c r="F10664" t="s">
        <v>1068</v>
      </c>
      <c r="G10664" t="s">
        <v>1073</v>
      </c>
      <c r="H10664" s="170">
        <v>-4.7453163901214499E-7</v>
      </c>
      <c r="I10664" t="s">
        <v>1074</v>
      </c>
      <c r="J10664">
        <v>10.15</v>
      </c>
    </row>
    <row r="10665" spans="1:10" hidden="1">
      <c r="A10665" t="s">
        <v>6540</v>
      </c>
      <c r="B10665" t="s">
        <v>6541</v>
      </c>
      <c r="C10665" t="s">
        <v>5111</v>
      </c>
      <c r="D10665" t="s">
        <v>3640</v>
      </c>
      <c r="E10665" t="s">
        <v>557</v>
      </c>
      <c r="F10665" t="s">
        <v>1068</v>
      </c>
      <c r="G10665" t="s">
        <v>1075</v>
      </c>
      <c r="H10665">
        <v>-2.3814234061144E-2</v>
      </c>
      <c r="I10665" t="s">
        <v>1077</v>
      </c>
      <c r="J10665">
        <v>10.15</v>
      </c>
    </row>
    <row r="10666" spans="1:10" hidden="1">
      <c r="A10666" t="s">
        <v>6540</v>
      </c>
      <c r="B10666" t="s">
        <v>6541</v>
      </c>
      <c r="C10666" t="s">
        <v>5111</v>
      </c>
      <c r="D10666" t="s">
        <v>3640</v>
      </c>
      <c r="E10666" t="s">
        <v>557</v>
      </c>
      <c r="F10666" t="s">
        <v>1068</v>
      </c>
      <c r="G10666" t="s">
        <v>1078</v>
      </c>
      <c r="H10666" s="171" t="s">
        <v>6542</v>
      </c>
      <c r="I10666" t="s">
        <v>1079</v>
      </c>
      <c r="J10666">
        <v>10.15</v>
      </c>
    </row>
    <row r="10667" spans="1:10" hidden="1">
      <c r="A10667" t="s">
        <v>6540</v>
      </c>
      <c r="B10667" t="s">
        <v>6541</v>
      </c>
      <c r="C10667" t="s">
        <v>5111</v>
      </c>
      <c r="D10667" t="s">
        <v>3640</v>
      </c>
      <c r="E10667" t="s">
        <v>557</v>
      </c>
      <c r="F10667" t="s">
        <v>1068</v>
      </c>
      <c r="G10667" t="s">
        <v>1080</v>
      </c>
      <c r="H10667" s="170">
        <v>-7.5478509200656394E-9</v>
      </c>
      <c r="I10667" t="s">
        <v>1082</v>
      </c>
      <c r="J10667">
        <v>10.15</v>
      </c>
    </row>
    <row r="10668" spans="1:10" hidden="1">
      <c r="A10668" t="s">
        <v>6540</v>
      </c>
      <c r="B10668" t="s">
        <v>6541</v>
      </c>
      <c r="C10668" t="s">
        <v>5111</v>
      </c>
      <c r="D10668" t="s">
        <v>3640</v>
      </c>
      <c r="E10668" t="s">
        <v>557</v>
      </c>
      <c r="F10668" t="s">
        <v>1068</v>
      </c>
      <c r="G10668" t="s">
        <v>1083</v>
      </c>
      <c r="H10668">
        <v>-1.81125032880915E-4</v>
      </c>
      <c r="I10668" t="s">
        <v>1084</v>
      </c>
      <c r="J10668">
        <v>10.15</v>
      </c>
    </row>
    <row r="10669" spans="1:10" hidden="1">
      <c r="A10669" t="s">
        <v>6540</v>
      </c>
      <c r="B10669" t="s">
        <v>6541</v>
      </c>
      <c r="C10669" t="s">
        <v>5111</v>
      </c>
      <c r="D10669" t="s">
        <v>3640</v>
      </c>
      <c r="E10669" t="s">
        <v>557</v>
      </c>
      <c r="F10669" t="s">
        <v>1068</v>
      </c>
      <c r="G10669" t="s">
        <v>1085</v>
      </c>
      <c r="H10669">
        <v>-1.65888631756951E-3</v>
      </c>
      <c r="I10669" t="s">
        <v>1086</v>
      </c>
      <c r="J10669">
        <v>10.15</v>
      </c>
    </row>
    <row r="10670" spans="1:10" hidden="1">
      <c r="A10670" t="s">
        <v>6540</v>
      </c>
      <c r="B10670" t="s">
        <v>6541</v>
      </c>
      <c r="C10670" t="s">
        <v>5111</v>
      </c>
      <c r="D10670" t="s">
        <v>3640</v>
      </c>
      <c r="E10670" t="s">
        <v>557</v>
      </c>
      <c r="F10670" t="s">
        <v>1068</v>
      </c>
      <c r="G10670" t="s">
        <v>1087</v>
      </c>
      <c r="H10670" s="170">
        <v>-1.1465475185612899E-6</v>
      </c>
      <c r="I10670" t="s">
        <v>1088</v>
      </c>
      <c r="J10670">
        <v>10.15</v>
      </c>
    </row>
    <row r="10671" spans="1:10" hidden="1">
      <c r="A10671" t="s">
        <v>6540</v>
      </c>
      <c r="B10671" t="s">
        <v>6541</v>
      </c>
      <c r="C10671" t="s">
        <v>5111</v>
      </c>
      <c r="D10671" t="s">
        <v>3640</v>
      </c>
      <c r="E10671" t="s">
        <v>557</v>
      </c>
      <c r="F10671" t="s">
        <v>1068</v>
      </c>
      <c r="G10671" t="s">
        <v>1089</v>
      </c>
      <c r="H10671">
        <v>-2.7033369608909098E-4</v>
      </c>
      <c r="I10671" t="s">
        <v>1090</v>
      </c>
      <c r="J10671">
        <v>10.15</v>
      </c>
    </row>
    <row r="10672" spans="1:10" hidden="1">
      <c r="A10672" t="s">
        <v>6543</v>
      </c>
      <c r="B10672" t="s">
        <v>6544</v>
      </c>
      <c r="C10672" t="s">
        <v>5111</v>
      </c>
      <c r="D10672" t="s">
        <v>3640</v>
      </c>
      <c r="E10672" t="s">
        <v>559</v>
      </c>
      <c r="F10672" t="s">
        <v>1068</v>
      </c>
      <c r="G10672" t="s">
        <v>1069</v>
      </c>
      <c r="H10672">
        <v>-1.3917951184057</v>
      </c>
      <c r="I10672" t="s">
        <v>1070</v>
      </c>
      <c r="J10672">
        <v>8.83</v>
      </c>
    </row>
    <row r="10673" spans="1:10" hidden="1">
      <c r="A10673" t="s">
        <v>6543</v>
      </c>
      <c r="B10673" t="s">
        <v>6544</v>
      </c>
      <c r="C10673" t="s">
        <v>5111</v>
      </c>
      <c r="D10673" t="s">
        <v>3640</v>
      </c>
      <c r="E10673" t="s">
        <v>559</v>
      </c>
      <c r="F10673" t="s">
        <v>1068</v>
      </c>
      <c r="G10673" t="s">
        <v>1071</v>
      </c>
      <c r="H10673" s="170">
        <v>-1.47707033803066E-9</v>
      </c>
      <c r="I10673" t="s">
        <v>1072</v>
      </c>
      <c r="J10673">
        <v>8.83</v>
      </c>
    </row>
    <row r="10674" spans="1:10" hidden="1">
      <c r="A10674" t="s">
        <v>6543</v>
      </c>
      <c r="B10674" t="s">
        <v>6544</v>
      </c>
      <c r="C10674" t="s">
        <v>5111</v>
      </c>
      <c r="D10674" t="s">
        <v>3640</v>
      </c>
      <c r="E10674" t="s">
        <v>559</v>
      </c>
      <c r="F10674" t="s">
        <v>1068</v>
      </c>
      <c r="G10674" t="s">
        <v>1073</v>
      </c>
      <c r="H10674" s="170">
        <v>-4.9116618752824904E-7</v>
      </c>
      <c r="I10674" t="s">
        <v>1074</v>
      </c>
      <c r="J10674">
        <v>8.83</v>
      </c>
    </row>
    <row r="10675" spans="1:10" hidden="1">
      <c r="A10675" t="s">
        <v>6543</v>
      </c>
      <c r="B10675" t="s">
        <v>6544</v>
      </c>
      <c r="C10675" t="s">
        <v>5111</v>
      </c>
      <c r="D10675" t="s">
        <v>3640</v>
      </c>
      <c r="E10675" t="s">
        <v>559</v>
      </c>
      <c r="F10675" t="s">
        <v>1068</v>
      </c>
      <c r="G10675" t="s">
        <v>1075</v>
      </c>
      <c r="H10675">
        <v>-2.52946157583432E-2</v>
      </c>
      <c r="I10675" t="s">
        <v>1077</v>
      </c>
      <c r="J10675">
        <v>8.83</v>
      </c>
    </row>
    <row r="10676" spans="1:10" hidden="1">
      <c r="A10676" t="s">
        <v>6543</v>
      </c>
      <c r="B10676" t="s">
        <v>6544</v>
      </c>
      <c r="C10676" t="s">
        <v>5111</v>
      </c>
      <c r="D10676" t="s">
        <v>3640</v>
      </c>
      <c r="E10676" t="s">
        <v>559</v>
      </c>
      <c r="F10676" t="s">
        <v>1068</v>
      </c>
      <c r="G10676" t="s">
        <v>1078</v>
      </c>
      <c r="H10676" s="171" t="s">
        <v>6545</v>
      </c>
      <c r="I10676" t="s">
        <v>1079</v>
      </c>
      <c r="J10676">
        <v>8.83</v>
      </c>
    </row>
    <row r="10677" spans="1:10" hidden="1">
      <c r="A10677" t="s">
        <v>6543</v>
      </c>
      <c r="B10677" t="s">
        <v>6544</v>
      </c>
      <c r="C10677" t="s">
        <v>5111</v>
      </c>
      <c r="D10677" t="s">
        <v>3640</v>
      </c>
      <c r="E10677" t="s">
        <v>559</v>
      </c>
      <c r="F10677" t="s">
        <v>1068</v>
      </c>
      <c r="G10677" t="s">
        <v>1080</v>
      </c>
      <c r="H10677" s="170">
        <v>-7.8081683008806597E-9</v>
      </c>
      <c r="I10677" t="s">
        <v>1082</v>
      </c>
      <c r="J10677">
        <v>8.83</v>
      </c>
    </row>
    <row r="10678" spans="1:10" hidden="1">
      <c r="A10678" t="s">
        <v>6543</v>
      </c>
      <c r="B10678" t="s">
        <v>6544</v>
      </c>
      <c r="C10678" t="s">
        <v>5111</v>
      </c>
      <c r="D10678" t="s">
        <v>3640</v>
      </c>
      <c r="E10678" t="s">
        <v>559</v>
      </c>
      <c r="F10678" t="s">
        <v>1068</v>
      </c>
      <c r="G10678" t="s">
        <v>1083</v>
      </c>
      <c r="H10678">
        <v>-1.88243393289377E-4</v>
      </c>
      <c r="I10678" t="s">
        <v>1084</v>
      </c>
      <c r="J10678">
        <v>8.83</v>
      </c>
    </row>
    <row r="10679" spans="1:10" hidden="1">
      <c r="A10679" t="s">
        <v>6543</v>
      </c>
      <c r="B10679" t="s">
        <v>6544</v>
      </c>
      <c r="C10679" t="s">
        <v>5111</v>
      </c>
      <c r="D10679" t="s">
        <v>3640</v>
      </c>
      <c r="E10679" t="s">
        <v>559</v>
      </c>
      <c r="F10679" t="s">
        <v>1068</v>
      </c>
      <c r="G10679" t="s">
        <v>1085</v>
      </c>
      <c r="H10679">
        <v>-1.7393382373957101E-3</v>
      </c>
      <c r="I10679" t="s">
        <v>1086</v>
      </c>
      <c r="J10679">
        <v>8.83</v>
      </c>
    </row>
    <row r="10680" spans="1:10" hidden="1">
      <c r="A10680" t="s">
        <v>6543</v>
      </c>
      <c r="B10680" t="s">
        <v>6544</v>
      </c>
      <c r="C10680" t="s">
        <v>5111</v>
      </c>
      <c r="D10680" t="s">
        <v>3640</v>
      </c>
      <c r="E10680" t="s">
        <v>559</v>
      </c>
      <c r="F10680" t="s">
        <v>1068</v>
      </c>
      <c r="G10680" t="s">
        <v>1087</v>
      </c>
      <c r="H10680" s="170">
        <v>-1.1853739824361999E-6</v>
      </c>
      <c r="I10680" t="s">
        <v>1088</v>
      </c>
      <c r="J10680">
        <v>8.83</v>
      </c>
    </row>
    <row r="10681" spans="1:10" hidden="1">
      <c r="A10681" t="s">
        <v>6543</v>
      </c>
      <c r="B10681" t="s">
        <v>6544</v>
      </c>
      <c r="C10681" t="s">
        <v>5111</v>
      </c>
      <c r="D10681" t="s">
        <v>3640</v>
      </c>
      <c r="E10681" t="s">
        <v>559</v>
      </c>
      <c r="F10681" t="s">
        <v>1068</v>
      </c>
      <c r="G10681" t="s">
        <v>1089</v>
      </c>
      <c r="H10681">
        <v>-2.8693076826742301E-4</v>
      </c>
      <c r="I10681" t="s">
        <v>1090</v>
      </c>
      <c r="J10681">
        <v>8.83</v>
      </c>
    </row>
    <row r="10682" spans="1:10" hidden="1">
      <c r="A10682" t="s">
        <v>6546</v>
      </c>
      <c r="B10682" t="s">
        <v>6547</v>
      </c>
      <c r="C10682" t="s">
        <v>5111</v>
      </c>
      <c r="D10682" t="s">
        <v>3640</v>
      </c>
      <c r="E10682" t="s">
        <v>560</v>
      </c>
      <c r="F10682" t="s">
        <v>1068</v>
      </c>
      <c r="G10682" t="s">
        <v>1069</v>
      </c>
      <c r="H10682">
        <v>-1.3758380554727601</v>
      </c>
      <c r="I10682" t="s">
        <v>1070</v>
      </c>
      <c r="J10682">
        <v>11.14</v>
      </c>
    </row>
    <row r="10683" spans="1:10" hidden="1">
      <c r="A10683" t="s">
        <v>6546</v>
      </c>
      <c r="B10683" t="s">
        <v>6547</v>
      </c>
      <c r="C10683" t="s">
        <v>5111</v>
      </c>
      <c r="D10683" t="s">
        <v>3640</v>
      </c>
      <c r="E10683" t="s">
        <v>560</v>
      </c>
      <c r="F10683" t="s">
        <v>1068</v>
      </c>
      <c r="G10683" t="s">
        <v>1071</v>
      </c>
      <c r="H10683" s="170">
        <v>-1.4542356128814101E-9</v>
      </c>
      <c r="I10683" t="s">
        <v>1072</v>
      </c>
      <c r="J10683">
        <v>11.14</v>
      </c>
    </row>
    <row r="10684" spans="1:10" hidden="1">
      <c r="A10684" t="s">
        <v>6546</v>
      </c>
      <c r="B10684" t="s">
        <v>6547</v>
      </c>
      <c r="C10684" t="s">
        <v>5111</v>
      </c>
      <c r="D10684" t="s">
        <v>3640</v>
      </c>
      <c r="E10684" t="s">
        <v>560</v>
      </c>
      <c r="F10684" t="s">
        <v>1068</v>
      </c>
      <c r="G10684" t="s">
        <v>1073</v>
      </c>
      <c r="H10684" s="170">
        <v>-4.85498132694175E-7</v>
      </c>
      <c r="I10684" t="s">
        <v>1074</v>
      </c>
      <c r="J10684">
        <v>11.14</v>
      </c>
    </row>
    <row r="10685" spans="1:10" hidden="1">
      <c r="A10685" t="s">
        <v>6546</v>
      </c>
      <c r="B10685" t="s">
        <v>6547</v>
      </c>
      <c r="C10685" t="s">
        <v>5111</v>
      </c>
      <c r="D10685" t="s">
        <v>3640</v>
      </c>
      <c r="E10685" t="s">
        <v>560</v>
      </c>
      <c r="F10685" t="s">
        <v>1068</v>
      </c>
      <c r="G10685" t="s">
        <v>1075</v>
      </c>
      <c r="H10685">
        <v>-2.47901898391488E-2</v>
      </c>
      <c r="I10685" t="s">
        <v>1077</v>
      </c>
      <c r="J10685">
        <v>11.14</v>
      </c>
    </row>
    <row r="10686" spans="1:10" hidden="1">
      <c r="A10686" t="s">
        <v>6546</v>
      </c>
      <c r="B10686" t="s">
        <v>6547</v>
      </c>
      <c r="C10686" t="s">
        <v>5111</v>
      </c>
      <c r="D10686" t="s">
        <v>3640</v>
      </c>
      <c r="E10686" t="s">
        <v>560</v>
      </c>
      <c r="F10686" t="s">
        <v>1068</v>
      </c>
      <c r="G10686" t="s">
        <v>1078</v>
      </c>
      <c r="H10686" s="171" t="s">
        <v>6548</v>
      </c>
      <c r="I10686" t="s">
        <v>1079</v>
      </c>
      <c r="J10686">
        <v>11.14</v>
      </c>
    </row>
    <row r="10687" spans="1:10" hidden="1">
      <c r="A10687" t="s">
        <v>6546</v>
      </c>
      <c r="B10687" t="s">
        <v>6547</v>
      </c>
      <c r="C10687" t="s">
        <v>5111</v>
      </c>
      <c r="D10687" t="s">
        <v>3640</v>
      </c>
      <c r="E10687" t="s">
        <v>560</v>
      </c>
      <c r="F10687" t="s">
        <v>1068</v>
      </c>
      <c r="G10687" t="s">
        <v>1080</v>
      </c>
      <c r="H10687" s="170">
        <v>-7.7194676405186892E-9</v>
      </c>
      <c r="I10687" t="s">
        <v>1082</v>
      </c>
      <c r="J10687">
        <v>11.14</v>
      </c>
    </row>
    <row r="10688" spans="1:10" hidden="1">
      <c r="A10688" t="s">
        <v>6546</v>
      </c>
      <c r="B10688" t="s">
        <v>6547</v>
      </c>
      <c r="C10688" t="s">
        <v>5111</v>
      </c>
      <c r="D10688" t="s">
        <v>3640</v>
      </c>
      <c r="E10688" t="s">
        <v>560</v>
      </c>
      <c r="F10688" t="s">
        <v>1068</v>
      </c>
      <c r="G10688" t="s">
        <v>1083</v>
      </c>
      <c r="H10688">
        <v>-1.8581787998383299E-4</v>
      </c>
      <c r="I10688" t="s">
        <v>1084</v>
      </c>
      <c r="J10688">
        <v>11.14</v>
      </c>
    </row>
    <row r="10689" spans="1:10" hidden="1">
      <c r="A10689" t="s">
        <v>6546</v>
      </c>
      <c r="B10689" t="s">
        <v>6547</v>
      </c>
      <c r="C10689" t="s">
        <v>5111</v>
      </c>
      <c r="D10689" t="s">
        <v>3640</v>
      </c>
      <c r="E10689" t="s">
        <v>560</v>
      </c>
      <c r="F10689" t="s">
        <v>1068</v>
      </c>
      <c r="G10689" t="s">
        <v>1085</v>
      </c>
      <c r="H10689">
        <v>-1.71192501430898E-3</v>
      </c>
      <c r="I10689" t="s">
        <v>1086</v>
      </c>
      <c r="J10689">
        <v>11.14</v>
      </c>
    </row>
    <row r="10690" spans="1:10" hidden="1">
      <c r="A10690" t="s">
        <v>6546</v>
      </c>
      <c r="B10690" t="s">
        <v>6547</v>
      </c>
      <c r="C10690" t="s">
        <v>5111</v>
      </c>
      <c r="D10690" t="s">
        <v>3640</v>
      </c>
      <c r="E10690" t="s">
        <v>560</v>
      </c>
      <c r="F10690" t="s">
        <v>1068</v>
      </c>
      <c r="G10690" t="s">
        <v>1087</v>
      </c>
      <c r="H10690" s="170">
        <v>-1.17214423578324E-6</v>
      </c>
      <c r="I10690" t="s">
        <v>1088</v>
      </c>
      <c r="J10690">
        <v>11.14</v>
      </c>
    </row>
    <row r="10691" spans="1:10" hidden="1">
      <c r="A10691" t="s">
        <v>6546</v>
      </c>
      <c r="B10691" t="s">
        <v>6547</v>
      </c>
      <c r="C10691" t="s">
        <v>5111</v>
      </c>
      <c r="D10691" t="s">
        <v>3640</v>
      </c>
      <c r="E10691" t="s">
        <v>560</v>
      </c>
      <c r="F10691" t="s">
        <v>1068</v>
      </c>
      <c r="G10691" t="s">
        <v>1089</v>
      </c>
      <c r="H10691">
        <v>-2.81275474489018E-4</v>
      </c>
      <c r="I10691" t="s">
        <v>1090</v>
      </c>
      <c r="J10691">
        <v>11.14</v>
      </c>
    </row>
    <row r="10692" spans="1:10" hidden="1">
      <c r="A10692" t="s">
        <v>6549</v>
      </c>
      <c r="B10692" t="s">
        <v>6550</v>
      </c>
      <c r="C10692" t="s">
        <v>5111</v>
      </c>
      <c r="D10692" t="s">
        <v>3640</v>
      </c>
      <c r="E10692" t="s">
        <v>1116</v>
      </c>
      <c r="F10692" t="s">
        <v>1068</v>
      </c>
      <c r="G10692" t="s">
        <v>1069</v>
      </c>
      <c r="H10692">
        <v>-1.2821327776828</v>
      </c>
      <c r="I10692" t="s">
        <v>1070</v>
      </c>
      <c r="J10692">
        <v>8.94</v>
      </c>
    </row>
    <row r="10693" spans="1:10" hidden="1">
      <c r="A10693" t="s">
        <v>6549</v>
      </c>
      <c r="B10693" t="s">
        <v>6550</v>
      </c>
      <c r="C10693" t="s">
        <v>5111</v>
      </c>
      <c r="D10693" t="s">
        <v>3640</v>
      </c>
      <c r="E10693" t="s">
        <v>1116</v>
      </c>
      <c r="F10693" t="s">
        <v>1068</v>
      </c>
      <c r="G10693" t="s">
        <v>1071</v>
      </c>
      <c r="H10693" s="170">
        <v>-1.32014229428986E-9</v>
      </c>
      <c r="I10693" t="s">
        <v>1072</v>
      </c>
      <c r="J10693">
        <v>8.94</v>
      </c>
    </row>
    <row r="10694" spans="1:10" hidden="1">
      <c r="A10694" t="s">
        <v>6549</v>
      </c>
      <c r="B10694" t="s">
        <v>6550</v>
      </c>
      <c r="C10694" t="s">
        <v>5111</v>
      </c>
      <c r="D10694" t="s">
        <v>3640</v>
      </c>
      <c r="E10694" t="s">
        <v>1116</v>
      </c>
      <c r="F10694" t="s">
        <v>1068</v>
      </c>
      <c r="G10694" t="s">
        <v>1073</v>
      </c>
      <c r="H10694" s="170">
        <v>-4.5221372152162999E-7</v>
      </c>
      <c r="I10694" t="s">
        <v>1074</v>
      </c>
      <c r="J10694">
        <v>8.94</v>
      </c>
    </row>
    <row r="10695" spans="1:10" hidden="1">
      <c r="A10695" t="s">
        <v>6549</v>
      </c>
      <c r="B10695" t="s">
        <v>6550</v>
      </c>
      <c r="C10695" t="s">
        <v>5111</v>
      </c>
      <c r="D10695" t="s">
        <v>3640</v>
      </c>
      <c r="E10695" t="s">
        <v>1116</v>
      </c>
      <c r="F10695" t="s">
        <v>1068</v>
      </c>
      <c r="G10695" t="s">
        <v>1075</v>
      </c>
      <c r="H10695">
        <v>-2.1828065905720499E-2</v>
      </c>
      <c r="I10695" t="s">
        <v>1077</v>
      </c>
      <c r="J10695">
        <v>8.94</v>
      </c>
    </row>
    <row r="10696" spans="1:10" hidden="1">
      <c r="A10696" t="s">
        <v>6549</v>
      </c>
      <c r="B10696" t="s">
        <v>6550</v>
      </c>
      <c r="C10696" t="s">
        <v>5111</v>
      </c>
      <c r="D10696" t="s">
        <v>3640</v>
      </c>
      <c r="E10696" t="s">
        <v>1116</v>
      </c>
      <c r="F10696" t="s">
        <v>1068</v>
      </c>
      <c r="G10696" t="s">
        <v>1078</v>
      </c>
      <c r="H10696" s="171" t="s">
        <v>6551</v>
      </c>
      <c r="I10696" t="s">
        <v>1079</v>
      </c>
      <c r="J10696">
        <v>8.94</v>
      </c>
    </row>
    <row r="10697" spans="1:10" hidden="1">
      <c r="A10697" t="s">
        <v>6549</v>
      </c>
      <c r="B10697" t="s">
        <v>6550</v>
      </c>
      <c r="C10697" t="s">
        <v>5111</v>
      </c>
      <c r="D10697" t="s">
        <v>3640</v>
      </c>
      <c r="E10697" t="s">
        <v>1116</v>
      </c>
      <c r="F10697" t="s">
        <v>1068</v>
      </c>
      <c r="G10697" t="s">
        <v>1080</v>
      </c>
      <c r="H10697" s="170">
        <v>-7.1985936352745803E-9</v>
      </c>
      <c r="I10697" t="s">
        <v>1082</v>
      </c>
      <c r="J10697">
        <v>8.94</v>
      </c>
    </row>
    <row r="10698" spans="1:10" hidden="1">
      <c r="A10698" t="s">
        <v>6549</v>
      </c>
      <c r="B10698" t="s">
        <v>6550</v>
      </c>
      <c r="C10698" t="s">
        <v>5111</v>
      </c>
      <c r="D10698" t="s">
        <v>3640</v>
      </c>
      <c r="E10698" t="s">
        <v>1116</v>
      </c>
      <c r="F10698" t="s">
        <v>1068</v>
      </c>
      <c r="G10698" t="s">
        <v>1083</v>
      </c>
      <c r="H10698">
        <v>-1.7157461708938899E-4</v>
      </c>
      <c r="I10698" t="s">
        <v>1084</v>
      </c>
      <c r="J10698">
        <v>8.94</v>
      </c>
    </row>
    <row r="10699" spans="1:10" hidden="1">
      <c r="A10699" t="s">
        <v>6549</v>
      </c>
      <c r="B10699" t="s">
        <v>6550</v>
      </c>
      <c r="C10699" t="s">
        <v>5111</v>
      </c>
      <c r="D10699" t="s">
        <v>3640</v>
      </c>
      <c r="E10699" t="s">
        <v>1116</v>
      </c>
      <c r="F10699" t="s">
        <v>1068</v>
      </c>
      <c r="G10699" t="s">
        <v>1085</v>
      </c>
      <c r="H10699">
        <v>-1.55094723585775E-3</v>
      </c>
      <c r="I10699" t="s">
        <v>1086</v>
      </c>
      <c r="J10699">
        <v>8.94</v>
      </c>
    </row>
    <row r="10700" spans="1:10" hidden="1">
      <c r="A10700" t="s">
        <v>6549</v>
      </c>
      <c r="B10700" t="s">
        <v>6550</v>
      </c>
      <c r="C10700" t="s">
        <v>5111</v>
      </c>
      <c r="D10700" t="s">
        <v>3640</v>
      </c>
      <c r="E10700" t="s">
        <v>1116</v>
      </c>
      <c r="F10700" t="s">
        <v>1068</v>
      </c>
      <c r="G10700" t="s">
        <v>1087</v>
      </c>
      <c r="H10700" s="170">
        <v>-1.09445562487574E-6</v>
      </c>
      <c r="I10700" t="s">
        <v>1088</v>
      </c>
      <c r="J10700">
        <v>8.94</v>
      </c>
    </row>
    <row r="10701" spans="1:10" hidden="1">
      <c r="A10701" t="s">
        <v>6549</v>
      </c>
      <c r="B10701" t="s">
        <v>6550</v>
      </c>
      <c r="C10701" t="s">
        <v>5111</v>
      </c>
      <c r="D10701" t="s">
        <v>3640</v>
      </c>
      <c r="E10701" t="s">
        <v>1116</v>
      </c>
      <c r="F10701" t="s">
        <v>1068</v>
      </c>
      <c r="G10701" t="s">
        <v>1089</v>
      </c>
      <c r="H10701">
        <v>-2.4806607668315399E-4</v>
      </c>
      <c r="I10701" t="s">
        <v>1090</v>
      </c>
      <c r="J10701">
        <v>8.94</v>
      </c>
    </row>
    <row r="10702" spans="1:10" hidden="1">
      <c r="A10702" t="s">
        <v>6552</v>
      </c>
      <c r="B10702" t="s">
        <v>6553</v>
      </c>
      <c r="C10702" t="s">
        <v>5111</v>
      </c>
      <c r="D10702" t="s">
        <v>1396</v>
      </c>
      <c r="E10702" t="s">
        <v>561</v>
      </c>
      <c r="F10702" t="s">
        <v>1068</v>
      </c>
      <c r="G10702" t="s">
        <v>1069</v>
      </c>
      <c r="H10702">
        <v>-0.64044704671240205</v>
      </c>
      <c r="I10702" t="s">
        <v>1070</v>
      </c>
      <c r="J10702">
        <v>9.23</v>
      </c>
    </row>
    <row r="10703" spans="1:10" hidden="1">
      <c r="A10703" t="s">
        <v>6552</v>
      </c>
      <c r="B10703" t="s">
        <v>6553</v>
      </c>
      <c r="C10703" t="s">
        <v>5111</v>
      </c>
      <c r="D10703" t="s">
        <v>1396</v>
      </c>
      <c r="E10703" t="s">
        <v>561</v>
      </c>
      <c r="F10703" t="s">
        <v>1068</v>
      </c>
      <c r="G10703" t="s">
        <v>1071</v>
      </c>
      <c r="H10703" s="170">
        <v>-6.2311881074040305E-10</v>
      </c>
      <c r="I10703" t="s">
        <v>1072</v>
      </c>
      <c r="J10703">
        <v>9.23</v>
      </c>
    </row>
    <row r="10704" spans="1:10" hidden="1">
      <c r="A10704" t="s">
        <v>6552</v>
      </c>
      <c r="B10704" t="s">
        <v>6553</v>
      </c>
      <c r="C10704" t="s">
        <v>5111</v>
      </c>
      <c r="D10704" t="s">
        <v>1396</v>
      </c>
      <c r="E10704" t="s">
        <v>561</v>
      </c>
      <c r="F10704" t="s">
        <v>1068</v>
      </c>
      <c r="G10704" t="s">
        <v>1073</v>
      </c>
      <c r="H10704" s="170">
        <v>-2.2405329551623499E-7</v>
      </c>
      <c r="I10704" t="s">
        <v>1074</v>
      </c>
      <c r="J10704">
        <v>9.23</v>
      </c>
    </row>
    <row r="10705" spans="1:10" hidden="1">
      <c r="A10705" t="s">
        <v>6552</v>
      </c>
      <c r="B10705" t="s">
        <v>6553</v>
      </c>
      <c r="C10705" t="s">
        <v>5111</v>
      </c>
      <c r="D10705" t="s">
        <v>1396</v>
      </c>
      <c r="E10705" t="s">
        <v>561</v>
      </c>
      <c r="F10705" t="s">
        <v>1068</v>
      </c>
      <c r="G10705" t="s">
        <v>1075</v>
      </c>
      <c r="H10705">
        <v>-1.0698267321454199E-2</v>
      </c>
      <c r="I10705" t="s">
        <v>1077</v>
      </c>
      <c r="J10705">
        <v>9.23</v>
      </c>
    </row>
    <row r="10706" spans="1:10" hidden="1">
      <c r="A10706" t="s">
        <v>6552</v>
      </c>
      <c r="B10706" t="s">
        <v>6553</v>
      </c>
      <c r="C10706" t="s">
        <v>5111</v>
      </c>
      <c r="D10706" t="s">
        <v>1396</v>
      </c>
      <c r="E10706" t="s">
        <v>561</v>
      </c>
      <c r="F10706" t="s">
        <v>1068</v>
      </c>
      <c r="G10706" t="s">
        <v>1078</v>
      </c>
      <c r="H10706">
        <v>-0.909547708920311</v>
      </c>
      <c r="I10706" t="s">
        <v>1079</v>
      </c>
      <c r="J10706">
        <v>9.23</v>
      </c>
    </row>
    <row r="10707" spans="1:10" hidden="1">
      <c r="A10707" t="s">
        <v>6552</v>
      </c>
      <c r="B10707" t="s">
        <v>6553</v>
      </c>
      <c r="C10707" t="s">
        <v>5111</v>
      </c>
      <c r="D10707" t="s">
        <v>1396</v>
      </c>
      <c r="E10707" t="s">
        <v>561</v>
      </c>
      <c r="F10707" t="s">
        <v>1068</v>
      </c>
      <c r="G10707" t="s">
        <v>1080</v>
      </c>
      <c r="H10707" s="170">
        <v>-3.6319554355986599E-9</v>
      </c>
      <c r="I10707" t="s">
        <v>1082</v>
      </c>
      <c r="J10707">
        <v>9.23</v>
      </c>
    </row>
    <row r="10708" spans="1:10" hidden="1">
      <c r="A10708" t="s">
        <v>6552</v>
      </c>
      <c r="B10708" t="s">
        <v>6553</v>
      </c>
      <c r="C10708" t="s">
        <v>5111</v>
      </c>
      <c r="D10708" t="s">
        <v>1396</v>
      </c>
      <c r="E10708" t="s">
        <v>561</v>
      </c>
      <c r="F10708" t="s">
        <v>1068</v>
      </c>
      <c r="G10708" t="s">
        <v>1083</v>
      </c>
      <c r="H10708" s="170">
        <v>-8.6744826553362804E-5</v>
      </c>
      <c r="I10708" t="s">
        <v>1084</v>
      </c>
      <c r="J10708">
        <v>9.23</v>
      </c>
    </row>
    <row r="10709" spans="1:10" hidden="1">
      <c r="A10709" t="s">
        <v>6552</v>
      </c>
      <c r="B10709" t="s">
        <v>6553</v>
      </c>
      <c r="C10709" t="s">
        <v>5111</v>
      </c>
      <c r="D10709" t="s">
        <v>1396</v>
      </c>
      <c r="E10709" t="s">
        <v>561</v>
      </c>
      <c r="F10709" t="s">
        <v>1068</v>
      </c>
      <c r="G10709" t="s">
        <v>1085</v>
      </c>
      <c r="H10709">
        <v>-7.6542410182888398E-4</v>
      </c>
      <c r="I10709" t="s">
        <v>1086</v>
      </c>
      <c r="J10709">
        <v>9.23</v>
      </c>
    </row>
    <row r="10710" spans="1:10" hidden="1">
      <c r="A10710" t="s">
        <v>6552</v>
      </c>
      <c r="B10710" t="s">
        <v>6553</v>
      </c>
      <c r="C10710" t="s">
        <v>5111</v>
      </c>
      <c r="D10710" t="s">
        <v>1396</v>
      </c>
      <c r="E10710" t="s">
        <v>561</v>
      </c>
      <c r="F10710" t="s">
        <v>1068</v>
      </c>
      <c r="G10710" t="s">
        <v>1087</v>
      </c>
      <c r="H10710" s="170">
        <v>-5.6238885372816798E-7</v>
      </c>
      <c r="I10710" t="s">
        <v>1088</v>
      </c>
      <c r="J10710">
        <v>9.23</v>
      </c>
    </row>
    <row r="10711" spans="1:10" hidden="1">
      <c r="A10711" t="s">
        <v>6552</v>
      </c>
      <c r="B10711" t="s">
        <v>6553</v>
      </c>
      <c r="C10711" t="s">
        <v>5111</v>
      </c>
      <c r="D10711" t="s">
        <v>1396</v>
      </c>
      <c r="E10711" t="s">
        <v>561</v>
      </c>
      <c r="F10711" t="s">
        <v>1068</v>
      </c>
      <c r="G10711" t="s">
        <v>1089</v>
      </c>
      <c r="H10711">
        <v>-1.22319232010481E-4</v>
      </c>
      <c r="I10711" t="s">
        <v>1090</v>
      </c>
      <c r="J10711">
        <v>9.23</v>
      </c>
    </row>
    <row r="10712" spans="1:10" hidden="1">
      <c r="A10712" t="s">
        <v>6554</v>
      </c>
      <c r="B10712" t="s">
        <v>6555</v>
      </c>
      <c r="C10712" t="s">
        <v>5111</v>
      </c>
      <c r="D10712" t="s">
        <v>1396</v>
      </c>
      <c r="E10712" t="s">
        <v>555</v>
      </c>
      <c r="F10712" t="s">
        <v>1068</v>
      </c>
      <c r="G10712" t="s">
        <v>1069</v>
      </c>
      <c r="H10712">
        <v>-0.72099628516030201</v>
      </c>
      <c r="I10712" t="s">
        <v>1070</v>
      </c>
      <c r="J10712">
        <v>9.24</v>
      </c>
    </row>
    <row r="10713" spans="1:10" hidden="1">
      <c r="A10713" t="s">
        <v>6554</v>
      </c>
      <c r="B10713" t="s">
        <v>6555</v>
      </c>
      <c r="C10713" t="s">
        <v>5111</v>
      </c>
      <c r="D10713" t="s">
        <v>1396</v>
      </c>
      <c r="E10713" t="s">
        <v>555</v>
      </c>
      <c r="F10713" t="s">
        <v>1068</v>
      </c>
      <c r="G10713" t="s">
        <v>1071</v>
      </c>
      <c r="H10713" s="170">
        <v>-7.3838567530401797E-10</v>
      </c>
      <c r="I10713" t="s">
        <v>1072</v>
      </c>
      <c r="J10713">
        <v>9.24</v>
      </c>
    </row>
    <row r="10714" spans="1:10" hidden="1">
      <c r="A10714" t="s">
        <v>6554</v>
      </c>
      <c r="B10714" t="s">
        <v>6555</v>
      </c>
      <c r="C10714" t="s">
        <v>5111</v>
      </c>
      <c r="D10714" t="s">
        <v>1396</v>
      </c>
      <c r="E10714" t="s">
        <v>555</v>
      </c>
      <c r="F10714" t="s">
        <v>1068</v>
      </c>
      <c r="G10714" t="s">
        <v>1073</v>
      </c>
      <c r="H10714" s="170">
        <v>-2.5266468971059098E-7</v>
      </c>
      <c r="I10714" t="s">
        <v>1074</v>
      </c>
      <c r="J10714">
        <v>9.24</v>
      </c>
    </row>
    <row r="10715" spans="1:10" hidden="1">
      <c r="A10715" t="s">
        <v>6554</v>
      </c>
      <c r="B10715" t="s">
        <v>6555</v>
      </c>
      <c r="C10715" t="s">
        <v>5111</v>
      </c>
      <c r="D10715" t="s">
        <v>1396</v>
      </c>
      <c r="E10715" t="s">
        <v>555</v>
      </c>
      <c r="F10715" t="s">
        <v>1068</v>
      </c>
      <c r="G10715" t="s">
        <v>1075</v>
      </c>
      <c r="H10715">
        <v>-1.3244520276547799E-2</v>
      </c>
      <c r="I10715" t="s">
        <v>1077</v>
      </c>
      <c r="J10715">
        <v>9.24</v>
      </c>
    </row>
    <row r="10716" spans="1:10" hidden="1">
      <c r="A10716" t="s">
        <v>6554</v>
      </c>
      <c r="B10716" t="s">
        <v>6555</v>
      </c>
      <c r="C10716" t="s">
        <v>5111</v>
      </c>
      <c r="D10716" t="s">
        <v>1396</v>
      </c>
      <c r="E10716" t="s">
        <v>555</v>
      </c>
      <c r="F10716" t="s">
        <v>1068</v>
      </c>
      <c r="G10716" t="s">
        <v>1078</v>
      </c>
      <c r="H10716">
        <v>-1.01965750869267</v>
      </c>
      <c r="I10716" t="s">
        <v>1079</v>
      </c>
      <c r="J10716">
        <v>9.24</v>
      </c>
    </row>
    <row r="10717" spans="1:10" hidden="1">
      <c r="A10717" t="s">
        <v>6554</v>
      </c>
      <c r="B10717" t="s">
        <v>6555</v>
      </c>
      <c r="C10717" t="s">
        <v>5111</v>
      </c>
      <c r="D10717" t="s">
        <v>1396</v>
      </c>
      <c r="E10717" t="s">
        <v>555</v>
      </c>
      <c r="F10717" t="s">
        <v>1068</v>
      </c>
      <c r="G10717" t="s">
        <v>1080</v>
      </c>
      <c r="H10717" s="170">
        <v>-4.0797007038491796E-9</v>
      </c>
      <c r="I10717" t="s">
        <v>1082</v>
      </c>
      <c r="J10717">
        <v>9.24</v>
      </c>
    </row>
    <row r="10718" spans="1:10" hidden="1">
      <c r="A10718" t="s">
        <v>6554</v>
      </c>
      <c r="B10718" t="s">
        <v>6555</v>
      </c>
      <c r="C10718" t="s">
        <v>5111</v>
      </c>
      <c r="D10718" t="s">
        <v>1396</v>
      </c>
      <c r="E10718" t="s">
        <v>555</v>
      </c>
      <c r="F10718" t="s">
        <v>1068</v>
      </c>
      <c r="G10718" t="s">
        <v>1083</v>
      </c>
      <c r="H10718" s="170">
        <v>-9.8988389308298999E-5</v>
      </c>
      <c r="I10718" t="s">
        <v>1084</v>
      </c>
      <c r="J10718">
        <v>9.24</v>
      </c>
    </row>
    <row r="10719" spans="1:10" hidden="1">
      <c r="A10719" t="s">
        <v>6554</v>
      </c>
      <c r="B10719" t="s">
        <v>6555</v>
      </c>
      <c r="C10719" t="s">
        <v>5111</v>
      </c>
      <c r="D10719" t="s">
        <v>1396</v>
      </c>
      <c r="E10719" t="s">
        <v>555</v>
      </c>
      <c r="F10719" t="s">
        <v>1068</v>
      </c>
      <c r="G10719" t="s">
        <v>1085</v>
      </c>
      <c r="H10719">
        <v>-9.0380121014569899E-4</v>
      </c>
      <c r="I10719" t="s">
        <v>1086</v>
      </c>
      <c r="J10719">
        <v>9.24</v>
      </c>
    </row>
    <row r="10720" spans="1:10" hidden="1">
      <c r="A10720" t="s">
        <v>6554</v>
      </c>
      <c r="B10720" t="s">
        <v>6555</v>
      </c>
      <c r="C10720" t="s">
        <v>5111</v>
      </c>
      <c r="D10720" t="s">
        <v>1396</v>
      </c>
      <c r="E10720" t="s">
        <v>555</v>
      </c>
      <c r="F10720" t="s">
        <v>1068</v>
      </c>
      <c r="G10720" t="s">
        <v>1087</v>
      </c>
      <c r="H10720" s="170">
        <v>-6.2917027805361699E-7</v>
      </c>
      <c r="I10720" t="s">
        <v>1088</v>
      </c>
      <c r="J10720">
        <v>9.24</v>
      </c>
    </row>
    <row r="10721" spans="1:10" hidden="1">
      <c r="A10721" t="s">
        <v>6554</v>
      </c>
      <c r="B10721" t="s">
        <v>6555</v>
      </c>
      <c r="C10721" t="s">
        <v>5111</v>
      </c>
      <c r="D10721" t="s">
        <v>1396</v>
      </c>
      <c r="E10721" t="s">
        <v>555</v>
      </c>
      <c r="F10721" t="s">
        <v>1068</v>
      </c>
      <c r="G10721" t="s">
        <v>1089</v>
      </c>
      <c r="H10721">
        <v>-1.50866156188557E-4</v>
      </c>
      <c r="I10721" t="s">
        <v>1090</v>
      </c>
      <c r="J10721">
        <v>9.24</v>
      </c>
    </row>
    <row r="10722" spans="1:10" hidden="1">
      <c r="A10722" t="s">
        <v>6556</v>
      </c>
      <c r="B10722" t="s">
        <v>6557</v>
      </c>
      <c r="C10722" t="s">
        <v>5111</v>
      </c>
      <c r="D10722" t="s">
        <v>1396</v>
      </c>
      <c r="E10722" t="s">
        <v>558</v>
      </c>
      <c r="F10722" t="s">
        <v>1068</v>
      </c>
      <c r="G10722" t="s">
        <v>1069</v>
      </c>
      <c r="H10722">
        <v>-0.63331506581242503</v>
      </c>
      <c r="I10722" t="s">
        <v>1070</v>
      </c>
      <c r="J10722">
        <v>9.07</v>
      </c>
    </row>
    <row r="10723" spans="1:10" hidden="1">
      <c r="A10723" t="s">
        <v>6556</v>
      </c>
      <c r="B10723" t="s">
        <v>6557</v>
      </c>
      <c r="C10723" t="s">
        <v>5111</v>
      </c>
      <c r="D10723" t="s">
        <v>1396</v>
      </c>
      <c r="E10723" t="s">
        <v>558</v>
      </c>
      <c r="F10723" t="s">
        <v>1068</v>
      </c>
      <c r="G10723" t="s">
        <v>1071</v>
      </c>
      <c r="H10723" s="170">
        <v>-6.1291286493280703E-10</v>
      </c>
      <c r="I10723" t="s">
        <v>1072</v>
      </c>
      <c r="J10723">
        <v>9.07</v>
      </c>
    </row>
    <row r="10724" spans="1:10" hidden="1">
      <c r="A10724" t="s">
        <v>6556</v>
      </c>
      <c r="B10724" t="s">
        <v>6557</v>
      </c>
      <c r="C10724" t="s">
        <v>5111</v>
      </c>
      <c r="D10724" t="s">
        <v>1396</v>
      </c>
      <c r="E10724" t="s">
        <v>558</v>
      </c>
      <c r="F10724" t="s">
        <v>1068</v>
      </c>
      <c r="G10724" t="s">
        <v>1073</v>
      </c>
      <c r="H10724" s="170">
        <v>-2.2151999333360201E-7</v>
      </c>
      <c r="I10724" t="s">
        <v>1074</v>
      </c>
      <c r="J10724">
        <v>9.07</v>
      </c>
    </row>
    <row r="10725" spans="1:10" hidden="1">
      <c r="A10725" t="s">
        <v>6556</v>
      </c>
      <c r="B10725" t="s">
        <v>6557</v>
      </c>
      <c r="C10725" t="s">
        <v>5111</v>
      </c>
      <c r="D10725" t="s">
        <v>1396</v>
      </c>
      <c r="E10725" t="s">
        <v>558</v>
      </c>
      <c r="F10725" t="s">
        <v>1068</v>
      </c>
      <c r="G10725" t="s">
        <v>1075</v>
      </c>
      <c r="H10725">
        <v>-1.04728177863289E-2</v>
      </c>
      <c r="I10725" t="s">
        <v>1077</v>
      </c>
      <c r="J10725">
        <v>9.07</v>
      </c>
    </row>
    <row r="10726" spans="1:10" hidden="1">
      <c r="A10726" t="s">
        <v>6556</v>
      </c>
      <c r="B10726" t="s">
        <v>6557</v>
      </c>
      <c r="C10726" t="s">
        <v>5111</v>
      </c>
      <c r="D10726" t="s">
        <v>1396</v>
      </c>
      <c r="E10726" t="s">
        <v>558</v>
      </c>
      <c r="F10726" t="s">
        <v>1068</v>
      </c>
      <c r="G10726" t="s">
        <v>1078</v>
      </c>
      <c r="H10726">
        <v>-0.89979840137378397</v>
      </c>
      <c r="I10726" t="s">
        <v>1079</v>
      </c>
      <c r="J10726">
        <v>9.07</v>
      </c>
    </row>
    <row r="10727" spans="1:10" hidden="1">
      <c r="A10727" t="s">
        <v>6556</v>
      </c>
      <c r="B10727" t="s">
        <v>6557</v>
      </c>
      <c r="C10727" t="s">
        <v>5111</v>
      </c>
      <c r="D10727" t="s">
        <v>1396</v>
      </c>
      <c r="E10727" t="s">
        <v>558</v>
      </c>
      <c r="F10727" t="s">
        <v>1068</v>
      </c>
      <c r="G10727" t="s">
        <v>1080</v>
      </c>
      <c r="H10727" s="170">
        <v>-3.59231131368462E-9</v>
      </c>
      <c r="I10727" t="s">
        <v>1082</v>
      </c>
      <c r="J10727">
        <v>9.07</v>
      </c>
    </row>
    <row r="10728" spans="1:10" hidden="1">
      <c r="A10728" t="s">
        <v>6556</v>
      </c>
      <c r="B10728" t="s">
        <v>6557</v>
      </c>
      <c r="C10728" t="s">
        <v>5111</v>
      </c>
      <c r="D10728" t="s">
        <v>1396</v>
      </c>
      <c r="E10728" t="s">
        <v>558</v>
      </c>
      <c r="F10728" t="s">
        <v>1068</v>
      </c>
      <c r="G10728" t="s">
        <v>1083</v>
      </c>
      <c r="H10728" s="170">
        <v>-8.5660760838898601E-5</v>
      </c>
      <c r="I10728" t="s">
        <v>1084</v>
      </c>
      <c r="J10728">
        <v>9.07</v>
      </c>
    </row>
    <row r="10729" spans="1:10" hidden="1">
      <c r="A10729" t="s">
        <v>6556</v>
      </c>
      <c r="B10729" t="s">
        <v>6557</v>
      </c>
      <c r="C10729" t="s">
        <v>5111</v>
      </c>
      <c r="D10729" t="s">
        <v>1396</v>
      </c>
      <c r="E10729" t="s">
        <v>558</v>
      </c>
      <c r="F10729" t="s">
        <v>1068</v>
      </c>
      <c r="G10729" t="s">
        <v>1085</v>
      </c>
      <c r="H10729">
        <v>-7.5317195906477504E-4</v>
      </c>
      <c r="I10729" t="s">
        <v>1086</v>
      </c>
      <c r="J10729">
        <v>9.07</v>
      </c>
    </row>
    <row r="10730" spans="1:10" hidden="1">
      <c r="A10730" t="s">
        <v>6556</v>
      </c>
      <c r="B10730" t="s">
        <v>6557</v>
      </c>
      <c r="C10730" t="s">
        <v>5111</v>
      </c>
      <c r="D10730" t="s">
        <v>1396</v>
      </c>
      <c r="E10730" t="s">
        <v>558</v>
      </c>
      <c r="F10730" t="s">
        <v>1068</v>
      </c>
      <c r="G10730" t="s">
        <v>1087</v>
      </c>
      <c r="H10730" s="170">
        <v>-5.5647591368673701E-7</v>
      </c>
      <c r="I10730" t="s">
        <v>1088</v>
      </c>
      <c r="J10730">
        <v>9.07</v>
      </c>
    </row>
    <row r="10731" spans="1:10" hidden="1">
      <c r="A10731" t="s">
        <v>6556</v>
      </c>
      <c r="B10731" t="s">
        <v>6557</v>
      </c>
      <c r="C10731" t="s">
        <v>5111</v>
      </c>
      <c r="D10731" t="s">
        <v>1396</v>
      </c>
      <c r="E10731" t="s">
        <v>558</v>
      </c>
      <c r="F10731" t="s">
        <v>1068</v>
      </c>
      <c r="G10731" t="s">
        <v>1089</v>
      </c>
      <c r="H10731">
        <v>-1.1979163915299499E-4</v>
      </c>
      <c r="I10731" t="s">
        <v>1090</v>
      </c>
      <c r="J10731">
        <v>9.07</v>
      </c>
    </row>
    <row r="10732" spans="1:10" hidden="1">
      <c r="A10732" t="s">
        <v>6558</v>
      </c>
      <c r="B10732" t="s">
        <v>6559</v>
      </c>
      <c r="C10732" t="s">
        <v>5111</v>
      </c>
      <c r="D10732" t="s">
        <v>1396</v>
      </c>
      <c r="E10732" t="s">
        <v>553</v>
      </c>
      <c r="F10732" t="s">
        <v>1068</v>
      </c>
      <c r="G10732" t="s">
        <v>1069</v>
      </c>
      <c r="H10732">
        <v>-0.62632994557726795</v>
      </c>
      <c r="I10732" t="s">
        <v>1070</v>
      </c>
      <c r="J10732">
        <v>8.73</v>
      </c>
    </row>
    <row r="10733" spans="1:10" hidden="1">
      <c r="A10733" t="s">
        <v>6558</v>
      </c>
      <c r="B10733" t="s">
        <v>6559</v>
      </c>
      <c r="C10733" t="s">
        <v>5111</v>
      </c>
      <c r="D10733" t="s">
        <v>1396</v>
      </c>
      <c r="E10733" t="s">
        <v>553</v>
      </c>
      <c r="F10733" t="s">
        <v>1068</v>
      </c>
      <c r="G10733" t="s">
        <v>1071</v>
      </c>
      <c r="H10733" s="170">
        <v>-6.0291706635267995E-10</v>
      </c>
      <c r="I10733" t="s">
        <v>1072</v>
      </c>
      <c r="J10733">
        <v>8.73</v>
      </c>
    </row>
    <row r="10734" spans="1:10" hidden="1">
      <c r="A10734" t="s">
        <v>6558</v>
      </c>
      <c r="B10734" t="s">
        <v>6559</v>
      </c>
      <c r="C10734" t="s">
        <v>5111</v>
      </c>
      <c r="D10734" t="s">
        <v>1396</v>
      </c>
      <c r="E10734" t="s">
        <v>553</v>
      </c>
      <c r="F10734" t="s">
        <v>1068</v>
      </c>
      <c r="G10734" t="s">
        <v>1073</v>
      </c>
      <c r="H10734" s="170">
        <v>-2.1903890634816099E-7</v>
      </c>
      <c r="I10734" t="s">
        <v>1074</v>
      </c>
      <c r="J10734">
        <v>8.73</v>
      </c>
    </row>
    <row r="10735" spans="1:10" hidden="1">
      <c r="A10735" t="s">
        <v>6558</v>
      </c>
      <c r="B10735" t="s">
        <v>6559</v>
      </c>
      <c r="C10735" t="s">
        <v>5111</v>
      </c>
      <c r="D10735" t="s">
        <v>1396</v>
      </c>
      <c r="E10735" t="s">
        <v>553</v>
      </c>
      <c r="F10735" t="s">
        <v>1068</v>
      </c>
      <c r="G10735" t="s">
        <v>1075</v>
      </c>
      <c r="H10735">
        <v>-1.02520161531675E-2</v>
      </c>
      <c r="I10735" t="s">
        <v>1077</v>
      </c>
      <c r="J10735">
        <v>8.73</v>
      </c>
    </row>
    <row r="10736" spans="1:10" hidden="1">
      <c r="A10736" t="s">
        <v>6558</v>
      </c>
      <c r="B10736" t="s">
        <v>6559</v>
      </c>
      <c r="C10736" t="s">
        <v>5111</v>
      </c>
      <c r="D10736" t="s">
        <v>1396</v>
      </c>
      <c r="E10736" t="s">
        <v>553</v>
      </c>
      <c r="F10736" t="s">
        <v>1068</v>
      </c>
      <c r="G10736" t="s">
        <v>1078</v>
      </c>
      <c r="H10736">
        <v>-0.89025008713006903</v>
      </c>
      <c r="I10736" t="s">
        <v>1079</v>
      </c>
      <c r="J10736">
        <v>8.73</v>
      </c>
    </row>
    <row r="10737" spans="1:10" hidden="1">
      <c r="A10737" t="s">
        <v>6558</v>
      </c>
      <c r="B10737" t="s">
        <v>6559</v>
      </c>
      <c r="C10737" t="s">
        <v>5111</v>
      </c>
      <c r="D10737" t="s">
        <v>1396</v>
      </c>
      <c r="E10737" t="s">
        <v>553</v>
      </c>
      <c r="F10737" t="s">
        <v>1068</v>
      </c>
      <c r="G10737" t="s">
        <v>1080</v>
      </c>
      <c r="H10737" s="170">
        <v>-3.5534845010549098E-9</v>
      </c>
      <c r="I10737" t="s">
        <v>1082</v>
      </c>
      <c r="J10737">
        <v>8.73</v>
      </c>
    </row>
    <row r="10738" spans="1:10" hidden="1">
      <c r="A10738" t="s">
        <v>6558</v>
      </c>
      <c r="B10738" t="s">
        <v>6559</v>
      </c>
      <c r="C10738" t="s">
        <v>5111</v>
      </c>
      <c r="D10738" t="s">
        <v>1396</v>
      </c>
      <c r="E10738" t="s">
        <v>553</v>
      </c>
      <c r="F10738" t="s">
        <v>1068</v>
      </c>
      <c r="G10738" t="s">
        <v>1083</v>
      </c>
      <c r="H10738" s="170">
        <v>-8.4599044399058995E-5</v>
      </c>
      <c r="I10738" t="s">
        <v>1084</v>
      </c>
      <c r="J10738">
        <v>8.73</v>
      </c>
    </row>
    <row r="10739" spans="1:10" hidden="1">
      <c r="A10739" t="s">
        <v>6558</v>
      </c>
      <c r="B10739" t="s">
        <v>6559</v>
      </c>
      <c r="C10739" t="s">
        <v>5111</v>
      </c>
      <c r="D10739" t="s">
        <v>1396</v>
      </c>
      <c r="E10739" t="s">
        <v>553</v>
      </c>
      <c r="F10739" t="s">
        <v>1068</v>
      </c>
      <c r="G10739" t="s">
        <v>1085</v>
      </c>
      <c r="H10739">
        <v>-7.4117240844314E-4</v>
      </c>
      <c r="I10739" t="s">
        <v>1086</v>
      </c>
      <c r="J10739">
        <v>8.73</v>
      </c>
    </row>
    <row r="10740" spans="1:10" hidden="1">
      <c r="A10740" t="s">
        <v>6558</v>
      </c>
      <c r="B10740" t="s">
        <v>6559</v>
      </c>
      <c r="C10740" t="s">
        <v>5111</v>
      </c>
      <c r="D10740" t="s">
        <v>1396</v>
      </c>
      <c r="E10740" t="s">
        <v>553</v>
      </c>
      <c r="F10740" t="s">
        <v>1068</v>
      </c>
      <c r="G10740" t="s">
        <v>1087</v>
      </c>
      <c r="H10740" s="170">
        <v>-5.5068487578643098E-7</v>
      </c>
      <c r="I10740" t="s">
        <v>1088</v>
      </c>
      <c r="J10740">
        <v>8.73</v>
      </c>
    </row>
    <row r="10741" spans="1:10" hidden="1">
      <c r="A10741" t="s">
        <v>6558</v>
      </c>
      <c r="B10741" t="s">
        <v>6559</v>
      </c>
      <c r="C10741" t="s">
        <v>5111</v>
      </c>
      <c r="D10741" t="s">
        <v>1396</v>
      </c>
      <c r="E10741" t="s">
        <v>553</v>
      </c>
      <c r="F10741" t="s">
        <v>1068</v>
      </c>
      <c r="G10741" t="s">
        <v>1089</v>
      </c>
      <c r="H10741">
        <v>-1.1731615554628E-4</v>
      </c>
      <c r="I10741" t="s">
        <v>1090</v>
      </c>
      <c r="J10741">
        <v>8.73</v>
      </c>
    </row>
    <row r="10742" spans="1:10" hidden="1">
      <c r="A10742" t="s">
        <v>6560</v>
      </c>
      <c r="B10742" t="s">
        <v>6561</v>
      </c>
      <c r="C10742" t="s">
        <v>5111</v>
      </c>
      <c r="D10742" t="s">
        <v>1396</v>
      </c>
      <c r="E10742" t="s">
        <v>556</v>
      </c>
      <c r="F10742" t="s">
        <v>1068</v>
      </c>
      <c r="G10742" t="s">
        <v>1069</v>
      </c>
      <c r="H10742">
        <v>-0.71209838308706896</v>
      </c>
      <c r="I10742" t="s">
        <v>1070</v>
      </c>
      <c r="J10742">
        <v>9.82</v>
      </c>
    </row>
    <row r="10743" spans="1:10" hidden="1">
      <c r="A10743" t="s">
        <v>6560</v>
      </c>
      <c r="B10743" t="s">
        <v>6561</v>
      </c>
      <c r="C10743" t="s">
        <v>5111</v>
      </c>
      <c r="D10743" t="s">
        <v>1396</v>
      </c>
      <c r="E10743" t="s">
        <v>556</v>
      </c>
      <c r="F10743" t="s">
        <v>1068</v>
      </c>
      <c r="G10743" t="s">
        <v>1071</v>
      </c>
      <c r="H10743" s="170">
        <v>-7.2565267620679799E-10</v>
      </c>
      <c r="I10743" t="s">
        <v>1072</v>
      </c>
      <c r="J10743">
        <v>9.82</v>
      </c>
    </row>
    <row r="10744" spans="1:10" hidden="1">
      <c r="A10744" t="s">
        <v>6560</v>
      </c>
      <c r="B10744" t="s">
        <v>6561</v>
      </c>
      <c r="C10744" t="s">
        <v>5111</v>
      </c>
      <c r="D10744" t="s">
        <v>1396</v>
      </c>
      <c r="E10744" t="s">
        <v>556</v>
      </c>
      <c r="F10744" t="s">
        <v>1068</v>
      </c>
      <c r="G10744" t="s">
        <v>1073</v>
      </c>
      <c r="H10744" s="170">
        <v>-2.4950412673950099E-7</v>
      </c>
      <c r="I10744" t="s">
        <v>1074</v>
      </c>
      <c r="J10744">
        <v>9.82</v>
      </c>
    </row>
    <row r="10745" spans="1:10" hidden="1">
      <c r="A10745" t="s">
        <v>6560</v>
      </c>
      <c r="B10745" t="s">
        <v>6561</v>
      </c>
      <c r="C10745" t="s">
        <v>5111</v>
      </c>
      <c r="D10745" t="s">
        <v>1396</v>
      </c>
      <c r="E10745" t="s">
        <v>556</v>
      </c>
      <c r="F10745" t="s">
        <v>1068</v>
      </c>
      <c r="G10745" t="s">
        <v>1075</v>
      </c>
      <c r="H10745">
        <v>-1.29632480866563E-2</v>
      </c>
      <c r="I10745" t="s">
        <v>1077</v>
      </c>
      <c r="J10745">
        <v>9.82</v>
      </c>
    </row>
    <row r="10746" spans="1:10" hidden="1">
      <c r="A10746" t="s">
        <v>6560</v>
      </c>
      <c r="B10746" t="s">
        <v>6561</v>
      </c>
      <c r="C10746" t="s">
        <v>5111</v>
      </c>
      <c r="D10746" t="s">
        <v>1396</v>
      </c>
      <c r="E10746" t="s">
        <v>556</v>
      </c>
      <c r="F10746" t="s">
        <v>1068</v>
      </c>
      <c r="G10746" t="s">
        <v>1078</v>
      </c>
      <c r="H10746">
        <v>-1.0074942142240799</v>
      </c>
      <c r="I10746" t="s">
        <v>1079</v>
      </c>
      <c r="J10746">
        <v>9.82</v>
      </c>
    </row>
    <row r="10747" spans="1:10" hidden="1">
      <c r="A10747" t="s">
        <v>6560</v>
      </c>
      <c r="B10747" t="s">
        <v>6561</v>
      </c>
      <c r="C10747" t="s">
        <v>5111</v>
      </c>
      <c r="D10747" t="s">
        <v>1396</v>
      </c>
      <c r="E10747" t="s">
        <v>556</v>
      </c>
      <c r="F10747" t="s">
        <v>1068</v>
      </c>
      <c r="G10747" t="s">
        <v>1080</v>
      </c>
      <c r="H10747" s="170">
        <v>-4.0302404599818102E-9</v>
      </c>
      <c r="I10747" t="s">
        <v>1082</v>
      </c>
      <c r="J10747">
        <v>9.82</v>
      </c>
    </row>
    <row r="10748" spans="1:10" hidden="1">
      <c r="A10748" t="s">
        <v>6560</v>
      </c>
      <c r="B10748" t="s">
        <v>6561</v>
      </c>
      <c r="C10748" t="s">
        <v>5111</v>
      </c>
      <c r="D10748" t="s">
        <v>1396</v>
      </c>
      <c r="E10748" t="s">
        <v>556</v>
      </c>
      <c r="F10748" t="s">
        <v>1068</v>
      </c>
      <c r="G10748" t="s">
        <v>1083</v>
      </c>
      <c r="H10748" s="170">
        <v>-9.7635902432139198E-5</v>
      </c>
      <c r="I10748" t="s">
        <v>1084</v>
      </c>
      <c r="J10748">
        <v>9.82</v>
      </c>
    </row>
    <row r="10749" spans="1:10" hidden="1">
      <c r="A10749" t="s">
        <v>6560</v>
      </c>
      <c r="B10749" t="s">
        <v>6561</v>
      </c>
      <c r="C10749" t="s">
        <v>5111</v>
      </c>
      <c r="D10749" t="s">
        <v>1396</v>
      </c>
      <c r="E10749" t="s">
        <v>556</v>
      </c>
      <c r="F10749" t="s">
        <v>1068</v>
      </c>
      <c r="G10749" t="s">
        <v>1085</v>
      </c>
      <c r="H10749">
        <v>-8.8851536347403905E-4</v>
      </c>
      <c r="I10749" t="s">
        <v>1086</v>
      </c>
      <c r="J10749">
        <v>9.82</v>
      </c>
    </row>
    <row r="10750" spans="1:10" hidden="1">
      <c r="A10750" t="s">
        <v>6560</v>
      </c>
      <c r="B10750" t="s">
        <v>6561</v>
      </c>
      <c r="C10750" t="s">
        <v>5111</v>
      </c>
      <c r="D10750" t="s">
        <v>1396</v>
      </c>
      <c r="E10750" t="s">
        <v>556</v>
      </c>
      <c r="F10750" t="s">
        <v>1068</v>
      </c>
      <c r="G10750" t="s">
        <v>1087</v>
      </c>
      <c r="H10750" s="170">
        <v>-6.2179325865446998E-7</v>
      </c>
      <c r="I10750" t="s">
        <v>1088</v>
      </c>
      <c r="J10750">
        <v>9.82</v>
      </c>
    </row>
    <row r="10751" spans="1:10" hidden="1">
      <c r="A10751" t="s">
        <v>6560</v>
      </c>
      <c r="B10751" t="s">
        <v>6561</v>
      </c>
      <c r="C10751" t="s">
        <v>5111</v>
      </c>
      <c r="D10751" t="s">
        <v>1396</v>
      </c>
      <c r="E10751" t="s">
        <v>556</v>
      </c>
      <c r="F10751" t="s">
        <v>1068</v>
      </c>
      <c r="G10751" t="s">
        <v>1089</v>
      </c>
      <c r="H10751">
        <v>-1.47712716205707E-4</v>
      </c>
      <c r="I10751" t="s">
        <v>1090</v>
      </c>
      <c r="J10751">
        <v>9.82</v>
      </c>
    </row>
    <row r="10752" spans="1:10" hidden="1">
      <c r="A10752" t="s">
        <v>6562</v>
      </c>
      <c r="B10752" t="s">
        <v>6563</v>
      </c>
      <c r="C10752" t="s">
        <v>5111</v>
      </c>
      <c r="D10752" t="s">
        <v>1396</v>
      </c>
      <c r="E10752" t="s">
        <v>557</v>
      </c>
      <c r="F10752" t="s">
        <v>1068</v>
      </c>
      <c r="G10752" t="s">
        <v>1069</v>
      </c>
      <c r="H10752">
        <v>-0.66277324779056301</v>
      </c>
      <c r="I10752" t="s">
        <v>1070</v>
      </c>
      <c r="J10752">
        <v>8.75</v>
      </c>
    </row>
    <row r="10753" spans="1:10" hidden="1">
      <c r="A10753" t="s">
        <v>6562</v>
      </c>
      <c r="B10753" t="s">
        <v>6563</v>
      </c>
      <c r="C10753" t="s">
        <v>5111</v>
      </c>
      <c r="D10753" t="s">
        <v>1396</v>
      </c>
      <c r="E10753" t="s">
        <v>557</v>
      </c>
      <c r="F10753" t="s">
        <v>1068</v>
      </c>
      <c r="G10753" t="s">
        <v>1071</v>
      </c>
      <c r="H10753" s="170">
        <v>-6.5506785848585703E-10</v>
      </c>
      <c r="I10753" t="s">
        <v>1072</v>
      </c>
      <c r="J10753">
        <v>8.75</v>
      </c>
    </row>
    <row r="10754" spans="1:10" hidden="1">
      <c r="A10754" t="s">
        <v>6562</v>
      </c>
      <c r="B10754" t="s">
        <v>6563</v>
      </c>
      <c r="C10754" t="s">
        <v>5111</v>
      </c>
      <c r="D10754" t="s">
        <v>1396</v>
      </c>
      <c r="E10754" t="s">
        <v>557</v>
      </c>
      <c r="F10754" t="s">
        <v>1068</v>
      </c>
      <c r="G10754" t="s">
        <v>1073</v>
      </c>
      <c r="H10754" s="170">
        <v>-2.31983632783599E-7</v>
      </c>
      <c r="I10754" t="s">
        <v>1074</v>
      </c>
      <c r="J10754">
        <v>8.75</v>
      </c>
    </row>
    <row r="10755" spans="1:10" hidden="1">
      <c r="A10755" t="s">
        <v>6562</v>
      </c>
      <c r="B10755" t="s">
        <v>6563</v>
      </c>
      <c r="C10755" t="s">
        <v>5111</v>
      </c>
      <c r="D10755" t="s">
        <v>1396</v>
      </c>
      <c r="E10755" t="s">
        <v>557</v>
      </c>
      <c r="F10755" t="s">
        <v>1068</v>
      </c>
      <c r="G10755" t="s">
        <v>1075</v>
      </c>
      <c r="H10755">
        <v>-1.14040223879344E-2</v>
      </c>
      <c r="I10755" t="s">
        <v>1077</v>
      </c>
      <c r="J10755">
        <v>8.75</v>
      </c>
    </row>
    <row r="10756" spans="1:10" hidden="1">
      <c r="A10756" t="s">
        <v>6562</v>
      </c>
      <c r="B10756" t="s">
        <v>6563</v>
      </c>
      <c r="C10756" t="s">
        <v>5111</v>
      </c>
      <c r="D10756" t="s">
        <v>1396</v>
      </c>
      <c r="E10756" t="s">
        <v>557</v>
      </c>
      <c r="F10756" t="s">
        <v>1068</v>
      </c>
      <c r="G10756" t="s">
        <v>1078</v>
      </c>
      <c r="H10756">
        <v>-0.94006728037030396</v>
      </c>
      <c r="I10756" t="s">
        <v>1079</v>
      </c>
      <c r="J10756">
        <v>8.75</v>
      </c>
    </row>
    <row r="10757" spans="1:10" hidden="1">
      <c r="A10757" t="s">
        <v>6562</v>
      </c>
      <c r="B10757" t="s">
        <v>6563</v>
      </c>
      <c r="C10757" t="s">
        <v>5111</v>
      </c>
      <c r="D10757" t="s">
        <v>1396</v>
      </c>
      <c r="E10757" t="s">
        <v>557</v>
      </c>
      <c r="F10757" t="s">
        <v>1068</v>
      </c>
      <c r="G10757" t="s">
        <v>1080</v>
      </c>
      <c r="H10757" s="170">
        <v>-3.75605877376425E-9</v>
      </c>
      <c r="I10757" t="s">
        <v>1082</v>
      </c>
      <c r="J10757">
        <v>8.75</v>
      </c>
    </row>
    <row r="10758" spans="1:10" hidden="1">
      <c r="A10758" t="s">
        <v>6562</v>
      </c>
      <c r="B10758" t="s">
        <v>6563</v>
      </c>
      <c r="C10758" t="s">
        <v>5111</v>
      </c>
      <c r="D10758" t="s">
        <v>1396</v>
      </c>
      <c r="E10758" t="s">
        <v>557</v>
      </c>
      <c r="F10758" t="s">
        <v>1068</v>
      </c>
      <c r="G10758" t="s">
        <v>1083</v>
      </c>
      <c r="H10758" s="170">
        <v>-9.0138423572554604E-5</v>
      </c>
      <c r="I10758" t="s">
        <v>1084</v>
      </c>
      <c r="J10758">
        <v>8.75</v>
      </c>
    </row>
    <row r="10759" spans="1:10" hidden="1">
      <c r="A10759" t="s">
        <v>6562</v>
      </c>
      <c r="B10759" t="s">
        <v>6563</v>
      </c>
      <c r="C10759" t="s">
        <v>5111</v>
      </c>
      <c r="D10759" t="s">
        <v>1396</v>
      </c>
      <c r="E10759" t="s">
        <v>557</v>
      </c>
      <c r="F10759" t="s">
        <v>1068</v>
      </c>
      <c r="G10759" t="s">
        <v>1085</v>
      </c>
      <c r="H10759">
        <v>-8.0377863569917201E-4</v>
      </c>
      <c r="I10759" t="s">
        <v>1086</v>
      </c>
      <c r="J10759">
        <v>8.75</v>
      </c>
    </row>
    <row r="10760" spans="1:10" hidden="1">
      <c r="A10760" t="s">
        <v>6562</v>
      </c>
      <c r="B10760" t="s">
        <v>6563</v>
      </c>
      <c r="C10760" t="s">
        <v>5111</v>
      </c>
      <c r="D10760" t="s">
        <v>1396</v>
      </c>
      <c r="E10760" t="s">
        <v>557</v>
      </c>
      <c r="F10760" t="s">
        <v>1068</v>
      </c>
      <c r="G10760" t="s">
        <v>1087</v>
      </c>
      <c r="H10760" s="170">
        <v>-5.8089892690133595E-7</v>
      </c>
      <c r="I10760" t="s">
        <v>1088</v>
      </c>
      <c r="J10760">
        <v>8.75</v>
      </c>
    </row>
    <row r="10761" spans="1:10" hidden="1">
      <c r="A10761" t="s">
        <v>6562</v>
      </c>
      <c r="B10761" t="s">
        <v>6563</v>
      </c>
      <c r="C10761" t="s">
        <v>5111</v>
      </c>
      <c r="D10761" t="s">
        <v>1396</v>
      </c>
      <c r="E10761" t="s">
        <v>557</v>
      </c>
      <c r="F10761" t="s">
        <v>1068</v>
      </c>
      <c r="G10761" t="s">
        <v>1089</v>
      </c>
      <c r="H10761">
        <v>-1.3023169660784101E-4</v>
      </c>
      <c r="I10761" t="s">
        <v>1090</v>
      </c>
      <c r="J10761">
        <v>8.75</v>
      </c>
    </row>
    <row r="10762" spans="1:10" hidden="1">
      <c r="A10762" t="s">
        <v>6564</v>
      </c>
      <c r="B10762" t="s">
        <v>6565</v>
      </c>
      <c r="C10762" t="s">
        <v>5111</v>
      </c>
      <c r="D10762" t="s">
        <v>1396</v>
      </c>
      <c r="E10762" t="s">
        <v>559</v>
      </c>
      <c r="F10762" t="s">
        <v>1068</v>
      </c>
      <c r="G10762" t="s">
        <v>1069</v>
      </c>
      <c r="H10762">
        <v>-0.68660439400092199</v>
      </c>
      <c r="I10762" t="s">
        <v>1070</v>
      </c>
      <c r="J10762">
        <v>8.98</v>
      </c>
    </row>
    <row r="10763" spans="1:10" hidden="1">
      <c r="A10763" t="s">
        <v>6564</v>
      </c>
      <c r="B10763" t="s">
        <v>6565</v>
      </c>
      <c r="C10763" t="s">
        <v>5111</v>
      </c>
      <c r="D10763" t="s">
        <v>1396</v>
      </c>
      <c r="E10763" t="s">
        <v>559</v>
      </c>
      <c r="F10763" t="s">
        <v>1068</v>
      </c>
      <c r="G10763" t="s">
        <v>1071</v>
      </c>
      <c r="H10763" s="170">
        <v>-6.8917048778237099E-10</v>
      </c>
      <c r="I10763" t="s">
        <v>1072</v>
      </c>
      <c r="J10763">
        <v>8.98</v>
      </c>
    </row>
    <row r="10764" spans="1:10" hidden="1">
      <c r="A10764" t="s">
        <v>6564</v>
      </c>
      <c r="B10764" t="s">
        <v>6565</v>
      </c>
      <c r="C10764" t="s">
        <v>5111</v>
      </c>
      <c r="D10764" t="s">
        <v>1396</v>
      </c>
      <c r="E10764" t="s">
        <v>559</v>
      </c>
      <c r="F10764" t="s">
        <v>1068</v>
      </c>
      <c r="G10764" t="s">
        <v>1073</v>
      </c>
      <c r="H10764" s="170">
        <v>-2.4044858114821001E-7</v>
      </c>
      <c r="I10764" t="s">
        <v>1074</v>
      </c>
      <c r="J10764">
        <v>8.98</v>
      </c>
    </row>
    <row r="10765" spans="1:10" hidden="1">
      <c r="A10765" t="s">
        <v>6564</v>
      </c>
      <c r="B10765" t="s">
        <v>6565</v>
      </c>
      <c r="C10765" t="s">
        <v>5111</v>
      </c>
      <c r="D10765" t="s">
        <v>1396</v>
      </c>
      <c r="E10765" t="s">
        <v>559</v>
      </c>
      <c r="F10765" t="s">
        <v>1068</v>
      </c>
      <c r="G10765" t="s">
        <v>1075</v>
      </c>
      <c r="H10765">
        <v>-1.21573558571924E-2</v>
      </c>
      <c r="I10765" t="s">
        <v>1077</v>
      </c>
      <c r="J10765">
        <v>8.98</v>
      </c>
    </row>
    <row r="10766" spans="1:10" hidden="1">
      <c r="A10766" t="s">
        <v>6564</v>
      </c>
      <c r="B10766" t="s">
        <v>6565</v>
      </c>
      <c r="C10766" t="s">
        <v>5111</v>
      </c>
      <c r="D10766" t="s">
        <v>1396</v>
      </c>
      <c r="E10766" t="s">
        <v>559</v>
      </c>
      <c r="F10766" t="s">
        <v>1068</v>
      </c>
      <c r="G10766" t="s">
        <v>1078</v>
      </c>
      <c r="H10766">
        <v>-0.97264432557816705</v>
      </c>
      <c r="I10766" t="s">
        <v>1079</v>
      </c>
      <c r="J10766">
        <v>8.98</v>
      </c>
    </row>
    <row r="10767" spans="1:10" hidden="1">
      <c r="A10767" t="s">
        <v>6564</v>
      </c>
      <c r="B10767" t="s">
        <v>6565</v>
      </c>
      <c r="C10767" t="s">
        <v>5111</v>
      </c>
      <c r="D10767" t="s">
        <v>1396</v>
      </c>
      <c r="E10767" t="s">
        <v>559</v>
      </c>
      <c r="F10767" t="s">
        <v>1068</v>
      </c>
      <c r="G10767" t="s">
        <v>1080</v>
      </c>
      <c r="H10767" s="170">
        <v>-3.8885285253059402E-9</v>
      </c>
      <c r="I10767" t="s">
        <v>1082</v>
      </c>
      <c r="J10767">
        <v>8.98</v>
      </c>
    </row>
    <row r="10768" spans="1:10" hidden="1">
      <c r="A10768" t="s">
        <v>6564</v>
      </c>
      <c r="B10768" t="s">
        <v>6565</v>
      </c>
      <c r="C10768" t="s">
        <v>5111</v>
      </c>
      <c r="D10768" t="s">
        <v>1396</v>
      </c>
      <c r="E10768" t="s">
        <v>559</v>
      </c>
      <c r="F10768" t="s">
        <v>1068</v>
      </c>
      <c r="G10768" t="s">
        <v>1083</v>
      </c>
      <c r="H10768" s="170">
        <v>-9.3760799584717403E-5</v>
      </c>
      <c r="I10768" t="s">
        <v>1084</v>
      </c>
      <c r="J10768">
        <v>8.98</v>
      </c>
    </row>
    <row r="10769" spans="1:10" hidden="1">
      <c r="A10769" t="s">
        <v>6564</v>
      </c>
      <c r="B10769" t="s">
        <v>6565</v>
      </c>
      <c r="C10769" t="s">
        <v>5111</v>
      </c>
      <c r="D10769" t="s">
        <v>1396</v>
      </c>
      <c r="E10769" t="s">
        <v>559</v>
      </c>
      <c r="F10769" t="s">
        <v>1068</v>
      </c>
      <c r="G10769" t="s">
        <v>1085</v>
      </c>
      <c r="H10769">
        <v>-8.44718836493458E-4</v>
      </c>
      <c r="I10769" t="s">
        <v>1086</v>
      </c>
      <c r="J10769">
        <v>8.98</v>
      </c>
    </row>
    <row r="10770" spans="1:10" hidden="1">
      <c r="A10770" t="s">
        <v>6564</v>
      </c>
      <c r="B10770" t="s">
        <v>6565</v>
      </c>
      <c r="C10770" t="s">
        <v>5111</v>
      </c>
      <c r="D10770" t="s">
        <v>1396</v>
      </c>
      <c r="E10770" t="s">
        <v>559</v>
      </c>
      <c r="F10770" t="s">
        <v>1068</v>
      </c>
      <c r="G10770" t="s">
        <v>1087</v>
      </c>
      <c r="H10770" s="170">
        <v>-6.0065685475804801E-7</v>
      </c>
      <c r="I10770" t="s">
        <v>1088</v>
      </c>
      <c r="J10770">
        <v>8.98</v>
      </c>
    </row>
    <row r="10771" spans="1:10" hidden="1">
      <c r="A10771" t="s">
        <v>6564</v>
      </c>
      <c r="B10771" t="s">
        <v>6565</v>
      </c>
      <c r="C10771" t="s">
        <v>5111</v>
      </c>
      <c r="D10771" t="s">
        <v>1396</v>
      </c>
      <c r="E10771" t="s">
        <v>559</v>
      </c>
      <c r="F10771" t="s">
        <v>1068</v>
      </c>
      <c r="G10771" t="s">
        <v>1089</v>
      </c>
      <c r="H10771">
        <v>-1.3867757917619499E-4</v>
      </c>
      <c r="I10771" t="s">
        <v>1090</v>
      </c>
      <c r="J10771">
        <v>8.98</v>
      </c>
    </row>
    <row r="10772" spans="1:10" hidden="1">
      <c r="A10772" t="s">
        <v>6566</v>
      </c>
      <c r="B10772" t="s">
        <v>6567</v>
      </c>
      <c r="C10772" t="s">
        <v>5111</v>
      </c>
      <c r="D10772" t="s">
        <v>1396</v>
      </c>
      <c r="E10772" t="s">
        <v>560</v>
      </c>
      <c r="F10772" t="s">
        <v>1068</v>
      </c>
      <c r="G10772" t="s">
        <v>1069</v>
      </c>
      <c r="H10772">
        <v>-0.678484278178903</v>
      </c>
      <c r="I10772" t="s">
        <v>1070</v>
      </c>
      <c r="J10772">
        <v>9.5500000000000007</v>
      </c>
    </row>
    <row r="10773" spans="1:10" hidden="1">
      <c r="A10773" t="s">
        <v>6566</v>
      </c>
      <c r="B10773" t="s">
        <v>6567</v>
      </c>
      <c r="C10773" t="s">
        <v>5111</v>
      </c>
      <c r="D10773" t="s">
        <v>1396</v>
      </c>
      <c r="E10773" t="s">
        <v>560</v>
      </c>
      <c r="F10773" t="s">
        <v>1068</v>
      </c>
      <c r="G10773" t="s">
        <v>1071</v>
      </c>
      <c r="H10773" s="170">
        <v>-6.7755052171414895E-10</v>
      </c>
      <c r="I10773" t="s">
        <v>1072</v>
      </c>
      <c r="J10773">
        <v>9.5500000000000007</v>
      </c>
    </row>
    <row r="10774" spans="1:10" hidden="1">
      <c r="A10774" t="s">
        <v>6566</v>
      </c>
      <c r="B10774" t="s">
        <v>6567</v>
      </c>
      <c r="C10774" t="s">
        <v>5111</v>
      </c>
      <c r="D10774" t="s">
        <v>1396</v>
      </c>
      <c r="E10774" t="s">
        <v>560</v>
      </c>
      <c r="F10774" t="s">
        <v>1068</v>
      </c>
      <c r="G10774" t="s">
        <v>1073</v>
      </c>
      <c r="H10774" s="170">
        <v>-2.3756424049026401E-7</v>
      </c>
      <c r="I10774" t="s">
        <v>1074</v>
      </c>
      <c r="J10774">
        <v>9.5500000000000007</v>
      </c>
    </row>
    <row r="10775" spans="1:10" hidden="1">
      <c r="A10775" t="s">
        <v>6566</v>
      </c>
      <c r="B10775" t="s">
        <v>6567</v>
      </c>
      <c r="C10775" t="s">
        <v>5111</v>
      </c>
      <c r="D10775" t="s">
        <v>1396</v>
      </c>
      <c r="E10775" t="s">
        <v>560</v>
      </c>
      <c r="F10775" t="s">
        <v>1068</v>
      </c>
      <c r="G10775" t="s">
        <v>1075</v>
      </c>
      <c r="H10775">
        <v>-1.1900664842124001E-2</v>
      </c>
      <c r="I10775" t="s">
        <v>1077</v>
      </c>
      <c r="J10775">
        <v>9.5500000000000007</v>
      </c>
    </row>
    <row r="10776" spans="1:10" hidden="1">
      <c r="A10776" t="s">
        <v>6566</v>
      </c>
      <c r="B10776" t="s">
        <v>6567</v>
      </c>
      <c r="C10776" t="s">
        <v>5111</v>
      </c>
      <c r="D10776" t="s">
        <v>1396</v>
      </c>
      <c r="E10776" t="s">
        <v>560</v>
      </c>
      <c r="F10776" t="s">
        <v>1068</v>
      </c>
      <c r="G10776" t="s">
        <v>1078</v>
      </c>
      <c r="H10776">
        <v>-0.96154401583511395</v>
      </c>
      <c r="I10776" t="s">
        <v>1079</v>
      </c>
      <c r="J10776">
        <v>9.5500000000000007</v>
      </c>
    </row>
    <row r="10777" spans="1:10" hidden="1">
      <c r="A10777" t="s">
        <v>6566</v>
      </c>
      <c r="B10777" t="s">
        <v>6567</v>
      </c>
      <c r="C10777" t="s">
        <v>5111</v>
      </c>
      <c r="D10777" t="s">
        <v>1396</v>
      </c>
      <c r="E10777" t="s">
        <v>560</v>
      </c>
      <c r="F10777" t="s">
        <v>1068</v>
      </c>
      <c r="G10777" t="s">
        <v>1080</v>
      </c>
      <c r="H10777" s="170">
        <v>-3.8433907524733897E-9</v>
      </c>
      <c r="I10777" t="s">
        <v>1082</v>
      </c>
      <c r="J10777">
        <v>9.5500000000000007</v>
      </c>
    </row>
    <row r="10778" spans="1:10" hidden="1">
      <c r="A10778" t="s">
        <v>6566</v>
      </c>
      <c r="B10778" t="s">
        <v>6567</v>
      </c>
      <c r="C10778" t="s">
        <v>5111</v>
      </c>
      <c r="D10778" t="s">
        <v>1396</v>
      </c>
      <c r="E10778" t="s">
        <v>560</v>
      </c>
      <c r="F10778" t="s">
        <v>1068</v>
      </c>
      <c r="G10778" t="s">
        <v>1083</v>
      </c>
      <c r="H10778" s="170">
        <v>-9.2526510363837903E-5</v>
      </c>
      <c r="I10778" t="s">
        <v>1084</v>
      </c>
      <c r="J10778">
        <v>9.5500000000000007</v>
      </c>
    </row>
    <row r="10779" spans="1:10" hidden="1">
      <c r="A10779" t="s">
        <v>6566</v>
      </c>
      <c r="B10779" t="s">
        <v>6567</v>
      </c>
      <c r="C10779" t="s">
        <v>5111</v>
      </c>
      <c r="D10779" t="s">
        <v>1396</v>
      </c>
      <c r="E10779" t="s">
        <v>560</v>
      </c>
      <c r="F10779" t="s">
        <v>1068</v>
      </c>
      <c r="G10779" t="s">
        <v>1085</v>
      </c>
      <c r="H10779">
        <v>-8.3076886323751702E-4</v>
      </c>
      <c r="I10779" t="s">
        <v>1086</v>
      </c>
      <c r="J10779">
        <v>9.5500000000000007</v>
      </c>
    </row>
    <row r="10780" spans="1:10" hidden="1">
      <c r="A10780" t="s">
        <v>6566</v>
      </c>
      <c r="B10780" t="s">
        <v>6567</v>
      </c>
      <c r="C10780" t="s">
        <v>5111</v>
      </c>
      <c r="D10780" t="s">
        <v>1396</v>
      </c>
      <c r="E10780" t="s">
        <v>560</v>
      </c>
      <c r="F10780" t="s">
        <v>1068</v>
      </c>
      <c r="G10780" t="s">
        <v>1087</v>
      </c>
      <c r="H10780" s="170">
        <v>-5.9392453394912095E-7</v>
      </c>
      <c r="I10780" t="s">
        <v>1088</v>
      </c>
      <c r="J10780">
        <v>9.5500000000000007</v>
      </c>
    </row>
    <row r="10781" spans="1:10" hidden="1">
      <c r="A10781" t="s">
        <v>6566</v>
      </c>
      <c r="B10781" t="s">
        <v>6567</v>
      </c>
      <c r="C10781" t="s">
        <v>5111</v>
      </c>
      <c r="D10781" t="s">
        <v>1396</v>
      </c>
      <c r="E10781" t="s">
        <v>560</v>
      </c>
      <c r="F10781" t="s">
        <v>1068</v>
      </c>
      <c r="G10781" t="s">
        <v>1089</v>
      </c>
      <c r="H10781">
        <v>-1.3579972725042701E-4</v>
      </c>
      <c r="I10781" t="s">
        <v>1090</v>
      </c>
      <c r="J10781">
        <v>9.5500000000000007</v>
      </c>
    </row>
    <row r="10782" spans="1:10" hidden="1">
      <c r="A10782" t="s">
        <v>6568</v>
      </c>
      <c r="B10782" t="s">
        <v>6569</v>
      </c>
      <c r="C10782" t="s">
        <v>5111</v>
      </c>
      <c r="D10782" t="s">
        <v>1396</v>
      </c>
      <c r="E10782" t="s">
        <v>1116</v>
      </c>
      <c r="F10782" t="s">
        <v>1068</v>
      </c>
      <c r="G10782" t="s">
        <v>1069</v>
      </c>
      <c r="H10782">
        <v>-0.63079972096744497</v>
      </c>
      <c r="I10782" t="s">
        <v>1070</v>
      </c>
      <c r="J10782">
        <v>8.82</v>
      </c>
    </row>
    <row r="10783" spans="1:10" hidden="1">
      <c r="A10783" t="s">
        <v>6568</v>
      </c>
      <c r="B10783" t="s">
        <v>6569</v>
      </c>
      <c r="C10783" t="s">
        <v>5111</v>
      </c>
      <c r="D10783" t="s">
        <v>1396</v>
      </c>
      <c r="E10783" t="s">
        <v>1116</v>
      </c>
      <c r="F10783" t="s">
        <v>1068</v>
      </c>
      <c r="G10783" t="s">
        <v>1071</v>
      </c>
      <c r="H10783" s="170">
        <v>-6.09313377842851E-10</v>
      </c>
      <c r="I10783" t="s">
        <v>1072</v>
      </c>
      <c r="J10783">
        <v>8.82</v>
      </c>
    </row>
    <row r="10784" spans="1:10" hidden="1">
      <c r="A10784" t="s">
        <v>6568</v>
      </c>
      <c r="B10784" t="s">
        <v>6569</v>
      </c>
      <c r="C10784" t="s">
        <v>5111</v>
      </c>
      <c r="D10784" t="s">
        <v>1396</v>
      </c>
      <c r="E10784" t="s">
        <v>1116</v>
      </c>
      <c r="F10784" t="s">
        <v>1068</v>
      </c>
      <c r="G10784" t="s">
        <v>1073</v>
      </c>
      <c r="H10784" s="170">
        <v>-2.2062653488562899E-7</v>
      </c>
      <c r="I10784" t="s">
        <v>1074</v>
      </c>
      <c r="J10784">
        <v>8.82</v>
      </c>
    </row>
    <row r="10785" spans="1:10" hidden="1">
      <c r="A10785" t="s">
        <v>6568</v>
      </c>
      <c r="B10785" t="s">
        <v>6569</v>
      </c>
      <c r="C10785" t="s">
        <v>5111</v>
      </c>
      <c r="D10785" t="s">
        <v>1396</v>
      </c>
      <c r="E10785" t="s">
        <v>1116</v>
      </c>
      <c r="F10785" t="s">
        <v>1068</v>
      </c>
      <c r="G10785" t="s">
        <v>1075</v>
      </c>
      <c r="H10785">
        <v>-1.0393305048712999E-2</v>
      </c>
      <c r="I10785" t="s">
        <v>1077</v>
      </c>
      <c r="J10785">
        <v>8.82</v>
      </c>
    </row>
    <row r="10786" spans="1:10" hidden="1">
      <c r="A10786" t="s">
        <v>6568</v>
      </c>
      <c r="B10786" t="s">
        <v>6569</v>
      </c>
      <c r="C10786" t="s">
        <v>5111</v>
      </c>
      <c r="D10786" t="s">
        <v>1396</v>
      </c>
      <c r="E10786" t="s">
        <v>1116</v>
      </c>
      <c r="F10786" t="s">
        <v>1068</v>
      </c>
      <c r="G10786" t="s">
        <v>1078</v>
      </c>
      <c r="H10786">
        <v>-0.89635996388730699</v>
      </c>
      <c r="I10786" t="s">
        <v>1079</v>
      </c>
      <c r="J10786">
        <v>8.82</v>
      </c>
    </row>
    <row r="10787" spans="1:10" hidden="1">
      <c r="A10787" t="s">
        <v>6568</v>
      </c>
      <c r="B10787" t="s">
        <v>6569</v>
      </c>
      <c r="C10787" t="s">
        <v>5111</v>
      </c>
      <c r="D10787" t="s">
        <v>1396</v>
      </c>
      <c r="E10787" t="s">
        <v>1116</v>
      </c>
      <c r="F10787" t="s">
        <v>1068</v>
      </c>
      <c r="G10787" t="s">
        <v>1080</v>
      </c>
      <c r="H10787" s="170">
        <v>-3.5783294145336198E-9</v>
      </c>
      <c r="I10787" t="s">
        <v>1082</v>
      </c>
      <c r="J10787">
        <v>8.82</v>
      </c>
    </row>
    <row r="10788" spans="1:10" hidden="1">
      <c r="A10788" t="s">
        <v>6568</v>
      </c>
      <c r="B10788" t="s">
        <v>6569</v>
      </c>
      <c r="C10788" t="s">
        <v>5111</v>
      </c>
      <c r="D10788" t="s">
        <v>1396</v>
      </c>
      <c r="E10788" t="s">
        <v>1116</v>
      </c>
      <c r="F10788" t="s">
        <v>1068</v>
      </c>
      <c r="G10788" t="s">
        <v>1083</v>
      </c>
      <c r="H10788" s="170">
        <v>-8.5278426793877697E-5</v>
      </c>
      <c r="I10788" t="s">
        <v>1084</v>
      </c>
      <c r="J10788">
        <v>8.82</v>
      </c>
    </row>
    <row r="10789" spans="1:10" hidden="1">
      <c r="A10789" t="s">
        <v>6568</v>
      </c>
      <c r="B10789" t="s">
        <v>6569</v>
      </c>
      <c r="C10789" t="s">
        <v>5111</v>
      </c>
      <c r="D10789" t="s">
        <v>1396</v>
      </c>
      <c r="E10789" t="s">
        <v>1116</v>
      </c>
      <c r="F10789" t="s">
        <v>1068</v>
      </c>
      <c r="G10789" t="s">
        <v>1085</v>
      </c>
      <c r="H10789">
        <v>-7.4885080838112605E-4</v>
      </c>
      <c r="I10789" t="s">
        <v>1086</v>
      </c>
      <c r="J10789">
        <v>8.82</v>
      </c>
    </row>
    <row r="10790" spans="1:10" hidden="1">
      <c r="A10790" t="s">
        <v>6568</v>
      </c>
      <c r="B10790" t="s">
        <v>6569</v>
      </c>
      <c r="C10790" t="s">
        <v>5111</v>
      </c>
      <c r="D10790" t="s">
        <v>1396</v>
      </c>
      <c r="E10790" t="s">
        <v>1116</v>
      </c>
      <c r="F10790" t="s">
        <v>1068</v>
      </c>
      <c r="G10790" t="s">
        <v>1087</v>
      </c>
      <c r="H10790" s="170">
        <v>-5.5439050663636898E-7</v>
      </c>
      <c r="I10790" t="s">
        <v>1088</v>
      </c>
      <c r="J10790">
        <v>8.82</v>
      </c>
    </row>
    <row r="10791" spans="1:10" hidden="1">
      <c r="A10791" t="s">
        <v>6568</v>
      </c>
      <c r="B10791" t="s">
        <v>6569</v>
      </c>
      <c r="C10791" t="s">
        <v>5111</v>
      </c>
      <c r="D10791" t="s">
        <v>1396</v>
      </c>
      <c r="E10791" t="s">
        <v>1116</v>
      </c>
      <c r="F10791" t="s">
        <v>1068</v>
      </c>
      <c r="G10791" t="s">
        <v>1089</v>
      </c>
      <c r="H10791">
        <v>-1.1890019430009099E-4</v>
      </c>
      <c r="I10791" t="s">
        <v>1090</v>
      </c>
      <c r="J10791">
        <v>8.82</v>
      </c>
    </row>
    <row r="10792" spans="1:10" hidden="1">
      <c r="A10792" t="s">
        <v>6570</v>
      </c>
      <c r="B10792" t="s">
        <v>6571</v>
      </c>
      <c r="C10792" t="s">
        <v>5111</v>
      </c>
      <c r="D10792" t="s">
        <v>1427</v>
      </c>
      <c r="E10792" t="s">
        <v>561</v>
      </c>
      <c r="F10792" t="s">
        <v>1068</v>
      </c>
      <c r="G10792" t="s">
        <v>1069</v>
      </c>
      <c r="H10792">
        <v>-0.67129869752711102</v>
      </c>
      <c r="I10792" t="s">
        <v>1070</v>
      </c>
      <c r="J10792">
        <v>11.16</v>
      </c>
    </row>
    <row r="10793" spans="1:10" hidden="1">
      <c r="A10793" t="s">
        <v>6570</v>
      </c>
      <c r="B10793" t="s">
        <v>6571</v>
      </c>
      <c r="C10793" t="s">
        <v>5111</v>
      </c>
      <c r="D10793" t="s">
        <v>1427</v>
      </c>
      <c r="E10793" t="s">
        <v>561</v>
      </c>
      <c r="F10793" t="s">
        <v>1068</v>
      </c>
      <c r="G10793" t="s">
        <v>1071</v>
      </c>
      <c r="H10793" s="170">
        <v>-6.5778367108836702E-10</v>
      </c>
      <c r="I10793" t="s">
        <v>1072</v>
      </c>
      <c r="J10793">
        <v>11.16</v>
      </c>
    </row>
    <row r="10794" spans="1:10" hidden="1">
      <c r="A10794" t="s">
        <v>6570</v>
      </c>
      <c r="B10794" t="s">
        <v>6571</v>
      </c>
      <c r="C10794" t="s">
        <v>5111</v>
      </c>
      <c r="D10794" t="s">
        <v>1427</v>
      </c>
      <c r="E10794" t="s">
        <v>561</v>
      </c>
      <c r="F10794" t="s">
        <v>1068</v>
      </c>
      <c r="G10794" t="s">
        <v>1073</v>
      </c>
      <c r="H10794" s="170">
        <v>-2.34924421815158E-7</v>
      </c>
      <c r="I10794" t="s">
        <v>1074</v>
      </c>
      <c r="J10794">
        <v>11.16</v>
      </c>
    </row>
    <row r="10795" spans="1:10" hidden="1">
      <c r="A10795" t="s">
        <v>6570</v>
      </c>
      <c r="B10795" t="s">
        <v>6571</v>
      </c>
      <c r="C10795" t="s">
        <v>5111</v>
      </c>
      <c r="D10795" t="s">
        <v>1427</v>
      </c>
      <c r="E10795" t="s">
        <v>561</v>
      </c>
      <c r="F10795" t="s">
        <v>1068</v>
      </c>
      <c r="G10795" t="s">
        <v>1075</v>
      </c>
      <c r="H10795">
        <v>-1.1223053073150101E-2</v>
      </c>
      <c r="I10795" t="s">
        <v>1077</v>
      </c>
      <c r="J10795">
        <v>11.16</v>
      </c>
    </row>
    <row r="10796" spans="1:10" hidden="1">
      <c r="A10796" t="s">
        <v>6570</v>
      </c>
      <c r="B10796" t="s">
        <v>6571</v>
      </c>
      <c r="C10796" t="s">
        <v>5111</v>
      </c>
      <c r="D10796" t="s">
        <v>1427</v>
      </c>
      <c r="E10796" t="s">
        <v>561</v>
      </c>
      <c r="F10796" t="s">
        <v>1068</v>
      </c>
      <c r="G10796" t="s">
        <v>1078</v>
      </c>
      <c r="H10796">
        <v>-0.95267966210148303</v>
      </c>
      <c r="I10796" t="s">
        <v>1079</v>
      </c>
      <c r="J10796">
        <v>11.16</v>
      </c>
    </row>
    <row r="10797" spans="1:10" hidden="1">
      <c r="A10797" t="s">
        <v>6570</v>
      </c>
      <c r="B10797" t="s">
        <v>6571</v>
      </c>
      <c r="C10797" t="s">
        <v>5111</v>
      </c>
      <c r="D10797" t="s">
        <v>1427</v>
      </c>
      <c r="E10797" t="s">
        <v>561</v>
      </c>
      <c r="F10797" t="s">
        <v>1068</v>
      </c>
      <c r="G10797" t="s">
        <v>1080</v>
      </c>
      <c r="H10797" s="170">
        <v>-3.8037942249707598E-9</v>
      </c>
      <c r="I10797" t="s">
        <v>1082</v>
      </c>
      <c r="J10797">
        <v>11.16</v>
      </c>
    </row>
    <row r="10798" spans="1:10" hidden="1">
      <c r="A10798" t="s">
        <v>6570</v>
      </c>
      <c r="B10798" t="s">
        <v>6571</v>
      </c>
      <c r="C10798" t="s">
        <v>5111</v>
      </c>
      <c r="D10798" t="s">
        <v>1427</v>
      </c>
      <c r="E10798" t="s">
        <v>561</v>
      </c>
      <c r="F10798" t="s">
        <v>1068</v>
      </c>
      <c r="G10798" t="s">
        <v>1083</v>
      </c>
      <c r="H10798" s="170">
        <v>-9.0942340913254194E-5</v>
      </c>
      <c r="I10798" t="s">
        <v>1084</v>
      </c>
      <c r="J10798">
        <v>11.16</v>
      </c>
    </row>
    <row r="10799" spans="1:10" hidden="1">
      <c r="A10799" t="s">
        <v>6570</v>
      </c>
      <c r="B10799" t="s">
        <v>6571</v>
      </c>
      <c r="C10799" t="s">
        <v>5111</v>
      </c>
      <c r="D10799" t="s">
        <v>1427</v>
      </c>
      <c r="E10799" t="s">
        <v>561</v>
      </c>
      <c r="F10799" t="s">
        <v>1068</v>
      </c>
      <c r="G10799" t="s">
        <v>1085</v>
      </c>
      <c r="H10799">
        <v>-8.0395173789939199E-4</v>
      </c>
      <c r="I10799" t="s">
        <v>1086</v>
      </c>
      <c r="J10799">
        <v>11.16</v>
      </c>
    </row>
    <row r="10800" spans="1:10" hidden="1">
      <c r="A10800" t="s">
        <v>6570</v>
      </c>
      <c r="B10800" t="s">
        <v>6571</v>
      </c>
      <c r="C10800" t="s">
        <v>5111</v>
      </c>
      <c r="D10800" t="s">
        <v>1427</v>
      </c>
      <c r="E10800" t="s">
        <v>561</v>
      </c>
      <c r="F10800" t="s">
        <v>1068</v>
      </c>
      <c r="G10800" t="s">
        <v>1087</v>
      </c>
      <c r="H10800" s="170">
        <v>-5.8861047493310404E-7</v>
      </c>
      <c r="I10800" t="s">
        <v>1088</v>
      </c>
      <c r="J10800">
        <v>11.16</v>
      </c>
    </row>
    <row r="10801" spans="1:10" hidden="1">
      <c r="A10801" t="s">
        <v>6570</v>
      </c>
      <c r="B10801" t="s">
        <v>6571</v>
      </c>
      <c r="C10801" t="s">
        <v>5111</v>
      </c>
      <c r="D10801" t="s">
        <v>1427</v>
      </c>
      <c r="E10801" t="s">
        <v>561</v>
      </c>
      <c r="F10801" t="s">
        <v>1068</v>
      </c>
      <c r="G10801" t="s">
        <v>1089</v>
      </c>
      <c r="H10801">
        <v>-1.2835288429259901E-4</v>
      </c>
      <c r="I10801" t="s">
        <v>1090</v>
      </c>
      <c r="J10801">
        <v>11.16</v>
      </c>
    </row>
    <row r="10802" spans="1:10" hidden="1">
      <c r="A10802" t="s">
        <v>6572</v>
      </c>
      <c r="B10802" t="s">
        <v>6573</v>
      </c>
      <c r="C10802" t="s">
        <v>5111</v>
      </c>
      <c r="D10802" t="s">
        <v>1427</v>
      </c>
      <c r="E10802" t="s">
        <v>555</v>
      </c>
      <c r="F10802" t="s">
        <v>1068</v>
      </c>
      <c r="G10802" t="s">
        <v>1069</v>
      </c>
      <c r="H10802">
        <v>-0.75561142681971005</v>
      </c>
      <c r="I10802" t="s">
        <v>1070</v>
      </c>
      <c r="J10802">
        <v>10.29</v>
      </c>
    </row>
    <row r="10803" spans="1:10" hidden="1">
      <c r="A10803" t="s">
        <v>6572</v>
      </c>
      <c r="B10803" t="s">
        <v>6573</v>
      </c>
      <c r="C10803" t="s">
        <v>5111</v>
      </c>
      <c r="D10803" t="s">
        <v>1427</v>
      </c>
      <c r="E10803" t="s">
        <v>555</v>
      </c>
      <c r="F10803" t="s">
        <v>1068</v>
      </c>
      <c r="G10803" t="s">
        <v>1071</v>
      </c>
      <c r="H10803" s="170">
        <v>-7.7843612569150299E-10</v>
      </c>
      <c r="I10803" t="s">
        <v>1072</v>
      </c>
      <c r="J10803">
        <v>10.29</v>
      </c>
    </row>
    <row r="10804" spans="1:10" hidden="1">
      <c r="A10804" t="s">
        <v>6572</v>
      </c>
      <c r="B10804" t="s">
        <v>6573</v>
      </c>
      <c r="C10804" t="s">
        <v>5111</v>
      </c>
      <c r="D10804" t="s">
        <v>1427</v>
      </c>
      <c r="E10804" t="s">
        <v>555</v>
      </c>
      <c r="F10804" t="s">
        <v>1068</v>
      </c>
      <c r="G10804" t="s">
        <v>1073</v>
      </c>
      <c r="H10804" s="170">
        <v>-2.64872653659144E-7</v>
      </c>
      <c r="I10804" t="s">
        <v>1074</v>
      </c>
      <c r="J10804">
        <v>10.29</v>
      </c>
    </row>
    <row r="10805" spans="1:10" hidden="1">
      <c r="A10805" t="s">
        <v>6572</v>
      </c>
      <c r="B10805" t="s">
        <v>6573</v>
      </c>
      <c r="C10805" t="s">
        <v>5111</v>
      </c>
      <c r="D10805" t="s">
        <v>1427</v>
      </c>
      <c r="E10805" t="s">
        <v>555</v>
      </c>
      <c r="F10805" t="s">
        <v>1068</v>
      </c>
      <c r="G10805" t="s">
        <v>1075</v>
      </c>
      <c r="H10805">
        <v>-1.3888277710691401E-2</v>
      </c>
      <c r="I10805" t="s">
        <v>1077</v>
      </c>
      <c r="J10805">
        <v>10.29</v>
      </c>
    </row>
    <row r="10806" spans="1:10" hidden="1">
      <c r="A10806" t="s">
        <v>6572</v>
      </c>
      <c r="B10806" t="s">
        <v>6573</v>
      </c>
      <c r="C10806" t="s">
        <v>5111</v>
      </c>
      <c r="D10806" t="s">
        <v>1427</v>
      </c>
      <c r="E10806" t="s">
        <v>555</v>
      </c>
      <c r="F10806" t="s">
        <v>1068</v>
      </c>
      <c r="G10806" t="s">
        <v>1078</v>
      </c>
      <c r="H10806">
        <v>-1.06793425640669</v>
      </c>
      <c r="I10806" t="s">
        <v>1079</v>
      </c>
      <c r="J10806">
        <v>10.29</v>
      </c>
    </row>
    <row r="10807" spans="1:10" hidden="1">
      <c r="A10807" t="s">
        <v>6572</v>
      </c>
      <c r="B10807" t="s">
        <v>6573</v>
      </c>
      <c r="C10807" t="s">
        <v>5111</v>
      </c>
      <c r="D10807" t="s">
        <v>1427</v>
      </c>
      <c r="E10807" t="s">
        <v>555</v>
      </c>
      <c r="F10807" t="s">
        <v>1068</v>
      </c>
      <c r="G10807" t="s">
        <v>1080</v>
      </c>
      <c r="H10807" s="170">
        <v>-4.2724600415151696E-9</v>
      </c>
      <c r="I10807" t="s">
        <v>1082</v>
      </c>
      <c r="J10807">
        <v>10.29</v>
      </c>
    </row>
    <row r="10808" spans="1:10" hidden="1">
      <c r="A10808" t="s">
        <v>6572</v>
      </c>
      <c r="B10808" t="s">
        <v>6573</v>
      </c>
      <c r="C10808" t="s">
        <v>5111</v>
      </c>
      <c r="D10808" t="s">
        <v>1427</v>
      </c>
      <c r="E10808" t="s">
        <v>555</v>
      </c>
      <c r="F10808" t="s">
        <v>1068</v>
      </c>
      <c r="G10808" t="s">
        <v>1083</v>
      </c>
      <c r="H10808">
        <v>-1.03757974590835E-4</v>
      </c>
      <c r="I10808" t="s">
        <v>1084</v>
      </c>
      <c r="J10808">
        <v>10.29</v>
      </c>
    </row>
    <row r="10809" spans="1:10" hidden="1">
      <c r="A10809" t="s">
        <v>6572</v>
      </c>
      <c r="B10809" t="s">
        <v>6573</v>
      </c>
      <c r="C10809" t="s">
        <v>5111</v>
      </c>
      <c r="D10809" t="s">
        <v>1427</v>
      </c>
      <c r="E10809" t="s">
        <v>555</v>
      </c>
      <c r="F10809" t="s">
        <v>1068</v>
      </c>
      <c r="G10809" t="s">
        <v>1085</v>
      </c>
      <c r="H10809">
        <v>-9.48794408688129E-4</v>
      </c>
      <c r="I10809" t="s">
        <v>1086</v>
      </c>
      <c r="J10809">
        <v>10.29</v>
      </c>
    </row>
    <row r="10810" spans="1:10" hidden="1">
      <c r="A10810" t="s">
        <v>6572</v>
      </c>
      <c r="B10810" t="s">
        <v>6573</v>
      </c>
      <c r="C10810" t="s">
        <v>5111</v>
      </c>
      <c r="D10810" t="s">
        <v>1427</v>
      </c>
      <c r="E10810" t="s">
        <v>555</v>
      </c>
      <c r="F10810" t="s">
        <v>1068</v>
      </c>
      <c r="G10810" t="s">
        <v>1087</v>
      </c>
      <c r="H10810" s="170">
        <v>-6.5851220924280904E-7</v>
      </c>
      <c r="I10810" t="s">
        <v>1088</v>
      </c>
      <c r="J10810">
        <v>10.29</v>
      </c>
    </row>
    <row r="10811" spans="1:10" hidden="1">
      <c r="A10811" t="s">
        <v>6572</v>
      </c>
      <c r="B10811" t="s">
        <v>6573</v>
      </c>
      <c r="C10811" t="s">
        <v>5111</v>
      </c>
      <c r="D10811" t="s">
        <v>1427</v>
      </c>
      <c r="E10811" t="s">
        <v>555</v>
      </c>
      <c r="F10811" t="s">
        <v>1068</v>
      </c>
      <c r="G10811" t="s">
        <v>1089</v>
      </c>
      <c r="H10811">
        <v>-1.58233641234465E-4</v>
      </c>
      <c r="I10811" t="s">
        <v>1090</v>
      </c>
      <c r="J10811">
        <v>10.29</v>
      </c>
    </row>
    <row r="10812" spans="1:10" hidden="1">
      <c r="A10812" t="s">
        <v>6574</v>
      </c>
      <c r="B10812" t="s">
        <v>6575</v>
      </c>
      <c r="C10812" t="s">
        <v>5111</v>
      </c>
      <c r="D10812" t="s">
        <v>1427</v>
      </c>
      <c r="E10812" t="s">
        <v>558</v>
      </c>
      <c r="F10812" t="s">
        <v>1068</v>
      </c>
      <c r="G10812" t="s">
        <v>1069</v>
      </c>
      <c r="H10812">
        <v>-0.66383347922424696</v>
      </c>
      <c r="I10812" t="s">
        <v>1070</v>
      </c>
      <c r="J10812">
        <v>10.53</v>
      </c>
    </row>
    <row r="10813" spans="1:10" hidden="1">
      <c r="A10813" t="s">
        <v>6574</v>
      </c>
      <c r="B10813" t="s">
        <v>6575</v>
      </c>
      <c r="C10813" t="s">
        <v>5111</v>
      </c>
      <c r="D10813" t="s">
        <v>1427</v>
      </c>
      <c r="E10813" t="s">
        <v>558</v>
      </c>
      <c r="F10813" t="s">
        <v>1068</v>
      </c>
      <c r="G10813" t="s">
        <v>1071</v>
      </c>
      <c r="H10813" s="170">
        <v>-6.4710085876605495E-10</v>
      </c>
      <c r="I10813" t="s">
        <v>1072</v>
      </c>
      <c r="J10813">
        <v>10.53</v>
      </c>
    </row>
    <row r="10814" spans="1:10" hidden="1">
      <c r="A10814" t="s">
        <v>6574</v>
      </c>
      <c r="B10814" t="s">
        <v>6575</v>
      </c>
      <c r="C10814" t="s">
        <v>5111</v>
      </c>
      <c r="D10814" t="s">
        <v>1427</v>
      </c>
      <c r="E10814" t="s">
        <v>558</v>
      </c>
      <c r="F10814" t="s">
        <v>1068</v>
      </c>
      <c r="G10814" t="s">
        <v>1073</v>
      </c>
      <c r="H10814" s="170">
        <v>-2.3227275265259201E-7</v>
      </c>
      <c r="I10814" t="s">
        <v>1074</v>
      </c>
      <c r="J10814">
        <v>10.53</v>
      </c>
    </row>
    <row r="10815" spans="1:10" hidden="1">
      <c r="A10815" t="s">
        <v>6574</v>
      </c>
      <c r="B10815" t="s">
        <v>6575</v>
      </c>
      <c r="C10815" t="s">
        <v>5111</v>
      </c>
      <c r="D10815" t="s">
        <v>1427</v>
      </c>
      <c r="E10815" t="s">
        <v>558</v>
      </c>
      <c r="F10815" t="s">
        <v>1068</v>
      </c>
      <c r="G10815" t="s">
        <v>1075</v>
      </c>
      <c r="H10815">
        <v>-1.0987069547731401E-2</v>
      </c>
      <c r="I10815" t="s">
        <v>1077</v>
      </c>
      <c r="J10815">
        <v>10.53</v>
      </c>
    </row>
    <row r="10816" spans="1:10" hidden="1">
      <c r="A10816" t="s">
        <v>6574</v>
      </c>
      <c r="B10816" t="s">
        <v>6575</v>
      </c>
      <c r="C10816" t="s">
        <v>5111</v>
      </c>
      <c r="D10816" t="s">
        <v>1427</v>
      </c>
      <c r="E10816" t="s">
        <v>558</v>
      </c>
      <c r="F10816" t="s">
        <v>1068</v>
      </c>
      <c r="G10816" t="s">
        <v>1078</v>
      </c>
      <c r="H10816">
        <v>-0.94247482418092698</v>
      </c>
      <c r="I10816" t="s">
        <v>1079</v>
      </c>
      <c r="J10816">
        <v>10.53</v>
      </c>
    </row>
    <row r="10817" spans="1:10" hidden="1">
      <c r="A10817" t="s">
        <v>6574</v>
      </c>
      <c r="B10817" t="s">
        <v>6575</v>
      </c>
      <c r="C10817" t="s">
        <v>5111</v>
      </c>
      <c r="D10817" t="s">
        <v>1427</v>
      </c>
      <c r="E10817" t="s">
        <v>558</v>
      </c>
      <c r="F10817" t="s">
        <v>1068</v>
      </c>
      <c r="G10817" t="s">
        <v>1080</v>
      </c>
      <c r="H10817" s="170">
        <v>-3.76229775594419E-9</v>
      </c>
      <c r="I10817" t="s">
        <v>1082</v>
      </c>
      <c r="J10817">
        <v>10.53</v>
      </c>
    </row>
    <row r="10818" spans="1:10" hidden="1">
      <c r="A10818" t="s">
        <v>6574</v>
      </c>
      <c r="B10818" t="s">
        <v>6575</v>
      </c>
      <c r="C10818" t="s">
        <v>5111</v>
      </c>
      <c r="D10818" t="s">
        <v>1427</v>
      </c>
      <c r="E10818" t="s">
        <v>558</v>
      </c>
      <c r="F10818" t="s">
        <v>1068</v>
      </c>
      <c r="G10818" t="s">
        <v>1083</v>
      </c>
      <c r="H10818" s="170">
        <v>-8.9807622897790696E-5</v>
      </c>
      <c r="I10818" t="s">
        <v>1084</v>
      </c>
      <c r="J10818">
        <v>10.53</v>
      </c>
    </row>
    <row r="10819" spans="1:10" hidden="1">
      <c r="A10819" t="s">
        <v>6574</v>
      </c>
      <c r="B10819" t="s">
        <v>6575</v>
      </c>
      <c r="C10819" t="s">
        <v>5111</v>
      </c>
      <c r="D10819" t="s">
        <v>1427</v>
      </c>
      <c r="E10819" t="s">
        <v>558</v>
      </c>
      <c r="F10819" t="s">
        <v>1068</v>
      </c>
      <c r="G10819" t="s">
        <v>1085</v>
      </c>
      <c r="H10819">
        <v>-7.9112712133142904E-4</v>
      </c>
      <c r="I10819" t="s">
        <v>1086</v>
      </c>
      <c r="J10819">
        <v>10.53</v>
      </c>
    </row>
    <row r="10820" spans="1:10" hidden="1">
      <c r="A10820" t="s">
        <v>6574</v>
      </c>
      <c r="B10820" t="s">
        <v>6575</v>
      </c>
      <c r="C10820" t="s">
        <v>5111</v>
      </c>
      <c r="D10820" t="s">
        <v>1427</v>
      </c>
      <c r="E10820" t="s">
        <v>558</v>
      </c>
      <c r="F10820" t="s">
        <v>1068</v>
      </c>
      <c r="G10820" t="s">
        <v>1087</v>
      </c>
      <c r="H10820" s="170">
        <v>-5.8242125642001595E-7</v>
      </c>
      <c r="I10820" t="s">
        <v>1088</v>
      </c>
      <c r="J10820">
        <v>10.53</v>
      </c>
    </row>
    <row r="10821" spans="1:10" hidden="1">
      <c r="A10821" t="s">
        <v>6574</v>
      </c>
      <c r="B10821" t="s">
        <v>6575</v>
      </c>
      <c r="C10821" t="s">
        <v>5111</v>
      </c>
      <c r="D10821" t="s">
        <v>1427</v>
      </c>
      <c r="E10821" t="s">
        <v>558</v>
      </c>
      <c r="F10821" t="s">
        <v>1068</v>
      </c>
      <c r="G10821" t="s">
        <v>1089</v>
      </c>
      <c r="H10821">
        <v>-1.2570719121986101E-4</v>
      </c>
      <c r="I10821" t="s">
        <v>1090</v>
      </c>
      <c r="J10821">
        <v>10.53</v>
      </c>
    </row>
    <row r="10822" spans="1:10" hidden="1">
      <c r="A10822" t="s">
        <v>6576</v>
      </c>
      <c r="B10822" t="s">
        <v>6577</v>
      </c>
      <c r="C10822" t="s">
        <v>5111</v>
      </c>
      <c r="D10822" t="s">
        <v>1427</v>
      </c>
      <c r="E10822" t="s">
        <v>553</v>
      </c>
      <c r="F10822" t="s">
        <v>1068</v>
      </c>
      <c r="G10822" t="s">
        <v>1069</v>
      </c>
      <c r="H10822">
        <v>-0.65652186259751</v>
      </c>
      <c r="I10822" t="s">
        <v>1070</v>
      </c>
      <c r="J10822">
        <v>9.4499999999999993</v>
      </c>
    </row>
    <row r="10823" spans="1:10" hidden="1">
      <c r="A10823" t="s">
        <v>6576</v>
      </c>
      <c r="B10823" t="s">
        <v>6577</v>
      </c>
      <c r="C10823" t="s">
        <v>5111</v>
      </c>
      <c r="D10823" t="s">
        <v>1427</v>
      </c>
      <c r="E10823" t="s">
        <v>553</v>
      </c>
      <c r="F10823" t="s">
        <v>1068</v>
      </c>
      <c r="G10823" t="s">
        <v>1071</v>
      </c>
      <c r="H10823" s="170">
        <v>-6.3663783195900402E-10</v>
      </c>
      <c r="I10823" t="s">
        <v>1072</v>
      </c>
      <c r="J10823">
        <v>9.4499999999999993</v>
      </c>
    </row>
    <row r="10824" spans="1:10" hidden="1">
      <c r="A10824" t="s">
        <v>6576</v>
      </c>
      <c r="B10824" t="s">
        <v>6577</v>
      </c>
      <c r="C10824" t="s">
        <v>5111</v>
      </c>
      <c r="D10824" t="s">
        <v>1427</v>
      </c>
      <c r="E10824" t="s">
        <v>553</v>
      </c>
      <c r="F10824" t="s">
        <v>1068</v>
      </c>
      <c r="G10824" t="s">
        <v>1073</v>
      </c>
      <c r="H10824" s="170">
        <v>-2.29675726908948E-7</v>
      </c>
      <c r="I10824" t="s">
        <v>1074</v>
      </c>
      <c r="J10824">
        <v>9.4499999999999993</v>
      </c>
    </row>
    <row r="10825" spans="1:10" hidden="1">
      <c r="A10825" t="s">
        <v>6576</v>
      </c>
      <c r="B10825" t="s">
        <v>6577</v>
      </c>
      <c r="C10825" t="s">
        <v>5111</v>
      </c>
      <c r="D10825" t="s">
        <v>1427</v>
      </c>
      <c r="E10825" t="s">
        <v>553</v>
      </c>
      <c r="F10825" t="s">
        <v>1068</v>
      </c>
      <c r="G10825" t="s">
        <v>1075</v>
      </c>
      <c r="H10825">
        <v>-1.07559507312712E-2</v>
      </c>
      <c r="I10825" t="s">
        <v>1077</v>
      </c>
      <c r="J10825">
        <v>9.4499999999999993</v>
      </c>
    </row>
    <row r="10826" spans="1:10" hidden="1">
      <c r="A10826" t="s">
        <v>6576</v>
      </c>
      <c r="B10826" t="s">
        <v>6577</v>
      </c>
      <c r="C10826" t="s">
        <v>5111</v>
      </c>
      <c r="D10826" t="s">
        <v>1427</v>
      </c>
      <c r="E10826" t="s">
        <v>553</v>
      </c>
      <c r="F10826" t="s">
        <v>1068</v>
      </c>
      <c r="G10826" t="s">
        <v>1078</v>
      </c>
      <c r="H10826">
        <v>-0.93248035519707595</v>
      </c>
      <c r="I10826" t="s">
        <v>1079</v>
      </c>
      <c r="J10826">
        <v>9.4499999999999993</v>
      </c>
    </row>
    <row r="10827" spans="1:10" hidden="1">
      <c r="A10827" t="s">
        <v>6576</v>
      </c>
      <c r="B10827" t="s">
        <v>6577</v>
      </c>
      <c r="C10827" t="s">
        <v>5111</v>
      </c>
      <c r="D10827" t="s">
        <v>1427</v>
      </c>
      <c r="E10827" t="s">
        <v>553</v>
      </c>
      <c r="F10827" t="s">
        <v>1068</v>
      </c>
      <c r="G10827" t="s">
        <v>1080</v>
      </c>
      <c r="H10827" s="170">
        <v>-3.7216567205965499E-9</v>
      </c>
      <c r="I10827" t="s">
        <v>1082</v>
      </c>
      <c r="J10827">
        <v>9.4499999999999993</v>
      </c>
    </row>
    <row r="10828" spans="1:10" hidden="1">
      <c r="A10828" t="s">
        <v>6576</v>
      </c>
      <c r="B10828" t="s">
        <v>6577</v>
      </c>
      <c r="C10828" t="s">
        <v>5111</v>
      </c>
      <c r="D10828" t="s">
        <v>1427</v>
      </c>
      <c r="E10828" t="s">
        <v>553</v>
      </c>
      <c r="F10828" t="s">
        <v>1068</v>
      </c>
      <c r="G10828" t="s">
        <v>1083</v>
      </c>
      <c r="H10828" s="170">
        <v>-8.8696296672583695E-5</v>
      </c>
      <c r="I10828" t="s">
        <v>1084</v>
      </c>
      <c r="J10828">
        <v>9.4499999999999993</v>
      </c>
    </row>
    <row r="10829" spans="1:10" hidden="1">
      <c r="A10829" t="s">
        <v>6576</v>
      </c>
      <c r="B10829" t="s">
        <v>6577</v>
      </c>
      <c r="C10829" t="s">
        <v>5111</v>
      </c>
      <c r="D10829" t="s">
        <v>1427</v>
      </c>
      <c r="E10829" t="s">
        <v>553</v>
      </c>
      <c r="F10829" t="s">
        <v>1068</v>
      </c>
      <c r="G10829" t="s">
        <v>1085</v>
      </c>
      <c r="H10829">
        <v>-7.7856687943470904E-4</v>
      </c>
      <c r="I10829" t="s">
        <v>1086</v>
      </c>
      <c r="J10829">
        <v>9.4499999999999993</v>
      </c>
    </row>
    <row r="10830" spans="1:10" hidden="1">
      <c r="A10830" t="s">
        <v>6576</v>
      </c>
      <c r="B10830" t="s">
        <v>6577</v>
      </c>
      <c r="C10830" t="s">
        <v>5111</v>
      </c>
      <c r="D10830" t="s">
        <v>1427</v>
      </c>
      <c r="E10830" t="s">
        <v>553</v>
      </c>
      <c r="F10830" t="s">
        <v>1068</v>
      </c>
      <c r="G10830" t="s">
        <v>1087</v>
      </c>
      <c r="H10830" s="170">
        <v>-5.7635962636367399E-7</v>
      </c>
      <c r="I10830" t="s">
        <v>1088</v>
      </c>
      <c r="J10830">
        <v>9.4499999999999993</v>
      </c>
    </row>
    <row r="10831" spans="1:10" hidden="1">
      <c r="A10831" t="s">
        <v>6576</v>
      </c>
      <c r="B10831" t="s">
        <v>6577</v>
      </c>
      <c r="C10831" t="s">
        <v>5111</v>
      </c>
      <c r="D10831" t="s">
        <v>1427</v>
      </c>
      <c r="E10831" t="s">
        <v>553</v>
      </c>
      <c r="F10831" t="s">
        <v>1068</v>
      </c>
      <c r="G10831" t="s">
        <v>1089</v>
      </c>
      <c r="H10831">
        <v>-1.2311603810392699E-4</v>
      </c>
      <c r="I10831" t="s">
        <v>1090</v>
      </c>
      <c r="J10831">
        <v>9.4499999999999993</v>
      </c>
    </row>
    <row r="10832" spans="1:10" hidden="1">
      <c r="A10832" t="s">
        <v>6578</v>
      </c>
      <c r="B10832" t="s">
        <v>6579</v>
      </c>
      <c r="C10832" t="s">
        <v>5111</v>
      </c>
      <c r="D10832" t="s">
        <v>1427</v>
      </c>
      <c r="E10832" t="s">
        <v>556</v>
      </c>
      <c r="F10832" t="s">
        <v>1068</v>
      </c>
      <c r="G10832" t="s">
        <v>1069</v>
      </c>
      <c r="H10832">
        <v>-0.74629777591896096</v>
      </c>
      <c r="I10832" t="s">
        <v>1070</v>
      </c>
      <c r="J10832">
        <v>9.3699999999999992</v>
      </c>
    </row>
    <row r="10833" spans="1:10" hidden="1">
      <c r="A10833" t="s">
        <v>6578</v>
      </c>
      <c r="B10833" t="s">
        <v>6579</v>
      </c>
      <c r="C10833" t="s">
        <v>5111</v>
      </c>
      <c r="D10833" t="s">
        <v>1427</v>
      </c>
      <c r="E10833" t="s">
        <v>556</v>
      </c>
      <c r="F10833" t="s">
        <v>1068</v>
      </c>
      <c r="G10833" t="s">
        <v>1071</v>
      </c>
      <c r="H10833" s="170">
        <v>-7.6510818529218298E-10</v>
      </c>
      <c r="I10833" t="s">
        <v>1072</v>
      </c>
      <c r="J10833">
        <v>9.3699999999999992</v>
      </c>
    </row>
    <row r="10834" spans="1:10" hidden="1">
      <c r="A10834" t="s">
        <v>6578</v>
      </c>
      <c r="B10834" t="s">
        <v>6579</v>
      </c>
      <c r="C10834" t="s">
        <v>5111</v>
      </c>
      <c r="D10834" t="s">
        <v>1427</v>
      </c>
      <c r="E10834" t="s">
        <v>556</v>
      </c>
      <c r="F10834" t="s">
        <v>1068</v>
      </c>
      <c r="G10834" t="s">
        <v>1073</v>
      </c>
      <c r="H10834" s="170">
        <v>-2.6156441538901099E-7</v>
      </c>
      <c r="I10834" t="s">
        <v>1074</v>
      </c>
      <c r="J10834">
        <v>9.3699999999999992</v>
      </c>
    </row>
    <row r="10835" spans="1:10" hidden="1">
      <c r="A10835" t="s">
        <v>6578</v>
      </c>
      <c r="B10835" t="s">
        <v>6579</v>
      </c>
      <c r="C10835" t="s">
        <v>5111</v>
      </c>
      <c r="D10835" t="s">
        <v>1427</v>
      </c>
      <c r="E10835" t="s">
        <v>556</v>
      </c>
      <c r="F10835" t="s">
        <v>1068</v>
      </c>
      <c r="G10835" t="s">
        <v>1075</v>
      </c>
      <c r="H10835">
        <v>-1.359386325623E-2</v>
      </c>
      <c r="I10835" t="s">
        <v>1077</v>
      </c>
      <c r="J10835">
        <v>9.3699999999999992</v>
      </c>
    </row>
    <row r="10836" spans="1:10" hidden="1">
      <c r="A10836" t="s">
        <v>6578</v>
      </c>
      <c r="B10836" t="s">
        <v>6579</v>
      </c>
      <c r="C10836" t="s">
        <v>5111</v>
      </c>
      <c r="D10836" t="s">
        <v>1427</v>
      </c>
      <c r="E10836" t="s">
        <v>556</v>
      </c>
      <c r="F10836" t="s">
        <v>1068</v>
      </c>
      <c r="G10836" t="s">
        <v>1078</v>
      </c>
      <c r="H10836">
        <v>-1.0552026397232199</v>
      </c>
      <c r="I10836" t="s">
        <v>1079</v>
      </c>
      <c r="J10836">
        <v>9.3699999999999992</v>
      </c>
    </row>
    <row r="10837" spans="1:10" hidden="1">
      <c r="A10837" t="s">
        <v>6578</v>
      </c>
      <c r="B10837" t="s">
        <v>6579</v>
      </c>
      <c r="C10837" t="s">
        <v>5111</v>
      </c>
      <c r="D10837" t="s">
        <v>1427</v>
      </c>
      <c r="E10837" t="s">
        <v>556</v>
      </c>
      <c r="F10837" t="s">
        <v>1068</v>
      </c>
      <c r="G10837" t="s">
        <v>1080</v>
      </c>
      <c r="H10837" s="170">
        <v>-4.2206887991419303E-9</v>
      </c>
      <c r="I10837" t="s">
        <v>1082</v>
      </c>
      <c r="J10837">
        <v>9.3699999999999992</v>
      </c>
    </row>
    <row r="10838" spans="1:10" hidden="1">
      <c r="A10838" t="s">
        <v>6578</v>
      </c>
      <c r="B10838" t="s">
        <v>6579</v>
      </c>
      <c r="C10838" t="s">
        <v>5111</v>
      </c>
      <c r="D10838" t="s">
        <v>1427</v>
      </c>
      <c r="E10838" t="s">
        <v>556</v>
      </c>
      <c r="F10838" t="s">
        <v>1068</v>
      </c>
      <c r="G10838" t="s">
        <v>1083</v>
      </c>
      <c r="H10838">
        <v>-1.02342293623712E-4</v>
      </c>
      <c r="I10838" t="s">
        <v>1084</v>
      </c>
      <c r="J10838">
        <v>9.3699999999999992</v>
      </c>
    </row>
    <row r="10839" spans="1:10" hidden="1">
      <c r="A10839" t="s">
        <v>6578</v>
      </c>
      <c r="B10839" t="s">
        <v>6579</v>
      </c>
      <c r="C10839" t="s">
        <v>5111</v>
      </c>
      <c r="D10839" t="s">
        <v>1427</v>
      </c>
      <c r="E10839" t="s">
        <v>556</v>
      </c>
      <c r="F10839" t="s">
        <v>1068</v>
      </c>
      <c r="G10839" t="s">
        <v>1085</v>
      </c>
      <c r="H10839">
        <v>-9.3279434053154797E-4</v>
      </c>
      <c r="I10839" t="s">
        <v>1086</v>
      </c>
      <c r="J10839">
        <v>9.3699999999999992</v>
      </c>
    </row>
    <row r="10840" spans="1:10" hidden="1">
      <c r="A10840" t="s">
        <v>6578</v>
      </c>
      <c r="B10840" t="s">
        <v>6579</v>
      </c>
      <c r="C10840" t="s">
        <v>5111</v>
      </c>
      <c r="D10840" t="s">
        <v>1427</v>
      </c>
      <c r="E10840" t="s">
        <v>556</v>
      </c>
      <c r="F10840" t="s">
        <v>1068</v>
      </c>
      <c r="G10840" t="s">
        <v>1087</v>
      </c>
      <c r="H10840" s="170">
        <v>-6.5079050329389602E-7</v>
      </c>
      <c r="I10840" t="s">
        <v>1088</v>
      </c>
      <c r="J10840">
        <v>9.3699999999999992</v>
      </c>
    </row>
    <row r="10841" spans="1:10" hidden="1">
      <c r="A10841" t="s">
        <v>6578</v>
      </c>
      <c r="B10841" t="s">
        <v>6579</v>
      </c>
      <c r="C10841" t="s">
        <v>5111</v>
      </c>
      <c r="D10841" t="s">
        <v>1427</v>
      </c>
      <c r="E10841" t="s">
        <v>556</v>
      </c>
      <c r="F10841" t="s">
        <v>1068</v>
      </c>
      <c r="G10841" t="s">
        <v>1089</v>
      </c>
      <c r="H10841">
        <v>-1.5493285876967301E-4</v>
      </c>
      <c r="I10841" t="s">
        <v>1090</v>
      </c>
      <c r="J10841">
        <v>9.3699999999999992</v>
      </c>
    </row>
    <row r="10842" spans="1:10" hidden="1">
      <c r="A10842" t="s">
        <v>6580</v>
      </c>
      <c r="B10842" t="s">
        <v>6581</v>
      </c>
      <c r="C10842" t="s">
        <v>5111</v>
      </c>
      <c r="D10842" t="s">
        <v>1427</v>
      </c>
      <c r="E10842" t="s">
        <v>557</v>
      </c>
      <c r="F10842" t="s">
        <v>1068</v>
      </c>
      <c r="G10842" t="s">
        <v>1069</v>
      </c>
      <c r="H10842">
        <v>-0.69466807656222695</v>
      </c>
      <c r="I10842" t="s">
        <v>1070</v>
      </c>
      <c r="J10842">
        <v>9.67</v>
      </c>
    </row>
    <row r="10843" spans="1:10" hidden="1">
      <c r="A10843" t="s">
        <v>6580</v>
      </c>
      <c r="B10843" t="s">
        <v>6581</v>
      </c>
      <c r="C10843" t="s">
        <v>5111</v>
      </c>
      <c r="D10843" t="s">
        <v>1427</v>
      </c>
      <c r="E10843" t="s">
        <v>557</v>
      </c>
      <c r="F10843" t="s">
        <v>1068</v>
      </c>
      <c r="G10843" t="s">
        <v>1071</v>
      </c>
      <c r="H10843" s="170">
        <v>-6.9122551835835895E-10</v>
      </c>
      <c r="I10843" t="s">
        <v>1072</v>
      </c>
      <c r="J10843">
        <v>9.67</v>
      </c>
    </row>
    <row r="10844" spans="1:10" hidden="1">
      <c r="A10844" t="s">
        <v>6580</v>
      </c>
      <c r="B10844" t="s">
        <v>6581</v>
      </c>
      <c r="C10844" t="s">
        <v>5111</v>
      </c>
      <c r="D10844" t="s">
        <v>1427</v>
      </c>
      <c r="E10844" t="s">
        <v>557</v>
      </c>
      <c r="F10844" t="s">
        <v>1068</v>
      </c>
      <c r="G10844" t="s">
        <v>1073</v>
      </c>
      <c r="H10844" s="170">
        <v>-2.4322529919364902E-7</v>
      </c>
      <c r="I10844" t="s">
        <v>1074</v>
      </c>
      <c r="J10844">
        <v>9.67</v>
      </c>
    </row>
    <row r="10845" spans="1:10" hidden="1">
      <c r="A10845" t="s">
        <v>6580</v>
      </c>
      <c r="B10845" t="s">
        <v>6581</v>
      </c>
      <c r="C10845" t="s">
        <v>5111</v>
      </c>
      <c r="D10845" t="s">
        <v>1427</v>
      </c>
      <c r="E10845" t="s">
        <v>557</v>
      </c>
      <c r="F10845" t="s">
        <v>1068</v>
      </c>
      <c r="G10845" t="s">
        <v>1075</v>
      </c>
      <c r="H10845">
        <v>-1.1961784109244001E-2</v>
      </c>
      <c r="I10845" t="s">
        <v>1077</v>
      </c>
      <c r="J10845">
        <v>9.67</v>
      </c>
    </row>
    <row r="10846" spans="1:10" hidden="1">
      <c r="A10846" t="s">
        <v>6580</v>
      </c>
      <c r="B10846" t="s">
        <v>6581</v>
      </c>
      <c r="C10846" t="s">
        <v>5111</v>
      </c>
      <c r="D10846" t="s">
        <v>1427</v>
      </c>
      <c r="E10846" t="s">
        <v>557</v>
      </c>
      <c r="F10846" t="s">
        <v>1068</v>
      </c>
      <c r="G10846" t="s">
        <v>1078</v>
      </c>
      <c r="H10846">
        <v>-0.98462524167889498</v>
      </c>
      <c r="I10846" t="s">
        <v>1079</v>
      </c>
      <c r="J10846">
        <v>9.67</v>
      </c>
    </row>
    <row r="10847" spans="1:10" hidden="1">
      <c r="A10847" t="s">
        <v>6580</v>
      </c>
      <c r="B10847" t="s">
        <v>6581</v>
      </c>
      <c r="C10847" t="s">
        <v>5111</v>
      </c>
      <c r="D10847" t="s">
        <v>1427</v>
      </c>
      <c r="E10847" t="s">
        <v>557</v>
      </c>
      <c r="F10847" t="s">
        <v>1068</v>
      </c>
      <c r="G10847" t="s">
        <v>1080</v>
      </c>
      <c r="H10847" s="170">
        <v>-3.9336962149672101E-9</v>
      </c>
      <c r="I10847" t="s">
        <v>1082</v>
      </c>
      <c r="J10847">
        <v>9.67</v>
      </c>
    </row>
    <row r="10848" spans="1:10" hidden="1">
      <c r="A10848" t="s">
        <v>6580</v>
      </c>
      <c r="B10848" t="s">
        <v>6581</v>
      </c>
      <c r="C10848" t="s">
        <v>5111</v>
      </c>
      <c r="D10848" t="s">
        <v>1427</v>
      </c>
      <c r="E10848" t="s">
        <v>557</v>
      </c>
      <c r="F10848" t="s">
        <v>1068</v>
      </c>
      <c r="G10848" t="s">
        <v>1083</v>
      </c>
      <c r="H10848" s="170">
        <v>-9.4494501657316104E-5</v>
      </c>
      <c r="I10848" t="s">
        <v>1084</v>
      </c>
      <c r="J10848">
        <v>9.67</v>
      </c>
    </row>
    <row r="10849" spans="1:10" hidden="1">
      <c r="A10849" t="s">
        <v>6580</v>
      </c>
      <c r="B10849" t="s">
        <v>6581</v>
      </c>
      <c r="C10849" t="s">
        <v>5111</v>
      </c>
      <c r="D10849" t="s">
        <v>1427</v>
      </c>
      <c r="E10849" t="s">
        <v>557</v>
      </c>
      <c r="F10849" t="s">
        <v>1068</v>
      </c>
      <c r="G10849" t="s">
        <v>1085</v>
      </c>
      <c r="H10849">
        <v>-8.4409836367737895E-4</v>
      </c>
      <c r="I10849" t="s">
        <v>1086</v>
      </c>
      <c r="J10849">
        <v>9.67</v>
      </c>
    </row>
    <row r="10850" spans="1:10" hidden="1">
      <c r="A10850" t="s">
        <v>6580</v>
      </c>
      <c r="B10850" t="s">
        <v>6581</v>
      </c>
      <c r="C10850" t="s">
        <v>5111</v>
      </c>
      <c r="D10850" t="s">
        <v>1427</v>
      </c>
      <c r="E10850" t="s">
        <v>557</v>
      </c>
      <c r="F10850" t="s">
        <v>1068</v>
      </c>
      <c r="G10850" t="s">
        <v>1087</v>
      </c>
      <c r="H10850" s="170">
        <v>-6.07985419843652E-7</v>
      </c>
      <c r="I10850" t="s">
        <v>1088</v>
      </c>
      <c r="J10850">
        <v>9.67</v>
      </c>
    </row>
    <row r="10851" spans="1:10" hidden="1">
      <c r="A10851" t="s">
        <v>6580</v>
      </c>
      <c r="B10851" t="s">
        <v>6581</v>
      </c>
      <c r="C10851" t="s">
        <v>5111</v>
      </c>
      <c r="D10851" t="s">
        <v>1427</v>
      </c>
      <c r="E10851" t="s">
        <v>557</v>
      </c>
      <c r="F10851" t="s">
        <v>1068</v>
      </c>
      <c r="G10851" t="s">
        <v>1089</v>
      </c>
      <c r="H10851">
        <v>-1.36635053911608E-4</v>
      </c>
      <c r="I10851" t="s">
        <v>1090</v>
      </c>
      <c r="J10851">
        <v>9.67</v>
      </c>
    </row>
    <row r="10852" spans="1:10" hidden="1">
      <c r="A10852" t="s">
        <v>6582</v>
      </c>
      <c r="B10852" t="s">
        <v>6583</v>
      </c>
      <c r="C10852" t="s">
        <v>5111</v>
      </c>
      <c r="D10852" t="s">
        <v>1427</v>
      </c>
      <c r="E10852" t="s">
        <v>559</v>
      </c>
      <c r="F10852" t="s">
        <v>1068</v>
      </c>
      <c r="G10852" t="s">
        <v>1069</v>
      </c>
      <c r="H10852">
        <v>-0.71961259637194397</v>
      </c>
      <c r="I10852" t="s">
        <v>1070</v>
      </c>
      <c r="J10852">
        <v>9.34</v>
      </c>
    </row>
    <row r="10853" spans="1:10" hidden="1">
      <c r="A10853" t="s">
        <v>6582</v>
      </c>
      <c r="B10853" t="s">
        <v>6583</v>
      </c>
      <c r="C10853" t="s">
        <v>5111</v>
      </c>
      <c r="D10853" t="s">
        <v>1427</v>
      </c>
      <c r="E10853" t="s">
        <v>559</v>
      </c>
      <c r="F10853" t="s">
        <v>1068</v>
      </c>
      <c r="G10853" t="s">
        <v>1071</v>
      </c>
      <c r="H10853" s="170">
        <v>-7.2692138976621301E-10</v>
      </c>
      <c r="I10853" t="s">
        <v>1072</v>
      </c>
      <c r="J10853">
        <v>9.34</v>
      </c>
    </row>
    <row r="10854" spans="1:10" hidden="1">
      <c r="A10854" t="s">
        <v>6582</v>
      </c>
      <c r="B10854" t="s">
        <v>6583</v>
      </c>
      <c r="C10854" t="s">
        <v>5111</v>
      </c>
      <c r="D10854" t="s">
        <v>1427</v>
      </c>
      <c r="E10854" t="s">
        <v>559</v>
      </c>
      <c r="F10854" t="s">
        <v>1068</v>
      </c>
      <c r="G10854" t="s">
        <v>1073</v>
      </c>
      <c r="H10854" s="170">
        <v>-2.52085755176863E-7</v>
      </c>
      <c r="I10854" t="s">
        <v>1074</v>
      </c>
      <c r="J10854">
        <v>9.34</v>
      </c>
    </row>
    <row r="10855" spans="1:10" hidden="1">
      <c r="A10855" t="s">
        <v>6582</v>
      </c>
      <c r="B10855" t="s">
        <v>6583</v>
      </c>
      <c r="C10855" t="s">
        <v>5111</v>
      </c>
      <c r="D10855" t="s">
        <v>1427</v>
      </c>
      <c r="E10855" t="s">
        <v>559</v>
      </c>
      <c r="F10855" t="s">
        <v>1068</v>
      </c>
      <c r="G10855" t="s">
        <v>1075</v>
      </c>
      <c r="H10855">
        <v>-1.2750316223785901E-2</v>
      </c>
      <c r="I10855" t="s">
        <v>1077</v>
      </c>
      <c r="J10855">
        <v>9.34</v>
      </c>
    </row>
    <row r="10856" spans="1:10" hidden="1">
      <c r="A10856" t="s">
        <v>6582</v>
      </c>
      <c r="B10856" t="s">
        <v>6583</v>
      </c>
      <c r="C10856" t="s">
        <v>5111</v>
      </c>
      <c r="D10856" t="s">
        <v>1427</v>
      </c>
      <c r="E10856" t="s">
        <v>559</v>
      </c>
      <c r="F10856" t="s">
        <v>1068</v>
      </c>
      <c r="G10856" t="s">
        <v>1078</v>
      </c>
      <c r="H10856">
        <v>-1.01872441214702</v>
      </c>
      <c r="I10856" t="s">
        <v>1079</v>
      </c>
      <c r="J10856">
        <v>9.34</v>
      </c>
    </row>
    <row r="10857" spans="1:10" hidden="1">
      <c r="A10857" t="s">
        <v>6582</v>
      </c>
      <c r="B10857" t="s">
        <v>6583</v>
      </c>
      <c r="C10857" t="s">
        <v>5111</v>
      </c>
      <c r="D10857" t="s">
        <v>1427</v>
      </c>
      <c r="E10857" t="s">
        <v>559</v>
      </c>
      <c r="F10857" t="s">
        <v>1068</v>
      </c>
      <c r="G10857" t="s">
        <v>1080</v>
      </c>
      <c r="H10857" s="170">
        <v>-4.0723554642525999E-9</v>
      </c>
      <c r="I10857" t="s">
        <v>1082</v>
      </c>
      <c r="J10857">
        <v>9.34</v>
      </c>
    </row>
    <row r="10858" spans="1:10" hidden="1">
      <c r="A10858" t="s">
        <v>6582</v>
      </c>
      <c r="B10858" t="s">
        <v>6583</v>
      </c>
      <c r="C10858" t="s">
        <v>5111</v>
      </c>
      <c r="D10858" t="s">
        <v>1427</v>
      </c>
      <c r="E10858" t="s">
        <v>559</v>
      </c>
      <c r="F10858" t="s">
        <v>1068</v>
      </c>
      <c r="G10858" t="s">
        <v>1083</v>
      </c>
      <c r="H10858" s="170">
        <v>-9.8286129054991303E-5</v>
      </c>
      <c r="I10858" t="s">
        <v>1084</v>
      </c>
      <c r="J10858">
        <v>9.34</v>
      </c>
    </row>
    <row r="10859" spans="1:10" hidden="1">
      <c r="A10859" t="s">
        <v>6582</v>
      </c>
      <c r="B10859" t="s">
        <v>6583</v>
      </c>
      <c r="C10859" t="s">
        <v>5111</v>
      </c>
      <c r="D10859" t="s">
        <v>1427</v>
      </c>
      <c r="E10859" t="s">
        <v>559</v>
      </c>
      <c r="F10859" t="s">
        <v>1068</v>
      </c>
      <c r="G10859" t="s">
        <v>1085</v>
      </c>
      <c r="H10859">
        <v>-8.8695144862228003E-4</v>
      </c>
      <c r="I10859" t="s">
        <v>1086</v>
      </c>
      <c r="J10859">
        <v>9.34</v>
      </c>
    </row>
    <row r="10860" spans="1:10" hidden="1">
      <c r="A10860" t="s">
        <v>6582</v>
      </c>
      <c r="B10860" t="s">
        <v>6583</v>
      </c>
      <c r="C10860" t="s">
        <v>5111</v>
      </c>
      <c r="D10860" t="s">
        <v>1427</v>
      </c>
      <c r="E10860" t="s">
        <v>559</v>
      </c>
      <c r="F10860" t="s">
        <v>1068</v>
      </c>
      <c r="G10860" t="s">
        <v>1087</v>
      </c>
      <c r="H10860" s="170">
        <v>-6.2866651433915399E-7</v>
      </c>
      <c r="I10860" t="s">
        <v>1088</v>
      </c>
      <c r="J10860">
        <v>9.34</v>
      </c>
    </row>
    <row r="10861" spans="1:10" hidden="1">
      <c r="A10861" t="s">
        <v>6582</v>
      </c>
      <c r="B10861" t="s">
        <v>6583</v>
      </c>
      <c r="C10861" t="s">
        <v>5111</v>
      </c>
      <c r="D10861" t="s">
        <v>1427</v>
      </c>
      <c r="E10861" t="s">
        <v>559</v>
      </c>
      <c r="F10861" t="s">
        <v>1068</v>
      </c>
      <c r="G10861" t="s">
        <v>1089</v>
      </c>
      <c r="H10861">
        <v>-1.4547556069640399E-4</v>
      </c>
      <c r="I10861" t="s">
        <v>1090</v>
      </c>
      <c r="J10861">
        <v>9.34</v>
      </c>
    </row>
    <row r="10862" spans="1:10" hidden="1">
      <c r="A10862" t="s">
        <v>6584</v>
      </c>
      <c r="B10862" t="s">
        <v>6585</v>
      </c>
      <c r="C10862" t="s">
        <v>5111</v>
      </c>
      <c r="D10862" t="s">
        <v>1427</v>
      </c>
      <c r="E10862" t="s">
        <v>560</v>
      </c>
      <c r="F10862" t="s">
        <v>1068</v>
      </c>
      <c r="G10862" t="s">
        <v>1069</v>
      </c>
      <c r="H10862">
        <v>-0.71111319514248506</v>
      </c>
      <c r="I10862" t="s">
        <v>1070</v>
      </c>
      <c r="J10862">
        <v>8.59</v>
      </c>
    </row>
    <row r="10863" spans="1:10" hidden="1">
      <c r="A10863" t="s">
        <v>6584</v>
      </c>
      <c r="B10863" t="s">
        <v>6585</v>
      </c>
      <c r="C10863" t="s">
        <v>5111</v>
      </c>
      <c r="D10863" t="s">
        <v>1427</v>
      </c>
      <c r="E10863" t="s">
        <v>560</v>
      </c>
      <c r="F10863" t="s">
        <v>1068</v>
      </c>
      <c r="G10863" t="s">
        <v>1071</v>
      </c>
      <c r="H10863" s="170">
        <v>-7.14758670140922E-10</v>
      </c>
      <c r="I10863" t="s">
        <v>1072</v>
      </c>
      <c r="J10863">
        <v>8.59</v>
      </c>
    </row>
    <row r="10864" spans="1:10" hidden="1">
      <c r="A10864" t="s">
        <v>6584</v>
      </c>
      <c r="B10864" t="s">
        <v>6585</v>
      </c>
      <c r="C10864" t="s">
        <v>5111</v>
      </c>
      <c r="D10864" t="s">
        <v>1427</v>
      </c>
      <c r="E10864" t="s">
        <v>560</v>
      </c>
      <c r="F10864" t="s">
        <v>1068</v>
      </c>
      <c r="G10864" t="s">
        <v>1073</v>
      </c>
      <c r="H10864" s="170">
        <v>-2.4906665734888E-7</v>
      </c>
      <c r="I10864" t="s">
        <v>1074</v>
      </c>
      <c r="J10864">
        <v>8.59</v>
      </c>
    </row>
    <row r="10865" spans="1:10" hidden="1">
      <c r="A10865" t="s">
        <v>6584</v>
      </c>
      <c r="B10865" t="s">
        <v>6585</v>
      </c>
      <c r="C10865" t="s">
        <v>5111</v>
      </c>
      <c r="D10865" t="s">
        <v>1427</v>
      </c>
      <c r="E10865" t="s">
        <v>560</v>
      </c>
      <c r="F10865" t="s">
        <v>1068</v>
      </c>
      <c r="G10865" t="s">
        <v>1075</v>
      </c>
      <c r="H10865">
        <v>-1.2481631875384201E-2</v>
      </c>
      <c r="I10865" t="s">
        <v>1077</v>
      </c>
      <c r="J10865">
        <v>8.59</v>
      </c>
    </row>
    <row r="10866" spans="1:10" hidden="1">
      <c r="A10866" t="s">
        <v>6584</v>
      </c>
      <c r="B10866" t="s">
        <v>6585</v>
      </c>
      <c r="C10866" t="s">
        <v>5111</v>
      </c>
      <c r="D10866" t="s">
        <v>1427</v>
      </c>
      <c r="E10866" t="s">
        <v>560</v>
      </c>
      <c r="F10866" t="s">
        <v>1068</v>
      </c>
      <c r="G10866" t="s">
        <v>1078</v>
      </c>
      <c r="H10866">
        <v>-1.0071054643444699</v>
      </c>
      <c r="I10866" t="s">
        <v>1079</v>
      </c>
      <c r="J10866">
        <v>8.59</v>
      </c>
    </row>
    <row r="10867" spans="1:10" hidden="1">
      <c r="A10867" t="s">
        <v>6584</v>
      </c>
      <c r="B10867" t="s">
        <v>6585</v>
      </c>
      <c r="C10867" t="s">
        <v>5111</v>
      </c>
      <c r="D10867" t="s">
        <v>1427</v>
      </c>
      <c r="E10867" t="s">
        <v>560</v>
      </c>
      <c r="F10867" t="s">
        <v>1068</v>
      </c>
      <c r="G10867" t="s">
        <v>1080</v>
      </c>
      <c r="H10867" s="170">
        <v>-4.0251087264461598E-9</v>
      </c>
      <c r="I10867" t="s">
        <v>1082</v>
      </c>
      <c r="J10867">
        <v>8.59</v>
      </c>
    </row>
    <row r="10868" spans="1:10" hidden="1">
      <c r="A10868" t="s">
        <v>6584</v>
      </c>
      <c r="B10868" t="s">
        <v>6585</v>
      </c>
      <c r="C10868" t="s">
        <v>5111</v>
      </c>
      <c r="D10868" t="s">
        <v>1427</v>
      </c>
      <c r="E10868" t="s">
        <v>560</v>
      </c>
      <c r="F10868" t="s">
        <v>1068</v>
      </c>
      <c r="G10868" t="s">
        <v>1083</v>
      </c>
      <c r="H10868" s="170">
        <v>-9.6994170329063096E-5</v>
      </c>
      <c r="I10868" t="s">
        <v>1084</v>
      </c>
      <c r="J10868">
        <v>8.59</v>
      </c>
    </row>
    <row r="10869" spans="1:10" hidden="1">
      <c r="A10869" t="s">
        <v>6584</v>
      </c>
      <c r="B10869" t="s">
        <v>6585</v>
      </c>
      <c r="C10869" t="s">
        <v>5111</v>
      </c>
      <c r="D10869" t="s">
        <v>1427</v>
      </c>
      <c r="E10869" t="s">
        <v>560</v>
      </c>
      <c r="F10869" t="s">
        <v>1068</v>
      </c>
      <c r="G10869" t="s">
        <v>1085</v>
      </c>
      <c r="H10869">
        <v>-8.7234969292855396E-4</v>
      </c>
      <c r="I10869" t="s">
        <v>1086</v>
      </c>
      <c r="J10869">
        <v>8.59</v>
      </c>
    </row>
    <row r="10870" spans="1:10" hidden="1">
      <c r="A10870" t="s">
        <v>6584</v>
      </c>
      <c r="B10870" t="s">
        <v>6585</v>
      </c>
      <c r="C10870" t="s">
        <v>5111</v>
      </c>
      <c r="D10870" t="s">
        <v>1427</v>
      </c>
      <c r="E10870" t="s">
        <v>560</v>
      </c>
      <c r="F10870" t="s">
        <v>1068</v>
      </c>
      <c r="G10870" t="s">
        <v>1087</v>
      </c>
      <c r="H10870" s="170">
        <v>-6.2161964033625799E-7</v>
      </c>
      <c r="I10870" t="s">
        <v>1088</v>
      </c>
      <c r="J10870">
        <v>8.59</v>
      </c>
    </row>
    <row r="10871" spans="1:10" hidden="1">
      <c r="A10871" t="s">
        <v>6584</v>
      </c>
      <c r="B10871" t="s">
        <v>6585</v>
      </c>
      <c r="C10871" t="s">
        <v>5111</v>
      </c>
      <c r="D10871" t="s">
        <v>1427</v>
      </c>
      <c r="E10871" t="s">
        <v>560</v>
      </c>
      <c r="F10871" t="s">
        <v>1068</v>
      </c>
      <c r="G10871" t="s">
        <v>1089</v>
      </c>
      <c r="H10871">
        <v>-1.4246324734720699E-4</v>
      </c>
      <c r="I10871" t="s">
        <v>1090</v>
      </c>
      <c r="J10871">
        <v>8.59</v>
      </c>
    </row>
    <row r="10872" spans="1:10" hidden="1">
      <c r="A10872" t="s">
        <v>6586</v>
      </c>
      <c r="B10872" s="170" t="s">
        <v>6587</v>
      </c>
      <c r="C10872" t="s">
        <v>5111</v>
      </c>
      <c r="D10872" t="s">
        <v>1427</v>
      </c>
      <c r="E10872" t="s">
        <v>1116</v>
      </c>
      <c r="F10872" t="s">
        <v>1068</v>
      </c>
      <c r="G10872" t="s">
        <v>1069</v>
      </c>
      <c r="H10872">
        <v>-0.66120060644483702</v>
      </c>
      <c r="I10872" t="s">
        <v>1070</v>
      </c>
      <c r="J10872">
        <v>8.5500000000000007</v>
      </c>
    </row>
    <row r="10873" spans="1:10" hidden="1">
      <c r="A10873" t="s">
        <v>6586</v>
      </c>
      <c r="B10873" s="170" t="s">
        <v>6587</v>
      </c>
      <c r="C10873" t="s">
        <v>5111</v>
      </c>
      <c r="D10873" t="s">
        <v>1427</v>
      </c>
      <c r="E10873" t="s">
        <v>1116</v>
      </c>
      <c r="F10873" t="s">
        <v>1068</v>
      </c>
      <c r="G10873" t="s">
        <v>1071</v>
      </c>
      <c r="H10873" s="170">
        <v>-6.4333318786482902E-10</v>
      </c>
      <c r="I10873" t="s">
        <v>1072</v>
      </c>
      <c r="J10873">
        <v>8.5500000000000007</v>
      </c>
    </row>
    <row r="10874" spans="1:10" hidden="1">
      <c r="A10874" t="s">
        <v>6586</v>
      </c>
      <c r="B10874" s="170" t="s">
        <v>6587</v>
      </c>
      <c r="C10874" t="s">
        <v>5111</v>
      </c>
      <c r="D10874" t="s">
        <v>1427</v>
      </c>
      <c r="E10874" t="s">
        <v>1116</v>
      </c>
      <c r="F10874" t="s">
        <v>1068</v>
      </c>
      <c r="G10874" t="s">
        <v>1073</v>
      </c>
      <c r="H10874" s="170">
        <v>-2.31337547910429E-7</v>
      </c>
      <c r="I10874" t="s">
        <v>1074</v>
      </c>
      <c r="J10874">
        <v>8.5500000000000007</v>
      </c>
    </row>
    <row r="10875" spans="1:10" hidden="1">
      <c r="A10875" t="s">
        <v>6586</v>
      </c>
      <c r="B10875" s="170" t="s">
        <v>6587</v>
      </c>
      <c r="C10875" t="s">
        <v>5111</v>
      </c>
      <c r="D10875" t="s">
        <v>1427</v>
      </c>
      <c r="E10875" t="s">
        <v>1116</v>
      </c>
      <c r="F10875" t="s">
        <v>1068</v>
      </c>
      <c r="G10875" t="s">
        <v>1075</v>
      </c>
      <c r="H10875">
        <v>-1.0903841626556599E-2</v>
      </c>
      <c r="I10875" t="s">
        <v>1077</v>
      </c>
      <c r="J10875">
        <v>8.5500000000000007</v>
      </c>
    </row>
    <row r="10876" spans="1:10" hidden="1">
      <c r="A10876" t="s">
        <v>6586</v>
      </c>
      <c r="B10876" s="170" t="s">
        <v>6587</v>
      </c>
      <c r="C10876" t="s">
        <v>5111</v>
      </c>
      <c r="D10876" t="s">
        <v>1427</v>
      </c>
      <c r="E10876" t="s">
        <v>1116</v>
      </c>
      <c r="F10876" t="s">
        <v>1068</v>
      </c>
      <c r="G10876" t="s">
        <v>1078</v>
      </c>
      <c r="H10876">
        <v>-0.93887572782644102</v>
      </c>
      <c r="I10876" t="s">
        <v>1079</v>
      </c>
      <c r="J10876">
        <v>8.5500000000000007</v>
      </c>
    </row>
    <row r="10877" spans="1:10" hidden="1">
      <c r="A10877" t="s">
        <v>6586</v>
      </c>
      <c r="B10877" s="170" t="s">
        <v>6587</v>
      </c>
      <c r="C10877" t="s">
        <v>5111</v>
      </c>
      <c r="D10877" t="s">
        <v>1427</v>
      </c>
      <c r="E10877" t="s">
        <v>1116</v>
      </c>
      <c r="F10877" t="s">
        <v>1068</v>
      </c>
      <c r="G10877" t="s">
        <v>1080</v>
      </c>
      <c r="H10877" s="170">
        <v>-3.7476625611904499E-9</v>
      </c>
      <c r="I10877" t="s">
        <v>1082</v>
      </c>
      <c r="J10877">
        <v>8.5500000000000007</v>
      </c>
    </row>
    <row r="10878" spans="1:10" hidden="1">
      <c r="A10878" t="s">
        <v>6586</v>
      </c>
      <c r="B10878" s="170" t="s">
        <v>6587</v>
      </c>
      <c r="C10878" t="s">
        <v>5111</v>
      </c>
      <c r="D10878" t="s">
        <v>1427</v>
      </c>
      <c r="E10878" t="s">
        <v>1116</v>
      </c>
      <c r="F10878" t="s">
        <v>1068</v>
      </c>
      <c r="G10878" t="s">
        <v>1083</v>
      </c>
      <c r="H10878" s="170">
        <v>-8.9407424530641794E-5</v>
      </c>
      <c r="I10878" t="s">
        <v>1084</v>
      </c>
      <c r="J10878">
        <v>8.5500000000000007</v>
      </c>
    </row>
    <row r="10879" spans="1:10" hidden="1">
      <c r="A10879" t="s">
        <v>6586</v>
      </c>
      <c r="B10879" s="170" t="s">
        <v>6587</v>
      </c>
      <c r="C10879" t="s">
        <v>5111</v>
      </c>
      <c r="D10879" t="s">
        <v>1427</v>
      </c>
      <c r="E10879" t="s">
        <v>1116</v>
      </c>
      <c r="F10879" t="s">
        <v>1068</v>
      </c>
      <c r="G10879" t="s">
        <v>1085</v>
      </c>
      <c r="H10879">
        <v>-7.8660406755078603E-4</v>
      </c>
      <c r="I10879" t="s">
        <v>1086</v>
      </c>
      <c r="J10879">
        <v>8.5500000000000007</v>
      </c>
    </row>
    <row r="10880" spans="1:10" hidden="1">
      <c r="A10880" t="s">
        <v>6586</v>
      </c>
      <c r="B10880" s="170" t="s">
        <v>6587</v>
      </c>
      <c r="C10880" t="s">
        <v>5111</v>
      </c>
      <c r="D10880" t="s">
        <v>1427</v>
      </c>
      <c r="E10880" t="s">
        <v>1116</v>
      </c>
      <c r="F10880" t="s">
        <v>1068</v>
      </c>
      <c r="G10880" t="s">
        <v>1087</v>
      </c>
      <c r="H10880" s="170">
        <v>-5.8023841001314602E-7</v>
      </c>
      <c r="I10880" t="s">
        <v>1088</v>
      </c>
      <c r="J10880">
        <v>8.5500000000000007</v>
      </c>
    </row>
    <row r="10881" spans="1:10" hidden="1">
      <c r="A10881" t="s">
        <v>6586</v>
      </c>
      <c r="B10881" s="170" t="s">
        <v>6587</v>
      </c>
      <c r="C10881" t="s">
        <v>5111</v>
      </c>
      <c r="D10881" t="s">
        <v>1427</v>
      </c>
      <c r="E10881" t="s">
        <v>1116</v>
      </c>
      <c r="F10881" t="s">
        <v>1068</v>
      </c>
      <c r="G10881" t="s">
        <v>1089</v>
      </c>
      <c r="H10881">
        <v>-1.24774094156752E-4</v>
      </c>
      <c r="I10881" t="s">
        <v>1090</v>
      </c>
      <c r="J10881">
        <v>8.5500000000000007</v>
      </c>
    </row>
    <row r="10882" spans="1:10" hidden="1">
      <c r="A10882" t="s">
        <v>6588</v>
      </c>
      <c r="B10882" t="s">
        <v>6589</v>
      </c>
      <c r="C10882" t="s">
        <v>5111</v>
      </c>
      <c r="D10882" t="s">
        <v>3762</v>
      </c>
      <c r="E10882" t="s">
        <v>561</v>
      </c>
      <c r="F10882" t="s">
        <v>1068</v>
      </c>
      <c r="G10882" t="s">
        <v>1069</v>
      </c>
      <c r="H10882">
        <v>-1.38591608348109</v>
      </c>
      <c r="I10882" t="s">
        <v>1070</v>
      </c>
      <c r="J10882">
        <v>10.48</v>
      </c>
    </row>
    <row r="10883" spans="1:10" hidden="1">
      <c r="A10883" t="s">
        <v>6588</v>
      </c>
      <c r="B10883" t="s">
        <v>6589</v>
      </c>
      <c r="C10883" t="s">
        <v>5111</v>
      </c>
      <c r="D10883" t="s">
        <v>3762</v>
      </c>
      <c r="E10883" t="s">
        <v>561</v>
      </c>
      <c r="F10883" t="s">
        <v>1068</v>
      </c>
      <c r="G10883" t="s">
        <v>1071</v>
      </c>
      <c r="H10883" s="170">
        <v>-1.44282160743176E-9</v>
      </c>
      <c r="I10883" t="s">
        <v>1072</v>
      </c>
      <c r="J10883">
        <v>10.48</v>
      </c>
    </row>
    <row r="10884" spans="1:10" hidden="1">
      <c r="A10884" t="s">
        <v>6588</v>
      </c>
      <c r="B10884" t="s">
        <v>6589</v>
      </c>
      <c r="C10884" t="s">
        <v>5111</v>
      </c>
      <c r="D10884" t="s">
        <v>3762</v>
      </c>
      <c r="E10884" t="s">
        <v>561</v>
      </c>
      <c r="F10884" t="s">
        <v>1068</v>
      </c>
      <c r="G10884" t="s">
        <v>1073</v>
      </c>
      <c r="H10884" s="170">
        <v>-4.8876607472209098E-7</v>
      </c>
      <c r="I10884" t="s">
        <v>1074</v>
      </c>
      <c r="J10884">
        <v>10.48</v>
      </c>
    </row>
    <row r="10885" spans="1:10" hidden="1">
      <c r="A10885" t="s">
        <v>6588</v>
      </c>
      <c r="B10885" t="s">
        <v>6589</v>
      </c>
      <c r="C10885" t="s">
        <v>5111</v>
      </c>
      <c r="D10885" t="s">
        <v>3762</v>
      </c>
      <c r="E10885" t="s">
        <v>561</v>
      </c>
      <c r="F10885" t="s">
        <v>1068</v>
      </c>
      <c r="G10885" t="s">
        <v>1075</v>
      </c>
      <c r="H10885">
        <v>-2.3886499982923401E-2</v>
      </c>
      <c r="I10885" t="s">
        <v>1077</v>
      </c>
      <c r="J10885">
        <v>10.48</v>
      </c>
    </row>
    <row r="10886" spans="1:10" hidden="1">
      <c r="A10886" t="s">
        <v>6588</v>
      </c>
      <c r="B10886" t="s">
        <v>6589</v>
      </c>
      <c r="C10886" t="s">
        <v>5111</v>
      </c>
      <c r="D10886" t="s">
        <v>3762</v>
      </c>
      <c r="E10886" t="s">
        <v>561</v>
      </c>
      <c r="F10886" t="s">
        <v>1068</v>
      </c>
      <c r="G10886" t="s">
        <v>1078</v>
      </c>
      <c r="H10886" s="171" t="s">
        <v>6590</v>
      </c>
      <c r="I10886" t="s">
        <v>1079</v>
      </c>
      <c r="J10886">
        <v>10.48</v>
      </c>
    </row>
    <row r="10887" spans="1:10" hidden="1">
      <c r="A10887" t="s">
        <v>6588</v>
      </c>
      <c r="B10887" t="s">
        <v>6589</v>
      </c>
      <c r="C10887" t="s">
        <v>5111</v>
      </c>
      <c r="D10887" t="s">
        <v>3762</v>
      </c>
      <c r="E10887" t="s">
        <v>561</v>
      </c>
      <c r="F10887" t="s">
        <v>1068</v>
      </c>
      <c r="G10887" t="s">
        <v>1080</v>
      </c>
      <c r="H10887" s="170">
        <v>-7.7777370014406301E-9</v>
      </c>
      <c r="I10887" t="s">
        <v>1082</v>
      </c>
      <c r="J10887">
        <v>10.48</v>
      </c>
    </row>
    <row r="10888" spans="1:10" hidden="1">
      <c r="A10888" t="s">
        <v>6588</v>
      </c>
      <c r="B10888" t="s">
        <v>6589</v>
      </c>
      <c r="C10888" t="s">
        <v>5111</v>
      </c>
      <c r="D10888" t="s">
        <v>3762</v>
      </c>
      <c r="E10888" t="s">
        <v>561</v>
      </c>
      <c r="F10888" t="s">
        <v>1068</v>
      </c>
      <c r="G10888" t="s">
        <v>1083</v>
      </c>
      <c r="H10888">
        <v>-1.86096418245973E-4</v>
      </c>
      <c r="I10888" t="s">
        <v>1084</v>
      </c>
      <c r="J10888">
        <v>10.48</v>
      </c>
    </row>
    <row r="10889" spans="1:10" hidden="1">
      <c r="A10889" t="s">
        <v>6588</v>
      </c>
      <c r="B10889" t="s">
        <v>6589</v>
      </c>
      <c r="C10889" t="s">
        <v>5111</v>
      </c>
      <c r="D10889" t="s">
        <v>3762</v>
      </c>
      <c r="E10889" t="s">
        <v>561</v>
      </c>
      <c r="F10889" t="s">
        <v>1068</v>
      </c>
      <c r="G10889" t="s">
        <v>1085</v>
      </c>
      <c r="H10889">
        <v>-1.6905932892158999E-3</v>
      </c>
      <c r="I10889" t="s">
        <v>1086</v>
      </c>
      <c r="J10889">
        <v>10.48</v>
      </c>
    </row>
    <row r="10890" spans="1:10" hidden="1">
      <c r="A10890" t="s">
        <v>6588</v>
      </c>
      <c r="B10890" t="s">
        <v>6589</v>
      </c>
      <c r="C10890" t="s">
        <v>5111</v>
      </c>
      <c r="D10890" t="s">
        <v>3762</v>
      </c>
      <c r="E10890" t="s">
        <v>561</v>
      </c>
      <c r="F10890" t="s">
        <v>1068</v>
      </c>
      <c r="G10890" t="s">
        <v>1087</v>
      </c>
      <c r="H10890" s="170">
        <v>-1.1827009940383199E-6</v>
      </c>
      <c r="I10890" t="s">
        <v>1088</v>
      </c>
      <c r="J10890">
        <v>10.48</v>
      </c>
    </row>
    <row r="10891" spans="1:10" hidden="1">
      <c r="A10891" t="s">
        <v>6588</v>
      </c>
      <c r="B10891" t="s">
        <v>6589</v>
      </c>
      <c r="C10891" t="s">
        <v>5111</v>
      </c>
      <c r="D10891" t="s">
        <v>3762</v>
      </c>
      <c r="E10891" t="s">
        <v>561</v>
      </c>
      <c r="F10891" t="s">
        <v>1068</v>
      </c>
      <c r="G10891" t="s">
        <v>1089</v>
      </c>
      <c r="H10891">
        <v>-2.7159728979109899E-4</v>
      </c>
      <c r="I10891" t="s">
        <v>1090</v>
      </c>
      <c r="J10891">
        <v>10.48</v>
      </c>
    </row>
    <row r="10892" spans="1:10" hidden="1">
      <c r="A10892" t="s">
        <v>6591</v>
      </c>
      <c r="B10892" t="s">
        <v>6592</v>
      </c>
      <c r="C10892" t="s">
        <v>5111</v>
      </c>
      <c r="D10892" t="s">
        <v>3762</v>
      </c>
      <c r="E10892" t="s">
        <v>555</v>
      </c>
      <c r="F10892" t="s">
        <v>1068</v>
      </c>
      <c r="G10892" t="s">
        <v>1069</v>
      </c>
      <c r="H10892">
        <v>-1.5546302755925201</v>
      </c>
      <c r="I10892" t="s">
        <v>1070</v>
      </c>
      <c r="J10892">
        <v>13.77</v>
      </c>
    </row>
    <row r="10893" spans="1:10" hidden="1">
      <c r="A10893" t="s">
        <v>6591</v>
      </c>
      <c r="B10893" t="s">
        <v>6592</v>
      </c>
      <c r="C10893" t="s">
        <v>5111</v>
      </c>
      <c r="D10893" t="s">
        <v>3762</v>
      </c>
      <c r="E10893" t="s">
        <v>555</v>
      </c>
      <c r="F10893" t="s">
        <v>1068</v>
      </c>
      <c r="G10893" t="s">
        <v>1071</v>
      </c>
      <c r="H10893" s="170">
        <v>-1.6842534965570099E-9</v>
      </c>
      <c r="I10893" t="s">
        <v>1072</v>
      </c>
      <c r="J10893">
        <v>13.77</v>
      </c>
    </row>
    <row r="10894" spans="1:10" hidden="1">
      <c r="A10894" t="s">
        <v>6591</v>
      </c>
      <c r="B10894" t="s">
        <v>6592</v>
      </c>
      <c r="C10894" t="s">
        <v>5111</v>
      </c>
      <c r="D10894" t="s">
        <v>3762</v>
      </c>
      <c r="E10894" t="s">
        <v>555</v>
      </c>
      <c r="F10894" t="s">
        <v>1068</v>
      </c>
      <c r="G10894" t="s">
        <v>1073</v>
      </c>
      <c r="H10894" s="170">
        <v>-5.4869405174127003E-7</v>
      </c>
      <c r="I10894" t="s">
        <v>1074</v>
      </c>
      <c r="J10894">
        <v>13.77</v>
      </c>
    </row>
    <row r="10895" spans="1:10" hidden="1">
      <c r="A10895" t="s">
        <v>6591</v>
      </c>
      <c r="B10895" t="s">
        <v>6592</v>
      </c>
      <c r="C10895" t="s">
        <v>5111</v>
      </c>
      <c r="D10895" t="s">
        <v>3762</v>
      </c>
      <c r="E10895" t="s">
        <v>555</v>
      </c>
      <c r="F10895" t="s">
        <v>1068</v>
      </c>
      <c r="G10895" t="s">
        <v>1075</v>
      </c>
      <c r="H10895">
        <v>-2.92197536588975E-2</v>
      </c>
      <c r="I10895" t="s">
        <v>1077</v>
      </c>
      <c r="J10895">
        <v>13.77</v>
      </c>
    </row>
    <row r="10896" spans="1:10" hidden="1">
      <c r="A10896" t="s">
        <v>6591</v>
      </c>
      <c r="B10896" t="s">
        <v>6592</v>
      </c>
      <c r="C10896" t="s">
        <v>5111</v>
      </c>
      <c r="D10896" t="s">
        <v>3762</v>
      </c>
      <c r="E10896" t="s">
        <v>555</v>
      </c>
      <c r="F10896" t="s">
        <v>1068</v>
      </c>
      <c r="G10896" t="s">
        <v>1078</v>
      </c>
      <c r="H10896">
        <v>0.30460453136799898</v>
      </c>
      <c r="I10896" t="s">
        <v>1079</v>
      </c>
      <c r="J10896">
        <v>13.77</v>
      </c>
    </row>
    <row r="10897" spans="1:10" hidden="1">
      <c r="A10897" t="s">
        <v>6591</v>
      </c>
      <c r="B10897" t="s">
        <v>6592</v>
      </c>
      <c r="C10897" t="s">
        <v>5111</v>
      </c>
      <c r="D10897" t="s">
        <v>3762</v>
      </c>
      <c r="E10897" t="s">
        <v>555</v>
      </c>
      <c r="F10897" t="s">
        <v>1068</v>
      </c>
      <c r="G10897" t="s">
        <v>1080</v>
      </c>
      <c r="H10897" s="170">
        <v>-8.7155617737596598E-9</v>
      </c>
      <c r="I10897" t="s">
        <v>1082</v>
      </c>
      <c r="J10897">
        <v>13.77</v>
      </c>
    </row>
    <row r="10898" spans="1:10" hidden="1">
      <c r="A10898" t="s">
        <v>6591</v>
      </c>
      <c r="B10898" t="s">
        <v>6592</v>
      </c>
      <c r="C10898" t="s">
        <v>5111</v>
      </c>
      <c r="D10898" t="s">
        <v>3762</v>
      </c>
      <c r="E10898" t="s">
        <v>555</v>
      </c>
      <c r="F10898" t="s">
        <v>1068</v>
      </c>
      <c r="G10898" t="s">
        <v>1083</v>
      </c>
      <c r="H10898">
        <v>-2.11741170457548E-4</v>
      </c>
      <c r="I10898" t="s">
        <v>1084</v>
      </c>
      <c r="J10898">
        <v>13.77</v>
      </c>
    </row>
    <row r="10899" spans="1:10" hidden="1">
      <c r="A10899" t="s">
        <v>6591</v>
      </c>
      <c r="B10899" t="s">
        <v>6592</v>
      </c>
      <c r="C10899" t="s">
        <v>5111</v>
      </c>
      <c r="D10899" t="s">
        <v>3762</v>
      </c>
      <c r="E10899" t="s">
        <v>555</v>
      </c>
      <c r="F10899" t="s">
        <v>1068</v>
      </c>
      <c r="G10899" t="s">
        <v>1085</v>
      </c>
      <c r="H10899">
        <v>-1.9804310370414098E-3</v>
      </c>
      <c r="I10899" t="s">
        <v>1086</v>
      </c>
      <c r="J10899">
        <v>13.77</v>
      </c>
    </row>
    <row r="10900" spans="1:10" hidden="1">
      <c r="A10900" t="s">
        <v>6591</v>
      </c>
      <c r="B10900" t="s">
        <v>6592</v>
      </c>
      <c r="C10900" t="s">
        <v>5111</v>
      </c>
      <c r="D10900" t="s">
        <v>3762</v>
      </c>
      <c r="E10900" t="s">
        <v>555</v>
      </c>
      <c r="F10900" t="s">
        <v>1068</v>
      </c>
      <c r="G10900" t="s">
        <v>1087</v>
      </c>
      <c r="H10900" s="170">
        <v>-1.3225780146068899E-6</v>
      </c>
      <c r="I10900" t="s">
        <v>1088</v>
      </c>
      <c r="J10900">
        <v>13.77</v>
      </c>
    </row>
    <row r="10901" spans="1:10" hidden="1">
      <c r="A10901" t="s">
        <v>6591</v>
      </c>
      <c r="B10901" t="s">
        <v>6592</v>
      </c>
      <c r="C10901" t="s">
        <v>5111</v>
      </c>
      <c r="D10901" t="s">
        <v>3762</v>
      </c>
      <c r="E10901" t="s">
        <v>555</v>
      </c>
      <c r="F10901" t="s">
        <v>1068</v>
      </c>
      <c r="G10901" t="s">
        <v>1089</v>
      </c>
      <c r="H10901">
        <v>-3.3139024478380101E-4</v>
      </c>
      <c r="I10901" t="s">
        <v>1090</v>
      </c>
      <c r="J10901">
        <v>13.77</v>
      </c>
    </row>
    <row r="10902" spans="1:10" hidden="1">
      <c r="A10902" t="s">
        <v>6593</v>
      </c>
      <c r="B10902" t="s">
        <v>6594</v>
      </c>
      <c r="C10902" t="s">
        <v>5111</v>
      </c>
      <c r="D10902" t="s">
        <v>3762</v>
      </c>
      <c r="E10902" t="s">
        <v>558</v>
      </c>
      <c r="F10902" t="s">
        <v>1068</v>
      </c>
      <c r="G10902" t="s">
        <v>1069</v>
      </c>
      <c r="H10902">
        <v>-1.37097779191961</v>
      </c>
      <c r="I10902" t="s">
        <v>1070</v>
      </c>
      <c r="J10902">
        <v>9.0500000000000007</v>
      </c>
    </row>
    <row r="10903" spans="1:10" hidden="1">
      <c r="A10903" t="s">
        <v>6593</v>
      </c>
      <c r="B10903" t="s">
        <v>6594</v>
      </c>
      <c r="C10903" t="s">
        <v>5111</v>
      </c>
      <c r="D10903" t="s">
        <v>3762</v>
      </c>
      <c r="E10903" t="s">
        <v>558</v>
      </c>
      <c r="F10903" t="s">
        <v>1068</v>
      </c>
      <c r="G10903" t="s">
        <v>1071</v>
      </c>
      <c r="H10903" s="170">
        <v>-1.4214447422560799E-9</v>
      </c>
      <c r="I10903" t="s">
        <v>1072</v>
      </c>
      <c r="J10903">
        <v>9.0500000000000007</v>
      </c>
    </row>
    <row r="10904" spans="1:10" hidden="1">
      <c r="A10904" t="s">
        <v>6593</v>
      </c>
      <c r="B10904" t="s">
        <v>6594</v>
      </c>
      <c r="C10904" t="s">
        <v>5111</v>
      </c>
      <c r="D10904" t="s">
        <v>3762</v>
      </c>
      <c r="E10904" t="s">
        <v>558</v>
      </c>
      <c r="F10904" t="s">
        <v>1068</v>
      </c>
      <c r="G10904" t="s">
        <v>1073</v>
      </c>
      <c r="H10904" s="170">
        <v>-4.8345994629182199E-7</v>
      </c>
      <c r="I10904" t="s">
        <v>1074</v>
      </c>
      <c r="J10904">
        <v>9.0500000000000007</v>
      </c>
    </row>
    <row r="10905" spans="1:10" hidden="1">
      <c r="A10905" t="s">
        <v>6593</v>
      </c>
      <c r="B10905" t="s">
        <v>6594</v>
      </c>
      <c r="C10905" t="s">
        <v>5111</v>
      </c>
      <c r="D10905" t="s">
        <v>3762</v>
      </c>
      <c r="E10905" t="s">
        <v>558</v>
      </c>
      <c r="F10905" t="s">
        <v>1068</v>
      </c>
      <c r="G10905" t="s">
        <v>1075</v>
      </c>
      <c r="H10905">
        <v>-2.3414284628543999E-2</v>
      </c>
      <c r="I10905" t="s">
        <v>1077</v>
      </c>
      <c r="J10905">
        <v>9.0500000000000007</v>
      </c>
    </row>
    <row r="10906" spans="1:10" hidden="1">
      <c r="A10906" t="s">
        <v>6593</v>
      </c>
      <c r="B10906" t="s">
        <v>6594</v>
      </c>
      <c r="C10906" t="s">
        <v>5111</v>
      </c>
      <c r="D10906" t="s">
        <v>3762</v>
      </c>
      <c r="E10906" t="s">
        <v>558</v>
      </c>
      <c r="F10906" t="s">
        <v>1068</v>
      </c>
      <c r="G10906" t="s">
        <v>1078</v>
      </c>
      <c r="H10906">
        <v>0.55565540652519696</v>
      </c>
      <c r="I10906" t="s">
        <v>1079</v>
      </c>
      <c r="J10906">
        <v>9.0500000000000007</v>
      </c>
    </row>
    <row r="10907" spans="1:10" hidden="1">
      <c r="A10907" t="s">
        <v>6593</v>
      </c>
      <c r="B10907" t="s">
        <v>6594</v>
      </c>
      <c r="C10907" t="s">
        <v>5111</v>
      </c>
      <c r="D10907" t="s">
        <v>3762</v>
      </c>
      <c r="E10907" t="s">
        <v>558</v>
      </c>
      <c r="F10907" t="s">
        <v>1068</v>
      </c>
      <c r="G10907" t="s">
        <v>1080</v>
      </c>
      <c r="H10907" s="170">
        <v>-7.6947004005079195E-9</v>
      </c>
      <c r="I10907" t="s">
        <v>1082</v>
      </c>
      <c r="J10907">
        <v>9.0500000000000007</v>
      </c>
    </row>
    <row r="10908" spans="1:10" hidden="1">
      <c r="A10908" t="s">
        <v>6593</v>
      </c>
      <c r="B10908" t="s">
        <v>6594</v>
      </c>
      <c r="C10908" t="s">
        <v>5111</v>
      </c>
      <c r="D10908" t="s">
        <v>3762</v>
      </c>
      <c r="E10908" t="s">
        <v>558</v>
      </c>
      <c r="F10908" t="s">
        <v>1068</v>
      </c>
      <c r="G10908" t="s">
        <v>1083</v>
      </c>
      <c r="H10908">
        <v>-1.8382578825668801E-4</v>
      </c>
      <c r="I10908" t="s">
        <v>1084</v>
      </c>
      <c r="J10908">
        <v>9.0500000000000007</v>
      </c>
    </row>
    <row r="10909" spans="1:10" hidden="1">
      <c r="A10909" t="s">
        <v>6593</v>
      </c>
      <c r="B10909" t="s">
        <v>6594</v>
      </c>
      <c r="C10909" t="s">
        <v>5111</v>
      </c>
      <c r="D10909" t="s">
        <v>3762</v>
      </c>
      <c r="E10909" t="s">
        <v>558</v>
      </c>
      <c r="F10909" t="s">
        <v>1068</v>
      </c>
      <c r="G10909" t="s">
        <v>1085</v>
      </c>
      <c r="H10909">
        <v>-1.66493056192731E-3</v>
      </c>
      <c r="I10909" t="s">
        <v>1086</v>
      </c>
      <c r="J10909">
        <v>9.0500000000000007</v>
      </c>
    </row>
    <row r="10910" spans="1:10" hidden="1">
      <c r="A10910" t="s">
        <v>6593</v>
      </c>
      <c r="B10910" t="s">
        <v>6594</v>
      </c>
      <c r="C10910" t="s">
        <v>5111</v>
      </c>
      <c r="D10910" t="s">
        <v>3762</v>
      </c>
      <c r="E10910" t="s">
        <v>558</v>
      </c>
      <c r="F10910" t="s">
        <v>1068</v>
      </c>
      <c r="G10910" t="s">
        <v>1087</v>
      </c>
      <c r="H10910" s="170">
        <v>-1.1703160446724499E-6</v>
      </c>
      <c r="I10910" t="s">
        <v>1088</v>
      </c>
      <c r="J10910">
        <v>9.0500000000000007</v>
      </c>
    </row>
    <row r="10911" spans="1:10" hidden="1">
      <c r="A10911" t="s">
        <v>6593</v>
      </c>
      <c r="B10911" t="s">
        <v>6594</v>
      </c>
      <c r="C10911" t="s">
        <v>5111</v>
      </c>
      <c r="D10911" t="s">
        <v>3762</v>
      </c>
      <c r="E10911" t="s">
        <v>558</v>
      </c>
      <c r="F10911" t="s">
        <v>1068</v>
      </c>
      <c r="G10911" t="s">
        <v>1089</v>
      </c>
      <c r="H10911">
        <v>-2.6630311982857698E-4</v>
      </c>
      <c r="I10911" t="s">
        <v>1090</v>
      </c>
      <c r="J10911">
        <v>9.0500000000000007</v>
      </c>
    </row>
    <row r="10912" spans="1:10" hidden="1">
      <c r="A10912" t="s">
        <v>6595</v>
      </c>
      <c r="B10912" t="s">
        <v>6596</v>
      </c>
      <c r="C10912" t="s">
        <v>5111</v>
      </c>
      <c r="D10912" t="s">
        <v>3762</v>
      </c>
      <c r="E10912" t="s">
        <v>553</v>
      </c>
      <c r="F10912" t="s">
        <v>1068</v>
      </c>
      <c r="G10912" t="s">
        <v>1069</v>
      </c>
      <c r="H10912">
        <v>-1.35634688427857</v>
      </c>
      <c r="I10912" t="s">
        <v>1070</v>
      </c>
      <c r="J10912">
        <v>9.35</v>
      </c>
    </row>
    <row r="10913" spans="1:10" hidden="1">
      <c r="A10913" t="s">
        <v>6595</v>
      </c>
      <c r="B10913" t="s">
        <v>6596</v>
      </c>
      <c r="C10913" t="s">
        <v>5111</v>
      </c>
      <c r="D10913" t="s">
        <v>3762</v>
      </c>
      <c r="E10913" t="s">
        <v>553</v>
      </c>
      <c r="F10913" t="s">
        <v>1068</v>
      </c>
      <c r="G10913" t="s">
        <v>1071</v>
      </c>
      <c r="H10913" s="170">
        <v>-1.40050770773952E-9</v>
      </c>
      <c r="I10913" t="s">
        <v>1072</v>
      </c>
      <c r="J10913">
        <v>9.35</v>
      </c>
    </row>
    <row r="10914" spans="1:10" hidden="1">
      <c r="A10914" t="s">
        <v>6595</v>
      </c>
      <c r="B10914" t="s">
        <v>6596</v>
      </c>
      <c r="C10914" t="s">
        <v>5111</v>
      </c>
      <c r="D10914" t="s">
        <v>3762</v>
      </c>
      <c r="E10914" t="s">
        <v>553</v>
      </c>
      <c r="F10914" t="s">
        <v>1068</v>
      </c>
      <c r="G10914" t="s">
        <v>1073</v>
      </c>
      <c r="H10914" s="170">
        <v>-4.7826316373970798E-7</v>
      </c>
      <c r="I10914" t="s">
        <v>1074</v>
      </c>
      <c r="J10914">
        <v>9.35</v>
      </c>
    </row>
    <row r="10915" spans="1:10" hidden="1">
      <c r="A10915" t="s">
        <v>6595</v>
      </c>
      <c r="B10915" t="s">
        <v>6596</v>
      </c>
      <c r="C10915" t="s">
        <v>5111</v>
      </c>
      <c r="D10915" t="s">
        <v>3762</v>
      </c>
      <c r="E10915" t="s">
        <v>553</v>
      </c>
      <c r="F10915" t="s">
        <v>1068</v>
      </c>
      <c r="G10915" t="s">
        <v>1075</v>
      </c>
      <c r="H10915">
        <v>-2.295180383937E-2</v>
      </c>
      <c r="I10915" t="s">
        <v>1077</v>
      </c>
      <c r="J10915">
        <v>9.35</v>
      </c>
    </row>
    <row r="10916" spans="1:10" hidden="1">
      <c r="A10916" t="s">
        <v>6595</v>
      </c>
      <c r="B10916" t="s">
        <v>6596</v>
      </c>
      <c r="C10916" t="s">
        <v>5111</v>
      </c>
      <c r="D10916" t="s">
        <v>3762</v>
      </c>
      <c r="E10916" t="s">
        <v>553</v>
      </c>
      <c r="F10916" t="s">
        <v>1068</v>
      </c>
      <c r="G10916" t="s">
        <v>1078</v>
      </c>
      <c r="H10916" s="171" t="s">
        <v>6597</v>
      </c>
      <c r="I10916" t="s">
        <v>1079</v>
      </c>
      <c r="J10916">
        <v>9.35</v>
      </c>
    </row>
    <row r="10917" spans="1:10" hidden="1">
      <c r="A10917" t="s">
        <v>6595</v>
      </c>
      <c r="B10917" t="s">
        <v>6596</v>
      </c>
      <c r="C10917" t="s">
        <v>5111</v>
      </c>
      <c r="D10917" t="s">
        <v>3762</v>
      </c>
      <c r="E10917" t="s">
        <v>553</v>
      </c>
      <c r="F10917" t="s">
        <v>1068</v>
      </c>
      <c r="G10917" t="s">
        <v>1080</v>
      </c>
      <c r="H10917" s="170">
        <v>-7.6133755720541107E-9</v>
      </c>
      <c r="I10917" t="s">
        <v>1082</v>
      </c>
      <c r="J10917">
        <v>9.35</v>
      </c>
    </row>
    <row r="10918" spans="1:10" hidden="1">
      <c r="A10918" t="s">
        <v>6595</v>
      </c>
      <c r="B10918" t="s">
        <v>6596</v>
      </c>
      <c r="C10918" t="s">
        <v>5111</v>
      </c>
      <c r="D10918" t="s">
        <v>3762</v>
      </c>
      <c r="E10918" t="s">
        <v>553</v>
      </c>
      <c r="F10918" t="s">
        <v>1068</v>
      </c>
      <c r="G10918" t="s">
        <v>1083</v>
      </c>
      <c r="H10918">
        <v>-1.8160196659736799E-4</v>
      </c>
      <c r="I10918" t="s">
        <v>1084</v>
      </c>
      <c r="J10918">
        <v>9.35</v>
      </c>
    </row>
    <row r="10919" spans="1:10" hidden="1">
      <c r="A10919" t="s">
        <v>6595</v>
      </c>
      <c r="B10919" t="s">
        <v>6596</v>
      </c>
      <c r="C10919" t="s">
        <v>5111</v>
      </c>
      <c r="D10919" t="s">
        <v>3762</v>
      </c>
      <c r="E10919" t="s">
        <v>553</v>
      </c>
      <c r="F10919" t="s">
        <v>1068</v>
      </c>
      <c r="G10919" t="s">
        <v>1085</v>
      </c>
      <c r="H10919">
        <v>-1.6397968637023E-3</v>
      </c>
      <c r="I10919" t="s">
        <v>1086</v>
      </c>
      <c r="J10919">
        <v>9.35</v>
      </c>
    </row>
    <row r="10920" spans="1:10" hidden="1">
      <c r="A10920" t="s">
        <v>6595</v>
      </c>
      <c r="B10920" t="s">
        <v>6596</v>
      </c>
      <c r="C10920" t="s">
        <v>5111</v>
      </c>
      <c r="D10920" t="s">
        <v>3762</v>
      </c>
      <c r="E10920" t="s">
        <v>553</v>
      </c>
      <c r="F10920" t="s">
        <v>1068</v>
      </c>
      <c r="G10920" t="s">
        <v>1087</v>
      </c>
      <c r="H10920" s="170">
        <v>-1.1581864072127299E-6</v>
      </c>
      <c r="I10920" t="s">
        <v>1088</v>
      </c>
      <c r="J10920">
        <v>9.35</v>
      </c>
    </row>
    <row r="10921" spans="1:10" hidden="1">
      <c r="A10921" t="s">
        <v>6595</v>
      </c>
      <c r="B10921" t="s">
        <v>6596</v>
      </c>
      <c r="C10921" t="s">
        <v>5111</v>
      </c>
      <c r="D10921" t="s">
        <v>3762</v>
      </c>
      <c r="E10921" t="s">
        <v>553</v>
      </c>
      <c r="F10921" t="s">
        <v>1068</v>
      </c>
      <c r="G10921" t="s">
        <v>1089</v>
      </c>
      <c r="H10921">
        <v>-2.6111808748653301E-4</v>
      </c>
      <c r="I10921" t="s">
        <v>1090</v>
      </c>
      <c r="J10921">
        <v>9.35</v>
      </c>
    </row>
    <row r="10922" spans="1:10" hidden="1">
      <c r="A10922" t="s">
        <v>6598</v>
      </c>
      <c r="B10922" t="s">
        <v>6599</v>
      </c>
      <c r="C10922" t="s">
        <v>5111</v>
      </c>
      <c r="D10922" t="s">
        <v>3762</v>
      </c>
      <c r="E10922" t="s">
        <v>556</v>
      </c>
      <c r="F10922" t="s">
        <v>1068</v>
      </c>
      <c r="G10922" t="s">
        <v>1069</v>
      </c>
      <c r="H10922">
        <v>-1.53599317388954</v>
      </c>
      <c r="I10922" t="s">
        <v>1070</v>
      </c>
      <c r="J10922">
        <v>9.0299999999999994</v>
      </c>
    </row>
    <row r="10923" spans="1:10" hidden="1">
      <c r="A10923" t="s">
        <v>6598</v>
      </c>
      <c r="B10923" t="s">
        <v>6599</v>
      </c>
      <c r="C10923" t="s">
        <v>5111</v>
      </c>
      <c r="D10923" t="s">
        <v>3762</v>
      </c>
      <c r="E10923" t="s">
        <v>556</v>
      </c>
      <c r="F10923" t="s">
        <v>1068</v>
      </c>
      <c r="G10923" t="s">
        <v>1071</v>
      </c>
      <c r="H10923" s="170">
        <v>-1.6575835919878801E-9</v>
      </c>
      <c r="I10923" t="s">
        <v>1072</v>
      </c>
      <c r="J10923">
        <v>9.0299999999999994</v>
      </c>
    </row>
    <row r="10924" spans="1:10" hidden="1">
      <c r="A10924" t="s">
        <v>6598</v>
      </c>
      <c r="B10924" t="s">
        <v>6599</v>
      </c>
      <c r="C10924" t="s">
        <v>5111</v>
      </c>
      <c r="D10924" t="s">
        <v>3762</v>
      </c>
      <c r="E10924" t="s">
        <v>556</v>
      </c>
      <c r="F10924" t="s">
        <v>1068</v>
      </c>
      <c r="G10924" t="s">
        <v>1073</v>
      </c>
      <c r="H10924" s="170">
        <v>-5.4207409424499095E-7</v>
      </c>
      <c r="I10924" t="s">
        <v>1074</v>
      </c>
      <c r="J10924">
        <v>9.0299999999999994</v>
      </c>
    </row>
    <row r="10925" spans="1:10" hidden="1">
      <c r="A10925" t="s">
        <v>6598</v>
      </c>
      <c r="B10925" t="s">
        <v>6599</v>
      </c>
      <c r="C10925" t="s">
        <v>5111</v>
      </c>
      <c r="D10925" t="s">
        <v>3762</v>
      </c>
      <c r="E10925" t="s">
        <v>556</v>
      </c>
      <c r="F10925" t="s">
        <v>1068</v>
      </c>
      <c r="G10925" t="s">
        <v>1075</v>
      </c>
      <c r="H10925">
        <v>-2.86306149646199E-2</v>
      </c>
      <c r="I10925" t="s">
        <v>1077</v>
      </c>
      <c r="J10925">
        <v>9.0299999999999994</v>
      </c>
    </row>
    <row r="10926" spans="1:10" hidden="1">
      <c r="A10926" t="s">
        <v>6598</v>
      </c>
      <c r="B10926" t="s">
        <v>6599</v>
      </c>
      <c r="C10926" t="s">
        <v>5111</v>
      </c>
      <c r="D10926" t="s">
        <v>3762</v>
      </c>
      <c r="E10926" t="s">
        <v>556</v>
      </c>
      <c r="F10926" t="s">
        <v>1068</v>
      </c>
      <c r="G10926" t="s">
        <v>1078</v>
      </c>
      <c r="H10926" s="171" t="s">
        <v>6600</v>
      </c>
      <c r="I10926" t="s">
        <v>1079</v>
      </c>
      <c r="J10926">
        <v>9.0299999999999994</v>
      </c>
    </row>
    <row r="10927" spans="1:10" hidden="1">
      <c r="A10927" t="s">
        <v>6598</v>
      </c>
      <c r="B10927" t="s">
        <v>6599</v>
      </c>
      <c r="C10927" t="s">
        <v>5111</v>
      </c>
      <c r="D10927" t="s">
        <v>3762</v>
      </c>
      <c r="E10927" t="s">
        <v>556</v>
      </c>
      <c r="F10927" t="s">
        <v>1068</v>
      </c>
      <c r="G10927" t="s">
        <v>1080</v>
      </c>
      <c r="H10927" s="170">
        <v>-8.6119648148783504E-9</v>
      </c>
      <c r="I10927" t="s">
        <v>1082</v>
      </c>
      <c r="J10927">
        <v>9.0299999999999994</v>
      </c>
    </row>
    <row r="10928" spans="1:10" hidden="1">
      <c r="A10928" t="s">
        <v>6598</v>
      </c>
      <c r="B10928" t="s">
        <v>6599</v>
      </c>
      <c r="C10928" t="s">
        <v>5111</v>
      </c>
      <c r="D10928" t="s">
        <v>3762</v>
      </c>
      <c r="E10928" t="s">
        <v>556</v>
      </c>
      <c r="F10928" t="s">
        <v>1068</v>
      </c>
      <c r="G10928" t="s">
        <v>1083</v>
      </c>
      <c r="H10928">
        <v>-2.0890831893192999E-4</v>
      </c>
      <c r="I10928" t="s">
        <v>1084</v>
      </c>
      <c r="J10928">
        <v>9.0299999999999994</v>
      </c>
    </row>
    <row r="10929" spans="1:10" hidden="1">
      <c r="A10929" t="s">
        <v>6598</v>
      </c>
      <c r="B10929" t="s">
        <v>6599</v>
      </c>
      <c r="C10929" t="s">
        <v>5111</v>
      </c>
      <c r="D10929" t="s">
        <v>3762</v>
      </c>
      <c r="E10929" t="s">
        <v>556</v>
      </c>
      <c r="F10929" t="s">
        <v>1068</v>
      </c>
      <c r="G10929" t="s">
        <v>1085</v>
      </c>
      <c r="H10929">
        <v>-1.9484140653225101E-3</v>
      </c>
      <c r="I10929" t="s">
        <v>1086</v>
      </c>
      <c r="J10929">
        <v>9.0299999999999994</v>
      </c>
    </row>
    <row r="10930" spans="1:10" hidden="1">
      <c r="A10930" t="s">
        <v>6598</v>
      </c>
      <c r="B10930" t="s">
        <v>6599</v>
      </c>
      <c r="C10930" t="s">
        <v>5111</v>
      </c>
      <c r="D10930" t="s">
        <v>3762</v>
      </c>
      <c r="E10930" t="s">
        <v>556</v>
      </c>
      <c r="F10930" t="s">
        <v>1068</v>
      </c>
      <c r="G10930" t="s">
        <v>1087</v>
      </c>
      <c r="H10930" s="170">
        <v>-1.3071264778653801E-6</v>
      </c>
      <c r="I10930" t="s">
        <v>1088</v>
      </c>
      <c r="J10930">
        <v>9.0299999999999994</v>
      </c>
    </row>
    <row r="10931" spans="1:10" hidden="1">
      <c r="A10931" t="s">
        <v>6598</v>
      </c>
      <c r="B10931" t="s">
        <v>6599</v>
      </c>
      <c r="C10931" t="s">
        <v>5111</v>
      </c>
      <c r="D10931" t="s">
        <v>3762</v>
      </c>
      <c r="E10931" t="s">
        <v>556</v>
      </c>
      <c r="F10931" t="s">
        <v>1068</v>
      </c>
      <c r="G10931" t="s">
        <v>1089</v>
      </c>
      <c r="H10931">
        <v>-3.2478520674326098E-4</v>
      </c>
      <c r="I10931" t="s">
        <v>1090</v>
      </c>
      <c r="J10931">
        <v>9.0299999999999994</v>
      </c>
    </row>
    <row r="10932" spans="1:10" hidden="1">
      <c r="A10932" t="s">
        <v>6601</v>
      </c>
      <c r="B10932" t="s">
        <v>6602</v>
      </c>
      <c r="C10932" t="s">
        <v>5111</v>
      </c>
      <c r="D10932" t="s">
        <v>3762</v>
      </c>
      <c r="E10932" t="s">
        <v>557</v>
      </c>
      <c r="F10932" t="s">
        <v>1068</v>
      </c>
      <c r="G10932" t="s">
        <v>1069</v>
      </c>
      <c r="H10932">
        <v>-1.43267943097794</v>
      </c>
      <c r="I10932" t="s">
        <v>1070</v>
      </c>
      <c r="J10932">
        <v>8.31</v>
      </c>
    </row>
    <row r="10933" spans="1:10" hidden="1">
      <c r="A10933" t="s">
        <v>6601</v>
      </c>
      <c r="B10933" t="s">
        <v>6602</v>
      </c>
      <c r="C10933" t="s">
        <v>5111</v>
      </c>
      <c r="D10933" t="s">
        <v>3762</v>
      </c>
      <c r="E10933" t="s">
        <v>557</v>
      </c>
      <c r="F10933" t="s">
        <v>1068</v>
      </c>
      <c r="G10933" t="s">
        <v>1071</v>
      </c>
      <c r="H10933" s="170">
        <v>-1.50974048972097E-9</v>
      </c>
      <c r="I10933" t="s">
        <v>1072</v>
      </c>
      <c r="J10933">
        <v>8.31</v>
      </c>
    </row>
    <row r="10934" spans="1:10" hidden="1">
      <c r="A10934" t="s">
        <v>6601</v>
      </c>
      <c r="B10934" t="s">
        <v>6602</v>
      </c>
      <c r="C10934" t="s">
        <v>5111</v>
      </c>
      <c r="D10934" t="s">
        <v>3762</v>
      </c>
      <c r="E10934" t="s">
        <v>557</v>
      </c>
      <c r="F10934" t="s">
        <v>1068</v>
      </c>
      <c r="G10934" t="s">
        <v>1073</v>
      </c>
      <c r="H10934" s="170">
        <v>-5.05376563721214E-7</v>
      </c>
      <c r="I10934" t="s">
        <v>1074</v>
      </c>
      <c r="J10934">
        <v>8.31</v>
      </c>
    </row>
    <row r="10935" spans="1:10" hidden="1">
      <c r="A10935" t="s">
        <v>6601</v>
      </c>
      <c r="B10935" t="s">
        <v>6602</v>
      </c>
      <c r="C10935" t="s">
        <v>5111</v>
      </c>
      <c r="D10935" t="s">
        <v>3762</v>
      </c>
      <c r="E10935" t="s">
        <v>557</v>
      </c>
      <c r="F10935" t="s">
        <v>1068</v>
      </c>
      <c r="G10935" t="s">
        <v>1075</v>
      </c>
      <c r="H10935">
        <v>-2.5364739353155301E-2</v>
      </c>
      <c r="I10935" t="s">
        <v>1077</v>
      </c>
      <c r="J10935">
        <v>8.31</v>
      </c>
    </row>
    <row r="10936" spans="1:10" hidden="1">
      <c r="A10936" t="s">
        <v>6601</v>
      </c>
      <c r="B10936" t="s">
        <v>6602</v>
      </c>
      <c r="C10936" t="s">
        <v>5111</v>
      </c>
      <c r="D10936" t="s">
        <v>3762</v>
      </c>
      <c r="E10936" t="s">
        <v>557</v>
      </c>
      <c r="F10936" t="s">
        <v>1068</v>
      </c>
      <c r="G10936" t="s">
        <v>1078</v>
      </c>
      <c r="H10936" s="171" t="s">
        <v>6603</v>
      </c>
      <c r="I10936" t="s">
        <v>1079</v>
      </c>
      <c r="J10936">
        <v>8.31</v>
      </c>
    </row>
    <row r="10937" spans="1:10" hidden="1">
      <c r="A10937" t="s">
        <v>6601</v>
      </c>
      <c r="B10937" t="s">
        <v>6602</v>
      </c>
      <c r="C10937" t="s">
        <v>5111</v>
      </c>
      <c r="D10937" t="s">
        <v>3762</v>
      </c>
      <c r="E10937" t="s">
        <v>557</v>
      </c>
      <c r="F10937" t="s">
        <v>1068</v>
      </c>
      <c r="G10937" t="s">
        <v>1080</v>
      </c>
      <c r="H10937" s="170">
        <v>-8.0376776652301896E-9</v>
      </c>
      <c r="I10937" t="s">
        <v>1082</v>
      </c>
      <c r="J10937">
        <v>8.31</v>
      </c>
    </row>
    <row r="10938" spans="1:10" hidden="1">
      <c r="A10938" t="s">
        <v>6601</v>
      </c>
      <c r="B10938" t="s">
        <v>6602</v>
      </c>
      <c r="C10938" t="s">
        <v>5111</v>
      </c>
      <c r="D10938" t="s">
        <v>3762</v>
      </c>
      <c r="E10938" t="s">
        <v>557</v>
      </c>
      <c r="F10938" t="s">
        <v>1068</v>
      </c>
      <c r="G10938" t="s">
        <v>1083</v>
      </c>
      <c r="H10938">
        <v>-1.9320447734286599E-4</v>
      </c>
      <c r="I10938" t="s">
        <v>1084</v>
      </c>
      <c r="J10938">
        <v>8.31</v>
      </c>
    </row>
    <row r="10939" spans="1:10" hidden="1">
      <c r="A10939" t="s">
        <v>6601</v>
      </c>
      <c r="B10939" t="s">
        <v>6602</v>
      </c>
      <c r="C10939" t="s">
        <v>5111</v>
      </c>
      <c r="D10939" t="s">
        <v>3762</v>
      </c>
      <c r="E10939" t="s">
        <v>557</v>
      </c>
      <c r="F10939" t="s">
        <v>1068</v>
      </c>
      <c r="G10939" t="s">
        <v>1085</v>
      </c>
      <c r="H10939">
        <v>-1.7709287833367201E-3</v>
      </c>
      <c r="I10939" t="s">
        <v>1086</v>
      </c>
      <c r="J10939">
        <v>8.31</v>
      </c>
    </row>
    <row r="10940" spans="1:10" hidden="1">
      <c r="A10940" t="s">
        <v>6601</v>
      </c>
      <c r="B10940" t="s">
        <v>6602</v>
      </c>
      <c r="C10940" t="s">
        <v>5111</v>
      </c>
      <c r="D10940" t="s">
        <v>3762</v>
      </c>
      <c r="E10940" t="s">
        <v>557</v>
      </c>
      <c r="F10940" t="s">
        <v>1068</v>
      </c>
      <c r="G10940" t="s">
        <v>1087</v>
      </c>
      <c r="H10940" s="170">
        <v>-1.22147127031409E-6</v>
      </c>
      <c r="I10940" t="s">
        <v>1088</v>
      </c>
      <c r="J10940">
        <v>8.31</v>
      </c>
    </row>
    <row r="10941" spans="1:10" hidden="1">
      <c r="A10941" t="s">
        <v>6601</v>
      </c>
      <c r="B10941" t="s">
        <v>6602</v>
      </c>
      <c r="C10941" t="s">
        <v>5111</v>
      </c>
      <c r="D10941" t="s">
        <v>3762</v>
      </c>
      <c r="E10941" t="s">
        <v>557</v>
      </c>
      <c r="F10941" t="s">
        <v>1068</v>
      </c>
      <c r="G10941" t="s">
        <v>1089</v>
      </c>
      <c r="H10941">
        <v>-2.8817034358682601E-4</v>
      </c>
      <c r="I10941" t="s">
        <v>1090</v>
      </c>
      <c r="J10941">
        <v>8.31</v>
      </c>
    </row>
    <row r="10942" spans="1:10" hidden="1">
      <c r="A10942" t="s">
        <v>6604</v>
      </c>
      <c r="B10942" t="s">
        <v>6605</v>
      </c>
      <c r="C10942" t="s">
        <v>5111</v>
      </c>
      <c r="D10942" t="s">
        <v>3762</v>
      </c>
      <c r="E10942" t="s">
        <v>559</v>
      </c>
      <c r="F10942" t="s">
        <v>1068</v>
      </c>
      <c r="G10942" t="s">
        <v>1069</v>
      </c>
      <c r="H10942">
        <v>-1.4825947364260299</v>
      </c>
      <c r="I10942" t="s">
        <v>1070</v>
      </c>
      <c r="J10942">
        <v>8.1300000000000008</v>
      </c>
    </row>
    <row r="10943" spans="1:10" hidden="1">
      <c r="A10943" t="s">
        <v>6604</v>
      </c>
      <c r="B10943" t="s">
        <v>6605</v>
      </c>
      <c r="C10943" t="s">
        <v>5111</v>
      </c>
      <c r="D10943" t="s">
        <v>3762</v>
      </c>
      <c r="E10943" t="s">
        <v>559</v>
      </c>
      <c r="F10943" t="s">
        <v>1068</v>
      </c>
      <c r="G10943" t="s">
        <v>1071</v>
      </c>
      <c r="H10943" s="170">
        <v>-1.5811698204697601E-9</v>
      </c>
      <c r="I10943" t="s">
        <v>1072</v>
      </c>
      <c r="J10943">
        <v>8.1300000000000008</v>
      </c>
    </row>
    <row r="10944" spans="1:10" hidden="1">
      <c r="A10944" t="s">
        <v>6604</v>
      </c>
      <c r="B10944" t="s">
        <v>6605</v>
      </c>
      <c r="C10944" t="s">
        <v>5111</v>
      </c>
      <c r="D10944" t="s">
        <v>3762</v>
      </c>
      <c r="E10944" t="s">
        <v>559</v>
      </c>
      <c r="F10944" t="s">
        <v>1068</v>
      </c>
      <c r="G10944" t="s">
        <v>1073</v>
      </c>
      <c r="H10944" s="170">
        <v>-5.2310680029500899E-7</v>
      </c>
      <c r="I10944" t="s">
        <v>1074</v>
      </c>
      <c r="J10944">
        <v>8.1300000000000008</v>
      </c>
    </row>
    <row r="10945" spans="1:10" hidden="1">
      <c r="A10945" t="s">
        <v>6604</v>
      </c>
      <c r="B10945" t="s">
        <v>6605</v>
      </c>
      <c r="C10945" t="s">
        <v>5111</v>
      </c>
      <c r="D10945" t="s">
        <v>3762</v>
      </c>
      <c r="E10945" t="s">
        <v>559</v>
      </c>
      <c r="F10945" t="s">
        <v>1068</v>
      </c>
      <c r="G10945" t="s">
        <v>1075</v>
      </c>
      <c r="H10945">
        <v>-2.6942633312477399E-2</v>
      </c>
      <c r="I10945" t="s">
        <v>1077</v>
      </c>
      <c r="J10945">
        <v>8.1300000000000008</v>
      </c>
    </row>
    <row r="10946" spans="1:10" hidden="1">
      <c r="A10946" t="s">
        <v>6604</v>
      </c>
      <c r="B10946" t="s">
        <v>6605</v>
      </c>
      <c r="C10946" t="s">
        <v>5111</v>
      </c>
      <c r="D10946" t="s">
        <v>3762</v>
      </c>
      <c r="E10946" t="s">
        <v>559</v>
      </c>
      <c r="F10946" t="s">
        <v>1068</v>
      </c>
      <c r="G10946" t="s">
        <v>1078</v>
      </c>
      <c r="H10946" s="171" t="s">
        <v>6606</v>
      </c>
      <c r="I10946" t="s">
        <v>1079</v>
      </c>
      <c r="J10946">
        <v>8.1300000000000008</v>
      </c>
    </row>
    <row r="10947" spans="1:10" hidden="1">
      <c r="A10947" t="s">
        <v>6604</v>
      </c>
      <c r="B10947" t="s">
        <v>6605</v>
      </c>
      <c r="C10947" t="s">
        <v>5111</v>
      </c>
      <c r="D10947" t="s">
        <v>3762</v>
      </c>
      <c r="E10947" t="s">
        <v>559</v>
      </c>
      <c r="F10947" t="s">
        <v>1068</v>
      </c>
      <c r="G10947" t="s">
        <v>1080</v>
      </c>
      <c r="H10947" s="170">
        <v>-8.3151420675220595E-9</v>
      </c>
      <c r="I10947" t="s">
        <v>1082</v>
      </c>
      <c r="J10947">
        <v>8.1300000000000008</v>
      </c>
    </row>
    <row r="10948" spans="1:10" hidden="1">
      <c r="A10948" t="s">
        <v>6604</v>
      </c>
      <c r="B10948" t="s">
        <v>6605</v>
      </c>
      <c r="C10948" t="s">
        <v>5111</v>
      </c>
      <c r="D10948" t="s">
        <v>3762</v>
      </c>
      <c r="E10948" t="s">
        <v>559</v>
      </c>
      <c r="F10948" t="s">
        <v>1068</v>
      </c>
      <c r="G10948" t="s">
        <v>1083</v>
      </c>
      <c r="H10948">
        <v>-2.0079172186414899E-4</v>
      </c>
      <c r="I10948" t="s">
        <v>1084</v>
      </c>
      <c r="J10948">
        <v>8.1300000000000008</v>
      </c>
    </row>
    <row r="10949" spans="1:10" hidden="1">
      <c r="A10949" t="s">
        <v>6604</v>
      </c>
      <c r="B10949" t="s">
        <v>6605</v>
      </c>
      <c r="C10949" t="s">
        <v>5111</v>
      </c>
      <c r="D10949" t="s">
        <v>3762</v>
      </c>
      <c r="E10949" t="s">
        <v>559</v>
      </c>
      <c r="F10949" t="s">
        <v>1068</v>
      </c>
      <c r="G10949" t="s">
        <v>1085</v>
      </c>
      <c r="H10949">
        <v>-1.8566800452290699E-3</v>
      </c>
      <c r="I10949" t="s">
        <v>1086</v>
      </c>
      <c r="J10949">
        <v>8.1300000000000008</v>
      </c>
    </row>
    <row r="10950" spans="1:10" hidden="1">
      <c r="A10950" t="s">
        <v>6604</v>
      </c>
      <c r="B10950" t="s">
        <v>6605</v>
      </c>
      <c r="C10950" t="s">
        <v>5111</v>
      </c>
      <c r="D10950" t="s">
        <v>3762</v>
      </c>
      <c r="E10950" t="s">
        <v>559</v>
      </c>
      <c r="F10950" t="s">
        <v>1068</v>
      </c>
      <c r="G10950" t="s">
        <v>1087</v>
      </c>
      <c r="H10950" s="170">
        <v>-1.26285522090939E-6</v>
      </c>
      <c r="I10950" t="s">
        <v>1088</v>
      </c>
      <c r="J10950">
        <v>8.1300000000000008</v>
      </c>
    </row>
    <row r="10951" spans="1:10" hidden="1">
      <c r="A10951" t="s">
        <v>6604</v>
      </c>
      <c r="B10951" t="s">
        <v>6605</v>
      </c>
      <c r="C10951" t="s">
        <v>5111</v>
      </c>
      <c r="D10951" t="s">
        <v>3762</v>
      </c>
      <c r="E10951" t="s">
        <v>559</v>
      </c>
      <c r="F10951" t="s">
        <v>1068</v>
      </c>
      <c r="G10951" t="s">
        <v>1089</v>
      </c>
      <c r="H10951">
        <v>-3.05860659548464E-4</v>
      </c>
      <c r="I10951" t="s">
        <v>1090</v>
      </c>
      <c r="J10951">
        <v>8.1300000000000008</v>
      </c>
    </row>
    <row r="10952" spans="1:10" hidden="1">
      <c r="A10952" t="s">
        <v>6607</v>
      </c>
      <c r="B10952" t="s">
        <v>6608</v>
      </c>
      <c r="C10952" t="s">
        <v>5111</v>
      </c>
      <c r="D10952" t="s">
        <v>3762</v>
      </c>
      <c r="E10952" t="s">
        <v>560</v>
      </c>
      <c r="F10952" t="s">
        <v>1068</v>
      </c>
      <c r="G10952" t="s">
        <v>1069</v>
      </c>
      <c r="H10952">
        <v>-1.46558697180905</v>
      </c>
      <c r="I10952" t="s">
        <v>1070</v>
      </c>
      <c r="J10952">
        <v>7.74</v>
      </c>
    </row>
    <row r="10953" spans="1:10" hidden="1">
      <c r="A10953" t="s">
        <v>6607</v>
      </c>
      <c r="B10953" t="s">
        <v>6608</v>
      </c>
      <c r="C10953" t="s">
        <v>5111</v>
      </c>
      <c r="D10953" t="s">
        <v>3762</v>
      </c>
      <c r="E10953" t="s">
        <v>560</v>
      </c>
      <c r="F10953" t="s">
        <v>1068</v>
      </c>
      <c r="G10953" t="s">
        <v>1071</v>
      </c>
      <c r="H10953" s="170">
        <v>-1.55683155503558E-9</v>
      </c>
      <c r="I10953" t="s">
        <v>1072</v>
      </c>
      <c r="J10953">
        <v>7.74</v>
      </c>
    </row>
    <row r="10954" spans="1:10" hidden="1">
      <c r="A10954" t="s">
        <v>6607</v>
      </c>
      <c r="B10954" t="s">
        <v>6608</v>
      </c>
      <c r="C10954" t="s">
        <v>5111</v>
      </c>
      <c r="D10954" t="s">
        <v>3762</v>
      </c>
      <c r="E10954" t="s">
        <v>560</v>
      </c>
      <c r="F10954" t="s">
        <v>1068</v>
      </c>
      <c r="G10954" t="s">
        <v>1073</v>
      </c>
      <c r="H10954" s="170">
        <v>-5.1706542635022297E-7</v>
      </c>
      <c r="I10954" t="s">
        <v>1074</v>
      </c>
      <c r="J10954">
        <v>7.74</v>
      </c>
    </row>
    <row r="10955" spans="1:10" hidden="1">
      <c r="A10955" t="s">
        <v>6607</v>
      </c>
      <c r="B10955" t="s">
        <v>6608</v>
      </c>
      <c r="C10955" t="s">
        <v>5111</v>
      </c>
      <c r="D10955" t="s">
        <v>3762</v>
      </c>
      <c r="E10955" t="s">
        <v>560</v>
      </c>
      <c r="F10955" t="s">
        <v>1068</v>
      </c>
      <c r="G10955" t="s">
        <v>1075</v>
      </c>
      <c r="H10955">
        <v>-2.6404981872948201E-2</v>
      </c>
      <c r="I10955" t="s">
        <v>1077</v>
      </c>
      <c r="J10955">
        <v>7.74</v>
      </c>
    </row>
    <row r="10956" spans="1:10" hidden="1">
      <c r="A10956" t="s">
        <v>6607</v>
      </c>
      <c r="B10956" t="s">
        <v>6608</v>
      </c>
      <c r="C10956" t="s">
        <v>5111</v>
      </c>
      <c r="D10956" t="s">
        <v>3762</v>
      </c>
      <c r="E10956" t="s">
        <v>560</v>
      </c>
      <c r="F10956" t="s">
        <v>1068</v>
      </c>
      <c r="G10956" t="s">
        <v>1078</v>
      </c>
      <c r="H10956" s="171" t="s">
        <v>6609</v>
      </c>
      <c r="I10956" t="s">
        <v>1079</v>
      </c>
      <c r="J10956">
        <v>7.74</v>
      </c>
    </row>
    <row r="10957" spans="1:10" hidden="1">
      <c r="A10957" t="s">
        <v>6607</v>
      </c>
      <c r="B10957" t="s">
        <v>6608</v>
      </c>
      <c r="C10957" t="s">
        <v>5111</v>
      </c>
      <c r="D10957" t="s">
        <v>3762</v>
      </c>
      <c r="E10957" t="s">
        <v>560</v>
      </c>
      <c r="F10957" t="s">
        <v>1068</v>
      </c>
      <c r="G10957" t="s">
        <v>1080</v>
      </c>
      <c r="H10957" s="170">
        <v>-8.2205988730820696E-9</v>
      </c>
      <c r="I10957" t="s">
        <v>1082</v>
      </c>
      <c r="J10957">
        <v>7.74</v>
      </c>
    </row>
    <row r="10958" spans="1:10" hidden="1">
      <c r="A10958" t="s">
        <v>6607</v>
      </c>
      <c r="B10958" t="s">
        <v>6608</v>
      </c>
      <c r="C10958" t="s">
        <v>5111</v>
      </c>
      <c r="D10958" t="s">
        <v>3762</v>
      </c>
      <c r="E10958" t="s">
        <v>560</v>
      </c>
      <c r="F10958" t="s">
        <v>1068</v>
      </c>
      <c r="G10958" t="s">
        <v>1083</v>
      </c>
      <c r="H10958">
        <v>-1.98206444855494E-4</v>
      </c>
      <c r="I10958" t="s">
        <v>1084</v>
      </c>
      <c r="J10958">
        <v>7.74</v>
      </c>
    </row>
    <row r="10959" spans="1:10" hidden="1">
      <c r="A10959" t="s">
        <v>6607</v>
      </c>
      <c r="B10959" t="s">
        <v>6608</v>
      </c>
      <c r="C10959" t="s">
        <v>5111</v>
      </c>
      <c r="D10959" t="s">
        <v>3762</v>
      </c>
      <c r="E10959" t="s">
        <v>560</v>
      </c>
      <c r="F10959" t="s">
        <v>1068</v>
      </c>
      <c r="G10959" t="s">
        <v>1085</v>
      </c>
      <c r="H10959">
        <v>-1.8274611680884E-3</v>
      </c>
      <c r="I10959" t="s">
        <v>1086</v>
      </c>
      <c r="J10959">
        <v>7.74</v>
      </c>
    </row>
    <row r="10960" spans="1:10" hidden="1">
      <c r="A10960" t="s">
        <v>6607</v>
      </c>
      <c r="B10960" t="s">
        <v>6608</v>
      </c>
      <c r="C10960" t="s">
        <v>5111</v>
      </c>
      <c r="D10960" t="s">
        <v>3762</v>
      </c>
      <c r="E10960" t="s">
        <v>560</v>
      </c>
      <c r="F10960" t="s">
        <v>1068</v>
      </c>
      <c r="G10960" t="s">
        <v>1087</v>
      </c>
      <c r="H10960" s="170">
        <v>-1.24875405732296E-6</v>
      </c>
      <c r="I10960" t="s">
        <v>1088</v>
      </c>
      <c r="J10960">
        <v>7.74</v>
      </c>
    </row>
    <row r="10961" spans="1:10" hidden="1">
      <c r="A10961" t="s">
        <v>6607</v>
      </c>
      <c r="B10961" t="s">
        <v>6608</v>
      </c>
      <c r="C10961" t="s">
        <v>5111</v>
      </c>
      <c r="D10961" t="s">
        <v>3762</v>
      </c>
      <c r="E10961" t="s">
        <v>560</v>
      </c>
      <c r="F10961" t="s">
        <v>1068</v>
      </c>
      <c r="G10961" t="s">
        <v>1089</v>
      </c>
      <c r="H10961">
        <v>-2.9983286292456003E-4</v>
      </c>
      <c r="I10961" t="s">
        <v>1090</v>
      </c>
      <c r="J10961">
        <v>7.74</v>
      </c>
    </row>
    <row r="10962" spans="1:10" hidden="1">
      <c r="A10962" t="s">
        <v>6610</v>
      </c>
      <c r="B10962" t="s">
        <v>6611</v>
      </c>
      <c r="C10962" t="s">
        <v>5111</v>
      </c>
      <c r="D10962" t="s">
        <v>3762</v>
      </c>
      <c r="E10962" t="s">
        <v>1116</v>
      </c>
      <c r="F10962" t="s">
        <v>1068</v>
      </c>
      <c r="G10962" t="s">
        <v>1069</v>
      </c>
      <c r="H10962">
        <v>-1.36570927603335</v>
      </c>
      <c r="I10962" t="s">
        <v>1070</v>
      </c>
      <c r="J10962">
        <v>8.69</v>
      </c>
    </row>
    <row r="10963" spans="1:10" hidden="1">
      <c r="A10963" t="s">
        <v>6610</v>
      </c>
      <c r="B10963" t="s">
        <v>6611</v>
      </c>
      <c r="C10963" t="s">
        <v>5111</v>
      </c>
      <c r="D10963" t="s">
        <v>3762</v>
      </c>
      <c r="E10963" t="s">
        <v>1116</v>
      </c>
      <c r="F10963" t="s">
        <v>1068</v>
      </c>
      <c r="G10963" t="s">
        <v>1071</v>
      </c>
      <c r="H10963" s="170">
        <v>-1.41390543608354E-9</v>
      </c>
      <c r="I10963" t="s">
        <v>1072</v>
      </c>
      <c r="J10963">
        <v>8.69</v>
      </c>
    </row>
    <row r="10964" spans="1:10" hidden="1">
      <c r="A10964" t="s">
        <v>6610</v>
      </c>
      <c r="B10964" t="s">
        <v>6611</v>
      </c>
      <c r="C10964" t="s">
        <v>5111</v>
      </c>
      <c r="D10964" t="s">
        <v>3762</v>
      </c>
      <c r="E10964" t="s">
        <v>1116</v>
      </c>
      <c r="F10964" t="s">
        <v>1068</v>
      </c>
      <c r="G10964" t="s">
        <v>1073</v>
      </c>
      <c r="H10964" s="170">
        <v>-4.8158855277842196E-7</v>
      </c>
      <c r="I10964" t="s">
        <v>1074</v>
      </c>
      <c r="J10964">
        <v>8.69</v>
      </c>
    </row>
    <row r="10965" spans="1:10" hidden="1">
      <c r="A10965" t="s">
        <v>6610</v>
      </c>
      <c r="B10965" t="s">
        <v>6611</v>
      </c>
      <c r="C10965" t="s">
        <v>5111</v>
      </c>
      <c r="D10965" t="s">
        <v>3762</v>
      </c>
      <c r="E10965" t="s">
        <v>1116</v>
      </c>
      <c r="F10965" t="s">
        <v>1068</v>
      </c>
      <c r="G10965" t="s">
        <v>1075</v>
      </c>
      <c r="H10965">
        <v>-2.32477412131845E-2</v>
      </c>
      <c r="I10965" t="s">
        <v>1077</v>
      </c>
      <c r="J10965">
        <v>8.69</v>
      </c>
    </row>
    <row r="10966" spans="1:10" hidden="1">
      <c r="A10966" t="s">
        <v>6610</v>
      </c>
      <c r="B10966" t="s">
        <v>6611</v>
      </c>
      <c r="C10966" t="s">
        <v>5111</v>
      </c>
      <c r="D10966" t="s">
        <v>3762</v>
      </c>
      <c r="E10966" t="s">
        <v>1116</v>
      </c>
      <c r="F10966" t="s">
        <v>1068</v>
      </c>
      <c r="G10966" t="s">
        <v>1078</v>
      </c>
      <c r="H10966" s="171" t="s">
        <v>6612</v>
      </c>
      <c r="I10966" t="s">
        <v>1079</v>
      </c>
      <c r="J10966">
        <v>8.69</v>
      </c>
    </row>
    <row r="10967" spans="1:10" hidden="1">
      <c r="A10967" t="s">
        <v>6610</v>
      </c>
      <c r="B10967" t="s">
        <v>6611</v>
      </c>
      <c r="C10967" t="s">
        <v>5111</v>
      </c>
      <c r="D10967" t="s">
        <v>3762</v>
      </c>
      <c r="E10967" t="s">
        <v>1116</v>
      </c>
      <c r="F10967" t="s">
        <v>1068</v>
      </c>
      <c r="G10967" t="s">
        <v>1080</v>
      </c>
      <c r="H10967" s="170">
        <v>-7.6654146117445495E-9</v>
      </c>
      <c r="I10967" t="s">
        <v>1082</v>
      </c>
      <c r="J10967">
        <v>8.69</v>
      </c>
    </row>
    <row r="10968" spans="1:10" hidden="1">
      <c r="A10968" t="s">
        <v>6610</v>
      </c>
      <c r="B10968" t="s">
        <v>6611</v>
      </c>
      <c r="C10968" t="s">
        <v>5111</v>
      </c>
      <c r="D10968" t="s">
        <v>3762</v>
      </c>
      <c r="E10968" t="s">
        <v>1116</v>
      </c>
      <c r="F10968" t="s">
        <v>1068</v>
      </c>
      <c r="G10968" t="s">
        <v>1083</v>
      </c>
      <c r="H10968">
        <v>-1.83024970430826E-4</v>
      </c>
      <c r="I10968" t="s">
        <v>1084</v>
      </c>
      <c r="J10968">
        <v>8.69</v>
      </c>
    </row>
    <row r="10969" spans="1:10" hidden="1">
      <c r="A10969" t="s">
        <v>6610</v>
      </c>
      <c r="B10969" t="s">
        <v>6611</v>
      </c>
      <c r="C10969" t="s">
        <v>5111</v>
      </c>
      <c r="D10969" t="s">
        <v>3762</v>
      </c>
      <c r="E10969" t="s">
        <v>1116</v>
      </c>
      <c r="F10969" t="s">
        <v>1068</v>
      </c>
      <c r="G10969" t="s">
        <v>1085</v>
      </c>
      <c r="H10969">
        <v>-1.6558796951766999E-3</v>
      </c>
      <c r="I10969" t="s">
        <v>1086</v>
      </c>
      <c r="J10969">
        <v>8.69</v>
      </c>
    </row>
    <row r="10970" spans="1:10" hidden="1">
      <c r="A10970" t="s">
        <v>6610</v>
      </c>
      <c r="B10970" t="s">
        <v>6611</v>
      </c>
      <c r="C10970" t="s">
        <v>5111</v>
      </c>
      <c r="D10970" t="s">
        <v>3762</v>
      </c>
      <c r="E10970" t="s">
        <v>1116</v>
      </c>
      <c r="F10970" t="s">
        <v>1068</v>
      </c>
      <c r="G10970" t="s">
        <v>1087</v>
      </c>
      <c r="H10970" s="170">
        <v>-1.1659480550522201E-6</v>
      </c>
      <c r="I10970" t="s">
        <v>1088</v>
      </c>
      <c r="J10970">
        <v>8.69</v>
      </c>
    </row>
    <row r="10971" spans="1:10" hidden="1">
      <c r="A10971" t="s">
        <v>6610</v>
      </c>
      <c r="B10971" t="s">
        <v>6611</v>
      </c>
      <c r="C10971" t="s">
        <v>5111</v>
      </c>
      <c r="D10971" t="s">
        <v>3762</v>
      </c>
      <c r="E10971" t="s">
        <v>1116</v>
      </c>
      <c r="F10971" t="s">
        <v>1068</v>
      </c>
      <c r="G10971" t="s">
        <v>1089</v>
      </c>
      <c r="H10971">
        <v>-2.6443594389099898E-4</v>
      </c>
      <c r="I10971" t="s">
        <v>1090</v>
      </c>
      <c r="J10971">
        <v>8.69</v>
      </c>
    </row>
    <row r="10972" spans="1:10" hidden="1">
      <c r="A10972" t="s">
        <v>6613</v>
      </c>
      <c r="B10972" t="s">
        <v>6614</v>
      </c>
      <c r="C10972" t="s">
        <v>5111</v>
      </c>
      <c r="D10972" t="s">
        <v>3850</v>
      </c>
      <c r="E10972" t="s">
        <v>561</v>
      </c>
      <c r="F10972" t="s">
        <v>1068</v>
      </c>
      <c r="G10972" t="s">
        <v>1069</v>
      </c>
      <c r="H10972">
        <v>-1.32110812818515</v>
      </c>
      <c r="I10972" t="s">
        <v>1070</v>
      </c>
      <c r="J10972">
        <v>9.69</v>
      </c>
    </row>
    <row r="10973" spans="1:10" hidden="1">
      <c r="A10973" t="s">
        <v>6613</v>
      </c>
      <c r="B10973" t="s">
        <v>6614</v>
      </c>
      <c r="C10973" t="s">
        <v>5111</v>
      </c>
      <c r="D10973" t="s">
        <v>3850</v>
      </c>
      <c r="E10973" t="s">
        <v>561</v>
      </c>
      <c r="F10973" t="s">
        <v>1068</v>
      </c>
      <c r="G10973" t="s">
        <v>1071</v>
      </c>
      <c r="H10973" s="170">
        <v>-1.37119105181457E-9</v>
      </c>
      <c r="I10973" t="s">
        <v>1072</v>
      </c>
      <c r="J10973">
        <v>9.69</v>
      </c>
    </row>
    <row r="10974" spans="1:10" hidden="1">
      <c r="A10974" t="s">
        <v>6613</v>
      </c>
      <c r="B10974" t="s">
        <v>6614</v>
      </c>
      <c r="C10974" t="s">
        <v>5111</v>
      </c>
      <c r="D10974" t="s">
        <v>3850</v>
      </c>
      <c r="E10974" t="s">
        <v>561</v>
      </c>
      <c r="F10974" t="s">
        <v>1068</v>
      </c>
      <c r="G10974" t="s">
        <v>1073</v>
      </c>
      <c r="H10974" s="170">
        <v>-4.6595287099909701E-7</v>
      </c>
      <c r="I10974" t="s">
        <v>1074</v>
      </c>
      <c r="J10974">
        <v>9.69</v>
      </c>
    </row>
    <row r="10975" spans="1:10" hidden="1">
      <c r="A10975" t="s">
        <v>6613</v>
      </c>
      <c r="B10975" t="s">
        <v>6614</v>
      </c>
      <c r="C10975" t="s">
        <v>5111</v>
      </c>
      <c r="D10975" t="s">
        <v>3850</v>
      </c>
      <c r="E10975" t="s">
        <v>561</v>
      </c>
      <c r="F10975" t="s">
        <v>1068</v>
      </c>
      <c r="G10975" t="s">
        <v>1075</v>
      </c>
      <c r="H10975">
        <v>-2.2695700521822099E-2</v>
      </c>
      <c r="I10975" t="s">
        <v>1077</v>
      </c>
      <c r="J10975">
        <v>9.69</v>
      </c>
    </row>
    <row r="10976" spans="1:10" hidden="1">
      <c r="A10976" t="s">
        <v>6613</v>
      </c>
      <c r="B10976" t="s">
        <v>6614</v>
      </c>
      <c r="C10976" t="s">
        <v>5111</v>
      </c>
      <c r="D10976" t="s">
        <v>3850</v>
      </c>
      <c r="E10976" t="s">
        <v>561</v>
      </c>
      <c r="F10976" t="s">
        <v>1068</v>
      </c>
      <c r="G10976" t="s">
        <v>1078</v>
      </c>
      <c r="H10976" s="171" t="s">
        <v>6615</v>
      </c>
      <c r="I10976" t="s">
        <v>1079</v>
      </c>
      <c r="J10976">
        <v>9.69</v>
      </c>
    </row>
    <row r="10977" spans="1:10" hidden="1">
      <c r="A10977" t="s">
        <v>6613</v>
      </c>
      <c r="B10977" t="s">
        <v>6614</v>
      </c>
      <c r="C10977" t="s">
        <v>5111</v>
      </c>
      <c r="D10977" t="s">
        <v>3850</v>
      </c>
      <c r="E10977" t="s">
        <v>561</v>
      </c>
      <c r="F10977" t="s">
        <v>1068</v>
      </c>
      <c r="G10977" t="s">
        <v>1080</v>
      </c>
      <c r="H10977" s="170">
        <v>-7.4171534116857704E-9</v>
      </c>
      <c r="I10977" t="s">
        <v>1082</v>
      </c>
      <c r="J10977">
        <v>9.69</v>
      </c>
    </row>
    <row r="10978" spans="1:10" hidden="1">
      <c r="A10978" t="s">
        <v>6613</v>
      </c>
      <c r="B10978" t="s">
        <v>6614</v>
      </c>
      <c r="C10978" t="s">
        <v>5111</v>
      </c>
      <c r="D10978" t="s">
        <v>3850</v>
      </c>
      <c r="E10978" t="s">
        <v>561</v>
      </c>
      <c r="F10978" t="s">
        <v>1068</v>
      </c>
      <c r="G10978" t="s">
        <v>1083</v>
      </c>
      <c r="H10978">
        <v>-1.7733981583759401E-4</v>
      </c>
      <c r="I10978" t="s">
        <v>1084</v>
      </c>
      <c r="J10978">
        <v>9.69</v>
      </c>
    </row>
    <row r="10979" spans="1:10" hidden="1">
      <c r="A10979" t="s">
        <v>6613</v>
      </c>
      <c r="B10979" t="s">
        <v>6614</v>
      </c>
      <c r="C10979" t="s">
        <v>5111</v>
      </c>
      <c r="D10979" t="s">
        <v>3850</v>
      </c>
      <c r="E10979" t="s">
        <v>561</v>
      </c>
      <c r="F10979" t="s">
        <v>1068</v>
      </c>
      <c r="G10979" t="s">
        <v>1085</v>
      </c>
      <c r="H10979">
        <v>-1.60814546274796E-3</v>
      </c>
      <c r="I10979" t="s">
        <v>1086</v>
      </c>
      <c r="J10979">
        <v>9.69</v>
      </c>
    </row>
    <row r="10980" spans="1:10" hidden="1">
      <c r="A10980" t="s">
        <v>6613</v>
      </c>
      <c r="B10980" t="s">
        <v>6614</v>
      </c>
      <c r="C10980" t="s">
        <v>5111</v>
      </c>
      <c r="D10980" t="s">
        <v>3850</v>
      </c>
      <c r="E10980" t="s">
        <v>561</v>
      </c>
      <c r="F10980" t="s">
        <v>1068</v>
      </c>
      <c r="G10980" t="s">
        <v>1087</v>
      </c>
      <c r="H10980" s="170">
        <v>-1.1284950856413599E-6</v>
      </c>
      <c r="I10980" t="s">
        <v>1088</v>
      </c>
      <c r="J10980">
        <v>9.69</v>
      </c>
    </row>
    <row r="10981" spans="1:10" hidden="1">
      <c r="A10981" t="s">
        <v>6613</v>
      </c>
      <c r="B10981" t="s">
        <v>6614</v>
      </c>
      <c r="C10981" t="s">
        <v>5111</v>
      </c>
      <c r="D10981" t="s">
        <v>3850</v>
      </c>
      <c r="E10981" t="s">
        <v>561</v>
      </c>
      <c r="F10981" t="s">
        <v>1068</v>
      </c>
      <c r="G10981" t="s">
        <v>1089</v>
      </c>
      <c r="H10981">
        <v>-2.5808361600698299E-4</v>
      </c>
      <c r="I10981" t="s">
        <v>1090</v>
      </c>
      <c r="J10981">
        <v>9.69</v>
      </c>
    </row>
    <row r="10982" spans="1:10" hidden="1">
      <c r="A10982" t="s">
        <v>6616</v>
      </c>
      <c r="B10982" t="s">
        <v>6617</v>
      </c>
      <c r="C10982" t="s">
        <v>5111</v>
      </c>
      <c r="D10982" t="s">
        <v>3850</v>
      </c>
      <c r="E10982" t="s">
        <v>555</v>
      </c>
      <c r="F10982" t="s">
        <v>1068</v>
      </c>
      <c r="G10982" t="s">
        <v>1069</v>
      </c>
      <c r="H10982">
        <v>-1.4820998372679599</v>
      </c>
      <c r="I10982" t="s">
        <v>1070</v>
      </c>
      <c r="J10982">
        <v>10.59</v>
      </c>
    </row>
    <row r="10983" spans="1:10" hidden="1">
      <c r="A10983" t="s">
        <v>6616</v>
      </c>
      <c r="B10983" t="s">
        <v>6617</v>
      </c>
      <c r="C10983" t="s">
        <v>5111</v>
      </c>
      <c r="D10983" t="s">
        <v>3850</v>
      </c>
      <c r="E10983" t="s">
        <v>555</v>
      </c>
      <c r="F10983" t="s">
        <v>1068</v>
      </c>
      <c r="G10983" t="s">
        <v>1071</v>
      </c>
      <c r="H10983" s="170">
        <v>-1.60157198573558E-9</v>
      </c>
      <c r="I10983" t="s">
        <v>1072</v>
      </c>
      <c r="J10983">
        <v>10.59</v>
      </c>
    </row>
    <row r="10984" spans="1:10" hidden="1">
      <c r="A10984" t="s">
        <v>6616</v>
      </c>
      <c r="B10984" t="s">
        <v>6617</v>
      </c>
      <c r="C10984" t="s">
        <v>5111</v>
      </c>
      <c r="D10984" t="s">
        <v>3850</v>
      </c>
      <c r="E10984" t="s">
        <v>555</v>
      </c>
      <c r="F10984" t="s">
        <v>1068</v>
      </c>
      <c r="G10984" t="s">
        <v>1073</v>
      </c>
      <c r="H10984" s="170">
        <v>-5.2313777335950601E-7</v>
      </c>
      <c r="I10984" t="s">
        <v>1074</v>
      </c>
      <c r="J10984">
        <v>10.59</v>
      </c>
    </row>
    <row r="10985" spans="1:10" hidden="1">
      <c r="A10985" t="s">
        <v>6616</v>
      </c>
      <c r="B10985" t="s">
        <v>6617</v>
      </c>
      <c r="C10985" t="s">
        <v>5111</v>
      </c>
      <c r="D10985" t="s">
        <v>3850</v>
      </c>
      <c r="E10985" t="s">
        <v>555</v>
      </c>
      <c r="F10985" t="s">
        <v>1068</v>
      </c>
      <c r="G10985" t="s">
        <v>1075</v>
      </c>
      <c r="H10985">
        <v>-2.7784835592487199E-2</v>
      </c>
      <c r="I10985" t="s">
        <v>1077</v>
      </c>
      <c r="J10985">
        <v>10.59</v>
      </c>
    </row>
    <row r="10986" spans="1:10" hidden="1">
      <c r="A10986" t="s">
        <v>6616</v>
      </c>
      <c r="B10986" t="s">
        <v>6617</v>
      </c>
      <c r="C10986" t="s">
        <v>5111</v>
      </c>
      <c r="D10986" t="s">
        <v>3850</v>
      </c>
      <c r="E10986" t="s">
        <v>555</v>
      </c>
      <c r="F10986" t="s">
        <v>1068</v>
      </c>
      <c r="G10986" t="s">
        <v>1078</v>
      </c>
      <c r="H10986" s="171" t="s">
        <v>6618</v>
      </c>
      <c r="I10986" t="s">
        <v>1079</v>
      </c>
      <c r="J10986">
        <v>10.59</v>
      </c>
    </row>
    <row r="10987" spans="1:10" hidden="1">
      <c r="A10987" t="s">
        <v>6616</v>
      </c>
      <c r="B10987" t="s">
        <v>6617</v>
      </c>
      <c r="C10987" t="s">
        <v>5111</v>
      </c>
      <c r="D10987" t="s">
        <v>3850</v>
      </c>
      <c r="E10987" t="s">
        <v>555</v>
      </c>
      <c r="F10987" t="s">
        <v>1068</v>
      </c>
      <c r="G10987" t="s">
        <v>1080</v>
      </c>
      <c r="H10987" s="170">
        <v>-8.3120512037032893E-9</v>
      </c>
      <c r="I10987" t="s">
        <v>1082</v>
      </c>
      <c r="J10987">
        <v>10.59</v>
      </c>
    </row>
    <row r="10988" spans="1:10" hidden="1">
      <c r="A10988" t="s">
        <v>6616</v>
      </c>
      <c r="B10988" t="s">
        <v>6617</v>
      </c>
      <c r="C10988" t="s">
        <v>5111</v>
      </c>
      <c r="D10988" t="s">
        <v>3850</v>
      </c>
      <c r="E10988" t="s">
        <v>555</v>
      </c>
      <c r="F10988" t="s">
        <v>1068</v>
      </c>
      <c r="G10988" t="s">
        <v>1083</v>
      </c>
      <c r="H10988">
        <v>-2.01810732799057E-4</v>
      </c>
      <c r="I10988" t="s">
        <v>1084</v>
      </c>
      <c r="J10988">
        <v>10.59</v>
      </c>
    </row>
    <row r="10989" spans="1:10" hidden="1">
      <c r="A10989" t="s">
        <v>6616</v>
      </c>
      <c r="B10989" t="s">
        <v>6617</v>
      </c>
      <c r="C10989" t="s">
        <v>5111</v>
      </c>
      <c r="D10989" t="s">
        <v>3850</v>
      </c>
      <c r="E10989" t="s">
        <v>555</v>
      </c>
      <c r="F10989" t="s">
        <v>1068</v>
      </c>
      <c r="G10989" t="s">
        <v>1085</v>
      </c>
      <c r="H10989">
        <v>-1.8847164898725499E-3</v>
      </c>
      <c r="I10989" t="s">
        <v>1086</v>
      </c>
      <c r="J10989">
        <v>10.59</v>
      </c>
    </row>
    <row r="10990" spans="1:10" hidden="1">
      <c r="A10990" t="s">
        <v>6616</v>
      </c>
      <c r="B10990" t="s">
        <v>6617</v>
      </c>
      <c r="C10990" t="s">
        <v>5111</v>
      </c>
      <c r="D10990" t="s">
        <v>3850</v>
      </c>
      <c r="E10990" t="s">
        <v>555</v>
      </c>
      <c r="F10990" t="s">
        <v>1068</v>
      </c>
      <c r="G10990" t="s">
        <v>1087</v>
      </c>
      <c r="H10990" s="170">
        <v>-1.2619695262139799E-6</v>
      </c>
      <c r="I10990" t="s">
        <v>1088</v>
      </c>
      <c r="J10990">
        <v>10.59</v>
      </c>
    </row>
    <row r="10991" spans="1:10" hidden="1">
      <c r="A10991" t="s">
        <v>6616</v>
      </c>
      <c r="B10991" t="s">
        <v>6617</v>
      </c>
      <c r="C10991" t="s">
        <v>5111</v>
      </c>
      <c r="D10991" t="s">
        <v>3850</v>
      </c>
      <c r="E10991" t="s">
        <v>555</v>
      </c>
      <c r="F10991" t="s">
        <v>1068</v>
      </c>
      <c r="G10991" t="s">
        <v>1089</v>
      </c>
      <c r="H10991">
        <v>-3.1513967272194199E-4</v>
      </c>
      <c r="I10991" t="s">
        <v>1090</v>
      </c>
      <c r="J10991">
        <v>10.59</v>
      </c>
    </row>
    <row r="10992" spans="1:10" hidden="1">
      <c r="A10992" t="s">
        <v>6619</v>
      </c>
      <c r="B10992" t="s">
        <v>6620</v>
      </c>
      <c r="C10992" t="s">
        <v>5111</v>
      </c>
      <c r="D10992" t="s">
        <v>3850</v>
      </c>
      <c r="E10992" t="s">
        <v>558</v>
      </c>
      <c r="F10992" t="s">
        <v>1068</v>
      </c>
      <c r="G10992" t="s">
        <v>1069</v>
      </c>
      <c r="H10992">
        <v>-1.30685360650315</v>
      </c>
      <c r="I10992" t="s">
        <v>1070</v>
      </c>
      <c r="J10992">
        <v>10.02</v>
      </c>
    </row>
    <row r="10993" spans="1:10" hidden="1">
      <c r="A10993" t="s">
        <v>6619</v>
      </c>
      <c r="B10993" t="s">
        <v>6620</v>
      </c>
      <c r="C10993" t="s">
        <v>5111</v>
      </c>
      <c r="D10993" t="s">
        <v>3850</v>
      </c>
      <c r="E10993" t="s">
        <v>558</v>
      </c>
      <c r="F10993" t="s">
        <v>1068</v>
      </c>
      <c r="G10993" t="s">
        <v>1071</v>
      </c>
      <c r="H10993" s="170">
        <v>-1.3507926691155801E-9</v>
      </c>
      <c r="I10993" t="s">
        <v>1072</v>
      </c>
      <c r="J10993">
        <v>10.02</v>
      </c>
    </row>
    <row r="10994" spans="1:10" hidden="1">
      <c r="A10994" t="s">
        <v>6619</v>
      </c>
      <c r="B10994" t="s">
        <v>6620</v>
      </c>
      <c r="C10994" t="s">
        <v>5111</v>
      </c>
      <c r="D10994" t="s">
        <v>3850</v>
      </c>
      <c r="E10994" t="s">
        <v>558</v>
      </c>
      <c r="F10994" t="s">
        <v>1068</v>
      </c>
      <c r="G10994" t="s">
        <v>1073</v>
      </c>
      <c r="H10994" s="170">
        <v>-4.6088961979359802E-7</v>
      </c>
      <c r="I10994" t="s">
        <v>1074</v>
      </c>
      <c r="J10994">
        <v>10.02</v>
      </c>
    </row>
    <row r="10995" spans="1:10" hidden="1">
      <c r="A10995" t="s">
        <v>6619</v>
      </c>
      <c r="B10995" t="s">
        <v>6620</v>
      </c>
      <c r="C10995" t="s">
        <v>5111</v>
      </c>
      <c r="D10995" t="s">
        <v>3850</v>
      </c>
      <c r="E10995" t="s">
        <v>558</v>
      </c>
      <c r="F10995" t="s">
        <v>1068</v>
      </c>
      <c r="G10995" t="s">
        <v>1075</v>
      </c>
      <c r="H10995">
        <v>-2.2245099863783702E-2</v>
      </c>
      <c r="I10995" t="s">
        <v>1077</v>
      </c>
      <c r="J10995">
        <v>10.02</v>
      </c>
    </row>
    <row r="10996" spans="1:10" hidden="1">
      <c r="A10996" t="s">
        <v>6619</v>
      </c>
      <c r="B10996" t="s">
        <v>6620</v>
      </c>
      <c r="C10996" t="s">
        <v>5111</v>
      </c>
      <c r="D10996" t="s">
        <v>3850</v>
      </c>
      <c r="E10996" t="s">
        <v>558</v>
      </c>
      <c r="F10996" t="s">
        <v>1068</v>
      </c>
      <c r="G10996" t="s">
        <v>1078</v>
      </c>
      <c r="H10996" s="171" t="s">
        <v>6621</v>
      </c>
      <c r="I10996" t="s">
        <v>1079</v>
      </c>
      <c r="J10996">
        <v>10.02</v>
      </c>
    </row>
    <row r="10997" spans="1:10" hidden="1">
      <c r="A10997" t="s">
        <v>6619</v>
      </c>
      <c r="B10997" t="s">
        <v>6620</v>
      </c>
      <c r="C10997" t="s">
        <v>5111</v>
      </c>
      <c r="D10997" t="s">
        <v>3850</v>
      </c>
      <c r="E10997" t="s">
        <v>558</v>
      </c>
      <c r="F10997" t="s">
        <v>1068</v>
      </c>
      <c r="G10997" t="s">
        <v>1080</v>
      </c>
      <c r="H10997" s="170">
        <v>-7.3379176420849803E-9</v>
      </c>
      <c r="I10997" t="s">
        <v>1082</v>
      </c>
      <c r="J10997">
        <v>10.02</v>
      </c>
    </row>
    <row r="10998" spans="1:10" hidden="1">
      <c r="A10998" t="s">
        <v>6619</v>
      </c>
      <c r="B10998" t="s">
        <v>6620</v>
      </c>
      <c r="C10998" t="s">
        <v>5111</v>
      </c>
      <c r="D10998" t="s">
        <v>3850</v>
      </c>
      <c r="E10998" t="s">
        <v>558</v>
      </c>
      <c r="F10998" t="s">
        <v>1068</v>
      </c>
      <c r="G10998" t="s">
        <v>1083</v>
      </c>
      <c r="H10998">
        <v>-1.7517311931270499E-4</v>
      </c>
      <c r="I10998" t="s">
        <v>1084</v>
      </c>
      <c r="J10998">
        <v>10.02</v>
      </c>
    </row>
    <row r="10999" spans="1:10" hidden="1">
      <c r="A10999" t="s">
        <v>6619</v>
      </c>
      <c r="B10999" t="s">
        <v>6620</v>
      </c>
      <c r="C10999" t="s">
        <v>5111</v>
      </c>
      <c r="D10999" t="s">
        <v>3850</v>
      </c>
      <c r="E10999" t="s">
        <v>558</v>
      </c>
      <c r="F10999" t="s">
        <v>1068</v>
      </c>
      <c r="G10999" t="s">
        <v>1085</v>
      </c>
      <c r="H10999">
        <v>-1.5836573945476099E-3</v>
      </c>
      <c r="I10999" t="s">
        <v>1086</v>
      </c>
      <c r="J10999">
        <v>10.02</v>
      </c>
    </row>
    <row r="11000" spans="1:10" hidden="1">
      <c r="A11000" t="s">
        <v>6619</v>
      </c>
      <c r="B11000" t="s">
        <v>6620</v>
      </c>
      <c r="C11000" t="s">
        <v>5111</v>
      </c>
      <c r="D11000" t="s">
        <v>3850</v>
      </c>
      <c r="E11000" t="s">
        <v>558</v>
      </c>
      <c r="F11000" t="s">
        <v>1068</v>
      </c>
      <c r="G11000" t="s">
        <v>1087</v>
      </c>
      <c r="H11000" s="170">
        <v>-1.11667703211499E-6</v>
      </c>
      <c r="I11000" t="s">
        <v>1088</v>
      </c>
      <c r="J11000">
        <v>10.02</v>
      </c>
    </row>
    <row r="11001" spans="1:10" hidden="1">
      <c r="A11001" t="s">
        <v>6619</v>
      </c>
      <c r="B11001" t="s">
        <v>6620</v>
      </c>
      <c r="C11001" t="s">
        <v>5111</v>
      </c>
      <c r="D11001" t="s">
        <v>3850</v>
      </c>
      <c r="E11001" t="s">
        <v>558</v>
      </c>
      <c r="F11001" t="s">
        <v>1068</v>
      </c>
      <c r="G11001" t="s">
        <v>1089</v>
      </c>
      <c r="H11001">
        <v>-2.5303177589472301E-4</v>
      </c>
      <c r="I11001" t="s">
        <v>1090</v>
      </c>
      <c r="J11001">
        <v>10.02</v>
      </c>
    </row>
    <row r="11002" spans="1:10" hidden="1">
      <c r="A11002" t="s">
        <v>6622</v>
      </c>
      <c r="B11002" t="s">
        <v>6623</v>
      </c>
      <c r="C11002" t="s">
        <v>5111</v>
      </c>
      <c r="D11002" t="s">
        <v>3850</v>
      </c>
      <c r="E11002" t="s">
        <v>553</v>
      </c>
      <c r="F11002" t="s">
        <v>1068</v>
      </c>
      <c r="G11002" t="s">
        <v>1069</v>
      </c>
      <c r="H11002">
        <v>-1.29289246358934</v>
      </c>
      <c r="I11002" t="s">
        <v>1070</v>
      </c>
      <c r="J11002">
        <v>8.9700000000000006</v>
      </c>
    </row>
    <row r="11003" spans="1:10" hidden="1">
      <c r="A11003" t="s">
        <v>6622</v>
      </c>
      <c r="B11003" t="s">
        <v>6623</v>
      </c>
      <c r="C11003" t="s">
        <v>5111</v>
      </c>
      <c r="D11003" t="s">
        <v>3850</v>
      </c>
      <c r="E11003" t="s">
        <v>553</v>
      </c>
      <c r="F11003" t="s">
        <v>1068</v>
      </c>
      <c r="G11003" t="s">
        <v>1071</v>
      </c>
      <c r="H11003" s="170">
        <v>-1.3308140814110399E-9</v>
      </c>
      <c r="I11003" t="s">
        <v>1072</v>
      </c>
      <c r="J11003">
        <v>8.9700000000000006</v>
      </c>
    </row>
    <row r="11004" spans="1:10" hidden="1">
      <c r="A11004" t="s">
        <v>6622</v>
      </c>
      <c r="B11004" t="s">
        <v>6623</v>
      </c>
      <c r="C11004" t="s">
        <v>5111</v>
      </c>
      <c r="D11004" t="s">
        <v>3850</v>
      </c>
      <c r="E11004" t="s">
        <v>553</v>
      </c>
      <c r="F11004" t="s">
        <v>1068</v>
      </c>
      <c r="G11004" t="s">
        <v>1073</v>
      </c>
      <c r="H11004" s="170">
        <v>-4.55930715540281E-7</v>
      </c>
      <c r="I11004" t="s">
        <v>1074</v>
      </c>
      <c r="J11004">
        <v>8.9700000000000006</v>
      </c>
    </row>
    <row r="11005" spans="1:10" hidden="1">
      <c r="A11005" t="s">
        <v>6622</v>
      </c>
      <c r="B11005" t="s">
        <v>6623</v>
      </c>
      <c r="C11005" t="s">
        <v>5111</v>
      </c>
      <c r="D11005" t="s">
        <v>3850</v>
      </c>
      <c r="E11005" t="s">
        <v>553</v>
      </c>
      <c r="F11005" t="s">
        <v>1068</v>
      </c>
      <c r="G11005" t="s">
        <v>1075</v>
      </c>
      <c r="H11005">
        <v>-2.1803788386044898E-2</v>
      </c>
      <c r="I11005" t="s">
        <v>1077</v>
      </c>
      <c r="J11005">
        <v>8.9700000000000006</v>
      </c>
    </row>
    <row r="11006" spans="1:10" hidden="1">
      <c r="A11006" t="s">
        <v>6622</v>
      </c>
      <c r="B11006" t="s">
        <v>6623</v>
      </c>
      <c r="C11006" t="s">
        <v>5111</v>
      </c>
      <c r="D11006" t="s">
        <v>3850</v>
      </c>
      <c r="E11006" t="s">
        <v>553</v>
      </c>
      <c r="F11006" t="s">
        <v>1068</v>
      </c>
      <c r="G11006" t="s">
        <v>1078</v>
      </c>
      <c r="H11006" s="171" t="s">
        <v>6624</v>
      </c>
      <c r="I11006" t="s">
        <v>1079</v>
      </c>
      <c r="J11006">
        <v>8.9700000000000006</v>
      </c>
    </row>
    <row r="11007" spans="1:10" hidden="1">
      <c r="A11007" t="s">
        <v>6622</v>
      </c>
      <c r="B11007" t="s">
        <v>6623</v>
      </c>
      <c r="C11007" t="s">
        <v>5111</v>
      </c>
      <c r="D11007" t="s">
        <v>3850</v>
      </c>
      <c r="E11007" t="s">
        <v>553</v>
      </c>
      <c r="F11007" t="s">
        <v>1068</v>
      </c>
      <c r="G11007" t="s">
        <v>1080</v>
      </c>
      <c r="H11007" s="170">
        <v>-7.2603153263431297E-9</v>
      </c>
      <c r="I11007" t="s">
        <v>1082</v>
      </c>
      <c r="J11007">
        <v>8.9700000000000006</v>
      </c>
    </row>
    <row r="11008" spans="1:10" hidden="1">
      <c r="A11008" t="s">
        <v>6622</v>
      </c>
      <c r="B11008" t="s">
        <v>6623</v>
      </c>
      <c r="C11008" t="s">
        <v>5111</v>
      </c>
      <c r="D11008" t="s">
        <v>3850</v>
      </c>
      <c r="E11008" t="s">
        <v>553</v>
      </c>
      <c r="F11008" t="s">
        <v>1068</v>
      </c>
      <c r="G11008" t="s">
        <v>1083</v>
      </c>
      <c r="H11008">
        <v>-1.7305108949580101E-4</v>
      </c>
      <c r="I11008" t="s">
        <v>1084</v>
      </c>
      <c r="J11008">
        <v>8.9700000000000006</v>
      </c>
    </row>
    <row r="11009" spans="1:10" hidden="1">
      <c r="A11009" t="s">
        <v>6622</v>
      </c>
      <c r="B11009" t="s">
        <v>6623</v>
      </c>
      <c r="C11009" t="s">
        <v>5111</v>
      </c>
      <c r="D11009" t="s">
        <v>3850</v>
      </c>
      <c r="E11009" t="s">
        <v>553</v>
      </c>
      <c r="F11009" t="s">
        <v>1068</v>
      </c>
      <c r="G11009" t="s">
        <v>1085</v>
      </c>
      <c r="H11009">
        <v>-1.5596741507457499E-3</v>
      </c>
      <c r="I11009" t="s">
        <v>1086</v>
      </c>
      <c r="J11009">
        <v>8.9700000000000006</v>
      </c>
    </row>
    <row r="11010" spans="1:10" hidden="1">
      <c r="A11010" t="s">
        <v>6622</v>
      </c>
      <c r="B11010" t="s">
        <v>6623</v>
      </c>
      <c r="C11010" t="s">
        <v>5111</v>
      </c>
      <c r="D11010" t="s">
        <v>3850</v>
      </c>
      <c r="E11010" t="s">
        <v>553</v>
      </c>
      <c r="F11010" t="s">
        <v>1068</v>
      </c>
      <c r="G11010" t="s">
        <v>1087</v>
      </c>
      <c r="H11010" s="170">
        <v>-1.1051026092032299E-6</v>
      </c>
      <c r="I11010" t="s">
        <v>1088</v>
      </c>
      <c r="J11010">
        <v>8.9700000000000006</v>
      </c>
    </row>
    <row r="11011" spans="1:10" hidden="1">
      <c r="A11011" t="s">
        <v>6622</v>
      </c>
      <c r="B11011" t="s">
        <v>6623</v>
      </c>
      <c r="C11011" t="s">
        <v>5111</v>
      </c>
      <c r="D11011" t="s">
        <v>3850</v>
      </c>
      <c r="E11011" t="s">
        <v>553</v>
      </c>
      <c r="F11011" t="s">
        <v>1068</v>
      </c>
      <c r="G11011" t="s">
        <v>1089</v>
      </c>
      <c r="H11011">
        <v>-2.4808408003291501E-4</v>
      </c>
      <c r="I11011" t="s">
        <v>1090</v>
      </c>
      <c r="J11011">
        <v>8.9700000000000006</v>
      </c>
    </row>
    <row r="11012" spans="1:10" hidden="1">
      <c r="A11012" t="s">
        <v>6625</v>
      </c>
      <c r="B11012" t="s">
        <v>6626</v>
      </c>
      <c r="C11012" t="s">
        <v>5111</v>
      </c>
      <c r="D11012" t="s">
        <v>3850</v>
      </c>
      <c r="E11012" t="s">
        <v>556</v>
      </c>
      <c r="F11012" t="s">
        <v>1068</v>
      </c>
      <c r="G11012" t="s">
        <v>1069</v>
      </c>
      <c r="H11012">
        <v>-1.46431581086597</v>
      </c>
      <c r="I11012" t="s">
        <v>1070</v>
      </c>
      <c r="J11012">
        <v>9.48</v>
      </c>
    </row>
    <row r="11013" spans="1:10" hidden="1">
      <c r="A11013" t="s">
        <v>6625</v>
      </c>
      <c r="B11013" t="s">
        <v>6626</v>
      </c>
      <c r="C11013" t="s">
        <v>5111</v>
      </c>
      <c r="D11013" t="s">
        <v>3850</v>
      </c>
      <c r="E11013" t="s">
        <v>556</v>
      </c>
      <c r="F11013" t="s">
        <v>1068</v>
      </c>
      <c r="G11013" t="s">
        <v>1071</v>
      </c>
      <c r="H11013" s="170">
        <v>-1.5761228416275101E-9</v>
      </c>
      <c r="I11013" t="s">
        <v>1072</v>
      </c>
      <c r="J11013">
        <v>9.48</v>
      </c>
    </row>
    <row r="11014" spans="1:10" hidden="1">
      <c r="A11014" t="s">
        <v>6625</v>
      </c>
      <c r="B11014" t="s">
        <v>6626</v>
      </c>
      <c r="C11014" t="s">
        <v>5111</v>
      </c>
      <c r="D11014" t="s">
        <v>3850</v>
      </c>
      <c r="E11014" t="s">
        <v>556</v>
      </c>
      <c r="F11014" t="s">
        <v>1068</v>
      </c>
      <c r="G11014" t="s">
        <v>1073</v>
      </c>
      <c r="H11014" s="170">
        <v>-5.1682083090943496E-7</v>
      </c>
      <c r="I11014" t="s">
        <v>1074</v>
      </c>
      <c r="J11014">
        <v>9.48</v>
      </c>
    </row>
    <row r="11015" spans="1:10" hidden="1">
      <c r="A11015" t="s">
        <v>6625</v>
      </c>
      <c r="B11015" t="s">
        <v>6626</v>
      </c>
      <c r="C11015" t="s">
        <v>5111</v>
      </c>
      <c r="D11015" t="s">
        <v>3850</v>
      </c>
      <c r="E11015" t="s">
        <v>556</v>
      </c>
      <c r="F11015" t="s">
        <v>1068</v>
      </c>
      <c r="G11015" t="s">
        <v>1075</v>
      </c>
      <c r="H11015">
        <v>-2.7222663519788599E-2</v>
      </c>
      <c r="I11015" t="s">
        <v>1077</v>
      </c>
      <c r="J11015">
        <v>9.48</v>
      </c>
    </row>
    <row r="11016" spans="1:10" hidden="1">
      <c r="A11016" t="s">
        <v>6625</v>
      </c>
      <c r="B11016" t="s">
        <v>6626</v>
      </c>
      <c r="C11016" t="s">
        <v>5111</v>
      </c>
      <c r="D11016" t="s">
        <v>3850</v>
      </c>
      <c r="E11016" t="s">
        <v>556</v>
      </c>
      <c r="F11016" t="s">
        <v>1068</v>
      </c>
      <c r="G11016" t="s">
        <v>1078</v>
      </c>
      <c r="H11016" s="171" t="s">
        <v>6627</v>
      </c>
      <c r="I11016" t="s">
        <v>1079</v>
      </c>
      <c r="J11016">
        <v>9.48</v>
      </c>
    </row>
    <row r="11017" spans="1:10" hidden="1">
      <c r="A11017" t="s">
        <v>6625</v>
      </c>
      <c r="B11017" t="s">
        <v>6626</v>
      </c>
      <c r="C11017" t="s">
        <v>5111</v>
      </c>
      <c r="D11017" t="s">
        <v>3850</v>
      </c>
      <c r="E11017" t="s">
        <v>556</v>
      </c>
      <c r="F11017" t="s">
        <v>1068</v>
      </c>
      <c r="G11017" t="s">
        <v>1080</v>
      </c>
      <c r="H11017" s="170">
        <v>-8.21319618422265E-9</v>
      </c>
      <c r="I11017" t="s">
        <v>1082</v>
      </c>
      <c r="J11017">
        <v>9.48</v>
      </c>
    </row>
    <row r="11018" spans="1:10" hidden="1">
      <c r="A11018" t="s">
        <v>6625</v>
      </c>
      <c r="B11018" t="s">
        <v>6626</v>
      </c>
      <c r="C11018" t="s">
        <v>5111</v>
      </c>
      <c r="D11018" t="s">
        <v>3850</v>
      </c>
      <c r="E11018" t="s">
        <v>556</v>
      </c>
      <c r="F11018" t="s">
        <v>1068</v>
      </c>
      <c r="G11018" t="s">
        <v>1083</v>
      </c>
      <c r="H11018">
        <v>-1.99107549271522E-4</v>
      </c>
      <c r="I11018" t="s">
        <v>1084</v>
      </c>
      <c r="J11018">
        <v>9.48</v>
      </c>
    </row>
    <row r="11019" spans="1:10" hidden="1">
      <c r="A11019" t="s">
        <v>6625</v>
      </c>
      <c r="B11019" t="s">
        <v>6626</v>
      </c>
      <c r="C11019" t="s">
        <v>5111</v>
      </c>
      <c r="D11019" t="s">
        <v>3850</v>
      </c>
      <c r="E11019" t="s">
        <v>556</v>
      </c>
      <c r="F11019" t="s">
        <v>1068</v>
      </c>
      <c r="G11019" t="s">
        <v>1085</v>
      </c>
      <c r="H11019">
        <v>-1.85416502970269E-3</v>
      </c>
      <c r="I11019" t="s">
        <v>1086</v>
      </c>
      <c r="J11019">
        <v>9.48</v>
      </c>
    </row>
    <row r="11020" spans="1:10" hidden="1">
      <c r="A11020" t="s">
        <v>6625</v>
      </c>
      <c r="B11020" t="s">
        <v>6626</v>
      </c>
      <c r="C11020" t="s">
        <v>5111</v>
      </c>
      <c r="D11020" t="s">
        <v>3850</v>
      </c>
      <c r="E11020" t="s">
        <v>556</v>
      </c>
      <c r="F11020" t="s">
        <v>1068</v>
      </c>
      <c r="G11020" t="s">
        <v>1087</v>
      </c>
      <c r="H11020" s="170">
        <v>-1.2472252520375799E-6</v>
      </c>
      <c r="I11020" t="s">
        <v>1088</v>
      </c>
      <c r="J11020">
        <v>9.48</v>
      </c>
    </row>
    <row r="11021" spans="1:10" hidden="1">
      <c r="A11021" t="s">
        <v>6625</v>
      </c>
      <c r="B11021" t="s">
        <v>6626</v>
      </c>
      <c r="C11021" t="s">
        <v>5111</v>
      </c>
      <c r="D11021" t="s">
        <v>3850</v>
      </c>
      <c r="E11021" t="s">
        <v>556</v>
      </c>
      <c r="F11021" t="s">
        <v>1068</v>
      </c>
      <c r="G11021" t="s">
        <v>1089</v>
      </c>
      <c r="H11021">
        <v>-3.0883696681997E-4</v>
      </c>
      <c r="I11021" t="s">
        <v>1090</v>
      </c>
      <c r="J11021">
        <v>9.48</v>
      </c>
    </row>
    <row r="11022" spans="1:10" hidden="1">
      <c r="A11022" t="s">
        <v>6628</v>
      </c>
      <c r="B11022" t="s">
        <v>6629</v>
      </c>
      <c r="C11022" t="s">
        <v>5111</v>
      </c>
      <c r="D11022" t="s">
        <v>3850</v>
      </c>
      <c r="E11022" t="s">
        <v>557</v>
      </c>
      <c r="F11022" t="s">
        <v>1068</v>
      </c>
      <c r="G11022" t="s">
        <v>1069</v>
      </c>
      <c r="H11022">
        <v>-1.3657309786679299</v>
      </c>
      <c r="I11022" t="s">
        <v>1070</v>
      </c>
      <c r="J11022">
        <v>9.93</v>
      </c>
    </row>
    <row r="11023" spans="1:10" hidden="1">
      <c r="A11023" t="s">
        <v>6628</v>
      </c>
      <c r="B11023" t="s">
        <v>6629</v>
      </c>
      <c r="C11023" t="s">
        <v>5111</v>
      </c>
      <c r="D11023" t="s">
        <v>3850</v>
      </c>
      <c r="E11023" t="s">
        <v>557</v>
      </c>
      <c r="F11023" t="s">
        <v>1068</v>
      </c>
      <c r="G11023" t="s">
        <v>1071</v>
      </c>
      <c r="H11023" s="170">
        <v>-1.43504685852445E-9</v>
      </c>
      <c r="I11023" t="s">
        <v>1072</v>
      </c>
      <c r="J11023">
        <v>9.93</v>
      </c>
    </row>
    <row r="11024" spans="1:10" hidden="1">
      <c r="A11024" t="s">
        <v>6628</v>
      </c>
      <c r="B11024" t="s">
        <v>6629</v>
      </c>
      <c r="C11024" t="s">
        <v>5111</v>
      </c>
      <c r="D11024" t="s">
        <v>3850</v>
      </c>
      <c r="E11024" t="s">
        <v>557</v>
      </c>
      <c r="F11024" t="s">
        <v>1068</v>
      </c>
      <c r="G11024" t="s">
        <v>1073</v>
      </c>
      <c r="H11024" s="170">
        <v>-4.8180304868587702E-7</v>
      </c>
      <c r="I11024" t="s">
        <v>1074</v>
      </c>
      <c r="J11024">
        <v>9.93</v>
      </c>
    </row>
    <row r="11025" spans="1:10" hidden="1">
      <c r="A11025" t="s">
        <v>6628</v>
      </c>
      <c r="B11025" t="s">
        <v>6629</v>
      </c>
      <c r="C11025" t="s">
        <v>5111</v>
      </c>
      <c r="D11025" t="s">
        <v>3850</v>
      </c>
      <c r="E11025" t="s">
        <v>557</v>
      </c>
      <c r="F11025" t="s">
        <v>1068</v>
      </c>
      <c r="G11025" t="s">
        <v>1075</v>
      </c>
      <c r="H11025">
        <v>-2.4106276494811799E-2</v>
      </c>
      <c r="I11025" t="s">
        <v>1077</v>
      </c>
      <c r="J11025">
        <v>9.93</v>
      </c>
    </row>
    <row r="11026" spans="1:10" hidden="1">
      <c r="A11026" t="s">
        <v>6628</v>
      </c>
      <c r="B11026" t="s">
        <v>6629</v>
      </c>
      <c r="C11026" t="s">
        <v>5111</v>
      </c>
      <c r="D11026" t="s">
        <v>3850</v>
      </c>
      <c r="E11026" t="s">
        <v>557</v>
      </c>
      <c r="F11026" t="s">
        <v>1068</v>
      </c>
      <c r="G11026" t="s">
        <v>1078</v>
      </c>
      <c r="H11026" s="171" t="s">
        <v>6630</v>
      </c>
      <c r="I11026" t="s">
        <v>1079</v>
      </c>
      <c r="J11026">
        <v>9.93</v>
      </c>
    </row>
    <row r="11027" spans="1:10" hidden="1">
      <c r="A11027" t="s">
        <v>6628</v>
      </c>
      <c r="B11027" t="s">
        <v>6629</v>
      </c>
      <c r="C11027" t="s">
        <v>5111</v>
      </c>
      <c r="D11027" t="s">
        <v>3850</v>
      </c>
      <c r="E11027" t="s">
        <v>557</v>
      </c>
      <c r="F11027" t="s">
        <v>1068</v>
      </c>
      <c r="G11027" t="s">
        <v>1080</v>
      </c>
      <c r="H11027" s="170">
        <v>-7.6651958208708296E-9</v>
      </c>
      <c r="I11027" t="s">
        <v>1082</v>
      </c>
      <c r="J11027">
        <v>9.93</v>
      </c>
    </row>
    <row r="11028" spans="1:10" hidden="1">
      <c r="A11028" t="s">
        <v>6628</v>
      </c>
      <c r="B11028" t="s">
        <v>6629</v>
      </c>
      <c r="C11028" t="s">
        <v>5111</v>
      </c>
      <c r="D11028" t="s">
        <v>3850</v>
      </c>
      <c r="E11028" t="s">
        <v>557</v>
      </c>
      <c r="F11028" t="s">
        <v>1068</v>
      </c>
      <c r="G11028" t="s">
        <v>1083</v>
      </c>
      <c r="H11028">
        <v>-1.84122518002465E-4</v>
      </c>
      <c r="I11028" t="s">
        <v>1084</v>
      </c>
      <c r="J11028">
        <v>9.93</v>
      </c>
    </row>
    <row r="11029" spans="1:10" hidden="1">
      <c r="A11029" t="s">
        <v>6628</v>
      </c>
      <c r="B11029" t="s">
        <v>6629</v>
      </c>
      <c r="C11029" t="s">
        <v>5111</v>
      </c>
      <c r="D11029" t="s">
        <v>3850</v>
      </c>
      <c r="E11029" t="s">
        <v>557</v>
      </c>
      <c r="F11029" t="s">
        <v>1068</v>
      </c>
      <c r="G11029" t="s">
        <v>1085</v>
      </c>
      <c r="H11029">
        <v>-1.68480376320123E-3</v>
      </c>
      <c r="I11029" t="s">
        <v>1086</v>
      </c>
      <c r="J11029">
        <v>9.93</v>
      </c>
    </row>
    <row r="11030" spans="1:10" hidden="1">
      <c r="A11030" t="s">
        <v>6628</v>
      </c>
      <c r="B11030" t="s">
        <v>6629</v>
      </c>
      <c r="C11030" t="s">
        <v>5111</v>
      </c>
      <c r="D11030" t="s">
        <v>3850</v>
      </c>
      <c r="E11030" t="s">
        <v>557</v>
      </c>
      <c r="F11030" t="s">
        <v>1068</v>
      </c>
      <c r="G11030" t="s">
        <v>1087</v>
      </c>
      <c r="H11030" s="170">
        <v>-1.1654907314630501E-6</v>
      </c>
      <c r="I11030" t="s">
        <v>1088</v>
      </c>
      <c r="J11030">
        <v>9.93</v>
      </c>
    </row>
    <row r="11031" spans="1:10" hidden="1">
      <c r="A11031" t="s">
        <v>6628</v>
      </c>
      <c r="B11031" t="s">
        <v>6629</v>
      </c>
      <c r="C11031" t="s">
        <v>5111</v>
      </c>
      <c r="D11031" t="s">
        <v>3850</v>
      </c>
      <c r="E11031" t="s">
        <v>557</v>
      </c>
      <c r="F11031" t="s">
        <v>1068</v>
      </c>
      <c r="G11031" t="s">
        <v>1089</v>
      </c>
      <c r="H11031">
        <v>-2.7389807201058203E-4</v>
      </c>
      <c r="I11031" t="s">
        <v>1090</v>
      </c>
      <c r="J11031">
        <v>9.93</v>
      </c>
    </row>
    <row r="11032" spans="1:10" hidden="1">
      <c r="A11032" t="s">
        <v>6631</v>
      </c>
      <c r="B11032" t="s">
        <v>6632</v>
      </c>
      <c r="C11032" t="s">
        <v>5111</v>
      </c>
      <c r="D11032" t="s">
        <v>3850</v>
      </c>
      <c r="E11032" t="s">
        <v>559</v>
      </c>
      <c r="F11032" t="s">
        <v>1068</v>
      </c>
      <c r="G11032" t="s">
        <v>1069</v>
      </c>
      <c r="H11032">
        <v>-1.41336157791655</v>
      </c>
      <c r="I11032" t="s">
        <v>1070</v>
      </c>
      <c r="J11032">
        <v>9.3699999999999992</v>
      </c>
    </row>
    <row r="11033" spans="1:10" hidden="1">
      <c r="A11033" t="s">
        <v>6631</v>
      </c>
      <c r="B11033" t="s">
        <v>6632</v>
      </c>
      <c r="C11033" t="s">
        <v>5111</v>
      </c>
      <c r="D11033" t="s">
        <v>3850</v>
      </c>
      <c r="E11033" t="s">
        <v>559</v>
      </c>
      <c r="F11033" t="s">
        <v>1068</v>
      </c>
      <c r="G11033" t="s">
        <v>1071</v>
      </c>
      <c r="H11033" s="170">
        <v>-1.50320675457648E-9</v>
      </c>
      <c r="I11033" t="s">
        <v>1072</v>
      </c>
      <c r="J11033">
        <v>9.3699999999999992</v>
      </c>
    </row>
    <row r="11034" spans="1:10" hidden="1">
      <c r="A11034" t="s">
        <v>6631</v>
      </c>
      <c r="B11034" t="s">
        <v>6632</v>
      </c>
      <c r="C11034" t="s">
        <v>5111</v>
      </c>
      <c r="D11034" t="s">
        <v>3850</v>
      </c>
      <c r="E11034" t="s">
        <v>559</v>
      </c>
      <c r="F11034" t="s">
        <v>1068</v>
      </c>
      <c r="G11034" t="s">
        <v>1073</v>
      </c>
      <c r="H11034" s="170">
        <v>-4.9872172613679097E-7</v>
      </c>
      <c r="I11034" t="s">
        <v>1074</v>
      </c>
      <c r="J11034">
        <v>9.3699999999999992</v>
      </c>
    </row>
    <row r="11035" spans="1:10" hidden="1">
      <c r="A11035" t="s">
        <v>6631</v>
      </c>
      <c r="B11035" t="s">
        <v>6632</v>
      </c>
      <c r="C11035" t="s">
        <v>5111</v>
      </c>
      <c r="D11035" t="s">
        <v>3850</v>
      </c>
      <c r="E11035" t="s">
        <v>559</v>
      </c>
      <c r="F11035" t="s">
        <v>1068</v>
      </c>
      <c r="G11035" t="s">
        <v>1075</v>
      </c>
      <c r="H11035">
        <v>-2.5611945783405199E-2</v>
      </c>
      <c r="I11035" t="s">
        <v>1077</v>
      </c>
      <c r="J11035">
        <v>9.3699999999999992</v>
      </c>
    </row>
    <row r="11036" spans="1:10" hidden="1">
      <c r="A11036" t="s">
        <v>6631</v>
      </c>
      <c r="B11036" t="s">
        <v>6632</v>
      </c>
      <c r="C11036" t="s">
        <v>5111</v>
      </c>
      <c r="D11036" t="s">
        <v>3850</v>
      </c>
      <c r="E11036" t="s">
        <v>559</v>
      </c>
      <c r="F11036" t="s">
        <v>1068</v>
      </c>
      <c r="G11036" t="s">
        <v>1078</v>
      </c>
      <c r="H11036" s="171" t="s">
        <v>6633</v>
      </c>
      <c r="I11036" t="s">
        <v>1079</v>
      </c>
      <c r="J11036">
        <v>9.3699999999999992</v>
      </c>
    </row>
    <row r="11037" spans="1:10" hidden="1">
      <c r="A11037" t="s">
        <v>6631</v>
      </c>
      <c r="B11037" t="s">
        <v>6632</v>
      </c>
      <c r="C11037" t="s">
        <v>5111</v>
      </c>
      <c r="D11037" t="s">
        <v>3850</v>
      </c>
      <c r="E11037" t="s">
        <v>559</v>
      </c>
      <c r="F11037" t="s">
        <v>1068</v>
      </c>
      <c r="G11037" t="s">
        <v>1080</v>
      </c>
      <c r="H11037" s="170">
        <v>-7.92995989245259E-9</v>
      </c>
      <c r="I11037" t="s">
        <v>1082</v>
      </c>
      <c r="J11037">
        <v>9.3699999999999992</v>
      </c>
    </row>
    <row r="11038" spans="1:10" hidden="1">
      <c r="A11038" t="s">
        <v>6631</v>
      </c>
      <c r="B11038" t="s">
        <v>6632</v>
      </c>
      <c r="C11038" t="s">
        <v>5111</v>
      </c>
      <c r="D11038" t="s">
        <v>3850</v>
      </c>
      <c r="E11038" t="s">
        <v>559</v>
      </c>
      <c r="F11038" t="s">
        <v>1068</v>
      </c>
      <c r="G11038" t="s">
        <v>1083</v>
      </c>
      <c r="H11038">
        <v>-1.9136247287240599E-4</v>
      </c>
      <c r="I11038" t="s">
        <v>1084</v>
      </c>
      <c r="J11038">
        <v>9.3699999999999992</v>
      </c>
    </row>
    <row r="11039" spans="1:10" hidden="1">
      <c r="A11039" t="s">
        <v>6631</v>
      </c>
      <c r="B11039" t="s">
        <v>6632</v>
      </c>
      <c r="C11039" t="s">
        <v>5111</v>
      </c>
      <c r="D11039" t="s">
        <v>3850</v>
      </c>
      <c r="E11039" t="s">
        <v>559</v>
      </c>
      <c r="F11039" t="s">
        <v>1068</v>
      </c>
      <c r="G11039" t="s">
        <v>1085</v>
      </c>
      <c r="H11039">
        <v>-1.76662994719353E-3</v>
      </c>
      <c r="I11039" t="s">
        <v>1086</v>
      </c>
      <c r="J11039">
        <v>9.3699999999999992</v>
      </c>
    </row>
    <row r="11040" spans="1:10" hidden="1">
      <c r="A11040" t="s">
        <v>6631</v>
      </c>
      <c r="B11040" t="s">
        <v>6632</v>
      </c>
      <c r="C11040" t="s">
        <v>5111</v>
      </c>
      <c r="D11040" t="s">
        <v>3850</v>
      </c>
      <c r="E11040" t="s">
        <v>559</v>
      </c>
      <c r="F11040" t="s">
        <v>1068</v>
      </c>
      <c r="G11040" t="s">
        <v>1087</v>
      </c>
      <c r="H11040" s="170">
        <v>-1.20498042153217E-6</v>
      </c>
      <c r="I11040" t="s">
        <v>1088</v>
      </c>
      <c r="J11040">
        <v>9.3699999999999992</v>
      </c>
    </row>
    <row r="11041" spans="1:10" hidden="1">
      <c r="A11041" t="s">
        <v>6631</v>
      </c>
      <c r="B11041" t="s">
        <v>6632</v>
      </c>
      <c r="C11041" t="s">
        <v>5111</v>
      </c>
      <c r="D11041" t="s">
        <v>3850</v>
      </c>
      <c r="E11041" t="s">
        <v>559</v>
      </c>
      <c r="F11041" t="s">
        <v>1068</v>
      </c>
      <c r="G11041" t="s">
        <v>1089</v>
      </c>
      <c r="H11041">
        <v>-2.9077865215701502E-4</v>
      </c>
      <c r="I11041" t="s">
        <v>1090</v>
      </c>
      <c r="J11041">
        <v>9.3699999999999992</v>
      </c>
    </row>
    <row r="11042" spans="1:10" hidden="1">
      <c r="A11042" t="s">
        <v>6634</v>
      </c>
      <c r="B11042" t="s">
        <v>6635</v>
      </c>
      <c r="C11042" t="s">
        <v>5111</v>
      </c>
      <c r="D11042" t="s">
        <v>3850</v>
      </c>
      <c r="E11042" t="s">
        <v>560</v>
      </c>
      <c r="F11042" t="s">
        <v>1068</v>
      </c>
      <c r="G11042" t="s">
        <v>1069</v>
      </c>
      <c r="H11042">
        <v>-1.39713224382249</v>
      </c>
      <c r="I11042" t="s">
        <v>1070</v>
      </c>
      <c r="J11042">
        <v>8.6199999999999992</v>
      </c>
    </row>
    <row r="11043" spans="1:10" hidden="1">
      <c r="A11043" t="s">
        <v>6634</v>
      </c>
      <c r="B11043" t="s">
        <v>6635</v>
      </c>
      <c r="C11043" t="s">
        <v>5111</v>
      </c>
      <c r="D11043" t="s">
        <v>3850</v>
      </c>
      <c r="E11043" t="s">
        <v>560</v>
      </c>
      <c r="F11043" t="s">
        <v>1068</v>
      </c>
      <c r="G11043" t="s">
        <v>1071</v>
      </c>
      <c r="H11043" s="170">
        <v>-1.4799824262091799E-9</v>
      </c>
      <c r="I11043" t="s">
        <v>1072</v>
      </c>
      <c r="J11043">
        <v>8.6199999999999992</v>
      </c>
    </row>
    <row r="11044" spans="1:10" hidden="1">
      <c r="A11044" t="s">
        <v>6634</v>
      </c>
      <c r="B11044" t="s">
        <v>6635</v>
      </c>
      <c r="C11044" t="s">
        <v>5111</v>
      </c>
      <c r="D11044" t="s">
        <v>3850</v>
      </c>
      <c r="E11044" t="s">
        <v>560</v>
      </c>
      <c r="F11044" t="s">
        <v>1068</v>
      </c>
      <c r="G11044" t="s">
        <v>1073</v>
      </c>
      <c r="H11044" s="170">
        <v>-4.9295687742842602E-7</v>
      </c>
      <c r="I11044" t="s">
        <v>1074</v>
      </c>
      <c r="J11044">
        <v>8.6199999999999992</v>
      </c>
    </row>
    <row r="11045" spans="1:10" hidden="1">
      <c r="A11045" t="s">
        <v>6634</v>
      </c>
      <c r="B11045" t="s">
        <v>6635</v>
      </c>
      <c r="C11045" t="s">
        <v>5111</v>
      </c>
      <c r="D11045" t="s">
        <v>3850</v>
      </c>
      <c r="E11045" t="s">
        <v>560</v>
      </c>
      <c r="F11045" t="s">
        <v>1068</v>
      </c>
      <c r="G11045" t="s">
        <v>1075</v>
      </c>
      <c r="H11045">
        <v>-2.5098904031360201E-2</v>
      </c>
      <c r="I11045" t="s">
        <v>1077</v>
      </c>
      <c r="J11045">
        <v>8.6199999999999992</v>
      </c>
    </row>
    <row r="11046" spans="1:10" hidden="1">
      <c r="A11046" t="s">
        <v>6634</v>
      </c>
      <c r="B11046" t="s">
        <v>6635</v>
      </c>
      <c r="C11046" t="s">
        <v>5111</v>
      </c>
      <c r="D11046" t="s">
        <v>3850</v>
      </c>
      <c r="E11046" t="s">
        <v>560</v>
      </c>
      <c r="F11046" t="s">
        <v>1068</v>
      </c>
      <c r="G11046" t="s">
        <v>1078</v>
      </c>
      <c r="H11046" s="171" t="s">
        <v>6636</v>
      </c>
      <c r="I11046" t="s">
        <v>1079</v>
      </c>
      <c r="J11046">
        <v>8.6199999999999992</v>
      </c>
    </row>
    <row r="11047" spans="1:10" hidden="1">
      <c r="A11047" t="s">
        <v>6634</v>
      </c>
      <c r="B11047" t="s">
        <v>6635</v>
      </c>
      <c r="C11047" t="s">
        <v>5111</v>
      </c>
      <c r="D11047" t="s">
        <v>3850</v>
      </c>
      <c r="E11047" t="s">
        <v>560</v>
      </c>
      <c r="F11047" t="s">
        <v>1068</v>
      </c>
      <c r="G11047" t="s">
        <v>1080</v>
      </c>
      <c r="H11047" s="170">
        <v>-7.8397441828899499E-9</v>
      </c>
      <c r="I11047" t="s">
        <v>1082</v>
      </c>
      <c r="J11047">
        <v>8.6199999999999992</v>
      </c>
    </row>
    <row r="11048" spans="1:10" hidden="1">
      <c r="A11048" t="s">
        <v>6634</v>
      </c>
      <c r="B11048" t="s">
        <v>6635</v>
      </c>
      <c r="C11048" t="s">
        <v>5111</v>
      </c>
      <c r="D11048" t="s">
        <v>3850</v>
      </c>
      <c r="E11048" t="s">
        <v>560</v>
      </c>
      <c r="F11048" t="s">
        <v>1068</v>
      </c>
      <c r="G11048" t="s">
        <v>1083</v>
      </c>
      <c r="H11048">
        <v>-1.88895530637004E-4</v>
      </c>
      <c r="I11048" t="s">
        <v>1084</v>
      </c>
      <c r="J11048">
        <v>8.6199999999999992</v>
      </c>
    </row>
    <row r="11049" spans="1:10" hidden="1">
      <c r="A11049" t="s">
        <v>6634</v>
      </c>
      <c r="B11049" t="s">
        <v>6635</v>
      </c>
      <c r="C11049" t="s">
        <v>5111</v>
      </c>
      <c r="D11049" t="s">
        <v>3850</v>
      </c>
      <c r="E11049" t="s">
        <v>560</v>
      </c>
      <c r="F11049" t="s">
        <v>1068</v>
      </c>
      <c r="G11049" t="s">
        <v>1085</v>
      </c>
      <c r="H11049">
        <v>-1.73874849314983E-3</v>
      </c>
      <c r="I11049" t="s">
        <v>1086</v>
      </c>
      <c r="J11049">
        <v>8.6199999999999992</v>
      </c>
    </row>
    <row r="11050" spans="1:10" hidden="1">
      <c r="A11050" t="s">
        <v>6634</v>
      </c>
      <c r="B11050" t="s">
        <v>6635</v>
      </c>
      <c r="C11050" t="s">
        <v>5111</v>
      </c>
      <c r="D11050" t="s">
        <v>3850</v>
      </c>
      <c r="E11050" t="s">
        <v>560</v>
      </c>
      <c r="F11050" t="s">
        <v>1068</v>
      </c>
      <c r="G11050" t="s">
        <v>1087</v>
      </c>
      <c r="H11050" s="170">
        <v>-1.1915247044486901E-6</v>
      </c>
      <c r="I11050" t="s">
        <v>1088</v>
      </c>
      <c r="J11050">
        <v>8.6199999999999992</v>
      </c>
    </row>
    <row r="11051" spans="1:10" hidden="1">
      <c r="A11051" t="s">
        <v>6634</v>
      </c>
      <c r="B11051" t="s">
        <v>6635</v>
      </c>
      <c r="C11051" t="s">
        <v>5111</v>
      </c>
      <c r="D11051" t="s">
        <v>3850</v>
      </c>
      <c r="E11051" t="s">
        <v>560</v>
      </c>
      <c r="F11051" t="s">
        <v>1068</v>
      </c>
      <c r="G11051" t="s">
        <v>1089</v>
      </c>
      <c r="H11051">
        <v>-2.8502676327237398E-4</v>
      </c>
      <c r="I11051" t="s">
        <v>1090</v>
      </c>
      <c r="J11051">
        <v>8.6199999999999992</v>
      </c>
    </row>
    <row r="11052" spans="1:10" hidden="1">
      <c r="A11052" t="s">
        <v>6637</v>
      </c>
      <c r="B11052" t="s">
        <v>6638</v>
      </c>
      <c r="C11052" t="s">
        <v>5111</v>
      </c>
      <c r="D11052" t="s">
        <v>3850</v>
      </c>
      <c r="E11052" t="s">
        <v>1116</v>
      </c>
      <c r="F11052" t="s">
        <v>1068</v>
      </c>
      <c r="G11052" t="s">
        <v>1069</v>
      </c>
      <c r="H11052">
        <v>-1.30182624620404</v>
      </c>
      <c r="I11052" t="s">
        <v>1070</v>
      </c>
      <c r="J11052">
        <v>9.5299999999999994</v>
      </c>
    </row>
    <row r="11053" spans="1:10" hidden="1">
      <c r="A11053" t="s">
        <v>6637</v>
      </c>
      <c r="B11053" t="s">
        <v>6638</v>
      </c>
      <c r="C11053" t="s">
        <v>5111</v>
      </c>
      <c r="D11053" t="s">
        <v>3850</v>
      </c>
      <c r="E11053" t="s">
        <v>1116</v>
      </c>
      <c r="F11053" t="s">
        <v>1068</v>
      </c>
      <c r="G11053" t="s">
        <v>1071</v>
      </c>
      <c r="H11053" s="170">
        <v>-1.3435984593318599E-9</v>
      </c>
      <c r="I11053" t="s">
        <v>1072</v>
      </c>
      <c r="J11053">
        <v>9.5299999999999994</v>
      </c>
    </row>
    <row r="11054" spans="1:10" hidden="1">
      <c r="A11054" t="s">
        <v>6637</v>
      </c>
      <c r="B11054" t="s">
        <v>6638</v>
      </c>
      <c r="C11054" t="s">
        <v>5111</v>
      </c>
      <c r="D11054" t="s">
        <v>3850</v>
      </c>
      <c r="E11054" t="s">
        <v>1116</v>
      </c>
      <c r="F11054" t="s">
        <v>1068</v>
      </c>
      <c r="G11054" t="s">
        <v>1073</v>
      </c>
      <c r="H11054" s="170">
        <v>-4.59103885507818E-7</v>
      </c>
      <c r="I11054" t="s">
        <v>1074</v>
      </c>
      <c r="J11054">
        <v>9.5299999999999994</v>
      </c>
    </row>
    <row r="11055" spans="1:10" hidden="1">
      <c r="A11055" t="s">
        <v>6637</v>
      </c>
      <c r="B11055" t="s">
        <v>6638</v>
      </c>
      <c r="C11055" t="s">
        <v>5111</v>
      </c>
      <c r="D11055" t="s">
        <v>3850</v>
      </c>
      <c r="E11055" t="s">
        <v>1116</v>
      </c>
      <c r="F11055" t="s">
        <v>1068</v>
      </c>
      <c r="G11055" t="s">
        <v>1075</v>
      </c>
      <c r="H11055">
        <v>-2.2086179634153401E-2</v>
      </c>
      <c r="I11055" t="s">
        <v>1077</v>
      </c>
      <c r="J11055">
        <v>9.5299999999999994</v>
      </c>
    </row>
    <row r="11056" spans="1:10" hidden="1">
      <c r="A11056" t="s">
        <v>6637</v>
      </c>
      <c r="B11056" t="s">
        <v>6638</v>
      </c>
      <c r="C11056" t="s">
        <v>5111</v>
      </c>
      <c r="D11056" t="s">
        <v>3850</v>
      </c>
      <c r="E11056" t="s">
        <v>1116</v>
      </c>
      <c r="F11056" t="s">
        <v>1068</v>
      </c>
      <c r="G11056" t="s">
        <v>1078</v>
      </c>
      <c r="H11056" s="171" t="s">
        <v>6639</v>
      </c>
      <c r="I11056" t="s">
        <v>1079</v>
      </c>
      <c r="J11056">
        <v>9.5299999999999994</v>
      </c>
    </row>
    <row r="11057" spans="1:10" hidden="1">
      <c r="A11057" t="s">
        <v>6637</v>
      </c>
      <c r="B11057" t="s">
        <v>6638</v>
      </c>
      <c r="C11057" t="s">
        <v>5111</v>
      </c>
      <c r="D11057" t="s">
        <v>3850</v>
      </c>
      <c r="E11057" t="s">
        <v>1116</v>
      </c>
      <c r="F11057" t="s">
        <v>1068</v>
      </c>
      <c r="G11057" t="s">
        <v>1080</v>
      </c>
      <c r="H11057" s="170">
        <v>-7.3099723506717303E-9</v>
      </c>
      <c r="I11057" t="s">
        <v>1082</v>
      </c>
      <c r="J11057">
        <v>9.5299999999999994</v>
      </c>
    </row>
    <row r="11058" spans="1:10" hidden="1">
      <c r="A11058" t="s">
        <v>6637</v>
      </c>
      <c r="B11058" t="s">
        <v>6638</v>
      </c>
      <c r="C11058" t="s">
        <v>5111</v>
      </c>
      <c r="D11058" t="s">
        <v>3850</v>
      </c>
      <c r="E11058" t="s">
        <v>1116</v>
      </c>
      <c r="F11058" t="s">
        <v>1068</v>
      </c>
      <c r="G11058" t="s">
        <v>1083</v>
      </c>
      <c r="H11058">
        <v>-1.74408957292229E-4</v>
      </c>
      <c r="I11058" t="s">
        <v>1084</v>
      </c>
      <c r="J11058">
        <v>9.5299999999999994</v>
      </c>
    </row>
    <row r="11059" spans="1:10" hidden="1">
      <c r="A11059" t="s">
        <v>6637</v>
      </c>
      <c r="B11059" t="s">
        <v>6638</v>
      </c>
      <c r="C11059" t="s">
        <v>5111</v>
      </c>
      <c r="D11059" t="s">
        <v>3850</v>
      </c>
      <c r="E11059" t="s">
        <v>1116</v>
      </c>
      <c r="F11059" t="s">
        <v>1068</v>
      </c>
      <c r="G11059" t="s">
        <v>1085</v>
      </c>
      <c r="H11059">
        <v>-1.5750208127934999E-3</v>
      </c>
      <c r="I11059" t="s">
        <v>1086</v>
      </c>
      <c r="J11059">
        <v>9.5299999999999994</v>
      </c>
    </row>
    <row r="11060" spans="1:10" hidden="1">
      <c r="A11060" t="s">
        <v>6637</v>
      </c>
      <c r="B11060" t="s">
        <v>6638</v>
      </c>
      <c r="C11060" t="s">
        <v>5111</v>
      </c>
      <c r="D11060" t="s">
        <v>3850</v>
      </c>
      <c r="E11060" t="s">
        <v>1116</v>
      </c>
      <c r="F11060" t="s">
        <v>1068</v>
      </c>
      <c r="G11060" t="s">
        <v>1087</v>
      </c>
      <c r="H11060" s="170">
        <v>-1.1125089783256999E-6</v>
      </c>
      <c r="I11060" t="s">
        <v>1088</v>
      </c>
      <c r="J11060">
        <v>9.5299999999999994</v>
      </c>
    </row>
    <row r="11061" spans="1:10" hidden="1">
      <c r="A11061" t="s">
        <v>6637</v>
      </c>
      <c r="B11061" t="s">
        <v>6638</v>
      </c>
      <c r="C11061" t="s">
        <v>5111</v>
      </c>
      <c r="D11061" t="s">
        <v>3850</v>
      </c>
      <c r="E11061" t="s">
        <v>1116</v>
      </c>
      <c r="F11061" t="s">
        <v>1068</v>
      </c>
      <c r="G11061" t="s">
        <v>1089</v>
      </c>
      <c r="H11061">
        <v>-2.5125006613382E-4</v>
      </c>
      <c r="I11061" t="s">
        <v>1090</v>
      </c>
      <c r="J11061">
        <v>9.5299999999999994</v>
      </c>
    </row>
    <row r="11062" spans="1:10" hidden="1">
      <c r="A11062" t="s">
        <v>6640</v>
      </c>
      <c r="B11062" t="s">
        <v>6641</v>
      </c>
      <c r="C11062" t="s">
        <v>5111</v>
      </c>
      <c r="D11062" t="s">
        <v>3936</v>
      </c>
      <c r="E11062" t="s">
        <v>561</v>
      </c>
      <c r="F11062" t="s">
        <v>1068</v>
      </c>
      <c r="G11062" t="s">
        <v>1069</v>
      </c>
      <c r="H11062">
        <v>-1.95831346686129</v>
      </c>
      <c r="I11062" t="s">
        <v>1070</v>
      </c>
      <c r="J11062">
        <v>9.35</v>
      </c>
    </row>
    <row r="11063" spans="1:10" hidden="1">
      <c r="A11063" t="s">
        <v>6640</v>
      </c>
      <c r="B11063" t="s">
        <v>6641</v>
      </c>
      <c r="C11063" t="s">
        <v>5111</v>
      </c>
      <c r="D11063" t="s">
        <v>3936</v>
      </c>
      <c r="E11063" t="s">
        <v>561</v>
      </c>
      <c r="F11063" t="s">
        <v>1068</v>
      </c>
      <c r="G11063" t="s">
        <v>1071</v>
      </c>
      <c r="H11063" s="170">
        <v>-2.0691213424845798E-9</v>
      </c>
      <c r="I11063" t="s">
        <v>1072</v>
      </c>
      <c r="J11063">
        <v>9.35</v>
      </c>
    </row>
    <row r="11064" spans="1:10" hidden="1">
      <c r="A11064" t="s">
        <v>6640</v>
      </c>
      <c r="B11064" t="s">
        <v>6641</v>
      </c>
      <c r="C11064" t="s">
        <v>5111</v>
      </c>
      <c r="D11064" t="s">
        <v>3936</v>
      </c>
      <c r="E11064" t="s">
        <v>561</v>
      </c>
      <c r="F11064" t="s">
        <v>1068</v>
      </c>
      <c r="G11064" t="s">
        <v>1073</v>
      </c>
      <c r="H11064" s="170">
        <v>-6.9245671278134896E-7</v>
      </c>
      <c r="I11064" t="s">
        <v>1074</v>
      </c>
      <c r="J11064">
        <v>9.35</v>
      </c>
    </row>
    <row r="11065" spans="1:10" hidden="1">
      <c r="A11065" t="s">
        <v>6640</v>
      </c>
      <c r="B11065" t="s">
        <v>6641</v>
      </c>
      <c r="C11065" t="s">
        <v>5111</v>
      </c>
      <c r="D11065" t="s">
        <v>3936</v>
      </c>
      <c r="E11065" t="s">
        <v>561</v>
      </c>
      <c r="F11065" t="s">
        <v>1068</v>
      </c>
      <c r="G11065" t="s">
        <v>1075</v>
      </c>
      <c r="H11065">
        <v>-3.4310732653256903E-2</v>
      </c>
      <c r="I11065" t="s">
        <v>1077</v>
      </c>
      <c r="J11065">
        <v>9.35</v>
      </c>
    </row>
    <row r="11066" spans="1:10" hidden="1">
      <c r="A11066" t="s">
        <v>6640</v>
      </c>
      <c r="B11066" t="s">
        <v>6641</v>
      </c>
      <c r="C11066" t="s">
        <v>5111</v>
      </c>
      <c r="D11066" t="s">
        <v>3936</v>
      </c>
      <c r="E11066" t="s">
        <v>561</v>
      </c>
      <c r="F11066" t="s">
        <v>1068</v>
      </c>
      <c r="G11066" t="s">
        <v>1078</v>
      </c>
      <c r="H11066" s="171" t="s">
        <v>6642</v>
      </c>
      <c r="I11066" t="s">
        <v>1079</v>
      </c>
      <c r="J11066">
        <v>9.35</v>
      </c>
    </row>
    <row r="11067" spans="1:10" hidden="1">
      <c r="A11067" t="s">
        <v>6640</v>
      </c>
      <c r="B11067" t="s">
        <v>6641</v>
      </c>
      <c r="C11067" t="s">
        <v>5111</v>
      </c>
      <c r="D11067" t="s">
        <v>3936</v>
      </c>
      <c r="E11067" t="s">
        <v>561</v>
      </c>
      <c r="F11067" t="s">
        <v>1068</v>
      </c>
      <c r="G11067" t="s">
        <v>1080</v>
      </c>
      <c r="H11067" s="170">
        <v>-1.0957469589762E-8</v>
      </c>
      <c r="I11067" t="s">
        <v>1082</v>
      </c>
      <c r="J11067">
        <v>9.35</v>
      </c>
    </row>
    <row r="11068" spans="1:10" hidden="1">
      <c r="A11068" t="s">
        <v>6640</v>
      </c>
      <c r="B11068" t="s">
        <v>6641</v>
      </c>
      <c r="C11068" t="s">
        <v>5111</v>
      </c>
      <c r="D11068" t="s">
        <v>3936</v>
      </c>
      <c r="E11068" t="s">
        <v>561</v>
      </c>
      <c r="F11068" t="s">
        <v>1068</v>
      </c>
      <c r="G11068" t="s">
        <v>1083</v>
      </c>
      <c r="H11068">
        <v>-2.6189834021285099E-4</v>
      </c>
      <c r="I11068" t="s">
        <v>1084</v>
      </c>
      <c r="J11068">
        <v>9.35</v>
      </c>
    </row>
    <row r="11069" spans="1:10" hidden="1">
      <c r="A11069" t="s">
        <v>6640</v>
      </c>
      <c r="B11069" t="s">
        <v>6641</v>
      </c>
      <c r="C11069" t="s">
        <v>5111</v>
      </c>
      <c r="D11069" t="s">
        <v>3936</v>
      </c>
      <c r="E11069" t="s">
        <v>561</v>
      </c>
      <c r="F11069" t="s">
        <v>1068</v>
      </c>
      <c r="G11069" t="s">
        <v>1085</v>
      </c>
      <c r="H11069">
        <v>-2.4038180256451599E-3</v>
      </c>
      <c r="I11069" t="s">
        <v>1086</v>
      </c>
      <c r="J11069">
        <v>9.35</v>
      </c>
    </row>
    <row r="11070" spans="1:10" hidden="1">
      <c r="A11070" t="s">
        <v>6640</v>
      </c>
      <c r="B11070" t="s">
        <v>6641</v>
      </c>
      <c r="C11070" t="s">
        <v>5111</v>
      </c>
      <c r="D11070" t="s">
        <v>3936</v>
      </c>
      <c r="E11070" t="s">
        <v>561</v>
      </c>
      <c r="F11070" t="s">
        <v>1068</v>
      </c>
      <c r="G11070" t="s">
        <v>1087</v>
      </c>
      <c r="H11070" s="170">
        <v>-1.65462037360275E-6</v>
      </c>
      <c r="I11070" t="s">
        <v>1088</v>
      </c>
      <c r="J11070">
        <v>9.35</v>
      </c>
    </row>
    <row r="11071" spans="1:10" hidden="1">
      <c r="A11071" t="s">
        <v>6640</v>
      </c>
      <c r="B11071" t="s">
        <v>6641</v>
      </c>
      <c r="C11071" t="s">
        <v>5111</v>
      </c>
      <c r="D11071" t="s">
        <v>3936</v>
      </c>
      <c r="E11071" t="s">
        <v>561</v>
      </c>
      <c r="F11071" t="s">
        <v>1068</v>
      </c>
      <c r="G11071" t="s">
        <v>1089</v>
      </c>
      <c r="H11071">
        <v>-3.88853325447954E-4</v>
      </c>
      <c r="I11071" t="s">
        <v>1090</v>
      </c>
      <c r="J11071">
        <v>9.35</v>
      </c>
    </row>
    <row r="11072" spans="1:10" hidden="1">
      <c r="A11072" t="s">
        <v>6643</v>
      </c>
      <c r="B11072" t="s">
        <v>6644</v>
      </c>
      <c r="C11072" t="s">
        <v>5111</v>
      </c>
      <c r="D11072" t="s">
        <v>3936</v>
      </c>
      <c r="E11072" t="s">
        <v>555</v>
      </c>
      <c r="F11072" t="s">
        <v>1068</v>
      </c>
      <c r="G11072" t="s">
        <v>1069</v>
      </c>
      <c r="H11072">
        <v>-2.1938254653168299</v>
      </c>
      <c r="I11072" t="s">
        <v>1070</v>
      </c>
      <c r="J11072">
        <v>8.0500000000000007</v>
      </c>
    </row>
    <row r="11073" spans="1:10" hidden="1">
      <c r="A11073" t="s">
        <v>6643</v>
      </c>
      <c r="B11073" t="s">
        <v>6644</v>
      </c>
      <c r="C11073" t="s">
        <v>5111</v>
      </c>
      <c r="D11073" t="s">
        <v>3936</v>
      </c>
      <c r="E11073" t="s">
        <v>555</v>
      </c>
      <c r="F11073" t="s">
        <v>1068</v>
      </c>
      <c r="G11073" t="s">
        <v>1071</v>
      </c>
      <c r="H11073" s="170">
        <v>-2.40614168475869E-9</v>
      </c>
      <c r="I11073" t="s">
        <v>1072</v>
      </c>
      <c r="J11073">
        <v>8.0500000000000007</v>
      </c>
    </row>
    <row r="11074" spans="1:10" hidden="1">
      <c r="A11074" t="s">
        <v>6643</v>
      </c>
      <c r="B11074" t="s">
        <v>6644</v>
      </c>
      <c r="C11074" t="s">
        <v>5111</v>
      </c>
      <c r="D11074" t="s">
        <v>3936</v>
      </c>
      <c r="E11074" t="s">
        <v>555</v>
      </c>
      <c r="F11074" t="s">
        <v>1068</v>
      </c>
      <c r="G11074" t="s">
        <v>1073</v>
      </c>
      <c r="H11074" s="170">
        <v>-7.76111348392621E-7</v>
      </c>
      <c r="I11074" t="s">
        <v>1074</v>
      </c>
      <c r="J11074">
        <v>8.0500000000000007</v>
      </c>
    </row>
    <row r="11075" spans="1:10" hidden="1">
      <c r="A11075" t="s">
        <v>6643</v>
      </c>
      <c r="B11075" t="s">
        <v>6644</v>
      </c>
      <c r="C11075" t="s">
        <v>5111</v>
      </c>
      <c r="D11075" t="s">
        <v>3936</v>
      </c>
      <c r="E11075" t="s">
        <v>555</v>
      </c>
      <c r="F11075" t="s">
        <v>1068</v>
      </c>
      <c r="G11075" t="s">
        <v>1075</v>
      </c>
      <c r="H11075">
        <v>-4.1755521655015997E-2</v>
      </c>
      <c r="I11075" t="s">
        <v>1077</v>
      </c>
      <c r="J11075">
        <v>8.0500000000000007</v>
      </c>
    </row>
    <row r="11076" spans="1:10" hidden="1">
      <c r="A11076" t="s">
        <v>6643</v>
      </c>
      <c r="B11076" t="s">
        <v>6644</v>
      </c>
      <c r="C11076" t="s">
        <v>5111</v>
      </c>
      <c r="D11076" t="s">
        <v>3936</v>
      </c>
      <c r="E11076" t="s">
        <v>555</v>
      </c>
      <c r="F11076" t="s">
        <v>1068</v>
      </c>
      <c r="G11076" t="s">
        <v>1078</v>
      </c>
      <c r="H11076" s="171" t="s">
        <v>6645</v>
      </c>
      <c r="I11076" t="s">
        <v>1079</v>
      </c>
      <c r="J11076">
        <v>8.0500000000000007</v>
      </c>
    </row>
    <row r="11077" spans="1:10" hidden="1">
      <c r="A11077" t="s">
        <v>6643</v>
      </c>
      <c r="B11077" t="s">
        <v>6644</v>
      </c>
      <c r="C11077" t="s">
        <v>5111</v>
      </c>
      <c r="D11077" t="s">
        <v>3936</v>
      </c>
      <c r="E11077" t="s">
        <v>555</v>
      </c>
      <c r="F11077" t="s">
        <v>1068</v>
      </c>
      <c r="G11077" t="s">
        <v>1080</v>
      </c>
      <c r="H11077" s="170">
        <v>-1.22665968081838E-8</v>
      </c>
      <c r="I11077" t="s">
        <v>1082</v>
      </c>
      <c r="J11077">
        <v>8.0500000000000007</v>
      </c>
    </row>
    <row r="11078" spans="1:10" hidden="1">
      <c r="A11078" t="s">
        <v>6643</v>
      </c>
      <c r="B11078" t="s">
        <v>6644</v>
      </c>
      <c r="C11078" t="s">
        <v>5111</v>
      </c>
      <c r="D11078" t="s">
        <v>3936</v>
      </c>
      <c r="E11078" t="s">
        <v>555</v>
      </c>
      <c r="F11078" t="s">
        <v>1068</v>
      </c>
      <c r="G11078" t="s">
        <v>1083</v>
      </c>
      <c r="H11078">
        <v>-2.9769633156871797E-4</v>
      </c>
      <c r="I11078" t="s">
        <v>1084</v>
      </c>
      <c r="J11078">
        <v>8.0500000000000007</v>
      </c>
    </row>
    <row r="11079" spans="1:10" hidden="1">
      <c r="A11079" t="s">
        <v>6643</v>
      </c>
      <c r="B11079" t="s">
        <v>6644</v>
      </c>
      <c r="C11079" t="s">
        <v>5111</v>
      </c>
      <c r="D11079" t="s">
        <v>3936</v>
      </c>
      <c r="E11079" t="s">
        <v>555</v>
      </c>
      <c r="F11079" t="s">
        <v>1068</v>
      </c>
      <c r="G11079" t="s">
        <v>1085</v>
      </c>
      <c r="H11079">
        <v>-2.8084079825971102E-3</v>
      </c>
      <c r="I11079" t="s">
        <v>1086</v>
      </c>
      <c r="J11079">
        <v>8.0500000000000007</v>
      </c>
    </row>
    <row r="11080" spans="1:10" hidden="1">
      <c r="A11080" t="s">
        <v>6643</v>
      </c>
      <c r="B11080" t="s">
        <v>6644</v>
      </c>
      <c r="C11080" t="s">
        <v>5111</v>
      </c>
      <c r="D11080" t="s">
        <v>3936</v>
      </c>
      <c r="E11080" t="s">
        <v>555</v>
      </c>
      <c r="F11080" t="s">
        <v>1068</v>
      </c>
      <c r="G11080" t="s">
        <v>1087</v>
      </c>
      <c r="H11080" s="170">
        <v>-1.84987733420289E-6</v>
      </c>
      <c r="I11080" t="s">
        <v>1088</v>
      </c>
      <c r="J11080">
        <v>8.0500000000000007</v>
      </c>
    </row>
    <row r="11081" spans="1:10" hidden="1">
      <c r="A11081" t="s">
        <v>6643</v>
      </c>
      <c r="B11081" t="s">
        <v>6644</v>
      </c>
      <c r="C11081" t="s">
        <v>5111</v>
      </c>
      <c r="D11081" t="s">
        <v>3936</v>
      </c>
      <c r="E11081" t="s">
        <v>555</v>
      </c>
      <c r="F11081" t="s">
        <v>1068</v>
      </c>
      <c r="G11081" t="s">
        <v>1089</v>
      </c>
      <c r="H11081">
        <v>-4.7231943460336302E-4</v>
      </c>
      <c r="I11081" t="s">
        <v>1090</v>
      </c>
      <c r="J11081">
        <v>8.0500000000000007</v>
      </c>
    </row>
    <row r="11082" spans="1:10" hidden="1">
      <c r="A11082" t="s">
        <v>6646</v>
      </c>
      <c r="B11082" t="s">
        <v>6647</v>
      </c>
      <c r="C11082" t="s">
        <v>5111</v>
      </c>
      <c r="D11082" t="s">
        <v>3936</v>
      </c>
      <c r="E11082" t="s">
        <v>558</v>
      </c>
      <c r="F11082" t="s">
        <v>1068</v>
      </c>
      <c r="G11082" t="s">
        <v>1069</v>
      </c>
      <c r="H11082">
        <v>-1.9374608322522699</v>
      </c>
      <c r="I11082" t="s">
        <v>1070</v>
      </c>
      <c r="J11082">
        <v>8.33</v>
      </c>
    </row>
    <row r="11083" spans="1:10" hidden="1">
      <c r="A11083" t="s">
        <v>6646</v>
      </c>
      <c r="B11083" t="s">
        <v>6647</v>
      </c>
      <c r="C11083" t="s">
        <v>5111</v>
      </c>
      <c r="D11083" t="s">
        <v>3936</v>
      </c>
      <c r="E11083" t="s">
        <v>558</v>
      </c>
      <c r="F11083" t="s">
        <v>1068</v>
      </c>
      <c r="G11083" t="s">
        <v>1071</v>
      </c>
      <c r="H11083" s="170">
        <v>-2.03928098512107E-9</v>
      </c>
      <c r="I11083" t="s">
        <v>1072</v>
      </c>
      <c r="J11083">
        <v>8.33</v>
      </c>
    </row>
    <row r="11084" spans="1:10" hidden="1">
      <c r="A11084" t="s">
        <v>6646</v>
      </c>
      <c r="B11084" t="s">
        <v>6647</v>
      </c>
      <c r="C11084" t="s">
        <v>5111</v>
      </c>
      <c r="D11084" t="s">
        <v>3936</v>
      </c>
      <c r="E11084" t="s">
        <v>558</v>
      </c>
      <c r="F11084" t="s">
        <v>1068</v>
      </c>
      <c r="G11084" t="s">
        <v>1073</v>
      </c>
      <c r="H11084" s="170">
        <v>-6.8504979098647404E-7</v>
      </c>
      <c r="I11084" t="s">
        <v>1074</v>
      </c>
      <c r="J11084">
        <v>8.33</v>
      </c>
    </row>
    <row r="11085" spans="1:10" hidden="1">
      <c r="A11085" t="s">
        <v>6646</v>
      </c>
      <c r="B11085" t="s">
        <v>6647</v>
      </c>
      <c r="C11085" t="s">
        <v>5111</v>
      </c>
      <c r="D11085" t="s">
        <v>3936</v>
      </c>
      <c r="E11085" t="s">
        <v>558</v>
      </c>
      <c r="F11085" t="s">
        <v>1068</v>
      </c>
      <c r="G11085" t="s">
        <v>1075</v>
      </c>
      <c r="H11085">
        <v>-3.3651558597032998E-2</v>
      </c>
      <c r="I11085" t="s">
        <v>1077</v>
      </c>
      <c r="J11085">
        <v>8.33</v>
      </c>
    </row>
    <row r="11086" spans="1:10" hidden="1">
      <c r="A11086" t="s">
        <v>6646</v>
      </c>
      <c r="B11086" t="s">
        <v>6647</v>
      </c>
      <c r="C11086" t="s">
        <v>5111</v>
      </c>
      <c r="D11086" t="s">
        <v>3936</v>
      </c>
      <c r="E11086" t="s">
        <v>558</v>
      </c>
      <c r="F11086" t="s">
        <v>1068</v>
      </c>
      <c r="G11086" t="s">
        <v>1078</v>
      </c>
      <c r="H11086" s="171" t="s">
        <v>6648</v>
      </c>
      <c r="I11086" t="s">
        <v>1079</v>
      </c>
      <c r="J11086">
        <v>8.33</v>
      </c>
    </row>
    <row r="11087" spans="1:10" hidden="1">
      <c r="A11087" t="s">
        <v>6646</v>
      </c>
      <c r="B11087" t="s">
        <v>6647</v>
      </c>
      <c r="C11087" t="s">
        <v>5111</v>
      </c>
      <c r="D11087" t="s">
        <v>3936</v>
      </c>
      <c r="E11087" t="s">
        <v>558</v>
      </c>
      <c r="F11087" t="s">
        <v>1068</v>
      </c>
      <c r="G11087" t="s">
        <v>1080</v>
      </c>
      <c r="H11087" s="170">
        <v>-1.08415572786856E-8</v>
      </c>
      <c r="I11087" t="s">
        <v>1082</v>
      </c>
      <c r="J11087">
        <v>8.33</v>
      </c>
    </row>
    <row r="11088" spans="1:10" hidden="1">
      <c r="A11088" t="s">
        <v>6646</v>
      </c>
      <c r="B11088" t="s">
        <v>6647</v>
      </c>
      <c r="C11088" t="s">
        <v>5111</v>
      </c>
      <c r="D11088" t="s">
        <v>3936</v>
      </c>
      <c r="E11088" t="s">
        <v>558</v>
      </c>
      <c r="F11088" t="s">
        <v>1068</v>
      </c>
      <c r="G11088" t="s">
        <v>1083</v>
      </c>
      <c r="H11088">
        <v>-2.5872872625104499E-4</v>
      </c>
      <c r="I11088" t="s">
        <v>1084</v>
      </c>
      <c r="J11088">
        <v>8.33</v>
      </c>
    </row>
    <row r="11089" spans="1:10" hidden="1">
      <c r="A11089" t="s">
        <v>6646</v>
      </c>
      <c r="B11089" t="s">
        <v>6647</v>
      </c>
      <c r="C11089" t="s">
        <v>5111</v>
      </c>
      <c r="D11089" t="s">
        <v>3936</v>
      </c>
      <c r="E11089" t="s">
        <v>558</v>
      </c>
      <c r="F11089" t="s">
        <v>1068</v>
      </c>
      <c r="G11089" t="s">
        <v>1085</v>
      </c>
      <c r="H11089">
        <v>-2.3679949549133398E-3</v>
      </c>
      <c r="I11089" t="s">
        <v>1086</v>
      </c>
      <c r="J11089">
        <v>8.33</v>
      </c>
    </row>
    <row r="11090" spans="1:10" hidden="1">
      <c r="A11090" t="s">
        <v>6646</v>
      </c>
      <c r="B11090" t="s">
        <v>6647</v>
      </c>
      <c r="C11090" t="s">
        <v>5111</v>
      </c>
      <c r="D11090" t="s">
        <v>3936</v>
      </c>
      <c r="E11090" t="s">
        <v>558</v>
      </c>
      <c r="F11090" t="s">
        <v>1068</v>
      </c>
      <c r="G11090" t="s">
        <v>1087</v>
      </c>
      <c r="H11090" s="170">
        <v>-1.6373319960989E-6</v>
      </c>
      <c r="I11090" t="s">
        <v>1088</v>
      </c>
      <c r="J11090">
        <v>8.33</v>
      </c>
    </row>
    <row r="11091" spans="1:10" hidden="1">
      <c r="A11091" t="s">
        <v>6646</v>
      </c>
      <c r="B11091" t="s">
        <v>6647</v>
      </c>
      <c r="C11091" t="s">
        <v>5111</v>
      </c>
      <c r="D11091" t="s">
        <v>3936</v>
      </c>
      <c r="E11091" t="s">
        <v>558</v>
      </c>
      <c r="F11091" t="s">
        <v>1068</v>
      </c>
      <c r="G11091" t="s">
        <v>1089</v>
      </c>
      <c r="H11091">
        <v>-3.8146309669709002E-4</v>
      </c>
      <c r="I11091" t="s">
        <v>1090</v>
      </c>
      <c r="J11091">
        <v>8.33</v>
      </c>
    </row>
    <row r="11092" spans="1:10" hidden="1">
      <c r="A11092" t="s">
        <v>6649</v>
      </c>
      <c r="B11092" t="s">
        <v>6650</v>
      </c>
      <c r="C11092" t="s">
        <v>5111</v>
      </c>
      <c r="D11092" t="s">
        <v>3936</v>
      </c>
      <c r="E11092" t="s">
        <v>553</v>
      </c>
      <c r="F11092" t="s">
        <v>1068</v>
      </c>
      <c r="G11092" t="s">
        <v>1069</v>
      </c>
      <c r="H11092">
        <v>-1.9170380401218201</v>
      </c>
      <c r="I11092" t="s">
        <v>1070</v>
      </c>
      <c r="J11092">
        <v>9.2100000000000009</v>
      </c>
    </row>
    <row r="11093" spans="1:10" hidden="1">
      <c r="A11093" t="s">
        <v>6649</v>
      </c>
      <c r="B11093" t="s">
        <v>6650</v>
      </c>
      <c r="C11093" t="s">
        <v>5111</v>
      </c>
      <c r="D11093" t="s">
        <v>3936</v>
      </c>
      <c r="E11093" t="s">
        <v>553</v>
      </c>
      <c r="F11093" t="s">
        <v>1068</v>
      </c>
      <c r="G11093" t="s">
        <v>1071</v>
      </c>
      <c r="H11093" s="170">
        <v>-2.0100557303260401E-9</v>
      </c>
      <c r="I11093" t="s">
        <v>1072</v>
      </c>
      <c r="J11093">
        <v>9.2100000000000009</v>
      </c>
    </row>
    <row r="11094" spans="1:10" hidden="1">
      <c r="A11094" t="s">
        <v>6649</v>
      </c>
      <c r="B11094" t="s">
        <v>6650</v>
      </c>
      <c r="C11094" t="s">
        <v>5111</v>
      </c>
      <c r="D11094" t="s">
        <v>3936</v>
      </c>
      <c r="E11094" t="s">
        <v>553</v>
      </c>
      <c r="F11094" t="s">
        <v>1068</v>
      </c>
      <c r="G11094" t="s">
        <v>1073</v>
      </c>
      <c r="H11094" s="170">
        <v>-6.7779557915461501E-7</v>
      </c>
      <c r="I11094" t="s">
        <v>1074</v>
      </c>
      <c r="J11094">
        <v>9.2100000000000009</v>
      </c>
    </row>
    <row r="11095" spans="1:10" hidden="1">
      <c r="A11095" t="s">
        <v>6649</v>
      </c>
      <c r="B11095" t="s">
        <v>6650</v>
      </c>
      <c r="C11095" t="s">
        <v>5111</v>
      </c>
      <c r="D11095" t="s">
        <v>3936</v>
      </c>
      <c r="E11095" t="s">
        <v>553</v>
      </c>
      <c r="F11095" t="s">
        <v>1068</v>
      </c>
      <c r="G11095" t="s">
        <v>1075</v>
      </c>
      <c r="H11095">
        <v>-3.3005975461044799E-2</v>
      </c>
      <c r="I11095" t="s">
        <v>1077</v>
      </c>
      <c r="J11095">
        <v>9.2100000000000009</v>
      </c>
    </row>
    <row r="11096" spans="1:10" hidden="1">
      <c r="A11096" t="s">
        <v>6649</v>
      </c>
      <c r="B11096" t="s">
        <v>6650</v>
      </c>
      <c r="C11096" t="s">
        <v>5111</v>
      </c>
      <c r="D11096" t="s">
        <v>3936</v>
      </c>
      <c r="E11096" t="s">
        <v>553</v>
      </c>
      <c r="F11096" t="s">
        <v>1068</v>
      </c>
      <c r="G11096" t="s">
        <v>1078</v>
      </c>
      <c r="H11096" s="171" t="s">
        <v>6651</v>
      </c>
      <c r="I11096" t="s">
        <v>1079</v>
      </c>
      <c r="J11096">
        <v>9.2100000000000009</v>
      </c>
    </row>
    <row r="11097" spans="1:10" hidden="1">
      <c r="A11097" t="s">
        <v>6649</v>
      </c>
      <c r="B11097" t="s">
        <v>6650</v>
      </c>
      <c r="C11097" t="s">
        <v>5111</v>
      </c>
      <c r="D11097" t="s">
        <v>3936</v>
      </c>
      <c r="E11097" t="s">
        <v>553</v>
      </c>
      <c r="F11097" t="s">
        <v>1068</v>
      </c>
      <c r="G11097" t="s">
        <v>1080</v>
      </c>
      <c r="H11097" s="170">
        <v>-1.07280348598836E-8</v>
      </c>
      <c r="I11097" t="s">
        <v>1082</v>
      </c>
      <c r="J11097">
        <v>9.2100000000000009</v>
      </c>
    </row>
    <row r="11098" spans="1:10" hidden="1">
      <c r="A11098" t="s">
        <v>6649</v>
      </c>
      <c r="B11098" t="s">
        <v>6650</v>
      </c>
      <c r="C11098" t="s">
        <v>5111</v>
      </c>
      <c r="D11098" t="s">
        <v>3936</v>
      </c>
      <c r="E11098" t="s">
        <v>553</v>
      </c>
      <c r="F11098" t="s">
        <v>1068</v>
      </c>
      <c r="G11098" t="s">
        <v>1083</v>
      </c>
      <c r="H11098">
        <v>-2.5562446373043402E-4</v>
      </c>
      <c r="I11098" t="s">
        <v>1084</v>
      </c>
      <c r="J11098">
        <v>9.2100000000000009</v>
      </c>
    </row>
    <row r="11099" spans="1:10" hidden="1">
      <c r="A11099" t="s">
        <v>6649</v>
      </c>
      <c r="B11099" t="s">
        <v>6650</v>
      </c>
      <c r="C11099" t="s">
        <v>5111</v>
      </c>
      <c r="D11099" t="s">
        <v>3936</v>
      </c>
      <c r="E11099" t="s">
        <v>553</v>
      </c>
      <c r="F11099" t="s">
        <v>1068</v>
      </c>
      <c r="G11099" t="s">
        <v>1085</v>
      </c>
      <c r="H11099">
        <v>-2.3329104880909501E-3</v>
      </c>
      <c r="I11099" t="s">
        <v>1086</v>
      </c>
      <c r="J11099">
        <v>9.2100000000000009</v>
      </c>
    </row>
    <row r="11100" spans="1:10" hidden="1">
      <c r="A11100" t="s">
        <v>6649</v>
      </c>
      <c r="B11100" t="s">
        <v>6650</v>
      </c>
      <c r="C11100" t="s">
        <v>5111</v>
      </c>
      <c r="D11100" t="s">
        <v>3936</v>
      </c>
      <c r="E11100" t="s">
        <v>553</v>
      </c>
      <c r="F11100" t="s">
        <v>1068</v>
      </c>
      <c r="G11100" t="s">
        <v>1087</v>
      </c>
      <c r="H11100" s="170">
        <v>-1.62040007222557E-6</v>
      </c>
      <c r="I11100" t="s">
        <v>1088</v>
      </c>
      <c r="J11100">
        <v>9.2100000000000009</v>
      </c>
    </row>
    <row r="11101" spans="1:10" hidden="1">
      <c r="A11101" t="s">
        <v>6649</v>
      </c>
      <c r="B11101" t="s">
        <v>6650</v>
      </c>
      <c r="C11101" t="s">
        <v>5111</v>
      </c>
      <c r="D11101" t="s">
        <v>3936</v>
      </c>
      <c r="E11101" t="s">
        <v>553</v>
      </c>
      <c r="F11101" t="s">
        <v>1068</v>
      </c>
      <c r="G11101" t="s">
        <v>1089</v>
      </c>
      <c r="H11101">
        <v>-3.74225240468797E-4</v>
      </c>
      <c r="I11101" t="s">
        <v>1090</v>
      </c>
      <c r="J11101">
        <v>9.2100000000000009</v>
      </c>
    </row>
    <row r="11102" spans="1:10" hidden="1">
      <c r="A11102" t="s">
        <v>6652</v>
      </c>
      <c r="B11102" t="s">
        <v>6653</v>
      </c>
      <c r="C11102" t="s">
        <v>5111</v>
      </c>
      <c r="D11102" t="s">
        <v>3936</v>
      </c>
      <c r="E11102" t="s">
        <v>556</v>
      </c>
      <c r="F11102" t="s">
        <v>1068</v>
      </c>
      <c r="G11102" t="s">
        <v>1069</v>
      </c>
      <c r="H11102">
        <v>-2.1678095929874601</v>
      </c>
      <c r="I11102" t="s">
        <v>1070</v>
      </c>
      <c r="J11102">
        <v>9.01</v>
      </c>
    </row>
    <row r="11103" spans="1:10" hidden="1">
      <c r="A11103" t="s">
        <v>6652</v>
      </c>
      <c r="B11103" t="s">
        <v>6653</v>
      </c>
      <c r="C11103" t="s">
        <v>5111</v>
      </c>
      <c r="D11103" t="s">
        <v>3936</v>
      </c>
      <c r="E11103" t="s">
        <v>556</v>
      </c>
      <c r="F11103" t="s">
        <v>1068</v>
      </c>
      <c r="G11103" t="s">
        <v>1071</v>
      </c>
      <c r="H11103" s="170">
        <v>-2.3689126754757801E-9</v>
      </c>
      <c r="I11103" t="s">
        <v>1072</v>
      </c>
      <c r="J11103">
        <v>9.01</v>
      </c>
    </row>
    <row r="11104" spans="1:10" hidden="1">
      <c r="A11104" t="s">
        <v>6652</v>
      </c>
      <c r="B11104" t="s">
        <v>6653</v>
      </c>
      <c r="C11104" t="s">
        <v>5111</v>
      </c>
      <c r="D11104" t="s">
        <v>3936</v>
      </c>
      <c r="E11104" t="s">
        <v>556</v>
      </c>
      <c r="F11104" t="s">
        <v>1068</v>
      </c>
      <c r="G11104" t="s">
        <v>1073</v>
      </c>
      <c r="H11104" s="170">
        <v>-7.66870428221994E-7</v>
      </c>
      <c r="I11104" t="s">
        <v>1074</v>
      </c>
      <c r="J11104">
        <v>9.01</v>
      </c>
    </row>
    <row r="11105" spans="1:10" hidden="1">
      <c r="A11105" t="s">
        <v>6652</v>
      </c>
      <c r="B11105" t="s">
        <v>6653</v>
      </c>
      <c r="C11105" t="s">
        <v>5111</v>
      </c>
      <c r="D11105" t="s">
        <v>3936</v>
      </c>
      <c r="E11105" t="s">
        <v>556</v>
      </c>
      <c r="F11105" t="s">
        <v>1068</v>
      </c>
      <c r="G11105" t="s">
        <v>1075</v>
      </c>
      <c r="H11105">
        <v>-4.0933132138722197E-2</v>
      </c>
      <c r="I11105" t="s">
        <v>1077</v>
      </c>
      <c r="J11105">
        <v>9.01</v>
      </c>
    </row>
    <row r="11106" spans="1:10" hidden="1">
      <c r="A11106" t="s">
        <v>6652</v>
      </c>
      <c r="B11106" t="s">
        <v>6653</v>
      </c>
      <c r="C11106" t="s">
        <v>5111</v>
      </c>
      <c r="D11106" t="s">
        <v>3936</v>
      </c>
      <c r="E11106" t="s">
        <v>556</v>
      </c>
      <c r="F11106" t="s">
        <v>1068</v>
      </c>
      <c r="G11106" t="s">
        <v>1078</v>
      </c>
      <c r="H11106" s="171" t="s">
        <v>6654</v>
      </c>
      <c r="I11106" t="s">
        <v>1079</v>
      </c>
      <c r="J11106">
        <v>9.01</v>
      </c>
    </row>
    <row r="11107" spans="1:10" hidden="1">
      <c r="A11107" t="s">
        <v>6652</v>
      </c>
      <c r="B11107" t="s">
        <v>6653</v>
      </c>
      <c r="C11107" t="s">
        <v>5111</v>
      </c>
      <c r="D11107" t="s">
        <v>3936</v>
      </c>
      <c r="E11107" t="s">
        <v>556</v>
      </c>
      <c r="F11107" t="s">
        <v>1068</v>
      </c>
      <c r="G11107" t="s">
        <v>1080</v>
      </c>
      <c r="H11107" s="170">
        <v>-1.2121983911880401E-8</v>
      </c>
      <c r="I11107" t="s">
        <v>1082</v>
      </c>
      <c r="J11107">
        <v>9.01</v>
      </c>
    </row>
    <row r="11108" spans="1:10" hidden="1">
      <c r="A11108" t="s">
        <v>6652</v>
      </c>
      <c r="B11108" t="s">
        <v>6653</v>
      </c>
      <c r="C11108" t="s">
        <v>5111</v>
      </c>
      <c r="D11108" t="s">
        <v>3936</v>
      </c>
      <c r="E11108" t="s">
        <v>556</v>
      </c>
      <c r="F11108" t="s">
        <v>1068</v>
      </c>
      <c r="G11108" t="s">
        <v>1083</v>
      </c>
      <c r="H11108">
        <v>-2.9374190213043002E-4</v>
      </c>
      <c r="I11108" t="s">
        <v>1084</v>
      </c>
      <c r="J11108">
        <v>9.01</v>
      </c>
    </row>
    <row r="11109" spans="1:10" hidden="1">
      <c r="A11109" t="s">
        <v>6652</v>
      </c>
      <c r="B11109" t="s">
        <v>6653</v>
      </c>
      <c r="C11109" t="s">
        <v>5111</v>
      </c>
      <c r="D11109" t="s">
        <v>3936</v>
      </c>
      <c r="E11109" t="s">
        <v>556</v>
      </c>
      <c r="F11109" t="s">
        <v>1068</v>
      </c>
      <c r="G11109" t="s">
        <v>1085</v>
      </c>
      <c r="H11109">
        <v>-2.76371490414062E-3</v>
      </c>
      <c r="I11109" t="s">
        <v>1086</v>
      </c>
      <c r="J11109">
        <v>9.01</v>
      </c>
    </row>
    <row r="11110" spans="1:10" hidden="1">
      <c r="A11110" t="s">
        <v>6652</v>
      </c>
      <c r="B11110" t="s">
        <v>6653</v>
      </c>
      <c r="C11110" t="s">
        <v>5111</v>
      </c>
      <c r="D11110" t="s">
        <v>3936</v>
      </c>
      <c r="E11110" t="s">
        <v>556</v>
      </c>
      <c r="F11110" t="s">
        <v>1068</v>
      </c>
      <c r="G11110" t="s">
        <v>1087</v>
      </c>
      <c r="H11110" s="170">
        <v>-1.82830825047052E-6</v>
      </c>
      <c r="I11110" t="s">
        <v>1088</v>
      </c>
      <c r="J11110">
        <v>9.01</v>
      </c>
    </row>
    <row r="11111" spans="1:10" hidden="1">
      <c r="A11111" t="s">
        <v>6652</v>
      </c>
      <c r="B11111" t="s">
        <v>6653</v>
      </c>
      <c r="C11111" t="s">
        <v>5111</v>
      </c>
      <c r="D11111" t="s">
        <v>3936</v>
      </c>
      <c r="E11111" t="s">
        <v>556</v>
      </c>
      <c r="F11111" t="s">
        <v>1068</v>
      </c>
      <c r="G11111" t="s">
        <v>1089</v>
      </c>
      <c r="H11111">
        <v>-4.6309934077482401E-4</v>
      </c>
      <c r="I11111" t="s">
        <v>1090</v>
      </c>
      <c r="J11111">
        <v>9.01</v>
      </c>
    </row>
    <row r="11112" spans="1:10" hidden="1">
      <c r="A11112" t="s">
        <v>6655</v>
      </c>
      <c r="B11112" t="s">
        <v>6656</v>
      </c>
      <c r="C11112" t="s">
        <v>5111</v>
      </c>
      <c r="D11112" t="s">
        <v>3936</v>
      </c>
      <c r="E11112" t="s">
        <v>557</v>
      </c>
      <c r="F11112" t="s">
        <v>1068</v>
      </c>
      <c r="G11112" t="s">
        <v>1069</v>
      </c>
      <c r="H11112">
        <v>-2.0235912795503701</v>
      </c>
      <c r="I11112" t="s">
        <v>1070</v>
      </c>
      <c r="J11112">
        <v>8.8699999999999992</v>
      </c>
    </row>
    <row r="11113" spans="1:10" hidden="1">
      <c r="A11113" t="s">
        <v>6655</v>
      </c>
      <c r="B11113" t="s">
        <v>6656</v>
      </c>
      <c r="C11113" t="s">
        <v>5111</v>
      </c>
      <c r="D11113" t="s">
        <v>3936</v>
      </c>
      <c r="E11113" t="s">
        <v>557</v>
      </c>
      <c r="F11113" t="s">
        <v>1068</v>
      </c>
      <c r="G11113" t="s">
        <v>1071</v>
      </c>
      <c r="H11113" s="170">
        <v>-2.1625346351007999E-9</v>
      </c>
      <c r="I11113" t="s">
        <v>1072</v>
      </c>
      <c r="J11113">
        <v>8.8699999999999992</v>
      </c>
    </row>
    <row r="11114" spans="1:10" hidden="1">
      <c r="A11114" t="s">
        <v>6655</v>
      </c>
      <c r="B11114" t="s">
        <v>6656</v>
      </c>
      <c r="C11114" t="s">
        <v>5111</v>
      </c>
      <c r="D11114" t="s">
        <v>3936</v>
      </c>
      <c r="E11114" t="s">
        <v>557</v>
      </c>
      <c r="F11114" t="s">
        <v>1068</v>
      </c>
      <c r="G11114" t="s">
        <v>1073</v>
      </c>
      <c r="H11114" s="170">
        <v>-7.1564359840008802E-7</v>
      </c>
      <c r="I11114" t="s">
        <v>1074</v>
      </c>
      <c r="J11114">
        <v>8.8699999999999992</v>
      </c>
    </row>
    <row r="11115" spans="1:10" hidden="1">
      <c r="A11115" t="s">
        <v>6655</v>
      </c>
      <c r="B11115" t="s">
        <v>6656</v>
      </c>
      <c r="C11115" t="s">
        <v>5111</v>
      </c>
      <c r="D11115" t="s">
        <v>3936</v>
      </c>
      <c r="E11115" t="s">
        <v>557</v>
      </c>
      <c r="F11115" t="s">
        <v>1068</v>
      </c>
      <c r="G11115" t="s">
        <v>1075</v>
      </c>
      <c r="H11115">
        <v>-3.6374234046653499E-2</v>
      </c>
      <c r="I11115" t="s">
        <v>1077</v>
      </c>
      <c r="J11115">
        <v>8.8699999999999992</v>
      </c>
    </row>
    <row r="11116" spans="1:10" hidden="1">
      <c r="A11116" t="s">
        <v>6655</v>
      </c>
      <c r="B11116" t="s">
        <v>6656</v>
      </c>
      <c r="C11116" t="s">
        <v>5111</v>
      </c>
      <c r="D11116" t="s">
        <v>3936</v>
      </c>
      <c r="E11116" t="s">
        <v>557</v>
      </c>
      <c r="F11116" t="s">
        <v>1068</v>
      </c>
      <c r="G11116" t="s">
        <v>1078</v>
      </c>
      <c r="H11116" s="171" t="s">
        <v>6657</v>
      </c>
      <c r="I11116" t="s">
        <v>1079</v>
      </c>
      <c r="J11116">
        <v>8.8699999999999992</v>
      </c>
    </row>
    <row r="11117" spans="1:10" hidden="1">
      <c r="A11117" t="s">
        <v>6655</v>
      </c>
      <c r="B11117" t="s">
        <v>6656</v>
      </c>
      <c r="C11117" t="s">
        <v>5111</v>
      </c>
      <c r="D11117" t="s">
        <v>3936</v>
      </c>
      <c r="E11117" t="s">
        <v>557</v>
      </c>
      <c r="F11117" t="s">
        <v>1068</v>
      </c>
      <c r="G11117" t="s">
        <v>1080</v>
      </c>
      <c r="H11117" s="170">
        <v>-1.13203255200881E-8</v>
      </c>
      <c r="I11117" t="s">
        <v>1082</v>
      </c>
      <c r="J11117">
        <v>8.8699999999999992</v>
      </c>
    </row>
    <row r="11118" spans="1:10" hidden="1">
      <c r="A11118" t="s">
        <v>6655</v>
      </c>
      <c r="B11118" t="s">
        <v>6656</v>
      </c>
      <c r="C11118" t="s">
        <v>5111</v>
      </c>
      <c r="D11118" t="s">
        <v>3936</v>
      </c>
      <c r="E11118" t="s">
        <v>557</v>
      </c>
      <c r="F11118" t="s">
        <v>1068</v>
      </c>
      <c r="G11118" t="s">
        <v>1083</v>
      </c>
      <c r="H11118">
        <v>-2.7182061000632999E-4</v>
      </c>
      <c r="I11118" t="s">
        <v>1084</v>
      </c>
      <c r="J11118">
        <v>8.8699999999999992</v>
      </c>
    </row>
    <row r="11119" spans="1:10" hidden="1">
      <c r="A11119" t="s">
        <v>6655</v>
      </c>
      <c r="B11119" t="s">
        <v>6656</v>
      </c>
      <c r="C11119" t="s">
        <v>5111</v>
      </c>
      <c r="D11119" t="s">
        <v>3936</v>
      </c>
      <c r="E11119" t="s">
        <v>557</v>
      </c>
      <c r="F11119" t="s">
        <v>1068</v>
      </c>
      <c r="G11119" t="s">
        <v>1085</v>
      </c>
      <c r="H11119">
        <v>-2.5159598122838898E-3</v>
      </c>
      <c r="I11119" t="s">
        <v>1086</v>
      </c>
      <c r="J11119">
        <v>8.8699999999999992</v>
      </c>
    </row>
    <row r="11120" spans="1:10" hidden="1">
      <c r="A11120" t="s">
        <v>6655</v>
      </c>
      <c r="B11120" t="s">
        <v>6656</v>
      </c>
      <c r="C11120" t="s">
        <v>5111</v>
      </c>
      <c r="D11120" t="s">
        <v>3936</v>
      </c>
      <c r="E11120" t="s">
        <v>557</v>
      </c>
      <c r="F11120" t="s">
        <v>1068</v>
      </c>
      <c r="G11120" t="s">
        <v>1087</v>
      </c>
      <c r="H11120" s="170">
        <v>-1.7087405118756601E-6</v>
      </c>
      <c r="I11120" t="s">
        <v>1088</v>
      </c>
      <c r="J11120">
        <v>8.8699999999999992</v>
      </c>
    </row>
    <row r="11121" spans="1:10" hidden="1">
      <c r="A11121" t="s">
        <v>6655</v>
      </c>
      <c r="B11121" t="s">
        <v>6656</v>
      </c>
      <c r="C11121" t="s">
        <v>5111</v>
      </c>
      <c r="D11121" t="s">
        <v>3936</v>
      </c>
      <c r="E11121" t="s">
        <v>557</v>
      </c>
      <c r="F11121" t="s">
        <v>1068</v>
      </c>
      <c r="G11121" t="s">
        <v>1089</v>
      </c>
      <c r="H11121">
        <v>-4.1198795458109299E-4</v>
      </c>
      <c r="I11121" t="s">
        <v>1090</v>
      </c>
      <c r="J11121">
        <v>8.8699999999999992</v>
      </c>
    </row>
    <row r="11122" spans="1:10" hidden="1">
      <c r="A11122" t="s">
        <v>6658</v>
      </c>
      <c r="B11122" t="s">
        <v>6659</v>
      </c>
      <c r="C11122" t="s">
        <v>5111</v>
      </c>
      <c r="D11122" t="s">
        <v>3936</v>
      </c>
      <c r="E11122" t="s">
        <v>559</v>
      </c>
      <c r="F11122" t="s">
        <v>1068</v>
      </c>
      <c r="G11122" t="s">
        <v>1069</v>
      </c>
      <c r="H11122">
        <v>-2.0932697340662099</v>
      </c>
      <c r="I11122" t="s">
        <v>1070</v>
      </c>
      <c r="J11122">
        <v>9.73</v>
      </c>
    </row>
    <row r="11123" spans="1:10" hidden="1">
      <c r="A11123" t="s">
        <v>6658</v>
      </c>
      <c r="B11123" t="s">
        <v>6659</v>
      </c>
      <c r="C11123" t="s">
        <v>5111</v>
      </c>
      <c r="D11123" t="s">
        <v>3936</v>
      </c>
      <c r="E11123" t="s">
        <v>559</v>
      </c>
      <c r="F11123" t="s">
        <v>1068</v>
      </c>
      <c r="G11123" t="s">
        <v>1071</v>
      </c>
      <c r="H11123" s="170">
        <v>-2.2622452893280998E-9</v>
      </c>
      <c r="I11123" t="s">
        <v>1072</v>
      </c>
      <c r="J11123">
        <v>9.73</v>
      </c>
    </row>
    <row r="11124" spans="1:10" hidden="1">
      <c r="A11124" t="s">
        <v>6658</v>
      </c>
      <c r="B11124" t="s">
        <v>6659</v>
      </c>
      <c r="C11124" t="s">
        <v>5111</v>
      </c>
      <c r="D11124" t="s">
        <v>3936</v>
      </c>
      <c r="E11124" t="s">
        <v>559</v>
      </c>
      <c r="F11124" t="s">
        <v>1068</v>
      </c>
      <c r="G11124" t="s">
        <v>1073</v>
      </c>
      <c r="H11124" s="170">
        <v>-7.4039363447469296E-7</v>
      </c>
      <c r="I11124" t="s">
        <v>1074</v>
      </c>
      <c r="J11124">
        <v>9.73</v>
      </c>
    </row>
    <row r="11125" spans="1:10" hidden="1">
      <c r="A11125" t="s">
        <v>6658</v>
      </c>
      <c r="B11125" t="s">
        <v>6659</v>
      </c>
      <c r="C11125" t="s">
        <v>5111</v>
      </c>
      <c r="D11125" t="s">
        <v>3936</v>
      </c>
      <c r="E11125" t="s">
        <v>559</v>
      </c>
      <c r="F11125" t="s">
        <v>1068</v>
      </c>
      <c r="G11125" t="s">
        <v>1075</v>
      </c>
      <c r="H11125">
        <v>-3.8576847569565802E-2</v>
      </c>
      <c r="I11125" t="s">
        <v>1077</v>
      </c>
      <c r="J11125">
        <v>9.73</v>
      </c>
    </row>
    <row r="11126" spans="1:10" hidden="1">
      <c r="A11126" t="s">
        <v>6658</v>
      </c>
      <c r="B11126" t="s">
        <v>6659</v>
      </c>
      <c r="C11126" t="s">
        <v>5111</v>
      </c>
      <c r="D11126" t="s">
        <v>3936</v>
      </c>
      <c r="E11126" t="s">
        <v>559</v>
      </c>
      <c r="F11126" t="s">
        <v>1068</v>
      </c>
      <c r="G11126" t="s">
        <v>1078</v>
      </c>
      <c r="H11126" s="171" t="s">
        <v>6660</v>
      </c>
      <c r="I11126" t="s">
        <v>1079</v>
      </c>
      <c r="J11126">
        <v>9.73</v>
      </c>
    </row>
    <row r="11127" spans="1:10" hidden="1">
      <c r="A11127" t="s">
        <v>6658</v>
      </c>
      <c r="B11127" t="s">
        <v>6659</v>
      </c>
      <c r="C11127" t="s">
        <v>5111</v>
      </c>
      <c r="D11127" t="s">
        <v>3936</v>
      </c>
      <c r="E11127" t="s">
        <v>559</v>
      </c>
      <c r="F11127" t="s">
        <v>1068</v>
      </c>
      <c r="G11127" t="s">
        <v>1080</v>
      </c>
      <c r="H11127" s="170">
        <v>-1.1707643591011E-8</v>
      </c>
      <c r="I11127" t="s">
        <v>1082</v>
      </c>
      <c r="J11127">
        <v>9.73</v>
      </c>
    </row>
    <row r="11128" spans="1:10" hidden="1">
      <c r="A11128" t="s">
        <v>6658</v>
      </c>
      <c r="B11128" t="s">
        <v>6659</v>
      </c>
      <c r="C11128" t="s">
        <v>5111</v>
      </c>
      <c r="D11128" t="s">
        <v>3936</v>
      </c>
      <c r="E11128" t="s">
        <v>559</v>
      </c>
      <c r="F11128" t="s">
        <v>1068</v>
      </c>
      <c r="G11128" t="s">
        <v>1083</v>
      </c>
      <c r="H11128">
        <v>-2.82411795312862E-4</v>
      </c>
      <c r="I11128" t="s">
        <v>1084</v>
      </c>
      <c r="J11128">
        <v>9.73</v>
      </c>
    </row>
    <row r="11129" spans="1:10" hidden="1">
      <c r="A11129" t="s">
        <v>6658</v>
      </c>
      <c r="B11129" t="s">
        <v>6659</v>
      </c>
      <c r="C11129" t="s">
        <v>5111</v>
      </c>
      <c r="D11129" t="s">
        <v>3936</v>
      </c>
      <c r="E11129" t="s">
        <v>559</v>
      </c>
      <c r="F11129" t="s">
        <v>1068</v>
      </c>
      <c r="G11129" t="s">
        <v>1085</v>
      </c>
      <c r="H11129">
        <v>-2.6356617018214699E-3</v>
      </c>
      <c r="I11129" t="s">
        <v>1086</v>
      </c>
      <c r="J11129">
        <v>9.73</v>
      </c>
    </row>
    <row r="11130" spans="1:10" hidden="1">
      <c r="A11130" t="s">
        <v>6658</v>
      </c>
      <c r="B11130" t="s">
        <v>6659</v>
      </c>
      <c r="C11130" t="s">
        <v>5111</v>
      </c>
      <c r="D11130" t="s">
        <v>3936</v>
      </c>
      <c r="E11130" t="s">
        <v>559</v>
      </c>
      <c r="F11130" t="s">
        <v>1068</v>
      </c>
      <c r="G11130" t="s">
        <v>1087</v>
      </c>
      <c r="H11130" s="170">
        <v>-1.76650919033847E-6</v>
      </c>
      <c r="I11130" t="s">
        <v>1088</v>
      </c>
      <c r="J11130">
        <v>9.73</v>
      </c>
    </row>
    <row r="11131" spans="1:10" hidden="1">
      <c r="A11131" t="s">
        <v>6658</v>
      </c>
      <c r="B11131" t="s">
        <v>6659</v>
      </c>
      <c r="C11131" t="s">
        <v>5111</v>
      </c>
      <c r="D11131" t="s">
        <v>3936</v>
      </c>
      <c r="E11131" t="s">
        <v>559</v>
      </c>
      <c r="F11131" t="s">
        <v>1068</v>
      </c>
      <c r="G11131" t="s">
        <v>1089</v>
      </c>
      <c r="H11131">
        <v>-4.3668221800765899E-4</v>
      </c>
      <c r="I11131" t="s">
        <v>1090</v>
      </c>
      <c r="J11131">
        <v>9.73</v>
      </c>
    </row>
    <row r="11132" spans="1:10" hidden="1">
      <c r="A11132" t="s">
        <v>6661</v>
      </c>
      <c r="B11132" t="s">
        <v>6662</v>
      </c>
      <c r="C11132" t="s">
        <v>5111</v>
      </c>
      <c r="D11132" t="s">
        <v>3936</v>
      </c>
      <c r="E11132" t="s">
        <v>560</v>
      </c>
      <c r="F11132" t="s">
        <v>1068</v>
      </c>
      <c r="G11132" t="s">
        <v>1069</v>
      </c>
      <c r="H11132">
        <v>-2.06952751810935</v>
      </c>
      <c r="I11132" t="s">
        <v>1070</v>
      </c>
      <c r="J11132">
        <v>8.58</v>
      </c>
    </row>
    <row r="11133" spans="1:10" hidden="1">
      <c r="A11133" t="s">
        <v>6661</v>
      </c>
      <c r="B11133" t="s">
        <v>6662</v>
      </c>
      <c r="C11133" t="s">
        <v>5111</v>
      </c>
      <c r="D11133" t="s">
        <v>3936</v>
      </c>
      <c r="E11133" t="s">
        <v>560</v>
      </c>
      <c r="F11133" t="s">
        <v>1068</v>
      </c>
      <c r="G11133" t="s">
        <v>1071</v>
      </c>
      <c r="H11133" s="170">
        <v>-2.2282699150899902E-9</v>
      </c>
      <c r="I11133" t="s">
        <v>1072</v>
      </c>
      <c r="J11133">
        <v>8.58</v>
      </c>
    </row>
    <row r="11134" spans="1:10" hidden="1">
      <c r="A11134" t="s">
        <v>6661</v>
      </c>
      <c r="B11134" t="s">
        <v>6662</v>
      </c>
      <c r="C11134" t="s">
        <v>5111</v>
      </c>
      <c r="D11134" t="s">
        <v>3936</v>
      </c>
      <c r="E11134" t="s">
        <v>560</v>
      </c>
      <c r="F11134" t="s">
        <v>1068</v>
      </c>
      <c r="G11134" t="s">
        <v>1073</v>
      </c>
      <c r="H11134" s="170">
        <v>-7.3196029568734702E-7</v>
      </c>
      <c r="I11134" t="s">
        <v>1074</v>
      </c>
      <c r="J11134">
        <v>8.58</v>
      </c>
    </row>
    <row r="11135" spans="1:10" hidden="1">
      <c r="A11135" t="s">
        <v>6661</v>
      </c>
      <c r="B11135" t="s">
        <v>6662</v>
      </c>
      <c r="C11135" t="s">
        <v>5111</v>
      </c>
      <c r="D11135" t="s">
        <v>3936</v>
      </c>
      <c r="E11135" t="s">
        <v>560</v>
      </c>
      <c r="F11135" t="s">
        <v>1068</v>
      </c>
      <c r="G11135" t="s">
        <v>1075</v>
      </c>
      <c r="H11135">
        <v>-3.7826327619784397E-2</v>
      </c>
      <c r="I11135" t="s">
        <v>1077</v>
      </c>
      <c r="J11135">
        <v>8.58</v>
      </c>
    </row>
    <row r="11136" spans="1:10" hidden="1">
      <c r="A11136" t="s">
        <v>6661</v>
      </c>
      <c r="B11136" t="s">
        <v>6662</v>
      </c>
      <c r="C11136" t="s">
        <v>5111</v>
      </c>
      <c r="D11136" t="s">
        <v>3936</v>
      </c>
      <c r="E11136" t="s">
        <v>560</v>
      </c>
      <c r="F11136" t="s">
        <v>1068</v>
      </c>
      <c r="G11136" t="s">
        <v>1078</v>
      </c>
      <c r="H11136" s="171" t="s">
        <v>6663</v>
      </c>
      <c r="I11136" t="s">
        <v>1079</v>
      </c>
      <c r="J11136">
        <v>8.58</v>
      </c>
    </row>
    <row r="11137" spans="1:10" hidden="1">
      <c r="A11137" t="s">
        <v>6661</v>
      </c>
      <c r="B11137" t="s">
        <v>6662</v>
      </c>
      <c r="C11137" t="s">
        <v>5111</v>
      </c>
      <c r="D11137" t="s">
        <v>3936</v>
      </c>
      <c r="E11137" t="s">
        <v>560</v>
      </c>
      <c r="F11137" t="s">
        <v>1068</v>
      </c>
      <c r="G11137" t="s">
        <v>1080</v>
      </c>
      <c r="H11137" s="170">
        <v>-1.15756685821694E-8</v>
      </c>
      <c r="I11137" t="s">
        <v>1082</v>
      </c>
      <c r="J11137">
        <v>8.58</v>
      </c>
    </row>
    <row r="11138" spans="1:10" hidden="1">
      <c r="A11138" t="s">
        <v>6661</v>
      </c>
      <c r="B11138" t="s">
        <v>6662</v>
      </c>
      <c r="C11138" t="s">
        <v>5111</v>
      </c>
      <c r="D11138" t="s">
        <v>3936</v>
      </c>
      <c r="E11138" t="s">
        <v>560</v>
      </c>
      <c r="F11138" t="s">
        <v>1068</v>
      </c>
      <c r="G11138" t="s">
        <v>1083</v>
      </c>
      <c r="H11138">
        <v>-2.7880294800914902E-4</v>
      </c>
      <c r="I11138" t="s">
        <v>1084</v>
      </c>
      <c r="J11138">
        <v>8.58</v>
      </c>
    </row>
    <row r="11139" spans="1:10" hidden="1">
      <c r="A11139" t="s">
        <v>6661</v>
      </c>
      <c r="B11139" t="s">
        <v>6662</v>
      </c>
      <c r="C11139" t="s">
        <v>5111</v>
      </c>
      <c r="D11139" t="s">
        <v>3936</v>
      </c>
      <c r="E11139" t="s">
        <v>560</v>
      </c>
      <c r="F11139" t="s">
        <v>1068</v>
      </c>
      <c r="G11139" t="s">
        <v>1085</v>
      </c>
      <c r="H11139">
        <v>-2.5948744028815099E-3</v>
      </c>
      <c r="I11139" t="s">
        <v>1086</v>
      </c>
      <c r="J11139">
        <v>8.58</v>
      </c>
    </row>
    <row r="11140" spans="1:10" hidden="1">
      <c r="A11140" t="s">
        <v>6661</v>
      </c>
      <c r="B11140" t="s">
        <v>6662</v>
      </c>
      <c r="C11140" t="s">
        <v>5111</v>
      </c>
      <c r="D11140" t="s">
        <v>3936</v>
      </c>
      <c r="E11140" t="s">
        <v>560</v>
      </c>
      <c r="F11140" t="s">
        <v>1068</v>
      </c>
      <c r="G11140" t="s">
        <v>1087</v>
      </c>
      <c r="H11140" s="170">
        <v>-1.74682505362327E-6</v>
      </c>
      <c r="I11140" t="s">
        <v>1088</v>
      </c>
      <c r="J11140">
        <v>8.58</v>
      </c>
    </row>
    <row r="11141" spans="1:10" hidden="1">
      <c r="A11141" t="s">
        <v>6661</v>
      </c>
      <c r="B11141" t="s">
        <v>6662</v>
      </c>
      <c r="C11141" t="s">
        <v>5111</v>
      </c>
      <c r="D11141" t="s">
        <v>3936</v>
      </c>
      <c r="E11141" t="s">
        <v>560</v>
      </c>
      <c r="F11141" t="s">
        <v>1068</v>
      </c>
      <c r="G11141" t="s">
        <v>1089</v>
      </c>
      <c r="H11141">
        <v>-4.2826787878589401E-4</v>
      </c>
      <c r="I11141" t="s">
        <v>1090</v>
      </c>
      <c r="J11141">
        <v>8.58</v>
      </c>
    </row>
    <row r="11142" spans="1:10" hidden="1">
      <c r="A11142" t="s">
        <v>6664</v>
      </c>
      <c r="B11142" t="s">
        <v>6665</v>
      </c>
      <c r="C11142" t="s">
        <v>5111</v>
      </c>
      <c r="D11142" t="s">
        <v>3936</v>
      </c>
      <c r="E11142" t="s">
        <v>1116</v>
      </c>
      <c r="F11142" t="s">
        <v>1068</v>
      </c>
      <c r="G11142" t="s">
        <v>1069</v>
      </c>
      <c r="H11142">
        <v>-1.9301064144960101</v>
      </c>
      <c r="I11142" t="s">
        <v>1070</v>
      </c>
      <c r="J11142">
        <v>9.0500000000000007</v>
      </c>
    </row>
    <row r="11143" spans="1:10" hidden="1">
      <c r="A11143" t="s">
        <v>6664</v>
      </c>
      <c r="B11143" t="s">
        <v>6665</v>
      </c>
      <c r="C11143" t="s">
        <v>5111</v>
      </c>
      <c r="D11143" t="s">
        <v>3936</v>
      </c>
      <c r="E11143" t="s">
        <v>1116</v>
      </c>
      <c r="F11143" t="s">
        <v>1068</v>
      </c>
      <c r="G11143" t="s">
        <v>1071</v>
      </c>
      <c r="H11143" s="170">
        <v>-2.0287567296415E-9</v>
      </c>
      <c r="I11143" t="s">
        <v>1072</v>
      </c>
      <c r="J11143">
        <v>9.0500000000000007</v>
      </c>
    </row>
    <row r="11144" spans="1:10" hidden="1">
      <c r="A11144" t="s">
        <v>6664</v>
      </c>
      <c r="B11144" t="s">
        <v>6665</v>
      </c>
      <c r="C11144" t="s">
        <v>5111</v>
      </c>
      <c r="D11144" t="s">
        <v>3936</v>
      </c>
      <c r="E11144" t="s">
        <v>1116</v>
      </c>
      <c r="F11144" t="s">
        <v>1068</v>
      </c>
      <c r="G11144" t="s">
        <v>1073</v>
      </c>
      <c r="H11144" s="170">
        <v>-6.8243747852865605E-7</v>
      </c>
      <c r="I11144" t="s">
        <v>1074</v>
      </c>
      <c r="J11144">
        <v>9.0500000000000007</v>
      </c>
    </row>
    <row r="11145" spans="1:10" hidden="1">
      <c r="A11145" t="s">
        <v>6664</v>
      </c>
      <c r="B11145" t="s">
        <v>6665</v>
      </c>
      <c r="C11145" t="s">
        <v>5111</v>
      </c>
      <c r="D11145" t="s">
        <v>3936</v>
      </c>
      <c r="E11145" t="s">
        <v>1116</v>
      </c>
      <c r="F11145" t="s">
        <v>1068</v>
      </c>
      <c r="G11145" t="s">
        <v>1075</v>
      </c>
      <c r="H11145">
        <v>-3.3419077595257599E-2</v>
      </c>
      <c r="I11145" t="s">
        <v>1077</v>
      </c>
      <c r="J11145">
        <v>9.0500000000000007</v>
      </c>
    </row>
    <row r="11146" spans="1:10" hidden="1">
      <c r="A11146" t="s">
        <v>6664</v>
      </c>
      <c r="B11146" t="s">
        <v>6665</v>
      </c>
      <c r="C11146" t="s">
        <v>5111</v>
      </c>
      <c r="D11146" t="s">
        <v>3936</v>
      </c>
      <c r="E11146" t="s">
        <v>1116</v>
      </c>
      <c r="F11146" t="s">
        <v>1068</v>
      </c>
      <c r="G11146" t="s">
        <v>1078</v>
      </c>
      <c r="H11146" s="171" t="s">
        <v>6666</v>
      </c>
      <c r="I11146" t="s">
        <v>1079</v>
      </c>
      <c r="J11146">
        <v>9.0500000000000007</v>
      </c>
    </row>
    <row r="11147" spans="1:10" hidden="1">
      <c r="A11147" t="s">
        <v>6664</v>
      </c>
      <c r="B11147" t="s">
        <v>6665</v>
      </c>
      <c r="C11147" t="s">
        <v>5111</v>
      </c>
      <c r="D11147" t="s">
        <v>3936</v>
      </c>
      <c r="E11147" t="s">
        <v>1116</v>
      </c>
      <c r="F11147" t="s">
        <v>1068</v>
      </c>
      <c r="G11147" t="s">
        <v>1080</v>
      </c>
      <c r="H11147" s="170">
        <v>-1.08006767101276E-8</v>
      </c>
      <c r="I11147" t="s">
        <v>1082</v>
      </c>
      <c r="J11147">
        <v>9.0500000000000007</v>
      </c>
    </row>
    <row r="11148" spans="1:10" hidden="1">
      <c r="A11148" t="s">
        <v>6664</v>
      </c>
      <c r="B11148" t="s">
        <v>6665</v>
      </c>
      <c r="C11148" t="s">
        <v>5111</v>
      </c>
      <c r="D11148" t="s">
        <v>3936</v>
      </c>
      <c r="E11148" t="s">
        <v>1116</v>
      </c>
      <c r="F11148" t="s">
        <v>1068</v>
      </c>
      <c r="G11148" t="s">
        <v>1083</v>
      </c>
      <c r="H11148">
        <v>-2.5761084999040501E-4</v>
      </c>
      <c r="I11148" t="s">
        <v>1084</v>
      </c>
      <c r="J11148">
        <v>9.0500000000000007</v>
      </c>
    </row>
    <row r="11149" spans="1:10" hidden="1">
      <c r="A11149" t="s">
        <v>6664</v>
      </c>
      <c r="B11149" t="s">
        <v>6665</v>
      </c>
      <c r="C11149" t="s">
        <v>5111</v>
      </c>
      <c r="D11149" t="s">
        <v>3936</v>
      </c>
      <c r="E11149" t="s">
        <v>1116</v>
      </c>
      <c r="F11149" t="s">
        <v>1068</v>
      </c>
      <c r="G11149" t="s">
        <v>1085</v>
      </c>
      <c r="H11149">
        <v>-2.3553606843564698E-3</v>
      </c>
      <c r="I11149" t="s">
        <v>1086</v>
      </c>
      <c r="J11149">
        <v>9.0500000000000007</v>
      </c>
    </row>
    <row r="11150" spans="1:10" hidden="1">
      <c r="A11150" t="s">
        <v>6664</v>
      </c>
      <c r="B11150" t="s">
        <v>6665</v>
      </c>
      <c r="C11150" t="s">
        <v>5111</v>
      </c>
      <c r="D11150" t="s">
        <v>3936</v>
      </c>
      <c r="E11150" t="s">
        <v>1116</v>
      </c>
      <c r="F11150" t="s">
        <v>1068</v>
      </c>
      <c r="G11150" t="s">
        <v>1087</v>
      </c>
      <c r="H11150" s="170">
        <v>-1.63123463943988E-6</v>
      </c>
      <c r="I11150" t="s">
        <v>1088</v>
      </c>
      <c r="J11150">
        <v>9.0500000000000007</v>
      </c>
    </row>
    <row r="11151" spans="1:10" hidden="1">
      <c r="A11151" t="s">
        <v>6664</v>
      </c>
      <c r="B11151" t="s">
        <v>6665</v>
      </c>
      <c r="C11151" t="s">
        <v>5111</v>
      </c>
      <c r="D11151" t="s">
        <v>3936</v>
      </c>
      <c r="E11151" t="s">
        <v>1116</v>
      </c>
      <c r="F11151" t="s">
        <v>1068</v>
      </c>
      <c r="G11151" t="s">
        <v>1089</v>
      </c>
      <c r="H11151">
        <v>-3.78856671630557E-4</v>
      </c>
      <c r="I11151" t="s">
        <v>1090</v>
      </c>
      <c r="J11151">
        <v>9.0500000000000007</v>
      </c>
    </row>
    <row r="11152" spans="1:10" hidden="1">
      <c r="A11152" t="s">
        <v>6667</v>
      </c>
      <c r="B11152" t="s">
        <v>6668</v>
      </c>
      <c r="C11152" t="s">
        <v>5111</v>
      </c>
      <c r="D11152" t="s">
        <v>4022</v>
      </c>
      <c r="E11152" t="s">
        <v>561</v>
      </c>
      <c r="F11152" t="s">
        <v>1068</v>
      </c>
      <c r="G11152" t="s">
        <v>1069</v>
      </c>
      <c r="H11152">
        <v>-1.70541785799568</v>
      </c>
      <c r="I11152" t="s">
        <v>1070</v>
      </c>
      <c r="J11152">
        <v>7.77</v>
      </c>
    </row>
    <row r="11153" spans="1:10" hidden="1">
      <c r="A11153" t="s">
        <v>6667</v>
      </c>
      <c r="B11153" t="s">
        <v>6668</v>
      </c>
      <c r="C11153" t="s">
        <v>5111</v>
      </c>
      <c r="D11153" t="s">
        <v>4022</v>
      </c>
      <c r="E11153" t="s">
        <v>561</v>
      </c>
      <c r="F11153" t="s">
        <v>1068</v>
      </c>
      <c r="G11153" t="s">
        <v>1071</v>
      </c>
      <c r="H11153" s="170">
        <v>-1.7859172036533401E-9</v>
      </c>
      <c r="I11153" t="s">
        <v>1072</v>
      </c>
      <c r="J11153">
        <v>7.77</v>
      </c>
    </row>
    <row r="11154" spans="1:10" hidden="1">
      <c r="A11154" t="s">
        <v>6667</v>
      </c>
      <c r="B11154" t="s">
        <v>6668</v>
      </c>
      <c r="C11154" t="s">
        <v>5111</v>
      </c>
      <c r="D11154" t="s">
        <v>4022</v>
      </c>
      <c r="E11154" t="s">
        <v>561</v>
      </c>
      <c r="F11154" t="s">
        <v>1068</v>
      </c>
      <c r="G11154" t="s">
        <v>1073</v>
      </c>
      <c r="H11154" s="170">
        <v>-6.0257027090753598E-7</v>
      </c>
      <c r="I11154" t="s">
        <v>1074</v>
      </c>
      <c r="J11154">
        <v>7.77</v>
      </c>
    </row>
    <row r="11155" spans="1:10" hidden="1">
      <c r="A11155" t="s">
        <v>6667</v>
      </c>
      <c r="B11155" t="s">
        <v>6668</v>
      </c>
      <c r="C11155" t="s">
        <v>5111</v>
      </c>
      <c r="D11155" t="s">
        <v>4022</v>
      </c>
      <c r="E11155" t="s">
        <v>561</v>
      </c>
      <c r="F11155" t="s">
        <v>1068</v>
      </c>
      <c r="G11155" t="s">
        <v>1075</v>
      </c>
      <c r="H11155">
        <v>-2.9483169963839099E-2</v>
      </c>
      <c r="I11155" t="s">
        <v>1077</v>
      </c>
      <c r="J11155">
        <v>7.77</v>
      </c>
    </row>
    <row r="11156" spans="1:10" hidden="1">
      <c r="A11156" t="s">
        <v>6667</v>
      </c>
      <c r="B11156" t="s">
        <v>6668</v>
      </c>
      <c r="C11156" t="s">
        <v>5111</v>
      </c>
      <c r="D11156" t="s">
        <v>4022</v>
      </c>
      <c r="E11156" t="s">
        <v>561</v>
      </c>
      <c r="F11156" t="s">
        <v>1068</v>
      </c>
      <c r="G11156" t="s">
        <v>1078</v>
      </c>
      <c r="H11156" s="171" t="s">
        <v>6669</v>
      </c>
      <c r="I11156" t="s">
        <v>1079</v>
      </c>
      <c r="J11156">
        <v>7.77</v>
      </c>
    </row>
    <row r="11157" spans="1:10" hidden="1">
      <c r="A11157" t="s">
        <v>6667</v>
      </c>
      <c r="B11157" t="s">
        <v>6668</v>
      </c>
      <c r="C11157" t="s">
        <v>5111</v>
      </c>
      <c r="D11157" t="s">
        <v>4022</v>
      </c>
      <c r="E11157" t="s">
        <v>561</v>
      </c>
      <c r="F11157" t="s">
        <v>1068</v>
      </c>
      <c r="G11157" t="s">
        <v>1080</v>
      </c>
      <c r="H11157" s="170">
        <v>-9.5514583568552596E-9</v>
      </c>
      <c r="I11157" t="s">
        <v>1082</v>
      </c>
      <c r="J11157">
        <v>7.77</v>
      </c>
    </row>
    <row r="11158" spans="1:10" hidden="1">
      <c r="A11158" t="s">
        <v>6667</v>
      </c>
      <c r="B11158" t="s">
        <v>6668</v>
      </c>
      <c r="C11158" t="s">
        <v>5111</v>
      </c>
      <c r="D11158" t="s">
        <v>4022</v>
      </c>
      <c r="E11158" t="s">
        <v>561</v>
      </c>
      <c r="F11158" t="s">
        <v>1068</v>
      </c>
      <c r="G11158" t="s">
        <v>1083</v>
      </c>
      <c r="H11158">
        <v>-2.2795180271111199E-4</v>
      </c>
      <c r="I11158" t="s">
        <v>1084</v>
      </c>
      <c r="J11158">
        <v>7.77</v>
      </c>
    </row>
    <row r="11159" spans="1:10" hidden="1">
      <c r="A11159" t="s">
        <v>6667</v>
      </c>
      <c r="B11159" t="s">
        <v>6668</v>
      </c>
      <c r="C11159" t="s">
        <v>5111</v>
      </c>
      <c r="D11159" t="s">
        <v>4022</v>
      </c>
      <c r="E11159" t="s">
        <v>561</v>
      </c>
      <c r="F11159" t="s">
        <v>1068</v>
      </c>
      <c r="G11159" t="s">
        <v>1085</v>
      </c>
      <c r="H11159">
        <v>-2.0798214629718001E-3</v>
      </c>
      <c r="I11159" t="s">
        <v>1086</v>
      </c>
      <c r="J11159">
        <v>7.77</v>
      </c>
    </row>
    <row r="11160" spans="1:10" hidden="1">
      <c r="A11160" t="s">
        <v>6667</v>
      </c>
      <c r="B11160" t="s">
        <v>6668</v>
      </c>
      <c r="C11160" t="s">
        <v>5111</v>
      </c>
      <c r="D11160" t="s">
        <v>4022</v>
      </c>
      <c r="E11160" t="s">
        <v>561</v>
      </c>
      <c r="F11160" t="s">
        <v>1068</v>
      </c>
      <c r="G11160" t="s">
        <v>1087</v>
      </c>
      <c r="H11160" s="170">
        <v>-1.4453656546183001E-6</v>
      </c>
      <c r="I11160" t="s">
        <v>1088</v>
      </c>
      <c r="J11160">
        <v>7.77</v>
      </c>
    </row>
    <row r="11161" spans="1:10" hidden="1">
      <c r="A11161" t="s">
        <v>6667</v>
      </c>
      <c r="B11161" t="s">
        <v>6668</v>
      </c>
      <c r="C11161" t="s">
        <v>5111</v>
      </c>
      <c r="D11161" t="s">
        <v>4022</v>
      </c>
      <c r="E11161" t="s">
        <v>561</v>
      </c>
      <c r="F11161" t="s">
        <v>1068</v>
      </c>
      <c r="G11161" t="s">
        <v>1089</v>
      </c>
      <c r="H11161">
        <v>-3.3448019284893399E-4</v>
      </c>
      <c r="I11161" t="s">
        <v>1090</v>
      </c>
      <c r="J11161">
        <v>7.77</v>
      </c>
    </row>
    <row r="11162" spans="1:10" hidden="1">
      <c r="A11162" t="s">
        <v>6670</v>
      </c>
      <c r="B11162" t="s">
        <v>6671</v>
      </c>
      <c r="C11162" t="s">
        <v>5111</v>
      </c>
      <c r="D11162" t="s">
        <v>4022</v>
      </c>
      <c r="E11162" t="s">
        <v>555</v>
      </c>
      <c r="F11162" t="s">
        <v>1068</v>
      </c>
      <c r="G11162" t="s">
        <v>1069</v>
      </c>
      <c r="H11162">
        <v>-1.91126881830492</v>
      </c>
      <c r="I11162" t="s">
        <v>1070</v>
      </c>
      <c r="J11162">
        <v>7.89</v>
      </c>
    </row>
    <row r="11163" spans="1:10" hidden="1">
      <c r="A11163" t="s">
        <v>6670</v>
      </c>
      <c r="B11163" t="s">
        <v>6671</v>
      </c>
      <c r="C11163" t="s">
        <v>5111</v>
      </c>
      <c r="D11163" t="s">
        <v>4022</v>
      </c>
      <c r="E11163" t="s">
        <v>555</v>
      </c>
      <c r="F11163" t="s">
        <v>1068</v>
      </c>
      <c r="G11163" t="s">
        <v>1071</v>
      </c>
      <c r="H11163" s="170">
        <v>-2.0804922566375698E-9</v>
      </c>
      <c r="I11163" t="s">
        <v>1072</v>
      </c>
      <c r="J11163">
        <v>7.89</v>
      </c>
    </row>
    <row r="11164" spans="1:10" hidden="1">
      <c r="A11164" t="s">
        <v>6670</v>
      </c>
      <c r="B11164" t="s">
        <v>6671</v>
      </c>
      <c r="C11164" t="s">
        <v>5111</v>
      </c>
      <c r="D11164" t="s">
        <v>4022</v>
      </c>
      <c r="E11164" t="s">
        <v>555</v>
      </c>
      <c r="F11164" t="s">
        <v>1068</v>
      </c>
      <c r="G11164" t="s">
        <v>1073</v>
      </c>
      <c r="H11164" s="170">
        <v>-6.7568923775784299E-7</v>
      </c>
      <c r="I11164" t="s">
        <v>1074</v>
      </c>
      <c r="J11164">
        <v>7.89</v>
      </c>
    </row>
    <row r="11165" spans="1:10" hidden="1">
      <c r="A11165" t="s">
        <v>6670</v>
      </c>
      <c r="B11165" t="s">
        <v>6671</v>
      </c>
      <c r="C11165" t="s">
        <v>5111</v>
      </c>
      <c r="D11165" t="s">
        <v>4022</v>
      </c>
      <c r="E11165" t="s">
        <v>555</v>
      </c>
      <c r="F11165" t="s">
        <v>1068</v>
      </c>
      <c r="G11165" t="s">
        <v>1075</v>
      </c>
      <c r="H11165">
        <v>-3.59903447057838E-2</v>
      </c>
      <c r="I11165" t="s">
        <v>1077</v>
      </c>
      <c r="J11165">
        <v>7.89</v>
      </c>
    </row>
    <row r="11166" spans="1:10" hidden="1">
      <c r="A11166" t="s">
        <v>6670</v>
      </c>
      <c r="B11166" t="s">
        <v>6671</v>
      </c>
      <c r="C11166" t="s">
        <v>5111</v>
      </c>
      <c r="D11166" t="s">
        <v>4022</v>
      </c>
      <c r="E11166" t="s">
        <v>555</v>
      </c>
      <c r="F11166" t="s">
        <v>1068</v>
      </c>
      <c r="G11166" t="s">
        <v>1078</v>
      </c>
      <c r="H11166" s="171" t="s">
        <v>6672</v>
      </c>
      <c r="I11166" t="s">
        <v>1079</v>
      </c>
      <c r="J11166">
        <v>7.89</v>
      </c>
    </row>
    <row r="11167" spans="1:10" hidden="1">
      <c r="A11167" t="s">
        <v>6670</v>
      </c>
      <c r="B11167" t="s">
        <v>6671</v>
      </c>
      <c r="C11167" t="s">
        <v>5111</v>
      </c>
      <c r="D11167" t="s">
        <v>4022</v>
      </c>
      <c r="E11167" t="s">
        <v>555</v>
      </c>
      <c r="F11167" t="s">
        <v>1068</v>
      </c>
      <c r="G11167" t="s">
        <v>1080</v>
      </c>
      <c r="H11167" s="170">
        <v>-1.06957110103303E-8</v>
      </c>
      <c r="I11167" t="s">
        <v>1082</v>
      </c>
      <c r="J11167">
        <v>7.89</v>
      </c>
    </row>
    <row r="11168" spans="1:10" hidden="1">
      <c r="A11168" t="s">
        <v>6670</v>
      </c>
      <c r="B11168" t="s">
        <v>6671</v>
      </c>
      <c r="C11168" t="s">
        <v>5111</v>
      </c>
      <c r="D11168" t="s">
        <v>4022</v>
      </c>
      <c r="E11168" t="s">
        <v>555</v>
      </c>
      <c r="F11168" t="s">
        <v>1068</v>
      </c>
      <c r="G11168" t="s">
        <v>1083</v>
      </c>
      <c r="H11168">
        <v>-2.5924131073548401E-4</v>
      </c>
      <c r="I11168" t="s">
        <v>1084</v>
      </c>
      <c r="J11168">
        <v>7.89</v>
      </c>
    </row>
    <row r="11169" spans="1:10" hidden="1">
      <c r="A11169" t="s">
        <v>6670</v>
      </c>
      <c r="B11169" t="s">
        <v>6671</v>
      </c>
      <c r="C11169" t="s">
        <v>5111</v>
      </c>
      <c r="D11169" t="s">
        <v>4022</v>
      </c>
      <c r="E11169" t="s">
        <v>555</v>
      </c>
      <c r="F11169" t="s">
        <v>1068</v>
      </c>
      <c r="G11169" t="s">
        <v>1085</v>
      </c>
      <c r="H11169">
        <v>-2.4334564079706001E-3</v>
      </c>
      <c r="I11169" t="s">
        <v>1086</v>
      </c>
      <c r="J11169">
        <v>7.89</v>
      </c>
    </row>
    <row r="11170" spans="1:10" hidden="1">
      <c r="A11170" t="s">
        <v>6670</v>
      </c>
      <c r="B11170" t="s">
        <v>6671</v>
      </c>
      <c r="C11170" t="s">
        <v>5111</v>
      </c>
      <c r="D11170" t="s">
        <v>4022</v>
      </c>
      <c r="E11170" t="s">
        <v>555</v>
      </c>
      <c r="F11170" t="s">
        <v>1068</v>
      </c>
      <c r="G11170" t="s">
        <v>1087</v>
      </c>
      <c r="H11170" s="170">
        <v>-1.61603149379879E-6</v>
      </c>
      <c r="I11170" t="s">
        <v>1088</v>
      </c>
      <c r="J11170">
        <v>7.89</v>
      </c>
    </row>
    <row r="11171" spans="1:10" hidden="1">
      <c r="A11171" t="s">
        <v>6670</v>
      </c>
      <c r="B11171" t="s">
        <v>6671</v>
      </c>
      <c r="C11171" t="s">
        <v>5111</v>
      </c>
      <c r="D11171" t="s">
        <v>4022</v>
      </c>
      <c r="E11171" t="s">
        <v>555</v>
      </c>
      <c r="F11171" t="s">
        <v>1068</v>
      </c>
      <c r="G11171" t="s">
        <v>1089</v>
      </c>
      <c r="H11171">
        <v>-4.0743438365622298E-4</v>
      </c>
      <c r="I11171" t="s">
        <v>1090</v>
      </c>
      <c r="J11171">
        <v>7.89</v>
      </c>
    </row>
    <row r="11172" spans="1:10" hidden="1">
      <c r="A11172" t="s">
        <v>6673</v>
      </c>
      <c r="B11172" t="s">
        <v>6674</v>
      </c>
      <c r="C11172" t="s">
        <v>5111</v>
      </c>
      <c r="D11172" t="s">
        <v>4022</v>
      </c>
      <c r="E11172" t="s">
        <v>558</v>
      </c>
      <c r="F11172" t="s">
        <v>1068</v>
      </c>
      <c r="G11172" t="s">
        <v>1069</v>
      </c>
      <c r="H11172">
        <v>-1.6871914522295901</v>
      </c>
      <c r="I11172" t="s">
        <v>1070</v>
      </c>
      <c r="J11172">
        <v>8.41</v>
      </c>
    </row>
    <row r="11173" spans="1:10" hidden="1">
      <c r="A11173" t="s">
        <v>6673</v>
      </c>
      <c r="B11173" t="s">
        <v>6674</v>
      </c>
      <c r="C11173" t="s">
        <v>5111</v>
      </c>
      <c r="D11173" t="s">
        <v>4022</v>
      </c>
      <c r="E11173" t="s">
        <v>558</v>
      </c>
      <c r="F11173" t="s">
        <v>1068</v>
      </c>
      <c r="G11173" t="s">
        <v>1071</v>
      </c>
      <c r="H11173" s="170">
        <v>-1.75983500964235E-9</v>
      </c>
      <c r="I11173" t="s">
        <v>1072</v>
      </c>
      <c r="J11173">
        <v>8.41</v>
      </c>
    </row>
    <row r="11174" spans="1:10" hidden="1">
      <c r="A11174" t="s">
        <v>6673</v>
      </c>
      <c r="B11174" t="s">
        <v>6674</v>
      </c>
      <c r="C11174" t="s">
        <v>5111</v>
      </c>
      <c r="D11174" t="s">
        <v>4022</v>
      </c>
      <c r="E11174" t="s">
        <v>558</v>
      </c>
      <c r="F11174" t="s">
        <v>1068</v>
      </c>
      <c r="G11174" t="s">
        <v>1073</v>
      </c>
      <c r="H11174" s="170">
        <v>-5.9609619390756103E-7</v>
      </c>
      <c r="I11174" t="s">
        <v>1074</v>
      </c>
      <c r="J11174">
        <v>8.41</v>
      </c>
    </row>
    <row r="11175" spans="1:10" hidden="1">
      <c r="A11175" t="s">
        <v>6673</v>
      </c>
      <c r="B11175" t="s">
        <v>6674</v>
      </c>
      <c r="C11175" t="s">
        <v>5111</v>
      </c>
      <c r="D11175" t="s">
        <v>4022</v>
      </c>
      <c r="E11175" t="s">
        <v>558</v>
      </c>
      <c r="F11175" t="s">
        <v>1068</v>
      </c>
      <c r="G11175" t="s">
        <v>1075</v>
      </c>
      <c r="H11175">
        <v>-2.8907013806860001E-2</v>
      </c>
      <c r="I11175" t="s">
        <v>1077</v>
      </c>
      <c r="J11175">
        <v>8.41</v>
      </c>
    </row>
    <row r="11176" spans="1:10" hidden="1">
      <c r="A11176" t="s">
        <v>6673</v>
      </c>
      <c r="B11176" t="s">
        <v>6674</v>
      </c>
      <c r="C11176" t="s">
        <v>5111</v>
      </c>
      <c r="D11176" t="s">
        <v>4022</v>
      </c>
      <c r="E11176" t="s">
        <v>558</v>
      </c>
      <c r="F11176" t="s">
        <v>1068</v>
      </c>
      <c r="G11176" t="s">
        <v>1078</v>
      </c>
      <c r="H11176" s="171" t="s">
        <v>6675</v>
      </c>
      <c r="I11176" t="s">
        <v>1079</v>
      </c>
      <c r="J11176">
        <v>8.41</v>
      </c>
    </row>
    <row r="11177" spans="1:10" hidden="1">
      <c r="A11177" t="s">
        <v>6673</v>
      </c>
      <c r="B11177" t="s">
        <v>6674</v>
      </c>
      <c r="C11177" t="s">
        <v>5111</v>
      </c>
      <c r="D11177" t="s">
        <v>4022</v>
      </c>
      <c r="E11177" t="s">
        <v>558</v>
      </c>
      <c r="F11177" t="s">
        <v>1068</v>
      </c>
      <c r="G11177" t="s">
        <v>1080</v>
      </c>
      <c r="H11177" s="170">
        <v>-9.4501443092744102E-9</v>
      </c>
      <c r="I11177" t="s">
        <v>1082</v>
      </c>
      <c r="J11177">
        <v>8.41</v>
      </c>
    </row>
    <row r="11178" spans="1:10" hidden="1">
      <c r="A11178" t="s">
        <v>6673</v>
      </c>
      <c r="B11178" t="s">
        <v>6674</v>
      </c>
      <c r="C11178" t="s">
        <v>5111</v>
      </c>
      <c r="D11178" t="s">
        <v>4022</v>
      </c>
      <c r="E11178" t="s">
        <v>558</v>
      </c>
      <c r="F11178" t="s">
        <v>1068</v>
      </c>
      <c r="G11178" t="s">
        <v>1083</v>
      </c>
      <c r="H11178">
        <v>-2.2518137723380699E-4</v>
      </c>
      <c r="I11178" t="s">
        <v>1084</v>
      </c>
      <c r="J11178">
        <v>8.41</v>
      </c>
    </row>
    <row r="11179" spans="1:10" hidden="1">
      <c r="A11179" t="s">
        <v>6673</v>
      </c>
      <c r="B11179" t="s">
        <v>6674</v>
      </c>
      <c r="C11179" t="s">
        <v>5111</v>
      </c>
      <c r="D11179" t="s">
        <v>4022</v>
      </c>
      <c r="E11179" t="s">
        <v>558</v>
      </c>
      <c r="F11179" t="s">
        <v>1068</v>
      </c>
      <c r="G11179" t="s">
        <v>1085</v>
      </c>
      <c r="H11179">
        <v>-2.0485100322970799E-3</v>
      </c>
      <c r="I11179" t="s">
        <v>1086</v>
      </c>
      <c r="J11179">
        <v>8.41</v>
      </c>
    </row>
    <row r="11180" spans="1:10" hidden="1">
      <c r="A11180" t="s">
        <v>6673</v>
      </c>
      <c r="B11180" t="s">
        <v>6674</v>
      </c>
      <c r="C11180" t="s">
        <v>5111</v>
      </c>
      <c r="D11180" t="s">
        <v>4022</v>
      </c>
      <c r="E11180" t="s">
        <v>558</v>
      </c>
      <c r="F11180" t="s">
        <v>1068</v>
      </c>
      <c r="G11180" t="s">
        <v>1087</v>
      </c>
      <c r="H11180" s="170">
        <v>-1.43025461520622E-6</v>
      </c>
      <c r="I11180" t="s">
        <v>1088</v>
      </c>
      <c r="J11180">
        <v>8.41</v>
      </c>
    </row>
    <row r="11181" spans="1:10" hidden="1">
      <c r="A11181" t="s">
        <v>6673</v>
      </c>
      <c r="B11181" t="s">
        <v>6674</v>
      </c>
      <c r="C11181" t="s">
        <v>5111</v>
      </c>
      <c r="D11181" t="s">
        <v>4022</v>
      </c>
      <c r="E11181" t="s">
        <v>558</v>
      </c>
      <c r="F11181" t="s">
        <v>1068</v>
      </c>
      <c r="G11181" t="s">
        <v>1089</v>
      </c>
      <c r="H11181">
        <v>-3.2802070653254899E-4</v>
      </c>
      <c r="I11181" t="s">
        <v>1090</v>
      </c>
      <c r="J11181">
        <v>8.41</v>
      </c>
    </row>
    <row r="11182" spans="1:10" hidden="1">
      <c r="A11182" t="s">
        <v>6676</v>
      </c>
      <c r="B11182" t="s">
        <v>6677</v>
      </c>
      <c r="C11182" t="s">
        <v>5111</v>
      </c>
      <c r="D11182" t="s">
        <v>4022</v>
      </c>
      <c r="E11182" t="s">
        <v>553</v>
      </c>
      <c r="F11182" t="s">
        <v>1068</v>
      </c>
      <c r="G11182" t="s">
        <v>1069</v>
      </c>
      <c r="H11182">
        <v>-1.6693406405867901</v>
      </c>
      <c r="I11182" t="s">
        <v>1070</v>
      </c>
      <c r="J11182">
        <v>9.48</v>
      </c>
    </row>
    <row r="11183" spans="1:10" hidden="1">
      <c r="A11183" t="s">
        <v>6676</v>
      </c>
      <c r="B11183" t="s">
        <v>6677</v>
      </c>
      <c r="C11183" t="s">
        <v>5111</v>
      </c>
      <c r="D11183" t="s">
        <v>4022</v>
      </c>
      <c r="E11183" t="s">
        <v>553</v>
      </c>
      <c r="F11183" t="s">
        <v>1068</v>
      </c>
      <c r="G11183" t="s">
        <v>1071</v>
      </c>
      <c r="H11183" s="170">
        <v>-1.7342902819339799E-9</v>
      </c>
      <c r="I11183" t="s">
        <v>1072</v>
      </c>
      <c r="J11183">
        <v>9.48</v>
      </c>
    </row>
    <row r="11184" spans="1:10" hidden="1">
      <c r="A11184" t="s">
        <v>6676</v>
      </c>
      <c r="B11184" t="s">
        <v>6677</v>
      </c>
      <c r="C11184" t="s">
        <v>5111</v>
      </c>
      <c r="D11184" t="s">
        <v>4022</v>
      </c>
      <c r="E11184" t="s">
        <v>553</v>
      </c>
      <c r="F11184" t="s">
        <v>1068</v>
      </c>
      <c r="G11184" t="s">
        <v>1073</v>
      </c>
      <c r="H11184" s="170">
        <v>-5.8975558352500201E-7</v>
      </c>
      <c r="I11184" t="s">
        <v>1074</v>
      </c>
      <c r="J11184">
        <v>9.48</v>
      </c>
    </row>
    <row r="11185" spans="1:10" hidden="1">
      <c r="A11185" t="s">
        <v>6676</v>
      </c>
      <c r="B11185" t="s">
        <v>6677</v>
      </c>
      <c r="C11185" t="s">
        <v>5111</v>
      </c>
      <c r="D11185" t="s">
        <v>4022</v>
      </c>
      <c r="E11185" t="s">
        <v>553</v>
      </c>
      <c r="F11185" t="s">
        <v>1068</v>
      </c>
      <c r="G11185" t="s">
        <v>1075</v>
      </c>
      <c r="H11185">
        <v>-2.8342736563626899E-2</v>
      </c>
      <c r="I11185" t="s">
        <v>1077</v>
      </c>
      <c r="J11185">
        <v>9.48</v>
      </c>
    </row>
    <row r="11186" spans="1:10" hidden="1">
      <c r="A11186" t="s">
        <v>6676</v>
      </c>
      <c r="B11186" t="s">
        <v>6677</v>
      </c>
      <c r="C11186" t="s">
        <v>5111</v>
      </c>
      <c r="D11186" t="s">
        <v>4022</v>
      </c>
      <c r="E11186" t="s">
        <v>553</v>
      </c>
      <c r="F11186" t="s">
        <v>1068</v>
      </c>
      <c r="G11186" t="s">
        <v>1078</v>
      </c>
      <c r="H11186">
        <v>0.69428254866703898</v>
      </c>
      <c r="I11186" t="s">
        <v>1079</v>
      </c>
      <c r="J11186">
        <v>9.48</v>
      </c>
    </row>
    <row r="11187" spans="1:10" hidden="1">
      <c r="A11187" t="s">
        <v>6676</v>
      </c>
      <c r="B11187" t="s">
        <v>6677</v>
      </c>
      <c r="C11187" t="s">
        <v>5111</v>
      </c>
      <c r="D11187" t="s">
        <v>4022</v>
      </c>
      <c r="E11187" t="s">
        <v>553</v>
      </c>
      <c r="F11187" t="s">
        <v>1068</v>
      </c>
      <c r="G11187" t="s">
        <v>1080</v>
      </c>
      <c r="H11187" s="170">
        <v>-9.3509191065924305E-9</v>
      </c>
      <c r="I11187" t="s">
        <v>1082</v>
      </c>
      <c r="J11187">
        <v>9.48</v>
      </c>
    </row>
    <row r="11188" spans="1:10" hidden="1">
      <c r="A11188" t="s">
        <v>6676</v>
      </c>
      <c r="B11188" t="s">
        <v>6677</v>
      </c>
      <c r="C11188" t="s">
        <v>5111</v>
      </c>
      <c r="D11188" t="s">
        <v>4022</v>
      </c>
      <c r="E11188" t="s">
        <v>553</v>
      </c>
      <c r="F11188" t="s">
        <v>1068</v>
      </c>
      <c r="G11188" t="s">
        <v>1083</v>
      </c>
      <c r="H11188">
        <v>-2.2246807108363699E-4</v>
      </c>
      <c r="I11188" t="s">
        <v>1084</v>
      </c>
      <c r="J11188">
        <v>9.48</v>
      </c>
    </row>
    <row r="11189" spans="1:10" hidden="1">
      <c r="A11189" t="s">
        <v>6676</v>
      </c>
      <c r="B11189" t="s">
        <v>6677</v>
      </c>
      <c r="C11189" t="s">
        <v>5111</v>
      </c>
      <c r="D11189" t="s">
        <v>4022</v>
      </c>
      <c r="E11189" t="s">
        <v>553</v>
      </c>
      <c r="F11189" t="s">
        <v>1068</v>
      </c>
      <c r="G11189" t="s">
        <v>1085</v>
      </c>
      <c r="H11189">
        <v>-2.0178441659247002E-3</v>
      </c>
      <c r="I11189" t="s">
        <v>1086</v>
      </c>
      <c r="J11189">
        <v>9.48</v>
      </c>
    </row>
    <row r="11190" spans="1:10" hidden="1">
      <c r="A11190" t="s">
        <v>6676</v>
      </c>
      <c r="B11190" t="s">
        <v>6677</v>
      </c>
      <c r="C11190" t="s">
        <v>5111</v>
      </c>
      <c r="D11190" t="s">
        <v>4022</v>
      </c>
      <c r="E11190" t="s">
        <v>553</v>
      </c>
      <c r="F11190" t="s">
        <v>1068</v>
      </c>
      <c r="G11190" t="s">
        <v>1087</v>
      </c>
      <c r="H11190" s="170">
        <v>-1.4154551280957599E-6</v>
      </c>
      <c r="I11190" t="s">
        <v>1088</v>
      </c>
      <c r="J11190">
        <v>9.48</v>
      </c>
    </row>
    <row r="11191" spans="1:10" hidden="1">
      <c r="A11191" t="s">
        <v>6676</v>
      </c>
      <c r="B11191" t="s">
        <v>6677</v>
      </c>
      <c r="C11191" t="s">
        <v>5111</v>
      </c>
      <c r="D11191" t="s">
        <v>4022</v>
      </c>
      <c r="E11191" t="s">
        <v>553</v>
      </c>
      <c r="F11191" t="s">
        <v>1068</v>
      </c>
      <c r="G11191" t="s">
        <v>1089</v>
      </c>
      <c r="H11191">
        <v>-3.2169439884663999E-4</v>
      </c>
      <c r="I11191" t="s">
        <v>1090</v>
      </c>
      <c r="J11191">
        <v>9.48</v>
      </c>
    </row>
    <row r="11192" spans="1:10" hidden="1">
      <c r="A11192" t="s">
        <v>6678</v>
      </c>
      <c r="B11192" t="s">
        <v>6679</v>
      </c>
      <c r="C11192" t="s">
        <v>5111</v>
      </c>
      <c r="D11192" t="s">
        <v>4022</v>
      </c>
      <c r="E11192" t="s">
        <v>556</v>
      </c>
      <c r="F11192" t="s">
        <v>1068</v>
      </c>
      <c r="G11192" t="s">
        <v>1069</v>
      </c>
      <c r="H11192">
        <v>-1.8885294450116199</v>
      </c>
      <c r="I11192" t="s">
        <v>1070</v>
      </c>
      <c r="J11192">
        <v>9.4499999999999993</v>
      </c>
    </row>
    <row r="11193" spans="1:10" hidden="1">
      <c r="A11193" t="s">
        <v>6678</v>
      </c>
      <c r="B11193" t="s">
        <v>6679</v>
      </c>
      <c r="C11193" t="s">
        <v>5111</v>
      </c>
      <c r="D11193" t="s">
        <v>4022</v>
      </c>
      <c r="E11193" t="s">
        <v>556</v>
      </c>
      <c r="F11193" t="s">
        <v>1068</v>
      </c>
      <c r="G11193" t="s">
        <v>1071</v>
      </c>
      <c r="H11193" s="170">
        <v>-2.0479519547516099E-9</v>
      </c>
      <c r="I11193" t="s">
        <v>1072</v>
      </c>
      <c r="J11193">
        <v>9.4499999999999993</v>
      </c>
    </row>
    <row r="11194" spans="1:10" hidden="1">
      <c r="A11194" t="s">
        <v>6678</v>
      </c>
      <c r="B11194" t="s">
        <v>6679</v>
      </c>
      <c r="C11194" t="s">
        <v>5111</v>
      </c>
      <c r="D11194" t="s">
        <v>4022</v>
      </c>
      <c r="E11194" t="s">
        <v>556</v>
      </c>
      <c r="F11194" t="s">
        <v>1068</v>
      </c>
      <c r="G11194" t="s">
        <v>1073</v>
      </c>
      <c r="H11194" s="170">
        <v>-6.6761214041230405E-7</v>
      </c>
      <c r="I11194" t="s">
        <v>1074</v>
      </c>
      <c r="J11194">
        <v>9.4499999999999993</v>
      </c>
    </row>
    <row r="11195" spans="1:10" hidden="1">
      <c r="A11195" t="s">
        <v>6678</v>
      </c>
      <c r="B11195" t="s">
        <v>6679</v>
      </c>
      <c r="C11195" t="s">
        <v>5111</v>
      </c>
      <c r="D11195" t="s">
        <v>4022</v>
      </c>
      <c r="E11195" t="s">
        <v>556</v>
      </c>
      <c r="F11195" t="s">
        <v>1068</v>
      </c>
      <c r="G11195" t="s">
        <v>1075</v>
      </c>
      <c r="H11195">
        <v>-3.5271528824204097E-2</v>
      </c>
      <c r="I11195" t="s">
        <v>1077</v>
      </c>
      <c r="J11195">
        <v>9.4499999999999993</v>
      </c>
    </row>
    <row r="11196" spans="1:10" hidden="1">
      <c r="A11196" t="s">
        <v>6678</v>
      </c>
      <c r="B11196" t="s">
        <v>6679</v>
      </c>
      <c r="C11196" t="s">
        <v>5111</v>
      </c>
      <c r="D11196" t="s">
        <v>4022</v>
      </c>
      <c r="E11196" t="s">
        <v>556</v>
      </c>
      <c r="F11196" t="s">
        <v>1068</v>
      </c>
      <c r="G11196" t="s">
        <v>1078</v>
      </c>
      <c r="H11196" s="171" t="s">
        <v>6680</v>
      </c>
      <c r="I11196" t="s">
        <v>1079</v>
      </c>
      <c r="J11196">
        <v>9.4499999999999993</v>
      </c>
    </row>
    <row r="11197" spans="1:10" hidden="1">
      <c r="A11197" t="s">
        <v>6678</v>
      </c>
      <c r="B11197" t="s">
        <v>6679</v>
      </c>
      <c r="C11197" t="s">
        <v>5111</v>
      </c>
      <c r="D11197" t="s">
        <v>4022</v>
      </c>
      <c r="E11197" t="s">
        <v>556</v>
      </c>
      <c r="F11197" t="s">
        <v>1068</v>
      </c>
      <c r="G11197" t="s">
        <v>1080</v>
      </c>
      <c r="H11197" s="170">
        <v>-1.05693109961223E-8</v>
      </c>
      <c r="I11197" t="s">
        <v>1082</v>
      </c>
      <c r="J11197">
        <v>9.4499999999999993</v>
      </c>
    </row>
    <row r="11198" spans="1:10" hidden="1">
      <c r="A11198" t="s">
        <v>6678</v>
      </c>
      <c r="B11198" t="s">
        <v>6679</v>
      </c>
      <c r="C11198" t="s">
        <v>5111</v>
      </c>
      <c r="D11198" t="s">
        <v>4022</v>
      </c>
      <c r="E11198" t="s">
        <v>556</v>
      </c>
      <c r="F11198" t="s">
        <v>1068</v>
      </c>
      <c r="G11198" t="s">
        <v>1083</v>
      </c>
      <c r="H11198">
        <v>-2.5578491127208302E-4</v>
      </c>
      <c r="I11198" t="s">
        <v>1084</v>
      </c>
      <c r="J11198">
        <v>9.4499999999999993</v>
      </c>
    </row>
    <row r="11199" spans="1:10" hidden="1">
      <c r="A11199" t="s">
        <v>6678</v>
      </c>
      <c r="B11199" t="s">
        <v>6679</v>
      </c>
      <c r="C11199" t="s">
        <v>5111</v>
      </c>
      <c r="D11199" t="s">
        <v>4022</v>
      </c>
      <c r="E11199" t="s">
        <v>556</v>
      </c>
      <c r="F11199" t="s">
        <v>1068</v>
      </c>
      <c r="G11199" t="s">
        <v>1085</v>
      </c>
      <c r="H11199">
        <v>-2.3943920790185898E-3</v>
      </c>
      <c r="I11199" t="s">
        <v>1086</v>
      </c>
      <c r="J11199">
        <v>9.4499999999999993</v>
      </c>
    </row>
    <row r="11200" spans="1:10" hidden="1">
      <c r="A11200" t="s">
        <v>6678</v>
      </c>
      <c r="B11200" t="s">
        <v>6679</v>
      </c>
      <c r="C11200" t="s">
        <v>5111</v>
      </c>
      <c r="D11200" t="s">
        <v>4022</v>
      </c>
      <c r="E11200" t="s">
        <v>556</v>
      </c>
      <c r="F11200" t="s">
        <v>1068</v>
      </c>
      <c r="G11200" t="s">
        <v>1087</v>
      </c>
      <c r="H11200" s="170">
        <v>-1.59717887027825E-6</v>
      </c>
      <c r="I11200" t="s">
        <v>1088</v>
      </c>
      <c r="J11200">
        <v>9.4499999999999993</v>
      </c>
    </row>
    <row r="11201" spans="1:10" hidden="1">
      <c r="A11201" t="s">
        <v>6678</v>
      </c>
      <c r="B11201" t="s">
        <v>6679</v>
      </c>
      <c r="C11201" t="s">
        <v>5111</v>
      </c>
      <c r="D11201" t="s">
        <v>4022</v>
      </c>
      <c r="E11201" t="s">
        <v>556</v>
      </c>
      <c r="F11201" t="s">
        <v>1068</v>
      </c>
      <c r="G11201" t="s">
        <v>1089</v>
      </c>
      <c r="H11201">
        <v>-3.9937548973516002E-4</v>
      </c>
      <c r="I11201" t="s">
        <v>1090</v>
      </c>
      <c r="J11201">
        <v>9.4499999999999993</v>
      </c>
    </row>
    <row r="11202" spans="1:10" hidden="1">
      <c r="A11202" t="s">
        <v>6681</v>
      </c>
      <c r="B11202" t="s">
        <v>6682</v>
      </c>
      <c r="C11202" t="s">
        <v>5111</v>
      </c>
      <c r="D11202" t="s">
        <v>4022</v>
      </c>
      <c r="E11202" t="s">
        <v>557</v>
      </c>
      <c r="F11202" t="s">
        <v>1068</v>
      </c>
      <c r="G11202" t="s">
        <v>1069</v>
      </c>
      <c r="H11202">
        <v>-1.7624744325677999</v>
      </c>
      <c r="I11202" t="s">
        <v>1070</v>
      </c>
      <c r="J11202">
        <v>8.43</v>
      </c>
    </row>
    <row r="11203" spans="1:10" hidden="1">
      <c r="A11203" t="s">
        <v>6681</v>
      </c>
      <c r="B11203" t="s">
        <v>6682</v>
      </c>
      <c r="C11203" t="s">
        <v>5111</v>
      </c>
      <c r="D11203" t="s">
        <v>4022</v>
      </c>
      <c r="E11203" t="s">
        <v>557</v>
      </c>
      <c r="F11203" t="s">
        <v>1068</v>
      </c>
      <c r="G11203" t="s">
        <v>1071</v>
      </c>
      <c r="H11203" s="170">
        <v>-1.86756581099209E-9</v>
      </c>
      <c r="I11203" t="s">
        <v>1072</v>
      </c>
      <c r="J11203">
        <v>8.43</v>
      </c>
    </row>
    <row r="11204" spans="1:10" hidden="1">
      <c r="A11204" t="s">
        <v>6681</v>
      </c>
      <c r="B11204" t="s">
        <v>6682</v>
      </c>
      <c r="C11204" t="s">
        <v>5111</v>
      </c>
      <c r="D11204" t="s">
        <v>4022</v>
      </c>
      <c r="E11204" t="s">
        <v>557</v>
      </c>
      <c r="F11204" t="s">
        <v>1068</v>
      </c>
      <c r="G11204" t="s">
        <v>1073</v>
      </c>
      <c r="H11204" s="170">
        <v>-6.2283694673354395E-7</v>
      </c>
      <c r="I11204" t="s">
        <v>1074</v>
      </c>
      <c r="J11204">
        <v>8.43</v>
      </c>
    </row>
    <row r="11205" spans="1:10" hidden="1">
      <c r="A11205" t="s">
        <v>6681</v>
      </c>
      <c r="B11205" t="s">
        <v>6682</v>
      </c>
      <c r="C11205" t="s">
        <v>5111</v>
      </c>
      <c r="D11205" t="s">
        <v>4022</v>
      </c>
      <c r="E11205" t="s">
        <v>557</v>
      </c>
      <c r="F11205" t="s">
        <v>1068</v>
      </c>
      <c r="G11205" t="s">
        <v>1075</v>
      </c>
      <c r="H11205">
        <v>-3.1286789237860498E-2</v>
      </c>
      <c r="I11205" t="s">
        <v>1077</v>
      </c>
      <c r="J11205">
        <v>8.43</v>
      </c>
    </row>
    <row r="11206" spans="1:10" hidden="1">
      <c r="A11206" t="s">
        <v>6681</v>
      </c>
      <c r="B11206" t="s">
        <v>6682</v>
      </c>
      <c r="C11206" t="s">
        <v>5111</v>
      </c>
      <c r="D11206" t="s">
        <v>4022</v>
      </c>
      <c r="E11206" t="s">
        <v>557</v>
      </c>
      <c r="F11206" t="s">
        <v>1068</v>
      </c>
      <c r="G11206" t="s">
        <v>1078</v>
      </c>
      <c r="H11206" s="171" t="s">
        <v>6683</v>
      </c>
      <c r="I11206" t="s">
        <v>1079</v>
      </c>
      <c r="J11206">
        <v>8.43</v>
      </c>
    </row>
    <row r="11207" spans="1:10" hidden="1">
      <c r="A11207" t="s">
        <v>6681</v>
      </c>
      <c r="B11207" t="s">
        <v>6682</v>
      </c>
      <c r="C11207" t="s">
        <v>5111</v>
      </c>
      <c r="D11207" t="s">
        <v>4022</v>
      </c>
      <c r="E11207" t="s">
        <v>557</v>
      </c>
      <c r="F11207" t="s">
        <v>1068</v>
      </c>
      <c r="G11207" t="s">
        <v>1080</v>
      </c>
      <c r="H11207" s="170">
        <v>-9.8686153753692203E-9</v>
      </c>
      <c r="I11207" t="s">
        <v>1082</v>
      </c>
      <c r="J11207">
        <v>8.43</v>
      </c>
    </row>
    <row r="11208" spans="1:10" hidden="1">
      <c r="A11208" t="s">
        <v>6681</v>
      </c>
      <c r="B11208" t="s">
        <v>6682</v>
      </c>
      <c r="C11208" t="s">
        <v>5111</v>
      </c>
      <c r="D11208" t="s">
        <v>4022</v>
      </c>
      <c r="E11208" t="s">
        <v>557</v>
      </c>
      <c r="F11208" t="s">
        <v>1068</v>
      </c>
      <c r="G11208" t="s">
        <v>1083</v>
      </c>
      <c r="H11208">
        <v>-2.36624438987893E-4</v>
      </c>
      <c r="I11208" t="s">
        <v>1084</v>
      </c>
      <c r="J11208">
        <v>8.43</v>
      </c>
    </row>
    <row r="11209" spans="1:10" hidden="1">
      <c r="A11209" t="s">
        <v>6681</v>
      </c>
      <c r="B11209" t="s">
        <v>6682</v>
      </c>
      <c r="C11209" t="s">
        <v>5111</v>
      </c>
      <c r="D11209" t="s">
        <v>4022</v>
      </c>
      <c r="E11209" t="s">
        <v>557</v>
      </c>
      <c r="F11209" t="s">
        <v>1068</v>
      </c>
      <c r="G11209" t="s">
        <v>1085</v>
      </c>
      <c r="H11209">
        <v>-2.1778398546491999E-3</v>
      </c>
      <c r="I11209" t="s">
        <v>1086</v>
      </c>
      <c r="J11209">
        <v>8.43</v>
      </c>
    </row>
    <row r="11210" spans="1:10" hidden="1">
      <c r="A11210" t="s">
        <v>6681</v>
      </c>
      <c r="B11210" t="s">
        <v>6682</v>
      </c>
      <c r="C11210" t="s">
        <v>5111</v>
      </c>
      <c r="D11210" t="s">
        <v>4022</v>
      </c>
      <c r="E11210" t="s">
        <v>557</v>
      </c>
      <c r="F11210" t="s">
        <v>1068</v>
      </c>
      <c r="G11210" t="s">
        <v>1087</v>
      </c>
      <c r="H11210" s="170">
        <v>-1.49266977799525E-6</v>
      </c>
      <c r="I11210" t="s">
        <v>1088</v>
      </c>
      <c r="J11210">
        <v>8.43</v>
      </c>
    </row>
    <row r="11211" spans="1:10" hidden="1">
      <c r="A11211" t="s">
        <v>6681</v>
      </c>
      <c r="B11211" t="s">
        <v>6682</v>
      </c>
      <c r="C11211" t="s">
        <v>5111</v>
      </c>
      <c r="D11211" t="s">
        <v>4022</v>
      </c>
      <c r="E11211" t="s">
        <v>557</v>
      </c>
      <c r="F11211" t="s">
        <v>1068</v>
      </c>
      <c r="G11211" t="s">
        <v>1089</v>
      </c>
      <c r="H11211">
        <v>-3.5470119349152799E-4</v>
      </c>
      <c r="I11211" t="s">
        <v>1090</v>
      </c>
      <c r="J11211">
        <v>8.43</v>
      </c>
    </row>
    <row r="11212" spans="1:10" hidden="1">
      <c r="A11212" t="s">
        <v>6684</v>
      </c>
      <c r="B11212" t="s">
        <v>6685</v>
      </c>
      <c r="C11212" t="s">
        <v>5111</v>
      </c>
      <c r="D11212" t="s">
        <v>4022</v>
      </c>
      <c r="E11212" t="s">
        <v>559</v>
      </c>
      <c r="F11212" t="s">
        <v>1068</v>
      </c>
      <c r="G11212" t="s">
        <v>1069</v>
      </c>
      <c r="H11212">
        <v>-1.82337730804777</v>
      </c>
      <c r="I11212" t="s">
        <v>1070</v>
      </c>
      <c r="J11212">
        <v>9.7100000000000009</v>
      </c>
    </row>
    <row r="11213" spans="1:10" hidden="1">
      <c r="A11213" t="s">
        <v>6684</v>
      </c>
      <c r="B11213" t="s">
        <v>6685</v>
      </c>
      <c r="C11213" t="s">
        <v>5111</v>
      </c>
      <c r="D11213" t="s">
        <v>4022</v>
      </c>
      <c r="E11213" t="s">
        <v>559</v>
      </c>
      <c r="F11213" t="s">
        <v>1068</v>
      </c>
      <c r="G11213" t="s">
        <v>1071</v>
      </c>
      <c r="H11213" s="170">
        <v>-1.9547185055280298E-9</v>
      </c>
      <c r="I11213" t="s">
        <v>1072</v>
      </c>
      <c r="J11213">
        <v>9.7100000000000009</v>
      </c>
    </row>
    <row r="11214" spans="1:10" hidden="1">
      <c r="A11214" t="s">
        <v>6684</v>
      </c>
      <c r="B11214" t="s">
        <v>6685</v>
      </c>
      <c r="C11214" t="s">
        <v>5111</v>
      </c>
      <c r="D11214" t="s">
        <v>4022</v>
      </c>
      <c r="E11214" t="s">
        <v>559</v>
      </c>
      <c r="F11214" t="s">
        <v>1068</v>
      </c>
      <c r="G11214" t="s">
        <v>1073</v>
      </c>
      <c r="H11214" s="170">
        <v>-6.44469895208833E-7</v>
      </c>
      <c r="I11214" t="s">
        <v>1074</v>
      </c>
      <c r="J11214">
        <v>9.7100000000000009</v>
      </c>
    </row>
    <row r="11215" spans="1:10" hidden="1">
      <c r="A11215" t="s">
        <v>6684</v>
      </c>
      <c r="B11215" t="s">
        <v>6685</v>
      </c>
      <c r="C11215" t="s">
        <v>5111</v>
      </c>
      <c r="D11215" t="s">
        <v>4022</v>
      </c>
      <c r="E11215" t="s">
        <v>559</v>
      </c>
      <c r="F11215" t="s">
        <v>1068</v>
      </c>
      <c r="G11215" t="s">
        <v>1075</v>
      </c>
      <c r="H11215">
        <v>-3.3212000174738E-2</v>
      </c>
      <c r="I11215" t="s">
        <v>1077</v>
      </c>
      <c r="J11215">
        <v>9.7100000000000009</v>
      </c>
    </row>
    <row r="11216" spans="1:10" hidden="1">
      <c r="A11216" t="s">
        <v>6684</v>
      </c>
      <c r="B11216" t="s">
        <v>6685</v>
      </c>
      <c r="C11216" t="s">
        <v>5111</v>
      </c>
      <c r="D11216" t="s">
        <v>4022</v>
      </c>
      <c r="E11216" t="s">
        <v>559</v>
      </c>
      <c r="F11216" t="s">
        <v>1068</v>
      </c>
      <c r="G11216" t="s">
        <v>1078</v>
      </c>
      <c r="H11216" s="171" t="s">
        <v>6686</v>
      </c>
      <c r="I11216" t="s">
        <v>1079</v>
      </c>
      <c r="J11216">
        <v>9.7100000000000009</v>
      </c>
    </row>
    <row r="11217" spans="1:10" hidden="1">
      <c r="A11217" t="s">
        <v>6684</v>
      </c>
      <c r="B11217" t="s">
        <v>6685</v>
      </c>
      <c r="C11217" t="s">
        <v>5111</v>
      </c>
      <c r="D11217" t="s">
        <v>4022</v>
      </c>
      <c r="E11217" t="s">
        <v>559</v>
      </c>
      <c r="F11217" t="s">
        <v>1068</v>
      </c>
      <c r="G11217" t="s">
        <v>1080</v>
      </c>
      <c r="H11217" s="170">
        <v>-1.02071536520435E-8</v>
      </c>
      <c r="I11217" t="s">
        <v>1082</v>
      </c>
      <c r="J11217">
        <v>9.7100000000000009</v>
      </c>
    </row>
    <row r="11218" spans="1:10" hidden="1">
      <c r="A11218" t="s">
        <v>6684</v>
      </c>
      <c r="B11218" t="s">
        <v>6685</v>
      </c>
      <c r="C11218" t="s">
        <v>5111</v>
      </c>
      <c r="D11218" t="s">
        <v>4022</v>
      </c>
      <c r="E11218" t="s">
        <v>559</v>
      </c>
      <c r="F11218" t="s">
        <v>1068</v>
      </c>
      <c r="G11218" t="s">
        <v>1083</v>
      </c>
      <c r="H11218">
        <v>-2.45881744270206E-4</v>
      </c>
      <c r="I11218" t="s">
        <v>1084</v>
      </c>
      <c r="J11218">
        <v>9.7100000000000009</v>
      </c>
    </row>
    <row r="11219" spans="1:10" hidden="1">
      <c r="A11219" t="s">
        <v>6684</v>
      </c>
      <c r="B11219" t="s">
        <v>6685</v>
      </c>
      <c r="C11219" t="s">
        <v>5111</v>
      </c>
      <c r="D11219" t="s">
        <v>4022</v>
      </c>
      <c r="E11219" t="s">
        <v>559</v>
      </c>
      <c r="F11219" t="s">
        <v>1068</v>
      </c>
      <c r="G11219" t="s">
        <v>1085</v>
      </c>
      <c r="H11219">
        <v>-2.2824661926955001E-3</v>
      </c>
      <c r="I11219" t="s">
        <v>1086</v>
      </c>
      <c r="J11219">
        <v>9.7100000000000009</v>
      </c>
    </row>
    <row r="11220" spans="1:10" hidden="1">
      <c r="A11220" t="s">
        <v>6684</v>
      </c>
      <c r="B11220" t="s">
        <v>6685</v>
      </c>
      <c r="C11220" t="s">
        <v>5111</v>
      </c>
      <c r="D11220" t="s">
        <v>4022</v>
      </c>
      <c r="E11220" t="s">
        <v>559</v>
      </c>
      <c r="F11220" t="s">
        <v>1068</v>
      </c>
      <c r="G11220" t="s">
        <v>1087</v>
      </c>
      <c r="H11220" s="170">
        <v>-1.54316292648346E-6</v>
      </c>
      <c r="I11220" t="s">
        <v>1088</v>
      </c>
      <c r="J11220">
        <v>9.7100000000000009</v>
      </c>
    </row>
    <row r="11221" spans="1:10" hidden="1">
      <c r="A11221" t="s">
        <v>6684</v>
      </c>
      <c r="B11221" t="s">
        <v>6685</v>
      </c>
      <c r="C11221" t="s">
        <v>5111</v>
      </c>
      <c r="D11221" t="s">
        <v>4022</v>
      </c>
      <c r="E11221" t="s">
        <v>559</v>
      </c>
      <c r="F11221" t="s">
        <v>1068</v>
      </c>
      <c r="G11221" t="s">
        <v>1089</v>
      </c>
      <c r="H11221">
        <v>-3.7628540041079498E-4</v>
      </c>
      <c r="I11221" t="s">
        <v>1090</v>
      </c>
      <c r="J11221">
        <v>9.7100000000000009</v>
      </c>
    </row>
    <row r="11222" spans="1:10" hidden="1">
      <c r="A11222" t="s">
        <v>6687</v>
      </c>
      <c r="B11222" t="s">
        <v>6688</v>
      </c>
      <c r="C11222" t="s">
        <v>5111</v>
      </c>
      <c r="D11222" t="s">
        <v>4022</v>
      </c>
      <c r="E11222" t="s">
        <v>560</v>
      </c>
      <c r="F11222" t="s">
        <v>1068</v>
      </c>
      <c r="G11222" t="s">
        <v>1069</v>
      </c>
      <c r="H11222">
        <v>-1.8026253554148199</v>
      </c>
      <c r="I11222" t="s">
        <v>1070</v>
      </c>
      <c r="J11222">
        <v>9.2100000000000009</v>
      </c>
    </row>
    <row r="11223" spans="1:10" hidden="1">
      <c r="A11223" t="s">
        <v>6687</v>
      </c>
      <c r="B11223" t="s">
        <v>6688</v>
      </c>
      <c r="C11223" t="s">
        <v>5111</v>
      </c>
      <c r="D11223" t="s">
        <v>4022</v>
      </c>
      <c r="E11223" t="s">
        <v>560</v>
      </c>
      <c r="F11223" t="s">
        <v>1068</v>
      </c>
      <c r="G11223" t="s">
        <v>1071</v>
      </c>
      <c r="H11223" s="170">
        <v>-1.9250222383785702E-9</v>
      </c>
      <c r="I11223" t="s">
        <v>1072</v>
      </c>
      <c r="J11223">
        <v>9.2100000000000009</v>
      </c>
    </row>
    <row r="11224" spans="1:10" hidden="1">
      <c r="A11224" t="s">
        <v>6687</v>
      </c>
      <c r="B11224" t="s">
        <v>6688</v>
      </c>
      <c r="C11224" t="s">
        <v>5111</v>
      </c>
      <c r="D11224" t="s">
        <v>4022</v>
      </c>
      <c r="E11224" t="s">
        <v>560</v>
      </c>
      <c r="F11224" t="s">
        <v>1068</v>
      </c>
      <c r="G11224" t="s">
        <v>1073</v>
      </c>
      <c r="H11224" s="170">
        <v>-6.3709868157405899E-7</v>
      </c>
      <c r="I11224" t="s">
        <v>1074</v>
      </c>
      <c r="J11224">
        <v>9.2100000000000009</v>
      </c>
    </row>
    <row r="11225" spans="1:10" hidden="1">
      <c r="A11225" t="s">
        <v>6687</v>
      </c>
      <c r="B11225" t="s">
        <v>6688</v>
      </c>
      <c r="C11225" t="s">
        <v>5111</v>
      </c>
      <c r="D11225" t="s">
        <v>4022</v>
      </c>
      <c r="E11225" t="s">
        <v>560</v>
      </c>
      <c r="F11225" t="s">
        <v>1068</v>
      </c>
      <c r="G11225" t="s">
        <v>1075</v>
      </c>
      <c r="H11225">
        <v>-3.2556002801060101E-2</v>
      </c>
      <c r="I11225" t="s">
        <v>1077</v>
      </c>
      <c r="J11225">
        <v>9.2100000000000009</v>
      </c>
    </row>
    <row r="11226" spans="1:10" hidden="1">
      <c r="A11226" t="s">
        <v>6687</v>
      </c>
      <c r="B11226" t="s">
        <v>6688</v>
      </c>
      <c r="C11226" t="s">
        <v>5111</v>
      </c>
      <c r="D11226" t="s">
        <v>4022</v>
      </c>
      <c r="E11226" t="s">
        <v>560</v>
      </c>
      <c r="F11226" t="s">
        <v>1068</v>
      </c>
      <c r="G11226" t="s">
        <v>1078</v>
      </c>
      <c r="H11226" s="171" t="s">
        <v>6689</v>
      </c>
      <c r="I11226" t="s">
        <v>1079</v>
      </c>
      <c r="J11226">
        <v>9.2100000000000009</v>
      </c>
    </row>
    <row r="11227" spans="1:10" hidden="1">
      <c r="A11227" t="s">
        <v>6687</v>
      </c>
      <c r="B11227" t="s">
        <v>6688</v>
      </c>
      <c r="C11227" t="s">
        <v>5111</v>
      </c>
      <c r="D11227" t="s">
        <v>4022</v>
      </c>
      <c r="E11227" t="s">
        <v>560</v>
      </c>
      <c r="F11227" t="s">
        <v>1068</v>
      </c>
      <c r="G11227" t="s">
        <v>1080</v>
      </c>
      <c r="H11227" s="170">
        <v>-1.0091799943953001E-8</v>
      </c>
      <c r="I11227" t="s">
        <v>1082</v>
      </c>
      <c r="J11227">
        <v>9.2100000000000009</v>
      </c>
    </row>
    <row r="11228" spans="1:10" hidden="1">
      <c r="A11228" t="s">
        <v>6687</v>
      </c>
      <c r="B11228" t="s">
        <v>6688</v>
      </c>
      <c r="C11228" t="s">
        <v>5111</v>
      </c>
      <c r="D11228" t="s">
        <v>4022</v>
      </c>
      <c r="E11228" t="s">
        <v>560</v>
      </c>
      <c r="F11228" t="s">
        <v>1068</v>
      </c>
      <c r="G11228" t="s">
        <v>1083</v>
      </c>
      <c r="H11228">
        <v>-2.4272740525673901E-4</v>
      </c>
      <c r="I11228" t="s">
        <v>1084</v>
      </c>
      <c r="J11228">
        <v>9.2100000000000009</v>
      </c>
    </row>
    <row r="11229" spans="1:10" hidden="1">
      <c r="A11229" t="s">
        <v>6687</v>
      </c>
      <c r="B11229" t="s">
        <v>6688</v>
      </c>
      <c r="C11229" t="s">
        <v>5111</v>
      </c>
      <c r="D11229" t="s">
        <v>4022</v>
      </c>
      <c r="E11229" t="s">
        <v>560</v>
      </c>
      <c r="F11229" t="s">
        <v>1068</v>
      </c>
      <c r="G11229" t="s">
        <v>1085</v>
      </c>
      <c r="H11229">
        <v>-2.2468157599036501E-3</v>
      </c>
      <c r="I11229" t="s">
        <v>1086</v>
      </c>
      <c r="J11229">
        <v>9.2100000000000009</v>
      </c>
    </row>
    <row r="11230" spans="1:10" hidden="1">
      <c r="A11230" t="s">
        <v>6687</v>
      </c>
      <c r="B11230" t="s">
        <v>6688</v>
      </c>
      <c r="C11230" t="s">
        <v>5111</v>
      </c>
      <c r="D11230" t="s">
        <v>4022</v>
      </c>
      <c r="E11230" t="s">
        <v>560</v>
      </c>
      <c r="F11230" t="s">
        <v>1068</v>
      </c>
      <c r="G11230" t="s">
        <v>1087</v>
      </c>
      <c r="H11230" s="170">
        <v>-1.52595786481607E-6</v>
      </c>
      <c r="I11230" t="s">
        <v>1088</v>
      </c>
      <c r="J11230">
        <v>9.2100000000000009</v>
      </c>
    </row>
    <row r="11231" spans="1:10" hidden="1">
      <c r="A11231" t="s">
        <v>6687</v>
      </c>
      <c r="B11231" t="s">
        <v>6688</v>
      </c>
      <c r="C11231" t="s">
        <v>5111</v>
      </c>
      <c r="D11231" t="s">
        <v>4022</v>
      </c>
      <c r="E11231" t="s">
        <v>560</v>
      </c>
      <c r="F11231" t="s">
        <v>1068</v>
      </c>
      <c r="G11231" t="s">
        <v>1089</v>
      </c>
      <c r="H11231">
        <v>-3.68930786536312E-4</v>
      </c>
      <c r="I11231" t="s">
        <v>1090</v>
      </c>
      <c r="J11231">
        <v>9.2100000000000009</v>
      </c>
    </row>
    <row r="11232" spans="1:10" hidden="1">
      <c r="A11232" t="s">
        <v>6690</v>
      </c>
      <c r="B11232" t="s">
        <v>6691</v>
      </c>
      <c r="C11232" t="s">
        <v>5111</v>
      </c>
      <c r="D11232" t="s">
        <v>4022</v>
      </c>
      <c r="E11232" t="s">
        <v>1116</v>
      </c>
      <c r="F11232" t="s">
        <v>1068</v>
      </c>
      <c r="G11232" t="s">
        <v>1069</v>
      </c>
      <c r="H11232">
        <v>-1.6807632667886501</v>
      </c>
      <c r="I11232" t="s">
        <v>1070</v>
      </c>
      <c r="J11232">
        <v>9.81</v>
      </c>
    </row>
    <row r="11233" spans="1:10" hidden="1">
      <c r="A11233" t="s">
        <v>6690</v>
      </c>
      <c r="B11233" t="s">
        <v>6691</v>
      </c>
      <c r="C11233" t="s">
        <v>5111</v>
      </c>
      <c r="D11233" t="s">
        <v>4022</v>
      </c>
      <c r="E11233" t="s">
        <v>1116</v>
      </c>
      <c r="F11233" t="s">
        <v>1068</v>
      </c>
      <c r="G11233" t="s">
        <v>1071</v>
      </c>
      <c r="H11233" s="170">
        <v>-1.7506362031436299E-9</v>
      </c>
      <c r="I11233" t="s">
        <v>1072</v>
      </c>
      <c r="J11233">
        <v>9.81</v>
      </c>
    </row>
    <row r="11234" spans="1:10" hidden="1">
      <c r="A11234" t="s">
        <v>6690</v>
      </c>
      <c r="B11234" t="s">
        <v>6691</v>
      </c>
      <c r="C11234" t="s">
        <v>5111</v>
      </c>
      <c r="D11234" t="s">
        <v>4022</v>
      </c>
      <c r="E11234" t="s">
        <v>1116</v>
      </c>
      <c r="F11234" t="s">
        <v>1068</v>
      </c>
      <c r="G11234" t="s">
        <v>1073</v>
      </c>
      <c r="H11234" s="170">
        <v>-5.9381288209892103E-7</v>
      </c>
      <c r="I11234" t="s">
        <v>1074</v>
      </c>
      <c r="J11234">
        <v>9.81</v>
      </c>
    </row>
    <row r="11235" spans="1:10" hidden="1">
      <c r="A11235" t="s">
        <v>6690</v>
      </c>
      <c r="B11235" t="s">
        <v>6691</v>
      </c>
      <c r="C11235" t="s">
        <v>5111</v>
      </c>
      <c r="D11235" t="s">
        <v>4022</v>
      </c>
      <c r="E11235" t="s">
        <v>1116</v>
      </c>
      <c r="F11235" t="s">
        <v>1068</v>
      </c>
      <c r="G11235" t="s">
        <v>1075</v>
      </c>
      <c r="H11235">
        <v>-2.87038119980376E-2</v>
      </c>
      <c r="I11235" t="s">
        <v>1077</v>
      </c>
      <c r="J11235">
        <v>9.81</v>
      </c>
    </row>
    <row r="11236" spans="1:10" hidden="1">
      <c r="A11236" t="s">
        <v>6690</v>
      </c>
      <c r="B11236" t="s">
        <v>6691</v>
      </c>
      <c r="C11236" t="s">
        <v>5111</v>
      </c>
      <c r="D11236" t="s">
        <v>4022</v>
      </c>
      <c r="E11236" t="s">
        <v>1116</v>
      </c>
      <c r="F11236" t="s">
        <v>1068</v>
      </c>
      <c r="G11236" t="s">
        <v>1078</v>
      </c>
      <c r="H11236" s="171" t="s">
        <v>6692</v>
      </c>
      <c r="I11236" t="s">
        <v>1079</v>
      </c>
      <c r="J11236">
        <v>9.81</v>
      </c>
    </row>
    <row r="11237" spans="1:10" hidden="1">
      <c r="A11237" t="s">
        <v>6690</v>
      </c>
      <c r="B11237" t="s">
        <v>6691</v>
      </c>
      <c r="C11237" t="s">
        <v>5111</v>
      </c>
      <c r="D11237" t="s">
        <v>4022</v>
      </c>
      <c r="E11237" t="s">
        <v>1116</v>
      </c>
      <c r="F11237" t="s">
        <v>1068</v>
      </c>
      <c r="G11237" t="s">
        <v>1080</v>
      </c>
      <c r="H11237" s="170">
        <v>-9.4144123337011495E-9</v>
      </c>
      <c r="I11237" t="s">
        <v>1082</v>
      </c>
      <c r="J11237">
        <v>9.81</v>
      </c>
    </row>
    <row r="11238" spans="1:10" hidden="1">
      <c r="A11238" t="s">
        <v>6690</v>
      </c>
      <c r="B11238" t="s">
        <v>6691</v>
      </c>
      <c r="C11238" t="s">
        <v>5111</v>
      </c>
      <c r="D11238" t="s">
        <v>4022</v>
      </c>
      <c r="E11238" t="s">
        <v>1116</v>
      </c>
      <c r="F11238" t="s">
        <v>1068</v>
      </c>
      <c r="G11238" t="s">
        <v>1083</v>
      </c>
      <c r="H11238">
        <v>-2.24204288884794E-4</v>
      </c>
      <c r="I11238" t="s">
        <v>1084</v>
      </c>
      <c r="J11238">
        <v>9.81</v>
      </c>
    </row>
    <row r="11239" spans="1:10" hidden="1">
      <c r="A11239" t="s">
        <v>6690</v>
      </c>
      <c r="B11239" t="s">
        <v>6691</v>
      </c>
      <c r="C11239" t="s">
        <v>5111</v>
      </c>
      <c r="D11239" t="s">
        <v>4022</v>
      </c>
      <c r="E11239" t="s">
        <v>1116</v>
      </c>
      <c r="F11239" t="s">
        <v>1068</v>
      </c>
      <c r="G11239" t="s">
        <v>1085</v>
      </c>
      <c r="H11239">
        <v>-2.0374669508809499E-3</v>
      </c>
      <c r="I11239" t="s">
        <v>1086</v>
      </c>
      <c r="J11239">
        <v>9.81</v>
      </c>
    </row>
    <row r="11240" spans="1:10" hidden="1">
      <c r="A11240" t="s">
        <v>6690</v>
      </c>
      <c r="B11240" t="s">
        <v>6691</v>
      </c>
      <c r="C11240" t="s">
        <v>5111</v>
      </c>
      <c r="D11240" t="s">
        <v>4022</v>
      </c>
      <c r="E11240" t="s">
        <v>1116</v>
      </c>
      <c r="F11240" t="s">
        <v>1068</v>
      </c>
      <c r="G11240" t="s">
        <v>1087</v>
      </c>
      <c r="H11240" s="170">
        <v>-1.4249251736919201E-6</v>
      </c>
      <c r="I11240" t="s">
        <v>1088</v>
      </c>
      <c r="J11240">
        <v>9.81</v>
      </c>
    </row>
    <row r="11241" spans="1:10" hidden="1">
      <c r="A11241" t="s">
        <v>6690</v>
      </c>
      <c r="B11241" t="s">
        <v>6691</v>
      </c>
      <c r="C11241" t="s">
        <v>5111</v>
      </c>
      <c r="D11241" t="s">
        <v>4022</v>
      </c>
      <c r="E11241" t="s">
        <v>1116</v>
      </c>
      <c r="F11241" t="s">
        <v>1068</v>
      </c>
      <c r="G11241" t="s">
        <v>1089</v>
      </c>
      <c r="H11241">
        <v>-3.25742540643573E-4</v>
      </c>
      <c r="I11241" t="s">
        <v>1090</v>
      </c>
      <c r="J11241">
        <v>9.81</v>
      </c>
    </row>
    <row r="11242" spans="1:10" hidden="1">
      <c r="A11242" t="s">
        <v>6693</v>
      </c>
      <c r="B11242" t="s">
        <v>6694</v>
      </c>
      <c r="C11242" t="s">
        <v>5111</v>
      </c>
      <c r="D11242" t="s">
        <v>1455</v>
      </c>
      <c r="E11242" t="s">
        <v>561</v>
      </c>
      <c r="F11242" t="s">
        <v>1068</v>
      </c>
      <c r="G11242" t="s">
        <v>1069</v>
      </c>
      <c r="H11242">
        <v>-0.78042160506185398</v>
      </c>
      <c r="I11242" t="s">
        <v>1070</v>
      </c>
      <c r="J11242">
        <v>10.77</v>
      </c>
    </row>
    <row r="11243" spans="1:10" hidden="1">
      <c r="A11243" t="s">
        <v>6693</v>
      </c>
      <c r="B11243" t="s">
        <v>6694</v>
      </c>
      <c r="C11243" t="s">
        <v>5111</v>
      </c>
      <c r="D11243" t="s">
        <v>1455</v>
      </c>
      <c r="E11243" t="s">
        <v>561</v>
      </c>
      <c r="F11243" t="s">
        <v>1068</v>
      </c>
      <c r="G11243" t="s">
        <v>1071</v>
      </c>
      <c r="H11243" s="170">
        <v>-6.6593063591728305E-10</v>
      </c>
      <c r="I11243" t="s">
        <v>1072</v>
      </c>
      <c r="J11243">
        <v>10.77</v>
      </c>
    </row>
    <row r="11244" spans="1:10" hidden="1">
      <c r="A11244" t="s">
        <v>6693</v>
      </c>
      <c r="B11244" t="s">
        <v>6694</v>
      </c>
      <c r="C11244" t="s">
        <v>5111</v>
      </c>
      <c r="D11244" t="s">
        <v>1455</v>
      </c>
      <c r="E11244" t="s">
        <v>561</v>
      </c>
      <c r="F11244" t="s">
        <v>1068</v>
      </c>
      <c r="G11244" t="s">
        <v>1073</v>
      </c>
      <c r="H11244" s="170">
        <v>-2.67873517534708E-7</v>
      </c>
      <c r="I11244" t="s">
        <v>1074</v>
      </c>
      <c r="J11244">
        <v>10.77</v>
      </c>
    </row>
    <row r="11245" spans="1:10" hidden="1">
      <c r="A11245" t="s">
        <v>6693</v>
      </c>
      <c r="B11245" t="s">
        <v>6694</v>
      </c>
      <c r="C11245" t="s">
        <v>5111</v>
      </c>
      <c r="D11245" t="s">
        <v>1455</v>
      </c>
      <c r="E11245" t="s">
        <v>561</v>
      </c>
      <c r="F11245" t="s">
        <v>1068</v>
      </c>
      <c r="G11245" t="s">
        <v>1075</v>
      </c>
      <c r="H11245">
        <v>-1.22999650599589E-2</v>
      </c>
      <c r="I11245" t="s">
        <v>1077</v>
      </c>
      <c r="J11245">
        <v>10.77</v>
      </c>
    </row>
    <row r="11246" spans="1:10" hidden="1">
      <c r="A11246" t="s">
        <v>6693</v>
      </c>
      <c r="B11246" t="s">
        <v>6694</v>
      </c>
      <c r="C11246" t="s">
        <v>5111</v>
      </c>
      <c r="D11246" t="s">
        <v>1455</v>
      </c>
      <c r="E11246" t="s">
        <v>561</v>
      </c>
      <c r="F11246" t="s">
        <v>1068</v>
      </c>
      <c r="G11246" t="s">
        <v>1078</v>
      </c>
      <c r="H11246">
        <v>-0.33618802553575899</v>
      </c>
      <c r="I11246" t="s">
        <v>1079</v>
      </c>
      <c r="J11246">
        <v>10.77</v>
      </c>
    </row>
    <row r="11247" spans="1:10" hidden="1">
      <c r="A11247" t="s">
        <v>6693</v>
      </c>
      <c r="B11247" t="s">
        <v>6694</v>
      </c>
      <c r="C11247" t="s">
        <v>5111</v>
      </c>
      <c r="D11247" t="s">
        <v>1455</v>
      </c>
      <c r="E11247" t="s">
        <v>561</v>
      </c>
      <c r="F11247" t="s">
        <v>1068</v>
      </c>
      <c r="G11247" t="s">
        <v>1080</v>
      </c>
      <c r="H11247" s="170">
        <v>-4.4392727856585503E-9</v>
      </c>
      <c r="I11247" t="s">
        <v>1082</v>
      </c>
      <c r="J11247">
        <v>10.77</v>
      </c>
    </row>
    <row r="11248" spans="1:10" hidden="1">
      <c r="A11248" t="s">
        <v>6693</v>
      </c>
      <c r="B11248" t="s">
        <v>6694</v>
      </c>
      <c r="C11248" t="s">
        <v>5111</v>
      </c>
      <c r="D11248" t="s">
        <v>1455</v>
      </c>
      <c r="E11248" t="s">
        <v>561</v>
      </c>
      <c r="F11248" t="s">
        <v>1068</v>
      </c>
      <c r="G11248" t="s">
        <v>1083</v>
      </c>
      <c r="H11248">
        <v>-1.06871741372229E-4</v>
      </c>
      <c r="I11248" t="s">
        <v>1084</v>
      </c>
      <c r="J11248">
        <v>10.77</v>
      </c>
    </row>
    <row r="11249" spans="1:10" hidden="1">
      <c r="A11249" t="s">
        <v>6693</v>
      </c>
      <c r="B11249" t="s">
        <v>6694</v>
      </c>
      <c r="C11249" t="s">
        <v>5111</v>
      </c>
      <c r="D11249" t="s">
        <v>1455</v>
      </c>
      <c r="E11249" t="s">
        <v>561</v>
      </c>
      <c r="F11249" t="s">
        <v>1068</v>
      </c>
      <c r="G11249" t="s">
        <v>1085</v>
      </c>
      <c r="H11249">
        <v>-9.3022724064091295E-4</v>
      </c>
      <c r="I11249" t="s">
        <v>1086</v>
      </c>
      <c r="J11249">
        <v>10.77</v>
      </c>
    </row>
    <row r="11250" spans="1:10" hidden="1">
      <c r="A11250" t="s">
        <v>6693</v>
      </c>
      <c r="B11250" t="s">
        <v>6694</v>
      </c>
      <c r="C11250" t="s">
        <v>5111</v>
      </c>
      <c r="D11250" t="s">
        <v>1455</v>
      </c>
      <c r="E11250" t="s">
        <v>561</v>
      </c>
      <c r="F11250" t="s">
        <v>1068</v>
      </c>
      <c r="G11250" t="s">
        <v>1087</v>
      </c>
      <c r="H11250" s="170">
        <v>-6.9304542452320103E-7</v>
      </c>
      <c r="I11250" t="s">
        <v>1088</v>
      </c>
      <c r="J11250">
        <v>10.77</v>
      </c>
    </row>
    <row r="11251" spans="1:10" hidden="1">
      <c r="A11251" t="s">
        <v>6693</v>
      </c>
      <c r="B11251" t="s">
        <v>6694</v>
      </c>
      <c r="C11251" t="s">
        <v>5111</v>
      </c>
      <c r="D11251" t="s">
        <v>1455</v>
      </c>
      <c r="E11251" t="s">
        <v>561</v>
      </c>
      <c r="F11251" t="s">
        <v>1068</v>
      </c>
      <c r="G11251" t="s">
        <v>1089</v>
      </c>
      <c r="H11251">
        <v>-1.4237262706122899E-4</v>
      </c>
      <c r="I11251" t="s">
        <v>1090</v>
      </c>
      <c r="J11251">
        <v>10.77</v>
      </c>
    </row>
    <row r="11252" spans="1:10" hidden="1">
      <c r="A11252" t="s">
        <v>6695</v>
      </c>
      <c r="B11252" t="s">
        <v>6696</v>
      </c>
      <c r="C11252" t="s">
        <v>5111</v>
      </c>
      <c r="D11252" t="s">
        <v>1455</v>
      </c>
      <c r="E11252" t="s">
        <v>555</v>
      </c>
      <c r="F11252" t="s">
        <v>1068</v>
      </c>
      <c r="G11252" t="s">
        <v>1069</v>
      </c>
      <c r="H11252">
        <v>-0.88024866518077804</v>
      </c>
      <c r="I11252" t="s">
        <v>1070</v>
      </c>
      <c r="J11252">
        <v>8.7200000000000006</v>
      </c>
    </row>
    <row r="11253" spans="1:10" hidden="1">
      <c r="A11253" t="s">
        <v>6695</v>
      </c>
      <c r="B11253" t="s">
        <v>6696</v>
      </c>
      <c r="C11253" t="s">
        <v>5111</v>
      </c>
      <c r="D11253" t="s">
        <v>1455</v>
      </c>
      <c r="E11253" t="s">
        <v>555</v>
      </c>
      <c r="F11253" t="s">
        <v>1068</v>
      </c>
      <c r="G11253" t="s">
        <v>1071</v>
      </c>
      <c r="H11253" s="170">
        <v>-8.08784141071625E-10</v>
      </c>
      <c r="I11253" t="s">
        <v>1072</v>
      </c>
      <c r="J11253">
        <v>8.7200000000000006</v>
      </c>
    </row>
    <row r="11254" spans="1:10" hidden="1">
      <c r="A11254" t="s">
        <v>6695</v>
      </c>
      <c r="B11254" t="s">
        <v>6696</v>
      </c>
      <c r="C11254" t="s">
        <v>5111</v>
      </c>
      <c r="D11254" t="s">
        <v>1455</v>
      </c>
      <c r="E11254" t="s">
        <v>555</v>
      </c>
      <c r="F11254" t="s">
        <v>1068</v>
      </c>
      <c r="G11254" t="s">
        <v>1073</v>
      </c>
      <c r="H11254" s="170">
        <v>-3.0333304000499301E-7</v>
      </c>
      <c r="I11254" t="s">
        <v>1074</v>
      </c>
      <c r="J11254">
        <v>8.7200000000000006</v>
      </c>
    </row>
    <row r="11255" spans="1:10" hidden="1">
      <c r="A11255" t="s">
        <v>6695</v>
      </c>
      <c r="B11255" t="s">
        <v>6696</v>
      </c>
      <c r="C11255" t="s">
        <v>5111</v>
      </c>
      <c r="D11255" t="s">
        <v>1455</v>
      </c>
      <c r="E11255" t="s">
        <v>555</v>
      </c>
      <c r="F11255" t="s">
        <v>1068</v>
      </c>
      <c r="G11255" t="s">
        <v>1075</v>
      </c>
      <c r="H11255">
        <v>-1.54556748898602E-2</v>
      </c>
      <c r="I11255" t="s">
        <v>1077</v>
      </c>
      <c r="J11255">
        <v>8.7200000000000006</v>
      </c>
    </row>
    <row r="11256" spans="1:10" hidden="1">
      <c r="A11256" t="s">
        <v>6695</v>
      </c>
      <c r="B11256" t="s">
        <v>6696</v>
      </c>
      <c r="C11256" t="s">
        <v>5111</v>
      </c>
      <c r="D11256" t="s">
        <v>1455</v>
      </c>
      <c r="E11256" t="s">
        <v>555</v>
      </c>
      <c r="F11256" t="s">
        <v>1068</v>
      </c>
      <c r="G11256" t="s">
        <v>1078</v>
      </c>
      <c r="H11256">
        <v>-0.472653092583254</v>
      </c>
      <c r="I11256" t="s">
        <v>1079</v>
      </c>
      <c r="J11256">
        <v>8.7200000000000006</v>
      </c>
    </row>
    <row r="11257" spans="1:10" hidden="1">
      <c r="A11257" t="s">
        <v>6695</v>
      </c>
      <c r="B11257" t="s">
        <v>6696</v>
      </c>
      <c r="C11257" t="s">
        <v>5111</v>
      </c>
      <c r="D11257" t="s">
        <v>1455</v>
      </c>
      <c r="E11257" t="s">
        <v>555</v>
      </c>
      <c r="F11257" t="s">
        <v>1068</v>
      </c>
      <c r="G11257" t="s">
        <v>1080</v>
      </c>
      <c r="H11257" s="170">
        <v>-4.9941878589137002E-9</v>
      </c>
      <c r="I11257" t="s">
        <v>1082</v>
      </c>
      <c r="J11257">
        <v>8.7200000000000006</v>
      </c>
    </row>
    <row r="11258" spans="1:10" hidden="1">
      <c r="A11258" t="s">
        <v>6695</v>
      </c>
      <c r="B11258" t="s">
        <v>6696</v>
      </c>
      <c r="C11258" t="s">
        <v>5111</v>
      </c>
      <c r="D11258" t="s">
        <v>1455</v>
      </c>
      <c r="E11258" t="s">
        <v>555</v>
      </c>
      <c r="F11258" t="s">
        <v>1068</v>
      </c>
      <c r="G11258" t="s">
        <v>1083</v>
      </c>
      <c r="H11258">
        <v>-1.22045854994639E-4</v>
      </c>
      <c r="I11258" t="s">
        <v>1084</v>
      </c>
      <c r="J11258">
        <v>8.7200000000000006</v>
      </c>
    </row>
    <row r="11259" spans="1:10" hidden="1">
      <c r="A11259" t="s">
        <v>6695</v>
      </c>
      <c r="B11259" t="s">
        <v>6696</v>
      </c>
      <c r="C11259" t="s">
        <v>5111</v>
      </c>
      <c r="D11259" t="s">
        <v>1455</v>
      </c>
      <c r="E11259" t="s">
        <v>555</v>
      </c>
      <c r="F11259" t="s">
        <v>1068</v>
      </c>
      <c r="G11259" t="s">
        <v>1085</v>
      </c>
      <c r="H11259">
        <v>-1.1017255212895901E-3</v>
      </c>
      <c r="I11259" t="s">
        <v>1086</v>
      </c>
      <c r="J11259">
        <v>8.7200000000000006</v>
      </c>
    </row>
    <row r="11260" spans="1:10" hidden="1">
      <c r="A11260" t="s">
        <v>6695</v>
      </c>
      <c r="B11260" t="s">
        <v>6696</v>
      </c>
      <c r="C11260" t="s">
        <v>5111</v>
      </c>
      <c r="D11260" t="s">
        <v>1455</v>
      </c>
      <c r="E11260" t="s">
        <v>555</v>
      </c>
      <c r="F11260" t="s">
        <v>1068</v>
      </c>
      <c r="G11260" t="s">
        <v>1087</v>
      </c>
      <c r="H11260" s="170">
        <v>-7.7581127808053895E-7</v>
      </c>
      <c r="I11260" t="s">
        <v>1088</v>
      </c>
      <c r="J11260">
        <v>8.7200000000000006</v>
      </c>
    </row>
    <row r="11261" spans="1:10" hidden="1">
      <c r="A11261" t="s">
        <v>6695</v>
      </c>
      <c r="B11261" t="s">
        <v>6696</v>
      </c>
      <c r="C11261" t="s">
        <v>5111</v>
      </c>
      <c r="D11261" t="s">
        <v>1455</v>
      </c>
      <c r="E11261" t="s">
        <v>555</v>
      </c>
      <c r="F11261" t="s">
        <v>1068</v>
      </c>
      <c r="G11261" t="s">
        <v>1089</v>
      </c>
      <c r="H11261">
        <v>-1.77752383575221E-4</v>
      </c>
      <c r="I11261" t="s">
        <v>1090</v>
      </c>
      <c r="J11261">
        <v>8.7200000000000006</v>
      </c>
    </row>
    <row r="11262" spans="1:10" hidden="1">
      <c r="A11262" t="s">
        <v>6697</v>
      </c>
      <c r="B11262" t="s">
        <v>6698</v>
      </c>
      <c r="C11262" t="s">
        <v>5111</v>
      </c>
      <c r="D11262" t="s">
        <v>1455</v>
      </c>
      <c r="E11262" t="s">
        <v>558</v>
      </c>
      <c r="F11262" t="s">
        <v>1068</v>
      </c>
      <c r="G11262" t="s">
        <v>1069</v>
      </c>
      <c r="H11262">
        <v>-0.77158253200141602</v>
      </c>
      <c r="I11262" t="s">
        <v>1070</v>
      </c>
      <c r="J11262">
        <v>9.35</v>
      </c>
    </row>
    <row r="11263" spans="1:10" hidden="1">
      <c r="A11263" t="s">
        <v>6697</v>
      </c>
      <c r="B11263" t="s">
        <v>6698</v>
      </c>
      <c r="C11263" t="s">
        <v>5111</v>
      </c>
      <c r="D11263" t="s">
        <v>1455</v>
      </c>
      <c r="E11263" t="s">
        <v>558</v>
      </c>
      <c r="F11263" t="s">
        <v>1068</v>
      </c>
      <c r="G11263" t="s">
        <v>1071</v>
      </c>
      <c r="H11263" s="170">
        <v>-6.5328182180668497E-10</v>
      </c>
      <c r="I11263" t="s">
        <v>1072</v>
      </c>
      <c r="J11263">
        <v>9.35</v>
      </c>
    </row>
    <row r="11264" spans="1:10" hidden="1">
      <c r="A11264" t="s">
        <v>6697</v>
      </c>
      <c r="B11264" t="s">
        <v>6698</v>
      </c>
      <c r="C11264" t="s">
        <v>5111</v>
      </c>
      <c r="D11264" t="s">
        <v>1455</v>
      </c>
      <c r="E11264" t="s">
        <v>558</v>
      </c>
      <c r="F11264" t="s">
        <v>1068</v>
      </c>
      <c r="G11264" t="s">
        <v>1073</v>
      </c>
      <c r="H11264" s="170">
        <v>-2.6473385081511098E-7</v>
      </c>
      <c r="I11264" t="s">
        <v>1074</v>
      </c>
      <c r="J11264">
        <v>9.35</v>
      </c>
    </row>
    <row r="11265" spans="1:10" hidden="1">
      <c r="A11265" t="s">
        <v>6697</v>
      </c>
      <c r="B11265" t="s">
        <v>6698</v>
      </c>
      <c r="C11265" t="s">
        <v>5111</v>
      </c>
      <c r="D11265" t="s">
        <v>1455</v>
      </c>
      <c r="E11265" t="s">
        <v>558</v>
      </c>
      <c r="F11265" t="s">
        <v>1068</v>
      </c>
      <c r="G11265" t="s">
        <v>1075</v>
      </c>
      <c r="H11265">
        <v>-1.20205525180064E-2</v>
      </c>
      <c r="I11265" t="s">
        <v>1077</v>
      </c>
      <c r="J11265">
        <v>9.35</v>
      </c>
    </row>
    <row r="11266" spans="1:10" hidden="1">
      <c r="A11266" t="s">
        <v>6697</v>
      </c>
      <c r="B11266" t="s">
        <v>6698</v>
      </c>
      <c r="C11266" t="s">
        <v>5111</v>
      </c>
      <c r="D11266" t="s">
        <v>1455</v>
      </c>
      <c r="E11266" t="s">
        <v>558</v>
      </c>
      <c r="F11266" t="s">
        <v>1068</v>
      </c>
      <c r="G11266" t="s">
        <v>1078</v>
      </c>
      <c r="H11266">
        <v>-0.32410514941745999</v>
      </c>
      <c r="I11266" t="s">
        <v>1079</v>
      </c>
      <c r="J11266">
        <v>9.35</v>
      </c>
    </row>
    <row r="11267" spans="1:10" hidden="1">
      <c r="A11267" t="s">
        <v>6697</v>
      </c>
      <c r="B11267" t="s">
        <v>6698</v>
      </c>
      <c r="C11267" t="s">
        <v>5111</v>
      </c>
      <c r="D11267" t="s">
        <v>1455</v>
      </c>
      <c r="E11267" t="s">
        <v>558</v>
      </c>
      <c r="F11267" t="s">
        <v>1068</v>
      </c>
      <c r="G11267" t="s">
        <v>1080</v>
      </c>
      <c r="H11267" s="170">
        <v>-4.3901395511575497E-9</v>
      </c>
      <c r="I11267" t="s">
        <v>1082</v>
      </c>
      <c r="J11267">
        <v>9.35</v>
      </c>
    </row>
    <row r="11268" spans="1:10" hidden="1">
      <c r="A11268" t="s">
        <v>6697</v>
      </c>
      <c r="B11268" t="s">
        <v>6698</v>
      </c>
      <c r="C11268" t="s">
        <v>5111</v>
      </c>
      <c r="D11268" t="s">
        <v>1455</v>
      </c>
      <c r="E11268" t="s">
        <v>558</v>
      </c>
      <c r="F11268" t="s">
        <v>1068</v>
      </c>
      <c r="G11268" t="s">
        <v>1083</v>
      </c>
      <c r="H11268">
        <v>-1.0552819654410101E-4</v>
      </c>
      <c r="I11268" t="s">
        <v>1084</v>
      </c>
      <c r="J11268">
        <v>9.35</v>
      </c>
    </row>
    <row r="11269" spans="1:10" hidden="1">
      <c r="A11269" t="s">
        <v>6697</v>
      </c>
      <c r="B11269" t="s">
        <v>6698</v>
      </c>
      <c r="C11269" t="s">
        <v>5111</v>
      </c>
      <c r="D11269" t="s">
        <v>1455</v>
      </c>
      <c r="E11269" t="s">
        <v>558</v>
      </c>
      <c r="F11269" t="s">
        <v>1068</v>
      </c>
      <c r="G11269" t="s">
        <v>1085</v>
      </c>
      <c r="H11269">
        <v>-9.1504245726054597E-4</v>
      </c>
      <c r="I11269" t="s">
        <v>1086</v>
      </c>
      <c r="J11269">
        <v>9.35</v>
      </c>
    </row>
    <row r="11270" spans="1:10" hidden="1">
      <c r="A11270" t="s">
        <v>6697</v>
      </c>
      <c r="B11270" t="s">
        <v>6698</v>
      </c>
      <c r="C11270" t="s">
        <v>5111</v>
      </c>
      <c r="D11270" t="s">
        <v>1455</v>
      </c>
      <c r="E11270" t="s">
        <v>558</v>
      </c>
      <c r="F11270" t="s">
        <v>1068</v>
      </c>
      <c r="G11270" t="s">
        <v>1087</v>
      </c>
      <c r="H11270" s="170">
        <v>-6.8571717872989201E-7</v>
      </c>
      <c r="I11270" t="s">
        <v>1088</v>
      </c>
      <c r="J11270">
        <v>9.35</v>
      </c>
    </row>
    <row r="11271" spans="1:10" hidden="1">
      <c r="A11271" t="s">
        <v>6697</v>
      </c>
      <c r="B11271" t="s">
        <v>6698</v>
      </c>
      <c r="C11271" t="s">
        <v>5111</v>
      </c>
      <c r="D11271" t="s">
        <v>1455</v>
      </c>
      <c r="E11271" t="s">
        <v>558</v>
      </c>
      <c r="F11271" t="s">
        <v>1068</v>
      </c>
      <c r="G11271" t="s">
        <v>1089</v>
      </c>
      <c r="H11271">
        <v>-1.39240036235799E-4</v>
      </c>
      <c r="I11271" t="s">
        <v>1090</v>
      </c>
      <c r="J11271">
        <v>9.35</v>
      </c>
    </row>
    <row r="11272" spans="1:10" hidden="1">
      <c r="A11272" t="s">
        <v>6699</v>
      </c>
      <c r="B11272" t="s">
        <v>6700</v>
      </c>
      <c r="C11272" t="s">
        <v>5111</v>
      </c>
      <c r="D11272" t="s">
        <v>1455</v>
      </c>
      <c r="E11272" t="s">
        <v>553</v>
      </c>
      <c r="F11272" t="s">
        <v>1068</v>
      </c>
      <c r="G11272" t="s">
        <v>1069</v>
      </c>
      <c r="H11272">
        <v>-0.76292326922534304</v>
      </c>
      <c r="I11272" t="s">
        <v>1070</v>
      </c>
      <c r="J11272">
        <v>9.91</v>
      </c>
    </row>
    <row r="11273" spans="1:10" hidden="1">
      <c r="A11273" t="s">
        <v>6699</v>
      </c>
      <c r="B11273" t="s">
        <v>6700</v>
      </c>
      <c r="C11273" t="s">
        <v>5111</v>
      </c>
      <c r="D11273" t="s">
        <v>1455</v>
      </c>
      <c r="E11273" t="s">
        <v>553</v>
      </c>
      <c r="F11273" t="s">
        <v>1068</v>
      </c>
      <c r="G11273" t="s">
        <v>1071</v>
      </c>
      <c r="H11273" s="170">
        <v>-6.4089016466191397E-10</v>
      </c>
      <c r="I11273" t="s">
        <v>1072</v>
      </c>
      <c r="J11273">
        <v>9.91</v>
      </c>
    </row>
    <row r="11274" spans="1:10" hidden="1">
      <c r="A11274" t="s">
        <v>6699</v>
      </c>
      <c r="B11274" t="s">
        <v>6700</v>
      </c>
      <c r="C11274" t="s">
        <v>5111</v>
      </c>
      <c r="D11274" t="s">
        <v>1455</v>
      </c>
      <c r="E11274" t="s">
        <v>553</v>
      </c>
      <c r="F11274" t="s">
        <v>1068</v>
      </c>
      <c r="G11274" t="s">
        <v>1073</v>
      </c>
      <c r="H11274" s="170">
        <v>-2.6165868812146599E-7</v>
      </c>
      <c r="I11274" t="s">
        <v>1074</v>
      </c>
      <c r="J11274">
        <v>9.91</v>
      </c>
    </row>
    <row r="11275" spans="1:10" hidden="1">
      <c r="A11275" t="s">
        <v>6699</v>
      </c>
      <c r="B11275" t="s">
        <v>6700</v>
      </c>
      <c r="C11275" t="s">
        <v>5111</v>
      </c>
      <c r="D11275" t="s">
        <v>1455</v>
      </c>
      <c r="E11275" t="s">
        <v>553</v>
      </c>
      <c r="F11275" t="s">
        <v>1068</v>
      </c>
      <c r="G11275" t="s">
        <v>1075</v>
      </c>
      <c r="H11275">
        <v>-1.1746893788570099E-2</v>
      </c>
      <c r="I11275" t="s">
        <v>1077</v>
      </c>
      <c r="J11275">
        <v>9.91</v>
      </c>
    </row>
    <row r="11276" spans="1:10" hidden="1">
      <c r="A11276" t="s">
        <v>6699</v>
      </c>
      <c r="B11276" t="s">
        <v>6700</v>
      </c>
      <c r="C11276" t="s">
        <v>5111</v>
      </c>
      <c r="D11276" t="s">
        <v>1455</v>
      </c>
      <c r="E11276" t="s">
        <v>553</v>
      </c>
      <c r="F11276" t="s">
        <v>1068</v>
      </c>
      <c r="G11276" t="s">
        <v>1078</v>
      </c>
      <c r="H11276">
        <v>-0.31227109153327198</v>
      </c>
      <c r="I11276" t="s">
        <v>1079</v>
      </c>
      <c r="J11276">
        <v>9.91</v>
      </c>
    </row>
    <row r="11277" spans="1:10" hidden="1">
      <c r="A11277" t="s">
        <v>6699</v>
      </c>
      <c r="B11277" t="s">
        <v>6700</v>
      </c>
      <c r="C11277" t="s">
        <v>5111</v>
      </c>
      <c r="D11277" t="s">
        <v>1455</v>
      </c>
      <c r="E11277" t="s">
        <v>553</v>
      </c>
      <c r="F11277" t="s">
        <v>1068</v>
      </c>
      <c r="G11277" t="s">
        <v>1080</v>
      </c>
      <c r="H11277" s="170">
        <v>-4.3420180948461702E-9</v>
      </c>
      <c r="I11277" t="s">
        <v>1082</v>
      </c>
      <c r="J11277">
        <v>9.91</v>
      </c>
    </row>
    <row r="11278" spans="1:10" hidden="1">
      <c r="A11278" t="s">
        <v>6699</v>
      </c>
      <c r="B11278" t="s">
        <v>6700</v>
      </c>
      <c r="C11278" t="s">
        <v>5111</v>
      </c>
      <c r="D11278" t="s">
        <v>1455</v>
      </c>
      <c r="E11278" t="s">
        <v>553</v>
      </c>
      <c r="F11278" t="s">
        <v>1068</v>
      </c>
      <c r="G11278" t="s">
        <v>1083</v>
      </c>
      <c r="H11278">
        <v>-1.0421231884597301E-4</v>
      </c>
      <c r="I11278" t="s">
        <v>1084</v>
      </c>
      <c r="J11278">
        <v>9.91</v>
      </c>
    </row>
    <row r="11279" spans="1:10" hidden="1">
      <c r="A11279" t="s">
        <v>6699</v>
      </c>
      <c r="B11279" t="s">
        <v>6700</v>
      </c>
      <c r="C11279" t="s">
        <v>5111</v>
      </c>
      <c r="D11279" t="s">
        <v>1455</v>
      </c>
      <c r="E11279" t="s">
        <v>553</v>
      </c>
      <c r="F11279" t="s">
        <v>1068</v>
      </c>
      <c r="G11279" t="s">
        <v>1085</v>
      </c>
      <c r="H11279">
        <v>-9.0017036834344705E-4</v>
      </c>
      <c r="I11279" t="s">
        <v>1086</v>
      </c>
      <c r="J11279">
        <v>9.91</v>
      </c>
    </row>
    <row r="11280" spans="1:10" hidden="1">
      <c r="A11280" t="s">
        <v>6699</v>
      </c>
      <c r="B11280" t="s">
        <v>6700</v>
      </c>
      <c r="C11280" t="s">
        <v>5111</v>
      </c>
      <c r="D11280" t="s">
        <v>1455</v>
      </c>
      <c r="E11280" t="s">
        <v>553</v>
      </c>
      <c r="F11280" t="s">
        <v>1068</v>
      </c>
      <c r="G11280" t="s">
        <v>1087</v>
      </c>
      <c r="H11280" s="170">
        <v>-6.7853984096489604E-7</v>
      </c>
      <c r="I11280" t="s">
        <v>1088</v>
      </c>
      <c r="J11280">
        <v>9.91</v>
      </c>
    </row>
    <row r="11281" spans="1:10" hidden="1">
      <c r="A11281" t="s">
        <v>6699</v>
      </c>
      <c r="B11281" t="s">
        <v>6700</v>
      </c>
      <c r="C11281" t="s">
        <v>5111</v>
      </c>
      <c r="D11281" t="s">
        <v>1455</v>
      </c>
      <c r="E11281" t="s">
        <v>553</v>
      </c>
      <c r="F11281" t="s">
        <v>1068</v>
      </c>
      <c r="G11281" t="s">
        <v>1089</v>
      </c>
      <c r="H11281">
        <v>-1.3617195354066199E-4</v>
      </c>
      <c r="I11281" t="s">
        <v>1090</v>
      </c>
      <c r="J11281">
        <v>9.91</v>
      </c>
    </row>
    <row r="11282" spans="1:10" hidden="1">
      <c r="A11282" t="s">
        <v>6701</v>
      </c>
      <c r="B11282" t="s">
        <v>6702</v>
      </c>
      <c r="C11282" t="s">
        <v>5111</v>
      </c>
      <c r="D11282" t="s">
        <v>1455</v>
      </c>
      <c r="E11282" t="s">
        <v>556</v>
      </c>
      <c r="F11282" t="s">
        <v>1068</v>
      </c>
      <c r="G11282" t="s">
        <v>1069</v>
      </c>
      <c r="H11282">
        <v>-0.869220987460114</v>
      </c>
      <c r="I11282" t="s">
        <v>1070</v>
      </c>
      <c r="J11282">
        <v>11.42</v>
      </c>
    </row>
    <row r="11283" spans="1:10" hidden="1">
      <c r="A11283" t="s">
        <v>6701</v>
      </c>
      <c r="B11283" t="s">
        <v>6702</v>
      </c>
      <c r="C11283" t="s">
        <v>5111</v>
      </c>
      <c r="D11283" t="s">
        <v>1455</v>
      </c>
      <c r="E11283" t="s">
        <v>556</v>
      </c>
      <c r="F11283" t="s">
        <v>1068</v>
      </c>
      <c r="G11283" t="s">
        <v>1071</v>
      </c>
      <c r="H11283" s="170">
        <v>-7.9300340879269902E-10</v>
      </c>
      <c r="I11283" t="s">
        <v>1072</v>
      </c>
      <c r="J11283">
        <v>11.42</v>
      </c>
    </row>
    <row r="11284" spans="1:10" hidden="1">
      <c r="A11284" t="s">
        <v>6701</v>
      </c>
      <c r="B11284" t="s">
        <v>6702</v>
      </c>
      <c r="C11284" t="s">
        <v>5111</v>
      </c>
      <c r="D11284" t="s">
        <v>1455</v>
      </c>
      <c r="E11284" t="s">
        <v>556</v>
      </c>
      <c r="F11284" t="s">
        <v>1068</v>
      </c>
      <c r="G11284" t="s">
        <v>1073</v>
      </c>
      <c r="H11284" s="170">
        <v>-2.99415973984914E-7</v>
      </c>
      <c r="I11284" t="s">
        <v>1074</v>
      </c>
      <c r="J11284">
        <v>11.42</v>
      </c>
    </row>
    <row r="11285" spans="1:10" hidden="1">
      <c r="A11285" t="s">
        <v>6701</v>
      </c>
      <c r="B11285" t="s">
        <v>6702</v>
      </c>
      <c r="C11285" t="s">
        <v>5111</v>
      </c>
      <c r="D11285" t="s">
        <v>1455</v>
      </c>
      <c r="E11285" t="s">
        <v>556</v>
      </c>
      <c r="F11285" t="s">
        <v>1068</v>
      </c>
      <c r="G11285" t="s">
        <v>1075</v>
      </c>
      <c r="H11285">
        <v>-1.51070782165795E-2</v>
      </c>
      <c r="I11285" t="s">
        <v>1077</v>
      </c>
      <c r="J11285">
        <v>11.42</v>
      </c>
    </row>
    <row r="11286" spans="1:10" hidden="1">
      <c r="A11286" t="s">
        <v>6701</v>
      </c>
      <c r="B11286" t="s">
        <v>6702</v>
      </c>
      <c r="C11286" t="s">
        <v>5111</v>
      </c>
      <c r="D11286" t="s">
        <v>1455</v>
      </c>
      <c r="E11286" t="s">
        <v>556</v>
      </c>
      <c r="F11286" t="s">
        <v>1068</v>
      </c>
      <c r="G11286" t="s">
        <v>1078</v>
      </c>
      <c r="H11286">
        <v>-0.45757842775586899</v>
      </c>
      <c r="I11286" t="s">
        <v>1079</v>
      </c>
      <c r="J11286">
        <v>11.42</v>
      </c>
    </row>
    <row r="11287" spans="1:10" hidden="1">
      <c r="A11287" t="s">
        <v>6701</v>
      </c>
      <c r="B11287" t="s">
        <v>6702</v>
      </c>
      <c r="C11287" t="s">
        <v>5111</v>
      </c>
      <c r="D11287" t="s">
        <v>1455</v>
      </c>
      <c r="E11287" t="s">
        <v>556</v>
      </c>
      <c r="F11287" t="s">
        <v>1068</v>
      </c>
      <c r="G11287" t="s">
        <v>1080</v>
      </c>
      <c r="H11287" s="170">
        <v>-4.9328889566707397E-9</v>
      </c>
      <c r="I11287" t="s">
        <v>1082</v>
      </c>
      <c r="J11287">
        <v>11.42</v>
      </c>
    </row>
    <row r="11288" spans="1:10" hidden="1">
      <c r="A11288" t="s">
        <v>6701</v>
      </c>
      <c r="B11288" t="s">
        <v>6702</v>
      </c>
      <c r="C11288" t="s">
        <v>5111</v>
      </c>
      <c r="D11288" t="s">
        <v>1455</v>
      </c>
      <c r="E11288" t="s">
        <v>556</v>
      </c>
      <c r="F11288" t="s">
        <v>1068</v>
      </c>
      <c r="G11288" t="s">
        <v>1083</v>
      </c>
      <c r="H11288">
        <v>-1.20369640841129E-4</v>
      </c>
      <c r="I11288" t="s">
        <v>1084</v>
      </c>
      <c r="J11288">
        <v>11.42</v>
      </c>
    </row>
    <row r="11289" spans="1:10" hidden="1">
      <c r="A11289" t="s">
        <v>6701</v>
      </c>
      <c r="B11289" t="s">
        <v>6702</v>
      </c>
      <c r="C11289" t="s">
        <v>5111</v>
      </c>
      <c r="D11289" t="s">
        <v>1455</v>
      </c>
      <c r="E11289" t="s">
        <v>556</v>
      </c>
      <c r="F11289" t="s">
        <v>1068</v>
      </c>
      <c r="G11289" t="s">
        <v>1085</v>
      </c>
      <c r="H11289">
        <v>-1.0827808993556899E-3</v>
      </c>
      <c r="I11289" t="s">
        <v>1086</v>
      </c>
      <c r="J11289">
        <v>11.42</v>
      </c>
    </row>
    <row r="11290" spans="1:10" hidden="1">
      <c r="A11290" t="s">
        <v>6701</v>
      </c>
      <c r="B11290" t="s">
        <v>6702</v>
      </c>
      <c r="C11290" t="s">
        <v>5111</v>
      </c>
      <c r="D11290" t="s">
        <v>1455</v>
      </c>
      <c r="E11290" t="s">
        <v>556</v>
      </c>
      <c r="F11290" t="s">
        <v>1068</v>
      </c>
      <c r="G11290" t="s">
        <v>1087</v>
      </c>
      <c r="H11290" s="170">
        <v>-7.6666851703381E-7</v>
      </c>
      <c r="I11290" t="s">
        <v>1088</v>
      </c>
      <c r="J11290">
        <v>11.42</v>
      </c>
    </row>
    <row r="11291" spans="1:10" hidden="1">
      <c r="A11291" t="s">
        <v>6701</v>
      </c>
      <c r="B11291" t="s">
        <v>6702</v>
      </c>
      <c r="C11291" t="s">
        <v>5111</v>
      </c>
      <c r="D11291" t="s">
        <v>1455</v>
      </c>
      <c r="E11291" t="s">
        <v>556</v>
      </c>
      <c r="F11291" t="s">
        <v>1068</v>
      </c>
      <c r="G11291" t="s">
        <v>1089</v>
      </c>
      <c r="H11291">
        <v>-1.73844145480885E-4</v>
      </c>
      <c r="I11291" t="s">
        <v>1090</v>
      </c>
      <c r="J11291">
        <v>11.42</v>
      </c>
    </row>
    <row r="11292" spans="1:10" hidden="1">
      <c r="A11292" t="s">
        <v>6703</v>
      </c>
      <c r="B11292" t="s">
        <v>6704</v>
      </c>
      <c r="C11292" t="s">
        <v>5111</v>
      </c>
      <c r="D11292" t="s">
        <v>1455</v>
      </c>
      <c r="E11292" t="s">
        <v>557</v>
      </c>
      <c r="F11292" t="s">
        <v>1068</v>
      </c>
      <c r="G11292" t="s">
        <v>1069</v>
      </c>
      <c r="H11292">
        <v>-0.80809174681626394</v>
      </c>
      <c r="I11292" t="s">
        <v>1070</v>
      </c>
      <c r="J11292">
        <v>11.76</v>
      </c>
    </row>
    <row r="11293" spans="1:10" hidden="1">
      <c r="A11293" t="s">
        <v>6703</v>
      </c>
      <c r="B11293" t="s">
        <v>6704</v>
      </c>
      <c r="C11293" t="s">
        <v>5111</v>
      </c>
      <c r="D11293" t="s">
        <v>1455</v>
      </c>
      <c r="E11293" t="s">
        <v>557</v>
      </c>
      <c r="F11293" t="s">
        <v>1068</v>
      </c>
      <c r="G11293" t="s">
        <v>1071</v>
      </c>
      <c r="H11293" s="170">
        <v>-7.0552692356785195E-10</v>
      </c>
      <c r="I11293" t="s">
        <v>1072</v>
      </c>
      <c r="J11293">
        <v>11.76</v>
      </c>
    </row>
    <row r="11294" spans="1:10" hidden="1">
      <c r="A11294" t="s">
        <v>6703</v>
      </c>
      <c r="B11294" t="s">
        <v>6704</v>
      </c>
      <c r="C11294" t="s">
        <v>5111</v>
      </c>
      <c r="D11294" t="s">
        <v>1455</v>
      </c>
      <c r="E11294" t="s">
        <v>557</v>
      </c>
      <c r="F11294" t="s">
        <v>1068</v>
      </c>
      <c r="G11294" t="s">
        <v>1073</v>
      </c>
      <c r="H11294" s="170">
        <v>-2.7770203943953402E-7</v>
      </c>
      <c r="I11294" t="s">
        <v>1074</v>
      </c>
      <c r="J11294">
        <v>11.76</v>
      </c>
    </row>
    <row r="11295" spans="1:10" hidden="1">
      <c r="A11295" t="s">
        <v>6703</v>
      </c>
      <c r="B11295" t="s">
        <v>6704</v>
      </c>
      <c r="C11295" t="s">
        <v>5111</v>
      </c>
      <c r="D11295" t="s">
        <v>1455</v>
      </c>
      <c r="E11295" t="s">
        <v>557</v>
      </c>
      <c r="F11295" t="s">
        <v>1068</v>
      </c>
      <c r="G11295" t="s">
        <v>1075</v>
      </c>
      <c r="H11295">
        <v>-1.31746477999836E-2</v>
      </c>
      <c r="I11295" t="s">
        <v>1077</v>
      </c>
      <c r="J11295">
        <v>11.76</v>
      </c>
    </row>
    <row r="11296" spans="1:10" hidden="1">
      <c r="A11296" t="s">
        <v>6703</v>
      </c>
      <c r="B11296" t="s">
        <v>6704</v>
      </c>
      <c r="C11296" t="s">
        <v>5111</v>
      </c>
      <c r="D11296" t="s">
        <v>1455</v>
      </c>
      <c r="E11296" t="s">
        <v>557</v>
      </c>
      <c r="F11296" t="s">
        <v>1068</v>
      </c>
      <c r="G11296" t="s">
        <v>1078</v>
      </c>
      <c r="H11296">
        <v>-0.37401268121043302</v>
      </c>
      <c r="I11296" t="s">
        <v>1079</v>
      </c>
      <c r="J11296">
        <v>11.76</v>
      </c>
    </row>
    <row r="11297" spans="1:10" hidden="1">
      <c r="A11297" t="s">
        <v>6703</v>
      </c>
      <c r="B11297" t="s">
        <v>6704</v>
      </c>
      <c r="C11297" t="s">
        <v>5111</v>
      </c>
      <c r="D11297" t="s">
        <v>1455</v>
      </c>
      <c r="E11297" t="s">
        <v>557</v>
      </c>
      <c r="F11297" t="s">
        <v>1068</v>
      </c>
      <c r="G11297" t="s">
        <v>1080</v>
      </c>
      <c r="H11297" s="170">
        <v>-4.5930811719225399E-9</v>
      </c>
      <c r="I11297" t="s">
        <v>1082</v>
      </c>
      <c r="J11297">
        <v>11.76</v>
      </c>
    </row>
    <row r="11298" spans="1:10" hidden="1">
      <c r="A11298" t="s">
        <v>6703</v>
      </c>
      <c r="B11298" t="s">
        <v>6704</v>
      </c>
      <c r="C11298" t="s">
        <v>5111</v>
      </c>
      <c r="D11298" t="s">
        <v>1455</v>
      </c>
      <c r="E11298" t="s">
        <v>557</v>
      </c>
      <c r="F11298" t="s">
        <v>1068</v>
      </c>
      <c r="G11298" t="s">
        <v>1083</v>
      </c>
      <c r="H11298">
        <v>-1.11077620834195E-4</v>
      </c>
      <c r="I11298" t="s">
        <v>1084</v>
      </c>
      <c r="J11298">
        <v>11.76</v>
      </c>
    </row>
    <row r="11299" spans="1:10" hidden="1">
      <c r="A11299" t="s">
        <v>6703</v>
      </c>
      <c r="B11299" t="s">
        <v>6704</v>
      </c>
      <c r="C11299" t="s">
        <v>5111</v>
      </c>
      <c r="D11299" t="s">
        <v>1455</v>
      </c>
      <c r="E11299" t="s">
        <v>557</v>
      </c>
      <c r="F11299" t="s">
        <v>1068</v>
      </c>
      <c r="G11299" t="s">
        <v>1085</v>
      </c>
      <c r="H11299">
        <v>-9.7776221470117705E-4</v>
      </c>
      <c r="I11299" t="s">
        <v>1086</v>
      </c>
      <c r="J11299">
        <v>11.76</v>
      </c>
    </row>
    <row r="11300" spans="1:10" hidden="1">
      <c r="A11300" t="s">
        <v>6703</v>
      </c>
      <c r="B11300" t="s">
        <v>6704</v>
      </c>
      <c r="C11300" t="s">
        <v>5111</v>
      </c>
      <c r="D11300" t="s">
        <v>1455</v>
      </c>
      <c r="E11300" t="s">
        <v>557</v>
      </c>
      <c r="F11300" t="s">
        <v>1068</v>
      </c>
      <c r="G11300" t="s">
        <v>1087</v>
      </c>
      <c r="H11300" s="170">
        <v>-7.1598602005008496E-7</v>
      </c>
      <c r="I11300" t="s">
        <v>1088</v>
      </c>
      <c r="J11300">
        <v>11.76</v>
      </c>
    </row>
    <row r="11301" spans="1:10" hidden="1">
      <c r="A11301" t="s">
        <v>6703</v>
      </c>
      <c r="B11301" t="s">
        <v>6704</v>
      </c>
      <c r="C11301" t="s">
        <v>5111</v>
      </c>
      <c r="D11301" t="s">
        <v>1455</v>
      </c>
      <c r="E11301" t="s">
        <v>557</v>
      </c>
      <c r="F11301" t="s">
        <v>1068</v>
      </c>
      <c r="G11301" t="s">
        <v>1089</v>
      </c>
      <c r="H11301">
        <v>-1.5217899834083401E-4</v>
      </c>
      <c r="I11301" t="s">
        <v>1090</v>
      </c>
      <c r="J11301">
        <v>11.76</v>
      </c>
    </row>
    <row r="11302" spans="1:10" hidden="1">
      <c r="A11302" t="s">
        <v>6705</v>
      </c>
      <c r="B11302" t="s">
        <v>6706</v>
      </c>
      <c r="C11302" t="s">
        <v>5111</v>
      </c>
      <c r="D11302" t="s">
        <v>1455</v>
      </c>
      <c r="E11302" t="s">
        <v>559</v>
      </c>
      <c r="F11302" t="s">
        <v>1068</v>
      </c>
      <c r="G11302" t="s">
        <v>1069</v>
      </c>
      <c r="H11302">
        <v>-0.83762483219322303</v>
      </c>
      <c r="I11302" t="s">
        <v>1070</v>
      </c>
      <c r="J11302">
        <v>10.8</v>
      </c>
    </row>
    <row r="11303" spans="1:10" hidden="1">
      <c r="A11303" t="s">
        <v>6705</v>
      </c>
      <c r="B11303" t="s">
        <v>6706</v>
      </c>
      <c r="C11303" t="s">
        <v>5111</v>
      </c>
      <c r="D11303" t="s">
        <v>1455</v>
      </c>
      <c r="E11303" t="s">
        <v>559</v>
      </c>
      <c r="F11303" t="s">
        <v>1068</v>
      </c>
      <c r="G11303" t="s">
        <v>1071</v>
      </c>
      <c r="H11303" s="170">
        <v>-7.4778895114000702E-10</v>
      </c>
      <c r="I11303" t="s">
        <v>1072</v>
      </c>
      <c r="J11303">
        <v>10.8</v>
      </c>
    </row>
    <row r="11304" spans="1:10" hidden="1">
      <c r="A11304" t="s">
        <v>6705</v>
      </c>
      <c r="B11304" t="s">
        <v>6706</v>
      </c>
      <c r="C11304" t="s">
        <v>5111</v>
      </c>
      <c r="D11304" t="s">
        <v>1455</v>
      </c>
      <c r="E11304" t="s">
        <v>559</v>
      </c>
      <c r="F11304" t="s">
        <v>1068</v>
      </c>
      <c r="G11304" t="s">
        <v>1073</v>
      </c>
      <c r="H11304" s="170">
        <v>-2.8819291965779402E-7</v>
      </c>
      <c r="I11304" t="s">
        <v>1074</v>
      </c>
      <c r="J11304">
        <v>10.8</v>
      </c>
    </row>
    <row r="11305" spans="1:10" hidden="1">
      <c r="A11305" t="s">
        <v>6705</v>
      </c>
      <c r="B11305" t="s">
        <v>6706</v>
      </c>
      <c r="C11305" t="s">
        <v>5111</v>
      </c>
      <c r="D11305" t="s">
        <v>1455</v>
      </c>
      <c r="E11305" t="s">
        <v>559</v>
      </c>
      <c r="F11305" t="s">
        <v>1068</v>
      </c>
      <c r="G11305" t="s">
        <v>1075</v>
      </c>
      <c r="H11305">
        <v>-1.4108289995384099E-2</v>
      </c>
      <c r="I11305" t="s">
        <v>1077</v>
      </c>
      <c r="J11305">
        <v>10.8</v>
      </c>
    </row>
    <row r="11306" spans="1:10" hidden="1">
      <c r="A11306" t="s">
        <v>6705</v>
      </c>
      <c r="B11306" t="s">
        <v>6706</v>
      </c>
      <c r="C11306" t="s">
        <v>5111</v>
      </c>
      <c r="D11306" t="s">
        <v>1455</v>
      </c>
      <c r="E11306" t="s">
        <v>559</v>
      </c>
      <c r="F11306" t="s">
        <v>1068</v>
      </c>
      <c r="G11306" t="s">
        <v>1078</v>
      </c>
      <c r="H11306">
        <v>-0.41438697235161298</v>
      </c>
      <c r="I11306" t="s">
        <v>1079</v>
      </c>
      <c r="J11306">
        <v>10.8</v>
      </c>
    </row>
    <row r="11307" spans="1:10" hidden="1">
      <c r="A11307" t="s">
        <v>6705</v>
      </c>
      <c r="B11307" t="s">
        <v>6706</v>
      </c>
      <c r="C11307" t="s">
        <v>5111</v>
      </c>
      <c r="D11307" t="s">
        <v>1455</v>
      </c>
      <c r="E11307" t="s">
        <v>559</v>
      </c>
      <c r="F11307" t="s">
        <v>1068</v>
      </c>
      <c r="G11307" t="s">
        <v>1080</v>
      </c>
      <c r="H11307" s="170">
        <v>-4.7572572704696903E-9</v>
      </c>
      <c r="I11307" t="s">
        <v>1082</v>
      </c>
      <c r="J11307">
        <v>10.8</v>
      </c>
    </row>
    <row r="11308" spans="1:10" hidden="1">
      <c r="A11308" t="s">
        <v>6705</v>
      </c>
      <c r="B11308" t="s">
        <v>6706</v>
      </c>
      <c r="C11308" t="s">
        <v>5111</v>
      </c>
      <c r="D11308" t="s">
        <v>1455</v>
      </c>
      <c r="E11308" t="s">
        <v>559</v>
      </c>
      <c r="F11308" t="s">
        <v>1068</v>
      </c>
      <c r="G11308" t="s">
        <v>1083</v>
      </c>
      <c r="H11308">
        <v>-1.15567004783326E-4</v>
      </c>
      <c r="I11308" t="s">
        <v>1084</v>
      </c>
      <c r="J11308">
        <v>10.8</v>
      </c>
    </row>
    <row r="11309" spans="1:10" hidden="1">
      <c r="A11309" t="s">
        <v>6705</v>
      </c>
      <c r="B11309" t="s">
        <v>6706</v>
      </c>
      <c r="C11309" t="s">
        <v>5111</v>
      </c>
      <c r="D11309" t="s">
        <v>1455</v>
      </c>
      <c r="E11309" t="s">
        <v>559</v>
      </c>
      <c r="F11309" t="s">
        <v>1068</v>
      </c>
      <c r="G11309" t="s">
        <v>1085</v>
      </c>
      <c r="H11309">
        <v>-1.0285013646012899E-3</v>
      </c>
      <c r="I11309" t="s">
        <v>1086</v>
      </c>
      <c r="J11309">
        <v>10.8</v>
      </c>
    </row>
    <row r="11310" spans="1:10" hidden="1">
      <c r="A11310" t="s">
        <v>6705</v>
      </c>
      <c r="B11310" t="s">
        <v>6706</v>
      </c>
      <c r="C11310" t="s">
        <v>5111</v>
      </c>
      <c r="D11310" t="s">
        <v>1455</v>
      </c>
      <c r="E11310" t="s">
        <v>559</v>
      </c>
      <c r="F11310" t="s">
        <v>1068</v>
      </c>
      <c r="G11310" t="s">
        <v>1087</v>
      </c>
      <c r="H11310" s="170">
        <v>-7.4047296572017496E-7</v>
      </c>
      <c r="I11310" t="s">
        <v>1088</v>
      </c>
      <c r="J11310">
        <v>10.8</v>
      </c>
    </row>
    <row r="11311" spans="1:10" hidden="1">
      <c r="A11311" t="s">
        <v>6705</v>
      </c>
      <c r="B11311" t="s">
        <v>6706</v>
      </c>
      <c r="C11311" t="s">
        <v>5111</v>
      </c>
      <c r="D11311" t="s">
        <v>1455</v>
      </c>
      <c r="E11311" t="s">
        <v>559</v>
      </c>
      <c r="F11311" t="s">
        <v>1068</v>
      </c>
      <c r="G11311" t="s">
        <v>1089</v>
      </c>
      <c r="H11311">
        <v>-1.6264638464880899E-4</v>
      </c>
      <c r="I11311" t="s">
        <v>1090</v>
      </c>
      <c r="J11311">
        <v>10.8</v>
      </c>
    </row>
    <row r="11312" spans="1:10" hidden="1">
      <c r="A11312" t="s">
        <v>6707</v>
      </c>
      <c r="B11312" t="s">
        <v>6708</v>
      </c>
      <c r="C11312" t="s">
        <v>5111</v>
      </c>
      <c r="D11312" t="s">
        <v>1455</v>
      </c>
      <c r="E11312" t="s">
        <v>560</v>
      </c>
      <c r="F11312" t="s">
        <v>1068</v>
      </c>
      <c r="G11312" t="s">
        <v>1069</v>
      </c>
      <c r="H11312">
        <v>-0.82756332805085198</v>
      </c>
      <c r="I11312" t="s">
        <v>1070</v>
      </c>
      <c r="J11312">
        <v>9</v>
      </c>
    </row>
    <row r="11313" spans="1:10" hidden="1">
      <c r="A11313" t="s">
        <v>6707</v>
      </c>
      <c r="B11313" t="s">
        <v>6708</v>
      </c>
      <c r="C11313" t="s">
        <v>5111</v>
      </c>
      <c r="D11313" t="s">
        <v>1455</v>
      </c>
      <c r="E11313" t="s">
        <v>560</v>
      </c>
      <c r="F11313" t="s">
        <v>1068</v>
      </c>
      <c r="G11313" t="s">
        <v>1071</v>
      </c>
      <c r="H11313" s="170">
        <v>-7.3339097784048196E-10</v>
      </c>
      <c r="I11313" t="s">
        <v>1072</v>
      </c>
      <c r="J11313">
        <v>9</v>
      </c>
    </row>
    <row r="11314" spans="1:10" hidden="1">
      <c r="A11314" t="s">
        <v>6707</v>
      </c>
      <c r="B11314" t="s">
        <v>6708</v>
      </c>
      <c r="C11314" t="s">
        <v>5111</v>
      </c>
      <c r="D11314" t="s">
        <v>1455</v>
      </c>
      <c r="E11314" t="s">
        <v>560</v>
      </c>
      <c r="F11314" t="s">
        <v>1068</v>
      </c>
      <c r="G11314" t="s">
        <v>1073</v>
      </c>
      <c r="H11314" s="170">
        <v>-2.8461840670589402E-7</v>
      </c>
      <c r="I11314" t="s">
        <v>1074</v>
      </c>
      <c r="J11314">
        <v>9</v>
      </c>
    </row>
    <row r="11315" spans="1:10" hidden="1">
      <c r="A11315" t="s">
        <v>6707</v>
      </c>
      <c r="B11315" t="s">
        <v>6708</v>
      </c>
      <c r="C11315" t="s">
        <v>5111</v>
      </c>
      <c r="D11315" t="s">
        <v>1455</v>
      </c>
      <c r="E11315" t="s">
        <v>560</v>
      </c>
      <c r="F11315" t="s">
        <v>1068</v>
      </c>
      <c r="G11315" t="s">
        <v>1075</v>
      </c>
      <c r="H11315">
        <v>-1.37901652837043E-2</v>
      </c>
      <c r="I11315" t="s">
        <v>1077</v>
      </c>
      <c r="J11315">
        <v>9</v>
      </c>
    </row>
    <row r="11316" spans="1:10" hidden="1">
      <c r="A11316" t="s">
        <v>6707</v>
      </c>
      <c r="B11316" t="s">
        <v>6708</v>
      </c>
      <c r="C11316" t="s">
        <v>5111</v>
      </c>
      <c r="D11316" t="s">
        <v>1455</v>
      </c>
      <c r="E11316" t="s">
        <v>560</v>
      </c>
      <c r="F11316" t="s">
        <v>1068</v>
      </c>
      <c r="G11316" t="s">
        <v>1078</v>
      </c>
      <c r="H11316">
        <v>-0.40063003150001603</v>
      </c>
      <c r="I11316" t="s">
        <v>1079</v>
      </c>
      <c r="J11316">
        <v>9</v>
      </c>
    </row>
    <row r="11317" spans="1:10" hidden="1">
      <c r="A11317" t="s">
        <v>6707</v>
      </c>
      <c r="B11317" t="s">
        <v>6708</v>
      </c>
      <c r="C11317" t="s">
        <v>5111</v>
      </c>
      <c r="D11317" t="s">
        <v>1455</v>
      </c>
      <c r="E11317" t="s">
        <v>560</v>
      </c>
      <c r="F11317" t="s">
        <v>1068</v>
      </c>
      <c r="G11317" t="s">
        <v>1080</v>
      </c>
      <c r="H11317" s="170">
        <v>-4.7013167029972098E-9</v>
      </c>
      <c r="I11317" t="s">
        <v>1082</v>
      </c>
      <c r="J11317">
        <v>9</v>
      </c>
    </row>
    <row r="11318" spans="1:10" hidden="1">
      <c r="A11318" t="s">
        <v>6707</v>
      </c>
      <c r="B11318" t="s">
        <v>6708</v>
      </c>
      <c r="C11318" t="s">
        <v>5111</v>
      </c>
      <c r="D11318" t="s">
        <v>1455</v>
      </c>
      <c r="E11318" t="s">
        <v>560</v>
      </c>
      <c r="F11318" t="s">
        <v>1068</v>
      </c>
      <c r="G11318" t="s">
        <v>1083</v>
      </c>
      <c r="H11318">
        <v>-1.14037313788912E-4</v>
      </c>
      <c r="I11318" t="s">
        <v>1084</v>
      </c>
      <c r="J11318">
        <v>9</v>
      </c>
    </row>
    <row r="11319" spans="1:10" hidden="1">
      <c r="A11319" t="s">
        <v>6707</v>
      </c>
      <c r="B11319" t="s">
        <v>6708</v>
      </c>
      <c r="C11319" t="s">
        <v>5111</v>
      </c>
      <c r="D11319" t="s">
        <v>1455</v>
      </c>
      <c r="E11319" t="s">
        <v>560</v>
      </c>
      <c r="F11319" t="s">
        <v>1068</v>
      </c>
      <c r="G11319" t="s">
        <v>1085</v>
      </c>
      <c r="H11319">
        <v>-1.0112127520028301E-3</v>
      </c>
      <c r="I11319" t="s">
        <v>1086</v>
      </c>
      <c r="J11319">
        <v>9</v>
      </c>
    </row>
    <row r="11320" spans="1:10" hidden="1">
      <c r="A11320" t="s">
        <v>6707</v>
      </c>
      <c r="B11320" t="s">
        <v>6708</v>
      </c>
      <c r="C11320" t="s">
        <v>5111</v>
      </c>
      <c r="D11320" t="s">
        <v>1455</v>
      </c>
      <c r="E11320" t="s">
        <v>560</v>
      </c>
      <c r="F11320" t="s">
        <v>1068</v>
      </c>
      <c r="G11320" t="s">
        <v>1087</v>
      </c>
      <c r="H11320" s="170">
        <v>-7.3212940208752199E-7</v>
      </c>
      <c r="I11320" t="s">
        <v>1088</v>
      </c>
      <c r="J11320">
        <v>9</v>
      </c>
    </row>
    <row r="11321" spans="1:10" hidden="1">
      <c r="A11321" t="s">
        <v>6707</v>
      </c>
      <c r="B11321" t="s">
        <v>6708</v>
      </c>
      <c r="C11321" t="s">
        <v>5111</v>
      </c>
      <c r="D11321" t="s">
        <v>1455</v>
      </c>
      <c r="E11321" t="s">
        <v>560</v>
      </c>
      <c r="F11321" t="s">
        <v>1068</v>
      </c>
      <c r="G11321" t="s">
        <v>1089</v>
      </c>
      <c r="H11321">
        <v>-1.5907977813018199E-4</v>
      </c>
      <c r="I11321" t="s">
        <v>1090</v>
      </c>
      <c r="J11321">
        <v>9</v>
      </c>
    </row>
    <row r="11322" spans="1:10" hidden="1">
      <c r="A11322" t="s">
        <v>6709</v>
      </c>
      <c r="B11322" t="s">
        <v>6710</v>
      </c>
      <c r="C11322" t="s">
        <v>5111</v>
      </c>
      <c r="D11322" t="s">
        <v>1455</v>
      </c>
      <c r="E11322" t="s">
        <v>1116</v>
      </c>
      <c r="F11322" t="s">
        <v>1068</v>
      </c>
      <c r="G11322" t="s">
        <v>1069</v>
      </c>
      <c r="H11322">
        <v>-0.768465120840504</v>
      </c>
      <c r="I11322" t="s">
        <v>1070</v>
      </c>
      <c r="J11322">
        <v>8.06</v>
      </c>
    </row>
    <row r="11323" spans="1:10" hidden="1">
      <c r="A11323" t="s">
        <v>6709</v>
      </c>
      <c r="B11323" t="s">
        <v>6710</v>
      </c>
      <c r="C11323" t="s">
        <v>5111</v>
      </c>
      <c r="D11323" t="s">
        <v>1455</v>
      </c>
      <c r="E11323" t="s">
        <v>1116</v>
      </c>
      <c r="F11323" t="s">
        <v>1068</v>
      </c>
      <c r="G11323" t="s">
        <v>1071</v>
      </c>
      <c r="H11323" s="170">
        <v>-6.48820770968992E-10</v>
      </c>
      <c r="I11323" t="s">
        <v>1072</v>
      </c>
      <c r="J11323">
        <v>8.06</v>
      </c>
    </row>
    <row r="11324" spans="1:10" hidden="1">
      <c r="A11324" t="s">
        <v>6709</v>
      </c>
      <c r="B11324" t="s">
        <v>6710</v>
      </c>
      <c r="C11324" t="s">
        <v>5111</v>
      </c>
      <c r="D11324" t="s">
        <v>1455</v>
      </c>
      <c r="E11324" t="s">
        <v>1116</v>
      </c>
      <c r="F11324" t="s">
        <v>1068</v>
      </c>
      <c r="G11324" t="s">
        <v>1073</v>
      </c>
      <c r="H11324" s="170">
        <v>-2.6362653650666601E-7</v>
      </c>
      <c r="I11324" t="s">
        <v>1074</v>
      </c>
      <c r="J11324">
        <v>8.06</v>
      </c>
    </row>
    <row r="11325" spans="1:10" hidden="1">
      <c r="A11325" t="s">
        <v>6709</v>
      </c>
      <c r="B11325" t="s">
        <v>6710</v>
      </c>
      <c r="C11325" t="s">
        <v>5111</v>
      </c>
      <c r="D11325" t="s">
        <v>1455</v>
      </c>
      <c r="E11325" t="s">
        <v>1116</v>
      </c>
      <c r="F11325" t="s">
        <v>1068</v>
      </c>
      <c r="G11325" t="s">
        <v>1075</v>
      </c>
      <c r="H11325">
        <v>-1.1922007820975E-2</v>
      </c>
      <c r="I11325" t="s">
        <v>1077</v>
      </c>
      <c r="J11325">
        <v>8.06</v>
      </c>
    </row>
    <row r="11326" spans="1:10" hidden="1">
      <c r="A11326" t="s">
        <v>6709</v>
      </c>
      <c r="B11326" t="s">
        <v>6710</v>
      </c>
      <c r="C11326" t="s">
        <v>5111</v>
      </c>
      <c r="D11326" t="s">
        <v>1455</v>
      </c>
      <c r="E11326" t="s">
        <v>1116</v>
      </c>
      <c r="F11326" t="s">
        <v>1068</v>
      </c>
      <c r="G11326" t="s">
        <v>1078</v>
      </c>
      <c r="H11326">
        <v>-0.319843696592085</v>
      </c>
      <c r="I11326" t="s">
        <v>1079</v>
      </c>
      <c r="J11326">
        <v>8.06</v>
      </c>
    </row>
    <row r="11327" spans="1:10" hidden="1">
      <c r="A11327" t="s">
        <v>6709</v>
      </c>
      <c r="B11327" t="s">
        <v>6710</v>
      </c>
      <c r="C11327" t="s">
        <v>5111</v>
      </c>
      <c r="D11327" t="s">
        <v>1455</v>
      </c>
      <c r="E11327" t="s">
        <v>1116</v>
      </c>
      <c r="F11327" t="s">
        <v>1068</v>
      </c>
      <c r="G11327" t="s">
        <v>1080</v>
      </c>
      <c r="H11327" s="170">
        <v>-4.3728109814582402E-9</v>
      </c>
      <c r="I11327" t="s">
        <v>1082</v>
      </c>
      <c r="J11327">
        <v>8.06</v>
      </c>
    </row>
    <row r="11328" spans="1:10" hidden="1">
      <c r="A11328" t="s">
        <v>6709</v>
      </c>
      <c r="B11328" t="s">
        <v>6710</v>
      </c>
      <c r="C11328" t="s">
        <v>5111</v>
      </c>
      <c r="D11328" t="s">
        <v>1455</v>
      </c>
      <c r="E11328" t="s">
        <v>1116</v>
      </c>
      <c r="F11328" t="s">
        <v>1068</v>
      </c>
      <c r="G11328" t="s">
        <v>1083</v>
      </c>
      <c r="H11328">
        <v>-1.05054348029245E-4</v>
      </c>
      <c r="I11328" t="s">
        <v>1084</v>
      </c>
      <c r="J11328">
        <v>8.06</v>
      </c>
    </row>
    <row r="11329" spans="1:10" hidden="1">
      <c r="A11329" t="s">
        <v>6709</v>
      </c>
      <c r="B11329" t="s">
        <v>6710</v>
      </c>
      <c r="C11329" t="s">
        <v>5111</v>
      </c>
      <c r="D11329" t="s">
        <v>1455</v>
      </c>
      <c r="E11329" t="s">
        <v>1116</v>
      </c>
      <c r="F11329" t="s">
        <v>1068</v>
      </c>
      <c r="G11329" t="s">
        <v>1085</v>
      </c>
      <c r="H11329">
        <v>-9.09687007332451E-4</v>
      </c>
      <c r="I11329" t="s">
        <v>1086</v>
      </c>
      <c r="J11329">
        <v>8.06</v>
      </c>
    </row>
    <row r="11330" spans="1:10" hidden="1">
      <c r="A11330" t="s">
        <v>6709</v>
      </c>
      <c r="B11330" t="s">
        <v>6710</v>
      </c>
      <c r="C11330" t="s">
        <v>5111</v>
      </c>
      <c r="D11330" t="s">
        <v>1455</v>
      </c>
      <c r="E11330" t="s">
        <v>1116</v>
      </c>
      <c r="F11330" t="s">
        <v>1068</v>
      </c>
      <c r="G11330" t="s">
        <v>1087</v>
      </c>
      <c r="H11330" s="170">
        <v>-6.8313261414152704E-7</v>
      </c>
      <c r="I11330" t="s">
        <v>1088</v>
      </c>
      <c r="J11330">
        <v>8.06</v>
      </c>
    </row>
    <row r="11331" spans="1:10" hidden="1">
      <c r="A11331" t="s">
        <v>6709</v>
      </c>
      <c r="B11331" t="s">
        <v>6710</v>
      </c>
      <c r="C11331" t="s">
        <v>5111</v>
      </c>
      <c r="D11331" t="s">
        <v>1455</v>
      </c>
      <c r="E11331" t="s">
        <v>1116</v>
      </c>
      <c r="F11331" t="s">
        <v>1068</v>
      </c>
      <c r="G11331" t="s">
        <v>1089</v>
      </c>
      <c r="H11331">
        <v>-1.3813521749123301E-4</v>
      </c>
      <c r="I11331" t="s">
        <v>1090</v>
      </c>
      <c r="J11331">
        <v>8.06</v>
      </c>
    </row>
    <row r="11332" spans="1:10" hidden="1">
      <c r="A11332" t="s">
        <v>6711</v>
      </c>
      <c r="B11332" t="s">
        <v>6712</v>
      </c>
      <c r="C11332" t="s">
        <v>5111</v>
      </c>
      <c r="D11332" t="s">
        <v>544</v>
      </c>
      <c r="E11332" t="s">
        <v>561</v>
      </c>
      <c r="F11332" t="s">
        <v>1068</v>
      </c>
      <c r="G11332" t="s">
        <v>1069</v>
      </c>
      <c r="H11332">
        <v>-0.65722197640549096</v>
      </c>
      <c r="I11332" t="s">
        <v>1070</v>
      </c>
      <c r="J11332">
        <v>9.7200000000000006</v>
      </c>
    </row>
    <row r="11333" spans="1:10" hidden="1">
      <c r="A11333" t="s">
        <v>6711</v>
      </c>
      <c r="B11333" t="s">
        <v>6712</v>
      </c>
      <c r="C11333" t="s">
        <v>5111</v>
      </c>
      <c r="D11333" t="s">
        <v>544</v>
      </c>
      <c r="E11333" t="s">
        <v>561</v>
      </c>
      <c r="F11333" t="s">
        <v>1068</v>
      </c>
      <c r="G11333" t="s">
        <v>1071</v>
      </c>
      <c r="H11333" s="170">
        <v>-6.3647987930770705E-10</v>
      </c>
      <c r="I11333" t="s">
        <v>1072</v>
      </c>
      <c r="J11333">
        <v>9.7200000000000006</v>
      </c>
    </row>
    <row r="11334" spans="1:10" hidden="1">
      <c r="A11334" t="s">
        <v>6711</v>
      </c>
      <c r="B11334" t="s">
        <v>6712</v>
      </c>
      <c r="C11334" t="s">
        <v>5111</v>
      </c>
      <c r="D11334" t="s">
        <v>544</v>
      </c>
      <c r="E11334" t="s">
        <v>561</v>
      </c>
      <c r="F11334" t="s">
        <v>1068</v>
      </c>
      <c r="G11334" t="s">
        <v>1073</v>
      </c>
      <c r="H11334" s="170">
        <v>-2.2995512123577899E-7</v>
      </c>
      <c r="I11334" t="s">
        <v>1074</v>
      </c>
      <c r="J11334">
        <v>9.7200000000000006</v>
      </c>
    </row>
    <row r="11335" spans="1:10" hidden="1">
      <c r="A11335" t="s">
        <v>6711</v>
      </c>
      <c r="B11335" t="s">
        <v>6712</v>
      </c>
      <c r="C11335" t="s">
        <v>5111</v>
      </c>
      <c r="D11335" t="s">
        <v>544</v>
      </c>
      <c r="E11335" t="s">
        <v>561</v>
      </c>
      <c r="F11335" t="s">
        <v>1068</v>
      </c>
      <c r="G11335" t="s">
        <v>1075</v>
      </c>
      <c r="H11335">
        <v>-1.07927169084672E-2</v>
      </c>
      <c r="I11335" t="s">
        <v>1077</v>
      </c>
      <c r="J11335">
        <v>9.7200000000000006</v>
      </c>
    </row>
    <row r="11336" spans="1:10" hidden="1">
      <c r="A11336" t="s">
        <v>6711</v>
      </c>
      <c r="B11336" t="s">
        <v>6712</v>
      </c>
      <c r="C11336" t="s">
        <v>5111</v>
      </c>
      <c r="D11336" t="s">
        <v>544</v>
      </c>
      <c r="E11336" t="s">
        <v>561</v>
      </c>
      <c r="F11336" t="s">
        <v>1068</v>
      </c>
      <c r="G11336" t="s">
        <v>1078</v>
      </c>
      <c r="H11336">
        <v>-0.249886023988273</v>
      </c>
      <c r="I11336" t="s">
        <v>1079</v>
      </c>
      <c r="J11336">
        <v>9.7200000000000006</v>
      </c>
    </row>
    <row r="11337" spans="1:10" hidden="1">
      <c r="A11337" t="s">
        <v>6711</v>
      </c>
      <c r="B11337" t="s">
        <v>6712</v>
      </c>
      <c r="C11337" t="s">
        <v>5111</v>
      </c>
      <c r="D11337" t="s">
        <v>544</v>
      </c>
      <c r="E11337" t="s">
        <v>561</v>
      </c>
      <c r="F11337" t="s">
        <v>1068</v>
      </c>
      <c r="G11337" t="s">
        <v>1080</v>
      </c>
      <c r="H11337" s="170">
        <v>-3.7253095958355903E-9</v>
      </c>
      <c r="I11337" t="s">
        <v>1082</v>
      </c>
      <c r="J11337">
        <v>9.7200000000000006</v>
      </c>
    </row>
    <row r="11338" spans="1:10" hidden="1">
      <c r="A11338" t="s">
        <v>6711</v>
      </c>
      <c r="B11338" t="s">
        <v>6712</v>
      </c>
      <c r="C11338" t="s">
        <v>5111</v>
      </c>
      <c r="D11338" t="s">
        <v>544</v>
      </c>
      <c r="E11338" t="s">
        <v>561</v>
      </c>
      <c r="F11338" t="s">
        <v>1068</v>
      </c>
      <c r="G11338" t="s">
        <v>1083</v>
      </c>
      <c r="H11338" s="170">
        <v>-8.8715735400733101E-5</v>
      </c>
      <c r="I11338" t="s">
        <v>1084</v>
      </c>
      <c r="J11338">
        <v>9.7200000000000006</v>
      </c>
    </row>
    <row r="11339" spans="1:10" hidden="1">
      <c r="A11339" t="s">
        <v>6711</v>
      </c>
      <c r="B11339" t="s">
        <v>6712</v>
      </c>
      <c r="C11339" t="s">
        <v>5111</v>
      </c>
      <c r="D11339" t="s">
        <v>544</v>
      </c>
      <c r="E11339" t="s">
        <v>561</v>
      </c>
      <c r="F11339" t="s">
        <v>1068</v>
      </c>
      <c r="G11339" t="s">
        <v>1085</v>
      </c>
      <c r="H11339">
        <v>-7.7937386340597105E-4</v>
      </c>
      <c r="I11339" t="s">
        <v>1086</v>
      </c>
      <c r="J11339">
        <v>9.7200000000000006</v>
      </c>
    </row>
    <row r="11340" spans="1:10" hidden="1">
      <c r="A11340" t="s">
        <v>6711</v>
      </c>
      <c r="B11340" t="s">
        <v>6712</v>
      </c>
      <c r="C11340" t="s">
        <v>5111</v>
      </c>
      <c r="D11340" t="s">
        <v>544</v>
      </c>
      <c r="E11340" t="s">
        <v>561</v>
      </c>
      <c r="F11340" t="s">
        <v>1068</v>
      </c>
      <c r="G11340" t="s">
        <v>1087</v>
      </c>
      <c r="H11340" s="170">
        <v>-5.7642754746306304E-7</v>
      </c>
      <c r="I11340" t="s">
        <v>1088</v>
      </c>
      <c r="J11340">
        <v>9.7200000000000006</v>
      </c>
    </row>
    <row r="11341" spans="1:10" hidden="1">
      <c r="A11341" t="s">
        <v>6711</v>
      </c>
      <c r="B11341" t="s">
        <v>6712</v>
      </c>
      <c r="C11341" t="s">
        <v>5111</v>
      </c>
      <c r="D11341" t="s">
        <v>544</v>
      </c>
      <c r="E11341" t="s">
        <v>561</v>
      </c>
      <c r="F11341" t="s">
        <v>1068</v>
      </c>
      <c r="G11341" t="s">
        <v>1089</v>
      </c>
      <c r="H11341">
        <v>-1.23443428518012E-4</v>
      </c>
      <c r="I11341" t="s">
        <v>1090</v>
      </c>
      <c r="J11341">
        <v>9.7200000000000006</v>
      </c>
    </row>
    <row r="11342" spans="1:10" hidden="1">
      <c r="A11342" t="s">
        <v>6713</v>
      </c>
      <c r="B11342" t="s">
        <v>6714</v>
      </c>
      <c r="C11342" t="s">
        <v>5111</v>
      </c>
      <c r="D11342" t="s">
        <v>544</v>
      </c>
      <c r="E11342" t="s">
        <v>555</v>
      </c>
      <c r="F11342" t="s">
        <v>1068</v>
      </c>
      <c r="G11342" t="s">
        <v>1069</v>
      </c>
      <c r="H11342">
        <v>-0.73977159892952904</v>
      </c>
      <c r="I11342" t="s">
        <v>1070</v>
      </c>
      <c r="J11342">
        <v>8.17</v>
      </c>
    </row>
    <row r="11343" spans="1:10" hidden="1">
      <c r="A11343" t="s">
        <v>6713</v>
      </c>
      <c r="B11343" t="s">
        <v>6714</v>
      </c>
      <c r="C11343" t="s">
        <v>5111</v>
      </c>
      <c r="D11343" t="s">
        <v>544</v>
      </c>
      <c r="E11343" t="s">
        <v>555</v>
      </c>
      <c r="F11343" t="s">
        <v>1068</v>
      </c>
      <c r="G11343" t="s">
        <v>1071</v>
      </c>
      <c r="H11343" s="170">
        <v>-7.5460931465530101E-10</v>
      </c>
      <c r="I11343" t="s">
        <v>1072</v>
      </c>
      <c r="J11343">
        <v>8.17</v>
      </c>
    </row>
    <row r="11344" spans="1:10" hidden="1">
      <c r="A11344" t="s">
        <v>6713</v>
      </c>
      <c r="B11344" t="s">
        <v>6714</v>
      </c>
      <c r="C11344" t="s">
        <v>5111</v>
      </c>
      <c r="D11344" t="s">
        <v>544</v>
      </c>
      <c r="E11344" t="s">
        <v>555</v>
      </c>
      <c r="F11344" t="s">
        <v>1068</v>
      </c>
      <c r="G11344" t="s">
        <v>1073</v>
      </c>
      <c r="H11344" s="170">
        <v>-2.59277064743433E-7</v>
      </c>
      <c r="I11344" t="s">
        <v>1074</v>
      </c>
      <c r="J11344">
        <v>8.17</v>
      </c>
    </row>
    <row r="11345" spans="1:10" hidden="1">
      <c r="A11345" t="s">
        <v>6713</v>
      </c>
      <c r="B11345" t="s">
        <v>6714</v>
      </c>
      <c r="C11345" t="s">
        <v>5111</v>
      </c>
      <c r="D11345" t="s">
        <v>544</v>
      </c>
      <c r="E11345" t="s">
        <v>555</v>
      </c>
      <c r="F11345" t="s">
        <v>1068</v>
      </c>
      <c r="G11345" t="s">
        <v>1075</v>
      </c>
      <c r="H11345">
        <v>-1.340220486258E-2</v>
      </c>
      <c r="I11345" t="s">
        <v>1077</v>
      </c>
      <c r="J11345">
        <v>8.17</v>
      </c>
    </row>
    <row r="11346" spans="1:10" hidden="1">
      <c r="A11346" t="s">
        <v>6713</v>
      </c>
      <c r="B11346" t="s">
        <v>6714</v>
      </c>
      <c r="C11346" t="s">
        <v>5111</v>
      </c>
      <c r="D11346" t="s">
        <v>544</v>
      </c>
      <c r="E11346" t="s">
        <v>555</v>
      </c>
      <c r="F11346" t="s">
        <v>1068</v>
      </c>
      <c r="G11346" t="s">
        <v>1078</v>
      </c>
      <c r="H11346">
        <v>-0.36273034905280199</v>
      </c>
      <c r="I11346" t="s">
        <v>1079</v>
      </c>
      <c r="J11346">
        <v>8.17</v>
      </c>
    </row>
    <row r="11347" spans="1:10" hidden="1">
      <c r="A11347" t="s">
        <v>6713</v>
      </c>
      <c r="B11347" t="s">
        <v>6714</v>
      </c>
      <c r="C11347" t="s">
        <v>5111</v>
      </c>
      <c r="D11347" t="s">
        <v>544</v>
      </c>
      <c r="E11347" t="s">
        <v>555</v>
      </c>
      <c r="F11347" t="s">
        <v>1068</v>
      </c>
      <c r="G11347" t="s">
        <v>1080</v>
      </c>
      <c r="H11347" s="170">
        <v>-4.1841744080220503E-9</v>
      </c>
      <c r="I11347" t="s">
        <v>1082</v>
      </c>
      <c r="J11347">
        <v>8.17</v>
      </c>
    </row>
    <row r="11348" spans="1:10" hidden="1">
      <c r="A11348" t="s">
        <v>6713</v>
      </c>
      <c r="B11348" t="s">
        <v>6714</v>
      </c>
      <c r="C11348" t="s">
        <v>5111</v>
      </c>
      <c r="D11348" t="s">
        <v>544</v>
      </c>
      <c r="E11348" t="s">
        <v>555</v>
      </c>
      <c r="F11348" t="s">
        <v>1068</v>
      </c>
      <c r="G11348" t="s">
        <v>1083</v>
      </c>
      <c r="H11348">
        <v>-1.0126336130075601E-4</v>
      </c>
      <c r="I11348" t="s">
        <v>1084</v>
      </c>
      <c r="J11348">
        <v>8.17</v>
      </c>
    </row>
    <row r="11349" spans="1:10" hidden="1">
      <c r="A11349" t="s">
        <v>6713</v>
      </c>
      <c r="B11349" t="s">
        <v>6714</v>
      </c>
      <c r="C11349" t="s">
        <v>5111</v>
      </c>
      <c r="D11349" t="s">
        <v>544</v>
      </c>
      <c r="E11349" t="s">
        <v>555</v>
      </c>
      <c r="F11349" t="s">
        <v>1068</v>
      </c>
      <c r="G11349" t="s">
        <v>1085</v>
      </c>
      <c r="H11349">
        <v>-9.2118750237798303E-4</v>
      </c>
      <c r="I11349" t="s">
        <v>1086</v>
      </c>
      <c r="J11349">
        <v>8.17</v>
      </c>
    </row>
    <row r="11350" spans="1:10" hidden="1">
      <c r="A11350" t="s">
        <v>6713</v>
      </c>
      <c r="B11350" t="s">
        <v>6714</v>
      </c>
      <c r="C11350" t="s">
        <v>5111</v>
      </c>
      <c r="D11350" t="s">
        <v>544</v>
      </c>
      <c r="E11350" t="s">
        <v>555</v>
      </c>
      <c r="F11350" t="s">
        <v>1068</v>
      </c>
      <c r="G11350" t="s">
        <v>1087</v>
      </c>
      <c r="H11350" s="170">
        <v>-6.4486745717657796E-7</v>
      </c>
      <c r="I11350" t="s">
        <v>1088</v>
      </c>
      <c r="J11350">
        <v>8.17</v>
      </c>
    </row>
    <row r="11351" spans="1:10" hidden="1">
      <c r="A11351" t="s">
        <v>6713</v>
      </c>
      <c r="B11351" t="s">
        <v>6714</v>
      </c>
      <c r="C11351" t="s">
        <v>5111</v>
      </c>
      <c r="D11351" t="s">
        <v>544</v>
      </c>
      <c r="E11351" t="s">
        <v>555</v>
      </c>
      <c r="F11351" t="s">
        <v>1068</v>
      </c>
      <c r="G11351" t="s">
        <v>1089</v>
      </c>
      <c r="H11351">
        <v>-1.5269930218277301E-4</v>
      </c>
      <c r="I11351" t="s">
        <v>1090</v>
      </c>
      <c r="J11351">
        <v>8.17</v>
      </c>
    </row>
    <row r="11352" spans="1:10" hidden="1">
      <c r="A11352" t="s">
        <v>6715</v>
      </c>
      <c r="B11352" t="s">
        <v>6716</v>
      </c>
      <c r="C11352" t="s">
        <v>5111</v>
      </c>
      <c r="D11352" t="s">
        <v>544</v>
      </c>
      <c r="E11352" t="s">
        <v>558</v>
      </c>
      <c r="F11352" t="s">
        <v>1068</v>
      </c>
      <c r="G11352" t="s">
        <v>1069</v>
      </c>
      <c r="H11352">
        <v>-0.649912875903775</v>
      </c>
      <c r="I11352" t="s">
        <v>1070</v>
      </c>
      <c r="J11352">
        <v>8.89</v>
      </c>
    </row>
    <row r="11353" spans="1:10" hidden="1">
      <c r="A11353" t="s">
        <v>6715</v>
      </c>
      <c r="B11353" t="s">
        <v>6716</v>
      </c>
      <c r="C11353" t="s">
        <v>5111</v>
      </c>
      <c r="D11353" t="s">
        <v>544</v>
      </c>
      <c r="E11353" t="s">
        <v>558</v>
      </c>
      <c r="F11353" t="s">
        <v>1068</v>
      </c>
      <c r="G11353" t="s">
        <v>1071</v>
      </c>
      <c r="H11353" s="170">
        <v>-6.2602047333495803E-10</v>
      </c>
      <c r="I11353" t="s">
        <v>1072</v>
      </c>
      <c r="J11353">
        <v>8.89</v>
      </c>
    </row>
    <row r="11354" spans="1:10" hidden="1">
      <c r="A11354" t="s">
        <v>6715</v>
      </c>
      <c r="B11354" t="s">
        <v>6716</v>
      </c>
      <c r="C11354" t="s">
        <v>5111</v>
      </c>
      <c r="D11354" t="s">
        <v>544</v>
      </c>
      <c r="E11354" t="s">
        <v>558</v>
      </c>
      <c r="F11354" t="s">
        <v>1068</v>
      </c>
      <c r="G11354" t="s">
        <v>1073</v>
      </c>
      <c r="H11354" s="170">
        <v>-2.2735890561016801E-7</v>
      </c>
      <c r="I11354" t="s">
        <v>1074</v>
      </c>
      <c r="J11354">
        <v>8.89</v>
      </c>
    </row>
    <row r="11355" spans="1:10" hidden="1">
      <c r="A11355" t="s">
        <v>6715</v>
      </c>
      <c r="B11355" t="s">
        <v>6716</v>
      </c>
      <c r="C11355" t="s">
        <v>5111</v>
      </c>
      <c r="D11355" t="s">
        <v>544</v>
      </c>
      <c r="E11355" t="s">
        <v>558</v>
      </c>
      <c r="F11355" t="s">
        <v>1068</v>
      </c>
      <c r="G11355" t="s">
        <v>1075</v>
      </c>
      <c r="H11355">
        <v>-1.0561668433519101E-2</v>
      </c>
      <c r="I11355" t="s">
        <v>1077</v>
      </c>
      <c r="J11355">
        <v>8.89</v>
      </c>
    </row>
    <row r="11356" spans="1:10" hidden="1">
      <c r="A11356" t="s">
        <v>6715</v>
      </c>
      <c r="B11356" t="s">
        <v>6716</v>
      </c>
      <c r="C11356" t="s">
        <v>5111</v>
      </c>
      <c r="D11356" t="s">
        <v>544</v>
      </c>
      <c r="E11356" t="s">
        <v>558</v>
      </c>
      <c r="F11356" t="s">
        <v>1068</v>
      </c>
      <c r="G11356" t="s">
        <v>1078</v>
      </c>
      <c r="H11356">
        <v>-0.23989459668649901</v>
      </c>
      <c r="I11356" t="s">
        <v>1079</v>
      </c>
      <c r="J11356">
        <v>8.89</v>
      </c>
    </row>
    <row r="11357" spans="1:10" hidden="1">
      <c r="A11357" t="s">
        <v>6715</v>
      </c>
      <c r="B11357" t="s">
        <v>6716</v>
      </c>
      <c r="C11357" t="s">
        <v>5111</v>
      </c>
      <c r="D11357" t="s">
        <v>544</v>
      </c>
      <c r="E11357" t="s">
        <v>558</v>
      </c>
      <c r="F11357" t="s">
        <v>1068</v>
      </c>
      <c r="G11357" t="s">
        <v>1080</v>
      </c>
      <c r="H11357" s="170">
        <v>-3.6846809296296799E-9</v>
      </c>
      <c r="I11357" t="s">
        <v>1082</v>
      </c>
      <c r="J11357">
        <v>8.89</v>
      </c>
    </row>
    <row r="11358" spans="1:10" hidden="1">
      <c r="A11358" t="s">
        <v>6715</v>
      </c>
      <c r="B11358" t="s">
        <v>6716</v>
      </c>
      <c r="C11358" t="s">
        <v>5111</v>
      </c>
      <c r="D11358" t="s">
        <v>544</v>
      </c>
      <c r="E11358" t="s">
        <v>558</v>
      </c>
      <c r="F11358" t="s">
        <v>1068</v>
      </c>
      <c r="G11358" t="s">
        <v>1083</v>
      </c>
      <c r="H11358" s="170">
        <v>-8.76047473921259E-5</v>
      </c>
      <c r="I11358" t="s">
        <v>1084</v>
      </c>
      <c r="J11358">
        <v>8.89</v>
      </c>
    </row>
    <row r="11359" spans="1:10" hidden="1">
      <c r="A11359" t="s">
        <v>6715</v>
      </c>
      <c r="B11359" t="s">
        <v>6716</v>
      </c>
      <c r="C11359" t="s">
        <v>5111</v>
      </c>
      <c r="D11359" t="s">
        <v>544</v>
      </c>
      <c r="E11359" t="s">
        <v>558</v>
      </c>
      <c r="F11359" t="s">
        <v>1068</v>
      </c>
      <c r="G11359" t="s">
        <v>1085</v>
      </c>
      <c r="H11359">
        <v>-7.6681744407727196E-4</v>
      </c>
      <c r="I11359" t="s">
        <v>1086</v>
      </c>
      <c r="J11359">
        <v>8.89</v>
      </c>
    </row>
    <row r="11360" spans="1:10" hidden="1">
      <c r="A11360" t="s">
        <v>6715</v>
      </c>
      <c r="B11360" t="s">
        <v>6716</v>
      </c>
      <c r="C11360" t="s">
        <v>5111</v>
      </c>
      <c r="D11360" t="s">
        <v>544</v>
      </c>
      <c r="E11360" t="s">
        <v>558</v>
      </c>
      <c r="F11360" t="s">
        <v>1068</v>
      </c>
      <c r="G11360" t="s">
        <v>1087</v>
      </c>
      <c r="H11360" s="170">
        <v>-5.70367762162235E-7</v>
      </c>
      <c r="I11360" t="s">
        <v>1088</v>
      </c>
      <c r="J11360">
        <v>8.89</v>
      </c>
    </row>
    <row r="11361" spans="1:10" hidden="1">
      <c r="A11361" t="s">
        <v>6715</v>
      </c>
      <c r="B11361" t="s">
        <v>6716</v>
      </c>
      <c r="C11361" t="s">
        <v>5111</v>
      </c>
      <c r="D11361" t="s">
        <v>544</v>
      </c>
      <c r="E11361" t="s">
        <v>558</v>
      </c>
      <c r="F11361" t="s">
        <v>1068</v>
      </c>
      <c r="G11361" t="s">
        <v>1089</v>
      </c>
      <c r="H11361">
        <v>-1.20853064006116E-4</v>
      </c>
      <c r="I11361" t="s">
        <v>1090</v>
      </c>
      <c r="J11361">
        <v>8.89</v>
      </c>
    </row>
    <row r="11362" spans="1:10" hidden="1">
      <c r="A11362" t="s">
        <v>6717</v>
      </c>
      <c r="B11362" t="s">
        <v>6718</v>
      </c>
      <c r="C11362" t="s">
        <v>5111</v>
      </c>
      <c r="D11362" t="s">
        <v>544</v>
      </c>
      <c r="E11362" t="s">
        <v>553</v>
      </c>
      <c r="F11362" t="s">
        <v>1068</v>
      </c>
      <c r="G11362" t="s">
        <v>1069</v>
      </c>
      <c r="H11362">
        <v>-0.64275426280873105</v>
      </c>
      <c r="I11362" t="s">
        <v>1070</v>
      </c>
      <c r="J11362">
        <v>10.25</v>
      </c>
    </row>
    <row r="11363" spans="1:10" hidden="1">
      <c r="A11363" t="s">
        <v>6717</v>
      </c>
      <c r="B11363" t="s">
        <v>6718</v>
      </c>
      <c r="C11363" t="s">
        <v>5111</v>
      </c>
      <c r="D11363" t="s">
        <v>544</v>
      </c>
      <c r="E11363" t="s">
        <v>553</v>
      </c>
      <c r="F11363" t="s">
        <v>1068</v>
      </c>
      <c r="G11363" t="s">
        <v>1071</v>
      </c>
      <c r="H11363" s="170">
        <v>-6.15776402911409E-10</v>
      </c>
      <c r="I11363" t="s">
        <v>1072</v>
      </c>
      <c r="J11363">
        <v>10.25</v>
      </c>
    </row>
    <row r="11364" spans="1:10" hidden="1">
      <c r="A11364" t="s">
        <v>6717</v>
      </c>
      <c r="B11364" t="s">
        <v>6718</v>
      </c>
      <c r="C11364" t="s">
        <v>5111</v>
      </c>
      <c r="D11364" t="s">
        <v>544</v>
      </c>
      <c r="E11364" t="s">
        <v>553</v>
      </c>
      <c r="F11364" t="s">
        <v>1068</v>
      </c>
      <c r="G11364" t="s">
        <v>1073</v>
      </c>
      <c r="H11364" s="170">
        <v>-2.2481619997178401E-7</v>
      </c>
      <c r="I11364" t="s">
        <v>1074</v>
      </c>
      <c r="J11364">
        <v>10.25</v>
      </c>
    </row>
    <row r="11365" spans="1:10" hidden="1">
      <c r="A11365" t="s">
        <v>6717</v>
      </c>
      <c r="B11365" t="s">
        <v>6718</v>
      </c>
      <c r="C11365" t="s">
        <v>5111</v>
      </c>
      <c r="D11365" t="s">
        <v>544</v>
      </c>
      <c r="E11365" t="s">
        <v>553</v>
      </c>
      <c r="F11365" t="s">
        <v>1068</v>
      </c>
      <c r="G11365" t="s">
        <v>1075</v>
      </c>
      <c r="H11365">
        <v>-1.03353832271431E-2</v>
      </c>
      <c r="I11365" t="s">
        <v>1077</v>
      </c>
      <c r="J11365">
        <v>10.25</v>
      </c>
    </row>
    <row r="11366" spans="1:10" hidden="1">
      <c r="A11366" t="s">
        <v>6717</v>
      </c>
      <c r="B11366" t="s">
        <v>6718</v>
      </c>
      <c r="C11366" t="s">
        <v>5111</v>
      </c>
      <c r="D11366" t="s">
        <v>544</v>
      </c>
      <c r="E11366" t="s">
        <v>553</v>
      </c>
      <c r="F11366" t="s">
        <v>1068</v>
      </c>
      <c r="G11366" t="s">
        <v>1078</v>
      </c>
      <c r="H11366">
        <v>-0.230109151596946</v>
      </c>
      <c r="I11366" t="s">
        <v>1079</v>
      </c>
      <c r="J11366">
        <v>10.25</v>
      </c>
    </row>
    <row r="11367" spans="1:10" hidden="1">
      <c r="A11367" t="s">
        <v>6717</v>
      </c>
      <c r="B11367" t="s">
        <v>6718</v>
      </c>
      <c r="C11367" t="s">
        <v>5111</v>
      </c>
      <c r="D11367" t="s">
        <v>544</v>
      </c>
      <c r="E11367" t="s">
        <v>553</v>
      </c>
      <c r="F11367" t="s">
        <v>1068</v>
      </c>
      <c r="G11367" t="s">
        <v>1080</v>
      </c>
      <c r="H11367" s="170">
        <v>-3.6448898593264599E-9</v>
      </c>
      <c r="I11367" t="s">
        <v>1082</v>
      </c>
      <c r="J11367">
        <v>10.25</v>
      </c>
    </row>
    <row r="11368" spans="1:10" hidden="1">
      <c r="A11368" t="s">
        <v>6717</v>
      </c>
      <c r="B11368" t="s">
        <v>6718</v>
      </c>
      <c r="C11368" t="s">
        <v>5111</v>
      </c>
      <c r="D11368" t="s">
        <v>544</v>
      </c>
      <c r="E11368" t="s">
        <v>553</v>
      </c>
      <c r="F11368" t="s">
        <v>1068</v>
      </c>
      <c r="G11368" t="s">
        <v>1083</v>
      </c>
      <c r="H11368" s="170">
        <v>-8.6516663395600995E-5</v>
      </c>
      <c r="I11368" t="s">
        <v>1084</v>
      </c>
      <c r="J11368">
        <v>10.25</v>
      </c>
    </row>
    <row r="11369" spans="1:10" hidden="1">
      <c r="A11369" t="s">
        <v>6717</v>
      </c>
      <c r="B11369" t="s">
        <v>6718</v>
      </c>
      <c r="C11369" t="s">
        <v>5111</v>
      </c>
      <c r="D11369" t="s">
        <v>544</v>
      </c>
      <c r="E11369" t="s">
        <v>553</v>
      </c>
      <c r="F11369" t="s">
        <v>1068</v>
      </c>
      <c r="G11369" t="s">
        <v>1085</v>
      </c>
      <c r="H11369">
        <v>-7.5451988654753801E-4</v>
      </c>
      <c r="I11369" t="s">
        <v>1086</v>
      </c>
      <c r="J11369">
        <v>10.25</v>
      </c>
    </row>
    <row r="11370" spans="1:10" hidden="1">
      <c r="A11370" t="s">
        <v>6717</v>
      </c>
      <c r="B11370" t="s">
        <v>6718</v>
      </c>
      <c r="C11370" t="s">
        <v>5111</v>
      </c>
      <c r="D11370" t="s">
        <v>544</v>
      </c>
      <c r="E11370" t="s">
        <v>553</v>
      </c>
      <c r="F11370" t="s">
        <v>1068</v>
      </c>
      <c r="G11370" t="s">
        <v>1087</v>
      </c>
      <c r="H11370" s="170">
        <v>-5.6443290476998797E-7</v>
      </c>
      <c r="I11370" t="s">
        <v>1088</v>
      </c>
      <c r="J11370">
        <v>10.25</v>
      </c>
    </row>
    <row r="11371" spans="1:10" hidden="1">
      <c r="A11371" t="s">
        <v>6717</v>
      </c>
      <c r="B11371" t="s">
        <v>6718</v>
      </c>
      <c r="C11371" t="s">
        <v>5111</v>
      </c>
      <c r="D11371" t="s">
        <v>544</v>
      </c>
      <c r="E11371" t="s">
        <v>553</v>
      </c>
      <c r="F11371" t="s">
        <v>1068</v>
      </c>
      <c r="G11371" t="s">
        <v>1089</v>
      </c>
      <c r="H11371">
        <v>-1.18316102161504E-4</v>
      </c>
      <c r="I11371" t="s">
        <v>1090</v>
      </c>
      <c r="J11371">
        <v>10.25</v>
      </c>
    </row>
    <row r="11372" spans="1:10" hidden="1">
      <c r="A11372" t="s">
        <v>6719</v>
      </c>
      <c r="B11372" t="s">
        <v>6720</v>
      </c>
      <c r="C11372" t="s">
        <v>5111</v>
      </c>
      <c r="D11372" t="s">
        <v>544</v>
      </c>
      <c r="E11372" t="s">
        <v>556</v>
      </c>
      <c r="F11372" t="s">
        <v>1068</v>
      </c>
      <c r="G11372" t="s">
        <v>1069</v>
      </c>
      <c r="H11372">
        <v>-0.73065272140653004</v>
      </c>
      <c r="I11372" t="s">
        <v>1070</v>
      </c>
      <c r="J11372">
        <v>8.1300000000000008</v>
      </c>
    </row>
    <row r="11373" spans="1:10" hidden="1">
      <c r="A11373" t="s">
        <v>6719</v>
      </c>
      <c r="B11373" t="s">
        <v>6720</v>
      </c>
      <c r="C11373" t="s">
        <v>5111</v>
      </c>
      <c r="D11373" t="s">
        <v>544</v>
      </c>
      <c r="E11373" t="s">
        <v>556</v>
      </c>
      <c r="F11373" t="s">
        <v>1068</v>
      </c>
      <c r="G11373" t="s">
        <v>1071</v>
      </c>
      <c r="H11373" s="170">
        <v>-7.4156009717545904E-10</v>
      </c>
      <c r="I11373" t="s">
        <v>1072</v>
      </c>
      <c r="J11373">
        <v>8.1300000000000008</v>
      </c>
    </row>
    <row r="11374" spans="1:10" hidden="1">
      <c r="A11374" t="s">
        <v>6719</v>
      </c>
      <c r="B11374" t="s">
        <v>6720</v>
      </c>
      <c r="C11374" t="s">
        <v>5111</v>
      </c>
      <c r="D11374" t="s">
        <v>544</v>
      </c>
      <c r="E11374" t="s">
        <v>556</v>
      </c>
      <c r="F11374" t="s">
        <v>1068</v>
      </c>
      <c r="G11374" t="s">
        <v>1073</v>
      </c>
      <c r="H11374" s="170">
        <v>-2.5603801059337802E-7</v>
      </c>
      <c r="I11374" t="s">
        <v>1074</v>
      </c>
      <c r="J11374">
        <v>8.1300000000000008</v>
      </c>
    </row>
    <row r="11375" spans="1:10" hidden="1">
      <c r="A11375" t="s">
        <v>6719</v>
      </c>
      <c r="B11375" t="s">
        <v>6720</v>
      </c>
      <c r="C11375" t="s">
        <v>5111</v>
      </c>
      <c r="D11375" t="s">
        <v>544</v>
      </c>
      <c r="E11375" t="s">
        <v>556</v>
      </c>
      <c r="F11375" t="s">
        <v>1068</v>
      </c>
      <c r="G11375" t="s">
        <v>1075</v>
      </c>
      <c r="H11375">
        <v>-1.3113947402659599E-2</v>
      </c>
      <c r="I11375" t="s">
        <v>1077</v>
      </c>
      <c r="J11375">
        <v>8.1300000000000008</v>
      </c>
    </row>
    <row r="11376" spans="1:10" hidden="1">
      <c r="A11376" t="s">
        <v>6719</v>
      </c>
      <c r="B11376" t="s">
        <v>6720</v>
      </c>
      <c r="C11376" t="s">
        <v>5111</v>
      </c>
      <c r="D11376" t="s">
        <v>544</v>
      </c>
      <c r="E11376" t="s">
        <v>556</v>
      </c>
      <c r="F11376" t="s">
        <v>1068</v>
      </c>
      <c r="G11376" t="s">
        <v>1078</v>
      </c>
      <c r="H11376">
        <v>-0.35026498456324401</v>
      </c>
      <c r="I11376" t="s">
        <v>1079</v>
      </c>
      <c r="J11376">
        <v>8.1300000000000008</v>
      </c>
    </row>
    <row r="11377" spans="1:10" hidden="1">
      <c r="A11377" t="s">
        <v>6719</v>
      </c>
      <c r="B11377" t="s">
        <v>6720</v>
      </c>
      <c r="C11377" t="s">
        <v>5111</v>
      </c>
      <c r="D11377" t="s">
        <v>544</v>
      </c>
      <c r="E11377" t="s">
        <v>556</v>
      </c>
      <c r="F11377" t="s">
        <v>1068</v>
      </c>
      <c r="G11377" t="s">
        <v>1080</v>
      </c>
      <c r="H11377" s="170">
        <v>-4.1334858409449902E-9</v>
      </c>
      <c r="I11377" t="s">
        <v>1082</v>
      </c>
      <c r="J11377">
        <v>8.1300000000000008</v>
      </c>
    </row>
    <row r="11378" spans="1:10" hidden="1">
      <c r="A11378" t="s">
        <v>6719</v>
      </c>
      <c r="B11378" t="s">
        <v>6720</v>
      </c>
      <c r="C11378" t="s">
        <v>5111</v>
      </c>
      <c r="D11378" t="s">
        <v>544</v>
      </c>
      <c r="E11378" t="s">
        <v>556</v>
      </c>
      <c r="F11378" t="s">
        <v>1068</v>
      </c>
      <c r="G11378" t="s">
        <v>1083</v>
      </c>
      <c r="H11378" s="170">
        <v>-9.9877286013158503E-5</v>
      </c>
      <c r="I11378" t="s">
        <v>1084</v>
      </c>
      <c r="J11378">
        <v>8.1300000000000008</v>
      </c>
    </row>
    <row r="11379" spans="1:10" hidden="1">
      <c r="A11379" t="s">
        <v>6719</v>
      </c>
      <c r="B11379" t="s">
        <v>6720</v>
      </c>
      <c r="C11379" t="s">
        <v>5111</v>
      </c>
      <c r="D11379" t="s">
        <v>544</v>
      </c>
      <c r="E11379" t="s">
        <v>556</v>
      </c>
      <c r="F11379" t="s">
        <v>1068</v>
      </c>
      <c r="G11379" t="s">
        <v>1085</v>
      </c>
      <c r="H11379">
        <v>-9.0552203848692997E-4</v>
      </c>
      <c r="I11379" t="s">
        <v>1086</v>
      </c>
      <c r="J11379">
        <v>8.1300000000000008</v>
      </c>
    </row>
    <row r="11380" spans="1:10" hidden="1">
      <c r="A11380" t="s">
        <v>6719</v>
      </c>
      <c r="B11380" t="s">
        <v>6720</v>
      </c>
      <c r="C11380" t="s">
        <v>5111</v>
      </c>
      <c r="D11380" t="s">
        <v>544</v>
      </c>
      <c r="E11380" t="s">
        <v>556</v>
      </c>
      <c r="F11380" t="s">
        <v>1068</v>
      </c>
      <c r="G11380" t="s">
        <v>1087</v>
      </c>
      <c r="H11380" s="170">
        <v>-6.3730723277401796E-7</v>
      </c>
      <c r="I11380" t="s">
        <v>1088</v>
      </c>
      <c r="J11380">
        <v>8.1300000000000008</v>
      </c>
    </row>
    <row r="11381" spans="1:10" hidden="1">
      <c r="A11381" t="s">
        <v>6719</v>
      </c>
      <c r="B11381" t="s">
        <v>6720</v>
      </c>
      <c r="C11381" t="s">
        <v>5111</v>
      </c>
      <c r="D11381" t="s">
        <v>544</v>
      </c>
      <c r="E11381" t="s">
        <v>556</v>
      </c>
      <c r="F11381" t="s">
        <v>1068</v>
      </c>
      <c r="G11381" t="s">
        <v>1089</v>
      </c>
      <c r="H11381">
        <v>-1.4946754791720301E-4</v>
      </c>
      <c r="I11381" t="s">
        <v>1090</v>
      </c>
      <c r="J11381">
        <v>8.1300000000000008</v>
      </c>
    </row>
    <row r="11382" spans="1:10" hidden="1">
      <c r="A11382" t="s">
        <v>6721</v>
      </c>
      <c r="B11382" t="s">
        <v>6722</v>
      </c>
      <c r="C11382" t="s">
        <v>5111</v>
      </c>
      <c r="D11382" t="s">
        <v>544</v>
      </c>
      <c r="E11382" t="s">
        <v>557</v>
      </c>
      <c r="F11382" t="s">
        <v>1068</v>
      </c>
      <c r="G11382" t="s">
        <v>1069</v>
      </c>
      <c r="H11382">
        <v>-0.68010263884564603</v>
      </c>
      <c r="I11382" t="s">
        <v>1070</v>
      </c>
      <c r="J11382">
        <v>8.91</v>
      </c>
    </row>
    <row r="11383" spans="1:10" hidden="1">
      <c r="A11383" t="s">
        <v>6721</v>
      </c>
      <c r="B11383" t="s">
        <v>6722</v>
      </c>
      <c r="C11383" t="s">
        <v>5111</v>
      </c>
      <c r="D11383" t="s">
        <v>544</v>
      </c>
      <c r="E11383" t="s">
        <v>557</v>
      </c>
      <c r="F11383" t="s">
        <v>1068</v>
      </c>
      <c r="G11383" t="s">
        <v>1071</v>
      </c>
      <c r="H11383" s="170">
        <v>-6.6922236757022302E-10</v>
      </c>
      <c r="I11383" t="s">
        <v>1072</v>
      </c>
      <c r="J11383">
        <v>8.91</v>
      </c>
    </row>
    <row r="11384" spans="1:10" hidden="1">
      <c r="A11384" t="s">
        <v>6721</v>
      </c>
      <c r="B11384" t="s">
        <v>6722</v>
      </c>
      <c r="C11384" t="s">
        <v>5111</v>
      </c>
      <c r="D11384" t="s">
        <v>544</v>
      </c>
      <c r="E11384" t="s">
        <v>557</v>
      </c>
      <c r="F11384" t="s">
        <v>1068</v>
      </c>
      <c r="G11384" t="s">
        <v>1073</v>
      </c>
      <c r="H11384" s="170">
        <v>-2.3808240493334601E-7</v>
      </c>
      <c r="I11384" t="s">
        <v>1074</v>
      </c>
      <c r="J11384">
        <v>8.91</v>
      </c>
    </row>
    <row r="11385" spans="1:10" hidden="1">
      <c r="A11385" t="s">
        <v>6721</v>
      </c>
      <c r="B11385" t="s">
        <v>6722</v>
      </c>
      <c r="C11385" t="s">
        <v>5111</v>
      </c>
      <c r="D11385" t="s">
        <v>544</v>
      </c>
      <c r="E11385" t="s">
        <v>557</v>
      </c>
      <c r="F11385" t="s">
        <v>1068</v>
      </c>
      <c r="G11385" t="s">
        <v>1075</v>
      </c>
      <c r="H11385">
        <v>-1.1515999090913699E-2</v>
      </c>
      <c r="I11385" t="s">
        <v>1077</v>
      </c>
      <c r="J11385">
        <v>8.91</v>
      </c>
    </row>
    <row r="11386" spans="1:10" hidden="1">
      <c r="A11386" t="s">
        <v>6721</v>
      </c>
      <c r="B11386" t="s">
        <v>6722</v>
      </c>
      <c r="C11386" t="s">
        <v>5111</v>
      </c>
      <c r="D11386" t="s">
        <v>544</v>
      </c>
      <c r="E11386" t="s">
        <v>557</v>
      </c>
      <c r="F11386" t="s">
        <v>1068</v>
      </c>
      <c r="G11386" t="s">
        <v>1078</v>
      </c>
      <c r="H11386">
        <v>-0.28116353554165502</v>
      </c>
      <c r="I11386" t="s">
        <v>1079</v>
      </c>
      <c r="J11386">
        <v>8.91</v>
      </c>
    </row>
    <row r="11387" spans="1:10" hidden="1">
      <c r="A11387" t="s">
        <v>6721</v>
      </c>
      <c r="B11387" t="s">
        <v>6722</v>
      </c>
      <c r="C11387" t="s">
        <v>5111</v>
      </c>
      <c r="D11387" t="s">
        <v>544</v>
      </c>
      <c r="E11387" t="s">
        <v>557</v>
      </c>
      <c r="F11387" t="s">
        <v>1068</v>
      </c>
      <c r="G11387" t="s">
        <v>1080</v>
      </c>
      <c r="H11387" s="170">
        <v>-3.85249498569758E-9</v>
      </c>
      <c r="I11387" t="s">
        <v>1082</v>
      </c>
      <c r="J11387">
        <v>8.91</v>
      </c>
    </row>
    <row r="11388" spans="1:10" hidden="1">
      <c r="A11388" t="s">
        <v>6721</v>
      </c>
      <c r="B11388" t="s">
        <v>6722</v>
      </c>
      <c r="C11388" t="s">
        <v>5111</v>
      </c>
      <c r="D11388" t="s">
        <v>544</v>
      </c>
      <c r="E11388" t="s">
        <v>557</v>
      </c>
      <c r="F11388" t="s">
        <v>1068</v>
      </c>
      <c r="G11388" t="s">
        <v>1083</v>
      </c>
      <c r="H11388" s="170">
        <v>-9.2193610905938293E-5</v>
      </c>
      <c r="I11388" t="s">
        <v>1084</v>
      </c>
      <c r="J11388">
        <v>8.91</v>
      </c>
    </row>
    <row r="11389" spans="1:10" hidden="1">
      <c r="A11389" t="s">
        <v>6721</v>
      </c>
      <c r="B11389" t="s">
        <v>6722</v>
      </c>
      <c r="C11389" t="s">
        <v>5111</v>
      </c>
      <c r="D11389" t="s">
        <v>544</v>
      </c>
      <c r="E11389" t="s">
        <v>557</v>
      </c>
      <c r="F11389" t="s">
        <v>1068</v>
      </c>
      <c r="G11389" t="s">
        <v>1085</v>
      </c>
      <c r="H11389">
        <v>-8.1868091521755204E-4</v>
      </c>
      <c r="I11389" t="s">
        <v>1086</v>
      </c>
      <c r="J11389">
        <v>8.91</v>
      </c>
    </row>
    <row r="11390" spans="1:10" hidden="1">
      <c r="A11390" t="s">
        <v>6721</v>
      </c>
      <c r="B11390" t="s">
        <v>6722</v>
      </c>
      <c r="C11390" t="s">
        <v>5111</v>
      </c>
      <c r="D11390" t="s">
        <v>544</v>
      </c>
      <c r="E11390" t="s">
        <v>557</v>
      </c>
      <c r="F11390" t="s">
        <v>1068</v>
      </c>
      <c r="G11390" t="s">
        <v>1087</v>
      </c>
      <c r="H11390" s="170">
        <v>-5.9539731014391697E-7</v>
      </c>
      <c r="I11390" t="s">
        <v>1088</v>
      </c>
      <c r="J11390">
        <v>8.91</v>
      </c>
    </row>
    <row r="11391" spans="1:10" hidden="1">
      <c r="A11391" t="s">
        <v>6721</v>
      </c>
      <c r="B11391" t="s">
        <v>6722</v>
      </c>
      <c r="C11391" t="s">
        <v>5111</v>
      </c>
      <c r="D11391" t="s">
        <v>544</v>
      </c>
      <c r="E11391" t="s">
        <v>557</v>
      </c>
      <c r="F11391" t="s">
        <v>1068</v>
      </c>
      <c r="G11391" t="s">
        <v>1089</v>
      </c>
      <c r="H11391">
        <v>-1.3155239568568799E-4</v>
      </c>
      <c r="I11391" t="s">
        <v>1090</v>
      </c>
      <c r="J11391">
        <v>8.91</v>
      </c>
    </row>
    <row r="11392" spans="1:10" hidden="1">
      <c r="A11392" t="s">
        <v>6723</v>
      </c>
      <c r="B11392" t="s">
        <v>6724</v>
      </c>
      <c r="C11392" t="s">
        <v>5111</v>
      </c>
      <c r="D11392" t="s">
        <v>544</v>
      </c>
      <c r="E11392" t="s">
        <v>559</v>
      </c>
      <c r="F11392" t="s">
        <v>1068</v>
      </c>
      <c r="G11392" t="s">
        <v>1069</v>
      </c>
      <c r="H11392">
        <v>-0.70452560041373402</v>
      </c>
      <c r="I11392" t="s">
        <v>1070</v>
      </c>
      <c r="J11392">
        <v>9.75</v>
      </c>
    </row>
    <row r="11393" spans="1:10" hidden="1">
      <c r="A11393" t="s">
        <v>6723</v>
      </c>
      <c r="B11393" t="s">
        <v>6724</v>
      </c>
      <c r="C11393" t="s">
        <v>5111</v>
      </c>
      <c r="D11393" t="s">
        <v>544</v>
      </c>
      <c r="E11393" t="s">
        <v>559</v>
      </c>
      <c r="F11393" t="s">
        <v>1068</v>
      </c>
      <c r="G11393" t="s">
        <v>1071</v>
      </c>
      <c r="H11393" s="170">
        <v>-7.0417188978954302E-10</v>
      </c>
      <c r="I11393" t="s">
        <v>1072</v>
      </c>
      <c r="J11393">
        <v>9.75</v>
      </c>
    </row>
    <row r="11394" spans="1:10" hidden="1">
      <c r="A11394" t="s">
        <v>6723</v>
      </c>
      <c r="B11394" t="s">
        <v>6724</v>
      </c>
      <c r="C11394" t="s">
        <v>5111</v>
      </c>
      <c r="D11394" t="s">
        <v>544</v>
      </c>
      <c r="E11394" t="s">
        <v>559</v>
      </c>
      <c r="F11394" t="s">
        <v>1068</v>
      </c>
      <c r="G11394" t="s">
        <v>1073</v>
      </c>
      <c r="H11394" s="170">
        <v>-2.4675757454549298E-7</v>
      </c>
      <c r="I11394" t="s">
        <v>1074</v>
      </c>
      <c r="J11394">
        <v>9.75</v>
      </c>
    </row>
    <row r="11395" spans="1:10" hidden="1">
      <c r="A11395" t="s">
        <v>6723</v>
      </c>
      <c r="B11395" t="s">
        <v>6724</v>
      </c>
      <c r="C11395" t="s">
        <v>5111</v>
      </c>
      <c r="D11395" t="s">
        <v>544</v>
      </c>
      <c r="E11395" t="s">
        <v>559</v>
      </c>
      <c r="F11395" t="s">
        <v>1068</v>
      </c>
      <c r="G11395" t="s">
        <v>1075</v>
      </c>
      <c r="H11395">
        <v>-1.2288041197271501E-2</v>
      </c>
      <c r="I11395" t="s">
        <v>1077</v>
      </c>
      <c r="J11395">
        <v>9.75</v>
      </c>
    </row>
    <row r="11396" spans="1:10" hidden="1">
      <c r="A11396" t="s">
        <v>6723</v>
      </c>
      <c r="B11396" t="s">
        <v>6724</v>
      </c>
      <c r="C11396" t="s">
        <v>5111</v>
      </c>
      <c r="D11396" t="s">
        <v>544</v>
      </c>
      <c r="E11396" t="s">
        <v>559</v>
      </c>
      <c r="F11396" t="s">
        <v>1068</v>
      </c>
      <c r="G11396" t="s">
        <v>1078</v>
      </c>
      <c r="H11396">
        <v>-0.31454961439655499</v>
      </c>
      <c r="I11396" t="s">
        <v>1079</v>
      </c>
      <c r="J11396">
        <v>9.75</v>
      </c>
    </row>
    <row r="11397" spans="1:10" hidden="1">
      <c r="A11397" t="s">
        <v>6723</v>
      </c>
      <c r="B11397" t="s">
        <v>6724</v>
      </c>
      <c r="C11397" t="s">
        <v>5111</v>
      </c>
      <c r="D11397" t="s">
        <v>544</v>
      </c>
      <c r="E11397" t="s">
        <v>559</v>
      </c>
      <c r="F11397" t="s">
        <v>1068</v>
      </c>
      <c r="G11397" t="s">
        <v>1080</v>
      </c>
      <c r="H11397" s="170">
        <v>-3.9882545532524898E-9</v>
      </c>
      <c r="I11397" t="s">
        <v>1082</v>
      </c>
      <c r="J11397">
        <v>9.75</v>
      </c>
    </row>
    <row r="11398" spans="1:10" hidden="1">
      <c r="A11398" t="s">
        <v>6723</v>
      </c>
      <c r="B11398" t="s">
        <v>6724</v>
      </c>
      <c r="C11398" t="s">
        <v>5111</v>
      </c>
      <c r="D11398" t="s">
        <v>544</v>
      </c>
      <c r="E11398" t="s">
        <v>559</v>
      </c>
      <c r="F11398" t="s">
        <v>1068</v>
      </c>
      <c r="G11398" t="s">
        <v>1083</v>
      </c>
      <c r="H11398" s="170">
        <v>-9.5905946705999304E-5</v>
      </c>
      <c r="I11398" t="s">
        <v>1084</v>
      </c>
      <c r="J11398">
        <v>9.75</v>
      </c>
    </row>
    <row r="11399" spans="1:10" hidden="1">
      <c r="A11399" t="s">
        <v>6723</v>
      </c>
      <c r="B11399" t="s">
        <v>6724</v>
      </c>
      <c r="C11399" t="s">
        <v>5111</v>
      </c>
      <c r="D11399" t="s">
        <v>544</v>
      </c>
      <c r="E11399" t="s">
        <v>559</v>
      </c>
      <c r="F11399" t="s">
        <v>1068</v>
      </c>
      <c r="G11399" t="s">
        <v>1085</v>
      </c>
      <c r="H11399">
        <v>-8.6063784419239105E-4</v>
      </c>
      <c r="I11399" t="s">
        <v>1086</v>
      </c>
      <c r="J11399">
        <v>9.75</v>
      </c>
    </row>
    <row r="11400" spans="1:10" hidden="1">
      <c r="A11400" t="s">
        <v>6723</v>
      </c>
      <c r="B11400" t="s">
        <v>6724</v>
      </c>
      <c r="C11400" t="s">
        <v>5111</v>
      </c>
      <c r="D11400" t="s">
        <v>544</v>
      </c>
      <c r="E11400" t="s">
        <v>559</v>
      </c>
      <c r="F11400" t="s">
        <v>1068</v>
      </c>
      <c r="G11400" t="s">
        <v>1087</v>
      </c>
      <c r="H11400" s="170">
        <v>-6.1564591566557E-7</v>
      </c>
      <c r="I11400" t="s">
        <v>1088</v>
      </c>
      <c r="J11400">
        <v>9.75</v>
      </c>
    </row>
    <row r="11401" spans="1:10" hidden="1">
      <c r="A11401" t="s">
        <v>6723</v>
      </c>
      <c r="B11401" t="s">
        <v>6724</v>
      </c>
      <c r="C11401" t="s">
        <v>5111</v>
      </c>
      <c r="D11401" t="s">
        <v>544</v>
      </c>
      <c r="E11401" t="s">
        <v>559</v>
      </c>
      <c r="F11401" t="s">
        <v>1068</v>
      </c>
      <c r="G11401" t="s">
        <v>1089</v>
      </c>
      <c r="H11401">
        <v>-1.40208027268679E-4</v>
      </c>
      <c r="I11401" t="s">
        <v>1090</v>
      </c>
      <c r="J11401">
        <v>9.75</v>
      </c>
    </row>
    <row r="11402" spans="1:10" hidden="1">
      <c r="A11402" t="s">
        <v>6725</v>
      </c>
      <c r="B11402" t="s">
        <v>6726</v>
      </c>
      <c r="C11402" t="s">
        <v>5111</v>
      </c>
      <c r="D11402" t="s">
        <v>544</v>
      </c>
      <c r="E11402" t="s">
        <v>560</v>
      </c>
      <c r="F11402" t="s">
        <v>1068</v>
      </c>
      <c r="G11402" t="s">
        <v>1069</v>
      </c>
      <c r="H11402">
        <v>-0.69620384574796801</v>
      </c>
      <c r="I11402" t="s">
        <v>1070</v>
      </c>
      <c r="J11402">
        <v>10.35</v>
      </c>
    </row>
    <row r="11403" spans="1:10" hidden="1">
      <c r="A11403" t="s">
        <v>6725</v>
      </c>
      <c r="B11403" t="s">
        <v>6726</v>
      </c>
      <c r="C11403" t="s">
        <v>5111</v>
      </c>
      <c r="D11403" t="s">
        <v>544</v>
      </c>
      <c r="E11403" t="s">
        <v>560</v>
      </c>
      <c r="F11403" t="s">
        <v>1068</v>
      </c>
      <c r="G11403" t="s">
        <v>1071</v>
      </c>
      <c r="H11403" s="170">
        <v>-6.9226337782900897E-10</v>
      </c>
      <c r="I11403" t="s">
        <v>1072</v>
      </c>
      <c r="J11403">
        <v>10.35</v>
      </c>
    </row>
    <row r="11404" spans="1:10" hidden="1">
      <c r="A11404" t="s">
        <v>6725</v>
      </c>
      <c r="B11404" t="s">
        <v>6726</v>
      </c>
      <c r="C11404" t="s">
        <v>5111</v>
      </c>
      <c r="D11404" t="s">
        <v>544</v>
      </c>
      <c r="E11404" t="s">
        <v>560</v>
      </c>
      <c r="F11404" t="s">
        <v>1068</v>
      </c>
      <c r="G11404" t="s">
        <v>1073</v>
      </c>
      <c r="H11404" s="170">
        <v>-2.4380160457237102E-7</v>
      </c>
      <c r="I11404" t="s">
        <v>1074</v>
      </c>
      <c r="J11404">
        <v>10.35</v>
      </c>
    </row>
    <row r="11405" spans="1:10" hidden="1">
      <c r="A11405" t="s">
        <v>6725</v>
      </c>
      <c r="B11405" t="s">
        <v>6726</v>
      </c>
      <c r="C11405" t="s">
        <v>5111</v>
      </c>
      <c r="D11405" t="s">
        <v>544</v>
      </c>
      <c r="E11405" t="s">
        <v>560</v>
      </c>
      <c r="F11405" t="s">
        <v>1068</v>
      </c>
      <c r="G11405" t="s">
        <v>1075</v>
      </c>
      <c r="H11405">
        <v>-1.20249754415238E-2</v>
      </c>
      <c r="I11405" t="s">
        <v>1077</v>
      </c>
      <c r="J11405">
        <v>10.35</v>
      </c>
    </row>
    <row r="11406" spans="1:10" hidden="1">
      <c r="A11406" t="s">
        <v>6725</v>
      </c>
      <c r="B11406" t="s">
        <v>6726</v>
      </c>
      <c r="C11406" t="s">
        <v>5111</v>
      </c>
      <c r="D11406" t="s">
        <v>544</v>
      </c>
      <c r="E11406" t="s">
        <v>560</v>
      </c>
      <c r="F11406" t="s">
        <v>1068</v>
      </c>
      <c r="G11406" t="s">
        <v>1078</v>
      </c>
      <c r="H11406">
        <v>-0.30317363626440103</v>
      </c>
      <c r="I11406" t="s">
        <v>1079</v>
      </c>
      <c r="J11406">
        <v>10.35</v>
      </c>
    </row>
    <row r="11407" spans="1:10" hidden="1">
      <c r="A11407" t="s">
        <v>6725</v>
      </c>
      <c r="B11407" t="s">
        <v>6726</v>
      </c>
      <c r="C11407" t="s">
        <v>5111</v>
      </c>
      <c r="D11407" t="s">
        <v>544</v>
      </c>
      <c r="E11407" t="s">
        <v>560</v>
      </c>
      <c r="F11407" t="s">
        <v>1068</v>
      </c>
      <c r="G11407" t="s">
        <v>1080</v>
      </c>
      <c r="H11407" s="170">
        <v>-3.9419958156004197E-9</v>
      </c>
      <c r="I11407" t="s">
        <v>1082</v>
      </c>
      <c r="J11407">
        <v>10.35</v>
      </c>
    </row>
    <row r="11408" spans="1:10" hidden="1">
      <c r="A11408" t="s">
        <v>6725</v>
      </c>
      <c r="B11408" t="s">
        <v>6726</v>
      </c>
      <c r="C11408" t="s">
        <v>5111</v>
      </c>
      <c r="D11408" t="s">
        <v>544</v>
      </c>
      <c r="E11408" t="s">
        <v>560</v>
      </c>
      <c r="F11408" t="s">
        <v>1068</v>
      </c>
      <c r="G11408" t="s">
        <v>1083</v>
      </c>
      <c r="H11408" s="170">
        <v>-9.4641004779971304E-5</v>
      </c>
      <c r="I11408" t="s">
        <v>1084</v>
      </c>
      <c r="J11408">
        <v>10.35</v>
      </c>
    </row>
    <row r="11409" spans="1:10" hidden="1">
      <c r="A11409" t="s">
        <v>6725</v>
      </c>
      <c r="B11409" t="s">
        <v>6726</v>
      </c>
      <c r="C11409" t="s">
        <v>5111</v>
      </c>
      <c r="D11409" t="s">
        <v>544</v>
      </c>
      <c r="E11409" t="s">
        <v>560</v>
      </c>
      <c r="F11409" t="s">
        <v>1068</v>
      </c>
      <c r="G11409" t="s">
        <v>1085</v>
      </c>
      <c r="H11409">
        <v>-8.4634143315902397E-4</v>
      </c>
      <c r="I11409" t="s">
        <v>1086</v>
      </c>
      <c r="J11409">
        <v>10.35</v>
      </c>
    </row>
    <row r="11410" spans="1:10" hidden="1">
      <c r="A11410" t="s">
        <v>6725</v>
      </c>
      <c r="B11410" t="s">
        <v>6726</v>
      </c>
      <c r="C11410" t="s">
        <v>5111</v>
      </c>
      <c r="D11410" t="s">
        <v>544</v>
      </c>
      <c r="E11410" t="s">
        <v>560</v>
      </c>
      <c r="F11410" t="s">
        <v>1068</v>
      </c>
      <c r="G11410" t="s">
        <v>1087</v>
      </c>
      <c r="H11410" s="170">
        <v>-6.0874640240081204E-7</v>
      </c>
      <c r="I11410" t="s">
        <v>1088</v>
      </c>
      <c r="J11410">
        <v>10.35</v>
      </c>
    </row>
    <row r="11411" spans="1:10" hidden="1">
      <c r="A11411" t="s">
        <v>6725</v>
      </c>
      <c r="B11411" t="s">
        <v>6726</v>
      </c>
      <c r="C11411" t="s">
        <v>5111</v>
      </c>
      <c r="D11411" t="s">
        <v>544</v>
      </c>
      <c r="E11411" t="s">
        <v>560</v>
      </c>
      <c r="F11411" t="s">
        <v>1068</v>
      </c>
      <c r="G11411" t="s">
        <v>1089</v>
      </c>
      <c r="H11411">
        <v>-1.3725870591478999E-4</v>
      </c>
      <c r="I11411" t="s">
        <v>1090</v>
      </c>
      <c r="J11411">
        <v>10.35</v>
      </c>
    </row>
    <row r="11412" spans="1:10" hidden="1">
      <c r="A11412" t="s">
        <v>6727</v>
      </c>
      <c r="B11412" t="s">
        <v>6728</v>
      </c>
      <c r="C11412" t="s">
        <v>5111</v>
      </c>
      <c r="D11412" t="s">
        <v>544</v>
      </c>
      <c r="E11412" t="s">
        <v>1116</v>
      </c>
      <c r="F11412" t="s">
        <v>1068</v>
      </c>
      <c r="G11412" t="s">
        <v>1069</v>
      </c>
      <c r="H11412">
        <v>-0.647335063578378</v>
      </c>
      <c r="I11412" t="s">
        <v>1070</v>
      </c>
      <c r="J11412">
        <v>8.5299999999999994</v>
      </c>
    </row>
    <row r="11413" spans="1:10" hidden="1">
      <c r="A11413" t="s">
        <v>6727</v>
      </c>
      <c r="B11413" t="s">
        <v>6728</v>
      </c>
      <c r="C11413" t="s">
        <v>5111</v>
      </c>
      <c r="D11413" t="s">
        <v>544</v>
      </c>
      <c r="E11413" t="s">
        <v>1116</v>
      </c>
      <c r="F11413" t="s">
        <v>1068</v>
      </c>
      <c r="G11413" t="s">
        <v>1071</v>
      </c>
      <c r="H11413" s="170">
        <v>-6.2233159456984202E-10</v>
      </c>
      <c r="I11413" t="s">
        <v>1072</v>
      </c>
      <c r="J11413">
        <v>8.5299999999999994</v>
      </c>
    </row>
    <row r="11414" spans="1:10" hidden="1">
      <c r="A11414" t="s">
        <v>6727</v>
      </c>
      <c r="B11414" t="s">
        <v>6728</v>
      </c>
      <c r="C11414" t="s">
        <v>5111</v>
      </c>
      <c r="D11414" t="s">
        <v>544</v>
      </c>
      <c r="E11414" t="s">
        <v>1116</v>
      </c>
      <c r="F11414" t="s">
        <v>1068</v>
      </c>
      <c r="G11414" t="s">
        <v>1073</v>
      </c>
      <c r="H11414" s="170">
        <v>-2.2644325851549199E-7</v>
      </c>
      <c r="I11414" t="s">
        <v>1074</v>
      </c>
      <c r="J11414">
        <v>8.5299999999999994</v>
      </c>
    </row>
    <row r="11415" spans="1:10" hidden="1">
      <c r="A11415" t="s">
        <v>6727</v>
      </c>
      <c r="B11415" t="s">
        <v>6728</v>
      </c>
      <c r="C11415" t="s">
        <v>5111</v>
      </c>
      <c r="D11415" t="s">
        <v>544</v>
      </c>
      <c r="E11415" t="s">
        <v>1116</v>
      </c>
      <c r="F11415" t="s">
        <v>1068</v>
      </c>
      <c r="G11415" t="s">
        <v>1075</v>
      </c>
      <c r="H11415">
        <v>-1.0480181032115E-2</v>
      </c>
      <c r="I11415" t="s">
        <v>1077</v>
      </c>
      <c r="J11415">
        <v>8.5299999999999994</v>
      </c>
    </row>
    <row r="11416" spans="1:10" hidden="1">
      <c r="A11416" t="s">
        <v>6727</v>
      </c>
      <c r="B11416" t="s">
        <v>6728</v>
      </c>
      <c r="C11416" t="s">
        <v>5111</v>
      </c>
      <c r="D11416" t="s">
        <v>544</v>
      </c>
      <c r="E11416" t="s">
        <v>1116</v>
      </c>
      <c r="F11416" t="s">
        <v>1068</v>
      </c>
      <c r="G11416" t="s">
        <v>1078</v>
      </c>
      <c r="H11416">
        <v>-0.23637076712076999</v>
      </c>
      <c r="I11416" t="s">
        <v>1079</v>
      </c>
      <c r="J11416">
        <v>8.5299999999999994</v>
      </c>
    </row>
    <row r="11417" spans="1:10" hidden="1">
      <c r="A11417" t="s">
        <v>6727</v>
      </c>
      <c r="B11417" t="s">
        <v>6728</v>
      </c>
      <c r="C11417" t="s">
        <v>5111</v>
      </c>
      <c r="D11417" t="s">
        <v>544</v>
      </c>
      <c r="E11417" t="s">
        <v>1116</v>
      </c>
      <c r="F11417" t="s">
        <v>1068</v>
      </c>
      <c r="G11417" t="s">
        <v>1080</v>
      </c>
      <c r="H11417" s="170">
        <v>-3.6703517961767299E-9</v>
      </c>
      <c r="I11417" t="s">
        <v>1082</v>
      </c>
      <c r="J11417">
        <v>8.5299999999999994</v>
      </c>
    </row>
    <row r="11418" spans="1:10" hidden="1">
      <c r="A11418" t="s">
        <v>6727</v>
      </c>
      <c r="B11418" t="s">
        <v>6728</v>
      </c>
      <c r="C11418" t="s">
        <v>5111</v>
      </c>
      <c r="D11418" t="s">
        <v>544</v>
      </c>
      <c r="E11418" t="s">
        <v>1116</v>
      </c>
      <c r="F11418" t="s">
        <v>1068</v>
      </c>
      <c r="G11418" t="s">
        <v>1083</v>
      </c>
      <c r="H11418" s="170">
        <v>-8.7212918249636394E-5</v>
      </c>
      <c r="I11418" t="s">
        <v>1084</v>
      </c>
      <c r="J11418">
        <v>8.5299999999999994</v>
      </c>
    </row>
    <row r="11419" spans="1:10" hidden="1">
      <c r="A11419" t="s">
        <v>6727</v>
      </c>
      <c r="B11419" t="s">
        <v>6728</v>
      </c>
      <c r="C11419" t="s">
        <v>5111</v>
      </c>
      <c r="D11419" t="s">
        <v>544</v>
      </c>
      <c r="E11419" t="s">
        <v>1116</v>
      </c>
      <c r="F11419" t="s">
        <v>1068</v>
      </c>
      <c r="G11419" t="s">
        <v>1085</v>
      </c>
      <c r="H11419">
        <v>-7.6238897952123205E-4</v>
      </c>
      <c r="I11419" t="s">
        <v>1086</v>
      </c>
      <c r="J11419">
        <v>8.5299999999999994</v>
      </c>
    </row>
    <row r="11420" spans="1:10" hidden="1">
      <c r="A11420" t="s">
        <v>6727</v>
      </c>
      <c r="B11420" t="s">
        <v>6728</v>
      </c>
      <c r="C11420" t="s">
        <v>5111</v>
      </c>
      <c r="D11420" t="s">
        <v>544</v>
      </c>
      <c r="E11420" t="s">
        <v>1116</v>
      </c>
      <c r="F11420" t="s">
        <v>1068</v>
      </c>
      <c r="G11420" t="s">
        <v>1087</v>
      </c>
      <c r="H11420" s="170">
        <v>-5.6823056494705497E-7</v>
      </c>
      <c r="I11420" t="s">
        <v>1088</v>
      </c>
      <c r="J11420">
        <v>8.5299999999999994</v>
      </c>
    </row>
    <row r="11421" spans="1:10" hidden="1">
      <c r="A11421" t="s">
        <v>6727</v>
      </c>
      <c r="B11421" t="s">
        <v>6728</v>
      </c>
      <c r="C11421" t="s">
        <v>5111</v>
      </c>
      <c r="D11421" t="s">
        <v>544</v>
      </c>
      <c r="E11421" t="s">
        <v>1116</v>
      </c>
      <c r="F11421" t="s">
        <v>1068</v>
      </c>
      <c r="G11421" t="s">
        <v>1089</v>
      </c>
      <c r="H11421">
        <v>-1.19939480513253E-4</v>
      </c>
      <c r="I11421" t="s">
        <v>1090</v>
      </c>
      <c r="J11421">
        <v>8.5299999999999994</v>
      </c>
    </row>
    <row r="11422" spans="1:10" hidden="1">
      <c r="A11422" t="s">
        <v>6729</v>
      </c>
      <c r="B11422" t="s">
        <v>6730</v>
      </c>
      <c r="C11422" t="s">
        <v>5111</v>
      </c>
      <c r="D11422" t="s">
        <v>1535</v>
      </c>
      <c r="E11422" t="s">
        <v>561</v>
      </c>
      <c r="F11422" t="s">
        <v>1068</v>
      </c>
      <c r="G11422" t="s">
        <v>1069</v>
      </c>
      <c r="H11422">
        <v>-0.52751741952250997</v>
      </c>
      <c r="I11422" t="s">
        <v>1070</v>
      </c>
      <c r="J11422">
        <v>9.61</v>
      </c>
    </row>
    <row r="11423" spans="1:10" hidden="1">
      <c r="A11423" t="s">
        <v>6729</v>
      </c>
      <c r="B11423" t="s">
        <v>6730</v>
      </c>
      <c r="C11423" t="s">
        <v>5111</v>
      </c>
      <c r="D11423" t="s">
        <v>1535</v>
      </c>
      <c r="E11423" t="s">
        <v>561</v>
      </c>
      <c r="F11423" t="s">
        <v>1068</v>
      </c>
      <c r="G11423" t="s">
        <v>1071</v>
      </c>
      <c r="H11423" s="170">
        <v>-5.0706241932197001E-10</v>
      </c>
      <c r="I11423" t="s">
        <v>1072</v>
      </c>
      <c r="J11423">
        <v>9.61</v>
      </c>
    </row>
    <row r="11424" spans="1:10" hidden="1">
      <c r="A11424" t="s">
        <v>6729</v>
      </c>
      <c r="B11424" t="s">
        <v>6730</v>
      </c>
      <c r="C11424" t="s">
        <v>5111</v>
      </c>
      <c r="D11424" t="s">
        <v>1535</v>
      </c>
      <c r="E11424" t="s">
        <v>561</v>
      </c>
      <c r="F11424" t="s">
        <v>1068</v>
      </c>
      <c r="G11424" t="s">
        <v>1073</v>
      </c>
      <c r="H11424" s="170">
        <v>-1.8369293520516999E-7</v>
      </c>
      <c r="I11424" t="s">
        <v>1074</v>
      </c>
      <c r="J11424">
        <v>9.61</v>
      </c>
    </row>
    <row r="11425" spans="1:10" hidden="1">
      <c r="A11425" t="s">
        <v>6729</v>
      </c>
      <c r="B11425" t="s">
        <v>6730</v>
      </c>
      <c r="C11425" t="s">
        <v>5111</v>
      </c>
      <c r="D11425" t="s">
        <v>1535</v>
      </c>
      <c r="E11425" t="s">
        <v>561</v>
      </c>
      <c r="F11425" t="s">
        <v>1068</v>
      </c>
      <c r="G11425" t="s">
        <v>1075</v>
      </c>
      <c r="H11425">
        <v>-8.4319336843666493E-3</v>
      </c>
      <c r="I11425" t="s">
        <v>1077</v>
      </c>
      <c r="J11425">
        <v>9.61</v>
      </c>
    </row>
    <row r="11426" spans="1:10" hidden="1">
      <c r="A11426" t="s">
        <v>6729</v>
      </c>
      <c r="B11426" t="s">
        <v>6730</v>
      </c>
      <c r="C11426" t="s">
        <v>5111</v>
      </c>
      <c r="D11426" t="s">
        <v>1535</v>
      </c>
      <c r="E11426" t="s">
        <v>561</v>
      </c>
      <c r="F11426" t="s">
        <v>1068</v>
      </c>
      <c r="G11426" t="s">
        <v>1078</v>
      </c>
      <c r="H11426">
        <v>-0.76455082075441605</v>
      </c>
      <c r="I11426" t="s">
        <v>1079</v>
      </c>
      <c r="J11426">
        <v>9.61</v>
      </c>
    </row>
    <row r="11427" spans="1:10" hidden="1">
      <c r="A11427" t="s">
        <v>6729</v>
      </c>
      <c r="B11427" t="s">
        <v>6730</v>
      </c>
      <c r="C11427" t="s">
        <v>5111</v>
      </c>
      <c r="D11427" t="s">
        <v>1535</v>
      </c>
      <c r="E11427" t="s">
        <v>561</v>
      </c>
      <c r="F11427" t="s">
        <v>1068</v>
      </c>
      <c r="G11427" t="s">
        <v>1080</v>
      </c>
      <c r="H11427" s="170">
        <v>-3.0092650869636501E-9</v>
      </c>
      <c r="I11427" t="s">
        <v>1082</v>
      </c>
      <c r="J11427">
        <v>9.61</v>
      </c>
    </row>
    <row r="11428" spans="1:10" hidden="1">
      <c r="A11428" t="s">
        <v>6729</v>
      </c>
      <c r="B11428" t="s">
        <v>6730</v>
      </c>
      <c r="C11428" t="s">
        <v>5111</v>
      </c>
      <c r="D11428" t="s">
        <v>1535</v>
      </c>
      <c r="E11428" t="s">
        <v>561</v>
      </c>
      <c r="F11428" t="s">
        <v>1068</v>
      </c>
      <c r="G11428" t="s">
        <v>1083</v>
      </c>
      <c r="H11428" s="170">
        <v>-7.2435761682497206E-5</v>
      </c>
      <c r="I11428" t="s">
        <v>1084</v>
      </c>
      <c r="J11428">
        <v>9.61</v>
      </c>
    </row>
    <row r="11429" spans="1:10" hidden="1">
      <c r="A11429" t="s">
        <v>6729</v>
      </c>
      <c r="B11429" t="s">
        <v>6730</v>
      </c>
      <c r="C11429" t="s">
        <v>5111</v>
      </c>
      <c r="D11429" t="s">
        <v>1535</v>
      </c>
      <c r="E11429" t="s">
        <v>561</v>
      </c>
      <c r="F11429" t="s">
        <v>1068</v>
      </c>
      <c r="G11429" t="s">
        <v>1085</v>
      </c>
      <c r="H11429">
        <v>-6.2519555090856296E-4</v>
      </c>
      <c r="I11429" t="s">
        <v>1086</v>
      </c>
      <c r="J11429">
        <v>9.61</v>
      </c>
    </row>
    <row r="11430" spans="1:10" hidden="1">
      <c r="A11430" t="s">
        <v>6729</v>
      </c>
      <c r="B11430" t="s">
        <v>6730</v>
      </c>
      <c r="C11430" t="s">
        <v>5111</v>
      </c>
      <c r="D11430" t="s">
        <v>1535</v>
      </c>
      <c r="E11430" t="s">
        <v>561</v>
      </c>
      <c r="F11430" t="s">
        <v>1068</v>
      </c>
      <c r="G11430" t="s">
        <v>1087</v>
      </c>
      <c r="H11430" s="170">
        <v>-4.7391088009528899E-7</v>
      </c>
      <c r="I11430" t="s">
        <v>1088</v>
      </c>
      <c r="J11430">
        <v>9.61</v>
      </c>
    </row>
    <row r="11431" spans="1:10" hidden="1">
      <c r="A11431" t="s">
        <v>6729</v>
      </c>
      <c r="B11431" t="s">
        <v>6730</v>
      </c>
      <c r="C11431" t="s">
        <v>5111</v>
      </c>
      <c r="D11431" t="s">
        <v>1535</v>
      </c>
      <c r="E11431" t="s">
        <v>561</v>
      </c>
      <c r="F11431" t="s">
        <v>1068</v>
      </c>
      <c r="G11431" t="s">
        <v>1089</v>
      </c>
      <c r="H11431" s="170">
        <v>-9.7544929928346905E-5</v>
      </c>
      <c r="I11431" t="s">
        <v>1090</v>
      </c>
      <c r="J11431">
        <v>9.61</v>
      </c>
    </row>
    <row r="11432" spans="1:10" hidden="1">
      <c r="A11432" t="s">
        <v>6731</v>
      </c>
      <c r="B11432" t="s">
        <v>6732</v>
      </c>
      <c r="C11432" t="s">
        <v>5111</v>
      </c>
      <c r="D11432" t="s">
        <v>1535</v>
      </c>
      <c r="E11432" t="s">
        <v>555</v>
      </c>
      <c r="F11432" t="s">
        <v>1068</v>
      </c>
      <c r="G11432" t="s">
        <v>1069</v>
      </c>
      <c r="H11432">
        <v>-0.59582794687389196</v>
      </c>
      <c r="I11432" t="s">
        <v>1070</v>
      </c>
      <c r="J11432">
        <v>9.26</v>
      </c>
    </row>
    <row r="11433" spans="1:10" hidden="1">
      <c r="A11433" t="s">
        <v>6731</v>
      </c>
      <c r="B11433" t="s">
        <v>6732</v>
      </c>
      <c r="C11433" t="s">
        <v>5111</v>
      </c>
      <c r="D11433" t="s">
        <v>1535</v>
      </c>
      <c r="E11433" t="s">
        <v>555</v>
      </c>
      <c r="F11433" t="s">
        <v>1068</v>
      </c>
      <c r="G11433" t="s">
        <v>1071</v>
      </c>
      <c r="H11433" s="170">
        <v>-6.0481548832473701E-10</v>
      </c>
      <c r="I11433" t="s">
        <v>1072</v>
      </c>
      <c r="J11433">
        <v>9.26</v>
      </c>
    </row>
    <row r="11434" spans="1:10" hidden="1">
      <c r="A11434" t="s">
        <v>6731</v>
      </c>
      <c r="B11434" t="s">
        <v>6732</v>
      </c>
      <c r="C11434" t="s">
        <v>5111</v>
      </c>
      <c r="D11434" t="s">
        <v>1535</v>
      </c>
      <c r="E11434" t="s">
        <v>555</v>
      </c>
      <c r="F11434" t="s">
        <v>1068</v>
      </c>
      <c r="G11434" t="s">
        <v>1073</v>
      </c>
      <c r="H11434" s="170">
        <v>-2.0795735155587701E-7</v>
      </c>
      <c r="I11434" t="s">
        <v>1074</v>
      </c>
      <c r="J11434">
        <v>9.26</v>
      </c>
    </row>
    <row r="11435" spans="1:10" hidden="1">
      <c r="A11435" t="s">
        <v>6731</v>
      </c>
      <c r="B11435" t="s">
        <v>6732</v>
      </c>
      <c r="C11435" t="s">
        <v>5111</v>
      </c>
      <c r="D11435" t="s">
        <v>1535</v>
      </c>
      <c r="E11435" t="s">
        <v>555</v>
      </c>
      <c r="F11435" t="s">
        <v>1068</v>
      </c>
      <c r="G11435" t="s">
        <v>1075</v>
      </c>
      <c r="H11435">
        <v>-1.0591335518310501E-2</v>
      </c>
      <c r="I11435" t="s">
        <v>1077</v>
      </c>
      <c r="J11435">
        <v>9.26</v>
      </c>
    </row>
    <row r="11436" spans="1:10" hidden="1">
      <c r="A11436" t="s">
        <v>6731</v>
      </c>
      <c r="B11436" t="s">
        <v>6732</v>
      </c>
      <c r="C11436" t="s">
        <v>5111</v>
      </c>
      <c r="D11436" t="s">
        <v>1535</v>
      </c>
      <c r="E11436" t="s">
        <v>555</v>
      </c>
      <c r="F11436" t="s">
        <v>1068</v>
      </c>
      <c r="G11436" t="s">
        <v>1078</v>
      </c>
      <c r="H11436">
        <v>-0.85793168628016903</v>
      </c>
      <c r="I11436" t="s">
        <v>1079</v>
      </c>
      <c r="J11436">
        <v>9.26</v>
      </c>
    </row>
    <row r="11437" spans="1:10" hidden="1">
      <c r="A11437" t="s">
        <v>6731</v>
      </c>
      <c r="B11437" t="s">
        <v>6732</v>
      </c>
      <c r="C11437" t="s">
        <v>5111</v>
      </c>
      <c r="D11437" t="s">
        <v>1535</v>
      </c>
      <c r="E11437" t="s">
        <v>555</v>
      </c>
      <c r="F11437" t="s">
        <v>1068</v>
      </c>
      <c r="G11437" t="s">
        <v>1080</v>
      </c>
      <c r="H11437" s="170">
        <v>-3.3889846084759099E-9</v>
      </c>
      <c r="I11437" t="s">
        <v>1082</v>
      </c>
      <c r="J11437">
        <v>9.26</v>
      </c>
    </row>
    <row r="11438" spans="1:10" hidden="1">
      <c r="A11438" t="s">
        <v>6731</v>
      </c>
      <c r="B11438" t="s">
        <v>6732</v>
      </c>
      <c r="C11438" t="s">
        <v>5111</v>
      </c>
      <c r="D11438" t="s">
        <v>1535</v>
      </c>
      <c r="E11438" t="s">
        <v>555</v>
      </c>
      <c r="F11438" t="s">
        <v>1068</v>
      </c>
      <c r="G11438" t="s">
        <v>1083</v>
      </c>
      <c r="H11438" s="170">
        <v>-8.28191652463427E-5</v>
      </c>
      <c r="I11438" t="s">
        <v>1084</v>
      </c>
      <c r="J11438">
        <v>9.26</v>
      </c>
    </row>
    <row r="11439" spans="1:10" hidden="1">
      <c r="A11439" t="s">
        <v>6731</v>
      </c>
      <c r="B11439" t="s">
        <v>6732</v>
      </c>
      <c r="C11439" t="s">
        <v>5111</v>
      </c>
      <c r="D11439" t="s">
        <v>1535</v>
      </c>
      <c r="E11439" t="s">
        <v>555</v>
      </c>
      <c r="F11439" t="s">
        <v>1068</v>
      </c>
      <c r="G11439" t="s">
        <v>1085</v>
      </c>
      <c r="H11439">
        <v>-7.4254908493477103E-4</v>
      </c>
      <c r="I11439" t="s">
        <v>1086</v>
      </c>
      <c r="J11439">
        <v>9.26</v>
      </c>
    </row>
    <row r="11440" spans="1:10" hidden="1">
      <c r="A11440" t="s">
        <v>6731</v>
      </c>
      <c r="B11440" t="s">
        <v>6732</v>
      </c>
      <c r="C11440" t="s">
        <v>5111</v>
      </c>
      <c r="D11440" t="s">
        <v>1535</v>
      </c>
      <c r="E11440" t="s">
        <v>555</v>
      </c>
      <c r="F11440" t="s">
        <v>1068</v>
      </c>
      <c r="G11440" t="s">
        <v>1087</v>
      </c>
      <c r="H11440" s="170">
        <v>-5.3054623157403299E-7</v>
      </c>
      <c r="I11440" t="s">
        <v>1088</v>
      </c>
      <c r="J11440">
        <v>9.26</v>
      </c>
    </row>
    <row r="11441" spans="1:10" hidden="1">
      <c r="A11441" t="s">
        <v>6731</v>
      </c>
      <c r="B11441" t="s">
        <v>6732</v>
      </c>
      <c r="C11441" t="s">
        <v>5111</v>
      </c>
      <c r="D11441" t="s">
        <v>1535</v>
      </c>
      <c r="E11441" t="s">
        <v>555</v>
      </c>
      <c r="F11441" t="s">
        <v>1068</v>
      </c>
      <c r="G11441" t="s">
        <v>1089</v>
      </c>
      <c r="H11441">
        <v>-1.21754732198827E-4</v>
      </c>
      <c r="I11441" t="s">
        <v>1090</v>
      </c>
      <c r="J11441">
        <v>9.26</v>
      </c>
    </row>
    <row r="11442" spans="1:10" hidden="1">
      <c r="A11442" t="s">
        <v>6733</v>
      </c>
      <c r="B11442" t="s">
        <v>6734</v>
      </c>
      <c r="C11442" t="s">
        <v>5111</v>
      </c>
      <c r="D11442" t="s">
        <v>1535</v>
      </c>
      <c r="E11442" t="s">
        <v>558</v>
      </c>
      <c r="F11442" t="s">
        <v>1068</v>
      </c>
      <c r="G11442" t="s">
        <v>1069</v>
      </c>
      <c r="H11442">
        <v>-0.52146898794052599</v>
      </c>
      <c r="I11442" t="s">
        <v>1070</v>
      </c>
      <c r="J11442">
        <v>30.44</v>
      </c>
    </row>
    <row r="11443" spans="1:10" hidden="1">
      <c r="A11443" t="s">
        <v>6733</v>
      </c>
      <c r="B11443" t="s">
        <v>6734</v>
      </c>
      <c r="C11443" t="s">
        <v>5111</v>
      </c>
      <c r="D11443" t="s">
        <v>1535</v>
      </c>
      <c r="E11443" t="s">
        <v>558</v>
      </c>
      <c r="F11443" t="s">
        <v>1068</v>
      </c>
      <c r="G11443" t="s">
        <v>1071</v>
      </c>
      <c r="H11443" s="170">
        <v>-4.98407044915844E-10</v>
      </c>
      <c r="I11443" t="s">
        <v>1072</v>
      </c>
      <c r="J11443">
        <v>30.44</v>
      </c>
    </row>
    <row r="11444" spans="1:10" hidden="1">
      <c r="A11444" t="s">
        <v>6733</v>
      </c>
      <c r="B11444" t="s">
        <v>6734</v>
      </c>
      <c r="C11444" t="s">
        <v>5111</v>
      </c>
      <c r="D11444" t="s">
        <v>1535</v>
      </c>
      <c r="E11444" t="s">
        <v>558</v>
      </c>
      <c r="F11444" t="s">
        <v>1068</v>
      </c>
      <c r="G11444" t="s">
        <v>1073</v>
      </c>
      <c r="H11444" s="170">
        <v>-1.81544513168847E-7</v>
      </c>
      <c r="I11444" t="s">
        <v>1074</v>
      </c>
      <c r="J11444">
        <v>30.44</v>
      </c>
    </row>
    <row r="11445" spans="1:10" hidden="1">
      <c r="A11445" t="s">
        <v>6733</v>
      </c>
      <c r="B11445" t="s">
        <v>6734</v>
      </c>
      <c r="C11445" t="s">
        <v>5111</v>
      </c>
      <c r="D11445" t="s">
        <v>1535</v>
      </c>
      <c r="E11445" t="s">
        <v>558</v>
      </c>
      <c r="F11445" t="s">
        <v>1068</v>
      </c>
      <c r="G11445" t="s">
        <v>1075</v>
      </c>
      <c r="H11445">
        <v>-8.24073630070527E-3</v>
      </c>
      <c r="I11445" t="s">
        <v>1077</v>
      </c>
      <c r="J11445">
        <v>30.44</v>
      </c>
    </row>
    <row r="11446" spans="1:10" hidden="1">
      <c r="A11446" t="s">
        <v>6733</v>
      </c>
      <c r="B11446" t="s">
        <v>6734</v>
      </c>
      <c r="C11446" t="s">
        <v>5111</v>
      </c>
      <c r="D11446" t="s">
        <v>1535</v>
      </c>
      <c r="E11446" t="s">
        <v>558</v>
      </c>
      <c r="F11446" t="s">
        <v>1068</v>
      </c>
      <c r="G11446" t="s">
        <v>1078</v>
      </c>
      <c r="H11446">
        <v>-0.756282708361248</v>
      </c>
      <c r="I11446" t="s">
        <v>1079</v>
      </c>
      <c r="J11446">
        <v>30.44</v>
      </c>
    </row>
    <row r="11447" spans="1:10" hidden="1">
      <c r="A11447" t="s">
        <v>6733</v>
      </c>
      <c r="B11447" t="s">
        <v>6734</v>
      </c>
      <c r="C11447" t="s">
        <v>5111</v>
      </c>
      <c r="D11447" t="s">
        <v>1535</v>
      </c>
      <c r="E11447" t="s">
        <v>558</v>
      </c>
      <c r="F11447" t="s">
        <v>1068</v>
      </c>
      <c r="G11447" t="s">
        <v>1080</v>
      </c>
      <c r="H11447" s="170">
        <v>-2.9756440267858502E-9</v>
      </c>
      <c r="I11447" t="s">
        <v>1082</v>
      </c>
      <c r="J11447">
        <v>30.44</v>
      </c>
    </row>
    <row r="11448" spans="1:10" hidden="1">
      <c r="A11448" t="s">
        <v>6733</v>
      </c>
      <c r="B11448" t="s">
        <v>6734</v>
      </c>
      <c r="C11448" t="s">
        <v>5111</v>
      </c>
      <c r="D11448" t="s">
        <v>1535</v>
      </c>
      <c r="E11448" t="s">
        <v>558</v>
      </c>
      <c r="F11448" t="s">
        <v>1068</v>
      </c>
      <c r="G11448" t="s">
        <v>1083</v>
      </c>
      <c r="H11448" s="170">
        <v>-7.1516396165921301E-5</v>
      </c>
      <c r="I11448" t="s">
        <v>1084</v>
      </c>
      <c r="J11448">
        <v>30.44</v>
      </c>
    </row>
    <row r="11449" spans="1:10" hidden="1">
      <c r="A11449" t="s">
        <v>6733</v>
      </c>
      <c r="B11449" t="s">
        <v>6734</v>
      </c>
      <c r="C11449" t="s">
        <v>5111</v>
      </c>
      <c r="D11449" t="s">
        <v>1535</v>
      </c>
      <c r="E11449" t="s">
        <v>558</v>
      </c>
      <c r="F11449" t="s">
        <v>1068</v>
      </c>
      <c r="G11449" t="s">
        <v>1085</v>
      </c>
      <c r="H11449">
        <v>-6.1480485465168204E-4</v>
      </c>
      <c r="I11449" t="s">
        <v>1086</v>
      </c>
      <c r="J11449">
        <v>30.44</v>
      </c>
    </row>
    <row r="11450" spans="1:10" hidden="1">
      <c r="A11450" t="s">
        <v>6733</v>
      </c>
      <c r="B11450" t="s">
        <v>6734</v>
      </c>
      <c r="C11450" t="s">
        <v>5111</v>
      </c>
      <c r="D11450" t="s">
        <v>1535</v>
      </c>
      <c r="E11450" t="s">
        <v>558</v>
      </c>
      <c r="F11450" t="s">
        <v>1068</v>
      </c>
      <c r="G11450" t="s">
        <v>1087</v>
      </c>
      <c r="H11450" s="170">
        <v>-4.6889628263764501E-7</v>
      </c>
      <c r="I11450" t="s">
        <v>1088</v>
      </c>
      <c r="J11450">
        <v>30.44</v>
      </c>
    </row>
    <row r="11451" spans="1:10" hidden="1">
      <c r="A11451" t="s">
        <v>6733</v>
      </c>
      <c r="B11451" t="s">
        <v>6734</v>
      </c>
      <c r="C11451" t="s">
        <v>5111</v>
      </c>
      <c r="D11451" t="s">
        <v>1535</v>
      </c>
      <c r="E11451" t="s">
        <v>558</v>
      </c>
      <c r="F11451" t="s">
        <v>1068</v>
      </c>
      <c r="G11451" t="s">
        <v>1089</v>
      </c>
      <c r="H11451" s="170">
        <v>-9.5401349809434705E-5</v>
      </c>
      <c r="I11451" t="s">
        <v>1090</v>
      </c>
      <c r="J11451">
        <v>30.44</v>
      </c>
    </row>
    <row r="11452" spans="1:10" hidden="1">
      <c r="A11452" t="s">
        <v>6735</v>
      </c>
      <c r="B11452" t="s">
        <v>6736</v>
      </c>
      <c r="C11452" t="s">
        <v>5111</v>
      </c>
      <c r="D11452" t="s">
        <v>1535</v>
      </c>
      <c r="E11452" t="s">
        <v>553</v>
      </c>
      <c r="F11452" t="s">
        <v>1068</v>
      </c>
      <c r="G11452" t="s">
        <v>1069</v>
      </c>
      <c r="H11452">
        <v>-0.51554411099492403</v>
      </c>
      <c r="I11452" t="s">
        <v>1070</v>
      </c>
      <c r="J11452">
        <v>19.73</v>
      </c>
    </row>
    <row r="11453" spans="1:10" hidden="1">
      <c r="A11453" t="s">
        <v>6735</v>
      </c>
      <c r="B11453" t="s">
        <v>6736</v>
      </c>
      <c r="C11453" t="s">
        <v>5111</v>
      </c>
      <c r="D11453" t="s">
        <v>1535</v>
      </c>
      <c r="E11453" t="s">
        <v>553</v>
      </c>
      <c r="F11453" t="s">
        <v>1068</v>
      </c>
      <c r="G11453" t="s">
        <v>1071</v>
      </c>
      <c r="H11453" s="170">
        <v>-4.89928405802003E-10</v>
      </c>
      <c r="I11453" t="s">
        <v>1072</v>
      </c>
      <c r="J11453">
        <v>19.73</v>
      </c>
    </row>
    <row r="11454" spans="1:10" hidden="1">
      <c r="A11454" t="s">
        <v>6735</v>
      </c>
      <c r="B11454" t="s">
        <v>6736</v>
      </c>
      <c r="C11454" t="s">
        <v>5111</v>
      </c>
      <c r="D11454" t="s">
        <v>1535</v>
      </c>
      <c r="E11454" t="s">
        <v>553</v>
      </c>
      <c r="F11454" t="s">
        <v>1068</v>
      </c>
      <c r="G11454" t="s">
        <v>1073</v>
      </c>
      <c r="H11454" s="170">
        <v>-1.7944027901814401E-7</v>
      </c>
      <c r="I11454" t="s">
        <v>1074</v>
      </c>
      <c r="J11454">
        <v>19.73</v>
      </c>
    </row>
    <row r="11455" spans="1:10" hidden="1">
      <c r="A11455" t="s">
        <v>6735</v>
      </c>
      <c r="B11455" t="s">
        <v>6736</v>
      </c>
      <c r="C11455" t="s">
        <v>5111</v>
      </c>
      <c r="D11455" t="s">
        <v>1535</v>
      </c>
      <c r="E11455" t="s">
        <v>553</v>
      </c>
      <c r="F11455" t="s">
        <v>1068</v>
      </c>
      <c r="G11455" t="s">
        <v>1075</v>
      </c>
      <c r="H11455">
        <v>-8.0534777014054006E-3</v>
      </c>
      <c r="I11455" t="s">
        <v>1077</v>
      </c>
      <c r="J11455">
        <v>19.73</v>
      </c>
    </row>
    <row r="11456" spans="1:10" hidden="1">
      <c r="A11456" t="s">
        <v>6735</v>
      </c>
      <c r="B11456" t="s">
        <v>6736</v>
      </c>
      <c r="C11456" t="s">
        <v>5111</v>
      </c>
      <c r="D11456" t="s">
        <v>1535</v>
      </c>
      <c r="E11456" t="s">
        <v>553</v>
      </c>
      <c r="F11456" t="s">
        <v>1068</v>
      </c>
      <c r="G11456" t="s">
        <v>1078</v>
      </c>
      <c r="H11456">
        <v>-0.74818492475951703</v>
      </c>
      <c r="I11456" t="s">
        <v>1079</v>
      </c>
      <c r="J11456">
        <v>19.73</v>
      </c>
    </row>
    <row r="11457" spans="1:10" hidden="1">
      <c r="A11457" t="s">
        <v>6735</v>
      </c>
      <c r="B11457" t="s">
        <v>6736</v>
      </c>
      <c r="C11457" t="s">
        <v>5111</v>
      </c>
      <c r="D11457" t="s">
        <v>1535</v>
      </c>
      <c r="E11457" t="s">
        <v>553</v>
      </c>
      <c r="F11457" t="s">
        <v>1068</v>
      </c>
      <c r="G11457" t="s">
        <v>1080</v>
      </c>
      <c r="H11457" s="170">
        <v>-2.9427155814060099E-9</v>
      </c>
      <c r="I11457" t="s">
        <v>1082</v>
      </c>
      <c r="J11457">
        <v>19.73</v>
      </c>
    </row>
    <row r="11458" spans="1:10" hidden="1">
      <c r="A11458" t="s">
        <v>6735</v>
      </c>
      <c r="B11458" t="s">
        <v>6736</v>
      </c>
      <c r="C11458" t="s">
        <v>5111</v>
      </c>
      <c r="D11458" t="s">
        <v>1535</v>
      </c>
      <c r="E11458" t="s">
        <v>553</v>
      </c>
      <c r="F11458" t="s">
        <v>1068</v>
      </c>
      <c r="G11458" t="s">
        <v>1083</v>
      </c>
      <c r="H11458" s="170">
        <v>-7.0615970212209103E-5</v>
      </c>
      <c r="I11458" t="s">
        <v>1084</v>
      </c>
      <c r="J11458">
        <v>19.73</v>
      </c>
    </row>
    <row r="11459" spans="1:10" hidden="1">
      <c r="A11459" t="s">
        <v>6735</v>
      </c>
      <c r="B11459" t="s">
        <v>6736</v>
      </c>
      <c r="C11459" t="s">
        <v>5111</v>
      </c>
      <c r="D11459" t="s">
        <v>1535</v>
      </c>
      <c r="E11459" t="s">
        <v>553</v>
      </c>
      <c r="F11459" t="s">
        <v>1068</v>
      </c>
      <c r="G11459" t="s">
        <v>1085</v>
      </c>
      <c r="H11459">
        <v>-6.0462821377201697E-4</v>
      </c>
      <c r="I11459" t="s">
        <v>1086</v>
      </c>
      <c r="J11459">
        <v>19.73</v>
      </c>
    </row>
    <row r="11460" spans="1:10" hidden="1">
      <c r="A11460" t="s">
        <v>6735</v>
      </c>
      <c r="B11460" t="s">
        <v>6736</v>
      </c>
      <c r="C11460" t="s">
        <v>5111</v>
      </c>
      <c r="D11460" t="s">
        <v>1535</v>
      </c>
      <c r="E11460" t="s">
        <v>553</v>
      </c>
      <c r="F11460" t="s">
        <v>1068</v>
      </c>
      <c r="G11460" t="s">
        <v>1087</v>
      </c>
      <c r="H11460" s="170">
        <v>-4.6398498940213497E-7</v>
      </c>
      <c r="I11460" t="s">
        <v>1088</v>
      </c>
      <c r="J11460">
        <v>19.73</v>
      </c>
    </row>
    <row r="11461" spans="1:10" hidden="1">
      <c r="A11461" t="s">
        <v>6735</v>
      </c>
      <c r="B11461" t="s">
        <v>6736</v>
      </c>
      <c r="C11461" t="s">
        <v>5111</v>
      </c>
      <c r="D11461" t="s">
        <v>1535</v>
      </c>
      <c r="E11461" t="s">
        <v>553</v>
      </c>
      <c r="F11461" t="s">
        <v>1068</v>
      </c>
      <c r="G11461" t="s">
        <v>1089</v>
      </c>
      <c r="H11461" s="170">
        <v>-9.3301928835270206E-5</v>
      </c>
      <c r="I11461" t="s">
        <v>1090</v>
      </c>
      <c r="J11461">
        <v>19.73</v>
      </c>
    </row>
    <row r="11462" spans="1:10" hidden="1">
      <c r="A11462" t="s">
        <v>6737</v>
      </c>
      <c r="B11462" t="s">
        <v>6738</v>
      </c>
      <c r="C11462" t="s">
        <v>5111</v>
      </c>
      <c r="D11462" t="s">
        <v>1535</v>
      </c>
      <c r="E11462" t="s">
        <v>556</v>
      </c>
      <c r="F11462" t="s">
        <v>1068</v>
      </c>
      <c r="G11462" t="s">
        <v>1069</v>
      </c>
      <c r="H11462">
        <v>-0.58828188865655895</v>
      </c>
      <c r="I11462" t="s">
        <v>1070</v>
      </c>
      <c r="J11462">
        <v>10.86</v>
      </c>
    </row>
    <row r="11463" spans="1:10" hidden="1">
      <c r="A11463" t="s">
        <v>6737</v>
      </c>
      <c r="B11463" t="s">
        <v>6738</v>
      </c>
      <c r="C11463" t="s">
        <v>5111</v>
      </c>
      <c r="D11463" t="s">
        <v>1535</v>
      </c>
      <c r="E11463" t="s">
        <v>556</v>
      </c>
      <c r="F11463" t="s">
        <v>1068</v>
      </c>
      <c r="G11463" t="s">
        <v>1071</v>
      </c>
      <c r="H11463" s="170">
        <v>-5.94016993165078E-10</v>
      </c>
      <c r="I11463" t="s">
        <v>1072</v>
      </c>
      <c r="J11463">
        <v>10.86</v>
      </c>
    </row>
    <row r="11464" spans="1:10" hidden="1">
      <c r="A11464" t="s">
        <v>6737</v>
      </c>
      <c r="B11464" t="s">
        <v>6738</v>
      </c>
      <c r="C11464" t="s">
        <v>5111</v>
      </c>
      <c r="D11464" t="s">
        <v>1535</v>
      </c>
      <c r="E11464" t="s">
        <v>556</v>
      </c>
      <c r="F11464" t="s">
        <v>1068</v>
      </c>
      <c r="G11464" t="s">
        <v>1073</v>
      </c>
      <c r="H11464" s="170">
        <v>-2.05276967799897E-7</v>
      </c>
      <c r="I11464" t="s">
        <v>1074</v>
      </c>
      <c r="J11464">
        <v>10.86</v>
      </c>
    </row>
    <row r="11465" spans="1:10" hidden="1">
      <c r="A11465" t="s">
        <v>6737</v>
      </c>
      <c r="B11465" t="s">
        <v>6738</v>
      </c>
      <c r="C11465" t="s">
        <v>5111</v>
      </c>
      <c r="D11465" t="s">
        <v>1535</v>
      </c>
      <c r="E11465" t="s">
        <v>556</v>
      </c>
      <c r="F11465" t="s">
        <v>1068</v>
      </c>
      <c r="G11465" t="s">
        <v>1075</v>
      </c>
      <c r="H11465">
        <v>-1.03527965568377E-2</v>
      </c>
      <c r="I11465" t="s">
        <v>1077</v>
      </c>
      <c r="J11465">
        <v>10.86</v>
      </c>
    </row>
    <row r="11466" spans="1:10" hidden="1">
      <c r="A11466" t="s">
        <v>6737</v>
      </c>
      <c r="B11466" t="s">
        <v>6738</v>
      </c>
      <c r="C11466" t="s">
        <v>5111</v>
      </c>
      <c r="D11466" t="s">
        <v>1535</v>
      </c>
      <c r="E11466" t="s">
        <v>556</v>
      </c>
      <c r="F11466" t="s">
        <v>1068</v>
      </c>
      <c r="G11466" t="s">
        <v>1078</v>
      </c>
      <c r="H11466">
        <v>-0.84761634144731002</v>
      </c>
      <c r="I11466" t="s">
        <v>1079</v>
      </c>
      <c r="J11466">
        <v>10.86</v>
      </c>
    </row>
    <row r="11467" spans="1:10" hidden="1">
      <c r="A11467" t="s">
        <v>6737</v>
      </c>
      <c r="B11467" t="s">
        <v>6738</v>
      </c>
      <c r="C11467" t="s">
        <v>5111</v>
      </c>
      <c r="D11467" t="s">
        <v>1535</v>
      </c>
      <c r="E11467" t="s">
        <v>556</v>
      </c>
      <c r="F11467" t="s">
        <v>1068</v>
      </c>
      <c r="G11467" t="s">
        <v>1080</v>
      </c>
      <c r="H11467" s="170">
        <v>-3.34703877938106E-9</v>
      </c>
      <c r="I11467" t="s">
        <v>1082</v>
      </c>
      <c r="J11467">
        <v>10.86</v>
      </c>
    </row>
    <row r="11468" spans="1:10" hidden="1">
      <c r="A11468" t="s">
        <v>6737</v>
      </c>
      <c r="B11468" t="s">
        <v>6738</v>
      </c>
      <c r="C11468" t="s">
        <v>5111</v>
      </c>
      <c r="D11468" t="s">
        <v>1535</v>
      </c>
      <c r="E11468" t="s">
        <v>556</v>
      </c>
      <c r="F11468" t="s">
        <v>1068</v>
      </c>
      <c r="G11468" t="s">
        <v>1083</v>
      </c>
      <c r="H11468" s="170">
        <v>-8.1672159511544503E-5</v>
      </c>
      <c r="I11468" t="s">
        <v>1084</v>
      </c>
      <c r="J11468">
        <v>10.86</v>
      </c>
    </row>
    <row r="11469" spans="1:10" hidden="1">
      <c r="A11469" t="s">
        <v>6737</v>
      </c>
      <c r="B11469" t="s">
        <v>6738</v>
      </c>
      <c r="C11469" t="s">
        <v>5111</v>
      </c>
      <c r="D11469" t="s">
        <v>1535</v>
      </c>
      <c r="E11469" t="s">
        <v>556</v>
      </c>
      <c r="F11469" t="s">
        <v>1068</v>
      </c>
      <c r="G11469" t="s">
        <v>1085</v>
      </c>
      <c r="H11469">
        <v>-7.2958559219951299E-4</v>
      </c>
      <c r="I11469" t="s">
        <v>1086</v>
      </c>
      <c r="J11469">
        <v>10.86</v>
      </c>
    </row>
    <row r="11470" spans="1:10" hidden="1">
      <c r="A11470" t="s">
        <v>6737</v>
      </c>
      <c r="B11470" t="s">
        <v>6738</v>
      </c>
      <c r="C11470" t="s">
        <v>5111</v>
      </c>
      <c r="D11470" t="s">
        <v>1535</v>
      </c>
      <c r="E11470" t="s">
        <v>556</v>
      </c>
      <c r="F11470" t="s">
        <v>1068</v>
      </c>
      <c r="G11470" t="s">
        <v>1087</v>
      </c>
      <c r="H11470" s="170">
        <v>-5.2428999078849303E-7</v>
      </c>
      <c r="I11470" t="s">
        <v>1088</v>
      </c>
      <c r="J11470">
        <v>10.86</v>
      </c>
    </row>
    <row r="11471" spans="1:10" hidden="1">
      <c r="A11471" t="s">
        <v>6737</v>
      </c>
      <c r="B11471" t="s">
        <v>6738</v>
      </c>
      <c r="C11471" t="s">
        <v>5111</v>
      </c>
      <c r="D11471" t="s">
        <v>1535</v>
      </c>
      <c r="E11471" t="s">
        <v>556</v>
      </c>
      <c r="F11471" t="s">
        <v>1068</v>
      </c>
      <c r="G11471" t="s">
        <v>1089</v>
      </c>
      <c r="H11471">
        <v>-1.1908038924702E-4</v>
      </c>
      <c r="I11471" t="s">
        <v>1090</v>
      </c>
      <c r="J11471">
        <v>10.86</v>
      </c>
    </row>
    <row r="11472" spans="1:10" hidden="1">
      <c r="A11472" t="s">
        <v>6739</v>
      </c>
      <c r="B11472" t="s">
        <v>6740</v>
      </c>
      <c r="C11472" t="s">
        <v>5111</v>
      </c>
      <c r="D11472" t="s">
        <v>1535</v>
      </c>
      <c r="E11472" t="s">
        <v>557</v>
      </c>
      <c r="F11472" t="s">
        <v>1068</v>
      </c>
      <c r="G11472" t="s">
        <v>1069</v>
      </c>
      <c r="H11472">
        <v>-0.546451640126981</v>
      </c>
      <c r="I11472" t="s">
        <v>1070</v>
      </c>
      <c r="J11472">
        <v>9.31</v>
      </c>
    </row>
    <row r="11473" spans="1:10" hidden="1">
      <c r="A11473" t="s">
        <v>6739</v>
      </c>
      <c r="B11473" t="s">
        <v>6740</v>
      </c>
      <c r="C11473" t="s">
        <v>5111</v>
      </c>
      <c r="D11473" t="s">
        <v>1535</v>
      </c>
      <c r="E11473" t="s">
        <v>557</v>
      </c>
      <c r="F11473" t="s">
        <v>1068</v>
      </c>
      <c r="G11473" t="s">
        <v>1071</v>
      </c>
      <c r="H11473" s="170">
        <v>-5.3415750441940895E-10</v>
      </c>
      <c r="I11473" t="s">
        <v>1072</v>
      </c>
      <c r="J11473">
        <v>9.31</v>
      </c>
    </row>
    <row r="11474" spans="1:10" hidden="1">
      <c r="A11474" t="s">
        <v>6739</v>
      </c>
      <c r="B11474" t="s">
        <v>6740</v>
      </c>
      <c r="C11474" t="s">
        <v>5111</v>
      </c>
      <c r="D11474" t="s">
        <v>1535</v>
      </c>
      <c r="E11474" t="s">
        <v>557</v>
      </c>
      <c r="F11474" t="s">
        <v>1068</v>
      </c>
      <c r="G11474" t="s">
        <v>1073</v>
      </c>
      <c r="H11474" s="170">
        <v>-1.9041843027540001E-7</v>
      </c>
      <c r="I11474" t="s">
        <v>1074</v>
      </c>
      <c r="J11474">
        <v>9.31</v>
      </c>
    </row>
    <row r="11475" spans="1:10" hidden="1">
      <c r="A11475" t="s">
        <v>6739</v>
      </c>
      <c r="B11475" t="s">
        <v>6740</v>
      </c>
      <c r="C11475" t="s">
        <v>5111</v>
      </c>
      <c r="D11475" t="s">
        <v>1535</v>
      </c>
      <c r="E11475" t="s">
        <v>557</v>
      </c>
      <c r="F11475" t="s">
        <v>1068</v>
      </c>
      <c r="G11475" t="s">
        <v>1075</v>
      </c>
      <c r="H11475">
        <v>-9.0304646245238304E-3</v>
      </c>
      <c r="I11475" t="s">
        <v>1077</v>
      </c>
      <c r="J11475">
        <v>9.31</v>
      </c>
    </row>
    <row r="11476" spans="1:10" hidden="1">
      <c r="A11476" t="s">
        <v>6739</v>
      </c>
      <c r="B11476" t="s">
        <v>6740</v>
      </c>
      <c r="C11476" t="s">
        <v>5111</v>
      </c>
      <c r="D11476" t="s">
        <v>1535</v>
      </c>
      <c r="E11476" t="s">
        <v>557</v>
      </c>
      <c r="F11476" t="s">
        <v>1068</v>
      </c>
      <c r="G11476" t="s">
        <v>1078</v>
      </c>
      <c r="H11476">
        <v>-0.79043360737650703</v>
      </c>
      <c r="I11476" t="s">
        <v>1079</v>
      </c>
      <c r="J11476">
        <v>9.31</v>
      </c>
    </row>
    <row r="11477" spans="1:10" hidden="1">
      <c r="A11477" t="s">
        <v>6739</v>
      </c>
      <c r="B11477" t="s">
        <v>6740</v>
      </c>
      <c r="C11477" t="s">
        <v>5111</v>
      </c>
      <c r="D11477" t="s">
        <v>1535</v>
      </c>
      <c r="E11477" t="s">
        <v>557</v>
      </c>
      <c r="F11477" t="s">
        <v>1068</v>
      </c>
      <c r="G11477" t="s">
        <v>1080</v>
      </c>
      <c r="H11477" s="170">
        <v>-3.1145136231723802E-9</v>
      </c>
      <c r="I11477" t="s">
        <v>1082</v>
      </c>
      <c r="J11477">
        <v>9.31</v>
      </c>
    </row>
    <row r="11478" spans="1:10" hidden="1">
      <c r="A11478" t="s">
        <v>6739</v>
      </c>
      <c r="B11478" t="s">
        <v>6740</v>
      </c>
      <c r="C11478" t="s">
        <v>5111</v>
      </c>
      <c r="D11478" t="s">
        <v>1535</v>
      </c>
      <c r="E11478" t="s">
        <v>557</v>
      </c>
      <c r="F11478" t="s">
        <v>1068</v>
      </c>
      <c r="G11478" t="s">
        <v>1083</v>
      </c>
      <c r="H11478" s="170">
        <v>-7.5313775473517298E-5</v>
      </c>
      <c r="I11478" t="s">
        <v>1084</v>
      </c>
      <c r="J11478">
        <v>9.31</v>
      </c>
    </row>
    <row r="11479" spans="1:10" hidden="1">
      <c r="A11479" t="s">
        <v>6739</v>
      </c>
      <c r="B11479" t="s">
        <v>6740</v>
      </c>
      <c r="C11479" t="s">
        <v>5111</v>
      </c>
      <c r="D11479" t="s">
        <v>1535</v>
      </c>
      <c r="E11479" t="s">
        <v>557</v>
      </c>
      <c r="F11479" t="s">
        <v>1068</v>
      </c>
      <c r="G11479" t="s">
        <v>1085</v>
      </c>
      <c r="H11479">
        <v>-6.5772294788662099E-4</v>
      </c>
      <c r="I11479" t="s">
        <v>1086</v>
      </c>
      <c r="J11479">
        <v>9.31</v>
      </c>
    </row>
    <row r="11480" spans="1:10" hidden="1">
      <c r="A11480" t="s">
        <v>6739</v>
      </c>
      <c r="B11480" t="s">
        <v>6740</v>
      </c>
      <c r="C11480" t="s">
        <v>5111</v>
      </c>
      <c r="D11480" t="s">
        <v>1535</v>
      </c>
      <c r="E11480" t="s">
        <v>557</v>
      </c>
      <c r="F11480" t="s">
        <v>1068</v>
      </c>
      <c r="G11480" t="s">
        <v>1087</v>
      </c>
      <c r="H11480" s="170">
        <v>-4.8960875039747796E-7</v>
      </c>
      <c r="I11480" t="s">
        <v>1088</v>
      </c>
      <c r="J11480">
        <v>9.31</v>
      </c>
    </row>
    <row r="11481" spans="1:10" hidden="1">
      <c r="A11481" t="s">
        <v>6739</v>
      </c>
      <c r="B11481" t="s">
        <v>6740</v>
      </c>
      <c r="C11481" t="s">
        <v>5111</v>
      </c>
      <c r="D11481" t="s">
        <v>1535</v>
      </c>
      <c r="E11481" t="s">
        <v>557</v>
      </c>
      <c r="F11481" t="s">
        <v>1068</v>
      </c>
      <c r="G11481" t="s">
        <v>1089</v>
      </c>
      <c r="H11481">
        <v>-1.04255267691896E-4</v>
      </c>
      <c r="I11481" t="s">
        <v>1090</v>
      </c>
      <c r="J11481">
        <v>9.31</v>
      </c>
    </row>
    <row r="11482" spans="1:10" hidden="1">
      <c r="A11482" t="s">
        <v>6741</v>
      </c>
      <c r="B11482" t="s">
        <v>6742</v>
      </c>
      <c r="C11482" t="s">
        <v>5111</v>
      </c>
      <c r="D11482" t="s">
        <v>1535</v>
      </c>
      <c r="E11482" t="s">
        <v>559</v>
      </c>
      <c r="F11482" t="s">
        <v>1068</v>
      </c>
      <c r="G11482" t="s">
        <v>1069</v>
      </c>
      <c r="H11482">
        <v>-0.56666116005643896</v>
      </c>
      <c r="I11482" t="s">
        <v>1070</v>
      </c>
      <c r="J11482">
        <v>10.47</v>
      </c>
    </row>
    <row r="11483" spans="1:10" hidden="1">
      <c r="A11483" t="s">
        <v>6741</v>
      </c>
      <c r="B11483" t="s">
        <v>6742</v>
      </c>
      <c r="C11483" t="s">
        <v>5111</v>
      </c>
      <c r="D11483" t="s">
        <v>1535</v>
      </c>
      <c r="E11483" t="s">
        <v>559</v>
      </c>
      <c r="F11483" t="s">
        <v>1068</v>
      </c>
      <c r="G11483" t="s">
        <v>1071</v>
      </c>
      <c r="H11483" s="170">
        <v>-5.6307748456179595E-10</v>
      </c>
      <c r="I11483" t="s">
        <v>1072</v>
      </c>
      <c r="J11483">
        <v>10.47</v>
      </c>
    </row>
    <row r="11484" spans="1:10" hidden="1">
      <c r="A11484" t="s">
        <v>6741</v>
      </c>
      <c r="B11484" t="s">
        <v>6742</v>
      </c>
      <c r="C11484" t="s">
        <v>5111</v>
      </c>
      <c r="D11484" t="s">
        <v>1535</v>
      </c>
      <c r="E11484" t="s">
        <v>559</v>
      </c>
      <c r="F11484" t="s">
        <v>1068</v>
      </c>
      <c r="G11484" t="s">
        <v>1073</v>
      </c>
      <c r="H11484" s="170">
        <v>-1.97597216588985E-7</v>
      </c>
      <c r="I11484" t="s">
        <v>1074</v>
      </c>
      <c r="J11484">
        <v>10.47</v>
      </c>
    </row>
    <row r="11485" spans="1:10" hidden="1">
      <c r="A11485" t="s">
        <v>6741</v>
      </c>
      <c r="B11485" t="s">
        <v>6742</v>
      </c>
      <c r="C11485" t="s">
        <v>5111</v>
      </c>
      <c r="D11485" t="s">
        <v>1535</v>
      </c>
      <c r="E11485" t="s">
        <v>559</v>
      </c>
      <c r="F11485" t="s">
        <v>1068</v>
      </c>
      <c r="G11485" t="s">
        <v>1075</v>
      </c>
      <c r="H11485">
        <v>-9.66934222902293E-3</v>
      </c>
      <c r="I11485" t="s">
        <v>1077</v>
      </c>
      <c r="J11485">
        <v>10.47</v>
      </c>
    </row>
    <row r="11486" spans="1:10" hidden="1">
      <c r="A11486" t="s">
        <v>6741</v>
      </c>
      <c r="B11486" t="s">
        <v>6742</v>
      </c>
      <c r="C11486" t="s">
        <v>5111</v>
      </c>
      <c r="D11486" t="s">
        <v>1535</v>
      </c>
      <c r="E11486" t="s">
        <v>559</v>
      </c>
      <c r="F11486" t="s">
        <v>1068</v>
      </c>
      <c r="G11486" t="s">
        <v>1078</v>
      </c>
      <c r="H11486">
        <v>-0.81806113995993301</v>
      </c>
      <c r="I11486" t="s">
        <v>1079</v>
      </c>
      <c r="J11486">
        <v>10.47</v>
      </c>
    </row>
    <row r="11487" spans="1:10" hidden="1">
      <c r="A11487" t="s">
        <v>6741</v>
      </c>
      <c r="B11487" t="s">
        <v>6742</v>
      </c>
      <c r="C11487" t="s">
        <v>5111</v>
      </c>
      <c r="D11487" t="s">
        <v>1535</v>
      </c>
      <c r="E11487" t="s">
        <v>559</v>
      </c>
      <c r="F11487" t="s">
        <v>1068</v>
      </c>
      <c r="G11487" t="s">
        <v>1080</v>
      </c>
      <c r="H11487" s="170">
        <v>-3.2268569095029499E-9</v>
      </c>
      <c r="I11487" t="s">
        <v>1082</v>
      </c>
      <c r="J11487">
        <v>10.47</v>
      </c>
    </row>
    <row r="11488" spans="1:10" hidden="1">
      <c r="A11488" t="s">
        <v>6741</v>
      </c>
      <c r="B11488" t="s">
        <v>6742</v>
      </c>
      <c r="C11488" t="s">
        <v>5111</v>
      </c>
      <c r="D11488" t="s">
        <v>1535</v>
      </c>
      <c r="E11488" t="s">
        <v>559</v>
      </c>
      <c r="F11488" t="s">
        <v>1068</v>
      </c>
      <c r="G11488" t="s">
        <v>1083</v>
      </c>
      <c r="H11488" s="170">
        <v>-7.8385794765777295E-5</v>
      </c>
      <c r="I11488" t="s">
        <v>1084</v>
      </c>
      <c r="J11488">
        <v>10.47</v>
      </c>
    </row>
    <row r="11489" spans="1:10" hidden="1">
      <c r="A11489" t="s">
        <v>6741</v>
      </c>
      <c r="B11489" t="s">
        <v>6742</v>
      </c>
      <c r="C11489" t="s">
        <v>5111</v>
      </c>
      <c r="D11489" t="s">
        <v>1535</v>
      </c>
      <c r="E11489" t="s">
        <v>559</v>
      </c>
      <c r="F11489" t="s">
        <v>1068</v>
      </c>
      <c r="G11489" t="s">
        <v>1085</v>
      </c>
      <c r="H11489">
        <v>-6.9244300065467103E-4</v>
      </c>
      <c r="I11489" t="s">
        <v>1086</v>
      </c>
      <c r="J11489">
        <v>10.47</v>
      </c>
    </row>
    <row r="11490" spans="1:10" hidden="1">
      <c r="A11490" t="s">
        <v>6741</v>
      </c>
      <c r="B11490" t="s">
        <v>6742</v>
      </c>
      <c r="C11490" t="s">
        <v>5111</v>
      </c>
      <c r="D11490" t="s">
        <v>1535</v>
      </c>
      <c r="E11490" t="s">
        <v>559</v>
      </c>
      <c r="F11490" t="s">
        <v>1068</v>
      </c>
      <c r="G11490" t="s">
        <v>1087</v>
      </c>
      <c r="H11490" s="170">
        <v>-5.0636480651532897E-7</v>
      </c>
      <c r="I11490" t="s">
        <v>1088</v>
      </c>
      <c r="J11490">
        <v>10.47</v>
      </c>
    </row>
    <row r="11491" spans="1:10" hidden="1">
      <c r="A11491" t="s">
        <v>6741</v>
      </c>
      <c r="B11491" t="s">
        <v>6742</v>
      </c>
      <c r="C11491" t="s">
        <v>5111</v>
      </c>
      <c r="D11491" t="s">
        <v>1535</v>
      </c>
      <c r="E11491" t="s">
        <v>559</v>
      </c>
      <c r="F11491" t="s">
        <v>1068</v>
      </c>
      <c r="G11491" t="s">
        <v>1089</v>
      </c>
      <c r="H11491">
        <v>-1.11417945958134E-4</v>
      </c>
      <c r="I11491" t="s">
        <v>1090</v>
      </c>
      <c r="J11491">
        <v>10.47</v>
      </c>
    </row>
    <row r="11492" spans="1:10" hidden="1">
      <c r="A11492" t="s">
        <v>6743</v>
      </c>
      <c r="B11492" t="s">
        <v>6744</v>
      </c>
      <c r="C11492" t="s">
        <v>5111</v>
      </c>
      <c r="D11492" t="s">
        <v>1535</v>
      </c>
      <c r="E11492" t="s">
        <v>560</v>
      </c>
      <c r="F11492" t="s">
        <v>1068</v>
      </c>
      <c r="G11492" t="s">
        <v>1069</v>
      </c>
      <c r="H11492">
        <v>-0.55977572129306197</v>
      </c>
      <c r="I11492" t="s">
        <v>1070</v>
      </c>
      <c r="J11492">
        <v>8.61</v>
      </c>
    </row>
    <row r="11493" spans="1:10" hidden="1">
      <c r="A11493" t="s">
        <v>6743</v>
      </c>
      <c r="B11493" t="s">
        <v>6744</v>
      </c>
      <c r="C11493" t="s">
        <v>5111</v>
      </c>
      <c r="D11493" t="s">
        <v>1535</v>
      </c>
      <c r="E11493" t="s">
        <v>560</v>
      </c>
      <c r="F11493" t="s">
        <v>1068</v>
      </c>
      <c r="G11493" t="s">
        <v>1071</v>
      </c>
      <c r="H11493" s="170">
        <v>-5.5322441615458097E-10</v>
      </c>
      <c r="I11493" t="s">
        <v>1072</v>
      </c>
      <c r="J11493">
        <v>8.61</v>
      </c>
    </row>
    <row r="11494" spans="1:10" hidden="1">
      <c r="A11494" t="s">
        <v>6743</v>
      </c>
      <c r="B11494" t="s">
        <v>6744</v>
      </c>
      <c r="C11494" t="s">
        <v>5111</v>
      </c>
      <c r="D11494" t="s">
        <v>1535</v>
      </c>
      <c r="E11494" t="s">
        <v>560</v>
      </c>
      <c r="F11494" t="s">
        <v>1068</v>
      </c>
      <c r="G11494" t="s">
        <v>1073</v>
      </c>
      <c r="H11494" s="170">
        <v>-1.9515118606555099E-7</v>
      </c>
      <c r="I11494" t="s">
        <v>1074</v>
      </c>
      <c r="J11494">
        <v>8.61</v>
      </c>
    </row>
    <row r="11495" spans="1:10" hidden="1">
      <c r="A11495" t="s">
        <v>6743</v>
      </c>
      <c r="B11495" t="s">
        <v>6744</v>
      </c>
      <c r="C11495" t="s">
        <v>5111</v>
      </c>
      <c r="D11495" t="s">
        <v>1535</v>
      </c>
      <c r="E11495" t="s">
        <v>560</v>
      </c>
      <c r="F11495" t="s">
        <v>1068</v>
      </c>
      <c r="G11495" t="s">
        <v>1075</v>
      </c>
      <c r="H11495">
        <v>-9.4516530638922708E-3</v>
      </c>
      <c r="I11495" t="s">
        <v>1077</v>
      </c>
      <c r="J11495">
        <v>8.61</v>
      </c>
    </row>
    <row r="11496" spans="1:10" hidden="1">
      <c r="A11496" t="s">
        <v>6743</v>
      </c>
      <c r="B11496" t="s">
        <v>6744</v>
      </c>
      <c r="C11496" t="s">
        <v>5111</v>
      </c>
      <c r="D11496" t="s">
        <v>1535</v>
      </c>
      <c r="E11496" t="s">
        <v>560</v>
      </c>
      <c r="F11496" t="s">
        <v>1068</v>
      </c>
      <c r="G11496" t="s">
        <v>1078</v>
      </c>
      <c r="H11496">
        <v>-0.80864742018463398</v>
      </c>
      <c r="I11496" t="s">
        <v>1079</v>
      </c>
      <c r="J11496">
        <v>8.61</v>
      </c>
    </row>
    <row r="11497" spans="1:10" hidden="1">
      <c r="A11497" t="s">
        <v>6743</v>
      </c>
      <c r="B11497" t="s">
        <v>6744</v>
      </c>
      <c r="C11497" t="s">
        <v>5111</v>
      </c>
      <c r="D11497" t="s">
        <v>1535</v>
      </c>
      <c r="E11497" t="s">
        <v>560</v>
      </c>
      <c r="F11497" t="s">
        <v>1068</v>
      </c>
      <c r="G11497" t="s">
        <v>1080</v>
      </c>
      <c r="H11497" s="170">
        <v>-3.1885774079117598E-9</v>
      </c>
      <c r="I11497" t="s">
        <v>1082</v>
      </c>
      <c r="J11497">
        <v>8.61</v>
      </c>
    </row>
    <row r="11498" spans="1:10" hidden="1">
      <c r="A11498" t="s">
        <v>6743</v>
      </c>
      <c r="B11498" t="s">
        <v>6744</v>
      </c>
      <c r="C11498" t="s">
        <v>5111</v>
      </c>
      <c r="D11498" t="s">
        <v>1535</v>
      </c>
      <c r="E11498" t="s">
        <v>560</v>
      </c>
      <c r="F11498" t="s">
        <v>1068</v>
      </c>
      <c r="G11498" t="s">
        <v>1083</v>
      </c>
      <c r="H11498" s="170">
        <v>-7.7339044437567395E-5</v>
      </c>
      <c r="I11498" t="s">
        <v>1084</v>
      </c>
      <c r="J11498">
        <v>8.61</v>
      </c>
    </row>
    <row r="11499" spans="1:10" hidden="1">
      <c r="A11499" t="s">
        <v>6743</v>
      </c>
      <c r="B11499" t="s">
        <v>6744</v>
      </c>
      <c r="C11499" t="s">
        <v>5111</v>
      </c>
      <c r="D11499" t="s">
        <v>1535</v>
      </c>
      <c r="E11499" t="s">
        <v>560</v>
      </c>
      <c r="F11499" t="s">
        <v>1068</v>
      </c>
      <c r="G11499" t="s">
        <v>1085</v>
      </c>
      <c r="H11499">
        <v>-6.80612597611882E-4</v>
      </c>
      <c r="I11499" t="s">
        <v>1086</v>
      </c>
      <c r="J11499">
        <v>8.61</v>
      </c>
    </row>
    <row r="11500" spans="1:10" hidden="1">
      <c r="A11500" t="s">
        <v>6743</v>
      </c>
      <c r="B11500" t="s">
        <v>6744</v>
      </c>
      <c r="C11500" t="s">
        <v>5111</v>
      </c>
      <c r="D11500" t="s">
        <v>1535</v>
      </c>
      <c r="E11500" t="s">
        <v>560</v>
      </c>
      <c r="F11500" t="s">
        <v>1068</v>
      </c>
      <c r="G11500" t="s">
        <v>1087</v>
      </c>
      <c r="H11500" s="170">
        <v>-5.0065539986938596E-7</v>
      </c>
      <c r="I11500" t="s">
        <v>1088</v>
      </c>
      <c r="J11500">
        <v>8.61</v>
      </c>
    </row>
    <row r="11501" spans="1:10" hidden="1">
      <c r="A11501" t="s">
        <v>6743</v>
      </c>
      <c r="B11501" t="s">
        <v>6744</v>
      </c>
      <c r="C11501" t="s">
        <v>5111</v>
      </c>
      <c r="D11501" t="s">
        <v>1535</v>
      </c>
      <c r="E11501" t="s">
        <v>560</v>
      </c>
      <c r="F11501" t="s">
        <v>1068</v>
      </c>
      <c r="G11501" t="s">
        <v>1089</v>
      </c>
      <c r="H11501">
        <v>-1.0897735722919501E-4</v>
      </c>
      <c r="I11501" t="s">
        <v>1090</v>
      </c>
      <c r="J11501">
        <v>8.61</v>
      </c>
    </row>
    <row r="11502" spans="1:10" hidden="1">
      <c r="A11502" t="s">
        <v>6745</v>
      </c>
      <c r="B11502" t="s">
        <v>6746</v>
      </c>
      <c r="C11502" t="s">
        <v>5111</v>
      </c>
      <c r="D11502" t="s">
        <v>1535</v>
      </c>
      <c r="E11502" t="s">
        <v>1116</v>
      </c>
      <c r="F11502" t="s">
        <v>1068</v>
      </c>
      <c r="G11502" t="s">
        <v>1069</v>
      </c>
      <c r="H11502">
        <v>-0.51933579501511795</v>
      </c>
      <c r="I11502" t="s">
        <v>1070</v>
      </c>
      <c r="J11502">
        <v>8.32</v>
      </c>
    </row>
    <row r="11503" spans="1:10" hidden="1">
      <c r="A11503" t="s">
        <v>6745</v>
      </c>
      <c r="B11503" t="s">
        <v>6746</v>
      </c>
      <c r="C11503" t="s">
        <v>5111</v>
      </c>
      <c r="D11503" t="s">
        <v>1535</v>
      </c>
      <c r="E11503" t="s">
        <v>1116</v>
      </c>
      <c r="F11503" t="s">
        <v>1068</v>
      </c>
      <c r="G11503" t="s">
        <v>1071</v>
      </c>
      <c r="H11503" s="170">
        <v>-4.9535442157049503E-10</v>
      </c>
      <c r="I11503" t="s">
        <v>1072</v>
      </c>
      <c r="J11503">
        <v>8.32</v>
      </c>
    </row>
    <row r="11504" spans="1:10" hidden="1">
      <c r="A11504" t="s">
        <v>6745</v>
      </c>
      <c r="B11504" t="s">
        <v>6746</v>
      </c>
      <c r="C11504" t="s">
        <v>5111</v>
      </c>
      <c r="D11504" t="s">
        <v>1535</v>
      </c>
      <c r="E11504" t="s">
        <v>1116</v>
      </c>
      <c r="F11504" t="s">
        <v>1068</v>
      </c>
      <c r="G11504" t="s">
        <v>1073</v>
      </c>
      <c r="H11504" s="170">
        <v>-1.8078679629190801E-7</v>
      </c>
      <c r="I11504" t="s">
        <v>1074</v>
      </c>
      <c r="J11504">
        <v>8.32</v>
      </c>
    </row>
    <row r="11505" spans="1:10" hidden="1">
      <c r="A11505" t="s">
        <v>6745</v>
      </c>
      <c r="B11505" t="s">
        <v>6746</v>
      </c>
      <c r="C11505" t="s">
        <v>5111</v>
      </c>
      <c r="D11505" t="s">
        <v>1535</v>
      </c>
      <c r="E11505" t="s">
        <v>1116</v>
      </c>
      <c r="F11505" t="s">
        <v>1068</v>
      </c>
      <c r="G11505" t="s">
        <v>1075</v>
      </c>
      <c r="H11505">
        <v>-8.1733037935082901E-3</v>
      </c>
      <c r="I11505" t="s">
        <v>1077</v>
      </c>
      <c r="J11505">
        <v>8.32</v>
      </c>
    </row>
    <row r="11506" spans="1:10" hidden="1">
      <c r="A11506" t="s">
        <v>6745</v>
      </c>
      <c r="B11506" t="s">
        <v>6746</v>
      </c>
      <c r="C11506" t="s">
        <v>5111</v>
      </c>
      <c r="D11506" t="s">
        <v>1535</v>
      </c>
      <c r="E11506" t="s">
        <v>1116</v>
      </c>
      <c r="F11506" t="s">
        <v>1068</v>
      </c>
      <c r="G11506" t="s">
        <v>1078</v>
      </c>
      <c r="H11506">
        <v>-0.75336666663629603</v>
      </c>
      <c r="I11506" t="s">
        <v>1079</v>
      </c>
      <c r="J11506">
        <v>8.32</v>
      </c>
    </row>
    <row r="11507" spans="1:10" hidden="1">
      <c r="A11507" t="s">
        <v>6745</v>
      </c>
      <c r="B11507" t="s">
        <v>6746</v>
      </c>
      <c r="C11507" t="s">
        <v>5111</v>
      </c>
      <c r="D11507" t="s">
        <v>1535</v>
      </c>
      <c r="E11507" t="s">
        <v>1116</v>
      </c>
      <c r="F11507" t="s">
        <v>1068</v>
      </c>
      <c r="G11507" t="s">
        <v>1080</v>
      </c>
      <c r="H11507" s="170">
        <v>-2.9637863729885299E-9</v>
      </c>
      <c r="I11507" t="s">
        <v>1082</v>
      </c>
      <c r="J11507">
        <v>8.32</v>
      </c>
    </row>
    <row r="11508" spans="1:10" hidden="1">
      <c r="A11508" t="s">
        <v>6745</v>
      </c>
      <c r="B11508" t="s">
        <v>6746</v>
      </c>
      <c r="C11508" t="s">
        <v>5111</v>
      </c>
      <c r="D11508" t="s">
        <v>1535</v>
      </c>
      <c r="E11508" t="s">
        <v>1116</v>
      </c>
      <c r="F11508" t="s">
        <v>1068</v>
      </c>
      <c r="G11508" t="s">
        <v>1083</v>
      </c>
      <c r="H11508" s="170">
        <v>-7.1192149460103302E-5</v>
      </c>
      <c r="I11508" t="s">
        <v>1084</v>
      </c>
      <c r="J11508">
        <v>8.32</v>
      </c>
    </row>
    <row r="11509" spans="1:10" hidden="1">
      <c r="A11509" t="s">
        <v>6745</v>
      </c>
      <c r="B11509" t="s">
        <v>6746</v>
      </c>
      <c r="C11509" t="s">
        <v>5111</v>
      </c>
      <c r="D11509" t="s">
        <v>1535</v>
      </c>
      <c r="E11509" t="s">
        <v>1116</v>
      </c>
      <c r="F11509" t="s">
        <v>1068</v>
      </c>
      <c r="G11509" t="s">
        <v>1085</v>
      </c>
      <c r="H11509">
        <v>-6.1114020879353003E-4</v>
      </c>
      <c r="I11509" t="s">
        <v>1086</v>
      </c>
      <c r="J11509">
        <v>8.32</v>
      </c>
    </row>
    <row r="11510" spans="1:10" hidden="1">
      <c r="A11510" t="s">
        <v>6745</v>
      </c>
      <c r="B11510" t="s">
        <v>6746</v>
      </c>
      <c r="C11510" t="s">
        <v>5111</v>
      </c>
      <c r="D11510" t="s">
        <v>1535</v>
      </c>
      <c r="E11510" t="s">
        <v>1116</v>
      </c>
      <c r="F11510" t="s">
        <v>1068</v>
      </c>
      <c r="G11510" t="s">
        <v>1087</v>
      </c>
      <c r="H11510" s="170">
        <v>-4.6712770781367199E-7</v>
      </c>
      <c r="I11510" t="s">
        <v>1088</v>
      </c>
      <c r="J11510">
        <v>8.32</v>
      </c>
    </row>
    <row r="11511" spans="1:10" hidden="1">
      <c r="A11511" t="s">
        <v>6745</v>
      </c>
      <c r="B11511" t="s">
        <v>6746</v>
      </c>
      <c r="C11511" t="s">
        <v>5111</v>
      </c>
      <c r="D11511" t="s">
        <v>1535</v>
      </c>
      <c r="E11511" t="s">
        <v>1116</v>
      </c>
      <c r="F11511" t="s">
        <v>1068</v>
      </c>
      <c r="G11511" t="s">
        <v>1089</v>
      </c>
      <c r="H11511" s="170">
        <v>-9.4645340605606598E-5</v>
      </c>
      <c r="I11511" t="s">
        <v>1090</v>
      </c>
      <c r="J11511">
        <v>8.32</v>
      </c>
    </row>
    <row r="11512" spans="1:10" hidden="1">
      <c r="A11512" t="s">
        <v>6747</v>
      </c>
      <c r="B11512" t="s">
        <v>6748</v>
      </c>
      <c r="C11512" t="s">
        <v>5111</v>
      </c>
      <c r="D11512" t="s">
        <v>330</v>
      </c>
      <c r="E11512" t="s">
        <v>561</v>
      </c>
      <c r="F11512" t="s">
        <v>1068</v>
      </c>
      <c r="G11512" t="s">
        <v>1069</v>
      </c>
      <c r="H11512">
        <v>-0.74106740658777703</v>
      </c>
      <c r="I11512" t="s">
        <v>1070</v>
      </c>
      <c r="J11512">
        <v>7.17</v>
      </c>
    </row>
    <row r="11513" spans="1:10" hidden="1">
      <c r="A11513" t="s">
        <v>6747</v>
      </c>
      <c r="B11513" t="s">
        <v>6748</v>
      </c>
      <c r="C11513" t="s">
        <v>5111</v>
      </c>
      <c r="D11513" t="s">
        <v>330</v>
      </c>
      <c r="E11513" t="s">
        <v>561</v>
      </c>
      <c r="F11513" t="s">
        <v>1068</v>
      </c>
      <c r="G11513" t="s">
        <v>1071</v>
      </c>
      <c r="H11513" s="170">
        <v>-7.2754937747038601E-10</v>
      </c>
      <c r="I11513" t="s">
        <v>1072</v>
      </c>
      <c r="J11513">
        <v>7.17</v>
      </c>
    </row>
    <row r="11514" spans="1:10" hidden="1">
      <c r="A11514" t="s">
        <v>6747</v>
      </c>
      <c r="B11514" t="s">
        <v>6748</v>
      </c>
      <c r="C11514" t="s">
        <v>5111</v>
      </c>
      <c r="D11514" t="s">
        <v>330</v>
      </c>
      <c r="E11514" t="s">
        <v>561</v>
      </c>
      <c r="F11514" t="s">
        <v>1068</v>
      </c>
      <c r="G11514" t="s">
        <v>1073</v>
      </c>
      <c r="H11514" s="170">
        <v>-2.58787232387732E-7</v>
      </c>
      <c r="I11514" t="s">
        <v>1074</v>
      </c>
      <c r="J11514">
        <v>7.17</v>
      </c>
    </row>
    <row r="11515" spans="1:10" hidden="1">
      <c r="A11515" t="s">
        <v>6747</v>
      </c>
      <c r="B11515" t="s">
        <v>6748</v>
      </c>
      <c r="C11515" t="s">
        <v>5111</v>
      </c>
      <c r="D11515" t="s">
        <v>330</v>
      </c>
      <c r="E11515" t="s">
        <v>561</v>
      </c>
      <c r="F11515" t="s">
        <v>1068</v>
      </c>
      <c r="G11515" t="s">
        <v>1075</v>
      </c>
      <c r="H11515">
        <v>-1.2178897081268399E-2</v>
      </c>
      <c r="I11515" t="s">
        <v>1077</v>
      </c>
      <c r="J11515">
        <v>7.17</v>
      </c>
    </row>
    <row r="11516" spans="1:10" hidden="1">
      <c r="A11516" t="s">
        <v>6747</v>
      </c>
      <c r="B11516" t="s">
        <v>6748</v>
      </c>
      <c r="C11516" t="s">
        <v>5111</v>
      </c>
      <c r="D11516" t="s">
        <v>330</v>
      </c>
      <c r="E11516" t="s">
        <v>561</v>
      </c>
      <c r="F11516" t="s">
        <v>1068</v>
      </c>
      <c r="G11516" t="s">
        <v>1078</v>
      </c>
      <c r="H11516">
        <v>-1.02845074925215</v>
      </c>
      <c r="I11516" t="s">
        <v>1079</v>
      </c>
      <c r="J11516">
        <v>7.17</v>
      </c>
    </row>
    <row r="11517" spans="1:10" hidden="1">
      <c r="A11517" t="s">
        <v>6747</v>
      </c>
      <c r="B11517" t="s">
        <v>6748</v>
      </c>
      <c r="C11517" t="s">
        <v>5111</v>
      </c>
      <c r="D11517" t="s">
        <v>330</v>
      </c>
      <c r="E11517" t="s">
        <v>561</v>
      </c>
      <c r="F11517" t="s">
        <v>1068</v>
      </c>
      <c r="G11517" t="s">
        <v>1080</v>
      </c>
      <c r="H11517" s="170">
        <v>-4.1944195414006402E-9</v>
      </c>
      <c r="I11517" t="s">
        <v>1082</v>
      </c>
      <c r="J11517">
        <v>7.17</v>
      </c>
    </row>
    <row r="11518" spans="1:10" hidden="1">
      <c r="A11518" t="s">
        <v>6747</v>
      </c>
      <c r="B11518" t="s">
        <v>6748</v>
      </c>
      <c r="C11518" t="s">
        <v>5111</v>
      </c>
      <c r="D11518" t="s">
        <v>330</v>
      </c>
      <c r="E11518" t="s">
        <v>561</v>
      </c>
      <c r="F11518" t="s">
        <v>1068</v>
      </c>
      <c r="G11518" t="s">
        <v>1083</v>
      </c>
      <c r="H11518">
        <v>-1.00361894075166E-4</v>
      </c>
      <c r="I11518" t="s">
        <v>1084</v>
      </c>
      <c r="J11518">
        <v>7.17</v>
      </c>
    </row>
    <row r="11519" spans="1:10" hidden="1">
      <c r="A11519" t="s">
        <v>6747</v>
      </c>
      <c r="B11519" t="s">
        <v>6748</v>
      </c>
      <c r="C11519" t="s">
        <v>5111</v>
      </c>
      <c r="D11519" t="s">
        <v>330</v>
      </c>
      <c r="E11519" t="s">
        <v>561</v>
      </c>
      <c r="F11519" t="s">
        <v>1068</v>
      </c>
      <c r="G11519" t="s">
        <v>1085</v>
      </c>
      <c r="H11519">
        <v>-8.8509070779156998E-4</v>
      </c>
      <c r="I11519" t="s">
        <v>1086</v>
      </c>
      <c r="J11519">
        <v>7.17</v>
      </c>
    </row>
    <row r="11520" spans="1:10" hidden="1">
      <c r="A11520" t="s">
        <v>6747</v>
      </c>
      <c r="B11520" t="s">
        <v>6748</v>
      </c>
      <c r="C11520" t="s">
        <v>5111</v>
      </c>
      <c r="D11520" t="s">
        <v>330</v>
      </c>
      <c r="E11520" t="s">
        <v>561</v>
      </c>
      <c r="F11520" t="s">
        <v>1068</v>
      </c>
      <c r="G11520" t="s">
        <v>1087</v>
      </c>
      <c r="H11520" s="170">
        <v>-6.4918038158668302E-7</v>
      </c>
      <c r="I11520" t="s">
        <v>1088</v>
      </c>
      <c r="J11520">
        <v>7.17</v>
      </c>
    </row>
    <row r="11521" spans="1:10" hidden="1">
      <c r="A11521" t="s">
        <v>6747</v>
      </c>
      <c r="B11521" t="s">
        <v>6748</v>
      </c>
      <c r="C11521" t="s">
        <v>5111</v>
      </c>
      <c r="D11521" t="s">
        <v>330</v>
      </c>
      <c r="E11521" t="s">
        <v>561</v>
      </c>
      <c r="F11521" t="s">
        <v>1068</v>
      </c>
      <c r="G11521" t="s">
        <v>1089</v>
      </c>
      <c r="H11521">
        <v>-1.3960282315286199E-4</v>
      </c>
      <c r="I11521" t="s">
        <v>1090</v>
      </c>
      <c r="J11521">
        <v>7.17</v>
      </c>
    </row>
    <row r="11522" spans="1:10" hidden="1">
      <c r="A11522" t="s">
        <v>6749</v>
      </c>
      <c r="B11522" t="s">
        <v>6750</v>
      </c>
      <c r="C11522" t="s">
        <v>5111</v>
      </c>
      <c r="D11522" t="s">
        <v>330</v>
      </c>
      <c r="E11522" t="s">
        <v>555</v>
      </c>
      <c r="F11522" t="s">
        <v>1068</v>
      </c>
      <c r="G11522" t="s">
        <v>1069</v>
      </c>
      <c r="H11522">
        <v>-0.83414123931198803</v>
      </c>
      <c r="I11522" t="s">
        <v>1070</v>
      </c>
      <c r="J11522">
        <v>7.27</v>
      </c>
    </row>
    <row r="11523" spans="1:10" hidden="1">
      <c r="A11523" t="s">
        <v>6749</v>
      </c>
      <c r="B11523" t="s">
        <v>6750</v>
      </c>
      <c r="C11523" t="s">
        <v>5111</v>
      </c>
      <c r="D11523" t="s">
        <v>330</v>
      </c>
      <c r="E11523" t="s">
        <v>555</v>
      </c>
      <c r="F11523" t="s">
        <v>1068</v>
      </c>
      <c r="G11523" t="s">
        <v>1071</v>
      </c>
      <c r="H11523" s="170">
        <v>-8.60739038871565E-10</v>
      </c>
      <c r="I11523" t="s">
        <v>1072</v>
      </c>
      <c r="J11523">
        <v>7.27</v>
      </c>
    </row>
    <row r="11524" spans="1:10" hidden="1">
      <c r="A11524" t="s">
        <v>6749</v>
      </c>
      <c r="B11524" t="s">
        <v>6750</v>
      </c>
      <c r="C11524" t="s">
        <v>5111</v>
      </c>
      <c r="D11524" t="s">
        <v>330</v>
      </c>
      <c r="E11524" t="s">
        <v>555</v>
      </c>
      <c r="F11524" t="s">
        <v>1068</v>
      </c>
      <c r="G11524" t="s">
        <v>1073</v>
      </c>
      <c r="H11524" s="170">
        <v>-2.9184756768586002E-7</v>
      </c>
      <c r="I11524" t="s">
        <v>1074</v>
      </c>
      <c r="J11524">
        <v>7.27</v>
      </c>
    </row>
    <row r="11525" spans="1:10" hidden="1">
      <c r="A11525" t="s">
        <v>6749</v>
      </c>
      <c r="B11525" t="s">
        <v>6750</v>
      </c>
      <c r="C11525" t="s">
        <v>5111</v>
      </c>
      <c r="D11525" t="s">
        <v>330</v>
      </c>
      <c r="E11525" t="s">
        <v>555</v>
      </c>
      <c r="F11525" t="s">
        <v>1068</v>
      </c>
      <c r="G11525" t="s">
        <v>1075</v>
      </c>
      <c r="H11525">
        <v>-1.5121084051560801E-2</v>
      </c>
      <c r="I11525" t="s">
        <v>1077</v>
      </c>
      <c r="J11525">
        <v>7.27</v>
      </c>
    </row>
    <row r="11526" spans="1:10" hidden="1">
      <c r="A11526" t="s">
        <v>6749</v>
      </c>
      <c r="B11526" t="s">
        <v>6750</v>
      </c>
      <c r="C11526" t="s">
        <v>5111</v>
      </c>
      <c r="D11526" t="s">
        <v>330</v>
      </c>
      <c r="E11526" t="s">
        <v>555</v>
      </c>
      <c r="F11526" t="s">
        <v>1068</v>
      </c>
      <c r="G11526" t="s">
        <v>1078</v>
      </c>
      <c r="H11526">
        <v>-1.15568226342465</v>
      </c>
      <c r="I11526" t="s">
        <v>1079</v>
      </c>
      <c r="J11526">
        <v>7.27</v>
      </c>
    </row>
    <row r="11527" spans="1:10" hidden="1">
      <c r="A11527" t="s">
        <v>6749</v>
      </c>
      <c r="B11527" t="s">
        <v>6750</v>
      </c>
      <c r="C11527" t="s">
        <v>5111</v>
      </c>
      <c r="D11527" t="s">
        <v>330</v>
      </c>
      <c r="E11527" t="s">
        <v>555</v>
      </c>
      <c r="F11527" t="s">
        <v>1068</v>
      </c>
      <c r="G11527" t="s">
        <v>1080</v>
      </c>
      <c r="H11527" s="170">
        <v>-4.7117877360412399E-9</v>
      </c>
      <c r="I11527" t="s">
        <v>1082</v>
      </c>
      <c r="J11527">
        <v>7.27</v>
      </c>
    </row>
    <row r="11528" spans="1:10" hidden="1">
      <c r="A11528" t="s">
        <v>6749</v>
      </c>
      <c r="B11528" t="s">
        <v>6750</v>
      </c>
      <c r="C11528" t="s">
        <v>5111</v>
      </c>
      <c r="D11528" t="s">
        <v>330</v>
      </c>
      <c r="E11528" t="s">
        <v>555</v>
      </c>
      <c r="F11528" t="s">
        <v>1068</v>
      </c>
      <c r="G11528" t="s">
        <v>1083</v>
      </c>
      <c r="H11528">
        <v>-1.14509290869243E-4</v>
      </c>
      <c r="I11528" t="s">
        <v>1084</v>
      </c>
      <c r="J11528">
        <v>7.27</v>
      </c>
    </row>
    <row r="11529" spans="1:10" hidden="1">
      <c r="A11529" t="s">
        <v>6749</v>
      </c>
      <c r="B11529" t="s">
        <v>6750</v>
      </c>
      <c r="C11529" t="s">
        <v>5111</v>
      </c>
      <c r="D11529" t="s">
        <v>330</v>
      </c>
      <c r="E11529" t="s">
        <v>555</v>
      </c>
      <c r="F11529" t="s">
        <v>1068</v>
      </c>
      <c r="G11529" t="s">
        <v>1085</v>
      </c>
      <c r="H11529">
        <v>-1.04498500465377E-3</v>
      </c>
      <c r="I11529" t="s">
        <v>1086</v>
      </c>
      <c r="J11529">
        <v>7.27</v>
      </c>
    </row>
    <row r="11530" spans="1:10" hidden="1">
      <c r="A11530" t="s">
        <v>6749</v>
      </c>
      <c r="B11530" t="s">
        <v>6750</v>
      </c>
      <c r="C11530" t="s">
        <v>5111</v>
      </c>
      <c r="D11530" t="s">
        <v>330</v>
      </c>
      <c r="E11530" t="s">
        <v>555</v>
      </c>
      <c r="F11530" t="s">
        <v>1068</v>
      </c>
      <c r="G11530" t="s">
        <v>1087</v>
      </c>
      <c r="H11530" s="170">
        <v>-7.2634609941782904E-7</v>
      </c>
      <c r="I11530" t="s">
        <v>1088</v>
      </c>
      <c r="J11530">
        <v>7.27</v>
      </c>
    </row>
    <row r="11531" spans="1:10" hidden="1">
      <c r="A11531" t="s">
        <v>6749</v>
      </c>
      <c r="B11531" t="s">
        <v>6750</v>
      </c>
      <c r="C11531" t="s">
        <v>5111</v>
      </c>
      <c r="D11531" t="s">
        <v>330</v>
      </c>
      <c r="E11531" t="s">
        <v>555</v>
      </c>
      <c r="F11531" t="s">
        <v>1068</v>
      </c>
      <c r="G11531" t="s">
        <v>1089</v>
      </c>
      <c r="H11531">
        <v>-1.7258870080578501E-4</v>
      </c>
      <c r="I11531" t="s">
        <v>1090</v>
      </c>
      <c r="J11531">
        <v>7.27</v>
      </c>
    </row>
    <row r="11532" spans="1:10" hidden="1">
      <c r="A11532" t="s">
        <v>6751</v>
      </c>
      <c r="B11532" t="s">
        <v>6752</v>
      </c>
      <c r="C11532" t="s">
        <v>5111</v>
      </c>
      <c r="D11532" t="s">
        <v>330</v>
      </c>
      <c r="E11532" t="s">
        <v>558</v>
      </c>
      <c r="F11532" t="s">
        <v>1068</v>
      </c>
      <c r="G11532" t="s">
        <v>1069</v>
      </c>
      <c r="H11532">
        <v>-0.73282642014617805</v>
      </c>
      <c r="I11532" t="s">
        <v>1070</v>
      </c>
      <c r="J11532">
        <v>8.64</v>
      </c>
    </row>
    <row r="11533" spans="1:10" hidden="1">
      <c r="A11533" t="s">
        <v>6751</v>
      </c>
      <c r="B11533" t="s">
        <v>6752</v>
      </c>
      <c r="C11533" t="s">
        <v>5111</v>
      </c>
      <c r="D11533" t="s">
        <v>330</v>
      </c>
      <c r="E11533" t="s">
        <v>558</v>
      </c>
      <c r="F11533" t="s">
        <v>1068</v>
      </c>
      <c r="G11533" t="s">
        <v>1071</v>
      </c>
      <c r="H11533" s="170">
        <v>-7.1575643211570605E-10</v>
      </c>
      <c r="I11533" t="s">
        <v>1072</v>
      </c>
      <c r="J11533">
        <v>8.64</v>
      </c>
    </row>
    <row r="11534" spans="1:10" hidden="1">
      <c r="A11534" t="s">
        <v>6751</v>
      </c>
      <c r="B11534" t="s">
        <v>6752</v>
      </c>
      <c r="C11534" t="s">
        <v>5111</v>
      </c>
      <c r="D11534" t="s">
        <v>330</v>
      </c>
      <c r="E11534" t="s">
        <v>558</v>
      </c>
      <c r="F11534" t="s">
        <v>1068</v>
      </c>
      <c r="G11534" t="s">
        <v>1073</v>
      </c>
      <c r="H11534" s="170">
        <v>-2.55860007927607E-7</v>
      </c>
      <c r="I11534" t="s">
        <v>1074</v>
      </c>
      <c r="J11534">
        <v>8.64</v>
      </c>
    </row>
    <row r="11535" spans="1:10" hidden="1">
      <c r="A11535" t="s">
        <v>6751</v>
      </c>
      <c r="B11535" t="s">
        <v>6752</v>
      </c>
      <c r="C11535" t="s">
        <v>5111</v>
      </c>
      <c r="D11535" t="s">
        <v>330</v>
      </c>
      <c r="E11535" t="s">
        <v>558</v>
      </c>
      <c r="F11535" t="s">
        <v>1068</v>
      </c>
      <c r="G11535" t="s">
        <v>1075</v>
      </c>
      <c r="H11535">
        <v>-1.19183906962551E-2</v>
      </c>
      <c r="I11535" t="s">
        <v>1077</v>
      </c>
      <c r="J11535">
        <v>8.64</v>
      </c>
    </row>
    <row r="11536" spans="1:10" hidden="1">
      <c r="A11536" t="s">
        <v>6751</v>
      </c>
      <c r="B11536" t="s">
        <v>6752</v>
      </c>
      <c r="C11536" t="s">
        <v>5111</v>
      </c>
      <c r="D11536" t="s">
        <v>330</v>
      </c>
      <c r="E11536" t="s">
        <v>558</v>
      </c>
      <c r="F11536" t="s">
        <v>1068</v>
      </c>
      <c r="G11536" t="s">
        <v>1078</v>
      </c>
      <c r="H11536">
        <v>-1.0171854482884</v>
      </c>
      <c r="I11536" t="s">
        <v>1079</v>
      </c>
      <c r="J11536">
        <v>8.64</v>
      </c>
    </row>
    <row r="11537" spans="1:10" hidden="1">
      <c r="A11537" t="s">
        <v>6751</v>
      </c>
      <c r="B11537" t="s">
        <v>6752</v>
      </c>
      <c r="C11537" t="s">
        <v>5111</v>
      </c>
      <c r="D11537" t="s">
        <v>330</v>
      </c>
      <c r="E11537" t="s">
        <v>558</v>
      </c>
      <c r="F11537" t="s">
        <v>1068</v>
      </c>
      <c r="G11537" t="s">
        <v>1080</v>
      </c>
      <c r="H11537" s="170">
        <v>-4.14861085574027E-9</v>
      </c>
      <c r="I11537" t="s">
        <v>1082</v>
      </c>
      <c r="J11537">
        <v>8.64</v>
      </c>
    </row>
    <row r="11538" spans="1:10" hidden="1">
      <c r="A11538" t="s">
        <v>6751</v>
      </c>
      <c r="B11538" t="s">
        <v>6752</v>
      </c>
      <c r="C11538" t="s">
        <v>5111</v>
      </c>
      <c r="D11538" t="s">
        <v>330</v>
      </c>
      <c r="E11538" t="s">
        <v>558</v>
      </c>
      <c r="F11538" t="s">
        <v>1068</v>
      </c>
      <c r="G11538" t="s">
        <v>1083</v>
      </c>
      <c r="H11538" s="170">
        <v>-9.9109258800338394E-5</v>
      </c>
      <c r="I11538" t="s">
        <v>1084</v>
      </c>
      <c r="J11538">
        <v>8.64</v>
      </c>
    </row>
    <row r="11539" spans="1:10" hidden="1">
      <c r="A11539" t="s">
        <v>6751</v>
      </c>
      <c r="B11539" t="s">
        <v>6752</v>
      </c>
      <c r="C11539" t="s">
        <v>5111</v>
      </c>
      <c r="D11539" t="s">
        <v>330</v>
      </c>
      <c r="E11539" t="s">
        <v>558</v>
      </c>
      <c r="F11539" t="s">
        <v>1068</v>
      </c>
      <c r="G11539" t="s">
        <v>1085</v>
      </c>
      <c r="H11539">
        <v>-8.7093338687108601E-4</v>
      </c>
      <c r="I11539" t="s">
        <v>1086</v>
      </c>
      <c r="J11539">
        <v>8.64</v>
      </c>
    </row>
    <row r="11540" spans="1:10" hidden="1">
      <c r="A11540" t="s">
        <v>6751</v>
      </c>
      <c r="B11540" t="s">
        <v>6752</v>
      </c>
      <c r="C11540" t="s">
        <v>5111</v>
      </c>
      <c r="D11540" t="s">
        <v>330</v>
      </c>
      <c r="E11540" t="s">
        <v>558</v>
      </c>
      <c r="F11540" t="s">
        <v>1068</v>
      </c>
      <c r="G11540" t="s">
        <v>1087</v>
      </c>
      <c r="H11540" s="170">
        <v>-6.4234799386792004E-7</v>
      </c>
      <c r="I11540" t="s">
        <v>1088</v>
      </c>
      <c r="J11540">
        <v>8.64</v>
      </c>
    </row>
    <row r="11541" spans="1:10" hidden="1">
      <c r="A11541" t="s">
        <v>6751</v>
      </c>
      <c r="B11541" t="s">
        <v>6752</v>
      </c>
      <c r="C11541" t="s">
        <v>5111</v>
      </c>
      <c r="D11541" t="s">
        <v>330</v>
      </c>
      <c r="E11541" t="s">
        <v>558</v>
      </c>
      <c r="F11541" t="s">
        <v>1068</v>
      </c>
      <c r="G11541" t="s">
        <v>1089</v>
      </c>
      <c r="H11541">
        <v>-1.3668219580393801E-4</v>
      </c>
      <c r="I11541" t="s">
        <v>1090</v>
      </c>
      <c r="J11541">
        <v>8.64</v>
      </c>
    </row>
    <row r="11542" spans="1:10" hidden="1">
      <c r="A11542" t="s">
        <v>6753</v>
      </c>
      <c r="B11542" t="s">
        <v>6754</v>
      </c>
      <c r="C11542" t="s">
        <v>5111</v>
      </c>
      <c r="D11542" t="s">
        <v>330</v>
      </c>
      <c r="E11542" t="s">
        <v>553</v>
      </c>
      <c r="F11542" t="s">
        <v>1068</v>
      </c>
      <c r="G11542" t="s">
        <v>1069</v>
      </c>
      <c r="H11542">
        <v>-0.724754524134544</v>
      </c>
      <c r="I11542" t="s">
        <v>1070</v>
      </c>
      <c r="J11542">
        <v>7.83</v>
      </c>
    </row>
    <row r="11543" spans="1:10" hidden="1">
      <c r="A11543" t="s">
        <v>6753</v>
      </c>
      <c r="B11543" t="s">
        <v>6754</v>
      </c>
      <c r="C11543" t="s">
        <v>5111</v>
      </c>
      <c r="D11543" t="s">
        <v>330</v>
      </c>
      <c r="E11543" t="s">
        <v>553</v>
      </c>
      <c r="F11543" t="s">
        <v>1068</v>
      </c>
      <c r="G11543" t="s">
        <v>1071</v>
      </c>
      <c r="H11543" s="170">
        <v>-7.0420540497261401E-10</v>
      </c>
      <c r="I11543" t="s">
        <v>1072</v>
      </c>
      <c r="J11543">
        <v>7.83</v>
      </c>
    </row>
    <row r="11544" spans="1:10" hidden="1">
      <c r="A11544" t="s">
        <v>6753</v>
      </c>
      <c r="B11544" t="s">
        <v>6754</v>
      </c>
      <c r="C11544" t="s">
        <v>5111</v>
      </c>
      <c r="D11544" t="s">
        <v>330</v>
      </c>
      <c r="E11544" t="s">
        <v>553</v>
      </c>
      <c r="F11544" t="s">
        <v>1068</v>
      </c>
      <c r="G11544" t="s">
        <v>1073</v>
      </c>
      <c r="H11544" s="170">
        <v>-2.5299306033419201E-7</v>
      </c>
      <c r="I11544" t="s">
        <v>1074</v>
      </c>
      <c r="J11544">
        <v>7.83</v>
      </c>
    </row>
    <row r="11545" spans="1:10" hidden="1">
      <c r="A11545" t="s">
        <v>6753</v>
      </c>
      <c r="B11545" t="s">
        <v>6754</v>
      </c>
      <c r="C11545" t="s">
        <v>5111</v>
      </c>
      <c r="D11545" t="s">
        <v>330</v>
      </c>
      <c r="E11545" t="s">
        <v>553</v>
      </c>
      <c r="F11545" t="s">
        <v>1068</v>
      </c>
      <c r="G11545" t="s">
        <v>1075</v>
      </c>
      <c r="H11545">
        <v>-1.1663253130313401E-2</v>
      </c>
      <c r="I11545" t="s">
        <v>1077</v>
      </c>
      <c r="J11545">
        <v>7.83</v>
      </c>
    </row>
    <row r="11546" spans="1:10" hidden="1">
      <c r="A11546" t="s">
        <v>6753</v>
      </c>
      <c r="B11546" t="s">
        <v>6754</v>
      </c>
      <c r="C11546" t="s">
        <v>5111</v>
      </c>
      <c r="D11546" t="s">
        <v>330</v>
      </c>
      <c r="E11546" t="s">
        <v>553</v>
      </c>
      <c r="F11546" t="s">
        <v>1068</v>
      </c>
      <c r="G11546" t="s">
        <v>1078</v>
      </c>
      <c r="H11546">
        <v>-1.00615231617344</v>
      </c>
      <c r="I11546" t="s">
        <v>1079</v>
      </c>
      <c r="J11546">
        <v>7.83</v>
      </c>
    </row>
    <row r="11547" spans="1:10" hidden="1">
      <c r="A11547" t="s">
        <v>6753</v>
      </c>
      <c r="B11547" t="s">
        <v>6754</v>
      </c>
      <c r="C11547" t="s">
        <v>5111</v>
      </c>
      <c r="D11547" t="s">
        <v>330</v>
      </c>
      <c r="E11547" t="s">
        <v>553</v>
      </c>
      <c r="F11547" t="s">
        <v>1068</v>
      </c>
      <c r="G11547" t="s">
        <v>1080</v>
      </c>
      <c r="H11547" s="170">
        <v>-4.1037462489578203E-9</v>
      </c>
      <c r="I11547" t="s">
        <v>1082</v>
      </c>
      <c r="J11547">
        <v>7.83</v>
      </c>
    </row>
    <row r="11548" spans="1:10" hidden="1">
      <c r="A11548" t="s">
        <v>6753</v>
      </c>
      <c r="B11548" t="s">
        <v>6754</v>
      </c>
      <c r="C11548" t="s">
        <v>5111</v>
      </c>
      <c r="D11548" t="s">
        <v>330</v>
      </c>
      <c r="E11548" t="s">
        <v>553</v>
      </c>
      <c r="F11548" t="s">
        <v>1068</v>
      </c>
      <c r="G11548" t="s">
        <v>1083</v>
      </c>
      <c r="H11548" s="170">
        <v>-9.7882439338806297E-5</v>
      </c>
      <c r="I11548" t="s">
        <v>1084</v>
      </c>
      <c r="J11548">
        <v>7.83</v>
      </c>
    </row>
    <row r="11549" spans="1:10" hidden="1">
      <c r="A11549" t="s">
        <v>6753</v>
      </c>
      <c r="B11549" t="s">
        <v>6754</v>
      </c>
      <c r="C11549" t="s">
        <v>5111</v>
      </c>
      <c r="D11549" t="s">
        <v>330</v>
      </c>
      <c r="E11549" t="s">
        <v>553</v>
      </c>
      <c r="F11549" t="s">
        <v>1068</v>
      </c>
      <c r="G11549" t="s">
        <v>1085</v>
      </c>
      <c r="H11549">
        <v>-8.5706783694831999E-4</v>
      </c>
      <c r="I11549" t="s">
        <v>1086</v>
      </c>
      <c r="J11549">
        <v>7.83</v>
      </c>
    </row>
    <row r="11550" spans="1:10" hidden="1">
      <c r="A11550" t="s">
        <v>6753</v>
      </c>
      <c r="B11550" t="s">
        <v>6754</v>
      </c>
      <c r="C11550" t="s">
        <v>5111</v>
      </c>
      <c r="D11550" t="s">
        <v>330</v>
      </c>
      <c r="E11550" t="s">
        <v>553</v>
      </c>
      <c r="F11550" t="s">
        <v>1068</v>
      </c>
      <c r="G11550" t="s">
        <v>1087</v>
      </c>
      <c r="H11550" s="170">
        <v>-6.3565641625058801E-7</v>
      </c>
      <c r="I11550" t="s">
        <v>1088</v>
      </c>
      <c r="J11550">
        <v>7.83</v>
      </c>
    </row>
    <row r="11551" spans="1:10" hidden="1">
      <c r="A11551" t="s">
        <v>6753</v>
      </c>
      <c r="B11551" t="s">
        <v>6754</v>
      </c>
      <c r="C11551" t="s">
        <v>5111</v>
      </c>
      <c r="D11551" t="s">
        <v>330</v>
      </c>
      <c r="E11551" t="s">
        <v>553</v>
      </c>
      <c r="F11551" t="s">
        <v>1068</v>
      </c>
      <c r="G11551" t="s">
        <v>1089</v>
      </c>
      <c r="H11551">
        <v>-1.3382176019495899E-4</v>
      </c>
      <c r="I11551" t="s">
        <v>1090</v>
      </c>
      <c r="J11551">
        <v>7.83</v>
      </c>
    </row>
    <row r="11552" spans="1:10" hidden="1">
      <c r="A11552" t="s">
        <v>6755</v>
      </c>
      <c r="B11552" t="s">
        <v>6756</v>
      </c>
      <c r="C11552" t="s">
        <v>5111</v>
      </c>
      <c r="D11552" t="s">
        <v>330</v>
      </c>
      <c r="E11552" t="s">
        <v>556</v>
      </c>
      <c r="F11552" t="s">
        <v>1068</v>
      </c>
      <c r="G11552" t="s">
        <v>1069</v>
      </c>
      <c r="H11552">
        <v>-0.82385973604430096</v>
      </c>
      <c r="I11552" t="s">
        <v>1070</v>
      </c>
      <c r="J11552">
        <v>8.98</v>
      </c>
    </row>
    <row r="11553" spans="1:10" hidden="1">
      <c r="A11553" t="s">
        <v>6755</v>
      </c>
      <c r="B11553" t="s">
        <v>6756</v>
      </c>
      <c r="C11553" t="s">
        <v>5111</v>
      </c>
      <c r="D11553" t="s">
        <v>330</v>
      </c>
      <c r="E11553" t="s">
        <v>556</v>
      </c>
      <c r="F11553" t="s">
        <v>1068</v>
      </c>
      <c r="G11553" t="s">
        <v>1071</v>
      </c>
      <c r="H11553" s="170">
        <v>-8.4602609072399601E-10</v>
      </c>
      <c r="I11553" t="s">
        <v>1072</v>
      </c>
      <c r="J11553">
        <v>8.98</v>
      </c>
    </row>
    <row r="11554" spans="1:10" hidden="1">
      <c r="A11554" t="s">
        <v>6755</v>
      </c>
      <c r="B11554" t="s">
        <v>6756</v>
      </c>
      <c r="C11554" t="s">
        <v>5111</v>
      </c>
      <c r="D11554" t="s">
        <v>330</v>
      </c>
      <c r="E11554" t="s">
        <v>556</v>
      </c>
      <c r="F11554" t="s">
        <v>1068</v>
      </c>
      <c r="G11554" t="s">
        <v>1073</v>
      </c>
      <c r="H11554" s="170">
        <v>-2.8819554519251898E-7</v>
      </c>
      <c r="I11554" t="s">
        <v>1074</v>
      </c>
      <c r="J11554">
        <v>8.98</v>
      </c>
    </row>
    <row r="11555" spans="1:10" hidden="1">
      <c r="A11555" t="s">
        <v>6755</v>
      </c>
      <c r="B11555" t="s">
        <v>6756</v>
      </c>
      <c r="C11555" t="s">
        <v>5111</v>
      </c>
      <c r="D11555" t="s">
        <v>330</v>
      </c>
      <c r="E11555" t="s">
        <v>556</v>
      </c>
      <c r="F11555" t="s">
        <v>1068</v>
      </c>
      <c r="G11555" t="s">
        <v>1075</v>
      </c>
      <c r="H11555">
        <v>-1.47960747498536E-2</v>
      </c>
      <c r="I11555" t="s">
        <v>1077</v>
      </c>
      <c r="J11555">
        <v>8.98</v>
      </c>
    </row>
    <row r="11556" spans="1:10" hidden="1">
      <c r="A11556" t="s">
        <v>6755</v>
      </c>
      <c r="B11556" t="s">
        <v>6756</v>
      </c>
      <c r="C11556" t="s">
        <v>5111</v>
      </c>
      <c r="D11556" t="s">
        <v>330</v>
      </c>
      <c r="E11556" t="s">
        <v>556</v>
      </c>
      <c r="F11556" t="s">
        <v>1068</v>
      </c>
      <c r="G11556" t="s">
        <v>1078</v>
      </c>
      <c r="H11556">
        <v>-1.1416276075298999</v>
      </c>
      <c r="I11556" t="s">
        <v>1079</v>
      </c>
      <c r="J11556">
        <v>8.98</v>
      </c>
    </row>
    <row r="11557" spans="1:10" hidden="1">
      <c r="A11557" t="s">
        <v>6755</v>
      </c>
      <c r="B11557" t="s">
        <v>6756</v>
      </c>
      <c r="C11557" t="s">
        <v>5111</v>
      </c>
      <c r="D11557" t="s">
        <v>330</v>
      </c>
      <c r="E11557" t="s">
        <v>556</v>
      </c>
      <c r="F11557" t="s">
        <v>1068</v>
      </c>
      <c r="G11557" t="s">
        <v>1080</v>
      </c>
      <c r="H11557" s="170">
        <v>-4.6546365497551596E-9</v>
      </c>
      <c r="I11557" t="s">
        <v>1082</v>
      </c>
      <c r="J11557">
        <v>8.98</v>
      </c>
    </row>
    <row r="11558" spans="1:10" hidden="1">
      <c r="A11558" t="s">
        <v>6755</v>
      </c>
      <c r="B11558" t="s">
        <v>6756</v>
      </c>
      <c r="C11558" t="s">
        <v>5111</v>
      </c>
      <c r="D11558" t="s">
        <v>330</v>
      </c>
      <c r="E11558" t="s">
        <v>556</v>
      </c>
      <c r="F11558" t="s">
        <v>1068</v>
      </c>
      <c r="G11558" t="s">
        <v>1083</v>
      </c>
      <c r="H11558">
        <v>-1.1294649571570201E-4</v>
      </c>
      <c r="I11558" t="s">
        <v>1084</v>
      </c>
      <c r="J11558">
        <v>8.98</v>
      </c>
    </row>
    <row r="11559" spans="1:10" hidden="1">
      <c r="A11559" t="s">
        <v>6755</v>
      </c>
      <c r="B11559" t="s">
        <v>6756</v>
      </c>
      <c r="C11559" t="s">
        <v>5111</v>
      </c>
      <c r="D11559" t="s">
        <v>330</v>
      </c>
      <c r="E11559" t="s">
        <v>556</v>
      </c>
      <c r="F11559" t="s">
        <v>1068</v>
      </c>
      <c r="G11559" t="s">
        <v>1085</v>
      </c>
      <c r="H11559">
        <v>-1.0273222476116701E-3</v>
      </c>
      <c r="I11559" t="s">
        <v>1086</v>
      </c>
      <c r="J11559">
        <v>8.98</v>
      </c>
    </row>
    <row r="11560" spans="1:10" hidden="1">
      <c r="A11560" t="s">
        <v>6755</v>
      </c>
      <c r="B11560" t="s">
        <v>6756</v>
      </c>
      <c r="C11560" t="s">
        <v>5111</v>
      </c>
      <c r="D11560" t="s">
        <v>330</v>
      </c>
      <c r="E11560" t="s">
        <v>556</v>
      </c>
      <c r="F11560" t="s">
        <v>1068</v>
      </c>
      <c r="G11560" t="s">
        <v>1087</v>
      </c>
      <c r="H11560" s="170">
        <v>-7.1782197222090303E-7</v>
      </c>
      <c r="I11560" t="s">
        <v>1088</v>
      </c>
      <c r="J11560">
        <v>8.98</v>
      </c>
    </row>
    <row r="11561" spans="1:10" hidden="1">
      <c r="A11561" t="s">
        <v>6755</v>
      </c>
      <c r="B11561" t="s">
        <v>6756</v>
      </c>
      <c r="C11561" t="s">
        <v>5111</v>
      </c>
      <c r="D11561" t="s">
        <v>330</v>
      </c>
      <c r="E11561" t="s">
        <v>556</v>
      </c>
      <c r="F11561" t="s">
        <v>1068</v>
      </c>
      <c r="G11561" t="s">
        <v>1089</v>
      </c>
      <c r="H11561">
        <v>-1.6894490890728001E-4</v>
      </c>
      <c r="I11561" t="s">
        <v>1090</v>
      </c>
      <c r="J11561">
        <v>8.98</v>
      </c>
    </row>
    <row r="11562" spans="1:10" hidden="1">
      <c r="A11562" t="s">
        <v>6757</v>
      </c>
      <c r="B11562" t="s">
        <v>6758</v>
      </c>
      <c r="C11562" t="s">
        <v>5111</v>
      </c>
      <c r="D11562" t="s">
        <v>330</v>
      </c>
      <c r="E11562" t="s">
        <v>557</v>
      </c>
      <c r="F11562" t="s">
        <v>1068</v>
      </c>
      <c r="G11562" t="s">
        <v>1069</v>
      </c>
      <c r="H11562">
        <v>-0.76686527718756603</v>
      </c>
      <c r="I11562" t="s">
        <v>1070</v>
      </c>
      <c r="J11562">
        <v>8.5399999999999991</v>
      </c>
    </row>
    <row r="11563" spans="1:10" hidden="1">
      <c r="A11563" t="s">
        <v>6757</v>
      </c>
      <c r="B11563" t="s">
        <v>6758</v>
      </c>
      <c r="C11563" t="s">
        <v>5111</v>
      </c>
      <c r="D11563" t="s">
        <v>330</v>
      </c>
      <c r="E11563" t="s">
        <v>557</v>
      </c>
      <c r="F11563" t="s">
        <v>1068</v>
      </c>
      <c r="G11563" t="s">
        <v>1071</v>
      </c>
      <c r="H11563" s="170">
        <v>-7.6446642379807901E-10</v>
      </c>
      <c r="I11563" t="s">
        <v>1072</v>
      </c>
      <c r="J11563">
        <v>8.5399999999999991</v>
      </c>
    </row>
    <row r="11564" spans="1:10" hidden="1">
      <c r="A11564" t="s">
        <v>6757</v>
      </c>
      <c r="B11564" t="s">
        <v>6758</v>
      </c>
      <c r="C11564" t="s">
        <v>5111</v>
      </c>
      <c r="D11564" t="s">
        <v>330</v>
      </c>
      <c r="E11564" t="s">
        <v>557</v>
      </c>
      <c r="F11564" t="s">
        <v>1068</v>
      </c>
      <c r="G11564" t="s">
        <v>1073</v>
      </c>
      <c r="H11564" s="170">
        <v>-2.6795071765420899E-7</v>
      </c>
      <c r="I11564" t="s">
        <v>1074</v>
      </c>
      <c r="J11564">
        <v>8.5399999999999991</v>
      </c>
    </row>
    <row r="11565" spans="1:10" hidden="1">
      <c r="A11565" t="s">
        <v>6757</v>
      </c>
      <c r="B11565" t="s">
        <v>6758</v>
      </c>
      <c r="C11565" t="s">
        <v>5111</v>
      </c>
      <c r="D11565" t="s">
        <v>330</v>
      </c>
      <c r="E11565" t="s">
        <v>557</v>
      </c>
      <c r="F11565" t="s">
        <v>1068</v>
      </c>
      <c r="G11565" t="s">
        <v>1075</v>
      </c>
      <c r="H11565">
        <v>-1.29943953300053E-2</v>
      </c>
      <c r="I11565" t="s">
        <v>1077</v>
      </c>
      <c r="J11565">
        <v>8.5399999999999991</v>
      </c>
    </row>
    <row r="11566" spans="1:10" hidden="1">
      <c r="A11566" t="s">
        <v>6757</v>
      </c>
      <c r="B11566" t="s">
        <v>6758</v>
      </c>
      <c r="C11566" t="s">
        <v>5111</v>
      </c>
      <c r="D11566" t="s">
        <v>330</v>
      </c>
      <c r="E11566" t="s">
        <v>557</v>
      </c>
      <c r="F11566" t="s">
        <v>1068</v>
      </c>
      <c r="G11566" t="s">
        <v>1078</v>
      </c>
      <c r="H11566">
        <v>-1.06371603922564</v>
      </c>
      <c r="I11566" t="s">
        <v>1079</v>
      </c>
      <c r="J11566">
        <v>8.5399999999999991</v>
      </c>
    </row>
    <row r="11567" spans="1:10" hidden="1">
      <c r="A11567" t="s">
        <v>6757</v>
      </c>
      <c r="B11567" t="s">
        <v>6758</v>
      </c>
      <c r="C11567" t="s">
        <v>5111</v>
      </c>
      <c r="D11567" t="s">
        <v>330</v>
      </c>
      <c r="E11567" t="s">
        <v>557</v>
      </c>
      <c r="F11567" t="s">
        <v>1068</v>
      </c>
      <c r="G11567" t="s">
        <v>1080</v>
      </c>
      <c r="H11567" s="170">
        <v>-4.3378206443374702E-9</v>
      </c>
      <c r="I11567" t="s">
        <v>1082</v>
      </c>
      <c r="J11567">
        <v>8.5399999999999991</v>
      </c>
    </row>
    <row r="11568" spans="1:10" hidden="1">
      <c r="A11568" t="s">
        <v>6757</v>
      </c>
      <c r="B11568" t="s">
        <v>6758</v>
      </c>
      <c r="C11568" t="s">
        <v>5111</v>
      </c>
      <c r="D11568" t="s">
        <v>330</v>
      </c>
      <c r="E11568" t="s">
        <v>557</v>
      </c>
      <c r="F11568" t="s">
        <v>1068</v>
      </c>
      <c r="G11568" t="s">
        <v>1083</v>
      </c>
      <c r="H11568">
        <v>-1.0428318710941E-4</v>
      </c>
      <c r="I11568" t="s">
        <v>1084</v>
      </c>
      <c r="J11568">
        <v>8.5399999999999991</v>
      </c>
    </row>
    <row r="11569" spans="1:10" hidden="1">
      <c r="A11569" t="s">
        <v>6757</v>
      </c>
      <c r="B11569" t="s">
        <v>6758</v>
      </c>
      <c r="C11569" t="s">
        <v>5111</v>
      </c>
      <c r="D11569" t="s">
        <v>330</v>
      </c>
      <c r="E11569" t="s">
        <v>557</v>
      </c>
      <c r="F11569" t="s">
        <v>1068</v>
      </c>
      <c r="G11569" t="s">
        <v>1085</v>
      </c>
      <c r="H11569">
        <v>-9.2940927762960005E-4</v>
      </c>
      <c r="I11569" t="s">
        <v>1086</v>
      </c>
      <c r="J11569">
        <v>8.5399999999999991</v>
      </c>
    </row>
    <row r="11570" spans="1:10" hidden="1">
      <c r="A11570" t="s">
        <v>6757</v>
      </c>
      <c r="B11570" t="s">
        <v>6758</v>
      </c>
      <c r="C11570" t="s">
        <v>5111</v>
      </c>
      <c r="D11570" t="s">
        <v>330</v>
      </c>
      <c r="E11570" t="s">
        <v>557</v>
      </c>
      <c r="F11570" t="s">
        <v>1068</v>
      </c>
      <c r="G11570" t="s">
        <v>1087</v>
      </c>
      <c r="H11570" s="170">
        <v>-6.7056872574976597E-7</v>
      </c>
      <c r="I11570" t="s">
        <v>1088</v>
      </c>
      <c r="J11570">
        <v>8.5399999999999991</v>
      </c>
    </row>
    <row r="11571" spans="1:10" hidden="1">
      <c r="A11571" t="s">
        <v>6757</v>
      </c>
      <c r="B11571" t="s">
        <v>6758</v>
      </c>
      <c r="C11571" t="s">
        <v>5111</v>
      </c>
      <c r="D11571" t="s">
        <v>330</v>
      </c>
      <c r="E11571" t="s">
        <v>557</v>
      </c>
      <c r="F11571" t="s">
        <v>1068</v>
      </c>
      <c r="G11571" t="s">
        <v>1089</v>
      </c>
      <c r="H11571">
        <v>-1.48745656592969E-4</v>
      </c>
      <c r="I11571" t="s">
        <v>1090</v>
      </c>
      <c r="J11571">
        <v>8.5399999999999991</v>
      </c>
    </row>
    <row r="11572" spans="1:10" hidden="1">
      <c r="A11572" t="s">
        <v>6759</v>
      </c>
      <c r="B11572" t="s">
        <v>6760</v>
      </c>
      <c r="C11572" t="s">
        <v>5111</v>
      </c>
      <c r="D11572" t="s">
        <v>330</v>
      </c>
      <c r="E11572" t="s">
        <v>559</v>
      </c>
      <c r="F11572" t="s">
        <v>1068</v>
      </c>
      <c r="G11572" t="s">
        <v>1069</v>
      </c>
      <c r="H11572">
        <v>-0.79440149634490198</v>
      </c>
      <c r="I11572" t="s">
        <v>1070</v>
      </c>
      <c r="J11572">
        <v>8.91</v>
      </c>
    </row>
    <row r="11573" spans="1:10" hidden="1">
      <c r="A11573" t="s">
        <v>6759</v>
      </c>
      <c r="B11573" t="s">
        <v>6760</v>
      </c>
      <c r="C11573" t="s">
        <v>5111</v>
      </c>
      <c r="D11573" t="s">
        <v>330</v>
      </c>
      <c r="E11573" t="s">
        <v>559</v>
      </c>
      <c r="F11573" t="s">
        <v>1068</v>
      </c>
      <c r="G11573" t="s">
        <v>1071</v>
      </c>
      <c r="H11573" s="170">
        <v>-8.0387101457119702E-10</v>
      </c>
      <c r="I11573" t="s">
        <v>1072</v>
      </c>
      <c r="J11573">
        <v>8.91</v>
      </c>
    </row>
    <row r="11574" spans="1:10" hidden="1">
      <c r="A11574" t="s">
        <v>6759</v>
      </c>
      <c r="B11574" t="s">
        <v>6760</v>
      </c>
      <c r="C11574" t="s">
        <v>5111</v>
      </c>
      <c r="D11574" t="s">
        <v>330</v>
      </c>
      <c r="E11574" t="s">
        <v>559</v>
      </c>
      <c r="F11574" t="s">
        <v>1068</v>
      </c>
      <c r="G11574" t="s">
        <v>1073</v>
      </c>
      <c r="H11574" s="170">
        <v>-2.7773188523974902E-7</v>
      </c>
      <c r="I11574" t="s">
        <v>1074</v>
      </c>
      <c r="J11574">
        <v>8.91</v>
      </c>
    </row>
    <row r="11575" spans="1:10" hidden="1">
      <c r="A11575" t="s">
        <v>6759</v>
      </c>
      <c r="B11575" t="s">
        <v>6760</v>
      </c>
      <c r="C11575" t="s">
        <v>5111</v>
      </c>
      <c r="D11575" t="s">
        <v>330</v>
      </c>
      <c r="E11575" t="s">
        <v>559</v>
      </c>
      <c r="F11575" t="s">
        <v>1068</v>
      </c>
      <c r="G11575" t="s">
        <v>1075</v>
      </c>
      <c r="H11575">
        <v>-1.3864868323617101E-2</v>
      </c>
      <c r="I11575" t="s">
        <v>1077</v>
      </c>
      <c r="J11575">
        <v>8.91</v>
      </c>
    </row>
    <row r="11576" spans="1:10" hidden="1">
      <c r="A11576" t="s">
        <v>6759</v>
      </c>
      <c r="B11576" t="s">
        <v>6760</v>
      </c>
      <c r="C11576" t="s">
        <v>5111</v>
      </c>
      <c r="D11576" t="s">
        <v>330</v>
      </c>
      <c r="E11576" t="s">
        <v>559</v>
      </c>
      <c r="F11576" t="s">
        <v>1068</v>
      </c>
      <c r="G11576" t="s">
        <v>1078</v>
      </c>
      <c r="H11576">
        <v>-1.10135864962926</v>
      </c>
      <c r="I11576" t="s">
        <v>1079</v>
      </c>
      <c r="J11576">
        <v>8.91</v>
      </c>
    </row>
    <row r="11577" spans="1:10" hidden="1">
      <c r="A11577" t="s">
        <v>6759</v>
      </c>
      <c r="B11577" t="s">
        <v>6760</v>
      </c>
      <c r="C11577" t="s">
        <v>5111</v>
      </c>
      <c r="D11577" t="s">
        <v>330</v>
      </c>
      <c r="E11577" t="s">
        <v>559</v>
      </c>
      <c r="F11577" t="s">
        <v>1068</v>
      </c>
      <c r="G11577" t="s">
        <v>1080</v>
      </c>
      <c r="H11577" s="170">
        <v>-4.4908887688236699E-9</v>
      </c>
      <c r="I11577" t="s">
        <v>1082</v>
      </c>
      <c r="J11577">
        <v>8.91</v>
      </c>
    </row>
    <row r="11578" spans="1:10" hidden="1">
      <c r="A11578" t="s">
        <v>6759</v>
      </c>
      <c r="B11578" t="s">
        <v>6760</v>
      </c>
      <c r="C11578" t="s">
        <v>5111</v>
      </c>
      <c r="D11578" t="s">
        <v>330</v>
      </c>
      <c r="E11578" t="s">
        <v>559</v>
      </c>
      <c r="F11578" t="s">
        <v>1068</v>
      </c>
      <c r="G11578" t="s">
        <v>1083</v>
      </c>
      <c r="H11578">
        <v>-1.08468824208373E-4</v>
      </c>
      <c r="I11578" t="s">
        <v>1084</v>
      </c>
      <c r="J11578">
        <v>8.91</v>
      </c>
    </row>
    <row r="11579" spans="1:10" hidden="1">
      <c r="A11579" t="s">
        <v>6759</v>
      </c>
      <c r="B11579" t="s">
        <v>6760</v>
      </c>
      <c r="C11579" t="s">
        <v>5111</v>
      </c>
      <c r="D11579" t="s">
        <v>330</v>
      </c>
      <c r="E11579" t="s">
        <v>559</v>
      </c>
      <c r="F11579" t="s">
        <v>1068</v>
      </c>
      <c r="G11579" t="s">
        <v>1085</v>
      </c>
      <c r="H11579">
        <v>-9.7671547181696393E-4</v>
      </c>
      <c r="I11579" t="s">
        <v>1086</v>
      </c>
      <c r="J11579">
        <v>8.91</v>
      </c>
    </row>
    <row r="11580" spans="1:10" hidden="1">
      <c r="A11580" t="s">
        <v>6759</v>
      </c>
      <c r="B11580" t="s">
        <v>6760</v>
      </c>
      <c r="C11580" t="s">
        <v>5111</v>
      </c>
      <c r="D11580" t="s">
        <v>330</v>
      </c>
      <c r="E11580" t="s">
        <v>559</v>
      </c>
      <c r="F11580" t="s">
        <v>1068</v>
      </c>
      <c r="G11580" t="s">
        <v>1087</v>
      </c>
      <c r="H11580" s="170">
        <v>-6.9339891115107899E-7</v>
      </c>
      <c r="I11580" t="s">
        <v>1088</v>
      </c>
      <c r="J11580">
        <v>8.91</v>
      </c>
    </row>
    <row r="11581" spans="1:10" hidden="1">
      <c r="A11581" t="s">
        <v>6759</v>
      </c>
      <c r="B11581" t="s">
        <v>6760</v>
      </c>
      <c r="C11581" t="s">
        <v>5111</v>
      </c>
      <c r="D11581" t="s">
        <v>330</v>
      </c>
      <c r="E11581" t="s">
        <v>559</v>
      </c>
      <c r="F11581" t="s">
        <v>1068</v>
      </c>
      <c r="G11581" t="s">
        <v>1089</v>
      </c>
      <c r="H11581">
        <v>-1.5850483099586E-4</v>
      </c>
      <c r="I11581" t="s">
        <v>1090</v>
      </c>
      <c r="J11581">
        <v>8.91</v>
      </c>
    </row>
    <row r="11582" spans="1:10" hidden="1">
      <c r="A11582" t="s">
        <v>6761</v>
      </c>
      <c r="B11582" t="s">
        <v>6762</v>
      </c>
      <c r="C11582" t="s">
        <v>5111</v>
      </c>
      <c r="D11582" t="s">
        <v>330</v>
      </c>
      <c r="E11582" t="s">
        <v>560</v>
      </c>
      <c r="F11582" t="s">
        <v>1068</v>
      </c>
      <c r="G11582" t="s">
        <v>1069</v>
      </c>
      <c r="H11582">
        <v>-0.78501933427630699</v>
      </c>
      <c r="I11582" t="s">
        <v>1070</v>
      </c>
      <c r="J11582">
        <v>9.83</v>
      </c>
    </row>
    <row r="11583" spans="1:10" hidden="1">
      <c r="A11583" t="s">
        <v>6761</v>
      </c>
      <c r="B11583" t="s">
        <v>6762</v>
      </c>
      <c r="C11583" t="s">
        <v>5111</v>
      </c>
      <c r="D11583" t="s">
        <v>330</v>
      </c>
      <c r="E11583" t="s">
        <v>560</v>
      </c>
      <c r="F11583" t="s">
        <v>1068</v>
      </c>
      <c r="G11583" t="s">
        <v>1071</v>
      </c>
      <c r="H11583" s="170">
        <v>-7.9044508602867997E-10</v>
      </c>
      <c r="I11583" t="s">
        <v>1072</v>
      </c>
      <c r="J11583">
        <v>9.83</v>
      </c>
    </row>
    <row r="11584" spans="1:10" hidden="1">
      <c r="A11584" t="s">
        <v>6761</v>
      </c>
      <c r="B11584" t="s">
        <v>6762</v>
      </c>
      <c r="C11584" t="s">
        <v>5111</v>
      </c>
      <c r="D11584" t="s">
        <v>330</v>
      </c>
      <c r="E11584" t="s">
        <v>560</v>
      </c>
      <c r="F11584" t="s">
        <v>1068</v>
      </c>
      <c r="G11584" t="s">
        <v>1073</v>
      </c>
      <c r="H11584" s="170">
        <v>-2.74399096175064E-7</v>
      </c>
      <c r="I11584" t="s">
        <v>1074</v>
      </c>
      <c r="J11584">
        <v>9.83</v>
      </c>
    </row>
    <row r="11585" spans="1:10" hidden="1">
      <c r="A11585" t="s">
        <v>6761</v>
      </c>
      <c r="B11585" t="s">
        <v>6762</v>
      </c>
      <c r="C11585" t="s">
        <v>5111</v>
      </c>
      <c r="D11585" t="s">
        <v>330</v>
      </c>
      <c r="E11585" t="s">
        <v>560</v>
      </c>
      <c r="F11585" t="s">
        <v>1068</v>
      </c>
      <c r="G11585" t="s">
        <v>1075</v>
      </c>
      <c r="H11585">
        <v>-1.35682644680054E-2</v>
      </c>
      <c r="I11585" t="s">
        <v>1077</v>
      </c>
      <c r="J11585">
        <v>9.83</v>
      </c>
    </row>
    <row r="11586" spans="1:10" hidden="1">
      <c r="A11586" t="s">
        <v>6761</v>
      </c>
      <c r="B11586" t="s">
        <v>6762</v>
      </c>
      <c r="C11586" t="s">
        <v>5111</v>
      </c>
      <c r="D11586" t="s">
        <v>330</v>
      </c>
      <c r="E11586" t="s">
        <v>560</v>
      </c>
      <c r="F11586" t="s">
        <v>1068</v>
      </c>
      <c r="G11586" t="s">
        <v>1078</v>
      </c>
      <c r="H11586">
        <v>-1.0885323543921701</v>
      </c>
      <c r="I11586" t="s">
        <v>1079</v>
      </c>
      <c r="J11586">
        <v>9.83</v>
      </c>
    </row>
    <row r="11587" spans="1:10" hidden="1">
      <c r="A11587" t="s">
        <v>6761</v>
      </c>
      <c r="B11587" t="s">
        <v>6762</v>
      </c>
      <c r="C11587" t="s">
        <v>5111</v>
      </c>
      <c r="D11587" t="s">
        <v>330</v>
      </c>
      <c r="E11587" t="s">
        <v>560</v>
      </c>
      <c r="F11587" t="s">
        <v>1068</v>
      </c>
      <c r="G11587" t="s">
        <v>1080</v>
      </c>
      <c r="H11587" s="170">
        <v>-4.4387325315893096E-9</v>
      </c>
      <c r="I11587" t="s">
        <v>1082</v>
      </c>
      <c r="J11587">
        <v>9.83</v>
      </c>
    </row>
    <row r="11588" spans="1:10" hidden="1">
      <c r="A11588" t="s">
        <v>6761</v>
      </c>
      <c r="B11588" t="s">
        <v>6762</v>
      </c>
      <c r="C11588" t="s">
        <v>5111</v>
      </c>
      <c r="D11588" t="s">
        <v>330</v>
      </c>
      <c r="E11588" t="s">
        <v>560</v>
      </c>
      <c r="F11588" t="s">
        <v>1068</v>
      </c>
      <c r="G11588" t="s">
        <v>1083</v>
      </c>
      <c r="H11588">
        <v>-1.07042615540915E-4</v>
      </c>
      <c r="I11588" t="s">
        <v>1084</v>
      </c>
      <c r="J11588">
        <v>9.83</v>
      </c>
    </row>
    <row r="11589" spans="1:10" hidden="1">
      <c r="A11589" t="s">
        <v>6761</v>
      </c>
      <c r="B11589" t="s">
        <v>6762</v>
      </c>
      <c r="C11589" t="s">
        <v>5111</v>
      </c>
      <c r="D11589" t="s">
        <v>330</v>
      </c>
      <c r="E11589" t="s">
        <v>560</v>
      </c>
      <c r="F11589" t="s">
        <v>1068</v>
      </c>
      <c r="G11589" t="s">
        <v>1085</v>
      </c>
      <c r="H11589">
        <v>-9.6059641936747399E-4</v>
      </c>
      <c r="I11589" t="s">
        <v>1086</v>
      </c>
      <c r="J11589">
        <v>9.83</v>
      </c>
    </row>
    <row r="11590" spans="1:10" hidden="1">
      <c r="A11590" t="s">
        <v>6761</v>
      </c>
      <c r="B11590" t="s">
        <v>6762</v>
      </c>
      <c r="C11590" t="s">
        <v>5111</v>
      </c>
      <c r="D11590" t="s">
        <v>330</v>
      </c>
      <c r="E11590" t="s">
        <v>560</v>
      </c>
      <c r="F11590" t="s">
        <v>1068</v>
      </c>
      <c r="G11590" t="s">
        <v>1087</v>
      </c>
      <c r="H11590" s="170">
        <v>-6.8561978275341804E-7</v>
      </c>
      <c r="I11590" t="s">
        <v>1088</v>
      </c>
      <c r="J11590">
        <v>9.83</v>
      </c>
    </row>
    <row r="11591" spans="1:10" hidden="1">
      <c r="A11591" t="s">
        <v>6761</v>
      </c>
      <c r="B11591" t="s">
        <v>6762</v>
      </c>
      <c r="C11591" t="s">
        <v>5111</v>
      </c>
      <c r="D11591" t="s">
        <v>330</v>
      </c>
      <c r="E11591" t="s">
        <v>560</v>
      </c>
      <c r="F11591" t="s">
        <v>1068</v>
      </c>
      <c r="G11591" t="s">
        <v>1089</v>
      </c>
      <c r="H11591">
        <v>-1.55179502347118E-4</v>
      </c>
      <c r="I11591" t="s">
        <v>1090</v>
      </c>
      <c r="J11591">
        <v>9.83</v>
      </c>
    </row>
    <row r="11592" spans="1:10" hidden="1">
      <c r="A11592" t="s">
        <v>6763</v>
      </c>
      <c r="B11592" t="s">
        <v>6764</v>
      </c>
      <c r="C11592" t="s">
        <v>5111</v>
      </c>
      <c r="D11592" t="s">
        <v>330</v>
      </c>
      <c r="E11592" t="s">
        <v>1116</v>
      </c>
      <c r="F11592" t="s">
        <v>1068</v>
      </c>
      <c r="G11592" t="s">
        <v>1069</v>
      </c>
      <c r="H11592">
        <v>-0.72991994534567395</v>
      </c>
      <c r="I11592" t="s">
        <v>1070</v>
      </c>
      <c r="J11592">
        <v>9.3000000000000007</v>
      </c>
    </row>
    <row r="11593" spans="1:10" hidden="1">
      <c r="A11593" t="s">
        <v>6763</v>
      </c>
      <c r="B11593" t="s">
        <v>6764</v>
      </c>
      <c r="C11593" t="s">
        <v>5111</v>
      </c>
      <c r="D11593" t="s">
        <v>330</v>
      </c>
      <c r="E11593" t="s">
        <v>1116</v>
      </c>
      <c r="F11593" t="s">
        <v>1068</v>
      </c>
      <c r="G11593" t="s">
        <v>1071</v>
      </c>
      <c r="H11593" s="170">
        <v>-7.1159723360955705E-10</v>
      </c>
      <c r="I11593" t="s">
        <v>1072</v>
      </c>
      <c r="J11593">
        <v>9.3000000000000007</v>
      </c>
    </row>
    <row r="11594" spans="1:10" hidden="1">
      <c r="A11594" t="s">
        <v>6763</v>
      </c>
      <c r="B11594" t="s">
        <v>6764</v>
      </c>
      <c r="C11594" t="s">
        <v>5111</v>
      </c>
      <c r="D11594" t="s">
        <v>330</v>
      </c>
      <c r="E11594" t="s">
        <v>1116</v>
      </c>
      <c r="F11594" t="s">
        <v>1068</v>
      </c>
      <c r="G11594" t="s">
        <v>1073</v>
      </c>
      <c r="H11594" s="170">
        <v>-2.5482761888182202E-7</v>
      </c>
      <c r="I11594" t="s">
        <v>1074</v>
      </c>
      <c r="J11594">
        <v>9.3000000000000007</v>
      </c>
    </row>
    <row r="11595" spans="1:10" hidden="1">
      <c r="A11595" t="s">
        <v>6763</v>
      </c>
      <c r="B11595" t="s">
        <v>6764</v>
      </c>
      <c r="C11595" t="s">
        <v>5111</v>
      </c>
      <c r="D11595" t="s">
        <v>330</v>
      </c>
      <c r="E11595" t="s">
        <v>1116</v>
      </c>
      <c r="F11595" t="s">
        <v>1068</v>
      </c>
      <c r="G11595" t="s">
        <v>1075</v>
      </c>
      <c r="H11595">
        <v>-1.1826513922912899E-2</v>
      </c>
      <c r="I11595" t="s">
        <v>1077</v>
      </c>
      <c r="J11595">
        <v>9.3000000000000007</v>
      </c>
    </row>
    <row r="11596" spans="1:10" hidden="1">
      <c r="A11596" t="s">
        <v>6763</v>
      </c>
      <c r="B11596" t="s">
        <v>6764</v>
      </c>
      <c r="C11596" t="s">
        <v>5111</v>
      </c>
      <c r="D11596" t="s">
        <v>330</v>
      </c>
      <c r="E11596" t="s">
        <v>1116</v>
      </c>
      <c r="F11596" t="s">
        <v>1068</v>
      </c>
      <c r="G11596" t="s">
        <v>1078</v>
      </c>
      <c r="H11596">
        <v>-1.0132123422041599</v>
      </c>
      <c r="I11596" t="s">
        <v>1079</v>
      </c>
      <c r="J11596">
        <v>9.3000000000000007</v>
      </c>
    </row>
    <row r="11597" spans="1:10" hidden="1">
      <c r="A11597" t="s">
        <v>6763</v>
      </c>
      <c r="B11597" t="s">
        <v>6764</v>
      </c>
      <c r="C11597" t="s">
        <v>5111</v>
      </c>
      <c r="D11597" t="s">
        <v>330</v>
      </c>
      <c r="E11597" t="s">
        <v>1116</v>
      </c>
      <c r="F11597" t="s">
        <v>1068</v>
      </c>
      <c r="G11597" t="s">
        <v>1080</v>
      </c>
      <c r="H11597" s="170">
        <v>-4.1324548055562801E-9</v>
      </c>
      <c r="I11597" t="s">
        <v>1082</v>
      </c>
      <c r="J11597">
        <v>9.3000000000000007</v>
      </c>
    </row>
    <row r="11598" spans="1:10" hidden="1">
      <c r="A11598" t="s">
        <v>6763</v>
      </c>
      <c r="B11598" t="s">
        <v>6764</v>
      </c>
      <c r="C11598" t="s">
        <v>5111</v>
      </c>
      <c r="D11598" t="s">
        <v>330</v>
      </c>
      <c r="E11598" t="s">
        <v>1116</v>
      </c>
      <c r="F11598" t="s">
        <v>1068</v>
      </c>
      <c r="G11598" t="s">
        <v>1083</v>
      </c>
      <c r="H11598" s="170">
        <v>-9.8667472748837197E-5</v>
      </c>
      <c r="I11598" t="s">
        <v>1084</v>
      </c>
      <c r="J11598">
        <v>9.3000000000000007</v>
      </c>
    </row>
    <row r="11599" spans="1:10" hidden="1">
      <c r="A11599" t="s">
        <v>6763</v>
      </c>
      <c r="B11599" t="s">
        <v>6764</v>
      </c>
      <c r="C11599" t="s">
        <v>5111</v>
      </c>
      <c r="D11599" t="s">
        <v>330</v>
      </c>
      <c r="E11599" t="s">
        <v>1116</v>
      </c>
      <c r="F11599" t="s">
        <v>1068</v>
      </c>
      <c r="G11599" t="s">
        <v>1085</v>
      </c>
      <c r="H11599">
        <v>-8.65940307852014E-4</v>
      </c>
      <c r="I11599" t="s">
        <v>1086</v>
      </c>
      <c r="J11599">
        <v>9.3000000000000007</v>
      </c>
    </row>
    <row r="11600" spans="1:10" hidden="1">
      <c r="A11600" t="s">
        <v>6763</v>
      </c>
      <c r="B11600" t="s">
        <v>6764</v>
      </c>
      <c r="C11600" t="s">
        <v>5111</v>
      </c>
      <c r="D11600" t="s">
        <v>330</v>
      </c>
      <c r="E11600" t="s">
        <v>1116</v>
      </c>
      <c r="F11600" t="s">
        <v>1068</v>
      </c>
      <c r="G11600" t="s">
        <v>1087</v>
      </c>
      <c r="H11600" s="170">
        <v>-6.3993831113484199E-7</v>
      </c>
      <c r="I11600" t="s">
        <v>1088</v>
      </c>
      <c r="J11600">
        <v>9.3000000000000007</v>
      </c>
    </row>
    <row r="11601" spans="1:10" hidden="1">
      <c r="A11601" t="s">
        <v>6763</v>
      </c>
      <c r="B11601" t="s">
        <v>6764</v>
      </c>
      <c r="C11601" t="s">
        <v>5111</v>
      </c>
      <c r="D11601" t="s">
        <v>330</v>
      </c>
      <c r="E11601" t="s">
        <v>1116</v>
      </c>
      <c r="F11601" t="s">
        <v>1068</v>
      </c>
      <c r="G11601" t="s">
        <v>1089</v>
      </c>
      <c r="H11601">
        <v>-1.3565213346231701E-4</v>
      </c>
      <c r="I11601" t="s">
        <v>1090</v>
      </c>
      <c r="J11601">
        <v>9.3000000000000007</v>
      </c>
    </row>
    <row r="11602" spans="1:10" hidden="1">
      <c r="A11602" t="s">
        <v>6765</v>
      </c>
      <c r="B11602" t="s">
        <v>6766</v>
      </c>
      <c r="C11602" t="s">
        <v>5111</v>
      </c>
      <c r="D11602" t="s">
        <v>1601</v>
      </c>
      <c r="E11602" t="s">
        <v>561</v>
      </c>
      <c r="F11602" t="s">
        <v>1068</v>
      </c>
      <c r="G11602" t="s">
        <v>1069</v>
      </c>
      <c r="H11602">
        <v>-0.727172270855172</v>
      </c>
      <c r="I11602" t="s">
        <v>1070</v>
      </c>
      <c r="J11602">
        <v>13.04</v>
      </c>
    </row>
    <row r="11603" spans="1:10" hidden="1">
      <c r="A11603" t="s">
        <v>6765</v>
      </c>
      <c r="B11603" t="s">
        <v>6766</v>
      </c>
      <c r="C11603" t="s">
        <v>5111</v>
      </c>
      <c r="D11603" t="s">
        <v>1601</v>
      </c>
      <c r="E11603" t="s">
        <v>561</v>
      </c>
      <c r="F11603" t="s">
        <v>1068</v>
      </c>
      <c r="G11603" t="s">
        <v>1071</v>
      </c>
      <c r="H11603" s="170">
        <v>-7.1347298223925697E-10</v>
      </c>
      <c r="I11603" t="s">
        <v>1072</v>
      </c>
      <c r="J11603">
        <v>13.04</v>
      </c>
    </row>
    <row r="11604" spans="1:10" hidden="1">
      <c r="A11604" t="s">
        <v>6765</v>
      </c>
      <c r="B11604" t="s">
        <v>6766</v>
      </c>
      <c r="C11604" t="s">
        <v>5111</v>
      </c>
      <c r="D11604" t="s">
        <v>1601</v>
      </c>
      <c r="E11604" t="s">
        <v>561</v>
      </c>
      <c r="F11604" t="s">
        <v>1068</v>
      </c>
      <c r="G11604" t="s">
        <v>1073</v>
      </c>
      <c r="H11604" s="170">
        <v>-2.5367640628801901E-7</v>
      </c>
      <c r="I11604" t="s">
        <v>1074</v>
      </c>
      <c r="J11604">
        <v>13.04</v>
      </c>
    </row>
    <row r="11605" spans="1:10" hidden="1">
      <c r="A11605" t="s">
        <v>6765</v>
      </c>
      <c r="B11605" t="s">
        <v>6766</v>
      </c>
      <c r="C11605" t="s">
        <v>5111</v>
      </c>
      <c r="D11605" t="s">
        <v>1601</v>
      </c>
      <c r="E11605" t="s">
        <v>561</v>
      </c>
      <c r="F11605" t="s">
        <v>1068</v>
      </c>
      <c r="G11605" t="s">
        <v>1075</v>
      </c>
      <c r="H11605">
        <v>-1.14778512972959E-2</v>
      </c>
      <c r="I11605" t="s">
        <v>1077</v>
      </c>
      <c r="J11605">
        <v>13.04</v>
      </c>
    </row>
    <row r="11606" spans="1:10" hidden="1">
      <c r="A11606" t="s">
        <v>6765</v>
      </c>
      <c r="B11606" t="s">
        <v>6766</v>
      </c>
      <c r="C11606" t="s">
        <v>5111</v>
      </c>
      <c r="D11606" t="s">
        <v>1601</v>
      </c>
      <c r="E11606" t="s">
        <v>561</v>
      </c>
      <c r="F11606" t="s">
        <v>1068</v>
      </c>
      <c r="G11606" t="s">
        <v>1078</v>
      </c>
      <c r="H11606">
        <v>-1.0409488725259299</v>
      </c>
      <c r="I11606" t="s">
        <v>1079</v>
      </c>
      <c r="J11606">
        <v>13.04</v>
      </c>
    </row>
    <row r="11607" spans="1:10" hidden="1">
      <c r="A11607" t="s">
        <v>6765</v>
      </c>
      <c r="B11607" t="s">
        <v>6766</v>
      </c>
      <c r="C11607" t="s">
        <v>5111</v>
      </c>
      <c r="D11607" t="s">
        <v>1601</v>
      </c>
      <c r="E11607" t="s">
        <v>561</v>
      </c>
      <c r="F11607" t="s">
        <v>1068</v>
      </c>
      <c r="G11607" t="s">
        <v>1080</v>
      </c>
      <c r="H11607" s="170">
        <v>-4.1217345012324902E-9</v>
      </c>
      <c r="I11607" t="s">
        <v>1082</v>
      </c>
      <c r="J11607">
        <v>13.04</v>
      </c>
    </row>
    <row r="11608" spans="1:10" hidden="1">
      <c r="A11608" t="s">
        <v>6765</v>
      </c>
      <c r="B11608" t="s">
        <v>6766</v>
      </c>
      <c r="C11608" t="s">
        <v>5111</v>
      </c>
      <c r="D11608" t="s">
        <v>1601</v>
      </c>
      <c r="E11608" t="s">
        <v>561</v>
      </c>
      <c r="F11608" t="s">
        <v>1068</v>
      </c>
      <c r="G11608" t="s">
        <v>1083</v>
      </c>
      <c r="H11608" s="170">
        <v>-9.8798880063551004E-5</v>
      </c>
      <c r="I11608" t="s">
        <v>1084</v>
      </c>
      <c r="J11608">
        <v>13.04</v>
      </c>
    </row>
    <row r="11609" spans="1:10" hidden="1">
      <c r="A11609" t="s">
        <v>6765</v>
      </c>
      <c r="B11609" t="s">
        <v>6766</v>
      </c>
      <c r="C11609" t="s">
        <v>5111</v>
      </c>
      <c r="D11609" t="s">
        <v>1601</v>
      </c>
      <c r="E11609" t="s">
        <v>561</v>
      </c>
      <c r="F11609" t="s">
        <v>1068</v>
      </c>
      <c r="G11609" t="s">
        <v>1085</v>
      </c>
      <c r="H11609">
        <v>-8.5969649509923696E-4</v>
      </c>
      <c r="I11609" t="s">
        <v>1086</v>
      </c>
      <c r="J11609">
        <v>13.04</v>
      </c>
    </row>
    <row r="11610" spans="1:10" hidden="1">
      <c r="A11610" t="s">
        <v>6765</v>
      </c>
      <c r="B11610" t="s">
        <v>6766</v>
      </c>
      <c r="C11610" t="s">
        <v>5111</v>
      </c>
      <c r="D11610" t="s">
        <v>1601</v>
      </c>
      <c r="E11610" t="s">
        <v>561</v>
      </c>
      <c r="F11610" t="s">
        <v>1068</v>
      </c>
      <c r="G11610" t="s">
        <v>1087</v>
      </c>
      <c r="H11610" s="170">
        <v>-6.4216855209857497E-7</v>
      </c>
      <c r="I11610" t="s">
        <v>1088</v>
      </c>
      <c r="J11610">
        <v>13.04</v>
      </c>
    </row>
    <row r="11611" spans="1:10" hidden="1">
      <c r="A11611" t="s">
        <v>6765</v>
      </c>
      <c r="B11611" t="s">
        <v>6766</v>
      </c>
      <c r="C11611" t="s">
        <v>5111</v>
      </c>
      <c r="D11611" t="s">
        <v>1601</v>
      </c>
      <c r="E11611" t="s">
        <v>561</v>
      </c>
      <c r="F11611" t="s">
        <v>1068</v>
      </c>
      <c r="G11611" t="s">
        <v>1089</v>
      </c>
      <c r="H11611">
        <v>-1.3244061432907399E-4</v>
      </c>
      <c r="I11611" t="s">
        <v>1090</v>
      </c>
      <c r="J11611">
        <v>13.04</v>
      </c>
    </row>
    <row r="11612" spans="1:10" hidden="1">
      <c r="A11612" t="s">
        <v>6767</v>
      </c>
      <c r="B11612" t="s">
        <v>6768</v>
      </c>
      <c r="C11612" t="s">
        <v>5111</v>
      </c>
      <c r="D11612" t="s">
        <v>1601</v>
      </c>
      <c r="E11612" t="s">
        <v>555</v>
      </c>
      <c r="F11612" t="s">
        <v>1068</v>
      </c>
      <c r="G11612" t="s">
        <v>1069</v>
      </c>
      <c r="H11612">
        <v>-0.819526738651291</v>
      </c>
      <c r="I11612" t="s">
        <v>1070</v>
      </c>
      <c r="J11612">
        <v>12.44</v>
      </c>
    </row>
    <row r="11613" spans="1:10" hidden="1">
      <c r="A11613" t="s">
        <v>6767</v>
      </c>
      <c r="B11613" t="s">
        <v>6768</v>
      </c>
      <c r="C11613" t="s">
        <v>5111</v>
      </c>
      <c r="D11613" t="s">
        <v>1601</v>
      </c>
      <c r="E11613" t="s">
        <v>555</v>
      </c>
      <c r="F11613" t="s">
        <v>1068</v>
      </c>
      <c r="G11613" t="s">
        <v>1071</v>
      </c>
      <c r="H11613" s="170">
        <v>-8.4563317134027202E-10</v>
      </c>
      <c r="I11613" t="s">
        <v>1072</v>
      </c>
      <c r="J11613">
        <v>12.44</v>
      </c>
    </row>
    <row r="11614" spans="1:10" hidden="1">
      <c r="A11614" t="s">
        <v>6767</v>
      </c>
      <c r="B11614" t="s">
        <v>6768</v>
      </c>
      <c r="C11614" t="s">
        <v>5111</v>
      </c>
      <c r="D11614" t="s">
        <v>1601</v>
      </c>
      <c r="E11614" t="s">
        <v>555</v>
      </c>
      <c r="F11614" t="s">
        <v>1068</v>
      </c>
      <c r="G11614" t="s">
        <v>1073</v>
      </c>
      <c r="H11614" s="170">
        <v>-2.8648143954925501E-7</v>
      </c>
      <c r="I11614" t="s">
        <v>1074</v>
      </c>
      <c r="J11614">
        <v>12.44</v>
      </c>
    </row>
    <row r="11615" spans="1:10" hidden="1">
      <c r="A11615" t="s">
        <v>6767</v>
      </c>
      <c r="B11615" t="s">
        <v>6768</v>
      </c>
      <c r="C11615" t="s">
        <v>5111</v>
      </c>
      <c r="D11615" t="s">
        <v>1601</v>
      </c>
      <c r="E11615" t="s">
        <v>555</v>
      </c>
      <c r="F11615" t="s">
        <v>1068</v>
      </c>
      <c r="G11615" t="s">
        <v>1075</v>
      </c>
      <c r="H11615">
        <v>-1.4397322421192999E-2</v>
      </c>
      <c r="I11615" t="s">
        <v>1077</v>
      </c>
      <c r="J11615">
        <v>12.44</v>
      </c>
    </row>
    <row r="11616" spans="1:10" hidden="1">
      <c r="A11616" t="s">
        <v>6767</v>
      </c>
      <c r="B11616" t="s">
        <v>6768</v>
      </c>
      <c r="C11616" t="s">
        <v>5111</v>
      </c>
      <c r="D11616" t="s">
        <v>1601</v>
      </c>
      <c r="E11616" t="s">
        <v>555</v>
      </c>
      <c r="F11616" t="s">
        <v>1068</v>
      </c>
      <c r="G11616" t="s">
        <v>1078</v>
      </c>
      <c r="H11616">
        <v>-1.16719806628489</v>
      </c>
      <c r="I11616" t="s">
        <v>1079</v>
      </c>
      <c r="J11616">
        <v>12.44</v>
      </c>
    </row>
    <row r="11617" spans="1:10" hidden="1">
      <c r="A11617" t="s">
        <v>6767</v>
      </c>
      <c r="B11617" t="s">
        <v>6768</v>
      </c>
      <c r="C11617" t="s">
        <v>5111</v>
      </c>
      <c r="D11617" t="s">
        <v>1601</v>
      </c>
      <c r="E11617" t="s">
        <v>555</v>
      </c>
      <c r="F11617" t="s">
        <v>1068</v>
      </c>
      <c r="G11617" t="s">
        <v>1080</v>
      </c>
      <c r="H11617" s="170">
        <v>-4.6351082331804498E-9</v>
      </c>
      <c r="I11617" t="s">
        <v>1082</v>
      </c>
      <c r="J11617">
        <v>12.44</v>
      </c>
    </row>
    <row r="11618" spans="1:10" hidden="1">
      <c r="A11618" t="s">
        <v>6767</v>
      </c>
      <c r="B11618" t="s">
        <v>6768</v>
      </c>
      <c r="C11618" t="s">
        <v>5111</v>
      </c>
      <c r="D11618" t="s">
        <v>1601</v>
      </c>
      <c r="E11618" t="s">
        <v>555</v>
      </c>
      <c r="F11618" t="s">
        <v>1068</v>
      </c>
      <c r="G11618" t="s">
        <v>1083</v>
      </c>
      <c r="H11618">
        <v>-1.12837048601037E-4</v>
      </c>
      <c r="I11618" t="s">
        <v>1084</v>
      </c>
      <c r="J11618">
        <v>12.44</v>
      </c>
    </row>
    <row r="11619" spans="1:10" hidden="1">
      <c r="A11619" t="s">
        <v>6767</v>
      </c>
      <c r="B11619" t="s">
        <v>6768</v>
      </c>
      <c r="C11619" t="s">
        <v>5111</v>
      </c>
      <c r="D11619" t="s">
        <v>1601</v>
      </c>
      <c r="E11619" t="s">
        <v>555</v>
      </c>
      <c r="F11619" t="s">
        <v>1068</v>
      </c>
      <c r="G11619" t="s">
        <v>1085</v>
      </c>
      <c r="H11619">
        <v>-1.0183562908862901E-3</v>
      </c>
      <c r="I11619" t="s">
        <v>1086</v>
      </c>
      <c r="J11619">
        <v>12.44</v>
      </c>
    </row>
    <row r="11620" spans="1:10" hidden="1">
      <c r="A11620" t="s">
        <v>6767</v>
      </c>
      <c r="B11620" t="s">
        <v>6768</v>
      </c>
      <c r="C11620" t="s">
        <v>5111</v>
      </c>
      <c r="D11620" t="s">
        <v>1601</v>
      </c>
      <c r="E11620" t="s">
        <v>555</v>
      </c>
      <c r="F11620" t="s">
        <v>1068</v>
      </c>
      <c r="G11620" t="s">
        <v>1087</v>
      </c>
      <c r="H11620" s="170">
        <v>-7.1873849416110099E-7</v>
      </c>
      <c r="I11620" t="s">
        <v>1088</v>
      </c>
      <c r="J11620">
        <v>12.44</v>
      </c>
    </row>
    <row r="11621" spans="1:10" hidden="1">
      <c r="A11621" t="s">
        <v>6767</v>
      </c>
      <c r="B11621" t="s">
        <v>6768</v>
      </c>
      <c r="C11621" t="s">
        <v>5111</v>
      </c>
      <c r="D11621" t="s">
        <v>1601</v>
      </c>
      <c r="E11621" t="s">
        <v>555</v>
      </c>
      <c r="F11621" t="s">
        <v>1068</v>
      </c>
      <c r="G11621" t="s">
        <v>1089</v>
      </c>
      <c r="H11621">
        <v>-1.6517181680668E-4</v>
      </c>
      <c r="I11621" t="s">
        <v>1090</v>
      </c>
      <c r="J11621">
        <v>12.44</v>
      </c>
    </row>
    <row r="11622" spans="1:10" hidden="1">
      <c r="A11622" t="s">
        <v>6769</v>
      </c>
      <c r="B11622" t="s">
        <v>6770</v>
      </c>
      <c r="C11622" t="s">
        <v>5111</v>
      </c>
      <c r="D11622" t="s">
        <v>1601</v>
      </c>
      <c r="E11622" t="s">
        <v>558</v>
      </c>
      <c r="F11622" t="s">
        <v>1068</v>
      </c>
      <c r="G11622" t="s">
        <v>1069</v>
      </c>
      <c r="H11622">
        <v>-0.71899490279418499</v>
      </c>
      <c r="I11622" t="s">
        <v>1070</v>
      </c>
      <c r="J11622">
        <v>19.399999999999999</v>
      </c>
    </row>
    <row r="11623" spans="1:10" hidden="1">
      <c r="A11623" t="s">
        <v>6769</v>
      </c>
      <c r="B11623" t="s">
        <v>6770</v>
      </c>
      <c r="C11623" t="s">
        <v>5111</v>
      </c>
      <c r="D11623" t="s">
        <v>1601</v>
      </c>
      <c r="E11623" t="s">
        <v>558</v>
      </c>
      <c r="F11623" t="s">
        <v>1068</v>
      </c>
      <c r="G11623" t="s">
        <v>1071</v>
      </c>
      <c r="H11623" s="170">
        <v>-7.0177107551101096E-10</v>
      </c>
      <c r="I11623" t="s">
        <v>1072</v>
      </c>
      <c r="J11623">
        <v>19.399999999999999</v>
      </c>
    </row>
    <row r="11624" spans="1:10" hidden="1">
      <c r="A11624" t="s">
        <v>6769</v>
      </c>
      <c r="B11624" t="s">
        <v>6770</v>
      </c>
      <c r="C11624" t="s">
        <v>5111</v>
      </c>
      <c r="D11624" t="s">
        <v>1601</v>
      </c>
      <c r="E11624" t="s">
        <v>558</v>
      </c>
      <c r="F11624" t="s">
        <v>1068</v>
      </c>
      <c r="G11624" t="s">
        <v>1073</v>
      </c>
      <c r="H11624" s="170">
        <v>-2.5077177927798802E-7</v>
      </c>
      <c r="I11624" t="s">
        <v>1074</v>
      </c>
      <c r="J11624">
        <v>19.399999999999999</v>
      </c>
    </row>
    <row r="11625" spans="1:10" hidden="1">
      <c r="A11625" t="s">
        <v>6769</v>
      </c>
      <c r="B11625" t="s">
        <v>6770</v>
      </c>
      <c r="C11625" t="s">
        <v>5111</v>
      </c>
      <c r="D11625" t="s">
        <v>1601</v>
      </c>
      <c r="E11625" t="s">
        <v>558</v>
      </c>
      <c r="F11625" t="s">
        <v>1068</v>
      </c>
      <c r="G11625" t="s">
        <v>1075</v>
      </c>
      <c r="H11625">
        <v>-1.12193559572553E-2</v>
      </c>
      <c r="I11625" t="s">
        <v>1077</v>
      </c>
      <c r="J11625">
        <v>19.399999999999999</v>
      </c>
    </row>
    <row r="11626" spans="1:10" hidden="1">
      <c r="A11626" t="s">
        <v>6769</v>
      </c>
      <c r="B11626" t="s">
        <v>6770</v>
      </c>
      <c r="C11626" t="s">
        <v>5111</v>
      </c>
      <c r="D11626" t="s">
        <v>1601</v>
      </c>
      <c r="E11626" t="s">
        <v>558</v>
      </c>
      <c r="F11626" t="s">
        <v>1068</v>
      </c>
      <c r="G11626" t="s">
        <v>1078</v>
      </c>
      <c r="H11626">
        <v>-1.0297705369041901</v>
      </c>
      <c r="I11626" t="s">
        <v>1079</v>
      </c>
      <c r="J11626">
        <v>19.399999999999999</v>
      </c>
    </row>
    <row r="11627" spans="1:10" hidden="1">
      <c r="A11627" t="s">
        <v>6769</v>
      </c>
      <c r="B11627" t="s">
        <v>6770</v>
      </c>
      <c r="C11627" t="s">
        <v>5111</v>
      </c>
      <c r="D11627" t="s">
        <v>1601</v>
      </c>
      <c r="E11627" t="s">
        <v>558</v>
      </c>
      <c r="F11627" t="s">
        <v>1068</v>
      </c>
      <c r="G11627" t="s">
        <v>1080</v>
      </c>
      <c r="H11627" s="170">
        <v>-4.0762794473151497E-9</v>
      </c>
      <c r="I11627" t="s">
        <v>1082</v>
      </c>
      <c r="J11627">
        <v>19.399999999999999</v>
      </c>
    </row>
    <row r="11628" spans="1:10" hidden="1">
      <c r="A11628" t="s">
        <v>6769</v>
      </c>
      <c r="B11628" t="s">
        <v>6770</v>
      </c>
      <c r="C11628" t="s">
        <v>5111</v>
      </c>
      <c r="D11628" t="s">
        <v>1601</v>
      </c>
      <c r="E11628" t="s">
        <v>558</v>
      </c>
      <c r="F11628" t="s">
        <v>1068</v>
      </c>
      <c r="G11628" t="s">
        <v>1083</v>
      </c>
      <c r="H11628" s="170">
        <v>-9.7555914823766406E-5</v>
      </c>
      <c r="I11628" t="s">
        <v>1084</v>
      </c>
      <c r="J11628">
        <v>19.399999999999999</v>
      </c>
    </row>
    <row r="11629" spans="1:10" hidden="1">
      <c r="A11629" t="s">
        <v>6769</v>
      </c>
      <c r="B11629" t="s">
        <v>6770</v>
      </c>
      <c r="C11629" t="s">
        <v>5111</v>
      </c>
      <c r="D11629" t="s">
        <v>1601</v>
      </c>
      <c r="E11629" t="s">
        <v>558</v>
      </c>
      <c r="F11629" t="s">
        <v>1068</v>
      </c>
      <c r="G11629" t="s">
        <v>1085</v>
      </c>
      <c r="H11629">
        <v>-8.4564846520078399E-4</v>
      </c>
      <c r="I11629" t="s">
        <v>1086</v>
      </c>
      <c r="J11629">
        <v>19.399999999999999</v>
      </c>
    </row>
    <row r="11630" spans="1:10" hidden="1">
      <c r="A11630" t="s">
        <v>6769</v>
      </c>
      <c r="B11630" t="s">
        <v>6770</v>
      </c>
      <c r="C11630" t="s">
        <v>5111</v>
      </c>
      <c r="D11630" t="s">
        <v>1601</v>
      </c>
      <c r="E11630" t="s">
        <v>558</v>
      </c>
      <c r="F11630" t="s">
        <v>1068</v>
      </c>
      <c r="G11630" t="s">
        <v>1087</v>
      </c>
      <c r="H11630" s="170">
        <v>-6.3538890872606996E-7</v>
      </c>
      <c r="I11630" t="s">
        <v>1088</v>
      </c>
      <c r="J11630">
        <v>19.399999999999999</v>
      </c>
    </row>
    <row r="11631" spans="1:10" hidden="1">
      <c r="A11631" t="s">
        <v>6769</v>
      </c>
      <c r="B11631" t="s">
        <v>6770</v>
      </c>
      <c r="C11631" t="s">
        <v>5111</v>
      </c>
      <c r="D11631" t="s">
        <v>1601</v>
      </c>
      <c r="E11631" t="s">
        <v>558</v>
      </c>
      <c r="F11631" t="s">
        <v>1068</v>
      </c>
      <c r="G11631" t="s">
        <v>1089</v>
      </c>
      <c r="H11631">
        <v>-1.2954253350217401E-4</v>
      </c>
      <c r="I11631" t="s">
        <v>1090</v>
      </c>
      <c r="J11631">
        <v>19.399999999999999</v>
      </c>
    </row>
    <row r="11632" spans="1:10" hidden="1">
      <c r="A11632" t="s">
        <v>6771</v>
      </c>
      <c r="B11632" t="s">
        <v>6772</v>
      </c>
      <c r="C11632" t="s">
        <v>5111</v>
      </c>
      <c r="D11632" t="s">
        <v>1601</v>
      </c>
      <c r="E11632" t="s">
        <v>553</v>
      </c>
      <c r="F11632" t="s">
        <v>1068</v>
      </c>
      <c r="G11632" t="s">
        <v>1069</v>
      </c>
      <c r="H11632">
        <v>-0.71098447315425295</v>
      </c>
      <c r="I11632" t="s">
        <v>1070</v>
      </c>
      <c r="J11632">
        <v>11.31</v>
      </c>
    </row>
    <row r="11633" spans="1:10" hidden="1">
      <c r="A11633" t="s">
        <v>6771</v>
      </c>
      <c r="B11633" t="s">
        <v>6772</v>
      </c>
      <c r="C11633" t="s">
        <v>5111</v>
      </c>
      <c r="D11633" t="s">
        <v>1601</v>
      </c>
      <c r="E11633" t="s">
        <v>553</v>
      </c>
      <c r="F11633" t="s">
        <v>1068</v>
      </c>
      <c r="G11633" t="s">
        <v>1071</v>
      </c>
      <c r="H11633" s="170">
        <v>-6.9030795454118903E-10</v>
      </c>
      <c r="I11633" t="s">
        <v>1072</v>
      </c>
      <c r="J11633">
        <v>11.31</v>
      </c>
    </row>
    <row r="11634" spans="1:10" hidden="1">
      <c r="A11634" t="s">
        <v>6771</v>
      </c>
      <c r="B11634" t="s">
        <v>6772</v>
      </c>
      <c r="C11634" t="s">
        <v>5111</v>
      </c>
      <c r="D11634" t="s">
        <v>1601</v>
      </c>
      <c r="E11634" t="s">
        <v>553</v>
      </c>
      <c r="F11634" t="s">
        <v>1068</v>
      </c>
      <c r="G11634" t="s">
        <v>1073</v>
      </c>
      <c r="H11634" s="170">
        <v>-2.47926883396069E-7</v>
      </c>
      <c r="I11634" t="s">
        <v>1074</v>
      </c>
      <c r="J11634">
        <v>11.31</v>
      </c>
    </row>
    <row r="11635" spans="1:10" hidden="1">
      <c r="A11635" t="s">
        <v>6771</v>
      </c>
      <c r="B11635" t="s">
        <v>6772</v>
      </c>
      <c r="C11635" t="s">
        <v>5111</v>
      </c>
      <c r="D11635" t="s">
        <v>1601</v>
      </c>
      <c r="E11635" t="s">
        <v>553</v>
      </c>
      <c r="F11635" t="s">
        <v>1068</v>
      </c>
      <c r="G11635" t="s">
        <v>1075</v>
      </c>
      <c r="H11635">
        <v>-1.0966185456443E-2</v>
      </c>
      <c r="I11635" t="s">
        <v>1077</v>
      </c>
      <c r="J11635">
        <v>11.31</v>
      </c>
    </row>
    <row r="11636" spans="1:10" hidden="1">
      <c r="A11636" t="s">
        <v>6771</v>
      </c>
      <c r="B11636" t="s">
        <v>6772</v>
      </c>
      <c r="C11636" t="s">
        <v>5111</v>
      </c>
      <c r="D11636" t="s">
        <v>1601</v>
      </c>
      <c r="E11636" t="s">
        <v>553</v>
      </c>
      <c r="F11636" t="s">
        <v>1068</v>
      </c>
      <c r="G11636" t="s">
        <v>1078</v>
      </c>
      <c r="H11636">
        <v>-1.01882246868174</v>
      </c>
      <c r="I11636" t="s">
        <v>1079</v>
      </c>
      <c r="J11636">
        <v>11.31</v>
      </c>
    </row>
    <row r="11637" spans="1:10" hidden="1">
      <c r="A11637" t="s">
        <v>6771</v>
      </c>
      <c r="B11637" t="s">
        <v>6772</v>
      </c>
      <c r="C11637" t="s">
        <v>5111</v>
      </c>
      <c r="D11637" t="s">
        <v>1601</v>
      </c>
      <c r="E11637" t="s">
        <v>553</v>
      </c>
      <c r="F11637" t="s">
        <v>1068</v>
      </c>
      <c r="G11637" t="s">
        <v>1080</v>
      </c>
      <c r="H11637" s="170">
        <v>-4.0317607387688799E-9</v>
      </c>
      <c r="I11637" t="s">
        <v>1082</v>
      </c>
      <c r="J11637">
        <v>11.31</v>
      </c>
    </row>
    <row r="11638" spans="1:10" hidden="1">
      <c r="A11638" t="s">
        <v>6771</v>
      </c>
      <c r="B11638" t="s">
        <v>6772</v>
      </c>
      <c r="C11638" t="s">
        <v>5111</v>
      </c>
      <c r="D11638" t="s">
        <v>1601</v>
      </c>
      <c r="E11638" t="s">
        <v>553</v>
      </c>
      <c r="F11638" t="s">
        <v>1068</v>
      </c>
      <c r="G11638" t="s">
        <v>1083</v>
      </c>
      <c r="H11638" s="170">
        <v>-9.6338553968768994E-5</v>
      </c>
      <c r="I11638" t="s">
        <v>1084</v>
      </c>
      <c r="J11638">
        <v>11.31</v>
      </c>
    </row>
    <row r="11639" spans="1:10" hidden="1">
      <c r="A11639" t="s">
        <v>6771</v>
      </c>
      <c r="B11639" t="s">
        <v>6772</v>
      </c>
      <c r="C11639" t="s">
        <v>5111</v>
      </c>
      <c r="D11639" t="s">
        <v>1601</v>
      </c>
      <c r="E11639" t="s">
        <v>553</v>
      </c>
      <c r="F11639" t="s">
        <v>1068</v>
      </c>
      <c r="G11639" t="s">
        <v>1085</v>
      </c>
      <c r="H11639">
        <v>-8.3188981663986201E-4</v>
      </c>
      <c r="I11639" t="s">
        <v>1086</v>
      </c>
      <c r="J11639">
        <v>11.31</v>
      </c>
    </row>
    <row r="11640" spans="1:10" hidden="1">
      <c r="A11640" t="s">
        <v>6771</v>
      </c>
      <c r="B11640" t="s">
        <v>6772</v>
      </c>
      <c r="C11640" t="s">
        <v>5111</v>
      </c>
      <c r="D11640" t="s">
        <v>1601</v>
      </c>
      <c r="E11640" t="s">
        <v>553</v>
      </c>
      <c r="F11640" t="s">
        <v>1068</v>
      </c>
      <c r="G11640" t="s">
        <v>1087</v>
      </c>
      <c r="H11640" s="170">
        <v>-6.2874892228107202E-7</v>
      </c>
      <c r="I11640" t="s">
        <v>1088</v>
      </c>
      <c r="J11640">
        <v>11.31</v>
      </c>
    </row>
    <row r="11641" spans="1:10" hidden="1">
      <c r="A11641" t="s">
        <v>6771</v>
      </c>
      <c r="B11641" t="s">
        <v>6772</v>
      </c>
      <c r="C11641" t="s">
        <v>5111</v>
      </c>
      <c r="D11641" t="s">
        <v>1601</v>
      </c>
      <c r="E11641" t="s">
        <v>553</v>
      </c>
      <c r="F11641" t="s">
        <v>1068</v>
      </c>
      <c r="G11641" t="s">
        <v>1089</v>
      </c>
      <c r="H11641">
        <v>-1.26704151391714E-4</v>
      </c>
      <c r="I11641" t="s">
        <v>1090</v>
      </c>
      <c r="J11641">
        <v>11.31</v>
      </c>
    </row>
    <row r="11642" spans="1:10" hidden="1">
      <c r="A11642" t="s">
        <v>6773</v>
      </c>
      <c r="B11642" t="s">
        <v>6774</v>
      </c>
      <c r="C11642" t="s">
        <v>5111</v>
      </c>
      <c r="D11642" t="s">
        <v>1601</v>
      </c>
      <c r="E11642" t="s">
        <v>556</v>
      </c>
      <c r="F11642" t="s">
        <v>1068</v>
      </c>
      <c r="G11642" t="s">
        <v>1069</v>
      </c>
      <c r="H11642">
        <v>-0.80932460710746401</v>
      </c>
      <c r="I11642" t="s">
        <v>1070</v>
      </c>
      <c r="J11642">
        <v>9.48</v>
      </c>
    </row>
    <row r="11643" spans="1:10" hidden="1">
      <c r="A11643" t="s">
        <v>6773</v>
      </c>
      <c r="B11643" t="s">
        <v>6774</v>
      </c>
      <c r="C11643" t="s">
        <v>5111</v>
      </c>
      <c r="D11643" t="s">
        <v>1601</v>
      </c>
      <c r="E11643" t="s">
        <v>556</v>
      </c>
      <c r="F11643" t="s">
        <v>1068</v>
      </c>
      <c r="G11643" t="s">
        <v>1071</v>
      </c>
      <c r="H11643" s="170">
        <v>-8.3103380503256896E-10</v>
      </c>
      <c r="I11643" t="s">
        <v>1072</v>
      </c>
      <c r="J11643">
        <v>9.48</v>
      </c>
    </row>
    <row r="11644" spans="1:10" hidden="1">
      <c r="A11644" t="s">
        <v>6773</v>
      </c>
      <c r="B11644" t="s">
        <v>6774</v>
      </c>
      <c r="C11644" t="s">
        <v>5111</v>
      </c>
      <c r="D11644" t="s">
        <v>1601</v>
      </c>
      <c r="E11644" t="s">
        <v>556</v>
      </c>
      <c r="F11644" t="s">
        <v>1068</v>
      </c>
      <c r="G11644" t="s">
        <v>1073</v>
      </c>
      <c r="H11644" s="170">
        <v>-2.8285761014337699E-7</v>
      </c>
      <c r="I11644" t="s">
        <v>1074</v>
      </c>
      <c r="J11644">
        <v>9.48</v>
      </c>
    </row>
    <row r="11645" spans="1:10" hidden="1">
      <c r="A11645" t="s">
        <v>6773</v>
      </c>
      <c r="B11645" t="s">
        <v>6774</v>
      </c>
      <c r="C11645" t="s">
        <v>5111</v>
      </c>
      <c r="D11645" t="s">
        <v>1601</v>
      </c>
      <c r="E11645" t="s">
        <v>556</v>
      </c>
      <c r="F11645" t="s">
        <v>1068</v>
      </c>
      <c r="G11645" t="s">
        <v>1075</v>
      </c>
      <c r="H11645">
        <v>-1.40748221444676E-2</v>
      </c>
      <c r="I11645" t="s">
        <v>1077</v>
      </c>
      <c r="J11645">
        <v>9.48</v>
      </c>
    </row>
    <row r="11646" spans="1:10" hidden="1">
      <c r="A11646" t="s">
        <v>6773</v>
      </c>
      <c r="B11646" t="s">
        <v>6774</v>
      </c>
      <c r="C11646" t="s">
        <v>5111</v>
      </c>
      <c r="D11646" t="s">
        <v>1601</v>
      </c>
      <c r="E11646" t="s">
        <v>556</v>
      </c>
      <c r="F11646" t="s">
        <v>1068</v>
      </c>
      <c r="G11646" t="s">
        <v>1078</v>
      </c>
      <c r="H11646">
        <v>-1.1532519103086201</v>
      </c>
      <c r="I11646" t="s">
        <v>1079</v>
      </c>
      <c r="J11646">
        <v>9.48</v>
      </c>
    </row>
    <row r="11647" spans="1:10" hidden="1">
      <c r="A11647" t="s">
        <v>6773</v>
      </c>
      <c r="B11647" t="s">
        <v>6774</v>
      </c>
      <c r="C11647" t="s">
        <v>5111</v>
      </c>
      <c r="D11647" t="s">
        <v>1601</v>
      </c>
      <c r="E11647" t="s">
        <v>556</v>
      </c>
      <c r="F11647" t="s">
        <v>1068</v>
      </c>
      <c r="G11647" t="s">
        <v>1080</v>
      </c>
      <c r="H11647" s="170">
        <v>-4.5783982458180603E-9</v>
      </c>
      <c r="I11647" t="s">
        <v>1082</v>
      </c>
      <c r="J11647">
        <v>9.48</v>
      </c>
    </row>
    <row r="11648" spans="1:10" hidden="1">
      <c r="A11648" t="s">
        <v>6773</v>
      </c>
      <c r="B11648" t="s">
        <v>6774</v>
      </c>
      <c r="C11648" t="s">
        <v>5111</v>
      </c>
      <c r="D11648" t="s">
        <v>1601</v>
      </c>
      <c r="E11648" t="s">
        <v>556</v>
      </c>
      <c r="F11648" t="s">
        <v>1068</v>
      </c>
      <c r="G11648" t="s">
        <v>1083</v>
      </c>
      <c r="H11648">
        <v>-1.11286318000911E-4</v>
      </c>
      <c r="I11648" t="s">
        <v>1084</v>
      </c>
      <c r="J11648">
        <v>9.48</v>
      </c>
    </row>
    <row r="11649" spans="1:10" hidden="1">
      <c r="A11649" t="s">
        <v>6773</v>
      </c>
      <c r="B11649" t="s">
        <v>6774</v>
      </c>
      <c r="C11649" t="s">
        <v>5111</v>
      </c>
      <c r="D11649" t="s">
        <v>1601</v>
      </c>
      <c r="E11649" t="s">
        <v>556</v>
      </c>
      <c r="F11649" t="s">
        <v>1068</v>
      </c>
      <c r="G11649" t="s">
        <v>1085</v>
      </c>
      <c r="H11649">
        <v>-1.0008298877836801E-3</v>
      </c>
      <c r="I11649" t="s">
        <v>1086</v>
      </c>
      <c r="J11649">
        <v>9.48</v>
      </c>
    </row>
    <row r="11650" spans="1:10" hidden="1">
      <c r="A11650" t="s">
        <v>6773</v>
      </c>
      <c r="B11650" t="s">
        <v>6774</v>
      </c>
      <c r="C11650" t="s">
        <v>5111</v>
      </c>
      <c r="D11650" t="s">
        <v>1601</v>
      </c>
      <c r="E11650" t="s">
        <v>556</v>
      </c>
      <c r="F11650" t="s">
        <v>1068</v>
      </c>
      <c r="G11650" t="s">
        <v>1087</v>
      </c>
      <c r="H11650" s="170">
        <v>-7.1028017199795703E-7</v>
      </c>
      <c r="I11650" t="s">
        <v>1088</v>
      </c>
      <c r="J11650">
        <v>9.48</v>
      </c>
    </row>
    <row r="11651" spans="1:10" hidden="1">
      <c r="A11651" t="s">
        <v>6773</v>
      </c>
      <c r="B11651" t="s">
        <v>6774</v>
      </c>
      <c r="C11651" t="s">
        <v>5111</v>
      </c>
      <c r="D11651" t="s">
        <v>1601</v>
      </c>
      <c r="E11651" t="s">
        <v>556</v>
      </c>
      <c r="F11651" t="s">
        <v>1068</v>
      </c>
      <c r="G11651" t="s">
        <v>1089</v>
      </c>
      <c r="H11651">
        <v>-1.6155615445663201E-4</v>
      </c>
      <c r="I11651" t="s">
        <v>1090</v>
      </c>
      <c r="J11651">
        <v>9.48</v>
      </c>
    </row>
    <row r="11652" spans="1:10" hidden="1">
      <c r="A11652" t="s">
        <v>6775</v>
      </c>
      <c r="B11652" t="s">
        <v>6776</v>
      </c>
      <c r="C11652" t="s">
        <v>5111</v>
      </c>
      <c r="D11652" t="s">
        <v>1601</v>
      </c>
      <c r="E11652" t="s">
        <v>557</v>
      </c>
      <c r="F11652" t="s">
        <v>1068</v>
      </c>
      <c r="G11652" t="s">
        <v>1069</v>
      </c>
      <c r="H11652">
        <v>-0.75277098826348199</v>
      </c>
      <c r="I11652" t="s">
        <v>1070</v>
      </c>
      <c r="J11652">
        <v>8.49</v>
      </c>
    </row>
    <row r="11653" spans="1:10" hidden="1">
      <c r="A11653" t="s">
        <v>6775</v>
      </c>
      <c r="B11653" t="s">
        <v>6776</v>
      </c>
      <c r="C11653" t="s">
        <v>5111</v>
      </c>
      <c r="D11653" t="s">
        <v>1601</v>
      </c>
      <c r="E11653" t="s">
        <v>557</v>
      </c>
      <c r="F11653" t="s">
        <v>1068</v>
      </c>
      <c r="G11653" t="s">
        <v>1071</v>
      </c>
      <c r="H11653" s="170">
        <v>-7.5010503808420001E-10</v>
      </c>
      <c r="I11653" t="s">
        <v>1072</v>
      </c>
      <c r="J11653">
        <v>8.49</v>
      </c>
    </row>
    <row r="11654" spans="1:10" hidden="1">
      <c r="A11654" t="s">
        <v>6775</v>
      </c>
      <c r="B11654" t="s">
        <v>6776</v>
      </c>
      <c r="C11654" t="s">
        <v>5111</v>
      </c>
      <c r="D11654" t="s">
        <v>1601</v>
      </c>
      <c r="E11654" t="s">
        <v>557</v>
      </c>
      <c r="F11654" t="s">
        <v>1068</v>
      </c>
      <c r="G11654" t="s">
        <v>1073</v>
      </c>
      <c r="H11654" s="170">
        <v>-2.6276915171072402E-7</v>
      </c>
      <c r="I11654" t="s">
        <v>1074</v>
      </c>
      <c r="J11654">
        <v>8.49</v>
      </c>
    </row>
    <row r="11655" spans="1:10" hidden="1">
      <c r="A11655" t="s">
        <v>6775</v>
      </c>
      <c r="B11655" t="s">
        <v>6776</v>
      </c>
      <c r="C11655" t="s">
        <v>5111</v>
      </c>
      <c r="D11655" t="s">
        <v>1601</v>
      </c>
      <c r="E11655" t="s">
        <v>557</v>
      </c>
      <c r="F11655" t="s">
        <v>1068</v>
      </c>
      <c r="G11655" t="s">
        <v>1075</v>
      </c>
      <c r="H11655">
        <v>-1.2287054100900901E-2</v>
      </c>
      <c r="I11655" t="s">
        <v>1077</v>
      </c>
      <c r="J11655">
        <v>8.49</v>
      </c>
    </row>
    <row r="11656" spans="1:10" hidden="1">
      <c r="A11656" t="s">
        <v>6775</v>
      </c>
      <c r="B11656" t="s">
        <v>6776</v>
      </c>
      <c r="C11656" t="s">
        <v>5111</v>
      </c>
      <c r="D11656" t="s">
        <v>1601</v>
      </c>
      <c r="E11656" t="s">
        <v>557</v>
      </c>
      <c r="F11656" t="s">
        <v>1068</v>
      </c>
      <c r="G11656" t="s">
        <v>1078</v>
      </c>
      <c r="H11656">
        <v>-1.0759419231678999</v>
      </c>
      <c r="I11656" t="s">
        <v>1079</v>
      </c>
      <c r="J11656">
        <v>8.49</v>
      </c>
    </row>
    <row r="11657" spans="1:10" hidden="1">
      <c r="A11657" t="s">
        <v>6775</v>
      </c>
      <c r="B11657" t="s">
        <v>6776</v>
      </c>
      <c r="C11657" t="s">
        <v>5111</v>
      </c>
      <c r="D11657" t="s">
        <v>1601</v>
      </c>
      <c r="E11657" t="s">
        <v>557</v>
      </c>
      <c r="F11657" t="s">
        <v>1068</v>
      </c>
      <c r="G11657" t="s">
        <v>1080</v>
      </c>
      <c r="H11657" s="170">
        <v>-4.2640285830606904E-9</v>
      </c>
      <c r="I11657" t="s">
        <v>1082</v>
      </c>
      <c r="J11657">
        <v>8.49</v>
      </c>
    </row>
    <row r="11658" spans="1:10" hidden="1">
      <c r="A11658" t="s">
        <v>6775</v>
      </c>
      <c r="B11658" t="s">
        <v>6776</v>
      </c>
      <c r="C11658" t="s">
        <v>5111</v>
      </c>
      <c r="D11658" t="s">
        <v>1601</v>
      </c>
      <c r="E11658" t="s">
        <v>557</v>
      </c>
      <c r="F11658" t="s">
        <v>1068</v>
      </c>
      <c r="G11658" t="s">
        <v>1083</v>
      </c>
      <c r="H11658">
        <v>-1.02689901683746E-4</v>
      </c>
      <c r="I11658" t="s">
        <v>1084</v>
      </c>
      <c r="J11658">
        <v>8.49</v>
      </c>
    </row>
    <row r="11659" spans="1:10" hidden="1">
      <c r="A11659" t="s">
        <v>6775</v>
      </c>
      <c r="B11659" t="s">
        <v>6776</v>
      </c>
      <c r="C11659" t="s">
        <v>5111</v>
      </c>
      <c r="D11659" t="s">
        <v>1601</v>
      </c>
      <c r="E11659" t="s">
        <v>557</v>
      </c>
      <c r="F11659" t="s">
        <v>1068</v>
      </c>
      <c r="G11659" t="s">
        <v>1085</v>
      </c>
      <c r="H11659">
        <v>-9.0367293652046903E-4</v>
      </c>
      <c r="I11659" t="s">
        <v>1086</v>
      </c>
      <c r="J11659">
        <v>8.49</v>
      </c>
    </row>
    <row r="11660" spans="1:10" hidden="1">
      <c r="A11660" t="s">
        <v>6775</v>
      </c>
      <c r="B11660" t="s">
        <v>6776</v>
      </c>
      <c r="C11660" t="s">
        <v>5111</v>
      </c>
      <c r="D11660" t="s">
        <v>1601</v>
      </c>
      <c r="E11660" t="s">
        <v>557</v>
      </c>
      <c r="F11660" t="s">
        <v>1068</v>
      </c>
      <c r="G11660" t="s">
        <v>1087</v>
      </c>
      <c r="H11660" s="170">
        <v>-6.6339178352554903E-7</v>
      </c>
      <c r="I11660" t="s">
        <v>1088</v>
      </c>
      <c r="J11660">
        <v>8.49</v>
      </c>
    </row>
    <row r="11661" spans="1:10" hidden="1">
      <c r="A11661" t="s">
        <v>6775</v>
      </c>
      <c r="B11661" t="s">
        <v>6776</v>
      </c>
      <c r="C11661" t="s">
        <v>5111</v>
      </c>
      <c r="D11661" t="s">
        <v>1601</v>
      </c>
      <c r="E11661" t="s">
        <v>557</v>
      </c>
      <c r="F11661" t="s">
        <v>1068</v>
      </c>
      <c r="G11661" t="s">
        <v>1089</v>
      </c>
      <c r="H11661">
        <v>-1.4151286735240899E-4</v>
      </c>
      <c r="I11661" t="s">
        <v>1090</v>
      </c>
      <c r="J11661">
        <v>8.49</v>
      </c>
    </row>
    <row r="11662" spans="1:10" hidden="1">
      <c r="A11662" t="s">
        <v>6777</v>
      </c>
      <c r="B11662" t="s">
        <v>6778</v>
      </c>
      <c r="C11662" t="s">
        <v>5111</v>
      </c>
      <c r="D11662" t="s">
        <v>1601</v>
      </c>
      <c r="E11662" t="s">
        <v>559</v>
      </c>
      <c r="F11662" t="s">
        <v>1068</v>
      </c>
      <c r="G11662" t="s">
        <v>1069</v>
      </c>
      <c r="H11662">
        <v>-0.78009378077408997</v>
      </c>
      <c r="I11662" t="s">
        <v>1070</v>
      </c>
      <c r="J11662">
        <v>9.09</v>
      </c>
    </row>
    <row r="11663" spans="1:10" hidden="1">
      <c r="A11663" t="s">
        <v>6777</v>
      </c>
      <c r="B11663" t="s">
        <v>6778</v>
      </c>
      <c r="C11663" t="s">
        <v>5111</v>
      </c>
      <c r="D11663" t="s">
        <v>1601</v>
      </c>
      <c r="E11663" t="s">
        <v>559</v>
      </c>
      <c r="F11663" t="s">
        <v>1068</v>
      </c>
      <c r="G11663" t="s">
        <v>1071</v>
      </c>
      <c r="H11663" s="170">
        <v>-7.8920415999378896E-10</v>
      </c>
      <c r="I11663" t="s">
        <v>1072</v>
      </c>
      <c r="J11663">
        <v>9.09</v>
      </c>
    </row>
    <row r="11664" spans="1:10" hidden="1">
      <c r="A11664" t="s">
        <v>6777</v>
      </c>
      <c r="B11664" t="s">
        <v>6778</v>
      </c>
      <c r="C11664" t="s">
        <v>5111</v>
      </c>
      <c r="D11664" t="s">
        <v>1601</v>
      </c>
      <c r="E11664" t="s">
        <v>559</v>
      </c>
      <c r="F11664" t="s">
        <v>1068</v>
      </c>
      <c r="G11664" t="s">
        <v>1073</v>
      </c>
      <c r="H11664" s="170">
        <v>-2.7247472813779802E-7</v>
      </c>
      <c r="I11664" t="s">
        <v>1074</v>
      </c>
      <c r="J11664">
        <v>9.09</v>
      </c>
    </row>
    <row r="11665" spans="1:10" hidden="1">
      <c r="A11665" t="s">
        <v>6777</v>
      </c>
      <c r="B11665" t="s">
        <v>6778</v>
      </c>
      <c r="C11665" t="s">
        <v>5111</v>
      </c>
      <c r="D11665" t="s">
        <v>1601</v>
      </c>
      <c r="E11665" t="s">
        <v>559</v>
      </c>
      <c r="F11665" t="s">
        <v>1068</v>
      </c>
      <c r="G11665" t="s">
        <v>1075</v>
      </c>
      <c r="H11665">
        <v>-1.3150804497669699E-2</v>
      </c>
      <c r="I11665" t="s">
        <v>1077</v>
      </c>
      <c r="J11665">
        <v>9.09</v>
      </c>
    </row>
    <row r="11666" spans="1:10" hidden="1">
      <c r="A11666" t="s">
        <v>6777</v>
      </c>
      <c r="B11666" t="s">
        <v>6778</v>
      </c>
      <c r="C11666" t="s">
        <v>5111</v>
      </c>
      <c r="D11666" t="s">
        <v>1601</v>
      </c>
      <c r="E11666" t="s">
        <v>559</v>
      </c>
      <c r="F11666" t="s">
        <v>1068</v>
      </c>
      <c r="G11666" t="s">
        <v>1078</v>
      </c>
      <c r="H11666">
        <v>-1.1132938229609</v>
      </c>
      <c r="I11666" t="s">
        <v>1079</v>
      </c>
      <c r="J11666">
        <v>9.09</v>
      </c>
    </row>
    <row r="11667" spans="1:10" hidden="1">
      <c r="A11667" t="s">
        <v>6777</v>
      </c>
      <c r="B11667" t="s">
        <v>6778</v>
      </c>
      <c r="C11667" t="s">
        <v>5111</v>
      </c>
      <c r="D11667" t="s">
        <v>1601</v>
      </c>
      <c r="E11667" t="s">
        <v>559</v>
      </c>
      <c r="F11667" t="s">
        <v>1068</v>
      </c>
      <c r="G11667" t="s">
        <v>1080</v>
      </c>
      <c r="H11667" s="170">
        <v>-4.4159145741620198E-9</v>
      </c>
      <c r="I11667" t="s">
        <v>1082</v>
      </c>
      <c r="J11667">
        <v>9.09</v>
      </c>
    </row>
    <row r="11668" spans="1:10" hidden="1">
      <c r="A11668" t="s">
        <v>6777</v>
      </c>
      <c r="B11668" t="s">
        <v>6778</v>
      </c>
      <c r="C11668" t="s">
        <v>5111</v>
      </c>
      <c r="D11668" t="s">
        <v>1601</v>
      </c>
      <c r="E11668" t="s">
        <v>559</v>
      </c>
      <c r="F11668" t="s">
        <v>1068</v>
      </c>
      <c r="G11668" t="s">
        <v>1083</v>
      </c>
      <c r="H11668">
        <v>-1.0684321347246E-4</v>
      </c>
      <c r="I11668" t="s">
        <v>1084</v>
      </c>
      <c r="J11668">
        <v>9.09</v>
      </c>
    </row>
    <row r="11669" spans="1:10" hidden="1">
      <c r="A11669" t="s">
        <v>6777</v>
      </c>
      <c r="B11669" t="s">
        <v>6778</v>
      </c>
      <c r="C11669" t="s">
        <v>5111</v>
      </c>
      <c r="D11669" t="s">
        <v>1601</v>
      </c>
      <c r="E11669" t="s">
        <v>559</v>
      </c>
      <c r="F11669" t="s">
        <v>1068</v>
      </c>
      <c r="G11669" t="s">
        <v>1085</v>
      </c>
      <c r="H11669">
        <v>-9.5061378900650802E-4</v>
      </c>
      <c r="I11669" t="s">
        <v>1086</v>
      </c>
      <c r="J11669">
        <v>9.09</v>
      </c>
    </row>
    <row r="11670" spans="1:10" hidden="1">
      <c r="A11670" t="s">
        <v>6777</v>
      </c>
      <c r="B11670" t="s">
        <v>6778</v>
      </c>
      <c r="C11670" t="s">
        <v>5111</v>
      </c>
      <c r="D11670" t="s">
        <v>1601</v>
      </c>
      <c r="E11670" t="s">
        <v>559</v>
      </c>
      <c r="F11670" t="s">
        <v>1068</v>
      </c>
      <c r="G11670" t="s">
        <v>1087</v>
      </c>
      <c r="H11670" s="170">
        <v>-6.8604565344064103E-7</v>
      </c>
      <c r="I11670" t="s">
        <v>1088</v>
      </c>
      <c r="J11670">
        <v>9.09</v>
      </c>
    </row>
    <row r="11671" spans="1:10" hidden="1">
      <c r="A11671" t="s">
        <v>6777</v>
      </c>
      <c r="B11671" t="s">
        <v>6778</v>
      </c>
      <c r="C11671" t="s">
        <v>5111</v>
      </c>
      <c r="D11671" t="s">
        <v>1601</v>
      </c>
      <c r="E11671" t="s">
        <v>559</v>
      </c>
      <c r="F11671" t="s">
        <v>1068</v>
      </c>
      <c r="G11671" t="s">
        <v>1089</v>
      </c>
      <c r="H11671">
        <v>-1.5119667244244199E-4</v>
      </c>
      <c r="I11671" t="s">
        <v>1090</v>
      </c>
      <c r="J11671">
        <v>9.09</v>
      </c>
    </row>
    <row r="11672" spans="1:10" hidden="1">
      <c r="A11672" t="s">
        <v>6779</v>
      </c>
      <c r="B11672" t="s">
        <v>6780</v>
      </c>
      <c r="C11672" t="s">
        <v>5111</v>
      </c>
      <c r="D11672" t="s">
        <v>1601</v>
      </c>
      <c r="E11672" t="s">
        <v>560</v>
      </c>
      <c r="F11672" t="s">
        <v>1068</v>
      </c>
      <c r="G11672" t="s">
        <v>1069</v>
      </c>
      <c r="H11672">
        <v>-0.77078490051377402</v>
      </c>
      <c r="I11672" t="s">
        <v>1070</v>
      </c>
      <c r="J11672">
        <v>9.1199999999999992</v>
      </c>
    </row>
    <row r="11673" spans="1:10" hidden="1">
      <c r="A11673" t="s">
        <v>6779</v>
      </c>
      <c r="B11673" t="s">
        <v>6780</v>
      </c>
      <c r="C11673" t="s">
        <v>5111</v>
      </c>
      <c r="D11673" t="s">
        <v>1601</v>
      </c>
      <c r="E11673" t="s">
        <v>560</v>
      </c>
      <c r="F11673" t="s">
        <v>1068</v>
      </c>
      <c r="G11673" t="s">
        <v>1071</v>
      </c>
      <c r="H11673" s="170">
        <v>-7.7588315145656795E-10</v>
      </c>
      <c r="I11673" t="s">
        <v>1072</v>
      </c>
      <c r="J11673">
        <v>9.1199999999999992</v>
      </c>
    </row>
    <row r="11674" spans="1:10" hidden="1">
      <c r="A11674" t="s">
        <v>6779</v>
      </c>
      <c r="B11674" t="s">
        <v>6780</v>
      </c>
      <c r="C11674" t="s">
        <v>5111</v>
      </c>
      <c r="D11674" t="s">
        <v>1601</v>
      </c>
      <c r="E11674" t="s">
        <v>560</v>
      </c>
      <c r="F11674" t="s">
        <v>1068</v>
      </c>
      <c r="G11674" t="s">
        <v>1073</v>
      </c>
      <c r="H11674" s="170">
        <v>-2.6916775034151602E-7</v>
      </c>
      <c r="I11674" t="s">
        <v>1074</v>
      </c>
      <c r="J11674">
        <v>9.1199999999999992</v>
      </c>
    </row>
    <row r="11675" spans="1:10" hidden="1">
      <c r="A11675" t="s">
        <v>6779</v>
      </c>
      <c r="B11675" t="s">
        <v>6780</v>
      </c>
      <c r="C11675" t="s">
        <v>5111</v>
      </c>
      <c r="D11675" t="s">
        <v>1601</v>
      </c>
      <c r="E11675" t="s">
        <v>560</v>
      </c>
      <c r="F11675" t="s">
        <v>1068</v>
      </c>
      <c r="G11675" t="s">
        <v>1075</v>
      </c>
      <c r="H11675">
        <v>-1.2856493110845199E-2</v>
      </c>
      <c r="I11675" t="s">
        <v>1077</v>
      </c>
      <c r="J11675">
        <v>9.1199999999999992</v>
      </c>
    </row>
    <row r="11676" spans="1:10" hidden="1">
      <c r="A11676" t="s">
        <v>6779</v>
      </c>
      <c r="B11676" t="s">
        <v>6780</v>
      </c>
      <c r="C11676" t="s">
        <v>5111</v>
      </c>
      <c r="D11676" t="s">
        <v>1601</v>
      </c>
      <c r="E11676" t="s">
        <v>560</v>
      </c>
      <c r="F11676" t="s">
        <v>1068</v>
      </c>
      <c r="G11676" t="s">
        <v>1078</v>
      </c>
      <c r="H11676">
        <v>-1.10056666250855</v>
      </c>
      <c r="I11676" t="s">
        <v>1079</v>
      </c>
      <c r="J11676">
        <v>9.1199999999999992</v>
      </c>
    </row>
    <row r="11677" spans="1:10" hidden="1">
      <c r="A11677" t="s">
        <v>6779</v>
      </c>
      <c r="B11677" t="s">
        <v>6780</v>
      </c>
      <c r="C11677" t="s">
        <v>5111</v>
      </c>
      <c r="D11677" t="s">
        <v>1601</v>
      </c>
      <c r="E11677" t="s">
        <v>560</v>
      </c>
      <c r="F11677" t="s">
        <v>1068</v>
      </c>
      <c r="G11677" t="s">
        <v>1080</v>
      </c>
      <c r="H11677" s="170">
        <v>-4.3641614554583097E-9</v>
      </c>
      <c r="I11677" t="s">
        <v>1082</v>
      </c>
      <c r="J11677">
        <v>9.1199999999999992</v>
      </c>
    </row>
    <row r="11678" spans="1:10" hidden="1">
      <c r="A11678" t="s">
        <v>6779</v>
      </c>
      <c r="B11678" t="s">
        <v>6780</v>
      </c>
      <c r="C11678" t="s">
        <v>5111</v>
      </c>
      <c r="D11678" t="s">
        <v>1601</v>
      </c>
      <c r="E11678" t="s">
        <v>560</v>
      </c>
      <c r="F11678" t="s">
        <v>1068</v>
      </c>
      <c r="G11678" t="s">
        <v>1083</v>
      </c>
      <c r="H11678">
        <v>-1.05428028009068E-4</v>
      </c>
      <c r="I11678" t="s">
        <v>1084</v>
      </c>
      <c r="J11678">
        <v>9.1199999999999992</v>
      </c>
    </row>
    <row r="11679" spans="1:10" hidden="1">
      <c r="A11679" t="s">
        <v>6779</v>
      </c>
      <c r="B11679" t="s">
        <v>6780</v>
      </c>
      <c r="C11679" t="s">
        <v>5111</v>
      </c>
      <c r="D11679" t="s">
        <v>1601</v>
      </c>
      <c r="E11679" t="s">
        <v>560</v>
      </c>
      <c r="F11679" t="s">
        <v>1068</v>
      </c>
      <c r="G11679" t="s">
        <v>1085</v>
      </c>
      <c r="H11679">
        <v>-9.3461932122430001E-4</v>
      </c>
      <c r="I11679" t="s">
        <v>1086</v>
      </c>
      <c r="J11679">
        <v>9.1199999999999992</v>
      </c>
    </row>
    <row r="11680" spans="1:10" hidden="1">
      <c r="A11680" t="s">
        <v>6779</v>
      </c>
      <c r="B11680" t="s">
        <v>6780</v>
      </c>
      <c r="C11680" t="s">
        <v>5111</v>
      </c>
      <c r="D11680" t="s">
        <v>1601</v>
      </c>
      <c r="E11680" t="s">
        <v>560</v>
      </c>
      <c r="F11680" t="s">
        <v>1068</v>
      </c>
      <c r="G11680" t="s">
        <v>1087</v>
      </c>
      <c r="H11680" s="170">
        <v>-6.7832665008527095E-7</v>
      </c>
      <c r="I11680" t="s">
        <v>1088</v>
      </c>
      <c r="J11680">
        <v>9.1199999999999992</v>
      </c>
    </row>
    <row r="11681" spans="1:10" hidden="1">
      <c r="A11681" t="s">
        <v>6779</v>
      </c>
      <c r="B11681" t="s">
        <v>6780</v>
      </c>
      <c r="C11681" t="s">
        <v>5111</v>
      </c>
      <c r="D11681" t="s">
        <v>1601</v>
      </c>
      <c r="E11681" t="s">
        <v>560</v>
      </c>
      <c r="F11681" t="s">
        <v>1068</v>
      </c>
      <c r="G11681" t="s">
        <v>1089</v>
      </c>
      <c r="H11681">
        <v>-1.47897045405867E-4</v>
      </c>
      <c r="I11681" t="s">
        <v>1090</v>
      </c>
      <c r="J11681">
        <v>9.1199999999999992</v>
      </c>
    </row>
    <row r="11682" spans="1:10" hidden="1">
      <c r="A11682" t="s">
        <v>6781</v>
      </c>
      <c r="B11682" t="s">
        <v>6782</v>
      </c>
      <c r="C11682" t="s">
        <v>5111</v>
      </c>
      <c r="D11682" t="s">
        <v>1601</v>
      </c>
      <c r="E11682" t="s">
        <v>1116</v>
      </c>
      <c r="F11682" t="s">
        <v>1068</v>
      </c>
      <c r="G11682" t="s">
        <v>1069</v>
      </c>
      <c r="H11682">
        <v>-0.71611086526152601</v>
      </c>
      <c r="I11682" t="s">
        <v>1070</v>
      </c>
      <c r="J11682">
        <v>11.18</v>
      </c>
    </row>
    <row r="11683" spans="1:10" hidden="1">
      <c r="A11683" t="s">
        <v>6781</v>
      </c>
      <c r="B11683" t="s">
        <v>6782</v>
      </c>
      <c r="C11683" t="s">
        <v>5111</v>
      </c>
      <c r="D11683" t="s">
        <v>1601</v>
      </c>
      <c r="E11683" t="s">
        <v>1116</v>
      </c>
      <c r="F11683" t="s">
        <v>1068</v>
      </c>
      <c r="G11683" t="s">
        <v>1071</v>
      </c>
      <c r="H11683" s="170">
        <v>-6.9764398499041499E-10</v>
      </c>
      <c r="I11683" t="s">
        <v>1072</v>
      </c>
      <c r="J11683">
        <v>11.18</v>
      </c>
    </row>
    <row r="11684" spans="1:10" hidden="1">
      <c r="A11684" t="s">
        <v>6781</v>
      </c>
      <c r="B11684" t="s">
        <v>6782</v>
      </c>
      <c r="C11684" t="s">
        <v>5111</v>
      </c>
      <c r="D11684" t="s">
        <v>1601</v>
      </c>
      <c r="E11684" t="s">
        <v>1116</v>
      </c>
      <c r="F11684" t="s">
        <v>1068</v>
      </c>
      <c r="G11684" t="s">
        <v>1073</v>
      </c>
      <c r="H11684" s="170">
        <v>-2.4974736002073799E-7</v>
      </c>
      <c r="I11684" t="s">
        <v>1074</v>
      </c>
      <c r="J11684">
        <v>11.18</v>
      </c>
    </row>
    <row r="11685" spans="1:10" hidden="1">
      <c r="A11685" t="s">
        <v>6781</v>
      </c>
      <c r="B11685" t="s">
        <v>6782</v>
      </c>
      <c r="C11685" t="s">
        <v>5111</v>
      </c>
      <c r="D11685" t="s">
        <v>1601</v>
      </c>
      <c r="E11685" t="s">
        <v>1116</v>
      </c>
      <c r="F11685" t="s">
        <v>1068</v>
      </c>
      <c r="G11685" t="s">
        <v>1075</v>
      </c>
      <c r="H11685">
        <v>-1.1128188449918801E-2</v>
      </c>
      <c r="I11685" t="s">
        <v>1077</v>
      </c>
      <c r="J11685">
        <v>11.18</v>
      </c>
    </row>
    <row r="11686" spans="1:10" hidden="1">
      <c r="A11686" t="s">
        <v>6781</v>
      </c>
      <c r="B11686" t="s">
        <v>6782</v>
      </c>
      <c r="C11686" t="s">
        <v>5111</v>
      </c>
      <c r="D11686" t="s">
        <v>1601</v>
      </c>
      <c r="E11686" t="s">
        <v>1116</v>
      </c>
      <c r="F11686" t="s">
        <v>1068</v>
      </c>
      <c r="G11686" t="s">
        <v>1078</v>
      </c>
      <c r="H11686">
        <v>-1.0258281022179601</v>
      </c>
      <c r="I11686" t="s">
        <v>1079</v>
      </c>
      <c r="J11686">
        <v>11.18</v>
      </c>
    </row>
    <row r="11687" spans="1:10" hidden="1">
      <c r="A11687" t="s">
        <v>6781</v>
      </c>
      <c r="B11687" t="s">
        <v>6782</v>
      </c>
      <c r="C11687" t="s">
        <v>5111</v>
      </c>
      <c r="D11687" t="s">
        <v>1601</v>
      </c>
      <c r="E11687" t="s">
        <v>1116</v>
      </c>
      <c r="F11687" t="s">
        <v>1068</v>
      </c>
      <c r="G11687" t="s">
        <v>1080</v>
      </c>
      <c r="H11687" s="170">
        <v>-4.0602481178496197E-9</v>
      </c>
      <c r="I11687" t="s">
        <v>1082</v>
      </c>
      <c r="J11687">
        <v>11.18</v>
      </c>
    </row>
    <row r="11688" spans="1:10" hidden="1">
      <c r="A11688" t="s">
        <v>6781</v>
      </c>
      <c r="B11688" t="s">
        <v>6782</v>
      </c>
      <c r="C11688" t="s">
        <v>5111</v>
      </c>
      <c r="D11688" t="s">
        <v>1601</v>
      </c>
      <c r="E11688" t="s">
        <v>1116</v>
      </c>
      <c r="F11688" t="s">
        <v>1068</v>
      </c>
      <c r="G11688" t="s">
        <v>1083</v>
      </c>
      <c r="H11688" s="170">
        <v>-9.7117539251504899E-5</v>
      </c>
      <c r="I11688" t="s">
        <v>1084</v>
      </c>
      <c r="J11688">
        <v>11.18</v>
      </c>
    </row>
    <row r="11689" spans="1:10" hidden="1">
      <c r="A11689" t="s">
        <v>6781</v>
      </c>
      <c r="B11689" t="s">
        <v>6782</v>
      </c>
      <c r="C11689" t="s">
        <v>5111</v>
      </c>
      <c r="D11689" t="s">
        <v>1601</v>
      </c>
      <c r="E11689" t="s">
        <v>1116</v>
      </c>
      <c r="F11689" t="s">
        <v>1068</v>
      </c>
      <c r="G11689" t="s">
        <v>1085</v>
      </c>
      <c r="H11689">
        <v>-8.4069393151893804E-4</v>
      </c>
      <c r="I11689" t="s">
        <v>1086</v>
      </c>
      <c r="J11689">
        <v>11.18</v>
      </c>
    </row>
    <row r="11690" spans="1:10" hidden="1">
      <c r="A11690" t="s">
        <v>6781</v>
      </c>
      <c r="B11690" t="s">
        <v>6782</v>
      </c>
      <c r="C11690" t="s">
        <v>5111</v>
      </c>
      <c r="D11690" t="s">
        <v>1601</v>
      </c>
      <c r="E11690" t="s">
        <v>1116</v>
      </c>
      <c r="F11690" t="s">
        <v>1068</v>
      </c>
      <c r="G11690" t="s">
        <v>1087</v>
      </c>
      <c r="H11690" s="170">
        <v>-6.3299782814873504E-7</v>
      </c>
      <c r="I11690" t="s">
        <v>1088</v>
      </c>
      <c r="J11690">
        <v>11.18</v>
      </c>
    </row>
    <row r="11691" spans="1:10" hidden="1">
      <c r="A11691" t="s">
        <v>6781</v>
      </c>
      <c r="B11691" t="s">
        <v>6782</v>
      </c>
      <c r="C11691" t="s">
        <v>5111</v>
      </c>
      <c r="D11691" t="s">
        <v>1601</v>
      </c>
      <c r="E11691" t="s">
        <v>1116</v>
      </c>
      <c r="F11691" t="s">
        <v>1068</v>
      </c>
      <c r="G11691" t="s">
        <v>1089</v>
      </c>
      <c r="H11691">
        <v>-1.2852042298750599E-4</v>
      </c>
      <c r="I11691" t="s">
        <v>1090</v>
      </c>
      <c r="J11691">
        <v>11.18</v>
      </c>
    </row>
    <row r="11692" spans="1:10" hidden="1">
      <c r="A11692" t="s">
        <v>6783</v>
      </c>
      <c r="B11692" t="s">
        <v>6784</v>
      </c>
      <c r="C11692" t="s">
        <v>5111</v>
      </c>
      <c r="D11692" t="s">
        <v>1633</v>
      </c>
      <c r="E11692" t="s">
        <v>561</v>
      </c>
      <c r="F11692" t="s">
        <v>1068</v>
      </c>
      <c r="G11692" t="s">
        <v>1069</v>
      </c>
      <c r="H11692">
        <v>-0.62023568073521496</v>
      </c>
      <c r="I11692" t="s">
        <v>1070</v>
      </c>
      <c r="J11692">
        <v>9.18</v>
      </c>
    </row>
    <row r="11693" spans="1:10" hidden="1">
      <c r="A11693" t="s">
        <v>6783</v>
      </c>
      <c r="B11693" t="s">
        <v>6784</v>
      </c>
      <c r="C11693" t="s">
        <v>5111</v>
      </c>
      <c r="D11693" t="s">
        <v>1633</v>
      </c>
      <c r="E11693" t="s">
        <v>561</v>
      </c>
      <c r="F11693" t="s">
        <v>1068</v>
      </c>
      <c r="G11693" t="s">
        <v>1071</v>
      </c>
      <c r="H11693" s="170">
        <v>-5.9133707930237497E-10</v>
      </c>
      <c r="I11693" t="s">
        <v>1072</v>
      </c>
      <c r="J11693">
        <v>9.18</v>
      </c>
    </row>
    <row r="11694" spans="1:10" hidden="1">
      <c r="A11694" t="s">
        <v>6783</v>
      </c>
      <c r="B11694" t="s">
        <v>6784</v>
      </c>
      <c r="C11694" t="s">
        <v>5111</v>
      </c>
      <c r="D11694" t="s">
        <v>1633</v>
      </c>
      <c r="E11694" t="s">
        <v>561</v>
      </c>
      <c r="F11694" t="s">
        <v>1068</v>
      </c>
      <c r="G11694" t="s">
        <v>1073</v>
      </c>
      <c r="H11694" s="170">
        <v>-2.1563876887504901E-7</v>
      </c>
      <c r="I11694" t="s">
        <v>1074</v>
      </c>
      <c r="J11694">
        <v>9.18</v>
      </c>
    </row>
    <row r="11695" spans="1:10" hidden="1">
      <c r="A11695" t="s">
        <v>6783</v>
      </c>
      <c r="B11695" t="s">
        <v>6784</v>
      </c>
      <c r="C11695" t="s">
        <v>5111</v>
      </c>
      <c r="D11695" t="s">
        <v>1633</v>
      </c>
      <c r="E11695" t="s">
        <v>561</v>
      </c>
      <c r="F11695" t="s">
        <v>1068</v>
      </c>
      <c r="G11695" t="s">
        <v>1075</v>
      </c>
      <c r="H11695">
        <v>-1.01977820910593E-2</v>
      </c>
      <c r="I11695" t="s">
        <v>1077</v>
      </c>
      <c r="J11695">
        <v>9.18</v>
      </c>
    </row>
    <row r="11696" spans="1:10" hidden="1">
      <c r="A11696" t="s">
        <v>6783</v>
      </c>
      <c r="B11696" t="s">
        <v>6784</v>
      </c>
      <c r="C11696" t="s">
        <v>5111</v>
      </c>
      <c r="D11696" t="s">
        <v>1633</v>
      </c>
      <c r="E11696" t="s">
        <v>561</v>
      </c>
      <c r="F11696" t="s">
        <v>1068</v>
      </c>
      <c r="G11696" t="s">
        <v>1078</v>
      </c>
      <c r="H11696">
        <v>-0.88417570316763305</v>
      </c>
      <c r="I11696" t="s">
        <v>1079</v>
      </c>
      <c r="J11696">
        <v>9.18</v>
      </c>
    </row>
    <row r="11697" spans="1:10" hidden="1">
      <c r="A11697" t="s">
        <v>6783</v>
      </c>
      <c r="B11697" t="s">
        <v>6784</v>
      </c>
      <c r="C11697" t="s">
        <v>5111</v>
      </c>
      <c r="D11697" t="s">
        <v>1633</v>
      </c>
      <c r="E11697" t="s">
        <v>561</v>
      </c>
      <c r="F11697" t="s">
        <v>1068</v>
      </c>
      <c r="G11697" t="s">
        <v>1080</v>
      </c>
      <c r="H11697" s="170">
        <v>-3.5206097199201298E-9</v>
      </c>
      <c r="I11697" t="s">
        <v>1082</v>
      </c>
      <c r="J11697">
        <v>9.18</v>
      </c>
    </row>
    <row r="11698" spans="1:10" hidden="1">
      <c r="A11698" t="s">
        <v>6783</v>
      </c>
      <c r="B11698" t="s">
        <v>6784</v>
      </c>
      <c r="C11698" t="s">
        <v>5111</v>
      </c>
      <c r="D11698" t="s">
        <v>1633</v>
      </c>
      <c r="E11698" t="s">
        <v>561</v>
      </c>
      <c r="F11698" t="s">
        <v>1068</v>
      </c>
      <c r="G11698" t="s">
        <v>1083</v>
      </c>
      <c r="H11698" s="170">
        <v>-8.4128871198632798E-5</v>
      </c>
      <c r="I11698" t="s">
        <v>1084</v>
      </c>
      <c r="J11698">
        <v>9.18</v>
      </c>
    </row>
    <row r="11699" spans="1:10" hidden="1">
      <c r="A11699" t="s">
        <v>6783</v>
      </c>
      <c r="B11699" t="s">
        <v>6784</v>
      </c>
      <c r="C11699" t="s">
        <v>5111</v>
      </c>
      <c r="D11699" t="s">
        <v>1633</v>
      </c>
      <c r="E11699" t="s">
        <v>561</v>
      </c>
      <c r="F11699" t="s">
        <v>1068</v>
      </c>
      <c r="G11699" t="s">
        <v>1085</v>
      </c>
      <c r="H11699">
        <v>-7.3769187930585898E-4</v>
      </c>
      <c r="I11699" t="s">
        <v>1086</v>
      </c>
      <c r="J11699">
        <v>9.18</v>
      </c>
    </row>
    <row r="11700" spans="1:10" hidden="1">
      <c r="A11700" t="s">
        <v>6783</v>
      </c>
      <c r="B11700" t="s">
        <v>6784</v>
      </c>
      <c r="C11700" t="s">
        <v>5111</v>
      </c>
      <c r="D11700" t="s">
        <v>1633</v>
      </c>
      <c r="E11700" t="s">
        <v>561</v>
      </c>
      <c r="F11700" t="s">
        <v>1068</v>
      </c>
      <c r="G11700" t="s">
        <v>1087</v>
      </c>
      <c r="H11700" s="170">
        <v>-5.4691641572528704E-7</v>
      </c>
      <c r="I11700" t="s">
        <v>1088</v>
      </c>
      <c r="J11700">
        <v>9.18</v>
      </c>
    </row>
    <row r="11701" spans="1:10" hidden="1">
      <c r="A11701" t="s">
        <v>6783</v>
      </c>
      <c r="B11701" t="s">
        <v>6784</v>
      </c>
      <c r="C11701" t="s">
        <v>5111</v>
      </c>
      <c r="D11701" t="s">
        <v>1633</v>
      </c>
      <c r="E11701" t="s">
        <v>561</v>
      </c>
      <c r="F11701" t="s">
        <v>1068</v>
      </c>
      <c r="G11701" t="s">
        <v>1089</v>
      </c>
      <c r="H11701">
        <v>-1.16892214205522E-4</v>
      </c>
      <c r="I11701" t="s">
        <v>1090</v>
      </c>
      <c r="J11701">
        <v>9.18</v>
      </c>
    </row>
    <row r="11702" spans="1:10" hidden="1">
      <c r="A11702" t="s">
        <v>6785</v>
      </c>
      <c r="B11702" t="s">
        <v>6786</v>
      </c>
      <c r="C11702" t="s">
        <v>5111</v>
      </c>
      <c r="D11702" t="s">
        <v>1633</v>
      </c>
      <c r="E11702" t="s">
        <v>555</v>
      </c>
      <c r="F11702" t="s">
        <v>1068</v>
      </c>
      <c r="G11702" t="s">
        <v>1069</v>
      </c>
      <c r="H11702">
        <v>-0.69867103857798096</v>
      </c>
      <c r="I11702" t="s">
        <v>1070</v>
      </c>
      <c r="J11702">
        <v>8.8000000000000007</v>
      </c>
    </row>
    <row r="11703" spans="1:10" hidden="1">
      <c r="A11703" t="s">
        <v>6785</v>
      </c>
      <c r="B11703" t="s">
        <v>6786</v>
      </c>
      <c r="C11703" t="s">
        <v>5111</v>
      </c>
      <c r="D11703" t="s">
        <v>1633</v>
      </c>
      <c r="E11703" t="s">
        <v>555</v>
      </c>
      <c r="F11703" t="s">
        <v>1068</v>
      </c>
      <c r="G11703" t="s">
        <v>1071</v>
      </c>
      <c r="H11703" s="170">
        <v>-7.0357894099187103E-10</v>
      </c>
      <c r="I11703" t="s">
        <v>1072</v>
      </c>
      <c r="J11703">
        <v>8.8000000000000007</v>
      </c>
    </row>
    <row r="11704" spans="1:10" hidden="1">
      <c r="A11704" t="s">
        <v>6785</v>
      </c>
      <c r="B11704" t="s">
        <v>6786</v>
      </c>
      <c r="C11704" t="s">
        <v>5111</v>
      </c>
      <c r="D11704" t="s">
        <v>1633</v>
      </c>
      <c r="E11704" t="s">
        <v>555</v>
      </c>
      <c r="F11704" t="s">
        <v>1068</v>
      </c>
      <c r="G11704" t="s">
        <v>1073</v>
      </c>
      <c r="H11704" s="170">
        <v>-2.4349937079313399E-7</v>
      </c>
      <c r="I11704" t="s">
        <v>1074</v>
      </c>
      <c r="J11704">
        <v>8.8000000000000007</v>
      </c>
    </row>
    <row r="11705" spans="1:10" hidden="1">
      <c r="A11705" t="s">
        <v>6785</v>
      </c>
      <c r="B11705" t="s">
        <v>6786</v>
      </c>
      <c r="C11705" t="s">
        <v>5111</v>
      </c>
      <c r="D11705" t="s">
        <v>1633</v>
      </c>
      <c r="E11705" t="s">
        <v>555</v>
      </c>
      <c r="F11705" t="s">
        <v>1068</v>
      </c>
      <c r="G11705" t="s">
        <v>1075</v>
      </c>
      <c r="H11705">
        <v>-1.26772201488218E-2</v>
      </c>
      <c r="I11705" t="s">
        <v>1077</v>
      </c>
      <c r="J11705">
        <v>8.8000000000000007</v>
      </c>
    </row>
    <row r="11706" spans="1:10" hidden="1">
      <c r="A11706" t="s">
        <v>6785</v>
      </c>
      <c r="B11706" t="s">
        <v>6786</v>
      </c>
      <c r="C11706" t="s">
        <v>5111</v>
      </c>
      <c r="D11706" t="s">
        <v>1633</v>
      </c>
      <c r="E11706" t="s">
        <v>555</v>
      </c>
      <c r="F11706" t="s">
        <v>1068</v>
      </c>
      <c r="G11706" t="s">
        <v>1078</v>
      </c>
      <c r="H11706">
        <v>-0.99139616916911</v>
      </c>
      <c r="I11706" t="s">
        <v>1079</v>
      </c>
      <c r="J11706">
        <v>8.8000000000000007</v>
      </c>
    </row>
    <row r="11707" spans="1:10" hidden="1">
      <c r="A11707" t="s">
        <v>6785</v>
      </c>
      <c r="B11707" t="s">
        <v>6786</v>
      </c>
      <c r="C11707" t="s">
        <v>5111</v>
      </c>
      <c r="D11707" t="s">
        <v>1633</v>
      </c>
      <c r="E11707" t="s">
        <v>555</v>
      </c>
      <c r="F11707" t="s">
        <v>1068</v>
      </c>
      <c r="G11707" t="s">
        <v>1080</v>
      </c>
      <c r="H11707" s="170">
        <v>-3.95660593787411E-9</v>
      </c>
      <c r="I11707" t="s">
        <v>1082</v>
      </c>
      <c r="J11707">
        <v>8.8000000000000007</v>
      </c>
    </row>
    <row r="11708" spans="1:10" hidden="1">
      <c r="A11708" t="s">
        <v>6785</v>
      </c>
      <c r="B11708" t="s">
        <v>6786</v>
      </c>
      <c r="C11708" t="s">
        <v>5111</v>
      </c>
      <c r="D11708" t="s">
        <v>1633</v>
      </c>
      <c r="E11708" t="s">
        <v>555</v>
      </c>
      <c r="F11708" t="s">
        <v>1068</v>
      </c>
      <c r="G11708" t="s">
        <v>1083</v>
      </c>
      <c r="H11708" s="170">
        <v>-9.6051157015759097E-5</v>
      </c>
      <c r="I11708" t="s">
        <v>1084</v>
      </c>
      <c r="J11708">
        <v>8.8000000000000007</v>
      </c>
    </row>
    <row r="11709" spans="1:10" hidden="1">
      <c r="A11709" t="s">
        <v>6785</v>
      </c>
      <c r="B11709" t="s">
        <v>6786</v>
      </c>
      <c r="C11709" t="s">
        <v>5111</v>
      </c>
      <c r="D11709" t="s">
        <v>1633</v>
      </c>
      <c r="E11709" t="s">
        <v>555</v>
      </c>
      <c r="F11709" t="s">
        <v>1068</v>
      </c>
      <c r="G11709" t="s">
        <v>1085</v>
      </c>
      <c r="H11709">
        <v>-8.7243790614400304E-4</v>
      </c>
      <c r="I11709" t="s">
        <v>1086</v>
      </c>
      <c r="J11709">
        <v>8.8000000000000007</v>
      </c>
    </row>
    <row r="11710" spans="1:10" hidden="1">
      <c r="A11710" t="s">
        <v>6785</v>
      </c>
      <c r="B11710" t="s">
        <v>6786</v>
      </c>
      <c r="C11710" t="s">
        <v>5111</v>
      </c>
      <c r="D11710" t="s">
        <v>1633</v>
      </c>
      <c r="E11710" t="s">
        <v>555</v>
      </c>
      <c r="F11710" t="s">
        <v>1068</v>
      </c>
      <c r="G11710" t="s">
        <v>1087</v>
      </c>
      <c r="H11710" s="170">
        <v>-6.1194546357534901E-7</v>
      </c>
      <c r="I11710" t="s">
        <v>1088</v>
      </c>
      <c r="J11710">
        <v>8.8000000000000007</v>
      </c>
    </row>
    <row r="11711" spans="1:10" hidden="1">
      <c r="A11711" t="s">
        <v>6785</v>
      </c>
      <c r="B11711" t="s">
        <v>6786</v>
      </c>
      <c r="C11711" t="s">
        <v>5111</v>
      </c>
      <c r="D11711" t="s">
        <v>1633</v>
      </c>
      <c r="E11711" t="s">
        <v>555</v>
      </c>
      <c r="F11711" t="s">
        <v>1068</v>
      </c>
      <c r="G11711" t="s">
        <v>1089</v>
      </c>
      <c r="H11711">
        <v>-1.4469005343272599E-4</v>
      </c>
      <c r="I11711" t="s">
        <v>1090</v>
      </c>
      <c r="J11711">
        <v>8.8000000000000007</v>
      </c>
    </row>
    <row r="11712" spans="1:10" hidden="1">
      <c r="A11712" t="s">
        <v>6787</v>
      </c>
      <c r="B11712" t="s">
        <v>6788</v>
      </c>
      <c r="C11712" t="s">
        <v>5111</v>
      </c>
      <c r="D11712" t="s">
        <v>1633</v>
      </c>
      <c r="E11712" t="s">
        <v>558</v>
      </c>
      <c r="F11712" t="s">
        <v>1068</v>
      </c>
      <c r="G11712" t="s">
        <v>1069</v>
      </c>
      <c r="H11712">
        <v>-0.613290844004581</v>
      </c>
      <c r="I11712" t="s">
        <v>1070</v>
      </c>
      <c r="J11712">
        <v>13.68</v>
      </c>
    </row>
    <row r="11713" spans="1:10" hidden="1">
      <c r="A11713" t="s">
        <v>6787</v>
      </c>
      <c r="B11713" t="s">
        <v>6788</v>
      </c>
      <c r="C11713" t="s">
        <v>5111</v>
      </c>
      <c r="D11713" t="s">
        <v>1633</v>
      </c>
      <c r="E11713" t="s">
        <v>558</v>
      </c>
      <c r="F11713" t="s">
        <v>1068</v>
      </c>
      <c r="G11713" t="s">
        <v>1071</v>
      </c>
      <c r="H11713" s="170">
        <v>-5.8139893893023297E-10</v>
      </c>
      <c r="I11713" t="s">
        <v>1072</v>
      </c>
      <c r="J11713">
        <v>13.68</v>
      </c>
    </row>
    <row r="11714" spans="1:10" hidden="1">
      <c r="A11714" t="s">
        <v>6787</v>
      </c>
      <c r="B11714" t="s">
        <v>6788</v>
      </c>
      <c r="C11714" t="s">
        <v>5111</v>
      </c>
      <c r="D11714" t="s">
        <v>1633</v>
      </c>
      <c r="E11714" t="s">
        <v>558</v>
      </c>
      <c r="F11714" t="s">
        <v>1068</v>
      </c>
      <c r="G11714" t="s">
        <v>1073</v>
      </c>
      <c r="H11714" s="170">
        <v>-2.13171940893527E-7</v>
      </c>
      <c r="I11714" t="s">
        <v>1074</v>
      </c>
      <c r="J11714">
        <v>13.68</v>
      </c>
    </row>
    <row r="11715" spans="1:10" hidden="1">
      <c r="A11715" t="s">
        <v>6787</v>
      </c>
      <c r="B11715" t="s">
        <v>6788</v>
      </c>
      <c r="C11715" t="s">
        <v>5111</v>
      </c>
      <c r="D11715" t="s">
        <v>1633</v>
      </c>
      <c r="E11715" t="s">
        <v>558</v>
      </c>
      <c r="F11715" t="s">
        <v>1068</v>
      </c>
      <c r="G11715" t="s">
        <v>1075</v>
      </c>
      <c r="H11715">
        <v>-9.97824838304694E-3</v>
      </c>
      <c r="I11715" t="s">
        <v>1077</v>
      </c>
      <c r="J11715">
        <v>13.68</v>
      </c>
    </row>
    <row r="11716" spans="1:10" hidden="1">
      <c r="A11716" t="s">
        <v>6787</v>
      </c>
      <c r="B11716" t="s">
        <v>6788</v>
      </c>
      <c r="C11716" t="s">
        <v>5111</v>
      </c>
      <c r="D11716" t="s">
        <v>1633</v>
      </c>
      <c r="E11716" t="s">
        <v>558</v>
      </c>
      <c r="F11716" t="s">
        <v>1068</v>
      </c>
      <c r="G11716" t="s">
        <v>1078</v>
      </c>
      <c r="H11716">
        <v>-0.87468221880515595</v>
      </c>
      <c r="I11716" t="s">
        <v>1079</v>
      </c>
      <c r="J11716">
        <v>13.68</v>
      </c>
    </row>
    <row r="11717" spans="1:10" hidden="1">
      <c r="A11717" t="s">
        <v>6787</v>
      </c>
      <c r="B11717" t="s">
        <v>6788</v>
      </c>
      <c r="C11717" t="s">
        <v>5111</v>
      </c>
      <c r="D11717" t="s">
        <v>1633</v>
      </c>
      <c r="E11717" t="s">
        <v>558</v>
      </c>
      <c r="F11717" t="s">
        <v>1068</v>
      </c>
      <c r="G11717" t="s">
        <v>1080</v>
      </c>
      <c r="H11717" s="170">
        <v>-3.48200586527109E-9</v>
      </c>
      <c r="I11717" t="s">
        <v>1082</v>
      </c>
      <c r="J11717">
        <v>13.68</v>
      </c>
    </row>
    <row r="11718" spans="1:10" hidden="1">
      <c r="A11718" t="s">
        <v>6787</v>
      </c>
      <c r="B11718" t="s">
        <v>6788</v>
      </c>
      <c r="C11718" t="s">
        <v>5111</v>
      </c>
      <c r="D11718" t="s">
        <v>1633</v>
      </c>
      <c r="E11718" t="s">
        <v>558</v>
      </c>
      <c r="F11718" t="s">
        <v>1068</v>
      </c>
      <c r="G11718" t="s">
        <v>1083</v>
      </c>
      <c r="H11718" s="170">
        <v>-8.3073251519076097E-5</v>
      </c>
      <c r="I11718" t="s">
        <v>1084</v>
      </c>
      <c r="J11718">
        <v>13.68</v>
      </c>
    </row>
    <row r="11719" spans="1:10" hidden="1">
      <c r="A11719" t="s">
        <v>6787</v>
      </c>
      <c r="B11719" t="s">
        <v>6788</v>
      </c>
      <c r="C11719" t="s">
        <v>5111</v>
      </c>
      <c r="D11719" t="s">
        <v>1633</v>
      </c>
      <c r="E11719" t="s">
        <v>558</v>
      </c>
      <c r="F11719" t="s">
        <v>1068</v>
      </c>
      <c r="G11719" t="s">
        <v>1085</v>
      </c>
      <c r="H11719">
        <v>-7.2576123446950404E-4</v>
      </c>
      <c r="I11719" t="s">
        <v>1086</v>
      </c>
      <c r="J11719">
        <v>13.68</v>
      </c>
    </row>
    <row r="11720" spans="1:10" hidden="1">
      <c r="A11720" t="s">
        <v>6787</v>
      </c>
      <c r="B11720" t="s">
        <v>6788</v>
      </c>
      <c r="C11720" t="s">
        <v>5111</v>
      </c>
      <c r="D11720" t="s">
        <v>1633</v>
      </c>
      <c r="E11720" t="s">
        <v>558</v>
      </c>
      <c r="F11720" t="s">
        <v>1068</v>
      </c>
      <c r="G11720" t="s">
        <v>1087</v>
      </c>
      <c r="H11720" s="170">
        <v>-5.4115863205176099E-7</v>
      </c>
      <c r="I11720" t="s">
        <v>1088</v>
      </c>
      <c r="J11720">
        <v>13.68</v>
      </c>
    </row>
    <row r="11721" spans="1:10" hidden="1">
      <c r="A11721" t="s">
        <v>6787</v>
      </c>
      <c r="B11721" t="s">
        <v>6788</v>
      </c>
      <c r="C11721" t="s">
        <v>5111</v>
      </c>
      <c r="D11721" t="s">
        <v>1633</v>
      </c>
      <c r="E11721" t="s">
        <v>558</v>
      </c>
      <c r="F11721" t="s">
        <v>1068</v>
      </c>
      <c r="G11721" t="s">
        <v>1089</v>
      </c>
      <c r="H11721">
        <v>-1.14430945735657E-4</v>
      </c>
      <c r="I11721" t="s">
        <v>1090</v>
      </c>
      <c r="J11721">
        <v>13.68</v>
      </c>
    </row>
    <row r="11722" spans="1:10" hidden="1">
      <c r="A11722" t="s">
        <v>6789</v>
      </c>
      <c r="B11722" t="s">
        <v>6790</v>
      </c>
      <c r="C11722" t="s">
        <v>5111</v>
      </c>
      <c r="D11722" t="s">
        <v>1633</v>
      </c>
      <c r="E11722" t="s">
        <v>553</v>
      </c>
      <c r="F11722" t="s">
        <v>1068</v>
      </c>
      <c r="G11722" t="s">
        <v>1069</v>
      </c>
      <c r="H11722">
        <v>-0.60648876026477605</v>
      </c>
      <c r="I11722" t="s">
        <v>1070</v>
      </c>
      <c r="J11722">
        <v>17.77</v>
      </c>
    </row>
    <row r="11723" spans="1:10" hidden="1">
      <c r="A11723" t="s">
        <v>6789</v>
      </c>
      <c r="B11723" t="s">
        <v>6790</v>
      </c>
      <c r="C11723" t="s">
        <v>5111</v>
      </c>
      <c r="D11723" t="s">
        <v>1633</v>
      </c>
      <c r="E11723" t="s">
        <v>553</v>
      </c>
      <c r="F11723" t="s">
        <v>1068</v>
      </c>
      <c r="G11723" t="s">
        <v>1071</v>
      </c>
      <c r="H11723" s="170">
        <v>-5.7166505197853902E-10</v>
      </c>
      <c r="I11723" t="s">
        <v>1072</v>
      </c>
      <c r="J11723">
        <v>17.77</v>
      </c>
    </row>
    <row r="11724" spans="1:10" hidden="1">
      <c r="A11724" t="s">
        <v>6789</v>
      </c>
      <c r="B11724" t="s">
        <v>6790</v>
      </c>
      <c r="C11724" t="s">
        <v>5111</v>
      </c>
      <c r="D11724" t="s">
        <v>1633</v>
      </c>
      <c r="E11724" t="s">
        <v>553</v>
      </c>
      <c r="F11724" t="s">
        <v>1068</v>
      </c>
      <c r="G11724" t="s">
        <v>1073</v>
      </c>
      <c r="H11724" s="170">
        <v>-2.1075593385379699E-7</v>
      </c>
      <c r="I11724" t="s">
        <v>1074</v>
      </c>
      <c r="J11724">
        <v>17.77</v>
      </c>
    </row>
    <row r="11725" spans="1:10" hidden="1">
      <c r="A11725" t="s">
        <v>6789</v>
      </c>
      <c r="B11725" t="s">
        <v>6790</v>
      </c>
      <c r="C11725" t="s">
        <v>5111</v>
      </c>
      <c r="D11725" t="s">
        <v>1633</v>
      </c>
      <c r="E11725" t="s">
        <v>553</v>
      </c>
      <c r="F11725" t="s">
        <v>1068</v>
      </c>
      <c r="G11725" t="s">
        <v>1075</v>
      </c>
      <c r="H11725">
        <v>-9.7632398558277298E-3</v>
      </c>
      <c r="I11725" t="s">
        <v>1077</v>
      </c>
      <c r="J11725">
        <v>17.77</v>
      </c>
    </row>
    <row r="11726" spans="1:10" hidden="1">
      <c r="A11726" t="s">
        <v>6789</v>
      </c>
      <c r="B11726" t="s">
        <v>6790</v>
      </c>
      <c r="C11726" t="s">
        <v>5111</v>
      </c>
      <c r="D11726" t="s">
        <v>1633</v>
      </c>
      <c r="E11726" t="s">
        <v>553</v>
      </c>
      <c r="F11726" t="s">
        <v>1068</v>
      </c>
      <c r="G11726" t="s">
        <v>1078</v>
      </c>
      <c r="H11726">
        <v>-0.86538442092976098</v>
      </c>
      <c r="I11726" t="s">
        <v>1079</v>
      </c>
      <c r="J11726">
        <v>17.77</v>
      </c>
    </row>
    <row r="11727" spans="1:10" hidden="1">
      <c r="A11727" t="s">
        <v>6789</v>
      </c>
      <c r="B11727" t="s">
        <v>6790</v>
      </c>
      <c r="C11727" t="s">
        <v>5111</v>
      </c>
      <c r="D11727" t="s">
        <v>1633</v>
      </c>
      <c r="E11727" t="s">
        <v>553</v>
      </c>
      <c r="F11727" t="s">
        <v>1068</v>
      </c>
      <c r="G11727" t="s">
        <v>1080</v>
      </c>
      <c r="H11727" s="170">
        <v>-3.4441977400653001E-9</v>
      </c>
      <c r="I11727" t="s">
        <v>1082</v>
      </c>
      <c r="J11727">
        <v>17.77</v>
      </c>
    </row>
    <row r="11728" spans="1:10" hidden="1">
      <c r="A11728" t="s">
        <v>6789</v>
      </c>
      <c r="B11728" t="s">
        <v>6790</v>
      </c>
      <c r="C11728" t="s">
        <v>5111</v>
      </c>
      <c r="D11728" t="s">
        <v>1633</v>
      </c>
      <c r="E11728" t="s">
        <v>553</v>
      </c>
      <c r="F11728" t="s">
        <v>1068</v>
      </c>
      <c r="G11728" t="s">
        <v>1083</v>
      </c>
      <c r="H11728" s="170">
        <v>-8.2039391027862195E-5</v>
      </c>
      <c r="I11728" t="s">
        <v>1084</v>
      </c>
      <c r="J11728">
        <v>17.77</v>
      </c>
    </row>
    <row r="11729" spans="1:10" hidden="1">
      <c r="A11729" t="s">
        <v>6789</v>
      </c>
      <c r="B11729" t="s">
        <v>6790</v>
      </c>
      <c r="C11729" t="s">
        <v>5111</v>
      </c>
      <c r="D11729" t="s">
        <v>1633</v>
      </c>
      <c r="E11729" t="s">
        <v>553</v>
      </c>
      <c r="F11729" t="s">
        <v>1068</v>
      </c>
      <c r="G11729" t="s">
        <v>1085</v>
      </c>
      <c r="H11729">
        <v>-7.1407651257666797E-4</v>
      </c>
      <c r="I11729" t="s">
        <v>1086</v>
      </c>
      <c r="J11729">
        <v>17.77</v>
      </c>
    </row>
    <row r="11730" spans="1:10" hidden="1">
      <c r="A11730" t="s">
        <v>6789</v>
      </c>
      <c r="B11730" t="s">
        <v>6790</v>
      </c>
      <c r="C11730" t="s">
        <v>5111</v>
      </c>
      <c r="D11730" t="s">
        <v>1633</v>
      </c>
      <c r="E11730" t="s">
        <v>553</v>
      </c>
      <c r="F11730" t="s">
        <v>1068</v>
      </c>
      <c r="G11730" t="s">
        <v>1087</v>
      </c>
      <c r="H11730" s="170">
        <v>-5.3551953195926895E-7</v>
      </c>
      <c r="I11730" t="s">
        <v>1088</v>
      </c>
      <c r="J11730">
        <v>17.77</v>
      </c>
    </row>
    <row r="11731" spans="1:10" hidden="1">
      <c r="A11731" t="s">
        <v>6789</v>
      </c>
      <c r="B11731" t="s">
        <v>6790</v>
      </c>
      <c r="C11731" t="s">
        <v>5111</v>
      </c>
      <c r="D11731" t="s">
        <v>1633</v>
      </c>
      <c r="E11731" t="s">
        <v>553</v>
      </c>
      <c r="F11731" t="s">
        <v>1068</v>
      </c>
      <c r="G11731" t="s">
        <v>1089</v>
      </c>
      <c r="H11731">
        <v>-1.12020410661741E-4</v>
      </c>
      <c r="I11731" t="s">
        <v>1090</v>
      </c>
      <c r="J11731">
        <v>17.77</v>
      </c>
    </row>
    <row r="11732" spans="1:10" hidden="1">
      <c r="A11732" t="s">
        <v>6791</v>
      </c>
      <c r="B11732" t="s">
        <v>6792</v>
      </c>
      <c r="C11732" t="s">
        <v>5111</v>
      </c>
      <c r="D11732" t="s">
        <v>1633</v>
      </c>
      <c r="E11732" t="s">
        <v>556</v>
      </c>
      <c r="F11732" t="s">
        <v>1068</v>
      </c>
      <c r="G11732" t="s">
        <v>1069</v>
      </c>
      <c r="H11732">
        <v>-0.69000661900780502</v>
      </c>
      <c r="I11732" t="s">
        <v>1070</v>
      </c>
      <c r="J11732">
        <v>11.38</v>
      </c>
    </row>
    <row r="11733" spans="1:10" hidden="1">
      <c r="A11733" t="s">
        <v>6791</v>
      </c>
      <c r="B11733" t="s">
        <v>6792</v>
      </c>
      <c r="C11733" t="s">
        <v>5111</v>
      </c>
      <c r="D11733" t="s">
        <v>1633</v>
      </c>
      <c r="E11733" t="s">
        <v>556</v>
      </c>
      <c r="F11733" t="s">
        <v>1068</v>
      </c>
      <c r="G11733" t="s">
        <v>1071</v>
      </c>
      <c r="H11733" s="170">
        <v>-6.9118005801281402E-10</v>
      </c>
      <c r="I11733" t="s">
        <v>1072</v>
      </c>
      <c r="J11733">
        <v>11.38</v>
      </c>
    </row>
    <row r="11734" spans="1:10" hidden="1">
      <c r="A11734" t="s">
        <v>6791</v>
      </c>
      <c r="B11734" t="s">
        <v>6792</v>
      </c>
      <c r="C11734" t="s">
        <v>5111</v>
      </c>
      <c r="D11734" t="s">
        <v>1633</v>
      </c>
      <c r="E11734" t="s">
        <v>556</v>
      </c>
      <c r="F11734" t="s">
        <v>1068</v>
      </c>
      <c r="G11734" t="s">
        <v>1073</v>
      </c>
      <c r="H11734" s="170">
        <v>-2.40421741545914E-7</v>
      </c>
      <c r="I11734" t="s">
        <v>1074</v>
      </c>
      <c r="J11734">
        <v>11.38</v>
      </c>
    </row>
    <row r="11735" spans="1:10" hidden="1">
      <c r="A11735" t="s">
        <v>6791</v>
      </c>
      <c r="B11735" t="s">
        <v>6792</v>
      </c>
      <c r="C11735" t="s">
        <v>5111</v>
      </c>
      <c r="D11735" t="s">
        <v>1633</v>
      </c>
      <c r="E11735" t="s">
        <v>556</v>
      </c>
      <c r="F11735" t="s">
        <v>1068</v>
      </c>
      <c r="G11735" t="s">
        <v>1075</v>
      </c>
      <c r="H11735">
        <v>-1.24033285902743E-2</v>
      </c>
      <c r="I11735" t="s">
        <v>1077</v>
      </c>
      <c r="J11735">
        <v>11.38</v>
      </c>
    </row>
    <row r="11736" spans="1:10" hidden="1">
      <c r="A11736" t="s">
        <v>6791</v>
      </c>
      <c r="B11736" t="s">
        <v>6792</v>
      </c>
      <c r="C11736" t="s">
        <v>5111</v>
      </c>
      <c r="D11736" t="s">
        <v>1633</v>
      </c>
      <c r="E11736" t="s">
        <v>556</v>
      </c>
      <c r="F11736" t="s">
        <v>1068</v>
      </c>
      <c r="G11736" t="s">
        <v>1078</v>
      </c>
      <c r="H11736">
        <v>-0.97955204166985599</v>
      </c>
      <c r="I11736" t="s">
        <v>1079</v>
      </c>
      <c r="J11736">
        <v>11.38</v>
      </c>
    </row>
    <row r="11737" spans="1:10" hidden="1">
      <c r="A11737" t="s">
        <v>6791</v>
      </c>
      <c r="B11737" t="s">
        <v>6792</v>
      </c>
      <c r="C11737" t="s">
        <v>5111</v>
      </c>
      <c r="D11737" t="s">
        <v>1633</v>
      </c>
      <c r="E11737" t="s">
        <v>556</v>
      </c>
      <c r="F11737" t="s">
        <v>1068</v>
      </c>
      <c r="G11737" t="s">
        <v>1080</v>
      </c>
      <c r="H11737" s="170">
        <v>-3.9084435394365099E-9</v>
      </c>
      <c r="I11737" t="s">
        <v>1082</v>
      </c>
      <c r="J11737">
        <v>11.38</v>
      </c>
    </row>
    <row r="11738" spans="1:10" hidden="1">
      <c r="A11738" t="s">
        <v>6791</v>
      </c>
      <c r="B11738" t="s">
        <v>6792</v>
      </c>
      <c r="C11738" t="s">
        <v>5111</v>
      </c>
      <c r="D11738" t="s">
        <v>1633</v>
      </c>
      <c r="E11738" t="s">
        <v>556</v>
      </c>
      <c r="F11738" t="s">
        <v>1068</v>
      </c>
      <c r="G11738" t="s">
        <v>1083</v>
      </c>
      <c r="H11738" s="170">
        <v>-9.4734159631236497E-5</v>
      </c>
      <c r="I11738" t="s">
        <v>1084</v>
      </c>
      <c r="J11738">
        <v>11.38</v>
      </c>
    </row>
    <row r="11739" spans="1:10" hidden="1">
      <c r="A11739" t="s">
        <v>6791</v>
      </c>
      <c r="B11739" t="s">
        <v>6792</v>
      </c>
      <c r="C11739" t="s">
        <v>5111</v>
      </c>
      <c r="D11739" t="s">
        <v>1633</v>
      </c>
      <c r="E11739" t="s">
        <v>556</v>
      </c>
      <c r="F11739" t="s">
        <v>1068</v>
      </c>
      <c r="G11739" t="s">
        <v>1085</v>
      </c>
      <c r="H11739">
        <v>-8.5755316275636301E-4</v>
      </c>
      <c r="I11739" t="s">
        <v>1086</v>
      </c>
      <c r="J11739">
        <v>11.38</v>
      </c>
    </row>
    <row r="11740" spans="1:10" hidden="1">
      <c r="A11740" t="s">
        <v>6791</v>
      </c>
      <c r="B11740" t="s">
        <v>6792</v>
      </c>
      <c r="C11740" t="s">
        <v>5111</v>
      </c>
      <c r="D11740" t="s">
        <v>1633</v>
      </c>
      <c r="E11740" t="s">
        <v>556</v>
      </c>
      <c r="F11740" t="s">
        <v>1068</v>
      </c>
      <c r="G11740" t="s">
        <v>1087</v>
      </c>
      <c r="H11740" s="170">
        <v>-6.04762018452514E-7</v>
      </c>
      <c r="I11740" t="s">
        <v>1088</v>
      </c>
      <c r="J11740">
        <v>11.38</v>
      </c>
    </row>
    <row r="11741" spans="1:10" hidden="1">
      <c r="A11741" t="s">
        <v>6791</v>
      </c>
      <c r="B11741" t="s">
        <v>6792</v>
      </c>
      <c r="C11741" t="s">
        <v>5111</v>
      </c>
      <c r="D11741" t="s">
        <v>1633</v>
      </c>
      <c r="E11741" t="s">
        <v>556</v>
      </c>
      <c r="F11741" t="s">
        <v>1068</v>
      </c>
      <c r="G11741" t="s">
        <v>1089</v>
      </c>
      <c r="H11741">
        <v>-1.41619360265295E-4</v>
      </c>
      <c r="I11741" t="s">
        <v>1090</v>
      </c>
      <c r="J11741">
        <v>11.38</v>
      </c>
    </row>
    <row r="11742" spans="1:10" hidden="1">
      <c r="A11742" t="s">
        <v>6793</v>
      </c>
      <c r="B11742" t="s">
        <v>6794</v>
      </c>
      <c r="C11742" t="s">
        <v>5111</v>
      </c>
      <c r="D11742" t="s">
        <v>1633</v>
      </c>
      <c r="E11742" t="s">
        <v>557</v>
      </c>
      <c r="F11742" t="s">
        <v>1068</v>
      </c>
      <c r="G11742" t="s">
        <v>1069</v>
      </c>
      <c r="H11742">
        <v>-0.64197603919632895</v>
      </c>
      <c r="I11742" t="s">
        <v>1070</v>
      </c>
      <c r="J11742">
        <v>9.08</v>
      </c>
    </row>
    <row r="11743" spans="1:10" hidden="1">
      <c r="A11743" t="s">
        <v>6793</v>
      </c>
      <c r="B11743" t="s">
        <v>6794</v>
      </c>
      <c r="C11743" t="s">
        <v>5111</v>
      </c>
      <c r="D11743" t="s">
        <v>1633</v>
      </c>
      <c r="E11743" t="s">
        <v>557</v>
      </c>
      <c r="F11743" t="s">
        <v>1068</v>
      </c>
      <c r="G11743" t="s">
        <v>1071</v>
      </c>
      <c r="H11743" s="170">
        <v>-6.2244777959777597E-10</v>
      </c>
      <c r="I11743" t="s">
        <v>1072</v>
      </c>
      <c r="J11743">
        <v>9.08</v>
      </c>
    </row>
    <row r="11744" spans="1:10" hidden="1">
      <c r="A11744" t="s">
        <v>6793</v>
      </c>
      <c r="B11744" t="s">
        <v>6794</v>
      </c>
      <c r="C11744" t="s">
        <v>5111</v>
      </c>
      <c r="D11744" t="s">
        <v>1633</v>
      </c>
      <c r="E11744" t="s">
        <v>557</v>
      </c>
      <c r="F11744" t="s">
        <v>1068</v>
      </c>
      <c r="G11744" t="s">
        <v>1073</v>
      </c>
      <c r="H11744" s="170">
        <v>-2.23361012991119E-7</v>
      </c>
      <c r="I11744" t="s">
        <v>1074</v>
      </c>
      <c r="J11744">
        <v>9.08</v>
      </c>
    </row>
    <row r="11745" spans="1:10" hidden="1">
      <c r="A11745" t="s">
        <v>6793</v>
      </c>
      <c r="B11745" t="s">
        <v>6794</v>
      </c>
      <c r="C11745" t="s">
        <v>5111</v>
      </c>
      <c r="D11745" t="s">
        <v>1633</v>
      </c>
      <c r="E11745" t="s">
        <v>557</v>
      </c>
      <c r="F11745" t="s">
        <v>1068</v>
      </c>
      <c r="G11745" t="s">
        <v>1075</v>
      </c>
      <c r="H11745">
        <v>-1.08850180465764E-2</v>
      </c>
      <c r="I11745" t="s">
        <v>1077</v>
      </c>
      <c r="J11745">
        <v>9.08</v>
      </c>
    </row>
    <row r="11746" spans="1:10" hidden="1">
      <c r="A11746" t="s">
        <v>6793</v>
      </c>
      <c r="B11746" t="s">
        <v>6794</v>
      </c>
      <c r="C11746" t="s">
        <v>5111</v>
      </c>
      <c r="D11746" t="s">
        <v>1633</v>
      </c>
      <c r="E11746" t="s">
        <v>557</v>
      </c>
      <c r="F11746" t="s">
        <v>1068</v>
      </c>
      <c r="G11746" t="s">
        <v>1078</v>
      </c>
      <c r="H11746">
        <v>-0.913894436824084</v>
      </c>
      <c r="I11746" t="s">
        <v>1079</v>
      </c>
      <c r="J11746">
        <v>9.08</v>
      </c>
    </row>
    <row r="11747" spans="1:10" hidden="1">
      <c r="A11747" t="s">
        <v>6793</v>
      </c>
      <c r="B11747" t="s">
        <v>6794</v>
      </c>
      <c r="C11747" t="s">
        <v>5111</v>
      </c>
      <c r="D11747" t="s">
        <v>1633</v>
      </c>
      <c r="E11747" t="s">
        <v>557</v>
      </c>
      <c r="F11747" t="s">
        <v>1068</v>
      </c>
      <c r="G11747" t="s">
        <v>1080</v>
      </c>
      <c r="H11747" s="170">
        <v>-3.6414565692562498E-9</v>
      </c>
      <c r="I11747" t="s">
        <v>1082</v>
      </c>
      <c r="J11747">
        <v>9.08</v>
      </c>
    </row>
    <row r="11748" spans="1:10" hidden="1">
      <c r="A11748" t="s">
        <v>6793</v>
      </c>
      <c r="B11748" t="s">
        <v>6794</v>
      </c>
      <c r="C11748" t="s">
        <v>5111</v>
      </c>
      <c r="D11748" t="s">
        <v>1633</v>
      </c>
      <c r="E11748" t="s">
        <v>557</v>
      </c>
      <c r="F11748" t="s">
        <v>1068</v>
      </c>
      <c r="G11748" t="s">
        <v>1083</v>
      </c>
      <c r="H11748" s="170">
        <v>-8.7433419760723198E-5</v>
      </c>
      <c r="I11748" t="s">
        <v>1084</v>
      </c>
      <c r="J11748">
        <v>9.08</v>
      </c>
    </row>
    <row r="11749" spans="1:10" hidden="1">
      <c r="A11749" t="s">
        <v>6793</v>
      </c>
      <c r="B11749" t="s">
        <v>6794</v>
      </c>
      <c r="C11749" t="s">
        <v>5111</v>
      </c>
      <c r="D11749" t="s">
        <v>1633</v>
      </c>
      <c r="E11749" t="s">
        <v>557</v>
      </c>
      <c r="F11749" t="s">
        <v>1068</v>
      </c>
      <c r="G11749" t="s">
        <v>1085</v>
      </c>
      <c r="H11749">
        <v>-7.7503998488053102E-4</v>
      </c>
      <c r="I11749" t="s">
        <v>1086</v>
      </c>
      <c r="J11749">
        <v>9.08</v>
      </c>
    </row>
    <row r="11750" spans="1:10" hidden="1">
      <c r="A11750" t="s">
        <v>6793</v>
      </c>
      <c r="B11750" t="s">
        <v>6794</v>
      </c>
      <c r="C11750" t="s">
        <v>5111</v>
      </c>
      <c r="D11750" t="s">
        <v>1633</v>
      </c>
      <c r="E11750" t="s">
        <v>557</v>
      </c>
      <c r="F11750" t="s">
        <v>1068</v>
      </c>
      <c r="G11750" t="s">
        <v>1087</v>
      </c>
      <c r="H11750" s="170">
        <v>-5.6494078200762997E-7</v>
      </c>
      <c r="I11750" t="s">
        <v>1088</v>
      </c>
      <c r="J11750">
        <v>9.08</v>
      </c>
    </row>
    <row r="11751" spans="1:10" hidden="1">
      <c r="A11751" t="s">
        <v>6793</v>
      </c>
      <c r="B11751" t="s">
        <v>6794</v>
      </c>
      <c r="C11751" t="s">
        <v>5111</v>
      </c>
      <c r="D11751" t="s">
        <v>1633</v>
      </c>
      <c r="E11751" t="s">
        <v>557</v>
      </c>
      <c r="F11751" t="s">
        <v>1068</v>
      </c>
      <c r="G11751" t="s">
        <v>1089</v>
      </c>
      <c r="H11751">
        <v>-1.24597054632926E-4</v>
      </c>
      <c r="I11751" t="s">
        <v>1090</v>
      </c>
      <c r="J11751">
        <v>9.08</v>
      </c>
    </row>
    <row r="11752" spans="1:10" hidden="1">
      <c r="A11752" t="s">
        <v>6795</v>
      </c>
      <c r="B11752" t="s">
        <v>6796</v>
      </c>
      <c r="C11752" t="s">
        <v>5111</v>
      </c>
      <c r="D11752" t="s">
        <v>1633</v>
      </c>
      <c r="E11752" t="s">
        <v>559</v>
      </c>
      <c r="F11752" t="s">
        <v>1068</v>
      </c>
      <c r="G11752" t="s">
        <v>1069</v>
      </c>
      <c r="H11752">
        <v>-0.66518159664397003</v>
      </c>
      <c r="I11752" t="s">
        <v>1070</v>
      </c>
      <c r="J11752">
        <v>7.6</v>
      </c>
    </row>
    <row r="11753" spans="1:10" hidden="1">
      <c r="A11753" t="s">
        <v>6795</v>
      </c>
      <c r="B11753" t="s">
        <v>6796</v>
      </c>
      <c r="C11753" t="s">
        <v>5111</v>
      </c>
      <c r="D11753" t="s">
        <v>1633</v>
      </c>
      <c r="E11753" t="s">
        <v>559</v>
      </c>
      <c r="F11753" t="s">
        <v>1068</v>
      </c>
      <c r="G11753" t="s">
        <v>1071</v>
      </c>
      <c r="H11753" s="170">
        <v>-6.5565516857878798E-10</v>
      </c>
      <c r="I11753" t="s">
        <v>1072</v>
      </c>
      <c r="J11753">
        <v>7.6</v>
      </c>
    </row>
    <row r="11754" spans="1:10" hidden="1">
      <c r="A11754" t="s">
        <v>6795</v>
      </c>
      <c r="B11754" t="s">
        <v>6796</v>
      </c>
      <c r="C11754" t="s">
        <v>5111</v>
      </c>
      <c r="D11754" t="s">
        <v>1633</v>
      </c>
      <c r="E11754" t="s">
        <v>559</v>
      </c>
      <c r="F11754" t="s">
        <v>1068</v>
      </c>
      <c r="G11754" t="s">
        <v>1073</v>
      </c>
      <c r="H11754" s="170">
        <v>-2.31603815051128E-7</v>
      </c>
      <c r="I11754" t="s">
        <v>1074</v>
      </c>
      <c r="J11754">
        <v>7.6</v>
      </c>
    </row>
    <row r="11755" spans="1:10" hidden="1">
      <c r="A11755" t="s">
        <v>6795</v>
      </c>
      <c r="B11755" t="s">
        <v>6796</v>
      </c>
      <c r="C11755" t="s">
        <v>5111</v>
      </c>
      <c r="D11755" t="s">
        <v>1633</v>
      </c>
      <c r="E11755" t="s">
        <v>559</v>
      </c>
      <c r="F11755" t="s">
        <v>1068</v>
      </c>
      <c r="G11755" t="s">
        <v>1075</v>
      </c>
      <c r="H11755">
        <v>-1.16185831135394E-2</v>
      </c>
      <c r="I11755" t="s">
        <v>1077</v>
      </c>
      <c r="J11755">
        <v>7.6</v>
      </c>
    </row>
    <row r="11756" spans="1:10" hidden="1">
      <c r="A11756" t="s">
        <v>6795</v>
      </c>
      <c r="B11756" t="s">
        <v>6796</v>
      </c>
      <c r="C11756" t="s">
        <v>5111</v>
      </c>
      <c r="D11756" t="s">
        <v>1633</v>
      </c>
      <c r="E11756" t="s">
        <v>559</v>
      </c>
      <c r="F11756" t="s">
        <v>1068</v>
      </c>
      <c r="G11756" t="s">
        <v>1078</v>
      </c>
      <c r="H11756">
        <v>-0.94561662018327897</v>
      </c>
      <c r="I11756" t="s">
        <v>1079</v>
      </c>
      <c r="J11756">
        <v>7.6</v>
      </c>
    </row>
    <row r="11757" spans="1:10" hidden="1">
      <c r="A11757" t="s">
        <v>6795</v>
      </c>
      <c r="B11757" t="s">
        <v>6796</v>
      </c>
      <c r="C11757" t="s">
        <v>5111</v>
      </c>
      <c r="D11757" t="s">
        <v>1633</v>
      </c>
      <c r="E11757" t="s">
        <v>559</v>
      </c>
      <c r="F11757" t="s">
        <v>1068</v>
      </c>
      <c r="G11757" t="s">
        <v>1080</v>
      </c>
      <c r="H11757" s="170">
        <v>-3.7704501506551804E-9</v>
      </c>
      <c r="I11757" t="s">
        <v>1082</v>
      </c>
      <c r="J11757">
        <v>7.6</v>
      </c>
    </row>
    <row r="11758" spans="1:10" hidden="1">
      <c r="A11758" t="s">
        <v>6795</v>
      </c>
      <c r="B11758" t="s">
        <v>6796</v>
      </c>
      <c r="C11758" t="s">
        <v>5111</v>
      </c>
      <c r="D11758" t="s">
        <v>1633</v>
      </c>
      <c r="E11758" t="s">
        <v>559</v>
      </c>
      <c r="F11758" t="s">
        <v>1068</v>
      </c>
      <c r="G11758" t="s">
        <v>1083</v>
      </c>
      <c r="H11758" s="170">
        <v>-9.0960740158732898E-5</v>
      </c>
      <c r="I11758" t="s">
        <v>1084</v>
      </c>
      <c r="J11758">
        <v>7.6</v>
      </c>
    </row>
    <row r="11759" spans="1:10" hidden="1">
      <c r="A11759" t="s">
        <v>6795</v>
      </c>
      <c r="B11759" t="s">
        <v>6796</v>
      </c>
      <c r="C11759" t="s">
        <v>5111</v>
      </c>
      <c r="D11759" t="s">
        <v>1633</v>
      </c>
      <c r="E11759" t="s">
        <v>559</v>
      </c>
      <c r="F11759" t="s">
        <v>1068</v>
      </c>
      <c r="G11759" t="s">
        <v>1085</v>
      </c>
      <c r="H11759">
        <v>-8.14905864286209E-4</v>
      </c>
      <c r="I11759" t="s">
        <v>1086</v>
      </c>
      <c r="J11759">
        <v>7.6</v>
      </c>
    </row>
    <row r="11760" spans="1:10" hidden="1">
      <c r="A11760" t="s">
        <v>6795</v>
      </c>
      <c r="B11760" t="s">
        <v>6796</v>
      </c>
      <c r="C11760" t="s">
        <v>5111</v>
      </c>
      <c r="D11760" t="s">
        <v>1633</v>
      </c>
      <c r="E11760" t="s">
        <v>559</v>
      </c>
      <c r="F11760" t="s">
        <v>1068</v>
      </c>
      <c r="G11760" t="s">
        <v>1087</v>
      </c>
      <c r="H11760" s="170">
        <v>-5.8418023748261602E-7</v>
      </c>
      <c r="I11760" t="s">
        <v>1088</v>
      </c>
      <c r="J11760">
        <v>7.6</v>
      </c>
    </row>
    <row r="11761" spans="1:10" hidden="1">
      <c r="A11761" t="s">
        <v>6795</v>
      </c>
      <c r="B11761" t="s">
        <v>6796</v>
      </c>
      <c r="C11761" t="s">
        <v>5111</v>
      </c>
      <c r="D11761" t="s">
        <v>1633</v>
      </c>
      <c r="E11761" t="s">
        <v>559</v>
      </c>
      <c r="F11761" t="s">
        <v>1068</v>
      </c>
      <c r="G11761" t="s">
        <v>1089</v>
      </c>
      <c r="H11761">
        <v>-1.3282130680806201E-4</v>
      </c>
      <c r="I11761" t="s">
        <v>1090</v>
      </c>
      <c r="J11761">
        <v>7.6</v>
      </c>
    </row>
    <row r="11762" spans="1:10" hidden="1">
      <c r="A11762" t="s">
        <v>6797</v>
      </c>
      <c r="B11762" t="s">
        <v>6798</v>
      </c>
      <c r="C11762" t="s">
        <v>5111</v>
      </c>
      <c r="D11762" t="s">
        <v>1633</v>
      </c>
      <c r="E11762" t="s">
        <v>560</v>
      </c>
      <c r="F11762" t="s">
        <v>1068</v>
      </c>
      <c r="G11762" t="s">
        <v>1069</v>
      </c>
      <c r="H11762">
        <v>-0.65727480996526</v>
      </c>
      <c r="I11762" t="s">
        <v>1070</v>
      </c>
      <c r="J11762">
        <v>8.4</v>
      </c>
    </row>
    <row r="11763" spans="1:10" hidden="1">
      <c r="A11763" t="s">
        <v>6797</v>
      </c>
      <c r="B11763" t="s">
        <v>6798</v>
      </c>
      <c r="C11763" t="s">
        <v>5111</v>
      </c>
      <c r="D11763" t="s">
        <v>1633</v>
      </c>
      <c r="E11763" t="s">
        <v>560</v>
      </c>
      <c r="F11763" t="s">
        <v>1068</v>
      </c>
      <c r="G11763" t="s">
        <v>1071</v>
      </c>
      <c r="H11763" s="170">
        <v>-6.44340494620467E-10</v>
      </c>
      <c r="I11763" t="s">
        <v>1072</v>
      </c>
      <c r="J11763">
        <v>8.4</v>
      </c>
    </row>
    <row r="11764" spans="1:10" hidden="1">
      <c r="A11764" t="s">
        <v>6797</v>
      </c>
      <c r="B11764" t="s">
        <v>6798</v>
      </c>
      <c r="C11764" t="s">
        <v>5111</v>
      </c>
      <c r="D11764" t="s">
        <v>1633</v>
      </c>
      <c r="E11764" t="s">
        <v>560</v>
      </c>
      <c r="F11764" t="s">
        <v>1068</v>
      </c>
      <c r="G11764" t="s">
        <v>1073</v>
      </c>
      <c r="H11764" s="170">
        <v>-2.2879518477650201E-7</v>
      </c>
      <c r="I11764" t="s">
        <v>1074</v>
      </c>
      <c r="J11764">
        <v>8.4</v>
      </c>
    </row>
    <row r="11765" spans="1:10" hidden="1">
      <c r="A11765" t="s">
        <v>6797</v>
      </c>
      <c r="B11765" t="s">
        <v>6798</v>
      </c>
      <c r="C11765" t="s">
        <v>5111</v>
      </c>
      <c r="D11765" t="s">
        <v>1633</v>
      </c>
      <c r="E11765" t="s">
        <v>560</v>
      </c>
      <c r="F11765" t="s">
        <v>1068</v>
      </c>
      <c r="G11765" t="s">
        <v>1075</v>
      </c>
      <c r="H11765">
        <v>-1.1368628533792099E-2</v>
      </c>
      <c r="I11765" t="s">
        <v>1077</v>
      </c>
      <c r="J11765">
        <v>8.4</v>
      </c>
    </row>
    <row r="11766" spans="1:10" hidden="1">
      <c r="A11766" t="s">
        <v>6797</v>
      </c>
      <c r="B11766" t="s">
        <v>6798</v>
      </c>
      <c r="C11766" t="s">
        <v>5111</v>
      </c>
      <c r="D11766" t="s">
        <v>1633</v>
      </c>
      <c r="E11766" t="s">
        <v>560</v>
      </c>
      <c r="F11766" t="s">
        <v>1068</v>
      </c>
      <c r="G11766" t="s">
        <v>1078</v>
      </c>
      <c r="H11766">
        <v>-0.93480761976751403</v>
      </c>
      <c r="I11766" t="s">
        <v>1079</v>
      </c>
      <c r="J11766">
        <v>8.4</v>
      </c>
    </row>
    <row r="11767" spans="1:10" hidden="1">
      <c r="A11767" t="s">
        <v>6797</v>
      </c>
      <c r="B11767" t="s">
        <v>6798</v>
      </c>
      <c r="C11767" t="s">
        <v>5111</v>
      </c>
      <c r="D11767" t="s">
        <v>1633</v>
      </c>
      <c r="E11767" t="s">
        <v>560</v>
      </c>
      <c r="F11767" t="s">
        <v>1068</v>
      </c>
      <c r="G11767" t="s">
        <v>1080</v>
      </c>
      <c r="H11767" s="170">
        <v>-3.7264969447150101E-9</v>
      </c>
      <c r="I11767" t="s">
        <v>1082</v>
      </c>
      <c r="J11767">
        <v>8.4</v>
      </c>
    </row>
    <row r="11768" spans="1:10" hidden="1">
      <c r="A11768" t="s">
        <v>6797</v>
      </c>
      <c r="B11768" t="s">
        <v>6798</v>
      </c>
      <c r="C11768" t="s">
        <v>5111</v>
      </c>
      <c r="D11768" t="s">
        <v>1633</v>
      </c>
      <c r="E11768" t="s">
        <v>560</v>
      </c>
      <c r="F11768" t="s">
        <v>1068</v>
      </c>
      <c r="G11768" t="s">
        <v>1083</v>
      </c>
      <c r="H11768" s="170">
        <v>-8.9758842822934996E-5</v>
      </c>
      <c r="I11768" t="s">
        <v>1084</v>
      </c>
      <c r="J11768">
        <v>8.4</v>
      </c>
    </row>
    <row r="11769" spans="1:10" hidden="1">
      <c r="A11769" t="s">
        <v>6797</v>
      </c>
      <c r="B11769" t="s">
        <v>6798</v>
      </c>
      <c r="C11769" t="s">
        <v>5111</v>
      </c>
      <c r="D11769" t="s">
        <v>1633</v>
      </c>
      <c r="E11769" t="s">
        <v>560</v>
      </c>
      <c r="F11769" t="s">
        <v>1068</v>
      </c>
      <c r="G11769" t="s">
        <v>1085</v>
      </c>
      <c r="H11769">
        <v>-8.0132198509974605E-4</v>
      </c>
      <c r="I11769" t="s">
        <v>1086</v>
      </c>
      <c r="J11769">
        <v>8.4</v>
      </c>
    </row>
    <row r="11770" spans="1:10" hidden="1">
      <c r="A11770" t="s">
        <v>6797</v>
      </c>
      <c r="B11770" t="s">
        <v>6798</v>
      </c>
      <c r="C11770" t="s">
        <v>5111</v>
      </c>
      <c r="D11770" t="s">
        <v>1633</v>
      </c>
      <c r="E11770" t="s">
        <v>560</v>
      </c>
      <c r="F11770" t="s">
        <v>1068</v>
      </c>
      <c r="G11770" t="s">
        <v>1087</v>
      </c>
      <c r="H11770" s="170">
        <v>-5.7762459531742798E-7</v>
      </c>
      <c r="I11770" t="s">
        <v>1088</v>
      </c>
      <c r="J11770">
        <v>8.4</v>
      </c>
    </row>
    <row r="11771" spans="1:10" hidden="1">
      <c r="A11771" t="s">
        <v>6797</v>
      </c>
      <c r="B11771" t="s">
        <v>6798</v>
      </c>
      <c r="C11771" t="s">
        <v>5111</v>
      </c>
      <c r="D11771" t="s">
        <v>1633</v>
      </c>
      <c r="E11771" t="s">
        <v>560</v>
      </c>
      <c r="F11771" t="s">
        <v>1068</v>
      </c>
      <c r="G11771" t="s">
        <v>1089</v>
      </c>
      <c r="H11771">
        <v>-1.3001897937813599E-4</v>
      </c>
      <c r="I11771" t="s">
        <v>1090</v>
      </c>
      <c r="J11771">
        <v>8.4</v>
      </c>
    </row>
    <row r="11772" spans="1:10" hidden="1">
      <c r="A11772" t="s">
        <v>6799</v>
      </c>
      <c r="B11772" t="s">
        <v>6800</v>
      </c>
      <c r="C11772" t="s">
        <v>5111</v>
      </c>
      <c r="D11772" t="s">
        <v>1633</v>
      </c>
      <c r="E11772" t="s">
        <v>1116</v>
      </c>
      <c r="F11772" t="s">
        <v>1068</v>
      </c>
      <c r="G11772" t="s">
        <v>1069</v>
      </c>
      <c r="H11772">
        <v>-0.61084150215767496</v>
      </c>
      <c r="I11772" t="s">
        <v>1070</v>
      </c>
      <c r="J11772">
        <v>8.41</v>
      </c>
    </row>
    <row r="11773" spans="1:10" hidden="1">
      <c r="A11773" t="s">
        <v>6799</v>
      </c>
      <c r="B11773" t="s">
        <v>6800</v>
      </c>
      <c r="C11773" t="s">
        <v>5111</v>
      </c>
      <c r="D11773" t="s">
        <v>1633</v>
      </c>
      <c r="E11773" t="s">
        <v>1116</v>
      </c>
      <c r="F11773" t="s">
        <v>1068</v>
      </c>
      <c r="G11773" t="s">
        <v>1071</v>
      </c>
      <c r="H11773" s="170">
        <v>-5.7789390288142996E-10</v>
      </c>
      <c r="I11773" t="s">
        <v>1072</v>
      </c>
      <c r="J11773">
        <v>8.41</v>
      </c>
    </row>
    <row r="11774" spans="1:10" hidden="1">
      <c r="A11774" t="s">
        <v>6799</v>
      </c>
      <c r="B11774" t="s">
        <v>6800</v>
      </c>
      <c r="C11774" t="s">
        <v>5111</v>
      </c>
      <c r="D11774" t="s">
        <v>1633</v>
      </c>
      <c r="E11774" t="s">
        <v>1116</v>
      </c>
      <c r="F11774" t="s">
        <v>1068</v>
      </c>
      <c r="G11774" t="s">
        <v>1073</v>
      </c>
      <c r="H11774" s="170">
        <v>-2.12301926919316E-7</v>
      </c>
      <c r="I11774" t="s">
        <v>1074</v>
      </c>
      <c r="J11774">
        <v>8.41</v>
      </c>
    </row>
    <row r="11775" spans="1:10" hidden="1">
      <c r="A11775" t="s">
        <v>6799</v>
      </c>
      <c r="B11775" t="s">
        <v>6800</v>
      </c>
      <c r="C11775" t="s">
        <v>5111</v>
      </c>
      <c r="D11775" t="s">
        <v>1633</v>
      </c>
      <c r="E11775" t="s">
        <v>1116</v>
      </c>
      <c r="F11775" t="s">
        <v>1068</v>
      </c>
      <c r="G11775" t="s">
        <v>1075</v>
      </c>
      <c r="H11775">
        <v>-9.9008220707091296E-3</v>
      </c>
      <c r="I11775" t="s">
        <v>1077</v>
      </c>
      <c r="J11775">
        <v>8.41</v>
      </c>
    </row>
    <row r="11776" spans="1:10" hidden="1">
      <c r="A11776" t="s">
        <v>6799</v>
      </c>
      <c r="B11776" t="s">
        <v>6800</v>
      </c>
      <c r="C11776" t="s">
        <v>5111</v>
      </c>
      <c r="D11776" t="s">
        <v>1633</v>
      </c>
      <c r="E11776" t="s">
        <v>1116</v>
      </c>
      <c r="F11776" t="s">
        <v>1068</v>
      </c>
      <c r="G11776" t="s">
        <v>1078</v>
      </c>
      <c r="H11776">
        <v>-0.87133400639587</v>
      </c>
      <c r="I11776" t="s">
        <v>1079</v>
      </c>
      <c r="J11776">
        <v>8.41</v>
      </c>
    </row>
    <row r="11777" spans="1:10" hidden="1">
      <c r="A11777" t="s">
        <v>6799</v>
      </c>
      <c r="B11777" t="s">
        <v>6800</v>
      </c>
      <c r="C11777" t="s">
        <v>5111</v>
      </c>
      <c r="D11777" t="s">
        <v>1633</v>
      </c>
      <c r="E11777" t="s">
        <v>1116</v>
      </c>
      <c r="F11777" t="s">
        <v>1068</v>
      </c>
      <c r="G11777" t="s">
        <v>1080</v>
      </c>
      <c r="H11777" s="170">
        <v>-3.4683908530956801E-9</v>
      </c>
      <c r="I11777" t="s">
        <v>1082</v>
      </c>
      <c r="J11777">
        <v>8.41</v>
      </c>
    </row>
    <row r="11778" spans="1:10" hidden="1">
      <c r="A11778" t="s">
        <v>6799</v>
      </c>
      <c r="B11778" t="s">
        <v>6800</v>
      </c>
      <c r="C11778" t="s">
        <v>5111</v>
      </c>
      <c r="D11778" t="s">
        <v>1633</v>
      </c>
      <c r="E11778" t="s">
        <v>1116</v>
      </c>
      <c r="F11778" t="s">
        <v>1068</v>
      </c>
      <c r="G11778" t="s">
        <v>1083</v>
      </c>
      <c r="H11778" s="170">
        <v>-8.2700949972496803E-5</v>
      </c>
      <c r="I11778" t="s">
        <v>1084</v>
      </c>
      <c r="J11778">
        <v>8.41</v>
      </c>
    </row>
    <row r="11779" spans="1:10" hidden="1">
      <c r="A11779" t="s">
        <v>6799</v>
      </c>
      <c r="B11779" t="s">
        <v>6800</v>
      </c>
      <c r="C11779" t="s">
        <v>5111</v>
      </c>
      <c r="D11779" t="s">
        <v>1633</v>
      </c>
      <c r="E11779" t="s">
        <v>1116</v>
      </c>
      <c r="F11779" t="s">
        <v>1068</v>
      </c>
      <c r="G11779" t="s">
        <v>1085</v>
      </c>
      <c r="H11779">
        <v>-7.2155347137993302E-4</v>
      </c>
      <c r="I11779" t="s">
        <v>1086</v>
      </c>
      <c r="J11779">
        <v>8.41</v>
      </c>
    </row>
    <row r="11780" spans="1:10" hidden="1">
      <c r="A11780" t="s">
        <v>6799</v>
      </c>
      <c r="B11780" t="s">
        <v>6800</v>
      </c>
      <c r="C11780" t="s">
        <v>5111</v>
      </c>
      <c r="D11780" t="s">
        <v>1633</v>
      </c>
      <c r="E11780" t="s">
        <v>1116</v>
      </c>
      <c r="F11780" t="s">
        <v>1068</v>
      </c>
      <c r="G11780" t="s">
        <v>1087</v>
      </c>
      <c r="H11780" s="170">
        <v>-5.3912794637202502E-7</v>
      </c>
      <c r="I11780" t="s">
        <v>1088</v>
      </c>
      <c r="J11780">
        <v>8.41</v>
      </c>
    </row>
    <row r="11781" spans="1:10" hidden="1">
      <c r="A11781" t="s">
        <v>6799</v>
      </c>
      <c r="B11781" t="s">
        <v>6800</v>
      </c>
      <c r="C11781" t="s">
        <v>5111</v>
      </c>
      <c r="D11781" t="s">
        <v>1633</v>
      </c>
      <c r="E11781" t="s">
        <v>1116</v>
      </c>
      <c r="F11781" t="s">
        <v>1068</v>
      </c>
      <c r="G11781" t="s">
        <v>1089</v>
      </c>
      <c r="H11781">
        <v>-1.1356289251950001E-4</v>
      </c>
      <c r="I11781" t="s">
        <v>1090</v>
      </c>
      <c r="J11781">
        <v>8.41</v>
      </c>
    </row>
    <row r="11782" spans="1:10" hidden="1">
      <c r="A11782" t="s">
        <v>6801</v>
      </c>
      <c r="B11782" t="s">
        <v>6802</v>
      </c>
      <c r="C11782" t="s">
        <v>5111</v>
      </c>
      <c r="D11782" t="s">
        <v>1673</v>
      </c>
      <c r="E11782" t="s">
        <v>561</v>
      </c>
      <c r="F11782" t="s">
        <v>1068</v>
      </c>
      <c r="G11782" t="s">
        <v>1069</v>
      </c>
      <c r="H11782">
        <v>-0.11139225736512</v>
      </c>
      <c r="I11782" t="s">
        <v>1070</v>
      </c>
      <c r="J11782">
        <v>8.43</v>
      </c>
    </row>
    <row r="11783" spans="1:10" hidden="1">
      <c r="A11783" t="s">
        <v>6801</v>
      </c>
      <c r="B11783" t="s">
        <v>6802</v>
      </c>
      <c r="C11783" t="s">
        <v>5111</v>
      </c>
      <c r="D11783" t="s">
        <v>1673</v>
      </c>
      <c r="E11783" t="s">
        <v>561</v>
      </c>
      <c r="F11783" t="s">
        <v>1068</v>
      </c>
      <c r="G11783" t="s">
        <v>1071</v>
      </c>
      <c r="H11783" s="170">
        <v>-3.1632492514947502E-11</v>
      </c>
      <c r="I11783" t="s">
        <v>1072</v>
      </c>
      <c r="J11783">
        <v>8.43</v>
      </c>
    </row>
    <row r="11784" spans="1:10" hidden="1">
      <c r="A11784" t="s">
        <v>6801</v>
      </c>
      <c r="B11784" t="s">
        <v>6802</v>
      </c>
      <c r="C11784" t="s">
        <v>5111</v>
      </c>
      <c r="D11784" t="s">
        <v>1673</v>
      </c>
      <c r="E11784" t="s">
        <v>561</v>
      </c>
      <c r="F11784" t="s">
        <v>1068</v>
      </c>
      <c r="G11784" t="s">
        <v>1073</v>
      </c>
      <c r="H11784" s="170">
        <v>-3.5828391008068099E-8</v>
      </c>
      <c r="I11784" t="s">
        <v>1074</v>
      </c>
      <c r="J11784">
        <v>8.43</v>
      </c>
    </row>
    <row r="11785" spans="1:10" hidden="1">
      <c r="A11785" t="s">
        <v>6801</v>
      </c>
      <c r="B11785" t="s">
        <v>6802</v>
      </c>
      <c r="C11785" t="s">
        <v>5111</v>
      </c>
      <c r="D11785" t="s">
        <v>1673</v>
      </c>
      <c r="E11785" t="s">
        <v>561</v>
      </c>
      <c r="F11785" t="s">
        <v>1068</v>
      </c>
      <c r="G11785" t="s">
        <v>1075</v>
      </c>
      <c r="H11785">
        <v>-5.6313585625370995E-4</v>
      </c>
      <c r="I11785" t="s">
        <v>1077</v>
      </c>
      <c r="J11785">
        <v>8.43</v>
      </c>
    </row>
    <row r="11786" spans="1:10" hidden="1">
      <c r="A11786" t="s">
        <v>6801</v>
      </c>
      <c r="B11786" t="s">
        <v>6802</v>
      </c>
      <c r="C11786" t="s">
        <v>5111</v>
      </c>
      <c r="D11786" t="s">
        <v>1673</v>
      </c>
      <c r="E11786" t="s">
        <v>561</v>
      </c>
      <c r="F11786" t="s">
        <v>1068</v>
      </c>
      <c r="G11786" t="s">
        <v>1078</v>
      </c>
      <c r="H11786">
        <v>-0.19226620329942801</v>
      </c>
      <c r="I11786" t="s">
        <v>1079</v>
      </c>
      <c r="J11786">
        <v>8.43</v>
      </c>
    </row>
    <row r="11787" spans="1:10" hidden="1">
      <c r="A11787" t="s">
        <v>6801</v>
      </c>
      <c r="B11787" t="s">
        <v>6802</v>
      </c>
      <c r="C11787" t="s">
        <v>5111</v>
      </c>
      <c r="D11787" t="s">
        <v>1673</v>
      </c>
      <c r="E11787" t="s">
        <v>561</v>
      </c>
      <c r="F11787" t="s">
        <v>1068</v>
      </c>
      <c r="G11787" t="s">
        <v>1080</v>
      </c>
      <c r="H11787" s="170">
        <v>-6.9295943142454501E-10</v>
      </c>
      <c r="I11787" t="s">
        <v>1082</v>
      </c>
      <c r="J11787">
        <v>8.43</v>
      </c>
    </row>
    <row r="11788" spans="1:10" hidden="1">
      <c r="A11788" t="s">
        <v>6801</v>
      </c>
      <c r="B11788" t="s">
        <v>6802</v>
      </c>
      <c r="C11788" t="s">
        <v>5111</v>
      </c>
      <c r="D11788" t="s">
        <v>1673</v>
      </c>
      <c r="E11788" t="s">
        <v>561</v>
      </c>
      <c r="F11788" t="s">
        <v>1068</v>
      </c>
      <c r="G11788" t="s">
        <v>1083</v>
      </c>
      <c r="H11788" s="170">
        <v>-1.59394523938346E-5</v>
      </c>
      <c r="I11788" t="s">
        <v>1084</v>
      </c>
      <c r="J11788">
        <v>8.43</v>
      </c>
    </row>
    <row r="11789" spans="1:10" hidden="1">
      <c r="A11789" t="s">
        <v>6801</v>
      </c>
      <c r="B11789" t="s">
        <v>6802</v>
      </c>
      <c r="C11789" t="s">
        <v>5111</v>
      </c>
      <c r="D11789" t="s">
        <v>1673</v>
      </c>
      <c r="E11789" t="s">
        <v>561</v>
      </c>
      <c r="F11789" t="s">
        <v>1068</v>
      </c>
      <c r="G11789" t="s">
        <v>1085</v>
      </c>
      <c r="H11789" s="170">
        <v>-8.8476467980863599E-5</v>
      </c>
      <c r="I11789" t="s">
        <v>1086</v>
      </c>
      <c r="J11789">
        <v>8.43</v>
      </c>
    </row>
    <row r="11790" spans="1:10" hidden="1">
      <c r="A11790" t="s">
        <v>6801</v>
      </c>
      <c r="B11790" t="s">
        <v>6802</v>
      </c>
      <c r="C11790" t="s">
        <v>5111</v>
      </c>
      <c r="D11790" t="s">
        <v>1673</v>
      </c>
      <c r="E11790" t="s">
        <v>561</v>
      </c>
      <c r="F11790" t="s">
        <v>1068</v>
      </c>
      <c r="G11790" t="s">
        <v>1087</v>
      </c>
      <c r="H11790" s="170">
        <v>-1.25978610386658E-7</v>
      </c>
      <c r="I11790" t="s">
        <v>1088</v>
      </c>
      <c r="J11790">
        <v>8.43</v>
      </c>
    </row>
    <row r="11791" spans="1:10" hidden="1">
      <c r="A11791" t="s">
        <v>6801</v>
      </c>
      <c r="B11791" t="s">
        <v>6802</v>
      </c>
      <c r="C11791" t="s">
        <v>5111</v>
      </c>
      <c r="D11791" t="s">
        <v>1673</v>
      </c>
      <c r="E11791" t="s">
        <v>561</v>
      </c>
      <c r="F11791" t="s">
        <v>1068</v>
      </c>
      <c r="G11791" t="s">
        <v>1089</v>
      </c>
      <c r="H11791" s="170">
        <v>-8.3472134646236797E-6</v>
      </c>
      <c r="I11791" t="s">
        <v>1090</v>
      </c>
      <c r="J11791">
        <v>8.43</v>
      </c>
    </row>
    <row r="11792" spans="1:10" hidden="1">
      <c r="A11792" t="s">
        <v>6803</v>
      </c>
      <c r="B11792" t="s">
        <v>6804</v>
      </c>
      <c r="C11792" t="s">
        <v>5111</v>
      </c>
      <c r="D11792" t="s">
        <v>1673</v>
      </c>
      <c r="E11792" t="s">
        <v>555</v>
      </c>
      <c r="F11792" t="s">
        <v>1068</v>
      </c>
      <c r="G11792" t="s">
        <v>1069</v>
      </c>
      <c r="H11792">
        <v>-0.130153933386361</v>
      </c>
      <c r="I11792" t="s">
        <v>1070</v>
      </c>
      <c r="J11792">
        <v>9.18</v>
      </c>
    </row>
    <row r="11793" spans="1:10" hidden="1">
      <c r="A11793" t="s">
        <v>6803</v>
      </c>
      <c r="B11793" t="s">
        <v>6804</v>
      </c>
      <c r="C11793" t="s">
        <v>5111</v>
      </c>
      <c r="D11793" t="s">
        <v>1673</v>
      </c>
      <c r="E11793" t="s">
        <v>555</v>
      </c>
      <c r="F11793" t="s">
        <v>1068</v>
      </c>
      <c r="G11793" t="s">
        <v>1071</v>
      </c>
      <c r="H11793" s="170">
        <v>-5.8480625459334499E-11</v>
      </c>
      <c r="I11793" t="s">
        <v>1072</v>
      </c>
      <c r="J11793">
        <v>9.18</v>
      </c>
    </row>
    <row r="11794" spans="1:10" hidden="1">
      <c r="A11794" t="s">
        <v>6803</v>
      </c>
      <c r="B11794" t="s">
        <v>6804</v>
      </c>
      <c r="C11794" t="s">
        <v>5111</v>
      </c>
      <c r="D11794" t="s">
        <v>1673</v>
      </c>
      <c r="E11794" t="s">
        <v>555</v>
      </c>
      <c r="F11794" t="s">
        <v>1068</v>
      </c>
      <c r="G11794" t="s">
        <v>1073</v>
      </c>
      <c r="H11794" s="170">
        <v>-4.2492758441878597E-8</v>
      </c>
      <c r="I11794" t="s">
        <v>1074</v>
      </c>
      <c r="J11794">
        <v>9.18</v>
      </c>
    </row>
    <row r="11795" spans="1:10" hidden="1">
      <c r="A11795" t="s">
        <v>6803</v>
      </c>
      <c r="B11795" t="s">
        <v>6804</v>
      </c>
      <c r="C11795" t="s">
        <v>5111</v>
      </c>
      <c r="D11795" t="s">
        <v>1673</v>
      </c>
      <c r="E11795" t="s">
        <v>555</v>
      </c>
      <c r="F11795" t="s">
        <v>1068</v>
      </c>
      <c r="G11795" t="s">
        <v>1075</v>
      </c>
      <c r="H11795">
        <v>-1.1562301558927901E-3</v>
      </c>
      <c r="I11795" t="s">
        <v>1077</v>
      </c>
      <c r="J11795">
        <v>9.18</v>
      </c>
    </row>
    <row r="11796" spans="1:10" hidden="1">
      <c r="A11796" t="s">
        <v>6803</v>
      </c>
      <c r="B11796" t="s">
        <v>6804</v>
      </c>
      <c r="C11796" t="s">
        <v>5111</v>
      </c>
      <c r="D11796" t="s">
        <v>1673</v>
      </c>
      <c r="E11796" t="s">
        <v>555</v>
      </c>
      <c r="F11796" t="s">
        <v>1068</v>
      </c>
      <c r="G11796" t="s">
        <v>1078</v>
      </c>
      <c r="H11796">
        <v>-0.21791388891459801</v>
      </c>
      <c r="I11796" t="s">
        <v>1079</v>
      </c>
      <c r="J11796">
        <v>9.18</v>
      </c>
    </row>
    <row r="11797" spans="1:10" hidden="1">
      <c r="A11797" t="s">
        <v>6803</v>
      </c>
      <c r="B11797" t="s">
        <v>6804</v>
      </c>
      <c r="C11797" t="s">
        <v>5111</v>
      </c>
      <c r="D11797" t="s">
        <v>1673</v>
      </c>
      <c r="E11797" t="s">
        <v>555</v>
      </c>
      <c r="F11797" t="s">
        <v>1068</v>
      </c>
      <c r="G11797" t="s">
        <v>1080</v>
      </c>
      <c r="H11797" s="170">
        <v>-7.9725196291264703E-10</v>
      </c>
      <c r="I11797" t="s">
        <v>1082</v>
      </c>
      <c r="J11797">
        <v>9.18</v>
      </c>
    </row>
    <row r="11798" spans="1:10" hidden="1">
      <c r="A11798" t="s">
        <v>6803</v>
      </c>
      <c r="B11798" t="s">
        <v>6804</v>
      </c>
      <c r="C11798" t="s">
        <v>5111</v>
      </c>
      <c r="D11798" t="s">
        <v>1673</v>
      </c>
      <c r="E11798" t="s">
        <v>555</v>
      </c>
      <c r="F11798" t="s">
        <v>1068</v>
      </c>
      <c r="G11798" t="s">
        <v>1083</v>
      </c>
      <c r="H11798" s="170">
        <v>-1.8791324335390502E-5</v>
      </c>
      <c r="I11798" t="s">
        <v>1084</v>
      </c>
      <c r="J11798">
        <v>9.18</v>
      </c>
    </row>
    <row r="11799" spans="1:10" hidden="1">
      <c r="A11799" t="s">
        <v>6803</v>
      </c>
      <c r="B11799" t="s">
        <v>6804</v>
      </c>
      <c r="C11799" t="s">
        <v>5111</v>
      </c>
      <c r="D11799" t="s">
        <v>1673</v>
      </c>
      <c r="E11799" t="s">
        <v>555</v>
      </c>
      <c r="F11799" t="s">
        <v>1068</v>
      </c>
      <c r="G11799" t="s">
        <v>1085</v>
      </c>
      <c r="H11799">
        <v>-1.20708408937805E-4</v>
      </c>
      <c r="I11799" t="s">
        <v>1086</v>
      </c>
      <c r="J11799">
        <v>9.18</v>
      </c>
    </row>
    <row r="11800" spans="1:10" hidden="1">
      <c r="A11800" t="s">
        <v>6803</v>
      </c>
      <c r="B11800" t="s">
        <v>6804</v>
      </c>
      <c r="C11800" t="s">
        <v>5111</v>
      </c>
      <c r="D11800" t="s">
        <v>1673</v>
      </c>
      <c r="E11800" t="s">
        <v>555</v>
      </c>
      <c r="F11800" t="s">
        <v>1068</v>
      </c>
      <c r="G11800" t="s">
        <v>1087</v>
      </c>
      <c r="H11800" s="170">
        <v>-1.4153389232795301E-7</v>
      </c>
      <c r="I11800" t="s">
        <v>1088</v>
      </c>
      <c r="J11800">
        <v>9.18</v>
      </c>
    </row>
    <row r="11801" spans="1:10" hidden="1">
      <c r="A11801" t="s">
        <v>6803</v>
      </c>
      <c r="B11801" t="s">
        <v>6804</v>
      </c>
      <c r="C11801" t="s">
        <v>5111</v>
      </c>
      <c r="D11801" t="s">
        <v>1673</v>
      </c>
      <c r="E11801" t="s">
        <v>555</v>
      </c>
      <c r="F11801" t="s">
        <v>1068</v>
      </c>
      <c r="G11801" t="s">
        <v>1089</v>
      </c>
      <c r="H11801" s="170">
        <v>-1.4996599204083001E-5</v>
      </c>
      <c r="I11801" t="s">
        <v>1090</v>
      </c>
      <c r="J11801">
        <v>9.18</v>
      </c>
    </row>
    <row r="11802" spans="1:10" hidden="1">
      <c r="A11802" t="s">
        <v>6805</v>
      </c>
      <c r="B11802" t="s">
        <v>6806</v>
      </c>
      <c r="C11802" t="s">
        <v>5111</v>
      </c>
      <c r="D11802" t="s">
        <v>1673</v>
      </c>
      <c r="E11802" t="s">
        <v>558</v>
      </c>
      <c r="F11802" t="s">
        <v>1068</v>
      </c>
      <c r="G11802" t="s">
        <v>1069</v>
      </c>
      <c r="H11802">
        <v>-0.10973101197886299</v>
      </c>
      <c r="I11802" t="s">
        <v>1070</v>
      </c>
      <c r="J11802">
        <v>9.2799999999999994</v>
      </c>
    </row>
    <row r="11803" spans="1:10" hidden="1">
      <c r="A11803" t="s">
        <v>6805</v>
      </c>
      <c r="B11803" t="s">
        <v>6806</v>
      </c>
      <c r="C11803" t="s">
        <v>5111</v>
      </c>
      <c r="D11803" t="s">
        <v>1673</v>
      </c>
      <c r="E11803" t="s">
        <v>558</v>
      </c>
      <c r="F11803" t="s">
        <v>1068</v>
      </c>
      <c r="G11803" t="s">
        <v>1071</v>
      </c>
      <c r="H11803" s="170">
        <v>-2.92552314674181E-11</v>
      </c>
      <c r="I11803" t="s">
        <v>1072</v>
      </c>
      <c r="J11803">
        <v>9.2799999999999994</v>
      </c>
    </row>
    <row r="11804" spans="1:10" hidden="1">
      <c r="A11804" t="s">
        <v>6805</v>
      </c>
      <c r="B11804" t="s">
        <v>6806</v>
      </c>
      <c r="C11804" t="s">
        <v>5111</v>
      </c>
      <c r="D11804" t="s">
        <v>1673</v>
      </c>
      <c r="E11804" t="s">
        <v>558</v>
      </c>
      <c r="F11804" t="s">
        <v>1068</v>
      </c>
      <c r="G11804" t="s">
        <v>1073</v>
      </c>
      <c r="H11804" s="170">
        <v>-3.5238311390369299E-8</v>
      </c>
      <c r="I11804" t="s">
        <v>1074</v>
      </c>
      <c r="J11804">
        <v>9.2799999999999994</v>
      </c>
    </row>
    <row r="11805" spans="1:10" hidden="1">
      <c r="A11805" t="s">
        <v>6805</v>
      </c>
      <c r="B11805" t="s">
        <v>6806</v>
      </c>
      <c r="C11805" t="s">
        <v>5111</v>
      </c>
      <c r="D11805" t="s">
        <v>1673</v>
      </c>
      <c r="E11805" t="s">
        <v>558</v>
      </c>
      <c r="F11805" t="s">
        <v>1068</v>
      </c>
      <c r="G11805" t="s">
        <v>1075</v>
      </c>
      <c r="H11805">
        <v>-5.1062211493636605E-4</v>
      </c>
      <c r="I11805" t="s">
        <v>1077</v>
      </c>
      <c r="J11805">
        <v>9.2799999999999994</v>
      </c>
    </row>
    <row r="11806" spans="1:10" hidden="1">
      <c r="A11806" t="s">
        <v>6805</v>
      </c>
      <c r="B11806" t="s">
        <v>6806</v>
      </c>
      <c r="C11806" t="s">
        <v>5111</v>
      </c>
      <c r="D11806" t="s">
        <v>1673</v>
      </c>
      <c r="E11806" t="s">
        <v>558</v>
      </c>
      <c r="F11806" t="s">
        <v>1068</v>
      </c>
      <c r="G11806" t="s">
        <v>1078</v>
      </c>
      <c r="H11806">
        <v>-0.189995306558672</v>
      </c>
      <c r="I11806" t="s">
        <v>1079</v>
      </c>
      <c r="J11806">
        <v>9.2799999999999994</v>
      </c>
    </row>
    <row r="11807" spans="1:10" hidden="1">
      <c r="A11807" t="s">
        <v>6805</v>
      </c>
      <c r="B11807" t="s">
        <v>6806</v>
      </c>
      <c r="C11807" t="s">
        <v>5111</v>
      </c>
      <c r="D11807" t="s">
        <v>1673</v>
      </c>
      <c r="E11807" t="s">
        <v>558</v>
      </c>
      <c r="F11807" t="s">
        <v>1068</v>
      </c>
      <c r="G11807" t="s">
        <v>1080</v>
      </c>
      <c r="H11807" s="170">
        <v>-6.8372516459943897E-10</v>
      </c>
      <c r="I11807" t="s">
        <v>1082</v>
      </c>
      <c r="J11807">
        <v>9.2799999999999994</v>
      </c>
    </row>
    <row r="11808" spans="1:10" hidden="1">
      <c r="A11808" t="s">
        <v>6805</v>
      </c>
      <c r="B11808" t="s">
        <v>6806</v>
      </c>
      <c r="C11808" t="s">
        <v>5111</v>
      </c>
      <c r="D11808" t="s">
        <v>1673</v>
      </c>
      <c r="E11808" t="s">
        <v>558</v>
      </c>
      <c r="F11808" t="s">
        <v>1068</v>
      </c>
      <c r="G11808" t="s">
        <v>1083</v>
      </c>
      <c r="H11808" s="170">
        <v>-1.5686942019534401E-5</v>
      </c>
      <c r="I11808" t="s">
        <v>1084</v>
      </c>
      <c r="J11808">
        <v>9.2799999999999994</v>
      </c>
    </row>
    <row r="11809" spans="1:10" hidden="1">
      <c r="A11809" t="s">
        <v>6805</v>
      </c>
      <c r="B11809" t="s">
        <v>6806</v>
      </c>
      <c r="C11809" t="s">
        <v>5111</v>
      </c>
      <c r="D11809" t="s">
        <v>1673</v>
      </c>
      <c r="E11809" t="s">
        <v>558</v>
      </c>
      <c r="F11809" t="s">
        <v>1068</v>
      </c>
      <c r="G11809" t="s">
        <v>1085</v>
      </c>
      <c r="H11809" s="170">
        <v>-8.5622588262993399E-5</v>
      </c>
      <c r="I11809" t="s">
        <v>1086</v>
      </c>
      <c r="J11809">
        <v>9.2799999999999994</v>
      </c>
    </row>
    <row r="11810" spans="1:10" hidden="1">
      <c r="A11810" t="s">
        <v>6805</v>
      </c>
      <c r="B11810" t="s">
        <v>6806</v>
      </c>
      <c r="C11810" t="s">
        <v>5111</v>
      </c>
      <c r="D11810" t="s">
        <v>1673</v>
      </c>
      <c r="E11810" t="s">
        <v>558</v>
      </c>
      <c r="F11810" t="s">
        <v>1068</v>
      </c>
      <c r="G11810" t="s">
        <v>1087</v>
      </c>
      <c r="H11810" s="170">
        <v>-1.2460131500395601E-7</v>
      </c>
      <c r="I11810" t="s">
        <v>1088</v>
      </c>
      <c r="J11810">
        <v>9.2799999999999994</v>
      </c>
    </row>
    <row r="11811" spans="1:10" hidden="1">
      <c r="A11811" t="s">
        <v>6805</v>
      </c>
      <c r="B11811" t="s">
        <v>6806</v>
      </c>
      <c r="C11811" t="s">
        <v>5111</v>
      </c>
      <c r="D11811" t="s">
        <v>1673</v>
      </c>
      <c r="E11811" t="s">
        <v>558</v>
      </c>
      <c r="F11811" t="s">
        <v>1068</v>
      </c>
      <c r="G11811" t="s">
        <v>1089</v>
      </c>
      <c r="H11811" s="170">
        <v>-7.7584637144863E-6</v>
      </c>
      <c r="I11811" t="s">
        <v>1090</v>
      </c>
      <c r="J11811">
        <v>9.2799999999999994</v>
      </c>
    </row>
    <row r="11812" spans="1:10" hidden="1">
      <c r="A11812" t="s">
        <v>6807</v>
      </c>
      <c r="B11812" t="s">
        <v>6808</v>
      </c>
      <c r="C11812" t="s">
        <v>5111</v>
      </c>
      <c r="D11812" t="s">
        <v>1673</v>
      </c>
      <c r="E11812" t="s">
        <v>553</v>
      </c>
      <c r="F11812" t="s">
        <v>1068</v>
      </c>
      <c r="G11812" t="s">
        <v>1069</v>
      </c>
      <c r="H11812">
        <v>-0.108103402330972</v>
      </c>
      <c r="I11812" t="s">
        <v>1070</v>
      </c>
      <c r="J11812">
        <v>8.14</v>
      </c>
    </row>
    <row r="11813" spans="1:10" hidden="1">
      <c r="A11813" t="s">
        <v>6807</v>
      </c>
      <c r="B11813" t="s">
        <v>6808</v>
      </c>
      <c r="C11813" t="s">
        <v>5111</v>
      </c>
      <c r="D11813" t="s">
        <v>1673</v>
      </c>
      <c r="E11813" t="s">
        <v>553</v>
      </c>
      <c r="F11813" t="s">
        <v>1068</v>
      </c>
      <c r="G11813" t="s">
        <v>1071</v>
      </c>
      <c r="H11813" s="170">
        <v>-2.6926064652725802E-11</v>
      </c>
      <c r="I11813" t="s">
        <v>1072</v>
      </c>
      <c r="J11813">
        <v>8.14</v>
      </c>
    </row>
    <row r="11814" spans="1:10" hidden="1">
      <c r="A11814" t="s">
        <v>6807</v>
      </c>
      <c r="B11814" t="s">
        <v>6808</v>
      </c>
      <c r="C11814" t="s">
        <v>5111</v>
      </c>
      <c r="D11814" t="s">
        <v>1673</v>
      </c>
      <c r="E11814" t="s">
        <v>553</v>
      </c>
      <c r="F11814" t="s">
        <v>1068</v>
      </c>
      <c r="G11814" t="s">
        <v>1073</v>
      </c>
      <c r="H11814" s="170">
        <v>-3.4660340038875897E-8</v>
      </c>
      <c r="I11814" t="s">
        <v>1074</v>
      </c>
      <c r="J11814">
        <v>8.14</v>
      </c>
    </row>
    <row r="11815" spans="1:10" hidden="1">
      <c r="A11815" t="s">
        <v>6807</v>
      </c>
      <c r="B11815" t="s">
        <v>6808</v>
      </c>
      <c r="C11815" t="s">
        <v>5111</v>
      </c>
      <c r="D11815" t="s">
        <v>1673</v>
      </c>
      <c r="E11815" t="s">
        <v>553</v>
      </c>
      <c r="F11815" t="s">
        <v>1068</v>
      </c>
      <c r="G11815" t="s">
        <v>1075</v>
      </c>
      <c r="H11815">
        <v>-4.5918931332262298E-4</v>
      </c>
      <c r="I11815" t="s">
        <v>1077</v>
      </c>
      <c r="J11815">
        <v>8.14</v>
      </c>
    </row>
    <row r="11816" spans="1:10" hidden="1">
      <c r="A11816" t="s">
        <v>6807</v>
      </c>
      <c r="B11816" t="s">
        <v>6808</v>
      </c>
      <c r="C11816" t="s">
        <v>5111</v>
      </c>
      <c r="D11816" t="s">
        <v>1673</v>
      </c>
      <c r="E11816" t="s">
        <v>553</v>
      </c>
      <c r="F11816" t="s">
        <v>1068</v>
      </c>
      <c r="G11816" t="s">
        <v>1078</v>
      </c>
      <c r="H11816">
        <v>-0.187771154120662</v>
      </c>
      <c r="I11816" t="s">
        <v>1079</v>
      </c>
      <c r="J11816">
        <v>8.14</v>
      </c>
    </row>
    <row r="11817" spans="1:10" hidden="1">
      <c r="A11817" t="s">
        <v>6807</v>
      </c>
      <c r="B11817" t="s">
        <v>6808</v>
      </c>
      <c r="C11817" t="s">
        <v>5111</v>
      </c>
      <c r="D11817" t="s">
        <v>1673</v>
      </c>
      <c r="E11817" t="s">
        <v>553</v>
      </c>
      <c r="F11817" t="s">
        <v>1068</v>
      </c>
      <c r="G11817" t="s">
        <v>1080</v>
      </c>
      <c r="H11817" s="170">
        <v>-6.7468097545636401E-10</v>
      </c>
      <c r="I11817" t="s">
        <v>1082</v>
      </c>
      <c r="J11817">
        <v>8.14</v>
      </c>
    </row>
    <row r="11818" spans="1:10" hidden="1">
      <c r="A11818" t="s">
        <v>6807</v>
      </c>
      <c r="B11818" t="s">
        <v>6808</v>
      </c>
      <c r="C11818" t="s">
        <v>5111</v>
      </c>
      <c r="D11818" t="s">
        <v>1673</v>
      </c>
      <c r="E11818" t="s">
        <v>553</v>
      </c>
      <c r="F11818" t="s">
        <v>1068</v>
      </c>
      <c r="G11818" t="s">
        <v>1083</v>
      </c>
      <c r="H11818" s="170">
        <v>-1.5439629338146001E-5</v>
      </c>
      <c r="I11818" t="s">
        <v>1084</v>
      </c>
      <c r="J11818">
        <v>8.14</v>
      </c>
    </row>
    <row r="11819" spans="1:10" hidden="1">
      <c r="A11819" t="s">
        <v>6807</v>
      </c>
      <c r="B11819" t="s">
        <v>6808</v>
      </c>
      <c r="C11819" t="s">
        <v>5111</v>
      </c>
      <c r="D11819" t="s">
        <v>1673</v>
      </c>
      <c r="E11819" t="s">
        <v>553</v>
      </c>
      <c r="F11819" t="s">
        <v>1068</v>
      </c>
      <c r="G11819" t="s">
        <v>1085</v>
      </c>
      <c r="H11819" s="170">
        <v>-8.2827452958748402E-5</v>
      </c>
      <c r="I11819" t="s">
        <v>1086</v>
      </c>
      <c r="J11819">
        <v>8.14</v>
      </c>
    </row>
    <row r="11820" spans="1:10" hidden="1">
      <c r="A11820" t="s">
        <v>6807</v>
      </c>
      <c r="B11820" t="s">
        <v>6808</v>
      </c>
      <c r="C11820" t="s">
        <v>5111</v>
      </c>
      <c r="D11820" t="s">
        <v>1673</v>
      </c>
      <c r="E11820" t="s">
        <v>553</v>
      </c>
      <c r="F11820" t="s">
        <v>1068</v>
      </c>
      <c r="G11820" t="s">
        <v>1087</v>
      </c>
      <c r="H11820" s="170">
        <v>-1.23252370007452E-7</v>
      </c>
      <c r="I11820" t="s">
        <v>1088</v>
      </c>
      <c r="J11820">
        <v>8.14</v>
      </c>
    </row>
    <row r="11821" spans="1:10" hidden="1">
      <c r="A11821" t="s">
        <v>6807</v>
      </c>
      <c r="B11821" t="s">
        <v>6808</v>
      </c>
      <c r="C11821" t="s">
        <v>5111</v>
      </c>
      <c r="D11821" t="s">
        <v>1673</v>
      </c>
      <c r="E11821" t="s">
        <v>553</v>
      </c>
      <c r="F11821" t="s">
        <v>1068</v>
      </c>
      <c r="G11821" t="s">
        <v>1089</v>
      </c>
      <c r="H11821" s="170">
        <v>-7.1818327904930902E-6</v>
      </c>
      <c r="I11821" t="s">
        <v>1090</v>
      </c>
      <c r="J11821">
        <v>8.14</v>
      </c>
    </row>
    <row r="11822" spans="1:10" hidden="1">
      <c r="A11822" t="s">
        <v>6809</v>
      </c>
      <c r="B11822" t="s">
        <v>6810</v>
      </c>
      <c r="C11822" t="s">
        <v>5111</v>
      </c>
      <c r="D11822" t="s">
        <v>1673</v>
      </c>
      <c r="E11822" t="s">
        <v>556</v>
      </c>
      <c r="F11822" t="s">
        <v>1068</v>
      </c>
      <c r="G11822" t="s">
        <v>1069</v>
      </c>
      <c r="H11822">
        <v>-0.12808135440150201</v>
      </c>
      <c r="I11822" t="s">
        <v>1070</v>
      </c>
      <c r="J11822">
        <v>9.5299999999999994</v>
      </c>
    </row>
    <row r="11823" spans="1:10" hidden="1">
      <c r="A11823" t="s">
        <v>6809</v>
      </c>
      <c r="B11823" t="s">
        <v>6810</v>
      </c>
      <c r="C11823" t="s">
        <v>5111</v>
      </c>
      <c r="D11823" t="s">
        <v>1673</v>
      </c>
      <c r="E11823" t="s">
        <v>556</v>
      </c>
      <c r="F11823" t="s">
        <v>1068</v>
      </c>
      <c r="G11823" t="s">
        <v>1071</v>
      </c>
      <c r="H11823" s="170">
        <v>-5.5514741352508098E-11</v>
      </c>
      <c r="I11823" t="s">
        <v>1072</v>
      </c>
      <c r="J11823">
        <v>9.5299999999999994</v>
      </c>
    </row>
    <row r="11824" spans="1:10" hidden="1">
      <c r="A11824" t="s">
        <v>6809</v>
      </c>
      <c r="B11824" t="s">
        <v>6810</v>
      </c>
      <c r="C11824" t="s">
        <v>5111</v>
      </c>
      <c r="D11824" t="s">
        <v>1673</v>
      </c>
      <c r="E11824" t="s">
        <v>556</v>
      </c>
      <c r="F11824" t="s">
        <v>1068</v>
      </c>
      <c r="G11824" t="s">
        <v>1073</v>
      </c>
      <c r="H11824" s="170">
        <v>-4.17565718284174E-8</v>
      </c>
      <c r="I11824" t="s">
        <v>1074</v>
      </c>
      <c r="J11824">
        <v>9.5299999999999994</v>
      </c>
    </row>
    <row r="11825" spans="1:10" hidden="1">
      <c r="A11825" t="s">
        <v>6809</v>
      </c>
      <c r="B11825" t="s">
        <v>6810</v>
      </c>
      <c r="C11825" t="s">
        <v>5111</v>
      </c>
      <c r="D11825" t="s">
        <v>1673</v>
      </c>
      <c r="E11825" t="s">
        <v>556</v>
      </c>
      <c r="F11825" t="s">
        <v>1068</v>
      </c>
      <c r="G11825" t="s">
        <v>1075</v>
      </c>
      <c r="H11825">
        <v>-1.09071372010861E-3</v>
      </c>
      <c r="I11825" t="s">
        <v>1077</v>
      </c>
      <c r="J11825">
        <v>9.5299999999999994</v>
      </c>
    </row>
    <row r="11826" spans="1:10" hidden="1">
      <c r="A11826" t="s">
        <v>6809</v>
      </c>
      <c r="B11826" t="s">
        <v>6810</v>
      </c>
      <c r="C11826" t="s">
        <v>5111</v>
      </c>
      <c r="D11826" t="s">
        <v>1673</v>
      </c>
      <c r="E11826" t="s">
        <v>556</v>
      </c>
      <c r="F11826" t="s">
        <v>1068</v>
      </c>
      <c r="G11826" t="s">
        <v>1078</v>
      </c>
      <c r="H11826">
        <v>-0.215080705508578</v>
      </c>
      <c r="I11826" t="s">
        <v>1079</v>
      </c>
      <c r="J11826">
        <v>9.5299999999999994</v>
      </c>
    </row>
    <row r="11827" spans="1:10" hidden="1">
      <c r="A11827" t="s">
        <v>6809</v>
      </c>
      <c r="B11827" t="s">
        <v>6810</v>
      </c>
      <c r="C11827" t="s">
        <v>5111</v>
      </c>
      <c r="D11827" t="s">
        <v>1673</v>
      </c>
      <c r="E11827" t="s">
        <v>556</v>
      </c>
      <c r="F11827" t="s">
        <v>1068</v>
      </c>
      <c r="G11827" t="s">
        <v>1080</v>
      </c>
      <c r="H11827" s="170">
        <v>-7.8573124025444197E-10</v>
      </c>
      <c r="I11827" t="s">
        <v>1082</v>
      </c>
      <c r="J11827">
        <v>9.5299999999999994</v>
      </c>
    </row>
    <row r="11828" spans="1:10" hidden="1">
      <c r="A11828" t="s">
        <v>6809</v>
      </c>
      <c r="B11828" t="s">
        <v>6810</v>
      </c>
      <c r="C11828" t="s">
        <v>5111</v>
      </c>
      <c r="D11828" t="s">
        <v>1673</v>
      </c>
      <c r="E11828" t="s">
        <v>556</v>
      </c>
      <c r="F11828" t="s">
        <v>1068</v>
      </c>
      <c r="G11828" t="s">
        <v>1083</v>
      </c>
      <c r="H11828" s="170">
        <v>-1.8476290987781299E-5</v>
      </c>
      <c r="I11828" t="s">
        <v>1084</v>
      </c>
      <c r="J11828">
        <v>9.5299999999999994</v>
      </c>
    </row>
    <row r="11829" spans="1:10" hidden="1">
      <c r="A11829" t="s">
        <v>6809</v>
      </c>
      <c r="B11829" t="s">
        <v>6810</v>
      </c>
      <c r="C11829" t="s">
        <v>5111</v>
      </c>
      <c r="D11829" t="s">
        <v>1673</v>
      </c>
      <c r="E11829" t="s">
        <v>556</v>
      </c>
      <c r="F11829" t="s">
        <v>1068</v>
      </c>
      <c r="G11829" t="s">
        <v>1085</v>
      </c>
      <c r="H11829">
        <v>-1.17147892726596E-4</v>
      </c>
      <c r="I11829" t="s">
        <v>1086</v>
      </c>
      <c r="J11829">
        <v>9.5299999999999994</v>
      </c>
    </row>
    <row r="11830" spans="1:10" hidden="1">
      <c r="A11830" t="s">
        <v>6809</v>
      </c>
      <c r="B11830" t="s">
        <v>6810</v>
      </c>
      <c r="C11830" t="s">
        <v>5111</v>
      </c>
      <c r="D11830" t="s">
        <v>1673</v>
      </c>
      <c r="E11830" t="s">
        <v>556</v>
      </c>
      <c r="F11830" t="s">
        <v>1068</v>
      </c>
      <c r="G11830" t="s">
        <v>1087</v>
      </c>
      <c r="H11830" s="170">
        <v>-1.3981557094705199E-7</v>
      </c>
      <c r="I11830" t="s">
        <v>1088</v>
      </c>
      <c r="J11830">
        <v>9.5299999999999994</v>
      </c>
    </row>
    <row r="11831" spans="1:10" hidden="1">
      <c r="A11831" t="s">
        <v>6809</v>
      </c>
      <c r="B11831" t="s">
        <v>6810</v>
      </c>
      <c r="C11831" t="s">
        <v>5111</v>
      </c>
      <c r="D11831" t="s">
        <v>1673</v>
      </c>
      <c r="E11831" t="s">
        <v>556</v>
      </c>
      <c r="F11831" t="s">
        <v>1068</v>
      </c>
      <c r="G11831" t="s">
        <v>1089</v>
      </c>
      <c r="H11831" s="170">
        <v>-1.42620717407905E-5</v>
      </c>
      <c r="I11831" t="s">
        <v>1090</v>
      </c>
      <c r="J11831">
        <v>9.5299999999999994</v>
      </c>
    </row>
    <row r="11832" spans="1:10" hidden="1">
      <c r="A11832" t="s">
        <v>6811</v>
      </c>
      <c r="B11832" t="s">
        <v>6812</v>
      </c>
      <c r="C11832" t="s">
        <v>5111</v>
      </c>
      <c r="D11832" t="s">
        <v>1673</v>
      </c>
      <c r="E11832" t="s">
        <v>557</v>
      </c>
      <c r="F11832" t="s">
        <v>1068</v>
      </c>
      <c r="G11832" t="s">
        <v>1069</v>
      </c>
      <c r="H11832">
        <v>-0.11659267770471</v>
      </c>
      <c r="I11832" t="s">
        <v>1070</v>
      </c>
      <c r="J11832">
        <v>8.5</v>
      </c>
    </row>
    <row r="11833" spans="1:10" hidden="1">
      <c r="A11833" t="s">
        <v>6811</v>
      </c>
      <c r="B11833" t="s">
        <v>6812</v>
      </c>
      <c r="C11833" t="s">
        <v>5111</v>
      </c>
      <c r="D11833" t="s">
        <v>1673</v>
      </c>
      <c r="E11833" t="s">
        <v>557</v>
      </c>
      <c r="F11833" t="s">
        <v>1068</v>
      </c>
      <c r="G11833" t="s">
        <v>1071</v>
      </c>
      <c r="H11833" s="170">
        <v>-3.9074353185483898E-11</v>
      </c>
      <c r="I11833" t="s">
        <v>1072</v>
      </c>
      <c r="J11833">
        <v>8.5</v>
      </c>
    </row>
    <row r="11834" spans="1:10" hidden="1">
      <c r="A11834" t="s">
        <v>6811</v>
      </c>
      <c r="B11834" t="s">
        <v>6812</v>
      </c>
      <c r="C11834" t="s">
        <v>5111</v>
      </c>
      <c r="D11834" t="s">
        <v>1673</v>
      </c>
      <c r="E11834" t="s">
        <v>557</v>
      </c>
      <c r="F11834" t="s">
        <v>1068</v>
      </c>
      <c r="G11834" t="s">
        <v>1073</v>
      </c>
      <c r="H11834" s="170">
        <v>-3.7675596767822598E-8</v>
      </c>
      <c r="I11834" t="s">
        <v>1074</v>
      </c>
      <c r="J11834">
        <v>8.5</v>
      </c>
    </row>
    <row r="11835" spans="1:10" hidden="1">
      <c r="A11835" t="s">
        <v>6811</v>
      </c>
      <c r="B11835" t="s">
        <v>6812</v>
      </c>
      <c r="C11835" t="s">
        <v>5111</v>
      </c>
      <c r="D11835" t="s">
        <v>1673</v>
      </c>
      <c r="E11835" t="s">
        <v>557</v>
      </c>
      <c r="F11835" t="s">
        <v>1068</v>
      </c>
      <c r="G11835" t="s">
        <v>1075</v>
      </c>
      <c r="H11835">
        <v>-7.2752669863847404E-4</v>
      </c>
      <c r="I11835" t="s">
        <v>1077</v>
      </c>
      <c r="J11835">
        <v>8.5</v>
      </c>
    </row>
    <row r="11836" spans="1:10" hidden="1">
      <c r="A11836" t="s">
        <v>6811</v>
      </c>
      <c r="B11836" t="s">
        <v>6812</v>
      </c>
      <c r="C11836" t="s">
        <v>5111</v>
      </c>
      <c r="D11836" t="s">
        <v>1673</v>
      </c>
      <c r="E11836" t="s">
        <v>557</v>
      </c>
      <c r="F11836" t="s">
        <v>1068</v>
      </c>
      <c r="G11836" t="s">
        <v>1078</v>
      </c>
      <c r="H11836">
        <v>-0.19937509744440399</v>
      </c>
      <c r="I11836" t="s">
        <v>1079</v>
      </c>
      <c r="J11836">
        <v>8.5</v>
      </c>
    </row>
    <row r="11837" spans="1:10" hidden="1">
      <c r="A11837" t="s">
        <v>6811</v>
      </c>
      <c r="B11837" t="s">
        <v>6812</v>
      </c>
      <c r="C11837" t="s">
        <v>5111</v>
      </c>
      <c r="D11837" t="s">
        <v>1673</v>
      </c>
      <c r="E11837" t="s">
        <v>557</v>
      </c>
      <c r="F11837" t="s">
        <v>1068</v>
      </c>
      <c r="G11837" t="s">
        <v>1080</v>
      </c>
      <c r="H11837" s="170">
        <v>-7.2186670148576196E-10</v>
      </c>
      <c r="I11837" t="s">
        <v>1082</v>
      </c>
      <c r="J11837">
        <v>8.5</v>
      </c>
    </row>
    <row r="11838" spans="1:10" hidden="1">
      <c r="A11838" t="s">
        <v>6811</v>
      </c>
      <c r="B11838" t="s">
        <v>6812</v>
      </c>
      <c r="C11838" t="s">
        <v>5111</v>
      </c>
      <c r="D11838" t="s">
        <v>1673</v>
      </c>
      <c r="E11838" t="s">
        <v>557</v>
      </c>
      <c r="F11838" t="s">
        <v>1068</v>
      </c>
      <c r="G11838" t="s">
        <v>1083</v>
      </c>
      <c r="H11838" s="170">
        <v>-1.67299196525139E-5</v>
      </c>
      <c r="I11838" t="s">
        <v>1084</v>
      </c>
      <c r="J11838">
        <v>8.5</v>
      </c>
    </row>
    <row r="11839" spans="1:10" hidden="1">
      <c r="A11839" t="s">
        <v>6811</v>
      </c>
      <c r="B11839" t="s">
        <v>6812</v>
      </c>
      <c r="C11839" t="s">
        <v>5111</v>
      </c>
      <c r="D11839" t="s">
        <v>1673</v>
      </c>
      <c r="E11839" t="s">
        <v>557</v>
      </c>
      <c r="F11839" t="s">
        <v>1068</v>
      </c>
      <c r="G11839" t="s">
        <v>1085</v>
      </c>
      <c r="H11839" s="170">
        <v>-9.7410352315067302E-5</v>
      </c>
      <c r="I11839" t="s">
        <v>1086</v>
      </c>
      <c r="J11839">
        <v>8.5</v>
      </c>
    </row>
    <row r="11840" spans="1:10" hidden="1">
      <c r="A11840" t="s">
        <v>6811</v>
      </c>
      <c r="B11840" t="s">
        <v>6812</v>
      </c>
      <c r="C11840" t="s">
        <v>5111</v>
      </c>
      <c r="D11840" t="s">
        <v>1673</v>
      </c>
      <c r="E11840" t="s">
        <v>557</v>
      </c>
      <c r="F11840" t="s">
        <v>1068</v>
      </c>
      <c r="G11840" t="s">
        <v>1087</v>
      </c>
      <c r="H11840" s="170">
        <v>-1.3029014375859299E-7</v>
      </c>
      <c r="I11840" t="s">
        <v>1088</v>
      </c>
      <c r="J11840">
        <v>8.5</v>
      </c>
    </row>
    <row r="11841" spans="1:10" hidden="1">
      <c r="A11841" t="s">
        <v>6811</v>
      </c>
      <c r="B11841" t="s">
        <v>6812</v>
      </c>
      <c r="C11841" t="s">
        <v>5111</v>
      </c>
      <c r="D11841" t="s">
        <v>1673</v>
      </c>
      <c r="E11841" t="s">
        <v>557</v>
      </c>
      <c r="F11841" t="s">
        <v>1068</v>
      </c>
      <c r="G11841" t="s">
        <v>1089</v>
      </c>
      <c r="H11841" s="170">
        <v>-1.01902561607062E-5</v>
      </c>
      <c r="I11841" t="s">
        <v>1090</v>
      </c>
      <c r="J11841">
        <v>8.5</v>
      </c>
    </row>
    <row r="11842" spans="1:10" hidden="1">
      <c r="A11842" t="s">
        <v>6813</v>
      </c>
      <c r="B11842" t="s">
        <v>6814</v>
      </c>
      <c r="C11842" t="s">
        <v>5111</v>
      </c>
      <c r="D11842" t="s">
        <v>1673</v>
      </c>
      <c r="E11842" t="s">
        <v>559</v>
      </c>
      <c r="F11842" t="s">
        <v>1068</v>
      </c>
      <c r="G11842" t="s">
        <v>1069</v>
      </c>
      <c r="H11842">
        <v>-0.122143066298821</v>
      </c>
      <c r="I11842" t="s">
        <v>1070</v>
      </c>
      <c r="J11842">
        <v>8.2200000000000006</v>
      </c>
    </row>
    <row r="11843" spans="1:10" hidden="1">
      <c r="A11843" t="s">
        <v>6813</v>
      </c>
      <c r="B11843" t="s">
        <v>6814</v>
      </c>
      <c r="C11843" t="s">
        <v>5111</v>
      </c>
      <c r="D11843" t="s">
        <v>1673</v>
      </c>
      <c r="E11843" t="s">
        <v>559</v>
      </c>
      <c r="F11843" t="s">
        <v>1068</v>
      </c>
      <c r="G11843" t="s">
        <v>1071</v>
      </c>
      <c r="H11843" s="170">
        <v>-4.7016983518353803E-11</v>
      </c>
      <c r="I11843" t="s">
        <v>1072</v>
      </c>
      <c r="J11843">
        <v>8.2200000000000006</v>
      </c>
    </row>
    <row r="11844" spans="1:10" hidden="1">
      <c r="A11844" t="s">
        <v>6813</v>
      </c>
      <c r="B11844" t="s">
        <v>6814</v>
      </c>
      <c r="C11844" t="s">
        <v>5111</v>
      </c>
      <c r="D11844" t="s">
        <v>1673</v>
      </c>
      <c r="E11844" t="s">
        <v>559</v>
      </c>
      <c r="F11844" t="s">
        <v>1068</v>
      </c>
      <c r="G11844" t="s">
        <v>1073</v>
      </c>
      <c r="H11844" s="170">
        <v>-3.9647273104457501E-8</v>
      </c>
      <c r="I11844" t="s">
        <v>1074</v>
      </c>
      <c r="J11844">
        <v>8.2200000000000006</v>
      </c>
    </row>
    <row r="11845" spans="1:10" hidden="1">
      <c r="A11845" t="s">
        <v>6813</v>
      </c>
      <c r="B11845" t="s">
        <v>6814</v>
      </c>
      <c r="C11845" t="s">
        <v>5111</v>
      </c>
      <c r="D11845" t="s">
        <v>1673</v>
      </c>
      <c r="E11845" t="s">
        <v>559</v>
      </c>
      <c r="F11845" t="s">
        <v>1068</v>
      </c>
      <c r="G11845" t="s">
        <v>1075</v>
      </c>
      <c r="H11845">
        <v>-9.0299808949081105E-4</v>
      </c>
      <c r="I11845" t="s">
        <v>1077</v>
      </c>
      <c r="J11845">
        <v>8.2200000000000006</v>
      </c>
    </row>
    <row r="11846" spans="1:10" hidden="1">
      <c r="A11846" t="s">
        <v>6813</v>
      </c>
      <c r="B11846" t="s">
        <v>6814</v>
      </c>
      <c r="C11846" t="s">
        <v>5111</v>
      </c>
      <c r="D11846" t="s">
        <v>1673</v>
      </c>
      <c r="E11846" t="s">
        <v>559</v>
      </c>
      <c r="F11846" t="s">
        <v>1068</v>
      </c>
      <c r="G11846" t="s">
        <v>1078</v>
      </c>
      <c r="H11846">
        <v>-0.20696315754751199</v>
      </c>
      <c r="I11846" t="s">
        <v>1079</v>
      </c>
      <c r="J11846">
        <v>8.2200000000000006</v>
      </c>
    </row>
    <row r="11847" spans="1:10" hidden="1">
      <c r="A11847" t="s">
        <v>6813</v>
      </c>
      <c r="B11847" t="s">
        <v>6814</v>
      </c>
      <c r="C11847" t="s">
        <v>5111</v>
      </c>
      <c r="D11847" t="s">
        <v>1673</v>
      </c>
      <c r="E11847" t="s">
        <v>559</v>
      </c>
      <c r="F11847" t="s">
        <v>1068</v>
      </c>
      <c r="G11847" t="s">
        <v>1080</v>
      </c>
      <c r="H11847" s="170">
        <v>-7.5272242814388398E-10</v>
      </c>
      <c r="I11847" t="s">
        <v>1082</v>
      </c>
      <c r="J11847">
        <v>8.2200000000000006</v>
      </c>
    </row>
    <row r="11848" spans="1:10" hidden="1">
      <c r="A11848" t="s">
        <v>6813</v>
      </c>
      <c r="B11848" t="s">
        <v>6814</v>
      </c>
      <c r="C11848" t="s">
        <v>5111</v>
      </c>
      <c r="D11848" t="s">
        <v>1673</v>
      </c>
      <c r="E11848" t="s">
        <v>559</v>
      </c>
      <c r="F11848" t="s">
        <v>1068</v>
      </c>
      <c r="G11848" t="s">
        <v>1083</v>
      </c>
      <c r="H11848" s="170">
        <v>-1.7573667351372801E-5</v>
      </c>
      <c r="I11848" t="s">
        <v>1084</v>
      </c>
      <c r="J11848">
        <v>8.2200000000000006</v>
      </c>
    </row>
    <row r="11849" spans="1:10" hidden="1">
      <c r="A11849" t="s">
        <v>6813</v>
      </c>
      <c r="B11849" t="s">
        <v>6814</v>
      </c>
      <c r="C11849" t="s">
        <v>5111</v>
      </c>
      <c r="D11849" t="s">
        <v>1673</v>
      </c>
      <c r="E11849" t="s">
        <v>559</v>
      </c>
      <c r="F11849" t="s">
        <v>1068</v>
      </c>
      <c r="G11849" t="s">
        <v>1085</v>
      </c>
      <c r="H11849">
        <v>-1.06946413694475E-4</v>
      </c>
      <c r="I11849" t="s">
        <v>1086</v>
      </c>
      <c r="J11849">
        <v>8.2200000000000006</v>
      </c>
    </row>
    <row r="11850" spans="1:10" hidden="1">
      <c r="A11850" t="s">
        <v>6813</v>
      </c>
      <c r="B11850" t="s">
        <v>6814</v>
      </c>
      <c r="C11850" t="s">
        <v>5111</v>
      </c>
      <c r="D11850" t="s">
        <v>1673</v>
      </c>
      <c r="E11850" t="s">
        <v>559</v>
      </c>
      <c r="F11850" t="s">
        <v>1068</v>
      </c>
      <c r="G11850" t="s">
        <v>1087</v>
      </c>
      <c r="H11850" s="170">
        <v>-1.34892290586048E-7</v>
      </c>
      <c r="I11850" t="s">
        <v>1088</v>
      </c>
      <c r="J11850">
        <v>8.2200000000000006</v>
      </c>
    </row>
    <row r="11851" spans="1:10" hidden="1">
      <c r="A11851" t="s">
        <v>6813</v>
      </c>
      <c r="B11851" t="s">
        <v>6814</v>
      </c>
      <c r="C11851" t="s">
        <v>5111</v>
      </c>
      <c r="D11851" t="s">
        <v>1673</v>
      </c>
      <c r="E11851" t="s">
        <v>559</v>
      </c>
      <c r="F11851" t="s">
        <v>1068</v>
      </c>
      <c r="G11851" t="s">
        <v>1089</v>
      </c>
      <c r="H11851" s="170">
        <v>-1.2157526761691701E-5</v>
      </c>
      <c r="I11851" t="s">
        <v>1090</v>
      </c>
      <c r="J11851">
        <v>8.2200000000000006</v>
      </c>
    </row>
    <row r="11852" spans="1:10" hidden="1">
      <c r="A11852" t="s">
        <v>6815</v>
      </c>
      <c r="B11852" t="s">
        <v>6816</v>
      </c>
      <c r="C11852" t="s">
        <v>5111</v>
      </c>
      <c r="D11852" t="s">
        <v>1673</v>
      </c>
      <c r="E11852" t="s">
        <v>560</v>
      </c>
      <c r="F11852" t="s">
        <v>1068</v>
      </c>
      <c r="G11852" t="s">
        <v>1069</v>
      </c>
      <c r="H11852">
        <v>-0.120252232758497</v>
      </c>
      <c r="I11852" t="s">
        <v>1070</v>
      </c>
      <c r="J11852">
        <v>9.07</v>
      </c>
    </row>
    <row r="11853" spans="1:10" hidden="1">
      <c r="A11853" t="s">
        <v>6815</v>
      </c>
      <c r="B11853" t="s">
        <v>6816</v>
      </c>
      <c r="C11853" t="s">
        <v>5111</v>
      </c>
      <c r="D11853" t="s">
        <v>1673</v>
      </c>
      <c r="E11853" t="s">
        <v>560</v>
      </c>
      <c r="F11853" t="s">
        <v>1068</v>
      </c>
      <c r="G11853" t="s">
        <v>1071</v>
      </c>
      <c r="H11853" s="170">
        <v>-4.4311218101787003E-11</v>
      </c>
      <c r="I11853" t="s">
        <v>1072</v>
      </c>
      <c r="J11853">
        <v>9.07</v>
      </c>
    </row>
    <row r="11854" spans="1:10" hidden="1">
      <c r="A11854" t="s">
        <v>6815</v>
      </c>
      <c r="B11854" t="s">
        <v>6816</v>
      </c>
      <c r="C11854" t="s">
        <v>5111</v>
      </c>
      <c r="D11854" t="s">
        <v>1673</v>
      </c>
      <c r="E11854" t="s">
        <v>560</v>
      </c>
      <c r="F11854" t="s">
        <v>1068</v>
      </c>
      <c r="G11854" t="s">
        <v>1073</v>
      </c>
      <c r="H11854" s="170">
        <v>-3.8975482302464598E-8</v>
      </c>
      <c r="I11854" t="s">
        <v>1074</v>
      </c>
      <c r="J11854">
        <v>9.07</v>
      </c>
    </row>
    <row r="11855" spans="1:10" hidden="1">
      <c r="A11855" t="s">
        <v>6815</v>
      </c>
      <c r="B11855" t="s">
        <v>6816</v>
      </c>
      <c r="C11855" t="s">
        <v>5111</v>
      </c>
      <c r="D11855" t="s">
        <v>1673</v>
      </c>
      <c r="E11855" t="s">
        <v>560</v>
      </c>
      <c r="F11855" t="s">
        <v>1068</v>
      </c>
      <c r="G11855" t="s">
        <v>1075</v>
      </c>
      <c r="H11855">
        <v>-8.4320914327959797E-4</v>
      </c>
      <c r="I11855" t="s">
        <v>1077</v>
      </c>
      <c r="J11855">
        <v>9.07</v>
      </c>
    </row>
    <row r="11856" spans="1:10" hidden="1">
      <c r="A11856" t="s">
        <v>6815</v>
      </c>
      <c r="B11856" t="s">
        <v>6816</v>
      </c>
      <c r="C11856" t="s">
        <v>5111</v>
      </c>
      <c r="D11856" t="s">
        <v>1673</v>
      </c>
      <c r="E11856" t="s">
        <v>560</v>
      </c>
      <c r="F11856" t="s">
        <v>1068</v>
      </c>
      <c r="G11856" t="s">
        <v>1078</v>
      </c>
      <c r="H11856">
        <v>-0.20437765258346099</v>
      </c>
      <c r="I11856" t="s">
        <v>1079</v>
      </c>
      <c r="J11856">
        <v>9.07</v>
      </c>
    </row>
    <row r="11857" spans="1:10" hidden="1">
      <c r="A11857" t="s">
        <v>6815</v>
      </c>
      <c r="B11857" t="s">
        <v>6816</v>
      </c>
      <c r="C11857" t="s">
        <v>5111</v>
      </c>
      <c r="D11857" t="s">
        <v>1673</v>
      </c>
      <c r="E11857" t="s">
        <v>560</v>
      </c>
      <c r="F11857" t="s">
        <v>1068</v>
      </c>
      <c r="G11857" t="s">
        <v>1080</v>
      </c>
      <c r="H11857" s="170">
        <v>-7.4220885449180498E-10</v>
      </c>
      <c r="I11857" t="s">
        <v>1082</v>
      </c>
      <c r="J11857">
        <v>9.07</v>
      </c>
    </row>
    <row r="11858" spans="1:10" hidden="1">
      <c r="A11858" t="s">
        <v>6815</v>
      </c>
      <c r="B11858" t="s">
        <v>6816</v>
      </c>
      <c r="C11858" t="s">
        <v>5111</v>
      </c>
      <c r="D11858" t="s">
        <v>1673</v>
      </c>
      <c r="E11858" t="s">
        <v>560</v>
      </c>
      <c r="F11858" t="s">
        <v>1068</v>
      </c>
      <c r="G11858" t="s">
        <v>1083</v>
      </c>
      <c r="H11858" s="170">
        <v>-1.7286174390102999E-5</v>
      </c>
      <c r="I11858" t="s">
        <v>1084</v>
      </c>
      <c r="J11858">
        <v>9.07</v>
      </c>
    </row>
    <row r="11859" spans="1:10" hidden="1">
      <c r="A11859" t="s">
        <v>6815</v>
      </c>
      <c r="B11859" t="s">
        <v>6816</v>
      </c>
      <c r="C11859" t="s">
        <v>5111</v>
      </c>
      <c r="D11859" t="s">
        <v>1673</v>
      </c>
      <c r="E11859" t="s">
        <v>560</v>
      </c>
      <c r="F11859" t="s">
        <v>1068</v>
      </c>
      <c r="G11859" t="s">
        <v>1085</v>
      </c>
      <c r="H11859">
        <v>-1.0369715980950599E-4</v>
      </c>
      <c r="I11859" t="s">
        <v>1086</v>
      </c>
      <c r="J11859">
        <v>9.07</v>
      </c>
    </row>
    <row r="11860" spans="1:10" hidden="1">
      <c r="A11860" t="s">
        <v>6815</v>
      </c>
      <c r="B11860" t="s">
        <v>6816</v>
      </c>
      <c r="C11860" t="s">
        <v>5111</v>
      </c>
      <c r="D11860" t="s">
        <v>1673</v>
      </c>
      <c r="E11860" t="s">
        <v>560</v>
      </c>
      <c r="F11860" t="s">
        <v>1068</v>
      </c>
      <c r="G11860" t="s">
        <v>1087</v>
      </c>
      <c r="H11860" s="170">
        <v>-1.3332418576106701E-7</v>
      </c>
      <c r="I11860" t="s">
        <v>1088</v>
      </c>
      <c r="J11860">
        <v>9.07</v>
      </c>
    </row>
    <row r="11861" spans="1:10" hidden="1">
      <c r="A11861" t="s">
        <v>6815</v>
      </c>
      <c r="B11861" t="s">
        <v>6816</v>
      </c>
      <c r="C11861" t="s">
        <v>5111</v>
      </c>
      <c r="D11861" t="s">
        <v>1673</v>
      </c>
      <c r="E11861" t="s">
        <v>560</v>
      </c>
      <c r="F11861" t="s">
        <v>1068</v>
      </c>
      <c r="G11861" t="s">
        <v>1089</v>
      </c>
      <c r="H11861" s="170">
        <v>-1.14872121320236E-5</v>
      </c>
      <c r="I11861" t="s">
        <v>1090</v>
      </c>
      <c r="J11861">
        <v>9.07</v>
      </c>
    </row>
    <row r="11862" spans="1:10" hidden="1">
      <c r="A11862" t="s">
        <v>6817</v>
      </c>
      <c r="B11862" t="s">
        <v>6818</v>
      </c>
      <c r="C11862" t="s">
        <v>5111</v>
      </c>
      <c r="D11862" t="s">
        <v>1673</v>
      </c>
      <c r="E11862" t="s">
        <v>1116</v>
      </c>
      <c r="F11862" t="s">
        <v>1068</v>
      </c>
      <c r="G11862" t="s">
        <v>1069</v>
      </c>
      <c r="H11862">
        <v>-0.109145115146384</v>
      </c>
      <c r="I11862" t="s">
        <v>1070</v>
      </c>
      <c r="J11862">
        <v>8.9499999999999993</v>
      </c>
    </row>
    <row r="11863" spans="1:10" hidden="1">
      <c r="A11863" t="s">
        <v>6817</v>
      </c>
      <c r="B11863" t="s">
        <v>6818</v>
      </c>
      <c r="C11863" t="s">
        <v>5111</v>
      </c>
      <c r="D11863" t="s">
        <v>1673</v>
      </c>
      <c r="E11863" t="s">
        <v>1116</v>
      </c>
      <c r="F11863" t="s">
        <v>1068</v>
      </c>
      <c r="G11863" t="s">
        <v>1071</v>
      </c>
      <c r="H11863" s="170">
        <v>-2.8416806434458899E-11</v>
      </c>
      <c r="I11863" t="s">
        <v>1072</v>
      </c>
      <c r="J11863">
        <v>8.9499999999999993</v>
      </c>
    </row>
    <row r="11864" spans="1:10" hidden="1">
      <c r="A11864" t="s">
        <v>6817</v>
      </c>
      <c r="B11864" t="s">
        <v>6818</v>
      </c>
      <c r="C11864" t="s">
        <v>5111</v>
      </c>
      <c r="D11864" t="s">
        <v>1673</v>
      </c>
      <c r="E11864" t="s">
        <v>1116</v>
      </c>
      <c r="F11864" t="s">
        <v>1068</v>
      </c>
      <c r="G11864" t="s">
        <v>1073</v>
      </c>
      <c r="H11864" s="170">
        <v>-3.5030198981582397E-8</v>
      </c>
      <c r="I11864" t="s">
        <v>1074</v>
      </c>
      <c r="J11864">
        <v>8.9499999999999993</v>
      </c>
    </row>
    <row r="11865" spans="1:10" hidden="1">
      <c r="A11865" t="s">
        <v>6817</v>
      </c>
      <c r="B11865" t="s">
        <v>6818</v>
      </c>
      <c r="C11865" t="s">
        <v>5111</v>
      </c>
      <c r="D11865" t="s">
        <v>1673</v>
      </c>
      <c r="E11865" t="s">
        <v>1116</v>
      </c>
      <c r="F11865" t="s">
        <v>1068</v>
      </c>
      <c r="G11865" t="s">
        <v>1075</v>
      </c>
      <c r="H11865">
        <v>-4.9210129016606099E-4</v>
      </c>
      <c r="I11865" t="s">
        <v>1077</v>
      </c>
      <c r="J11865">
        <v>8.9499999999999993</v>
      </c>
    </row>
    <row r="11866" spans="1:10" hidden="1">
      <c r="A11866" t="s">
        <v>6817</v>
      </c>
      <c r="B11866" t="s">
        <v>6818</v>
      </c>
      <c r="C11866" t="s">
        <v>5111</v>
      </c>
      <c r="D11866" t="s">
        <v>1673</v>
      </c>
      <c r="E11866" t="s">
        <v>1116</v>
      </c>
      <c r="F11866" t="s">
        <v>1068</v>
      </c>
      <c r="G11866" t="s">
        <v>1078</v>
      </c>
      <c r="H11866">
        <v>-0.189194394653485</v>
      </c>
      <c r="I11866" t="s">
        <v>1079</v>
      </c>
      <c r="J11866">
        <v>8.9499999999999993</v>
      </c>
    </row>
    <row r="11867" spans="1:10" hidden="1">
      <c r="A11867" t="s">
        <v>6817</v>
      </c>
      <c r="B11867" t="s">
        <v>6818</v>
      </c>
      <c r="C11867" t="s">
        <v>5111</v>
      </c>
      <c r="D11867" t="s">
        <v>1673</v>
      </c>
      <c r="E11867" t="s">
        <v>1116</v>
      </c>
      <c r="F11867" t="s">
        <v>1068</v>
      </c>
      <c r="G11867" t="s">
        <v>1080</v>
      </c>
      <c r="H11867" s="170">
        <v>-6.8046837440587001E-10</v>
      </c>
      <c r="I11867" t="s">
        <v>1082</v>
      </c>
      <c r="J11867">
        <v>8.9499999999999993</v>
      </c>
    </row>
    <row r="11868" spans="1:10" hidden="1">
      <c r="A11868" t="s">
        <v>6817</v>
      </c>
      <c r="B11868" t="s">
        <v>6818</v>
      </c>
      <c r="C11868" t="s">
        <v>5111</v>
      </c>
      <c r="D11868" t="s">
        <v>1673</v>
      </c>
      <c r="E11868" t="s">
        <v>1116</v>
      </c>
      <c r="F11868" t="s">
        <v>1068</v>
      </c>
      <c r="G11868" t="s">
        <v>1083</v>
      </c>
      <c r="H11868" s="170">
        <v>-1.5597885321653498E-5</v>
      </c>
      <c r="I11868" t="s">
        <v>1084</v>
      </c>
      <c r="J11868">
        <v>8.9499999999999993</v>
      </c>
    </row>
    <row r="11869" spans="1:10" hidden="1">
      <c r="A11869" t="s">
        <v>6817</v>
      </c>
      <c r="B11869" t="s">
        <v>6818</v>
      </c>
      <c r="C11869" t="s">
        <v>5111</v>
      </c>
      <c r="D11869" t="s">
        <v>1673</v>
      </c>
      <c r="E11869" t="s">
        <v>1116</v>
      </c>
      <c r="F11869" t="s">
        <v>1068</v>
      </c>
      <c r="G11869" t="s">
        <v>1085</v>
      </c>
      <c r="H11869" s="170">
        <v>-8.4616066829855605E-5</v>
      </c>
      <c r="I11869" t="s">
        <v>1086</v>
      </c>
      <c r="J11869">
        <v>8.9499999999999993</v>
      </c>
    </row>
    <row r="11870" spans="1:10" hidden="1">
      <c r="A11870" t="s">
        <v>6817</v>
      </c>
      <c r="B11870" t="s">
        <v>6818</v>
      </c>
      <c r="C11870" t="s">
        <v>5111</v>
      </c>
      <c r="D11870" t="s">
        <v>1673</v>
      </c>
      <c r="E11870" t="s">
        <v>1116</v>
      </c>
      <c r="F11870" t="s">
        <v>1068</v>
      </c>
      <c r="G11870" t="s">
        <v>1087</v>
      </c>
      <c r="H11870" s="170">
        <v>-1.24115563164532E-7</v>
      </c>
      <c r="I11870" t="s">
        <v>1088</v>
      </c>
      <c r="J11870">
        <v>8.9499999999999993</v>
      </c>
    </row>
    <row r="11871" spans="1:10" hidden="1">
      <c r="A11871" t="s">
        <v>6817</v>
      </c>
      <c r="B11871" t="s">
        <v>6818</v>
      </c>
      <c r="C11871" t="s">
        <v>5111</v>
      </c>
      <c r="D11871" t="s">
        <v>1673</v>
      </c>
      <c r="E11871" t="s">
        <v>1116</v>
      </c>
      <c r="F11871" t="s">
        <v>1068</v>
      </c>
      <c r="G11871" t="s">
        <v>1089</v>
      </c>
      <c r="H11871" s="170">
        <v>-7.5508203304440101E-6</v>
      </c>
      <c r="I11871" t="s">
        <v>1090</v>
      </c>
      <c r="J11871">
        <v>8.9499999999999993</v>
      </c>
    </row>
    <row r="11872" spans="1:10" hidden="1">
      <c r="A11872" t="s">
        <v>6819</v>
      </c>
      <c r="B11872" t="s">
        <v>6820</v>
      </c>
      <c r="C11872" t="s">
        <v>5111</v>
      </c>
      <c r="D11872" t="s">
        <v>1707</v>
      </c>
      <c r="E11872" t="s">
        <v>561</v>
      </c>
      <c r="F11872" t="s">
        <v>1068</v>
      </c>
      <c r="G11872" t="s">
        <v>1069</v>
      </c>
      <c r="H11872">
        <v>-0.63728889015314305</v>
      </c>
      <c r="I11872" t="s">
        <v>1070</v>
      </c>
      <c r="J11872">
        <v>10.83</v>
      </c>
    </row>
    <row r="11873" spans="1:10" hidden="1">
      <c r="A11873" t="s">
        <v>6819</v>
      </c>
      <c r="B11873" t="s">
        <v>6820</v>
      </c>
      <c r="C11873" t="s">
        <v>5111</v>
      </c>
      <c r="D11873" t="s">
        <v>1707</v>
      </c>
      <c r="E11873" t="s">
        <v>561</v>
      </c>
      <c r="F11873" t="s">
        <v>1068</v>
      </c>
      <c r="G11873" t="s">
        <v>1071</v>
      </c>
      <c r="H11873" s="170">
        <v>-6.1183912834101502E-10</v>
      </c>
      <c r="I11873" t="s">
        <v>1072</v>
      </c>
      <c r="J11873">
        <v>10.83</v>
      </c>
    </row>
    <row r="11874" spans="1:10" hidden="1">
      <c r="A11874" t="s">
        <v>6819</v>
      </c>
      <c r="B11874" t="s">
        <v>6820</v>
      </c>
      <c r="C11874" t="s">
        <v>5111</v>
      </c>
      <c r="D11874" t="s">
        <v>1707</v>
      </c>
      <c r="E11874" t="s">
        <v>561</v>
      </c>
      <c r="F11874" t="s">
        <v>1068</v>
      </c>
      <c r="G11874" t="s">
        <v>1073</v>
      </c>
      <c r="H11874" s="170">
        <v>-2.21571491306353E-7</v>
      </c>
      <c r="I11874" t="s">
        <v>1074</v>
      </c>
      <c r="J11874">
        <v>10.83</v>
      </c>
    </row>
    <row r="11875" spans="1:10" hidden="1">
      <c r="A11875" t="s">
        <v>6819</v>
      </c>
      <c r="B11875" t="s">
        <v>6820</v>
      </c>
      <c r="C11875" t="s">
        <v>5111</v>
      </c>
      <c r="D11875" t="s">
        <v>1707</v>
      </c>
      <c r="E11875" t="s">
        <v>561</v>
      </c>
      <c r="F11875" t="s">
        <v>1068</v>
      </c>
      <c r="G11875" t="s">
        <v>1075</v>
      </c>
      <c r="H11875">
        <v>-1.04071819519311E-2</v>
      </c>
      <c r="I11875" t="s">
        <v>1077</v>
      </c>
      <c r="J11875">
        <v>10.83</v>
      </c>
    </row>
    <row r="11876" spans="1:10" hidden="1">
      <c r="A11876" t="s">
        <v>6819</v>
      </c>
      <c r="B11876" t="s">
        <v>6820</v>
      </c>
      <c r="C11876" t="s">
        <v>5111</v>
      </c>
      <c r="D11876" t="s">
        <v>1707</v>
      </c>
      <c r="E11876" t="s">
        <v>561</v>
      </c>
      <c r="F11876" t="s">
        <v>1068</v>
      </c>
      <c r="G11876" t="s">
        <v>1078</v>
      </c>
      <c r="H11876">
        <v>-0.91032867384352301</v>
      </c>
      <c r="I11876" t="s">
        <v>1079</v>
      </c>
      <c r="J11876">
        <v>10.83</v>
      </c>
    </row>
    <row r="11877" spans="1:10" hidden="1">
      <c r="A11877" t="s">
        <v>6819</v>
      </c>
      <c r="B11877" t="s">
        <v>6820</v>
      </c>
      <c r="C11877" t="s">
        <v>5111</v>
      </c>
      <c r="D11877" t="s">
        <v>1707</v>
      </c>
      <c r="E11877" t="s">
        <v>561</v>
      </c>
      <c r="F11877" t="s">
        <v>1068</v>
      </c>
      <c r="G11877" t="s">
        <v>1080</v>
      </c>
      <c r="H11877" s="170">
        <v>-3.6171494697323099E-9</v>
      </c>
      <c r="I11877" t="s">
        <v>1082</v>
      </c>
      <c r="J11877">
        <v>10.83</v>
      </c>
    </row>
    <row r="11878" spans="1:10" hidden="1">
      <c r="A11878" t="s">
        <v>6819</v>
      </c>
      <c r="B11878" t="s">
        <v>6820</v>
      </c>
      <c r="C11878" t="s">
        <v>5111</v>
      </c>
      <c r="D11878" t="s">
        <v>1707</v>
      </c>
      <c r="E11878" t="s">
        <v>561</v>
      </c>
      <c r="F11878" t="s">
        <v>1068</v>
      </c>
      <c r="G11878" t="s">
        <v>1083</v>
      </c>
      <c r="H11878" s="170">
        <v>-8.6610768206081104E-5</v>
      </c>
      <c r="I11878" t="s">
        <v>1084</v>
      </c>
      <c r="J11878">
        <v>10.83</v>
      </c>
    </row>
    <row r="11879" spans="1:10" hidden="1">
      <c r="A11879" t="s">
        <v>6819</v>
      </c>
      <c r="B11879" t="s">
        <v>6820</v>
      </c>
      <c r="C11879" t="s">
        <v>5111</v>
      </c>
      <c r="D11879" t="s">
        <v>1707</v>
      </c>
      <c r="E11879" t="s">
        <v>561</v>
      </c>
      <c r="F11879" t="s">
        <v>1068</v>
      </c>
      <c r="G11879" t="s">
        <v>1085</v>
      </c>
      <c r="H11879">
        <v>-7.5844662975002998E-4</v>
      </c>
      <c r="I11879" t="s">
        <v>1086</v>
      </c>
      <c r="J11879">
        <v>10.83</v>
      </c>
    </row>
    <row r="11880" spans="1:10" hidden="1">
      <c r="A11880" t="s">
        <v>6819</v>
      </c>
      <c r="B11880" t="s">
        <v>6820</v>
      </c>
      <c r="C11880" t="s">
        <v>5111</v>
      </c>
      <c r="D11880" t="s">
        <v>1707</v>
      </c>
      <c r="E11880" t="s">
        <v>561</v>
      </c>
      <c r="F11880" t="s">
        <v>1068</v>
      </c>
      <c r="G11880" t="s">
        <v>1087</v>
      </c>
      <c r="H11880" s="170">
        <v>-5.6277393561155602E-7</v>
      </c>
      <c r="I11880" t="s">
        <v>1088</v>
      </c>
      <c r="J11880">
        <v>10.83</v>
      </c>
    </row>
    <row r="11881" spans="1:10" hidden="1">
      <c r="A11881" t="s">
        <v>6819</v>
      </c>
      <c r="B11881" t="s">
        <v>6820</v>
      </c>
      <c r="C11881" t="s">
        <v>5111</v>
      </c>
      <c r="D11881" t="s">
        <v>1707</v>
      </c>
      <c r="E11881" t="s">
        <v>561</v>
      </c>
      <c r="F11881" t="s">
        <v>1068</v>
      </c>
      <c r="G11881" t="s">
        <v>1089</v>
      </c>
      <c r="H11881">
        <v>-1.19529390821349E-4</v>
      </c>
      <c r="I11881" t="s">
        <v>1090</v>
      </c>
      <c r="J11881">
        <v>10.83</v>
      </c>
    </row>
    <row r="11882" spans="1:10" hidden="1">
      <c r="A11882" t="s">
        <v>6821</v>
      </c>
      <c r="B11882" t="s">
        <v>6822</v>
      </c>
      <c r="C11882" t="s">
        <v>5111</v>
      </c>
      <c r="D11882" t="s">
        <v>1707</v>
      </c>
      <c r="E11882" t="s">
        <v>555</v>
      </c>
      <c r="F11882" t="s">
        <v>1068</v>
      </c>
      <c r="G11882" t="s">
        <v>1069</v>
      </c>
      <c r="H11882">
        <v>-0.71807944636308596</v>
      </c>
      <c r="I11882" t="s">
        <v>1070</v>
      </c>
      <c r="J11882">
        <v>10.78</v>
      </c>
    </row>
    <row r="11883" spans="1:10" hidden="1">
      <c r="A11883" t="s">
        <v>6821</v>
      </c>
      <c r="B11883" t="s">
        <v>6822</v>
      </c>
      <c r="C11883" t="s">
        <v>5111</v>
      </c>
      <c r="D11883" t="s">
        <v>1707</v>
      </c>
      <c r="E11883" t="s">
        <v>555</v>
      </c>
      <c r="F11883" t="s">
        <v>1068</v>
      </c>
      <c r="G11883" t="s">
        <v>1071</v>
      </c>
      <c r="H11883" s="170">
        <v>-7.2745128553717196E-10</v>
      </c>
      <c r="I11883" t="s">
        <v>1072</v>
      </c>
      <c r="J11883">
        <v>10.78</v>
      </c>
    </row>
    <row r="11884" spans="1:10" hidden="1">
      <c r="A11884" t="s">
        <v>6821</v>
      </c>
      <c r="B11884" t="s">
        <v>6822</v>
      </c>
      <c r="C11884" t="s">
        <v>5111</v>
      </c>
      <c r="D11884" t="s">
        <v>1707</v>
      </c>
      <c r="E11884" t="s">
        <v>555</v>
      </c>
      <c r="F11884" t="s">
        <v>1068</v>
      </c>
      <c r="G11884" t="s">
        <v>1073</v>
      </c>
      <c r="H11884" s="170">
        <v>-2.50268750427019E-7</v>
      </c>
      <c r="I11884" t="s">
        <v>1074</v>
      </c>
      <c r="J11884">
        <v>10.78</v>
      </c>
    </row>
    <row r="11885" spans="1:10" hidden="1">
      <c r="A11885" t="s">
        <v>6821</v>
      </c>
      <c r="B11885" t="s">
        <v>6822</v>
      </c>
      <c r="C11885" t="s">
        <v>5111</v>
      </c>
      <c r="D11885" t="s">
        <v>1707</v>
      </c>
      <c r="E11885" t="s">
        <v>555</v>
      </c>
      <c r="F11885" t="s">
        <v>1068</v>
      </c>
      <c r="G11885" t="s">
        <v>1075</v>
      </c>
      <c r="H11885">
        <v>-1.2961079505962E-2</v>
      </c>
      <c r="I11885" t="s">
        <v>1077</v>
      </c>
      <c r="J11885">
        <v>10.78</v>
      </c>
    </row>
    <row r="11886" spans="1:10" hidden="1">
      <c r="A11886" t="s">
        <v>6821</v>
      </c>
      <c r="B11886" t="s">
        <v>6822</v>
      </c>
      <c r="C11886" t="s">
        <v>5111</v>
      </c>
      <c r="D11886" t="s">
        <v>1707</v>
      </c>
      <c r="E11886" t="s">
        <v>555</v>
      </c>
      <c r="F11886" t="s">
        <v>1068</v>
      </c>
      <c r="G11886" t="s">
        <v>1078</v>
      </c>
      <c r="H11886">
        <v>-1.02076905583887</v>
      </c>
      <c r="I11886" t="s">
        <v>1079</v>
      </c>
      <c r="J11886">
        <v>10.78</v>
      </c>
    </row>
    <row r="11887" spans="1:10" hidden="1">
      <c r="A11887" t="s">
        <v>6821</v>
      </c>
      <c r="B11887" t="s">
        <v>6822</v>
      </c>
      <c r="C11887" t="s">
        <v>5111</v>
      </c>
      <c r="D11887" t="s">
        <v>1707</v>
      </c>
      <c r="E11887" t="s">
        <v>555</v>
      </c>
      <c r="F11887" t="s">
        <v>1068</v>
      </c>
      <c r="G11887" t="s">
        <v>1080</v>
      </c>
      <c r="H11887" s="170">
        <v>-4.0662390008139903E-9</v>
      </c>
      <c r="I11887" t="s">
        <v>1082</v>
      </c>
      <c r="J11887">
        <v>10.78</v>
      </c>
    </row>
    <row r="11888" spans="1:10" hidden="1">
      <c r="A11888" t="s">
        <v>6821</v>
      </c>
      <c r="B11888" t="s">
        <v>6822</v>
      </c>
      <c r="C11888" t="s">
        <v>5111</v>
      </c>
      <c r="D11888" t="s">
        <v>1707</v>
      </c>
      <c r="E11888" t="s">
        <v>555</v>
      </c>
      <c r="F11888" t="s">
        <v>1068</v>
      </c>
      <c r="G11888" t="s">
        <v>1083</v>
      </c>
      <c r="H11888" s="170">
        <v>-9.8891089762806602E-5</v>
      </c>
      <c r="I11888" t="s">
        <v>1084</v>
      </c>
      <c r="J11888">
        <v>10.78</v>
      </c>
    </row>
    <row r="11889" spans="1:10" hidden="1">
      <c r="A11889" t="s">
        <v>6821</v>
      </c>
      <c r="B11889" t="s">
        <v>6822</v>
      </c>
      <c r="C11889" t="s">
        <v>5111</v>
      </c>
      <c r="D11889" t="s">
        <v>1707</v>
      </c>
      <c r="E11889" t="s">
        <v>555</v>
      </c>
      <c r="F11889" t="s">
        <v>1068</v>
      </c>
      <c r="G11889" t="s">
        <v>1085</v>
      </c>
      <c r="H11889">
        <v>-8.9723918707150497E-4</v>
      </c>
      <c r="I11889" t="s">
        <v>1086</v>
      </c>
      <c r="J11889">
        <v>10.78</v>
      </c>
    </row>
    <row r="11890" spans="1:10" hidden="1">
      <c r="A11890" t="s">
        <v>6821</v>
      </c>
      <c r="B11890" t="s">
        <v>6822</v>
      </c>
      <c r="C11890" t="s">
        <v>5111</v>
      </c>
      <c r="D11890" t="s">
        <v>1707</v>
      </c>
      <c r="E11890" t="s">
        <v>555</v>
      </c>
      <c r="F11890" t="s">
        <v>1068</v>
      </c>
      <c r="G11890" t="s">
        <v>1087</v>
      </c>
      <c r="H11890" s="170">
        <v>-6.2975585758252304E-7</v>
      </c>
      <c r="I11890" t="s">
        <v>1088</v>
      </c>
      <c r="J11890">
        <v>10.78</v>
      </c>
    </row>
    <row r="11891" spans="1:10" hidden="1">
      <c r="A11891" t="s">
        <v>6821</v>
      </c>
      <c r="B11891" t="s">
        <v>6822</v>
      </c>
      <c r="C11891" t="s">
        <v>5111</v>
      </c>
      <c r="D11891" t="s">
        <v>1707</v>
      </c>
      <c r="E11891" t="s">
        <v>555</v>
      </c>
      <c r="F11891" t="s">
        <v>1068</v>
      </c>
      <c r="G11891" t="s">
        <v>1089</v>
      </c>
      <c r="H11891">
        <v>-1.48162021280694E-4</v>
      </c>
      <c r="I11891" t="s">
        <v>1090</v>
      </c>
      <c r="J11891">
        <v>10.78</v>
      </c>
    </row>
    <row r="11892" spans="1:10" hidden="1">
      <c r="A11892" t="s">
        <v>6823</v>
      </c>
      <c r="B11892" t="s">
        <v>6824</v>
      </c>
      <c r="C11892" t="s">
        <v>5111</v>
      </c>
      <c r="D11892" t="s">
        <v>1707</v>
      </c>
      <c r="E11892" t="s">
        <v>558</v>
      </c>
      <c r="F11892" t="s">
        <v>1068</v>
      </c>
      <c r="G11892" t="s">
        <v>1069</v>
      </c>
      <c r="H11892">
        <v>-0.63013549151737003</v>
      </c>
      <c r="I11892" t="s">
        <v>1070</v>
      </c>
      <c r="J11892">
        <v>11.49</v>
      </c>
    </row>
    <row r="11893" spans="1:10" hidden="1">
      <c r="A11893" t="s">
        <v>6823</v>
      </c>
      <c r="B11893" t="s">
        <v>6824</v>
      </c>
      <c r="C11893" t="s">
        <v>5111</v>
      </c>
      <c r="D11893" t="s">
        <v>1707</v>
      </c>
      <c r="E11893" t="s">
        <v>558</v>
      </c>
      <c r="F11893" t="s">
        <v>1068</v>
      </c>
      <c r="G11893" t="s">
        <v>1071</v>
      </c>
      <c r="H11893" s="170">
        <v>-6.0160253350983298E-10</v>
      </c>
      <c r="I11893" t="s">
        <v>1072</v>
      </c>
      <c r="J11893">
        <v>11.49</v>
      </c>
    </row>
    <row r="11894" spans="1:10" hidden="1">
      <c r="A11894" t="s">
        <v>6823</v>
      </c>
      <c r="B11894" t="s">
        <v>6824</v>
      </c>
      <c r="C11894" t="s">
        <v>5111</v>
      </c>
      <c r="D11894" t="s">
        <v>1707</v>
      </c>
      <c r="E11894" t="s">
        <v>558</v>
      </c>
      <c r="F11894" t="s">
        <v>1068</v>
      </c>
      <c r="G11894" t="s">
        <v>1073</v>
      </c>
      <c r="H11894" s="170">
        <v>-2.19030581476195E-7</v>
      </c>
      <c r="I11894" t="s">
        <v>1074</v>
      </c>
      <c r="J11894">
        <v>11.49</v>
      </c>
    </row>
    <row r="11895" spans="1:10" hidden="1">
      <c r="A11895" t="s">
        <v>6823</v>
      </c>
      <c r="B11895" t="s">
        <v>6824</v>
      </c>
      <c r="C11895" t="s">
        <v>5111</v>
      </c>
      <c r="D11895" t="s">
        <v>1707</v>
      </c>
      <c r="E11895" t="s">
        <v>558</v>
      </c>
      <c r="F11895" t="s">
        <v>1068</v>
      </c>
      <c r="G11895" t="s">
        <v>1075</v>
      </c>
      <c r="H11895">
        <v>-1.0181055379296901E-2</v>
      </c>
      <c r="I11895" t="s">
        <v>1077</v>
      </c>
      <c r="J11895">
        <v>11.49</v>
      </c>
    </row>
    <row r="11896" spans="1:10" hidden="1">
      <c r="A11896" t="s">
        <v>6823</v>
      </c>
      <c r="B11896" t="s">
        <v>6824</v>
      </c>
      <c r="C11896" t="s">
        <v>5111</v>
      </c>
      <c r="D11896" t="s">
        <v>1707</v>
      </c>
      <c r="E11896" t="s">
        <v>558</v>
      </c>
      <c r="F11896" t="s">
        <v>1068</v>
      </c>
      <c r="G11896" t="s">
        <v>1078</v>
      </c>
      <c r="H11896">
        <v>-0.90055008858352303</v>
      </c>
      <c r="I11896" t="s">
        <v>1079</v>
      </c>
      <c r="J11896">
        <v>11.49</v>
      </c>
    </row>
    <row r="11897" spans="1:10" hidden="1">
      <c r="A11897" t="s">
        <v>6823</v>
      </c>
      <c r="B11897" t="s">
        <v>6824</v>
      </c>
      <c r="C11897" t="s">
        <v>5111</v>
      </c>
      <c r="D11897" t="s">
        <v>1707</v>
      </c>
      <c r="E11897" t="s">
        <v>558</v>
      </c>
      <c r="F11897" t="s">
        <v>1068</v>
      </c>
      <c r="G11897" t="s">
        <v>1080</v>
      </c>
      <c r="H11897" s="170">
        <v>-3.5773862943125099E-9</v>
      </c>
      <c r="I11897" t="s">
        <v>1082</v>
      </c>
      <c r="J11897">
        <v>11.49</v>
      </c>
    </row>
    <row r="11898" spans="1:10" hidden="1">
      <c r="A11898" t="s">
        <v>6823</v>
      </c>
      <c r="B11898" t="s">
        <v>6824</v>
      </c>
      <c r="C11898" t="s">
        <v>5111</v>
      </c>
      <c r="D11898" t="s">
        <v>1707</v>
      </c>
      <c r="E11898" t="s">
        <v>558</v>
      </c>
      <c r="F11898" t="s">
        <v>1068</v>
      </c>
      <c r="G11898" t="s">
        <v>1083</v>
      </c>
      <c r="H11898" s="170">
        <v>-8.55234469819078E-5</v>
      </c>
      <c r="I11898" t="s">
        <v>1084</v>
      </c>
      <c r="J11898">
        <v>11.49</v>
      </c>
    </row>
    <row r="11899" spans="1:10" hidden="1">
      <c r="A11899" t="s">
        <v>6823</v>
      </c>
      <c r="B11899" t="s">
        <v>6824</v>
      </c>
      <c r="C11899" t="s">
        <v>5111</v>
      </c>
      <c r="D11899" t="s">
        <v>1707</v>
      </c>
      <c r="E11899" t="s">
        <v>558</v>
      </c>
      <c r="F11899" t="s">
        <v>1068</v>
      </c>
      <c r="G11899" t="s">
        <v>1085</v>
      </c>
      <c r="H11899">
        <v>-7.4615769311890299E-4</v>
      </c>
      <c r="I11899" t="s">
        <v>1086</v>
      </c>
      <c r="J11899">
        <v>11.49</v>
      </c>
    </row>
    <row r="11900" spans="1:10" hidden="1">
      <c r="A11900" t="s">
        <v>6823</v>
      </c>
      <c r="B11900" t="s">
        <v>6824</v>
      </c>
      <c r="C11900" t="s">
        <v>5111</v>
      </c>
      <c r="D11900" t="s">
        <v>1707</v>
      </c>
      <c r="E11900" t="s">
        <v>558</v>
      </c>
      <c r="F11900" t="s">
        <v>1068</v>
      </c>
      <c r="G11900" t="s">
        <v>1087</v>
      </c>
      <c r="H11900" s="170">
        <v>-5.5684323868190699E-7</v>
      </c>
      <c r="I11900" t="s">
        <v>1088</v>
      </c>
      <c r="J11900">
        <v>11.49</v>
      </c>
    </row>
    <row r="11901" spans="1:10" hidden="1">
      <c r="A11901" t="s">
        <v>6823</v>
      </c>
      <c r="B11901" t="s">
        <v>6824</v>
      </c>
      <c r="C11901" t="s">
        <v>5111</v>
      </c>
      <c r="D11901" t="s">
        <v>1707</v>
      </c>
      <c r="E11901" t="s">
        <v>558</v>
      </c>
      <c r="F11901" t="s">
        <v>1068</v>
      </c>
      <c r="G11901" t="s">
        <v>1089</v>
      </c>
      <c r="H11901">
        <v>-1.1699420746175401E-4</v>
      </c>
      <c r="I11901" t="s">
        <v>1090</v>
      </c>
      <c r="J11901">
        <v>11.49</v>
      </c>
    </row>
    <row r="11902" spans="1:10" hidden="1">
      <c r="A11902" t="s">
        <v>6825</v>
      </c>
      <c r="B11902" t="s">
        <v>6826</v>
      </c>
      <c r="C11902" t="s">
        <v>5111</v>
      </c>
      <c r="D11902" t="s">
        <v>1707</v>
      </c>
      <c r="E11902" t="s">
        <v>553</v>
      </c>
      <c r="F11902" t="s">
        <v>1068</v>
      </c>
      <c r="G11902" t="s">
        <v>1069</v>
      </c>
      <c r="H11902">
        <v>-0.62312882604389896</v>
      </c>
      <c r="I11902" t="s">
        <v>1070</v>
      </c>
      <c r="J11902">
        <v>10.56</v>
      </c>
    </row>
    <row r="11903" spans="1:10" hidden="1">
      <c r="A11903" t="s">
        <v>6825</v>
      </c>
      <c r="B11903" t="s">
        <v>6826</v>
      </c>
      <c r="C11903" t="s">
        <v>5111</v>
      </c>
      <c r="D11903" t="s">
        <v>1707</v>
      </c>
      <c r="E11903" t="s">
        <v>553</v>
      </c>
      <c r="F11903" t="s">
        <v>1068</v>
      </c>
      <c r="G11903" t="s">
        <v>1071</v>
      </c>
      <c r="H11903" s="170">
        <v>-5.9157586761816997E-10</v>
      </c>
      <c r="I11903" t="s">
        <v>1072</v>
      </c>
      <c r="J11903">
        <v>10.56</v>
      </c>
    </row>
    <row r="11904" spans="1:10" hidden="1">
      <c r="A11904" t="s">
        <v>6825</v>
      </c>
      <c r="B11904" t="s">
        <v>6826</v>
      </c>
      <c r="C11904" t="s">
        <v>5111</v>
      </c>
      <c r="D11904" t="s">
        <v>1707</v>
      </c>
      <c r="E11904" t="s">
        <v>553</v>
      </c>
      <c r="F11904" t="s">
        <v>1068</v>
      </c>
      <c r="G11904" t="s">
        <v>1073</v>
      </c>
      <c r="H11904" s="170">
        <v>-2.16541989647589E-7</v>
      </c>
      <c r="I11904" t="s">
        <v>1074</v>
      </c>
      <c r="J11904">
        <v>10.56</v>
      </c>
    </row>
    <row r="11905" spans="1:10" hidden="1">
      <c r="A11905" t="s">
        <v>6825</v>
      </c>
      <c r="B11905" t="s">
        <v>6826</v>
      </c>
      <c r="C11905" t="s">
        <v>5111</v>
      </c>
      <c r="D11905" t="s">
        <v>1707</v>
      </c>
      <c r="E11905" t="s">
        <v>553</v>
      </c>
      <c r="F11905" t="s">
        <v>1068</v>
      </c>
      <c r="G11905" t="s">
        <v>1075</v>
      </c>
      <c r="H11905">
        <v>-9.9595889648231399E-3</v>
      </c>
      <c r="I11905" t="s">
        <v>1077</v>
      </c>
      <c r="J11905">
        <v>10.56</v>
      </c>
    </row>
    <row r="11906" spans="1:10" hidden="1">
      <c r="A11906" t="s">
        <v>6825</v>
      </c>
      <c r="B11906" t="s">
        <v>6826</v>
      </c>
      <c r="C11906" t="s">
        <v>5111</v>
      </c>
      <c r="D11906" t="s">
        <v>1707</v>
      </c>
      <c r="E11906" t="s">
        <v>553</v>
      </c>
      <c r="F11906" t="s">
        <v>1068</v>
      </c>
      <c r="G11906" t="s">
        <v>1078</v>
      </c>
      <c r="H11906">
        <v>-0.89097302690825297</v>
      </c>
      <c r="I11906" t="s">
        <v>1079</v>
      </c>
      <c r="J11906">
        <v>10.56</v>
      </c>
    </row>
    <row r="11907" spans="1:10" hidden="1">
      <c r="A11907" t="s">
        <v>6825</v>
      </c>
      <c r="B11907" t="s">
        <v>6826</v>
      </c>
      <c r="C11907" t="s">
        <v>5111</v>
      </c>
      <c r="D11907" t="s">
        <v>1707</v>
      </c>
      <c r="E11907" t="s">
        <v>553</v>
      </c>
      <c r="F11907" t="s">
        <v>1068</v>
      </c>
      <c r="G11907" t="s">
        <v>1080</v>
      </c>
      <c r="H11907" s="170">
        <v>-3.5384425834454099E-9</v>
      </c>
      <c r="I11907" t="s">
        <v>1082</v>
      </c>
      <c r="J11907">
        <v>10.56</v>
      </c>
    </row>
    <row r="11908" spans="1:10" hidden="1">
      <c r="A11908" t="s">
        <v>6825</v>
      </c>
      <c r="B11908" t="s">
        <v>6826</v>
      </c>
      <c r="C11908" t="s">
        <v>5111</v>
      </c>
      <c r="D11908" t="s">
        <v>1707</v>
      </c>
      <c r="E11908" t="s">
        <v>553</v>
      </c>
      <c r="F11908" t="s">
        <v>1068</v>
      </c>
      <c r="G11908" t="s">
        <v>1083</v>
      </c>
      <c r="H11908" s="170">
        <v>-8.4458533997610897E-5</v>
      </c>
      <c r="I11908" t="s">
        <v>1084</v>
      </c>
      <c r="J11908">
        <v>10.56</v>
      </c>
    </row>
    <row r="11909" spans="1:10" hidden="1">
      <c r="A11909" t="s">
        <v>6825</v>
      </c>
      <c r="B11909" t="s">
        <v>6826</v>
      </c>
      <c r="C11909" t="s">
        <v>5111</v>
      </c>
      <c r="D11909" t="s">
        <v>1707</v>
      </c>
      <c r="E11909" t="s">
        <v>553</v>
      </c>
      <c r="F11909" t="s">
        <v>1068</v>
      </c>
      <c r="G11909" t="s">
        <v>1085</v>
      </c>
      <c r="H11909">
        <v>-7.3412201499704704E-4</v>
      </c>
      <c r="I11909" t="s">
        <v>1086</v>
      </c>
      <c r="J11909">
        <v>10.56</v>
      </c>
    </row>
    <row r="11910" spans="1:10" hidden="1">
      <c r="A11910" t="s">
        <v>6825</v>
      </c>
      <c r="B11910" t="s">
        <v>6826</v>
      </c>
      <c r="C11910" t="s">
        <v>5111</v>
      </c>
      <c r="D11910" t="s">
        <v>1707</v>
      </c>
      <c r="E11910" t="s">
        <v>553</v>
      </c>
      <c r="F11910" t="s">
        <v>1068</v>
      </c>
      <c r="G11910" t="s">
        <v>1087</v>
      </c>
      <c r="H11910" s="170">
        <v>-5.5103476554395599E-7</v>
      </c>
      <c r="I11910" t="s">
        <v>1088</v>
      </c>
      <c r="J11910">
        <v>10.56</v>
      </c>
    </row>
    <row r="11911" spans="1:10" hidden="1">
      <c r="A11911" t="s">
        <v>6825</v>
      </c>
      <c r="B11911" t="s">
        <v>6826</v>
      </c>
      <c r="C11911" t="s">
        <v>5111</v>
      </c>
      <c r="D11911" t="s">
        <v>1707</v>
      </c>
      <c r="E11911" t="s">
        <v>553</v>
      </c>
      <c r="F11911" t="s">
        <v>1068</v>
      </c>
      <c r="G11911" t="s">
        <v>1089</v>
      </c>
      <c r="H11911">
        <v>-1.1451127079509499E-4</v>
      </c>
      <c r="I11911" t="s">
        <v>1090</v>
      </c>
      <c r="J11911">
        <v>10.56</v>
      </c>
    </row>
    <row r="11912" spans="1:10" hidden="1">
      <c r="A11912" t="s">
        <v>6827</v>
      </c>
      <c r="B11912" t="s">
        <v>6828</v>
      </c>
      <c r="C11912" t="s">
        <v>5111</v>
      </c>
      <c r="D11912" t="s">
        <v>1707</v>
      </c>
      <c r="E11912" t="s">
        <v>556</v>
      </c>
      <c r="F11912" t="s">
        <v>1068</v>
      </c>
      <c r="G11912" t="s">
        <v>1069</v>
      </c>
      <c r="H11912">
        <v>-0.70915482410450104</v>
      </c>
      <c r="I11912" t="s">
        <v>1070</v>
      </c>
      <c r="J11912">
        <v>10</v>
      </c>
    </row>
    <row r="11913" spans="1:10" hidden="1">
      <c r="A11913" t="s">
        <v>6827</v>
      </c>
      <c r="B11913" t="s">
        <v>6828</v>
      </c>
      <c r="C11913" t="s">
        <v>5111</v>
      </c>
      <c r="D11913" t="s">
        <v>1707</v>
      </c>
      <c r="E11913" t="s">
        <v>556</v>
      </c>
      <c r="F11913" t="s">
        <v>1068</v>
      </c>
      <c r="G11913" t="s">
        <v>1071</v>
      </c>
      <c r="H11913" s="170">
        <v>-7.1468004955082601E-10</v>
      </c>
      <c r="I11913" t="s">
        <v>1072</v>
      </c>
      <c r="J11913">
        <v>10</v>
      </c>
    </row>
    <row r="11914" spans="1:10" hidden="1">
      <c r="A11914" t="s">
        <v>6827</v>
      </c>
      <c r="B11914" t="s">
        <v>6828</v>
      </c>
      <c r="C11914" t="s">
        <v>5111</v>
      </c>
      <c r="D11914" t="s">
        <v>1707</v>
      </c>
      <c r="E11914" t="s">
        <v>556</v>
      </c>
      <c r="F11914" t="s">
        <v>1068</v>
      </c>
      <c r="G11914" t="s">
        <v>1073</v>
      </c>
      <c r="H11914" s="170">
        <v>-2.4709869636155E-7</v>
      </c>
      <c r="I11914" t="s">
        <v>1074</v>
      </c>
      <c r="J11914">
        <v>10</v>
      </c>
    </row>
    <row r="11915" spans="1:10" hidden="1">
      <c r="A11915" t="s">
        <v>6827</v>
      </c>
      <c r="B11915" t="s">
        <v>6828</v>
      </c>
      <c r="C11915" t="s">
        <v>5111</v>
      </c>
      <c r="D11915" t="s">
        <v>1707</v>
      </c>
      <c r="E11915" t="s">
        <v>556</v>
      </c>
      <c r="F11915" t="s">
        <v>1068</v>
      </c>
      <c r="G11915" t="s">
        <v>1075</v>
      </c>
      <c r="H11915">
        <v>-1.26789626624647E-2</v>
      </c>
      <c r="I11915" t="s">
        <v>1077</v>
      </c>
      <c r="J11915">
        <v>10</v>
      </c>
    </row>
    <row r="11916" spans="1:10" hidden="1">
      <c r="A11916" t="s">
        <v>6827</v>
      </c>
      <c r="B11916" t="s">
        <v>6828</v>
      </c>
      <c r="C11916" t="s">
        <v>5111</v>
      </c>
      <c r="D11916" t="s">
        <v>1707</v>
      </c>
      <c r="E11916" t="s">
        <v>556</v>
      </c>
      <c r="F11916" t="s">
        <v>1068</v>
      </c>
      <c r="G11916" t="s">
        <v>1078</v>
      </c>
      <c r="H11916">
        <v>-1.00856923529019</v>
      </c>
      <c r="I11916" t="s">
        <v>1079</v>
      </c>
      <c r="J11916">
        <v>10</v>
      </c>
    </row>
    <row r="11917" spans="1:10" hidden="1">
      <c r="A11917" t="s">
        <v>6827</v>
      </c>
      <c r="B11917" t="s">
        <v>6828</v>
      </c>
      <c r="C11917" t="s">
        <v>5111</v>
      </c>
      <c r="D11917" t="s">
        <v>1707</v>
      </c>
      <c r="E11917" t="s">
        <v>556</v>
      </c>
      <c r="F11917" t="s">
        <v>1068</v>
      </c>
      <c r="G11917" t="s">
        <v>1080</v>
      </c>
      <c r="H11917" s="170">
        <v>-4.01663022902681E-9</v>
      </c>
      <c r="I11917" t="s">
        <v>1082</v>
      </c>
      <c r="J11917">
        <v>10</v>
      </c>
    </row>
    <row r="11918" spans="1:10" hidden="1">
      <c r="A11918" t="s">
        <v>6827</v>
      </c>
      <c r="B11918" t="s">
        <v>6828</v>
      </c>
      <c r="C11918" t="s">
        <v>5111</v>
      </c>
      <c r="D11918" t="s">
        <v>1707</v>
      </c>
      <c r="E11918" t="s">
        <v>556</v>
      </c>
      <c r="F11918" t="s">
        <v>1068</v>
      </c>
      <c r="G11918" t="s">
        <v>1083</v>
      </c>
      <c r="H11918" s="170">
        <v>-9.7534541401158597E-5</v>
      </c>
      <c r="I11918" t="s">
        <v>1084</v>
      </c>
      <c r="J11918">
        <v>10</v>
      </c>
    </row>
    <row r="11919" spans="1:10" hidden="1">
      <c r="A11919" t="s">
        <v>6827</v>
      </c>
      <c r="B11919" t="s">
        <v>6828</v>
      </c>
      <c r="C11919" t="s">
        <v>5111</v>
      </c>
      <c r="D11919" t="s">
        <v>1707</v>
      </c>
      <c r="E11919" t="s">
        <v>556</v>
      </c>
      <c r="F11919" t="s">
        <v>1068</v>
      </c>
      <c r="G11919" t="s">
        <v>1085</v>
      </c>
      <c r="H11919">
        <v>-8.8190743737073601E-4</v>
      </c>
      <c r="I11919" t="s">
        <v>1086</v>
      </c>
      <c r="J11919">
        <v>10</v>
      </c>
    </row>
    <row r="11920" spans="1:10" hidden="1">
      <c r="A11920" t="s">
        <v>6827</v>
      </c>
      <c r="B11920" t="s">
        <v>6828</v>
      </c>
      <c r="C11920" t="s">
        <v>5111</v>
      </c>
      <c r="D11920" t="s">
        <v>1707</v>
      </c>
      <c r="E11920" t="s">
        <v>556</v>
      </c>
      <c r="F11920" t="s">
        <v>1068</v>
      </c>
      <c r="G11920" t="s">
        <v>1087</v>
      </c>
      <c r="H11920" s="170">
        <v>-6.2235668517193696E-7</v>
      </c>
      <c r="I11920" t="s">
        <v>1088</v>
      </c>
      <c r="J11920">
        <v>10</v>
      </c>
    </row>
    <row r="11921" spans="1:10" hidden="1">
      <c r="A11921" t="s">
        <v>6827</v>
      </c>
      <c r="B11921" t="s">
        <v>6828</v>
      </c>
      <c r="C11921" t="s">
        <v>5111</v>
      </c>
      <c r="D11921" t="s">
        <v>1707</v>
      </c>
      <c r="E11921" t="s">
        <v>556</v>
      </c>
      <c r="F11921" t="s">
        <v>1068</v>
      </c>
      <c r="G11921" t="s">
        <v>1089</v>
      </c>
      <c r="H11921">
        <v>-1.44999111593586E-4</v>
      </c>
      <c r="I11921" t="s">
        <v>1090</v>
      </c>
      <c r="J11921">
        <v>10</v>
      </c>
    </row>
    <row r="11922" spans="1:10" hidden="1">
      <c r="A11922" t="s">
        <v>6829</v>
      </c>
      <c r="B11922" t="s">
        <v>6830</v>
      </c>
      <c r="C11922" t="s">
        <v>5111</v>
      </c>
      <c r="D11922" t="s">
        <v>1707</v>
      </c>
      <c r="E11922" t="s">
        <v>557</v>
      </c>
      <c r="F11922" t="s">
        <v>1068</v>
      </c>
      <c r="G11922" t="s">
        <v>1069</v>
      </c>
      <c r="H11922">
        <v>-0.65968213805643405</v>
      </c>
      <c r="I11922" t="s">
        <v>1070</v>
      </c>
      <c r="J11922">
        <v>11.17</v>
      </c>
    </row>
    <row r="11923" spans="1:10" hidden="1">
      <c r="A11923" t="s">
        <v>6829</v>
      </c>
      <c r="B11923" t="s">
        <v>6830</v>
      </c>
      <c r="C11923" t="s">
        <v>5111</v>
      </c>
      <c r="D11923" t="s">
        <v>1707</v>
      </c>
      <c r="E11923" t="s">
        <v>557</v>
      </c>
      <c r="F11923" t="s">
        <v>1068</v>
      </c>
      <c r="G11923" t="s">
        <v>1071</v>
      </c>
      <c r="H11923" s="170">
        <v>-6.4388412085601996E-10</v>
      </c>
      <c r="I11923" t="s">
        <v>1072</v>
      </c>
      <c r="J11923">
        <v>11.17</v>
      </c>
    </row>
    <row r="11924" spans="1:10" hidden="1">
      <c r="A11924" t="s">
        <v>6829</v>
      </c>
      <c r="B11924" t="s">
        <v>6830</v>
      </c>
      <c r="C11924" t="s">
        <v>5111</v>
      </c>
      <c r="D11924" t="s">
        <v>1707</v>
      </c>
      <c r="E11924" t="s">
        <v>557</v>
      </c>
      <c r="F11924" t="s">
        <v>1068</v>
      </c>
      <c r="G11924" t="s">
        <v>1073</v>
      </c>
      <c r="H11924" s="170">
        <v>-2.29525643818153E-7</v>
      </c>
      <c r="I11924" t="s">
        <v>1074</v>
      </c>
      <c r="J11924">
        <v>11.17</v>
      </c>
    </row>
    <row r="11925" spans="1:10" hidden="1">
      <c r="A11925" t="s">
        <v>6829</v>
      </c>
      <c r="B11925" t="s">
        <v>6830</v>
      </c>
      <c r="C11925" t="s">
        <v>5111</v>
      </c>
      <c r="D11925" t="s">
        <v>1707</v>
      </c>
      <c r="E11925" t="s">
        <v>557</v>
      </c>
      <c r="F11925" t="s">
        <v>1068</v>
      </c>
      <c r="G11925" t="s">
        <v>1075</v>
      </c>
      <c r="H11925">
        <v>-1.11150564401772E-2</v>
      </c>
      <c r="I11925" t="s">
        <v>1077</v>
      </c>
      <c r="J11925">
        <v>11.17</v>
      </c>
    </row>
    <row r="11926" spans="1:10" hidden="1">
      <c r="A11926" t="s">
        <v>6829</v>
      </c>
      <c r="B11926" t="s">
        <v>6830</v>
      </c>
      <c r="C11926" t="s">
        <v>5111</v>
      </c>
      <c r="D11926" t="s">
        <v>1707</v>
      </c>
      <c r="E11926" t="s">
        <v>557</v>
      </c>
      <c r="F11926" t="s">
        <v>1068</v>
      </c>
      <c r="G11926" t="s">
        <v>1078</v>
      </c>
      <c r="H11926">
        <v>-0.94093989726613403</v>
      </c>
      <c r="I11926" t="s">
        <v>1079</v>
      </c>
      <c r="J11926">
        <v>11.17</v>
      </c>
    </row>
    <row r="11927" spans="1:10" hidden="1">
      <c r="A11927" t="s">
        <v>6829</v>
      </c>
      <c r="B11927" t="s">
        <v>6830</v>
      </c>
      <c r="C11927" t="s">
        <v>5111</v>
      </c>
      <c r="D11927" t="s">
        <v>1707</v>
      </c>
      <c r="E11927" t="s">
        <v>557</v>
      </c>
      <c r="F11927" t="s">
        <v>1068</v>
      </c>
      <c r="G11927" t="s">
        <v>1080</v>
      </c>
      <c r="H11927" s="170">
        <v>-3.7416254971334199E-9</v>
      </c>
      <c r="I11927" t="s">
        <v>1082</v>
      </c>
      <c r="J11927">
        <v>11.17</v>
      </c>
    </row>
    <row r="11928" spans="1:10" hidden="1">
      <c r="A11928" t="s">
        <v>6829</v>
      </c>
      <c r="B11928" t="s">
        <v>6830</v>
      </c>
      <c r="C11928" t="s">
        <v>5111</v>
      </c>
      <c r="D11928" t="s">
        <v>1707</v>
      </c>
      <c r="E11928" t="s">
        <v>557</v>
      </c>
      <c r="F11928" t="s">
        <v>1068</v>
      </c>
      <c r="G11928" t="s">
        <v>1083</v>
      </c>
      <c r="H11928" s="170">
        <v>-9.0014556386101995E-5</v>
      </c>
      <c r="I11928" t="s">
        <v>1084</v>
      </c>
      <c r="J11928">
        <v>11.17</v>
      </c>
    </row>
    <row r="11929" spans="1:10" hidden="1">
      <c r="A11929" t="s">
        <v>6829</v>
      </c>
      <c r="B11929" t="s">
        <v>6830</v>
      </c>
      <c r="C11929" t="s">
        <v>5111</v>
      </c>
      <c r="D11929" t="s">
        <v>1707</v>
      </c>
      <c r="E11929" t="s">
        <v>557</v>
      </c>
      <c r="F11929" t="s">
        <v>1068</v>
      </c>
      <c r="G11929" t="s">
        <v>1085</v>
      </c>
      <c r="H11929">
        <v>-7.9691634442138101E-4</v>
      </c>
      <c r="I11929" t="s">
        <v>1086</v>
      </c>
      <c r="J11929">
        <v>11.17</v>
      </c>
    </row>
    <row r="11930" spans="1:10" hidden="1">
      <c r="A11930" t="s">
        <v>6829</v>
      </c>
      <c r="B11930" t="s">
        <v>6830</v>
      </c>
      <c r="C11930" t="s">
        <v>5111</v>
      </c>
      <c r="D11930" t="s">
        <v>1707</v>
      </c>
      <c r="E11930" t="s">
        <v>557</v>
      </c>
      <c r="F11930" t="s">
        <v>1068</v>
      </c>
      <c r="G11930" t="s">
        <v>1087</v>
      </c>
      <c r="H11930" s="170">
        <v>-5.8133959556524002E-7</v>
      </c>
      <c r="I11930" t="s">
        <v>1088</v>
      </c>
      <c r="J11930">
        <v>11.17</v>
      </c>
    </row>
    <row r="11931" spans="1:10" hidden="1">
      <c r="A11931" t="s">
        <v>6829</v>
      </c>
      <c r="B11931" t="s">
        <v>6830</v>
      </c>
      <c r="C11931" t="s">
        <v>5111</v>
      </c>
      <c r="D11931" t="s">
        <v>1707</v>
      </c>
      <c r="E11931" t="s">
        <v>557</v>
      </c>
      <c r="F11931" t="s">
        <v>1068</v>
      </c>
      <c r="G11931" t="s">
        <v>1089</v>
      </c>
      <c r="H11931">
        <v>-1.27465616990516E-4</v>
      </c>
      <c r="I11931" t="s">
        <v>1090</v>
      </c>
      <c r="J11931">
        <v>11.17</v>
      </c>
    </row>
    <row r="11932" spans="1:10" hidden="1">
      <c r="A11932" t="s">
        <v>6831</v>
      </c>
      <c r="B11932" t="s">
        <v>6832</v>
      </c>
      <c r="C11932" t="s">
        <v>5111</v>
      </c>
      <c r="D11932" t="s">
        <v>1707</v>
      </c>
      <c r="E11932" t="s">
        <v>559</v>
      </c>
      <c r="F11932" t="s">
        <v>1068</v>
      </c>
      <c r="G11932" t="s">
        <v>1069</v>
      </c>
      <c r="H11932">
        <v>-0.68358427718345605</v>
      </c>
      <c r="I11932" t="s">
        <v>1070</v>
      </c>
      <c r="J11932">
        <v>8.4700000000000006</v>
      </c>
    </row>
    <row r="11933" spans="1:10" hidden="1">
      <c r="A11933" t="s">
        <v>6831</v>
      </c>
      <c r="B11933" t="s">
        <v>6832</v>
      </c>
      <c r="C11933" t="s">
        <v>5111</v>
      </c>
      <c r="D11933" t="s">
        <v>1707</v>
      </c>
      <c r="E11933" t="s">
        <v>559</v>
      </c>
      <c r="F11933" t="s">
        <v>1068</v>
      </c>
      <c r="G11933" t="s">
        <v>1071</v>
      </c>
      <c r="H11933" s="170">
        <v>-6.7808830599356497E-10</v>
      </c>
      <c r="I11933" t="s">
        <v>1072</v>
      </c>
      <c r="J11933">
        <v>8.4700000000000006</v>
      </c>
    </row>
    <row r="11934" spans="1:10" hidden="1">
      <c r="A11934" t="s">
        <v>6831</v>
      </c>
      <c r="B11934" t="s">
        <v>6832</v>
      </c>
      <c r="C11934" t="s">
        <v>5111</v>
      </c>
      <c r="D11934" t="s">
        <v>1707</v>
      </c>
      <c r="E11934" t="s">
        <v>559</v>
      </c>
      <c r="F11934" t="s">
        <v>1068</v>
      </c>
      <c r="G11934" t="s">
        <v>1073</v>
      </c>
      <c r="H11934" s="170">
        <v>-2.38015957185054E-7</v>
      </c>
      <c r="I11934" t="s">
        <v>1074</v>
      </c>
      <c r="J11934">
        <v>8.4700000000000006</v>
      </c>
    </row>
    <row r="11935" spans="1:10" hidden="1">
      <c r="A11935" t="s">
        <v>6831</v>
      </c>
      <c r="B11935" t="s">
        <v>6832</v>
      </c>
      <c r="C11935" t="s">
        <v>5111</v>
      </c>
      <c r="D11935" t="s">
        <v>1707</v>
      </c>
      <c r="E11935" t="s">
        <v>559</v>
      </c>
      <c r="F11935" t="s">
        <v>1068</v>
      </c>
      <c r="G11935" t="s">
        <v>1075</v>
      </c>
      <c r="H11935">
        <v>-1.18706503580574E-2</v>
      </c>
      <c r="I11935" t="s">
        <v>1077</v>
      </c>
      <c r="J11935">
        <v>8.4700000000000006</v>
      </c>
    </row>
    <row r="11936" spans="1:10" hidden="1">
      <c r="A11936" t="s">
        <v>6831</v>
      </c>
      <c r="B11936" t="s">
        <v>6832</v>
      </c>
      <c r="C11936" t="s">
        <v>5111</v>
      </c>
      <c r="D11936" t="s">
        <v>1707</v>
      </c>
      <c r="E11936" t="s">
        <v>559</v>
      </c>
      <c r="F11936" t="s">
        <v>1068</v>
      </c>
      <c r="G11936" t="s">
        <v>1078</v>
      </c>
      <c r="H11936">
        <v>-0.97361469326857497</v>
      </c>
      <c r="I11936" t="s">
        <v>1079</v>
      </c>
      <c r="J11936">
        <v>8.4700000000000006</v>
      </c>
    </row>
    <row r="11937" spans="1:10" hidden="1">
      <c r="A11937" t="s">
        <v>6831</v>
      </c>
      <c r="B11937" t="s">
        <v>6832</v>
      </c>
      <c r="C11937" t="s">
        <v>5111</v>
      </c>
      <c r="D11937" t="s">
        <v>1707</v>
      </c>
      <c r="E11937" t="s">
        <v>559</v>
      </c>
      <c r="F11937" t="s">
        <v>1068</v>
      </c>
      <c r="G11937" t="s">
        <v>1080</v>
      </c>
      <c r="H11937" s="170">
        <v>-3.8744927368261499E-9</v>
      </c>
      <c r="I11937" t="s">
        <v>1082</v>
      </c>
      <c r="J11937">
        <v>8.4700000000000006</v>
      </c>
    </row>
    <row r="11938" spans="1:10" hidden="1">
      <c r="A11938" t="s">
        <v>6831</v>
      </c>
      <c r="B11938" t="s">
        <v>6832</v>
      </c>
      <c r="C11938" t="s">
        <v>5111</v>
      </c>
      <c r="D11938" t="s">
        <v>1707</v>
      </c>
      <c r="E11938" t="s">
        <v>559</v>
      </c>
      <c r="F11938" t="s">
        <v>1068</v>
      </c>
      <c r="G11938" t="s">
        <v>1083</v>
      </c>
      <c r="H11938" s="170">
        <v>-9.3647801713278494E-5</v>
      </c>
      <c r="I11938" t="s">
        <v>1084</v>
      </c>
      <c r="J11938">
        <v>8.4700000000000006</v>
      </c>
    </row>
    <row r="11939" spans="1:10" hidden="1">
      <c r="A11939" t="s">
        <v>6831</v>
      </c>
      <c r="B11939" t="s">
        <v>6832</v>
      </c>
      <c r="C11939" t="s">
        <v>5111</v>
      </c>
      <c r="D11939" t="s">
        <v>1707</v>
      </c>
      <c r="E11939" t="s">
        <v>559</v>
      </c>
      <c r="F11939" t="s">
        <v>1068</v>
      </c>
      <c r="G11939" t="s">
        <v>1085</v>
      </c>
      <c r="H11939">
        <v>-8.3797939047516195E-4</v>
      </c>
      <c r="I11939" t="s">
        <v>1086</v>
      </c>
      <c r="J11939">
        <v>8.4700000000000006</v>
      </c>
    </row>
    <row r="11940" spans="1:10" hidden="1">
      <c r="A11940" t="s">
        <v>6831</v>
      </c>
      <c r="B11940" t="s">
        <v>6832</v>
      </c>
      <c r="C11940" t="s">
        <v>5111</v>
      </c>
      <c r="D11940" t="s">
        <v>1707</v>
      </c>
      <c r="E11940" t="s">
        <v>559</v>
      </c>
      <c r="F11940" t="s">
        <v>1068</v>
      </c>
      <c r="G11940" t="s">
        <v>1087</v>
      </c>
      <c r="H11940" s="170">
        <v>-6.0115680916401796E-7</v>
      </c>
      <c r="I11940" t="s">
        <v>1088</v>
      </c>
      <c r="J11940">
        <v>8.4700000000000006</v>
      </c>
    </row>
    <row r="11941" spans="1:10" hidden="1">
      <c r="A11941" t="s">
        <v>6831</v>
      </c>
      <c r="B11941" t="s">
        <v>6832</v>
      </c>
      <c r="C11941" t="s">
        <v>5111</v>
      </c>
      <c r="D11941" t="s">
        <v>1707</v>
      </c>
      <c r="E11941" t="s">
        <v>559</v>
      </c>
      <c r="F11941" t="s">
        <v>1068</v>
      </c>
      <c r="G11941" t="s">
        <v>1089</v>
      </c>
      <c r="H11941">
        <v>-1.35936842265325E-4</v>
      </c>
      <c r="I11941" t="s">
        <v>1090</v>
      </c>
      <c r="J11941">
        <v>8.4700000000000006</v>
      </c>
    </row>
    <row r="11942" spans="1:10" hidden="1">
      <c r="A11942" t="s">
        <v>6833</v>
      </c>
      <c r="B11942" t="s">
        <v>6834</v>
      </c>
      <c r="C11942" t="s">
        <v>5111</v>
      </c>
      <c r="D11942" t="s">
        <v>1707</v>
      </c>
      <c r="E11942" t="s">
        <v>560</v>
      </c>
      <c r="F11942" t="s">
        <v>1068</v>
      </c>
      <c r="G11942" t="s">
        <v>1069</v>
      </c>
      <c r="H11942">
        <v>-0.67544034954393495</v>
      </c>
      <c r="I11942" t="s">
        <v>1070</v>
      </c>
      <c r="J11942">
        <v>8.15</v>
      </c>
    </row>
    <row r="11943" spans="1:10" hidden="1">
      <c r="A11943" t="s">
        <v>6833</v>
      </c>
      <c r="B11943" t="s">
        <v>6834</v>
      </c>
      <c r="C11943" t="s">
        <v>5111</v>
      </c>
      <c r="D11943" t="s">
        <v>1707</v>
      </c>
      <c r="E11943" t="s">
        <v>560</v>
      </c>
      <c r="F11943" t="s">
        <v>1068</v>
      </c>
      <c r="G11943" t="s">
        <v>1071</v>
      </c>
      <c r="H11943" s="170">
        <v>-6.6643430077398697E-10</v>
      </c>
      <c r="I11943" t="s">
        <v>1072</v>
      </c>
      <c r="J11943">
        <v>8.15</v>
      </c>
    </row>
    <row r="11944" spans="1:10" hidden="1">
      <c r="A11944" t="s">
        <v>6833</v>
      </c>
      <c r="B11944" t="s">
        <v>6834</v>
      </c>
      <c r="C11944" t="s">
        <v>5111</v>
      </c>
      <c r="D11944" t="s">
        <v>1707</v>
      </c>
      <c r="E11944" t="s">
        <v>560</v>
      </c>
      <c r="F11944" t="s">
        <v>1068</v>
      </c>
      <c r="G11944" t="s">
        <v>1073</v>
      </c>
      <c r="H11944" s="170">
        <v>-2.3512301040053E-7</v>
      </c>
      <c r="I11944" t="s">
        <v>1074</v>
      </c>
      <c r="J11944">
        <v>8.15</v>
      </c>
    </row>
    <row r="11945" spans="1:10" hidden="1">
      <c r="A11945" t="s">
        <v>6833</v>
      </c>
      <c r="B11945" t="s">
        <v>6834</v>
      </c>
      <c r="C11945" t="s">
        <v>5111</v>
      </c>
      <c r="D11945" t="s">
        <v>1707</v>
      </c>
      <c r="E11945" t="s">
        <v>560</v>
      </c>
      <c r="F11945" t="s">
        <v>1068</v>
      </c>
      <c r="G11945" t="s">
        <v>1075</v>
      </c>
      <c r="H11945">
        <v>-1.1613190339313399E-2</v>
      </c>
      <c r="I11945" t="s">
        <v>1077</v>
      </c>
      <c r="J11945">
        <v>8.15</v>
      </c>
    </row>
    <row r="11946" spans="1:10" hidden="1">
      <c r="A11946" t="s">
        <v>6833</v>
      </c>
      <c r="B11946" t="s">
        <v>6834</v>
      </c>
      <c r="C11946" t="s">
        <v>5111</v>
      </c>
      <c r="D11946" t="s">
        <v>1707</v>
      </c>
      <c r="E11946" t="s">
        <v>560</v>
      </c>
      <c r="F11946" t="s">
        <v>1068</v>
      </c>
      <c r="G11946" t="s">
        <v>1078</v>
      </c>
      <c r="H11946">
        <v>-0.96248112856352697</v>
      </c>
      <c r="I11946" t="s">
        <v>1079</v>
      </c>
      <c r="J11946">
        <v>8.15</v>
      </c>
    </row>
    <row r="11947" spans="1:10" hidden="1">
      <c r="A11947" t="s">
        <v>6833</v>
      </c>
      <c r="B11947" t="s">
        <v>6834</v>
      </c>
      <c r="C11947" t="s">
        <v>5111</v>
      </c>
      <c r="D11947" t="s">
        <v>1707</v>
      </c>
      <c r="E11947" t="s">
        <v>560</v>
      </c>
      <c r="F11947" t="s">
        <v>1068</v>
      </c>
      <c r="G11947" t="s">
        <v>1080</v>
      </c>
      <c r="H11947" s="170">
        <v>-3.8292197386378997E-9</v>
      </c>
      <c r="I11947" t="s">
        <v>1082</v>
      </c>
      <c r="J11947">
        <v>8.15</v>
      </c>
    </row>
    <row r="11948" spans="1:10" hidden="1">
      <c r="A11948" t="s">
        <v>6833</v>
      </c>
      <c r="B11948" t="s">
        <v>6834</v>
      </c>
      <c r="C11948" t="s">
        <v>5111</v>
      </c>
      <c r="D11948" t="s">
        <v>1707</v>
      </c>
      <c r="E11948" t="s">
        <v>560</v>
      </c>
      <c r="F11948" t="s">
        <v>1068</v>
      </c>
      <c r="G11948" t="s">
        <v>1083</v>
      </c>
      <c r="H11948" s="170">
        <v>-9.2409814735005497E-5</v>
      </c>
      <c r="I11948" t="s">
        <v>1084</v>
      </c>
      <c r="J11948">
        <v>8.15</v>
      </c>
    </row>
    <row r="11949" spans="1:10" hidden="1">
      <c r="A11949" t="s">
        <v>6833</v>
      </c>
      <c r="B11949" t="s">
        <v>6834</v>
      </c>
      <c r="C11949" t="s">
        <v>5111</v>
      </c>
      <c r="D11949" t="s">
        <v>1707</v>
      </c>
      <c r="E11949" t="s">
        <v>560</v>
      </c>
      <c r="F11949" t="s">
        <v>1068</v>
      </c>
      <c r="G11949" t="s">
        <v>1085</v>
      </c>
      <c r="H11949">
        <v>-8.2398762511603401E-4</v>
      </c>
      <c r="I11949" t="s">
        <v>1086</v>
      </c>
      <c r="J11949">
        <v>8.15</v>
      </c>
    </row>
    <row r="11950" spans="1:10" hidden="1">
      <c r="A11950" t="s">
        <v>6833</v>
      </c>
      <c r="B11950" t="s">
        <v>6834</v>
      </c>
      <c r="C11950" t="s">
        <v>5111</v>
      </c>
      <c r="D11950" t="s">
        <v>1707</v>
      </c>
      <c r="E11950" t="s">
        <v>560</v>
      </c>
      <c r="F11950" t="s">
        <v>1068</v>
      </c>
      <c r="G11950" t="s">
        <v>1087</v>
      </c>
      <c r="H11950" s="170">
        <v>-5.9440431923635096E-7</v>
      </c>
      <c r="I11950" t="s">
        <v>1088</v>
      </c>
      <c r="J11950">
        <v>8.15</v>
      </c>
    </row>
    <row r="11951" spans="1:10" hidden="1">
      <c r="A11951" t="s">
        <v>6833</v>
      </c>
      <c r="B11951" t="s">
        <v>6834</v>
      </c>
      <c r="C11951" t="s">
        <v>5111</v>
      </c>
      <c r="D11951" t="s">
        <v>1707</v>
      </c>
      <c r="E11951" t="s">
        <v>560</v>
      </c>
      <c r="F11951" t="s">
        <v>1068</v>
      </c>
      <c r="G11951" t="s">
        <v>1089</v>
      </c>
      <c r="H11951">
        <v>-1.3305036873918801E-4</v>
      </c>
      <c r="I11951" t="s">
        <v>1090</v>
      </c>
      <c r="J11951">
        <v>8.15</v>
      </c>
    </row>
    <row r="11952" spans="1:10" hidden="1">
      <c r="A11952" t="s">
        <v>6835</v>
      </c>
      <c r="B11952" t="s">
        <v>6836</v>
      </c>
      <c r="C11952" t="s">
        <v>5111</v>
      </c>
      <c r="D11952" t="s">
        <v>1707</v>
      </c>
      <c r="E11952" t="s">
        <v>1116</v>
      </c>
      <c r="F11952" t="s">
        <v>1068</v>
      </c>
      <c r="G11952" t="s">
        <v>1069</v>
      </c>
      <c r="H11952">
        <v>-0.62761259295174698</v>
      </c>
      <c r="I11952" t="s">
        <v>1070</v>
      </c>
      <c r="J11952">
        <v>9.16</v>
      </c>
    </row>
    <row r="11953" spans="1:10" hidden="1">
      <c r="A11953" t="s">
        <v>6835</v>
      </c>
      <c r="B11953" t="s">
        <v>6836</v>
      </c>
      <c r="C11953" t="s">
        <v>5111</v>
      </c>
      <c r="D11953" t="s">
        <v>1707</v>
      </c>
      <c r="E11953" t="s">
        <v>1116</v>
      </c>
      <c r="F11953" t="s">
        <v>1068</v>
      </c>
      <c r="G11953" t="s">
        <v>1071</v>
      </c>
      <c r="H11953" s="170">
        <v>-5.9799223695970001E-10</v>
      </c>
      <c r="I11953" t="s">
        <v>1072</v>
      </c>
      <c r="J11953">
        <v>9.16</v>
      </c>
    </row>
    <row r="11954" spans="1:10" hidden="1">
      <c r="A11954" t="s">
        <v>6835</v>
      </c>
      <c r="B11954" t="s">
        <v>6836</v>
      </c>
      <c r="C11954" t="s">
        <v>5111</v>
      </c>
      <c r="D11954" t="s">
        <v>1707</v>
      </c>
      <c r="E11954" t="s">
        <v>1116</v>
      </c>
      <c r="F11954" t="s">
        <v>1068</v>
      </c>
      <c r="G11954" t="s">
        <v>1073</v>
      </c>
      <c r="H11954" s="170">
        <v>-2.18134439922749E-7</v>
      </c>
      <c r="I11954" t="s">
        <v>1074</v>
      </c>
      <c r="J11954">
        <v>9.16</v>
      </c>
    </row>
    <row r="11955" spans="1:10" hidden="1">
      <c r="A11955" t="s">
        <v>6835</v>
      </c>
      <c r="B11955" t="s">
        <v>6836</v>
      </c>
      <c r="C11955" t="s">
        <v>5111</v>
      </c>
      <c r="D11955" t="s">
        <v>1707</v>
      </c>
      <c r="E11955" t="s">
        <v>1116</v>
      </c>
      <c r="F11955" t="s">
        <v>1068</v>
      </c>
      <c r="G11955" t="s">
        <v>1075</v>
      </c>
      <c r="H11955">
        <v>-1.0101303860502101E-2</v>
      </c>
      <c r="I11955" t="s">
        <v>1077</v>
      </c>
      <c r="J11955">
        <v>9.16</v>
      </c>
    </row>
    <row r="11956" spans="1:10" hidden="1">
      <c r="A11956" t="s">
        <v>6835</v>
      </c>
      <c r="B11956" t="s">
        <v>6836</v>
      </c>
      <c r="C11956" t="s">
        <v>5111</v>
      </c>
      <c r="D11956" t="s">
        <v>1707</v>
      </c>
      <c r="E11956" t="s">
        <v>1116</v>
      </c>
      <c r="F11956" t="s">
        <v>1068</v>
      </c>
      <c r="G11956" t="s">
        <v>1078</v>
      </c>
      <c r="H11956">
        <v>-0.89710132527779796</v>
      </c>
      <c r="I11956" t="s">
        <v>1079</v>
      </c>
      <c r="J11956">
        <v>9.16</v>
      </c>
    </row>
    <row r="11957" spans="1:10" hidden="1">
      <c r="A11957" t="s">
        <v>6835</v>
      </c>
      <c r="B11957" t="s">
        <v>6836</v>
      </c>
      <c r="C11957" t="s">
        <v>5111</v>
      </c>
      <c r="D11957" t="s">
        <v>1707</v>
      </c>
      <c r="E11957" t="s">
        <v>1116</v>
      </c>
      <c r="F11957" t="s">
        <v>1068</v>
      </c>
      <c r="G11957" t="s">
        <v>1080</v>
      </c>
      <c r="H11957" s="170">
        <v>-3.5633624067397501E-9</v>
      </c>
      <c r="I11957" t="s">
        <v>1082</v>
      </c>
      <c r="J11957">
        <v>9.16</v>
      </c>
    </row>
    <row r="11958" spans="1:10" hidden="1">
      <c r="A11958" t="s">
        <v>6835</v>
      </c>
      <c r="B11958" t="s">
        <v>6836</v>
      </c>
      <c r="C11958" t="s">
        <v>5111</v>
      </c>
      <c r="D11958" t="s">
        <v>1707</v>
      </c>
      <c r="E11958" t="s">
        <v>1116</v>
      </c>
      <c r="F11958" t="s">
        <v>1068</v>
      </c>
      <c r="G11958" t="s">
        <v>1083</v>
      </c>
      <c r="H11958" s="170">
        <v>-8.5139964766458494E-5</v>
      </c>
      <c r="I11958" t="s">
        <v>1084</v>
      </c>
      <c r="J11958">
        <v>9.16</v>
      </c>
    </row>
    <row r="11959" spans="1:10" hidden="1">
      <c r="A11959" t="s">
        <v>6835</v>
      </c>
      <c r="B11959" t="s">
        <v>6836</v>
      </c>
      <c r="C11959" t="s">
        <v>5111</v>
      </c>
      <c r="D11959" t="s">
        <v>1707</v>
      </c>
      <c r="E11959" t="s">
        <v>1116</v>
      </c>
      <c r="F11959" t="s">
        <v>1068</v>
      </c>
      <c r="G11959" t="s">
        <v>1085</v>
      </c>
      <c r="H11959">
        <v>-7.4182356577911796E-4</v>
      </c>
      <c r="I11959" t="s">
        <v>1086</v>
      </c>
      <c r="J11959">
        <v>9.16</v>
      </c>
    </row>
    <row r="11960" spans="1:10" hidden="1">
      <c r="A11960" t="s">
        <v>6835</v>
      </c>
      <c r="B11960" t="s">
        <v>6836</v>
      </c>
      <c r="C11960" t="s">
        <v>5111</v>
      </c>
      <c r="D11960" t="s">
        <v>1707</v>
      </c>
      <c r="E11960" t="s">
        <v>1116</v>
      </c>
      <c r="F11960" t="s">
        <v>1068</v>
      </c>
      <c r="G11960" t="s">
        <v>1087</v>
      </c>
      <c r="H11960" s="170">
        <v>-5.54751569038035E-7</v>
      </c>
      <c r="I11960" t="s">
        <v>1088</v>
      </c>
      <c r="J11960">
        <v>9.16</v>
      </c>
    </row>
    <row r="11961" spans="1:10" hidden="1">
      <c r="A11961" t="s">
        <v>6835</v>
      </c>
      <c r="B11961" t="s">
        <v>6836</v>
      </c>
      <c r="C11961" t="s">
        <v>5111</v>
      </c>
      <c r="D11961" t="s">
        <v>1707</v>
      </c>
      <c r="E11961" t="s">
        <v>1116</v>
      </c>
      <c r="F11961" t="s">
        <v>1068</v>
      </c>
      <c r="G11961" t="s">
        <v>1089</v>
      </c>
      <c r="H11961">
        <v>-1.16100085550314E-4</v>
      </c>
      <c r="I11961" t="s">
        <v>1090</v>
      </c>
      <c r="J11961">
        <v>9.16</v>
      </c>
    </row>
    <row r="11962" spans="1:10" hidden="1">
      <c r="A11962" t="s">
        <v>6837</v>
      </c>
      <c r="B11962" t="s">
        <v>6838</v>
      </c>
      <c r="C11962" t="s">
        <v>6839</v>
      </c>
      <c r="D11962" t="s">
        <v>5112</v>
      </c>
      <c r="E11962" t="s">
        <v>561</v>
      </c>
      <c r="F11962" t="s">
        <v>1068</v>
      </c>
      <c r="G11962" t="s">
        <v>1069</v>
      </c>
      <c r="H11962" s="171" t="s">
        <v>6840</v>
      </c>
      <c r="I11962" t="s">
        <v>1070</v>
      </c>
      <c r="J11962">
        <v>13.5</v>
      </c>
    </row>
    <row r="11963" spans="1:10" hidden="1">
      <c r="A11963" t="s">
        <v>6837</v>
      </c>
      <c r="B11963" t="s">
        <v>6838</v>
      </c>
      <c r="C11963" t="s">
        <v>6839</v>
      </c>
      <c r="D11963" t="s">
        <v>5112</v>
      </c>
      <c r="E11963" t="s">
        <v>561</v>
      </c>
      <c r="F11963" t="s">
        <v>1068</v>
      </c>
      <c r="G11963" t="s">
        <v>1071</v>
      </c>
      <c r="H11963" s="171" t="s">
        <v>6841</v>
      </c>
      <c r="I11963" t="s">
        <v>1072</v>
      </c>
      <c r="J11963">
        <v>13.5</v>
      </c>
    </row>
    <row r="11964" spans="1:10" hidden="1">
      <c r="A11964" t="s">
        <v>6837</v>
      </c>
      <c r="B11964" t="s">
        <v>6838</v>
      </c>
      <c r="C11964" t="s">
        <v>6839</v>
      </c>
      <c r="D11964" t="s">
        <v>5112</v>
      </c>
      <c r="E11964" t="s">
        <v>561</v>
      </c>
      <c r="F11964" t="s">
        <v>1068</v>
      </c>
      <c r="G11964" t="s">
        <v>1073</v>
      </c>
      <c r="H11964" s="171" t="s">
        <v>6842</v>
      </c>
      <c r="I11964" t="s">
        <v>1074</v>
      </c>
      <c r="J11964">
        <v>13.5</v>
      </c>
    </row>
    <row r="11965" spans="1:10" hidden="1">
      <c r="A11965" t="s">
        <v>6837</v>
      </c>
      <c r="B11965" t="s">
        <v>6838</v>
      </c>
      <c r="C11965" t="s">
        <v>6839</v>
      </c>
      <c r="D11965" t="s">
        <v>5112</v>
      </c>
      <c r="E11965" t="s">
        <v>561</v>
      </c>
      <c r="F11965" t="s">
        <v>1068</v>
      </c>
      <c r="G11965" t="s">
        <v>1075</v>
      </c>
      <c r="H11965">
        <v>4.2494335323977001E-3</v>
      </c>
      <c r="I11965" t="s">
        <v>1077</v>
      </c>
      <c r="J11965">
        <v>13.5</v>
      </c>
    </row>
    <row r="11966" spans="1:10" hidden="1">
      <c r="A11966" t="s">
        <v>6837</v>
      </c>
      <c r="B11966" t="s">
        <v>6838</v>
      </c>
      <c r="C11966" t="s">
        <v>6839</v>
      </c>
      <c r="D11966" t="s">
        <v>5112</v>
      </c>
      <c r="E11966" t="s">
        <v>561</v>
      </c>
      <c r="F11966" t="s">
        <v>1068</v>
      </c>
      <c r="G11966" t="s">
        <v>1078</v>
      </c>
      <c r="H11966">
        <v>4.8913810169325098E-2</v>
      </c>
      <c r="I11966" t="s">
        <v>1079</v>
      </c>
      <c r="J11966">
        <v>13.5</v>
      </c>
    </row>
    <row r="11967" spans="1:10" hidden="1">
      <c r="A11967" t="s">
        <v>6837</v>
      </c>
      <c r="B11967" t="s">
        <v>6838</v>
      </c>
      <c r="C11967" t="s">
        <v>6839</v>
      </c>
      <c r="D11967" t="s">
        <v>5112</v>
      </c>
      <c r="E11967" t="s">
        <v>561</v>
      </c>
      <c r="F11967" t="s">
        <v>1068</v>
      </c>
      <c r="G11967" t="s">
        <v>1080</v>
      </c>
      <c r="H11967" s="171" t="s">
        <v>6843</v>
      </c>
      <c r="I11967" t="s">
        <v>1082</v>
      </c>
      <c r="J11967">
        <v>13.5</v>
      </c>
    </row>
    <row r="11968" spans="1:10" hidden="1">
      <c r="A11968" t="s">
        <v>6837</v>
      </c>
      <c r="B11968" t="s">
        <v>6838</v>
      </c>
      <c r="C11968" t="s">
        <v>6839</v>
      </c>
      <c r="D11968" t="s">
        <v>5112</v>
      </c>
      <c r="E11968" t="s">
        <v>561</v>
      </c>
      <c r="F11968" t="s">
        <v>1068</v>
      </c>
      <c r="G11968" t="s">
        <v>1083</v>
      </c>
      <c r="H11968" s="171" t="s">
        <v>6844</v>
      </c>
      <c r="I11968" t="s">
        <v>1084</v>
      </c>
      <c r="J11968">
        <v>13.5</v>
      </c>
    </row>
    <row r="11969" spans="1:10" hidden="1">
      <c r="A11969" t="s">
        <v>6837</v>
      </c>
      <c r="B11969" t="s">
        <v>6838</v>
      </c>
      <c r="C11969" t="s">
        <v>6839</v>
      </c>
      <c r="D11969" t="s">
        <v>5112</v>
      </c>
      <c r="E11969" t="s">
        <v>561</v>
      </c>
      <c r="F11969" t="s">
        <v>1068</v>
      </c>
      <c r="G11969" t="s">
        <v>1085</v>
      </c>
      <c r="H11969">
        <v>1.5484262525361801E-4</v>
      </c>
      <c r="I11969" t="s">
        <v>1086</v>
      </c>
      <c r="J11969">
        <v>13.5</v>
      </c>
    </row>
    <row r="11970" spans="1:10" hidden="1">
      <c r="A11970" t="s">
        <v>6837</v>
      </c>
      <c r="B11970" t="s">
        <v>6838</v>
      </c>
      <c r="C11970" t="s">
        <v>6839</v>
      </c>
      <c r="D11970" t="s">
        <v>5112</v>
      </c>
      <c r="E11970" t="s">
        <v>561</v>
      </c>
      <c r="F11970" t="s">
        <v>1068</v>
      </c>
      <c r="G11970" t="s">
        <v>1087</v>
      </c>
      <c r="H11970" s="171" t="s">
        <v>6845</v>
      </c>
      <c r="I11970" t="s">
        <v>1088</v>
      </c>
      <c r="J11970">
        <v>13.5</v>
      </c>
    </row>
    <row r="11971" spans="1:10" hidden="1">
      <c r="A11971" t="s">
        <v>6837</v>
      </c>
      <c r="B11971" t="s">
        <v>6838</v>
      </c>
      <c r="C11971" t="s">
        <v>6839</v>
      </c>
      <c r="D11971" t="s">
        <v>5112</v>
      </c>
      <c r="E11971" t="s">
        <v>561</v>
      </c>
      <c r="F11971" t="s">
        <v>1068</v>
      </c>
      <c r="G11971" t="s">
        <v>1089</v>
      </c>
      <c r="H11971" s="171" t="s">
        <v>6846</v>
      </c>
      <c r="I11971" t="s">
        <v>1090</v>
      </c>
      <c r="J11971">
        <v>13.5</v>
      </c>
    </row>
    <row r="11972" spans="1:10" hidden="1">
      <c r="A11972" t="s">
        <v>6847</v>
      </c>
      <c r="B11972" t="s">
        <v>6848</v>
      </c>
      <c r="C11972" t="s">
        <v>6839</v>
      </c>
      <c r="D11972" t="s">
        <v>5112</v>
      </c>
      <c r="E11972" t="s">
        <v>555</v>
      </c>
      <c r="F11972" t="s">
        <v>1068</v>
      </c>
      <c r="G11972" t="s">
        <v>1069</v>
      </c>
      <c r="H11972" s="171" t="s">
        <v>6849</v>
      </c>
      <c r="I11972" t="s">
        <v>1070</v>
      </c>
      <c r="J11972">
        <v>10.51</v>
      </c>
    </row>
    <row r="11973" spans="1:10" hidden="1">
      <c r="A11973" t="s">
        <v>6847</v>
      </c>
      <c r="B11973" t="s">
        <v>6848</v>
      </c>
      <c r="C11973" t="s">
        <v>6839</v>
      </c>
      <c r="D11973" t="s">
        <v>5112</v>
      </c>
      <c r="E11973" t="s">
        <v>555</v>
      </c>
      <c r="F11973" t="s">
        <v>1068</v>
      </c>
      <c r="G11973" t="s">
        <v>1071</v>
      </c>
      <c r="H11973" s="171" t="s">
        <v>6850</v>
      </c>
      <c r="I11973" t="s">
        <v>1072</v>
      </c>
      <c r="J11973">
        <v>10.51</v>
      </c>
    </row>
    <row r="11974" spans="1:10" hidden="1">
      <c r="A11974" t="s">
        <v>6847</v>
      </c>
      <c r="B11974" t="s">
        <v>6848</v>
      </c>
      <c r="C11974" t="s">
        <v>6839</v>
      </c>
      <c r="D11974" t="s">
        <v>5112</v>
      </c>
      <c r="E11974" t="s">
        <v>555</v>
      </c>
      <c r="F11974" t="s">
        <v>1068</v>
      </c>
      <c r="G11974" t="s">
        <v>1073</v>
      </c>
      <c r="H11974" s="171" t="s">
        <v>6851</v>
      </c>
      <c r="I11974" t="s">
        <v>1074</v>
      </c>
      <c r="J11974">
        <v>10.51</v>
      </c>
    </row>
    <row r="11975" spans="1:10" hidden="1">
      <c r="A11975" t="s">
        <v>6847</v>
      </c>
      <c r="B11975" t="s">
        <v>6848</v>
      </c>
      <c r="C11975" t="s">
        <v>6839</v>
      </c>
      <c r="D11975" t="s">
        <v>5112</v>
      </c>
      <c r="E11975" t="s">
        <v>555</v>
      </c>
      <c r="F11975" t="s">
        <v>1068</v>
      </c>
      <c r="G11975" t="s">
        <v>1075</v>
      </c>
      <c r="H11975">
        <v>4.24991591513203E-3</v>
      </c>
      <c r="I11975" t="s">
        <v>1077</v>
      </c>
      <c r="J11975">
        <v>10.51</v>
      </c>
    </row>
    <row r="11976" spans="1:10" hidden="1">
      <c r="A11976" t="s">
        <v>6847</v>
      </c>
      <c r="B11976" t="s">
        <v>6848</v>
      </c>
      <c r="C11976" t="s">
        <v>6839</v>
      </c>
      <c r="D11976" t="s">
        <v>5112</v>
      </c>
      <c r="E11976" t="s">
        <v>555</v>
      </c>
      <c r="F11976" t="s">
        <v>1068</v>
      </c>
      <c r="G11976" t="s">
        <v>1078</v>
      </c>
      <c r="H11976">
        <v>4.8934666491893597E-2</v>
      </c>
      <c r="I11976" t="s">
        <v>1079</v>
      </c>
      <c r="J11976">
        <v>10.51</v>
      </c>
    </row>
    <row r="11977" spans="1:10" hidden="1">
      <c r="A11977" t="s">
        <v>6847</v>
      </c>
      <c r="B11977" t="s">
        <v>6848</v>
      </c>
      <c r="C11977" t="s">
        <v>6839</v>
      </c>
      <c r="D11977" t="s">
        <v>5112</v>
      </c>
      <c r="E11977" t="s">
        <v>555</v>
      </c>
      <c r="F11977" t="s">
        <v>1068</v>
      </c>
      <c r="G11977" t="s">
        <v>1080</v>
      </c>
      <c r="H11977" s="171" t="s">
        <v>6852</v>
      </c>
      <c r="I11977" t="s">
        <v>1082</v>
      </c>
      <c r="J11977">
        <v>10.51</v>
      </c>
    </row>
    <row r="11978" spans="1:10" hidden="1">
      <c r="A11978" t="s">
        <v>6847</v>
      </c>
      <c r="B11978" t="s">
        <v>6848</v>
      </c>
      <c r="C11978" t="s">
        <v>6839</v>
      </c>
      <c r="D11978" t="s">
        <v>5112</v>
      </c>
      <c r="E11978" t="s">
        <v>555</v>
      </c>
      <c r="F11978" t="s">
        <v>1068</v>
      </c>
      <c r="G11978" t="s">
        <v>1083</v>
      </c>
      <c r="H11978" s="171" t="s">
        <v>6853</v>
      </c>
      <c r="I11978" t="s">
        <v>1084</v>
      </c>
      <c r="J11978">
        <v>10.51</v>
      </c>
    </row>
    <row r="11979" spans="1:10" hidden="1">
      <c r="A11979" t="s">
        <v>6847</v>
      </c>
      <c r="B11979" t="s">
        <v>6848</v>
      </c>
      <c r="C11979" t="s">
        <v>6839</v>
      </c>
      <c r="D11979" t="s">
        <v>5112</v>
      </c>
      <c r="E11979" t="s">
        <v>555</v>
      </c>
      <c r="F11979" t="s">
        <v>1068</v>
      </c>
      <c r="G11979" t="s">
        <v>1085</v>
      </c>
      <c r="H11979">
        <v>1.5486883645968001E-4</v>
      </c>
      <c r="I11979" t="s">
        <v>1086</v>
      </c>
      <c r="J11979">
        <v>10.51</v>
      </c>
    </row>
    <row r="11980" spans="1:10" hidden="1">
      <c r="A11980" t="s">
        <v>6847</v>
      </c>
      <c r="B11980" t="s">
        <v>6848</v>
      </c>
      <c r="C11980" t="s">
        <v>6839</v>
      </c>
      <c r="D11980" t="s">
        <v>5112</v>
      </c>
      <c r="E11980" t="s">
        <v>555</v>
      </c>
      <c r="F11980" t="s">
        <v>1068</v>
      </c>
      <c r="G11980" t="s">
        <v>1087</v>
      </c>
      <c r="H11980" s="171" t="s">
        <v>6854</v>
      </c>
      <c r="I11980" t="s">
        <v>1088</v>
      </c>
      <c r="J11980">
        <v>10.51</v>
      </c>
    </row>
    <row r="11981" spans="1:10" hidden="1">
      <c r="A11981" t="s">
        <v>6847</v>
      </c>
      <c r="B11981" t="s">
        <v>6848</v>
      </c>
      <c r="C11981" t="s">
        <v>6839</v>
      </c>
      <c r="D11981" t="s">
        <v>5112</v>
      </c>
      <c r="E11981" t="s">
        <v>555</v>
      </c>
      <c r="F11981" t="s">
        <v>1068</v>
      </c>
      <c r="G11981" t="s">
        <v>1089</v>
      </c>
      <c r="H11981" s="171" t="s">
        <v>6855</v>
      </c>
      <c r="I11981" t="s">
        <v>1090</v>
      </c>
      <c r="J11981">
        <v>10.51</v>
      </c>
    </row>
    <row r="11982" spans="1:10" hidden="1">
      <c r="A11982" t="s">
        <v>6856</v>
      </c>
      <c r="B11982" t="s">
        <v>6857</v>
      </c>
      <c r="C11982" t="s">
        <v>6839</v>
      </c>
      <c r="D11982" t="s">
        <v>5112</v>
      </c>
      <c r="E11982" t="s">
        <v>558</v>
      </c>
      <c r="F11982" t="s">
        <v>1068</v>
      </c>
      <c r="G11982" t="s">
        <v>1069</v>
      </c>
      <c r="H11982" s="171" t="s">
        <v>6858</v>
      </c>
      <c r="I11982" t="s">
        <v>1070</v>
      </c>
      <c r="J11982">
        <v>9.3699999999999992</v>
      </c>
    </row>
    <row r="11983" spans="1:10" hidden="1">
      <c r="A11983" t="s">
        <v>6856</v>
      </c>
      <c r="B11983" t="s">
        <v>6857</v>
      </c>
      <c r="C11983" t="s">
        <v>6839</v>
      </c>
      <c r="D11983" t="s">
        <v>5112</v>
      </c>
      <c r="E11983" t="s">
        <v>558</v>
      </c>
      <c r="F11983" t="s">
        <v>1068</v>
      </c>
      <c r="G11983" t="s">
        <v>1071</v>
      </c>
      <c r="H11983" s="171" t="s">
        <v>6859</v>
      </c>
      <c r="I11983" t="s">
        <v>1072</v>
      </c>
      <c r="J11983">
        <v>9.3699999999999992</v>
      </c>
    </row>
    <row r="11984" spans="1:10" hidden="1">
      <c r="A11984" t="s">
        <v>6856</v>
      </c>
      <c r="B11984" t="s">
        <v>6857</v>
      </c>
      <c r="C11984" t="s">
        <v>6839</v>
      </c>
      <c r="D11984" t="s">
        <v>5112</v>
      </c>
      <c r="E11984" t="s">
        <v>558</v>
      </c>
      <c r="F11984" t="s">
        <v>1068</v>
      </c>
      <c r="G11984" t="s">
        <v>1073</v>
      </c>
      <c r="H11984" s="171" t="s">
        <v>6860</v>
      </c>
      <c r="I11984" t="s">
        <v>1074</v>
      </c>
      <c r="J11984">
        <v>9.3699999999999992</v>
      </c>
    </row>
    <row r="11985" spans="1:10" hidden="1">
      <c r="A11985" t="s">
        <v>6856</v>
      </c>
      <c r="B11985" t="s">
        <v>6857</v>
      </c>
      <c r="C11985" t="s">
        <v>6839</v>
      </c>
      <c r="D11985" t="s">
        <v>5112</v>
      </c>
      <c r="E11985" t="s">
        <v>558</v>
      </c>
      <c r="F11985" t="s">
        <v>1068</v>
      </c>
      <c r="G11985" t="s">
        <v>1075</v>
      </c>
      <c r="H11985">
        <v>4.2493931598789701E-3</v>
      </c>
      <c r="I11985" t="s">
        <v>1077</v>
      </c>
      <c r="J11985">
        <v>9.3699999999999992</v>
      </c>
    </row>
    <row r="11986" spans="1:10" hidden="1">
      <c r="A11986" t="s">
        <v>6856</v>
      </c>
      <c r="B11986" t="s">
        <v>6857</v>
      </c>
      <c r="C11986" t="s">
        <v>6839</v>
      </c>
      <c r="D11986" t="s">
        <v>5112</v>
      </c>
      <c r="E11986" t="s">
        <v>558</v>
      </c>
      <c r="F11986" t="s">
        <v>1068</v>
      </c>
      <c r="G11986" t="s">
        <v>1078</v>
      </c>
      <c r="H11986">
        <v>4.8912064305887501E-2</v>
      </c>
      <c r="I11986" t="s">
        <v>1079</v>
      </c>
      <c r="J11986">
        <v>9.3699999999999992</v>
      </c>
    </row>
    <row r="11987" spans="1:10" hidden="1">
      <c r="A11987" t="s">
        <v>6856</v>
      </c>
      <c r="B11987" t="s">
        <v>6857</v>
      </c>
      <c r="C11987" t="s">
        <v>6839</v>
      </c>
      <c r="D11987" t="s">
        <v>5112</v>
      </c>
      <c r="E11987" t="s">
        <v>558</v>
      </c>
      <c r="F11987" t="s">
        <v>1068</v>
      </c>
      <c r="G11987" t="s">
        <v>1080</v>
      </c>
      <c r="H11987" s="171" t="s">
        <v>6861</v>
      </c>
      <c r="I11987" t="s">
        <v>1082</v>
      </c>
      <c r="J11987">
        <v>9.3699999999999992</v>
      </c>
    </row>
    <row r="11988" spans="1:10" hidden="1">
      <c r="A11988" t="s">
        <v>6856</v>
      </c>
      <c r="B11988" t="s">
        <v>6857</v>
      </c>
      <c r="C11988" t="s">
        <v>6839</v>
      </c>
      <c r="D11988" t="s">
        <v>5112</v>
      </c>
      <c r="E11988" t="s">
        <v>558</v>
      </c>
      <c r="F11988" t="s">
        <v>1068</v>
      </c>
      <c r="G11988" t="s">
        <v>1083</v>
      </c>
      <c r="H11988" s="171" t="s">
        <v>6862</v>
      </c>
      <c r="I11988" t="s">
        <v>1084</v>
      </c>
      <c r="J11988">
        <v>9.3699999999999992</v>
      </c>
    </row>
    <row r="11989" spans="1:10" hidden="1">
      <c r="A11989" t="s">
        <v>6856</v>
      </c>
      <c r="B11989" t="s">
        <v>6857</v>
      </c>
      <c r="C11989" t="s">
        <v>6839</v>
      </c>
      <c r="D11989" t="s">
        <v>5112</v>
      </c>
      <c r="E11989" t="s">
        <v>558</v>
      </c>
      <c r="F11989" t="s">
        <v>1068</v>
      </c>
      <c r="G11989" t="s">
        <v>1085</v>
      </c>
      <c r="H11989">
        <v>1.54840431193372E-4</v>
      </c>
      <c r="I11989" t="s">
        <v>1086</v>
      </c>
      <c r="J11989">
        <v>9.3699999999999992</v>
      </c>
    </row>
    <row r="11990" spans="1:10" hidden="1">
      <c r="A11990" t="s">
        <v>6856</v>
      </c>
      <c r="B11990" t="s">
        <v>6857</v>
      </c>
      <c r="C11990" t="s">
        <v>6839</v>
      </c>
      <c r="D11990" t="s">
        <v>5112</v>
      </c>
      <c r="E11990" t="s">
        <v>558</v>
      </c>
      <c r="F11990" t="s">
        <v>1068</v>
      </c>
      <c r="G11990" t="s">
        <v>1087</v>
      </c>
      <c r="H11990" s="171" t="s">
        <v>6863</v>
      </c>
      <c r="I11990" t="s">
        <v>1088</v>
      </c>
      <c r="J11990">
        <v>9.3699999999999992</v>
      </c>
    </row>
    <row r="11991" spans="1:10" hidden="1">
      <c r="A11991" t="s">
        <v>6856</v>
      </c>
      <c r="B11991" t="s">
        <v>6857</v>
      </c>
      <c r="C11991" t="s">
        <v>6839</v>
      </c>
      <c r="D11991" t="s">
        <v>5112</v>
      </c>
      <c r="E11991" t="s">
        <v>558</v>
      </c>
      <c r="F11991" t="s">
        <v>1068</v>
      </c>
      <c r="G11991" t="s">
        <v>1089</v>
      </c>
      <c r="H11991" s="171" t="s">
        <v>6864</v>
      </c>
      <c r="I11991" t="s">
        <v>1090</v>
      </c>
      <c r="J11991">
        <v>9.3699999999999992</v>
      </c>
    </row>
    <row r="11992" spans="1:10" hidden="1">
      <c r="A11992" t="s">
        <v>6865</v>
      </c>
      <c r="B11992" t="s">
        <v>6866</v>
      </c>
      <c r="C11992" t="s">
        <v>6839</v>
      </c>
      <c r="D11992" t="s">
        <v>5112</v>
      </c>
      <c r="E11992" t="s">
        <v>553</v>
      </c>
      <c r="F11992" t="s">
        <v>1068</v>
      </c>
      <c r="G11992" t="s">
        <v>1069</v>
      </c>
      <c r="H11992" s="171" t="s">
        <v>6867</v>
      </c>
      <c r="I11992" t="s">
        <v>1070</v>
      </c>
      <c r="J11992">
        <v>9.5500000000000007</v>
      </c>
    </row>
    <row r="11993" spans="1:10" hidden="1">
      <c r="A11993" t="s">
        <v>6865</v>
      </c>
      <c r="B11993" t="s">
        <v>6866</v>
      </c>
      <c r="C11993" t="s">
        <v>6839</v>
      </c>
      <c r="D11993" t="s">
        <v>5112</v>
      </c>
      <c r="E11993" t="s">
        <v>553</v>
      </c>
      <c r="F11993" t="s">
        <v>1068</v>
      </c>
      <c r="G11993" t="s">
        <v>1071</v>
      </c>
      <c r="H11993" s="171" t="s">
        <v>6868</v>
      </c>
      <c r="I11993" t="s">
        <v>1072</v>
      </c>
      <c r="J11993">
        <v>9.5500000000000007</v>
      </c>
    </row>
    <row r="11994" spans="1:10" hidden="1">
      <c r="A11994" t="s">
        <v>6865</v>
      </c>
      <c r="B11994" t="s">
        <v>6866</v>
      </c>
      <c r="C11994" t="s">
        <v>6839</v>
      </c>
      <c r="D11994" t="s">
        <v>5112</v>
      </c>
      <c r="E11994" t="s">
        <v>553</v>
      </c>
      <c r="F11994" t="s">
        <v>1068</v>
      </c>
      <c r="G11994" t="s">
        <v>1073</v>
      </c>
      <c r="H11994" s="171" t="s">
        <v>6869</v>
      </c>
      <c r="I11994" t="s">
        <v>1074</v>
      </c>
      <c r="J11994">
        <v>9.5500000000000007</v>
      </c>
    </row>
    <row r="11995" spans="1:10" hidden="1">
      <c r="A11995" t="s">
        <v>6865</v>
      </c>
      <c r="B11995" t="s">
        <v>6866</v>
      </c>
      <c r="C11995" t="s">
        <v>6839</v>
      </c>
      <c r="D11995" t="s">
        <v>5112</v>
      </c>
      <c r="E11995" t="s">
        <v>553</v>
      </c>
      <c r="F11995" t="s">
        <v>1068</v>
      </c>
      <c r="G11995" t="s">
        <v>1075</v>
      </c>
      <c r="H11995">
        <v>4.2493767808247504E-3</v>
      </c>
      <c r="I11995" t="s">
        <v>1077</v>
      </c>
      <c r="J11995">
        <v>9.5500000000000007</v>
      </c>
    </row>
    <row r="11996" spans="1:10" hidden="1">
      <c r="A11996" t="s">
        <v>6865</v>
      </c>
      <c r="B11996" t="s">
        <v>6866</v>
      </c>
      <c r="C11996" t="s">
        <v>6839</v>
      </c>
      <c r="D11996" t="s">
        <v>5112</v>
      </c>
      <c r="E11996" t="s">
        <v>553</v>
      </c>
      <c r="F11996" t="s">
        <v>1068</v>
      </c>
      <c r="G11996" t="s">
        <v>1078</v>
      </c>
      <c r="H11996">
        <v>4.8911352244788597E-2</v>
      </c>
      <c r="I11996" t="s">
        <v>1079</v>
      </c>
      <c r="J11996">
        <v>9.5500000000000007</v>
      </c>
    </row>
    <row r="11997" spans="1:10" hidden="1">
      <c r="A11997" t="s">
        <v>6865</v>
      </c>
      <c r="B11997" t="s">
        <v>6866</v>
      </c>
      <c r="C11997" t="s">
        <v>6839</v>
      </c>
      <c r="D11997" t="s">
        <v>5112</v>
      </c>
      <c r="E11997" t="s">
        <v>553</v>
      </c>
      <c r="F11997" t="s">
        <v>1068</v>
      </c>
      <c r="G11997" t="s">
        <v>1080</v>
      </c>
      <c r="H11997" s="171" t="s">
        <v>6870</v>
      </c>
      <c r="I11997" t="s">
        <v>1082</v>
      </c>
      <c r="J11997">
        <v>9.5500000000000007</v>
      </c>
    </row>
    <row r="11998" spans="1:10" hidden="1">
      <c r="A11998" t="s">
        <v>6865</v>
      </c>
      <c r="B11998" t="s">
        <v>6866</v>
      </c>
      <c r="C11998" t="s">
        <v>6839</v>
      </c>
      <c r="D11998" t="s">
        <v>5112</v>
      </c>
      <c r="E11998" t="s">
        <v>553</v>
      </c>
      <c r="F11998" t="s">
        <v>1068</v>
      </c>
      <c r="G11998" t="s">
        <v>1083</v>
      </c>
      <c r="H11998" s="171" t="s">
        <v>6871</v>
      </c>
      <c r="I11998" t="s">
        <v>1084</v>
      </c>
      <c r="J11998">
        <v>9.5500000000000007</v>
      </c>
    </row>
    <row r="11999" spans="1:10" hidden="1">
      <c r="A11999" t="s">
        <v>6865</v>
      </c>
      <c r="B11999" t="s">
        <v>6866</v>
      </c>
      <c r="C11999" t="s">
        <v>6839</v>
      </c>
      <c r="D11999" t="s">
        <v>5112</v>
      </c>
      <c r="E11999" t="s">
        <v>553</v>
      </c>
      <c r="F11999" t="s">
        <v>1068</v>
      </c>
      <c r="G11999" t="s">
        <v>1085</v>
      </c>
      <c r="H11999">
        <v>1.54839536995839E-4</v>
      </c>
      <c r="I11999" t="s">
        <v>1086</v>
      </c>
      <c r="J11999">
        <v>9.5500000000000007</v>
      </c>
    </row>
    <row r="12000" spans="1:10" hidden="1">
      <c r="A12000" t="s">
        <v>6865</v>
      </c>
      <c r="B12000" t="s">
        <v>6866</v>
      </c>
      <c r="C12000" t="s">
        <v>6839</v>
      </c>
      <c r="D12000" t="s">
        <v>5112</v>
      </c>
      <c r="E12000" t="s">
        <v>553</v>
      </c>
      <c r="F12000" t="s">
        <v>1068</v>
      </c>
      <c r="G12000" t="s">
        <v>1087</v>
      </c>
      <c r="H12000" s="171" t="s">
        <v>6872</v>
      </c>
      <c r="I12000" t="s">
        <v>1088</v>
      </c>
      <c r="J12000">
        <v>9.5500000000000007</v>
      </c>
    </row>
    <row r="12001" spans="1:10" hidden="1">
      <c r="A12001" t="s">
        <v>6865</v>
      </c>
      <c r="B12001" t="s">
        <v>6866</v>
      </c>
      <c r="C12001" t="s">
        <v>6839</v>
      </c>
      <c r="D12001" t="s">
        <v>5112</v>
      </c>
      <c r="E12001" t="s">
        <v>553</v>
      </c>
      <c r="F12001" t="s">
        <v>1068</v>
      </c>
      <c r="G12001" t="s">
        <v>1089</v>
      </c>
      <c r="H12001" s="171" t="s">
        <v>6873</v>
      </c>
      <c r="I12001" t="s">
        <v>1090</v>
      </c>
      <c r="J12001">
        <v>9.5500000000000007</v>
      </c>
    </row>
    <row r="12002" spans="1:10" hidden="1">
      <c r="A12002" t="s">
        <v>6874</v>
      </c>
      <c r="B12002" t="s">
        <v>6875</v>
      </c>
      <c r="C12002" t="s">
        <v>6839</v>
      </c>
      <c r="D12002" t="s">
        <v>5112</v>
      </c>
      <c r="E12002" t="s">
        <v>556</v>
      </c>
      <c r="F12002" t="s">
        <v>1068</v>
      </c>
      <c r="G12002" t="s">
        <v>1069</v>
      </c>
      <c r="H12002" s="171" t="s">
        <v>6876</v>
      </c>
      <c r="I12002" t="s">
        <v>1070</v>
      </c>
      <c r="J12002">
        <v>9.67</v>
      </c>
    </row>
    <row r="12003" spans="1:10" hidden="1">
      <c r="A12003" t="s">
        <v>6874</v>
      </c>
      <c r="B12003" t="s">
        <v>6875</v>
      </c>
      <c r="C12003" t="s">
        <v>6839</v>
      </c>
      <c r="D12003" t="s">
        <v>5112</v>
      </c>
      <c r="E12003" t="s">
        <v>556</v>
      </c>
      <c r="F12003" t="s">
        <v>1068</v>
      </c>
      <c r="G12003" t="s">
        <v>1071</v>
      </c>
      <c r="H12003" s="171" t="s">
        <v>6877</v>
      </c>
      <c r="I12003" t="s">
        <v>1072</v>
      </c>
      <c r="J12003">
        <v>9.67</v>
      </c>
    </row>
    <row r="12004" spans="1:10" hidden="1">
      <c r="A12004" t="s">
        <v>6874</v>
      </c>
      <c r="B12004" t="s">
        <v>6875</v>
      </c>
      <c r="C12004" t="s">
        <v>6839</v>
      </c>
      <c r="D12004" t="s">
        <v>5112</v>
      </c>
      <c r="E12004" t="s">
        <v>556</v>
      </c>
      <c r="F12004" t="s">
        <v>1068</v>
      </c>
      <c r="G12004" t="s">
        <v>1073</v>
      </c>
      <c r="H12004" s="171" t="s">
        <v>6878</v>
      </c>
      <c r="I12004" t="s">
        <v>1074</v>
      </c>
      <c r="J12004">
        <v>9.67</v>
      </c>
    </row>
    <row r="12005" spans="1:10" hidden="1">
      <c r="A12005" t="s">
        <v>6874</v>
      </c>
      <c r="B12005" t="s">
        <v>6875</v>
      </c>
      <c r="C12005" t="s">
        <v>6839</v>
      </c>
      <c r="D12005" t="s">
        <v>5112</v>
      </c>
      <c r="E12005" t="s">
        <v>556</v>
      </c>
      <c r="F12005" t="s">
        <v>1068</v>
      </c>
      <c r="G12005" t="s">
        <v>1075</v>
      </c>
      <c r="H12005">
        <v>4.2498652406873999E-3</v>
      </c>
      <c r="I12005" t="s">
        <v>1077</v>
      </c>
      <c r="J12005">
        <v>9.67</v>
      </c>
    </row>
    <row r="12006" spans="1:10" hidden="1">
      <c r="A12006" t="s">
        <v>6874</v>
      </c>
      <c r="B12006" t="s">
        <v>6875</v>
      </c>
      <c r="C12006" t="s">
        <v>6839</v>
      </c>
      <c r="D12006" t="s">
        <v>5112</v>
      </c>
      <c r="E12006" t="s">
        <v>556</v>
      </c>
      <c r="F12006" t="s">
        <v>1068</v>
      </c>
      <c r="G12006" t="s">
        <v>1078</v>
      </c>
      <c r="H12006">
        <v>4.8932475133413401E-2</v>
      </c>
      <c r="I12006" t="s">
        <v>1079</v>
      </c>
      <c r="J12006">
        <v>9.67</v>
      </c>
    </row>
    <row r="12007" spans="1:10" hidden="1">
      <c r="A12007" t="s">
        <v>6874</v>
      </c>
      <c r="B12007" t="s">
        <v>6875</v>
      </c>
      <c r="C12007" t="s">
        <v>6839</v>
      </c>
      <c r="D12007" t="s">
        <v>5112</v>
      </c>
      <c r="E12007" t="s">
        <v>556</v>
      </c>
      <c r="F12007" t="s">
        <v>1068</v>
      </c>
      <c r="G12007" t="s">
        <v>1080</v>
      </c>
      <c r="H12007" s="171" t="s">
        <v>6879</v>
      </c>
      <c r="I12007" t="s">
        <v>1082</v>
      </c>
      <c r="J12007">
        <v>9.67</v>
      </c>
    </row>
    <row r="12008" spans="1:10" hidden="1">
      <c r="A12008" t="s">
        <v>6874</v>
      </c>
      <c r="B12008" t="s">
        <v>6875</v>
      </c>
      <c r="C12008" t="s">
        <v>6839</v>
      </c>
      <c r="D12008" t="s">
        <v>5112</v>
      </c>
      <c r="E12008" t="s">
        <v>556</v>
      </c>
      <c r="F12008" t="s">
        <v>1068</v>
      </c>
      <c r="G12008" t="s">
        <v>1083</v>
      </c>
      <c r="H12008" s="171" t="s">
        <v>6880</v>
      </c>
      <c r="I12008" t="s">
        <v>1084</v>
      </c>
      <c r="J12008">
        <v>9.67</v>
      </c>
    </row>
    <row r="12009" spans="1:10" hidden="1">
      <c r="A12009" t="s">
        <v>6874</v>
      </c>
      <c r="B12009" t="s">
        <v>6875</v>
      </c>
      <c r="C12009" t="s">
        <v>6839</v>
      </c>
      <c r="D12009" t="s">
        <v>5112</v>
      </c>
      <c r="E12009" t="s">
        <v>556</v>
      </c>
      <c r="F12009" t="s">
        <v>1068</v>
      </c>
      <c r="G12009" t="s">
        <v>1085</v>
      </c>
      <c r="H12009">
        <v>1.5486608253723001E-4</v>
      </c>
      <c r="I12009" t="s">
        <v>1086</v>
      </c>
      <c r="J12009">
        <v>9.67</v>
      </c>
    </row>
    <row r="12010" spans="1:10" hidden="1">
      <c r="A12010" t="s">
        <v>6874</v>
      </c>
      <c r="B12010" t="s">
        <v>6875</v>
      </c>
      <c r="C12010" t="s">
        <v>6839</v>
      </c>
      <c r="D12010" t="s">
        <v>5112</v>
      </c>
      <c r="E12010" t="s">
        <v>556</v>
      </c>
      <c r="F12010" t="s">
        <v>1068</v>
      </c>
      <c r="G12010" t="s">
        <v>1087</v>
      </c>
      <c r="H12010" s="171" t="s">
        <v>6881</v>
      </c>
      <c r="I12010" t="s">
        <v>1088</v>
      </c>
      <c r="J12010">
        <v>9.67</v>
      </c>
    </row>
    <row r="12011" spans="1:10" hidden="1">
      <c r="A12011" t="s">
        <v>6874</v>
      </c>
      <c r="B12011" t="s">
        <v>6875</v>
      </c>
      <c r="C12011" t="s">
        <v>6839</v>
      </c>
      <c r="D12011" t="s">
        <v>5112</v>
      </c>
      <c r="E12011" t="s">
        <v>556</v>
      </c>
      <c r="F12011" t="s">
        <v>1068</v>
      </c>
      <c r="G12011" t="s">
        <v>1089</v>
      </c>
      <c r="H12011" s="171" t="s">
        <v>6882</v>
      </c>
      <c r="I12011" t="s">
        <v>1090</v>
      </c>
      <c r="J12011">
        <v>9.67</v>
      </c>
    </row>
    <row r="12012" spans="1:10" hidden="1">
      <c r="A12012" t="s">
        <v>6883</v>
      </c>
      <c r="B12012" t="s">
        <v>6884</v>
      </c>
      <c r="C12012" t="s">
        <v>6839</v>
      </c>
      <c r="D12012" t="s">
        <v>5112</v>
      </c>
      <c r="E12012" t="s">
        <v>557</v>
      </c>
      <c r="F12012" t="s">
        <v>1068</v>
      </c>
      <c r="G12012" t="s">
        <v>1069</v>
      </c>
      <c r="H12012" s="171" t="s">
        <v>6885</v>
      </c>
      <c r="I12012" t="s">
        <v>1070</v>
      </c>
      <c r="J12012">
        <v>8.51</v>
      </c>
    </row>
    <row r="12013" spans="1:10" hidden="1">
      <c r="A12013" t="s">
        <v>6883</v>
      </c>
      <c r="B12013" t="s">
        <v>6884</v>
      </c>
      <c r="C12013" t="s">
        <v>6839</v>
      </c>
      <c r="D12013" t="s">
        <v>5112</v>
      </c>
      <c r="E12013" t="s">
        <v>557</v>
      </c>
      <c r="F12013" t="s">
        <v>1068</v>
      </c>
      <c r="G12013" t="s">
        <v>1071</v>
      </c>
      <c r="H12013" s="171" t="s">
        <v>6886</v>
      </c>
      <c r="I12013" t="s">
        <v>1072</v>
      </c>
      <c r="J12013">
        <v>8.51</v>
      </c>
    </row>
    <row r="12014" spans="1:10" hidden="1">
      <c r="A12014" t="s">
        <v>6883</v>
      </c>
      <c r="B12014" t="s">
        <v>6884</v>
      </c>
      <c r="C12014" t="s">
        <v>6839</v>
      </c>
      <c r="D12014" t="s">
        <v>5112</v>
      </c>
      <c r="E12014" t="s">
        <v>557</v>
      </c>
      <c r="F12014" t="s">
        <v>1068</v>
      </c>
      <c r="G12014" t="s">
        <v>1073</v>
      </c>
      <c r="H12014" s="171" t="s">
        <v>6887</v>
      </c>
      <c r="I12014" t="s">
        <v>1074</v>
      </c>
      <c r="J12014">
        <v>8.51</v>
      </c>
    </row>
    <row r="12015" spans="1:10" hidden="1">
      <c r="A12015" t="s">
        <v>6883</v>
      </c>
      <c r="B12015" t="s">
        <v>6884</v>
      </c>
      <c r="C12015" t="s">
        <v>6839</v>
      </c>
      <c r="D12015" t="s">
        <v>5112</v>
      </c>
      <c r="E12015" t="s">
        <v>557</v>
      </c>
      <c r="F12015" t="s">
        <v>1068</v>
      </c>
      <c r="G12015" t="s">
        <v>1075</v>
      </c>
      <c r="H12015">
        <v>4.2495599159341002E-3</v>
      </c>
      <c r="I12015" t="s">
        <v>1077</v>
      </c>
      <c r="J12015">
        <v>8.51</v>
      </c>
    </row>
    <row r="12016" spans="1:10" hidden="1">
      <c r="A12016" t="s">
        <v>6883</v>
      </c>
      <c r="B12016" t="s">
        <v>6884</v>
      </c>
      <c r="C12016" t="s">
        <v>6839</v>
      </c>
      <c r="D12016" t="s">
        <v>5112</v>
      </c>
      <c r="E12016" t="s">
        <v>557</v>
      </c>
      <c r="F12016" t="s">
        <v>1068</v>
      </c>
      <c r="G12016" t="s">
        <v>1078</v>
      </c>
      <c r="H12016">
        <v>4.8919275480954698E-2</v>
      </c>
      <c r="I12016" t="s">
        <v>1079</v>
      </c>
      <c r="J12016">
        <v>8.51</v>
      </c>
    </row>
    <row r="12017" spans="1:10" hidden="1">
      <c r="A12017" t="s">
        <v>6883</v>
      </c>
      <c r="B12017" t="s">
        <v>6884</v>
      </c>
      <c r="C12017" t="s">
        <v>6839</v>
      </c>
      <c r="D12017" t="s">
        <v>5112</v>
      </c>
      <c r="E12017" t="s">
        <v>557</v>
      </c>
      <c r="F12017" t="s">
        <v>1068</v>
      </c>
      <c r="G12017" t="s">
        <v>1080</v>
      </c>
      <c r="H12017" s="171" t="s">
        <v>6888</v>
      </c>
      <c r="I12017" t="s">
        <v>1082</v>
      </c>
      <c r="J12017">
        <v>8.51</v>
      </c>
    </row>
    <row r="12018" spans="1:10" hidden="1">
      <c r="A12018" t="s">
        <v>6883</v>
      </c>
      <c r="B12018" t="s">
        <v>6884</v>
      </c>
      <c r="C12018" t="s">
        <v>6839</v>
      </c>
      <c r="D12018" t="s">
        <v>5112</v>
      </c>
      <c r="E12018" t="s">
        <v>557</v>
      </c>
      <c r="F12018" t="s">
        <v>1068</v>
      </c>
      <c r="G12018" t="s">
        <v>1083</v>
      </c>
      <c r="H12018" s="171" t="s">
        <v>6889</v>
      </c>
      <c r="I12018" t="s">
        <v>1084</v>
      </c>
      <c r="J12018">
        <v>8.51</v>
      </c>
    </row>
    <row r="12019" spans="1:10" hidden="1">
      <c r="A12019" t="s">
        <v>6883</v>
      </c>
      <c r="B12019" t="s">
        <v>6884</v>
      </c>
      <c r="C12019" t="s">
        <v>6839</v>
      </c>
      <c r="D12019" t="s">
        <v>5112</v>
      </c>
      <c r="E12019" t="s">
        <v>557</v>
      </c>
      <c r="F12019" t="s">
        <v>1068</v>
      </c>
      <c r="G12019" t="s">
        <v>1085</v>
      </c>
      <c r="H12019">
        <v>1.54849493616113E-4</v>
      </c>
      <c r="I12019" t="s">
        <v>1086</v>
      </c>
      <c r="J12019">
        <v>8.51</v>
      </c>
    </row>
    <row r="12020" spans="1:10" hidden="1">
      <c r="A12020" t="s">
        <v>6883</v>
      </c>
      <c r="B12020" t="s">
        <v>6884</v>
      </c>
      <c r="C12020" t="s">
        <v>6839</v>
      </c>
      <c r="D12020" t="s">
        <v>5112</v>
      </c>
      <c r="E12020" t="s">
        <v>557</v>
      </c>
      <c r="F12020" t="s">
        <v>1068</v>
      </c>
      <c r="G12020" t="s">
        <v>1087</v>
      </c>
      <c r="H12020" s="171" t="s">
        <v>6890</v>
      </c>
      <c r="I12020" t="s">
        <v>1088</v>
      </c>
      <c r="J12020">
        <v>8.51</v>
      </c>
    </row>
    <row r="12021" spans="1:10" hidden="1">
      <c r="A12021" t="s">
        <v>6883</v>
      </c>
      <c r="B12021" t="s">
        <v>6884</v>
      </c>
      <c r="C12021" t="s">
        <v>6839</v>
      </c>
      <c r="D12021" t="s">
        <v>5112</v>
      </c>
      <c r="E12021" t="s">
        <v>557</v>
      </c>
      <c r="F12021" t="s">
        <v>1068</v>
      </c>
      <c r="G12021" t="s">
        <v>1089</v>
      </c>
      <c r="H12021" s="171" t="s">
        <v>6891</v>
      </c>
      <c r="I12021" t="s">
        <v>1090</v>
      </c>
      <c r="J12021">
        <v>8.51</v>
      </c>
    </row>
    <row r="12022" spans="1:10" hidden="1">
      <c r="A12022" t="s">
        <v>6892</v>
      </c>
      <c r="B12022" t="s">
        <v>6893</v>
      </c>
      <c r="C12022" t="s">
        <v>6839</v>
      </c>
      <c r="D12022" t="s">
        <v>5112</v>
      </c>
      <c r="E12022" t="s">
        <v>559</v>
      </c>
      <c r="F12022" t="s">
        <v>1068</v>
      </c>
      <c r="G12022" t="s">
        <v>1069</v>
      </c>
      <c r="H12022" s="171" t="s">
        <v>6894</v>
      </c>
      <c r="I12022" t="s">
        <v>1070</v>
      </c>
      <c r="J12022">
        <v>9.16</v>
      </c>
    </row>
    <row r="12023" spans="1:10" hidden="1">
      <c r="A12023" t="s">
        <v>6892</v>
      </c>
      <c r="B12023" t="s">
        <v>6893</v>
      </c>
      <c r="C12023" t="s">
        <v>6839</v>
      </c>
      <c r="D12023" t="s">
        <v>5112</v>
      </c>
      <c r="E12023" t="s">
        <v>559</v>
      </c>
      <c r="F12023" t="s">
        <v>1068</v>
      </c>
      <c r="G12023" t="s">
        <v>1071</v>
      </c>
      <c r="H12023" s="171" t="s">
        <v>6895</v>
      </c>
      <c r="I12023" t="s">
        <v>1072</v>
      </c>
      <c r="J12023">
        <v>9.16</v>
      </c>
    </row>
    <row r="12024" spans="1:10" hidden="1">
      <c r="A12024" t="s">
        <v>6892</v>
      </c>
      <c r="B12024" t="s">
        <v>6893</v>
      </c>
      <c r="C12024" t="s">
        <v>6839</v>
      </c>
      <c r="D12024" t="s">
        <v>5112</v>
      </c>
      <c r="E12024" t="s">
        <v>559</v>
      </c>
      <c r="F12024" t="s">
        <v>1068</v>
      </c>
      <c r="G12024" t="s">
        <v>1073</v>
      </c>
      <c r="H12024" s="171" t="s">
        <v>6896</v>
      </c>
      <c r="I12024" t="s">
        <v>1074</v>
      </c>
      <c r="J12024">
        <v>9.16</v>
      </c>
    </row>
    <row r="12025" spans="1:10" hidden="1">
      <c r="A12025" t="s">
        <v>6892</v>
      </c>
      <c r="B12025" t="s">
        <v>6893</v>
      </c>
      <c r="C12025" t="s">
        <v>6839</v>
      </c>
      <c r="D12025" t="s">
        <v>5112</v>
      </c>
      <c r="E12025" t="s">
        <v>559</v>
      </c>
      <c r="F12025" t="s">
        <v>1068</v>
      </c>
      <c r="G12025" t="s">
        <v>1075</v>
      </c>
      <c r="H12025">
        <v>4.2497200498594102E-3</v>
      </c>
      <c r="I12025" t="s">
        <v>1077</v>
      </c>
      <c r="J12025">
        <v>9.16</v>
      </c>
    </row>
    <row r="12026" spans="1:10" hidden="1">
      <c r="A12026" t="s">
        <v>6892</v>
      </c>
      <c r="B12026" t="s">
        <v>6893</v>
      </c>
      <c r="C12026" t="s">
        <v>6839</v>
      </c>
      <c r="D12026" t="s">
        <v>5112</v>
      </c>
      <c r="E12026" t="s">
        <v>559</v>
      </c>
      <c r="F12026" t="s">
        <v>1068</v>
      </c>
      <c r="G12026" t="s">
        <v>1078</v>
      </c>
      <c r="H12026">
        <v>4.89261965219717E-2</v>
      </c>
      <c r="I12026" t="s">
        <v>1079</v>
      </c>
      <c r="J12026">
        <v>9.16</v>
      </c>
    </row>
    <row r="12027" spans="1:10" hidden="1">
      <c r="A12027" t="s">
        <v>6892</v>
      </c>
      <c r="B12027" t="s">
        <v>6893</v>
      </c>
      <c r="C12027" t="s">
        <v>6839</v>
      </c>
      <c r="D12027" t="s">
        <v>5112</v>
      </c>
      <c r="E12027" t="s">
        <v>559</v>
      </c>
      <c r="F12027" t="s">
        <v>1068</v>
      </c>
      <c r="G12027" t="s">
        <v>1080</v>
      </c>
      <c r="H12027" s="171" t="s">
        <v>6897</v>
      </c>
      <c r="I12027" t="s">
        <v>1082</v>
      </c>
      <c r="J12027">
        <v>9.16</v>
      </c>
    </row>
    <row r="12028" spans="1:10" hidden="1">
      <c r="A12028" t="s">
        <v>6892</v>
      </c>
      <c r="B12028" t="s">
        <v>6893</v>
      </c>
      <c r="C12028" t="s">
        <v>6839</v>
      </c>
      <c r="D12028" t="s">
        <v>5112</v>
      </c>
      <c r="E12028" t="s">
        <v>559</v>
      </c>
      <c r="F12028" t="s">
        <v>1068</v>
      </c>
      <c r="G12028" t="s">
        <v>1083</v>
      </c>
      <c r="H12028" s="171" t="s">
        <v>6898</v>
      </c>
      <c r="I12028" t="s">
        <v>1084</v>
      </c>
      <c r="J12028">
        <v>9.16</v>
      </c>
    </row>
    <row r="12029" spans="1:10" hidden="1">
      <c r="A12029" t="s">
        <v>6892</v>
      </c>
      <c r="B12029" t="s">
        <v>6893</v>
      </c>
      <c r="C12029" t="s">
        <v>6839</v>
      </c>
      <c r="D12029" t="s">
        <v>5112</v>
      </c>
      <c r="E12029" t="s">
        <v>559</v>
      </c>
      <c r="F12029" t="s">
        <v>1068</v>
      </c>
      <c r="G12029" t="s">
        <v>1085</v>
      </c>
      <c r="H12029">
        <v>1.5485819208517799E-4</v>
      </c>
      <c r="I12029" t="s">
        <v>1086</v>
      </c>
      <c r="J12029">
        <v>9.16</v>
      </c>
    </row>
    <row r="12030" spans="1:10" hidden="1">
      <c r="A12030" t="s">
        <v>6892</v>
      </c>
      <c r="B12030" t="s">
        <v>6893</v>
      </c>
      <c r="C12030" t="s">
        <v>6839</v>
      </c>
      <c r="D12030" t="s">
        <v>5112</v>
      </c>
      <c r="E12030" t="s">
        <v>559</v>
      </c>
      <c r="F12030" t="s">
        <v>1068</v>
      </c>
      <c r="G12030" t="s">
        <v>1087</v>
      </c>
      <c r="H12030" s="171" t="s">
        <v>6899</v>
      </c>
      <c r="I12030" t="s">
        <v>1088</v>
      </c>
      <c r="J12030">
        <v>9.16</v>
      </c>
    </row>
    <row r="12031" spans="1:10" hidden="1">
      <c r="A12031" t="s">
        <v>6892</v>
      </c>
      <c r="B12031" t="s">
        <v>6893</v>
      </c>
      <c r="C12031" t="s">
        <v>6839</v>
      </c>
      <c r="D12031" t="s">
        <v>5112</v>
      </c>
      <c r="E12031" t="s">
        <v>559</v>
      </c>
      <c r="F12031" t="s">
        <v>1068</v>
      </c>
      <c r="G12031" t="s">
        <v>1089</v>
      </c>
      <c r="H12031" s="171" t="s">
        <v>6900</v>
      </c>
      <c r="I12031" t="s">
        <v>1090</v>
      </c>
      <c r="J12031">
        <v>9.16</v>
      </c>
    </row>
    <row r="12032" spans="1:10" hidden="1">
      <c r="A12032" t="s">
        <v>6901</v>
      </c>
      <c r="B12032" t="s">
        <v>6902</v>
      </c>
      <c r="C12032" t="s">
        <v>6839</v>
      </c>
      <c r="D12032" t="s">
        <v>5112</v>
      </c>
      <c r="E12032" t="s">
        <v>560</v>
      </c>
      <c r="F12032" t="s">
        <v>1068</v>
      </c>
      <c r="G12032" t="s">
        <v>1069</v>
      </c>
      <c r="H12032" s="171" t="s">
        <v>6903</v>
      </c>
      <c r="I12032" t="s">
        <v>1070</v>
      </c>
      <c r="J12032">
        <v>9.4</v>
      </c>
    </row>
    <row r="12033" spans="1:10" hidden="1">
      <c r="A12033" t="s">
        <v>6901</v>
      </c>
      <c r="B12033" t="s">
        <v>6902</v>
      </c>
      <c r="C12033" t="s">
        <v>6839</v>
      </c>
      <c r="D12033" t="s">
        <v>5112</v>
      </c>
      <c r="E12033" t="s">
        <v>560</v>
      </c>
      <c r="F12033" t="s">
        <v>1068</v>
      </c>
      <c r="G12033" t="s">
        <v>1071</v>
      </c>
      <c r="H12033" s="171" t="s">
        <v>6904</v>
      </c>
      <c r="I12033" t="s">
        <v>1072</v>
      </c>
      <c r="J12033">
        <v>9.4</v>
      </c>
    </row>
    <row r="12034" spans="1:10" hidden="1">
      <c r="A12034" t="s">
        <v>6901</v>
      </c>
      <c r="B12034" t="s">
        <v>6902</v>
      </c>
      <c r="C12034" t="s">
        <v>6839</v>
      </c>
      <c r="D12034" t="s">
        <v>5112</v>
      </c>
      <c r="E12034" t="s">
        <v>560</v>
      </c>
      <c r="F12034" t="s">
        <v>1068</v>
      </c>
      <c r="G12034" t="s">
        <v>1073</v>
      </c>
      <c r="H12034" s="171" t="s">
        <v>6905</v>
      </c>
      <c r="I12034" t="s">
        <v>1074</v>
      </c>
      <c r="J12034">
        <v>9.4</v>
      </c>
    </row>
    <row r="12035" spans="1:10" hidden="1">
      <c r="A12035" t="s">
        <v>6901</v>
      </c>
      <c r="B12035" t="s">
        <v>6902</v>
      </c>
      <c r="C12035" t="s">
        <v>6839</v>
      </c>
      <c r="D12035" t="s">
        <v>5112</v>
      </c>
      <c r="E12035" t="s">
        <v>560</v>
      </c>
      <c r="F12035" t="s">
        <v>1068</v>
      </c>
      <c r="G12035" t="s">
        <v>1075</v>
      </c>
      <c r="H12035">
        <v>4.2496488524968196E-3</v>
      </c>
      <c r="I12035" t="s">
        <v>1077</v>
      </c>
      <c r="J12035">
        <v>9.4</v>
      </c>
    </row>
    <row r="12036" spans="1:10" hidden="1">
      <c r="A12036" t="s">
        <v>6901</v>
      </c>
      <c r="B12036" t="s">
        <v>6902</v>
      </c>
      <c r="C12036" t="s">
        <v>6839</v>
      </c>
      <c r="D12036" t="s">
        <v>5112</v>
      </c>
      <c r="E12036" t="s">
        <v>560</v>
      </c>
      <c r="F12036" t="s">
        <v>1068</v>
      </c>
      <c r="G12036" t="s">
        <v>1078</v>
      </c>
      <c r="H12036">
        <v>4.8923121440990501E-2</v>
      </c>
      <c r="I12036" t="s">
        <v>1079</v>
      </c>
      <c r="J12036">
        <v>9.4</v>
      </c>
    </row>
    <row r="12037" spans="1:10" hidden="1">
      <c r="A12037" t="s">
        <v>6901</v>
      </c>
      <c r="B12037" t="s">
        <v>6902</v>
      </c>
      <c r="C12037" t="s">
        <v>6839</v>
      </c>
      <c r="D12037" t="s">
        <v>5112</v>
      </c>
      <c r="E12037" t="s">
        <v>560</v>
      </c>
      <c r="F12037" t="s">
        <v>1068</v>
      </c>
      <c r="G12037" t="s">
        <v>1080</v>
      </c>
      <c r="H12037" s="171" t="s">
        <v>6906</v>
      </c>
      <c r="I12037" t="s">
        <v>1082</v>
      </c>
      <c r="J12037">
        <v>9.4</v>
      </c>
    </row>
    <row r="12038" spans="1:10" hidden="1">
      <c r="A12038" t="s">
        <v>6901</v>
      </c>
      <c r="B12038" t="s">
        <v>6902</v>
      </c>
      <c r="C12038" t="s">
        <v>6839</v>
      </c>
      <c r="D12038" t="s">
        <v>5112</v>
      </c>
      <c r="E12038" t="s">
        <v>560</v>
      </c>
      <c r="F12038" t="s">
        <v>1068</v>
      </c>
      <c r="G12038" t="s">
        <v>1083</v>
      </c>
      <c r="H12038" s="171" t="s">
        <v>6907</v>
      </c>
      <c r="I12038" t="s">
        <v>1084</v>
      </c>
      <c r="J12038">
        <v>9.4</v>
      </c>
    </row>
    <row r="12039" spans="1:10" hidden="1">
      <c r="A12039" t="s">
        <v>6901</v>
      </c>
      <c r="B12039" t="s">
        <v>6902</v>
      </c>
      <c r="C12039" t="s">
        <v>6839</v>
      </c>
      <c r="D12039" t="s">
        <v>5112</v>
      </c>
      <c r="E12039" t="s">
        <v>560</v>
      </c>
      <c r="F12039" t="s">
        <v>1068</v>
      </c>
      <c r="G12039" t="s">
        <v>1085</v>
      </c>
      <c r="H12039">
        <v>1.5485432690824199E-4</v>
      </c>
      <c r="I12039" t="s">
        <v>1086</v>
      </c>
      <c r="J12039">
        <v>9.4</v>
      </c>
    </row>
    <row r="12040" spans="1:10" hidden="1">
      <c r="A12040" t="s">
        <v>6901</v>
      </c>
      <c r="B12040" t="s">
        <v>6902</v>
      </c>
      <c r="C12040" t="s">
        <v>6839</v>
      </c>
      <c r="D12040" t="s">
        <v>5112</v>
      </c>
      <c r="E12040" t="s">
        <v>560</v>
      </c>
      <c r="F12040" t="s">
        <v>1068</v>
      </c>
      <c r="G12040" t="s">
        <v>1087</v>
      </c>
      <c r="H12040" s="171" t="s">
        <v>6908</v>
      </c>
      <c r="I12040" t="s">
        <v>1088</v>
      </c>
      <c r="J12040">
        <v>9.4</v>
      </c>
    </row>
    <row r="12041" spans="1:10" hidden="1">
      <c r="A12041" t="s">
        <v>6901</v>
      </c>
      <c r="B12041" t="s">
        <v>6902</v>
      </c>
      <c r="C12041" t="s">
        <v>6839</v>
      </c>
      <c r="D12041" t="s">
        <v>5112</v>
      </c>
      <c r="E12041" t="s">
        <v>560</v>
      </c>
      <c r="F12041" t="s">
        <v>1068</v>
      </c>
      <c r="G12041" t="s">
        <v>1089</v>
      </c>
      <c r="H12041" s="171" t="s">
        <v>6909</v>
      </c>
      <c r="I12041" t="s">
        <v>1090</v>
      </c>
      <c r="J12041">
        <v>9.4</v>
      </c>
    </row>
    <row r="12042" spans="1:10" hidden="1">
      <c r="A12042" t="s">
        <v>6910</v>
      </c>
      <c r="B12042" t="s">
        <v>6911</v>
      </c>
      <c r="C12042" t="s">
        <v>6839</v>
      </c>
      <c r="D12042" t="s">
        <v>5112</v>
      </c>
      <c r="E12042" t="s">
        <v>1116</v>
      </c>
      <c r="F12042" t="s">
        <v>1068</v>
      </c>
      <c r="G12042" t="s">
        <v>1069</v>
      </c>
      <c r="H12042" s="171" t="s">
        <v>6912</v>
      </c>
      <c r="I12042" t="s">
        <v>1070</v>
      </c>
      <c r="J12042">
        <v>9.09</v>
      </c>
    </row>
    <row r="12043" spans="1:10" hidden="1">
      <c r="A12043" t="s">
        <v>6910</v>
      </c>
      <c r="B12043" t="s">
        <v>6911</v>
      </c>
      <c r="C12043" t="s">
        <v>6839</v>
      </c>
      <c r="D12043" t="s">
        <v>5112</v>
      </c>
      <c r="E12043" t="s">
        <v>1116</v>
      </c>
      <c r="F12043" t="s">
        <v>1068</v>
      </c>
      <c r="G12043" t="s">
        <v>1071</v>
      </c>
      <c r="H12043" s="171" t="s">
        <v>6913</v>
      </c>
      <c r="I12043" t="s">
        <v>1072</v>
      </c>
      <c r="J12043">
        <v>9.09</v>
      </c>
    </row>
    <row r="12044" spans="1:10" hidden="1">
      <c r="A12044" t="s">
        <v>6910</v>
      </c>
      <c r="B12044" t="s">
        <v>6911</v>
      </c>
      <c r="C12044" t="s">
        <v>6839</v>
      </c>
      <c r="D12044" t="s">
        <v>5112</v>
      </c>
      <c r="E12044" t="s">
        <v>1116</v>
      </c>
      <c r="F12044" t="s">
        <v>1068</v>
      </c>
      <c r="G12044" t="s">
        <v>1073</v>
      </c>
      <c r="H12044" s="171" t="s">
        <v>6914</v>
      </c>
      <c r="I12044" t="s">
        <v>1074</v>
      </c>
      <c r="J12044">
        <v>9.09</v>
      </c>
    </row>
    <row r="12045" spans="1:10" hidden="1">
      <c r="A12045" t="s">
        <v>6910</v>
      </c>
      <c r="B12045" t="s">
        <v>6911</v>
      </c>
      <c r="C12045" t="s">
        <v>6839</v>
      </c>
      <c r="D12045" t="s">
        <v>5112</v>
      </c>
      <c r="E12045" t="s">
        <v>1116</v>
      </c>
      <c r="F12045" t="s">
        <v>1068</v>
      </c>
      <c r="G12045" t="s">
        <v>1075</v>
      </c>
      <c r="H12045">
        <v>4.2493789210850197E-3</v>
      </c>
      <c r="I12045" t="s">
        <v>1077</v>
      </c>
      <c r="J12045">
        <v>9.09</v>
      </c>
    </row>
    <row r="12046" spans="1:10" hidden="1">
      <c r="A12046" t="s">
        <v>6910</v>
      </c>
      <c r="B12046" t="s">
        <v>6911</v>
      </c>
      <c r="C12046" t="s">
        <v>6839</v>
      </c>
      <c r="D12046" t="s">
        <v>5112</v>
      </c>
      <c r="E12046" t="s">
        <v>1116</v>
      </c>
      <c r="F12046" t="s">
        <v>1068</v>
      </c>
      <c r="G12046" t="s">
        <v>1078</v>
      </c>
      <c r="H12046" s="171" t="s">
        <v>6915</v>
      </c>
      <c r="I12046" t="s">
        <v>1079</v>
      </c>
      <c r="J12046">
        <v>9.09</v>
      </c>
    </row>
    <row r="12047" spans="1:10" hidden="1">
      <c r="A12047" t="s">
        <v>6910</v>
      </c>
      <c r="B12047" t="s">
        <v>6911</v>
      </c>
      <c r="C12047" t="s">
        <v>6839</v>
      </c>
      <c r="D12047" t="s">
        <v>5112</v>
      </c>
      <c r="E12047" t="s">
        <v>1116</v>
      </c>
      <c r="F12047" t="s">
        <v>1068</v>
      </c>
      <c r="G12047" t="s">
        <v>1080</v>
      </c>
      <c r="H12047" s="171" t="s">
        <v>6916</v>
      </c>
      <c r="I12047" t="s">
        <v>1082</v>
      </c>
      <c r="J12047">
        <v>9.09</v>
      </c>
    </row>
    <row r="12048" spans="1:10" hidden="1">
      <c r="A12048" t="s">
        <v>6910</v>
      </c>
      <c r="B12048" t="s">
        <v>6911</v>
      </c>
      <c r="C12048" t="s">
        <v>6839</v>
      </c>
      <c r="D12048" t="s">
        <v>5112</v>
      </c>
      <c r="E12048" t="s">
        <v>1116</v>
      </c>
      <c r="F12048" t="s">
        <v>1068</v>
      </c>
      <c r="G12048" t="s">
        <v>1083</v>
      </c>
      <c r="H12048" s="171" t="s">
        <v>6917</v>
      </c>
      <c r="I12048" t="s">
        <v>1084</v>
      </c>
      <c r="J12048">
        <v>9.09</v>
      </c>
    </row>
    <row r="12049" spans="1:10" hidden="1">
      <c r="A12049" t="s">
        <v>6910</v>
      </c>
      <c r="B12049" t="s">
        <v>6911</v>
      </c>
      <c r="C12049" t="s">
        <v>6839</v>
      </c>
      <c r="D12049" t="s">
        <v>5112</v>
      </c>
      <c r="E12049" t="s">
        <v>1116</v>
      </c>
      <c r="F12049" t="s">
        <v>1068</v>
      </c>
      <c r="G12049" t="s">
        <v>1085</v>
      </c>
      <c r="H12049">
        <v>1.54839657380571E-4</v>
      </c>
      <c r="I12049" t="s">
        <v>1086</v>
      </c>
      <c r="J12049">
        <v>9.09</v>
      </c>
    </row>
    <row r="12050" spans="1:10" hidden="1">
      <c r="A12050" t="s">
        <v>6910</v>
      </c>
      <c r="B12050" t="s">
        <v>6911</v>
      </c>
      <c r="C12050" t="s">
        <v>6839</v>
      </c>
      <c r="D12050" t="s">
        <v>5112</v>
      </c>
      <c r="E12050" t="s">
        <v>1116</v>
      </c>
      <c r="F12050" t="s">
        <v>1068</v>
      </c>
      <c r="G12050" t="s">
        <v>1087</v>
      </c>
      <c r="H12050" s="171" t="s">
        <v>6918</v>
      </c>
      <c r="I12050" t="s">
        <v>1088</v>
      </c>
      <c r="J12050">
        <v>9.09</v>
      </c>
    </row>
    <row r="12051" spans="1:10" hidden="1">
      <c r="A12051" t="s">
        <v>6910</v>
      </c>
      <c r="B12051" t="s">
        <v>6911</v>
      </c>
      <c r="C12051" t="s">
        <v>6839</v>
      </c>
      <c r="D12051" t="s">
        <v>5112</v>
      </c>
      <c r="E12051" t="s">
        <v>1116</v>
      </c>
      <c r="F12051" t="s">
        <v>1068</v>
      </c>
      <c r="G12051" t="s">
        <v>1089</v>
      </c>
      <c r="H12051" s="171" t="s">
        <v>6919</v>
      </c>
      <c r="I12051" t="s">
        <v>1090</v>
      </c>
      <c r="J12051">
        <v>9.09</v>
      </c>
    </row>
    <row r="12052" spans="1:10" hidden="1">
      <c r="A12052" t="s">
        <v>6920</v>
      </c>
      <c r="B12052" t="s">
        <v>6921</v>
      </c>
      <c r="C12052" t="s">
        <v>6839</v>
      </c>
      <c r="D12052" t="s">
        <v>5199</v>
      </c>
      <c r="E12052" t="s">
        <v>561</v>
      </c>
      <c r="F12052" t="s">
        <v>1068</v>
      </c>
      <c r="G12052" t="s">
        <v>1069</v>
      </c>
      <c r="H12052">
        <v>7.1481901977856394E-2</v>
      </c>
      <c r="I12052" t="s">
        <v>1070</v>
      </c>
      <c r="J12052">
        <v>9.3800000000000008</v>
      </c>
    </row>
    <row r="12053" spans="1:10" hidden="1">
      <c r="A12053" t="s">
        <v>6920</v>
      </c>
      <c r="B12053" t="s">
        <v>6921</v>
      </c>
      <c r="C12053" t="s">
        <v>6839</v>
      </c>
      <c r="D12053" t="s">
        <v>5199</v>
      </c>
      <c r="E12053" t="s">
        <v>561</v>
      </c>
      <c r="F12053" t="s">
        <v>1068</v>
      </c>
      <c r="G12053" t="s">
        <v>1071</v>
      </c>
      <c r="H12053" s="171" t="s">
        <v>6922</v>
      </c>
      <c r="I12053" t="s">
        <v>1072</v>
      </c>
      <c r="J12053">
        <v>9.3800000000000008</v>
      </c>
    </row>
    <row r="12054" spans="1:10" hidden="1">
      <c r="A12054" t="s">
        <v>6920</v>
      </c>
      <c r="B12054" t="s">
        <v>6921</v>
      </c>
      <c r="C12054" t="s">
        <v>6839</v>
      </c>
      <c r="D12054" t="s">
        <v>5199</v>
      </c>
      <c r="E12054" t="s">
        <v>561</v>
      </c>
      <c r="F12054" t="s">
        <v>1068</v>
      </c>
      <c r="G12054" t="s">
        <v>1073</v>
      </c>
      <c r="H12054" s="171" t="s">
        <v>6923</v>
      </c>
      <c r="I12054" t="s">
        <v>1074</v>
      </c>
      <c r="J12054">
        <v>9.3800000000000008</v>
      </c>
    </row>
    <row r="12055" spans="1:10" hidden="1">
      <c r="A12055" t="s">
        <v>6920</v>
      </c>
      <c r="B12055" t="s">
        <v>6921</v>
      </c>
      <c r="C12055" t="s">
        <v>6839</v>
      </c>
      <c r="D12055" t="s">
        <v>5199</v>
      </c>
      <c r="E12055" t="s">
        <v>561</v>
      </c>
      <c r="F12055" t="s">
        <v>1068</v>
      </c>
      <c r="G12055" t="s">
        <v>1075</v>
      </c>
      <c r="H12055">
        <v>3.1386932397581501E-3</v>
      </c>
      <c r="I12055" t="s">
        <v>1077</v>
      </c>
      <c r="J12055">
        <v>9.3800000000000008</v>
      </c>
    </row>
    <row r="12056" spans="1:10" hidden="1">
      <c r="A12056" t="s">
        <v>6920</v>
      </c>
      <c r="B12056" t="s">
        <v>6921</v>
      </c>
      <c r="C12056" t="s">
        <v>6839</v>
      </c>
      <c r="D12056" t="s">
        <v>5199</v>
      </c>
      <c r="E12056" t="s">
        <v>561</v>
      </c>
      <c r="F12056" t="s">
        <v>1068</v>
      </c>
      <c r="G12056" t="s">
        <v>1078</v>
      </c>
      <c r="H12056">
        <v>-4.8940251953922799E-2</v>
      </c>
      <c r="I12056" t="s">
        <v>1079</v>
      </c>
      <c r="J12056">
        <v>9.3800000000000008</v>
      </c>
    </row>
    <row r="12057" spans="1:10" hidden="1">
      <c r="A12057" t="s">
        <v>6920</v>
      </c>
      <c r="B12057" t="s">
        <v>6921</v>
      </c>
      <c r="C12057" t="s">
        <v>6839</v>
      </c>
      <c r="D12057" t="s">
        <v>5199</v>
      </c>
      <c r="E12057" t="s">
        <v>561</v>
      </c>
      <c r="F12057" t="s">
        <v>1068</v>
      </c>
      <c r="G12057" t="s">
        <v>1080</v>
      </c>
      <c r="H12057" s="171" t="s">
        <v>6924</v>
      </c>
      <c r="I12057" t="s">
        <v>1082</v>
      </c>
      <c r="J12057">
        <v>9.3800000000000008</v>
      </c>
    </row>
    <row r="12058" spans="1:10" hidden="1">
      <c r="A12058" t="s">
        <v>6920</v>
      </c>
      <c r="B12058" t="s">
        <v>6921</v>
      </c>
      <c r="C12058" t="s">
        <v>6839</v>
      </c>
      <c r="D12058" t="s">
        <v>5199</v>
      </c>
      <c r="E12058" t="s">
        <v>561</v>
      </c>
      <c r="F12058" t="s">
        <v>1068</v>
      </c>
      <c r="G12058" t="s">
        <v>1083</v>
      </c>
      <c r="H12058" s="171" t="s">
        <v>6925</v>
      </c>
      <c r="I12058" t="s">
        <v>1084</v>
      </c>
      <c r="J12058">
        <v>9.3800000000000008</v>
      </c>
    </row>
    <row r="12059" spans="1:10" hidden="1">
      <c r="A12059" t="s">
        <v>6920</v>
      </c>
      <c r="B12059" t="s">
        <v>6921</v>
      </c>
      <c r="C12059" t="s">
        <v>6839</v>
      </c>
      <c r="D12059" t="s">
        <v>5199</v>
      </c>
      <c r="E12059" t="s">
        <v>561</v>
      </c>
      <c r="F12059" t="s">
        <v>1068</v>
      </c>
      <c r="G12059" t="s">
        <v>1085</v>
      </c>
      <c r="H12059" s="171" t="s">
        <v>6926</v>
      </c>
      <c r="I12059" t="s">
        <v>1086</v>
      </c>
      <c r="J12059">
        <v>9.3800000000000008</v>
      </c>
    </row>
    <row r="12060" spans="1:10" hidden="1">
      <c r="A12060" t="s">
        <v>6920</v>
      </c>
      <c r="B12060" t="s">
        <v>6921</v>
      </c>
      <c r="C12060" t="s">
        <v>6839</v>
      </c>
      <c r="D12060" t="s">
        <v>5199</v>
      </c>
      <c r="E12060" t="s">
        <v>561</v>
      </c>
      <c r="F12060" t="s">
        <v>1068</v>
      </c>
      <c r="G12060" t="s">
        <v>1087</v>
      </c>
      <c r="H12060" s="171" t="s">
        <v>6927</v>
      </c>
      <c r="I12060" t="s">
        <v>1088</v>
      </c>
      <c r="J12060">
        <v>9.3800000000000008</v>
      </c>
    </row>
    <row r="12061" spans="1:10" hidden="1">
      <c r="A12061" t="s">
        <v>6920</v>
      </c>
      <c r="B12061" t="s">
        <v>6921</v>
      </c>
      <c r="C12061" t="s">
        <v>6839</v>
      </c>
      <c r="D12061" t="s">
        <v>5199</v>
      </c>
      <c r="E12061" t="s">
        <v>561</v>
      </c>
      <c r="F12061" t="s">
        <v>1068</v>
      </c>
      <c r="G12061" t="s">
        <v>1089</v>
      </c>
      <c r="H12061" s="171" t="s">
        <v>6928</v>
      </c>
      <c r="I12061" t="s">
        <v>1090</v>
      </c>
      <c r="J12061">
        <v>9.3800000000000008</v>
      </c>
    </row>
    <row r="12062" spans="1:10" hidden="1">
      <c r="A12062" t="s">
        <v>6929</v>
      </c>
      <c r="B12062" t="s">
        <v>6930</v>
      </c>
      <c r="C12062" t="s">
        <v>6839</v>
      </c>
      <c r="D12062" t="s">
        <v>5199</v>
      </c>
      <c r="E12062" t="s">
        <v>555</v>
      </c>
      <c r="F12062" t="s">
        <v>1068</v>
      </c>
      <c r="G12062" t="s">
        <v>1069</v>
      </c>
      <c r="H12062">
        <v>6.6177254721518697E-2</v>
      </c>
      <c r="I12062" t="s">
        <v>1070</v>
      </c>
      <c r="J12062">
        <v>8.48</v>
      </c>
    </row>
    <row r="12063" spans="1:10" hidden="1">
      <c r="A12063" t="s">
        <v>6929</v>
      </c>
      <c r="B12063" t="s">
        <v>6930</v>
      </c>
      <c r="C12063" t="s">
        <v>6839</v>
      </c>
      <c r="D12063" t="s">
        <v>5199</v>
      </c>
      <c r="E12063" t="s">
        <v>555</v>
      </c>
      <c r="F12063" t="s">
        <v>1068</v>
      </c>
      <c r="G12063" t="s">
        <v>1071</v>
      </c>
      <c r="H12063" s="171" t="s">
        <v>6931</v>
      </c>
      <c r="I12063" t="s">
        <v>1072</v>
      </c>
      <c r="J12063">
        <v>8.48</v>
      </c>
    </row>
    <row r="12064" spans="1:10" hidden="1">
      <c r="A12064" t="s">
        <v>6929</v>
      </c>
      <c r="B12064" t="s">
        <v>6930</v>
      </c>
      <c r="C12064" t="s">
        <v>6839</v>
      </c>
      <c r="D12064" t="s">
        <v>5199</v>
      </c>
      <c r="E12064" t="s">
        <v>555</v>
      </c>
      <c r="F12064" t="s">
        <v>1068</v>
      </c>
      <c r="G12064" t="s">
        <v>1073</v>
      </c>
      <c r="H12064" s="171" t="s">
        <v>6932</v>
      </c>
      <c r="I12064" t="s">
        <v>1074</v>
      </c>
      <c r="J12064">
        <v>8.48</v>
      </c>
    </row>
    <row r="12065" spans="1:10" hidden="1">
      <c r="A12065" t="s">
        <v>6929</v>
      </c>
      <c r="B12065" t="s">
        <v>6930</v>
      </c>
      <c r="C12065" t="s">
        <v>6839</v>
      </c>
      <c r="D12065" t="s">
        <v>5199</v>
      </c>
      <c r="E12065" t="s">
        <v>555</v>
      </c>
      <c r="F12065" t="s">
        <v>1068</v>
      </c>
      <c r="G12065" t="s">
        <v>1075</v>
      </c>
      <c r="H12065">
        <v>2.98936315502974E-3</v>
      </c>
      <c r="I12065" t="s">
        <v>1077</v>
      </c>
      <c r="J12065">
        <v>8.48</v>
      </c>
    </row>
    <row r="12066" spans="1:10" hidden="1">
      <c r="A12066" t="s">
        <v>6929</v>
      </c>
      <c r="B12066" t="s">
        <v>6930</v>
      </c>
      <c r="C12066" t="s">
        <v>6839</v>
      </c>
      <c r="D12066" t="s">
        <v>5199</v>
      </c>
      <c r="E12066" t="s">
        <v>555</v>
      </c>
      <c r="F12066" t="s">
        <v>1068</v>
      </c>
      <c r="G12066" t="s">
        <v>1078</v>
      </c>
      <c r="H12066">
        <v>-4.8378005974929097E-2</v>
      </c>
      <c r="I12066" t="s">
        <v>1079</v>
      </c>
      <c r="J12066">
        <v>8.48</v>
      </c>
    </row>
    <row r="12067" spans="1:10" hidden="1">
      <c r="A12067" t="s">
        <v>6929</v>
      </c>
      <c r="B12067" t="s">
        <v>6930</v>
      </c>
      <c r="C12067" t="s">
        <v>6839</v>
      </c>
      <c r="D12067" t="s">
        <v>5199</v>
      </c>
      <c r="E12067" t="s">
        <v>555</v>
      </c>
      <c r="F12067" t="s">
        <v>1068</v>
      </c>
      <c r="G12067" t="s">
        <v>1080</v>
      </c>
      <c r="H12067" s="171" t="s">
        <v>6933</v>
      </c>
      <c r="I12067" t="s">
        <v>1082</v>
      </c>
      <c r="J12067">
        <v>8.48</v>
      </c>
    </row>
    <row r="12068" spans="1:10" hidden="1">
      <c r="A12068" t="s">
        <v>6929</v>
      </c>
      <c r="B12068" t="s">
        <v>6930</v>
      </c>
      <c r="C12068" t="s">
        <v>6839</v>
      </c>
      <c r="D12068" t="s">
        <v>5199</v>
      </c>
      <c r="E12068" t="s">
        <v>555</v>
      </c>
      <c r="F12068" t="s">
        <v>1068</v>
      </c>
      <c r="G12068" t="s">
        <v>1083</v>
      </c>
      <c r="H12068" s="170">
        <v>-1.03882161292121E-7</v>
      </c>
      <c r="I12068" t="s">
        <v>1084</v>
      </c>
      <c r="J12068">
        <v>8.48</v>
      </c>
    </row>
    <row r="12069" spans="1:10" hidden="1">
      <c r="A12069" t="s">
        <v>6929</v>
      </c>
      <c r="B12069" t="s">
        <v>6930</v>
      </c>
      <c r="C12069" t="s">
        <v>6839</v>
      </c>
      <c r="D12069" t="s">
        <v>5199</v>
      </c>
      <c r="E12069" t="s">
        <v>555</v>
      </c>
      <c r="F12069" t="s">
        <v>1068</v>
      </c>
      <c r="G12069" t="s">
        <v>1085</v>
      </c>
      <c r="H12069" s="171" t="s">
        <v>6934</v>
      </c>
      <c r="I12069" t="s">
        <v>1086</v>
      </c>
      <c r="J12069">
        <v>8.48</v>
      </c>
    </row>
    <row r="12070" spans="1:10" hidden="1">
      <c r="A12070" t="s">
        <v>6929</v>
      </c>
      <c r="B12070" t="s">
        <v>6930</v>
      </c>
      <c r="C12070" t="s">
        <v>6839</v>
      </c>
      <c r="D12070" t="s">
        <v>5199</v>
      </c>
      <c r="E12070" t="s">
        <v>555</v>
      </c>
      <c r="F12070" t="s">
        <v>1068</v>
      </c>
      <c r="G12070" t="s">
        <v>1087</v>
      </c>
      <c r="H12070" s="171" t="s">
        <v>6935</v>
      </c>
      <c r="I12070" t="s">
        <v>1088</v>
      </c>
      <c r="J12070">
        <v>8.48</v>
      </c>
    </row>
    <row r="12071" spans="1:10" hidden="1">
      <c r="A12071" t="s">
        <v>6929</v>
      </c>
      <c r="B12071" t="s">
        <v>6930</v>
      </c>
      <c r="C12071" t="s">
        <v>6839</v>
      </c>
      <c r="D12071" t="s">
        <v>5199</v>
      </c>
      <c r="E12071" t="s">
        <v>555</v>
      </c>
      <c r="F12071" t="s">
        <v>1068</v>
      </c>
      <c r="G12071" t="s">
        <v>1089</v>
      </c>
      <c r="H12071" s="171" t="s">
        <v>6936</v>
      </c>
      <c r="I12071" t="s">
        <v>1090</v>
      </c>
      <c r="J12071">
        <v>8.48</v>
      </c>
    </row>
    <row r="12072" spans="1:10" hidden="1">
      <c r="A12072" t="s">
        <v>6937</v>
      </c>
      <c r="B12072" t="s">
        <v>6938</v>
      </c>
      <c r="C12072" t="s">
        <v>6839</v>
      </c>
      <c r="D12072" t="s">
        <v>5199</v>
      </c>
      <c r="E12072" t="s">
        <v>558</v>
      </c>
      <c r="F12072" t="s">
        <v>1068</v>
      </c>
      <c r="G12072" t="s">
        <v>1069</v>
      </c>
      <c r="H12072">
        <v>7.1938890835234998E-2</v>
      </c>
      <c r="I12072" t="s">
        <v>1070</v>
      </c>
      <c r="J12072">
        <v>9.08</v>
      </c>
    </row>
    <row r="12073" spans="1:10" hidden="1">
      <c r="A12073" t="s">
        <v>6937</v>
      </c>
      <c r="B12073" t="s">
        <v>6938</v>
      </c>
      <c r="C12073" t="s">
        <v>6839</v>
      </c>
      <c r="D12073" t="s">
        <v>5199</v>
      </c>
      <c r="E12073" t="s">
        <v>558</v>
      </c>
      <c r="F12073" t="s">
        <v>1068</v>
      </c>
      <c r="G12073" t="s">
        <v>1071</v>
      </c>
      <c r="H12073" s="171" t="s">
        <v>6939</v>
      </c>
      <c r="I12073" t="s">
        <v>1072</v>
      </c>
      <c r="J12073">
        <v>9.08</v>
      </c>
    </row>
    <row r="12074" spans="1:10" hidden="1">
      <c r="A12074" t="s">
        <v>6937</v>
      </c>
      <c r="B12074" t="s">
        <v>6938</v>
      </c>
      <c r="C12074" t="s">
        <v>6839</v>
      </c>
      <c r="D12074" t="s">
        <v>5199</v>
      </c>
      <c r="E12074" t="s">
        <v>558</v>
      </c>
      <c r="F12074" t="s">
        <v>1068</v>
      </c>
      <c r="G12074" t="s">
        <v>1073</v>
      </c>
      <c r="H12074" s="171" t="s">
        <v>6940</v>
      </c>
      <c r="I12074" t="s">
        <v>1074</v>
      </c>
      <c r="J12074">
        <v>9.08</v>
      </c>
    </row>
    <row r="12075" spans="1:10" hidden="1">
      <c r="A12075" t="s">
        <v>6937</v>
      </c>
      <c r="B12075" t="s">
        <v>6938</v>
      </c>
      <c r="C12075" t="s">
        <v>6839</v>
      </c>
      <c r="D12075" t="s">
        <v>5199</v>
      </c>
      <c r="E12075" t="s">
        <v>558</v>
      </c>
      <c r="F12075" t="s">
        <v>1068</v>
      </c>
      <c r="G12075" t="s">
        <v>1075</v>
      </c>
      <c r="H12075">
        <v>3.153139145727E-3</v>
      </c>
      <c r="I12075" t="s">
        <v>1077</v>
      </c>
      <c r="J12075">
        <v>9.08</v>
      </c>
    </row>
    <row r="12076" spans="1:10" hidden="1">
      <c r="A12076" t="s">
        <v>6937</v>
      </c>
      <c r="B12076" t="s">
        <v>6938</v>
      </c>
      <c r="C12076" t="s">
        <v>6839</v>
      </c>
      <c r="D12076" t="s">
        <v>5199</v>
      </c>
      <c r="E12076" t="s">
        <v>558</v>
      </c>
      <c r="F12076" t="s">
        <v>1068</v>
      </c>
      <c r="G12076" t="s">
        <v>1078</v>
      </c>
      <c r="H12076">
        <v>-4.8315555256272298E-2</v>
      </c>
      <c r="I12076" t="s">
        <v>1079</v>
      </c>
      <c r="J12076">
        <v>9.08</v>
      </c>
    </row>
    <row r="12077" spans="1:10" hidden="1">
      <c r="A12077" t="s">
        <v>6937</v>
      </c>
      <c r="B12077" t="s">
        <v>6938</v>
      </c>
      <c r="C12077" t="s">
        <v>6839</v>
      </c>
      <c r="D12077" t="s">
        <v>5199</v>
      </c>
      <c r="E12077" t="s">
        <v>558</v>
      </c>
      <c r="F12077" t="s">
        <v>1068</v>
      </c>
      <c r="G12077" t="s">
        <v>1080</v>
      </c>
      <c r="H12077" s="171" t="s">
        <v>6941</v>
      </c>
      <c r="I12077" t="s">
        <v>1082</v>
      </c>
      <c r="J12077">
        <v>9.08</v>
      </c>
    </row>
    <row r="12078" spans="1:10" hidden="1">
      <c r="A12078" t="s">
        <v>6937</v>
      </c>
      <c r="B12078" t="s">
        <v>6938</v>
      </c>
      <c r="C12078" t="s">
        <v>6839</v>
      </c>
      <c r="D12078" t="s">
        <v>5199</v>
      </c>
      <c r="E12078" t="s">
        <v>558</v>
      </c>
      <c r="F12078" t="s">
        <v>1068</v>
      </c>
      <c r="G12078" t="s">
        <v>1083</v>
      </c>
      <c r="H12078" s="171" t="s">
        <v>6942</v>
      </c>
      <c r="I12078" t="s">
        <v>1084</v>
      </c>
      <c r="J12078">
        <v>9.08</v>
      </c>
    </row>
    <row r="12079" spans="1:10" hidden="1">
      <c r="A12079" t="s">
        <v>6937</v>
      </c>
      <c r="B12079" t="s">
        <v>6938</v>
      </c>
      <c r="C12079" t="s">
        <v>6839</v>
      </c>
      <c r="D12079" t="s">
        <v>5199</v>
      </c>
      <c r="E12079" t="s">
        <v>558</v>
      </c>
      <c r="F12079" t="s">
        <v>1068</v>
      </c>
      <c r="G12079" t="s">
        <v>1085</v>
      </c>
      <c r="H12079" s="171" t="s">
        <v>6943</v>
      </c>
      <c r="I12079" t="s">
        <v>1086</v>
      </c>
      <c r="J12079">
        <v>9.08</v>
      </c>
    </row>
    <row r="12080" spans="1:10" hidden="1">
      <c r="A12080" t="s">
        <v>6937</v>
      </c>
      <c r="B12080" t="s">
        <v>6938</v>
      </c>
      <c r="C12080" t="s">
        <v>6839</v>
      </c>
      <c r="D12080" t="s">
        <v>5199</v>
      </c>
      <c r="E12080" t="s">
        <v>558</v>
      </c>
      <c r="F12080" t="s">
        <v>1068</v>
      </c>
      <c r="G12080" t="s">
        <v>1087</v>
      </c>
      <c r="H12080" s="171" t="s">
        <v>6944</v>
      </c>
      <c r="I12080" t="s">
        <v>1088</v>
      </c>
      <c r="J12080">
        <v>9.08</v>
      </c>
    </row>
    <row r="12081" spans="1:10" hidden="1">
      <c r="A12081" t="s">
        <v>6937</v>
      </c>
      <c r="B12081" t="s">
        <v>6938</v>
      </c>
      <c r="C12081" t="s">
        <v>6839</v>
      </c>
      <c r="D12081" t="s">
        <v>5199</v>
      </c>
      <c r="E12081" t="s">
        <v>558</v>
      </c>
      <c r="F12081" t="s">
        <v>1068</v>
      </c>
      <c r="G12081" t="s">
        <v>1089</v>
      </c>
      <c r="H12081" s="171" t="s">
        <v>6945</v>
      </c>
      <c r="I12081" t="s">
        <v>1090</v>
      </c>
      <c r="J12081">
        <v>9.08</v>
      </c>
    </row>
    <row r="12082" spans="1:10" hidden="1">
      <c r="A12082" t="s">
        <v>6946</v>
      </c>
      <c r="B12082" t="s">
        <v>6947</v>
      </c>
      <c r="C12082" t="s">
        <v>6839</v>
      </c>
      <c r="D12082" t="s">
        <v>5199</v>
      </c>
      <c r="E12082" t="s">
        <v>553</v>
      </c>
      <c r="F12082" t="s">
        <v>1068</v>
      </c>
      <c r="G12082" t="s">
        <v>1069</v>
      </c>
      <c r="H12082">
        <v>7.2262798572421502E-2</v>
      </c>
      <c r="I12082" t="s">
        <v>1070</v>
      </c>
      <c r="J12082">
        <v>10.94</v>
      </c>
    </row>
    <row r="12083" spans="1:10" hidden="1">
      <c r="A12083" t="s">
        <v>6946</v>
      </c>
      <c r="B12083" t="s">
        <v>6947</v>
      </c>
      <c r="C12083" t="s">
        <v>6839</v>
      </c>
      <c r="D12083" t="s">
        <v>5199</v>
      </c>
      <c r="E12083" t="s">
        <v>553</v>
      </c>
      <c r="F12083" t="s">
        <v>1068</v>
      </c>
      <c r="G12083" t="s">
        <v>1071</v>
      </c>
      <c r="H12083" s="171" t="s">
        <v>6948</v>
      </c>
      <c r="I12083" t="s">
        <v>1072</v>
      </c>
      <c r="J12083">
        <v>10.94</v>
      </c>
    </row>
    <row r="12084" spans="1:10" hidden="1">
      <c r="A12084" t="s">
        <v>6946</v>
      </c>
      <c r="B12084" t="s">
        <v>6947</v>
      </c>
      <c r="C12084" t="s">
        <v>6839</v>
      </c>
      <c r="D12084" t="s">
        <v>5199</v>
      </c>
      <c r="E12084" t="s">
        <v>553</v>
      </c>
      <c r="F12084" t="s">
        <v>1068</v>
      </c>
      <c r="G12084" t="s">
        <v>1073</v>
      </c>
      <c r="H12084" s="171" t="s">
        <v>6949</v>
      </c>
      <c r="I12084" t="s">
        <v>1074</v>
      </c>
      <c r="J12084">
        <v>10.94</v>
      </c>
    </row>
    <row r="12085" spans="1:10" hidden="1">
      <c r="A12085" t="s">
        <v>6946</v>
      </c>
      <c r="B12085" t="s">
        <v>6947</v>
      </c>
      <c r="C12085" t="s">
        <v>6839</v>
      </c>
      <c r="D12085" t="s">
        <v>5199</v>
      </c>
      <c r="E12085" t="s">
        <v>553</v>
      </c>
      <c r="F12085" t="s">
        <v>1068</v>
      </c>
      <c r="G12085" t="s">
        <v>1075</v>
      </c>
      <c r="H12085">
        <v>3.1817336971576198E-3</v>
      </c>
      <c r="I12085" t="s">
        <v>1077</v>
      </c>
      <c r="J12085">
        <v>10.94</v>
      </c>
    </row>
    <row r="12086" spans="1:10" hidden="1">
      <c r="A12086" t="s">
        <v>6946</v>
      </c>
      <c r="B12086" t="s">
        <v>6947</v>
      </c>
      <c r="C12086" t="s">
        <v>6839</v>
      </c>
      <c r="D12086" t="s">
        <v>5199</v>
      </c>
      <c r="E12086" t="s">
        <v>553</v>
      </c>
      <c r="F12086" t="s">
        <v>1068</v>
      </c>
      <c r="G12086" t="s">
        <v>1078</v>
      </c>
      <c r="H12086">
        <v>-4.0059161684337402E-2</v>
      </c>
      <c r="I12086" t="s">
        <v>1079</v>
      </c>
      <c r="J12086">
        <v>10.94</v>
      </c>
    </row>
    <row r="12087" spans="1:10" hidden="1">
      <c r="A12087" t="s">
        <v>6946</v>
      </c>
      <c r="B12087" t="s">
        <v>6947</v>
      </c>
      <c r="C12087" t="s">
        <v>6839</v>
      </c>
      <c r="D12087" t="s">
        <v>5199</v>
      </c>
      <c r="E12087" t="s">
        <v>553</v>
      </c>
      <c r="F12087" t="s">
        <v>1068</v>
      </c>
      <c r="G12087" t="s">
        <v>1080</v>
      </c>
      <c r="H12087" s="171" t="s">
        <v>6950</v>
      </c>
      <c r="I12087" t="s">
        <v>1082</v>
      </c>
      <c r="J12087">
        <v>10.94</v>
      </c>
    </row>
    <row r="12088" spans="1:10" hidden="1">
      <c r="A12088" t="s">
        <v>6946</v>
      </c>
      <c r="B12088" t="s">
        <v>6947</v>
      </c>
      <c r="C12088" t="s">
        <v>6839</v>
      </c>
      <c r="D12088" t="s">
        <v>5199</v>
      </c>
      <c r="E12088" t="s">
        <v>553</v>
      </c>
      <c r="F12088" t="s">
        <v>1068</v>
      </c>
      <c r="G12088" t="s">
        <v>1083</v>
      </c>
      <c r="H12088" s="171" t="s">
        <v>6951</v>
      </c>
      <c r="I12088" t="s">
        <v>1084</v>
      </c>
      <c r="J12088">
        <v>10.94</v>
      </c>
    </row>
    <row r="12089" spans="1:10" hidden="1">
      <c r="A12089" t="s">
        <v>6946</v>
      </c>
      <c r="B12089" t="s">
        <v>6947</v>
      </c>
      <c r="C12089" t="s">
        <v>6839</v>
      </c>
      <c r="D12089" t="s">
        <v>5199</v>
      </c>
      <c r="E12089" t="s">
        <v>553</v>
      </c>
      <c r="F12089" t="s">
        <v>1068</v>
      </c>
      <c r="G12089" t="s">
        <v>1085</v>
      </c>
      <c r="H12089" s="171" t="s">
        <v>6952</v>
      </c>
      <c r="I12089" t="s">
        <v>1086</v>
      </c>
      <c r="J12089">
        <v>10.94</v>
      </c>
    </row>
    <row r="12090" spans="1:10" hidden="1">
      <c r="A12090" t="s">
        <v>6946</v>
      </c>
      <c r="B12090" t="s">
        <v>6947</v>
      </c>
      <c r="C12090" t="s">
        <v>6839</v>
      </c>
      <c r="D12090" t="s">
        <v>5199</v>
      </c>
      <c r="E12090" t="s">
        <v>553</v>
      </c>
      <c r="F12090" t="s">
        <v>1068</v>
      </c>
      <c r="G12090" t="s">
        <v>1087</v>
      </c>
      <c r="H12090" s="171" t="s">
        <v>6953</v>
      </c>
      <c r="I12090" t="s">
        <v>1088</v>
      </c>
      <c r="J12090">
        <v>10.94</v>
      </c>
    </row>
    <row r="12091" spans="1:10" hidden="1">
      <c r="A12091" t="s">
        <v>6946</v>
      </c>
      <c r="B12091" t="s">
        <v>6947</v>
      </c>
      <c r="C12091" t="s">
        <v>6839</v>
      </c>
      <c r="D12091" t="s">
        <v>5199</v>
      </c>
      <c r="E12091" t="s">
        <v>553</v>
      </c>
      <c r="F12091" t="s">
        <v>1068</v>
      </c>
      <c r="G12091" t="s">
        <v>1089</v>
      </c>
      <c r="H12091" s="171" t="s">
        <v>6954</v>
      </c>
      <c r="I12091" t="s">
        <v>1090</v>
      </c>
      <c r="J12091">
        <v>10.94</v>
      </c>
    </row>
    <row r="12092" spans="1:10" hidden="1">
      <c r="A12092" t="s">
        <v>6955</v>
      </c>
      <c r="B12092" t="s">
        <v>6956</v>
      </c>
      <c r="C12092" t="s">
        <v>6839</v>
      </c>
      <c r="D12092" t="s">
        <v>5199</v>
      </c>
      <c r="E12092" t="s">
        <v>556</v>
      </c>
      <c r="F12092" t="s">
        <v>1068</v>
      </c>
      <c r="G12092" t="s">
        <v>1069</v>
      </c>
      <c r="H12092">
        <v>7.1901246087355999E-2</v>
      </c>
      <c r="I12092" t="s">
        <v>1070</v>
      </c>
      <c r="J12092">
        <v>7.11</v>
      </c>
    </row>
    <row r="12093" spans="1:10" hidden="1">
      <c r="A12093" t="s">
        <v>6955</v>
      </c>
      <c r="B12093" t="s">
        <v>6956</v>
      </c>
      <c r="C12093" t="s">
        <v>6839</v>
      </c>
      <c r="D12093" t="s">
        <v>5199</v>
      </c>
      <c r="E12093" t="s">
        <v>556</v>
      </c>
      <c r="F12093" t="s">
        <v>1068</v>
      </c>
      <c r="G12093" t="s">
        <v>1071</v>
      </c>
      <c r="H12093" s="171" t="s">
        <v>6957</v>
      </c>
      <c r="I12093" t="s">
        <v>1072</v>
      </c>
      <c r="J12093">
        <v>7.11</v>
      </c>
    </row>
    <row r="12094" spans="1:10" hidden="1">
      <c r="A12094" t="s">
        <v>6955</v>
      </c>
      <c r="B12094" t="s">
        <v>6956</v>
      </c>
      <c r="C12094" t="s">
        <v>6839</v>
      </c>
      <c r="D12094" t="s">
        <v>5199</v>
      </c>
      <c r="E12094" t="s">
        <v>556</v>
      </c>
      <c r="F12094" t="s">
        <v>1068</v>
      </c>
      <c r="G12094" t="s">
        <v>1073</v>
      </c>
      <c r="H12094" s="171" t="s">
        <v>6958</v>
      </c>
      <c r="I12094" t="s">
        <v>1074</v>
      </c>
      <c r="J12094">
        <v>7.11</v>
      </c>
    </row>
    <row r="12095" spans="1:10" hidden="1">
      <c r="A12095" t="s">
        <v>6955</v>
      </c>
      <c r="B12095" t="s">
        <v>6956</v>
      </c>
      <c r="C12095" t="s">
        <v>6839</v>
      </c>
      <c r="D12095" t="s">
        <v>5199</v>
      </c>
      <c r="E12095" t="s">
        <v>556</v>
      </c>
      <c r="F12095" t="s">
        <v>1068</v>
      </c>
      <c r="G12095" t="s">
        <v>1075</v>
      </c>
      <c r="H12095">
        <v>3.2388367799153399E-3</v>
      </c>
      <c r="I12095" t="s">
        <v>1077</v>
      </c>
      <c r="J12095">
        <v>7.11</v>
      </c>
    </row>
    <row r="12096" spans="1:10" hidden="1">
      <c r="A12096" t="s">
        <v>6955</v>
      </c>
      <c r="B12096" t="s">
        <v>6956</v>
      </c>
      <c r="C12096" t="s">
        <v>6839</v>
      </c>
      <c r="D12096" t="s">
        <v>5199</v>
      </c>
      <c r="E12096" t="s">
        <v>556</v>
      </c>
      <c r="F12096" t="s">
        <v>1068</v>
      </c>
      <c r="G12096" t="s">
        <v>1078</v>
      </c>
      <c r="H12096">
        <v>-1.1963369679962E-2</v>
      </c>
      <c r="I12096" t="s">
        <v>1079</v>
      </c>
      <c r="J12096">
        <v>7.11</v>
      </c>
    </row>
    <row r="12097" spans="1:10" hidden="1">
      <c r="A12097" t="s">
        <v>6955</v>
      </c>
      <c r="B12097" t="s">
        <v>6956</v>
      </c>
      <c r="C12097" t="s">
        <v>6839</v>
      </c>
      <c r="D12097" t="s">
        <v>5199</v>
      </c>
      <c r="E12097" t="s">
        <v>556</v>
      </c>
      <c r="F12097" t="s">
        <v>1068</v>
      </c>
      <c r="G12097" t="s">
        <v>1080</v>
      </c>
      <c r="H12097" s="171" t="s">
        <v>6959</v>
      </c>
      <c r="I12097" t="s">
        <v>1082</v>
      </c>
      <c r="J12097">
        <v>7.11</v>
      </c>
    </row>
    <row r="12098" spans="1:10" hidden="1">
      <c r="A12098" t="s">
        <v>6955</v>
      </c>
      <c r="B12098" t="s">
        <v>6956</v>
      </c>
      <c r="C12098" t="s">
        <v>6839</v>
      </c>
      <c r="D12098" t="s">
        <v>5199</v>
      </c>
      <c r="E12098" t="s">
        <v>556</v>
      </c>
      <c r="F12098" t="s">
        <v>1068</v>
      </c>
      <c r="G12098" t="s">
        <v>1083</v>
      </c>
      <c r="H12098" s="171" t="s">
        <v>6960</v>
      </c>
      <c r="I12098" t="s">
        <v>1084</v>
      </c>
      <c r="J12098">
        <v>7.11</v>
      </c>
    </row>
    <row r="12099" spans="1:10" hidden="1">
      <c r="A12099" t="s">
        <v>6955</v>
      </c>
      <c r="B12099" t="s">
        <v>6956</v>
      </c>
      <c r="C12099" t="s">
        <v>6839</v>
      </c>
      <c r="D12099" t="s">
        <v>5199</v>
      </c>
      <c r="E12099" t="s">
        <v>556</v>
      </c>
      <c r="F12099" t="s">
        <v>1068</v>
      </c>
      <c r="G12099" t="s">
        <v>1085</v>
      </c>
      <c r="H12099" s="171" t="s">
        <v>6961</v>
      </c>
      <c r="I12099" t="s">
        <v>1086</v>
      </c>
      <c r="J12099">
        <v>7.11</v>
      </c>
    </row>
    <row r="12100" spans="1:10" hidden="1">
      <c r="A12100" t="s">
        <v>6955</v>
      </c>
      <c r="B12100" t="s">
        <v>6956</v>
      </c>
      <c r="C12100" t="s">
        <v>6839</v>
      </c>
      <c r="D12100" t="s">
        <v>5199</v>
      </c>
      <c r="E12100" t="s">
        <v>556</v>
      </c>
      <c r="F12100" t="s">
        <v>1068</v>
      </c>
      <c r="G12100" t="s">
        <v>1087</v>
      </c>
      <c r="H12100" s="171" t="s">
        <v>6962</v>
      </c>
      <c r="I12100" t="s">
        <v>1088</v>
      </c>
      <c r="J12100">
        <v>7.11</v>
      </c>
    </row>
    <row r="12101" spans="1:10" hidden="1">
      <c r="A12101" t="s">
        <v>6955</v>
      </c>
      <c r="B12101" t="s">
        <v>6956</v>
      </c>
      <c r="C12101" t="s">
        <v>6839</v>
      </c>
      <c r="D12101" t="s">
        <v>5199</v>
      </c>
      <c r="E12101" t="s">
        <v>556</v>
      </c>
      <c r="F12101" t="s">
        <v>1068</v>
      </c>
      <c r="G12101" t="s">
        <v>1089</v>
      </c>
      <c r="H12101" s="171" t="s">
        <v>6963</v>
      </c>
      <c r="I12101" t="s">
        <v>1090</v>
      </c>
      <c r="J12101">
        <v>7.11</v>
      </c>
    </row>
    <row r="12102" spans="1:10" hidden="1">
      <c r="A12102" t="s">
        <v>6964</v>
      </c>
      <c r="B12102" t="s">
        <v>6965</v>
      </c>
      <c r="C12102" t="s">
        <v>6839</v>
      </c>
      <c r="D12102" t="s">
        <v>5199</v>
      </c>
      <c r="E12102" t="s">
        <v>557</v>
      </c>
      <c r="F12102" t="s">
        <v>1068</v>
      </c>
      <c r="G12102" t="s">
        <v>1069</v>
      </c>
      <c r="H12102">
        <v>7.0051328163454302E-2</v>
      </c>
      <c r="I12102" t="s">
        <v>1070</v>
      </c>
      <c r="J12102">
        <v>8.23</v>
      </c>
    </row>
    <row r="12103" spans="1:10" hidden="1">
      <c r="A12103" t="s">
        <v>6964</v>
      </c>
      <c r="B12103" t="s">
        <v>6965</v>
      </c>
      <c r="C12103" t="s">
        <v>6839</v>
      </c>
      <c r="D12103" t="s">
        <v>5199</v>
      </c>
      <c r="E12103" t="s">
        <v>557</v>
      </c>
      <c r="F12103" t="s">
        <v>1068</v>
      </c>
      <c r="G12103" t="s">
        <v>1071</v>
      </c>
      <c r="H12103" s="171" t="s">
        <v>6966</v>
      </c>
      <c r="I12103" t="s">
        <v>1072</v>
      </c>
      <c r="J12103">
        <v>8.23</v>
      </c>
    </row>
    <row r="12104" spans="1:10" hidden="1">
      <c r="A12104" t="s">
        <v>6964</v>
      </c>
      <c r="B12104" t="s">
        <v>6965</v>
      </c>
      <c r="C12104" t="s">
        <v>6839</v>
      </c>
      <c r="D12104" t="s">
        <v>5199</v>
      </c>
      <c r="E12104" t="s">
        <v>557</v>
      </c>
      <c r="F12104" t="s">
        <v>1068</v>
      </c>
      <c r="G12104" t="s">
        <v>1073</v>
      </c>
      <c r="H12104" s="171" t="s">
        <v>6967</v>
      </c>
      <c r="I12104" t="s">
        <v>1074</v>
      </c>
      <c r="J12104">
        <v>8.23</v>
      </c>
    </row>
    <row r="12105" spans="1:10" hidden="1">
      <c r="A12105" t="s">
        <v>6964</v>
      </c>
      <c r="B12105" t="s">
        <v>6965</v>
      </c>
      <c r="C12105" t="s">
        <v>6839</v>
      </c>
      <c r="D12105" t="s">
        <v>5199</v>
      </c>
      <c r="E12105" t="s">
        <v>557</v>
      </c>
      <c r="F12105" t="s">
        <v>1068</v>
      </c>
      <c r="G12105" t="s">
        <v>1075</v>
      </c>
      <c r="H12105">
        <v>3.0934712732464402E-3</v>
      </c>
      <c r="I12105" t="s">
        <v>1077</v>
      </c>
      <c r="J12105">
        <v>8.23</v>
      </c>
    </row>
    <row r="12106" spans="1:10" hidden="1">
      <c r="A12106" t="s">
        <v>6964</v>
      </c>
      <c r="B12106" t="s">
        <v>6965</v>
      </c>
      <c r="C12106" t="s">
        <v>6839</v>
      </c>
      <c r="D12106" t="s">
        <v>5199</v>
      </c>
      <c r="E12106" t="s">
        <v>557</v>
      </c>
      <c r="F12106" t="s">
        <v>1068</v>
      </c>
      <c r="G12106" t="s">
        <v>1078</v>
      </c>
      <c r="H12106">
        <v>-5.0895824224829203E-2</v>
      </c>
      <c r="I12106" t="s">
        <v>1079</v>
      </c>
      <c r="J12106">
        <v>8.23</v>
      </c>
    </row>
    <row r="12107" spans="1:10" hidden="1">
      <c r="A12107" t="s">
        <v>6964</v>
      </c>
      <c r="B12107" t="s">
        <v>6965</v>
      </c>
      <c r="C12107" t="s">
        <v>6839</v>
      </c>
      <c r="D12107" t="s">
        <v>5199</v>
      </c>
      <c r="E12107" t="s">
        <v>557</v>
      </c>
      <c r="F12107" t="s">
        <v>1068</v>
      </c>
      <c r="G12107" t="s">
        <v>1080</v>
      </c>
      <c r="H12107" s="171" t="s">
        <v>6968</v>
      </c>
      <c r="I12107" t="s">
        <v>1082</v>
      </c>
      <c r="J12107">
        <v>8.23</v>
      </c>
    </row>
    <row r="12108" spans="1:10" hidden="1">
      <c r="A12108" t="s">
        <v>6964</v>
      </c>
      <c r="B12108" t="s">
        <v>6965</v>
      </c>
      <c r="C12108" t="s">
        <v>6839</v>
      </c>
      <c r="D12108" t="s">
        <v>5199</v>
      </c>
      <c r="E12108" t="s">
        <v>557</v>
      </c>
      <c r="F12108" t="s">
        <v>1068</v>
      </c>
      <c r="G12108" t="s">
        <v>1083</v>
      </c>
      <c r="H12108" s="171" t="s">
        <v>6969</v>
      </c>
      <c r="I12108" t="s">
        <v>1084</v>
      </c>
      <c r="J12108">
        <v>8.23</v>
      </c>
    </row>
    <row r="12109" spans="1:10" hidden="1">
      <c r="A12109" t="s">
        <v>6964</v>
      </c>
      <c r="B12109" t="s">
        <v>6965</v>
      </c>
      <c r="C12109" t="s">
        <v>6839</v>
      </c>
      <c r="D12109" t="s">
        <v>5199</v>
      </c>
      <c r="E12109" t="s">
        <v>557</v>
      </c>
      <c r="F12109" t="s">
        <v>1068</v>
      </c>
      <c r="G12109" t="s">
        <v>1085</v>
      </c>
      <c r="H12109" s="171" t="s">
        <v>6970</v>
      </c>
      <c r="I12109" t="s">
        <v>1086</v>
      </c>
      <c r="J12109">
        <v>8.23</v>
      </c>
    </row>
    <row r="12110" spans="1:10" hidden="1">
      <c r="A12110" t="s">
        <v>6964</v>
      </c>
      <c r="B12110" t="s">
        <v>6965</v>
      </c>
      <c r="C12110" t="s">
        <v>6839</v>
      </c>
      <c r="D12110" t="s">
        <v>5199</v>
      </c>
      <c r="E12110" t="s">
        <v>557</v>
      </c>
      <c r="F12110" t="s">
        <v>1068</v>
      </c>
      <c r="G12110" t="s">
        <v>1087</v>
      </c>
      <c r="H12110" s="171" t="s">
        <v>6971</v>
      </c>
      <c r="I12110" t="s">
        <v>1088</v>
      </c>
      <c r="J12110">
        <v>8.23</v>
      </c>
    </row>
    <row r="12111" spans="1:10" hidden="1">
      <c r="A12111" t="s">
        <v>6964</v>
      </c>
      <c r="B12111" t="s">
        <v>6965</v>
      </c>
      <c r="C12111" t="s">
        <v>6839</v>
      </c>
      <c r="D12111" t="s">
        <v>5199</v>
      </c>
      <c r="E12111" t="s">
        <v>557</v>
      </c>
      <c r="F12111" t="s">
        <v>1068</v>
      </c>
      <c r="G12111" t="s">
        <v>1089</v>
      </c>
      <c r="H12111" s="171" t="s">
        <v>6972</v>
      </c>
      <c r="I12111" t="s">
        <v>1090</v>
      </c>
      <c r="J12111">
        <v>8.23</v>
      </c>
    </row>
    <row r="12112" spans="1:10" hidden="1">
      <c r="A12112" t="s">
        <v>6973</v>
      </c>
      <c r="B12112" t="s">
        <v>6974</v>
      </c>
      <c r="C12112" t="s">
        <v>6839</v>
      </c>
      <c r="D12112" t="s">
        <v>5199</v>
      </c>
      <c r="E12112" t="s">
        <v>559</v>
      </c>
      <c r="F12112" t="s">
        <v>1068</v>
      </c>
      <c r="G12112" t="s">
        <v>1069</v>
      </c>
      <c r="H12112">
        <v>6.8388107731023495E-2</v>
      </c>
      <c r="I12112" t="s">
        <v>1070</v>
      </c>
      <c r="J12112">
        <v>8.51</v>
      </c>
    </row>
    <row r="12113" spans="1:10" hidden="1">
      <c r="A12113" t="s">
        <v>6973</v>
      </c>
      <c r="B12113" t="s">
        <v>6974</v>
      </c>
      <c r="C12113" t="s">
        <v>6839</v>
      </c>
      <c r="D12113" t="s">
        <v>5199</v>
      </c>
      <c r="E12113" t="s">
        <v>559</v>
      </c>
      <c r="F12113" t="s">
        <v>1068</v>
      </c>
      <c r="G12113" t="s">
        <v>1071</v>
      </c>
      <c r="H12113" s="171" t="s">
        <v>6975</v>
      </c>
      <c r="I12113" t="s">
        <v>1072</v>
      </c>
      <c r="J12113">
        <v>8.51</v>
      </c>
    </row>
    <row r="12114" spans="1:10" hidden="1">
      <c r="A12114" t="s">
        <v>6973</v>
      </c>
      <c r="B12114" t="s">
        <v>6974</v>
      </c>
      <c r="C12114" t="s">
        <v>6839</v>
      </c>
      <c r="D12114" t="s">
        <v>5199</v>
      </c>
      <c r="E12114" t="s">
        <v>559</v>
      </c>
      <c r="F12114" t="s">
        <v>1068</v>
      </c>
      <c r="G12114" t="s">
        <v>1073</v>
      </c>
      <c r="H12114" s="171" t="s">
        <v>6976</v>
      </c>
      <c r="I12114" t="s">
        <v>1074</v>
      </c>
      <c r="J12114">
        <v>8.51</v>
      </c>
    </row>
    <row r="12115" spans="1:10" hidden="1">
      <c r="A12115" t="s">
        <v>6973</v>
      </c>
      <c r="B12115" t="s">
        <v>6974</v>
      </c>
      <c r="C12115" t="s">
        <v>6839</v>
      </c>
      <c r="D12115" t="s">
        <v>5199</v>
      </c>
      <c r="E12115" t="s">
        <v>559</v>
      </c>
      <c r="F12115" t="s">
        <v>1068</v>
      </c>
      <c r="G12115" t="s">
        <v>1075</v>
      </c>
      <c r="H12115">
        <v>3.0592505804464399E-3</v>
      </c>
      <c r="I12115" t="s">
        <v>1077</v>
      </c>
      <c r="J12115">
        <v>8.51</v>
      </c>
    </row>
    <row r="12116" spans="1:10" hidden="1">
      <c r="A12116" t="s">
        <v>6973</v>
      </c>
      <c r="B12116" t="s">
        <v>6974</v>
      </c>
      <c r="C12116" t="s">
        <v>6839</v>
      </c>
      <c r="D12116" t="s">
        <v>5199</v>
      </c>
      <c r="E12116" t="s">
        <v>559</v>
      </c>
      <c r="F12116" t="s">
        <v>1068</v>
      </c>
      <c r="G12116" t="s">
        <v>1078</v>
      </c>
      <c r="H12116">
        <v>-4.5355804116550602E-2</v>
      </c>
      <c r="I12116" t="s">
        <v>1079</v>
      </c>
      <c r="J12116">
        <v>8.51</v>
      </c>
    </row>
    <row r="12117" spans="1:10" hidden="1">
      <c r="A12117" t="s">
        <v>6973</v>
      </c>
      <c r="B12117" t="s">
        <v>6974</v>
      </c>
      <c r="C12117" t="s">
        <v>6839</v>
      </c>
      <c r="D12117" t="s">
        <v>5199</v>
      </c>
      <c r="E12117" t="s">
        <v>559</v>
      </c>
      <c r="F12117" t="s">
        <v>1068</v>
      </c>
      <c r="G12117" t="s">
        <v>1080</v>
      </c>
      <c r="H12117" s="171" t="s">
        <v>6977</v>
      </c>
      <c r="I12117" t="s">
        <v>1082</v>
      </c>
      <c r="J12117">
        <v>8.51</v>
      </c>
    </row>
    <row r="12118" spans="1:10" hidden="1">
      <c r="A12118" t="s">
        <v>6973</v>
      </c>
      <c r="B12118" t="s">
        <v>6974</v>
      </c>
      <c r="C12118" t="s">
        <v>6839</v>
      </c>
      <c r="D12118" t="s">
        <v>5199</v>
      </c>
      <c r="E12118" t="s">
        <v>559</v>
      </c>
      <c r="F12118" t="s">
        <v>1068</v>
      </c>
      <c r="G12118" t="s">
        <v>1083</v>
      </c>
      <c r="H12118" s="171" t="s">
        <v>6978</v>
      </c>
      <c r="I12118" t="s">
        <v>1084</v>
      </c>
      <c r="J12118">
        <v>8.51</v>
      </c>
    </row>
    <row r="12119" spans="1:10" hidden="1">
      <c r="A12119" t="s">
        <v>6973</v>
      </c>
      <c r="B12119" t="s">
        <v>6974</v>
      </c>
      <c r="C12119" t="s">
        <v>6839</v>
      </c>
      <c r="D12119" t="s">
        <v>5199</v>
      </c>
      <c r="E12119" t="s">
        <v>559</v>
      </c>
      <c r="F12119" t="s">
        <v>1068</v>
      </c>
      <c r="G12119" t="s">
        <v>1085</v>
      </c>
      <c r="H12119" s="171" t="s">
        <v>6979</v>
      </c>
      <c r="I12119" t="s">
        <v>1086</v>
      </c>
      <c r="J12119">
        <v>8.51</v>
      </c>
    </row>
    <row r="12120" spans="1:10" hidden="1">
      <c r="A12120" t="s">
        <v>6973</v>
      </c>
      <c r="B12120" t="s">
        <v>6974</v>
      </c>
      <c r="C12120" t="s">
        <v>6839</v>
      </c>
      <c r="D12120" t="s">
        <v>5199</v>
      </c>
      <c r="E12120" t="s">
        <v>559</v>
      </c>
      <c r="F12120" t="s">
        <v>1068</v>
      </c>
      <c r="G12120" t="s">
        <v>1087</v>
      </c>
      <c r="H12120" s="171" t="s">
        <v>6980</v>
      </c>
      <c r="I12120" t="s">
        <v>1088</v>
      </c>
      <c r="J12120">
        <v>8.51</v>
      </c>
    </row>
    <row r="12121" spans="1:10" hidden="1">
      <c r="A12121" t="s">
        <v>6973</v>
      </c>
      <c r="B12121" t="s">
        <v>6974</v>
      </c>
      <c r="C12121" t="s">
        <v>6839</v>
      </c>
      <c r="D12121" t="s">
        <v>5199</v>
      </c>
      <c r="E12121" t="s">
        <v>559</v>
      </c>
      <c r="F12121" t="s">
        <v>1068</v>
      </c>
      <c r="G12121" t="s">
        <v>1089</v>
      </c>
      <c r="H12121" s="171" t="s">
        <v>6981</v>
      </c>
      <c r="I12121" t="s">
        <v>1090</v>
      </c>
      <c r="J12121">
        <v>8.51</v>
      </c>
    </row>
    <row r="12122" spans="1:10" hidden="1">
      <c r="A12122" t="s">
        <v>6982</v>
      </c>
      <c r="B12122" t="s">
        <v>6983</v>
      </c>
      <c r="C12122" t="s">
        <v>6839</v>
      </c>
      <c r="D12122" t="s">
        <v>5199</v>
      </c>
      <c r="E12122" t="s">
        <v>560</v>
      </c>
      <c r="F12122" t="s">
        <v>1068</v>
      </c>
      <c r="G12122" t="s">
        <v>1069</v>
      </c>
      <c r="H12122">
        <v>6.9044628071837505E-2</v>
      </c>
      <c r="I12122" t="s">
        <v>1070</v>
      </c>
      <c r="J12122">
        <v>9.0299999999999994</v>
      </c>
    </row>
    <row r="12123" spans="1:10" hidden="1">
      <c r="A12123" t="s">
        <v>6982</v>
      </c>
      <c r="B12123" t="s">
        <v>6983</v>
      </c>
      <c r="C12123" t="s">
        <v>6839</v>
      </c>
      <c r="D12123" t="s">
        <v>5199</v>
      </c>
      <c r="E12123" t="s">
        <v>560</v>
      </c>
      <c r="F12123" t="s">
        <v>1068</v>
      </c>
      <c r="G12123" t="s">
        <v>1071</v>
      </c>
      <c r="H12123" s="171" t="s">
        <v>6984</v>
      </c>
      <c r="I12123" t="s">
        <v>1072</v>
      </c>
      <c r="J12123">
        <v>9.0299999999999994</v>
      </c>
    </row>
    <row r="12124" spans="1:10" hidden="1">
      <c r="A12124" t="s">
        <v>6982</v>
      </c>
      <c r="B12124" t="s">
        <v>6983</v>
      </c>
      <c r="C12124" t="s">
        <v>6839</v>
      </c>
      <c r="D12124" t="s">
        <v>5199</v>
      </c>
      <c r="E12124" t="s">
        <v>560</v>
      </c>
      <c r="F12124" t="s">
        <v>1068</v>
      </c>
      <c r="G12124" t="s">
        <v>1073</v>
      </c>
      <c r="H12124" s="171" t="s">
        <v>6985</v>
      </c>
      <c r="I12124" t="s">
        <v>1074</v>
      </c>
      <c r="J12124">
        <v>9.0299999999999994</v>
      </c>
    </row>
    <row r="12125" spans="1:10" hidden="1">
      <c r="A12125" t="s">
        <v>6982</v>
      </c>
      <c r="B12125" t="s">
        <v>6983</v>
      </c>
      <c r="C12125" t="s">
        <v>6839</v>
      </c>
      <c r="D12125" t="s">
        <v>5199</v>
      </c>
      <c r="E12125" t="s">
        <v>560</v>
      </c>
      <c r="F12125" t="s">
        <v>1068</v>
      </c>
      <c r="G12125" t="s">
        <v>1075</v>
      </c>
      <c r="H12125">
        <v>3.0616484079234599E-3</v>
      </c>
      <c r="I12125" t="s">
        <v>1077</v>
      </c>
      <c r="J12125">
        <v>9.0299999999999994</v>
      </c>
    </row>
    <row r="12126" spans="1:10" hidden="1">
      <c r="A12126" t="s">
        <v>6982</v>
      </c>
      <c r="B12126" t="s">
        <v>6983</v>
      </c>
      <c r="C12126" t="s">
        <v>6839</v>
      </c>
      <c r="D12126" t="s">
        <v>5199</v>
      </c>
      <c r="E12126" t="s">
        <v>560</v>
      </c>
      <c r="F12126" t="s">
        <v>1068</v>
      </c>
      <c r="G12126" t="s">
        <v>1078</v>
      </c>
      <c r="H12126">
        <v>-5.2271967674726499E-2</v>
      </c>
      <c r="I12126" t="s">
        <v>1079</v>
      </c>
      <c r="J12126">
        <v>9.0299999999999994</v>
      </c>
    </row>
    <row r="12127" spans="1:10" hidden="1">
      <c r="A12127" t="s">
        <v>6982</v>
      </c>
      <c r="B12127" t="s">
        <v>6983</v>
      </c>
      <c r="C12127" t="s">
        <v>6839</v>
      </c>
      <c r="D12127" t="s">
        <v>5199</v>
      </c>
      <c r="E12127" t="s">
        <v>560</v>
      </c>
      <c r="F12127" t="s">
        <v>1068</v>
      </c>
      <c r="G12127" t="s">
        <v>1080</v>
      </c>
      <c r="H12127" s="171" t="s">
        <v>6986</v>
      </c>
      <c r="I12127" t="s">
        <v>1082</v>
      </c>
      <c r="J12127">
        <v>9.0299999999999994</v>
      </c>
    </row>
    <row r="12128" spans="1:10" hidden="1">
      <c r="A12128" t="s">
        <v>6982</v>
      </c>
      <c r="B12128" t="s">
        <v>6983</v>
      </c>
      <c r="C12128" t="s">
        <v>6839</v>
      </c>
      <c r="D12128" t="s">
        <v>5199</v>
      </c>
      <c r="E12128" t="s">
        <v>560</v>
      </c>
      <c r="F12128" t="s">
        <v>1068</v>
      </c>
      <c r="G12128" t="s">
        <v>1083</v>
      </c>
      <c r="H12128" s="171" t="s">
        <v>6987</v>
      </c>
      <c r="I12128" t="s">
        <v>1084</v>
      </c>
      <c r="J12128">
        <v>9.0299999999999994</v>
      </c>
    </row>
    <row r="12129" spans="1:10" hidden="1">
      <c r="A12129" t="s">
        <v>6982</v>
      </c>
      <c r="B12129" t="s">
        <v>6983</v>
      </c>
      <c r="C12129" t="s">
        <v>6839</v>
      </c>
      <c r="D12129" t="s">
        <v>5199</v>
      </c>
      <c r="E12129" t="s">
        <v>560</v>
      </c>
      <c r="F12129" t="s">
        <v>1068</v>
      </c>
      <c r="G12129" t="s">
        <v>1085</v>
      </c>
      <c r="H12129" s="171" t="s">
        <v>6988</v>
      </c>
      <c r="I12129" t="s">
        <v>1086</v>
      </c>
      <c r="J12129">
        <v>9.0299999999999994</v>
      </c>
    </row>
    <row r="12130" spans="1:10" hidden="1">
      <c r="A12130" t="s">
        <v>6982</v>
      </c>
      <c r="B12130" t="s">
        <v>6983</v>
      </c>
      <c r="C12130" t="s">
        <v>6839</v>
      </c>
      <c r="D12130" t="s">
        <v>5199</v>
      </c>
      <c r="E12130" t="s">
        <v>560</v>
      </c>
      <c r="F12130" t="s">
        <v>1068</v>
      </c>
      <c r="G12130" t="s">
        <v>1087</v>
      </c>
      <c r="H12130" s="171" t="s">
        <v>6989</v>
      </c>
      <c r="I12130" t="s">
        <v>1088</v>
      </c>
      <c r="J12130">
        <v>9.0299999999999994</v>
      </c>
    </row>
    <row r="12131" spans="1:10" hidden="1">
      <c r="A12131" t="s">
        <v>6982</v>
      </c>
      <c r="B12131" t="s">
        <v>6983</v>
      </c>
      <c r="C12131" t="s">
        <v>6839</v>
      </c>
      <c r="D12131" t="s">
        <v>5199</v>
      </c>
      <c r="E12131" t="s">
        <v>560</v>
      </c>
      <c r="F12131" t="s">
        <v>1068</v>
      </c>
      <c r="G12131" t="s">
        <v>1089</v>
      </c>
      <c r="H12131" s="171" t="s">
        <v>6990</v>
      </c>
      <c r="I12131" t="s">
        <v>1090</v>
      </c>
      <c r="J12131">
        <v>9.0299999999999994</v>
      </c>
    </row>
    <row r="12132" spans="1:10" hidden="1">
      <c r="A12132" t="s">
        <v>6991</v>
      </c>
      <c r="B12132" t="s">
        <v>6992</v>
      </c>
      <c r="C12132" t="s">
        <v>6839</v>
      </c>
      <c r="D12132" t="s">
        <v>5199</v>
      </c>
      <c r="E12132" t="s">
        <v>1116</v>
      </c>
      <c r="F12132" t="s">
        <v>1068</v>
      </c>
      <c r="G12132" t="s">
        <v>1069</v>
      </c>
      <c r="H12132">
        <v>7.2100064088885599E-2</v>
      </c>
      <c r="I12132" t="s">
        <v>1070</v>
      </c>
      <c r="J12132">
        <v>9.3800000000000008</v>
      </c>
    </row>
    <row r="12133" spans="1:10" hidden="1">
      <c r="A12133" t="s">
        <v>6991</v>
      </c>
      <c r="B12133" t="s">
        <v>6992</v>
      </c>
      <c r="C12133" t="s">
        <v>6839</v>
      </c>
      <c r="D12133" t="s">
        <v>5199</v>
      </c>
      <c r="E12133" t="s">
        <v>1116</v>
      </c>
      <c r="F12133" t="s">
        <v>1068</v>
      </c>
      <c r="G12133" t="s">
        <v>1071</v>
      </c>
      <c r="H12133" s="171" t="s">
        <v>6993</v>
      </c>
      <c r="I12133" t="s">
        <v>1072</v>
      </c>
      <c r="J12133">
        <v>9.3800000000000008</v>
      </c>
    </row>
    <row r="12134" spans="1:10" hidden="1">
      <c r="A12134" t="s">
        <v>6991</v>
      </c>
      <c r="B12134" t="s">
        <v>6992</v>
      </c>
      <c r="C12134" t="s">
        <v>6839</v>
      </c>
      <c r="D12134" t="s">
        <v>5199</v>
      </c>
      <c r="E12134" t="s">
        <v>1116</v>
      </c>
      <c r="F12134" t="s">
        <v>1068</v>
      </c>
      <c r="G12134" t="s">
        <v>1073</v>
      </c>
      <c r="H12134" s="171" t="s">
        <v>6994</v>
      </c>
      <c r="I12134" t="s">
        <v>1074</v>
      </c>
      <c r="J12134">
        <v>9.3800000000000008</v>
      </c>
    </row>
    <row r="12135" spans="1:10" hidden="1">
      <c r="A12135" t="s">
        <v>6991</v>
      </c>
      <c r="B12135" t="s">
        <v>6992</v>
      </c>
      <c r="C12135" t="s">
        <v>6839</v>
      </c>
      <c r="D12135" t="s">
        <v>5199</v>
      </c>
      <c r="E12135" t="s">
        <v>1116</v>
      </c>
      <c r="F12135" t="s">
        <v>1068</v>
      </c>
      <c r="G12135" t="s">
        <v>1075</v>
      </c>
      <c r="H12135">
        <v>3.15823400445137E-3</v>
      </c>
      <c r="I12135" t="s">
        <v>1077</v>
      </c>
      <c r="J12135">
        <v>9.3800000000000008</v>
      </c>
    </row>
    <row r="12136" spans="1:10" hidden="1">
      <c r="A12136" t="s">
        <v>6991</v>
      </c>
      <c r="B12136" t="s">
        <v>6992</v>
      </c>
      <c r="C12136" t="s">
        <v>6839</v>
      </c>
      <c r="D12136" t="s">
        <v>5199</v>
      </c>
      <c r="E12136" t="s">
        <v>1116</v>
      </c>
      <c r="F12136" t="s">
        <v>1068</v>
      </c>
      <c r="G12136" t="s">
        <v>1078</v>
      </c>
      <c r="H12136">
        <v>-4.8095233912153298E-2</v>
      </c>
      <c r="I12136" t="s">
        <v>1079</v>
      </c>
      <c r="J12136">
        <v>9.3800000000000008</v>
      </c>
    </row>
    <row r="12137" spans="1:10" hidden="1">
      <c r="A12137" t="s">
        <v>6991</v>
      </c>
      <c r="B12137" t="s">
        <v>6992</v>
      </c>
      <c r="C12137" t="s">
        <v>6839</v>
      </c>
      <c r="D12137" t="s">
        <v>5199</v>
      </c>
      <c r="E12137" t="s">
        <v>1116</v>
      </c>
      <c r="F12137" t="s">
        <v>1068</v>
      </c>
      <c r="G12137" t="s">
        <v>1080</v>
      </c>
      <c r="H12137" s="171" t="s">
        <v>6995</v>
      </c>
      <c r="I12137" t="s">
        <v>1082</v>
      </c>
      <c r="J12137">
        <v>9.3800000000000008</v>
      </c>
    </row>
    <row r="12138" spans="1:10" hidden="1">
      <c r="A12138" t="s">
        <v>6991</v>
      </c>
      <c r="B12138" t="s">
        <v>6992</v>
      </c>
      <c r="C12138" t="s">
        <v>6839</v>
      </c>
      <c r="D12138" t="s">
        <v>5199</v>
      </c>
      <c r="E12138" t="s">
        <v>1116</v>
      </c>
      <c r="F12138" t="s">
        <v>1068</v>
      </c>
      <c r="G12138" t="s">
        <v>1083</v>
      </c>
      <c r="H12138" s="171" t="s">
        <v>6996</v>
      </c>
      <c r="I12138" t="s">
        <v>1084</v>
      </c>
      <c r="J12138">
        <v>9.3800000000000008</v>
      </c>
    </row>
    <row r="12139" spans="1:10" hidden="1">
      <c r="A12139" t="s">
        <v>6991</v>
      </c>
      <c r="B12139" t="s">
        <v>6992</v>
      </c>
      <c r="C12139" t="s">
        <v>6839</v>
      </c>
      <c r="D12139" t="s">
        <v>5199</v>
      </c>
      <c r="E12139" t="s">
        <v>1116</v>
      </c>
      <c r="F12139" t="s">
        <v>1068</v>
      </c>
      <c r="G12139" t="s">
        <v>1085</v>
      </c>
      <c r="H12139" s="171" t="s">
        <v>6997</v>
      </c>
      <c r="I12139" t="s">
        <v>1086</v>
      </c>
      <c r="J12139">
        <v>9.3800000000000008</v>
      </c>
    </row>
    <row r="12140" spans="1:10" hidden="1">
      <c r="A12140" t="s">
        <v>6991</v>
      </c>
      <c r="B12140" t="s">
        <v>6992</v>
      </c>
      <c r="C12140" t="s">
        <v>6839</v>
      </c>
      <c r="D12140" t="s">
        <v>5199</v>
      </c>
      <c r="E12140" t="s">
        <v>1116</v>
      </c>
      <c r="F12140" t="s">
        <v>1068</v>
      </c>
      <c r="G12140" t="s">
        <v>1087</v>
      </c>
      <c r="H12140" s="171" t="s">
        <v>6998</v>
      </c>
      <c r="I12140" t="s">
        <v>1088</v>
      </c>
      <c r="J12140">
        <v>9.3800000000000008</v>
      </c>
    </row>
    <row r="12141" spans="1:10" hidden="1">
      <c r="A12141" t="s">
        <v>6991</v>
      </c>
      <c r="B12141" t="s">
        <v>6992</v>
      </c>
      <c r="C12141" t="s">
        <v>6839</v>
      </c>
      <c r="D12141" t="s">
        <v>5199</v>
      </c>
      <c r="E12141" t="s">
        <v>1116</v>
      </c>
      <c r="F12141" t="s">
        <v>1068</v>
      </c>
      <c r="G12141" t="s">
        <v>1089</v>
      </c>
      <c r="H12141" s="171" t="s">
        <v>6999</v>
      </c>
      <c r="I12141" t="s">
        <v>1090</v>
      </c>
      <c r="J12141">
        <v>9.3800000000000008</v>
      </c>
    </row>
    <row r="12142" spans="1:10" hidden="1">
      <c r="A12142" t="s">
        <v>7000</v>
      </c>
      <c r="B12142" t="s">
        <v>7001</v>
      </c>
      <c r="C12142" t="s">
        <v>6839</v>
      </c>
      <c r="D12142" t="s">
        <v>5273</v>
      </c>
      <c r="E12142" t="s">
        <v>561</v>
      </c>
      <c r="F12142" t="s">
        <v>1068</v>
      </c>
      <c r="G12142" t="s">
        <v>1069</v>
      </c>
      <c r="H12142">
        <v>7.1314415337161999E-2</v>
      </c>
      <c r="I12142" t="s">
        <v>1070</v>
      </c>
      <c r="J12142">
        <v>8.7799999999999994</v>
      </c>
    </row>
    <row r="12143" spans="1:10" hidden="1">
      <c r="A12143" t="s">
        <v>7000</v>
      </c>
      <c r="B12143" t="s">
        <v>7001</v>
      </c>
      <c r="C12143" t="s">
        <v>6839</v>
      </c>
      <c r="D12143" t="s">
        <v>5273</v>
      </c>
      <c r="E12143" t="s">
        <v>561</v>
      </c>
      <c r="F12143" t="s">
        <v>1068</v>
      </c>
      <c r="G12143" t="s">
        <v>1071</v>
      </c>
      <c r="H12143" s="171" t="s">
        <v>7002</v>
      </c>
      <c r="I12143" t="s">
        <v>1072</v>
      </c>
      <c r="J12143">
        <v>8.7799999999999994</v>
      </c>
    </row>
    <row r="12144" spans="1:10" hidden="1">
      <c r="A12144" t="s">
        <v>7000</v>
      </c>
      <c r="B12144" t="s">
        <v>7001</v>
      </c>
      <c r="C12144" t="s">
        <v>6839</v>
      </c>
      <c r="D12144" t="s">
        <v>5273</v>
      </c>
      <c r="E12144" t="s">
        <v>561</v>
      </c>
      <c r="F12144" t="s">
        <v>1068</v>
      </c>
      <c r="G12144" t="s">
        <v>1073</v>
      </c>
      <c r="H12144" s="171" t="s">
        <v>7003</v>
      </c>
      <c r="I12144" t="s">
        <v>1074</v>
      </c>
      <c r="J12144">
        <v>8.7799999999999994</v>
      </c>
    </row>
    <row r="12145" spans="1:10" hidden="1">
      <c r="A12145" t="s">
        <v>7000</v>
      </c>
      <c r="B12145" t="s">
        <v>7001</v>
      </c>
      <c r="C12145" t="s">
        <v>6839</v>
      </c>
      <c r="D12145" t="s">
        <v>5273</v>
      </c>
      <c r="E12145" t="s">
        <v>561</v>
      </c>
      <c r="F12145" t="s">
        <v>1068</v>
      </c>
      <c r="G12145" t="s">
        <v>1075</v>
      </c>
      <c r="H12145">
        <v>3.1386932397581501E-3</v>
      </c>
      <c r="I12145" t="s">
        <v>1077</v>
      </c>
      <c r="J12145">
        <v>8.7799999999999994</v>
      </c>
    </row>
    <row r="12146" spans="1:10" hidden="1">
      <c r="A12146" t="s">
        <v>7000</v>
      </c>
      <c r="B12146" t="s">
        <v>7001</v>
      </c>
      <c r="C12146" t="s">
        <v>6839</v>
      </c>
      <c r="D12146" t="s">
        <v>5273</v>
      </c>
      <c r="E12146" t="s">
        <v>561</v>
      </c>
      <c r="F12146" t="s">
        <v>1068</v>
      </c>
      <c r="G12146" t="s">
        <v>1078</v>
      </c>
      <c r="H12146">
        <v>-4.8940251953922799E-2</v>
      </c>
      <c r="I12146" t="s">
        <v>1079</v>
      </c>
      <c r="J12146">
        <v>8.7799999999999994</v>
      </c>
    </row>
    <row r="12147" spans="1:10" hidden="1">
      <c r="A12147" t="s">
        <v>7000</v>
      </c>
      <c r="B12147" t="s">
        <v>7001</v>
      </c>
      <c r="C12147" t="s">
        <v>6839</v>
      </c>
      <c r="D12147" t="s">
        <v>5273</v>
      </c>
      <c r="E12147" t="s">
        <v>561</v>
      </c>
      <c r="F12147" t="s">
        <v>1068</v>
      </c>
      <c r="G12147" t="s">
        <v>1080</v>
      </c>
      <c r="H12147" s="171" t="s">
        <v>7004</v>
      </c>
      <c r="I12147" t="s">
        <v>1082</v>
      </c>
      <c r="J12147">
        <v>8.7799999999999994</v>
      </c>
    </row>
    <row r="12148" spans="1:10" hidden="1">
      <c r="A12148" t="s">
        <v>7000</v>
      </c>
      <c r="B12148" t="s">
        <v>7001</v>
      </c>
      <c r="C12148" t="s">
        <v>6839</v>
      </c>
      <c r="D12148" t="s">
        <v>5273</v>
      </c>
      <c r="E12148" t="s">
        <v>561</v>
      </c>
      <c r="F12148" t="s">
        <v>1068</v>
      </c>
      <c r="G12148" t="s">
        <v>1083</v>
      </c>
      <c r="H12148" s="171" t="s">
        <v>6925</v>
      </c>
      <c r="I12148" t="s">
        <v>1084</v>
      </c>
      <c r="J12148">
        <v>8.7799999999999994</v>
      </c>
    </row>
    <row r="12149" spans="1:10" hidden="1">
      <c r="A12149" t="s">
        <v>7000</v>
      </c>
      <c r="B12149" t="s">
        <v>7001</v>
      </c>
      <c r="C12149" t="s">
        <v>6839</v>
      </c>
      <c r="D12149" t="s">
        <v>5273</v>
      </c>
      <c r="E12149" t="s">
        <v>561</v>
      </c>
      <c r="F12149" t="s">
        <v>1068</v>
      </c>
      <c r="G12149" t="s">
        <v>1085</v>
      </c>
      <c r="H12149" s="171" t="s">
        <v>6926</v>
      </c>
      <c r="I12149" t="s">
        <v>1086</v>
      </c>
      <c r="J12149">
        <v>8.7799999999999994</v>
      </c>
    </row>
    <row r="12150" spans="1:10" hidden="1">
      <c r="A12150" t="s">
        <v>7000</v>
      </c>
      <c r="B12150" t="s">
        <v>7001</v>
      </c>
      <c r="C12150" t="s">
        <v>6839</v>
      </c>
      <c r="D12150" t="s">
        <v>5273</v>
      </c>
      <c r="E12150" t="s">
        <v>561</v>
      </c>
      <c r="F12150" t="s">
        <v>1068</v>
      </c>
      <c r="G12150" t="s">
        <v>1087</v>
      </c>
      <c r="H12150" s="171" t="s">
        <v>6927</v>
      </c>
      <c r="I12150" t="s">
        <v>1088</v>
      </c>
      <c r="J12150">
        <v>8.7799999999999994</v>
      </c>
    </row>
    <row r="12151" spans="1:10" hidden="1">
      <c r="A12151" t="s">
        <v>7000</v>
      </c>
      <c r="B12151" t="s">
        <v>7001</v>
      </c>
      <c r="C12151" t="s">
        <v>6839</v>
      </c>
      <c r="D12151" t="s">
        <v>5273</v>
      </c>
      <c r="E12151" t="s">
        <v>561</v>
      </c>
      <c r="F12151" t="s">
        <v>1068</v>
      </c>
      <c r="G12151" t="s">
        <v>1089</v>
      </c>
      <c r="H12151" s="171" t="s">
        <v>6928</v>
      </c>
      <c r="I12151" t="s">
        <v>1090</v>
      </c>
      <c r="J12151">
        <v>8.7799999999999994</v>
      </c>
    </row>
    <row r="12152" spans="1:10" hidden="1">
      <c r="A12152" t="s">
        <v>7005</v>
      </c>
      <c r="B12152" t="s">
        <v>7006</v>
      </c>
      <c r="C12152" t="s">
        <v>6839</v>
      </c>
      <c r="D12152" t="s">
        <v>5273</v>
      </c>
      <c r="E12152" t="s">
        <v>555</v>
      </c>
      <c r="F12152" t="s">
        <v>1068</v>
      </c>
      <c r="G12152" t="s">
        <v>1069</v>
      </c>
      <c r="H12152">
        <v>6.6009768080824302E-2</v>
      </c>
      <c r="I12152" t="s">
        <v>1070</v>
      </c>
      <c r="J12152">
        <v>9.02</v>
      </c>
    </row>
    <row r="12153" spans="1:10" hidden="1">
      <c r="A12153" t="s">
        <v>7005</v>
      </c>
      <c r="B12153" t="s">
        <v>7006</v>
      </c>
      <c r="C12153" t="s">
        <v>6839</v>
      </c>
      <c r="D12153" t="s">
        <v>5273</v>
      </c>
      <c r="E12153" t="s">
        <v>555</v>
      </c>
      <c r="F12153" t="s">
        <v>1068</v>
      </c>
      <c r="G12153" t="s">
        <v>1071</v>
      </c>
      <c r="H12153" s="171" t="s">
        <v>7007</v>
      </c>
      <c r="I12153" t="s">
        <v>1072</v>
      </c>
      <c r="J12153">
        <v>9.02</v>
      </c>
    </row>
    <row r="12154" spans="1:10" hidden="1">
      <c r="A12154" t="s">
        <v>7005</v>
      </c>
      <c r="B12154" t="s">
        <v>7006</v>
      </c>
      <c r="C12154" t="s">
        <v>6839</v>
      </c>
      <c r="D12154" t="s">
        <v>5273</v>
      </c>
      <c r="E12154" t="s">
        <v>555</v>
      </c>
      <c r="F12154" t="s">
        <v>1068</v>
      </c>
      <c r="G12154" t="s">
        <v>1073</v>
      </c>
      <c r="H12154" s="171" t="s">
        <v>7008</v>
      </c>
      <c r="I12154" t="s">
        <v>1074</v>
      </c>
      <c r="J12154">
        <v>9.02</v>
      </c>
    </row>
    <row r="12155" spans="1:10" hidden="1">
      <c r="A12155" t="s">
        <v>7005</v>
      </c>
      <c r="B12155" t="s">
        <v>7006</v>
      </c>
      <c r="C12155" t="s">
        <v>6839</v>
      </c>
      <c r="D12155" t="s">
        <v>5273</v>
      </c>
      <c r="E12155" t="s">
        <v>555</v>
      </c>
      <c r="F12155" t="s">
        <v>1068</v>
      </c>
      <c r="G12155" t="s">
        <v>1075</v>
      </c>
      <c r="H12155">
        <v>2.98936315502974E-3</v>
      </c>
      <c r="I12155" t="s">
        <v>1077</v>
      </c>
      <c r="J12155">
        <v>9.02</v>
      </c>
    </row>
    <row r="12156" spans="1:10" hidden="1">
      <c r="A12156" t="s">
        <v>7005</v>
      </c>
      <c r="B12156" t="s">
        <v>7006</v>
      </c>
      <c r="C12156" t="s">
        <v>6839</v>
      </c>
      <c r="D12156" t="s">
        <v>5273</v>
      </c>
      <c r="E12156" t="s">
        <v>555</v>
      </c>
      <c r="F12156" t="s">
        <v>1068</v>
      </c>
      <c r="G12156" t="s">
        <v>1078</v>
      </c>
      <c r="H12156">
        <v>-4.8378005974929202E-2</v>
      </c>
      <c r="I12156" t="s">
        <v>1079</v>
      </c>
      <c r="J12156">
        <v>9.02</v>
      </c>
    </row>
    <row r="12157" spans="1:10" hidden="1">
      <c r="A12157" t="s">
        <v>7005</v>
      </c>
      <c r="B12157" t="s">
        <v>7006</v>
      </c>
      <c r="C12157" t="s">
        <v>6839</v>
      </c>
      <c r="D12157" t="s">
        <v>5273</v>
      </c>
      <c r="E12157" t="s">
        <v>555</v>
      </c>
      <c r="F12157" t="s">
        <v>1068</v>
      </c>
      <c r="G12157" t="s">
        <v>1080</v>
      </c>
      <c r="H12157" s="171" t="s">
        <v>6933</v>
      </c>
      <c r="I12157" t="s">
        <v>1082</v>
      </c>
      <c r="J12157">
        <v>9.02</v>
      </c>
    </row>
    <row r="12158" spans="1:10" hidden="1">
      <c r="A12158" t="s">
        <v>7005</v>
      </c>
      <c r="B12158" t="s">
        <v>7006</v>
      </c>
      <c r="C12158" t="s">
        <v>6839</v>
      </c>
      <c r="D12158" t="s">
        <v>5273</v>
      </c>
      <c r="E12158" t="s">
        <v>555</v>
      </c>
      <c r="F12158" t="s">
        <v>1068</v>
      </c>
      <c r="G12158" t="s">
        <v>1083</v>
      </c>
      <c r="H12158" s="170">
        <v>-1.03882161292121E-7</v>
      </c>
      <c r="I12158" t="s">
        <v>1084</v>
      </c>
      <c r="J12158">
        <v>9.02</v>
      </c>
    </row>
    <row r="12159" spans="1:10" hidden="1">
      <c r="A12159" t="s">
        <v>7005</v>
      </c>
      <c r="B12159" t="s">
        <v>7006</v>
      </c>
      <c r="C12159" t="s">
        <v>6839</v>
      </c>
      <c r="D12159" t="s">
        <v>5273</v>
      </c>
      <c r="E12159" t="s">
        <v>555</v>
      </c>
      <c r="F12159" t="s">
        <v>1068</v>
      </c>
      <c r="G12159" t="s">
        <v>1085</v>
      </c>
      <c r="H12159" s="171" t="s">
        <v>6934</v>
      </c>
      <c r="I12159" t="s">
        <v>1086</v>
      </c>
      <c r="J12159">
        <v>9.02</v>
      </c>
    </row>
    <row r="12160" spans="1:10" hidden="1">
      <c r="A12160" t="s">
        <v>7005</v>
      </c>
      <c r="B12160" t="s">
        <v>7006</v>
      </c>
      <c r="C12160" t="s">
        <v>6839</v>
      </c>
      <c r="D12160" t="s">
        <v>5273</v>
      </c>
      <c r="E12160" t="s">
        <v>555</v>
      </c>
      <c r="F12160" t="s">
        <v>1068</v>
      </c>
      <c r="G12160" t="s">
        <v>1087</v>
      </c>
      <c r="H12160" s="171" t="s">
        <v>7009</v>
      </c>
      <c r="I12160" t="s">
        <v>1088</v>
      </c>
      <c r="J12160">
        <v>9.02</v>
      </c>
    </row>
    <row r="12161" spans="1:10" hidden="1">
      <c r="A12161" t="s">
        <v>7005</v>
      </c>
      <c r="B12161" t="s">
        <v>7006</v>
      </c>
      <c r="C12161" t="s">
        <v>6839</v>
      </c>
      <c r="D12161" t="s">
        <v>5273</v>
      </c>
      <c r="E12161" t="s">
        <v>555</v>
      </c>
      <c r="F12161" t="s">
        <v>1068</v>
      </c>
      <c r="G12161" t="s">
        <v>1089</v>
      </c>
      <c r="H12161" s="171" t="s">
        <v>6936</v>
      </c>
      <c r="I12161" t="s">
        <v>1090</v>
      </c>
      <c r="J12161">
        <v>9.02</v>
      </c>
    </row>
    <row r="12162" spans="1:10" hidden="1">
      <c r="A12162" t="s">
        <v>7010</v>
      </c>
      <c r="B12162" t="s">
        <v>7011</v>
      </c>
      <c r="C12162" t="s">
        <v>6839</v>
      </c>
      <c r="D12162" t="s">
        <v>5273</v>
      </c>
      <c r="E12162" t="s">
        <v>558</v>
      </c>
      <c r="F12162" t="s">
        <v>1068</v>
      </c>
      <c r="G12162" t="s">
        <v>1069</v>
      </c>
      <c r="H12162">
        <v>7.1771404194540506E-2</v>
      </c>
      <c r="I12162" t="s">
        <v>1070</v>
      </c>
      <c r="J12162">
        <v>8.8000000000000007</v>
      </c>
    </row>
    <row r="12163" spans="1:10" hidden="1">
      <c r="A12163" t="s">
        <v>7010</v>
      </c>
      <c r="B12163" t="s">
        <v>7011</v>
      </c>
      <c r="C12163" t="s">
        <v>6839</v>
      </c>
      <c r="D12163" t="s">
        <v>5273</v>
      </c>
      <c r="E12163" t="s">
        <v>558</v>
      </c>
      <c r="F12163" t="s">
        <v>1068</v>
      </c>
      <c r="G12163" t="s">
        <v>1071</v>
      </c>
      <c r="H12163" s="171" t="s">
        <v>7012</v>
      </c>
      <c r="I12163" t="s">
        <v>1072</v>
      </c>
      <c r="J12163">
        <v>8.8000000000000007</v>
      </c>
    </row>
    <row r="12164" spans="1:10" hidden="1">
      <c r="A12164" t="s">
        <v>7010</v>
      </c>
      <c r="B12164" t="s">
        <v>7011</v>
      </c>
      <c r="C12164" t="s">
        <v>6839</v>
      </c>
      <c r="D12164" t="s">
        <v>5273</v>
      </c>
      <c r="E12164" t="s">
        <v>558</v>
      </c>
      <c r="F12164" t="s">
        <v>1068</v>
      </c>
      <c r="G12164" t="s">
        <v>1073</v>
      </c>
      <c r="H12164" s="171" t="s">
        <v>7013</v>
      </c>
      <c r="I12164" t="s">
        <v>1074</v>
      </c>
      <c r="J12164">
        <v>8.8000000000000007</v>
      </c>
    </row>
    <row r="12165" spans="1:10" hidden="1">
      <c r="A12165" t="s">
        <v>7010</v>
      </c>
      <c r="B12165" t="s">
        <v>7011</v>
      </c>
      <c r="C12165" t="s">
        <v>6839</v>
      </c>
      <c r="D12165" t="s">
        <v>5273</v>
      </c>
      <c r="E12165" t="s">
        <v>558</v>
      </c>
      <c r="F12165" t="s">
        <v>1068</v>
      </c>
      <c r="G12165" t="s">
        <v>1075</v>
      </c>
      <c r="H12165">
        <v>3.153139145727E-3</v>
      </c>
      <c r="I12165" t="s">
        <v>1077</v>
      </c>
      <c r="J12165">
        <v>8.8000000000000007</v>
      </c>
    </row>
    <row r="12166" spans="1:10" hidden="1">
      <c r="A12166" t="s">
        <v>7010</v>
      </c>
      <c r="B12166" t="s">
        <v>7011</v>
      </c>
      <c r="C12166" t="s">
        <v>6839</v>
      </c>
      <c r="D12166" t="s">
        <v>5273</v>
      </c>
      <c r="E12166" t="s">
        <v>558</v>
      </c>
      <c r="F12166" t="s">
        <v>1068</v>
      </c>
      <c r="G12166" t="s">
        <v>1078</v>
      </c>
      <c r="H12166">
        <v>-4.8315555256272298E-2</v>
      </c>
      <c r="I12166" t="s">
        <v>1079</v>
      </c>
      <c r="J12166">
        <v>8.8000000000000007</v>
      </c>
    </row>
    <row r="12167" spans="1:10" hidden="1">
      <c r="A12167" t="s">
        <v>7010</v>
      </c>
      <c r="B12167" t="s">
        <v>7011</v>
      </c>
      <c r="C12167" t="s">
        <v>6839</v>
      </c>
      <c r="D12167" t="s">
        <v>5273</v>
      </c>
      <c r="E12167" t="s">
        <v>558</v>
      </c>
      <c r="F12167" t="s">
        <v>1068</v>
      </c>
      <c r="G12167" t="s">
        <v>1080</v>
      </c>
      <c r="H12167" s="171" t="s">
        <v>6941</v>
      </c>
      <c r="I12167" t="s">
        <v>1082</v>
      </c>
      <c r="J12167">
        <v>8.8000000000000007</v>
      </c>
    </row>
    <row r="12168" spans="1:10" hidden="1">
      <c r="A12168" t="s">
        <v>7010</v>
      </c>
      <c r="B12168" t="s">
        <v>7011</v>
      </c>
      <c r="C12168" t="s">
        <v>6839</v>
      </c>
      <c r="D12168" t="s">
        <v>5273</v>
      </c>
      <c r="E12168" t="s">
        <v>558</v>
      </c>
      <c r="F12168" t="s">
        <v>1068</v>
      </c>
      <c r="G12168" t="s">
        <v>1083</v>
      </c>
      <c r="H12168" s="171" t="s">
        <v>7014</v>
      </c>
      <c r="I12168" t="s">
        <v>1084</v>
      </c>
      <c r="J12168">
        <v>8.8000000000000007</v>
      </c>
    </row>
    <row r="12169" spans="1:10" hidden="1">
      <c r="A12169" t="s">
        <v>7010</v>
      </c>
      <c r="B12169" t="s">
        <v>7011</v>
      </c>
      <c r="C12169" t="s">
        <v>6839</v>
      </c>
      <c r="D12169" t="s">
        <v>5273</v>
      </c>
      <c r="E12169" t="s">
        <v>558</v>
      </c>
      <c r="F12169" t="s">
        <v>1068</v>
      </c>
      <c r="G12169" t="s">
        <v>1085</v>
      </c>
      <c r="H12169" s="171" t="s">
        <v>6943</v>
      </c>
      <c r="I12169" t="s">
        <v>1086</v>
      </c>
      <c r="J12169">
        <v>8.8000000000000007</v>
      </c>
    </row>
    <row r="12170" spans="1:10" hidden="1">
      <c r="A12170" t="s">
        <v>7010</v>
      </c>
      <c r="B12170" t="s">
        <v>7011</v>
      </c>
      <c r="C12170" t="s">
        <v>6839</v>
      </c>
      <c r="D12170" t="s">
        <v>5273</v>
      </c>
      <c r="E12170" t="s">
        <v>558</v>
      </c>
      <c r="F12170" t="s">
        <v>1068</v>
      </c>
      <c r="G12170" t="s">
        <v>1087</v>
      </c>
      <c r="H12170" s="171" t="s">
        <v>7015</v>
      </c>
      <c r="I12170" t="s">
        <v>1088</v>
      </c>
      <c r="J12170">
        <v>8.8000000000000007</v>
      </c>
    </row>
    <row r="12171" spans="1:10" hidden="1">
      <c r="A12171" t="s">
        <v>7010</v>
      </c>
      <c r="B12171" t="s">
        <v>7011</v>
      </c>
      <c r="C12171" t="s">
        <v>6839</v>
      </c>
      <c r="D12171" t="s">
        <v>5273</v>
      </c>
      <c r="E12171" t="s">
        <v>558</v>
      </c>
      <c r="F12171" t="s">
        <v>1068</v>
      </c>
      <c r="G12171" t="s">
        <v>1089</v>
      </c>
      <c r="H12171" s="171" t="s">
        <v>6945</v>
      </c>
      <c r="I12171" t="s">
        <v>1090</v>
      </c>
      <c r="J12171">
        <v>8.8000000000000007</v>
      </c>
    </row>
    <row r="12172" spans="1:10" hidden="1">
      <c r="A12172" t="s">
        <v>7016</v>
      </c>
      <c r="B12172" t="s">
        <v>7017</v>
      </c>
      <c r="C12172" t="s">
        <v>6839</v>
      </c>
      <c r="D12172" t="s">
        <v>5273</v>
      </c>
      <c r="E12172" t="s">
        <v>553</v>
      </c>
      <c r="F12172" t="s">
        <v>1068</v>
      </c>
      <c r="G12172" t="s">
        <v>1069</v>
      </c>
      <c r="H12172">
        <v>7.2095311931727205E-2</v>
      </c>
      <c r="I12172" t="s">
        <v>1070</v>
      </c>
      <c r="J12172">
        <v>8.2100000000000009</v>
      </c>
    </row>
    <row r="12173" spans="1:10" hidden="1">
      <c r="A12173" t="s">
        <v>7016</v>
      </c>
      <c r="B12173" t="s">
        <v>7017</v>
      </c>
      <c r="C12173" t="s">
        <v>6839</v>
      </c>
      <c r="D12173" t="s">
        <v>5273</v>
      </c>
      <c r="E12173" t="s">
        <v>553</v>
      </c>
      <c r="F12173" t="s">
        <v>1068</v>
      </c>
      <c r="G12173" t="s">
        <v>1071</v>
      </c>
      <c r="H12173" s="171" t="s">
        <v>7018</v>
      </c>
      <c r="I12173" t="s">
        <v>1072</v>
      </c>
      <c r="J12173">
        <v>8.2100000000000009</v>
      </c>
    </row>
    <row r="12174" spans="1:10" hidden="1">
      <c r="A12174" t="s">
        <v>7016</v>
      </c>
      <c r="B12174" t="s">
        <v>7017</v>
      </c>
      <c r="C12174" t="s">
        <v>6839</v>
      </c>
      <c r="D12174" t="s">
        <v>5273</v>
      </c>
      <c r="E12174" t="s">
        <v>553</v>
      </c>
      <c r="F12174" t="s">
        <v>1068</v>
      </c>
      <c r="G12174" t="s">
        <v>1073</v>
      </c>
      <c r="H12174" s="171" t="s">
        <v>7019</v>
      </c>
      <c r="I12174" t="s">
        <v>1074</v>
      </c>
      <c r="J12174">
        <v>8.2100000000000009</v>
      </c>
    </row>
    <row r="12175" spans="1:10" hidden="1">
      <c r="A12175" t="s">
        <v>7016</v>
      </c>
      <c r="B12175" t="s">
        <v>7017</v>
      </c>
      <c r="C12175" t="s">
        <v>6839</v>
      </c>
      <c r="D12175" t="s">
        <v>5273</v>
      </c>
      <c r="E12175" t="s">
        <v>553</v>
      </c>
      <c r="F12175" t="s">
        <v>1068</v>
      </c>
      <c r="G12175" t="s">
        <v>1075</v>
      </c>
      <c r="H12175">
        <v>3.1817336971576198E-3</v>
      </c>
      <c r="I12175" t="s">
        <v>1077</v>
      </c>
      <c r="J12175">
        <v>8.2100000000000009</v>
      </c>
    </row>
    <row r="12176" spans="1:10" hidden="1">
      <c r="A12176" t="s">
        <v>7016</v>
      </c>
      <c r="B12176" t="s">
        <v>7017</v>
      </c>
      <c r="C12176" t="s">
        <v>6839</v>
      </c>
      <c r="D12176" t="s">
        <v>5273</v>
      </c>
      <c r="E12176" t="s">
        <v>553</v>
      </c>
      <c r="F12176" t="s">
        <v>1068</v>
      </c>
      <c r="G12176" t="s">
        <v>1078</v>
      </c>
      <c r="H12176">
        <v>-4.0059161684337499E-2</v>
      </c>
      <c r="I12176" t="s">
        <v>1079</v>
      </c>
      <c r="J12176">
        <v>8.2100000000000009</v>
      </c>
    </row>
    <row r="12177" spans="1:10" hidden="1">
      <c r="A12177" t="s">
        <v>7016</v>
      </c>
      <c r="B12177" t="s">
        <v>7017</v>
      </c>
      <c r="C12177" t="s">
        <v>6839</v>
      </c>
      <c r="D12177" t="s">
        <v>5273</v>
      </c>
      <c r="E12177" t="s">
        <v>553</v>
      </c>
      <c r="F12177" t="s">
        <v>1068</v>
      </c>
      <c r="G12177" t="s">
        <v>1080</v>
      </c>
      <c r="H12177" s="171" t="s">
        <v>6950</v>
      </c>
      <c r="I12177" t="s">
        <v>1082</v>
      </c>
      <c r="J12177">
        <v>8.2100000000000009</v>
      </c>
    </row>
    <row r="12178" spans="1:10" hidden="1">
      <c r="A12178" t="s">
        <v>7016</v>
      </c>
      <c r="B12178" t="s">
        <v>7017</v>
      </c>
      <c r="C12178" t="s">
        <v>6839</v>
      </c>
      <c r="D12178" t="s">
        <v>5273</v>
      </c>
      <c r="E12178" t="s">
        <v>553</v>
      </c>
      <c r="F12178" t="s">
        <v>1068</v>
      </c>
      <c r="G12178" t="s">
        <v>1083</v>
      </c>
      <c r="H12178" s="171" t="s">
        <v>7020</v>
      </c>
      <c r="I12178" t="s">
        <v>1084</v>
      </c>
      <c r="J12178">
        <v>8.2100000000000009</v>
      </c>
    </row>
    <row r="12179" spans="1:10" hidden="1">
      <c r="A12179" t="s">
        <v>7016</v>
      </c>
      <c r="B12179" t="s">
        <v>7017</v>
      </c>
      <c r="C12179" t="s">
        <v>6839</v>
      </c>
      <c r="D12179" t="s">
        <v>5273</v>
      </c>
      <c r="E12179" t="s">
        <v>553</v>
      </c>
      <c r="F12179" t="s">
        <v>1068</v>
      </c>
      <c r="G12179" t="s">
        <v>1085</v>
      </c>
      <c r="H12179" s="171" t="s">
        <v>7021</v>
      </c>
      <c r="I12179" t="s">
        <v>1086</v>
      </c>
      <c r="J12179">
        <v>8.2100000000000009</v>
      </c>
    </row>
    <row r="12180" spans="1:10" hidden="1">
      <c r="A12180" t="s">
        <v>7016</v>
      </c>
      <c r="B12180" t="s">
        <v>7017</v>
      </c>
      <c r="C12180" t="s">
        <v>6839</v>
      </c>
      <c r="D12180" t="s">
        <v>5273</v>
      </c>
      <c r="E12180" t="s">
        <v>553</v>
      </c>
      <c r="F12180" t="s">
        <v>1068</v>
      </c>
      <c r="G12180" t="s">
        <v>1087</v>
      </c>
      <c r="H12180" s="171" t="s">
        <v>7022</v>
      </c>
      <c r="I12180" t="s">
        <v>1088</v>
      </c>
      <c r="J12180">
        <v>8.2100000000000009</v>
      </c>
    </row>
    <row r="12181" spans="1:10" hidden="1">
      <c r="A12181" t="s">
        <v>7016</v>
      </c>
      <c r="B12181" t="s">
        <v>7017</v>
      </c>
      <c r="C12181" t="s">
        <v>6839</v>
      </c>
      <c r="D12181" t="s">
        <v>5273</v>
      </c>
      <c r="E12181" t="s">
        <v>553</v>
      </c>
      <c r="F12181" t="s">
        <v>1068</v>
      </c>
      <c r="G12181" t="s">
        <v>1089</v>
      </c>
      <c r="H12181" s="171" t="s">
        <v>7023</v>
      </c>
      <c r="I12181" t="s">
        <v>1090</v>
      </c>
      <c r="J12181">
        <v>8.2100000000000009</v>
      </c>
    </row>
    <row r="12182" spans="1:10" hidden="1">
      <c r="A12182" t="s">
        <v>7024</v>
      </c>
      <c r="B12182" t="s">
        <v>7025</v>
      </c>
      <c r="C12182" t="s">
        <v>6839</v>
      </c>
      <c r="D12182" t="s">
        <v>5273</v>
      </c>
      <c r="E12182" t="s">
        <v>556</v>
      </c>
      <c r="F12182" t="s">
        <v>1068</v>
      </c>
      <c r="G12182" t="s">
        <v>1069</v>
      </c>
      <c r="H12182">
        <v>7.1733759446661605E-2</v>
      </c>
      <c r="I12182" t="s">
        <v>1070</v>
      </c>
      <c r="J12182">
        <v>9.0299999999999994</v>
      </c>
    </row>
    <row r="12183" spans="1:10" hidden="1">
      <c r="A12183" t="s">
        <v>7024</v>
      </c>
      <c r="B12183" t="s">
        <v>7025</v>
      </c>
      <c r="C12183" t="s">
        <v>6839</v>
      </c>
      <c r="D12183" t="s">
        <v>5273</v>
      </c>
      <c r="E12183" t="s">
        <v>556</v>
      </c>
      <c r="F12183" t="s">
        <v>1068</v>
      </c>
      <c r="G12183" t="s">
        <v>1071</v>
      </c>
      <c r="H12183" s="171" t="s">
        <v>7026</v>
      </c>
      <c r="I12183" t="s">
        <v>1072</v>
      </c>
      <c r="J12183">
        <v>9.0299999999999994</v>
      </c>
    </row>
    <row r="12184" spans="1:10" hidden="1">
      <c r="A12184" t="s">
        <v>7024</v>
      </c>
      <c r="B12184" t="s">
        <v>7025</v>
      </c>
      <c r="C12184" t="s">
        <v>6839</v>
      </c>
      <c r="D12184" t="s">
        <v>5273</v>
      </c>
      <c r="E12184" t="s">
        <v>556</v>
      </c>
      <c r="F12184" t="s">
        <v>1068</v>
      </c>
      <c r="G12184" t="s">
        <v>1073</v>
      </c>
      <c r="H12184" s="171" t="s">
        <v>7027</v>
      </c>
      <c r="I12184" t="s">
        <v>1074</v>
      </c>
      <c r="J12184">
        <v>9.0299999999999994</v>
      </c>
    </row>
    <row r="12185" spans="1:10" hidden="1">
      <c r="A12185" t="s">
        <v>7024</v>
      </c>
      <c r="B12185" t="s">
        <v>7025</v>
      </c>
      <c r="C12185" t="s">
        <v>6839</v>
      </c>
      <c r="D12185" t="s">
        <v>5273</v>
      </c>
      <c r="E12185" t="s">
        <v>556</v>
      </c>
      <c r="F12185" t="s">
        <v>1068</v>
      </c>
      <c r="G12185" t="s">
        <v>1075</v>
      </c>
      <c r="H12185">
        <v>3.2388367799153399E-3</v>
      </c>
      <c r="I12185" t="s">
        <v>1077</v>
      </c>
      <c r="J12185">
        <v>9.0299999999999994</v>
      </c>
    </row>
    <row r="12186" spans="1:10" hidden="1">
      <c r="A12186" t="s">
        <v>7024</v>
      </c>
      <c r="B12186" t="s">
        <v>7025</v>
      </c>
      <c r="C12186" t="s">
        <v>6839</v>
      </c>
      <c r="D12186" t="s">
        <v>5273</v>
      </c>
      <c r="E12186" t="s">
        <v>556</v>
      </c>
      <c r="F12186" t="s">
        <v>1068</v>
      </c>
      <c r="G12186" t="s">
        <v>1078</v>
      </c>
      <c r="H12186">
        <v>-1.1963369679962E-2</v>
      </c>
      <c r="I12186" t="s">
        <v>1079</v>
      </c>
      <c r="J12186">
        <v>9.0299999999999994</v>
      </c>
    </row>
    <row r="12187" spans="1:10" hidden="1">
      <c r="A12187" t="s">
        <v>7024</v>
      </c>
      <c r="B12187" t="s">
        <v>7025</v>
      </c>
      <c r="C12187" t="s">
        <v>6839</v>
      </c>
      <c r="D12187" t="s">
        <v>5273</v>
      </c>
      <c r="E12187" t="s">
        <v>556</v>
      </c>
      <c r="F12187" t="s">
        <v>1068</v>
      </c>
      <c r="G12187" t="s">
        <v>1080</v>
      </c>
      <c r="H12187" s="171" t="s">
        <v>7028</v>
      </c>
      <c r="I12187" t="s">
        <v>1082</v>
      </c>
      <c r="J12187">
        <v>9.0299999999999994</v>
      </c>
    </row>
    <row r="12188" spans="1:10" hidden="1">
      <c r="A12188" t="s">
        <v>7024</v>
      </c>
      <c r="B12188" t="s">
        <v>7025</v>
      </c>
      <c r="C12188" t="s">
        <v>6839</v>
      </c>
      <c r="D12188" t="s">
        <v>5273</v>
      </c>
      <c r="E12188" t="s">
        <v>556</v>
      </c>
      <c r="F12188" t="s">
        <v>1068</v>
      </c>
      <c r="G12188" t="s">
        <v>1083</v>
      </c>
      <c r="H12188" s="171" t="s">
        <v>7029</v>
      </c>
      <c r="I12188" t="s">
        <v>1084</v>
      </c>
      <c r="J12188">
        <v>9.0299999999999994</v>
      </c>
    </row>
    <row r="12189" spans="1:10" hidden="1">
      <c r="A12189" t="s">
        <v>7024</v>
      </c>
      <c r="B12189" t="s">
        <v>7025</v>
      </c>
      <c r="C12189" t="s">
        <v>6839</v>
      </c>
      <c r="D12189" t="s">
        <v>5273</v>
      </c>
      <c r="E12189" t="s">
        <v>556</v>
      </c>
      <c r="F12189" t="s">
        <v>1068</v>
      </c>
      <c r="G12189" t="s">
        <v>1085</v>
      </c>
      <c r="H12189" s="171" t="s">
        <v>7030</v>
      </c>
      <c r="I12189" t="s">
        <v>1086</v>
      </c>
      <c r="J12189">
        <v>9.0299999999999994</v>
      </c>
    </row>
    <row r="12190" spans="1:10" hidden="1">
      <c r="A12190" t="s">
        <v>7024</v>
      </c>
      <c r="B12190" t="s">
        <v>7025</v>
      </c>
      <c r="C12190" t="s">
        <v>6839</v>
      </c>
      <c r="D12190" t="s">
        <v>5273</v>
      </c>
      <c r="E12190" t="s">
        <v>556</v>
      </c>
      <c r="F12190" t="s">
        <v>1068</v>
      </c>
      <c r="G12190" t="s">
        <v>1087</v>
      </c>
      <c r="H12190" s="171" t="s">
        <v>6962</v>
      </c>
      <c r="I12190" t="s">
        <v>1088</v>
      </c>
      <c r="J12190">
        <v>9.0299999999999994</v>
      </c>
    </row>
    <row r="12191" spans="1:10" hidden="1">
      <c r="A12191" t="s">
        <v>7024</v>
      </c>
      <c r="B12191" t="s">
        <v>7025</v>
      </c>
      <c r="C12191" t="s">
        <v>6839</v>
      </c>
      <c r="D12191" t="s">
        <v>5273</v>
      </c>
      <c r="E12191" t="s">
        <v>556</v>
      </c>
      <c r="F12191" t="s">
        <v>1068</v>
      </c>
      <c r="G12191" t="s">
        <v>1089</v>
      </c>
      <c r="H12191" s="171" t="s">
        <v>6963</v>
      </c>
      <c r="I12191" t="s">
        <v>1090</v>
      </c>
      <c r="J12191">
        <v>9.0299999999999994</v>
      </c>
    </row>
    <row r="12192" spans="1:10" hidden="1">
      <c r="A12192" t="s">
        <v>7031</v>
      </c>
      <c r="B12192" t="s">
        <v>7032</v>
      </c>
      <c r="C12192" t="s">
        <v>6839</v>
      </c>
      <c r="D12192" t="s">
        <v>5273</v>
      </c>
      <c r="E12192" t="s">
        <v>557</v>
      </c>
      <c r="F12192" t="s">
        <v>1068</v>
      </c>
      <c r="G12192" t="s">
        <v>1069</v>
      </c>
      <c r="H12192">
        <v>6.9883841522759907E-2</v>
      </c>
      <c r="I12192" t="s">
        <v>1070</v>
      </c>
      <c r="J12192">
        <v>8.2200000000000006</v>
      </c>
    </row>
    <row r="12193" spans="1:10" hidden="1">
      <c r="A12193" t="s">
        <v>7031</v>
      </c>
      <c r="B12193" t="s">
        <v>7032</v>
      </c>
      <c r="C12193" t="s">
        <v>6839</v>
      </c>
      <c r="D12193" t="s">
        <v>5273</v>
      </c>
      <c r="E12193" t="s">
        <v>557</v>
      </c>
      <c r="F12193" t="s">
        <v>1068</v>
      </c>
      <c r="G12193" t="s">
        <v>1071</v>
      </c>
      <c r="H12193" s="171" t="s">
        <v>7033</v>
      </c>
      <c r="I12193" t="s">
        <v>1072</v>
      </c>
      <c r="J12193">
        <v>8.2200000000000006</v>
      </c>
    </row>
    <row r="12194" spans="1:10" hidden="1">
      <c r="A12194" t="s">
        <v>7031</v>
      </c>
      <c r="B12194" t="s">
        <v>7032</v>
      </c>
      <c r="C12194" t="s">
        <v>6839</v>
      </c>
      <c r="D12194" t="s">
        <v>5273</v>
      </c>
      <c r="E12194" t="s">
        <v>557</v>
      </c>
      <c r="F12194" t="s">
        <v>1068</v>
      </c>
      <c r="G12194" t="s">
        <v>1073</v>
      </c>
      <c r="H12194" s="171" t="s">
        <v>7034</v>
      </c>
      <c r="I12194" t="s">
        <v>1074</v>
      </c>
      <c r="J12194">
        <v>8.2200000000000006</v>
      </c>
    </row>
    <row r="12195" spans="1:10" hidden="1">
      <c r="A12195" t="s">
        <v>7031</v>
      </c>
      <c r="B12195" t="s">
        <v>7032</v>
      </c>
      <c r="C12195" t="s">
        <v>6839</v>
      </c>
      <c r="D12195" t="s">
        <v>5273</v>
      </c>
      <c r="E12195" t="s">
        <v>557</v>
      </c>
      <c r="F12195" t="s">
        <v>1068</v>
      </c>
      <c r="G12195" t="s">
        <v>1075</v>
      </c>
      <c r="H12195">
        <v>3.0934712732464402E-3</v>
      </c>
      <c r="I12195" t="s">
        <v>1077</v>
      </c>
      <c r="J12195">
        <v>8.2200000000000006</v>
      </c>
    </row>
    <row r="12196" spans="1:10" hidden="1">
      <c r="A12196" t="s">
        <v>7031</v>
      </c>
      <c r="B12196" t="s">
        <v>7032</v>
      </c>
      <c r="C12196" t="s">
        <v>6839</v>
      </c>
      <c r="D12196" t="s">
        <v>5273</v>
      </c>
      <c r="E12196" t="s">
        <v>557</v>
      </c>
      <c r="F12196" t="s">
        <v>1068</v>
      </c>
      <c r="G12196" t="s">
        <v>1078</v>
      </c>
      <c r="H12196">
        <v>-5.0895824224829203E-2</v>
      </c>
      <c r="I12196" t="s">
        <v>1079</v>
      </c>
      <c r="J12196">
        <v>8.2200000000000006</v>
      </c>
    </row>
    <row r="12197" spans="1:10" hidden="1">
      <c r="A12197" t="s">
        <v>7031</v>
      </c>
      <c r="B12197" t="s">
        <v>7032</v>
      </c>
      <c r="C12197" t="s">
        <v>6839</v>
      </c>
      <c r="D12197" t="s">
        <v>5273</v>
      </c>
      <c r="E12197" t="s">
        <v>557</v>
      </c>
      <c r="F12197" t="s">
        <v>1068</v>
      </c>
      <c r="G12197" t="s">
        <v>1080</v>
      </c>
      <c r="H12197" s="171" t="s">
        <v>6968</v>
      </c>
      <c r="I12197" t="s">
        <v>1082</v>
      </c>
      <c r="J12197">
        <v>8.2200000000000006</v>
      </c>
    </row>
    <row r="12198" spans="1:10" hidden="1">
      <c r="A12198" t="s">
        <v>7031</v>
      </c>
      <c r="B12198" t="s">
        <v>7032</v>
      </c>
      <c r="C12198" t="s">
        <v>6839</v>
      </c>
      <c r="D12198" t="s">
        <v>5273</v>
      </c>
      <c r="E12198" t="s">
        <v>557</v>
      </c>
      <c r="F12198" t="s">
        <v>1068</v>
      </c>
      <c r="G12198" t="s">
        <v>1083</v>
      </c>
      <c r="H12198" s="171" t="s">
        <v>6969</v>
      </c>
      <c r="I12198" t="s">
        <v>1084</v>
      </c>
      <c r="J12198">
        <v>8.2200000000000006</v>
      </c>
    </row>
    <row r="12199" spans="1:10" hidden="1">
      <c r="A12199" t="s">
        <v>7031</v>
      </c>
      <c r="B12199" t="s">
        <v>7032</v>
      </c>
      <c r="C12199" t="s">
        <v>6839</v>
      </c>
      <c r="D12199" t="s">
        <v>5273</v>
      </c>
      <c r="E12199" t="s">
        <v>557</v>
      </c>
      <c r="F12199" t="s">
        <v>1068</v>
      </c>
      <c r="G12199" t="s">
        <v>1085</v>
      </c>
      <c r="H12199" s="171" t="s">
        <v>6970</v>
      </c>
      <c r="I12199" t="s">
        <v>1086</v>
      </c>
      <c r="J12199">
        <v>8.2200000000000006</v>
      </c>
    </row>
    <row r="12200" spans="1:10" hidden="1">
      <c r="A12200" t="s">
        <v>7031</v>
      </c>
      <c r="B12200" t="s">
        <v>7032</v>
      </c>
      <c r="C12200" t="s">
        <v>6839</v>
      </c>
      <c r="D12200" t="s">
        <v>5273</v>
      </c>
      <c r="E12200" t="s">
        <v>557</v>
      </c>
      <c r="F12200" t="s">
        <v>1068</v>
      </c>
      <c r="G12200" t="s">
        <v>1087</v>
      </c>
      <c r="H12200" s="171" t="s">
        <v>6971</v>
      </c>
      <c r="I12200" t="s">
        <v>1088</v>
      </c>
      <c r="J12200">
        <v>8.2200000000000006</v>
      </c>
    </row>
    <row r="12201" spans="1:10" hidden="1">
      <c r="A12201" t="s">
        <v>7031</v>
      </c>
      <c r="B12201" t="s">
        <v>7032</v>
      </c>
      <c r="C12201" t="s">
        <v>6839</v>
      </c>
      <c r="D12201" t="s">
        <v>5273</v>
      </c>
      <c r="E12201" t="s">
        <v>557</v>
      </c>
      <c r="F12201" t="s">
        <v>1068</v>
      </c>
      <c r="G12201" t="s">
        <v>1089</v>
      </c>
      <c r="H12201" s="171" t="s">
        <v>6972</v>
      </c>
      <c r="I12201" t="s">
        <v>1090</v>
      </c>
      <c r="J12201">
        <v>8.2200000000000006</v>
      </c>
    </row>
    <row r="12202" spans="1:10" hidden="1">
      <c r="A12202" t="s">
        <v>7035</v>
      </c>
      <c r="B12202" t="s">
        <v>7036</v>
      </c>
      <c r="C12202" t="s">
        <v>6839</v>
      </c>
      <c r="D12202" t="s">
        <v>5273</v>
      </c>
      <c r="E12202" t="s">
        <v>559</v>
      </c>
      <c r="F12202" t="s">
        <v>1068</v>
      </c>
      <c r="G12202" t="s">
        <v>1069</v>
      </c>
      <c r="H12202">
        <v>6.8220621090327796E-2</v>
      </c>
      <c r="I12202" t="s">
        <v>1070</v>
      </c>
      <c r="J12202">
        <v>10.57</v>
      </c>
    </row>
    <row r="12203" spans="1:10" hidden="1">
      <c r="A12203" t="s">
        <v>7035</v>
      </c>
      <c r="B12203" t="s">
        <v>7036</v>
      </c>
      <c r="C12203" t="s">
        <v>6839</v>
      </c>
      <c r="D12203" t="s">
        <v>5273</v>
      </c>
      <c r="E12203" t="s">
        <v>559</v>
      </c>
      <c r="F12203" t="s">
        <v>1068</v>
      </c>
      <c r="G12203" t="s">
        <v>1071</v>
      </c>
      <c r="H12203" s="171" t="s">
        <v>7037</v>
      </c>
      <c r="I12203" t="s">
        <v>1072</v>
      </c>
      <c r="J12203">
        <v>10.57</v>
      </c>
    </row>
    <row r="12204" spans="1:10" hidden="1">
      <c r="A12204" t="s">
        <v>7035</v>
      </c>
      <c r="B12204" t="s">
        <v>7036</v>
      </c>
      <c r="C12204" t="s">
        <v>6839</v>
      </c>
      <c r="D12204" t="s">
        <v>5273</v>
      </c>
      <c r="E12204" t="s">
        <v>559</v>
      </c>
      <c r="F12204" t="s">
        <v>1068</v>
      </c>
      <c r="G12204" t="s">
        <v>1073</v>
      </c>
      <c r="H12204" s="171" t="s">
        <v>7038</v>
      </c>
      <c r="I12204" t="s">
        <v>1074</v>
      </c>
      <c r="J12204">
        <v>10.57</v>
      </c>
    </row>
    <row r="12205" spans="1:10" hidden="1">
      <c r="A12205" t="s">
        <v>7035</v>
      </c>
      <c r="B12205" t="s">
        <v>7036</v>
      </c>
      <c r="C12205" t="s">
        <v>6839</v>
      </c>
      <c r="D12205" t="s">
        <v>5273</v>
      </c>
      <c r="E12205" t="s">
        <v>559</v>
      </c>
      <c r="F12205" t="s">
        <v>1068</v>
      </c>
      <c r="G12205" t="s">
        <v>1075</v>
      </c>
      <c r="H12205">
        <v>3.0592505804464399E-3</v>
      </c>
      <c r="I12205" t="s">
        <v>1077</v>
      </c>
      <c r="J12205">
        <v>10.57</v>
      </c>
    </row>
    <row r="12206" spans="1:10" hidden="1">
      <c r="A12206" t="s">
        <v>7035</v>
      </c>
      <c r="B12206" t="s">
        <v>7036</v>
      </c>
      <c r="C12206" t="s">
        <v>6839</v>
      </c>
      <c r="D12206" t="s">
        <v>5273</v>
      </c>
      <c r="E12206" t="s">
        <v>559</v>
      </c>
      <c r="F12206" t="s">
        <v>1068</v>
      </c>
      <c r="G12206" t="s">
        <v>1078</v>
      </c>
      <c r="H12206">
        <v>-4.5355804116550602E-2</v>
      </c>
      <c r="I12206" t="s">
        <v>1079</v>
      </c>
      <c r="J12206">
        <v>10.57</v>
      </c>
    </row>
    <row r="12207" spans="1:10" hidden="1">
      <c r="A12207" t="s">
        <v>7035</v>
      </c>
      <c r="B12207" t="s">
        <v>7036</v>
      </c>
      <c r="C12207" t="s">
        <v>6839</v>
      </c>
      <c r="D12207" t="s">
        <v>5273</v>
      </c>
      <c r="E12207" t="s">
        <v>559</v>
      </c>
      <c r="F12207" t="s">
        <v>1068</v>
      </c>
      <c r="G12207" t="s">
        <v>1080</v>
      </c>
      <c r="H12207" s="171" t="s">
        <v>6977</v>
      </c>
      <c r="I12207" t="s">
        <v>1082</v>
      </c>
      <c r="J12207">
        <v>10.57</v>
      </c>
    </row>
    <row r="12208" spans="1:10" hidden="1">
      <c r="A12208" t="s">
        <v>7035</v>
      </c>
      <c r="B12208" t="s">
        <v>7036</v>
      </c>
      <c r="C12208" t="s">
        <v>6839</v>
      </c>
      <c r="D12208" t="s">
        <v>5273</v>
      </c>
      <c r="E12208" t="s">
        <v>559</v>
      </c>
      <c r="F12208" t="s">
        <v>1068</v>
      </c>
      <c r="G12208" t="s">
        <v>1083</v>
      </c>
      <c r="H12208" s="171" t="s">
        <v>7039</v>
      </c>
      <c r="I12208" t="s">
        <v>1084</v>
      </c>
      <c r="J12208">
        <v>10.57</v>
      </c>
    </row>
    <row r="12209" spans="1:10" hidden="1">
      <c r="A12209" t="s">
        <v>7035</v>
      </c>
      <c r="B12209" t="s">
        <v>7036</v>
      </c>
      <c r="C12209" t="s">
        <v>6839</v>
      </c>
      <c r="D12209" t="s">
        <v>5273</v>
      </c>
      <c r="E12209" t="s">
        <v>559</v>
      </c>
      <c r="F12209" t="s">
        <v>1068</v>
      </c>
      <c r="G12209" t="s">
        <v>1085</v>
      </c>
      <c r="H12209" s="171" t="s">
        <v>7040</v>
      </c>
      <c r="I12209" t="s">
        <v>1086</v>
      </c>
      <c r="J12209">
        <v>10.57</v>
      </c>
    </row>
    <row r="12210" spans="1:10" hidden="1">
      <c r="A12210" t="s">
        <v>7035</v>
      </c>
      <c r="B12210" t="s">
        <v>7036</v>
      </c>
      <c r="C12210" t="s">
        <v>6839</v>
      </c>
      <c r="D12210" t="s">
        <v>5273</v>
      </c>
      <c r="E12210" t="s">
        <v>559</v>
      </c>
      <c r="F12210" t="s">
        <v>1068</v>
      </c>
      <c r="G12210" t="s">
        <v>1087</v>
      </c>
      <c r="H12210" s="171" t="s">
        <v>7041</v>
      </c>
      <c r="I12210" t="s">
        <v>1088</v>
      </c>
      <c r="J12210">
        <v>10.57</v>
      </c>
    </row>
    <row r="12211" spans="1:10" hidden="1">
      <c r="A12211" t="s">
        <v>7035</v>
      </c>
      <c r="B12211" t="s">
        <v>7036</v>
      </c>
      <c r="C12211" t="s">
        <v>6839</v>
      </c>
      <c r="D12211" t="s">
        <v>5273</v>
      </c>
      <c r="E12211" t="s">
        <v>559</v>
      </c>
      <c r="F12211" t="s">
        <v>1068</v>
      </c>
      <c r="G12211" t="s">
        <v>1089</v>
      </c>
      <c r="H12211" s="171" t="s">
        <v>7042</v>
      </c>
      <c r="I12211" t="s">
        <v>1090</v>
      </c>
      <c r="J12211">
        <v>10.57</v>
      </c>
    </row>
    <row r="12212" spans="1:10" hidden="1">
      <c r="A12212" t="s">
        <v>7043</v>
      </c>
      <c r="B12212" t="s">
        <v>7044</v>
      </c>
      <c r="C12212" t="s">
        <v>6839</v>
      </c>
      <c r="D12212" t="s">
        <v>5273</v>
      </c>
      <c r="E12212" t="s">
        <v>560</v>
      </c>
      <c r="F12212" t="s">
        <v>1068</v>
      </c>
      <c r="G12212" t="s">
        <v>1069</v>
      </c>
      <c r="H12212">
        <v>6.8877141431142999E-2</v>
      </c>
      <c r="I12212" t="s">
        <v>1070</v>
      </c>
      <c r="J12212">
        <v>9.42</v>
      </c>
    </row>
    <row r="12213" spans="1:10" hidden="1">
      <c r="A12213" t="s">
        <v>7043</v>
      </c>
      <c r="B12213" t="s">
        <v>7044</v>
      </c>
      <c r="C12213" t="s">
        <v>6839</v>
      </c>
      <c r="D12213" t="s">
        <v>5273</v>
      </c>
      <c r="E12213" t="s">
        <v>560</v>
      </c>
      <c r="F12213" t="s">
        <v>1068</v>
      </c>
      <c r="G12213" t="s">
        <v>1071</v>
      </c>
      <c r="H12213" s="171" t="s">
        <v>7045</v>
      </c>
      <c r="I12213" t="s">
        <v>1072</v>
      </c>
      <c r="J12213">
        <v>9.42</v>
      </c>
    </row>
    <row r="12214" spans="1:10" hidden="1">
      <c r="A12214" t="s">
        <v>7043</v>
      </c>
      <c r="B12214" t="s">
        <v>7044</v>
      </c>
      <c r="C12214" t="s">
        <v>6839</v>
      </c>
      <c r="D12214" t="s">
        <v>5273</v>
      </c>
      <c r="E12214" t="s">
        <v>560</v>
      </c>
      <c r="F12214" t="s">
        <v>1068</v>
      </c>
      <c r="G12214" t="s">
        <v>1073</v>
      </c>
      <c r="H12214" s="171" t="s">
        <v>7046</v>
      </c>
      <c r="I12214" t="s">
        <v>1074</v>
      </c>
      <c r="J12214">
        <v>9.42</v>
      </c>
    </row>
    <row r="12215" spans="1:10" hidden="1">
      <c r="A12215" t="s">
        <v>7043</v>
      </c>
      <c r="B12215" t="s">
        <v>7044</v>
      </c>
      <c r="C12215" t="s">
        <v>6839</v>
      </c>
      <c r="D12215" t="s">
        <v>5273</v>
      </c>
      <c r="E12215" t="s">
        <v>560</v>
      </c>
      <c r="F12215" t="s">
        <v>1068</v>
      </c>
      <c r="G12215" t="s">
        <v>1075</v>
      </c>
      <c r="H12215">
        <v>3.0616484079234599E-3</v>
      </c>
      <c r="I12215" t="s">
        <v>1077</v>
      </c>
      <c r="J12215">
        <v>9.42</v>
      </c>
    </row>
    <row r="12216" spans="1:10" hidden="1">
      <c r="A12216" t="s">
        <v>7043</v>
      </c>
      <c r="B12216" t="s">
        <v>7044</v>
      </c>
      <c r="C12216" t="s">
        <v>6839</v>
      </c>
      <c r="D12216" t="s">
        <v>5273</v>
      </c>
      <c r="E12216" t="s">
        <v>560</v>
      </c>
      <c r="F12216" t="s">
        <v>1068</v>
      </c>
      <c r="G12216" t="s">
        <v>1078</v>
      </c>
      <c r="H12216">
        <v>-5.2271967674726499E-2</v>
      </c>
      <c r="I12216" t="s">
        <v>1079</v>
      </c>
      <c r="J12216">
        <v>9.42</v>
      </c>
    </row>
    <row r="12217" spans="1:10" hidden="1">
      <c r="A12217" t="s">
        <v>7043</v>
      </c>
      <c r="B12217" t="s">
        <v>7044</v>
      </c>
      <c r="C12217" t="s">
        <v>6839</v>
      </c>
      <c r="D12217" t="s">
        <v>5273</v>
      </c>
      <c r="E12217" t="s">
        <v>560</v>
      </c>
      <c r="F12217" t="s">
        <v>1068</v>
      </c>
      <c r="G12217" t="s">
        <v>1080</v>
      </c>
      <c r="H12217" s="171" t="s">
        <v>7047</v>
      </c>
      <c r="I12217" t="s">
        <v>1082</v>
      </c>
      <c r="J12217">
        <v>9.42</v>
      </c>
    </row>
    <row r="12218" spans="1:10" hidden="1">
      <c r="A12218" t="s">
        <v>7043</v>
      </c>
      <c r="B12218" t="s">
        <v>7044</v>
      </c>
      <c r="C12218" t="s">
        <v>6839</v>
      </c>
      <c r="D12218" t="s">
        <v>5273</v>
      </c>
      <c r="E12218" t="s">
        <v>560</v>
      </c>
      <c r="F12218" t="s">
        <v>1068</v>
      </c>
      <c r="G12218" t="s">
        <v>1083</v>
      </c>
      <c r="H12218" s="171" t="s">
        <v>6987</v>
      </c>
      <c r="I12218" t="s">
        <v>1084</v>
      </c>
      <c r="J12218">
        <v>9.42</v>
      </c>
    </row>
    <row r="12219" spans="1:10" hidden="1">
      <c r="A12219" t="s">
        <v>7043</v>
      </c>
      <c r="B12219" t="s">
        <v>7044</v>
      </c>
      <c r="C12219" t="s">
        <v>6839</v>
      </c>
      <c r="D12219" t="s">
        <v>5273</v>
      </c>
      <c r="E12219" t="s">
        <v>560</v>
      </c>
      <c r="F12219" t="s">
        <v>1068</v>
      </c>
      <c r="G12219" t="s">
        <v>1085</v>
      </c>
      <c r="H12219" s="171" t="s">
        <v>6988</v>
      </c>
      <c r="I12219" t="s">
        <v>1086</v>
      </c>
      <c r="J12219">
        <v>9.42</v>
      </c>
    </row>
    <row r="12220" spans="1:10" hidden="1">
      <c r="A12220" t="s">
        <v>7043</v>
      </c>
      <c r="B12220" t="s">
        <v>7044</v>
      </c>
      <c r="C12220" t="s">
        <v>6839</v>
      </c>
      <c r="D12220" t="s">
        <v>5273</v>
      </c>
      <c r="E12220" t="s">
        <v>560</v>
      </c>
      <c r="F12220" t="s">
        <v>1068</v>
      </c>
      <c r="G12220" t="s">
        <v>1087</v>
      </c>
      <c r="H12220" s="171" t="s">
        <v>6989</v>
      </c>
      <c r="I12220" t="s">
        <v>1088</v>
      </c>
      <c r="J12220">
        <v>9.42</v>
      </c>
    </row>
    <row r="12221" spans="1:10" hidden="1">
      <c r="A12221" t="s">
        <v>7043</v>
      </c>
      <c r="B12221" t="s">
        <v>7044</v>
      </c>
      <c r="C12221" t="s">
        <v>6839</v>
      </c>
      <c r="D12221" t="s">
        <v>5273</v>
      </c>
      <c r="E12221" t="s">
        <v>560</v>
      </c>
      <c r="F12221" t="s">
        <v>1068</v>
      </c>
      <c r="G12221" t="s">
        <v>1089</v>
      </c>
      <c r="H12221" s="171" t="s">
        <v>6990</v>
      </c>
      <c r="I12221" t="s">
        <v>1090</v>
      </c>
      <c r="J12221">
        <v>9.42</v>
      </c>
    </row>
    <row r="12222" spans="1:10" hidden="1">
      <c r="A12222" t="s">
        <v>7048</v>
      </c>
      <c r="B12222" t="s">
        <v>7049</v>
      </c>
      <c r="C12222" t="s">
        <v>6839</v>
      </c>
      <c r="D12222" t="s">
        <v>5273</v>
      </c>
      <c r="E12222" t="s">
        <v>1116</v>
      </c>
      <c r="F12222" t="s">
        <v>1068</v>
      </c>
      <c r="G12222" t="s">
        <v>1069</v>
      </c>
      <c r="H12222">
        <v>7.1932577448191107E-2</v>
      </c>
      <c r="I12222" t="s">
        <v>1070</v>
      </c>
      <c r="J12222">
        <v>8.67</v>
      </c>
    </row>
    <row r="12223" spans="1:10" hidden="1">
      <c r="A12223" t="s">
        <v>7048</v>
      </c>
      <c r="B12223" t="s">
        <v>7049</v>
      </c>
      <c r="C12223" t="s">
        <v>6839</v>
      </c>
      <c r="D12223" t="s">
        <v>5273</v>
      </c>
      <c r="E12223" t="s">
        <v>1116</v>
      </c>
      <c r="F12223" t="s">
        <v>1068</v>
      </c>
      <c r="G12223" t="s">
        <v>1071</v>
      </c>
      <c r="H12223" s="171" t="s">
        <v>7050</v>
      </c>
      <c r="I12223" t="s">
        <v>1072</v>
      </c>
      <c r="J12223">
        <v>8.67</v>
      </c>
    </row>
    <row r="12224" spans="1:10" hidden="1">
      <c r="A12224" t="s">
        <v>7048</v>
      </c>
      <c r="B12224" t="s">
        <v>7049</v>
      </c>
      <c r="C12224" t="s">
        <v>6839</v>
      </c>
      <c r="D12224" t="s">
        <v>5273</v>
      </c>
      <c r="E12224" t="s">
        <v>1116</v>
      </c>
      <c r="F12224" t="s">
        <v>1068</v>
      </c>
      <c r="G12224" t="s">
        <v>1073</v>
      </c>
      <c r="H12224" s="171" t="s">
        <v>7051</v>
      </c>
      <c r="I12224" t="s">
        <v>1074</v>
      </c>
      <c r="J12224">
        <v>8.67</v>
      </c>
    </row>
    <row r="12225" spans="1:10" hidden="1">
      <c r="A12225" t="s">
        <v>7048</v>
      </c>
      <c r="B12225" t="s">
        <v>7049</v>
      </c>
      <c r="C12225" t="s">
        <v>6839</v>
      </c>
      <c r="D12225" t="s">
        <v>5273</v>
      </c>
      <c r="E12225" t="s">
        <v>1116</v>
      </c>
      <c r="F12225" t="s">
        <v>1068</v>
      </c>
      <c r="G12225" t="s">
        <v>1075</v>
      </c>
      <c r="H12225">
        <v>3.15823400445137E-3</v>
      </c>
      <c r="I12225" t="s">
        <v>1077</v>
      </c>
      <c r="J12225">
        <v>8.67</v>
      </c>
    </row>
    <row r="12226" spans="1:10" hidden="1">
      <c r="A12226" t="s">
        <v>7048</v>
      </c>
      <c r="B12226" t="s">
        <v>7049</v>
      </c>
      <c r="C12226" t="s">
        <v>6839</v>
      </c>
      <c r="D12226" t="s">
        <v>5273</v>
      </c>
      <c r="E12226" t="s">
        <v>1116</v>
      </c>
      <c r="F12226" t="s">
        <v>1068</v>
      </c>
      <c r="G12226" t="s">
        <v>1078</v>
      </c>
      <c r="H12226">
        <v>-4.8095233912153298E-2</v>
      </c>
      <c r="I12226" t="s">
        <v>1079</v>
      </c>
      <c r="J12226">
        <v>8.67</v>
      </c>
    </row>
    <row r="12227" spans="1:10" hidden="1">
      <c r="A12227" t="s">
        <v>7048</v>
      </c>
      <c r="B12227" t="s">
        <v>7049</v>
      </c>
      <c r="C12227" t="s">
        <v>6839</v>
      </c>
      <c r="D12227" t="s">
        <v>5273</v>
      </c>
      <c r="E12227" t="s">
        <v>1116</v>
      </c>
      <c r="F12227" t="s">
        <v>1068</v>
      </c>
      <c r="G12227" t="s">
        <v>1080</v>
      </c>
      <c r="H12227" s="171" t="s">
        <v>6995</v>
      </c>
      <c r="I12227" t="s">
        <v>1082</v>
      </c>
      <c r="J12227">
        <v>8.67</v>
      </c>
    </row>
    <row r="12228" spans="1:10" hidden="1">
      <c r="A12228" t="s">
        <v>7048</v>
      </c>
      <c r="B12228" t="s">
        <v>7049</v>
      </c>
      <c r="C12228" t="s">
        <v>6839</v>
      </c>
      <c r="D12228" t="s">
        <v>5273</v>
      </c>
      <c r="E12228" t="s">
        <v>1116</v>
      </c>
      <c r="F12228" t="s">
        <v>1068</v>
      </c>
      <c r="G12228" t="s">
        <v>1083</v>
      </c>
      <c r="H12228" s="171" t="s">
        <v>6996</v>
      </c>
      <c r="I12228" t="s">
        <v>1084</v>
      </c>
      <c r="J12228">
        <v>8.67</v>
      </c>
    </row>
    <row r="12229" spans="1:10" hidden="1">
      <c r="A12229" t="s">
        <v>7048</v>
      </c>
      <c r="B12229" t="s">
        <v>7049</v>
      </c>
      <c r="C12229" t="s">
        <v>6839</v>
      </c>
      <c r="D12229" t="s">
        <v>5273</v>
      </c>
      <c r="E12229" t="s">
        <v>1116</v>
      </c>
      <c r="F12229" t="s">
        <v>1068</v>
      </c>
      <c r="G12229" t="s">
        <v>1085</v>
      </c>
      <c r="H12229" s="171" t="s">
        <v>6997</v>
      </c>
      <c r="I12229" t="s">
        <v>1086</v>
      </c>
      <c r="J12229">
        <v>8.67</v>
      </c>
    </row>
    <row r="12230" spans="1:10" hidden="1">
      <c r="A12230" t="s">
        <v>7048</v>
      </c>
      <c r="B12230" t="s">
        <v>7049</v>
      </c>
      <c r="C12230" t="s">
        <v>6839</v>
      </c>
      <c r="D12230" t="s">
        <v>5273</v>
      </c>
      <c r="E12230" t="s">
        <v>1116</v>
      </c>
      <c r="F12230" t="s">
        <v>1068</v>
      </c>
      <c r="G12230" t="s">
        <v>1087</v>
      </c>
      <c r="H12230" s="171" t="s">
        <v>6998</v>
      </c>
      <c r="I12230" t="s">
        <v>1088</v>
      </c>
      <c r="J12230">
        <v>8.67</v>
      </c>
    </row>
    <row r="12231" spans="1:10" hidden="1">
      <c r="A12231" t="s">
        <v>7048</v>
      </c>
      <c r="B12231" t="s">
        <v>7049</v>
      </c>
      <c r="C12231" t="s">
        <v>6839</v>
      </c>
      <c r="D12231" t="s">
        <v>5273</v>
      </c>
      <c r="E12231" t="s">
        <v>1116</v>
      </c>
      <c r="F12231" t="s">
        <v>1068</v>
      </c>
      <c r="G12231" t="s">
        <v>1089</v>
      </c>
      <c r="H12231" s="171" t="s">
        <v>6999</v>
      </c>
      <c r="I12231" t="s">
        <v>1090</v>
      </c>
      <c r="J12231">
        <v>8.67</v>
      </c>
    </row>
    <row r="12232" spans="1:10" hidden="1">
      <c r="A12232" t="s">
        <v>7052</v>
      </c>
      <c r="B12232" t="s">
        <v>7053</v>
      </c>
      <c r="C12232" t="s">
        <v>6839</v>
      </c>
      <c r="D12232" t="s">
        <v>5352</v>
      </c>
      <c r="E12232" t="s">
        <v>561</v>
      </c>
      <c r="F12232" t="s">
        <v>1068</v>
      </c>
      <c r="G12232" t="s">
        <v>1069</v>
      </c>
      <c r="H12232">
        <v>7.1314415337161999E-2</v>
      </c>
      <c r="I12232" t="s">
        <v>1070</v>
      </c>
      <c r="J12232">
        <v>9.0500000000000007</v>
      </c>
    </row>
    <row r="12233" spans="1:10" hidden="1">
      <c r="A12233" t="s">
        <v>7052</v>
      </c>
      <c r="B12233" t="s">
        <v>7053</v>
      </c>
      <c r="C12233" t="s">
        <v>6839</v>
      </c>
      <c r="D12233" t="s">
        <v>5352</v>
      </c>
      <c r="E12233" t="s">
        <v>561</v>
      </c>
      <c r="F12233" t="s">
        <v>1068</v>
      </c>
      <c r="G12233" t="s">
        <v>1071</v>
      </c>
      <c r="H12233" s="171" t="s">
        <v>7002</v>
      </c>
      <c r="I12233" t="s">
        <v>1072</v>
      </c>
      <c r="J12233">
        <v>9.0500000000000007</v>
      </c>
    </row>
    <row r="12234" spans="1:10" hidden="1">
      <c r="A12234" t="s">
        <v>7052</v>
      </c>
      <c r="B12234" t="s">
        <v>7053</v>
      </c>
      <c r="C12234" t="s">
        <v>6839</v>
      </c>
      <c r="D12234" t="s">
        <v>5352</v>
      </c>
      <c r="E12234" t="s">
        <v>561</v>
      </c>
      <c r="F12234" t="s">
        <v>1068</v>
      </c>
      <c r="G12234" t="s">
        <v>1073</v>
      </c>
      <c r="H12234" s="171" t="s">
        <v>7003</v>
      </c>
      <c r="I12234" t="s">
        <v>1074</v>
      </c>
      <c r="J12234">
        <v>9.0500000000000007</v>
      </c>
    </row>
    <row r="12235" spans="1:10" hidden="1">
      <c r="A12235" t="s">
        <v>7052</v>
      </c>
      <c r="B12235" t="s">
        <v>7053</v>
      </c>
      <c r="C12235" t="s">
        <v>6839</v>
      </c>
      <c r="D12235" t="s">
        <v>5352</v>
      </c>
      <c r="E12235" t="s">
        <v>561</v>
      </c>
      <c r="F12235" t="s">
        <v>1068</v>
      </c>
      <c r="G12235" t="s">
        <v>1075</v>
      </c>
      <c r="H12235">
        <v>3.1386932397581501E-3</v>
      </c>
      <c r="I12235" t="s">
        <v>1077</v>
      </c>
      <c r="J12235">
        <v>9.0500000000000007</v>
      </c>
    </row>
    <row r="12236" spans="1:10" hidden="1">
      <c r="A12236" t="s">
        <v>7052</v>
      </c>
      <c r="B12236" t="s">
        <v>7053</v>
      </c>
      <c r="C12236" t="s">
        <v>6839</v>
      </c>
      <c r="D12236" t="s">
        <v>5352</v>
      </c>
      <c r="E12236" t="s">
        <v>561</v>
      </c>
      <c r="F12236" t="s">
        <v>1068</v>
      </c>
      <c r="G12236" t="s">
        <v>1078</v>
      </c>
      <c r="H12236">
        <v>-4.8940251953922799E-2</v>
      </c>
      <c r="I12236" t="s">
        <v>1079</v>
      </c>
      <c r="J12236">
        <v>9.0500000000000007</v>
      </c>
    </row>
    <row r="12237" spans="1:10" hidden="1">
      <c r="A12237" t="s">
        <v>7052</v>
      </c>
      <c r="B12237" t="s">
        <v>7053</v>
      </c>
      <c r="C12237" t="s">
        <v>6839</v>
      </c>
      <c r="D12237" t="s">
        <v>5352</v>
      </c>
      <c r="E12237" t="s">
        <v>561</v>
      </c>
      <c r="F12237" t="s">
        <v>1068</v>
      </c>
      <c r="G12237" t="s">
        <v>1080</v>
      </c>
      <c r="H12237" s="171" t="s">
        <v>6924</v>
      </c>
      <c r="I12237" t="s">
        <v>1082</v>
      </c>
      <c r="J12237">
        <v>9.0500000000000007</v>
      </c>
    </row>
    <row r="12238" spans="1:10" hidden="1">
      <c r="A12238" t="s">
        <v>7052</v>
      </c>
      <c r="B12238" t="s">
        <v>7053</v>
      </c>
      <c r="C12238" t="s">
        <v>6839</v>
      </c>
      <c r="D12238" t="s">
        <v>5352</v>
      </c>
      <c r="E12238" t="s">
        <v>561</v>
      </c>
      <c r="F12238" t="s">
        <v>1068</v>
      </c>
      <c r="G12238" t="s">
        <v>1083</v>
      </c>
      <c r="H12238" s="171" t="s">
        <v>7054</v>
      </c>
      <c r="I12238" t="s">
        <v>1084</v>
      </c>
      <c r="J12238">
        <v>9.0500000000000007</v>
      </c>
    </row>
    <row r="12239" spans="1:10" hidden="1">
      <c r="A12239" t="s">
        <v>7052</v>
      </c>
      <c r="B12239" t="s">
        <v>7053</v>
      </c>
      <c r="C12239" t="s">
        <v>6839</v>
      </c>
      <c r="D12239" t="s">
        <v>5352</v>
      </c>
      <c r="E12239" t="s">
        <v>561</v>
      </c>
      <c r="F12239" t="s">
        <v>1068</v>
      </c>
      <c r="G12239" t="s">
        <v>1085</v>
      </c>
      <c r="H12239" s="171" t="s">
        <v>6926</v>
      </c>
      <c r="I12239" t="s">
        <v>1086</v>
      </c>
      <c r="J12239">
        <v>9.0500000000000007</v>
      </c>
    </row>
    <row r="12240" spans="1:10" hidden="1">
      <c r="A12240" t="s">
        <v>7052</v>
      </c>
      <c r="B12240" t="s">
        <v>7053</v>
      </c>
      <c r="C12240" t="s">
        <v>6839</v>
      </c>
      <c r="D12240" t="s">
        <v>5352</v>
      </c>
      <c r="E12240" t="s">
        <v>561</v>
      </c>
      <c r="F12240" t="s">
        <v>1068</v>
      </c>
      <c r="G12240" t="s">
        <v>1087</v>
      </c>
      <c r="H12240" s="171" t="s">
        <v>6927</v>
      </c>
      <c r="I12240" t="s">
        <v>1088</v>
      </c>
      <c r="J12240">
        <v>9.0500000000000007</v>
      </c>
    </row>
    <row r="12241" spans="1:10" hidden="1">
      <c r="A12241" t="s">
        <v>7052</v>
      </c>
      <c r="B12241" t="s">
        <v>7053</v>
      </c>
      <c r="C12241" t="s">
        <v>6839</v>
      </c>
      <c r="D12241" t="s">
        <v>5352</v>
      </c>
      <c r="E12241" t="s">
        <v>561</v>
      </c>
      <c r="F12241" t="s">
        <v>1068</v>
      </c>
      <c r="G12241" t="s">
        <v>1089</v>
      </c>
      <c r="H12241" s="171" t="s">
        <v>6928</v>
      </c>
      <c r="I12241" t="s">
        <v>1090</v>
      </c>
      <c r="J12241">
        <v>9.0500000000000007</v>
      </c>
    </row>
    <row r="12242" spans="1:10" hidden="1">
      <c r="A12242" t="s">
        <v>7055</v>
      </c>
      <c r="B12242" t="s">
        <v>7056</v>
      </c>
      <c r="C12242" t="s">
        <v>6839</v>
      </c>
      <c r="D12242" t="s">
        <v>5352</v>
      </c>
      <c r="E12242" t="s">
        <v>555</v>
      </c>
      <c r="F12242" t="s">
        <v>1068</v>
      </c>
      <c r="G12242" t="s">
        <v>1069</v>
      </c>
      <c r="H12242">
        <v>6.6009768080824302E-2</v>
      </c>
      <c r="I12242" t="s">
        <v>1070</v>
      </c>
      <c r="J12242">
        <v>9.68</v>
      </c>
    </row>
    <row r="12243" spans="1:10" hidden="1">
      <c r="A12243" t="s">
        <v>7055</v>
      </c>
      <c r="B12243" t="s">
        <v>7056</v>
      </c>
      <c r="C12243" t="s">
        <v>6839</v>
      </c>
      <c r="D12243" t="s">
        <v>5352</v>
      </c>
      <c r="E12243" t="s">
        <v>555</v>
      </c>
      <c r="F12243" t="s">
        <v>1068</v>
      </c>
      <c r="G12243" t="s">
        <v>1071</v>
      </c>
      <c r="H12243" s="171" t="s">
        <v>7007</v>
      </c>
      <c r="I12243" t="s">
        <v>1072</v>
      </c>
      <c r="J12243">
        <v>9.68</v>
      </c>
    </row>
    <row r="12244" spans="1:10" hidden="1">
      <c r="A12244" t="s">
        <v>7055</v>
      </c>
      <c r="B12244" t="s">
        <v>7056</v>
      </c>
      <c r="C12244" t="s">
        <v>6839</v>
      </c>
      <c r="D12244" t="s">
        <v>5352</v>
      </c>
      <c r="E12244" t="s">
        <v>555</v>
      </c>
      <c r="F12244" t="s">
        <v>1068</v>
      </c>
      <c r="G12244" t="s">
        <v>1073</v>
      </c>
      <c r="H12244" s="171" t="s">
        <v>7008</v>
      </c>
      <c r="I12244" t="s">
        <v>1074</v>
      </c>
      <c r="J12244">
        <v>9.68</v>
      </c>
    </row>
    <row r="12245" spans="1:10" hidden="1">
      <c r="A12245" t="s">
        <v>7055</v>
      </c>
      <c r="B12245" t="s">
        <v>7056</v>
      </c>
      <c r="C12245" t="s">
        <v>6839</v>
      </c>
      <c r="D12245" t="s">
        <v>5352</v>
      </c>
      <c r="E12245" t="s">
        <v>555</v>
      </c>
      <c r="F12245" t="s">
        <v>1068</v>
      </c>
      <c r="G12245" t="s">
        <v>1075</v>
      </c>
      <c r="H12245">
        <v>2.98936315502973E-3</v>
      </c>
      <c r="I12245" t="s">
        <v>1077</v>
      </c>
      <c r="J12245">
        <v>9.68</v>
      </c>
    </row>
    <row r="12246" spans="1:10" hidden="1">
      <c r="A12246" t="s">
        <v>7055</v>
      </c>
      <c r="B12246" t="s">
        <v>7056</v>
      </c>
      <c r="C12246" t="s">
        <v>6839</v>
      </c>
      <c r="D12246" t="s">
        <v>5352</v>
      </c>
      <c r="E12246" t="s">
        <v>555</v>
      </c>
      <c r="F12246" t="s">
        <v>1068</v>
      </c>
      <c r="G12246" t="s">
        <v>1078</v>
      </c>
      <c r="H12246">
        <v>-4.8378005974929202E-2</v>
      </c>
      <c r="I12246" t="s">
        <v>1079</v>
      </c>
      <c r="J12246">
        <v>9.68</v>
      </c>
    </row>
    <row r="12247" spans="1:10" hidden="1">
      <c r="A12247" t="s">
        <v>7055</v>
      </c>
      <c r="B12247" t="s">
        <v>7056</v>
      </c>
      <c r="C12247" t="s">
        <v>6839</v>
      </c>
      <c r="D12247" t="s">
        <v>5352</v>
      </c>
      <c r="E12247" t="s">
        <v>555</v>
      </c>
      <c r="F12247" t="s">
        <v>1068</v>
      </c>
      <c r="G12247" t="s">
        <v>1080</v>
      </c>
      <c r="H12247" s="171" t="s">
        <v>6933</v>
      </c>
      <c r="I12247" t="s">
        <v>1082</v>
      </c>
      <c r="J12247">
        <v>9.68</v>
      </c>
    </row>
    <row r="12248" spans="1:10" hidden="1">
      <c r="A12248" t="s">
        <v>7055</v>
      </c>
      <c r="B12248" t="s">
        <v>7056</v>
      </c>
      <c r="C12248" t="s">
        <v>6839</v>
      </c>
      <c r="D12248" t="s">
        <v>5352</v>
      </c>
      <c r="E12248" t="s">
        <v>555</v>
      </c>
      <c r="F12248" t="s">
        <v>1068</v>
      </c>
      <c r="G12248" t="s">
        <v>1083</v>
      </c>
      <c r="H12248" s="170">
        <v>-1.03882161292122E-7</v>
      </c>
      <c r="I12248" t="s">
        <v>1084</v>
      </c>
      <c r="J12248">
        <v>9.68</v>
      </c>
    </row>
    <row r="12249" spans="1:10" hidden="1">
      <c r="A12249" t="s">
        <v>7055</v>
      </c>
      <c r="B12249" t="s">
        <v>7056</v>
      </c>
      <c r="C12249" t="s">
        <v>6839</v>
      </c>
      <c r="D12249" t="s">
        <v>5352</v>
      </c>
      <c r="E12249" t="s">
        <v>555</v>
      </c>
      <c r="F12249" t="s">
        <v>1068</v>
      </c>
      <c r="G12249" t="s">
        <v>1085</v>
      </c>
      <c r="H12249" s="171" t="s">
        <v>7057</v>
      </c>
      <c r="I12249" t="s">
        <v>1086</v>
      </c>
      <c r="J12249">
        <v>9.68</v>
      </c>
    </row>
    <row r="12250" spans="1:10" hidden="1">
      <c r="A12250" t="s">
        <v>7055</v>
      </c>
      <c r="B12250" t="s">
        <v>7056</v>
      </c>
      <c r="C12250" t="s">
        <v>6839</v>
      </c>
      <c r="D12250" t="s">
        <v>5352</v>
      </c>
      <c r="E12250" t="s">
        <v>555</v>
      </c>
      <c r="F12250" t="s">
        <v>1068</v>
      </c>
      <c r="G12250" t="s">
        <v>1087</v>
      </c>
      <c r="H12250" s="171" t="s">
        <v>7009</v>
      </c>
      <c r="I12250" t="s">
        <v>1088</v>
      </c>
      <c r="J12250">
        <v>9.68</v>
      </c>
    </row>
    <row r="12251" spans="1:10" hidden="1">
      <c r="A12251" t="s">
        <v>7055</v>
      </c>
      <c r="B12251" t="s">
        <v>7056</v>
      </c>
      <c r="C12251" t="s">
        <v>6839</v>
      </c>
      <c r="D12251" t="s">
        <v>5352</v>
      </c>
      <c r="E12251" t="s">
        <v>555</v>
      </c>
      <c r="F12251" t="s">
        <v>1068</v>
      </c>
      <c r="G12251" t="s">
        <v>1089</v>
      </c>
      <c r="H12251" s="171" t="s">
        <v>7058</v>
      </c>
      <c r="I12251" t="s">
        <v>1090</v>
      </c>
      <c r="J12251">
        <v>9.68</v>
      </c>
    </row>
    <row r="12252" spans="1:10" hidden="1">
      <c r="A12252" t="s">
        <v>7059</v>
      </c>
      <c r="B12252" t="s">
        <v>7060</v>
      </c>
      <c r="C12252" t="s">
        <v>6839</v>
      </c>
      <c r="D12252" t="s">
        <v>5352</v>
      </c>
      <c r="E12252" t="s">
        <v>558</v>
      </c>
      <c r="F12252" t="s">
        <v>1068</v>
      </c>
      <c r="G12252" t="s">
        <v>1069</v>
      </c>
      <c r="H12252">
        <v>7.1771404194540506E-2</v>
      </c>
      <c r="I12252" t="s">
        <v>1070</v>
      </c>
      <c r="J12252">
        <v>9.01</v>
      </c>
    </row>
    <row r="12253" spans="1:10" hidden="1">
      <c r="A12253" t="s">
        <v>7059</v>
      </c>
      <c r="B12253" t="s">
        <v>7060</v>
      </c>
      <c r="C12253" t="s">
        <v>6839</v>
      </c>
      <c r="D12253" t="s">
        <v>5352</v>
      </c>
      <c r="E12253" t="s">
        <v>558</v>
      </c>
      <c r="F12253" t="s">
        <v>1068</v>
      </c>
      <c r="G12253" t="s">
        <v>1071</v>
      </c>
      <c r="H12253" s="171" t="s">
        <v>7061</v>
      </c>
      <c r="I12253" t="s">
        <v>1072</v>
      </c>
      <c r="J12253">
        <v>9.01</v>
      </c>
    </row>
    <row r="12254" spans="1:10" hidden="1">
      <c r="A12254" t="s">
        <v>7059</v>
      </c>
      <c r="B12254" t="s">
        <v>7060</v>
      </c>
      <c r="C12254" t="s">
        <v>6839</v>
      </c>
      <c r="D12254" t="s">
        <v>5352</v>
      </c>
      <c r="E12254" t="s">
        <v>558</v>
      </c>
      <c r="F12254" t="s">
        <v>1068</v>
      </c>
      <c r="G12254" t="s">
        <v>1073</v>
      </c>
      <c r="H12254" s="171" t="s">
        <v>7062</v>
      </c>
      <c r="I12254" t="s">
        <v>1074</v>
      </c>
      <c r="J12254">
        <v>9.01</v>
      </c>
    </row>
    <row r="12255" spans="1:10" hidden="1">
      <c r="A12255" t="s">
        <v>7059</v>
      </c>
      <c r="B12255" t="s">
        <v>7060</v>
      </c>
      <c r="C12255" t="s">
        <v>6839</v>
      </c>
      <c r="D12255" t="s">
        <v>5352</v>
      </c>
      <c r="E12255" t="s">
        <v>558</v>
      </c>
      <c r="F12255" t="s">
        <v>1068</v>
      </c>
      <c r="G12255" t="s">
        <v>1075</v>
      </c>
      <c r="H12255">
        <v>3.153139145727E-3</v>
      </c>
      <c r="I12255" t="s">
        <v>1077</v>
      </c>
      <c r="J12255">
        <v>9.01</v>
      </c>
    </row>
    <row r="12256" spans="1:10" hidden="1">
      <c r="A12256" t="s">
        <v>7059</v>
      </c>
      <c r="B12256" t="s">
        <v>7060</v>
      </c>
      <c r="C12256" t="s">
        <v>6839</v>
      </c>
      <c r="D12256" t="s">
        <v>5352</v>
      </c>
      <c r="E12256" t="s">
        <v>558</v>
      </c>
      <c r="F12256" t="s">
        <v>1068</v>
      </c>
      <c r="G12256" t="s">
        <v>1078</v>
      </c>
      <c r="H12256">
        <v>-4.8315555256272298E-2</v>
      </c>
      <c r="I12256" t="s">
        <v>1079</v>
      </c>
      <c r="J12256">
        <v>9.01</v>
      </c>
    </row>
    <row r="12257" spans="1:10" hidden="1">
      <c r="A12257" t="s">
        <v>7059</v>
      </c>
      <c r="B12257" t="s">
        <v>7060</v>
      </c>
      <c r="C12257" t="s">
        <v>6839</v>
      </c>
      <c r="D12257" t="s">
        <v>5352</v>
      </c>
      <c r="E12257" t="s">
        <v>558</v>
      </c>
      <c r="F12257" t="s">
        <v>1068</v>
      </c>
      <c r="G12257" t="s">
        <v>1080</v>
      </c>
      <c r="H12257" s="171" t="s">
        <v>6941</v>
      </c>
      <c r="I12257" t="s">
        <v>1082</v>
      </c>
      <c r="J12257">
        <v>9.01</v>
      </c>
    </row>
    <row r="12258" spans="1:10" hidden="1">
      <c r="A12258" t="s">
        <v>7059</v>
      </c>
      <c r="B12258" t="s">
        <v>7060</v>
      </c>
      <c r="C12258" t="s">
        <v>6839</v>
      </c>
      <c r="D12258" t="s">
        <v>5352</v>
      </c>
      <c r="E12258" t="s">
        <v>558</v>
      </c>
      <c r="F12258" t="s">
        <v>1068</v>
      </c>
      <c r="G12258" t="s">
        <v>1083</v>
      </c>
      <c r="H12258" s="171" t="s">
        <v>6942</v>
      </c>
      <c r="I12258" t="s">
        <v>1084</v>
      </c>
      <c r="J12258">
        <v>9.01</v>
      </c>
    </row>
    <row r="12259" spans="1:10" hidden="1">
      <c r="A12259" t="s">
        <v>7059</v>
      </c>
      <c r="B12259" t="s">
        <v>7060</v>
      </c>
      <c r="C12259" t="s">
        <v>6839</v>
      </c>
      <c r="D12259" t="s">
        <v>5352</v>
      </c>
      <c r="E12259" t="s">
        <v>558</v>
      </c>
      <c r="F12259" t="s">
        <v>1068</v>
      </c>
      <c r="G12259" t="s">
        <v>1085</v>
      </c>
      <c r="H12259" s="171" t="s">
        <v>6943</v>
      </c>
      <c r="I12259" t="s">
        <v>1086</v>
      </c>
      <c r="J12259">
        <v>9.01</v>
      </c>
    </row>
    <row r="12260" spans="1:10" hidden="1">
      <c r="A12260" t="s">
        <v>7059</v>
      </c>
      <c r="B12260" t="s">
        <v>7060</v>
      </c>
      <c r="C12260" t="s">
        <v>6839</v>
      </c>
      <c r="D12260" t="s">
        <v>5352</v>
      </c>
      <c r="E12260" t="s">
        <v>558</v>
      </c>
      <c r="F12260" t="s">
        <v>1068</v>
      </c>
      <c r="G12260" t="s">
        <v>1087</v>
      </c>
      <c r="H12260" s="171" t="s">
        <v>7015</v>
      </c>
      <c r="I12260" t="s">
        <v>1088</v>
      </c>
      <c r="J12260">
        <v>9.01</v>
      </c>
    </row>
    <row r="12261" spans="1:10" hidden="1">
      <c r="A12261" t="s">
        <v>7059</v>
      </c>
      <c r="B12261" t="s">
        <v>7060</v>
      </c>
      <c r="C12261" t="s">
        <v>6839</v>
      </c>
      <c r="D12261" t="s">
        <v>5352</v>
      </c>
      <c r="E12261" t="s">
        <v>558</v>
      </c>
      <c r="F12261" t="s">
        <v>1068</v>
      </c>
      <c r="G12261" t="s">
        <v>1089</v>
      </c>
      <c r="H12261" s="171" t="s">
        <v>6945</v>
      </c>
      <c r="I12261" t="s">
        <v>1090</v>
      </c>
      <c r="J12261">
        <v>9.01</v>
      </c>
    </row>
    <row r="12262" spans="1:10" hidden="1">
      <c r="A12262" t="s">
        <v>7063</v>
      </c>
      <c r="B12262" t="s">
        <v>7064</v>
      </c>
      <c r="C12262" t="s">
        <v>6839</v>
      </c>
      <c r="D12262" t="s">
        <v>5352</v>
      </c>
      <c r="E12262" t="s">
        <v>553</v>
      </c>
      <c r="F12262" t="s">
        <v>1068</v>
      </c>
      <c r="G12262" t="s">
        <v>1069</v>
      </c>
      <c r="H12262">
        <v>7.2095311931727205E-2</v>
      </c>
      <c r="I12262" t="s">
        <v>1070</v>
      </c>
      <c r="J12262">
        <v>8.7100000000000009</v>
      </c>
    </row>
    <row r="12263" spans="1:10" hidden="1">
      <c r="A12263" t="s">
        <v>7063</v>
      </c>
      <c r="B12263" t="s">
        <v>7064</v>
      </c>
      <c r="C12263" t="s">
        <v>6839</v>
      </c>
      <c r="D12263" t="s">
        <v>5352</v>
      </c>
      <c r="E12263" t="s">
        <v>553</v>
      </c>
      <c r="F12263" t="s">
        <v>1068</v>
      </c>
      <c r="G12263" t="s">
        <v>1071</v>
      </c>
      <c r="H12263" s="171" t="s">
        <v>7018</v>
      </c>
      <c r="I12263" t="s">
        <v>1072</v>
      </c>
      <c r="J12263">
        <v>8.7100000000000009</v>
      </c>
    </row>
    <row r="12264" spans="1:10" hidden="1">
      <c r="A12264" t="s">
        <v>7063</v>
      </c>
      <c r="B12264" t="s">
        <v>7064</v>
      </c>
      <c r="C12264" t="s">
        <v>6839</v>
      </c>
      <c r="D12264" t="s">
        <v>5352</v>
      </c>
      <c r="E12264" t="s">
        <v>553</v>
      </c>
      <c r="F12264" t="s">
        <v>1068</v>
      </c>
      <c r="G12264" t="s">
        <v>1073</v>
      </c>
      <c r="H12264" s="171" t="s">
        <v>7019</v>
      </c>
      <c r="I12264" t="s">
        <v>1074</v>
      </c>
      <c r="J12264">
        <v>8.7100000000000009</v>
      </c>
    </row>
    <row r="12265" spans="1:10" hidden="1">
      <c r="A12265" t="s">
        <v>7063</v>
      </c>
      <c r="B12265" t="s">
        <v>7064</v>
      </c>
      <c r="C12265" t="s">
        <v>6839</v>
      </c>
      <c r="D12265" t="s">
        <v>5352</v>
      </c>
      <c r="E12265" t="s">
        <v>553</v>
      </c>
      <c r="F12265" t="s">
        <v>1068</v>
      </c>
      <c r="G12265" t="s">
        <v>1075</v>
      </c>
      <c r="H12265">
        <v>3.1817336971576098E-3</v>
      </c>
      <c r="I12265" t="s">
        <v>1077</v>
      </c>
      <c r="J12265">
        <v>8.7100000000000009</v>
      </c>
    </row>
    <row r="12266" spans="1:10" hidden="1">
      <c r="A12266" t="s">
        <v>7063</v>
      </c>
      <c r="B12266" t="s">
        <v>7064</v>
      </c>
      <c r="C12266" t="s">
        <v>6839</v>
      </c>
      <c r="D12266" t="s">
        <v>5352</v>
      </c>
      <c r="E12266" t="s">
        <v>553</v>
      </c>
      <c r="F12266" t="s">
        <v>1068</v>
      </c>
      <c r="G12266" t="s">
        <v>1078</v>
      </c>
      <c r="H12266">
        <v>-4.0059161684337499E-2</v>
      </c>
      <c r="I12266" t="s">
        <v>1079</v>
      </c>
      <c r="J12266">
        <v>8.7100000000000009</v>
      </c>
    </row>
    <row r="12267" spans="1:10" hidden="1">
      <c r="A12267" t="s">
        <v>7063</v>
      </c>
      <c r="B12267" t="s">
        <v>7064</v>
      </c>
      <c r="C12267" t="s">
        <v>6839</v>
      </c>
      <c r="D12267" t="s">
        <v>5352</v>
      </c>
      <c r="E12267" t="s">
        <v>553</v>
      </c>
      <c r="F12267" t="s">
        <v>1068</v>
      </c>
      <c r="G12267" t="s">
        <v>1080</v>
      </c>
      <c r="H12267" s="171" t="s">
        <v>6950</v>
      </c>
      <c r="I12267" t="s">
        <v>1082</v>
      </c>
      <c r="J12267">
        <v>8.7100000000000009</v>
      </c>
    </row>
    <row r="12268" spans="1:10" hidden="1">
      <c r="A12268" t="s">
        <v>7063</v>
      </c>
      <c r="B12268" t="s">
        <v>7064</v>
      </c>
      <c r="C12268" t="s">
        <v>6839</v>
      </c>
      <c r="D12268" t="s">
        <v>5352</v>
      </c>
      <c r="E12268" t="s">
        <v>553</v>
      </c>
      <c r="F12268" t="s">
        <v>1068</v>
      </c>
      <c r="G12268" t="s">
        <v>1083</v>
      </c>
      <c r="H12268" s="171" t="s">
        <v>7065</v>
      </c>
      <c r="I12268" t="s">
        <v>1084</v>
      </c>
      <c r="J12268">
        <v>8.7100000000000009</v>
      </c>
    </row>
    <row r="12269" spans="1:10" hidden="1">
      <c r="A12269" t="s">
        <v>7063</v>
      </c>
      <c r="B12269" t="s">
        <v>7064</v>
      </c>
      <c r="C12269" t="s">
        <v>6839</v>
      </c>
      <c r="D12269" t="s">
        <v>5352</v>
      </c>
      <c r="E12269" t="s">
        <v>553</v>
      </c>
      <c r="F12269" t="s">
        <v>1068</v>
      </c>
      <c r="G12269" t="s">
        <v>1085</v>
      </c>
      <c r="H12269" s="171" t="s">
        <v>7066</v>
      </c>
      <c r="I12269" t="s">
        <v>1086</v>
      </c>
      <c r="J12269">
        <v>8.7100000000000009</v>
      </c>
    </row>
    <row r="12270" spans="1:10" hidden="1">
      <c r="A12270" t="s">
        <v>7063</v>
      </c>
      <c r="B12270" t="s">
        <v>7064</v>
      </c>
      <c r="C12270" t="s">
        <v>6839</v>
      </c>
      <c r="D12270" t="s">
        <v>5352</v>
      </c>
      <c r="E12270" t="s">
        <v>553</v>
      </c>
      <c r="F12270" t="s">
        <v>1068</v>
      </c>
      <c r="G12270" t="s">
        <v>1087</v>
      </c>
      <c r="H12270" s="171" t="s">
        <v>7022</v>
      </c>
      <c r="I12270" t="s">
        <v>1088</v>
      </c>
      <c r="J12270">
        <v>8.7100000000000009</v>
      </c>
    </row>
    <row r="12271" spans="1:10" hidden="1">
      <c r="A12271" t="s">
        <v>7063</v>
      </c>
      <c r="B12271" t="s">
        <v>7064</v>
      </c>
      <c r="C12271" t="s">
        <v>6839</v>
      </c>
      <c r="D12271" t="s">
        <v>5352</v>
      </c>
      <c r="E12271" t="s">
        <v>553</v>
      </c>
      <c r="F12271" t="s">
        <v>1068</v>
      </c>
      <c r="G12271" t="s">
        <v>1089</v>
      </c>
      <c r="H12271" s="171" t="s">
        <v>7067</v>
      </c>
      <c r="I12271" t="s">
        <v>1090</v>
      </c>
      <c r="J12271">
        <v>8.7100000000000009</v>
      </c>
    </row>
    <row r="12272" spans="1:10" hidden="1">
      <c r="A12272" t="s">
        <v>7068</v>
      </c>
      <c r="B12272" t="s">
        <v>7069</v>
      </c>
      <c r="C12272" t="s">
        <v>6839</v>
      </c>
      <c r="D12272" t="s">
        <v>5352</v>
      </c>
      <c r="E12272" t="s">
        <v>556</v>
      </c>
      <c r="F12272" t="s">
        <v>1068</v>
      </c>
      <c r="G12272" t="s">
        <v>1069</v>
      </c>
      <c r="H12272">
        <v>7.1733759446661605E-2</v>
      </c>
      <c r="I12272" t="s">
        <v>1070</v>
      </c>
      <c r="J12272">
        <v>9.74</v>
      </c>
    </row>
    <row r="12273" spans="1:10" hidden="1">
      <c r="A12273" t="s">
        <v>7068</v>
      </c>
      <c r="B12273" t="s">
        <v>7069</v>
      </c>
      <c r="C12273" t="s">
        <v>6839</v>
      </c>
      <c r="D12273" t="s">
        <v>5352</v>
      </c>
      <c r="E12273" t="s">
        <v>556</v>
      </c>
      <c r="F12273" t="s">
        <v>1068</v>
      </c>
      <c r="G12273" t="s">
        <v>1071</v>
      </c>
      <c r="H12273" s="171" t="s">
        <v>7026</v>
      </c>
      <c r="I12273" t="s">
        <v>1072</v>
      </c>
      <c r="J12273">
        <v>9.74</v>
      </c>
    </row>
    <row r="12274" spans="1:10" hidden="1">
      <c r="A12274" t="s">
        <v>7068</v>
      </c>
      <c r="B12274" t="s">
        <v>7069</v>
      </c>
      <c r="C12274" t="s">
        <v>6839</v>
      </c>
      <c r="D12274" t="s">
        <v>5352</v>
      </c>
      <c r="E12274" t="s">
        <v>556</v>
      </c>
      <c r="F12274" t="s">
        <v>1068</v>
      </c>
      <c r="G12274" t="s">
        <v>1073</v>
      </c>
      <c r="H12274" s="171" t="s">
        <v>7027</v>
      </c>
      <c r="I12274" t="s">
        <v>1074</v>
      </c>
      <c r="J12274">
        <v>9.74</v>
      </c>
    </row>
    <row r="12275" spans="1:10" hidden="1">
      <c r="A12275" t="s">
        <v>7068</v>
      </c>
      <c r="B12275" t="s">
        <v>7069</v>
      </c>
      <c r="C12275" t="s">
        <v>6839</v>
      </c>
      <c r="D12275" t="s">
        <v>5352</v>
      </c>
      <c r="E12275" t="s">
        <v>556</v>
      </c>
      <c r="F12275" t="s">
        <v>1068</v>
      </c>
      <c r="G12275" t="s">
        <v>1075</v>
      </c>
      <c r="H12275">
        <v>3.2388367799153399E-3</v>
      </c>
      <c r="I12275" t="s">
        <v>1077</v>
      </c>
      <c r="J12275">
        <v>9.74</v>
      </c>
    </row>
    <row r="12276" spans="1:10" hidden="1">
      <c r="A12276" t="s">
        <v>7068</v>
      </c>
      <c r="B12276" t="s">
        <v>7069</v>
      </c>
      <c r="C12276" t="s">
        <v>6839</v>
      </c>
      <c r="D12276" t="s">
        <v>5352</v>
      </c>
      <c r="E12276" t="s">
        <v>556</v>
      </c>
      <c r="F12276" t="s">
        <v>1068</v>
      </c>
      <c r="G12276" t="s">
        <v>1078</v>
      </c>
      <c r="H12276">
        <v>-1.1963369679962E-2</v>
      </c>
      <c r="I12276" t="s">
        <v>1079</v>
      </c>
      <c r="J12276">
        <v>9.74</v>
      </c>
    </row>
    <row r="12277" spans="1:10" hidden="1">
      <c r="A12277" t="s">
        <v>7068</v>
      </c>
      <c r="B12277" t="s">
        <v>7069</v>
      </c>
      <c r="C12277" t="s">
        <v>6839</v>
      </c>
      <c r="D12277" t="s">
        <v>5352</v>
      </c>
      <c r="E12277" t="s">
        <v>556</v>
      </c>
      <c r="F12277" t="s">
        <v>1068</v>
      </c>
      <c r="G12277" t="s">
        <v>1080</v>
      </c>
      <c r="H12277" s="171" t="s">
        <v>7070</v>
      </c>
      <c r="I12277" t="s">
        <v>1082</v>
      </c>
      <c r="J12277">
        <v>9.74</v>
      </c>
    </row>
    <row r="12278" spans="1:10" hidden="1">
      <c r="A12278" t="s">
        <v>7068</v>
      </c>
      <c r="B12278" t="s">
        <v>7069</v>
      </c>
      <c r="C12278" t="s">
        <v>6839</v>
      </c>
      <c r="D12278" t="s">
        <v>5352</v>
      </c>
      <c r="E12278" t="s">
        <v>556</v>
      </c>
      <c r="F12278" t="s">
        <v>1068</v>
      </c>
      <c r="G12278" t="s">
        <v>1083</v>
      </c>
      <c r="H12278" s="171" t="s">
        <v>7071</v>
      </c>
      <c r="I12278" t="s">
        <v>1084</v>
      </c>
      <c r="J12278">
        <v>9.74</v>
      </c>
    </row>
    <row r="12279" spans="1:10" hidden="1">
      <c r="A12279" t="s">
        <v>7068</v>
      </c>
      <c r="B12279" t="s">
        <v>7069</v>
      </c>
      <c r="C12279" t="s">
        <v>6839</v>
      </c>
      <c r="D12279" t="s">
        <v>5352</v>
      </c>
      <c r="E12279" t="s">
        <v>556</v>
      </c>
      <c r="F12279" t="s">
        <v>1068</v>
      </c>
      <c r="G12279" t="s">
        <v>1085</v>
      </c>
      <c r="H12279" s="171" t="s">
        <v>7030</v>
      </c>
      <c r="I12279" t="s">
        <v>1086</v>
      </c>
      <c r="J12279">
        <v>9.74</v>
      </c>
    </row>
    <row r="12280" spans="1:10" hidden="1">
      <c r="A12280" t="s">
        <v>7068</v>
      </c>
      <c r="B12280" t="s">
        <v>7069</v>
      </c>
      <c r="C12280" t="s">
        <v>6839</v>
      </c>
      <c r="D12280" t="s">
        <v>5352</v>
      </c>
      <c r="E12280" t="s">
        <v>556</v>
      </c>
      <c r="F12280" t="s">
        <v>1068</v>
      </c>
      <c r="G12280" t="s">
        <v>1087</v>
      </c>
      <c r="H12280" s="171" t="s">
        <v>7072</v>
      </c>
      <c r="I12280" t="s">
        <v>1088</v>
      </c>
      <c r="J12280">
        <v>9.74</v>
      </c>
    </row>
    <row r="12281" spans="1:10" hidden="1">
      <c r="A12281" t="s">
        <v>7068</v>
      </c>
      <c r="B12281" t="s">
        <v>7069</v>
      </c>
      <c r="C12281" t="s">
        <v>6839</v>
      </c>
      <c r="D12281" t="s">
        <v>5352</v>
      </c>
      <c r="E12281" t="s">
        <v>556</v>
      </c>
      <c r="F12281" t="s">
        <v>1068</v>
      </c>
      <c r="G12281" t="s">
        <v>1089</v>
      </c>
      <c r="H12281" s="171" t="s">
        <v>6963</v>
      </c>
      <c r="I12281" t="s">
        <v>1090</v>
      </c>
      <c r="J12281">
        <v>9.74</v>
      </c>
    </row>
    <row r="12282" spans="1:10" hidden="1">
      <c r="A12282" t="s">
        <v>7073</v>
      </c>
      <c r="B12282" t="s">
        <v>7074</v>
      </c>
      <c r="C12282" t="s">
        <v>6839</v>
      </c>
      <c r="D12282" t="s">
        <v>5352</v>
      </c>
      <c r="E12282" t="s">
        <v>557</v>
      </c>
      <c r="F12282" t="s">
        <v>1068</v>
      </c>
      <c r="G12282" t="s">
        <v>1069</v>
      </c>
      <c r="H12282">
        <v>6.9883841522761198E-2</v>
      </c>
      <c r="I12282" t="s">
        <v>1070</v>
      </c>
      <c r="J12282">
        <v>8.91</v>
      </c>
    </row>
    <row r="12283" spans="1:10" hidden="1">
      <c r="A12283" t="s">
        <v>7073</v>
      </c>
      <c r="B12283" t="s">
        <v>7074</v>
      </c>
      <c r="C12283" t="s">
        <v>6839</v>
      </c>
      <c r="D12283" t="s">
        <v>5352</v>
      </c>
      <c r="E12283" t="s">
        <v>557</v>
      </c>
      <c r="F12283" t="s">
        <v>1068</v>
      </c>
      <c r="G12283" t="s">
        <v>1071</v>
      </c>
      <c r="H12283" s="171" t="s">
        <v>7075</v>
      </c>
      <c r="I12283" t="s">
        <v>1072</v>
      </c>
      <c r="J12283">
        <v>8.91</v>
      </c>
    </row>
    <row r="12284" spans="1:10" hidden="1">
      <c r="A12284" t="s">
        <v>7073</v>
      </c>
      <c r="B12284" t="s">
        <v>7074</v>
      </c>
      <c r="C12284" t="s">
        <v>6839</v>
      </c>
      <c r="D12284" t="s">
        <v>5352</v>
      </c>
      <c r="E12284" t="s">
        <v>557</v>
      </c>
      <c r="F12284" t="s">
        <v>1068</v>
      </c>
      <c r="G12284" t="s">
        <v>1073</v>
      </c>
      <c r="H12284" s="171" t="s">
        <v>7076</v>
      </c>
      <c r="I12284" t="s">
        <v>1074</v>
      </c>
      <c r="J12284">
        <v>8.91</v>
      </c>
    </row>
    <row r="12285" spans="1:10" hidden="1">
      <c r="A12285" t="s">
        <v>7073</v>
      </c>
      <c r="B12285" t="s">
        <v>7074</v>
      </c>
      <c r="C12285" t="s">
        <v>6839</v>
      </c>
      <c r="D12285" t="s">
        <v>5352</v>
      </c>
      <c r="E12285" t="s">
        <v>557</v>
      </c>
      <c r="F12285" t="s">
        <v>1068</v>
      </c>
      <c r="G12285" t="s">
        <v>1075</v>
      </c>
      <c r="H12285">
        <v>3.0934712732464402E-3</v>
      </c>
      <c r="I12285" t="s">
        <v>1077</v>
      </c>
      <c r="J12285">
        <v>8.91</v>
      </c>
    </row>
    <row r="12286" spans="1:10" hidden="1">
      <c r="A12286" t="s">
        <v>7073</v>
      </c>
      <c r="B12286" t="s">
        <v>7074</v>
      </c>
      <c r="C12286" t="s">
        <v>6839</v>
      </c>
      <c r="D12286" t="s">
        <v>5352</v>
      </c>
      <c r="E12286" t="s">
        <v>557</v>
      </c>
      <c r="F12286" t="s">
        <v>1068</v>
      </c>
      <c r="G12286" t="s">
        <v>1078</v>
      </c>
      <c r="H12286">
        <v>-5.08958242248293E-2</v>
      </c>
      <c r="I12286" t="s">
        <v>1079</v>
      </c>
      <c r="J12286">
        <v>8.91</v>
      </c>
    </row>
    <row r="12287" spans="1:10" hidden="1">
      <c r="A12287" t="s">
        <v>7073</v>
      </c>
      <c r="B12287" t="s">
        <v>7074</v>
      </c>
      <c r="C12287" t="s">
        <v>6839</v>
      </c>
      <c r="D12287" t="s">
        <v>5352</v>
      </c>
      <c r="E12287" t="s">
        <v>557</v>
      </c>
      <c r="F12287" t="s">
        <v>1068</v>
      </c>
      <c r="G12287" t="s">
        <v>1080</v>
      </c>
      <c r="H12287" s="171" t="s">
        <v>6968</v>
      </c>
      <c r="I12287" t="s">
        <v>1082</v>
      </c>
      <c r="J12287">
        <v>8.91</v>
      </c>
    </row>
    <row r="12288" spans="1:10" hidden="1">
      <c r="A12288" t="s">
        <v>7073</v>
      </c>
      <c r="B12288" t="s">
        <v>7074</v>
      </c>
      <c r="C12288" t="s">
        <v>6839</v>
      </c>
      <c r="D12288" t="s">
        <v>5352</v>
      </c>
      <c r="E12288" t="s">
        <v>557</v>
      </c>
      <c r="F12288" t="s">
        <v>1068</v>
      </c>
      <c r="G12288" t="s">
        <v>1083</v>
      </c>
      <c r="H12288" s="171" t="s">
        <v>7077</v>
      </c>
      <c r="I12288" t="s">
        <v>1084</v>
      </c>
      <c r="J12288">
        <v>8.91</v>
      </c>
    </row>
    <row r="12289" spans="1:10" hidden="1">
      <c r="A12289" t="s">
        <v>7073</v>
      </c>
      <c r="B12289" t="s">
        <v>7074</v>
      </c>
      <c r="C12289" t="s">
        <v>6839</v>
      </c>
      <c r="D12289" t="s">
        <v>5352</v>
      </c>
      <c r="E12289" t="s">
        <v>557</v>
      </c>
      <c r="F12289" t="s">
        <v>1068</v>
      </c>
      <c r="G12289" t="s">
        <v>1085</v>
      </c>
      <c r="H12289" s="171" t="s">
        <v>7078</v>
      </c>
      <c r="I12289" t="s">
        <v>1086</v>
      </c>
      <c r="J12289">
        <v>8.91</v>
      </c>
    </row>
    <row r="12290" spans="1:10" hidden="1">
      <c r="A12290" t="s">
        <v>7073</v>
      </c>
      <c r="B12290" t="s">
        <v>7074</v>
      </c>
      <c r="C12290" t="s">
        <v>6839</v>
      </c>
      <c r="D12290" t="s">
        <v>5352</v>
      </c>
      <c r="E12290" t="s">
        <v>557</v>
      </c>
      <c r="F12290" t="s">
        <v>1068</v>
      </c>
      <c r="G12290" t="s">
        <v>1087</v>
      </c>
      <c r="H12290" s="171" t="s">
        <v>6971</v>
      </c>
      <c r="I12290" t="s">
        <v>1088</v>
      </c>
      <c r="J12290">
        <v>8.91</v>
      </c>
    </row>
    <row r="12291" spans="1:10" hidden="1">
      <c r="A12291" t="s">
        <v>7073</v>
      </c>
      <c r="B12291" t="s">
        <v>7074</v>
      </c>
      <c r="C12291" t="s">
        <v>6839</v>
      </c>
      <c r="D12291" t="s">
        <v>5352</v>
      </c>
      <c r="E12291" t="s">
        <v>557</v>
      </c>
      <c r="F12291" t="s">
        <v>1068</v>
      </c>
      <c r="G12291" t="s">
        <v>1089</v>
      </c>
      <c r="H12291" s="171" t="s">
        <v>7079</v>
      </c>
      <c r="I12291" t="s">
        <v>1090</v>
      </c>
      <c r="J12291">
        <v>8.91</v>
      </c>
    </row>
    <row r="12292" spans="1:10" hidden="1">
      <c r="A12292" t="s">
        <v>7080</v>
      </c>
      <c r="B12292" t="s">
        <v>7081</v>
      </c>
      <c r="C12292" t="s">
        <v>6839</v>
      </c>
      <c r="D12292" t="s">
        <v>5352</v>
      </c>
      <c r="E12292" t="s">
        <v>559</v>
      </c>
      <c r="F12292" t="s">
        <v>1068</v>
      </c>
      <c r="G12292" t="s">
        <v>1069</v>
      </c>
      <c r="H12292">
        <v>6.8220621090327796E-2</v>
      </c>
      <c r="I12292" t="s">
        <v>1070</v>
      </c>
      <c r="J12292">
        <v>9.23</v>
      </c>
    </row>
    <row r="12293" spans="1:10" hidden="1">
      <c r="A12293" t="s">
        <v>7080</v>
      </c>
      <c r="B12293" t="s">
        <v>7081</v>
      </c>
      <c r="C12293" t="s">
        <v>6839</v>
      </c>
      <c r="D12293" t="s">
        <v>5352</v>
      </c>
      <c r="E12293" t="s">
        <v>559</v>
      </c>
      <c r="F12293" t="s">
        <v>1068</v>
      </c>
      <c r="G12293" t="s">
        <v>1071</v>
      </c>
      <c r="H12293" s="171" t="s">
        <v>7082</v>
      </c>
      <c r="I12293" t="s">
        <v>1072</v>
      </c>
      <c r="J12293">
        <v>9.23</v>
      </c>
    </row>
    <row r="12294" spans="1:10" hidden="1">
      <c r="A12294" t="s">
        <v>7080</v>
      </c>
      <c r="B12294" t="s">
        <v>7081</v>
      </c>
      <c r="C12294" t="s">
        <v>6839</v>
      </c>
      <c r="D12294" t="s">
        <v>5352</v>
      </c>
      <c r="E12294" t="s">
        <v>559</v>
      </c>
      <c r="F12294" t="s">
        <v>1068</v>
      </c>
      <c r="G12294" t="s">
        <v>1073</v>
      </c>
      <c r="H12294" s="171" t="s">
        <v>7083</v>
      </c>
      <c r="I12294" t="s">
        <v>1074</v>
      </c>
      <c r="J12294">
        <v>9.23</v>
      </c>
    </row>
    <row r="12295" spans="1:10" hidden="1">
      <c r="A12295" t="s">
        <v>7080</v>
      </c>
      <c r="B12295" t="s">
        <v>7081</v>
      </c>
      <c r="C12295" t="s">
        <v>6839</v>
      </c>
      <c r="D12295" t="s">
        <v>5352</v>
      </c>
      <c r="E12295" t="s">
        <v>559</v>
      </c>
      <c r="F12295" t="s">
        <v>1068</v>
      </c>
      <c r="G12295" t="s">
        <v>1075</v>
      </c>
      <c r="H12295">
        <v>3.0592505804464399E-3</v>
      </c>
      <c r="I12295" t="s">
        <v>1077</v>
      </c>
      <c r="J12295">
        <v>9.23</v>
      </c>
    </row>
    <row r="12296" spans="1:10" hidden="1">
      <c r="A12296" t="s">
        <v>7080</v>
      </c>
      <c r="B12296" t="s">
        <v>7081</v>
      </c>
      <c r="C12296" t="s">
        <v>6839</v>
      </c>
      <c r="D12296" t="s">
        <v>5352</v>
      </c>
      <c r="E12296" t="s">
        <v>559</v>
      </c>
      <c r="F12296" t="s">
        <v>1068</v>
      </c>
      <c r="G12296" t="s">
        <v>1078</v>
      </c>
      <c r="H12296">
        <v>-4.5355804116550699E-2</v>
      </c>
      <c r="I12296" t="s">
        <v>1079</v>
      </c>
      <c r="J12296">
        <v>9.23</v>
      </c>
    </row>
    <row r="12297" spans="1:10" hidden="1">
      <c r="A12297" t="s">
        <v>7080</v>
      </c>
      <c r="B12297" t="s">
        <v>7081</v>
      </c>
      <c r="C12297" t="s">
        <v>6839</v>
      </c>
      <c r="D12297" t="s">
        <v>5352</v>
      </c>
      <c r="E12297" t="s">
        <v>559</v>
      </c>
      <c r="F12297" t="s">
        <v>1068</v>
      </c>
      <c r="G12297" t="s">
        <v>1080</v>
      </c>
      <c r="H12297" s="171" t="s">
        <v>6977</v>
      </c>
      <c r="I12297" t="s">
        <v>1082</v>
      </c>
      <c r="J12297">
        <v>9.23</v>
      </c>
    </row>
    <row r="12298" spans="1:10" hidden="1">
      <c r="A12298" t="s">
        <v>7080</v>
      </c>
      <c r="B12298" t="s">
        <v>7081</v>
      </c>
      <c r="C12298" t="s">
        <v>6839</v>
      </c>
      <c r="D12298" t="s">
        <v>5352</v>
      </c>
      <c r="E12298" t="s">
        <v>559</v>
      </c>
      <c r="F12298" t="s">
        <v>1068</v>
      </c>
      <c r="G12298" t="s">
        <v>1083</v>
      </c>
      <c r="H12298" s="171" t="s">
        <v>7084</v>
      </c>
      <c r="I12298" t="s">
        <v>1084</v>
      </c>
      <c r="J12298">
        <v>9.23</v>
      </c>
    </row>
    <row r="12299" spans="1:10" hidden="1">
      <c r="A12299" t="s">
        <v>7080</v>
      </c>
      <c r="B12299" t="s">
        <v>7081</v>
      </c>
      <c r="C12299" t="s">
        <v>6839</v>
      </c>
      <c r="D12299" t="s">
        <v>5352</v>
      </c>
      <c r="E12299" t="s">
        <v>559</v>
      </c>
      <c r="F12299" t="s">
        <v>1068</v>
      </c>
      <c r="G12299" t="s">
        <v>1085</v>
      </c>
      <c r="H12299" s="171" t="s">
        <v>7085</v>
      </c>
      <c r="I12299" t="s">
        <v>1086</v>
      </c>
      <c r="J12299">
        <v>9.23</v>
      </c>
    </row>
    <row r="12300" spans="1:10" hidden="1">
      <c r="A12300" t="s">
        <v>7080</v>
      </c>
      <c r="B12300" t="s">
        <v>7081</v>
      </c>
      <c r="C12300" t="s">
        <v>6839</v>
      </c>
      <c r="D12300" t="s">
        <v>5352</v>
      </c>
      <c r="E12300" t="s">
        <v>559</v>
      </c>
      <c r="F12300" t="s">
        <v>1068</v>
      </c>
      <c r="G12300" t="s">
        <v>1087</v>
      </c>
      <c r="H12300" s="171" t="s">
        <v>7041</v>
      </c>
      <c r="I12300" t="s">
        <v>1088</v>
      </c>
      <c r="J12300">
        <v>9.23</v>
      </c>
    </row>
    <row r="12301" spans="1:10" hidden="1">
      <c r="A12301" t="s">
        <v>7080</v>
      </c>
      <c r="B12301" t="s">
        <v>7081</v>
      </c>
      <c r="C12301" t="s">
        <v>6839</v>
      </c>
      <c r="D12301" t="s">
        <v>5352</v>
      </c>
      <c r="E12301" t="s">
        <v>559</v>
      </c>
      <c r="F12301" t="s">
        <v>1068</v>
      </c>
      <c r="G12301" t="s">
        <v>1089</v>
      </c>
      <c r="H12301" s="171" t="s">
        <v>7086</v>
      </c>
      <c r="I12301" t="s">
        <v>1090</v>
      </c>
      <c r="J12301">
        <v>9.23</v>
      </c>
    </row>
    <row r="12302" spans="1:10" hidden="1">
      <c r="A12302" t="s">
        <v>7087</v>
      </c>
      <c r="B12302" t="s">
        <v>7088</v>
      </c>
      <c r="C12302" t="s">
        <v>6839</v>
      </c>
      <c r="D12302" t="s">
        <v>5352</v>
      </c>
      <c r="E12302" t="s">
        <v>560</v>
      </c>
      <c r="F12302" t="s">
        <v>1068</v>
      </c>
      <c r="G12302" t="s">
        <v>1069</v>
      </c>
      <c r="H12302">
        <v>6.8877141431142999E-2</v>
      </c>
      <c r="I12302" t="s">
        <v>1070</v>
      </c>
      <c r="J12302">
        <v>9.6300000000000008</v>
      </c>
    </row>
    <row r="12303" spans="1:10" hidden="1">
      <c r="A12303" t="s">
        <v>7087</v>
      </c>
      <c r="B12303" t="s">
        <v>7088</v>
      </c>
      <c r="C12303" t="s">
        <v>6839</v>
      </c>
      <c r="D12303" t="s">
        <v>5352</v>
      </c>
      <c r="E12303" t="s">
        <v>560</v>
      </c>
      <c r="F12303" t="s">
        <v>1068</v>
      </c>
      <c r="G12303" t="s">
        <v>1071</v>
      </c>
      <c r="H12303" s="171" t="s">
        <v>7045</v>
      </c>
      <c r="I12303" t="s">
        <v>1072</v>
      </c>
      <c r="J12303">
        <v>9.6300000000000008</v>
      </c>
    </row>
    <row r="12304" spans="1:10" hidden="1">
      <c r="A12304" t="s">
        <v>7087</v>
      </c>
      <c r="B12304" t="s">
        <v>7088</v>
      </c>
      <c r="C12304" t="s">
        <v>6839</v>
      </c>
      <c r="D12304" t="s">
        <v>5352</v>
      </c>
      <c r="E12304" t="s">
        <v>560</v>
      </c>
      <c r="F12304" t="s">
        <v>1068</v>
      </c>
      <c r="G12304" t="s">
        <v>1073</v>
      </c>
      <c r="H12304" s="171" t="s">
        <v>7046</v>
      </c>
      <c r="I12304" t="s">
        <v>1074</v>
      </c>
      <c r="J12304">
        <v>9.6300000000000008</v>
      </c>
    </row>
    <row r="12305" spans="1:10" hidden="1">
      <c r="A12305" t="s">
        <v>7087</v>
      </c>
      <c r="B12305" t="s">
        <v>7088</v>
      </c>
      <c r="C12305" t="s">
        <v>6839</v>
      </c>
      <c r="D12305" t="s">
        <v>5352</v>
      </c>
      <c r="E12305" t="s">
        <v>560</v>
      </c>
      <c r="F12305" t="s">
        <v>1068</v>
      </c>
      <c r="G12305" t="s">
        <v>1075</v>
      </c>
      <c r="H12305">
        <v>3.0616484079234599E-3</v>
      </c>
      <c r="I12305" t="s">
        <v>1077</v>
      </c>
      <c r="J12305">
        <v>9.6300000000000008</v>
      </c>
    </row>
    <row r="12306" spans="1:10" hidden="1">
      <c r="A12306" t="s">
        <v>7087</v>
      </c>
      <c r="B12306" t="s">
        <v>7088</v>
      </c>
      <c r="C12306" t="s">
        <v>6839</v>
      </c>
      <c r="D12306" t="s">
        <v>5352</v>
      </c>
      <c r="E12306" t="s">
        <v>560</v>
      </c>
      <c r="F12306" t="s">
        <v>1068</v>
      </c>
      <c r="G12306" t="s">
        <v>1078</v>
      </c>
      <c r="H12306">
        <v>-5.2271967674726499E-2</v>
      </c>
      <c r="I12306" t="s">
        <v>1079</v>
      </c>
      <c r="J12306">
        <v>9.6300000000000008</v>
      </c>
    </row>
    <row r="12307" spans="1:10" hidden="1">
      <c r="A12307" t="s">
        <v>7087</v>
      </c>
      <c r="B12307" t="s">
        <v>7088</v>
      </c>
      <c r="C12307" t="s">
        <v>6839</v>
      </c>
      <c r="D12307" t="s">
        <v>5352</v>
      </c>
      <c r="E12307" t="s">
        <v>560</v>
      </c>
      <c r="F12307" t="s">
        <v>1068</v>
      </c>
      <c r="G12307" t="s">
        <v>1080</v>
      </c>
      <c r="H12307" s="171" t="s">
        <v>7047</v>
      </c>
      <c r="I12307" t="s">
        <v>1082</v>
      </c>
      <c r="J12307">
        <v>9.6300000000000008</v>
      </c>
    </row>
    <row r="12308" spans="1:10" hidden="1">
      <c r="A12308" t="s">
        <v>7087</v>
      </c>
      <c r="B12308" t="s">
        <v>7088</v>
      </c>
      <c r="C12308" t="s">
        <v>6839</v>
      </c>
      <c r="D12308" t="s">
        <v>5352</v>
      </c>
      <c r="E12308" t="s">
        <v>560</v>
      </c>
      <c r="F12308" t="s">
        <v>1068</v>
      </c>
      <c r="G12308" t="s">
        <v>1083</v>
      </c>
      <c r="H12308" s="171" t="s">
        <v>6987</v>
      </c>
      <c r="I12308" t="s">
        <v>1084</v>
      </c>
      <c r="J12308">
        <v>9.6300000000000008</v>
      </c>
    </row>
    <row r="12309" spans="1:10" hidden="1">
      <c r="A12309" t="s">
        <v>7087</v>
      </c>
      <c r="B12309" t="s">
        <v>7088</v>
      </c>
      <c r="C12309" t="s">
        <v>6839</v>
      </c>
      <c r="D12309" t="s">
        <v>5352</v>
      </c>
      <c r="E12309" t="s">
        <v>560</v>
      </c>
      <c r="F12309" t="s">
        <v>1068</v>
      </c>
      <c r="G12309" t="s">
        <v>1085</v>
      </c>
      <c r="H12309" s="171" t="s">
        <v>6988</v>
      </c>
      <c r="I12309" t="s">
        <v>1086</v>
      </c>
      <c r="J12309">
        <v>9.6300000000000008</v>
      </c>
    </row>
    <row r="12310" spans="1:10" hidden="1">
      <c r="A12310" t="s">
        <v>7087</v>
      </c>
      <c r="B12310" t="s">
        <v>7088</v>
      </c>
      <c r="C12310" t="s">
        <v>6839</v>
      </c>
      <c r="D12310" t="s">
        <v>5352</v>
      </c>
      <c r="E12310" t="s">
        <v>560</v>
      </c>
      <c r="F12310" t="s">
        <v>1068</v>
      </c>
      <c r="G12310" t="s">
        <v>1087</v>
      </c>
      <c r="H12310" s="171" t="s">
        <v>6989</v>
      </c>
      <c r="I12310" t="s">
        <v>1088</v>
      </c>
      <c r="J12310">
        <v>9.6300000000000008</v>
      </c>
    </row>
    <row r="12311" spans="1:10" hidden="1">
      <c r="A12311" t="s">
        <v>7087</v>
      </c>
      <c r="B12311" t="s">
        <v>7088</v>
      </c>
      <c r="C12311" t="s">
        <v>6839</v>
      </c>
      <c r="D12311" t="s">
        <v>5352</v>
      </c>
      <c r="E12311" t="s">
        <v>560</v>
      </c>
      <c r="F12311" t="s">
        <v>1068</v>
      </c>
      <c r="G12311" t="s">
        <v>1089</v>
      </c>
      <c r="H12311" s="171" t="s">
        <v>6990</v>
      </c>
      <c r="I12311" t="s">
        <v>1090</v>
      </c>
      <c r="J12311">
        <v>9.6300000000000008</v>
      </c>
    </row>
    <row r="12312" spans="1:10" hidden="1">
      <c r="A12312" t="s">
        <v>7089</v>
      </c>
      <c r="B12312" t="s">
        <v>7090</v>
      </c>
      <c r="C12312" t="s">
        <v>6839</v>
      </c>
      <c r="D12312" t="s">
        <v>5352</v>
      </c>
      <c r="E12312" t="s">
        <v>1116</v>
      </c>
      <c r="F12312" t="s">
        <v>1068</v>
      </c>
      <c r="G12312" t="s">
        <v>1069</v>
      </c>
      <c r="H12312">
        <v>7.1932577448191107E-2</v>
      </c>
      <c r="I12312" t="s">
        <v>1070</v>
      </c>
      <c r="J12312">
        <v>8.85</v>
      </c>
    </row>
    <row r="12313" spans="1:10" hidden="1">
      <c r="A12313" t="s">
        <v>7089</v>
      </c>
      <c r="B12313" t="s">
        <v>7090</v>
      </c>
      <c r="C12313" t="s">
        <v>6839</v>
      </c>
      <c r="D12313" t="s">
        <v>5352</v>
      </c>
      <c r="E12313" t="s">
        <v>1116</v>
      </c>
      <c r="F12313" t="s">
        <v>1068</v>
      </c>
      <c r="G12313" t="s">
        <v>1071</v>
      </c>
      <c r="H12313" s="171" t="s">
        <v>7050</v>
      </c>
      <c r="I12313" t="s">
        <v>1072</v>
      </c>
      <c r="J12313">
        <v>8.85</v>
      </c>
    </row>
    <row r="12314" spans="1:10" hidden="1">
      <c r="A12314" t="s">
        <v>7089</v>
      </c>
      <c r="B12314" t="s">
        <v>7090</v>
      </c>
      <c r="C12314" t="s">
        <v>6839</v>
      </c>
      <c r="D12314" t="s">
        <v>5352</v>
      </c>
      <c r="E12314" t="s">
        <v>1116</v>
      </c>
      <c r="F12314" t="s">
        <v>1068</v>
      </c>
      <c r="G12314" t="s">
        <v>1073</v>
      </c>
      <c r="H12314" s="171" t="s">
        <v>7051</v>
      </c>
      <c r="I12314" t="s">
        <v>1074</v>
      </c>
      <c r="J12314">
        <v>8.85</v>
      </c>
    </row>
    <row r="12315" spans="1:10" hidden="1">
      <c r="A12315" t="s">
        <v>7089</v>
      </c>
      <c r="B12315" t="s">
        <v>7090</v>
      </c>
      <c r="C12315" t="s">
        <v>6839</v>
      </c>
      <c r="D12315" t="s">
        <v>5352</v>
      </c>
      <c r="E12315" t="s">
        <v>1116</v>
      </c>
      <c r="F12315" t="s">
        <v>1068</v>
      </c>
      <c r="G12315" t="s">
        <v>1075</v>
      </c>
      <c r="H12315">
        <v>3.15823400445137E-3</v>
      </c>
      <c r="I12315" t="s">
        <v>1077</v>
      </c>
      <c r="J12315">
        <v>8.85</v>
      </c>
    </row>
    <row r="12316" spans="1:10" hidden="1">
      <c r="A12316" t="s">
        <v>7089</v>
      </c>
      <c r="B12316" t="s">
        <v>7090</v>
      </c>
      <c r="C12316" t="s">
        <v>6839</v>
      </c>
      <c r="D12316" t="s">
        <v>5352</v>
      </c>
      <c r="E12316" t="s">
        <v>1116</v>
      </c>
      <c r="F12316" t="s">
        <v>1068</v>
      </c>
      <c r="G12316" t="s">
        <v>1078</v>
      </c>
      <c r="H12316">
        <v>-4.8095233912153298E-2</v>
      </c>
      <c r="I12316" t="s">
        <v>1079</v>
      </c>
      <c r="J12316">
        <v>8.85</v>
      </c>
    </row>
    <row r="12317" spans="1:10" hidden="1">
      <c r="A12317" t="s">
        <v>7089</v>
      </c>
      <c r="B12317" t="s">
        <v>7090</v>
      </c>
      <c r="C12317" t="s">
        <v>6839</v>
      </c>
      <c r="D12317" t="s">
        <v>5352</v>
      </c>
      <c r="E12317" t="s">
        <v>1116</v>
      </c>
      <c r="F12317" t="s">
        <v>1068</v>
      </c>
      <c r="G12317" t="s">
        <v>1080</v>
      </c>
      <c r="H12317" s="171" t="s">
        <v>6995</v>
      </c>
      <c r="I12317" t="s">
        <v>1082</v>
      </c>
      <c r="J12317">
        <v>8.85</v>
      </c>
    </row>
    <row r="12318" spans="1:10" hidden="1">
      <c r="A12318" t="s">
        <v>7089</v>
      </c>
      <c r="B12318" t="s">
        <v>7090</v>
      </c>
      <c r="C12318" t="s">
        <v>6839</v>
      </c>
      <c r="D12318" t="s">
        <v>5352</v>
      </c>
      <c r="E12318" t="s">
        <v>1116</v>
      </c>
      <c r="F12318" t="s">
        <v>1068</v>
      </c>
      <c r="G12318" t="s">
        <v>1083</v>
      </c>
      <c r="H12318" s="171" t="s">
        <v>6996</v>
      </c>
      <c r="I12318" t="s">
        <v>1084</v>
      </c>
      <c r="J12318">
        <v>8.85</v>
      </c>
    </row>
    <row r="12319" spans="1:10" hidden="1">
      <c r="A12319" t="s">
        <v>7089</v>
      </c>
      <c r="B12319" t="s">
        <v>7090</v>
      </c>
      <c r="C12319" t="s">
        <v>6839</v>
      </c>
      <c r="D12319" t="s">
        <v>5352</v>
      </c>
      <c r="E12319" t="s">
        <v>1116</v>
      </c>
      <c r="F12319" t="s">
        <v>1068</v>
      </c>
      <c r="G12319" t="s">
        <v>1085</v>
      </c>
      <c r="H12319" s="171" t="s">
        <v>6997</v>
      </c>
      <c r="I12319" t="s">
        <v>1086</v>
      </c>
      <c r="J12319">
        <v>8.85</v>
      </c>
    </row>
    <row r="12320" spans="1:10" hidden="1">
      <c r="A12320" t="s">
        <v>7089</v>
      </c>
      <c r="B12320" t="s">
        <v>7090</v>
      </c>
      <c r="C12320" t="s">
        <v>6839</v>
      </c>
      <c r="D12320" t="s">
        <v>5352</v>
      </c>
      <c r="E12320" t="s">
        <v>1116</v>
      </c>
      <c r="F12320" t="s">
        <v>1068</v>
      </c>
      <c r="G12320" t="s">
        <v>1087</v>
      </c>
      <c r="H12320" s="171" t="s">
        <v>6998</v>
      </c>
      <c r="I12320" t="s">
        <v>1088</v>
      </c>
      <c r="J12320">
        <v>8.85</v>
      </c>
    </row>
    <row r="12321" spans="1:10" hidden="1">
      <c r="A12321" t="s">
        <v>7089</v>
      </c>
      <c r="B12321" t="s">
        <v>7090</v>
      </c>
      <c r="C12321" t="s">
        <v>6839</v>
      </c>
      <c r="D12321" t="s">
        <v>5352</v>
      </c>
      <c r="E12321" t="s">
        <v>1116</v>
      </c>
      <c r="F12321" t="s">
        <v>1068</v>
      </c>
      <c r="G12321" t="s">
        <v>1089</v>
      </c>
      <c r="H12321" s="171" t="s">
        <v>6999</v>
      </c>
      <c r="I12321" t="s">
        <v>1090</v>
      </c>
      <c r="J12321">
        <v>8.85</v>
      </c>
    </row>
    <row r="12322" spans="1:10" hidden="1">
      <c r="A12322" t="s">
        <v>7091</v>
      </c>
      <c r="B12322" t="s">
        <v>7092</v>
      </c>
      <c r="C12322" t="s">
        <v>6839</v>
      </c>
      <c r="D12322" t="s">
        <v>5419</v>
      </c>
      <c r="E12322" t="s">
        <v>561</v>
      </c>
      <c r="F12322" t="s">
        <v>1068</v>
      </c>
      <c r="G12322" t="s">
        <v>1069</v>
      </c>
      <c r="H12322">
        <v>9.3190175479629905E-2</v>
      </c>
      <c r="I12322" t="s">
        <v>1070</v>
      </c>
      <c r="J12322">
        <v>9.17</v>
      </c>
    </row>
    <row r="12323" spans="1:10" hidden="1">
      <c r="A12323" t="s">
        <v>7091</v>
      </c>
      <c r="B12323" t="s">
        <v>7092</v>
      </c>
      <c r="C12323" t="s">
        <v>6839</v>
      </c>
      <c r="D12323" t="s">
        <v>5419</v>
      </c>
      <c r="E12323" t="s">
        <v>561</v>
      </c>
      <c r="F12323" t="s">
        <v>1068</v>
      </c>
      <c r="G12323" t="s">
        <v>1071</v>
      </c>
      <c r="H12323" s="171" t="s">
        <v>7093</v>
      </c>
      <c r="I12323" t="s">
        <v>1072</v>
      </c>
      <c r="J12323">
        <v>9.17</v>
      </c>
    </row>
    <row r="12324" spans="1:10" hidden="1">
      <c r="A12324" t="s">
        <v>7091</v>
      </c>
      <c r="B12324" t="s">
        <v>7092</v>
      </c>
      <c r="C12324" t="s">
        <v>6839</v>
      </c>
      <c r="D12324" t="s">
        <v>5419</v>
      </c>
      <c r="E12324" t="s">
        <v>561</v>
      </c>
      <c r="F12324" t="s">
        <v>1068</v>
      </c>
      <c r="G12324" t="s">
        <v>1073</v>
      </c>
      <c r="H12324" s="171" t="s">
        <v>7094</v>
      </c>
      <c r="I12324" t="s">
        <v>1074</v>
      </c>
      <c r="J12324">
        <v>9.17</v>
      </c>
    </row>
    <row r="12325" spans="1:10" hidden="1">
      <c r="A12325" t="s">
        <v>7091</v>
      </c>
      <c r="B12325" t="s">
        <v>7092</v>
      </c>
      <c r="C12325" t="s">
        <v>6839</v>
      </c>
      <c r="D12325" t="s">
        <v>5419</v>
      </c>
      <c r="E12325" t="s">
        <v>561</v>
      </c>
      <c r="F12325" t="s">
        <v>1068</v>
      </c>
      <c r="G12325" t="s">
        <v>1075</v>
      </c>
      <c r="H12325">
        <v>9.4683010718846095E-3</v>
      </c>
      <c r="I12325" t="s">
        <v>1077</v>
      </c>
      <c r="J12325">
        <v>9.17</v>
      </c>
    </row>
    <row r="12326" spans="1:10" hidden="1">
      <c r="A12326" t="s">
        <v>7091</v>
      </c>
      <c r="B12326" t="s">
        <v>7092</v>
      </c>
      <c r="C12326" t="s">
        <v>6839</v>
      </c>
      <c r="D12326" t="s">
        <v>5419</v>
      </c>
      <c r="E12326" t="s">
        <v>561</v>
      </c>
      <c r="F12326" t="s">
        <v>1068</v>
      </c>
      <c r="G12326" t="s">
        <v>1078</v>
      </c>
      <c r="H12326" s="171" t="s">
        <v>7095</v>
      </c>
      <c r="I12326" t="s">
        <v>1079</v>
      </c>
      <c r="J12326">
        <v>9.17</v>
      </c>
    </row>
    <row r="12327" spans="1:10" hidden="1">
      <c r="A12327" t="s">
        <v>7091</v>
      </c>
      <c r="B12327" t="s">
        <v>7092</v>
      </c>
      <c r="C12327" t="s">
        <v>6839</v>
      </c>
      <c r="D12327" t="s">
        <v>5419</v>
      </c>
      <c r="E12327" t="s">
        <v>561</v>
      </c>
      <c r="F12327" t="s">
        <v>1068</v>
      </c>
      <c r="G12327" t="s">
        <v>1080</v>
      </c>
      <c r="H12327" s="171" t="s">
        <v>7096</v>
      </c>
      <c r="I12327" t="s">
        <v>1082</v>
      </c>
      <c r="J12327">
        <v>9.17</v>
      </c>
    </row>
    <row r="12328" spans="1:10" hidden="1">
      <c r="A12328" t="s">
        <v>7091</v>
      </c>
      <c r="B12328" t="s">
        <v>7092</v>
      </c>
      <c r="C12328" t="s">
        <v>6839</v>
      </c>
      <c r="D12328" t="s">
        <v>5419</v>
      </c>
      <c r="E12328" t="s">
        <v>561</v>
      </c>
      <c r="F12328" t="s">
        <v>1068</v>
      </c>
      <c r="G12328" t="s">
        <v>1083</v>
      </c>
      <c r="H12328" s="171" t="s">
        <v>7097</v>
      </c>
      <c r="I12328" t="s">
        <v>1084</v>
      </c>
      <c r="J12328">
        <v>9.17</v>
      </c>
    </row>
    <row r="12329" spans="1:10" hidden="1">
      <c r="A12329" t="s">
        <v>7091</v>
      </c>
      <c r="B12329" t="s">
        <v>7092</v>
      </c>
      <c r="C12329" t="s">
        <v>6839</v>
      </c>
      <c r="D12329" t="s">
        <v>5419</v>
      </c>
      <c r="E12329" t="s">
        <v>561</v>
      </c>
      <c r="F12329" t="s">
        <v>1068</v>
      </c>
      <c r="G12329" t="s">
        <v>1085</v>
      </c>
      <c r="H12329">
        <v>3.42814821147163E-4</v>
      </c>
      <c r="I12329" t="s">
        <v>1086</v>
      </c>
      <c r="J12329">
        <v>9.17</v>
      </c>
    </row>
    <row r="12330" spans="1:10" hidden="1">
      <c r="A12330" t="s">
        <v>7091</v>
      </c>
      <c r="B12330" t="s">
        <v>7092</v>
      </c>
      <c r="C12330" t="s">
        <v>6839</v>
      </c>
      <c r="D12330" t="s">
        <v>5419</v>
      </c>
      <c r="E12330" t="s">
        <v>561</v>
      </c>
      <c r="F12330" t="s">
        <v>1068</v>
      </c>
      <c r="G12330" t="s">
        <v>1087</v>
      </c>
      <c r="H12330" s="171" t="s">
        <v>7098</v>
      </c>
      <c r="I12330" t="s">
        <v>1088</v>
      </c>
      <c r="J12330">
        <v>9.17</v>
      </c>
    </row>
    <row r="12331" spans="1:10" hidden="1">
      <c r="A12331" t="s">
        <v>7091</v>
      </c>
      <c r="B12331" t="s">
        <v>7092</v>
      </c>
      <c r="C12331" t="s">
        <v>6839</v>
      </c>
      <c r="D12331" t="s">
        <v>5419</v>
      </c>
      <c r="E12331" t="s">
        <v>561</v>
      </c>
      <c r="F12331" t="s">
        <v>1068</v>
      </c>
      <c r="G12331" t="s">
        <v>1089</v>
      </c>
      <c r="H12331" s="171" t="s">
        <v>7099</v>
      </c>
      <c r="I12331" t="s">
        <v>1090</v>
      </c>
      <c r="J12331">
        <v>9.17</v>
      </c>
    </row>
    <row r="12332" spans="1:10" hidden="1">
      <c r="A12332" t="s">
        <v>7100</v>
      </c>
      <c r="B12332" t="s">
        <v>7101</v>
      </c>
      <c r="C12332" t="s">
        <v>6839</v>
      </c>
      <c r="D12332" t="s">
        <v>5419</v>
      </c>
      <c r="E12332" t="s">
        <v>555</v>
      </c>
      <c r="F12332" t="s">
        <v>1068</v>
      </c>
      <c r="G12332" t="s">
        <v>1069</v>
      </c>
      <c r="H12332">
        <v>9.3205900487750404E-2</v>
      </c>
      <c r="I12332" t="s">
        <v>1070</v>
      </c>
      <c r="J12332">
        <v>9.4700000000000006</v>
      </c>
    </row>
    <row r="12333" spans="1:10" hidden="1">
      <c r="A12333" t="s">
        <v>7100</v>
      </c>
      <c r="B12333" t="s">
        <v>7101</v>
      </c>
      <c r="C12333" t="s">
        <v>6839</v>
      </c>
      <c r="D12333" t="s">
        <v>5419</v>
      </c>
      <c r="E12333" t="s">
        <v>555</v>
      </c>
      <c r="F12333" t="s">
        <v>1068</v>
      </c>
      <c r="G12333" t="s">
        <v>1071</v>
      </c>
      <c r="H12333" s="171" t="s">
        <v>7102</v>
      </c>
      <c r="I12333" t="s">
        <v>1072</v>
      </c>
      <c r="J12333">
        <v>9.4700000000000006</v>
      </c>
    </row>
    <row r="12334" spans="1:10" hidden="1">
      <c r="A12334" t="s">
        <v>7100</v>
      </c>
      <c r="B12334" t="s">
        <v>7101</v>
      </c>
      <c r="C12334" t="s">
        <v>6839</v>
      </c>
      <c r="D12334" t="s">
        <v>5419</v>
      </c>
      <c r="E12334" t="s">
        <v>555</v>
      </c>
      <c r="F12334" t="s">
        <v>1068</v>
      </c>
      <c r="G12334" t="s">
        <v>1073</v>
      </c>
      <c r="H12334" s="171" t="s">
        <v>7103</v>
      </c>
      <c r="I12334" t="s">
        <v>1074</v>
      </c>
      <c r="J12334">
        <v>9.4700000000000006</v>
      </c>
    </row>
    <row r="12335" spans="1:10" hidden="1">
      <c r="A12335" t="s">
        <v>7100</v>
      </c>
      <c r="B12335" t="s">
        <v>7101</v>
      </c>
      <c r="C12335" t="s">
        <v>6839</v>
      </c>
      <c r="D12335" t="s">
        <v>5419</v>
      </c>
      <c r="E12335" t="s">
        <v>555</v>
      </c>
      <c r="F12335" t="s">
        <v>1068</v>
      </c>
      <c r="G12335" t="s">
        <v>1075</v>
      </c>
      <c r="H12335">
        <v>9.4686415493890896E-3</v>
      </c>
      <c r="I12335" t="s">
        <v>1077</v>
      </c>
      <c r="J12335">
        <v>9.4700000000000006</v>
      </c>
    </row>
    <row r="12336" spans="1:10" hidden="1">
      <c r="A12336" t="s">
        <v>7100</v>
      </c>
      <c r="B12336" t="s">
        <v>7101</v>
      </c>
      <c r="C12336" t="s">
        <v>6839</v>
      </c>
      <c r="D12336" t="s">
        <v>5419</v>
      </c>
      <c r="E12336" t="s">
        <v>555</v>
      </c>
      <c r="F12336" t="s">
        <v>1068</v>
      </c>
      <c r="G12336" t="s">
        <v>1078</v>
      </c>
      <c r="H12336" s="171" t="s">
        <v>7104</v>
      </c>
      <c r="I12336" t="s">
        <v>1079</v>
      </c>
      <c r="J12336">
        <v>9.4700000000000006</v>
      </c>
    </row>
    <row r="12337" spans="1:10" hidden="1">
      <c r="A12337" t="s">
        <v>7100</v>
      </c>
      <c r="B12337" t="s">
        <v>7101</v>
      </c>
      <c r="C12337" t="s">
        <v>6839</v>
      </c>
      <c r="D12337" t="s">
        <v>5419</v>
      </c>
      <c r="E12337" t="s">
        <v>555</v>
      </c>
      <c r="F12337" t="s">
        <v>1068</v>
      </c>
      <c r="G12337" t="s">
        <v>1080</v>
      </c>
      <c r="H12337" s="171" t="s">
        <v>7105</v>
      </c>
      <c r="I12337" t="s">
        <v>1082</v>
      </c>
      <c r="J12337">
        <v>9.4700000000000006</v>
      </c>
    </row>
    <row r="12338" spans="1:10" hidden="1">
      <c r="A12338" t="s">
        <v>7100</v>
      </c>
      <c r="B12338" t="s">
        <v>7101</v>
      </c>
      <c r="C12338" t="s">
        <v>6839</v>
      </c>
      <c r="D12338" t="s">
        <v>5419</v>
      </c>
      <c r="E12338" t="s">
        <v>555</v>
      </c>
      <c r="F12338" t="s">
        <v>1068</v>
      </c>
      <c r="G12338" t="s">
        <v>1083</v>
      </c>
      <c r="H12338" s="171" t="s">
        <v>7106</v>
      </c>
      <c r="I12338" t="s">
        <v>1084</v>
      </c>
      <c r="J12338">
        <v>9.4700000000000006</v>
      </c>
    </row>
    <row r="12339" spans="1:10" hidden="1">
      <c r="A12339" t="s">
        <v>7100</v>
      </c>
      <c r="B12339" t="s">
        <v>7101</v>
      </c>
      <c r="C12339" t="s">
        <v>6839</v>
      </c>
      <c r="D12339" t="s">
        <v>5419</v>
      </c>
      <c r="E12339" t="s">
        <v>555</v>
      </c>
      <c r="F12339" t="s">
        <v>1068</v>
      </c>
      <c r="G12339" t="s">
        <v>1085</v>
      </c>
      <c r="H12339">
        <v>3.4283332165436998E-4</v>
      </c>
      <c r="I12339" t="s">
        <v>1086</v>
      </c>
      <c r="J12339">
        <v>9.4700000000000006</v>
      </c>
    </row>
    <row r="12340" spans="1:10" hidden="1">
      <c r="A12340" t="s">
        <v>7100</v>
      </c>
      <c r="B12340" t="s">
        <v>7101</v>
      </c>
      <c r="C12340" t="s">
        <v>6839</v>
      </c>
      <c r="D12340" t="s">
        <v>5419</v>
      </c>
      <c r="E12340" t="s">
        <v>555</v>
      </c>
      <c r="F12340" t="s">
        <v>1068</v>
      </c>
      <c r="G12340" t="s">
        <v>1087</v>
      </c>
      <c r="H12340" s="171" t="s">
        <v>7107</v>
      </c>
      <c r="I12340" t="s">
        <v>1088</v>
      </c>
      <c r="J12340">
        <v>9.4700000000000006</v>
      </c>
    </row>
    <row r="12341" spans="1:10" hidden="1">
      <c r="A12341" t="s">
        <v>7100</v>
      </c>
      <c r="B12341" t="s">
        <v>7101</v>
      </c>
      <c r="C12341" t="s">
        <v>6839</v>
      </c>
      <c r="D12341" t="s">
        <v>5419</v>
      </c>
      <c r="E12341" t="s">
        <v>555</v>
      </c>
      <c r="F12341" t="s">
        <v>1068</v>
      </c>
      <c r="G12341" t="s">
        <v>1089</v>
      </c>
      <c r="H12341" s="171" t="s">
        <v>7108</v>
      </c>
      <c r="I12341" t="s">
        <v>1090</v>
      </c>
      <c r="J12341">
        <v>9.4700000000000006</v>
      </c>
    </row>
    <row r="12342" spans="1:10" hidden="1">
      <c r="A12342" t="s">
        <v>7109</v>
      </c>
      <c r="B12342" t="s">
        <v>7110</v>
      </c>
      <c r="C12342" t="s">
        <v>6839</v>
      </c>
      <c r="D12342" t="s">
        <v>5419</v>
      </c>
      <c r="E12342" t="s">
        <v>558</v>
      </c>
      <c r="F12342" t="s">
        <v>1068</v>
      </c>
      <c r="G12342" t="s">
        <v>1069</v>
      </c>
      <c r="H12342">
        <v>9.3189274026260399E-2</v>
      </c>
      <c r="I12342" t="s">
        <v>1070</v>
      </c>
      <c r="J12342">
        <v>9.56</v>
      </c>
    </row>
    <row r="12343" spans="1:10" hidden="1">
      <c r="A12343" t="s">
        <v>7109</v>
      </c>
      <c r="B12343" t="s">
        <v>7110</v>
      </c>
      <c r="C12343" t="s">
        <v>6839</v>
      </c>
      <c r="D12343" t="s">
        <v>5419</v>
      </c>
      <c r="E12343" t="s">
        <v>558</v>
      </c>
      <c r="F12343" t="s">
        <v>1068</v>
      </c>
      <c r="G12343" t="s">
        <v>1071</v>
      </c>
      <c r="H12343" s="171" t="s">
        <v>7111</v>
      </c>
      <c r="I12343" t="s">
        <v>1072</v>
      </c>
      <c r="J12343">
        <v>9.56</v>
      </c>
    </row>
    <row r="12344" spans="1:10" hidden="1">
      <c r="A12344" t="s">
        <v>7109</v>
      </c>
      <c r="B12344" t="s">
        <v>7110</v>
      </c>
      <c r="C12344" t="s">
        <v>6839</v>
      </c>
      <c r="D12344" t="s">
        <v>5419</v>
      </c>
      <c r="E12344" t="s">
        <v>558</v>
      </c>
      <c r="F12344" t="s">
        <v>1068</v>
      </c>
      <c r="G12344" t="s">
        <v>1073</v>
      </c>
      <c r="H12344" s="171" t="s">
        <v>7112</v>
      </c>
      <c r="I12344" t="s">
        <v>1074</v>
      </c>
      <c r="J12344">
        <v>9.56</v>
      </c>
    </row>
    <row r="12345" spans="1:10" hidden="1">
      <c r="A12345" t="s">
        <v>7109</v>
      </c>
      <c r="B12345" t="s">
        <v>7110</v>
      </c>
      <c r="C12345" t="s">
        <v>6839</v>
      </c>
      <c r="D12345" t="s">
        <v>5419</v>
      </c>
      <c r="E12345" t="s">
        <v>558</v>
      </c>
      <c r="F12345" t="s">
        <v>1068</v>
      </c>
      <c r="G12345" t="s">
        <v>1075</v>
      </c>
      <c r="H12345">
        <v>9.4682725759804697E-3</v>
      </c>
      <c r="I12345" t="s">
        <v>1077</v>
      </c>
      <c r="J12345">
        <v>9.56</v>
      </c>
    </row>
    <row r="12346" spans="1:10" hidden="1">
      <c r="A12346" t="s">
        <v>7109</v>
      </c>
      <c r="B12346" t="s">
        <v>7110</v>
      </c>
      <c r="C12346" t="s">
        <v>6839</v>
      </c>
      <c r="D12346" t="s">
        <v>5419</v>
      </c>
      <c r="E12346" t="s">
        <v>558</v>
      </c>
      <c r="F12346" t="s">
        <v>1068</v>
      </c>
      <c r="G12346" t="s">
        <v>1078</v>
      </c>
      <c r="H12346" s="171" t="s">
        <v>7113</v>
      </c>
      <c r="I12346" t="s">
        <v>1079</v>
      </c>
      <c r="J12346">
        <v>9.56</v>
      </c>
    </row>
    <row r="12347" spans="1:10" hidden="1">
      <c r="A12347" t="s">
        <v>7109</v>
      </c>
      <c r="B12347" t="s">
        <v>7110</v>
      </c>
      <c r="C12347" t="s">
        <v>6839</v>
      </c>
      <c r="D12347" t="s">
        <v>5419</v>
      </c>
      <c r="E12347" t="s">
        <v>558</v>
      </c>
      <c r="F12347" t="s">
        <v>1068</v>
      </c>
      <c r="G12347" t="s">
        <v>1080</v>
      </c>
      <c r="H12347" s="171" t="s">
        <v>7114</v>
      </c>
      <c r="I12347" t="s">
        <v>1082</v>
      </c>
      <c r="J12347">
        <v>9.56</v>
      </c>
    </row>
    <row r="12348" spans="1:10" hidden="1">
      <c r="A12348" t="s">
        <v>7109</v>
      </c>
      <c r="B12348" t="s">
        <v>7110</v>
      </c>
      <c r="C12348" t="s">
        <v>6839</v>
      </c>
      <c r="D12348" t="s">
        <v>5419</v>
      </c>
      <c r="E12348" t="s">
        <v>558</v>
      </c>
      <c r="F12348" t="s">
        <v>1068</v>
      </c>
      <c r="G12348" t="s">
        <v>1083</v>
      </c>
      <c r="H12348" s="171" t="s">
        <v>7115</v>
      </c>
      <c r="I12348" t="s">
        <v>1084</v>
      </c>
      <c r="J12348">
        <v>9.56</v>
      </c>
    </row>
    <row r="12349" spans="1:10" hidden="1">
      <c r="A12349" t="s">
        <v>7109</v>
      </c>
      <c r="B12349" t="s">
        <v>7110</v>
      </c>
      <c r="C12349" t="s">
        <v>6839</v>
      </c>
      <c r="D12349" t="s">
        <v>5419</v>
      </c>
      <c r="E12349" t="s">
        <v>558</v>
      </c>
      <c r="F12349" t="s">
        <v>1068</v>
      </c>
      <c r="G12349" t="s">
        <v>1085</v>
      </c>
      <c r="H12349">
        <v>3.4281327252615998E-4</v>
      </c>
      <c r="I12349" t="s">
        <v>1086</v>
      </c>
      <c r="J12349">
        <v>9.56</v>
      </c>
    </row>
    <row r="12350" spans="1:10" hidden="1">
      <c r="A12350" t="s">
        <v>7109</v>
      </c>
      <c r="B12350" t="s">
        <v>7110</v>
      </c>
      <c r="C12350" t="s">
        <v>6839</v>
      </c>
      <c r="D12350" t="s">
        <v>5419</v>
      </c>
      <c r="E12350" t="s">
        <v>558</v>
      </c>
      <c r="F12350" t="s">
        <v>1068</v>
      </c>
      <c r="G12350" t="s">
        <v>1087</v>
      </c>
      <c r="H12350" s="171" t="s">
        <v>7116</v>
      </c>
      <c r="I12350" t="s">
        <v>1088</v>
      </c>
      <c r="J12350">
        <v>9.56</v>
      </c>
    </row>
    <row r="12351" spans="1:10" hidden="1">
      <c r="A12351" t="s">
        <v>7109</v>
      </c>
      <c r="B12351" t="s">
        <v>7110</v>
      </c>
      <c r="C12351" t="s">
        <v>6839</v>
      </c>
      <c r="D12351" t="s">
        <v>5419</v>
      </c>
      <c r="E12351" t="s">
        <v>558</v>
      </c>
      <c r="F12351" t="s">
        <v>1068</v>
      </c>
      <c r="G12351" t="s">
        <v>1089</v>
      </c>
      <c r="H12351" s="171" t="s">
        <v>7117</v>
      </c>
      <c r="I12351" t="s">
        <v>1090</v>
      </c>
      <c r="J12351">
        <v>9.56</v>
      </c>
    </row>
    <row r="12352" spans="1:10" hidden="1">
      <c r="A12352" t="s">
        <v>7118</v>
      </c>
      <c r="B12352" t="s">
        <v>7119</v>
      </c>
      <c r="C12352" t="s">
        <v>6839</v>
      </c>
      <c r="D12352" t="s">
        <v>5419</v>
      </c>
      <c r="E12352" t="s">
        <v>553</v>
      </c>
      <c r="F12352" t="s">
        <v>1068</v>
      </c>
      <c r="G12352" t="s">
        <v>1069</v>
      </c>
      <c r="H12352">
        <v>9.3193862486269902E-2</v>
      </c>
      <c r="I12352" t="s">
        <v>1070</v>
      </c>
      <c r="J12352">
        <v>8.85</v>
      </c>
    </row>
    <row r="12353" spans="1:10" hidden="1">
      <c r="A12353" t="s">
        <v>7118</v>
      </c>
      <c r="B12353" t="s">
        <v>7119</v>
      </c>
      <c r="C12353" t="s">
        <v>6839</v>
      </c>
      <c r="D12353" t="s">
        <v>5419</v>
      </c>
      <c r="E12353" t="s">
        <v>553</v>
      </c>
      <c r="F12353" t="s">
        <v>1068</v>
      </c>
      <c r="G12353" t="s">
        <v>1071</v>
      </c>
      <c r="H12353" s="171" t="s">
        <v>7120</v>
      </c>
      <c r="I12353" t="s">
        <v>1072</v>
      </c>
      <c r="J12353">
        <v>8.85</v>
      </c>
    </row>
    <row r="12354" spans="1:10" hidden="1">
      <c r="A12354" t="s">
        <v>7118</v>
      </c>
      <c r="B12354" t="s">
        <v>7119</v>
      </c>
      <c r="C12354" t="s">
        <v>6839</v>
      </c>
      <c r="D12354" t="s">
        <v>5419</v>
      </c>
      <c r="E12354" t="s">
        <v>553</v>
      </c>
      <c r="F12354" t="s">
        <v>1068</v>
      </c>
      <c r="G12354" t="s">
        <v>1073</v>
      </c>
      <c r="H12354" s="171" t="s">
        <v>7121</v>
      </c>
      <c r="I12354" t="s">
        <v>1074</v>
      </c>
      <c r="J12354">
        <v>8.85</v>
      </c>
    </row>
    <row r="12355" spans="1:10" hidden="1">
      <c r="A12355" t="s">
        <v>7118</v>
      </c>
      <c r="B12355" t="s">
        <v>7119</v>
      </c>
      <c r="C12355" t="s">
        <v>6839</v>
      </c>
      <c r="D12355" t="s">
        <v>5419</v>
      </c>
      <c r="E12355" t="s">
        <v>553</v>
      </c>
      <c r="F12355" t="s">
        <v>1068</v>
      </c>
      <c r="G12355" t="s">
        <v>1075</v>
      </c>
      <c r="H12355">
        <v>9.4682610153020499E-3</v>
      </c>
      <c r="I12355" t="s">
        <v>1077</v>
      </c>
      <c r="J12355">
        <v>8.85</v>
      </c>
    </row>
    <row r="12356" spans="1:10" hidden="1">
      <c r="A12356" t="s">
        <v>7118</v>
      </c>
      <c r="B12356" t="s">
        <v>7119</v>
      </c>
      <c r="C12356" t="s">
        <v>6839</v>
      </c>
      <c r="D12356" t="s">
        <v>5419</v>
      </c>
      <c r="E12356" t="s">
        <v>553</v>
      </c>
      <c r="F12356" t="s">
        <v>1068</v>
      </c>
      <c r="G12356" t="s">
        <v>1078</v>
      </c>
      <c r="H12356" s="171" t="s">
        <v>7122</v>
      </c>
      <c r="I12356" t="s">
        <v>1079</v>
      </c>
      <c r="J12356">
        <v>8.85</v>
      </c>
    </row>
    <row r="12357" spans="1:10" hidden="1">
      <c r="A12357" t="s">
        <v>7118</v>
      </c>
      <c r="B12357" t="s">
        <v>7119</v>
      </c>
      <c r="C12357" t="s">
        <v>6839</v>
      </c>
      <c r="D12357" t="s">
        <v>5419</v>
      </c>
      <c r="E12357" t="s">
        <v>553</v>
      </c>
      <c r="F12357" t="s">
        <v>1068</v>
      </c>
      <c r="G12357" t="s">
        <v>1080</v>
      </c>
      <c r="H12357" s="171" t="s">
        <v>7123</v>
      </c>
      <c r="I12357" t="s">
        <v>1082</v>
      </c>
      <c r="J12357">
        <v>8.85</v>
      </c>
    </row>
    <row r="12358" spans="1:10" hidden="1">
      <c r="A12358" t="s">
        <v>7118</v>
      </c>
      <c r="B12358" t="s">
        <v>7119</v>
      </c>
      <c r="C12358" t="s">
        <v>6839</v>
      </c>
      <c r="D12358" t="s">
        <v>5419</v>
      </c>
      <c r="E12358" t="s">
        <v>553</v>
      </c>
      <c r="F12358" t="s">
        <v>1068</v>
      </c>
      <c r="G12358" t="s">
        <v>1083</v>
      </c>
      <c r="H12358" s="171" t="s">
        <v>7124</v>
      </c>
      <c r="I12358" t="s">
        <v>1084</v>
      </c>
      <c r="J12358">
        <v>8.85</v>
      </c>
    </row>
    <row r="12359" spans="1:10" hidden="1">
      <c r="A12359" t="s">
        <v>7118</v>
      </c>
      <c r="B12359" t="s">
        <v>7119</v>
      </c>
      <c r="C12359" t="s">
        <v>6839</v>
      </c>
      <c r="D12359" t="s">
        <v>5419</v>
      </c>
      <c r="E12359" t="s">
        <v>553</v>
      </c>
      <c r="F12359" t="s">
        <v>1068</v>
      </c>
      <c r="G12359" t="s">
        <v>1085</v>
      </c>
      <c r="H12359">
        <v>3.4281264138126002E-4</v>
      </c>
      <c r="I12359" t="s">
        <v>1086</v>
      </c>
      <c r="J12359">
        <v>8.85</v>
      </c>
    </row>
    <row r="12360" spans="1:10" hidden="1">
      <c r="A12360" t="s">
        <v>7118</v>
      </c>
      <c r="B12360" t="s">
        <v>7119</v>
      </c>
      <c r="C12360" t="s">
        <v>6839</v>
      </c>
      <c r="D12360" t="s">
        <v>5419</v>
      </c>
      <c r="E12360" t="s">
        <v>553</v>
      </c>
      <c r="F12360" t="s">
        <v>1068</v>
      </c>
      <c r="G12360" t="s">
        <v>1087</v>
      </c>
      <c r="H12360" s="171" t="s">
        <v>7125</v>
      </c>
      <c r="I12360" t="s">
        <v>1088</v>
      </c>
      <c r="J12360">
        <v>8.85</v>
      </c>
    </row>
    <row r="12361" spans="1:10" hidden="1">
      <c r="A12361" t="s">
        <v>7118</v>
      </c>
      <c r="B12361" t="s">
        <v>7119</v>
      </c>
      <c r="C12361" t="s">
        <v>6839</v>
      </c>
      <c r="D12361" t="s">
        <v>5419</v>
      </c>
      <c r="E12361" t="s">
        <v>553</v>
      </c>
      <c r="F12361" t="s">
        <v>1068</v>
      </c>
      <c r="G12361" t="s">
        <v>1089</v>
      </c>
      <c r="H12361" s="171" t="s">
        <v>7126</v>
      </c>
      <c r="I12361" t="s">
        <v>1090</v>
      </c>
      <c r="J12361">
        <v>8.85</v>
      </c>
    </row>
    <row r="12362" spans="1:10" hidden="1">
      <c r="A12362" t="s">
        <v>7127</v>
      </c>
      <c r="B12362" t="s">
        <v>7128</v>
      </c>
      <c r="C12362" t="s">
        <v>6839</v>
      </c>
      <c r="D12362" t="s">
        <v>5419</v>
      </c>
      <c r="E12362" t="s">
        <v>556</v>
      </c>
      <c r="F12362" t="s">
        <v>1068</v>
      </c>
      <c r="G12362" t="s">
        <v>1069</v>
      </c>
      <c r="H12362">
        <v>9.3204769008969096E-2</v>
      </c>
      <c r="I12362" t="s">
        <v>1070</v>
      </c>
      <c r="J12362">
        <v>9.8800000000000008</v>
      </c>
    </row>
    <row r="12363" spans="1:10" hidden="1">
      <c r="A12363" t="s">
        <v>7127</v>
      </c>
      <c r="B12363" t="s">
        <v>7128</v>
      </c>
      <c r="C12363" t="s">
        <v>6839</v>
      </c>
      <c r="D12363" t="s">
        <v>5419</v>
      </c>
      <c r="E12363" t="s">
        <v>556</v>
      </c>
      <c r="F12363" t="s">
        <v>1068</v>
      </c>
      <c r="G12363" t="s">
        <v>1071</v>
      </c>
      <c r="H12363" s="171" t="s">
        <v>7129</v>
      </c>
      <c r="I12363" t="s">
        <v>1072</v>
      </c>
      <c r="J12363">
        <v>9.8800000000000008</v>
      </c>
    </row>
    <row r="12364" spans="1:10" hidden="1">
      <c r="A12364" t="s">
        <v>7127</v>
      </c>
      <c r="B12364" t="s">
        <v>7128</v>
      </c>
      <c r="C12364" t="s">
        <v>6839</v>
      </c>
      <c r="D12364" t="s">
        <v>5419</v>
      </c>
      <c r="E12364" t="s">
        <v>556</v>
      </c>
      <c r="F12364" t="s">
        <v>1068</v>
      </c>
      <c r="G12364" t="s">
        <v>1073</v>
      </c>
      <c r="H12364" s="171" t="s">
        <v>7130</v>
      </c>
      <c r="I12364" t="s">
        <v>1074</v>
      </c>
      <c r="J12364">
        <v>9.8800000000000008</v>
      </c>
    </row>
    <row r="12365" spans="1:10" hidden="1">
      <c r="A12365" t="s">
        <v>7127</v>
      </c>
      <c r="B12365" t="s">
        <v>7128</v>
      </c>
      <c r="C12365" t="s">
        <v>6839</v>
      </c>
      <c r="D12365" t="s">
        <v>5419</v>
      </c>
      <c r="E12365" t="s">
        <v>556</v>
      </c>
      <c r="F12365" t="s">
        <v>1068</v>
      </c>
      <c r="G12365" t="s">
        <v>1075</v>
      </c>
      <c r="H12365">
        <v>9.4686057821355592E-3</v>
      </c>
      <c r="I12365" t="s">
        <v>1077</v>
      </c>
      <c r="J12365">
        <v>9.8800000000000008</v>
      </c>
    </row>
    <row r="12366" spans="1:10" hidden="1">
      <c r="A12366" t="s">
        <v>7127</v>
      </c>
      <c r="B12366" t="s">
        <v>7128</v>
      </c>
      <c r="C12366" t="s">
        <v>6839</v>
      </c>
      <c r="D12366" t="s">
        <v>5419</v>
      </c>
      <c r="E12366" t="s">
        <v>556</v>
      </c>
      <c r="F12366" t="s">
        <v>1068</v>
      </c>
      <c r="G12366" t="s">
        <v>1078</v>
      </c>
      <c r="H12366" s="171" t="s">
        <v>7131</v>
      </c>
      <c r="I12366" t="s">
        <v>1079</v>
      </c>
      <c r="J12366">
        <v>9.8800000000000008</v>
      </c>
    </row>
    <row r="12367" spans="1:10" hidden="1">
      <c r="A12367" t="s">
        <v>7127</v>
      </c>
      <c r="B12367" t="s">
        <v>7128</v>
      </c>
      <c r="C12367" t="s">
        <v>6839</v>
      </c>
      <c r="D12367" t="s">
        <v>5419</v>
      </c>
      <c r="E12367" t="s">
        <v>556</v>
      </c>
      <c r="F12367" t="s">
        <v>1068</v>
      </c>
      <c r="G12367" t="s">
        <v>1080</v>
      </c>
      <c r="H12367" s="171" t="s">
        <v>7132</v>
      </c>
      <c r="I12367" t="s">
        <v>1082</v>
      </c>
      <c r="J12367">
        <v>9.8800000000000008</v>
      </c>
    </row>
    <row r="12368" spans="1:10" hidden="1">
      <c r="A12368" t="s">
        <v>7127</v>
      </c>
      <c r="B12368" t="s">
        <v>7128</v>
      </c>
      <c r="C12368" t="s">
        <v>6839</v>
      </c>
      <c r="D12368" t="s">
        <v>5419</v>
      </c>
      <c r="E12368" t="s">
        <v>556</v>
      </c>
      <c r="F12368" t="s">
        <v>1068</v>
      </c>
      <c r="G12368" t="s">
        <v>1083</v>
      </c>
      <c r="H12368" s="171" t="s">
        <v>7133</v>
      </c>
      <c r="I12368" t="s">
        <v>1084</v>
      </c>
      <c r="J12368">
        <v>9.8800000000000008</v>
      </c>
    </row>
    <row r="12369" spans="1:10" hidden="1">
      <c r="A12369" t="s">
        <v>7127</v>
      </c>
      <c r="B12369" t="s">
        <v>7128</v>
      </c>
      <c r="C12369" t="s">
        <v>6839</v>
      </c>
      <c r="D12369" t="s">
        <v>5419</v>
      </c>
      <c r="E12369" t="s">
        <v>556</v>
      </c>
      <c r="F12369" t="s">
        <v>1068</v>
      </c>
      <c r="G12369" t="s">
        <v>1085</v>
      </c>
      <c r="H12369">
        <v>3.4283137786902902E-4</v>
      </c>
      <c r="I12369" t="s">
        <v>1086</v>
      </c>
      <c r="J12369">
        <v>9.8800000000000008</v>
      </c>
    </row>
    <row r="12370" spans="1:10" hidden="1">
      <c r="A12370" t="s">
        <v>7127</v>
      </c>
      <c r="B12370" t="s">
        <v>7128</v>
      </c>
      <c r="C12370" t="s">
        <v>6839</v>
      </c>
      <c r="D12370" t="s">
        <v>5419</v>
      </c>
      <c r="E12370" t="s">
        <v>556</v>
      </c>
      <c r="F12370" t="s">
        <v>1068</v>
      </c>
      <c r="G12370" t="s">
        <v>1087</v>
      </c>
      <c r="H12370" s="171" t="s">
        <v>7134</v>
      </c>
      <c r="I12370" t="s">
        <v>1088</v>
      </c>
      <c r="J12370">
        <v>9.8800000000000008</v>
      </c>
    </row>
    <row r="12371" spans="1:10" hidden="1">
      <c r="A12371" t="s">
        <v>7127</v>
      </c>
      <c r="B12371" t="s">
        <v>7128</v>
      </c>
      <c r="C12371" t="s">
        <v>6839</v>
      </c>
      <c r="D12371" t="s">
        <v>5419</v>
      </c>
      <c r="E12371" t="s">
        <v>556</v>
      </c>
      <c r="F12371" t="s">
        <v>1068</v>
      </c>
      <c r="G12371" t="s">
        <v>1089</v>
      </c>
      <c r="H12371" s="171" t="s">
        <v>7135</v>
      </c>
      <c r="I12371" t="s">
        <v>1090</v>
      </c>
      <c r="J12371">
        <v>9.8800000000000008</v>
      </c>
    </row>
    <row r="12372" spans="1:10" hidden="1">
      <c r="A12372" t="s">
        <v>7136</v>
      </c>
      <c r="B12372" t="s">
        <v>7137</v>
      </c>
      <c r="C12372" t="s">
        <v>6839</v>
      </c>
      <c r="D12372" t="s">
        <v>5419</v>
      </c>
      <c r="E12372" t="s">
        <v>557</v>
      </c>
      <c r="F12372" t="s">
        <v>1068</v>
      </c>
      <c r="G12372" t="s">
        <v>1069</v>
      </c>
      <c r="H12372">
        <v>9.3192997420617804E-2</v>
      </c>
      <c r="I12372" t="s">
        <v>1070</v>
      </c>
      <c r="J12372">
        <v>8.94</v>
      </c>
    </row>
    <row r="12373" spans="1:10" hidden="1">
      <c r="A12373" t="s">
        <v>7136</v>
      </c>
      <c r="B12373" t="s">
        <v>7137</v>
      </c>
      <c r="C12373" t="s">
        <v>6839</v>
      </c>
      <c r="D12373" t="s">
        <v>5419</v>
      </c>
      <c r="E12373" t="s">
        <v>557</v>
      </c>
      <c r="F12373" t="s">
        <v>1068</v>
      </c>
      <c r="G12373" t="s">
        <v>1071</v>
      </c>
      <c r="H12373" s="171" t="s">
        <v>7138</v>
      </c>
      <c r="I12373" t="s">
        <v>1072</v>
      </c>
      <c r="J12373">
        <v>8.94</v>
      </c>
    </row>
    <row r="12374" spans="1:10" hidden="1">
      <c r="A12374" t="s">
        <v>7136</v>
      </c>
      <c r="B12374" t="s">
        <v>7137</v>
      </c>
      <c r="C12374" t="s">
        <v>6839</v>
      </c>
      <c r="D12374" t="s">
        <v>5419</v>
      </c>
      <c r="E12374" t="s">
        <v>557</v>
      </c>
      <c r="F12374" t="s">
        <v>1068</v>
      </c>
      <c r="G12374" t="s">
        <v>1073</v>
      </c>
      <c r="H12374" s="171" t="s">
        <v>7139</v>
      </c>
      <c r="I12374" t="s">
        <v>1074</v>
      </c>
      <c r="J12374">
        <v>8.94</v>
      </c>
    </row>
    <row r="12375" spans="1:10" hidden="1">
      <c r="A12375" t="s">
        <v>7136</v>
      </c>
      <c r="B12375" t="s">
        <v>7137</v>
      </c>
      <c r="C12375" t="s">
        <v>6839</v>
      </c>
      <c r="D12375" t="s">
        <v>5419</v>
      </c>
      <c r="E12375" t="s">
        <v>557</v>
      </c>
      <c r="F12375" t="s">
        <v>1068</v>
      </c>
      <c r="G12375" t="s">
        <v>1075</v>
      </c>
      <c r="H12375">
        <v>9.4683902764537298E-3</v>
      </c>
      <c r="I12375" t="s">
        <v>1077</v>
      </c>
      <c r="J12375">
        <v>8.94</v>
      </c>
    </row>
    <row r="12376" spans="1:10" hidden="1">
      <c r="A12376" t="s">
        <v>7136</v>
      </c>
      <c r="B12376" t="s">
        <v>7137</v>
      </c>
      <c r="C12376" t="s">
        <v>6839</v>
      </c>
      <c r="D12376" t="s">
        <v>5419</v>
      </c>
      <c r="E12376" t="s">
        <v>557</v>
      </c>
      <c r="F12376" t="s">
        <v>1068</v>
      </c>
      <c r="G12376" t="s">
        <v>1078</v>
      </c>
      <c r="H12376" s="171" t="s">
        <v>7140</v>
      </c>
      <c r="I12376" t="s">
        <v>1079</v>
      </c>
      <c r="J12376">
        <v>8.94</v>
      </c>
    </row>
    <row r="12377" spans="1:10" hidden="1">
      <c r="A12377" t="s">
        <v>7136</v>
      </c>
      <c r="B12377" t="s">
        <v>7137</v>
      </c>
      <c r="C12377" t="s">
        <v>6839</v>
      </c>
      <c r="D12377" t="s">
        <v>5419</v>
      </c>
      <c r="E12377" t="s">
        <v>557</v>
      </c>
      <c r="F12377" t="s">
        <v>1068</v>
      </c>
      <c r="G12377" t="s">
        <v>1080</v>
      </c>
      <c r="H12377" s="171" t="s">
        <v>7141</v>
      </c>
      <c r="I12377" t="s">
        <v>1082</v>
      </c>
      <c r="J12377">
        <v>8.94</v>
      </c>
    </row>
    <row r="12378" spans="1:10" hidden="1">
      <c r="A12378" t="s">
        <v>7136</v>
      </c>
      <c r="B12378" t="s">
        <v>7137</v>
      </c>
      <c r="C12378" t="s">
        <v>6839</v>
      </c>
      <c r="D12378" t="s">
        <v>5419</v>
      </c>
      <c r="E12378" t="s">
        <v>557</v>
      </c>
      <c r="F12378" t="s">
        <v>1068</v>
      </c>
      <c r="G12378" t="s">
        <v>1083</v>
      </c>
      <c r="H12378" s="171" t="s">
        <v>7142</v>
      </c>
      <c r="I12378" t="s">
        <v>1084</v>
      </c>
      <c r="J12378">
        <v>8.94</v>
      </c>
    </row>
    <row r="12379" spans="1:10" hidden="1">
      <c r="A12379" t="s">
        <v>7136</v>
      </c>
      <c r="B12379" t="s">
        <v>7137</v>
      </c>
      <c r="C12379" t="s">
        <v>6839</v>
      </c>
      <c r="D12379" t="s">
        <v>5419</v>
      </c>
      <c r="E12379" t="s">
        <v>557</v>
      </c>
      <c r="F12379" t="s">
        <v>1068</v>
      </c>
      <c r="G12379" t="s">
        <v>1085</v>
      </c>
      <c r="H12379">
        <v>3.4281966900420599E-4</v>
      </c>
      <c r="I12379" t="s">
        <v>1086</v>
      </c>
      <c r="J12379">
        <v>8.94</v>
      </c>
    </row>
    <row r="12380" spans="1:10" hidden="1">
      <c r="A12380" t="s">
        <v>7136</v>
      </c>
      <c r="B12380" t="s">
        <v>7137</v>
      </c>
      <c r="C12380" t="s">
        <v>6839</v>
      </c>
      <c r="D12380" t="s">
        <v>5419</v>
      </c>
      <c r="E12380" t="s">
        <v>557</v>
      </c>
      <c r="F12380" t="s">
        <v>1068</v>
      </c>
      <c r="G12380" t="s">
        <v>1087</v>
      </c>
      <c r="H12380" s="171" t="s">
        <v>7143</v>
      </c>
      <c r="I12380" t="s">
        <v>1088</v>
      </c>
      <c r="J12380">
        <v>8.94</v>
      </c>
    </row>
    <row r="12381" spans="1:10" hidden="1">
      <c r="A12381" t="s">
        <v>7136</v>
      </c>
      <c r="B12381" t="s">
        <v>7137</v>
      </c>
      <c r="C12381" t="s">
        <v>6839</v>
      </c>
      <c r="D12381" t="s">
        <v>5419</v>
      </c>
      <c r="E12381" t="s">
        <v>557</v>
      </c>
      <c r="F12381" t="s">
        <v>1068</v>
      </c>
      <c r="G12381" t="s">
        <v>1089</v>
      </c>
      <c r="H12381" s="171" t="s">
        <v>7144</v>
      </c>
      <c r="I12381" t="s">
        <v>1090</v>
      </c>
      <c r="J12381">
        <v>8.94</v>
      </c>
    </row>
    <row r="12382" spans="1:10" hidden="1">
      <c r="A12382" t="s">
        <v>7145</v>
      </c>
      <c r="B12382" t="s">
        <v>7146</v>
      </c>
      <c r="C12382" t="s">
        <v>6839</v>
      </c>
      <c r="D12382" t="s">
        <v>5419</v>
      </c>
      <c r="E12382" t="s">
        <v>559</v>
      </c>
      <c r="F12382" t="s">
        <v>1068</v>
      </c>
      <c r="G12382" t="s">
        <v>1069</v>
      </c>
      <c r="H12382">
        <v>9.3201527131407697E-2</v>
      </c>
      <c r="I12382" t="s">
        <v>1070</v>
      </c>
      <c r="J12382">
        <v>9.15</v>
      </c>
    </row>
    <row r="12383" spans="1:10" hidden="1">
      <c r="A12383" t="s">
        <v>7145</v>
      </c>
      <c r="B12383" t="s">
        <v>7146</v>
      </c>
      <c r="C12383" t="s">
        <v>6839</v>
      </c>
      <c r="D12383" t="s">
        <v>5419</v>
      </c>
      <c r="E12383" t="s">
        <v>559</v>
      </c>
      <c r="F12383" t="s">
        <v>1068</v>
      </c>
      <c r="G12383" t="s">
        <v>1071</v>
      </c>
      <c r="H12383" s="171" t="s">
        <v>7147</v>
      </c>
      <c r="I12383" t="s">
        <v>1072</v>
      </c>
      <c r="J12383">
        <v>9.15</v>
      </c>
    </row>
    <row r="12384" spans="1:10" hidden="1">
      <c r="A12384" t="s">
        <v>7145</v>
      </c>
      <c r="B12384" t="s">
        <v>7146</v>
      </c>
      <c r="C12384" t="s">
        <v>6839</v>
      </c>
      <c r="D12384" t="s">
        <v>5419</v>
      </c>
      <c r="E12384" t="s">
        <v>559</v>
      </c>
      <c r="F12384" t="s">
        <v>1068</v>
      </c>
      <c r="G12384" t="s">
        <v>1073</v>
      </c>
      <c r="H12384" s="171" t="s">
        <v>7148</v>
      </c>
      <c r="I12384" t="s">
        <v>1074</v>
      </c>
      <c r="J12384">
        <v>9.15</v>
      </c>
    </row>
    <row r="12385" spans="1:10" hidden="1">
      <c r="A12385" t="s">
        <v>7145</v>
      </c>
      <c r="B12385" t="s">
        <v>7146</v>
      </c>
      <c r="C12385" t="s">
        <v>6839</v>
      </c>
      <c r="D12385" t="s">
        <v>5419</v>
      </c>
      <c r="E12385" t="s">
        <v>559</v>
      </c>
      <c r="F12385" t="s">
        <v>1068</v>
      </c>
      <c r="G12385" t="s">
        <v>1075</v>
      </c>
      <c r="H12385">
        <v>9.4685033029227698E-3</v>
      </c>
      <c r="I12385" t="s">
        <v>1077</v>
      </c>
      <c r="J12385">
        <v>9.15</v>
      </c>
    </row>
    <row r="12386" spans="1:10" hidden="1">
      <c r="A12386" t="s">
        <v>7145</v>
      </c>
      <c r="B12386" t="s">
        <v>7146</v>
      </c>
      <c r="C12386" t="s">
        <v>6839</v>
      </c>
      <c r="D12386" t="s">
        <v>5419</v>
      </c>
      <c r="E12386" t="s">
        <v>559</v>
      </c>
      <c r="F12386" t="s">
        <v>1068</v>
      </c>
      <c r="G12386" t="s">
        <v>1078</v>
      </c>
      <c r="H12386" s="171" t="s">
        <v>7149</v>
      </c>
      <c r="I12386" t="s">
        <v>1079</v>
      </c>
      <c r="J12386">
        <v>9.15</v>
      </c>
    </row>
    <row r="12387" spans="1:10" hidden="1">
      <c r="A12387" t="s">
        <v>7145</v>
      </c>
      <c r="B12387" t="s">
        <v>7146</v>
      </c>
      <c r="C12387" t="s">
        <v>6839</v>
      </c>
      <c r="D12387" t="s">
        <v>5419</v>
      </c>
      <c r="E12387" t="s">
        <v>559</v>
      </c>
      <c r="F12387" t="s">
        <v>1068</v>
      </c>
      <c r="G12387" t="s">
        <v>1080</v>
      </c>
      <c r="H12387" s="171" t="s">
        <v>7150</v>
      </c>
      <c r="I12387" t="s">
        <v>1082</v>
      </c>
      <c r="J12387">
        <v>9.15</v>
      </c>
    </row>
    <row r="12388" spans="1:10" hidden="1">
      <c r="A12388" t="s">
        <v>7145</v>
      </c>
      <c r="B12388" t="s">
        <v>7146</v>
      </c>
      <c r="C12388" t="s">
        <v>6839</v>
      </c>
      <c r="D12388" t="s">
        <v>5419</v>
      </c>
      <c r="E12388" t="s">
        <v>559</v>
      </c>
      <c r="F12388" t="s">
        <v>1068</v>
      </c>
      <c r="G12388" t="s">
        <v>1083</v>
      </c>
      <c r="H12388" s="171" t="s">
        <v>7151</v>
      </c>
      <c r="I12388" t="s">
        <v>1084</v>
      </c>
      <c r="J12388">
        <v>9.15</v>
      </c>
    </row>
    <row r="12389" spans="1:10" hidden="1">
      <c r="A12389" t="s">
        <v>7145</v>
      </c>
      <c r="B12389" t="s">
        <v>7146</v>
      </c>
      <c r="C12389" t="s">
        <v>6839</v>
      </c>
      <c r="D12389" t="s">
        <v>5419</v>
      </c>
      <c r="E12389" t="s">
        <v>559</v>
      </c>
      <c r="F12389" t="s">
        <v>1068</v>
      </c>
      <c r="G12389" t="s">
        <v>1085</v>
      </c>
      <c r="H12389">
        <v>3.4282580859634201E-4</v>
      </c>
      <c r="I12389" t="s">
        <v>1086</v>
      </c>
      <c r="J12389">
        <v>9.15</v>
      </c>
    </row>
    <row r="12390" spans="1:10" hidden="1">
      <c r="A12390" t="s">
        <v>7145</v>
      </c>
      <c r="B12390" t="s">
        <v>7146</v>
      </c>
      <c r="C12390" t="s">
        <v>6839</v>
      </c>
      <c r="D12390" t="s">
        <v>5419</v>
      </c>
      <c r="E12390" t="s">
        <v>559</v>
      </c>
      <c r="F12390" t="s">
        <v>1068</v>
      </c>
      <c r="G12390" t="s">
        <v>1087</v>
      </c>
      <c r="H12390" s="171" t="s">
        <v>7152</v>
      </c>
      <c r="I12390" t="s">
        <v>1088</v>
      </c>
      <c r="J12390">
        <v>9.15</v>
      </c>
    </row>
    <row r="12391" spans="1:10" hidden="1">
      <c r="A12391" t="s">
        <v>7145</v>
      </c>
      <c r="B12391" t="s">
        <v>7146</v>
      </c>
      <c r="C12391" t="s">
        <v>6839</v>
      </c>
      <c r="D12391" t="s">
        <v>5419</v>
      </c>
      <c r="E12391" t="s">
        <v>559</v>
      </c>
      <c r="F12391" t="s">
        <v>1068</v>
      </c>
      <c r="G12391" t="s">
        <v>1089</v>
      </c>
      <c r="H12391" s="171" t="s">
        <v>7153</v>
      </c>
      <c r="I12391" t="s">
        <v>1090</v>
      </c>
      <c r="J12391">
        <v>9.15</v>
      </c>
    </row>
    <row r="12392" spans="1:10" hidden="1">
      <c r="A12392" t="s">
        <v>7154</v>
      </c>
      <c r="B12392" t="s">
        <v>7155</v>
      </c>
      <c r="C12392" t="s">
        <v>6839</v>
      </c>
      <c r="D12392" t="s">
        <v>5419</v>
      </c>
      <c r="E12392" t="s">
        <v>560</v>
      </c>
      <c r="F12392" t="s">
        <v>1068</v>
      </c>
      <c r="G12392" t="s">
        <v>1069</v>
      </c>
      <c r="H12392">
        <v>9.3194983230942094E-2</v>
      </c>
      <c r="I12392" t="s">
        <v>1070</v>
      </c>
      <c r="J12392">
        <v>8.8699999999999992</v>
      </c>
    </row>
    <row r="12393" spans="1:10" hidden="1">
      <c r="A12393" t="s">
        <v>7154</v>
      </c>
      <c r="B12393" t="s">
        <v>7155</v>
      </c>
      <c r="C12393" t="s">
        <v>6839</v>
      </c>
      <c r="D12393" t="s">
        <v>5419</v>
      </c>
      <c r="E12393" t="s">
        <v>560</v>
      </c>
      <c r="F12393" t="s">
        <v>1068</v>
      </c>
      <c r="G12393" t="s">
        <v>1071</v>
      </c>
      <c r="H12393" s="171" t="s">
        <v>7156</v>
      </c>
      <c r="I12393" t="s">
        <v>1072</v>
      </c>
      <c r="J12393">
        <v>8.8699999999999992</v>
      </c>
    </row>
    <row r="12394" spans="1:10" hidden="1">
      <c r="A12394" t="s">
        <v>7154</v>
      </c>
      <c r="B12394" t="s">
        <v>7155</v>
      </c>
      <c r="C12394" t="s">
        <v>6839</v>
      </c>
      <c r="D12394" t="s">
        <v>5419</v>
      </c>
      <c r="E12394" t="s">
        <v>560</v>
      </c>
      <c r="F12394" t="s">
        <v>1068</v>
      </c>
      <c r="G12394" t="s">
        <v>1073</v>
      </c>
      <c r="H12394" s="171" t="s">
        <v>7157</v>
      </c>
      <c r="I12394" t="s">
        <v>1074</v>
      </c>
      <c r="J12394">
        <v>8.8699999999999992</v>
      </c>
    </row>
    <row r="12395" spans="1:10" hidden="1">
      <c r="A12395" t="s">
        <v>7154</v>
      </c>
      <c r="B12395" t="s">
        <v>7155</v>
      </c>
      <c r="C12395" t="s">
        <v>6839</v>
      </c>
      <c r="D12395" t="s">
        <v>5419</v>
      </c>
      <c r="E12395" t="s">
        <v>560</v>
      </c>
      <c r="F12395" t="s">
        <v>1068</v>
      </c>
      <c r="G12395" t="s">
        <v>1075</v>
      </c>
      <c r="H12395">
        <v>9.4684530500394604E-3</v>
      </c>
      <c r="I12395" t="s">
        <v>1077</v>
      </c>
      <c r="J12395">
        <v>8.8699999999999992</v>
      </c>
    </row>
    <row r="12396" spans="1:10" hidden="1">
      <c r="A12396" t="s">
        <v>7154</v>
      </c>
      <c r="B12396" t="s">
        <v>7155</v>
      </c>
      <c r="C12396" t="s">
        <v>6839</v>
      </c>
      <c r="D12396" t="s">
        <v>5419</v>
      </c>
      <c r="E12396" t="s">
        <v>560</v>
      </c>
      <c r="F12396" t="s">
        <v>1068</v>
      </c>
      <c r="G12396" t="s">
        <v>1078</v>
      </c>
      <c r="H12396" s="171" t="s">
        <v>7158</v>
      </c>
      <c r="I12396" t="s">
        <v>1079</v>
      </c>
      <c r="J12396">
        <v>8.8699999999999992</v>
      </c>
    </row>
    <row r="12397" spans="1:10" hidden="1">
      <c r="A12397" t="s">
        <v>7154</v>
      </c>
      <c r="B12397" t="s">
        <v>7155</v>
      </c>
      <c r="C12397" t="s">
        <v>6839</v>
      </c>
      <c r="D12397" t="s">
        <v>5419</v>
      </c>
      <c r="E12397" t="s">
        <v>560</v>
      </c>
      <c r="F12397" t="s">
        <v>1068</v>
      </c>
      <c r="G12397" t="s">
        <v>1080</v>
      </c>
      <c r="H12397" s="171" t="s">
        <v>7159</v>
      </c>
      <c r="I12397" t="s">
        <v>1082</v>
      </c>
      <c r="J12397">
        <v>8.8699999999999992</v>
      </c>
    </row>
    <row r="12398" spans="1:10" hidden="1">
      <c r="A12398" t="s">
        <v>7154</v>
      </c>
      <c r="B12398" t="s">
        <v>7155</v>
      </c>
      <c r="C12398" t="s">
        <v>6839</v>
      </c>
      <c r="D12398" t="s">
        <v>5419</v>
      </c>
      <c r="E12398" t="s">
        <v>560</v>
      </c>
      <c r="F12398" t="s">
        <v>1068</v>
      </c>
      <c r="G12398" t="s">
        <v>1083</v>
      </c>
      <c r="H12398" s="171" t="s">
        <v>7160</v>
      </c>
      <c r="I12398" t="s">
        <v>1084</v>
      </c>
      <c r="J12398">
        <v>8.8699999999999992</v>
      </c>
    </row>
    <row r="12399" spans="1:10" hidden="1">
      <c r="A12399" t="s">
        <v>7154</v>
      </c>
      <c r="B12399" t="s">
        <v>7155</v>
      </c>
      <c r="C12399" t="s">
        <v>6839</v>
      </c>
      <c r="D12399" t="s">
        <v>5419</v>
      </c>
      <c r="E12399" t="s">
        <v>560</v>
      </c>
      <c r="F12399" t="s">
        <v>1068</v>
      </c>
      <c r="G12399" t="s">
        <v>1085</v>
      </c>
      <c r="H12399">
        <v>3.4282308045916301E-4</v>
      </c>
      <c r="I12399" t="s">
        <v>1086</v>
      </c>
      <c r="J12399">
        <v>8.8699999999999992</v>
      </c>
    </row>
    <row r="12400" spans="1:10" hidden="1">
      <c r="A12400" t="s">
        <v>7154</v>
      </c>
      <c r="B12400" t="s">
        <v>7155</v>
      </c>
      <c r="C12400" t="s">
        <v>6839</v>
      </c>
      <c r="D12400" t="s">
        <v>5419</v>
      </c>
      <c r="E12400" t="s">
        <v>560</v>
      </c>
      <c r="F12400" t="s">
        <v>1068</v>
      </c>
      <c r="G12400" t="s">
        <v>1087</v>
      </c>
      <c r="H12400" s="171" t="s">
        <v>7161</v>
      </c>
      <c r="I12400" t="s">
        <v>1088</v>
      </c>
      <c r="J12400">
        <v>8.8699999999999992</v>
      </c>
    </row>
    <row r="12401" spans="1:10" hidden="1">
      <c r="A12401" t="s">
        <v>7154</v>
      </c>
      <c r="B12401" t="s">
        <v>7155</v>
      </c>
      <c r="C12401" t="s">
        <v>6839</v>
      </c>
      <c r="D12401" t="s">
        <v>5419</v>
      </c>
      <c r="E12401" t="s">
        <v>560</v>
      </c>
      <c r="F12401" t="s">
        <v>1068</v>
      </c>
      <c r="G12401" t="s">
        <v>1089</v>
      </c>
      <c r="H12401" s="171" t="s">
        <v>7162</v>
      </c>
      <c r="I12401" t="s">
        <v>1090</v>
      </c>
      <c r="J12401">
        <v>8.8699999999999992</v>
      </c>
    </row>
    <row r="12402" spans="1:10" hidden="1">
      <c r="A12402" t="s">
        <v>7163</v>
      </c>
      <c r="B12402" t="s">
        <v>7164</v>
      </c>
      <c r="C12402" t="s">
        <v>6839</v>
      </c>
      <c r="D12402" t="s">
        <v>5419</v>
      </c>
      <c r="E12402" t="s">
        <v>1116</v>
      </c>
      <c r="F12402" t="s">
        <v>1068</v>
      </c>
      <c r="G12402" t="s">
        <v>1069</v>
      </c>
      <c r="H12402">
        <v>9.3188956096904099E-2</v>
      </c>
      <c r="I12402" t="s">
        <v>1070</v>
      </c>
      <c r="J12402">
        <v>8.66</v>
      </c>
    </row>
    <row r="12403" spans="1:10" hidden="1">
      <c r="A12403" t="s">
        <v>7163</v>
      </c>
      <c r="B12403" t="s">
        <v>7164</v>
      </c>
      <c r="C12403" t="s">
        <v>6839</v>
      </c>
      <c r="D12403" t="s">
        <v>5419</v>
      </c>
      <c r="E12403" t="s">
        <v>1116</v>
      </c>
      <c r="F12403" t="s">
        <v>1068</v>
      </c>
      <c r="G12403" t="s">
        <v>1071</v>
      </c>
      <c r="H12403" s="171" t="s">
        <v>7165</v>
      </c>
      <c r="I12403" t="s">
        <v>1072</v>
      </c>
      <c r="J12403">
        <v>8.66</v>
      </c>
    </row>
    <row r="12404" spans="1:10" hidden="1">
      <c r="A12404" t="s">
        <v>7163</v>
      </c>
      <c r="B12404" t="s">
        <v>7164</v>
      </c>
      <c r="C12404" t="s">
        <v>6839</v>
      </c>
      <c r="D12404" t="s">
        <v>5419</v>
      </c>
      <c r="E12404" t="s">
        <v>1116</v>
      </c>
      <c r="F12404" t="s">
        <v>1068</v>
      </c>
      <c r="G12404" t="s">
        <v>1073</v>
      </c>
      <c r="H12404" s="171" t="s">
        <v>7166</v>
      </c>
      <c r="I12404" t="s">
        <v>1074</v>
      </c>
      <c r="J12404">
        <v>8.66</v>
      </c>
    </row>
    <row r="12405" spans="1:10" hidden="1">
      <c r="A12405" t="s">
        <v>7163</v>
      </c>
      <c r="B12405" t="s">
        <v>7164</v>
      </c>
      <c r="C12405" t="s">
        <v>6839</v>
      </c>
      <c r="D12405" t="s">
        <v>5419</v>
      </c>
      <c r="E12405" t="s">
        <v>1116</v>
      </c>
      <c r="F12405" t="s">
        <v>1068</v>
      </c>
      <c r="G12405" t="s">
        <v>1075</v>
      </c>
      <c r="H12405">
        <v>9.4682625258939099E-3</v>
      </c>
      <c r="I12405" t="s">
        <v>1077</v>
      </c>
      <c r="J12405">
        <v>8.66</v>
      </c>
    </row>
    <row r="12406" spans="1:10" hidden="1">
      <c r="A12406" t="s">
        <v>7163</v>
      </c>
      <c r="B12406" t="s">
        <v>7164</v>
      </c>
      <c r="C12406" t="s">
        <v>6839</v>
      </c>
      <c r="D12406" t="s">
        <v>5419</v>
      </c>
      <c r="E12406" t="s">
        <v>1116</v>
      </c>
      <c r="F12406" t="s">
        <v>1068</v>
      </c>
      <c r="G12406" t="s">
        <v>1078</v>
      </c>
      <c r="H12406" s="171" t="s">
        <v>7167</v>
      </c>
      <c r="I12406" t="s">
        <v>1079</v>
      </c>
      <c r="J12406">
        <v>8.66</v>
      </c>
    </row>
    <row r="12407" spans="1:10" hidden="1">
      <c r="A12407" t="s">
        <v>7163</v>
      </c>
      <c r="B12407" t="s">
        <v>7164</v>
      </c>
      <c r="C12407" t="s">
        <v>6839</v>
      </c>
      <c r="D12407" t="s">
        <v>5419</v>
      </c>
      <c r="E12407" t="s">
        <v>1116</v>
      </c>
      <c r="F12407" t="s">
        <v>1068</v>
      </c>
      <c r="G12407" t="s">
        <v>1080</v>
      </c>
      <c r="H12407" s="171" t="s">
        <v>7168</v>
      </c>
      <c r="I12407" t="s">
        <v>1082</v>
      </c>
      <c r="J12407">
        <v>8.66</v>
      </c>
    </row>
    <row r="12408" spans="1:10" hidden="1">
      <c r="A12408" t="s">
        <v>7163</v>
      </c>
      <c r="B12408" t="s">
        <v>7164</v>
      </c>
      <c r="C12408" t="s">
        <v>6839</v>
      </c>
      <c r="D12408" t="s">
        <v>5419</v>
      </c>
      <c r="E12408" t="s">
        <v>1116</v>
      </c>
      <c r="F12408" t="s">
        <v>1068</v>
      </c>
      <c r="G12408" t="s">
        <v>1083</v>
      </c>
      <c r="H12408" s="171" t="s">
        <v>7169</v>
      </c>
      <c r="I12408" t="s">
        <v>1084</v>
      </c>
      <c r="J12408">
        <v>8.66</v>
      </c>
    </row>
    <row r="12409" spans="1:10" hidden="1">
      <c r="A12409" t="s">
        <v>7163</v>
      </c>
      <c r="B12409" t="s">
        <v>7164</v>
      </c>
      <c r="C12409" t="s">
        <v>6839</v>
      </c>
      <c r="D12409" t="s">
        <v>5419</v>
      </c>
      <c r="E12409" t="s">
        <v>1116</v>
      </c>
      <c r="F12409" t="s">
        <v>1068</v>
      </c>
      <c r="G12409" t="s">
        <v>1085</v>
      </c>
      <c r="H12409">
        <v>3.4281272635029302E-4</v>
      </c>
      <c r="I12409" t="s">
        <v>1086</v>
      </c>
      <c r="J12409">
        <v>8.66</v>
      </c>
    </row>
    <row r="12410" spans="1:10" hidden="1">
      <c r="A12410" t="s">
        <v>7163</v>
      </c>
      <c r="B12410" t="s">
        <v>7164</v>
      </c>
      <c r="C12410" t="s">
        <v>6839</v>
      </c>
      <c r="D12410" t="s">
        <v>5419</v>
      </c>
      <c r="E12410" t="s">
        <v>1116</v>
      </c>
      <c r="F12410" t="s">
        <v>1068</v>
      </c>
      <c r="G12410" t="s">
        <v>1087</v>
      </c>
      <c r="H12410" s="171" t="s">
        <v>7170</v>
      </c>
      <c r="I12410" t="s">
        <v>1088</v>
      </c>
      <c r="J12410">
        <v>8.66</v>
      </c>
    </row>
    <row r="12411" spans="1:10" hidden="1">
      <c r="A12411" t="s">
        <v>7163</v>
      </c>
      <c r="B12411" t="s">
        <v>7164</v>
      </c>
      <c r="C12411" t="s">
        <v>6839</v>
      </c>
      <c r="D12411" t="s">
        <v>5419</v>
      </c>
      <c r="E12411" t="s">
        <v>1116</v>
      </c>
      <c r="F12411" t="s">
        <v>1068</v>
      </c>
      <c r="G12411" t="s">
        <v>1089</v>
      </c>
      <c r="H12411" s="171" t="s">
        <v>7171</v>
      </c>
      <c r="I12411" t="s">
        <v>1090</v>
      </c>
      <c r="J12411">
        <v>8.66</v>
      </c>
    </row>
    <row r="12412" spans="1:10" hidden="1">
      <c r="A12412" t="s">
        <v>7172</v>
      </c>
      <c r="B12412" t="s">
        <v>7173</v>
      </c>
      <c r="C12412" t="s">
        <v>6839</v>
      </c>
      <c r="D12412" t="s">
        <v>1067</v>
      </c>
      <c r="E12412" t="s">
        <v>561</v>
      </c>
      <c r="F12412" t="s">
        <v>1068</v>
      </c>
      <c r="G12412" t="s">
        <v>1069</v>
      </c>
      <c r="H12412" s="171" t="s">
        <v>7174</v>
      </c>
      <c r="I12412" t="s">
        <v>1070</v>
      </c>
      <c r="J12412">
        <v>8.94</v>
      </c>
    </row>
    <row r="12413" spans="1:10" hidden="1">
      <c r="A12413" t="s">
        <v>7172</v>
      </c>
      <c r="B12413" t="s">
        <v>7173</v>
      </c>
      <c r="C12413" t="s">
        <v>6839</v>
      </c>
      <c r="D12413" t="s">
        <v>1067</v>
      </c>
      <c r="E12413" t="s">
        <v>561</v>
      </c>
      <c r="F12413" t="s">
        <v>1068</v>
      </c>
      <c r="G12413" t="s">
        <v>1071</v>
      </c>
      <c r="H12413" s="171" t="s">
        <v>7175</v>
      </c>
      <c r="I12413" t="s">
        <v>1072</v>
      </c>
      <c r="J12413">
        <v>8.94</v>
      </c>
    </row>
    <row r="12414" spans="1:10" hidden="1">
      <c r="A12414" t="s">
        <v>7172</v>
      </c>
      <c r="B12414" t="s">
        <v>7173</v>
      </c>
      <c r="C12414" t="s">
        <v>6839</v>
      </c>
      <c r="D12414" t="s">
        <v>1067</v>
      </c>
      <c r="E12414" t="s">
        <v>561</v>
      </c>
      <c r="F12414" t="s">
        <v>1068</v>
      </c>
      <c r="G12414" t="s">
        <v>1073</v>
      </c>
      <c r="H12414" s="171" t="s">
        <v>7176</v>
      </c>
      <c r="I12414" t="s">
        <v>1074</v>
      </c>
      <c r="J12414">
        <v>8.94</v>
      </c>
    </row>
    <row r="12415" spans="1:10" hidden="1">
      <c r="A12415" t="s">
        <v>7172</v>
      </c>
      <c r="B12415" t="s">
        <v>7173</v>
      </c>
      <c r="C12415" t="s">
        <v>6839</v>
      </c>
      <c r="D12415" t="s">
        <v>1067</v>
      </c>
      <c r="E12415" t="s">
        <v>561</v>
      </c>
      <c r="F12415" t="s">
        <v>1068</v>
      </c>
      <c r="G12415" t="s">
        <v>1075</v>
      </c>
      <c r="H12415">
        <v>9.5207574662002498E-3</v>
      </c>
      <c r="I12415" t="s">
        <v>1077</v>
      </c>
      <c r="J12415">
        <v>8.94</v>
      </c>
    </row>
    <row r="12416" spans="1:10" hidden="1">
      <c r="A12416" t="s">
        <v>7172</v>
      </c>
      <c r="B12416" t="s">
        <v>7173</v>
      </c>
      <c r="C12416" t="s">
        <v>6839</v>
      </c>
      <c r="D12416" t="s">
        <v>1067</v>
      </c>
      <c r="E12416" t="s">
        <v>561</v>
      </c>
      <c r="F12416" t="s">
        <v>1068</v>
      </c>
      <c r="G12416" t="s">
        <v>1078</v>
      </c>
      <c r="H12416">
        <v>3.4584894634626703E-2</v>
      </c>
      <c r="I12416" t="s">
        <v>1079</v>
      </c>
      <c r="J12416">
        <v>8.94</v>
      </c>
    </row>
    <row r="12417" spans="1:10" hidden="1">
      <c r="A12417" t="s">
        <v>7172</v>
      </c>
      <c r="B12417" t="s">
        <v>7173</v>
      </c>
      <c r="C12417" t="s">
        <v>6839</v>
      </c>
      <c r="D12417" t="s">
        <v>1067</v>
      </c>
      <c r="E12417" t="s">
        <v>561</v>
      </c>
      <c r="F12417" t="s">
        <v>1068</v>
      </c>
      <c r="G12417" t="s">
        <v>1080</v>
      </c>
      <c r="H12417" s="171" t="s">
        <v>7177</v>
      </c>
      <c r="I12417" t="s">
        <v>1082</v>
      </c>
      <c r="J12417">
        <v>8.94</v>
      </c>
    </row>
    <row r="12418" spans="1:10" hidden="1">
      <c r="A12418" t="s">
        <v>7172</v>
      </c>
      <c r="B12418" t="s">
        <v>7173</v>
      </c>
      <c r="C12418" t="s">
        <v>6839</v>
      </c>
      <c r="D12418" t="s">
        <v>1067</v>
      </c>
      <c r="E12418" t="s">
        <v>561</v>
      </c>
      <c r="F12418" t="s">
        <v>1068</v>
      </c>
      <c r="G12418" t="s">
        <v>1083</v>
      </c>
      <c r="H12418" s="171" t="s">
        <v>7178</v>
      </c>
      <c r="I12418" t="s">
        <v>1084</v>
      </c>
      <c r="J12418">
        <v>8.94</v>
      </c>
    </row>
    <row r="12419" spans="1:10" hidden="1">
      <c r="A12419" t="s">
        <v>7172</v>
      </c>
      <c r="B12419" t="s">
        <v>7173</v>
      </c>
      <c r="C12419" t="s">
        <v>6839</v>
      </c>
      <c r="D12419" t="s">
        <v>1067</v>
      </c>
      <c r="E12419" t="s">
        <v>561</v>
      </c>
      <c r="F12419" t="s">
        <v>1068</v>
      </c>
      <c r="G12419" t="s">
        <v>1085</v>
      </c>
      <c r="H12419">
        <v>3.5905132590319201E-4</v>
      </c>
      <c r="I12419" t="s">
        <v>1086</v>
      </c>
      <c r="J12419">
        <v>8.94</v>
      </c>
    </row>
    <row r="12420" spans="1:10" hidden="1">
      <c r="A12420" t="s">
        <v>7172</v>
      </c>
      <c r="B12420" t="s">
        <v>7173</v>
      </c>
      <c r="C12420" t="s">
        <v>6839</v>
      </c>
      <c r="D12420" t="s">
        <v>1067</v>
      </c>
      <c r="E12420" t="s">
        <v>561</v>
      </c>
      <c r="F12420" t="s">
        <v>1068</v>
      </c>
      <c r="G12420" t="s">
        <v>1087</v>
      </c>
      <c r="H12420" s="171" t="s">
        <v>7179</v>
      </c>
      <c r="I12420" t="s">
        <v>1088</v>
      </c>
      <c r="J12420">
        <v>8.94</v>
      </c>
    </row>
    <row r="12421" spans="1:10" hidden="1">
      <c r="A12421" t="s">
        <v>7172</v>
      </c>
      <c r="B12421" t="s">
        <v>7173</v>
      </c>
      <c r="C12421" t="s">
        <v>6839</v>
      </c>
      <c r="D12421" t="s">
        <v>1067</v>
      </c>
      <c r="E12421" t="s">
        <v>561</v>
      </c>
      <c r="F12421" t="s">
        <v>1068</v>
      </c>
      <c r="G12421" t="s">
        <v>1089</v>
      </c>
      <c r="H12421">
        <v>1.03928939656707E-4</v>
      </c>
      <c r="I12421" t="s">
        <v>1090</v>
      </c>
      <c r="J12421">
        <v>8.94</v>
      </c>
    </row>
    <row r="12422" spans="1:10" hidden="1">
      <c r="A12422" t="s">
        <v>7180</v>
      </c>
      <c r="B12422" t="s">
        <v>7181</v>
      </c>
      <c r="C12422" t="s">
        <v>6839</v>
      </c>
      <c r="D12422" t="s">
        <v>1067</v>
      </c>
      <c r="E12422" t="s">
        <v>555</v>
      </c>
      <c r="F12422" t="s">
        <v>1068</v>
      </c>
      <c r="G12422" t="s">
        <v>1069</v>
      </c>
      <c r="H12422">
        <v>5.1200835486364303E-2</v>
      </c>
      <c r="I12422" t="s">
        <v>1070</v>
      </c>
      <c r="J12422">
        <v>8.94</v>
      </c>
    </row>
    <row r="12423" spans="1:10" hidden="1">
      <c r="A12423" t="s">
        <v>7180</v>
      </c>
      <c r="B12423" t="s">
        <v>7181</v>
      </c>
      <c r="C12423" t="s">
        <v>6839</v>
      </c>
      <c r="D12423" t="s">
        <v>1067</v>
      </c>
      <c r="E12423" t="s">
        <v>555</v>
      </c>
      <c r="F12423" t="s">
        <v>1068</v>
      </c>
      <c r="G12423" t="s">
        <v>1071</v>
      </c>
      <c r="H12423" s="171" t="s">
        <v>7182</v>
      </c>
      <c r="I12423" t="s">
        <v>1072</v>
      </c>
      <c r="J12423">
        <v>8.94</v>
      </c>
    </row>
    <row r="12424" spans="1:10" hidden="1">
      <c r="A12424" t="s">
        <v>7180</v>
      </c>
      <c r="B12424" t="s">
        <v>7181</v>
      </c>
      <c r="C12424" t="s">
        <v>6839</v>
      </c>
      <c r="D12424" t="s">
        <v>1067</v>
      </c>
      <c r="E12424" t="s">
        <v>555</v>
      </c>
      <c r="F12424" t="s">
        <v>1068</v>
      </c>
      <c r="G12424" t="s">
        <v>1073</v>
      </c>
      <c r="H12424" s="171" t="s">
        <v>7183</v>
      </c>
      <c r="I12424" t="s">
        <v>1074</v>
      </c>
      <c r="J12424">
        <v>8.94</v>
      </c>
    </row>
    <row r="12425" spans="1:10" hidden="1">
      <c r="A12425" t="s">
        <v>7180</v>
      </c>
      <c r="B12425" t="s">
        <v>7181</v>
      </c>
      <c r="C12425" t="s">
        <v>6839</v>
      </c>
      <c r="D12425" t="s">
        <v>1067</v>
      </c>
      <c r="E12425" t="s">
        <v>555</v>
      </c>
      <c r="F12425" t="s">
        <v>1068</v>
      </c>
      <c r="G12425" t="s">
        <v>1075</v>
      </c>
      <c r="H12425">
        <v>9.5208160380134098E-3</v>
      </c>
      <c r="I12425" t="s">
        <v>1077</v>
      </c>
      <c r="J12425">
        <v>8.94</v>
      </c>
    </row>
    <row r="12426" spans="1:10" hidden="1">
      <c r="A12426" t="s">
        <v>7180</v>
      </c>
      <c r="B12426" t="s">
        <v>7181</v>
      </c>
      <c r="C12426" t="s">
        <v>6839</v>
      </c>
      <c r="D12426" t="s">
        <v>1067</v>
      </c>
      <c r="E12426" t="s">
        <v>555</v>
      </c>
      <c r="F12426" t="s">
        <v>1068</v>
      </c>
      <c r="G12426" t="s">
        <v>1078</v>
      </c>
      <c r="H12426" s="171" t="s">
        <v>7184</v>
      </c>
      <c r="I12426" t="s">
        <v>1079</v>
      </c>
      <c r="J12426">
        <v>8.94</v>
      </c>
    </row>
    <row r="12427" spans="1:10" hidden="1">
      <c r="A12427" t="s">
        <v>7180</v>
      </c>
      <c r="B12427" t="s">
        <v>7181</v>
      </c>
      <c r="C12427" t="s">
        <v>6839</v>
      </c>
      <c r="D12427" t="s">
        <v>1067</v>
      </c>
      <c r="E12427" t="s">
        <v>555</v>
      </c>
      <c r="F12427" t="s">
        <v>1068</v>
      </c>
      <c r="G12427" t="s">
        <v>1080</v>
      </c>
      <c r="H12427" s="171" t="s">
        <v>7185</v>
      </c>
      <c r="I12427" t="s">
        <v>1082</v>
      </c>
      <c r="J12427">
        <v>8.94</v>
      </c>
    </row>
    <row r="12428" spans="1:10" hidden="1">
      <c r="A12428" t="s">
        <v>7180</v>
      </c>
      <c r="B12428" t="s">
        <v>7181</v>
      </c>
      <c r="C12428" t="s">
        <v>6839</v>
      </c>
      <c r="D12428" t="s">
        <v>1067</v>
      </c>
      <c r="E12428" t="s">
        <v>555</v>
      </c>
      <c r="F12428" t="s">
        <v>1068</v>
      </c>
      <c r="G12428" t="s">
        <v>1083</v>
      </c>
      <c r="H12428" s="171" t="s">
        <v>7186</v>
      </c>
      <c r="I12428" t="s">
        <v>1084</v>
      </c>
      <c r="J12428">
        <v>8.94</v>
      </c>
    </row>
    <row r="12429" spans="1:10" hidden="1">
      <c r="A12429" t="s">
        <v>7180</v>
      </c>
      <c r="B12429" t="s">
        <v>7181</v>
      </c>
      <c r="C12429" t="s">
        <v>6839</v>
      </c>
      <c r="D12429" t="s">
        <v>1067</v>
      </c>
      <c r="E12429" t="s">
        <v>555</v>
      </c>
      <c r="F12429" t="s">
        <v>1068</v>
      </c>
      <c r="G12429" t="s">
        <v>1085</v>
      </c>
      <c r="H12429">
        <v>3.5905450851200598E-4</v>
      </c>
      <c r="I12429" t="s">
        <v>1086</v>
      </c>
      <c r="J12429">
        <v>8.94</v>
      </c>
    </row>
    <row r="12430" spans="1:10" hidden="1">
      <c r="A12430" t="s">
        <v>7180</v>
      </c>
      <c r="B12430" t="s">
        <v>7181</v>
      </c>
      <c r="C12430" t="s">
        <v>6839</v>
      </c>
      <c r="D12430" t="s">
        <v>1067</v>
      </c>
      <c r="E12430" t="s">
        <v>555</v>
      </c>
      <c r="F12430" t="s">
        <v>1068</v>
      </c>
      <c r="G12430" t="s">
        <v>1087</v>
      </c>
      <c r="H12430" s="171" t="s">
        <v>7187</v>
      </c>
      <c r="I12430" t="s">
        <v>1088</v>
      </c>
      <c r="J12430">
        <v>8.94</v>
      </c>
    </row>
    <row r="12431" spans="1:10" hidden="1">
      <c r="A12431" t="s">
        <v>7180</v>
      </c>
      <c r="B12431" t="s">
        <v>7181</v>
      </c>
      <c r="C12431" t="s">
        <v>6839</v>
      </c>
      <c r="D12431" t="s">
        <v>1067</v>
      </c>
      <c r="E12431" t="s">
        <v>555</v>
      </c>
      <c r="F12431" t="s">
        <v>1068</v>
      </c>
      <c r="G12431" t="s">
        <v>1089</v>
      </c>
      <c r="H12431">
        <v>1.0392959626934699E-4</v>
      </c>
      <c r="I12431" t="s">
        <v>1090</v>
      </c>
      <c r="J12431">
        <v>8.94</v>
      </c>
    </row>
    <row r="12432" spans="1:10" hidden="1">
      <c r="A12432" t="s">
        <v>7188</v>
      </c>
      <c r="B12432" t="s">
        <v>7189</v>
      </c>
      <c r="C12432" t="s">
        <v>6839</v>
      </c>
      <c r="D12432" t="s">
        <v>1067</v>
      </c>
      <c r="E12432" t="s">
        <v>558</v>
      </c>
      <c r="F12432" t="s">
        <v>1068</v>
      </c>
      <c r="G12432" t="s">
        <v>1069</v>
      </c>
      <c r="H12432">
        <v>5.1197967450939297E-2</v>
      </c>
      <c r="I12432" t="s">
        <v>1070</v>
      </c>
      <c r="J12432">
        <v>8.33</v>
      </c>
    </row>
    <row r="12433" spans="1:10" hidden="1">
      <c r="A12433" t="s">
        <v>7188</v>
      </c>
      <c r="B12433" t="s">
        <v>7189</v>
      </c>
      <c r="C12433" t="s">
        <v>6839</v>
      </c>
      <c r="D12433" t="s">
        <v>1067</v>
      </c>
      <c r="E12433" t="s">
        <v>558</v>
      </c>
      <c r="F12433" t="s">
        <v>1068</v>
      </c>
      <c r="G12433" t="s">
        <v>1071</v>
      </c>
      <c r="H12433" s="171" t="s">
        <v>7190</v>
      </c>
      <c r="I12433" t="s">
        <v>1072</v>
      </c>
      <c r="J12433">
        <v>8.33</v>
      </c>
    </row>
    <row r="12434" spans="1:10" hidden="1">
      <c r="A12434" t="s">
        <v>7188</v>
      </c>
      <c r="B12434" t="s">
        <v>7189</v>
      </c>
      <c r="C12434" t="s">
        <v>6839</v>
      </c>
      <c r="D12434" t="s">
        <v>1067</v>
      </c>
      <c r="E12434" t="s">
        <v>558</v>
      </c>
      <c r="F12434" t="s">
        <v>1068</v>
      </c>
      <c r="G12434" t="s">
        <v>1073</v>
      </c>
      <c r="H12434" s="171" t="s">
        <v>7191</v>
      </c>
      <c r="I12434" t="s">
        <v>1074</v>
      </c>
      <c r="J12434">
        <v>8.33</v>
      </c>
    </row>
    <row r="12435" spans="1:10" hidden="1">
      <c r="A12435" t="s">
        <v>7188</v>
      </c>
      <c r="B12435" t="s">
        <v>7189</v>
      </c>
      <c r="C12435" t="s">
        <v>6839</v>
      </c>
      <c r="D12435" t="s">
        <v>1067</v>
      </c>
      <c r="E12435" t="s">
        <v>558</v>
      </c>
      <c r="F12435" t="s">
        <v>1068</v>
      </c>
      <c r="G12435" t="s">
        <v>1075</v>
      </c>
      <c r="H12435">
        <v>9.5207525641077904E-3</v>
      </c>
      <c r="I12435" t="s">
        <v>1077</v>
      </c>
      <c r="J12435">
        <v>8.33</v>
      </c>
    </row>
    <row r="12436" spans="1:10" hidden="1">
      <c r="A12436" t="s">
        <v>7188</v>
      </c>
      <c r="B12436" t="s">
        <v>7189</v>
      </c>
      <c r="C12436" t="s">
        <v>6839</v>
      </c>
      <c r="D12436" t="s">
        <v>1067</v>
      </c>
      <c r="E12436" t="s">
        <v>558</v>
      </c>
      <c r="F12436" t="s">
        <v>1068</v>
      </c>
      <c r="G12436" t="s">
        <v>1078</v>
      </c>
      <c r="H12436" s="171" t="s">
        <v>7192</v>
      </c>
      <c r="I12436" t="s">
        <v>1079</v>
      </c>
      <c r="J12436">
        <v>8.33</v>
      </c>
    </row>
    <row r="12437" spans="1:10" hidden="1">
      <c r="A12437" t="s">
        <v>7188</v>
      </c>
      <c r="B12437" t="s">
        <v>7189</v>
      </c>
      <c r="C12437" t="s">
        <v>6839</v>
      </c>
      <c r="D12437" t="s">
        <v>1067</v>
      </c>
      <c r="E12437" t="s">
        <v>558</v>
      </c>
      <c r="F12437" t="s">
        <v>1068</v>
      </c>
      <c r="G12437" t="s">
        <v>1080</v>
      </c>
      <c r="H12437" s="171" t="s">
        <v>7193</v>
      </c>
      <c r="I12437" t="s">
        <v>1082</v>
      </c>
      <c r="J12437">
        <v>8.33</v>
      </c>
    </row>
    <row r="12438" spans="1:10" hidden="1">
      <c r="A12438" t="s">
        <v>7188</v>
      </c>
      <c r="B12438" t="s">
        <v>7189</v>
      </c>
      <c r="C12438" t="s">
        <v>6839</v>
      </c>
      <c r="D12438" t="s">
        <v>1067</v>
      </c>
      <c r="E12438" t="s">
        <v>558</v>
      </c>
      <c r="F12438" t="s">
        <v>1068</v>
      </c>
      <c r="G12438" t="s">
        <v>1083</v>
      </c>
      <c r="H12438" s="171" t="s">
        <v>7194</v>
      </c>
      <c r="I12438" t="s">
        <v>1084</v>
      </c>
      <c r="J12438">
        <v>8.33</v>
      </c>
    </row>
    <row r="12439" spans="1:10" hidden="1">
      <c r="A12439" t="s">
        <v>7188</v>
      </c>
      <c r="B12439" t="s">
        <v>7189</v>
      </c>
      <c r="C12439" t="s">
        <v>6839</v>
      </c>
      <c r="D12439" t="s">
        <v>1067</v>
      </c>
      <c r="E12439" t="s">
        <v>558</v>
      </c>
      <c r="F12439" t="s">
        <v>1068</v>
      </c>
      <c r="G12439" t="s">
        <v>1085</v>
      </c>
      <c r="H12439">
        <v>3.5905105949706601E-4</v>
      </c>
      <c r="I12439" t="s">
        <v>1086</v>
      </c>
      <c r="J12439">
        <v>8.33</v>
      </c>
    </row>
    <row r="12440" spans="1:10" hidden="1">
      <c r="A12440" t="s">
        <v>7188</v>
      </c>
      <c r="B12440" t="s">
        <v>7189</v>
      </c>
      <c r="C12440" t="s">
        <v>6839</v>
      </c>
      <c r="D12440" t="s">
        <v>1067</v>
      </c>
      <c r="E12440" t="s">
        <v>558</v>
      </c>
      <c r="F12440" t="s">
        <v>1068</v>
      </c>
      <c r="G12440" t="s">
        <v>1087</v>
      </c>
      <c r="H12440" s="171" t="s">
        <v>7195</v>
      </c>
      <c r="I12440" t="s">
        <v>1088</v>
      </c>
      <c r="J12440">
        <v>8.33</v>
      </c>
    </row>
    <row r="12441" spans="1:10" hidden="1">
      <c r="A12441" t="s">
        <v>7188</v>
      </c>
      <c r="B12441" t="s">
        <v>7189</v>
      </c>
      <c r="C12441" t="s">
        <v>6839</v>
      </c>
      <c r="D12441" t="s">
        <v>1067</v>
      </c>
      <c r="E12441" t="s">
        <v>558</v>
      </c>
      <c r="F12441" t="s">
        <v>1068</v>
      </c>
      <c r="G12441" t="s">
        <v>1089</v>
      </c>
      <c r="H12441">
        <v>1.0392888469765E-4</v>
      </c>
      <c r="I12441" t="s">
        <v>1090</v>
      </c>
      <c r="J12441">
        <v>8.33</v>
      </c>
    </row>
    <row r="12442" spans="1:10" hidden="1">
      <c r="A12442" t="s">
        <v>7196</v>
      </c>
      <c r="B12442" t="s">
        <v>7197</v>
      </c>
      <c r="C12442" t="s">
        <v>6839</v>
      </c>
      <c r="D12442" t="s">
        <v>1067</v>
      </c>
      <c r="E12442" t="s">
        <v>553</v>
      </c>
      <c r="F12442" t="s">
        <v>1068</v>
      </c>
      <c r="G12442" t="s">
        <v>1069</v>
      </c>
      <c r="H12442">
        <v>5.1198764613383199E-2</v>
      </c>
      <c r="I12442" t="s">
        <v>1070</v>
      </c>
      <c r="J12442">
        <v>9</v>
      </c>
    </row>
    <row r="12443" spans="1:10" hidden="1">
      <c r="A12443" t="s">
        <v>7196</v>
      </c>
      <c r="B12443" t="s">
        <v>7197</v>
      </c>
      <c r="C12443" t="s">
        <v>6839</v>
      </c>
      <c r="D12443" t="s">
        <v>1067</v>
      </c>
      <c r="E12443" t="s">
        <v>553</v>
      </c>
      <c r="F12443" t="s">
        <v>1068</v>
      </c>
      <c r="G12443" t="s">
        <v>1071</v>
      </c>
      <c r="H12443" s="171" t="s">
        <v>7198</v>
      </c>
      <c r="I12443" t="s">
        <v>1072</v>
      </c>
      <c r="J12443">
        <v>9</v>
      </c>
    </row>
    <row r="12444" spans="1:10" hidden="1">
      <c r="A12444" t="s">
        <v>7196</v>
      </c>
      <c r="B12444" t="s">
        <v>7197</v>
      </c>
      <c r="C12444" t="s">
        <v>6839</v>
      </c>
      <c r="D12444" t="s">
        <v>1067</v>
      </c>
      <c r="E12444" t="s">
        <v>553</v>
      </c>
      <c r="F12444" t="s">
        <v>1068</v>
      </c>
      <c r="G12444" t="s">
        <v>1073</v>
      </c>
      <c r="H12444" s="171" t="s">
        <v>7199</v>
      </c>
      <c r="I12444" t="s">
        <v>1074</v>
      </c>
      <c r="J12444">
        <v>9</v>
      </c>
    </row>
    <row r="12445" spans="1:10" hidden="1">
      <c r="A12445" t="s">
        <v>7196</v>
      </c>
      <c r="B12445" t="s">
        <v>7197</v>
      </c>
      <c r="C12445" t="s">
        <v>6839</v>
      </c>
      <c r="D12445" t="s">
        <v>1067</v>
      </c>
      <c r="E12445" t="s">
        <v>553</v>
      </c>
      <c r="F12445" t="s">
        <v>1068</v>
      </c>
      <c r="G12445" t="s">
        <v>1075</v>
      </c>
      <c r="H12445">
        <v>9.5207505755060505E-3</v>
      </c>
      <c r="I12445" t="s">
        <v>1077</v>
      </c>
      <c r="J12445">
        <v>9</v>
      </c>
    </row>
    <row r="12446" spans="1:10" hidden="1">
      <c r="A12446" t="s">
        <v>7196</v>
      </c>
      <c r="B12446" t="s">
        <v>7197</v>
      </c>
      <c r="C12446" t="s">
        <v>6839</v>
      </c>
      <c r="D12446" t="s">
        <v>1067</v>
      </c>
      <c r="E12446" t="s">
        <v>553</v>
      </c>
      <c r="F12446" t="s">
        <v>1068</v>
      </c>
      <c r="G12446" t="s">
        <v>1078</v>
      </c>
      <c r="H12446" s="171" t="s">
        <v>7200</v>
      </c>
      <c r="I12446" t="s">
        <v>1079</v>
      </c>
      <c r="J12446">
        <v>9</v>
      </c>
    </row>
    <row r="12447" spans="1:10" hidden="1">
      <c r="A12447" t="s">
        <v>7196</v>
      </c>
      <c r="B12447" t="s">
        <v>7197</v>
      </c>
      <c r="C12447" t="s">
        <v>6839</v>
      </c>
      <c r="D12447" t="s">
        <v>1067</v>
      </c>
      <c r="E12447" t="s">
        <v>553</v>
      </c>
      <c r="F12447" t="s">
        <v>1068</v>
      </c>
      <c r="G12447" t="s">
        <v>1080</v>
      </c>
      <c r="H12447" s="171" t="s">
        <v>7201</v>
      </c>
      <c r="I12447" t="s">
        <v>1082</v>
      </c>
      <c r="J12447">
        <v>9</v>
      </c>
    </row>
    <row r="12448" spans="1:10" hidden="1">
      <c r="A12448" t="s">
        <v>7196</v>
      </c>
      <c r="B12448" t="s">
        <v>7197</v>
      </c>
      <c r="C12448" t="s">
        <v>6839</v>
      </c>
      <c r="D12448" t="s">
        <v>1067</v>
      </c>
      <c r="E12448" t="s">
        <v>553</v>
      </c>
      <c r="F12448" t="s">
        <v>1068</v>
      </c>
      <c r="G12448" t="s">
        <v>1083</v>
      </c>
      <c r="H12448" s="171" t="s">
        <v>7202</v>
      </c>
      <c r="I12448" t="s">
        <v>1084</v>
      </c>
      <c r="J12448">
        <v>9</v>
      </c>
    </row>
    <row r="12449" spans="1:10" hidden="1">
      <c r="A12449" t="s">
        <v>7196</v>
      </c>
      <c r="B12449" t="s">
        <v>7197</v>
      </c>
      <c r="C12449" t="s">
        <v>6839</v>
      </c>
      <c r="D12449" t="s">
        <v>1067</v>
      </c>
      <c r="E12449" t="s">
        <v>553</v>
      </c>
      <c r="F12449" t="s">
        <v>1068</v>
      </c>
      <c r="G12449" t="s">
        <v>1085</v>
      </c>
      <c r="H12449">
        <v>3.5905095092655899E-4</v>
      </c>
      <c r="I12449" t="s">
        <v>1086</v>
      </c>
      <c r="J12449">
        <v>9</v>
      </c>
    </row>
    <row r="12450" spans="1:10" hidden="1">
      <c r="A12450" t="s">
        <v>7196</v>
      </c>
      <c r="B12450" t="s">
        <v>7197</v>
      </c>
      <c r="C12450" t="s">
        <v>6839</v>
      </c>
      <c r="D12450" t="s">
        <v>1067</v>
      </c>
      <c r="E12450" t="s">
        <v>553</v>
      </c>
      <c r="F12450" t="s">
        <v>1068</v>
      </c>
      <c r="G12450" t="s">
        <v>1087</v>
      </c>
      <c r="H12450" s="171" t="s">
        <v>7203</v>
      </c>
      <c r="I12450" t="s">
        <v>1088</v>
      </c>
      <c r="J12450">
        <v>9</v>
      </c>
    </row>
    <row r="12451" spans="1:10" hidden="1">
      <c r="A12451" t="s">
        <v>7196</v>
      </c>
      <c r="B12451" t="s">
        <v>7197</v>
      </c>
      <c r="C12451" t="s">
        <v>6839</v>
      </c>
      <c r="D12451" t="s">
        <v>1067</v>
      </c>
      <c r="E12451" t="s">
        <v>553</v>
      </c>
      <c r="F12451" t="s">
        <v>1068</v>
      </c>
      <c r="G12451" t="s">
        <v>1089</v>
      </c>
      <c r="H12451">
        <v>1.03928862346494E-4</v>
      </c>
      <c r="I12451" t="s">
        <v>1090</v>
      </c>
      <c r="J12451">
        <v>9</v>
      </c>
    </row>
    <row r="12452" spans="1:10" hidden="1">
      <c r="A12452" t="s">
        <v>7204</v>
      </c>
      <c r="B12452" t="s">
        <v>7205</v>
      </c>
      <c r="C12452" t="s">
        <v>6839</v>
      </c>
      <c r="D12452" t="s">
        <v>1067</v>
      </c>
      <c r="E12452" t="s">
        <v>556</v>
      </c>
      <c r="F12452" t="s">
        <v>1068</v>
      </c>
      <c r="G12452" t="s">
        <v>1069</v>
      </c>
      <c r="H12452">
        <v>5.1200640840373297E-2</v>
      </c>
      <c r="I12452" t="s">
        <v>1070</v>
      </c>
      <c r="J12452">
        <v>9.49</v>
      </c>
    </row>
    <row r="12453" spans="1:10" hidden="1">
      <c r="A12453" t="s">
        <v>7204</v>
      </c>
      <c r="B12453" t="s">
        <v>7205</v>
      </c>
      <c r="C12453" t="s">
        <v>6839</v>
      </c>
      <c r="D12453" t="s">
        <v>1067</v>
      </c>
      <c r="E12453" t="s">
        <v>556</v>
      </c>
      <c r="F12453" t="s">
        <v>1068</v>
      </c>
      <c r="G12453" t="s">
        <v>1071</v>
      </c>
      <c r="H12453" s="171" t="s">
        <v>7206</v>
      </c>
      <c r="I12453" t="s">
        <v>1072</v>
      </c>
      <c r="J12453">
        <v>9.49</v>
      </c>
    </row>
    <row r="12454" spans="1:10" hidden="1">
      <c r="A12454" t="s">
        <v>7204</v>
      </c>
      <c r="B12454" t="s">
        <v>7205</v>
      </c>
      <c r="C12454" t="s">
        <v>6839</v>
      </c>
      <c r="D12454" t="s">
        <v>1067</v>
      </c>
      <c r="E12454" t="s">
        <v>556</v>
      </c>
      <c r="F12454" t="s">
        <v>1068</v>
      </c>
      <c r="G12454" t="s">
        <v>1073</v>
      </c>
      <c r="H12454" s="171" t="s">
        <v>7207</v>
      </c>
      <c r="I12454" t="s">
        <v>1074</v>
      </c>
      <c r="J12454">
        <v>9.49</v>
      </c>
    </row>
    <row r="12455" spans="1:10" hidden="1">
      <c r="A12455" t="s">
        <v>7204</v>
      </c>
      <c r="B12455" t="s">
        <v>7205</v>
      </c>
      <c r="C12455" t="s">
        <v>6839</v>
      </c>
      <c r="D12455" t="s">
        <v>1067</v>
      </c>
      <c r="E12455" t="s">
        <v>556</v>
      </c>
      <c r="F12455" t="s">
        <v>1068</v>
      </c>
      <c r="G12455" t="s">
        <v>1075</v>
      </c>
      <c r="H12455">
        <v>9.5208098850455003E-3</v>
      </c>
      <c r="I12455" t="s">
        <v>1077</v>
      </c>
      <c r="J12455">
        <v>9.49</v>
      </c>
    </row>
    <row r="12456" spans="1:10" hidden="1">
      <c r="A12456" t="s">
        <v>7204</v>
      </c>
      <c r="B12456" t="s">
        <v>7205</v>
      </c>
      <c r="C12456" t="s">
        <v>6839</v>
      </c>
      <c r="D12456" t="s">
        <v>1067</v>
      </c>
      <c r="E12456" t="s">
        <v>556</v>
      </c>
      <c r="F12456" t="s">
        <v>1068</v>
      </c>
      <c r="G12456" t="s">
        <v>1078</v>
      </c>
      <c r="H12456" s="171" t="s">
        <v>7208</v>
      </c>
      <c r="I12456" t="s">
        <v>1079</v>
      </c>
      <c r="J12456">
        <v>9.49</v>
      </c>
    </row>
    <row r="12457" spans="1:10" hidden="1">
      <c r="A12457" t="s">
        <v>7204</v>
      </c>
      <c r="B12457" t="s">
        <v>7205</v>
      </c>
      <c r="C12457" t="s">
        <v>6839</v>
      </c>
      <c r="D12457" t="s">
        <v>1067</v>
      </c>
      <c r="E12457" t="s">
        <v>556</v>
      </c>
      <c r="F12457" t="s">
        <v>1068</v>
      </c>
      <c r="G12457" t="s">
        <v>1080</v>
      </c>
      <c r="H12457" s="171" t="s">
        <v>7209</v>
      </c>
      <c r="I12457" t="s">
        <v>1082</v>
      </c>
      <c r="J12457">
        <v>9.49</v>
      </c>
    </row>
    <row r="12458" spans="1:10" hidden="1">
      <c r="A12458" t="s">
        <v>7204</v>
      </c>
      <c r="B12458" t="s">
        <v>7205</v>
      </c>
      <c r="C12458" t="s">
        <v>6839</v>
      </c>
      <c r="D12458" t="s">
        <v>1067</v>
      </c>
      <c r="E12458" t="s">
        <v>556</v>
      </c>
      <c r="F12458" t="s">
        <v>1068</v>
      </c>
      <c r="G12458" t="s">
        <v>1083</v>
      </c>
      <c r="H12458" s="171" t="s">
        <v>7210</v>
      </c>
      <c r="I12458" t="s">
        <v>1084</v>
      </c>
      <c r="J12458">
        <v>9.49</v>
      </c>
    </row>
    <row r="12459" spans="1:10" hidden="1">
      <c r="A12459" t="s">
        <v>7204</v>
      </c>
      <c r="B12459" t="s">
        <v>7205</v>
      </c>
      <c r="C12459" t="s">
        <v>6839</v>
      </c>
      <c r="D12459" t="s">
        <v>1067</v>
      </c>
      <c r="E12459" t="s">
        <v>556</v>
      </c>
      <c r="F12459" t="s">
        <v>1068</v>
      </c>
      <c r="G12459" t="s">
        <v>1085</v>
      </c>
      <c r="H12459">
        <v>3.5905417412655999E-4</v>
      </c>
      <c r="I12459" t="s">
        <v>1086</v>
      </c>
      <c r="J12459">
        <v>9.49</v>
      </c>
    </row>
    <row r="12460" spans="1:10" hidden="1">
      <c r="A12460" t="s">
        <v>7204</v>
      </c>
      <c r="B12460" t="s">
        <v>7205</v>
      </c>
      <c r="C12460" t="s">
        <v>6839</v>
      </c>
      <c r="D12460" t="s">
        <v>1067</v>
      </c>
      <c r="E12460" t="s">
        <v>556</v>
      </c>
      <c r="F12460" t="s">
        <v>1068</v>
      </c>
      <c r="G12460" t="s">
        <v>1087</v>
      </c>
      <c r="H12460" s="171" t="s">
        <v>7211</v>
      </c>
      <c r="I12460" t="s">
        <v>1088</v>
      </c>
      <c r="J12460">
        <v>9.49</v>
      </c>
    </row>
    <row r="12461" spans="1:10" hidden="1">
      <c r="A12461" t="s">
        <v>7204</v>
      </c>
      <c r="B12461" t="s">
        <v>7205</v>
      </c>
      <c r="C12461" t="s">
        <v>6839</v>
      </c>
      <c r="D12461" t="s">
        <v>1067</v>
      </c>
      <c r="E12461" t="s">
        <v>556</v>
      </c>
      <c r="F12461" t="s">
        <v>1068</v>
      </c>
      <c r="G12461" t="s">
        <v>1089</v>
      </c>
      <c r="H12461">
        <v>1.0392952728629E-4</v>
      </c>
      <c r="I12461" t="s">
        <v>1090</v>
      </c>
      <c r="J12461">
        <v>9.49</v>
      </c>
    </row>
    <row r="12462" spans="1:10" hidden="1">
      <c r="A12462" t="s">
        <v>7212</v>
      </c>
      <c r="B12462" t="s">
        <v>7213</v>
      </c>
      <c r="C12462" t="s">
        <v>6839</v>
      </c>
      <c r="D12462" t="s">
        <v>1067</v>
      </c>
      <c r="E12462" t="s">
        <v>557</v>
      </c>
      <c r="F12462" t="s">
        <v>1068</v>
      </c>
      <c r="G12462" t="s">
        <v>1069</v>
      </c>
      <c r="H12462">
        <v>5.1198607978918703E-2</v>
      </c>
      <c r="I12462" t="s">
        <v>1070</v>
      </c>
      <c r="J12462">
        <v>9.0299999999999994</v>
      </c>
    </row>
    <row r="12463" spans="1:10" hidden="1">
      <c r="A12463" t="s">
        <v>7212</v>
      </c>
      <c r="B12463" t="s">
        <v>7213</v>
      </c>
      <c r="C12463" t="s">
        <v>6839</v>
      </c>
      <c r="D12463" t="s">
        <v>1067</v>
      </c>
      <c r="E12463" t="s">
        <v>557</v>
      </c>
      <c r="F12463" t="s">
        <v>1068</v>
      </c>
      <c r="G12463" t="s">
        <v>1071</v>
      </c>
      <c r="H12463" s="171" t="s">
        <v>7214</v>
      </c>
      <c r="I12463" t="s">
        <v>1072</v>
      </c>
      <c r="J12463">
        <v>9.0299999999999994</v>
      </c>
    </row>
    <row r="12464" spans="1:10" hidden="1">
      <c r="A12464" t="s">
        <v>7212</v>
      </c>
      <c r="B12464" t="s">
        <v>7213</v>
      </c>
      <c r="C12464" t="s">
        <v>6839</v>
      </c>
      <c r="D12464" t="s">
        <v>1067</v>
      </c>
      <c r="E12464" t="s">
        <v>557</v>
      </c>
      <c r="F12464" t="s">
        <v>1068</v>
      </c>
      <c r="G12464" t="s">
        <v>1073</v>
      </c>
      <c r="H12464" s="171" t="s">
        <v>7215</v>
      </c>
      <c r="I12464" t="s">
        <v>1074</v>
      </c>
      <c r="J12464">
        <v>9.0299999999999994</v>
      </c>
    </row>
    <row r="12465" spans="1:10" hidden="1">
      <c r="A12465" t="s">
        <v>7212</v>
      </c>
      <c r="B12465" t="s">
        <v>7213</v>
      </c>
      <c r="C12465" t="s">
        <v>6839</v>
      </c>
      <c r="D12465" t="s">
        <v>1067</v>
      </c>
      <c r="E12465" t="s">
        <v>557</v>
      </c>
      <c r="F12465" t="s">
        <v>1068</v>
      </c>
      <c r="G12465" t="s">
        <v>1075</v>
      </c>
      <c r="H12465">
        <v>9.5207728118815293E-3</v>
      </c>
      <c r="I12465" t="s">
        <v>1077</v>
      </c>
      <c r="J12465">
        <v>9.0299999999999994</v>
      </c>
    </row>
    <row r="12466" spans="1:10" hidden="1">
      <c r="A12466" t="s">
        <v>7212</v>
      </c>
      <c r="B12466" t="s">
        <v>7213</v>
      </c>
      <c r="C12466" t="s">
        <v>6839</v>
      </c>
      <c r="D12466" t="s">
        <v>1067</v>
      </c>
      <c r="E12466" t="s">
        <v>557</v>
      </c>
      <c r="F12466" t="s">
        <v>1068</v>
      </c>
      <c r="G12466" t="s">
        <v>1078</v>
      </c>
      <c r="H12466">
        <v>3.4585558241073698E-2</v>
      </c>
      <c r="I12466" t="s">
        <v>1079</v>
      </c>
      <c r="J12466">
        <v>9.0299999999999994</v>
      </c>
    </row>
    <row r="12467" spans="1:10" hidden="1">
      <c r="A12467" t="s">
        <v>7212</v>
      </c>
      <c r="B12467" t="s">
        <v>7213</v>
      </c>
      <c r="C12467" t="s">
        <v>6839</v>
      </c>
      <c r="D12467" t="s">
        <v>1067</v>
      </c>
      <c r="E12467" t="s">
        <v>557</v>
      </c>
      <c r="F12467" t="s">
        <v>1068</v>
      </c>
      <c r="G12467" t="s">
        <v>1080</v>
      </c>
      <c r="H12467" s="171" t="s">
        <v>7216</v>
      </c>
      <c r="I12467" t="s">
        <v>1082</v>
      </c>
      <c r="J12467">
        <v>9.0299999999999994</v>
      </c>
    </row>
    <row r="12468" spans="1:10" hidden="1">
      <c r="A12468" t="s">
        <v>7212</v>
      </c>
      <c r="B12468" t="s">
        <v>7213</v>
      </c>
      <c r="C12468" t="s">
        <v>6839</v>
      </c>
      <c r="D12468" t="s">
        <v>1067</v>
      </c>
      <c r="E12468" t="s">
        <v>557</v>
      </c>
      <c r="F12468" t="s">
        <v>1068</v>
      </c>
      <c r="G12468" t="s">
        <v>1083</v>
      </c>
      <c r="H12468" s="171" t="s">
        <v>7217</v>
      </c>
      <c r="I12468" t="s">
        <v>1084</v>
      </c>
      <c r="J12468">
        <v>9.0299999999999994</v>
      </c>
    </row>
    <row r="12469" spans="1:10" hidden="1">
      <c r="A12469" t="s">
        <v>7212</v>
      </c>
      <c r="B12469" t="s">
        <v>7213</v>
      </c>
      <c r="C12469" t="s">
        <v>6839</v>
      </c>
      <c r="D12469" t="s">
        <v>1067</v>
      </c>
      <c r="E12469" t="s">
        <v>557</v>
      </c>
      <c r="F12469" t="s">
        <v>1068</v>
      </c>
      <c r="G12469" t="s">
        <v>1085</v>
      </c>
      <c r="H12469">
        <v>3.5905215987021202E-4</v>
      </c>
      <c r="I12469" t="s">
        <v>1086</v>
      </c>
      <c r="J12469">
        <v>9.0299999999999994</v>
      </c>
    </row>
    <row r="12470" spans="1:10" hidden="1">
      <c r="A12470" t="s">
        <v>7212</v>
      </c>
      <c r="B12470" t="s">
        <v>7213</v>
      </c>
      <c r="C12470" t="s">
        <v>6839</v>
      </c>
      <c r="D12470" t="s">
        <v>1067</v>
      </c>
      <c r="E12470" t="s">
        <v>557</v>
      </c>
      <c r="F12470" t="s">
        <v>1068</v>
      </c>
      <c r="G12470" t="s">
        <v>1087</v>
      </c>
      <c r="H12470" s="171" t="s">
        <v>7218</v>
      </c>
      <c r="I12470" t="s">
        <v>1088</v>
      </c>
      <c r="J12470">
        <v>9.0299999999999994</v>
      </c>
    </row>
    <row r="12471" spans="1:10" hidden="1">
      <c r="A12471" t="s">
        <v>7212</v>
      </c>
      <c r="B12471" t="s">
        <v>7213</v>
      </c>
      <c r="C12471" t="s">
        <v>6839</v>
      </c>
      <c r="D12471" t="s">
        <v>1067</v>
      </c>
      <c r="E12471" t="s">
        <v>557</v>
      </c>
      <c r="F12471" t="s">
        <v>1068</v>
      </c>
      <c r="G12471" t="s">
        <v>1089</v>
      </c>
      <c r="H12471">
        <v>1.03929111702457E-4</v>
      </c>
      <c r="I12471" t="s">
        <v>1090</v>
      </c>
      <c r="J12471">
        <v>9.0299999999999994</v>
      </c>
    </row>
    <row r="12472" spans="1:10" hidden="1">
      <c r="A12472" t="s">
        <v>7219</v>
      </c>
      <c r="B12472" t="s">
        <v>7220</v>
      </c>
      <c r="C12472" t="s">
        <v>6839</v>
      </c>
      <c r="D12472" t="s">
        <v>1067</v>
      </c>
      <c r="E12472" t="s">
        <v>559</v>
      </c>
      <c r="F12472" t="s">
        <v>1068</v>
      </c>
      <c r="G12472" t="s">
        <v>1069</v>
      </c>
      <c r="H12472" s="171" t="s">
        <v>7221</v>
      </c>
      <c r="I12472" t="s">
        <v>1070</v>
      </c>
      <c r="J12472">
        <v>9.39</v>
      </c>
    </row>
    <row r="12473" spans="1:10" hidden="1">
      <c r="A12473" t="s">
        <v>7219</v>
      </c>
      <c r="B12473" t="s">
        <v>7220</v>
      </c>
      <c r="C12473" t="s">
        <v>6839</v>
      </c>
      <c r="D12473" t="s">
        <v>1067</v>
      </c>
      <c r="E12473" t="s">
        <v>559</v>
      </c>
      <c r="F12473" t="s">
        <v>1068</v>
      </c>
      <c r="G12473" t="s">
        <v>1071</v>
      </c>
      <c r="H12473" s="171" t="s">
        <v>7222</v>
      </c>
      <c r="I12473" t="s">
        <v>1072</v>
      </c>
      <c r="J12473">
        <v>9.39</v>
      </c>
    </row>
    <row r="12474" spans="1:10" hidden="1">
      <c r="A12474" t="s">
        <v>7219</v>
      </c>
      <c r="B12474" t="s">
        <v>7220</v>
      </c>
      <c r="C12474" t="s">
        <v>6839</v>
      </c>
      <c r="D12474" t="s">
        <v>1067</v>
      </c>
      <c r="E12474" t="s">
        <v>559</v>
      </c>
      <c r="F12474" t="s">
        <v>1068</v>
      </c>
      <c r="G12474" t="s">
        <v>1073</v>
      </c>
      <c r="H12474" s="171" t="s">
        <v>7223</v>
      </c>
      <c r="I12474" t="s">
        <v>1074</v>
      </c>
      <c r="J12474">
        <v>9.39</v>
      </c>
    </row>
    <row r="12475" spans="1:10" hidden="1">
      <c r="A12475" t="s">
        <v>7219</v>
      </c>
      <c r="B12475" t="s">
        <v>7220</v>
      </c>
      <c r="C12475" t="s">
        <v>6839</v>
      </c>
      <c r="D12475" t="s">
        <v>1067</v>
      </c>
      <c r="E12475" t="s">
        <v>559</v>
      </c>
      <c r="F12475" t="s">
        <v>1068</v>
      </c>
      <c r="G12475" t="s">
        <v>1075</v>
      </c>
      <c r="H12475">
        <v>9.5207922557540708E-3</v>
      </c>
      <c r="I12475" t="s">
        <v>1077</v>
      </c>
      <c r="J12475">
        <v>9.39</v>
      </c>
    </row>
    <row r="12476" spans="1:10" hidden="1">
      <c r="A12476" t="s">
        <v>7219</v>
      </c>
      <c r="B12476" t="s">
        <v>7220</v>
      </c>
      <c r="C12476" t="s">
        <v>6839</v>
      </c>
      <c r="D12476" t="s">
        <v>1067</v>
      </c>
      <c r="E12476" t="s">
        <v>559</v>
      </c>
      <c r="F12476" t="s">
        <v>1068</v>
      </c>
      <c r="G12476" t="s">
        <v>1078</v>
      </c>
      <c r="H12476">
        <v>3.4586398607210002E-2</v>
      </c>
      <c r="I12476" t="s">
        <v>1079</v>
      </c>
      <c r="J12476">
        <v>9.39</v>
      </c>
    </row>
    <row r="12477" spans="1:10" hidden="1">
      <c r="A12477" t="s">
        <v>7219</v>
      </c>
      <c r="B12477" t="s">
        <v>7220</v>
      </c>
      <c r="C12477" t="s">
        <v>6839</v>
      </c>
      <c r="D12477" t="s">
        <v>1067</v>
      </c>
      <c r="E12477" t="s">
        <v>559</v>
      </c>
      <c r="F12477" t="s">
        <v>1068</v>
      </c>
      <c r="G12477" t="s">
        <v>1080</v>
      </c>
      <c r="H12477" s="171" t="s">
        <v>7224</v>
      </c>
      <c r="I12477" t="s">
        <v>1082</v>
      </c>
      <c r="J12477">
        <v>9.39</v>
      </c>
    </row>
    <row r="12478" spans="1:10" hidden="1">
      <c r="A12478" t="s">
        <v>7219</v>
      </c>
      <c r="B12478" t="s">
        <v>7220</v>
      </c>
      <c r="C12478" t="s">
        <v>6839</v>
      </c>
      <c r="D12478" t="s">
        <v>1067</v>
      </c>
      <c r="E12478" t="s">
        <v>559</v>
      </c>
      <c r="F12478" t="s">
        <v>1068</v>
      </c>
      <c r="G12478" t="s">
        <v>1083</v>
      </c>
      <c r="H12478" s="171" t="s">
        <v>7225</v>
      </c>
      <c r="I12478" t="s">
        <v>1084</v>
      </c>
      <c r="J12478">
        <v>9.39</v>
      </c>
    </row>
    <row r="12479" spans="1:10" hidden="1">
      <c r="A12479" t="s">
        <v>7219</v>
      </c>
      <c r="B12479" t="s">
        <v>7220</v>
      </c>
      <c r="C12479" t="s">
        <v>6839</v>
      </c>
      <c r="D12479" t="s">
        <v>1067</v>
      </c>
      <c r="E12479" t="s">
        <v>559</v>
      </c>
      <c r="F12479" t="s">
        <v>1068</v>
      </c>
      <c r="G12479" t="s">
        <v>1085</v>
      </c>
      <c r="H12479">
        <v>3.5905321605586598E-4</v>
      </c>
      <c r="I12479" t="s">
        <v>1086</v>
      </c>
      <c r="J12479">
        <v>9.39</v>
      </c>
    </row>
    <row r="12480" spans="1:10" hidden="1">
      <c r="A12480" t="s">
        <v>7219</v>
      </c>
      <c r="B12480" t="s">
        <v>7220</v>
      </c>
      <c r="C12480" t="s">
        <v>6839</v>
      </c>
      <c r="D12480" t="s">
        <v>1067</v>
      </c>
      <c r="E12480" t="s">
        <v>559</v>
      </c>
      <c r="F12480" t="s">
        <v>1068</v>
      </c>
      <c r="G12480" t="s">
        <v>1087</v>
      </c>
      <c r="H12480" s="171" t="s">
        <v>7226</v>
      </c>
      <c r="I12480" t="s">
        <v>1088</v>
      </c>
      <c r="J12480">
        <v>9.39</v>
      </c>
    </row>
    <row r="12481" spans="1:10" hidden="1">
      <c r="A12481" t="s">
        <v>7219</v>
      </c>
      <c r="B12481" t="s">
        <v>7220</v>
      </c>
      <c r="C12481" t="s">
        <v>6839</v>
      </c>
      <c r="D12481" t="s">
        <v>1067</v>
      </c>
      <c r="E12481" t="s">
        <v>559</v>
      </c>
      <c r="F12481" t="s">
        <v>1068</v>
      </c>
      <c r="G12481" t="s">
        <v>1089</v>
      </c>
      <c r="H12481">
        <v>1.03929329638197E-4</v>
      </c>
      <c r="I12481" t="s">
        <v>1090</v>
      </c>
      <c r="J12481">
        <v>9.39</v>
      </c>
    </row>
    <row r="12482" spans="1:10" hidden="1">
      <c r="A12482" t="s">
        <v>7227</v>
      </c>
      <c r="B12482" t="s">
        <v>7228</v>
      </c>
      <c r="C12482" t="s">
        <v>6839</v>
      </c>
      <c r="D12482" t="s">
        <v>1067</v>
      </c>
      <c r="E12482" t="s">
        <v>560</v>
      </c>
      <c r="F12482" t="s">
        <v>1068</v>
      </c>
      <c r="G12482" t="s">
        <v>1069</v>
      </c>
      <c r="H12482">
        <v>5.1198949593841601E-2</v>
      </c>
      <c r="I12482" t="s">
        <v>1070</v>
      </c>
      <c r="J12482">
        <v>9.51</v>
      </c>
    </row>
    <row r="12483" spans="1:10" hidden="1">
      <c r="A12483" t="s">
        <v>7227</v>
      </c>
      <c r="B12483" t="s">
        <v>7228</v>
      </c>
      <c r="C12483" t="s">
        <v>6839</v>
      </c>
      <c r="D12483" t="s">
        <v>1067</v>
      </c>
      <c r="E12483" t="s">
        <v>560</v>
      </c>
      <c r="F12483" t="s">
        <v>1068</v>
      </c>
      <c r="G12483" t="s">
        <v>1071</v>
      </c>
      <c r="H12483" s="171" t="s">
        <v>7229</v>
      </c>
      <c r="I12483" t="s">
        <v>1072</v>
      </c>
      <c r="J12483">
        <v>9.51</v>
      </c>
    </row>
    <row r="12484" spans="1:10" hidden="1">
      <c r="A12484" t="s">
        <v>7227</v>
      </c>
      <c r="B12484" t="s">
        <v>7228</v>
      </c>
      <c r="C12484" t="s">
        <v>6839</v>
      </c>
      <c r="D12484" t="s">
        <v>1067</v>
      </c>
      <c r="E12484" t="s">
        <v>560</v>
      </c>
      <c r="F12484" t="s">
        <v>1068</v>
      </c>
      <c r="G12484" t="s">
        <v>1073</v>
      </c>
      <c r="H12484" s="171" t="s">
        <v>7230</v>
      </c>
      <c r="I12484" t="s">
        <v>1074</v>
      </c>
      <c r="J12484">
        <v>9.51</v>
      </c>
    </row>
    <row r="12485" spans="1:10" hidden="1">
      <c r="A12485" t="s">
        <v>7227</v>
      </c>
      <c r="B12485" t="s">
        <v>7228</v>
      </c>
      <c r="C12485" t="s">
        <v>6839</v>
      </c>
      <c r="D12485" t="s">
        <v>1067</v>
      </c>
      <c r="E12485" t="s">
        <v>560</v>
      </c>
      <c r="F12485" t="s">
        <v>1068</v>
      </c>
      <c r="G12485" t="s">
        <v>1075</v>
      </c>
      <c r="H12485">
        <v>9.5207836106941703E-3</v>
      </c>
      <c r="I12485" t="s">
        <v>1077</v>
      </c>
      <c r="J12485">
        <v>9.51</v>
      </c>
    </row>
    <row r="12486" spans="1:10" hidden="1">
      <c r="A12486" t="s">
        <v>7227</v>
      </c>
      <c r="B12486" t="s">
        <v>7228</v>
      </c>
      <c r="C12486" t="s">
        <v>6839</v>
      </c>
      <c r="D12486" t="s">
        <v>1067</v>
      </c>
      <c r="E12486" t="s">
        <v>560</v>
      </c>
      <c r="F12486" t="s">
        <v>1068</v>
      </c>
      <c r="G12486" t="s">
        <v>1078</v>
      </c>
      <c r="H12486">
        <v>3.4586025223388002E-2</v>
      </c>
      <c r="I12486" t="s">
        <v>1079</v>
      </c>
      <c r="J12486">
        <v>9.51</v>
      </c>
    </row>
    <row r="12487" spans="1:10" hidden="1">
      <c r="A12487" t="s">
        <v>7227</v>
      </c>
      <c r="B12487" t="s">
        <v>7228</v>
      </c>
      <c r="C12487" t="s">
        <v>6839</v>
      </c>
      <c r="D12487" t="s">
        <v>1067</v>
      </c>
      <c r="E12487" t="s">
        <v>560</v>
      </c>
      <c r="F12487" t="s">
        <v>1068</v>
      </c>
      <c r="G12487" t="s">
        <v>1080</v>
      </c>
      <c r="H12487" s="171" t="s">
        <v>7231</v>
      </c>
      <c r="I12487" t="s">
        <v>1082</v>
      </c>
      <c r="J12487">
        <v>9.51</v>
      </c>
    </row>
    <row r="12488" spans="1:10" hidden="1">
      <c r="A12488" t="s">
        <v>7227</v>
      </c>
      <c r="B12488" t="s">
        <v>7228</v>
      </c>
      <c r="C12488" t="s">
        <v>6839</v>
      </c>
      <c r="D12488" t="s">
        <v>1067</v>
      </c>
      <c r="E12488" t="s">
        <v>560</v>
      </c>
      <c r="F12488" t="s">
        <v>1068</v>
      </c>
      <c r="G12488" t="s">
        <v>1083</v>
      </c>
      <c r="H12488" s="171" t="s">
        <v>7232</v>
      </c>
      <c r="I12488" t="s">
        <v>1084</v>
      </c>
      <c r="J12488">
        <v>9.51</v>
      </c>
    </row>
    <row r="12489" spans="1:10" hidden="1">
      <c r="A12489" t="s">
        <v>7227</v>
      </c>
      <c r="B12489" t="s">
        <v>7228</v>
      </c>
      <c r="C12489" t="s">
        <v>6839</v>
      </c>
      <c r="D12489" t="s">
        <v>1067</v>
      </c>
      <c r="E12489" t="s">
        <v>560</v>
      </c>
      <c r="F12489" t="s">
        <v>1068</v>
      </c>
      <c r="G12489" t="s">
        <v>1085</v>
      </c>
      <c r="H12489">
        <v>3.5905274673588998E-4</v>
      </c>
      <c r="I12489" t="s">
        <v>1086</v>
      </c>
      <c r="J12489">
        <v>9.51</v>
      </c>
    </row>
    <row r="12490" spans="1:10" hidden="1">
      <c r="A12490" t="s">
        <v>7227</v>
      </c>
      <c r="B12490" t="s">
        <v>7228</v>
      </c>
      <c r="C12490" t="s">
        <v>6839</v>
      </c>
      <c r="D12490" t="s">
        <v>1067</v>
      </c>
      <c r="E12490" t="s">
        <v>560</v>
      </c>
      <c r="F12490" t="s">
        <v>1068</v>
      </c>
      <c r="G12490" t="s">
        <v>1087</v>
      </c>
      <c r="H12490" s="171" t="s">
        <v>7233</v>
      </c>
      <c r="I12490" t="s">
        <v>1088</v>
      </c>
      <c r="J12490">
        <v>9.51</v>
      </c>
    </row>
    <row r="12491" spans="1:10" hidden="1">
      <c r="A12491" t="s">
        <v>7227</v>
      </c>
      <c r="B12491" t="s">
        <v>7228</v>
      </c>
      <c r="C12491" t="s">
        <v>6839</v>
      </c>
      <c r="D12491" t="s">
        <v>1067</v>
      </c>
      <c r="E12491" t="s">
        <v>560</v>
      </c>
      <c r="F12491" t="s">
        <v>1068</v>
      </c>
      <c r="G12491" t="s">
        <v>1089</v>
      </c>
      <c r="H12491">
        <v>1.03929232771687E-4</v>
      </c>
      <c r="I12491" t="s">
        <v>1090</v>
      </c>
      <c r="J12491">
        <v>9.51</v>
      </c>
    </row>
    <row r="12492" spans="1:10" hidden="1">
      <c r="A12492" t="s">
        <v>7234</v>
      </c>
      <c r="B12492" t="s">
        <v>7235</v>
      </c>
      <c r="C12492" t="s">
        <v>6839</v>
      </c>
      <c r="D12492" t="s">
        <v>1067</v>
      </c>
      <c r="E12492" t="s">
        <v>1116</v>
      </c>
      <c r="F12492" t="s">
        <v>1068</v>
      </c>
      <c r="G12492" t="s">
        <v>1069</v>
      </c>
      <c r="H12492">
        <v>5.1197912758195997E-2</v>
      </c>
      <c r="I12492" t="s">
        <v>1070</v>
      </c>
      <c r="J12492">
        <v>9.4600000000000009</v>
      </c>
    </row>
    <row r="12493" spans="1:10" hidden="1">
      <c r="A12493" t="s">
        <v>7234</v>
      </c>
      <c r="B12493" t="s">
        <v>7235</v>
      </c>
      <c r="C12493" t="s">
        <v>6839</v>
      </c>
      <c r="D12493" t="s">
        <v>1067</v>
      </c>
      <c r="E12493" t="s">
        <v>1116</v>
      </c>
      <c r="F12493" t="s">
        <v>1068</v>
      </c>
      <c r="G12493" t="s">
        <v>1071</v>
      </c>
      <c r="H12493" s="171" t="s">
        <v>7236</v>
      </c>
      <c r="I12493" t="s">
        <v>1072</v>
      </c>
      <c r="J12493">
        <v>9.4600000000000009</v>
      </c>
    </row>
    <row r="12494" spans="1:10" hidden="1">
      <c r="A12494" t="s">
        <v>7234</v>
      </c>
      <c r="B12494" t="s">
        <v>7235</v>
      </c>
      <c r="C12494" t="s">
        <v>6839</v>
      </c>
      <c r="D12494" t="s">
        <v>1067</v>
      </c>
      <c r="E12494" t="s">
        <v>1116</v>
      </c>
      <c r="F12494" t="s">
        <v>1068</v>
      </c>
      <c r="G12494" t="s">
        <v>1073</v>
      </c>
      <c r="H12494" s="171" t="s">
        <v>7237</v>
      </c>
      <c r="I12494" t="s">
        <v>1074</v>
      </c>
      <c r="J12494">
        <v>9.4600000000000009</v>
      </c>
    </row>
    <row r="12495" spans="1:10" hidden="1">
      <c r="A12495" t="s">
        <v>7234</v>
      </c>
      <c r="B12495" t="s">
        <v>7235</v>
      </c>
      <c r="C12495" t="s">
        <v>6839</v>
      </c>
      <c r="D12495" t="s">
        <v>1067</v>
      </c>
      <c r="E12495" t="s">
        <v>1116</v>
      </c>
      <c r="F12495" t="s">
        <v>1068</v>
      </c>
      <c r="G12495" t="s">
        <v>1075</v>
      </c>
      <c r="H12495">
        <v>9.5207508352117901E-3</v>
      </c>
      <c r="I12495" t="s">
        <v>1077</v>
      </c>
      <c r="J12495">
        <v>9.4600000000000009</v>
      </c>
    </row>
    <row r="12496" spans="1:10" hidden="1">
      <c r="A12496" t="s">
        <v>7234</v>
      </c>
      <c r="B12496" t="s">
        <v>7235</v>
      </c>
      <c r="C12496" t="s">
        <v>6839</v>
      </c>
      <c r="D12496" t="s">
        <v>1067</v>
      </c>
      <c r="E12496" t="s">
        <v>1116</v>
      </c>
      <c r="F12496" t="s">
        <v>1068</v>
      </c>
      <c r="G12496" t="s">
        <v>1078</v>
      </c>
      <c r="H12496">
        <v>3.4584607885101801E-2</v>
      </c>
      <c r="I12496" t="s">
        <v>1079</v>
      </c>
      <c r="J12496">
        <v>9.4600000000000009</v>
      </c>
    </row>
    <row r="12497" spans="1:10" hidden="1">
      <c r="A12497" t="s">
        <v>7234</v>
      </c>
      <c r="B12497" t="s">
        <v>7235</v>
      </c>
      <c r="C12497" t="s">
        <v>6839</v>
      </c>
      <c r="D12497" t="s">
        <v>1067</v>
      </c>
      <c r="E12497" t="s">
        <v>1116</v>
      </c>
      <c r="F12497" t="s">
        <v>1068</v>
      </c>
      <c r="G12497" t="s">
        <v>1080</v>
      </c>
      <c r="H12497" s="171" t="s">
        <v>7238</v>
      </c>
      <c r="I12497" t="s">
        <v>1082</v>
      </c>
      <c r="J12497">
        <v>9.4600000000000009</v>
      </c>
    </row>
    <row r="12498" spans="1:10" hidden="1">
      <c r="A12498" t="s">
        <v>7234</v>
      </c>
      <c r="B12498" t="s">
        <v>7235</v>
      </c>
      <c r="C12498" t="s">
        <v>6839</v>
      </c>
      <c r="D12498" t="s">
        <v>1067</v>
      </c>
      <c r="E12498" t="s">
        <v>1116</v>
      </c>
      <c r="F12498" t="s">
        <v>1068</v>
      </c>
      <c r="G12498" t="s">
        <v>1083</v>
      </c>
      <c r="H12498" s="171" t="s">
        <v>7239</v>
      </c>
      <c r="I12498" t="s">
        <v>1084</v>
      </c>
      <c r="J12498">
        <v>9.4600000000000009</v>
      </c>
    </row>
    <row r="12499" spans="1:10" hidden="1">
      <c r="A12499" t="s">
        <v>7234</v>
      </c>
      <c r="B12499" t="s">
        <v>7235</v>
      </c>
      <c r="C12499" t="s">
        <v>6839</v>
      </c>
      <c r="D12499" t="s">
        <v>1067</v>
      </c>
      <c r="E12499" t="s">
        <v>1116</v>
      </c>
      <c r="F12499" t="s">
        <v>1068</v>
      </c>
      <c r="G12499" t="s">
        <v>1085</v>
      </c>
      <c r="H12499">
        <v>3.5905096553953897E-4</v>
      </c>
      <c r="I12499" t="s">
        <v>1086</v>
      </c>
      <c r="J12499">
        <v>9.4600000000000009</v>
      </c>
    </row>
    <row r="12500" spans="1:10" hidden="1">
      <c r="A12500" t="s">
        <v>7234</v>
      </c>
      <c r="B12500" t="s">
        <v>7235</v>
      </c>
      <c r="C12500" t="s">
        <v>6839</v>
      </c>
      <c r="D12500" t="s">
        <v>1067</v>
      </c>
      <c r="E12500" t="s">
        <v>1116</v>
      </c>
      <c r="F12500" t="s">
        <v>1068</v>
      </c>
      <c r="G12500" t="s">
        <v>1087</v>
      </c>
      <c r="H12500" s="171" t="s">
        <v>7240</v>
      </c>
      <c r="I12500" t="s">
        <v>1088</v>
      </c>
      <c r="J12500">
        <v>9.4600000000000009</v>
      </c>
    </row>
    <row r="12501" spans="1:10" hidden="1">
      <c r="A12501" t="s">
        <v>7234</v>
      </c>
      <c r="B12501" t="s">
        <v>7235</v>
      </c>
      <c r="C12501" t="s">
        <v>6839</v>
      </c>
      <c r="D12501" t="s">
        <v>1067</v>
      </c>
      <c r="E12501" t="s">
        <v>1116</v>
      </c>
      <c r="F12501" t="s">
        <v>1068</v>
      </c>
      <c r="G12501" t="s">
        <v>1089</v>
      </c>
      <c r="H12501">
        <v>1.03928865314398E-4</v>
      </c>
      <c r="I12501" t="s">
        <v>1090</v>
      </c>
      <c r="J12501">
        <v>9.4600000000000009</v>
      </c>
    </row>
    <row r="12502" spans="1:10" hidden="1">
      <c r="A12502" t="s">
        <v>7241</v>
      </c>
      <c r="B12502" t="s">
        <v>7242</v>
      </c>
      <c r="C12502" t="s">
        <v>6839</v>
      </c>
      <c r="D12502" t="s">
        <v>1120</v>
      </c>
      <c r="E12502" t="s">
        <v>561</v>
      </c>
      <c r="F12502" t="s">
        <v>1068</v>
      </c>
      <c r="G12502" t="s">
        <v>1069</v>
      </c>
      <c r="H12502">
        <v>4.74853960356088E-2</v>
      </c>
      <c r="I12502" t="s">
        <v>1070</v>
      </c>
      <c r="J12502">
        <v>9.1</v>
      </c>
    </row>
    <row r="12503" spans="1:10" hidden="1">
      <c r="A12503" t="s">
        <v>7241</v>
      </c>
      <c r="B12503" t="s">
        <v>7242</v>
      </c>
      <c r="C12503" t="s">
        <v>6839</v>
      </c>
      <c r="D12503" t="s">
        <v>1120</v>
      </c>
      <c r="E12503" t="s">
        <v>561</v>
      </c>
      <c r="F12503" t="s">
        <v>1068</v>
      </c>
      <c r="G12503" t="s">
        <v>1071</v>
      </c>
      <c r="H12503" s="171" t="s">
        <v>7243</v>
      </c>
      <c r="I12503" t="s">
        <v>1072</v>
      </c>
      <c r="J12503">
        <v>9.1</v>
      </c>
    </row>
    <row r="12504" spans="1:10" hidden="1">
      <c r="A12504" t="s">
        <v>7241</v>
      </c>
      <c r="B12504" t="s">
        <v>7242</v>
      </c>
      <c r="C12504" t="s">
        <v>6839</v>
      </c>
      <c r="D12504" t="s">
        <v>1120</v>
      </c>
      <c r="E12504" t="s">
        <v>561</v>
      </c>
      <c r="F12504" t="s">
        <v>1068</v>
      </c>
      <c r="G12504" t="s">
        <v>1073</v>
      </c>
      <c r="H12504" s="171" t="s">
        <v>7244</v>
      </c>
      <c r="I12504" t="s">
        <v>1074</v>
      </c>
      <c r="J12504">
        <v>9.1</v>
      </c>
    </row>
    <row r="12505" spans="1:10" hidden="1">
      <c r="A12505" t="s">
        <v>7241</v>
      </c>
      <c r="B12505" t="s">
        <v>7242</v>
      </c>
      <c r="C12505" t="s">
        <v>6839</v>
      </c>
      <c r="D12505" t="s">
        <v>1120</v>
      </c>
      <c r="E12505" t="s">
        <v>561</v>
      </c>
      <c r="F12505" t="s">
        <v>1068</v>
      </c>
      <c r="G12505" t="s">
        <v>1075</v>
      </c>
      <c r="H12505">
        <v>9.6214011895100707E-3</v>
      </c>
      <c r="I12505" t="s">
        <v>1077</v>
      </c>
      <c r="J12505">
        <v>9.1</v>
      </c>
    </row>
    <row r="12506" spans="1:10" hidden="1">
      <c r="A12506" t="s">
        <v>7241</v>
      </c>
      <c r="B12506" t="s">
        <v>7242</v>
      </c>
      <c r="C12506" t="s">
        <v>6839</v>
      </c>
      <c r="D12506" t="s">
        <v>1120</v>
      </c>
      <c r="E12506" t="s">
        <v>561</v>
      </c>
      <c r="F12506" t="s">
        <v>1068</v>
      </c>
      <c r="G12506" t="s">
        <v>1078</v>
      </c>
      <c r="H12506" s="171" t="s">
        <v>7245</v>
      </c>
      <c r="I12506" t="s">
        <v>1079</v>
      </c>
      <c r="J12506">
        <v>9.1</v>
      </c>
    </row>
    <row r="12507" spans="1:10" hidden="1">
      <c r="A12507" t="s">
        <v>7241</v>
      </c>
      <c r="B12507" t="s">
        <v>7242</v>
      </c>
      <c r="C12507" t="s">
        <v>6839</v>
      </c>
      <c r="D12507" t="s">
        <v>1120</v>
      </c>
      <c r="E12507" t="s">
        <v>561</v>
      </c>
      <c r="F12507" t="s">
        <v>1068</v>
      </c>
      <c r="G12507" t="s">
        <v>1080</v>
      </c>
      <c r="H12507" s="171" t="s">
        <v>7246</v>
      </c>
      <c r="I12507" t="s">
        <v>1082</v>
      </c>
      <c r="J12507">
        <v>9.1</v>
      </c>
    </row>
    <row r="12508" spans="1:10" hidden="1">
      <c r="A12508" t="s">
        <v>7241</v>
      </c>
      <c r="B12508" t="s">
        <v>7242</v>
      </c>
      <c r="C12508" t="s">
        <v>6839</v>
      </c>
      <c r="D12508" t="s">
        <v>1120</v>
      </c>
      <c r="E12508" t="s">
        <v>561</v>
      </c>
      <c r="F12508" t="s">
        <v>1068</v>
      </c>
      <c r="G12508" t="s">
        <v>1083</v>
      </c>
      <c r="H12508" s="171" t="s">
        <v>7247</v>
      </c>
      <c r="I12508" t="s">
        <v>1084</v>
      </c>
      <c r="J12508">
        <v>9.1</v>
      </c>
    </row>
    <row r="12509" spans="1:10" hidden="1">
      <c r="A12509" t="s">
        <v>7241</v>
      </c>
      <c r="B12509" t="s">
        <v>7242</v>
      </c>
      <c r="C12509" t="s">
        <v>6839</v>
      </c>
      <c r="D12509" t="s">
        <v>1120</v>
      </c>
      <c r="E12509" t="s">
        <v>561</v>
      </c>
      <c r="F12509" t="s">
        <v>1068</v>
      </c>
      <c r="G12509" t="s">
        <v>1085</v>
      </c>
      <c r="H12509">
        <v>3.6380294080280701E-4</v>
      </c>
      <c r="I12509" t="s">
        <v>1086</v>
      </c>
      <c r="J12509">
        <v>9.1</v>
      </c>
    </row>
    <row r="12510" spans="1:10" hidden="1">
      <c r="A12510" t="s">
        <v>7241</v>
      </c>
      <c r="B12510" t="s">
        <v>7242</v>
      </c>
      <c r="C12510" t="s">
        <v>6839</v>
      </c>
      <c r="D12510" t="s">
        <v>1120</v>
      </c>
      <c r="E12510" t="s">
        <v>561</v>
      </c>
      <c r="F12510" t="s">
        <v>1068</v>
      </c>
      <c r="G12510" t="s">
        <v>1087</v>
      </c>
      <c r="H12510" s="171" t="s">
        <v>7248</v>
      </c>
      <c r="I12510" t="s">
        <v>1088</v>
      </c>
      <c r="J12510">
        <v>9.1</v>
      </c>
    </row>
    <row r="12511" spans="1:10" hidden="1">
      <c r="A12511" t="s">
        <v>7241</v>
      </c>
      <c r="B12511" t="s">
        <v>7242</v>
      </c>
      <c r="C12511" t="s">
        <v>6839</v>
      </c>
      <c r="D12511" t="s">
        <v>1120</v>
      </c>
      <c r="E12511" t="s">
        <v>561</v>
      </c>
      <c r="F12511" t="s">
        <v>1068</v>
      </c>
      <c r="G12511" t="s">
        <v>1089</v>
      </c>
      <c r="H12511">
        <v>1.0535163763018401E-4</v>
      </c>
      <c r="I12511" t="s">
        <v>1090</v>
      </c>
      <c r="J12511">
        <v>9.1</v>
      </c>
    </row>
    <row r="12512" spans="1:10" hidden="1">
      <c r="A12512" t="s">
        <v>7249</v>
      </c>
      <c r="B12512" t="s">
        <v>7250</v>
      </c>
      <c r="C12512" t="s">
        <v>6839</v>
      </c>
      <c r="D12512" t="s">
        <v>1120</v>
      </c>
      <c r="E12512" t="s">
        <v>555</v>
      </c>
      <c r="F12512" t="s">
        <v>1068</v>
      </c>
      <c r="G12512" t="s">
        <v>1069</v>
      </c>
      <c r="H12512">
        <v>4.7486966045686099E-2</v>
      </c>
      <c r="I12512" t="s">
        <v>1070</v>
      </c>
      <c r="J12512">
        <v>8.5500000000000007</v>
      </c>
    </row>
    <row r="12513" spans="1:10" hidden="1">
      <c r="A12513" t="s">
        <v>7249</v>
      </c>
      <c r="B12513" t="s">
        <v>7250</v>
      </c>
      <c r="C12513" t="s">
        <v>6839</v>
      </c>
      <c r="D12513" t="s">
        <v>1120</v>
      </c>
      <c r="E12513" t="s">
        <v>555</v>
      </c>
      <c r="F12513" t="s">
        <v>1068</v>
      </c>
      <c r="G12513" t="s">
        <v>1071</v>
      </c>
      <c r="H12513" s="171" t="s">
        <v>7251</v>
      </c>
      <c r="I12513" t="s">
        <v>1072</v>
      </c>
      <c r="J12513">
        <v>8.5500000000000007</v>
      </c>
    </row>
    <row r="12514" spans="1:10" hidden="1">
      <c r="A12514" t="s">
        <v>7249</v>
      </c>
      <c r="B12514" t="s">
        <v>7250</v>
      </c>
      <c r="C12514" t="s">
        <v>6839</v>
      </c>
      <c r="D12514" t="s">
        <v>1120</v>
      </c>
      <c r="E12514" t="s">
        <v>555</v>
      </c>
      <c r="F12514" t="s">
        <v>1068</v>
      </c>
      <c r="G12514" t="s">
        <v>1073</v>
      </c>
      <c r="H12514" s="171" t="s">
        <v>7252</v>
      </c>
      <c r="I12514" t="s">
        <v>1074</v>
      </c>
      <c r="J12514">
        <v>8.5500000000000007</v>
      </c>
    </row>
    <row r="12515" spans="1:10" hidden="1">
      <c r="A12515" t="s">
        <v>7249</v>
      </c>
      <c r="B12515" t="s">
        <v>7250</v>
      </c>
      <c r="C12515" t="s">
        <v>6839</v>
      </c>
      <c r="D12515" t="s">
        <v>1120</v>
      </c>
      <c r="E12515" t="s">
        <v>555</v>
      </c>
      <c r="F12515" t="s">
        <v>1068</v>
      </c>
      <c r="G12515" t="s">
        <v>1075</v>
      </c>
      <c r="H12515">
        <v>9.6214349993368007E-3</v>
      </c>
      <c r="I12515" t="s">
        <v>1077</v>
      </c>
      <c r="J12515">
        <v>8.5500000000000007</v>
      </c>
    </row>
    <row r="12516" spans="1:10" hidden="1">
      <c r="A12516" t="s">
        <v>7249</v>
      </c>
      <c r="B12516" t="s">
        <v>7250</v>
      </c>
      <c r="C12516" t="s">
        <v>6839</v>
      </c>
      <c r="D12516" t="s">
        <v>1120</v>
      </c>
      <c r="E12516" t="s">
        <v>555</v>
      </c>
      <c r="F12516" t="s">
        <v>1068</v>
      </c>
      <c r="G12516" t="s">
        <v>1078</v>
      </c>
      <c r="H12516" s="171" t="s">
        <v>7253</v>
      </c>
      <c r="I12516" t="s">
        <v>1079</v>
      </c>
      <c r="J12516">
        <v>8.5500000000000007</v>
      </c>
    </row>
    <row r="12517" spans="1:10" hidden="1">
      <c r="A12517" t="s">
        <v>7249</v>
      </c>
      <c r="B12517" t="s">
        <v>7250</v>
      </c>
      <c r="C12517" t="s">
        <v>6839</v>
      </c>
      <c r="D12517" t="s">
        <v>1120</v>
      </c>
      <c r="E12517" t="s">
        <v>555</v>
      </c>
      <c r="F12517" t="s">
        <v>1068</v>
      </c>
      <c r="G12517" t="s">
        <v>1080</v>
      </c>
      <c r="H12517" s="171" t="s">
        <v>7254</v>
      </c>
      <c r="I12517" t="s">
        <v>1082</v>
      </c>
      <c r="J12517">
        <v>8.5500000000000007</v>
      </c>
    </row>
    <row r="12518" spans="1:10" hidden="1">
      <c r="A12518" t="s">
        <v>7249</v>
      </c>
      <c r="B12518" t="s">
        <v>7250</v>
      </c>
      <c r="C12518" t="s">
        <v>6839</v>
      </c>
      <c r="D12518" t="s">
        <v>1120</v>
      </c>
      <c r="E12518" t="s">
        <v>555</v>
      </c>
      <c r="F12518" t="s">
        <v>1068</v>
      </c>
      <c r="G12518" t="s">
        <v>1083</v>
      </c>
      <c r="H12518" s="171" t="s">
        <v>7255</v>
      </c>
      <c r="I12518" t="s">
        <v>1084</v>
      </c>
      <c r="J12518">
        <v>8.5500000000000007</v>
      </c>
    </row>
    <row r="12519" spans="1:10" hidden="1">
      <c r="A12519" t="s">
        <v>7249</v>
      </c>
      <c r="B12519" t="s">
        <v>7250</v>
      </c>
      <c r="C12519" t="s">
        <v>6839</v>
      </c>
      <c r="D12519" t="s">
        <v>1120</v>
      </c>
      <c r="E12519" t="s">
        <v>555</v>
      </c>
      <c r="F12519" t="s">
        <v>1068</v>
      </c>
      <c r="G12519" t="s">
        <v>1085</v>
      </c>
      <c r="H12519">
        <v>3.63804777920545E-4</v>
      </c>
      <c r="I12519" t="s">
        <v>1086</v>
      </c>
      <c r="J12519">
        <v>8.5500000000000007</v>
      </c>
    </row>
    <row r="12520" spans="1:10" hidden="1">
      <c r="A12520" t="s">
        <v>7249</v>
      </c>
      <c r="B12520" t="s">
        <v>7250</v>
      </c>
      <c r="C12520" t="s">
        <v>6839</v>
      </c>
      <c r="D12520" t="s">
        <v>1120</v>
      </c>
      <c r="E12520" t="s">
        <v>555</v>
      </c>
      <c r="F12520" t="s">
        <v>1068</v>
      </c>
      <c r="G12520" t="s">
        <v>1087</v>
      </c>
      <c r="H12520" s="171" t="s">
        <v>7256</v>
      </c>
      <c r="I12520" t="s">
        <v>1088</v>
      </c>
      <c r="J12520">
        <v>8.5500000000000007</v>
      </c>
    </row>
    <row r="12521" spans="1:10" hidden="1">
      <c r="A12521" t="s">
        <v>7249</v>
      </c>
      <c r="B12521" t="s">
        <v>7250</v>
      </c>
      <c r="C12521" t="s">
        <v>6839</v>
      </c>
      <c r="D12521" t="s">
        <v>1120</v>
      </c>
      <c r="E12521" t="s">
        <v>555</v>
      </c>
      <c r="F12521" t="s">
        <v>1068</v>
      </c>
      <c r="G12521" t="s">
        <v>1089</v>
      </c>
      <c r="H12521">
        <v>1.0535201665113399E-4</v>
      </c>
      <c r="I12521" t="s">
        <v>1090</v>
      </c>
      <c r="J12521">
        <v>8.5500000000000007</v>
      </c>
    </row>
    <row r="12522" spans="1:10" hidden="1">
      <c r="A12522" t="s">
        <v>7257</v>
      </c>
      <c r="B12522" t="s">
        <v>7258</v>
      </c>
      <c r="C12522" t="s">
        <v>6839</v>
      </c>
      <c r="D12522" t="s">
        <v>1120</v>
      </c>
      <c r="E12522" t="s">
        <v>558</v>
      </c>
      <c r="F12522" t="s">
        <v>1068</v>
      </c>
      <c r="G12522" t="s">
        <v>1069</v>
      </c>
      <c r="H12522">
        <v>4.7485306520658702E-2</v>
      </c>
      <c r="I12522" t="s">
        <v>1070</v>
      </c>
      <c r="J12522">
        <v>9.7899999999999991</v>
      </c>
    </row>
    <row r="12523" spans="1:10" hidden="1">
      <c r="A12523" t="s">
        <v>7257</v>
      </c>
      <c r="B12523" t="s">
        <v>7258</v>
      </c>
      <c r="C12523" t="s">
        <v>6839</v>
      </c>
      <c r="D12523" t="s">
        <v>1120</v>
      </c>
      <c r="E12523" t="s">
        <v>558</v>
      </c>
      <c r="F12523" t="s">
        <v>1068</v>
      </c>
      <c r="G12523" t="s">
        <v>1071</v>
      </c>
      <c r="H12523" s="171" t="s">
        <v>7259</v>
      </c>
      <c r="I12523" t="s">
        <v>1072</v>
      </c>
      <c r="J12523">
        <v>9.7899999999999991</v>
      </c>
    </row>
    <row r="12524" spans="1:10" hidden="1">
      <c r="A12524" t="s">
        <v>7257</v>
      </c>
      <c r="B12524" t="s">
        <v>7258</v>
      </c>
      <c r="C12524" t="s">
        <v>6839</v>
      </c>
      <c r="D12524" t="s">
        <v>1120</v>
      </c>
      <c r="E12524" t="s">
        <v>558</v>
      </c>
      <c r="F12524" t="s">
        <v>1068</v>
      </c>
      <c r="G12524" t="s">
        <v>1073</v>
      </c>
      <c r="H12524" s="171" t="s">
        <v>7260</v>
      </c>
      <c r="I12524" t="s">
        <v>1074</v>
      </c>
      <c r="J12524">
        <v>9.7899999999999991</v>
      </c>
    </row>
    <row r="12525" spans="1:10" hidden="1">
      <c r="A12525" t="s">
        <v>7257</v>
      </c>
      <c r="B12525" t="s">
        <v>7258</v>
      </c>
      <c r="C12525" t="s">
        <v>6839</v>
      </c>
      <c r="D12525" t="s">
        <v>1120</v>
      </c>
      <c r="E12525" t="s">
        <v>558</v>
      </c>
      <c r="F12525" t="s">
        <v>1068</v>
      </c>
      <c r="G12525" t="s">
        <v>1075</v>
      </c>
      <c r="H12525">
        <v>9.6213983598469905E-3</v>
      </c>
      <c r="I12525" t="s">
        <v>1077</v>
      </c>
      <c r="J12525">
        <v>9.7899999999999991</v>
      </c>
    </row>
    <row r="12526" spans="1:10" hidden="1">
      <c r="A12526" t="s">
        <v>7257</v>
      </c>
      <c r="B12526" t="s">
        <v>7258</v>
      </c>
      <c r="C12526" t="s">
        <v>6839</v>
      </c>
      <c r="D12526" t="s">
        <v>1120</v>
      </c>
      <c r="E12526" t="s">
        <v>558</v>
      </c>
      <c r="F12526" t="s">
        <v>1068</v>
      </c>
      <c r="G12526" t="s">
        <v>1078</v>
      </c>
      <c r="H12526" s="171" t="s">
        <v>7261</v>
      </c>
      <c r="I12526" t="s">
        <v>1079</v>
      </c>
      <c r="J12526">
        <v>9.7899999999999991</v>
      </c>
    </row>
    <row r="12527" spans="1:10" hidden="1">
      <c r="A12527" t="s">
        <v>7257</v>
      </c>
      <c r="B12527" t="s">
        <v>7258</v>
      </c>
      <c r="C12527" t="s">
        <v>6839</v>
      </c>
      <c r="D12527" t="s">
        <v>1120</v>
      </c>
      <c r="E12527" t="s">
        <v>558</v>
      </c>
      <c r="F12527" t="s">
        <v>1068</v>
      </c>
      <c r="G12527" t="s">
        <v>1080</v>
      </c>
      <c r="H12527" s="171" t="s">
        <v>7262</v>
      </c>
      <c r="I12527" t="s">
        <v>1082</v>
      </c>
      <c r="J12527">
        <v>9.7899999999999991</v>
      </c>
    </row>
    <row r="12528" spans="1:10" hidden="1">
      <c r="A12528" t="s">
        <v>7257</v>
      </c>
      <c r="B12528" t="s">
        <v>7258</v>
      </c>
      <c r="C12528" t="s">
        <v>6839</v>
      </c>
      <c r="D12528" t="s">
        <v>1120</v>
      </c>
      <c r="E12528" t="s">
        <v>558</v>
      </c>
      <c r="F12528" t="s">
        <v>1068</v>
      </c>
      <c r="G12528" t="s">
        <v>1083</v>
      </c>
      <c r="H12528" s="171" t="s">
        <v>7263</v>
      </c>
      <c r="I12528" t="s">
        <v>1084</v>
      </c>
      <c r="J12528">
        <v>9.7899999999999991</v>
      </c>
    </row>
    <row r="12529" spans="1:10" hidden="1">
      <c r="A12529" t="s">
        <v>7257</v>
      </c>
      <c r="B12529" t="s">
        <v>7258</v>
      </c>
      <c r="C12529" t="s">
        <v>6839</v>
      </c>
      <c r="D12529" t="s">
        <v>1120</v>
      </c>
      <c r="E12529" t="s">
        <v>558</v>
      </c>
      <c r="F12529" t="s">
        <v>1068</v>
      </c>
      <c r="G12529" t="s">
        <v>1085</v>
      </c>
      <c r="H12529">
        <v>3.6380278702366199E-4</v>
      </c>
      <c r="I12529" t="s">
        <v>1086</v>
      </c>
      <c r="J12529">
        <v>9.7899999999999991</v>
      </c>
    </row>
    <row r="12530" spans="1:10" hidden="1">
      <c r="A12530" t="s">
        <v>7257</v>
      </c>
      <c r="B12530" t="s">
        <v>7258</v>
      </c>
      <c r="C12530" t="s">
        <v>6839</v>
      </c>
      <c r="D12530" t="s">
        <v>1120</v>
      </c>
      <c r="E12530" t="s">
        <v>558</v>
      </c>
      <c r="F12530" t="s">
        <v>1068</v>
      </c>
      <c r="G12530" t="s">
        <v>1087</v>
      </c>
      <c r="H12530" s="171" t="s">
        <v>7264</v>
      </c>
      <c r="I12530" t="s">
        <v>1088</v>
      </c>
      <c r="J12530">
        <v>9.7899999999999991</v>
      </c>
    </row>
    <row r="12531" spans="1:10" hidden="1">
      <c r="A12531" t="s">
        <v>7257</v>
      </c>
      <c r="B12531" t="s">
        <v>7258</v>
      </c>
      <c r="C12531" t="s">
        <v>6839</v>
      </c>
      <c r="D12531" t="s">
        <v>1120</v>
      </c>
      <c r="E12531" t="s">
        <v>558</v>
      </c>
      <c r="F12531" t="s">
        <v>1068</v>
      </c>
      <c r="G12531" t="s">
        <v>1089</v>
      </c>
      <c r="H12531">
        <v>1.0535160590585101E-4</v>
      </c>
      <c r="I12531" t="s">
        <v>1090</v>
      </c>
      <c r="J12531">
        <v>9.7899999999999991</v>
      </c>
    </row>
    <row r="12532" spans="1:10" hidden="1">
      <c r="A12532" t="s">
        <v>7265</v>
      </c>
      <c r="B12532" t="s">
        <v>7266</v>
      </c>
      <c r="C12532" t="s">
        <v>6839</v>
      </c>
      <c r="D12532" t="s">
        <v>1120</v>
      </c>
      <c r="E12532" t="s">
        <v>553</v>
      </c>
      <c r="F12532" t="s">
        <v>1068</v>
      </c>
      <c r="G12532" t="s">
        <v>1069</v>
      </c>
      <c r="H12532">
        <v>4.7485770663721803E-2</v>
      </c>
      <c r="I12532" t="s">
        <v>1070</v>
      </c>
      <c r="J12532">
        <v>10.11</v>
      </c>
    </row>
    <row r="12533" spans="1:10" hidden="1">
      <c r="A12533" t="s">
        <v>7265</v>
      </c>
      <c r="B12533" t="s">
        <v>7266</v>
      </c>
      <c r="C12533" t="s">
        <v>6839</v>
      </c>
      <c r="D12533" t="s">
        <v>1120</v>
      </c>
      <c r="E12533" t="s">
        <v>553</v>
      </c>
      <c r="F12533" t="s">
        <v>1068</v>
      </c>
      <c r="G12533" t="s">
        <v>1071</v>
      </c>
      <c r="H12533" s="171" t="s">
        <v>7267</v>
      </c>
      <c r="I12533" t="s">
        <v>1072</v>
      </c>
      <c r="J12533">
        <v>10.11</v>
      </c>
    </row>
    <row r="12534" spans="1:10" hidden="1">
      <c r="A12534" t="s">
        <v>7265</v>
      </c>
      <c r="B12534" t="s">
        <v>7266</v>
      </c>
      <c r="C12534" t="s">
        <v>6839</v>
      </c>
      <c r="D12534" t="s">
        <v>1120</v>
      </c>
      <c r="E12534" t="s">
        <v>553</v>
      </c>
      <c r="F12534" t="s">
        <v>1068</v>
      </c>
      <c r="G12534" t="s">
        <v>1073</v>
      </c>
      <c r="H12534" s="171" t="s">
        <v>7268</v>
      </c>
      <c r="I12534" t="s">
        <v>1074</v>
      </c>
      <c r="J12534">
        <v>10.11</v>
      </c>
    </row>
    <row r="12535" spans="1:10" hidden="1">
      <c r="A12535" t="s">
        <v>7265</v>
      </c>
      <c r="B12535" t="s">
        <v>7266</v>
      </c>
      <c r="C12535" t="s">
        <v>6839</v>
      </c>
      <c r="D12535" t="s">
        <v>1120</v>
      </c>
      <c r="E12535" t="s">
        <v>553</v>
      </c>
      <c r="F12535" t="s">
        <v>1068</v>
      </c>
      <c r="G12535" t="s">
        <v>1075</v>
      </c>
      <c r="H12535">
        <v>9.6213972120357694E-3</v>
      </c>
      <c r="I12535" t="s">
        <v>1077</v>
      </c>
      <c r="J12535">
        <v>10.11</v>
      </c>
    </row>
    <row r="12536" spans="1:10" hidden="1">
      <c r="A12536" t="s">
        <v>7265</v>
      </c>
      <c r="B12536" t="s">
        <v>7266</v>
      </c>
      <c r="C12536" t="s">
        <v>6839</v>
      </c>
      <c r="D12536" t="s">
        <v>1120</v>
      </c>
      <c r="E12536" t="s">
        <v>553</v>
      </c>
      <c r="F12536" t="s">
        <v>1068</v>
      </c>
      <c r="G12536" t="s">
        <v>1078</v>
      </c>
      <c r="H12536" s="171" t="s">
        <v>7269</v>
      </c>
      <c r="I12536" t="s">
        <v>1079</v>
      </c>
      <c r="J12536">
        <v>10.11</v>
      </c>
    </row>
    <row r="12537" spans="1:10" hidden="1">
      <c r="A12537" t="s">
        <v>7265</v>
      </c>
      <c r="B12537" t="s">
        <v>7266</v>
      </c>
      <c r="C12537" t="s">
        <v>6839</v>
      </c>
      <c r="D12537" t="s">
        <v>1120</v>
      </c>
      <c r="E12537" t="s">
        <v>553</v>
      </c>
      <c r="F12537" t="s">
        <v>1068</v>
      </c>
      <c r="G12537" t="s">
        <v>1080</v>
      </c>
      <c r="H12537" s="171" t="s">
        <v>7270</v>
      </c>
      <c r="I12537" t="s">
        <v>1082</v>
      </c>
      <c r="J12537">
        <v>10.11</v>
      </c>
    </row>
    <row r="12538" spans="1:10" hidden="1">
      <c r="A12538" t="s">
        <v>7265</v>
      </c>
      <c r="B12538" t="s">
        <v>7266</v>
      </c>
      <c r="C12538" t="s">
        <v>6839</v>
      </c>
      <c r="D12538" t="s">
        <v>1120</v>
      </c>
      <c r="E12538" t="s">
        <v>553</v>
      </c>
      <c r="F12538" t="s">
        <v>1068</v>
      </c>
      <c r="G12538" t="s">
        <v>1083</v>
      </c>
      <c r="H12538" s="171" t="s">
        <v>7271</v>
      </c>
      <c r="I12538" t="s">
        <v>1084</v>
      </c>
      <c r="J12538">
        <v>10.11</v>
      </c>
    </row>
    <row r="12539" spans="1:10" hidden="1">
      <c r="A12539" t="s">
        <v>7265</v>
      </c>
      <c r="B12539" t="s">
        <v>7266</v>
      </c>
      <c r="C12539" t="s">
        <v>6839</v>
      </c>
      <c r="D12539" t="s">
        <v>1120</v>
      </c>
      <c r="E12539" t="s">
        <v>553</v>
      </c>
      <c r="F12539" t="s">
        <v>1068</v>
      </c>
      <c r="G12539" t="s">
        <v>1085</v>
      </c>
      <c r="H12539">
        <v>3.6380272435496098E-4</v>
      </c>
      <c r="I12539" t="s">
        <v>1086</v>
      </c>
      <c r="J12539">
        <v>10.11</v>
      </c>
    </row>
    <row r="12540" spans="1:10" hidden="1">
      <c r="A12540" t="s">
        <v>7265</v>
      </c>
      <c r="B12540" t="s">
        <v>7266</v>
      </c>
      <c r="C12540" t="s">
        <v>6839</v>
      </c>
      <c r="D12540" t="s">
        <v>1120</v>
      </c>
      <c r="E12540" t="s">
        <v>553</v>
      </c>
      <c r="F12540" t="s">
        <v>1068</v>
      </c>
      <c r="G12540" t="s">
        <v>1087</v>
      </c>
      <c r="H12540" s="171" t="s">
        <v>7272</v>
      </c>
      <c r="I12540" t="s">
        <v>1088</v>
      </c>
      <c r="J12540">
        <v>10.11</v>
      </c>
    </row>
    <row r="12541" spans="1:10" hidden="1">
      <c r="A12541" t="s">
        <v>7265</v>
      </c>
      <c r="B12541" t="s">
        <v>7266</v>
      </c>
      <c r="C12541" t="s">
        <v>6839</v>
      </c>
      <c r="D12541" t="s">
        <v>1120</v>
      </c>
      <c r="E12541" t="s">
        <v>553</v>
      </c>
      <c r="F12541" t="s">
        <v>1068</v>
      </c>
      <c r="G12541" t="s">
        <v>1089</v>
      </c>
      <c r="H12541">
        <v>1.05351593004609E-4</v>
      </c>
      <c r="I12541" t="s">
        <v>1090</v>
      </c>
      <c r="J12541">
        <v>10.11</v>
      </c>
    </row>
    <row r="12542" spans="1:10" hidden="1">
      <c r="A12542" t="s">
        <v>7273</v>
      </c>
      <c r="B12542" t="s">
        <v>7274</v>
      </c>
      <c r="C12542" t="s">
        <v>6839</v>
      </c>
      <c r="D12542" t="s">
        <v>1120</v>
      </c>
      <c r="E12542" t="s">
        <v>556</v>
      </c>
      <c r="F12542" t="s">
        <v>1068</v>
      </c>
      <c r="G12542" t="s">
        <v>1069</v>
      </c>
      <c r="H12542" s="171" t="s">
        <v>7275</v>
      </c>
      <c r="I12542" t="s">
        <v>1070</v>
      </c>
      <c r="J12542">
        <v>10.119999999999999</v>
      </c>
    </row>
    <row r="12543" spans="1:10" hidden="1">
      <c r="A12543" t="s">
        <v>7273</v>
      </c>
      <c r="B12543" t="s">
        <v>7274</v>
      </c>
      <c r="C12543" t="s">
        <v>6839</v>
      </c>
      <c r="D12543" t="s">
        <v>1120</v>
      </c>
      <c r="E12543" t="s">
        <v>556</v>
      </c>
      <c r="F12543" t="s">
        <v>1068</v>
      </c>
      <c r="G12543" t="s">
        <v>1071</v>
      </c>
      <c r="H12543" s="171" t="s">
        <v>7276</v>
      </c>
      <c r="I12543" t="s">
        <v>1072</v>
      </c>
      <c r="J12543">
        <v>10.119999999999999</v>
      </c>
    </row>
    <row r="12544" spans="1:10" hidden="1">
      <c r="A12544" t="s">
        <v>7273</v>
      </c>
      <c r="B12544" t="s">
        <v>7274</v>
      </c>
      <c r="C12544" t="s">
        <v>6839</v>
      </c>
      <c r="D12544" t="s">
        <v>1120</v>
      </c>
      <c r="E12544" t="s">
        <v>556</v>
      </c>
      <c r="F12544" t="s">
        <v>1068</v>
      </c>
      <c r="G12544" t="s">
        <v>1073</v>
      </c>
      <c r="H12544" s="171" t="s">
        <v>7277</v>
      </c>
      <c r="I12544" t="s">
        <v>1074</v>
      </c>
      <c r="J12544">
        <v>10.119999999999999</v>
      </c>
    </row>
    <row r="12545" spans="1:10" hidden="1">
      <c r="A12545" t="s">
        <v>7273</v>
      </c>
      <c r="B12545" t="s">
        <v>7274</v>
      </c>
      <c r="C12545" t="s">
        <v>6839</v>
      </c>
      <c r="D12545" t="s">
        <v>1120</v>
      </c>
      <c r="E12545" t="s">
        <v>556</v>
      </c>
      <c r="F12545" t="s">
        <v>1068</v>
      </c>
      <c r="G12545" t="s">
        <v>1075</v>
      </c>
      <c r="H12545">
        <v>9.6214314476237104E-3</v>
      </c>
      <c r="I12545" t="s">
        <v>1077</v>
      </c>
      <c r="J12545">
        <v>10.119999999999999</v>
      </c>
    </row>
    <row r="12546" spans="1:10" hidden="1">
      <c r="A12546" t="s">
        <v>7273</v>
      </c>
      <c r="B12546" t="s">
        <v>7274</v>
      </c>
      <c r="C12546" t="s">
        <v>6839</v>
      </c>
      <c r="D12546" t="s">
        <v>1120</v>
      </c>
      <c r="E12546" t="s">
        <v>556</v>
      </c>
      <c r="F12546" t="s">
        <v>1068</v>
      </c>
      <c r="G12546" t="s">
        <v>1078</v>
      </c>
      <c r="H12546" s="171" t="s">
        <v>7278</v>
      </c>
      <c r="I12546" t="s">
        <v>1079</v>
      </c>
      <c r="J12546">
        <v>10.119999999999999</v>
      </c>
    </row>
    <row r="12547" spans="1:10" hidden="1">
      <c r="A12547" t="s">
        <v>7273</v>
      </c>
      <c r="B12547" t="s">
        <v>7274</v>
      </c>
      <c r="C12547" t="s">
        <v>6839</v>
      </c>
      <c r="D12547" t="s">
        <v>1120</v>
      </c>
      <c r="E12547" t="s">
        <v>556</v>
      </c>
      <c r="F12547" t="s">
        <v>1068</v>
      </c>
      <c r="G12547" t="s">
        <v>1080</v>
      </c>
      <c r="H12547" s="171" t="s">
        <v>7279</v>
      </c>
      <c r="I12547" t="s">
        <v>1082</v>
      </c>
      <c r="J12547">
        <v>10.119999999999999</v>
      </c>
    </row>
    <row r="12548" spans="1:10" hidden="1">
      <c r="A12548" t="s">
        <v>7273</v>
      </c>
      <c r="B12548" t="s">
        <v>7274</v>
      </c>
      <c r="C12548" t="s">
        <v>6839</v>
      </c>
      <c r="D12548" t="s">
        <v>1120</v>
      </c>
      <c r="E12548" t="s">
        <v>556</v>
      </c>
      <c r="F12548" t="s">
        <v>1068</v>
      </c>
      <c r="G12548" t="s">
        <v>1083</v>
      </c>
      <c r="H12548" s="171" t="s">
        <v>7280</v>
      </c>
      <c r="I12548" t="s">
        <v>1084</v>
      </c>
      <c r="J12548">
        <v>10.119999999999999</v>
      </c>
    </row>
    <row r="12549" spans="1:10" hidden="1">
      <c r="A12549" t="s">
        <v>7273</v>
      </c>
      <c r="B12549" t="s">
        <v>7274</v>
      </c>
      <c r="C12549" t="s">
        <v>6839</v>
      </c>
      <c r="D12549" t="s">
        <v>1120</v>
      </c>
      <c r="E12549" t="s">
        <v>556</v>
      </c>
      <c r="F12549" t="s">
        <v>1068</v>
      </c>
      <c r="G12549" t="s">
        <v>1085</v>
      </c>
      <c r="H12549">
        <v>3.6380458490130601E-4</v>
      </c>
      <c r="I12549" t="s">
        <v>1086</v>
      </c>
      <c r="J12549">
        <v>10.119999999999999</v>
      </c>
    </row>
    <row r="12550" spans="1:10" hidden="1">
      <c r="A12550" t="s">
        <v>7273</v>
      </c>
      <c r="B12550" t="s">
        <v>7274</v>
      </c>
      <c r="C12550" t="s">
        <v>6839</v>
      </c>
      <c r="D12550" t="s">
        <v>1120</v>
      </c>
      <c r="E12550" t="s">
        <v>556</v>
      </c>
      <c r="F12550" t="s">
        <v>1068</v>
      </c>
      <c r="G12550" t="s">
        <v>1087</v>
      </c>
      <c r="H12550" s="171" t="s">
        <v>7281</v>
      </c>
      <c r="I12550" t="s">
        <v>1088</v>
      </c>
      <c r="J12550">
        <v>10.119999999999999</v>
      </c>
    </row>
    <row r="12551" spans="1:10" hidden="1">
      <c r="A12551" t="s">
        <v>7273</v>
      </c>
      <c r="B12551" t="s">
        <v>7274</v>
      </c>
      <c r="C12551" t="s">
        <v>6839</v>
      </c>
      <c r="D12551" t="s">
        <v>1120</v>
      </c>
      <c r="E12551" t="s">
        <v>556</v>
      </c>
      <c r="F12551" t="s">
        <v>1068</v>
      </c>
      <c r="G12551" t="s">
        <v>1089</v>
      </c>
      <c r="H12551">
        <v>1.05351976831647E-4</v>
      </c>
      <c r="I12551" t="s">
        <v>1090</v>
      </c>
      <c r="J12551">
        <v>10.119999999999999</v>
      </c>
    </row>
    <row r="12552" spans="1:10" hidden="1">
      <c r="A12552" t="s">
        <v>7282</v>
      </c>
      <c r="B12552" t="s">
        <v>7283</v>
      </c>
      <c r="C12552" t="s">
        <v>6839</v>
      </c>
      <c r="D12552" t="s">
        <v>1120</v>
      </c>
      <c r="E12552" t="s">
        <v>557</v>
      </c>
      <c r="F12552" t="s">
        <v>1068</v>
      </c>
      <c r="G12552" t="s">
        <v>1069</v>
      </c>
      <c r="H12552">
        <v>4.7485676256321198E-2</v>
      </c>
      <c r="I12552" t="s">
        <v>1070</v>
      </c>
      <c r="J12552">
        <v>8.59</v>
      </c>
    </row>
    <row r="12553" spans="1:10" hidden="1">
      <c r="A12553" t="s">
        <v>7282</v>
      </c>
      <c r="B12553" t="s">
        <v>7283</v>
      </c>
      <c r="C12553" t="s">
        <v>6839</v>
      </c>
      <c r="D12553" t="s">
        <v>1120</v>
      </c>
      <c r="E12553" t="s">
        <v>557</v>
      </c>
      <c r="F12553" t="s">
        <v>1068</v>
      </c>
      <c r="G12553" t="s">
        <v>1071</v>
      </c>
      <c r="H12553" s="171" t="s">
        <v>7284</v>
      </c>
      <c r="I12553" t="s">
        <v>1072</v>
      </c>
      <c r="J12553">
        <v>8.59</v>
      </c>
    </row>
    <row r="12554" spans="1:10" hidden="1">
      <c r="A12554" t="s">
        <v>7282</v>
      </c>
      <c r="B12554" t="s">
        <v>7283</v>
      </c>
      <c r="C12554" t="s">
        <v>6839</v>
      </c>
      <c r="D12554" t="s">
        <v>1120</v>
      </c>
      <c r="E12554" t="s">
        <v>557</v>
      </c>
      <c r="F12554" t="s">
        <v>1068</v>
      </c>
      <c r="G12554" t="s">
        <v>1073</v>
      </c>
      <c r="H12554" s="171" t="s">
        <v>7285</v>
      </c>
      <c r="I12554" t="s">
        <v>1074</v>
      </c>
      <c r="J12554">
        <v>8.59</v>
      </c>
    </row>
    <row r="12555" spans="1:10" hidden="1">
      <c r="A12555" t="s">
        <v>7282</v>
      </c>
      <c r="B12555" t="s">
        <v>7283</v>
      </c>
      <c r="C12555" t="s">
        <v>6839</v>
      </c>
      <c r="D12555" t="s">
        <v>1120</v>
      </c>
      <c r="E12555" t="s">
        <v>557</v>
      </c>
      <c r="F12555" t="s">
        <v>1068</v>
      </c>
      <c r="G12555" t="s">
        <v>1075</v>
      </c>
      <c r="H12555">
        <v>9.6214100475862895E-3</v>
      </c>
      <c r="I12555" t="s">
        <v>1077</v>
      </c>
      <c r="J12555">
        <v>8.59</v>
      </c>
    </row>
    <row r="12556" spans="1:10" hidden="1">
      <c r="A12556" t="s">
        <v>7282</v>
      </c>
      <c r="B12556" t="s">
        <v>7283</v>
      </c>
      <c r="C12556" t="s">
        <v>6839</v>
      </c>
      <c r="D12556" t="s">
        <v>1120</v>
      </c>
      <c r="E12556" t="s">
        <v>557</v>
      </c>
      <c r="F12556" t="s">
        <v>1068</v>
      </c>
      <c r="G12556" t="s">
        <v>1078</v>
      </c>
      <c r="H12556" s="171" t="s">
        <v>7286</v>
      </c>
      <c r="I12556" t="s">
        <v>1079</v>
      </c>
      <c r="J12556">
        <v>8.59</v>
      </c>
    </row>
    <row r="12557" spans="1:10" hidden="1">
      <c r="A12557" t="s">
        <v>7282</v>
      </c>
      <c r="B12557" t="s">
        <v>7283</v>
      </c>
      <c r="C12557" t="s">
        <v>6839</v>
      </c>
      <c r="D12557" t="s">
        <v>1120</v>
      </c>
      <c r="E12557" t="s">
        <v>557</v>
      </c>
      <c r="F12557" t="s">
        <v>1068</v>
      </c>
      <c r="G12557" t="s">
        <v>1080</v>
      </c>
      <c r="H12557" s="171" t="s">
        <v>7287</v>
      </c>
      <c r="I12557" t="s">
        <v>1082</v>
      </c>
      <c r="J12557">
        <v>8.59</v>
      </c>
    </row>
    <row r="12558" spans="1:10" hidden="1">
      <c r="A12558" t="s">
        <v>7282</v>
      </c>
      <c r="B12558" t="s">
        <v>7283</v>
      </c>
      <c r="C12558" t="s">
        <v>6839</v>
      </c>
      <c r="D12558" t="s">
        <v>1120</v>
      </c>
      <c r="E12558" t="s">
        <v>557</v>
      </c>
      <c r="F12558" t="s">
        <v>1068</v>
      </c>
      <c r="G12558" t="s">
        <v>1083</v>
      </c>
      <c r="H12558" s="171" t="s">
        <v>7288</v>
      </c>
      <c r="I12558" t="s">
        <v>1084</v>
      </c>
      <c r="J12558">
        <v>8.59</v>
      </c>
    </row>
    <row r="12559" spans="1:10" hidden="1">
      <c r="A12559" t="s">
        <v>7282</v>
      </c>
      <c r="B12559" t="s">
        <v>7283</v>
      </c>
      <c r="C12559" t="s">
        <v>6839</v>
      </c>
      <c r="D12559" t="s">
        <v>1120</v>
      </c>
      <c r="E12559" t="s">
        <v>557</v>
      </c>
      <c r="F12559" t="s">
        <v>1068</v>
      </c>
      <c r="G12559" t="s">
        <v>1085</v>
      </c>
      <c r="H12559">
        <v>3.6380342219840498E-4</v>
      </c>
      <c r="I12559" t="s">
        <v>1086</v>
      </c>
      <c r="J12559">
        <v>8.59</v>
      </c>
    </row>
    <row r="12560" spans="1:10" hidden="1">
      <c r="A12560" t="s">
        <v>7282</v>
      </c>
      <c r="B12560" t="s">
        <v>7283</v>
      </c>
      <c r="C12560" t="s">
        <v>6839</v>
      </c>
      <c r="D12560" t="s">
        <v>1120</v>
      </c>
      <c r="E12560" t="s">
        <v>557</v>
      </c>
      <c r="F12560" t="s">
        <v>1068</v>
      </c>
      <c r="G12560" t="s">
        <v>1087</v>
      </c>
      <c r="H12560" s="171" t="s">
        <v>7289</v>
      </c>
      <c r="I12560" t="s">
        <v>1088</v>
      </c>
      <c r="J12560">
        <v>8.59</v>
      </c>
    </row>
    <row r="12561" spans="1:10" hidden="1">
      <c r="A12561" t="s">
        <v>7282</v>
      </c>
      <c r="B12561" t="s">
        <v>7283</v>
      </c>
      <c r="C12561" t="s">
        <v>6839</v>
      </c>
      <c r="D12561" t="s">
        <v>1120</v>
      </c>
      <c r="E12561" t="s">
        <v>557</v>
      </c>
      <c r="F12561" t="s">
        <v>1068</v>
      </c>
      <c r="G12561" t="s">
        <v>1089</v>
      </c>
      <c r="H12561">
        <v>1.0535173694114599E-4</v>
      </c>
      <c r="I12561" t="s">
        <v>1090</v>
      </c>
      <c r="J12561">
        <v>8.59</v>
      </c>
    </row>
    <row r="12562" spans="1:10" hidden="1">
      <c r="A12562" t="s">
        <v>7290</v>
      </c>
      <c r="B12562" t="s">
        <v>7291</v>
      </c>
      <c r="C12562" t="s">
        <v>6839</v>
      </c>
      <c r="D12562" t="s">
        <v>1120</v>
      </c>
      <c r="E12562" t="s">
        <v>559</v>
      </c>
      <c r="F12562" t="s">
        <v>1068</v>
      </c>
      <c r="G12562" t="s">
        <v>1069</v>
      </c>
      <c r="H12562" s="171" t="s">
        <v>7292</v>
      </c>
      <c r="I12562" t="s">
        <v>1070</v>
      </c>
      <c r="J12562">
        <v>8.99</v>
      </c>
    </row>
    <row r="12563" spans="1:10" hidden="1">
      <c r="A12563" t="s">
        <v>7290</v>
      </c>
      <c r="B12563" t="s">
        <v>7291</v>
      </c>
      <c r="C12563" t="s">
        <v>6839</v>
      </c>
      <c r="D12563" t="s">
        <v>1120</v>
      </c>
      <c r="E12563" t="s">
        <v>559</v>
      </c>
      <c r="F12563" t="s">
        <v>1068</v>
      </c>
      <c r="G12563" t="s">
        <v>1071</v>
      </c>
      <c r="H12563" s="171" t="s">
        <v>7293</v>
      </c>
      <c r="I12563" t="s">
        <v>1072</v>
      </c>
      <c r="J12563">
        <v>8.99</v>
      </c>
    </row>
    <row r="12564" spans="1:10" hidden="1">
      <c r="A12564" t="s">
        <v>7290</v>
      </c>
      <c r="B12564" t="s">
        <v>7291</v>
      </c>
      <c r="C12564" t="s">
        <v>6839</v>
      </c>
      <c r="D12564" t="s">
        <v>1120</v>
      </c>
      <c r="E12564" t="s">
        <v>559</v>
      </c>
      <c r="F12564" t="s">
        <v>1068</v>
      </c>
      <c r="G12564" t="s">
        <v>1073</v>
      </c>
      <c r="H12564" s="171" t="s">
        <v>7294</v>
      </c>
      <c r="I12564" t="s">
        <v>1074</v>
      </c>
      <c r="J12564">
        <v>8.99</v>
      </c>
    </row>
    <row r="12565" spans="1:10" hidden="1">
      <c r="A12565" t="s">
        <v>7290</v>
      </c>
      <c r="B12565" t="s">
        <v>7291</v>
      </c>
      <c r="C12565" t="s">
        <v>6839</v>
      </c>
      <c r="D12565" t="s">
        <v>1120</v>
      </c>
      <c r="E12565" t="s">
        <v>559</v>
      </c>
      <c r="F12565" t="s">
        <v>1068</v>
      </c>
      <c r="G12565" t="s">
        <v>1075</v>
      </c>
      <c r="H12565">
        <v>9.6214212713659208E-3</v>
      </c>
      <c r="I12565" t="s">
        <v>1077</v>
      </c>
      <c r="J12565">
        <v>8.99</v>
      </c>
    </row>
    <row r="12566" spans="1:10" hidden="1">
      <c r="A12566" t="s">
        <v>7290</v>
      </c>
      <c r="B12566" t="s">
        <v>7291</v>
      </c>
      <c r="C12566" t="s">
        <v>6839</v>
      </c>
      <c r="D12566" t="s">
        <v>1120</v>
      </c>
      <c r="E12566" t="s">
        <v>559</v>
      </c>
      <c r="F12566" t="s">
        <v>1068</v>
      </c>
      <c r="G12566" t="s">
        <v>1078</v>
      </c>
      <c r="H12566" s="171" t="s">
        <v>7295</v>
      </c>
      <c r="I12566" t="s">
        <v>1079</v>
      </c>
      <c r="J12566">
        <v>8.99</v>
      </c>
    </row>
    <row r="12567" spans="1:10" hidden="1">
      <c r="A12567" t="s">
        <v>7290</v>
      </c>
      <c r="B12567" t="s">
        <v>7291</v>
      </c>
      <c r="C12567" t="s">
        <v>6839</v>
      </c>
      <c r="D12567" t="s">
        <v>1120</v>
      </c>
      <c r="E12567" t="s">
        <v>559</v>
      </c>
      <c r="F12567" t="s">
        <v>1068</v>
      </c>
      <c r="G12567" t="s">
        <v>1080</v>
      </c>
      <c r="H12567" s="171" t="s">
        <v>7296</v>
      </c>
      <c r="I12567" t="s">
        <v>1082</v>
      </c>
      <c r="J12567">
        <v>8.99</v>
      </c>
    </row>
    <row r="12568" spans="1:10" hidden="1">
      <c r="A12568" t="s">
        <v>7290</v>
      </c>
      <c r="B12568" t="s">
        <v>7291</v>
      </c>
      <c r="C12568" t="s">
        <v>6839</v>
      </c>
      <c r="D12568" t="s">
        <v>1120</v>
      </c>
      <c r="E12568" t="s">
        <v>559</v>
      </c>
      <c r="F12568" t="s">
        <v>1068</v>
      </c>
      <c r="G12568" t="s">
        <v>1083</v>
      </c>
      <c r="H12568" s="171" t="s">
        <v>7297</v>
      </c>
      <c r="I12568" t="s">
        <v>1084</v>
      </c>
      <c r="J12568">
        <v>8.99</v>
      </c>
    </row>
    <row r="12569" spans="1:10" hidden="1">
      <c r="A12569" t="s">
        <v>7290</v>
      </c>
      <c r="B12569" t="s">
        <v>7291</v>
      </c>
      <c r="C12569" t="s">
        <v>6839</v>
      </c>
      <c r="D12569" t="s">
        <v>1120</v>
      </c>
      <c r="E12569" t="s">
        <v>559</v>
      </c>
      <c r="F12569" t="s">
        <v>1068</v>
      </c>
      <c r="G12569" t="s">
        <v>1085</v>
      </c>
      <c r="H12569">
        <v>3.6380403186862603E-4</v>
      </c>
      <c r="I12569" t="s">
        <v>1086</v>
      </c>
      <c r="J12569">
        <v>8.99</v>
      </c>
    </row>
    <row r="12570" spans="1:10" hidden="1">
      <c r="A12570" t="s">
        <v>7290</v>
      </c>
      <c r="B12570" t="s">
        <v>7291</v>
      </c>
      <c r="C12570" t="s">
        <v>6839</v>
      </c>
      <c r="D12570" t="s">
        <v>1120</v>
      </c>
      <c r="E12570" t="s">
        <v>559</v>
      </c>
      <c r="F12570" t="s">
        <v>1068</v>
      </c>
      <c r="G12570" t="s">
        <v>1087</v>
      </c>
      <c r="H12570" s="171" t="s">
        <v>7298</v>
      </c>
      <c r="I12570" t="s">
        <v>1088</v>
      </c>
      <c r="J12570">
        <v>8.99</v>
      </c>
    </row>
    <row r="12571" spans="1:10" hidden="1">
      <c r="A12571" t="s">
        <v>7290</v>
      </c>
      <c r="B12571" t="s">
        <v>7291</v>
      </c>
      <c r="C12571" t="s">
        <v>6839</v>
      </c>
      <c r="D12571" t="s">
        <v>1120</v>
      </c>
      <c r="E12571" t="s">
        <v>559</v>
      </c>
      <c r="F12571" t="s">
        <v>1068</v>
      </c>
      <c r="G12571" t="s">
        <v>1089</v>
      </c>
      <c r="H12571">
        <v>1.05351862742096E-4</v>
      </c>
      <c r="I12571" t="s">
        <v>1090</v>
      </c>
      <c r="J12571">
        <v>8.99</v>
      </c>
    </row>
    <row r="12572" spans="1:10" hidden="1">
      <c r="A12572" t="s">
        <v>7299</v>
      </c>
      <c r="B12572" t="s">
        <v>7300</v>
      </c>
      <c r="C12572" t="s">
        <v>6839</v>
      </c>
      <c r="D12572" t="s">
        <v>1120</v>
      </c>
      <c r="E12572" t="s">
        <v>560</v>
      </c>
      <c r="F12572" t="s">
        <v>1068</v>
      </c>
      <c r="G12572" t="s">
        <v>1069</v>
      </c>
      <c r="H12572">
        <v>4.7485873448674998E-2</v>
      </c>
      <c r="I12572" t="s">
        <v>1070</v>
      </c>
      <c r="J12572">
        <v>9.19</v>
      </c>
    </row>
    <row r="12573" spans="1:10" hidden="1">
      <c r="A12573" t="s">
        <v>7299</v>
      </c>
      <c r="B12573" t="s">
        <v>7300</v>
      </c>
      <c r="C12573" t="s">
        <v>6839</v>
      </c>
      <c r="D12573" t="s">
        <v>1120</v>
      </c>
      <c r="E12573" t="s">
        <v>560</v>
      </c>
      <c r="F12573" t="s">
        <v>1068</v>
      </c>
      <c r="G12573" t="s">
        <v>1071</v>
      </c>
      <c r="H12573" s="171" t="s">
        <v>7301</v>
      </c>
      <c r="I12573" t="s">
        <v>1072</v>
      </c>
      <c r="J12573">
        <v>9.19</v>
      </c>
    </row>
    <row r="12574" spans="1:10" hidden="1">
      <c r="A12574" t="s">
        <v>7299</v>
      </c>
      <c r="B12574" t="s">
        <v>7300</v>
      </c>
      <c r="C12574" t="s">
        <v>6839</v>
      </c>
      <c r="D12574" t="s">
        <v>1120</v>
      </c>
      <c r="E12574" t="s">
        <v>560</v>
      </c>
      <c r="F12574" t="s">
        <v>1068</v>
      </c>
      <c r="G12574" t="s">
        <v>1073</v>
      </c>
      <c r="H12574" s="171" t="s">
        <v>7302</v>
      </c>
      <c r="I12574" t="s">
        <v>1074</v>
      </c>
      <c r="J12574">
        <v>9.19</v>
      </c>
    </row>
    <row r="12575" spans="1:10" hidden="1">
      <c r="A12575" t="s">
        <v>7299</v>
      </c>
      <c r="B12575" t="s">
        <v>7300</v>
      </c>
      <c r="C12575" t="s">
        <v>6839</v>
      </c>
      <c r="D12575" t="s">
        <v>1120</v>
      </c>
      <c r="E12575" t="s">
        <v>560</v>
      </c>
      <c r="F12575" t="s">
        <v>1068</v>
      </c>
      <c r="G12575" t="s">
        <v>1075</v>
      </c>
      <c r="H12575">
        <v>9.6214162810472608E-3</v>
      </c>
      <c r="I12575" t="s">
        <v>1077</v>
      </c>
      <c r="J12575">
        <v>9.19</v>
      </c>
    </row>
    <row r="12576" spans="1:10" hidden="1">
      <c r="A12576" t="s">
        <v>7299</v>
      </c>
      <c r="B12576" t="s">
        <v>7300</v>
      </c>
      <c r="C12576" t="s">
        <v>6839</v>
      </c>
      <c r="D12576" t="s">
        <v>1120</v>
      </c>
      <c r="E12576" t="s">
        <v>560</v>
      </c>
      <c r="F12576" t="s">
        <v>1068</v>
      </c>
      <c r="G12576" t="s">
        <v>1078</v>
      </c>
      <c r="H12576" s="171" t="s">
        <v>7303</v>
      </c>
      <c r="I12576" t="s">
        <v>1079</v>
      </c>
      <c r="J12576">
        <v>9.19</v>
      </c>
    </row>
    <row r="12577" spans="1:10" hidden="1">
      <c r="A12577" t="s">
        <v>7299</v>
      </c>
      <c r="B12577" t="s">
        <v>7300</v>
      </c>
      <c r="C12577" t="s">
        <v>6839</v>
      </c>
      <c r="D12577" t="s">
        <v>1120</v>
      </c>
      <c r="E12577" t="s">
        <v>560</v>
      </c>
      <c r="F12577" t="s">
        <v>1068</v>
      </c>
      <c r="G12577" t="s">
        <v>1080</v>
      </c>
      <c r="H12577" s="171" t="s">
        <v>7304</v>
      </c>
      <c r="I12577" t="s">
        <v>1082</v>
      </c>
      <c r="J12577">
        <v>9.19</v>
      </c>
    </row>
    <row r="12578" spans="1:10" hidden="1">
      <c r="A12578" t="s">
        <v>7299</v>
      </c>
      <c r="B12578" t="s">
        <v>7300</v>
      </c>
      <c r="C12578" t="s">
        <v>6839</v>
      </c>
      <c r="D12578" t="s">
        <v>1120</v>
      </c>
      <c r="E12578" t="s">
        <v>560</v>
      </c>
      <c r="F12578" t="s">
        <v>1068</v>
      </c>
      <c r="G12578" t="s">
        <v>1083</v>
      </c>
      <c r="H12578" s="171" t="s">
        <v>7305</v>
      </c>
      <c r="I12578" t="s">
        <v>1084</v>
      </c>
      <c r="J12578">
        <v>9.19</v>
      </c>
    </row>
    <row r="12579" spans="1:10" hidden="1">
      <c r="A12579" t="s">
        <v>7299</v>
      </c>
      <c r="B12579" t="s">
        <v>7300</v>
      </c>
      <c r="C12579" t="s">
        <v>6839</v>
      </c>
      <c r="D12579" t="s">
        <v>1120</v>
      </c>
      <c r="E12579" t="s">
        <v>560</v>
      </c>
      <c r="F12579" t="s">
        <v>1068</v>
      </c>
      <c r="G12579" t="s">
        <v>1085</v>
      </c>
      <c r="H12579">
        <v>3.6380376095826802E-4</v>
      </c>
      <c r="I12579" t="s">
        <v>1086</v>
      </c>
      <c r="J12579">
        <v>9.19</v>
      </c>
    </row>
    <row r="12580" spans="1:10" hidden="1">
      <c r="A12580" t="s">
        <v>7299</v>
      </c>
      <c r="B12580" t="s">
        <v>7300</v>
      </c>
      <c r="C12580" t="s">
        <v>6839</v>
      </c>
      <c r="D12580" t="s">
        <v>1120</v>
      </c>
      <c r="E12580" t="s">
        <v>560</v>
      </c>
      <c r="F12580" t="s">
        <v>1068</v>
      </c>
      <c r="G12580" t="s">
        <v>1087</v>
      </c>
      <c r="H12580" s="171" t="s">
        <v>7306</v>
      </c>
      <c r="I12580" t="s">
        <v>1088</v>
      </c>
      <c r="J12580">
        <v>9.19</v>
      </c>
    </row>
    <row r="12581" spans="1:10" hidden="1">
      <c r="A12581" t="s">
        <v>7299</v>
      </c>
      <c r="B12581" t="s">
        <v>7300</v>
      </c>
      <c r="C12581" t="s">
        <v>6839</v>
      </c>
      <c r="D12581" t="s">
        <v>1120</v>
      </c>
      <c r="E12581" t="s">
        <v>560</v>
      </c>
      <c r="F12581" t="s">
        <v>1068</v>
      </c>
      <c r="G12581" t="s">
        <v>1089</v>
      </c>
      <c r="H12581">
        <v>1.05351806826637E-4</v>
      </c>
      <c r="I12581" t="s">
        <v>1090</v>
      </c>
      <c r="J12581">
        <v>9.19</v>
      </c>
    </row>
    <row r="12582" spans="1:10" hidden="1">
      <c r="A12582" t="s">
        <v>7307</v>
      </c>
      <c r="B12582" t="s">
        <v>7308</v>
      </c>
      <c r="C12582" t="s">
        <v>6839</v>
      </c>
      <c r="D12582" t="s">
        <v>1120</v>
      </c>
      <c r="E12582" t="s">
        <v>1116</v>
      </c>
      <c r="F12582" t="s">
        <v>1068</v>
      </c>
      <c r="G12582" t="s">
        <v>1069</v>
      </c>
      <c r="H12582">
        <v>4.7485274950050303E-2</v>
      </c>
      <c r="I12582" t="s">
        <v>1070</v>
      </c>
      <c r="J12582">
        <v>8.49</v>
      </c>
    </row>
    <row r="12583" spans="1:10" hidden="1">
      <c r="A12583" t="s">
        <v>7307</v>
      </c>
      <c r="B12583" t="s">
        <v>7308</v>
      </c>
      <c r="C12583" t="s">
        <v>6839</v>
      </c>
      <c r="D12583" t="s">
        <v>1120</v>
      </c>
      <c r="E12583" t="s">
        <v>1116</v>
      </c>
      <c r="F12583" t="s">
        <v>1068</v>
      </c>
      <c r="G12583" t="s">
        <v>1071</v>
      </c>
      <c r="H12583" s="171" t="s">
        <v>7309</v>
      </c>
      <c r="I12583" t="s">
        <v>1072</v>
      </c>
      <c r="J12583">
        <v>8.49</v>
      </c>
    </row>
    <row r="12584" spans="1:10" hidden="1">
      <c r="A12584" t="s">
        <v>7307</v>
      </c>
      <c r="B12584" t="s">
        <v>7308</v>
      </c>
      <c r="C12584" t="s">
        <v>6839</v>
      </c>
      <c r="D12584" t="s">
        <v>1120</v>
      </c>
      <c r="E12584" t="s">
        <v>1116</v>
      </c>
      <c r="F12584" t="s">
        <v>1068</v>
      </c>
      <c r="G12584" t="s">
        <v>1073</v>
      </c>
      <c r="H12584" s="171" t="s">
        <v>7310</v>
      </c>
      <c r="I12584" t="s">
        <v>1074</v>
      </c>
      <c r="J12584">
        <v>8.49</v>
      </c>
    </row>
    <row r="12585" spans="1:10" hidden="1">
      <c r="A12585" t="s">
        <v>7307</v>
      </c>
      <c r="B12585" t="s">
        <v>7308</v>
      </c>
      <c r="C12585" t="s">
        <v>6839</v>
      </c>
      <c r="D12585" t="s">
        <v>1120</v>
      </c>
      <c r="E12585" t="s">
        <v>1116</v>
      </c>
      <c r="F12585" t="s">
        <v>1068</v>
      </c>
      <c r="G12585" t="s">
        <v>1075</v>
      </c>
      <c r="H12585">
        <v>9.6213973618663705E-3</v>
      </c>
      <c r="I12585" t="s">
        <v>1077</v>
      </c>
      <c r="J12585">
        <v>8.49</v>
      </c>
    </row>
    <row r="12586" spans="1:10" hidden="1">
      <c r="A12586" t="s">
        <v>7307</v>
      </c>
      <c r="B12586" t="s">
        <v>7308</v>
      </c>
      <c r="C12586" t="s">
        <v>6839</v>
      </c>
      <c r="D12586" t="s">
        <v>1120</v>
      </c>
      <c r="E12586" t="s">
        <v>1116</v>
      </c>
      <c r="F12586" t="s">
        <v>1068</v>
      </c>
      <c r="G12586" t="s">
        <v>1078</v>
      </c>
      <c r="H12586" s="171" t="s">
        <v>7311</v>
      </c>
      <c r="I12586" t="s">
        <v>1079</v>
      </c>
      <c r="J12586">
        <v>8.49</v>
      </c>
    </row>
    <row r="12587" spans="1:10" hidden="1">
      <c r="A12587" t="s">
        <v>7307</v>
      </c>
      <c r="B12587" t="s">
        <v>7308</v>
      </c>
      <c r="C12587" t="s">
        <v>6839</v>
      </c>
      <c r="D12587" t="s">
        <v>1120</v>
      </c>
      <c r="E12587" t="s">
        <v>1116</v>
      </c>
      <c r="F12587" t="s">
        <v>1068</v>
      </c>
      <c r="G12587" t="s">
        <v>1080</v>
      </c>
      <c r="H12587" s="171" t="s">
        <v>7312</v>
      </c>
      <c r="I12587" t="s">
        <v>1082</v>
      </c>
      <c r="J12587">
        <v>8.49</v>
      </c>
    </row>
    <row r="12588" spans="1:10" hidden="1">
      <c r="A12588" t="s">
        <v>7307</v>
      </c>
      <c r="B12588" t="s">
        <v>7308</v>
      </c>
      <c r="C12588" t="s">
        <v>6839</v>
      </c>
      <c r="D12588" t="s">
        <v>1120</v>
      </c>
      <c r="E12588" t="s">
        <v>1116</v>
      </c>
      <c r="F12588" t="s">
        <v>1068</v>
      </c>
      <c r="G12588" t="s">
        <v>1083</v>
      </c>
      <c r="H12588" s="171" t="s">
        <v>7313</v>
      </c>
      <c r="I12588" t="s">
        <v>1084</v>
      </c>
      <c r="J12588">
        <v>8.49</v>
      </c>
    </row>
    <row r="12589" spans="1:10" hidden="1">
      <c r="A12589" t="s">
        <v>7307</v>
      </c>
      <c r="B12589" t="s">
        <v>7308</v>
      </c>
      <c r="C12589" t="s">
        <v>6839</v>
      </c>
      <c r="D12589" t="s">
        <v>1120</v>
      </c>
      <c r="E12589" t="s">
        <v>1116</v>
      </c>
      <c r="F12589" t="s">
        <v>1068</v>
      </c>
      <c r="G12589" t="s">
        <v>1085</v>
      </c>
      <c r="H12589">
        <v>3.6380273278801699E-4</v>
      </c>
      <c r="I12589" t="s">
        <v>1086</v>
      </c>
      <c r="J12589">
        <v>8.49</v>
      </c>
    </row>
    <row r="12590" spans="1:10" hidden="1">
      <c r="A12590" t="s">
        <v>7307</v>
      </c>
      <c r="B12590" t="s">
        <v>7308</v>
      </c>
      <c r="C12590" t="s">
        <v>6839</v>
      </c>
      <c r="D12590" t="s">
        <v>1120</v>
      </c>
      <c r="E12590" t="s">
        <v>1116</v>
      </c>
      <c r="F12590" t="s">
        <v>1068</v>
      </c>
      <c r="G12590" t="s">
        <v>1087</v>
      </c>
      <c r="H12590" s="171" t="s">
        <v>7314</v>
      </c>
      <c r="I12590" t="s">
        <v>1088</v>
      </c>
      <c r="J12590">
        <v>8.49</v>
      </c>
    </row>
    <row r="12591" spans="1:10" hidden="1">
      <c r="A12591" t="s">
        <v>7307</v>
      </c>
      <c r="B12591" t="s">
        <v>7308</v>
      </c>
      <c r="C12591" t="s">
        <v>6839</v>
      </c>
      <c r="D12591" t="s">
        <v>1120</v>
      </c>
      <c r="E12591" t="s">
        <v>1116</v>
      </c>
      <c r="F12591" t="s">
        <v>1068</v>
      </c>
      <c r="G12591" t="s">
        <v>1089</v>
      </c>
      <c r="H12591">
        <v>1.05351594717144E-4</v>
      </c>
      <c r="I12591" t="s">
        <v>1090</v>
      </c>
      <c r="J12591">
        <v>8.49</v>
      </c>
    </row>
    <row r="12592" spans="1:10" hidden="1">
      <c r="A12592" t="s">
        <v>7315</v>
      </c>
      <c r="B12592" t="s">
        <v>7316</v>
      </c>
      <c r="C12592" t="s">
        <v>6839</v>
      </c>
      <c r="D12592" t="s">
        <v>5487</v>
      </c>
      <c r="E12592" t="s">
        <v>561</v>
      </c>
      <c r="F12592" t="s">
        <v>1068</v>
      </c>
      <c r="G12592" t="s">
        <v>1069</v>
      </c>
      <c r="H12592" s="171" t="s">
        <v>7317</v>
      </c>
      <c r="I12592" t="s">
        <v>1070</v>
      </c>
      <c r="J12592">
        <v>9.34</v>
      </c>
    </row>
    <row r="12593" spans="1:10" hidden="1">
      <c r="A12593" t="s">
        <v>7315</v>
      </c>
      <c r="B12593" t="s">
        <v>7316</v>
      </c>
      <c r="C12593" t="s">
        <v>6839</v>
      </c>
      <c r="D12593" t="s">
        <v>5487</v>
      </c>
      <c r="E12593" t="s">
        <v>561</v>
      </c>
      <c r="F12593" t="s">
        <v>1068</v>
      </c>
      <c r="G12593" t="s">
        <v>1071</v>
      </c>
      <c r="H12593" s="171" t="s">
        <v>7318</v>
      </c>
      <c r="I12593" t="s">
        <v>1072</v>
      </c>
      <c r="J12593">
        <v>9.34</v>
      </c>
    </row>
    <row r="12594" spans="1:10" hidden="1">
      <c r="A12594" t="s">
        <v>7315</v>
      </c>
      <c r="B12594" t="s">
        <v>7316</v>
      </c>
      <c r="C12594" t="s">
        <v>6839</v>
      </c>
      <c r="D12594" t="s">
        <v>5487</v>
      </c>
      <c r="E12594" t="s">
        <v>561</v>
      </c>
      <c r="F12594" t="s">
        <v>1068</v>
      </c>
      <c r="G12594" t="s">
        <v>1073</v>
      </c>
      <c r="H12594" s="171" t="s">
        <v>7319</v>
      </c>
      <c r="I12594" t="s">
        <v>1074</v>
      </c>
      <c r="J12594">
        <v>9.34</v>
      </c>
    </row>
    <row r="12595" spans="1:10" hidden="1">
      <c r="A12595" t="s">
        <v>7315</v>
      </c>
      <c r="B12595" t="s">
        <v>7316</v>
      </c>
      <c r="C12595" t="s">
        <v>6839</v>
      </c>
      <c r="D12595" t="s">
        <v>5487</v>
      </c>
      <c r="E12595" t="s">
        <v>561</v>
      </c>
      <c r="F12595" t="s">
        <v>1068</v>
      </c>
      <c r="G12595" t="s">
        <v>1075</v>
      </c>
      <c r="H12595">
        <v>4.2494335323970799E-3</v>
      </c>
      <c r="I12595" t="s">
        <v>1077</v>
      </c>
      <c r="J12595">
        <v>9.34</v>
      </c>
    </row>
    <row r="12596" spans="1:10" hidden="1">
      <c r="A12596" t="s">
        <v>7315</v>
      </c>
      <c r="B12596" t="s">
        <v>7316</v>
      </c>
      <c r="C12596" t="s">
        <v>6839</v>
      </c>
      <c r="D12596" t="s">
        <v>5487</v>
      </c>
      <c r="E12596" t="s">
        <v>561</v>
      </c>
      <c r="F12596" t="s">
        <v>1068</v>
      </c>
      <c r="G12596" t="s">
        <v>1078</v>
      </c>
      <c r="H12596">
        <v>4.8913810169323599E-2</v>
      </c>
      <c r="I12596" t="s">
        <v>1079</v>
      </c>
      <c r="J12596">
        <v>9.34</v>
      </c>
    </row>
    <row r="12597" spans="1:10" hidden="1">
      <c r="A12597" t="s">
        <v>7315</v>
      </c>
      <c r="B12597" t="s">
        <v>7316</v>
      </c>
      <c r="C12597" t="s">
        <v>6839</v>
      </c>
      <c r="D12597" t="s">
        <v>5487</v>
      </c>
      <c r="E12597" t="s">
        <v>561</v>
      </c>
      <c r="F12597" t="s">
        <v>1068</v>
      </c>
      <c r="G12597" t="s">
        <v>1080</v>
      </c>
      <c r="H12597" s="171" t="s">
        <v>7320</v>
      </c>
      <c r="I12597" t="s">
        <v>1082</v>
      </c>
      <c r="J12597">
        <v>9.34</v>
      </c>
    </row>
    <row r="12598" spans="1:10" hidden="1">
      <c r="A12598" t="s">
        <v>7315</v>
      </c>
      <c r="B12598" t="s">
        <v>7316</v>
      </c>
      <c r="C12598" t="s">
        <v>6839</v>
      </c>
      <c r="D12598" t="s">
        <v>5487</v>
      </c>
      <c r="E12598" t="s">
        <v>561</v>
      </c>
      <c r="F12598" t="s">
        <v>1068</v>
      </c>
      <c r="G12598" t="s">
        <v>1083</v>
      </c>
      <c r="H12598" s="171" t="s">
        <v>7321</v>
      </c>
      <c r="I12598" t="s">
        <v>1084</v>
      </c>
      <c r="J12598">
        <v>9.34</v>
      </c>
    </row>
    <row r="12599" spans="1:10" hidden="1">
      <c r="A12599" t="s">
        <v>7315</v>
      </c>
      <c r="B12599" t="s">
        <v>7316</v>
      </c>
      <c r="C12599" t="s">
        <v>6839</v>
      </c>
      <c r="D12599" t="s">
        <v>5487</v>
      </c>
      <c r="E12599" t="s">
        <v>561</v>
      </c>
      <c r="F12599" t="s">
        <v>1068</v>
      </c>
      <c r="G12599" t="s">
        <v>1085</v>
      </c>
      <c r="H12599">
        <v>1.5484262525360001E-4</v>
      </c>
      <c r="I12599" t="s">
        <v>1086</v>
      </c>
      <c r="J12599">
        <v>9.34</v>
      </c>
    </row>
    <row r="12600" spans="1:10" hidden="1">
      <c r="A12600" t="s">
        <v>7315</v>
      </c>
      <c r="B12600" t="s">
        <v>7316</v>
      </c>
      <c r="C12600" t="s">
        <v>6839</v>
      </c>
      <c r="D12600" t="s">
        <v>5487</v>
      </c>
      <c r="E12600" t="s">
        <v>561</v>
      </c>
      <c r="F12600" t="s">
        <v>1068</v>
      </c>
      <c r="G12600" t="s">
        <v>1087</v>
      </c>
      <c r="H12600" s="171" t="s">
        <v>7322</v>
      </c>
      <c r="I12600" t="s">
        <v>1088</v>
      </c>
      <c r="J12600">
        <v>9.34</v>
      </c>
    </row>
    <row r="12601" spans="1:10" hidden="1">
      <c r="A12601" t="s">
        <v>7315</v>
      </c>
      <c r="B12601" t="s">
        <v>7316</v>
      </c>
      <c r="C12601" t="s">
        <v>6839</v>
      </c>
      <c r="D12601" t="s">
        <v>5487</v>
      </c>
      <c r="E12601" t="s">
        <v>561</v>
      </c>
      <c r="F12601" t="s">
        <v>1068</v>
      </c>
      <c r="G12601" t="s">
        <v>1089</v>
      </c>
      <c r="H12601" s="171" t="s">
        <v>7323</v>
      </c>
      <c r="I12601" t="s">
        <v>1090</v>
      </c>
      <c r="J12601">
        <v>9.34</v>
      </c>
    </row>
    <row r="12602" spans="1:10" hidden="1">
      <c r="A12602" t="s">
        <v>7324</v>
      </c>
      <c r="B12602" t="s">
        <v>7325</v>
      </c>
      <c r="C12602" t="s">
        <v>6839</v>
      </c>
      <c r="D12602" t="s">
        <v>5487</v>
      </c>
      <c r="E12602" t="s">
        <v>555</v>
      </c>
      <c r="F12602" t="s">
        <v>1068</v>
      </c>
      <c r="G12602" t="s">
        <v>1069</v>
      </c>
      <c r="H12602" s="171" t="s">
        <v>7326</v>
      </c>
      <c r="I12602" t="s">
        <v>1070</v>
      </c>
      <c r="J12602">
        <v>9.5399999999999991</v>
      </c>
    </row>
    <row r="12603" spans="1:10" hidden="1">
      <c r="A12603" t="s">
        <v>7324</v>
      </c>
      <c r="B12603" t="s">
        <v>7325</v>
      </c>
      <c r="C12603" t="s">
        <v>6839</v>
      </c>
      <c r="D12603" t="s">
        <v>5487</v>
      </c>
      <c r="E12603" t="s">
        <v>555</v>
      </c>
      <c r="F12603" t="s">
        <v>1068</v>
      </c>
      <c r="G12603" t="s">
        <v>1071</v>
      </c>
      <c r="H12603" s="171" t="s">
        <v>7327</v>
      </c>
      <c r="I12603" t="s">
        <v>1072</v>
      </c>
      <c r="J12603">
        <v>9.5399999999999991</v>
      </c>
    </row>
    <row r="12604" spans="1:10" hidden="1">
      <c r="A12604" t="s">
        <v>7324</v>
      </c>
      <c r="B12604" t="s">
        <v>7325</v>
      </c>
      <c r="C12604" t="s">
        <v>6839</v>
      </c>
      <c r="D12604" t="s">
        <v>5487</v>
      </c>
      <c r="E12604" t="s">
        <v>555</v>
      </c>
      <c r="F12604" t="s">
        <v>1068</v>
      </c>
      <c r="G12604" t="s">
        <v>1073</v>
      </c>
      <c r="H12604" s="171" t="s">
        <v>7328</v>
      </c>
      <c r="I12604" t="s">
        <v>1074</v>
      </c>
      <c r="J12604">
        <v>9.5399999999999991</v>
      </c>
    </row>
    <row r="12605" spans="1:10" hidden="1">
      <c r="A12605" t="s">
        <v>7324</v>
      </c>
      <c r="B12605" t="s">
        <v>7325</v>
      </c>
      <c r="C12605" t="s">
        <v>6839</v>
      </c>
      <c r="D12605" t="s">
        <v>5487</v>
      </c>
      <c r="E12605" t="s">
        <v>555</v>
      </c>
      <c r="F12605" t="s">
        <v>1068</v>
      </c>
      <c r="G12605" t="s">
        <v>1075</v>
      </c>
      <c r="H12605">
        <v>4.2499159151320196E-3</v>
      </c>
      <c r="I12605" t="s">
        <v>1077</v>
      </c>
      <c r="J12605">
        <v>9.5399999999999991</v>
      </c>
    </row>
    <row r="12606" spans="1:10" hidden="1">
      <c r="A12606" t="s">
        <v>7324</v>
      </c>
      <c r="B12606" t="s">
        <v>7325</v>
      </c>
      <c r="C12606" t="s">
        <v>6839</v>
      </c>
      <c r="D12606" t="s">
        <v>5487</v>
      </c>
      <c r="E12606" t="s">
        <v>555</v>
      </c>
      <c r="F12606" t="s">
        <v>1068</v>
      </c>
      <c r="G12606" t="s">
        <v>1078</v>
      </c>
      <c r="H12606">
        <v>4.8934666491893597E-2</v>
      </c>
      <c r="I12606" t="s">
        <v>1079</v>
      </c>
      <c r="J12606">
        <v>9.5399999999999991</v>
      </c>
    </row>
    <row r="12607" spans="1:10" hidden="1">
      <c r="A12607" t="s">
        <v>7324</v>
      </c>
      <c r="B12607" t="s">
        <v>7325</v>
      </c>
      <c r="C12607" t="s">
        <v>6839</v>
      </c>
      <c r="D12607" t="s">
        <v>5487</v>
      </c>
      <c r="E12607" t="s">
        <v>555</v>
      </c>
      <c r="F12607" t="s">
        <v>1068</v>
      </c>
      <c r="G12607" t="s">
        <v>1080</v>
      </c>
      <c r="H12607" s="171" t="s">
        <v>6852</v>
      </c>
      <c r="I12607" t="s">
        <v>1082</v>
      </c>
      <c r="J12607">
        <v>9.5399999999999991</v>
      </c>
    </row>
    <row r="12608" spans="1:10" hidden="1">
      <c r="A12608" t="s">
        <v>7324</v>
      </c>
      <c r="B12608" t="s">
        <v>7325</v>
      </c>
      <c r="C12608" t="s">
        <v>6839</v>
      </c>
      <c r="D12608" t="s">
        <v>5487</v>
      </c>
      <c r="E12608" t="s">
        <v>555</v>
      </c>
      <c r="F12608" t="s">
        <v>1068</v>
      </c>
      <c r="G12608" t="s">
        <v>1083</v>
      </c>
      <c r="H12608" s="171" t="s">
        <v>7329</v>
      </c>
      <c r="I12608" t="s">
        <v>1084</v>
      </c>
      <c r="J12608">
        <v>9.5399999999999991</v>
      </c>
    </row>
    <row r="12609" spans="1:10" hidden="1">
      <c r="A12609" t="s">
        <v>7324</v>
      </c>
      <c r="B12609" t="s">
        <v>7325</v>
      </c>
      <c r="C12609" t="s">
        <v>6839</v>
      </c>
      <c r="D12609" t="s">
        <v>5487</v>
      </c>
      <c r="E12609" t="s">
        <v>555</v>
      </c>
      <c r="F12609" t="s">
        <v>1068</v>
      </c>
      <c r="G12609" t="s">
        <v>1085</v>
      </c>
      <c r="H12609">
        <v>1.5486883645968001E-4</v>
      </c>
      <c r="I12609" t="s">
        <v>1086</v>
      </c>
      <c r="J12609">
        <v>9.5399999999999991</v>
      </c>
    </row>
    <row r="12610" spans="1:10" hidden="1">
      <c r="A12610" t="s">
        <v>7324</v>
      </c>
      <c r="B12610" t="s">
        <v>7325</v>
      </c>
      <c r="C12610" t="s">
        <v>6839</v>
      </c>
      <c r="D12610" t="s">
        <v>5487</v>
      </c>
      <c r="E12610" t="s">
        <v>555</v>
      </c>
      <c r="F12610" t="s">
        <v>1068</v>
      </c>
      <c r="G12610" t="s">
        <v>1087</v>
      </c>
      <c r="H12610" s="171" t="s">
        <v>6854</v>
      </c>
      <c r="I12610" t="s">
        <v>1088</v>
      </c>
      <c r="J12610">
        <v>9.5399999999999991</v>
      </c>
    </row>
    <row r="12611" spans="1:10" hidden="1">
      <c r="A12611" t="s">
        <v>7324</v>
      </c>
      <c r="B12611" t="s">
        <v>7325</v>
      </c>
      <c r="C12611" t="s">
        <v>6839</v>
      </c>
      <c r="D12611" t="s">
        <v>5487</v>
      </c>
      <c r="E12611" t="s">
        <v>555</v>
      </c>
      <c r="F12611" t="s">
        <v>1068</v>
      </c>
      <c r="G12611" t="s">
        <v>1089</v>
      </c>
      <c r="H12611" s="171" t="s">
        <v>7330</v>
      </c>
      <c r="I12611" t="s">
        <v>1090</v>
      </c>
      <c r="J12611">
        <v>9.5399999999999991</v>
      </c>
    </row>
    <row r="12612" spans="1:10" hidden="1">
      <c r="A12612" t="s">
        <v>7331</v>
      </c>
      <c r="B12612" t="s">
        <v>7332</v>
      </c>
      <c r="C12612" t="s">
        <v>6839</v>
      </c>
      <c r="D12612" t="s">
        <v>5487</v>
      </c>
      <c r="E12612" t="s">
        <v>558</v>
      </c>
      <c r="F12612" t="s">
        <v>1068</v>
      </c>
      <c r="G12612" t="s">
        <v>1069</v>
      </c>
      <c r="H12612" s="171" t="s">
        <v>7333</v>
      </c>
      <c r="I12612" t="s">
        <v>1070</v>
      </c>
      <c r="J12612">
        <v>9.26</v>
      </c>
    </row>
    <row r="12613" spans="1:10" hidden="1">
      <c r="A12613" t="s">
        <v>7331</v>
      </c>
      <c r="B12613" t="s">
        <v>7332</v>
      </c>
      <c r="C12613" t="s">
        <v>6839</v>
      </c>
      <c r="D12613" t="s">
        <v>5487</v>
      </c>
      <c r="E12613" t="s">
        <v>558</v>
      </c>
      <c r="F12613" t="s">
        <v>1068</v>
      </c>
      <c r="G12613" t="s">
        <v>1071</v>
      </c>
      <c r="H12613" s="171" t="s">
        <v>7334</v>
      </c>
      <c r="I12613" t="s">
        <v>1072</v>
      </c>
      <c r="J12613">
        <v>9.26</v>
      </c>
    </row>
    <row r="12614" spans="1:10" hidden="1">
      <c r="A12614" t="s">
        <v>7331</v>
      </c>
      <c r="B12614" t="s">
        <v>7332</v>
      </c>
      <c r="C12614" t="s">
        <v>6839</v>
      </c>
      <c r="D12614" t="s">
        <v>5487</v>
      </c>
      <c r="E12614" t="s">
        <v>558</v>
      </c>
      <c r="F12614" t="s">
        <v>1068</v>
      </c>
      <c r="G12614" t="s">
        <v>1073</v>
      </c>
      <c r="H12614" s="171" t="s">
        <v>7335</v>
      </c>
      <c r="I12614" t="s">
        <v>1074</v>
      </c>
      <c r="J12614">
        <v>9.26</v>
      </c>
    </row>
    <row r="12615" spans="1:10" hidden="1">
      <c r="A12615" t="s">
        <v>7331</v>
      </c>
      <c r="B12615" t="s">
        <v>7332</v>
      </c>
      <c r="C12615" t="s">
        <v>6839</v>
      </c>
      <c r="D12615" t="s">
        <v>5487</v>
      </c>
      <c r="E12615" t="s">
        <v>558</v>
      </c>
      <c r="F12615" t="s">
        <v>1068</v>
      </c>
      <c r="G12615" t="s">
        <v>1075</v>
      </c>
      <c r="H12615">
        <v>4.2493931598789701E-3</v>
      </c>
      <c r="I12615" t="s">
        <v>1077</v>
      </c>
      <c r="J12615">
        <v>9.26</v>
      </c>
    </row>
    <row r="12616" spans="1:10" hidden="1">
      <c r="A12616" t="s">
        <v>7331</v>
      </c>
      <c r="B12616" t="s">
        <v>7332</v>
      </c>
      <c r="C12616" t="s">
        <v>6839</v>
      </c>
      <c r="D12616" t="s">
        <v>5487</v>
      </c>
      <c r="E12616" t="s">
        <v>558</v>
      </c>
      <c r="F12616" t="s">
        <v>1068</v>
      </c>
      <c r="G12616" t="s">
        <v>1078</v>
      </c>
      <c r="H12616">
        <v>4.8912064305887501E-2</v>
      </c>
      <c r="I12616" t="s">
        <v>1079</v>
      </c>
      <c r="J12616">
        <v>9.26</v>
      </c>
    </row>
    <row r="12617" spans="1:10" hidden="1">
      <c r="A12617" t="s">
        <v>7331</v>
      </c>
      <c r="B12617" t="s">
        <v>7332</v>
      </c>
      <c r="C12617" t="s">
        <v>6839</v>
      </c>
      <c r="D12617" t="s">
        <v>5487</v>
      </c>
      <c r="E12617" t="s">
        <v>558</v>
      </c>
      <c r="F12617" t="s">
        <v>1068</v>
      </c>
      <c r="G12617" t="s">
        <v>1080</v>
      </c>
      <c r="H12617" s="171" t="s">
        <v>7336</v>
      </c>
      <c r="I12617" t="s">
        <v>1082</v>
      </c>
      <c r="J12617">
        <v>9.26</v>
      </c>
    </row>
    <row r="12618" spans="1:10" hidden="1">
      <c r="A12618" t="s">
        <v>7331</v>
      </c>
      <c r="B12618" t="s">
        <v>7332</v>
      </c>
      <c r="C12618" t="s">
        <v>6839</v>
      </c>
      <c r="D12618" t="s">
        <v>5487</v>
      </c>
      <c r="E12618" t="s">
        <v>558</v>
      </c>
      <c r="F12618" t="s">
        <v>1068</v>
      </c>
      <c r="G12618" t="s">
        <v>1083</v>
      </c>
      <c r="H12618" s="171" t="s">
        <v>6862</v>
      </c>
      <c r="I12618" t="s">
        <v>1084</v>
      </c>
      <c r="J12618">
        <v>9.26</v>
      </c>
    </row>
    <row r="12619" spans="1:10" hidden="1">
      <c r="A12619" t="s">
        <v>7331</v>
      </c>
      <c r="B12619" t="s">
        <v>7332</v>
      </c>
      <c r="C12619" t="s">
        <v>6839</v>
      </c>
      <c r="D12619" t="s">
        <v>5487</v>
      </c>
      <c r="E12619" t="s">
        <v>558</v>
      </c>
      <c r="F12619" t="s">
        <v>1068</v>
      </c>
      <c r="G12619" t="s">
        <v>1085</v>
      </c>
      <c r="H12619">
        <v>1.54840431193372E-4</v>
      </c>
      <c r="I12619" t="s">
        <v>1086</v>
      </c>
      <c r="J12619">
        <v>9.26</v>
      </c>
    </row>
    <row r="12620" spans="1:10" hidden="1">
      <c r="A12620" t="s">
        <v>7331</v>
      </c>
      <c r="B12620" t="s">
        <v>7332</v>
      </c>
      <c r="C12620" t="s">
        <v>6839</v>
      </c>
      <c r="D12620" t="s">
        <v>5487</v>
      </c>
      <c r="E12620" t="s">
        <v>558</v>
      </c>
      <c r="F12620" t="s">
        <v>1068</v>
      </c>
      <c r="G12620" t="s">
        <v>1087</v>
      </c>
      <c r="H12620" s="171" t="s">
        <v>7337</v>
      </c>
      <c r="I12620" t="s">
        <v>1088</v>
      </c>
      <c r="J12620">
        <v>9.26</v>
      </c>
    </row>
    <row r="12621" spans="1:10" hidden="1">
      <c r="A12621" t="s">
        <v>7331</v>
      </c>
      <c r="B12621" t="s">
        <v>7332</v>
      </c>
      <c r="C12621" t="s">
        <v>6839</v>
      </c>
      <c r="D12621" t="s">
        <v>5487</v>
      </c>
      <c r="E12621" t="s">
        <v>558</v>
      </c>
      <c r="F12621" t="s">
        <v>1068</v>
      </c>
      <c r="G12621" t="s">
        <v>1089</v>
      </c>
      <c r="H12621" s="171" t="s">
        <v>6864</v>
      </c>
      <c r="I12621" t="s">
        <v>1090</v>
      </c>
      <c r="J12621">
        <v>9.26</v>
      </c>
    </row>
    <row r="12622" spans="1:10" hidden="1">
      <c r="A12622" t="s">
        <v>7338</v>
      </c>
      <c r="B12622" s="170" t="s">
        <v>7339</v>
      </c>
      <c r="C12622" t="s">
        <v>6839</v>
      </c>
      <c r="D12622" t="s">
        <v>5487</v>
      </c>
      <c r="E12622" t="s">
        <v>553</v>
      </c>
      <c r="F12622" t="s">
        <v>1068</v>
      </c>
      <c r="G12622" t="s">
        <v>1069</v>
      </c>
      <c r="H12622" s="171" t="s">
        <v>7340</v>
      </c>
      <c r="I12622" t="s">
        <v>1070</v>
      </c>
      <c r="J12622">
        <v>9.18</v>
      </c>
    </row>
    <row r="12623" spans="1:10" hidden="1">
      <c r="A12623" t="s">
        <v>7338</v>
      </c>
      <c r="B12623" s="170" t="s">
        <v>7339</v>
      </c>
      <c r="C12623" t="s">
        <v>6839</v>
      </c>
      <c r="D12623" t="s">
        <v>5487</v>
      </c>
      <c r="E12623" t="s">
        <v>553</v>
      </c>
      <c r="F12623" t="s">
        <v>1068</v>
      </c>
      <c r="G12623" t="s">
        <v>1071</v>
      </c>
      <c r="H12623" s="171" t="s">
        <v>7341</v>
      </c>
      <c r="I12623" t="s">
        <v>1072</v>
      </c>
      <c r="J12623">
        <v>9.18</v>
      </c>
    </row>
    <row r="12624" spans="1:10" hidden="1">
      <c r="A12624" t="s">
        <v>7338</v>
      </c>
      <c r="B12624" s="170" t="s">
        <v>7339</v>
      </c>
      <c r="C12624" t="s">
        <v>6839</v>
      </c>
      <c r="D12624" t="s">
        <v>5487</v>
      </c>
      <c r="E12624" t="s">
        <v>553</v>
      </c>
      <c r="F12624" t="s">
        <v>1068</v>
      </c>
      <c r="G12624" t="s">
        <v>1073</v>
      </c>
      <c r="H12624" s="171" t="s">
        <v>7342</v>
      </c>
      <c r="I12624" t="s">
        <v>1074</v>
      </c>
      <c r="J12624">
        <v>9.18</v>
      </c>
    </row>
    <row r="12625" spans="1:10" hidden="1">
      <c r="A12625" t="s">
        <v>7338</v>
      </c>
      <c r="B12625" s="170" t="s">
        <v>7339</v>
      </c>
      <c r="C12625" t="s">
        <v>6839</v>
      </c>
      <c r="D12625" t="s">
        <v>5487</v>
      </c>
      <c r="E12625" t="s">
        <v>553</v>
      </c>
      <c r="F12625" t="s">
        <v>1068</v>
      </c>
      <c r="G12625" t="s">
        <v>1075</v>
      </c>
      <c r="H12625">
        <v>4.2493767808241302E-3</v>
      </c>
      <c r="I12625" t="s">
        <v>1077</v>
      </c>
      <c r="J12625">
        <v>9.18</v>
      </c>
    </row>
    <row r="12626" spans="1:10" hidden="1">
      <c r="A12626" t="s">
        <v>7338</v>
      </c>
      <c r="B12626" s="170" t="s">
        <v>7339</v>
      </c>
      <c r="C12626" t="s">
        <v>6839</v>
      </c>
      <c r="D12626" t="s">
        <v>5487</v>
      </c>
      <c r="E12626" t="s">
        <v>553</v>
      </c>
      <c r="F12626" t="s">
        <v>1068</v>
      </c>
      <c r="G12626" t="s">
        <v>1078</v>
      </c>
      <c r="H12626">
        <v>4.89113522447873E-2</v>
      </c>
      <c r="I12626" t="s">
        <v>1079</v>
      </c>
      <c r="J12626">
        <v>9.18</v>
      </c>
    </row>
    <row r="12627" spans="1:10" hidden="1">
      <c r="A12627" t="s">
        <v>7338</v>
      </c>
      <c r="B12627" s="170" t="s">
        <v>7339</v>
      </c>
      <c r="C12627" t="s">
        <v>6839</v>
      </c>
      <c r="D12627" t="s">
        <v>5487</v>
      </c>
      <c r="E12627" t="s">
        <v>553</v>
      </c>
      <c r="F12627" t="s">
        <v>1068</v>
      </c>
      <c r="G12627" t="s">
        <v>1080</v>
      </c>
      <c r="H12627" s="171" t="s">
        <v>7343</v>
      </c>
      <c r="I12627" t="s">
        <v>1082</v>
      </c>
      <c r="J12627">
        <v>9.18</v>
      </c>
    </row>
    <row r="12628" spans="1:10" hidden="1">
      <c r="A12628" t="s">
        <v>7338</v>
      </c>
      <c r="B12628" s="170" t="s">
        <v>7339</v>
      </c>
      <c r="C12628" t="s">
        <v>6839</v>
      </c>
      <c r="D12628" t="s">
        <v>5487</v>
      </c>
      <c r="E12628" t="s">
        <v>553</v>
      </c>
      <c r="F12628" t="s">
        <v>1068</v>
      </c>
      <c r="G12628" t="s">
        <v>1083</v>
      </c>
      <c r="H12628" s="171" t="s">
        <v>7344</v>
      </c>
      <c r="I12628" t="s">
        <v>1084</v>
      </c>
      <c r="J12628">
        <v>9.18</v>
      </c>
    </row>
    <row r="12629" spans="1:10" hidden="1">
      <c r="A12629" t="s">
        <v>7338</v>
      </c>
      <c r="B12629" s="170" t="s">
        <v>7339</v>
      </c>
      <c r="C12629" t="s">
        <v>6839</v>
      </c>
      <c r="D12629" t="s">
        <v>5487</v>
      </c>
      <c r="E12629" t="s">
        <v>553</v>
      </c>
      <c r="F12629" t="s">
        <v>1068</v>
      </c>
      <c r="G12629" t="s">
        <v>1085</v>
      </c>
      <c r="H12629">
        <v>1.5483953699582101E-4</v>
      </c>
      <c r="I12629" t="s">
        <v>1086</v>
      </c>
      <c r="J12629">
        <v>9.18</v>
      </c>
    </row>
    <row r="12630" spans="1:10" hidden="1">
      <c r="A12630" t="s">
        <v>7338</v>
      </c>
      <c r="B12630" s="170" t="s">
        <v>7339</v>
      </c>
      <c r="C12630" t="s">
        <v>6839</v>
      </c>
      <c r="D12630" t="s">
        <v>5487</v>
      </c>
      <c r="E12630" t="s">
        <v>553</v>
      </c>
      <c r="F12630" t="s">
        <v>1068</v>
      </c>
      <c r="G12630" t="s">
        <v>1087</v>
      </c>
      <c r="H12630" s="171" t="s">
        <v>7345</v>
      </c>
      <c r="I12630" t="s">
        <v>1088</v>
      </c>
      <c r="J12630">
        <v>9.18</v>
      </c>
    </row>
    <row r="12631" spans="1:10" hidden="1">
      <c r="A12631" t="s">
        <v>7338</v>
      </c>
      <c r="B12631" s="170" t="s">
        <v>7339</v>
      </c>
      <c r="C12631" t="s">
        <v>6839</v>
      </c>
      <c r="D12631" t="s">
        <v>5487</v>
      </c>
      <c r="E12631" t="s">
        <v>553</v>
      </c>
      <c r="F12631" t="s">
        <v>1068</v>
      </c>
      <c r="G12631" t="s">
        <v>1089</v>
      </c>
      <c r="H12631" s="171" t="s">
        <v>7346</v>
      </c>
      <c r="I12631" t="s">
        <v>1090</v>
      </c>
      <c r="J12631">
        <v>9.18</v>
      </c>
    </row>
    <row r="12632" spans="1:10" hidden="1">
      <c r="A12632" t="s">
        <v>7347</v>
      </c>
      <c r="B12632" t="s">
        <v>7348</v>
      </c>
      <c r="C12632" t="s">
        <v>6839</v>
      </c>
      <c r="D12632" t="s">
        <v>5487</v>
      </c>
      <c r="E12632" t="s">
        <v>556</v>
      </c>
      <c r="F12632" t="s">
        <v>1068</v>
      </c>
      <c r="G12632" t="s">
        <v>1069</v>
      </c>
      <c r="H12632" s="171" t="s">
        <v>7349</v>
      </c>
      <c r="I12632" t="s">
        <v>1070</v>
      </c>
      <c r="J12632">
        <v>9.6</v>
      </c>
    </row>
    <row r="12633" spans="1:10" hidden="1">
      <c r="A12633" t="s">
        <v>7347</v>
      </c>
      <c r="B12633" t="s">
        <v>7348</v>
      </c>
      <c r="C12633" t="s">
        <v>6839</v>
      </c>
      <c r="D12633" t="s">
        <v>5487</v>
      </c>
      <c r="E12633" t="s">
        <v>556</v>
      </c>
      <c r="F12633" t="s">
        <v>1068</v>
      </c>
      <c r="G12633" t="s">
        <v>1071</v>
      </c>
      <c r="H12633" s="171" t="s">
        <v>7350</v>
      </c>
      <c r="I12633" t="s">
        <v>1072</v>
      </c>
      <c r="J12633">
        <v>9.6</v>
      </c>
    </row>
    <row r="12634" spans="1:10" hidden="1">
      <c r="A12634" t="s">
        <v>7347</v>
      </c>
      <c r="B12634" t="s">
        <v>7348</v>
      </c>
      <c r="C12634" t="s">
        <v>6839</v>
      </c>
      <c r="D12634" t="s">
        <v>5487</v>
      </c>
      <c r="E12634" t="s">
        <v>556</v>
      </c>
      <c r="F12634" t="s">
        <v>1068</v>
      </c>
      <c r="G12634" t="s">
        <v>1073</v>
      </c>
      <c r="H12634" s="171" t="s">
        <v>7351</v>
      </c>
      <c r="I12634" t="s">
        <v>1074</v>
      </c>
      <c r="J12634">
        <v>9.6</v>
      </c>
    </row>
    <row r="12635" spans="1:10" hidden="1">
      <c r="A12635" t="s">
        <v>7347</v>
      </c>
      <c r="B12635" t="s">
        <v>7348</v>
      </c>
      <c r="C12635" t="s">
        <v>6839</v>
      </c>
      <c r="D12635" t="s">
        <v>5487</v>
      </c>
      <c r="E12635" t="s">
        <v>556</v>
      </c>
      <c r="F12635" t="s">
        <v>1068</v>
      </c>
      <c r="G12635" t="s">
        <v>1075</v>
      </c>
      <c r="H12635">
        <v>4.2498652406873999E-3</v>
      </c>
      <c r="I12635" t="s">
        <v>1077</v>
      </c>
      <c r="J12635">
        <v>9.6</v>
      </c>
    </row>
    <row r="12636" spans="1:10" hidden="1">
      <c r="A12636" t="s">
        <v>7347</v>
      </c>
      <c r="B12636" t="s">
        <v>7348</v>
      </c>
      <c r="C12636" t="s">
        <v>6839</v>
      </c>
      <c r="D12636" t="s">
        <v>5487</v>
      </c>
      <c r="E12636" t="s">
        <v>556</v>
      </c>
      <c r="F12636" t="s">
        <v>1068</v>
      </c>
      <c r="G12636" t="s">
        <v>1078</v>
      </c>
      <c r="H12636">
        <v>4.8932475133413401E-2</v>
      </c>
      <c r="I12636" t="s">
        <v>1079</v>
      </c>
      <c r="J12636">
        <v>9.6</v>
      </c>
    </row>
    <row r="12637" spans="1:10" hidden="1">
      <c r="A12637" t="s">
        <v>7347</v>
      </c>
      <c r="B12637" t="s">
        <v>7348</v>
      </c>
      <c r="C12637" t="s">
        <v>6839</v>
      </c>
      <c r="D12637" t="s">
        <v>5487</v>
      </c>
      <c r="E12637" t="s">
        <v>556</v>
      </c>
      <c r="F12637" t="s">
        <v>1068</v>
      </c>
      <c r="G12637" t="s">
        <v>1080</v>
      </c>
      <c r="H12637" s="171" t="s">
        <v>6879</v>
      </c>
      <c r="I12637" t="s">
        <v>1082</v>
      </c>
      <c r="J12637">
        <v>9.6</v>
      </c>
    </row>
    <row r="12638" spans="1:10" hidden="1">
      <c r="A12638" t="s">
        <v>7347</v>
      </c>
      <c r="B12638" t="s">
        <v>7348</v>
      </c>
      <c r="C12638" t="s">
        <v>6839</v>
      </c>
      <c r="D12638" t="s">
        <v>5487</v>
      </c>
      <c r="E12638" t="s">
        <v>556</v>
      </c>
      <c r="F12638" t="s">
        <v>1068</v>
      </c>
      <c r="G12638" t="s">
        <v>1083</v>
      </c>
      <c r="H12638" s="171" t="s">
        <v>6880</v>
      </c>
      <c r="I12638" t="s">
        <v>1084</v>
      </c>
      <c r="J12638">
        <v>9.6</v>
      </c>
    </row>
    <row r="12639" spans="1:10" hidden="1">
      <c r="A12639" t="s">
        <v>7347</v>
      </c>
      <c r="B12639" t="s">
        <v>7348</v>
      </c>
      <c r="C12639" t="s">
        <v>6839</v>
      </c>
      <c r="D12639" t="s">
        <v>5487</v>
      </c>
      <c r="E12639" t="s">
        <v>556</v>
      </c>
      <c r="F12639" t="s">
        <v>1068</v>
      </c>
      <c r="G12639" t="s">
        <v>1085</v>
      </c>
      <c r="H12639">
        <v>1.5486608253723001E-4</v>
      </c>
      <c r="I12639" t="s">
        <v>1086</v>
      </c>
      <c r="J12639">
        <v>9.6</v>
      </c>
    </row>
    <row r="12640" spans="1:10" hidden="1">
      <c r="A12640" t="s">
        <v>7347</v>
      </c>
      <c r="B12640" t="s">
        <v>7348</v>
      </c>
      <c r="C12640" t="s">
        <v>6839</v>
      </c>
      <c r="D12640" t="s">
        <v>5487</v>
      </c>
      <c r="E12640" t="s">
        <v>556</v>
      </c>
      <c r="F12640" t="s">
        <v>1068</v>
      </c>
      <c r="G12640" t="s">
        <v>1087</v>
      </c>
      <c r="H12640" s="171" t="s">
        <v>6881</v>
      </c>
      <c r="I12640" t="s">
        <v>1088</v>
      </c>
      <c r="J12640">
        <v>9.6</v>
      </c>
    </row>
    <row r="12641" spans="1:10" hidden="1">
      <c r="A12641" t="s">
        <v>7347</v>
      </c>
      <c r="B12641" t="s">
        <v>7348</v>
      </c>
      <c r="C12641" t="s">
        <v>6839</v>
      </c>
      <c r="D12641" t="s">
        <v>5487</v>
      </c>
      <c r="E12641" t="s">
        <v>556</v>
      </c>
      <c r="F12641" t="s">
        <v>1068</v>
      </c>
      <c r="G12641" t="s">
        <v>1089</v>
      </c>
      <c r="H12641" s="171" t="s">
        <v>7352</v>
      </c>
      <c r="I12641" t="s">
        <v>1090</v>
      </c>
      <c r="J12641">
        <v>9.6</v>
      </c>
    </row>
    <row r="12642" spans="1:10" hidden="1">
      <c r="A12642" t="s">
        <v>7353</v>
      </c>
      <c r="B12642" t="s">
        <v>7354</v>
      </c>
      <c r="C12642" t="s">
        <v>6839</v>
      </c>
      <c r="D12642" t="s">
        <v>5487</v>
      </c>
      <c r="E12642" t="s">
        <v>557</v>
      </c>
      <c r="F12642" t="s">
        <v>1068</v>
      </c>
      <c r="G12642" t="s">
        <v>1069</v>
      </c>
      <c r="H12642" s="171" t="s">
        <v>7355</v>
      </c>
      <c r="I12642" t="s">
        <v>1070</v>
      </c>
      <c r="J12642">
        <v>9.2899999999999991</v>
      </c>
    </row>
    <row r="12643" spans="1:10" hidden="1">
      <c r="A12643" t="s">
        <v>7353</v>
      </c>
      <c r="B12643" t="s">
        <v>7354</v>
      </c>
      <c r="C12643" t="s">
        <v>6839</v>
      </c>
      <c r="D12643" t="s">
        <v>5487</v>
      </c>
      <c r="E12643" t="s">
        <v>557</v>
      </c>
      <c r="F12643" t="s">
        <v>1068</v>
      </c>
      <c r="G12643" t="s">
        <v>1071</v>
      </c>
      <c r="H12643" s="171" t="s">
        <v>7356</v>
      </c>
      <c r="I12643" t="s">
        <v>1072</v>
      </c>
      <c r="J12643">
        <v>9.2899999999999991</v>
      </c>
    </row>
    <row r="12644" spans="1:10" hidden="1">
      <c r="A12644" t="s">
        <v>7353</v>
      </c>
      <c r="B12644" t="s">
        <v>7354</v>
      </c>
      <c r="C12644" t="s">
        <v>6839</v>
      </c>
      <c r="D12644" t="s">
        <v>5487</v>
      </c>
      <c r="E12644" t="s">
        <v>557</v>
      </c>
      <c r="F12644" t="s">
        <v>1068</v>
      </c>
      <c r="G12644" t="s">
        <v>1073</v>
      </c>
      <c r="H12644" s="171" t="s">
        <v>7357</v>
      </c>
      <c r="I12644" t="s">
        <v>1074</v>
      </c>
      <c r="J12644">
        <v>9.2899999999999991</v>
      </c>
    </row>
    <row r="12645" spans="1:10" hidden="1">
      <c r="A12645" t="s">
        <v>7353</v>
      </c>
      <c r="B12645" t="s">
        <v>7354</v>
      </c>
      <c r="C12645" t="s">
        <v>6839</v>
      </c>
      <c r="D12645" t="s">
        <v>5487</v>
      </c>
      <c r="E12645" t="s">
        <v>557</v>
      </c>
      <c r="F12645" t="s">
        <v>1068</v>
      </c>
      <c r="G12645" t="s">
        <v>1075</v>
      </c>
      <c r="H12645">
        <v>4.2495599159341002E-3</v>
      </c>
      <c r="I12645" t="s">
        <v>1077</v>
      </c>
      <c r="J12645">
        <v>9.2899999999999991</v>
      </c>
    </row>
    <row r="12646" spans="1:10" hidden="1">
      <c r="A12646" t="s">
        <v>7353</v>
      </c>
      <c r="B12646" t="s">
        <v>7354</v>
      </c>
      <c r="C12646" t="s">
        <v>6839</v>
      </c>
      <c r="D12646" t="s">
        <v>5487</v>
      </c>
      <c r="E12646" t="s">
        <v>557</v>
      </c>
      <c r="F12646" t="s">
        <v>1068</v>
      </c>
      <c r="G12646" t="s">
        <v>1078</v>
      </c>
      <c r="H12646" s="171" t="s">
        <v>7358</v>
      </c>
      <c r="I12646" t="s">
        <v>1079</v>
      </c>
      <c r="J12646">
        <v>9.2899999999999991</v>
      </c>
    </row>
    <row r="12647" spans="1:10" hidden="1">
      <c r="A12647" t="s">
        <v>7353</v>
      </c>
      <c r="B12647" t="s">
        <v>7354</v>
      </c>
      <c r="C12647" t="s">
        <v>6839</v>
      </c>
      <c r="D12647" t="s">
        <v>5487</v>
      </c>
      <c r="E12647" t="s">
        <v>557</v>
      </c>
      <c r="F12647" t="s">
        <v>1068</v>
      </c>
      <c r="G12647" t="s">
        <v>1080</v>
      </c>
      <c r="H12647" s="171" t="s">
        <v>7359</v>
      </c>
      <c r="I12647" t="s">
        <v>1082</v>
      </c>
      <c r="J12647">
        <v>9.2899999999999991</v>
      </c>
    </row>
    <row r="12648" spans="1:10" hidden="1">
      <c r="A12648" t="s">
        <v>7353</v>
      </c>
      <c r="B12648" t="s">
        <v>7354</v>
      </c>
      <c r="C12648" t="s">
        <v>6839</v>
      </c>
      <c r="D12648" t="s">
        <v>5487</v>
      </c>
      <c r="E12648" t="s">
        <v>557</v>
      </c>
      <c r="F12648" t="s">
        <v>1068</v>
      </c>
      <c r="G12648" t="s">
        <v>1083</v>
      </c>
      <c r="H12648" s="171" t="s">
        <v>7360</v>
      </c>
      <c r="I12648" t="s">
        <v>1084</v>
      </c>
      <c r="J12648">
        <v>9.2899999999999991</v>
      </c>
    </row>
    <row r="12649" spans="1:10" hidden="1">
      <c r="A12649" t="s">
        <v>7353</v>
      </c>
      <c r="B12649" t="s">
        <v>7354</v>
      </c>
      <c r="C12649" t="s">
        <v>6839</v>
      </c>
      <c r="D12649" t="s">
        <v>5487</v>
      </c>
      <c r="E12649" t="s">
        <v>557</v>
      </c>
      <c r="F12649" t="s">
        <v>1068</v>
      </c>
      <c r="G12649" t="s">
        <v>1085</v>
      </c>
      <c r="H12649">
        <v>1.54849493616113E-4</v>
      </c>
      <c r="I12649" t="s">
        <v>1086</v>
      </c>
      <c r="J12649">
        <v>9.2899999999999991</v>
      </c>
    </row>
    <row r="12650" spans="1:10" hidden="1">
      <c r="A12650" t="s">
        <v>7353</v>
      </c>
      <c r="B12650" t="s">
        <v>7354</v>
      </c>
      <c r="C12650" t="s">
        <v>6839</v>
      </c>
      <c r="D12650" t="s">
        <v>5487</v>
      </c>
      <c r="E12650" t="s">
        <v>557</v>
      </c>
      <c r="F12650" t="s">
        <v>1068</v>
      </c>
      <c r="G12650" t="s">
        <v>1087</v>
      </c>
      <c r="H12650" s="171" t="s">
        <v>6890</v>
      </c>
      <c r="I12650" t="s">
        <v>1088</v>
      </c>
      <c r="J12650">
        <v>9.2899999999999991</v>
      </c>
    </row>
    <row r="12651" spans="1:10" hidden="1">
      <c r="A12651" t="s">
        <v>7353</v>
      </c>
      <c r="B12651" t="s">
        <v>7354</v>
      </c>
      <c r="C12651" t="s">
        <v>6839</v>
      </c>
      <c r="D12651" t="s">
        <v>5487</v>
      </c>
      <c r="E12651" t="s">
        <v>557</v>
      </c>
      <c r="F12651" t="s">
        <v>1068</v>
      </c>
      <c r="G12651" t="s">
        <v>1089</v>
      </c>
      <c r="H12651" s="171" t="s">
        <v>7361</v>
      </c>
      <c r="I12651" t="s">
        <v>1090</v>
      </c>
      <c r="J12651">
        <v>9.2899999999999991</v>
      </c>
    </row>
    <row r="12652" spans="1:10" hidden="1">
      <c r="A12652" t="s">
        <v>7362</v>
      </c>
      <c r="B12652" t="s">
        <v>7363</v>
      </c>
      <c r="C12652" t="s">
        <v>6839</v>
      </c>
      <c r="D12652" t="s">
        <v>5487</v>
      </c>
      <c r="E12652" t="s">
        <v>559</v>
      </c>
      <c r="F12652" t="s">
        <v>1068</v>
      </c>
      <c r="G12652" t="s">
        <v>1069</v>
      </c>
      <c r="H12652" s="171" t="s">
        <v>7364</v>
      </c>
      <c r="I12652" t="s">
        <v>1070</v>
      </c>
      <c r="J12652">
        <v>8.26</v>
      </c>
    </row>
    <row r="12653" spans="1:10" hidden="1">
      <c r="A12653" t="s">
        <v>7362</v>
      </c>
      <c r="B12653" t="s">
        <v>7363</v>
      </c>
      <c r="C12653" t="s">
        <v>6839</v>
      </c>
      <c r="D12653" t="s">
        <v>5487</v>
      </c>
      <c r="E12653" t="s">
        <v>559</v>
      </c>
      <c r="F12653" t="s">
        <v>1068</v>
      </c>
      <c r="G12653" t="s">
        <v>1071</v>
      </c>
      <c r="H12653" s="171" t="s">
        <v>7365</v>
      </c>
      <c r="I12653" t="s">
        <v>1072</v>
      </c>
      <c r="J12653">
        <v>8.26</v>
      </c>
    </row>
    <row r="12654" spans="1:10" hidden="1">
      <c r="A12654" t="s">
        <v>7362</v>
      </c>
      <c r="B12654" t="s">
        <v>7363</v>
      </c>
      <c r="C12654" t="s">
        <v>6839</v>
      </c>
      <c r="D12654" t="s">
        <v>5487</v>
      </c>
      <c r="E12654" t="s">
        <v>559</v>
      </c>
      <c r="F12654" t="s">
        <v>1068</v>
      </c>
      <c r="G12654" t="s">
        <v>1073</v>
      </c>
      <c r="H12654" s="171" t="s">
        <v>7366</v>
      </c>
      <c r="I12654" t="s">
        <v>1074</v>
      </c>
      <c r="J12654">
        <v>8.26</v>
      </c>
    </row>
    <row r="12655" spans="1:10" hidden="1">
      <c r="A12655" t="s">
        <v>7362</v>
      </c>
      <c r="B12655" t="s">
        <v>7363</v>
      </c>
      <c r="C12655" t="s">
        <v>6839</v>
      </c>
      <c r="D12655" t="s">
        <v>5487</v>
      </c>
      <c r="E12655" t="s">
        <v>559</v>
      </c>
      <c r="F12655" t="s">
        <v>1068</v>
      </c>
      <c r="G12655" t="s">
        <v>1075</v>
      </c>
      <c r="H12655">
        <v>4.2497200498587198E-3</v>
      </c>
      <c r="I12655" t="s">
        <v>1077</v>
      </c>
      <c r="J12655">
        <v>8.26</v>
      </c>
    </row>
    <row r="12656" spans="1:10" hidden="1">
      <c r="A12656" t="s">
        <v>7362</v>
      </c>
      <c r="B12656" t="s">
        <v>7363</v>
      </c>
      <c r="C12656" t="s">
        <v>6839</v>
      </c>
      <c r="D12656" t="s">
        <v>5487</v>
      </c>
      <c r="E12656" t="s">
        <v>559</v>
      </c>
      <c r="F12656" t="s">
        <v>1068</v>
      </c>
      <c r="G12656" t="s">
        <v>1078</v>
      </c>
      <c r="H12656">
        <v>4.8926196521969202E-2</v>
      </c>
      <c r="I12656" t="s">
        <v>1079</v>
      </c>
      <c r="J12656">
        <v>8.26</v>
      </c>
    </row>
    <row r="12657" spans="1:10" hidden="1">
      <c r="A12657" t="s">
        <v>7362</v>
      </c>
      <c r="B12657" t="s">
        <v>7363</v>
      </c>
      <c r="C12657" t="s">
        <v>6839</v>
      </c>
      <c r="D12657" t="s">
        <v>5487</v>
      </c>
      <c r="E12657" t="s">
        <v>559</v>
      </c>
      <c r="F12657" t="s">
        <v>1068</v>
      </c>
      <c r="G12657" t="s">
        <v>1080</v>
      </c>
      <c r="H12657" s="171" t="s">
        <v>7367</v>
      </c>
      <c r="I12657" t="s">
        <v>1082</v>
      </c>
      <c r="J12657">
        <v>8.26</v>
      </c>
    </row>
    <row r="12658" spans="1:10" hidden="1">
      <c r="A12658" t="s">
        <v>7362</v>
      </c>
      <c r="B12658" t="s">
        <v>7363</v>
      </c>
      <c r="C12658" t="s">
        <v>6839</v>
      </c>
      <c r="D12658" t="s">
        <v>5487</v>
      </c>
      <c r="E12658" t="s">
        <v>559</v>
      </c>
      <c r="F12658" t="s">
        <v>1068</v>
      </c>
      <c r="G12658" t="s">
        <v>1083</v>
      </c>
      <c r="H12658" s="171" t="s">
        <v>7368</v>
      </c>
      <c r="I12658" t="s">
        <v>1084</v>
      </c>
      <c r="J12658">
        <v>8.26</v>
      </c>
    </row>
    <row r="12659" spans="1:10" hidden="1">
      <c r="A12659" t="s">
        <v>7362</v>
      </c>
      <c r="B12659" t="s">
        <v>7363</v>
      </c>
      <c r="C12659" t="s">
        <v>6839</v>
      </c>
      <c r="D12659" t="s">
        <v>5487</v>
      </c>
      <c r="E12659" t="s">
        <v>559</v>
      </c>
      <c r="F12659" t="s">
        <v>1068</v>
      </c>
      <c r="G12659" t="s">
        <v>1085</v>
      </c>
      <c r="H12659">
        <v>1.5485819208515899E-4</v>
      </c>
      <c r="I12659" t="s">
        <v>1086</v>
      </c>
      <c r="J12659">
        <v>8.26</v>
      </c>
    </row>
    <row r="12660" spans="1:10" hidden="1">
      <c r="A12660" t="s">
        <v>7362</v>
      </c>
      <c r="B12660" t="s">
        <v>7363</v>
      </c>
      <c r="C12660" t="s">
        <v>6839</v>
      </c>
      <c r="D12660" t="s">
        <v>5487</v>
      </c>
      <c r="E12660" t="s">
        <v>559</v>
      </c>
      <c r="F12660" t="s">
        <v>1068</v>
      </c>
      <c r="G12660" t="s">
        <v>1087</v>
      </c>
      <c r="H12660" s="171" t="s">
        <v>7369</v>
      </c>
      <c r="I12660" t="s">
        <v>1088</v>
      </c>
      <c r="J12660">
        <v>8.26</v>
      </c>
    </row>
    <row r="12661" spans="1:10" hidden="1">
      <c r="A12661" t="s">
        <v>7362</v>
      </c>
      <c r="B12661" t="s">
        <v>7363</v>
      </c>
      <c r="C12661" t="s">
        <v>6839</v>
      </c>
      <c r="D12661" t="s">
        <v>5487</v>
      </c>
      <c r="E12661" t="s">
        <v>559</v>
      </c>
      <c r="F12661" t="s">
        <v>1068</v>
      </c>
      <c r="G12661" t="s">
        <v>1089</v>
      </c>
      <c r="H12661" s="171" t="s">
        <v>7370</v>
      </c>
      <c r="I12661" t="s">
        <v>1090</v>
      </c>
      <c r="J12661">
        <v>8.26</v>
      </c>
    </row>
    <row r="12662" spans="1:10" hidden="1">
      <c r="A12662" t="s">
        <v>7371</v>
      </c>
      <c r="B12662" t="s">
        <v>7372</v>
      </c>
      <c r="C12662" t="s">
        <v>6839</v>
      </c>
      <c r="D12662" t="s">
        <v>5487</v>
      </c>
      <c r="E12662" t="s">
        <v>560</v>
      </c>
      <c r="F12662" t="s">
        <v>1068</v>
      </c>
      <c r="G12662" t="s">
        <v>1069</v>
      </c>
      <c r="H12662" s="171" t="s">
        <v>7373</v>
      </c>
      <c r="I12662" t="s">
        <v>1070</v>
      </c>
      <c r="J12662">
        <v>9.24</v>
      </c>
    </row>
    <row r="12663" spans="1:10" hidden="1">
      <c r="A12663" t="s">
        <v>7371</v>
      </c>
      <c r="B12663" t="s">
        <v>7372</v>
      </c>
      <c r="C12663" t="s">
        <v>6839</v>
      </c>
      <c r="D12663" t="s">
        <v>5487</v>
      </c>
      <c r="E12663" t="s">
        <v>560</v>
      </c>
      <c r="F12663" t="s">
        <v>1068</v>
      </c>
      <c r="G12663" t="s">
        <v>1071</v>
      </c>
      <c r="H12663" s="171" t="s">
        <v>7374</v>
      </c>
      <c r="I12663" t="s">
        <v>1072</v>
      </c>
      <c r="J12663">
        <v>9.24</v>
      </c>
    </row>
    <row r="12664" spans="1:10" hidden="1">
      <c r="A12664" t="s">
        <v>7371</v>
      </c>
      <c r="B12664" t="s">
        <v>7372</v>
      </c>
      <c r="C12664" t="s">
        <v>6839</v>
      </c>
      <c r="D12664" t="s">
        <v>5487</v>
      </c>
      <c r="E12664" t="s">
        <v>560</v>
      </c>
      <c r="F12664" t="s">
        <v>1068</v>
      </c>
      <c r="G12664" t="s">
        <v>1073</v>
      </c>
      <c r="H12664" s="171" t="s">
        <v>7375</v>
      </c>
      <c r="I12664" t="s">
        <v>1074</v>
      </c>
      <c r="J12664">
        <v>9.24</v>
      </c>
    </row>
    <row r="12665" spans="1:10" hidden="1">
      <c r="A12665" t="s">
        <v>7371</v>
      </c>
      <c r="B12665" t="s">
        <v>7372</v>
      </c>
      <c r="C12665" t="s">
        <v>6839</v>
      </c>
      <c r="D12665" t="s">
        <v>5487</v>
      </c>
      <c r="E12665" t="s">
        <v>560</v>
      </c>
      <c r="F12665" t="s">
        <v>1068</v>
      </c>
      <c r="G12665" t="s">
        <v>1075</v>
      </c>
      <c r="H12665">
        <v>4.2496488524968196E-3</v>
      </c>
      <c r="I12665" t="s">
        <v>1077</v>
      </c>
      <c r="J12665">
        <v>9.24</v>
      </c>
    </row>
    <row r="12666" spans="1:10" hidden="1">
      <c r="A12666" t="s">
        <v>7371</v>
      </c>
      <c r="B12666" t="s">
        <v>7372</v>
      </c>
      <c r="C12666" t="s">
        <v>6839</v>
      </c>
      <c r="D12666" t="s">
        <v>5487</v>
      </c>
      <c r="E12666" t="s">
        <v>560</v>
      </c>
      <c r="F12666" t="s">
        <v>1068</v>
      </c>
      <c r="G12666" t="s">
        <v>1078</v>
      </c>
      <c r="H12666" s="171" t="s">
        <v>7376</v>
      </c>
      <c r="I12666" t="s">
        <v>1079</v>
      </c>
      <c r="J12666">
        <v>9.24</v>
      </c>
    </row>
    <row r="12667" spans="1:10" hidden="1">
      <c r="A12667" t="s">
        <v>7371</v>
      </c>
      <c r="B12667" t="s">
        <v>7372</v>
      </c>
      <c r="C12667" t="s">
        <v>6839</v>
      </c>
      <c r="D12667" t="s">
        <v>5487</v>
      </c>
      <c r="E12667" t="s">
        <v>560</v>
      </c>
      <c r="F12667" t="s">
        <v>1068</v>
      </c>
      <c r="G12667" t="s">
        <v>1080</v>
      </c>
      <c r="H12667" s="171" t="s">
        <v>6906</v>
      </c>
      <c r="I12667" t="s">
        <v>1082</v>
      </c>
      <c r="J12667">
        <v>9.24</v>
      </c>
    </row>
    <row r="12668" spans="1:10" hidden="1">
      <c r="A12668" t="s">
        <v>7371</v>
      </c>
      <c r="B12668" t="s">
        <v>7372</v>
      </c>
      <c r="C12668" t="s">
        <v>6839</v>
      </c>
      <c r="D12668" t="s">
        <v>5487</v>
      </c>
      <c r="E12668" t="s">
        <v>560</v>
      </c>
      <c r="F12668" t="s">
        <v>1068</v>
      </c>
      <c r="G12668" t="s">
        <v>1083</v>
      </c>
      <c r="H12668" s="171" t="s">
        <v>6907</v>
      </c>
      <c r="I12668" t="s">
        <v>1084</v>
      </c>
      <c r="J12668">
        <v>9.24</v>
      </c>
    </row>
    <row r="12669" spans="1:10" hidden="1">
      <c r="A12669" t="s">
        <v>7371</v>
      </c>
      <c r="B12669" t="s">
        <v>7372</v>
      </c>
      <c r="C12669" t="s">
        <v>6839</v>
      </c>
      <c r="D12669" t="s">
        <v>5487</v>
      </c>
      <c r="E12669" t="s">
        <v>560</v>
      </c>
      <c r="F12669" t="s">
        <v>1068</v>
      </c>
      <c r="G12669" t="s">
        <v>1085</v>
      </c>
      <c r="H12669">
        <v>1.5485432690824199E-4</v>
      </c>
      <c r="I12669" t="s">
        <v>1086</v>
      </c>
      <c r="J12669">
        <v>9.24</v>
      </c>
    </row>
    <row r="12670" spans="1:10" hidden="1">
      <c r="A12670" t="s">
        <v>7371</v>
      </c>
      <c r="B12670" t="s">
        <v>7372</v>
      </c>
      <c r="C12670" t="s">
        <v>6839</v>
      </c>
      <c r="D12670" t="s">
        <v>5487</v>
      </c>
      <c r="E12670" t="s">
        <v>560</v>
      </c>
      <c r="F12670" t="s">
        <v>1068</v>
      </c>
      <c r="G12670" t="s">
        <v>1087</v>
      </c>
      <c r="H12670" s="171" t="s">
        <v>6908</v>
      </c>
      <c r="I12670" t="s">
        <v>1088</v>
      </c>
      <c r="J12670">
        <v>9.24</v>
      </c>
    </row>
    <row r="12671" spans="1:10" hidden="1">
      <c r="A12671" t="s">
        <v>7371</v>
      </c>
      <c r="B12671" t="s">
        <v>7372</v>
      </c>
      <c r="C12671" t="s">
        <v>6839</v>
      </c>
      <c r="D12671" t="s">
        <v>5487</v>
      </c>
      <c r="E12671" t="s">
        <v>560</v>
      </c>
      <c r="F12671" t="s">
        <v>1068</v>
      </c>
      <c r="G12671" t="s">
        <v>1089</v>
      </c>
      <c r="H12671" s="171" t="s">
        <v>7377</v>
      </c>
      <c r="I12671" t="s">
        <v>1090</v>
      </c>
      <c r="J12671">
        <v>9.24</v>
      </c>
    </row>
    <row r="12672" spans="1:10" hidden="1">
      <c r="A12672" t="s">
        <v>7378</v>
      </c>
      <c r="B12672" t="s">
        <v>7379</v>
      </c>
      <c r="C12672" t="s">
        <v>6839</v>
      </c>
      <c r="D12672" t="s">
        <v>5487</v>
      </c>
      <c r="E12672" t="s">
        <v>1116</v>
      </c>
      <c r="F12672" t="s">
        <v>1068</v>
      </c>
      <c r="G12672" t="s">
        <v>1069</v>
      </c>
      <c r="H12672" s="171" t="s">
        <v>7380</v>
      </c>
      <c r="I12672" t="s">
        <v>1070</v>
      </c>
      <c r="J12672">
        <v>8.58</v>
      </c>
    </row>
    <row r="12673" spans="1:10" hidden="1">
      <c r="A12673" t="s">
        <v>7378</v>
      </c>
      <c r="B12673" t="s">
        <v>7379</v>
      </c>
      <c r="C12673" t="s">
        <v>6839</v>
      </c>
      <c r="D12673" t="s">
        <v>5487</v>
      </c>
      <c r="E12673" t="s">
        <v>1116</v>
      </c>
      <c r="F12673" t="s">
        <v>1068</v>
      </c>
      <c r="G12673" t="s">
        <v>1071</v>
      </c>
      <c r="H12673" s="171" t="s">
        <v>7381</v>
      </c>
      <c r="I12673" t="s">
        <v>1072</v>
      </c>
      <c r="J12673">
        <v>8.58</v>
      </c>
    </row>
    <row r="12674" spans="1:10" hidden="1">
      <c r="A12674" t="s">
        <v>7378</v>
      </c>
      <c r="B12674" t="s">
        <v>7379</v>
      </c>
      <c r="C12674" t="s">
        <v>6839</v>
      </c>
      <c r="D12674" t="s">
        <v>5487</v>
      </c>
      <c r="E12674" t="s">
        <v>1116</v>
      </c>
      <c r="F12674" t="s">
        <v>1068</v>
      </c>
      <c r="G12674" t="s">
        <v>1073</v>
      </c>
      <c r="H12674" s="171" t="s">
        <v>7382</v>
      </c>
      <c r="I12674" t="s">
        <v>1074</v>
      </c>
      <c r="J12674">
        <v>8.58</v>
      </c>
    </row>
    <row r="12675" spans="1:10" hidden="1">
      <c r="A12675" t="s">
        <v>7378</v>
      </c>
      <c r="B12675" t="s">
        <v>7379</v>
      </c>
      <c r="C12675" t="s">
        <v>6839</v>
      </c>
      <c r="D12675" t="s">
        <v>5487</v>
      </c>
      <c r="E12675" t="s">
        <v>1116</v>
      </c>
      <c r="F12675" t="s">
        <v>1068</v>
      </c>
      <c r="G12675" t="s">
        <v>1075</v>
      </c>
      <c r="H12675">
        <v>4.2493789210850197E-3</v>
      </c>
      <c r="I12675" t="s">
        <v>1077</v>
      </c>
      <c r="J12675">
        <v>8.58</v>
      </c>
    </row>
    <row r="12676" spans="1:10" hidden="1">
      <c r="A12676" t="s">
        <v>7378</v>
      </c>
      <c r="B12676" t="s">
        <v>7379</v>
      </c>
      <c r="C12676" t="s">
        <v>6839</v>
      </c>
      <c r="D12676" t="s">
        <v>5487</v>
      </c>
      <c r="E12676" t="s">
        <v>1116</v>
      </c>
      <c r="F12676" t="s">
        <v>1068</v>
      </c>
      <c r="G12676" t="s">
        <v>1078</v>
      </c>
      <c r="H12676" s="171" t="s">
        <v>6915</v>
      </c>
      <c r="I12676" t="s">
        <v>1079</v>
      </c>
      <c r="J12676">
        <v>8.58</v>
      </c>
    </row>
    <row r="12677" spans="1:10" hidden="1">
      <c r="A12677" t="s">
        <v>7378</v>
      </c>
      <c r="B12677" t="s">
        <v>7379</v>
      </c>
      <c r="C12677" t="s">
        <v>6839</v>
      </c>
      <c r="D12677" t="s">
        <v>5487</v>
      </c>
      <c r="E12677" t="s">
        <v>1116</v>
      </c>
      <c r="F12677" t="s">
        <v>1068</v>
      </c>
      <c r="G12677" t="s">
        <v>1080</v>
      </c>
      <c r="H12677" s="171" t="s">
        <v>7383</v>
      </c>
      <c r="I12677" t="s">
        <v>1082</v>
      </c>
      <c r="J12677">
        <v>8.58</v>
      </c>
    </row>
    <row r="12678" spans="1:10" hidden="1">
      <c r="A12678" t="s">
        <v>7378</v>
      </c>
      <c r="B12678" t="s">
        <v>7379</v>
      </c>
      <c r="C12678" t="s">
        <v>6839</v>
      </c>
      <c r="D12678" t="s">
        <v>5487</v>
      </c>
      <c r="E12678" t="s">
        <v>1116</v>
      </c>
      <c r="F12678" t="s">
        <v>1068</v>
      </c>
      <c r="G12678" t="s">
        <v>1083</v>
      </c>
      <c r="H12678" s="171" t="s">
        <v>7384</v>
      </c>
      <c r="I12678" t="s">
        <v>1084</v>
      </c>
      <c r="J12678">
        <v>8.58</v>
      </c>
    </row>
    <row r="12679" spans="1:10" hidden="1">
      <c r="A12679" t="s">
        <v>7378</v>
      </c>
      <c r="B12679" t="s">
        <v>7379</v>
      </c>
      <c r="C12679" t="s">
        <v>6839</v>
      </c>
      <c r="D12679" t="s">
        <v>5487</v>
      </c>
      <c r="E12679" t="s">
        <v>1116</v>
      </c>
      <c r="F12679" t="s">
        <v>1068</v>
      </c>
      <c r="G12679" t="s">
        <v>1085</v>
      </c>
      <c r="H12679">
        <v>1.54839657380571E-4</v>
      </c>
      <c r="I12679" t="s">
        <v>1086</v>
      </c>
      <c r="J12679">
        <v>8.58</v>
      </c>
    </row>
    <row r="12680" spans="1:10" hidden="1">
      <c r="A12680" t="s">
        <v>7378</v>
      </c>
      <c r="B12680" t="s">
        <v>7379</v>
      </c>
      <c r="C12680" t="s">
        <v>6839</v>
      </c>
      <c r="D12680" t="s">
        <v>5487</v>
      </c>
      <c r="E12680" t="s">
        <v>1116</v>
      </c>
      <c r="F12680" t="s">
        <v>1068</v>
      </c>
      <c r="G12680" t="s">
        <v>1087</v>
      </c>
      <c r="H12680" s="171" t="s">
        <v>7385</v>
      </c>
      <c r="I12680" t="s">
        <v>1088</v>
      </c>
      <c r="J12680">
        <v>8.58</v>
      </c>
    </row>
    <row r="12681" spans="1:10" hidden="1">
      <c r="A12681" t="s">
        <v>7378</v>
      </c>
      <c r="B12681" t="s">
        <v>7379</v>
      </c>
      <c r="C12681" t="s">
        <v>6839</v>
      </c>
      <c r="D12681" t="s">
        <v>5487</v>
      </c>
      <c r="E12681" t="s">
        <v>1116</v>
      </c>
      <c r="F12681" t="s">
        <v>1068</v>
      </c>
      <c r="G12681" t="s">
        <v>1089</v>
      </c>
      <c r="H12681" s="171" t="s">
        <v>7386</v>
      </c>
      <c r="I12681" t="s">
        <v>1090</v>
      </c>
      <c r="J12681">
        <v>8.58</v>
      </c>
    </row>
    <row r="12682" spans="1:10" hidden="1">
      <c r="A12682" t="s">
        <v>7387</v>
      </c>
      <c r="B12682" t="s">
        <v>7388</v>
      </c>
      <c r="C12682" t="s">
        <v>6839</v>
      </c>
      <c r="D12682" t="s">
        <v>551</v>
      </c>
      <c r="E12682" t="s">
        <v>561</v>
      </c>
      <c r="F12682" t="s">
        <v>1068</v>
      </c>
      <c r="G12682" t="s">
        <v>1069</v>
      </c>
      <c r="H12682">
        <v>3.4300055172926003E-2</v>
      </c>
      <c r="I12682" t="s">
        <v>1070</v>
      </c>
      <c r="J12682">
        <v>9.09</v>
      </c>
    </row>
    <row r="12683" spans="1:10" hidden="1">
      <c r="A12683" t="s">
        <v>7387</v>
      </c>
      <c r="B12683" t="s">
        <v>7388</v>
      </c>
      <c r="C12683" t="s">
        <v>6839</v>
      </c>
      <c r="D12683" t="s">
        <v>551</v>
      </c>
      <c r="E12683" t="s">
        <v>561</v>
      </c>
      <c r="F12683" t="s">
        <v>1068</v>
      </c>
      <c r="G12683" t="s">
        <v>1071</v>
      </c>
      <c r="H12683" s="171" t="s">
        <v>7389</v>
      </c>
      <c r="I12683" t="s">
        <v>1072</v>
      </c>
      <c r="J12683">
        <v>9.09</v>
      </c>
    </row>
    <row r="12684" spans="1:10" hidden="1">
      <c r="A12684" t="s">
        <v>7387</v>
      </c>
      <c r="B12684" t="s">
        <v>7388</v>
      </c>
      <c r="C12684" t="s">
        <v>6839</v>
      </c>
      <c r="D12684" t="s">
        <v>551</v>
      </c>
      <c r="E12684" t="s">
        <v>561</v>
      </c>
      <c r="F12684" t="s">
        <v>1068</v>
      </c>
      <c r="G12684" t="s">
        <v>1073</v>
      </c>
      <c r="H12684" s="171" t="s">
        <v>7390</v>
      </c>
      <c r="I12684" t="s">
        <v>1074</v>
      </c>
      <c r="J12684">
        <v>9.09</v>
      </c>
    </row>
    <row r="12685" spans="1:10" hidden="1">
      <c r="A12685" t="s">
        <v>7387</v>
      </c>
      <c r="B12685" t="s">
        <v>7388</v>
      </c>
      <c r="C12685" t="s">
        <v>6839</v>
      </c>
      <c r="D12685" t="s">
        <v>551</v>
      </c>
      <c r="E12685" t="s">
        <v>561</v>
      </c>
      <c r="F12685" t="s">
        <v>1068</v>
      </c>
      <c r="G12685" t="s">
        <v>1075</v>
      </c>
      <c r="H12685">
        <v>2.1996037736947902E-3</v>
      </c>
      <c r="I12685" t="s">
        <v>1077</v>
      </c>
      <c r="J12685">
        <v>9.09</v>
      </c>
    </row>
    <row r="12686" spans="1:10" hidden="1">
      <c r="A12686" t="s">
        <v>7387</v>
      </c>
      <c r="B12686" t="s">
        <v>7388</v>
      </c>
      <c r="C12686" t="s">
        <v>6839</v>
      </c>
      <c r="D12686" t="s">
        <v>551</v>
      </c>
      <c r="E12686" t="s">
        <v>561</v>
      </c>
      <c r="F12686" t="s">
        <v>1068</v>
      </c>
      <c r="G12686" t="s">
        <v>1078</v>
      </c>
      <c r="H12686">
        <v>-0.13173951535147099</v>
      </c>
      <c r="I12686" t="s">
        <v>1079</v>
      </c>
      <c r="J12686">
        <v>9.09</v>
      </c>
    </row>
    <row r="12687" spans="1:10" hidden="1">
      <c r="A12687" t="s">
        <v>7387</v>
      </c>
      <c r="B12687" t="s">
        <v>7388</v>
      </c>
      <c r="C12687" t="s">
        <v>6839</v>
      </c>
      <c r="D12687" t="s">
        <v>551</v>
      </c>
      <c r="E12687" t="s">
        <v>561</v>
      </c>
      <c r="F12687" t="s">
        <v>1068</v>
      </c>
      <c r="G12687" t="s">
        <v>1080</v>
      </c>
      <c r="H12687" s="171" t="s">
        <v>7391</v>
      </c>
      <c r="I12687" t="s">
        <v>1082</v>
      </c>
      <c r="J12687">
        <v>9.09</v>
      </c>
    </row>
    <row r="12688" spans="1:10" hidden="1">
      <c r="A12688" t="s">
        <v>7387</v>
      </c>
      <c r="B12688" t="s">
        <v>7388</v>
      </c>
      <c r="C12688" t="s">
        <v>6839</v>
      </c>
      <c r="D12688" t="s">
        <v>551</v>
      </c>
      <c r="E12688" t="s">
        <v>561</v>
      </c>
      <c r="F12688" t="s">
        <v>1068</v>
      </c>
      <c r="G12688" t="s">
        <v>1083</v>
      </c>
      <c r="H12688" s="170">
        <v>-4.95206836894557E-6</v>
      </c>
      <c r="I12688" t="s">
        <v>1084</v>
      </c>
      <c r="J12688">
        <v>9.09</v>
      </c>
    </row>
    <row r="12689" spans="1:10" hidden="1">
      <c r="A12689" t="s">
        <v>7387</v>
      </c>
      <c r="B12689" t="s">
        <v>7388</v>
      </c>
      <c r="C12689" t="s">
        <v>6839</v>
      </c>
      <c r="D12689" t="s">
        <v>551</v>
      </c>
      <c r="E12689" t="s">
        <v>561</v>
      </c>
      <c r="F12689" t="s">
        <v>1068</v>
      </c>
      <c r="G12689" t="s">
        <v>1085</v>
      </c>
      <c r="H12689" s="171" t="s">
        <v>7392</v>
      </c>
      <c r="I12689" t="s">
        <v>1086</v>
      </c>
      <c r="J12689">
        <v>9.09</v>
      </c>
    </row>
    <row r="12690" spans="1:10" hidden="1">
      <c r="A12690" t="s">
        <v>7387</v>
      </c>
      <c r="B12690" t="s">
        <v>7388</v>
      </c>
      <c r="C12690" t="s">
        <v>6839</v>
      </c>
      <c r="D12690" t="s">
        <v>551</v>
      </c>
      <c r="E12690" t="s">
        <v>561</v>
      </c>
      <c r="F12690" t="s">
        <v>1068</v>
      </c>
      <c r="G12690" t="s">
        <v>1087</v>
      </c>
      <c r="H12690" s="171" t="s">
        <v>7393</v>
      </c>
      <c r="I12690" t="s">
        <v>1088</v>
      </c>
      <c r="J12690">
        <v>9.09</v>
      </c>
    </row>
    <row r="12691" spans="1:10" hidden="1">
      <c r="A12691" t="s">
        <v>7387</v>
      </c>
      <c r="B12691" t="s">
        <v>7388</v>
      </c>
      <c r="C12691" t="s">
        <v>6839</v>
      </c>
      <c r="D12691" t="s">
        <v>551</v>
      </c>
      <c r="E12691" t="s">
        <v>561</v>
      </c>
      <c r="F12691" t="s">
        <v>1068</v>
      </c>
      <c r="G12691" t="s">
        <v>1089</v>
      </c>
      <c r="H12691" s="171" t="s">
        <v>7394</v>
      </c>
      <c r="I12691" t="s">
        <v>1090</v>
      </c>
      <c r="J12691">
        <v>9.09</v>
      </c>
    </row>
    <row r="12692" spans="1:10" hidden="1">
      <c r="A12692" t="s">
        <v>7395</v>
      </c>
      <c r="B12692" t="s">
        <v>7396</v>
      </c>
      <c r="C12692" t="s">
        <v>6839</v>
      </c>
      <c r="D12692" t="s">
        <v>551</v>
      </c>
      <c r="E12692" t="s">
        <v>555</v>
      </c>
      <c r="F12692" t="s">
        <v>1068</v>
      </c>
      <c r="G12692" t="s">
        <v>1069</v>
      </c>
      <c r="H12692">
        <v>2.4488012168262401E-2</v>
      </c>
      <c r="I12692" t="s">
        <v>1070</v>
      </c>
      <c r="J12692">
        <v>7.86</v>
      </c>
    </row>
    <row r="12693" spans="1:10" hidden="1">
      <c r="A12693" t="s">
        <v>7395</v>
      </c>
      <c r="B12693" t="s">
        <v>7396</v>
      </c>
      <c r="C12693" t="s">
        <v>6839</v>
      </c>
      <c r="D12693" t="s">
        <v>551</v>
      </c>
      <c r="E12693" t="s">
        <v>555</v>
      </c>
      <c r="F12693" t="s">
        <v>1068</v>
      </c>
      <c r="G12693" t="s">
        <v>1071</v>
      </c>
      <c r="H12693" s="171" t="s">
        <v>7397</v>
      </c>
      <c r="I12693" t="s">
        <v>1072</v>
      </c>
      <c r="J12693">
        <v>7.86</v>
      </c>
    </row>
    <row r="12694" spans="1:10" hidden="1">
      <c r="A12694" t="s">
        <v>7395</v>
      </c>
      <c r="B12694" t="s">
        <v>7396</v>
      </c>
      <c r="C12694" t="s">
        <v>6839</v>
      </c>
      <c r="D12694" t="s">
        <v>551</v>
      </c>
      <c r="E12694" t="s">
        <v>555</v>
      </c>
      <c r="F12694" t="s">
        <v>1068</v>
      </c>
      <c r="G12694" t="s">
        <v>1073</v>
      </c>
      <c r="H12694" s="171" t="s">
        <v>7398</v>
      </c>
      <c r="I12694" t="s">
        <v>1074</v>
      </c>
      <c r="J12694">
        <v>7.86</v>
      </c>
    </row>
    <row r="12695" spans="1:10" hidden="1">
      <c r="A12695" t="s">
        <v>7395</v>
      </c>
      <c r="B12695" t="s">
        <v>7396</v>
      </c>
      <c r="C12695" t="s">
        <v>6839</v>
      </c>
      <c r="D12695" t="s">
        <v>551</v>
      </c>
      <c r="E12695" t="s">
        <v>555</v>
      </c>
      <c r="F12695" t="s">
        <v>1068</v>
      </c>
      <c r="G12695" t="s">
        <v>1075</v>
      </c>
      <c r="H12695">
        <v>1.9235092934216701E-3</v>
      </c>
      <c r="I12695" t="s">
        <v>1077</v>
      </c>
      <c r="J12695">
        <v>7.86</v>
      </c>
    </row>
    <row r="12696" spans="1:10" hidden="1">
      <c r="A12696" t="s">
        <v>7395</v>
      </c>
      <c r="B12696" t="s">
        <v>7396</v>
      </c>
      <c r="C12696" t="s">
        <v>6839</v>
      </c>
      <c r="D12696" t="s">
        <v>551</v>
      </c>
      <c r="E12696" t="s">
        <v>555</v>
      </c>
      <c r="F12696" t="s">
        <v>1068</v>
      </c>
      <c r="G12696" t="s">
        <v>1078</v>
      </c>
      <c r="H12696">
        <v>-0.13071917043242301</v>
      </c>
      <c r="I12696" t="s">
        <v>1079</v>
      </c>
      <c r="J12696">
        <v>7.86</v>
      </c>
    </row>
    <row r="12697" spans="1:10" hidden="1">
      <c r="A12697" t="s">
        <v>7395</v>
      </c>
      <c r="B12697" t="s">
        <v>7396</v>
      </c>
      <c r="C12697" t="s">
        <v>6839</v>
      </c>
      <c r="D12697" t="s">
        <v>551</v>
      </c>
      <c r="E12697" t="s">
        <v>555</v>
      </c>
      <c r="F12697" t="s">
        <v>1068</v>
      </c>
      <c r="G12697" t="s">
        <v>1080</v>
      </c>
      <c r="H12697" s="171" t="s">
        <v>7399</v>
      </c>
      <c r="I12697" t="s">
        <v>1082</v>
      </c>
      <c r="J12697">
        <v>7.86</v>
      </c>
    </row>
    <row r="12698" spans="1:10" hidden="1">
      <c r="A12698" t="s">
        <v>7395</v>
      </c>
      <c r="B12698" t="s">
        <v>7396</v>
      </c>
      <c r="C12698" t="s">
        <v>6839</v>
      </c>
      <c r="D12698" t="s">
        <v>551</v>
      </c>
      <c r="E12698" t="s">
        <v>555</v>
      </c>
      <c r="F12698" t="s">
        <v>1068</v>
      </c>
      <c r="G12698" t="s">
        <v>1083</v>
      </c>
      <c r="H12698" s="170">
        <v>-6.4470286038914996E-6</v>
      </c>
      <c r="I12698" t="s">
        <v>1084</v>
      </c>
      <c r="J12698">
        <v>7.86</v>
      </c>
    </row>
    <row r="12699" spans="1:10" hidden="1">
      <c r="A12699" t="s">
        <v>7395</v>
      </c>
      <c r="B12699" t="s">
        <v>7396</v>
      </c>
      <c r="C12699" t="s">
        <v>6839</v>
      </c>
      <c r="D12699" t="s">
        <v>551</v>
      </c>
      <c r="E12699" t="s">
        <v>555</v>
      </c>
      <c r="F12699" t="s">
        <v>1068</v>
      </c>
      <c r="G12699" t="s">
        <v>1085</v>
      </c>
      <c r="H12699" s="171" t="s">
        <v>7400</v>
      </c>
      <c r="I12699" t="s">
        <v>1086</v>
      </c>
      <c r="J12699">
        <v>7.86</v>
      </c>
    </row>
    <row r="12700" spans="1:10" hidden="1">
      <c r="A12700" t="s">
        <v>7395</v>
      </c>
      <c r="B12700" t="s">
        <v>7396</v>
      </c>
      <c r="C12700" t="s">
        <v>6839</v>
      </c>
      <c r="D12700" t="s">
        <v>551</v>
      </c>
      <c r="E12700" t="s">
        <v>555</v>
      </c>
      <c r="F12700" t="s">
        <v>1068</v>
      </c>
      <c r="G12700" t="s">
        <v>1087</v>
      </c>
      <c r="H12700" s="171" t="s">
        <v>7401</v>
      </c>
      <c r="I12700" t="s">
        <v>1088</v>
      </c>
      <c r="J12700">
        <v>7.86</v>
      </c>
    </row>
    <row r="12701" spans="1:10" hidden="1">
      <c r="A12701" t="s">
        <v>7395</v>
      </c>
      <c r="B12701" t="s">
        <v>7396</v>
      </c>
      <c r="C12701" t="s">
        <v>6839</v>
      </c>
      <c r="D12701" t="s">
        <v>551</v>
      </c>
      <c r="E12701" t="s">
        <v>555</v>
      </c>
      <c r="F12701" t="s">
        <v>1068</v>
      </c>
      <c r="G12701" t="s">
        <v>1089</v>
      </c>
      <c r="H12701" s="171" t="s">
        <v>7402</v>
      </c>
      <c r="I12701" t="s">
        <v>1090</v>
      </c>
      <c r="J12701">
        <v>7.86</v>
      </c>
    </row>
    <row r="12702" spans="1:10" hidden="1">
      <c r="A12702" t="s">
        <v>7403</v>
      </c>
      <c r="B12702" t="s">
        <v>7404</v>
      </c>
      <c r="C12702" t="s">
        <v>6839</v>
      </c>
      <c r="D12702" t="s">
        <v>551</v>
      </c>
      <c r="E12702" t="s">
        <v>558</v>
      </c>
      <c r="F12702" t="s">
        <v>1068</v>
      </c>
      <c r="G12702" t="s">
        <v>1069</v>
      </c>
      <c r="H12702">
        <v>3.5144807586864599E-2</v>
      </c>
      <c r="I12702" t="s">
        <v>1070</v>
      </c>
      <c r="J12702">
        <v>8.0500000000000007</v>
      </c>
    </row>
    <row r="12703" spans="1:10" hidden="1">
      <c r="A12703" t="s">
        <v>7403</v>
      </c>
      <c r="B12703" t="s">
        <v>7404</v>
      </c>
      <c r="C12703" t="s">
        <v>6839</v>
      </c>
      <c r="D12703" t="s">
        <v>551</v>
      </c>
      <c r="E12703" t="s">
        <v>558</v>
      </c>
      <c r="F12703" t="s">
        <v>1068</v>
      </c>
      <c r="G12703" t="s">
        <v>1071</v>
      </c>
      <c r="H12703" s="171" t="s">
        <v>7405</v>
      </c>
      <c r="I12703" t="s">
        <v>1072</v>
      </c>
      <c r="J12703">
        <v>8.06</v>
      </c>
    </row>
    <row r="12704" spans="1:10" hidden="1">
      <c r="A12704" t="s">
        <v>7403</v>
      </c>
      <c r="B12704" t="s">
        <v>7404</v>
      </c>
      <c r="C12704" t="s">
        <v>6839</v>
      </c>
      <c r="D12704" t="s">
        <v>551</v>
      </c>
      <c r="E12704" t="s">
        <v>558</v>
      </c>
      <c r="F12704" t="s">
        <v>1068</v>
      </c>
      <c r="G12704" t="s">
        <v>1073</v>
      </c>
      <c r="H12704" s="171" t="s">
        <v>7406</v>
      </c>
      <c r="I12704" t="s">
        <v>1074</v>
      </c>
      <c r="J12704">
        <v>8.06</v>
      </c>
    </row>
    <row r="12705" spans="1:10" hidden="1">
      <c r="A12705" t="s">
        <v>7403</v>
      </c>
      <c r="B12705" t="s">
        <v>7404</v>
      </c>
      <c r="C12705" t="s">
        <v>6839</v>
      </c>
      <c r="D12705" t="s">
        <v>551</v>
      </c>
      <c r="E12705" t="s">
        <v>558</v>
      </c>
      <c r="F12705" t="s">
        <v>1068</v>
      </c>
      <c r="G12705" t="s">
        <v>1075</v>
      </c>
      <c r="H12705">
        <v>2.2263072999230602E-3</v>
      </c>
      <c r="I12705" t="s">
        <v>1077</v>
      </c>
      <c r="J12705">
        <v>8.06</v>
      </c>
    </row>
    <row r="12706" spans="1:10" hidden="1">
      <c r="A12706" t="s">
        <v>7403</v>
      </c>
      <c r="B12706" t="s">
        <v>7404</v>
      </c>
      <c r="C12706" t="s">
        <v>6839</v>
      </c>
      <c r="D12706" t="s">
        <v>551</v>
      </c>
      <c r="E12706" t="s">
        <v>558</v>
      </c>
      <c r="F12706" t="s">
        <v>1068</v>
      </c>
      <c r="G12706" t="s">
        <v>1078</v>
      </c>
      <c r="H12706">
        <v>-0.13058475187135901</v>
      </c>
      <c r="I12706" t="s">
        <v>1079</v>
      </c>
      <c r="J12706">
        <v>8.06</v>
      </c>
    </row>
    <row r="12707" spans="1:10" hidden="1">
      <c r="A12707" t="s">
        <v>7403</v>
      </c>
      <c r="B12707" t="s">
        <v>7404</v>
      </c>
      <c r="C12707" t="s">
        <v>6839</v>
      </c>
      <c r="D12707" t="s">
        <v>551</v>
      </c>
      <c r="E12707" t="s">
        <v>558</v>
      </c>
      <c r="F12707" t="s">
        <v>1068</v>
      </c>
      <c r="G12707" t="s">
        <v>1080</v>
      </c>
      <c r="H12707" s="171" t="s">
        <v>7407</v>
      </c>
      <c r="I12707" t="s">
        <v>1082</v>
      </c>
      <c r="J12707">
        <v>8.06</v>
      </c>
    </row>
    <row r="12708" spans="1:10" hidden="1">
      <c r="A12708" t="s">
        <v>7403</v>
      </c>
      <c r="B12708" t="s">
        <v>7404</v>
      </c>
      <c r="C12708" t="s">
        <v>6839</v>
      </c>
      <c r="D12708" t="s">
        <v>551</v>
      </c>
      <c r="E12708" t="s">
        <v>558</v>
      </c>
      <c r="F12708" t="s">
        <v>1068</v>
      </c>
      <c r="G12708" t="s">
        <v>1083</v>
      </c>
      <c r="H12708" s="170">
        <v>-4.8236654550841796E-6</v>
      </c>
      <c r="I12708" t="s">
        <v>1084</v>
      </c>
      <c r="J12708">
        <v>8.06</v>
      </c>
    </row>
    <row r="12709" spans="1:10" hidden="1">
      <c r="A12709" t="s">
        <v>7403</v>
      </c>
      <c r="B12709" t="s">
        <v>7404</v>
      </c>
      <c r="C12709" t="s">
        <v>6839</v>
      </c>
      <c r="D12709" t="s">
        <v>551</v>
      </c>
      <c r="E12709" t="s">
        <v>558</v>
      </c>
      <c r="F12709" t="s">
        <v>1068</v>
      </c>
      <c r="G12709" t="s">
        <v>1085</v>
      </c>
      <c r="H12709" s="171" t="s">
        <v>7408</v>
      </c>
      <c r="I12709" t="s">
        <v>1086</v>
      </c>
      <c r="J12709">
        <v>8.06</v>
      </c>
    </row>
    <row r="12710" spans="1:10" hidden="1">
      <c r="A12710" t="s">
        <v>7403</v>
      </c>
      <c r="B12710" t="s">
        <v>7404</v>
      </c>
      <c r="C12710" t="s">
        <v>6839</v>
      </c>
      <c r="D12710" t="s">
        <v>551</v>
      </c>
      <c r="E12710" t="s">
        <v>558</v>
      </c>
      <c r="F12710" t="s">
        <v>1068</v>
      </c>
      <c r="G12710" t="s">
        <v>1087</v>
      </c>
      <c r="H12710" s="171" t="s">
        <v>7409</v>
      </c>
      <c r="I12710" t="s">
        <v>1088</v>
      </c>
      <c r="J12710">
        <v>8.06</v>
      </c>
    </row>
    <row r="12711" spans="1:10" hidden="1">
      <c r="A12711" t="s">
        <v>7403</v>
      </c>
      <c r="B12711" t="s">
        <v>7404</v>
      </c>
      <c r="C12711" t="s">
        <v>6839</v>
      </c>
      <c r="D12711" t="s">
        <v>551</v>
      </c>
      <c r="E12711" t="s">
        <v>558</v>
      </c>
      <c r="F12711" t="s">
        <v>1068</v>
      </c>
      <c r="G12711" t="s">
        <v>1089</v>
      </c>
      <c r="H12711" s="171" t="s">
        <v>7410</v>
      </c>
      <c r="I12711" t="s">
        <v>1090</v>
      </c>
      <c r="J12711">
        <v>8.06</v>
      </c>
    </row>
    <row r="12712" spans="1:10" hidden="1">
      <c r="A12712" t="s">
        <v>7411</v>
      </c>
      <c r="B12712" t="s">
        <v>7412</v>
      </c>
      <c r="C12712" t="s">
        <v>6839</v>
      </c>
      <c r="D12712" t="s">
        <v>551</v>
      </c>
      <c r="E12712" t="s">
        <v>553</v>
      </c>
      <c r="F12712" t="s">
        <v>1068</v>
      </c>
      <c r="G12712" t="s">
        <v>1069</v>
      </c>
      <c r="H12712">
        <v>3.5737293710164701E-2</v>
      </c>
      <c r="I12712" t="s">
        <v>1070</v>
      </c>
      <c r="J12712">
        <v>9.0299999999999994</v>
      </c>
    </row>
    <row r="12713" spans="1:10" hidden="1">
      <c r="A12713" t="s">
        <v>7411</v>
      </c>
      <c r="B12713" t="s">
        <v>7412</v>
      </c>
      <c r="C12713" t="s">
        <v>6839</v>
      </c>
      <c r="D12713" t="s">
        <v>551</v>
      </c>
      <c r="E12713" t="s">
        <v>553</v>
      </c>
      <c r="F12713" t="s">
        <v>1068</v>
      </c>
      <c r="G12713" t="s">
        <v>1071</v>
      </c>
      <c r="H12713" s="171" t="s">
        <v>7413</v>
      </c>
      <c r="I12713" t="s">
        <v>1072</v>
      </c>
      <c r="J12713">
        <v>9.0299999999999994</v>
      </c>
    </row>
    <row r="12714" spans="1:10" hidden="1">
      <c r="A12714" t="s">
        <v>7411</v>
      </c>
      <c r="B12714" t="s">
        <v>7412</v>
      </c>
      <c r="C12714" t="s">
        <v>6839</v>
      </c>
      <c r="D12714" t="s">
        <v>551</v>
      </c>
      <c r="E12714" t="s">
        <v>553</v>
      </c>
      <c r="F12714" t="s">
        <v>1068</v>
      </c>
      <c r="G12714" t="s">
        <v>1073</v>
      </c>
      <c r="H12714" s="171" t="s">
        <v>7414</v>
      </c>
      <c r="I12714" t="s">
        <v>1074</v>
      </c>
      <c r="J12714">
        <v>9.0299999999999994</v>
      </c>
    </row>
    <row r="12715" spans="1:10" hidden="1">
      <c r="A12715" t="s">
        <v>7411</v>
      </c>
      <c r="B12715" t="s">
        <v>7412</v>
      </c>
      <c r="C12715" t="s">
        <v>6839</v>
      </c>
      <c r="D12715" t="s">
        <v>551</v>
      </c>
      <c r="E12715" t="s">
        <v>553</v>
      </c>
      <c r="F12715" t="s">
        <v>1068</v>
      </c>
      <c r="G12715" t="s">
        <v>1075</v>
      </c>
      <c r="H12715">
        <v>2.2791111002247698E-3</v>
      </c>
      <c r="I12715" t="s">
        <v>1077</v>
      </c>
      <c r="J12715">
        <v>9.0299999999999994</v>
      </c>
    </row>
    <row r="12716" spans="1:10" hidden="1">
      <c r="A12716" t="s">
        <v>7411</v>
      </c>
      <c r="B12716" t="s">
        <v>7412</v>
      </c>
      <c r="C12716" t="s">
        <v>6839</v>
      </c>
      <c r="D12716" t="s">
        <v>551</v>
      </c>
      <c r="E12716" t="s">
        <v>553</v>
      </c>
      <c r="F12716" t="s">
        <v>1068</v>
      </c>
      <c r="G12716" t="s">
        <v>1078</v>
      </c>
      <c r="H12716">
        <v>-0.115341576609937</v>
      </c>
      <c r="I12716" t="s">
        <v>1079</v>
      </c>
      <c r="J12716">
        <v>9.0299999999999994</v>
      </c>
    </row>
    <row r="12717" spans="1:10" hidden="1">
      <c r="A12717" t="s">
        <v>7411</v>
      </c>
      <c r="B12717" t="s">
        <v>7412</v>
      </c>
      <c r="C12717" t="s">
        <v>6839</v>
      </c>
      <c r="D12717" t="s">
        <v>551</v>
      </c>
      <c r="E12717" t="s">
        <v>553</v>
      </c>
      <c r="F12717" t="s">
        <v>1068</v>
      </c>
      <c r="G12717" t="s">
        <v>1080</v>
      </c>
      <c r="H12717" s="171" t="s">
        <v>7415</v>
      </c>
      <c r="I12717" t="s">
        <v>1082</v>
      </c>
      <c r="J12717">
        <v>9.0299999999999994</v>
      </c>
    </row>
    <row r="12718" spans="1:10" hidden="1">
      <c r="A12718" t="s">
        <v>7411</v>
      </c>
      <c r="B12718" t="s">
        <v>7412</v>
      </c>
      <c r="C12718" t="s">
        <v>6839</v>
      </c>
      <c r="D12718" t="s">
        <v>551</v>
      </c>
      <c r="E12718" t="s">
        <v>553</v>
      </c>
      <c r="F12718" t="s">
        <v>1068</v>
      </c>
      <c r="G12718" t="s">
        <v>1083</v>
      </c>
      <c r="H12718" s="170">
        <v>-4.7371305260683004E-6</v>
      </c>
      <c r="I12718" t="s">
        <v>1084</v>
      </c>
      <c r="J12718">
        <v>9.0299999999999994</v>
      </c>
    </row>
    <row r="12719" spans="1:10" hidden="1">
      <c r="A12719" t="s">
        <v>7411</v>
      </c>
      <c r="B12719" t="s">
        <v>7412</v>
      </c>
      <c r="C12719" t="s">
        <v>6839</v>
      </c>
      <c r="D12719" t="s">
        <v>551</v>
      </c>
      <c r="E12719" t="s">
        <v>553</v>
      </c>
      <c r="F12719" t="s">
        <v>1068</v>
      </c>
      <c r="G12719" t="s">
        <v>1085</v>
      </c>
      <c r="H12719" s="171" t="s">
        <v>7416</v>
      </c>
      <c r="I12719" t="s">
        <v>1086</v>
      </c>
      <c r="J12719">
        <v>9.0299999999999994</v>
      </c>
    </row>
    <row r="12720" spans="1:10" hidden="1">
      <c r="A12720" t="s">
        <v>7411</v>
      </c>
      <c r="B12720" t="s">
        <v>7412</v>
      </c>
      <c r="C12720" t="s">
        <v>6839</v>
      </c>
      <c r="D12720" t="s">
        <v>551</v>
      </c>
      <c r="E12720" t="s">
        <v>553</v>
      </c>
      <c r="F12720" t="s">
        <v>1068</v>
      </c>
      <c r="G12720" t="s">
        <v>1087</v>
      </c>
      <c r="H12720" s="171" t="s">
        <v>7417</v>
      </c>
      <c r="I12720" t="s">
        <v>1088</v>
      </c>
      <c r="J12720">
        <v>9.0299999999999994</v>
      </c>
    </row>
    <row r="12721" spans="1:10" hidden="1">
      <c r="A12721" t="s">
        <v>7411</v>
      </c>
      <c r="B12721" t="s">
        <v>7412</v>
      </c>
      <c r="C12721" t="s">
        <v>6839</v>
      </c>
      <c r="D12721" t="s">
        <v>551</v>
      </c>
      <c r="E12721" t="s">
        <v>553</v>
      </c>
      <c r="F12721" t="s">
        <v>1068</v>
      </c>
      <c r="G12721" t="s">
        <v>1089</v>
      </c>
      <c r="H12721" s="171" t="s">
        <v>7418</v>
      </c>
      <c r="I12721" t="s">
        <v>1090</v>
      </c>
      <c r="J12721">
        <v>9.0299999999999994</v>
      </c>
    </row>
    <row r="12722" spans="1:10" hidden="1">
      <c r="A12722" t="s">
        <v>7419</v>
      </c>
      <c r="B12722" t="s">
        <v>7420</v>
      </c>
      <c r="C12722" t="s">
        <v>6839</v>
      </c>
      <c r="D12722" t="s">
        <v>551</v>
      </c>
      <c r="E12722" t="s">
        <v>556</v>
      </c>
      <c r="F12722" t="s">
        <v>1068</v>
      </c>
      <c r="G12722" t="s">
        <v>1069</v>
      </c>
      <c r="H12722" s="171" t="s">
        <v>7421</v>
      </c>
      <c r="I12722" t="s">
        <v>1070</v>
      </c>
      <c r="J12722">
        <v>8.58</v>
      </c>
    </row>
    <row r="12723" spans="1:10" hidden="1">
      <c r="A12723" t="s">
        <v>7419</v>
      </c>
      <c r="B12723" t="s">
        <v>7420</v>
      </c>
      <c r="C12723" t="s">
        <v>6839</v>
      </c>
      <c r="D12723" t="s">
        <v>551</v>
      </c>
      <c r="E12723" t="s">
        <v>556</v>
      </c>
      <c r="F12723" t="s">
        <v>1068</v>
      </c>
      <c r="G12723" t="s">
        <v>1071</v>
      </c>
      <c r="H12723" s="171" t="s">
        <v>7422</v>
      </c>
      <c r="I12723" t="s">
        <v>1072</v>
      </c>
      <c r="J12723">
        <v>8.58</v>
      </c>
    </row>
    <row r="12724" spans="1:10" hidden="1">
      <c r="A12724" t="s">
        <v>7419</v>
      </c>
      <c r="B12724" t="s">
        <v>7420</v>
      </c>
      <c r="C12724" t="s">
        <v>6839</v>
      </c>
      <c r="D12724" t="s">
        <v>551</v>
      </c>
      <c r="E12724" t="s">
        <v>556</v>
      </c>
      <c r="F12724" t="s">
        <v>1068</v>
      </c>
      <c r="G12724" t="s">
        <v>1073</v>
      </c>
      <c r="H12724" s="171" t="s">
        <v>7423</v>
      </c>
      <c r="I12724" t="s">
        <v>1074</v>
      </c>
      <c r="J12724">
        <v>8.58</v>
      </c>
    </row>
    <row r="12725" spans="1:10" hidden="1">
      <c r="A12725" t="s">
        <v>7419</v>
      </c>
      <c r="B12725" t="s">
        <v>7420</v>
      </c>
      <c r="C12725" t="s">
        <v>6839</v>
      </c>
      <c r="D12725" t="s">
        <v>551</v>
      </c>
      <c r="E12725" t="s">
        <v>556</v>
      </c>
      <c r="F12725" t="s">
        <v>1068</v>
      </c>
      <c r="G12725" t="s">
        <v>1075</v>
      </c>
      <c r="H12725">
        <v>2.3841188638943898E-3</v>
      </c>
      <c r="I12725" t="s">
        <v>1077</v>
      </c>
      <c r="J12725">
        <v>8.58</v>
      </c>
    </row>
    <row r="12726" spans="1:10" hidden="1">
      <c r="A12726" t="s">
        <v>7419</v>
      </c>
      <c r="B12726" t="s">
        <v>7420</v>
      </c>
      <c r="C12726" t="s">
        <v>6839</v>
      </c>
      <c r="D12726" t="s">
        <v>551</v>
      </c>
      <c r="E12726" t="s">
        <v>556</v>
      </c>
      <c r="F12726" t="s">
        <v>1068</v>
      </c>
      <c r="G12726" t="s">
        <v>1078</v>
      </c>
      <c r="H12726">
        <v>-6.3490295353769793E-2</v>
      </c>
      <c r="I12726" t="s">
        <v>1079</v>
      </c>
      <c r="J12726">
        <v>8.58</v>
      </c>
    </row>
    <row r="12727" spans="1:10" hidden="1">
      <c r="A12727" t="s">
        <v>7419</v>
      </c>
      <c r="B12727" t="s">
        <v>7420</v>
      </c>
      <c r="C12727" t="s">
        <v>6839</v>
      </c>
      <c r="D12727" t="s">
        <v>551</v>
      </c>
      <c r="E12727" t="s">
        <v>556</v>
      </c>
      <c r="F12727" t="s">
        <v>1068</v>
      </c>
      <c r="G12727" t="s">
        <v>1080</v>
      </c>
      <c r="H12727" s="171" t="s">
        <v>7424</v>
      </c>
      <c r="I12727" t="s">
        <v>1082</v>
      </c>
      <c r="J12727">
        <v>8.58</v>
      </c>
    </row>
    <row r="12728" spans="1:10" hidden="1">
      <c r="A12728" t="s">
        <v>7419</v>
      </c>
      <c r="B12728" t="s">
        <v>7420</v>
      </c>
      <c r="C12728" t="s">
        <v>6839</v>
      </c>
      <c r="D12728" t="s">
        <v>551</v>
      </c>
      <c r="E12728" t="s">
        <v>556</v>
      </c>
      <c r="F12728" t="s">
        <v>1068</v>
      </c>
      <c r="G12728" t="s">
        <v>1083</v>
      </c>
      <c r="H12728" s="170">
        <v>-4.8405379845988999E-6</v>
      </c>
      <c r="I12728" t="s">
        <v>1084</v>
      </c>
      <c r="J12728">
        <v>8.58</v>
      </c>
    </row>
    <row r="12729" spans="1:10" hidden="1">
      <c r="A12729" t="s">
        <v>7419</v>
      </c>
      <c r="B12729" t="s">
        <v>7420</v>
      </c>
      <c r="C12729" t="s">
        <v>6839</v>
      </c>
      <c r="D12729" t="s">
        <v>551</v>
      </c>
      <c r="E12729" t="s">
        <v>556</v>
      </c>
      <c r="F12729" t="s">
        <v>1068</v>
      </c>
      <c r="G12729" t="s">
        <v>1085</v>
      </c>
      <c r="H12729" s="171" t="s">
        <v>7425</v>
      </c>
      <c r="I12729" t="s">
        <v>1086</v>
      </c>
      <c r="J12729">
        <v>8.58</v>
      </c>
    </row>
    <row r="12730" spans="1:10" hidden="1">
      <c r="A12730" t="s">
        <v>7419</v>
      </c>
      <c r="B12730" t="s">
        <v>7420</v>
      </c>
      <c r="C12730" t="s">
        <v>6839</v>
      </c>
      <c r="D12730" t="s">
        <v>551</v>
      </c>
      <c r="E12730" t="s">
        <v>556</v>
      </c>
      <c r="F12730" t="s">
        <v>1068</v>
      </c>
      <c r="G12730" t="s">
        <v>1087</v>
      </c>
      <c r="H12730" s="171" t="s">
        <v>7426</v>
      </c>
      <c r="I12730" t="s">
        <v>1088</v>
      </c>
      <c r="J12730">
        <v>8.58</v>
      </c>
    </row>
    <row r="12731" spans="1:10" hidden="1">
      <c r="A12731" t="s">
        <v>7419</v>
      </c>
      <c r="B12731" t="s">
        <v>7420</v>
      </c>
      <c r="C12731" t="s">
        <v>6839</v>
      </c>
      <c r="D12731" t="s">
        <v>551</v>
      </c>
      <c r="E12731" t="s">
        <v>556</v>
      </c>
      <c r="F12731" t="s">
        <v>1068</v>
      </c>
      <c r="G12731" t="s">
        <v>1089</v>
      </c>
      <c r="H12731" s="171" t="s">
        <v>7427</v>
      </c>
      <c r="I12731" t="s">
        <v>1090</v>
      </c>
      <c r="J12731">
        <v>8.58</v>
      </c>
    </row>
    <row r="12732" spans="1:10" hidden="1">
      <c r="A12732" t="s">
        <v>7428</v>
      </c>
      <c r="B12732" t="s">
        <v>7429</v>
      </c>
      <c r="C12732" t="s">
        <v>6839</v>
      </c>
      <c r="D12732" t="s">
        <v>551</v>
      </c>
      <c r="E12732" t="s">
        <v>557</v>
      </c>
      <c r="F12732" t="s">
        <v>1068</v>
      </c>
      <c r="G12732" t="s">
        <v>1069</v>
      </c>
      <c r="H12732">
        <v>3.1655612833653701E-2</v>
      </c>
      <c r="I12732" t="s">
        <v>1070</v>
      </c>
      <c r="J12732">
        <v>8.86</v>
      </c>
    </row>
    <row r="12733" spans="1:10" hidden="1">
      <c r="A12733" t="s">
        <v>7428</v>
      </c>
      <c r="B12733" t="s">
        <v>7429</v>
      </c>
      <c r="C12733" t="s">
        <v>6839</v>
      </c>
      <c r="D12733" t="s">
        <v>551</v>
      </c>
      <c r="E12733" t="s">
        <v>557</v>
      </c>
      <c r="F12733" t="s">
        <v>1068</v>
      </c>
      <c r="G12733" t="s">
        <v>1071</v>
      </c>
      <c r="H12733" s="171" t="s">
        <v>7430</v>
      </c>
      <c r="I12733" t="s">
        <v>1072</v>
      </c>
      <c r="J12733">
        <v>8.86</v>
      </c>
    </row>
    <row r="12734" spans="1:10" hidden="1">
      <c r="A12734" t="s">
        <v>7428</v>
      </c>
      <c r="B12734" t="s">
        <v>7429</v>
      </c>
      <c r="C12734" t="s">
        <v>6839</v>
      </c>
      <c r="D12734" t="s">
        <v>551</v>
      </c>
      <c r="E12734" t="s">
        <v>557</v>
      </c>
      <c r="F12734" t="s">
        <v>1068</v>
      </c>
      <c r="G12734" t="s">
        <v>1073</v>
      </c>
      <c r="H12734" s="171" t="s">
        <v>7431</v>
      </c>
      <c r="I12734" t="s">
        <v>1074</v>
      </c>
      <c r="J12734">
        <v>8.86</v>
      </c>
    </row>
    <row r="12735" spans="1:10" hidden="1">
      <c r="A12735" t="s">
        <v>7428</v>
      </c>
      <c r="B12735" t="s">
        <v>7429</v>
      </c>
      <c r="C12735" t="s">
        <v>6839</v>
      </c>
      <c r="D12735" t="s">
        <v>551</v>
      </c>
      <c r="E12735" t="s">
        <v>557</v>
      </c>
      <c r="F12735" t="s">
        <v>1068</v>
      </c>
      <c r="G12735" t="s">
        <v>1075</v>
      </c>
      <c r="H12735">
        <v>2.11601012637384E-3</v>
      </c>
      <c r="I12735" t="s">
        <v>1077</v>
      </c>
      <c r="J12735">
        <v>8.86</v>
      </c>
    </row>
    <row r="12736" spans="1:10" hidden="1">
      <c r="A12736" t="s">
        <v>7428</v>
      </c>
      <c r="B12736" t="s">
        <v>7429</v>
      </c>
      <c r="C12736" t="s">
        <v>6839</v>
      </c>
      <c r="D12736" t="s">
        <v>551</v>
      </c>
      <c r="E12736" t="s">
        <v>557</v>
      </c>
      <c r="F12736" t="s">
        <v>1068</v>
      </c>
      <c r="G12736" t="s">
        <v>1078</v>
      </c>
      <c r="H12736">
        <v>-0.135354427115291</v>
      </c>
      <c r="I12736" t="s">
        <v>1079</v>
      </c>
      <c r="J12736">
        <v>8.86</v>
      </c>
    </row>
    <row r="12737" spans="1:10" hidden="1">
      <c r="A12737" t="s">
        <v>7428</v>
      </c>
      <c r="B12737" t="s">
        <v>7429</v>
      </c>
      <c r="C12737" t="s">
        <v>6839</v>
      </c>
      <c r="D12737" t="s">
        <v>551</v>
      </c>
      <c r="E12737" t="s">
        <v>557</v>
      </c>
      <c r="F12737" t="s">
        <v>1068</v>
      </c>
      <c r="G12737" t="s">
        <v>1080</v>
      </c>
      <c r="H12737" s="171" t="s">
        <v>7432</v>
      </c>
      <c r="I12737" t="s">
        <v>1082</v>
      </c>
      <c r="J12737">
        <v>8.86</v>
      </c>
    </row>
    <row r="12738" spans="1:10" hidden="1">
      <c r="A12738" t="s">
        <v>7428</v>
      </c>
      <c r="B12738" t="s">
        <v>7429</v>
      </c>
      <c r="C12738" t="s">
        <v>6839</v>
      </c>
      <c r="D12738" t="s">
        <v>551</v>
      </c>
      <c r="E12738" t="s">
        <v>557</v>
      </c>
      <c r="F12738" t="s">
        <v>1068</v>
      </c>
      <c r="G12738" t="s">
        <v>1083</v>
      </c>
      <c r="H12738" s="170">
        <v>-5.3540253166844702E-6</v>
      </c>
      <c r="I12738" t="s">
        <v>1084</v>
      </c>
      <c r="J12738">
        <v>8.86</v>
      </c>
    </row>
    <row r="12739" spans="1:10" hidden="1">
      <c r="A12739" t="s">
        <v>7428</v>
      </c>
      <c r="B12739" t="s">
        <v>7429</v>
      </c>
      <c r="C12739" t="s">
        <v>6839</v>
      </c>
      <c r="D12739" t="s">
        <v>551</v>
      </c>
      <c r="E12739" t="s">
        <v>557</v>
      </c>
      <c r="F12739" t="s">
        <v>1068</v>
      </c>
      <c r="G12739" t="s">
        <v>1085</v>
      </c>
      <c r="H12739" s="171" t="s">
        <v>7433</v>
      </c>
      <c r="I12739" t="s">
        <v>1086</v>
      </c>
      <c r="J12739">
        <v>8.86</v>
      </c>
    </row>
    <row r="12740" spans="1:10" hidden="1">
      <c r="A12740" t="s">
        <v>7428</v>
      </c>
      <c r="B12740" t="s">
        <v>7429</v>
      </c>
      <c r="C12740" t="s">
        <v>6839</v>
      </c>
      <c r="D12740" t="s">
        <v>551</v>
      </c>
      <c r="E12740" t="s">
        <v>557</v>
      </c>
      <c r="F12740" t="s">
        <v>1068</v>
      </c>
      <c r="G12740" t="s">
        <v>1087</v>
      </c>
      <c r="H12740" s="171" t="s">
        <v>7434</v>
      </c>
      <c r="I12740" t="s">
        <v>1088</v>
      </c>
      <c r="J12740">
        <v>8.86</v>
      </c>
    </row>
    <row r="12741" spans="1:10" hidden="1">
      <c r="A12741" t="s">
        <v>7428</v>
      </c>
      <c r="B12741" t="s">
        <v>7429</v>
      </c>
      <c r="C12741" t="s">
        <v>6839</v>
      </c>
      <c r="D12741" t="s">
        <v>551</v>
      </c>
      <c r="E12741" t="s">
        <v>557</v>
      </c>
      <c r="F12741" t="s">
        <v>1068</v>
      </c>
      <c r="G12741" t="s">
        <v>1089</v>
      </c>
      <c r="H12741" s="171" t="s">
        <v>7435</v>
      </c>
      <c r="I12741" t="s">
        <v>1090</v>
      </c>
      <c r="J12741">
        <v>8.86</v>
      </c>
    </row>
    <row r="12742" spans="1:10" hidden="1">
      <c r="A12742" t="s">
        <v>7436</v>
      </c>
      <c r="B12742" t="s">
        <v>7437</v>
      </c>
      <c r="C12742" t="s">
        <v>6839</v>
      </c>
      <c r="D12742" t="s">
        <v>551</v>
      </c>
      <c r="E12742" t="s">
        <v>559</v>
      </c>
      <c r="F12742" t="s">
        <v>1068</v>
      </c>
      <c r="G12742" t="s">
        <v>1069</v>
      </c>
      <c r="H12742" s="171" t="s">
        <v>7438</v>
      </c>
      <c r="I12742" t="s">
        <v>1070</v>
      </c>
      <c r="J12742">
        <v>8.24</v>
      </c>
    </row>
    <row r="12743" spans="1:10" hidden="1">
      <c r="A12743" t="s">
        <v>7436</v>
      </c>
      <c r="B12743" t="s">
        <v>7437</v>
      </c>
      <c r="C12743" t="s">
        <v>6839</v>
      </c>
      <c r="D12743" t="s">
        <v>551</v>
      </c>
      <c r="E12743" t="s">
        <v>559</v>
      </c>
      <c r="F12743" t="s">
        <v>1068</v>
      </c>
      <c r="G12743" t="s">
        <v>1071</v>
      </c>
      <c r="H12743" s="171" t="s">
        <v>7439</v>
      </c>
      <c r="I12743" t="s">
        <v>1072</v>
      </c>
      <c r="J12743">
        <v>8.24</v>
      </c>
    </row>
    <row r="12744" spans="1:10" hidden="1">
      <c r="A12744" t="s">
        <v>7436</v>
      </c>
      <c r="B12744" t="s">
        <v>7437</v>
      </c>
      <c r="C12744" t="s">
        <v>6839</v>
      </c>
      <c r="D12744" t="s">
        <v>551</v>
      </c>
      <c r="E12744" t="s">
        <v>559</v>
      </c>
      <c r="F12744" t="s">
        <v>1068</v>
      </c>
      <c r="G12744" t="s">
        <v>1073</v>
      </c>
      <c r="H12744" s="171" t="s">
        <v>7440</v>
      </c>
      <c r="I12744" t="s">
        <v>1074</v>
      </c>
      <c r="J12744">
        <v>8.24</v>
      </c>
    </row>
    <row r="12745" spans="1:10" hidden="1">
      <c r="A12745" t="s">
        <v>7436</v>
      </c>
      <c r="B12745" t="s">
        <v>7437</v>
      </c>
      <c r="C12745" t="s">
        <v>6839</v>
      </c>
      <c r="D12745" t="s">
        <v>551</v>
      </c>
      <c r="E12745" t="s">
        <v>559</v>
      </c>
      <c r="F12745" t="s">
        <v>1068</v>
      </c>
      <c r="G12745" t="s">
        <v>1075</v>
      </c>
      <c r="H12745">
        <v>2.0526979648067302E-3</v>
      </c>
      <c r="I12745" t="s">
        <v>1077</v>
      </c>
      <c r="J12745">
        <v>8.24</v>
      </c>
    </row>
    <row r="12746" spans="1:10" hidden="1">
      <c r="A12746" t="s">
        <v>7436</v>
      </c>
      <c r="B12746" t="s">
        <v>7437</v>
      </c>
      <c r="C12746" t="s">
        <v>6839</v>
      </c>
      <c r="D12746" t="s">
        <v>551</v>
      </c>
      <c r="E12746" t="s">
        <v>559</v>
      </c>
      <c r="F12746" t="s">
        <v>1068</v>
      </c>
      <c r="G12746" t="s">
        <v>1078</v>
      </c>
      <c r="H12746">
        <v>-0.12513255395009701</v>
      </c>
      <c r="I12746" t="s">
        <v>1079</v>
      </c>
      <c r="J12746">
        <v>8.24</v>
      </c>
    </row>
    <row r="12747" spans="1:10" hidden="1">
      <c r="A12747" t="s">
        <v>7436</v>
      </c>
      <c r="B12747" t="s">
        <v>7437</v>
      </c>
      <c r="C12747" t="s">
        <v>6839</v>
      </c>
      <c r="D12747" t="s">
        <v>551</v>
      </c>
      <c r="E12747" t="s">
        <v>559</v>
      </c>
      <c r="F12747" t="s">
        <v>1068</v>
      </c>
      <c r="G12747" t="s">
        <v>1080</v>
      </c>
      <c r="H12747" s="171" t="s">
        <v>7441</v>
      </c>
      <c r="I12747" t="s">
        <v>1082</v>
      </c>
      <c r="J12747">
        <v>8.24</v>
      </c>
    </row>
    <row r="12748" spans="1:10" hidden="1">
      <c r="A12748" t="s">
        <v>7436</v>
      </c>
      <c r="B12748" t="s">
        <v>7437</v>
      </c>
      <c r="C12748" t="s">
        <v>6839</v>
      </c>
      <c r="D12748" t="s">
        <v>551</v>
      </c>
      <c r="E12748" t="s">
        <v>559</v>
      </c>
      <c r="F12748" t="s">
        <v>1068</v>
      </c>
      <c r="G12748" t="s">
        <v>1083</v>
      </c>
      <c r="H12748" s="170">
        <v>-5.8258296767423302E-6</v>
      </c>
      <c r="I12748" t="s">
        <v>1084</v>
      </c>
      <c r="J12748">
        <v>8.24</v>
      </c>
    </row>
    <row r="12749" spans="1:10" hidden="1">
      <c r="A12749" t="s">
        <v>7436</v>
      </c>
      <c r="B12749" t="s">
        <v>7437</v>
      </c>
      <c r="C12749" t="s">
        <v>6839</v>
      </c>
      <c r="D12749" t="s">
        <v>551</v>
      </c>
      <c r="E12749" t="s">
        <v>559</v>
      </c>
      <c r="F12749" t="s">
        <v>1068</v>
      </c>
      <c r="G12749" t="s">
        <v>1085</v>
      </c>
      <c r="H12749" s="171" t="s">
        <v>7442</v>
      </c>
      <c r="I12749" t="s">
        <v>1086</v>
      </c>
      <c r="J12749">
        <v>8.24</v>
      </c>
    </row>
    <row r="12750" spans="1:10" hidden="1">
      <c r="A12750" t="s">
        <v>7436</v>
      </c>
      <c r="B12750" t="s">
        <v>7437</v>
      </c>
      <c r="C12750" t="s">
        <v>6839</v>
      </c>
      <c r="D12750" t="s">
        <v>551</v>
      </c>
      <c r="E12750" t="s">
        <v>559</v>
      </c>
      <c r="F12750" t="s">
        <v>1068</v>
      </c>
      <c r="G12750" t="s">
        <v>1087</v>
      </c>
      <c r="H12750" s="171" t="s">
        <v>7443</v>
      </c>
      <c r="I12750" t="s">
        <v>1088</v>
      </c>
      <c r="J12750">
        <v>8.24</v>
      </c>
    </row>
    <row r="12751" spans="1:10" hidden="1">
      <c r="A12751" t="s">
        <v>7436</v>
      </c>
      <c r="B12751" t="s">
        <v>7437</v>
      </c>
      <c r="C12751" t="s">
        <v>6839</v>
      </c>
      <c r="D12751" t="s">
        <v>551</v>
      </c>
      <c r="E12751" t="s">
        <v>559</v>
      </c>
      <c r="F12751" t="s">
        <v>1068</v>
      </c>
      <c r="G12751" t="s">
        <v>1089</v>
      </c>
      <c r="H12751" s="171" t="s">
        <v>7444</v>
      </c>
      <c r="I12751" t="s">
        <v>1090</v>
      </c>
      <c r="J12751">
        <v>8.24</v>
      </c>
    </row>
    <row r="12752" spans="1:10" hidden="1">
      <c r="A12752" t="s">
        <v>7445</v>
      </c>
      <c r="B12752" t="s">
        <v>7446</v>
      </c>
      <c r="C12752" t="s">
        <v>6839</v>
      </c>
      <c r="D12752" t="s">
        <v>551</v>
      </c>
      <c r="E12752" t="s">
        <v>560</v>
      </c>
      <c r="F12752" t="s">
        <v>1068</v>
      </c>
      <c r="G12752" t="s">
        <v>1069</v>
      </c>
      <c r="H12752" s="171" t="s">
        <v>7447</v>
      </c>
      <c r="I12752" t="s">
        <v>1070</v>
      </c>
      <c r="J12752">
        <v>8.84</v>
      </c>
    </row>
    <row r="12753" spans="1:10" hidden="1">
      <c r="A12753" t="s">
        <v>7445</v>
      </c>
      <c r="B12753" t="s">
        <v>7446</v>
      </c>
      <c r="C12753" t="s">
        <v>6839</v>
      </c>
      <c r="D12753" t="s">
        <v>551</v>
      </c>
      <c r="E12753" t="s">
        <v>560</v>
      </c>
      <c r="F12753" t="s">
        <v>1068</v>
      </c>
      <c r="G12753" t="s">
        <v>1071</v>
      </c>
      <c r="H12753" s="171" t="s">
        <v>7448</v>
      </c>
      <c r="I12753" t="s">
        <v>1072</v>
      </c>
      <c r="J12753">
        <v>8.84</v>
      </c>
    </row>
    <row r="12754" spans="1:10" hidden="1">
      <c r="A12754" t="s">
        <v>7445</v>
      </c>
      <c r="B12754" t="s">
        <v>7446</v>
      </c>
      <c r="C12754" t="s">
        <v>6839</v>
      </c>
      <c r="D12754" t="s">
        <v>551</v>
      </c>
      <c r="E12754" t="s">
        <v>560</v>
      </c>
      <c r="F12754" t="s">
        <v>1068</v>
      </c>
      <c r="G12754" t="s">
        <v>1073</v>
      </c>
      <c r="H12754" s="171" t="s">
        <v>7449</v>
      </c>
      <c r="I12754" t="s">
        <v>1074</v>
      </c>
      <c r="J12754">
        <v>8.84</v>
      </c>
    </row>
    <row r="12755" spans="1:10" hidden="1">
      <c r="A12755" t="s">
        <v>7445</v>
      </c>
      <c r="B12755" t="s">
        <v>7446</v>
      </c>
      <c r="C12755" t="s">
        <v>6839</v>
      </c>
      <c r="D12755" t="s">
        <v>551</v>
      </c>
      <c r="E12755" t="s">
        <v>560</v>
      </c>
      <c r="F12755" t="s">
        <v>1068</v>
      </c>
      <c r="G12755" t="s">
        <v>1075</v>
      </c>
      <c r="H12755">
        <v>2.0571849671475601E-3</v>
      </c>
      <c r="I12755" t="s">
        <v>1077</v>
      </c>
      <c r="J12755">
        <v>8.84</v>
      </c>
    </row>
    <row r="12756" spans="1:10" hidden="1">
      <c r="A12756" t="s">
        <v>7445</v>
      </c>
      <c r="B12756" t="s">
        <v>7446</v>
      </c>
      <c r="C12756" t="s">
        <v>6839</v>
      </c>
      <c r="D12756" t="s">
        <v>551</v>
      </c>
      <c r="E12756" t="s">
        <v>560</v>
      </c>
      <c r="F12756" t="s">
        <v>1068</v>
      </c>
      <c r="G12756" t="s">
        <v>1078</v>
      </c>
      <c r="H12756">
        <v>-0.13789825391205501</v>
      </c>
      <c r="I12756" t="s">
        <v>1079</v>
      </c>
      <c r="J12756">
        <v>8.84</v>
      </c>
    </row>
    <row r="12757" spans="1:10" hidden="1">
      <c r="A12757" t="s">
        <v>7445</v>
      </c>
      <c r="B12757" t="s">
        <v>7446</v>
      </c>
      <c r="C12757" t="s">
        <v>6839</v>
      </c>
      <c r="D12757" t="s">
        <v>551</v>
      </c>
      <c r="E12757" t="s">
        <v>560</v>
      </c>
      <c r="F12757" t="s">
        <v>1068</v>
      </c>
      <c r="G12757" t="s">
        <v>1080</v>
      </c>
      <c r="H12757" s="171" t="s">
        <v>7450</v>
      </c>
      <c r="I12757" t="s">
        <v>1082</v>
      </c>
      <c r="J12757">
        <v>8.84</v>
      </c>
    </row>
    <row r="12758" spans="1:10" hidden="1">
      <c r="A12758" t="s">
        <v>7445</v>
      </c>
      <c r="B12758" t="s">
        <v>7446</v>
      </c>
      <c r="C12758" t="s">
        <v>6839</v>
      </c>
      <c r="D12758" t="s">
        <v>551</v>
      </c>
      <c r="E12758" t="s">
        <v>560</v>
      </c>
      <c r="F12758" t="s">
        <v>1068</v>
      </c>
      <c r="G12758" t="s">
        <v>1083</v>
      </c>
      <c r="H12758" s="170">
        <v>-5.6368839095379601E-6</v>
      </c>
      <c r="I12758" t="s">
        <v>1084</v>
      </c>
      <c r="J12758">
        <v>8.84</v>
      </c>
    </row>
    <row r="12759" spans="1:10" hidden="1">
      <c r="A12759" t="s">
        <v>7445</v>
      </c>
      <c r="B12759" t="s">
        <v>7446</v>
      </c>
      <c r="C12759" t="s">
        <v>6839</v>
      </c>
      <c r="D12759" t="s">
        <v>551</v>
      </c>
      <c r="E12759" t="s">
        <v>560</v>
      </c>
      <c r="F12759" t="s">
        <v>1068</v>
      </c>
      <c r="G12759" t="s">
        <v>1085</v>
      </c>
      <c r="H12759" s="171" t="s">
        <v>7451</v>
      </c>
      <c r="I12759" t="s">
        <v>1086</v>
      </c>
      <c r="J12759">
        <v>8.84</v>
      </c>
    </row>
    <row r="12760" spans="1:10" hidden="1">
      <c r="A12760" t="s">
        <v>7445</v>
      </c>
      <c r="B12760" t="s">
        <v>7446</v>
      </c>
      <c r="C12760" t="s">
        <v>6839</v>
      </c>
      <c r="D12760" t="s">
        <v>551</v>
      </c>
      <c r="E12760" t="s">
        <v>560</v>
      </c>
      <c r="F12760" t="s">
        <v>1068</v>
      </c>
      <c r="G12760" t="s">
        <v>1087</v>
      </c>
      <c r="H12760" s="171" t="s">
        <v>7452</v>
      </c>
      <c r="I12760" t="s">
        <v>1088</v>
      </c>
      <c r="J12760">
        <v>8.84</v>
      </c>
    </row>
    <row r="12761" spans="1:10" hidden="1">
      <c r="A12761" t="s">
        <v>7445</v>
      </c>
      <c r="B12761" t="s">
        <v>7446</v>
      </c>
      <c r="C12761" t="s">
        <v>6839</v>
      </c>
      <c r="D12761" t="s">
        <v>551</v>
      </c>
      <c r="E12761" t="s">
        <v>560</v>
      </c>
      <c r="F12761" t="s">
        <v>1068</v>
      </c>
      <c r="G12761" t="s">
        <v>1089</v>
      </c>
      <c r="H12761" s="171" t="s">
        <v>7453</v>
      </c>
      <c r="I12761" t="s">
        <v>1090</v>
      </c>
      <c r="J12761">
        <v>8.84</v>
      </c>
    </row>
    <row r="12762" spans="1:10" hidden="1">
      <c r="A12762" t="s">
        <v>7454</v>
      </c>
      <c r="B12762" t="s">
        <v>7455</v>
      </c>
      <c r="C12762" t="s">
        <v>6839</v>
      </c>
      <c r="D12762" t="s">
        <v>551</v>
      </c>
      <c r="E12762" t="s">
        <v>1116</v>
      </c>
      <c r="F12762" t="s">
        <v>1068</v>
      </c>
      <c r="G12762" t="s">
        <v>1069</v>
      </c>
      <c r="H12762">
        <v>3.5442739347966198E-2</v>
      </c>
      <c r="I12762" t="s">
        <v>1070</v>
      </c>
      <c r="J12762">
        <v>9.18</v>
      </c>
    </row>
    <row r="12763" spans="1:10" hidden="1">
      <c r="A12763" t="s">
        <v>7454</v>
      </c>
      <c r="B12763" t="s">
        <v>7455</v>
      </c>
      <c r="C12763" t="s">
        <v>6839</v>
      </c>
      <c r="D12763" t="s">
        <v>551</v>
      </c>
      <c r="E12763" t="s">
        <v>1116</v>
      </c>
      <c r="F12763" t="s">
        <v>1068</v>
      </c>
      <c r="G12763" t="s">
        <v>1071</v>
      </c>
      <c r="H12763" s="171" t="s">
        <v>7456</v>
      </c>
      <c r="I12763" t="s">
        <v>1072</v>
      </c>
      <c r="J12763">
        <v>9.18</v>
      </c>
    </row>
    <row r="12764" spans="1:10" hidden="1">
      <c r="A12764" t="s">
        <v>7454</v>
      </c>
      <c r="B12764" t="s">
        <v>7455</v>
      </c>
      <c r="C12764" t="s">
        <v>6839</v>
      </c>
      <c r="D12764" t="s">
        <v>551</v>
      </c>
      <c r="E12764" t="s">
        <v>1116</v>
      </c>
      <c r="F12764" t="s">
        <v>1068</v>
      </c>
      <c r="G12764" t="s">
        <v>1073</v>
      </c>
      <c r="H12764" s="171" t="s">
        <v>7457</v>
      </c>
      <c r="I12764" t="s">
        <v>1074</v>
      </c>
      <c r="J12764">
        <v>9.18</v>
      </c>
    </row>
    <row r="12765" spans="1:10" hidden="1">
      <c r="A12765" t="s">
        <v>7454</v>
      </c>
      <c r="B12765" t="s">
        <v>7455</v>
      </c>
      <c r="C12765" t="s">
        <v>6839</v>
      </c>
      <c r="D12765" t="s">
        <v>551</v>
      </c>
      <c r="E12765" t="s">
        <v>1116</v>
      </c>
      <c r="F12765" t="s">
        <v>1068</v>
      </c>
      <c r="G12765" t="s">
        <v>1075</v>
      </c>
      <c r="H12765">
        <v>2.2357252411629299E-3</v>
      </c>
      <c r="I12765" t="s">
        <v>1077</v>
      </c>
      <c r="J12765">
        <v>9.18</v>
      </c>
    </row>
    <row r="12766" spans="1:10" hidden="1">
      <c r="A12766" t="s">
        <v>7454</v>
      </c>
      <c r="B12766" t="s">
        <v>7455</v>
      </c>
      <c r="C12766" t="s">
        <v>6839</v>
      </c>
      <c r="D12766" t="s">
        <v>551</v>
      </c>
      <c r="E12766" t="s">
        <v>1116</v>
      </c>
      <c r="F12766" t="s">
        <v>1068</v>
      </c>
      <c r="G12766" t="s">
        <v>1078</v>
      </c>
      <c r="H12766">
        <v>-0.13017748376343699</v>
      </c>
      <c r="I12766" t="s">
        <v>1079</v>
      </c>
      <c r="J12766">
        <v>9.18</v>
      </c>
    </row>
    <row r="12767" spans="1:10" hidden="1">
      <c r="A12767" t="s">
        <v>7454</v>
      </c>
      <c r="B12767" t="s">
        <v>7455</v>
      </c>
      <c r="C12767" t="s">
        <v>6839</v>
      </c>
      <c r="D12767" t="s">
        <v>551</v>
      </c>
      <c r="E12767" t="s">
        <v>1116</v>
      </c>
      <c r="F12767" t="s">
        <v>1068</v>
      </c>
      <c r="G12767" t="s">
        <v>1080</v>
      </c>
      <c r="H12767" s="171" t="s">
        <v>7458</v>
      </c>
      <c r="I12767" t="s">
        <v>1082</v>
      </c>
      <c r="J12767">
        <v>9.18</v>
      </c>
    </row>
    <row r="12768" spans="1:10" hidden="1">
      <c r="A12768" t="s">
        <v>7454</v>
      </c>
      <c r="B12768" t="s">
        <v>7455</v>
      </c>
      <c r="C12768" t="s">
        <v>6839</v>
      </c>
      <c r="D12768" t="s">
        <v>551</v>
      </c>
      <c r="E12768" t="s">
        <v>1116</v>
      </c>
      <c r="F12768" t="s">
        <v>1068</v>
      </c>
      <c r="G12768" t="s">
        <v>1083</v>
      </c>
      <c r="H12768" s="170">
        <v>-4.77837963449786E-6</v>
      </c>
      <c r="I12768" t="s">
        <v>1084</v>
      </c>
      <c r="J12768">
        <v>9.18</v>
      </c>
    </row>
    <row r="12769" spans="1:10" hidden="1">
      <c r="A12769" t="s">
        <v>7454</v>
      </c>
      <c r="B12769" t="s">
        <v>7455</v>
      </c>
      <c r="C12769" t="s">
        <v>6839</v>
      </c>
      <c r="D12769" t="s">
        <v>551</v>
      </c>
      <c r="E12769" t="s">
        <v>1116</v>
      </c>
      <c r="F12769" t="s">
        <v>1068</v>
      </c>
      <c r="G12769" t="s">
        <v>1085</v>
      </c>
      <c r="H12769" s="171" t="s">
        <v>7459</v>
      </c>
      <c r="I12769" t="s">
        <v>1086</v>
      </c>
      <c r="J12769">
        <v>9.18</v>
      </c>
    </row>
    <row r="12770" spans="1:10" hidden="1">
      <c r="A12770" t="s">
        <v>7454</v>
      </c>
      <c r="B12770" t="s">
        <v>7455</v>
      </c>
      <c r="C12770" t="s">
        <v>6839</v>
      </c>
      <c r="D12770" t="s">
        <v>551</v>
      </c>
      <c r="E12770" t="s">
        <v>1116</v>
      </c>
      <c r="F12770" t="s">
        <v>1068</v>
      </c>
      <c r="G12770" t="s">
        <v>1087</v>
      </c>
      <c r="H12770" s="171" t="s">
        <v>7460</v>
      </c>
      <c r="I12770" t="s">
        <v>1088</v>
      </c>
      <c r="J12770">
        <v>9.18</v>
      </c>
    </row>
    <row r="12771" spans="1:10" hidden="1">
      <c r="A12771" t="s">
        <v>7454</v>
      </c>
      <c r="B12771" t="s">
        <v>7455</v>
      </c>
      <c r="C12771" t="s">
        <v>6839</v>
      </c>
      <c r="D12771" t="s">
        <v>551</v>
      </c>
      <c r="E12771" t="s">
        <v>1116</v>
      </c>
      <c r="F12771" t="s">
        <v>1068</v>
      </c>
      <c r="G12771" t="s">
        <v>1089</v>
      </c>
      <c r="H12771" s="171" t="s">
        <v>7461</v>
      </c>
      <c r="I12771" t="s">
        <v>1090</v>
      </c>
      <c r="J12771">
        <v>9.18</v>
      </c>
    </row>
    <row r="12772" spans="1:10" hidden="1">
      <c r="A12772" t="s">
        <v>7462</v>
      </c>
      <c r="B12772" t="s">
        <v>7463</v>
      </c>
      <c r="C12772" t="s">
        <v>6839</v>
      </c>
      <c r="D12772" t="s">
        <v>2360</v>
      </c>
      <c r="E12772" t="s">
        <v>561</v>
      </c>
      <c r="F12772" t="s">
        <v>1068</v>
      </c>
      <c r="G12772" t="s">
        <v>1069</v>
      </c>
      <c r="H12772">
        <v>3.4300055172926003E-2</v>
      </c>
      <c r="I12772" t="s">
        <v>1070</v>
      </c>
      <c r="J12772">
        <v>9.1199999999999992</v>
      </c>
    </row>
    <row r="12773" spans="1:10" hidden="1">
      <c r="A12773" t="s">
        <v>7462</v>
      </c>
      <c r="B12773" t="s">
        <v>7463</v>
      </c>
      <c r="C12773" t="s">
        <v>6839</v>
      </c>
      <c r="D12773" t="s">
        <v>2360</v>
      </c>
      <c r="E12773" t="s">
        <v>561</v>
      </c>
      <c r="F12773" t="s">
        <v>1068</v>
      </c>
      <c r="G12773" t="s">
        <v>1071</v>
      </c>
      <c r="H12773" s="171" t="s">
        <v>7389</v>
      </c>
      <c r="I12773" t="s">
        <v>1072</v>
      </c>
      <c r="J12773">
        <v>9.1199999999999992</v>
      </c>
    </row>
    <row r="12774" spans="1:10" hidden="1">
      <c r="A12774" t="s">
        <v>7462</v>
      </c>
      <c r="B12774" t="s">
        <v>7463</v>
      </c>
      <c r="C12774" t="s">
        <v>6839</v>
      </c>
      <c r="D12774" t="s">
        <v>2360</v>
      </c>
      <c r="E12774" t="s">
        <v>561</v>
      </c>
      <c r="F12774" t="s">
        <v>1068</v>
      </c>
      <c r="G12774" t="s">
        <v>1073</v>
      </c>
      <c r="H12774" s="171" t="s">
        <v>7390</v>
      </c>
      <c r="I12774" t="s">
        <v>1074</v>
      </c>
      <c r="J12774">
        <v>9.1199999999999992</v>
      </c>
    </row>
    <row r="12775" spans="1:10" hidden="1">
      <c r="A12775" t="s">
        <v>7462</v>
      </c>
      <c r="B12775" t="s">
        <v>7463</v>
      </c>
      <c r="C12775" t="s">
        <v>6839</v>
      </c>
      <c r="D12775" t="s">
        <v>2360</v>
      </c>
      <c r="E12775" t="s">
        <v>561</v>
      </c>
      <c r="F12775" t="s">
        <v>1068</v>
      </c>
      <c r="G12775" t="s">
        <v>1075</v>
      </c>
      <c r="H12775">
        <v>2.1996037736947902E-3</v>
      </c>
      <c r="I12775" t="s">
        <v>1077</v>
      </c>
      <c r="J12775">
        <v>9.1199999999999992</v>
      </c>
    </row>
    <row r="12776" spans="1:10" hidden="1">
      <c r="A12776" t="s">
        <v>7462</v>
      </c>
      <c r="B12776" t="s">
        <v>7463</v>
      </c>
      <c r="C12776" t="s">
        <v>6839</v>
      </c>
      <c r="D12776" t="s">
        <v>2360</v>
      </c>
      <c r="E12776" t="s">
        <v>561</v>
      </c>
      <c r="F12776" t="s">
        <v>1068</v>
      </c>
      <c r="G12776" t="s">
        <v>1078</v>
      </c>
      <c r="H12776">
        <v>-0.13173951535147099</v>
      </c>
      <c r="I12776" t="s">
        <v>1079</v>
      </c>
      <c r="J12776">
        <v>9.1199999999999992</v>
      </c>
    </row>
    <row r="12777" spans="1:10" hidden="1">
      <c r="A12777" t="s">
        <v>7462</v>
      </c>
      <c r="B12777" t="s">
        <v>7463</v>
      </c>
      <c r="C12777" t="s">
        <v>6839</v>
      </c>
      <c r="D12777" t="s">
        <v>2360</v>
      </c>
      <c r="E12777" t="s">
        <v>561</v>
      </c>
      <c r="F12777" t="s">
        <v>1068</v>
      </c>
      <c r="G12777" t="s">
        <v>1080</v>
      </c>
      <c r="H12777" s="171" t="s">
        <v>7391</v>
      </c>
      <c r="I12777" t="s">
        <v>1082</v>
      </c>
      <c r="J12777">
        <v>9.1199999999999992</v>
      </c>
    </row>
    <row r="12778" spans="1:10" hidden="1">
      <c r="A12778" t="s">
        <v>7462</v>
      </c>
      <c r="B12778" t="s">
        <v>7463</v>
      </c>
      <c r="C12778" t="s">
        <v>6839</v>
      </c>
      <c r="D12778" t="s">
        <v>2360</v>
      </c>
      <c r="E12778" t="s">
        <v>561</v>
      </c>
      <c r="F12778" t="s">
        <v>1068</v>
      </c>
      <c r="G12778" t="s">
        <v>1083</v>
      </c>
      <c r="H12778" s="170">
        <v>-4.95206836894557E-6</v>
      </c>
      <c r="I12778" t="s">
        <v>1084</v>
      </c>
      <c r="J12778">
        <v>9.1199999999999992</v>
      </c>
    </row>
    <row r="12779" spans="1:10" hidden="1">
      <c r="A12779" t="s">
        <v>7462</v>
      </c>
      <c r="B12779" t="s">
        <v>7463</v>
      </c>
      <c r="C12779" t="s">
        <v>6839</v>
      </c>
      <c r="D12779" t="s">
        <v>2360</v>
      </c>
      <c r="E12779" t="s">
        <v>561</v>
      </c>
      <c r="F12779" t="s">
        <v>1068</v>
      </c>
      <c r="G12779" t="s">
        <v>1085</v>
      </c>
      <c r="H12779" s="171" t="s">
        <v>7392</v>
      </c>
      <c r="I12779" t="s">
        <v>1086</v>
      </c>
      <c r="J12779">
        <v>9.1199999999999992</v>
      </c>
    </row>
    <row r="12780" spans="1:10" hidden="1">
      <c r="A12780" t="s">
        <v>7462</v>
      </c>
      <c r="B12780" t="s">
        <v>7463</v>
      </c>
      <c r="C12780" t="s">
        <v>6839</v>
      </c>
      <c r="D12780" t="s">
        <v>2360</v>
      </c>
      <c r="E12780" t="s">
        <v>561</v>
      </c>
      <c r="F12780" t="s">
        <v>1068</v>
      </c>
      <c r="G12780" t="s">
        <v>1087</v>
      </c>
      <c r="H12780" s="171" t="s">
        <v>7464</v>
      </c>
      <c r="I12780" t="s">
        <v>1088</v>
      </c>
      <c r="J12780">
        <v>9.1199999999999992</v>
      </c>
    </row>
    <row r="12781" spans="1:10" hidden="1">
      <c r="A12781" t="s">
        <v>7462</v>
      </c>
      <c r="B12781" t="s">
        <v>7463</v>
      </c>
      <c r="C12781" t="s">
        <v>6839</v>
      </c>
      <c r="D12781" t="s">
        <v>2360</v>
      </c>
      <c r="E12781" t="s">
        <v>561</v>
      </c>
      <c r="F12781" t="s">
        <v>1068</v>
      </c>
      <c r="G12781" t="s">
        <v>1089</v>
      </c>
      <c r="H12781" s="171" t="s">
        <v>7394</v>
      </c>
      <c r="I12781" t="s">
        <v>1090</v>
      </c>
      <c r="J12781">
        <v>9.1199999999999992</v>
      </c>
    </row>
    <row r="12782" spans="1:10" hidden="1">
      <c r="A12782" t="s">
        <v>7465</v>
      </c>
      <c r="B12782" t="s">
        <v>7466</v>
      </c>
      <c r="C12782" t="s">
        <v>6839</v>
      </c>
      <c r="D12782" t="s">
        <v>2360</v>
      </c>
      <c r="E12782" t="s">
        <v>555</v>
      </c>
      <c r="F12782" t="s">
        <v>1068</v>
      </c>
      <c r="G12782" t="s">
        <v>1069</v>
      </c>
      <c r="H12782">
        <v>2.4488012168262401E-2</v>
      </c>
      <c r="I12782" t="s">
        <v>1070</v>
      </c>
      <c r="J12782">
        <v>9.67</v>
      </c>
    </row>
    <row r="12783" spans="1:10" hidden="1">
      <c r="A12783" t="s">
        <v>7465</v>
      </c>
      <c r="B12783" t="s">
        <v>7466</v>
      </c>
      <c r="C12783" t="s">
        <v>6839</v>
      </c>
      <c r="D12783" t="s">
        <v>2360</v>
      </c>
      <c r="E12783" t="s">
        <v>555</v>
      </c>
      <c r="F12783" t="s">
        <v>1068</v>
      </c>
      <c r="G12783" t="s">
        <v>1071</v>
      </c>
      <c r="H12783" s="171" t="s">
        <v>7397</v>
      </c>
      <c r="I12783" t="s">
        <v>1072</v>
      </c>
      <c r="J12783">
        <v>9.67</v>
      </c>
    </row>
    <row r="12784" spans="1:10" hidden="1">
      <c r="A12784" t="s">
        <v>7465</v>
      </c>
      <c r="B12784" t="s">
        <v>7466</v>
      </c>
      <c r="C12784" t="s">
        <v>6839</v>
      </c>
      <c r="D12784" t="s">
        <v>2360</v>
      </c>
      <c r="E12784" t="s">
        <v>555</v>
      </c>
      <c r="F12784" t="s">
        <v>1068</v>
      </c>
      <c r="G12784" t="s">
        <v>1073</v>
      </c>
      <c r="H12784" s="171" t="s">
        <v>7398</v>
      </c>
      <c r="I12784" t="s">
        <v>1074</v>
      </c>
      <c r="J12784">
        <v>9.67</v>
      </c>
    </row>
    <row r="12785" spans="1:10" hidden="1">
      <c r="A12785" t="s">
        <v>7465</v>
      </c>
      <c r="B12785" t="s">
        <v>7466</v>
      </c>
      <c r="C12785" t="s">
        <v>6839</v>
      </c>
      <c r="D12785" t="s">
        <v>2360</v>
      </c>
      <c r="E12785" t="s">
        <v>555</v>
      </c>
      <c r="F12785" t="s">
        <v>1068</v>
      </c>
      <c r="G12785" t="s">
        <v>1075</v>
      </c>
      <c r="H12785">
        <v>1.9235092934216701E-3</v>
      </c>
      <c r="I12785" t="s">
        <v>1077</v>
      </c>
      <c r="J12785">
        <v>9.67</v>
      </c>
    </row>
    <row r="12786" spans="1:10" hidden="1">
      <c r="A12786" t="s">
        <v>7465</v>
      </c>
      <c r="B12786" t="s">
        <v>7466</v>
      </c>
      <c r="C12786" t="s">
        <v>6839</v>
      </c>
      <c r="D12786" t="s">
        <v>2360</v>
      </c>
      <c r="E12786" t="s">
        <v>555</v>
      </c>
      <c r="F12786" t="s">
        <v>1068</v>
      </c>
      <c r="G12786" t="s">
        <v>1078</v>
      </c>
      <c r="H12786">
        <v>-0.13071917043242301</v>
      </c>
      <c r="I12786" t="s">
        <v>1079</v>
      </c>
      <c r="J12786">
        <v>9.67</v>
      </c>
    </row>
    <row r="12787" spans="1:10" hidden="1">
      <c r="A12787" t="s">
        <v>7465</v>
      </c>
      <c r="B12787" t="s">
        <v>7466</v>
      </c>
      <c r="C12787" t="s">
        <v>6839</v>
      </c>
      <c r="D12787" t="s">
        <v>2360</v>
      </c>
      <c r="E12787" t="s">
        <v>555</v>
      </c>
      <c r="F12787" t="s">
        <v>1068</v>
      </c>
      <c r="G12787" t="s">
        <v>1080</v>
      </c>
      <c r="H12787" s="171" t="s">
        <v>7399</v>
      </c>
      <c r="I12787" t="s">
        <v>1082</v>
      </c>
      <c r="J12787">
        <v>9.67</v>
      </c>
    </row>
    <row r="12788" spans="1:10" hidden="1">
      <c r="A12788" t="s">
        <v>7465</v>
      </c>
      <c r="B12788" t="s">
        <v>7466</v>
      </c>
      <c r="C12788" t="s">
        <v>6839</v>
      </c>
      <c r="D12788" t="s">
        <v>2360</v>
      </c>
      <c r="E12788" t="s">
        <v>555</v>
      </c>
      <c r="F12788" t="s">
        <v>1068</v>
      </c>
      <c r="G12788" t="s">
        <v>1083</v>
      </c>
      <c r="H12788" s="170">
        <v>-6.4470286038914996E-6</v>
      </c>
      <c r="I12788" t="s">
        <v>1084</v>
      </c>
      <c r="J12788">
        <v>9.67</v>
      </c>
    </row>
    <row r="12789" spans="1:10" hidden="1">
      <c r="A12789" t="s">
        <v>7465</v>
      </c>
      <c r="B12789" t="s">
        <v>7466</v>
      </c>
      <c r="C12789" t="s">
        <v>6839</v>
      </c>
      <c r="D12789" t="s">
        <v>2360</v>
      </c>
      <c r="E12789" t="s">
        <v>555</v>
      </c>
      <c r="F12789" t="s">
        <v>1068</v>
      </c>
      <c r="G12789" t="s">
        <v>1085</v>
      </c>
      <c r="H12789" s="171" t="s">
        <v>7400</v>
      </c>
      <c r="I12789" t="s">
        <v>1086</v>
      </c>
      <c r="J12789">
        <v>9.67</v>
      </c>
    </row>
    <row r="12790" spans="1:10" hidden="1">
      <c r="A12790" t="s">
        <v>7465</v>
      </c>
      <c r="B12790" t="s">
        <v>7466</v>
      </c>
      <c r="C12790" t="s">
        <v>6839</v>
      </c>
      <c r="D12790" t="s">
        <v>2360</v>
      </c>
      <c r="E12790" t="s">
        <v>555</v>
      </c>
      <c r="F12790" t="s">
        <v>1068</v>
      </c>
      <c r="G12790" t="s">
        <v>1087</v>
      </c>
      <c r="H12790" s="171" t="s">
        <v>7401</v>
      </c>
      <c r="I12790" t="s">
        <v>1088</v>
      </c>
      <c r="J12790">
        <v>9.67</v>
      </c>
    </row>
    <row r="12791" spans="1:10" hidden="1">
      <c r="A12791" t="s">
        <v>7465</v>
      </c>
      <c r="B12791" t="s">
        <v>7466</v>
      </c>
      <c r="C12791" t="s">
        <v>6839</v>
      </c>
      <c r="D12791" t="s">
        <v>2360</v>
      </c>
      <c r="E12791" t="s">
        <v>555</v>
      </c>
      <c r="F12791" t="s">
        <v>1068</v>
      </c>
      <c r="G12791" t="s">
        <v>1089</v>
      </c>
      <c r="H12791" s="171" t="s">
        <v>7402</v>
      </c>
      <c r="I12791" t="s">
        <v>1090</v>
      </c>
      <c r="J12791">
        <v>9.67</v>
      </c>
    </row>
    <row r="12792" spans="1:10" hidden="1">
      <c r="A12792" t="s">
        <v>7467</v>
      </c>
      <c r="B12792" t="s">
        <v>7468</v>
      </c>
      <c r="C12792" t="s">
        <v>6839</v>
      </c>
      <c r="D12792" t="s">
        <v>2360</v>
      </c>
      <c r="E12792" t="s">
        <v>558</v>
      </c>
      <c r="F12792" t="s">
        <v>1068</v>
      </c>
      <c r="G12792" t="s">
        <v>1069</v>
      </c>
      <c r="H12792" s="171" t="s">
        <v>7469</v>
      </c>
      <c r="I12792" t="s">
        <v>1070</v>
      </c>
      <c r="J12792">
        <v>10.77</v>
      </c>
    </row>
    <row r="12793" spans="1:10" hidden="1">
      <c r="A12793" t="s">
        <v>7467</v>
      </c>
      <c r="B12793" t="s">
        <v>7468</v>
      </c>
      <c r="C12793" t="s">
        <v>6839</v>
      </c>
      <c r="D12793" t="s">
        <v>2360</v>
      </c>
      <c r="E12793" t="s">
        <v>558</v>
      </c>
      <c r="F12793" t="s">
        <v>1068</v>
      </c>
      <c r="G12793" t="s">
        <v>1071</v>
      </c>
      <c r="H12793" s="171" t="s">
        <v>7470</v>
      </c>
      <c r="I12793" t="s">
        <v>1072</v>
      </c>
      <c r="J12793">
        <v>10.77</v>
      </c>
    </row>
    <row r="12794" spans="1:10" hidden="1">
      <c r="A12794" t="s">
        <v>7467</v>
      </c>
      <c r="B12794" t="s">
        <v>7468</v>
      </c>
      <c r="C12794" t="s">
        <v>6839</v>
      </c>
      <c r="D12794" t="s">
        <v>2360</v>
      </c>
      <c r="E12794" t="s">
        <v>558</v>
      </c>
      <c r="F12794" t="s">
        <v>1068</v>
      </c>
      <c r="G12794" t="s">
        <v>1073</v>
      </c>
      <c r="H12794" s="171" t="s">
        <v>7406</v>
      </c>
      <c r="I12794" t="s">
        <v>1074</v>
      </c>
      <c r="J12794">
        <v>10.77</v>
      </c>
    </row>
    <row r="12795" spans="1:10" hidden="1">
      <c r="A12795" t="s">
        <v>7467</v>
      </c>
      <c r="B12795" t="s">
        <v>7468</v>
      </c>
      <c r="C12795" t="s">
        <v>6839</v>
      </c>
      <c r="D12795" t="s">
        <v>2360</v>
      </c>
      <c r="E12795" t="s">
        <v>558</v>
      </c>
      <c r="F12795" t="s">
        <v>1068</v>
      </c>
      <c r="G12795" t="s">
        <v>1075</v>
      </c>
      <c r="H12795">
        <v>2.2263072999230702E-3</v>
      </c>
      <c r="I12795" t="s">
        <v>1077</v>
      </c>
      <c r="J12795">
        <v>10.77</v>
      </c>
    </row>
    <row r="12796" spans="1:10" hidden="1">
      <c r="A12796" t="s">
        <v>7467</v>
      </c>
      <c r="B12796" t="s">
        <v>7468</v>
      </c>
      <c r="C12796" t="s">
        <v>6839</v>
      </c>
      <c r="D12796" t="s">
        <v>2360</v>
      </c>
      <c r="E12796" t="s">
        <v>558</v>
      </c>
      <c r="F12796" t="s">
        <v>1068</v>
      </c>
      <c r="G12796" t="s">
        <v>1078</v>
      </c>
      <c r="H12796">
        <v>-0.13058475187135901</v>
      </c>
      <c r="I12796" t="s">
        <v>1079</v>
      </c>
      <c r="J12796">
        <v>10.77</v>
      </c>
    </row>
    <row r="12797" spans="1:10" hidden="1">
      <c r="A12797" t="s">
        <v>7467</v>
      </c>
      <c r="B12797" t="s">
        <v>7468</v>
      </c>
      <c r="C12797" t="s">
        <v>6839</v>
      </c>
      <c r="D12797" t="s">
        <v>2360</v>
      </c>
      <c r="E12797" t="s">
        <v>558</v>
      </c>
      <c r="F12797" t="s">
        <v>1068</v>
      </c>
      <c r="G12797" t="s">
        <v>1080</v>
      </c>
      <c r="H12797" s="171" t="s">
        <v>7407</v>
      </c>
      <c r="I12797" t="s">
        <v>1082</v>
      </c>
      <c r="J12797">
        <v>10.77</v>
      </c>
    </row>
    <row r="12798" spans="1:10" hidden="1">
      <c r="A12798" t="s">
        <v>7467</v>
      </c>
      <c r="B12798" t="s">
        <v>7468</v>
      </c>
      <c r="C12798" t="s">
        <v>6839</v>
      </c>
      <c r="D12798" t="s">
        <v>2360</v>
      </c>
      <c r="E12798" t="s">
        <v>558</v>
      </c>
      <c r="F12798" t="s">
        <v>1068</v>
      </c>
      <c r="G12798" t="s">
        <v>1083</v>
      </c>
      <c r="H12798" s="170">
        <v>-4.8236654550841796E-6</v>
      </c>
      <c r="I12798" t="s">
        <v>1084</v>
      </c>
      <c r="J12798">
        <v>10.77</v>
      </c>
    </row>
    <row r="12799" spans="1:10" hidden="1">
      <c r="A12799" t="s">
        <v>7467</v>
      </c>
      <c r="B12799" t="s">
        <v>7468</v>
      </c>
      <c r="C12799" t="s">
        <v>6839</v>
      </c>
      <c r="D12799" t="s">
        <v>2360</v>
      </c>
      <c r="E12799" t="s">
        <v>558</v>
      </c>
      <c r="F12799" t="s">
        <v>1068</v>
      </c>
      <c r="G12799" t="s">
        <v>1085</v>
      </c>
      <c r="H12799" s="171" t="s">
        <v>7471</v>
      </c>
      <c r="I12799" t="s">
        <v>1086</v>
      </c>
      <c r="J12799">
        <v>10.77</v>
      </c>
    </row>
    <row r="12800" spans="1:10" hidden="1">
      <c r="A12800" t="s">
        <v>7467</v>
      </c>
      <c r="B12800" t="s">
        <v>7468</v>
      </c>
      <c r="C12800" t="s">
        <v>6839</v>
      </c>
      <c r="D12800" t="s">
        <v>2360</v>
      </c>
      <c r="E12800" t="s">
        <v>558</v>
      </c>
      <c r="F12800" t="s">
        <v>1068</v>
      </c>
      <c r="G12800" t="s">
        <v>1087</v>
      </c>
      <c r="H12800" s="171" t="s">
        <v>7472</v>
      </c>
      <c r="I12800" t="s">
        <v>1088</v>
      </c>
      <c r="J12800">
        <v>10.77</v>
      </c>
    </row>
    <row r="12801" spans="1:10" hidden="1">
      <c r="A12801" t="s">
        <v>7467</v>
      </c>
      <c r="B12801" t="s">
        <v>7468</v>
      </c>
      <c r="C12801" t="s">
        <v>6839</v>
      </c>
      <c r="D12801" t="s">
        <v>2360</v>
      </c>
      <c r="E12801" t="s">
        <v>558</v>
      </c>
      <c r="F12801" t="s">
        <v>1068</v>
      </c>
      <c r="G12801" t="s">
        <v>1089</v>
      </c>
      <c r="H12801" s="171" t="s">
        <v>7473</v>
      </c>
      <c r="I12801" t="s">
        <v>1090</v>
      </c>
      <c r="J12801">
        <v>10.77</v>
      </c>
    </row>
    <row r="12802" spans="1:10" hidden="1">
      <c r="A12802" t="s">
        <v>7474</v>
      </c>
      <c r="B12802" t="s">
        <v>7475</v>
      </c>
      <c r="C12802" t="s">
        <v>6839</v>
      </c>
      <c r="D12802" t="s">
        <v>2360</v>
      </c>
      <c r="E12802" t="s">
        <v>553</v>
      </c>
      <c r="F12802" t="s">
        <v>1068</v>
      </c>
      <c r="G12802" t="s">
        <v>1069</v>
      </c>
      <c r="H12802">
        <v>3.5737293710164798E-2</v>
      </c>
      <c r="I12802" t="s">
        <v>1070</v>
      </c>
      <c r="J12802">
        <v>9.48</v>
      </c>
    </row>
    <row r="12803" spans="1:10" hidden="1">
      <c r="A12803" t="s">
        <v>7474</v>
      </c>
      <c r="B12803" t="s">
        <v>7475</v>
      </c>
      <c r="C12803" t="s">
        <v>6839</v>
      </c>
      <c r="D12803" t="s">
        <v>2360</v>
      </c>
      <c r="E12803" t="s">
        <v>553</v>
      </c>
      <c r="F12803" t="s">
        <v>1068</v>
      </c>
      <c r="G12803" t="s">
        <v>1071</v>
      </c>
      <c r="H12803" s="171" t="s">
        <v>7476</v>
      </c>
      <c r="I12803" t="s">
        <v>1072</v>
      </c>
      <c r="J12803">
        <v>9.48</v>
      </c>
    </row>
    <row r="12804" spans="1:10" hidden="1">
      <c r="A12804" t="s">
        <v>7474</v>
      </c>
      <c r="B12804" t="s">
        <v>7475</v>
      </c>
      <c r="C12804" t="s">
        <v>6839</v>
      </c>
      <c r="D12804" t="s">
        <v>2360</v>
      </c>
      <c r="E12804" t="s">
        <v>553</v>
      </c>
      <c r="F12804" t="s">
        <v>1068</v>
      </c>
      <c r="G12804" t="s">
        <v>1073</v>
      </c>
      <c r="H12804" s="171" t="s">
        <v>7477</v>
      </c>
      <c r="I12804" t="s">
        <v>1074</v>
      </c>
      <c r="J12804">
        <v>9.48</v>
      </c>
    </row>
    <row r="12805" spans="1:10" hidden="1">
      <c r="A12805" t="s">
        <v>7474</v>
      </c>
      <c r="B12805" t="s">
        <v>7475</v>
      </c>
      <c r="C12805" t="s">
        <v>6839</v>
      </c>
      <c r="D12805" t="s">
        <v>2360</v>
      </c>
      <c r="E12805" t="s">
        <v>553</v>
      </c>
      <c r="F12805" t="s">
        <v>1068</v>
      </c>
      <c r="G12805" t="s">
        <v>1075</v>
      </c>
      <c r="H12805">
        <v>2.2791111002247698E-3</v>
      </c>
      <c r="I12805" t="s">
        <v>1077</v>
      </c>
      <c r="J12805">
        <v>9.48</v>
      </c>
    </row>
    <row r="12806" spans="1:10" hidden="1">
      <c r="A12806" t="s">
        <v>7474</v>
      </c>
      <c r="B12806" t="s">
        <v>7475</v>
      </c>
      <c r="C12806" t="s">
        <v>6839</v>
      </c>
      <c r="D12806" t="s">
        <v>2360</v>
      </c>
      <c r="E12806" t="s">
        <v>553</v>
      </c>
      <c r="F12806" t="s">
        <v>1068</v>
      </c>
      <c r="G12806" t="s">
        <v>1078</v>
      </c>
      <c r="H12806">
        <v>-0.115341576609937</v>
      </c>
      <c r="I12806" t="s">
        <v>1079</v>
      </c>
      <c r="J12806">
        <v>9.48</v>
      </c>
    </row>
    <row r="12807" spans="1:10" hidden="1">
      <c r="A12807" t="s">
        <v>7474</v>
      </c>
      <c r="B12807" t="s">
        <v>7475</v>
      </c>
      <c r="C12807" t="s">
        <v>6839</v>
      </c>
      <c r="D12807" t="s">
        <v>2360</v>
      </c>
      <c r="E12807" t="s">
        <v>553</v>
      </c>
      <c r="F12807" t="s">
        <v>1068</v>
      </c>
      <c r="G12807" t="s">
        <v>1080</v>
      </c>
      <c r="H12807" s="171" t="s">
        <v>7478</v>
      </c>
      <c r="I12807" t="s">
        <v>1082</v>
      </c>
      <c r="J12807">
        <v>9.48</v>
      </c>
    </row>
    <row r="12808" spans="1:10" hidden="1">
      <c r="A12808" t="s">
        <v>7474</v>
      </c>
      <c r="B12808" t="s">
        <v>7475</v>
      </c>
      <c r="C12808" t="s">
        <v>6839</v>
      </c>
      <c r="D12808" t="s">
        <v>2360</v>
      </c>
      <c r="E12808" t="s">
        <v>553</v>
      </c>
      <c r="F12808" t="s">
        <v>1068</v>
      </c>
      <c r="G12808" t="s">
        <v>1083</v>
      </c>
      <c r="H12808" s="170">
        <v>-4.7371305260682902E-6</v>
      </c>
      <c r="I12808" t="s">
        <v>1084</v>
      </c>
      <c r="J12808">
        <v>9.48</v>
      </c>
    </row>
    <row r="12809" spans="1:10" hidden="1">
      <c r="A12809" t="s">
        <v>7474</v>
      </c>
      <c r="B12809" t="s">
        <v>7475</v>
      </c>
      <c r="C12809" t="s">
        <v>6839</v>
      </c>
      <c r="D12809" t="s">
        <v>2360</v>
      </c>
      <c r="E12809" t="s">
        <v>553</v>
      </c>
      <c r="F12809" t="s">
        <v>1068</v>
      </c>
      <c r="G12809" t="s">
        <v>1085</v>
      </c>
      <c r="H12809" s="171" t="s">
        <v>7479</v>
      </c>
      <c r="I12809" t="s">
        <v>1086</v>
      </c>
      <c r="J12809">
        <v>9.48</v>
      </c>
    </row>
    <row r="12810" spans="1:10" hidden="1">
      <c r="A12810" t="s">
        <v>7474</v>
      </c>
      <c r="B12810" t="s">
        <v>7475</v>
      </c>
      <c r="C12810" t="s">
        <v>6839</v>
      </c>
      <c r="D12810" t="s">
        <v>2360</v>
      </c>
      <c r="E12810" t="s">
        <v>553</v>
      </c>
      <c r="F12810" t="s">
        <v>1068</v>
      </c>
      <c r="G12810" t="s">
        <v>1087</v>
      </c>
      <c r="H12810" s="171" t="s">
        <v>7417</v>
      </c>
      <c r="I12810" t="s">
        <v>1088</v>
      </c>
      <c r="J12810">
        <v>9.48</v>
      </c>
    </row>
    <row r="12811" spans="1:10" hidden="1">
      <c r="A12811" t="s">
        <v>7474</v>
      </c>
      <c r="B12811" t="s">
        <v>7475</v>
      </c>
      <c r="C12811" t="s">
        <v>6839</v>
      </c>
      <c r="D12811" t="s">
        <v>2360</v>
      </c>
      <c r="E12811" t="s">
        <v>553</v>
      </c>
      <c r="F12811" t="s">
        <v>1068</v>
      </c>
      <c r="G12811" t="s">
        <v>1089</v>
      </c>
      <c r="H12811" s="171" t="s">
        <v>7480</v>
      </c>
      <c r="I12811" t="s">
        <v>1090</v>
      </c>
      <c r="J12811">
        <v>9.48</v>
      </c>
    </row>
    <row r="12812" spans="1:10" hidden="1">
      <c r="A12812" t="s">
        <v>7481</v>
      </c>
      <c r="B12812" t="s">
        <v>7482</v>
      </c>
      <c r="C12812" t="s">
        <v>6839</v>
      </c>
      <c r="D12812" t="s">
        <v>2360</v>
      </c>
      <c r="E12812" t="s">
        <v>556</v>
      </c>
      <c r="F12812" t="s">
        <v>1068</v>
      </c>
      <c r="G12812" t="s">
        <v>1069</v>
      </c>
      <c r="H12812" s="171" t="s">
        <v>7421</v>
      </c>
      <c r="I12812" t="s">
        <v>1070</v>
      </c>
      <c r="J12812">
        <v>9.2100000000000009</v>
      </c>
    </row>
    <row r="12813" spans="1:10" hidden="1">
      <c r="A12813" t="s">
        <v>7481</v>
      </c>
      <c r="B12813" t="s">
        <v>7482</v>
      </c>
      <c r="C12813" t="s">
        <v>6839</v>
      </c>
      <c r="D12813" t="s">
        <v>2360</v>
      </c>
      <c r="E12813" t="s">
        <v>556</v>
      </c>
      <c r="F12813" t="s">
        <v>1068</v>
      </c>
      <c r="G12813" t="s">
        <v>1071</v>
      </c>
      <c r="H12813" s="171" t="s">
        <v>7422</v>
      </c>
      <c r="I12813" t="s">
        <v>1072</v>
      </c>
      <c r="J12813">
        <v>9.2100000000000009</v>
      </c>
    </row>
    <row r="12814" spans="1:10" hidden="1">
      <c r="A12814" t="s">
        <v>7481</v>
      </c>
      <c r="B12814" t="s">
        <v>7482</v>
      </c>
      <c r="C12814" t="s">
        <v>6839</v>
      </c>
      <c r="D12814" t="s">
        <v>2360</v>
      </c>
      <c r="E12814" t="s">
        <v>556</v>
      </c>
      <c r="F12814" t="s">
        <v>1068</v>
      </c>
      <c r="G12814" t="s">
        <v>1073</v>
      </c>
      <c r="H12814" s="171" t="s">
        <v>7483</v>
      </c>
      <c r="I12814" t="s">
        <v>1074</v>
      </c>
      <c r="J12814">
        <v>9.2100000000000009</v>
      </c>
    </row>
    <row r="12815" spans="1:10" hidden="1">
      <c r="A12815" t="s">
        <v>7481</v>
      </c>
      <c r="B12815" t="s">
        <v>7482</v>
      </c>
      <c r="C12815" t="s">
        <v>6839</v>
      </c>
      <c r="D12815" t="s">
        <v>2360</v>
      </c>
      <c r="E12815" t="s">
        <v>556</v>
      </c>
      <c r="F12815" t="s">
        <v>1068</v>
      </c>
      <c r="G12815" t="s">
        <v>1075</v>
      </c>
      <c r="H12815">
        <v>2.3841188638943898E-3</v>
      </c>
      <c r="I12815" t="s">
        <v>1077</v>
      </c>
      <c r="J12815">
        <v>9.2100000000000009</v>
      </c>
    </row>
    <row r="12816" spans="1:10" hidden="1">
      <c r="A12816" t="s">
        <v>7481</v>
      </c>
      <c r="B12816" t="s">
        <v>7482</v>
      </c>
      <c r="C12816" t="s">
        <v>6839</v>
      </c>
      <c r="D12816" t="s">
        <v>2360</v>
      </c>
      <c r="E12816" t="s">
        <v>556</v>
      </c>
      <c r="F12816" t="s">
        <v>1068</v>
      </c>
      <c r="G12816" t="s">
        <v>1078</v>
      </c>
      <c r="H12816">
        <v>-6.3490295353769502E-2</v>
      </c>
      <c r="I12816" t="s">
        <v>1079</v>
      </c>
      <c r="J12816">
        <v>9.2100000000000009</v>
      </c>
    </row>
    <row r="12817" spans="1:10" hidden="1">
      <c r="A12817" t="s">
        <v>7481</v>
      </c>
      <c r="B12817" t="s">
        <v>7482</v>
      </c>
      <c r="C12817" t="s">
        <v>6839</v>
      </c>
      <c r="D12817" t="s">
        <v>2360</v>
      </c>
      <c r="E12817" t="s">
        <v>556</v>
      </c>
      <c r="F12817" t="s">
        <v>1068</v>
      </c>
      <c r="G12817" t="s">
        <v>1080</v>
      </c>
      <c r="H12817" s="171" t="s">
        <v>7484</v>
      </c>
      <c r="I12817" t="s">
        <v>1082</v>
      </c>
      <c r="J12817">
        <v>9.2100000000000009</v>
      </c>
    </row>
    <row r="12818" spans="1:10" hidden="1">
      <c r="A12818" t="s">
        <v>7481</v>
      </c>
      <c r="B12818" t="s">
        <v>7482</v>
      </c>
      <c r="C12818" t="s">
        <v>6839</v>
      </c>
      <c r="D12818" t="s">
        <v>2360</v>
      </c>
      <c r="E12818" t="s">
        <v>556</v>
      </c>
      <c r="F12818" t="s">
        <v>1068</v>
      </c>
      <c r="G12818" t="s">
        <v>1083</v>
      </c>
      <c r="H12818" s="170">
        <v>-4.8405379845988999E-6</v>
      </c>
      <c r="I12818" t="s">
        <v>1084</v>
      </c>
      <c r="J12818">
        <v>9.2100000000000009</v>
      </c>
    </row>
    <row r="12819" spans="1:10" hidden="1">
      <c r="A12819" t="s">
        <v>7481</v>
      </c>
      <c r="B12819" t="s">
        <v>7482</v>
      </c>
      <c r="C12819" t="s">
        <v>6839</v>
      </c>
      <c r="D12819" t="s">
        <v>2360</v>
      </c>
      <c r="E12819" t="s">
        <v>556</v>
      </c>
      <c r="F12819" t="s">
        <v>1068</v>
      </c>
      <c r="G12819" t="s">
        <v>1085</v>
      </c>
      <c r="H12819" s="171" t="s">
        <v>7485</v>
      </c>
      <c r="I12819" t="s">
        <v>1086</v>
      </c>
      <c r="J12819">
        <v>9.2100000000000009</v>
      </c>
    </row>
    <row r="12820" spans="1:10" hidden="1">
      <c r="A12820" t="s">
        <v>7481</v>
      </c>
      <c r="B12820" t="s">
        <v>7482</v>
      </c>
      <c r="C12820" t="s">
        <v>6839</v>
      </c>
      <c r="D12820" t="s">
        <v>2360</v>
      </c>
      <c r="E12820" t="s">
        <v>556</v>
      </c>
      <c r="F12820" t="s">
        <v>1068</v>
      </c>
      <c r="G12820" t="s">
        <v>1087</v>
      </c>
      <c r="H12820" s="171" t="s">
        <v>7426</v>
      </c>
      <c r="I12820" t="s">
        <v>1088</v>
      </c>
      <c r="J12820">
        <v>9.2100000000000009</v>
      </c>
    </row>
    <row r="12821" spans="1:10" hidden="1">
      <c r="A12821" t="s">
        <v>7481</v>
      </c>
      <c r="B12821" t="s">
        <v>7482</v>
      </c>
      <c r="C12821" t="s">
        <v>6839</v>
      </c>
      <c r="D12821" t="s">
        <v>2360</v>
      </c>
      <c r="E12821" t="s">
        <v>556</v>
      </c>
      <c r="F12821" t="s">
        <v>1068</v>
      </c>
      <c r="G12821" t="s">
        <v>1089</v>
      </c>
      <c r="H12821" s="171" t="s">
        <v>7427</v>
      </c>
      <c r="I12821" t="s">
        <v>1090</v>
      </c>
      <c r="J12821">
        <v>9.2100000000000009</v>
      </c>
    </row>
    <row r="12822" spans="1:10" hidden="1">
      <c r="A12822" t="s">
        <v>7486</v>
      </c>
      <c r="B12822" t="s">
        <v>7487</v>
      </c>
      <c r="C12822" t="s">
        <v>6839</v>
      </c>
      <c r="D12822" t="s">
        <v>2360</v>
      </c>
      <c r="E12822" t="s">
        <v>557</v>
      </c>
      <c r="F12822" t="s">
        <v>1068</v>
      </c>
      <c r="G12822" t="s">
        <v>1069</v>
      </c>
      <c r="H12822">
        <v>3.1655612833653701E-2</v>
      </c>
      <c r="I12822" t="s">
        <v>1070</v>
      </c>
      <c r="J12822">
        <v>8.8800000000000008</v>
      </c>
    </row>
    <row r="12823" spans="1:10" hidden="1">
      <c r="A12823" t="s">
        <v>7486</v>
      </c>
      <c r="B12823" t="s">
        <v>7487</v>
      </c>
      <c r="C12823" t="s">
        <v>6839</v>
      </c>
      <c r="D12823" t="s">
        <v>2360</v>
      </c>
      <c r="E12823" t="s">
        <v>557</v>
      </c>
      <c r="F12823" t="s">
        <v>1068</v>
      </c>
      <c r="G12823" t="s">
        <v>1071</v>
      </c>
      <c r="H12823" s="171" t="s">
        <v>7430</v>
      </c>
      <c r="I12823" t="s">
        <v>1072</v>
      </c>
      <c r="J12823">
        <v>8.8800000000000008</v>
      </c>
    </row>
    <row r="12824" spans="1:10" hidden="1">
      <c r="A12824" t="s">
        <v>7486</v>
      </c>
      <c r="B12824" t="s">
        <v>7487</v>
      </c>
      <c r="C12824" t="s">
        <v>6839</v>
      </c>
      <c r="D12824" t="s">
        <v>2360</v>
      </c>
      <c r="E12824" t="s">
        <v>557</v>
      </c>
      <c r="F12824" t="s">
        <v>1068</v>
      </c>
      <c r="G12824" t="s">
        <v>1073</v>
      </c>
      <c r="H12824" s="171" t="s">
        <v>7431</v>
      </c>
      <c r="I12824" t="s">
        <v>1074</v>
      </c>
      <c r="J12824">
        <v>8.8800000000000008</v>
      </c>
    </row>
    <row r="12825" spans="1:10" hidden="1">
      <c r="A12825" t="s">
        <v>7486</v>
      </c>
      <c r="B12825" t="s">
        <v>7487</v>
      </c>
      <c r="C12825" t="s">
        <v>6839</v>
      </c>
      <c r="D12825" t="s">
        <v>2360</v>
      </c>
      <c r="E12825" t="s">
        <v>557</v>
      </c>
      <c r="F12825" t="s">
        <v>1068</v>
      </c>
      <c r="G12825" t="s">
        <v>1075</v>
      </c>
      <c r="H12825">
        <v>2.11601012637384E-3</v>
      </c>
      <c r="I12825" t="s">
        <v>1077</v>
      </c>
      <c r="J12825">
        <v>8.8800000000000008</v>
      </c>
    </row>
    <row r="12826" spans="1:10" hidden="1">
      <c r="A12826" t="s">
        <v>7486</v>
      </c>
      <c r="B12826" t="s">
        <v>7487</v>
      </c>
      <c r="C12826" t="s">
        <v>6839</v>
      </c>
      <c r="D12826" t="s">
        <v>2360</v>
      </c>
      <c r="E12826" t="s">
        <v>557</v>
      </c>
      <c r="F12826" t="s">
        <v>1068</v>
      </c>
      <c r="G12826" t="s">
        <v>1078</v>
      </c>
      <c r="H12826">
        <v>-0.13535442711529</v>
      </c>
      <c r="I12826" t="s">
        <v>1079</v>
      </c>
      <c r="J12826">
        <v>8.8800000000000008</v>
      </c>
    </row>
    <row r="12827" spans="1:10" hidden="1">
      <c r="A12827" t="s">
        <v>7486</v>
      </c>
      <c r="B12827" t="s">
        <v>7487</v>
      </c>
      <c r="C12827" t="s">
        <v>6839</v>
      </c>
      <c r="D12827" t="s">
        <v>2360</v>
      </c>
      <c r="E12827" t="s">
        <v>557</v>
      </c>
      <c r="F12827" t="s">
        <v>1068</v>
      </c>
      <c r="G12827" t="s">
        <v>1080</v>
      </c>
      <c r="H12827" s="171" t="s">
        <v>7432</v>
      </c>
      <c r="I12827" t="s">
        <v>1082</v>
      </c>
      <c r="J12827">
        <v>8.8800000000000008</v>
      </c>
    </row>
    <row r="12828" spans="1:10" hidden="1">
      <c r="A12828" t="s">
        <v>7486</v>
      </c>
      <c r="B12828" t="s">
        <v>7487</v>
      </c>
      <c r="C12828" t="s">
        <v>6839</v>
      </c>
      <c r="D12828" t="s">
        <v>2360</v>
      </c>
      <c r="E12828" t="s">
        <v>557</v>
      </c>
      <c r="F12828" t="s">
        <v>1068</v>
      </c>
      <c r="G12828" t="s">
        <v>1083</v>
      </c>
      <c r="H12828" s="170">
        <v>-5.3540253166844702E-6</v>
      </c>
      <c r="I12828" t="s">
        <v>1084</v>
      </c>
      <c r="J12828">
        <v>8.8800000000000008</v>
      </c>
    </row>
    <row r="12829" spans="1:10" hidden="1">
      <c r="A12829" t="s">
        <v>7486</v>
      </c>
      <c r="B12829" t="s">
        <v>7487</v>
      </c>
      <c r="C12829" t="s">
        <v>6839</v>
      </c>
      <c r="D12829" t="s">
        <v>2360</v>
      </c>
      <c r="E12829" t="s">
        <v>557</v>
      </c>
      <c r="F12829" t="s">
        <v>1068</v>
      </c>
      <c r="G12829" t="s">
        <v>1085</v>
      </c>
      <c r="H12829" s="171" t="s">
        <v>7488</v>
      </c>
      <c r="I12829" t="s">
        <v>1086</v>
      </c>
      <c r="J12829">
        <v>8.8800000000000008</v>
      </c>
    </row>
    <row r="12830" spans="1:10" hidden="1">
      <c r="A12830" t="s">
        <v>7486</v>
      </c>
      <c r="B12830" t="s">
        <v>7487</v>
      </c>
      <c r="C12830" t="s">
        <v>6839</v>
      </c>
      <c r="D12830" t="s">
        <v>2360</v>
      </c>
      <c r="E12830" t="s">
        <v>557</v>
      </c>
      <c r="F12830" t="s">
        <v>1068</v>
      </c>
      <c r="G12830" t="s">
        <v>1087</v>
      </c>
      <c r="H12830" s="171" t="s">
        <v>7434</v>
      </c>
      <c r="I12830" t="s">
        <v>1088</v>
      </c>
      <c r="J12830">
        <v>8.8800000000000008</v>
      </c>
    </row>
    <row r="12831" spans="1:10" hidden="1">
      <c r="A12831" t="s">
        <v>7486</v>
      </c>
      <c r="B12831" t="s">
        <v>7487</v>
      </c>
      <c r="C12831" t="s">
        <v>6839</v>
      </c>
      <c r="D12831" t="s">
        <v>2360</v>
      </c>
      <c r="E12831" t="s">
        <v>557</v>
      </c>
      <c r="F12831" t="s">
        <v>1068</v>
      </c>
      <c r="G12831" t="s">
        <v>1089</v>
      </c>
      <c r="H12831" s="171" t="s">
        <v>7489</v>
      </c>
      <c r="I12831" t="s">
        <v>1090</v>
      </c>
      <c r="J12831">
        <v>8.8800000000000008</v>
      </c>
    </row>
    <row r="12832" spans="1:10" hidden="1">
      <c r="A12832" t="s">
        <v>7490</v>
      </c>
      <c r="B12832" t="s">
        <v>7491</v>
      </c>
      <c r="C12832" t="s">
        <v>6839</v>
      </c>
      <c r="D12832" t="s">
        <v>2360</v>
      </c>
      <c r="E12832" t="s">
        <v>559</v>
      </c>
      <c r="F12832" t="s">
        <v>1068</v>
      </c>
      <c r="G12832" t="s">
        <v>1069</v>
      </c>
      <c r="H12832" s="171" t="s">
        <v>7492</v>
      </c>
      <c r="I12832" t="s">
        <v>1070</v>
      </c>
      <c r="J12832">
        <v>9.5299999999999994</v>
      </c>
    </row>
    <row r="12833" spans="1:10" hidden="1">
      <c r="A12833" t="s">
        <v>7490</v>
      </c>
      <c r="B12833" t="s">
        <v>7491</v>
      </c>
      <c r="C12833" t="s">
        <v>6839</v>
      </c>
      <c r="D12833" t="s">
        <v>2360</v>
      </c>
      <c r="E12833" t="s">
        <v>559</v>
      </c>
      <c r="F12833" t="s">
        <v>1068</v>
      </c>
      <c r="G12833" t="s">
        <v>1071</v>
      </c>
      <c r="H12833" s="171" t="s">
        <v>7493</v>
      </c>
      <c r="I12833" t="s">
        <v>1072</v>
      </c>
      <c r="J12833">
        <v>9.5299999999999994</v>
      </c>
    </row>
    <row r="12834" spans="1:10" hidden="1">
      <c r="A12834" t="s">
        <v>7490</v>
      </c>
      <c r="B12834" t="s">
        <v>7491</v>
      </c>
      <c r="C12834" t="s">
        <v>6839</v>
      </c>
      <c r="D12834" t="s">
        <v>2360</v>
      </c>
      <c r="E12834" t="s">
        <v>559</v>
      </c>
      <c r="F12834" t="s">
        <v>1068</v>
      </c>
      <c r="G12834" t="s">
        <v>1073</v>
      </c>
      <c r="H12834" s="171" t="s">
        <v>7494</v>
      </c>
      <c r="I12834" t="s">
        <v>1074</v>
      </c>
      <c r="J12834">
        <v>9.5299999999999994</v>
      </c>
    </row>
    <row r="12835" spans="1:10" hidden="1">
      <c r="A12835" t="s">
        <v>7490</v>
      </c>
      <c r="B12835" t="s">
        <v>7491</v>
      </c>
      <c r="C12835" t="s">
        <v>6839</v>
      </c>
      <c r="D12835" t="s">
        <v>2360</v>
      </c>
      <c r="E12835" t="s">
        <v>559</v>
      </c>
      <c r="F12835" t="s">
        <v>1068</v>
      </c>
      <c r="G12835" t="s">
        <v>1075</v>
      </c>
      <c r="H12835">
        <v>2.0526979648067402E-3</v>
      </c>
      <c r="I12835" t="s">
        <v>1077</v>
      </c>
      <c r="J12835">
        <v>9.5299999999999994</v>
      </c>
    </row>
    <row r="12836" spans="1:10" hidden="1">
      <c r="A12836" t="s">
        <v>7490</v>
      </c>
      <c r="B12836" t="s">
        <v>7491</v>
      </c>
      <c r="C12836" t="s">
        <v>6839</v>
      </c>
      <c r="D12836" t="s">
        <v>2360</v>
      </c>
      <c r="E12836" t="s">
        <v>559</v>
      </c>
      <c r="F12836" t="s">
        <v>1068</v>
      </c>
      <c r="G12836" t="s">
        <v>1078</v>
      </c>
      <c r="H12836">
        <v>-0.12513255395009701</v>
      </c>
      <c r="I12836" t="s">
        <v>1079</v>
      </c>
      <c r="J12836">
        <v>9.5299999999999994</v>
      </c>
    </row>
    <row r="12837" spans="1:10" hidden="1">
      <c r="A12837" t="s">
        <v>7490</v>
      </c>
      <c r="B12837" t="s">
        <v>7491</v>
      </c>
      <c r="C12837" t="s">
        <v>6839</v>
      </c>
      <c r="D12837" t="s">
        <v>2360</v>
      </c>
      <c r="E12837" t="s">
        <v>559</v>
      </c>
      <c r="F12837" t="s">
        <v>1068</v>
      </c>
      <c r="G12837" t="s">
        <v>1080</v>
      </c>
      <c r="H12837" s="171" t="s">
        <v>7495</v>
      </c>
      <c r="I12837" t="s">
        <v>1082</v>
      </c>
      <c r="J12837">
        <v>9.5299999999999994</v>
      </c>
    </row>
    <row r="12838" spans="1:10" hidden="1">
      <c r="A12838" t="s">
        <v>7490</v>
      </c>
      <c r="B12838" t="s">
        <v>7491</v>
      </c>
      <c r="C12838" t="s">
        <v>6839</v>
      </c>
      <c r="D12838" t="s">
        <v>2360</v>
      </c>
      <c r="E12838" t="s">
        <v>559</v>
      </c>
      <c r="F12838" t="s">
        <v>1068</v>
      </c>
      <c r="G12838" t="s">
        <v>1083</v>
      </c>
      <c r="H12838" s="170">
        <v>-5.82582967674237E-6</v>
      </c>
      <c r="I12838" t="s">
        <v>1084</v>
      </c>
      <c r="J12838">
        <v>9.5299999999999994</v>
      </c>
    </row>
    <row r="12839" spans="1:10" hidden="1">
      <c r="A12839" t="s">
        <v>7490</v>
      </c>
      <c r="B12839" t="s">
        <v>7491</v>
      </c>
      <c r="C12839" t="s">
        <v>6839</v>
      </c>
      <c r="D12839" t="s">
        <v>2360</v>
      </c>
      <c r="E12839" t="s">
        <v>559</v>
      </c>
      <c r="F12839" t="s">
        <v>1068</v>
      </c>
      <c r="G12839" t="s">
        <v>1085</v>
      </c>
      <c r="H12839" s="171" t="s">
        <v>7496</v>
      </c>
      <c r="I12839" t="s">
        <v>1086</v>
      </c>
      <c r="J12839">
        <v>9.5299999999999994</v>
      </c>
    </row>
    <row r="12840" spans="1:10" hidden="1">
      <c r="A12840" t="s">
        <v>7490</v>
      </c>
      <c r="B12840" t="s">
        <v>7491</v>
      </c>
      <c r="C12840" t="s">
        <v>6839</v>
      </c>
      <c r="D12840" t="s">
        <v>2360</v>
      </c>
      <c r="E12840" t="s">
        <v>559</v>
      </c>
      <c r="F12840" t="s">
        <v>1068</v>
      </c>
      <c r="G12840" t="s">
        <v>1087</v>
      </c>
      <c r="H12840" s="171" t="s">
        <v>7497</v>
      </c>
      <c r="I12840" t="s">
        <v>1088</v>
      </c>
      <c r="J12840">
        <v>9.5299999999999994</v>
      </c>
    </row>
    <row r="12841" spans="1:10" hidden="1">
      <c r="A12841" t="s">
        <v>7490</v>
      </c>
      <c r="B12841" t="s">
        <v>7491</v>
      </c>
      <c r="C12841" t="s">
        <v>6839</v>
      </c>
      <c r="D12841" t="s">
        <v>2360</v>
      </c>
      <c r="E12841" t="s">
        <v>559</v>
      </c>
      <c r="F12841" t="s">
        <v>1068</v>
      </c>
      <c r="G12841" t="s">
        <v>1089</v>
      </c>
      <c r="H12841" s="171" t="s">
        <v>7498</v>
      </c>
      <c r="I12841" t="s">
        <v>1090</v>
      </c>
      <c r="J12841">
        <v>9.5299999999999994</v>
      </c>
    </row>
    <row r="12842" spans="1:10" hidden="1">
      <c r="A12842" t="s">
        <v>7499</v>
      </c>
      <c r="B12842" t="s">
        <v>7500</v>
      </c>
      <c r="C12842" t="s">
        <v>6839</v>
      </c>
      <c r="D12842" t="s">
        <v>2360</v>
      </c>
      <c r="E12842" t="s">
        <v>560</v>
      </c>
      <c r="F12842" t="s">
        <v>1068</v>
      </c>
      <c r="G12842" t="s">
        <v>1069</v>
      </c>
      <c r="H12842">
        <v>2.9794708965273101E-2</v>
      </c>
      <c r="I12842" t="s">
        <v>1070</v>
      </c>
      <c r="J12842">
        <v>8.6199999999999992</v>
      </c>
    </row>
    <row r="12843" spans="1:10" hidden="1">
      <c r="A12843" t="s">
        <v>7499</v>
      </c>
      <c r="B12843" t="s">
        <v>7500</v>
      </c>
      <c r="C12843" t="s">
        <v>6839</v>
      </c>
      <c r="D12843" t="s">
        <v>2360</v>
      </c>
      <c r="E12843" t="s">
        <v>560</v>
      </c>
      <c r="F12843" t="s">
        <v>1068</v>
      </c>
      <c r="G12843" t="s">
        <v>1071</v>
      </c>
      <c r="H12843" s="171" t="s">
        <v>7448</v>
      </c>
      <c r="I12843" t="s">
        <v>1072</v>
      </c>
      <c r="J12843">
        <v>8.6199999999999992</v>
      </c>
    </row>
    <row r="12844" spans="1:10" hidden="1">
      <c r="A12844" t="s">
        <v>7499</v>
      </c>
      <c r="B12844" t="s">
        <v>7500</v>
      </c>
      <c r="C12844" t="s">
        <v>6839</v>
      </c>
      <c r="D12844" t="s">
        <v>2360</v>
      </c>
      <c r="E12844" t="s">
        <v>560</v>
      </c>
      <c r="F12844" t="s">
        <v>1068</v>
      </c>
      <c r="G12844" t="s">
        <v>1073</v>
      </c>
      <c r="H12844" s="171" t="s">
        <v>7449</v>
      </c>
      <c r="I12844" t="s">
        <v>1074</v>
      </c>
      <c r="J12844">
        <v>8.6199999999999992</v>
      </c>
    </row>
    <row r="12845" spans="1:10" hidden="1">
      <c r="A12845" t="s">
        <v>7499</v>
      </c>
      <c r="B12845" t="s">
        <v>7500</v>
      </c>
      <c r="C12845" t="s">
        <v>6839</v>
      </c>
      <c r="D12845" t="s">
        <v>2360</v>
      </c>
      <c r="E12845" t="s">
        <v>560</v>
      </c>
      <c r="F12845" t="s">
        <v>1068</v>
      </c>
      <c r="G12845" t="s">
        <v>1075</v>
      </c>
      <c r="H12845">
        <v>2.0571849671475601E-3</v>
      </c>
      <c r="I12845" t="s">
        <v>1077</v>
      </c>
      <c r="J12845">
        <v>8.6199999999999992</v>
      </c>
    </row>
    <row r="12846" spans="1:10" hidden="1">
      <c r="A12846" t="s">
        <v>7499</v>
      </c>
      <c r="B12846" t="s">
        <v>7500</v>
      </c>
      <c r="C12846" t="s">
        <v>6839</v>
      </c>
      <c r="D12846" t="s">
        <v>2360</v>
      </c>
      <c r="E12846" t="s">
        <v>560</v>
      </c>
      <c r="F12846" t="s">
        <v>1068</v>
      </c>
      <c r="G12846" t="s">
        <v>1078</v>
      </c>
      <c r="H12846">
        <v>-0.13789825391205399</v>
      </c>
      <c r="I12846" t="s">
        <v>1079</v>
      </c>
      <c r="J12846">
        <v>8.6199999999999992</v>
      </c>
    </row>
    <row r="12847" spans="1:10" hidden="1">
      <c r="A12847" t="s">
        <v>7499</v>
      </c>
      <c r="B12847" t="s">
        <v>7500</v>
      </c>
      <c r="C12847" t="s">
        <v>6839</v>
      </c>
      <c r="D12847" t="s">
        <v>2360</v>
      </c>
      <c r="E12847" t="s">
        <v>560</v>
      </c>
      <c r="F12847" t="s">
        <v>1068</v>
      </c>
      <c r="G12847" t="s">
        <v>1080</v>
      </c>
      <c r="H12847" s="171" t="s">
        <v>7501</v>
      </c>
      <c r="I12847" t="s">
        <v>1082</v>
      </c>
      <c r="J12847">
        <v>8.6199999999999992</v>
      </c>
    </row>
    <row r="12848" spans="1:10" hidden="1">
      <c r="A12848" t="s">
        <v>7499</v>
      </c>
      <c r="B12848" t="s">
        <v>7500</v>
      </c>
      <c r="C12848" t="s">
        <v>6839</v>
      </c>
      <c r="D12848" t="s">
        <v>2360</v>
      </c>
      <c r="E12848" t="s">
        <v>560</v>
      </c>
      <c r="F12848" t="s">
        <v>1068</v>
      </c>
      <c r="G12848" t="s">
        <v>1083</v>
      </c>
      <c r="H12848" s="170">
        <v>-5.6368839095379601E-6</v>
      </c>
      <c r="I12848" t="s">
        <v>1084</v>
      </c>
      <c r="J12848">
        <v>8.6199999999999992</v>
      </c>
    </row>
    <row r="12849" spans="1:10" hidden="1">
      <c r="A12849" t="s">
        <v>7499</v>
      </c>
      <c r="B12849" t="s">
        <v>7500</v>
      </c>
      <c r="C12849" t="s">
        <v>6839</v>
      </c>
      <c r="D12849" t="s">
        <v>2360</v>
      </c>
      <c r="E12849" t="s">
        <v>560</v>
      </c>
      <c r="F12849" t="s">
        <v>1068</v>
      </c>
      <c r="G12849" t="s">
        <v>1085</v>
      </c>
      <c r="H12849" s="171" t="s">
        <v>7502</v>
      </c>
      <c r="I12849" t="s">
        <v>1086</v>
      </c>
      <c r="J12849">
        <v>8.6199999999999992</v>
      </c>
    </row>
    <row r="12850" spans="1:10" hidden="1">
      <c r="A12850" t="s">
        <v>7499</v>
      </c>
      <c r="B12850" t="s">
        <v>7500</v>
      </c>
      <c r="C12850" t="s">
        <v>6839</v>
      </c>
      <c r="D12850" t="s">
        <v>2360</v>
      </c>
      <c r="E12850" t="s">
        <v>560</v>
      </c>
      <c r="F12850" t="s">
        <v>1068</v>
      </c>
      <c r="G12850" t="s">
        <v>1087</v>
      </c>
      <c r="H12850" s="171" t="s">
        <v>7503</v>
      </c>
      <c r="I12850" t="s">
        <v>1088</v>
      </c>
      <c r="J12850">
        <v>8.6199999999999992</v>
      </c>
    </row>
    <row r="12851" spans="1:10" hidden="1">
      <c r="A12851" t="s">
        <v>7499</v>
      </c>
      <c r="B12851" t="s">
        <v>7500</v>
      </c>
      <c r="C12851" t="s">
        <v>6839</v>
      </c>
      <c r="D12851" t="s">
        <v>2360</v>
      </c>
      <c r="E12851" t="s">
        <v>560</v>
      </c>
      <c r="F12851" t="s">
        <v>1068</v>
      </c>
      <c r="G12851" t="s">
        <v>1089</v>
      </c>
      <c r="H12851" s="171" t="s">
        <v>7504</v>
      </c>
      <c r="I12851" t="s">
        <v>1090</v>
      </c>
      <c r="J12851">
        <v>8.6199999999999992</v>
      </c>
    </row>
    <row r="12852" spans="1:10" hidden="1">
      <c r="A12852" t="s">
        <v>7505</v>
      </c>
      <c r="B12852" t="s">
        <v>7506</v>
      </c>
      <c r="C12852" t="s">
        <v>6839</v>
      </c>
      <c r="D12852" t="s">
        <v>2360</v>
      </c>
      <c r="E12852" t="s">
        <v>1116</v>
      </c>
      <c r="F12852" t="s">
        <v>1068</v>
      </c>
      <c r="G12852" t="s">
        <v>1069</v>
      </c>
      <c r="H12852" s="171" t="s">
        <v>7507</v>
      </c>
      <c r="I12852" t="s">
        <v>1070</v>
      </c>
      <c r="J12852">
        <v>8.36</v>
      </c>
    </row>
    <row r="12853" spans="1:10" hidden="1">
      <c r="A12853" t="s">
        <v>7505</v>
      </c>
      <c r="B12853" t="s">
        <v>7506</v>
      </c>
      <c r="C12853" t="s">
        <v>6839</v>
      </c>
      <c r="D12853" t="s">
        <v>2360</v>
      </c>
      <c r="E12853" t="s">
        <v>1116</v>
      </c>
      <c r="F12853" t="s">
        <v>1068</v>
      </c>
      <c r="G12853" t="s">
        <v>1071</v>
      </c>
      <c r="H12853" s="171" t="s">
        <v>7508</v>
      </c>
      <c r="I12853" t="s">
        <v>1072</v>
      </c>
      <c r="J12853">
        <v>8.36</v>
      </c>
    </row>
    <row r="12854" spans="1:10" hidden="1">
      <c r="A12854" t="s">
        <v>7505</v>
      </c>
      <c r="B12854" t="s">
        <v>7506</v>
      </c>
      <c r="C12854" t="s">
        <v>6839</v>
      </c>
      <c r="D12854" t="s">
        <v>2360</v>
      </c>
      <c r="E12854" t="s">
        <v>1116</v>
      </c>
      <c r="F12854" t="s">
        <v>1068</v>
      </c>
      <c r="G12854" t="s">
        <v>1073</v>
      </c>
      <c r="H12854" s="171" t="s">
        <v>7509</v>
      </c>
      <c r="I12854" t="s">
        <v>1074</v>
      </c>
      <c r="J12854">
        <v>8.36</v>
      </c>
    </row>
    <row r="12855" spans="1:10" hidden="1">
      <c r="A12855" t="s">
        <v>7505</v>
      </c>
      <c r="B12855" t="s">
        <v>7506</v>
      </c>
      <c r="C12855" t="s">
        <v>6839</v>
      </c>
      <c r="D12855" t="s">
        <v>2360</v>
      </c>
      <c r="E12855" t="s">
        <v>1116</v>
      </c>
      <c r="F12855" t="s">
        <v>1068</v>
      </c>
      <c r="G12855" t="s">
        <v>1075</v>
      </c>
      <c r="H12855">
        <v>2.2357252411629299E-3</v>
      </c>
      <c r="I12855" t="s">
        <v>1077</v>
      </c>
      <c r="J12855">
        <v>8.36</v>
      </c>
    </row>
    <row r="12856" spans="1:10" hidden="1">
      <c r="A12856" t="s">
        <v>7505</v>
      </c>
      <c r="B12856" t="s">
        <v>7506</v>
      </c>
      <c r="C12856" t="s">
        <v>6839</v>
      </c>
      <c r="D12856" t="s">
        <v>2360</v>
      </c>
      <c r="E12856" t="s">
        <v>1116</v>
      </c>
      <c r="F12856" t="s">
        <v>1068</v>
      </c>
      <c r="G12856" t="s">
        <v>1078</v>
      </c>
      <c r="H12856">
        <v>-0.13017748376343699</v>
      </c>
      <c r="I12856" t="s">
        <v>1079</v>
      </c>
      <c r="J12856">
        <v>8.36</v>
      </c>
    </row>
    <row r="12857" spans="1:10" hidden="1">
      <c r="A12857" t="s">
        <v>7505</v>
      </c>
      <c r="B12857" t="s">
        <v>7506</v>
      </c>
      <c r="C12857" t="s">
        <v>6839</v>
      </c>
      <c r="D12857" t="s">
        <v>2360</v>
      </c>
      <c r="E12857" t="s">
        <v>1116</v>
      </c>
      <c r="F12857" t="s">
        <v>1068</v>
      </c>
      <c r="G12857" t="s">
        <v>1080</v>
      </c>
      <c r="H12857" s="171" t="s">
        <v>7458</v>
      </c>
      <c r="I12857" t="s">
        <v>1082</v>
      </c>
      <c r="J12857">
        <v>8.36</v>
      </c>
    </row>
    <row r="12858" spans="1:10" hidden="1">
      <c r="A12858" t="s">
        <v>7505</v>
      </c>
      <c r="B12858" t="s">
        <v>7506</v>
      </c>
      <c r="C12858" t="s">
        <v>6839</v>
      </c>
      <c r="D12858" t="s">
        <v>2360</v>
      </c>
      <c r="E12858" t="s">
        <v>1116</v>
      </c>
      <c r="F12858" t="s">
        <v>1068</v>
      </c>
      <c r="G12858" t="s">
        <v>1083</v>
      </c>
      <c r="H12858" s="170">
        <v>-4.77837963449786E-6</v>
      </c>
      <c r="I12858" t="s">
        <v>1084</v>
      </c>
      <c r="J12858">
        <v>8.36</v>
      </c>
    </row>
    <row r="12859" spans="1:10" hidden="1">
      <c r="A12859" t="s">
        <v>7505</v>
      </c>
      <c r="B12859" t="s">
        <v>7506</v>
      </c>
      <c r="C12859" t="s">
        <v>6839</v>
      </c>
      <c r="D12859" t="s">
        <v>2360</v>
      </c>
      <c r="E12859" t="s">
        <v>1116</v>
      </c>
      <c r="F12859" t="s">
        <v>1068</v>
      </c>
      <c r="G12859" t="s">
        <v>1085</v>
      </c>
      <c r="H12859" s="171" t="s">
        <v>7510</v>
      </c>
      <c r="I12859" t="s">
        <v>1086</v>
      </c>
      <c r="J12859">
        <v>8.36</v>
      </c>
    </row>
    <row r="12860" spans="1:10" hidden="1">
      <c r="A12860" t="s">
        <v>7505</v>
      </c>
      <c r="B12860" t="s">
        <v>7506</v>
      </c>
      <c r="C12860" t="s">
        <v>6839</v>
      </c>
      <c r="D12860" t="s">
        <v>2360</v>
      </c>
      <c r="E12860" t="s">
        <v>1116</v>
      </c>
      <c r="F12860" t="s">
        <v>1068</v>
      </c>
      <c r="G12860" t="s">
        <v>1087</v>
      </c>
      <c r="H12860" s="171" t="s">
        <v>7511</v>
      </c>
      <c r="I12860" t="s">
        <v>1088</v>
      </c>
      <c r="J12860">
        <v>8.36</v>
      </c>
    </row>
    <row r="12861" spans="1:10" hidden="1">
      <c r="A12861" t="s">
        <v>7505</v>
      </c>
      <c r="B12861" t="s">
        <v>7506</v>
      </c>
      <c r="C12861" t="s">
        <v>6839</v>
      </c>
      <c r="D12861" t="s">
        <v>2360</v>
      </c>
      <c r="E12861" t="s">
        <v>1116</v>
      </c>
      <c r="F12861" t="s">
        <v>1068</v>
      </c>
      <c r="G12861" t="s">
        <v>1089</v>
      </c>
      <c r="H12861" s="171" t="s">
        <v>7512</v>
      </c>
      <c r="I12861" t="s">
        <v>1090</v>
      </c>
      <c r="J12861">
        <v>8.36</v>
      </c>
    </row>
    <row r="12862" spans="1:10" hidden="1">
      <c r="A12862" t="s">
        <v>7513</v>
      </c>
      <c r="B12862" t="s">
        <v>7514</v>
      </c>
      <c r="C12862" t="s">
        <v>6839</v>
      </c>
      <c r="D12862" t="s">
        <v>2414</v>
      </c>
      <c r="E12862" t="s">
        <v>561</v>
      </c>
      <c r="F12862" t="s">
        <v>1068</v>
      </c>
      <c r="G12862" t="s">
        <v>1069</v>
      </c>
      <c r="H12862" s="171" t="s">
        <v>7515</v>
      </c>
      <c r="I12862" t="s">
        <v>1070</v>
      </c>
      <c r="J12862">
        <v>10.83</v>
      </c>
    </row>
    <row r="12863" spans="1:10" hidden="1">
      <c r="A12863" t="s">
        <v>7513</v>
      </c>
      <c r="B12863" t="s">
        <v>7514</v>
      </c>
      <c r="C12863" t="s">
        <v>6839</v>
      </c>
      <c r="D12863" t="s">
        <v>2414</v>
      </c>
      <c r="E12863" t="s">
        <v>561</v>
      </c>
      <c r="F12863" t="s">
        <v>1068</v>
      </c>
      <c r="G12863" t="s">
        <v>1071</v>
      </c>
      <c r="H12863" s="171" t="s">
        <v>7516</v>
      </c>
      <c r="I12863" t="s">
        <v>1072</v>
      </c>
      <c r="J12863">
        <v>10.83</v>
      </c>
    </row>
    <row r="12864" spans="1:10" hidden="1">
      <c r="A12864" t="s">
        <v>7513</v>
      </c>
      <c r="B12864" t="s">
        <v>7514</v>
      </c>
      <c r="C12864" t="s">
        <v>6839</v>
      </c>
      <c r="D12864" t="s">
        <v>2414</v>
      </c>
      <c r="E12864" t="s">
        <v>561</v>
      </c>
      <c r="F12864" t="s">
        <v>1068</v>
      </c>
      <c r="G12864" t="s">
        <v>1073</v>
      </c>
      <c r="H12864" s="171" t="s">
        <v>7517</v>
      </c>
      <c r="I12864" t="s">
        <v>1074</v>
      </c>
      <c r="J12864">
        <v>10.83</v>
      </c>
    </row>
    <row r="12865" spans="1:10" hidden="1">
      <c r="A12865" t="s">
        <v>7513</v>
      </c>
      <c r="B12865" t="s">
        <v>7514</v>
      </c>
      <c r="C12865" t="s">
        <v>6839</v>
      </c>
      <c r="D12865" t="s">
        <v>2414</v>
      </c>
      <c r="E12865" t="s">
        <v>561</v>
      </c>
      <c r="F12865" t="s">
        <v>1068</v>
      </c>
      <c r="G12865" t="s">
        <v>1075</v>
      </c>
      <c r="H12865">
        <v>4.2494335323970097E-3</v>
      </c>
      <c r="I12865" t="s">
        <v>1077</v>
      </c>
      <c r="J12865">
        <v>10.83</v>
      </c>
    </row>
    <row r="12866" spans="1:10" hidden="1">
      <c r="A12866" t="s">
        <v>7513</v>
      </c>
      <c r="B12866" t="s">
        <v>7514</v>
      </c>
      <c r="C12866" t="s">
        <v>6839</v>
      </c>
      <c r="D12866" t="s">
        <v>2414</v>
      </c>
      <c r="E12866" t="s">
        <v>561</v>
      </c>
      <c r="F12866" t="s">
        <v>1068</v>
      </c>
      <c r="G12866" t="s">
        <v>1078</v>
      </c>
      <c r="H12866">
        <v>4.8913810169322398E-2</v>
      </c>
      <c r="I12866" t="s">
        <v>1079</v>
      </c>
      <c r="J12866">
        <v>10.83</v>
      </c>
    </row>
    <row r="12867" spans="1:10" hidden="1">
      <c r="A12867" t="s">
        <v>7513</v>
      </c>
      <c r="B12867" t="s">
        <v>7514</v>
      </c>
      <c r="C12867" t="s">
        <v>6839</v>
      </c>
      <c r="D12867" t="s">
        <v>2414</v>
      </c>
      <c r="E12867" t="s">
        <v>561</v>
      </c>
      <c r="F12867" t="s">
        <v>1068</v>
      </c>
      <c r="G12867" t="s">
        <v>1080</v>
      </c>
      <c r="H12867" s="171" t="s">
        <v>7518</v>
      </c>
      <c r="I12867" t="s">
        <v>1082</v>
      </c>
      <c r="J12867">
        <v>10.83</v>
      </c>
    </row>
    <row r="12868" spans="1:10" hidden="1">
      <c r="A12868" t="s">
        <v>7513</v>
      </c>
      <c r="B12868" t="s">
        <v>7514</v>
      </c>
      <c r="C12868" t="s">
        <v>6839</v>
      </c>
      <c r="D12868" t="s">
        <v>2414</v>
      </c>
      <c r="E12868" t="s">
        <v>561</v>
      </c>
      <c r="F12868" t="s">
        <v>1068</v>
      </c>
      <c r="G12868" t="s">
        <v>1083</v>
      </c>
      <c r="H12868" s="171" t="s">
        <v>7519</v>
      </c>
      <c r="I12868" t="s">
        <v>1084</v>
      </c>
      <c r="J12868">
        <v>10.83</v>
      </c>
    </row>
    <row r="12869" spans="1:10" hidden="1">
      <c r="A12869" t="s">
        <v>7513</v>
      </c>
      <c r="B12869" t="s">
        <v>7514</v>
      </c>
      <c r="C12869" t="s">
        <v>6839</v>
      </c>
      <c r="D12869" t="s">
        <v>2414</v>
      </c>
      <c r="E12869" t="s">
        <v>561</v>
      </c>
      <c r="F12869" t="s">
        <v>1068</v>
      </c>
      <c r="G12869" t="s">
        <v>1085</v>
      </c>
      <c r="H12869">
        <v>1.5484262525359901E-4</v>
      </c>
      <c r="I12869" t="s">
        <v>1086</v>
      </c>
      <c r="J12869">
        <v>10.83</v>
      </c>
    </row>
    <row r="12870" spans="1:10" hidden="1">
      <c r="A12870" t="s">
        <v>7513</v>
      </c>
      <c r="B12870" t="s">
        <v>7514</v>
      </c>
      <c r="C12870" t="s">
        <v>6839</v>
      </c>
      <c r="D12870" t="s">
        <v>2414</v>
      </c>
      <c r="E12870" t="s">
        <v>561</v>
      </c>
      <c r="F12870" t="s">
        <v>1068</v>
      </c>
      <c r="G12870" t="s">
        <v>1087</v>
      </c>
      <c r="H12870" s="171" t="s">
        <v>7520</v>
      </c>
      <c r="I12870" t="s">
        <v>1088</v>
      </c>
      <c r="J12870">
        <v>10.83</v>
      </c>
    </row>
    <row r="12871" spans="1:10" hidden="1">
      <c r="A12871" t="s">
        <v>7513</v>
      </c>
      <c r="B12871" t="s">
        <v>7514</v>
      </c>
      <c r="C12871" t="s">
        <v>6839</v>
      </c>
      <c r="D12871" t="s">
        <v>2414</v>
      </c>
      <c r="E12871" t="s">
        <v>561</v>
      </c>
      <c r="F12871" t="s">
        <v>1068</v>
      </c>
      <c r="G12871" t="s">
        <v>1089</v>
      </c>
      <c r="H12871" s="171" t="s">
        <v>7521</v>
      </c>
      <c r="I12871" t="s">
        <v>1090</v>
      </c>
      <c r="J12871">
        <v>10.83</v>
      </c>
    </row>
    <row r="12872" spans="1:10" hidden="1">
      <c r="A12872" t="s">
        <v>7522</v>
      </c>
      <c r="B12872" t="s">
        <v>7523</v>
      </c>
      <c r="C12872" t="s">
        <v>6839</v>
      </c>
      <c r="D12872" t="s">
        <v>2414</v>
      </c>
      <c r="E12872" t="s">
        <v>555</v>
      </c>
      <c r="F12872" t="s">
        <v>1068</v>
      </c>
      <c r="G12872" t="s">
        <v>1069</v>
      </c>
      <c r="H12872" s="171" t="s">
        <v>7524</v>
      </c>
      <c r="I12872" t="s">
        <v>1070</v>
      </c>
      <c r="J12872">
        <v>10</v>
      </c>
    </row>
    <row r="12873" spans="1:10" hidden="1">
      <c r="A12873" t="s">
        <v>7522</v>
      </c>
      <c r="B12873" t="s">
        <v>7523</v>
      </c>
      <c r="C12873" t="s">
        <v>6839</v>
      </c>
      <c r="D12873" t="s">
        <v>2414</v>
      </c>
      <c r="E12873" t="s">
        <v>555</v>
      </c>
      <c r="F12873" t="s">
        <v>1068</v>
      </c>
      <c r="G12873" t="s">
        <v>1071</v>
      </c>
      <c r="H12873" s="171" t="s">
        <v>7525</v>
      </c>
      <c r="I12873" t="s">
        <v>1072</v>
      </c>
      <c r="J12873">
        <v>10</v>
      </c>
    </row>
    <row r="12874" spans="1:10" hidden="1">
      <c r="A12874" t="s">
        <v>7522</v>
      </c>
      <c r="B12874" t="s">
        <v>7523</v>
      </c>
      <c r="C12874" t="s">
        <v>6839</v>
      </c>
      <c r="D12874" t="s">
        <v>2414</v>
      </c>
      <c r="E12874" t="s">
        <v>555</v>
      </c>
      <c r="F12874" t="s">
        <v>1068</v>
      </c>
      <c r="G12874" t="s">
        <v>1073</v>
      </c>
      <c r="H12874" s="171" t="s">
        <v>7526</v>
      </c>
      <c r="I12874" t="s">
        <v>1074</v>
      </c>
      <c r="J12874">
        <v>10</v>
      </c>
    </row>
    <row r="12875" spans="1:10" hidden="1">
      <c r="A12875" t="s">
        <v>7522</v>
      </c>
      <c r="B12875" t="s">
        <v>7523</v>
      </c>
      <c r="C12875" t="s">
        <v>6839</v>
      </c>
      <c r="D12875" t="s">
        <v>2414</v>
      </c>
      <c r="E12875" t="s">
        <v>555</v>
      </c>
      <c r="F12875" t="s">
        <v>1068</v>
      </c>
      <c r="G12875" t="s">
        <v>1075</v>
      </c>
      <c r="H12875">
        <v>4.24991591513203E-3</v>
      </c>
      <c r="I12875" t="s">
        <v>1077</v>
      </c>
      <c r="J12875">
        <v>10</v>
      </c>
    </row>
    <row r="12876" spans="1:10" hidden="1">
      <c r="A12876" t="s">
        <v>7522</v>
      </c>
      <c r="B12876" t="s">
        <v>7523</v>
      </c>
      <c r="C12876" t="s">
        <v>6839</v>
      </c>
      <c r="D12876" t="s">
        <v>2414</v>
      </c>
      <c r="E12876" t="s">
        <v>555</v>
      </c>
      <c r="F12876" t="s">
        <v>1068</v>
      </c>
      <c r="G12876" t="s">
        <v>1078</v>
      </c>
      <c r="H12876" s="171" t="s">
        <v>7527</v>
      </c>
      <c r="I12876" t="s">
        <v>1079</v>
      </c>
      <c r="J12876">
        <v>10</v>
      </c>
    </row>
    <row r="12877" spans="1:10" hidden="1">
      <c r="A12877" t="s">
        <v>7522</v>
      </c>
      <c r="B12877" t="s">
        <v>7523</v>
      </c>
      <c r="C12877" t="s">
        <v>6839</v>
      </c>
      <c r="D12877" t="s">
        <v>2414</v>
      </c>
      <c r="E12877" t="s">
        <v>555</v>
      </c>
      <c r="F12877" t="s">
        <v>1068</v>
      </c>
      <c r="G12877" t="s">
        <v>1080</v>
      </c>
      <c r="H12877" s="171" t="s">
        <v>7528</v>
      </c>
      <c r="I12877" t="s">
        <v>1082</v>
      </c>
      <c r="J12877">
        <v>10</v>
      </c>
    </row>
    <row r="12878" spans="1:10" hidden="1">
      <c r="A12878" t="s">
        <v>7522</v>
      </c>
      <c r="B12878" t="s">
        <v>7523</v>
      </c>
      <c r="C12878" t="s">
        <v>6839</v>
      </c>
      <c r="D12878" t="s">
        <v>2414</v>
      </c>
      <c r="E12878" t="s">
        <v>555</v>
      </c>
      <c r="F12878" t="s">
        <v>1068</v>
      </c>
      <c r="G12878" t="s">
        <v>1083</v>
      </c>
      <c r="H12878" s="171" t="s">
        <v>7529</v>
      </c>
      <c r="I12878" t="s">
        <v>1084</v>
      </c>
      <c r="J12878">
        <v>10</v>
      </c>
    </row>
    <row r="12879" spans="1:10" hidden="1">
      <c r="A12879" t="s">
        <v>7522</v>
      </c>
      <c r="B12879" t="s">
        <v>7523</v>
      </c>
      <c r="C12879" t="s">
        <v>6839</v>
      </c>
      <c r="D12879" t="s">
        <v>2414</v>
      </c>
      <c r="E12879" t="s">
        <v>555</v>
      </c>
      <c r="F12879" t="s">
        <v>1068</v>
      </c>
      <c r="G12879" t="s">
        <v>1085</v>
      </c>
      <c r="H12879">
        <v>1.5486883645968001E-4</v>
      </c>
      <c r="I12879" t="s">
        <v>1086</v>
      </c>
      <c r="J12879">
        <v>10</v>
      </c>
    </row>
    <row r="12880" spans="1:10" hidden="1">
      <c r="A12880" t="s">
        <v>7522</v>
      </c>
      <c r="B12880" t="s">
        <v>7523</v>
      </c>
      <c r="C12880" t="s">
        <v>6839</v>
      </c>
      <c r="D12880" t="s">
        <v>2414</v>
      </c>
      <c r="E12880" t="s">
        <v>555</v>
      </c>
      <c r="F12880" t="s">
        <v>1068</v>
      </c>
      <c r="G12880" t="s">
        <v>1087</v>
      </c>
      <c r="H12880" s="171" t="s">
        <v>6854</v>
      </c>
      <c r="I12880" t="s">
        <v>1088</v>
      </c>
      <c r="J12880">
        <v>10</v>
      </c>
    </row>
    <row r="12881" spans="1:10" hidden="1">
      <c r="A12881" t="s">
        <v>7522</v>
      </c>
      <c r="B12881" t="s">
        <v>7523</v>
      </c>
      <c r="C12881" t="s">
        <v>6839</v>
      </c>
      <c r="D12881" t="s">
        <v>2414</v>
      </c>
      <c r="E12881" t="s">
        <v>555</v>
      </c>
      <c r="F12881" t="s">
        <v>1068</v>
      </c>
      <c r="G12881" t="s">
        <v>1089</v>
      </c>
      <c r="H12881" s="171" t="s">
        <v>6855</v>
      </c>
      <c r="I12881" t="s">
        <v>1090</v>
      </c>
      <c r="J12881">
        <v>10</v>
      </c>
    </row>
    <row r="12882" spans="1:10" hidden="1">
      <c r="A12882" t="s">
        <v>7530</v>
      </c>
      <c r="B12882" t="s">
        <v>7531</v>
      </c>
      <c r="C12882" t="s">
        <v>6839</v>
      </c>
      <c r="D12882" t="s">
        <v>2414</v>
      </c>
      <c r="E12882" t="s">
        <v>558</v>
      </c>
      <c r="F12882" t="s">
        <v>1068</v>
      </c>
      <c r="G12882" t="s">
        <v>1069</v>
      </c>
      <c r="H12882" s="171" t="s">
        <v>7532</v>
      </c>
      <c r="I12882" t="s">
        <v>1070</v>
      </c>
      <c r="J12882">
        <v>11.23</v>
      </c>
    </row>
    <row r="12883" spans="1:10" hidden="1">
      <c r="A12883" t="s">
        <v>7530</v>
      </c>
      <c r="B12883" t="s">
        <v>7531</v>
      </c>
      <c r="C12883" t="s">
        <v>6839</v>
      </c>
      <c r="D12883" t="s">
        <v>2414</v>
      </c>
      <c r="E12883" t="s">
        <v>558</v>
      </c>
      <c r="F12883" t="s">
        <v>1068</v>
      </c>
      <c r="G12883" t="s">
        <v>1071</v>
      </c>
      <c r="H12883" s="171" t="s">
        <v>7533</v>
      </c>
      <c r="I12883" t="s">
        <v>1072</v>
      </c>
      <c r="J12883">
        <v>11.23</v>
      </c>
    </row>
    <row r="12884" spans="1:10" hidden="1">
      <c r="A12884" t="s">
        <v>7530</v>
      </c>
      <c r="B12884" t="s">
        <v>7531</v>
      </c>
      <c r="C12884" t="s">
        <v>6839</v>
      </c>
      <c r="D12884" t="s">
        <v>2414</v>
      </c>
      <c r="E12884" t="s">
        <v>558</v>
      </c>
      <c r="F12884" t="s">
        <v>1068</v>
      </c>
      <c r="G12884" t="s">
        <v>1073</v>
      </c>
      <c r="H12884" s="171" t="s">
        <v>7534</v>
      </c>
      <c r="I12884" t="s">
        <v>1074</v>
      </c>
      <c r="J12884">
        <v>11.23</v>
      </c>
    </row>
    <row r="12885" spans="1:10" hidden="1">
      <c r="A12885" t="s">
        <v>7530</v>
      </c>
      <c r="B12885" t="s">
        <v>7531</v>
      </c>
      <c r="C12885" t="s">
        <v>6839</v>
      </c>
      <c r="D12885" t="s">
        <v>2414</v>
      </c>
      <c r="E12885" t="s">
        <v>558</v>
      </c>
      <c r="F12885" t="s">
        <v>1068</v>
      </c>
      <c r="G12885" t="s">
        <v>1075</v>
      </c>
      <c r="H12885">
        <v>4.2493931598789701E-3</v>
      </c>
      <c r="I12885" t="s">
        <v>1077</v>
      </c>
      <c r="J12885">
        <v>11.23</v>
      </c>
    </row>
    <row r="12886" spans="1:10" hidden="1">
      <c r="A12886" t="s">
        <v>7530</v>
      </c>
      <c r="B12886" t="s">
        <v>7531</v>
      </c>
      <c r="C12886" t="s">
        <v>6839</v>
      </c>
      <c r="D12886" t="s">
        <v>2414</v>
      </c>
      <c r="E12886" t="s">
        <v>558</v>
      </c>
      <c r="F12886" t="s">
        <v>1068</v>
      </c>
      <c r="G12886" t="s">
        <v>1078</v>
      </c>
      <c r="H12886">
        <v>4.8912064305887501E-2</v>
      </c>
      <c r="I12886" t="s">
        <v>1079</v>
      </c>
      <c r="J12886">
        <v>11.23</v>
      </c>
    </row>
    <row r="12887" spans="1:10" hidden="1">
      <c r="A12887" t="s">
        <v>7530</v>
      </c>
      <c r="B12887" t="s">
        <v>7531</v>
      </c>
      <c r="C12887" t="s">
        <v>6839</v>
      </c>
      <c r="D12887" t="s">
        <v>2414</v>
      </c>
      <c r="E12887" t="s">
        <v>558</v>
      </c>
      <c r="F12887" t="s">
        <v>1068</v>
      </c>
      <c r="G12887" t="s">
        <v>1080</v>
      </c>
      <c r="H12887" s="171" t="s">
        <v>7336</v>
      </c>
      <c r="I12887" t="s">
        <v>1082</v>
      </c>
      <c r="J12887">
        <v>11.23</v>
      </c>
    </row>
    <row r="12888" spans="1:10" hidden="1">
      <c r="A12888" t="s">
        <v>7530</v>
      </c>
      <c r="B12888" t="s">
        <v>7531</v>
      </c>
      <c r="C12888" t="s">
        <v>6839</v>
      </c>
      <c r="D12888" t="s">
        <v>2414</v>
      </c>
      <c r="E12888" t="s">
        <v>558</v>
      </c>
      <c r="F12888" t="s">
        <v>1068</v>
      </c>
      <c r="G12888" t="s">
        <v>1083</v>
      </c>
      <c r="H12888" s="171" t="s">
        <v>6862</v>
      </c>
      <c r="I12888" t="s">
        <v>1084</v>
      </c>
      <c r="J12888">
        <v>11.23</v>
      </c>
    </row>
    <row r="12889" spans="1:10" hidden="1">
      <c r="A12889" t="s">
        <v>7530</v>
      </c>
      <c r="B12889" t="s">
        <v>7531</v>
      </c>
      <c r="C12889" t="s">
        <v>6839</v>
      </c>
      <c r="D12889" t="s">
        <v>2414</v>
      </c>
      <c r="E12889" t="s">
        <v>558</v>
      </c>
      <c r="F12889" t="s">
        <v>1068</v>
      </c>
      <c r="G12889" t="s">
        <v>1085</v>
      </c>
      <c r="H12889">
        <v>1.54840431193372E-4</v>
      </c>
      <c r="I12889" t="s">
        <v>1086</v>
      </c>
      <c r="J12889">
        <v>11.23</v>
      </c>
    </row>
    <row r="12890" spans="1:10" hidden="1">
      <c r="A12890" t="s">
        <v>7530</v>
      </c>
      <c r="B12890" t="s">
        <v>7531</v>
      </c>
      <c r="C12890" t="s">
        <v>6839</v>
      </c>
      <c r="D12890" t="s">
        <v>2414</v>
      </c>
      <c r="E12890" t="s">
        <v>558</v>
      </c>
      <c r="F12890" t="s">
        <v>1068</v>
      </c>
      <c r="G12890" t="s">
        <v>1087</v>
      </c>
      <c r="H12890" s="171" t="s">
        <v>7535</v>
      </c>
      <c r="I12890" t="s">
        <v>1088</v>
      </c>
      <c r="J12890">
        <v>11.23</v>
      </c>
    </row>
    <row r="12891" spans="1:10" hidden="1">
      <c r="A12891" t="s">
        <v>7530</v>
      </c>
      <c r="B12891" t="s">
        <v>7531</v>
      </c>
      <c r="C12891" t="s">
        <v>6839</v>
      </c>
      <c r="D12891" t="s">
        <v>2414</v>
      </c>
      <c r="E12891" t="s">
        <v>558</v>
      </c>
      <c r="F12891" t="s">
        <v>1068</v>
      </c>
      <c r="G12891" t="s">
        <v>1089</v>
      </c>
      <c r="H12891" s="171" t="s">
        <v>6864</v>
      </c>
      <c r="I12891" t="s">
        <v>1090</v>
      </c>
      <c r="J12891">
        <v>11.23</v>
      </c>
    </row>
    <row r="12892" spans="1:10" hidden="1">
      <c r="A12892" t="s">
        <v>7536</v>
      </c>
      <c r="B12892" t="s">
        <v>7537</v>
      </c>
      <c r="C12892" t="s">
        <v>6839</v>
      </c>
      <c r="D12892" t="s">
        <v>2414</v>
      </c>
      <c r="E12892" t="s">
        <v>553</v>
      </c>
      <c r="F12892" t="s">
        <v>1068</v>
      </c>
      <c r="G12892" t="s">
        <v>1069</v>
      </c>
      <c r="H12892" s="171" t="s">
        <v>7538</v>
      </c>
      <c r="I12892" t="s">
        <v>1070</v>
      </c>
      <c r="J12892">
        <v>11.11</v>
      </c>
    </row>
    <row r="12893" spans="1:10" hidden="1">
      <c r="A12893" t="s">
        <v>7536</v>
      </c>
      <c r="B12893" t="s">
        <v>7537</v>
      </c>
      <c r="C12893" t="s">
        <v>6839</v>
      </c>
      <c r="D12893" t="s">
        <v>2414</v>
      </c>
      <c r="E12893" t="s">
        <v>553</v>
      </c>
      <c r="F12893" t="s">
        <v>1068</v>
      </c>
      <c r="G12893" t="s">
        <v>1071</v>
      </c>
      <c r="H12893" s="171" t="s">
        <v>7539</v>
      </c>
      <c r="I12893" t="s">
        <v>1072</v>
      </c>
      <c r="J12893">
        <v>11.11</v>
      </c>
    </row>
    <row r="12894" spans="1:10" hidden="1">
      <c r="A12894" t="s">
        <v>7536</v>
      </c>
      <c r="B12894" t="s">
        <v>7537</v>
      </c>
      <c r="C12894" t="s">
        <v>6839</v>
      </c>
      <c r="D12894" t="s">
        <v>2414</v>
      </c>
      <c r="E12894" t="s">
        <v>553</v>
      </c>
      <c r="F12894" t="s">
        <v>1068</v>
      </c>
      <c r="G12894" t="s">
        <v>1073</v>
      </c>
      <c r="H12894" s="171" t="s">
        <v>7540</v>
      </c>
      <c r="I12894" t="s">
        <v>1074</v>
      </c>
      <c r="J12894">
        <v>11.11</v>
      </c>
    </row>
    <row r="12895" spans="1:10" hidden="1">
      <c r="A12895" t="s">
        <v>7536</v>
      </c>
      <c r="B12895" t="s">
        <v>7537</v>
      </c>
      <c r="C12895" t="s">
        <v>6839</v>
      </c>
      <c r="D12895" t="s">
        <v>2414</v>
      </c>
      <c r="E12895" t="s">
        <v>553</v>
      </c>
      <c r="F12895" t="s">
        <v>1068</v>
      </c>
      <c r="G12895" t="s">
        <v>1075</v>
      </c>
      <c r="H12895">
        <v>4.2493767808240799E-3</v>
      </c>
      <c r="I12895" t="s">
        <v>1077</v>
      </c>
      <c r="J12895">
        <v>11.11</v>
      </c>
    </row>
    <row r="12896" spans="1:10" hidden="1">
      <c r="A12896" t="s">
        <v>7536</v>
      </c>
      <c r="B12896" t="s">
        <v>7537</v>
      </c>
      <c r="C12896" t="s">
        <v>6839</v>
      </c>
      <c r="D12896" t="s">
        <v>2414</v>
      </c>
      <c r="E12896" t="s">
        <v>553</v>
      </c>
      <c r="F12896" t="s">
        <v>1068</v>
      </c>
      <c r="G12896" t="s">
        <v>1078</v>
      </c>
      <c r="H12896">
        <v>4.89113522447868E-2</v>
      </c>
      <c r="I12896" t="s">
        <v>1079</v>
      </c>
      <c r="J12896">
        <v>11.11</v>
      </c>
    </row>
    <row r="12897" spans="1:10" hidden="1">
      <c r="A12897" t="s">
        <v>7536</v>
      </c>
      <c r="B12897" t="s">
        <v>7537</v>
      </c>
      <c r="C12897" t="s">
        <v>6839</v>
      </c>
      <c r="D12897" t="s">
        <v>2414</v>
      </c>
      <c r="E12897" t="s">
        <v>553</v>
      </c>
      <c r="F12897" t="s">
        <v>1068</v>
      </c>
      <c r="G12897" t="s">
        <v>1080</v>
      </c>
      <c r="H12897" s="171" t="s">
        <v>7541</v>
      </c>
      <c r="I12897" t="s">
        <v>1082</v>
      </c>
      <c r="J12897">
        <v>11.11</v>
      </c>
    </row>
    <row r="12898" spans="1:10" hidden="1">
      <c r="A12898" t="s">
        <v>7536</v>
      </c>
      <c r="B12898" t="s">
        <v>7537</v>
      </c>
      <c r="C12898" t="s">
        <v>6839</v>
      </c>
      <c r="D12898" t="s">
        <v>2414</v>
      </c>
      <c r="E12898" t="s">
        <v>553</v>
      </c>
      <c r="F12898" t="s">
        <v>1068</v>
      </c>
      <c r="G12898" t="s">
        <v>1083</v>
      </c>
      <c r="H12898" s="171" t="s">
        <v>7542</v>
      </c>
      <c r="I12898" t="s">
        <v>1084</v>
      </c>
      <c r="J12898">
        <v>11.11</v>
      </c>
    </row>
    <row r="12899" spans="1:10" hidden="1">
      <c r="A12899" t="s">
        <v>7536</v>
      </c>
      <c r="B12899" t="s">
        <v>7537</v>
      </c>
      <c r="C12899" t="s">
        <v>6839</v>
      </c>
      <c r="D12899" t="s">
        <v>2414</v>
      </c>
      <c r="E12899" t="s">
        <v>553</v>
      </c>
      <c r="F12899" t="s">
        <v>1068</v>
      </c>
      <c r="G12899" t="s">
        <v>1085</v>
      </c>
      <c r="H12899">
        <v>1.5483953699582E-4</v>
      </c>
      <c r="I12899" t="s">
        <v>1086</v>
      </c>
      <c r="J12899">
        <v>11.11</v>
      </c>
    </row>
    <row r="12900" spans="1:10" hidden="1">
      <c r="A12900" t="s">
        <v>7536</v>
      </c>
      <c r="B12900" t="s">
        <v>7537</v>
      </c>
      <c r="C12900" t="s">
        <v>6839</v>
      </c>
      <c r="D12900" t="s">
        <v>2414</v>
      </c>
      <c r="E12900" t="s">
        <v>553</v>
      </c>
      <c r="F12900" t="s">
        <v>1068</v>
      </c>
      <c r="G12900" t="s">
        <v>1087</v>
      </c>
      <c r="H12900" s="171" t="s">
        <v>7543</v>
      </c>
      <c r="I12900" t="s">
        <v>1088</v>
      </c>
      <c r="J12900">
        <v>11.11</v>
      </c>
    </row>
    <row r="12901" spans="1:10" hidden="1">
      <c r="A12901" t="s">
        <v>7536</v>
      </c>
      <c r="B12901" t="s">
        <v>7537</v>
      </c>
      <c r="C12901" t="s">
        <v>6839</v>
      </c>
      <c r="D12901" t="s">
        <v>2414</v>
      </c>
      <c r="E12901" t="s">
        <v>553</v>
      </c>
      <c r="F12901" t="s">
        <v>1068</v>
      </c>
      <c r="G12901" t="s">
        <v>1089</v>
      </c>
      <c r="H12901" s="171" t="s">
        <v>7544</v>
      </c>
      <c r="I12901" t="s">
        <v>1090</v>
      </c>
      <c r="J12901">
        <v>11.11</v>
      </c>
    </row>
    <row r="12902" spans="1:10" hidden="1">
      <c r="A12902" t="s">
        <v>7545</v>
      </c>
      <c r="B12902" t="s">
        <v>7546</v>
      </c>
      <c r="C12902" t="s">
        <v>6839</v>
      </c>
      <c r="D12902" t="s">
        <v>2414</v>
      </c>
      <c r="E12902" t="s">
        <v>556</v>
      </c>
      <c r="F12902" t="s">
        <v>1068</v>
      </c>
      <c r="G12902" t="s">
        <v>1069</v>
      </c>
      <c r="H12902" s="171" t="s">
        <v>7547</v>
      </c>
      <c r="I12902" t="s">
        <v>1070</v>
      </c>
      <c r="J12902">
        <v>10</v>
      </c>
    </row>
    <row r="12903" spans="1:10" hidden="1">
      <c r="A12903" t="s">
        <v>7545</v>
      </c>
      <c r="B12903" t="s">
        <v>7546</v>
      </c>
      <c r="C12903" t="s">
        <v>6839</v>
      </c>
      <c r="D12903" t="s">
        <v>2414</v>
      </c>
      <c r="E12903" t="s">
        <v>556</v>
      </c>
      <c r="F12903" t="s">
        <v>1068</v>
      </c>
      <c r="G12903" t="s">
        <v>1071</v>
      </c>
      <c r="H12903" s="171" t="s">
        <v>7548</v>
      </c>
      <c r="I12903" t="s">
        <v>1072</v>
      </c>
      <c r="J12903">
        <v>10</v>
      </c>
    </row>
    <row r="12904" spans="1:10" hidden="1">
      <c r="A12904" t="s">
        <v>7545</v>
      </c>
      <c r="B12904" t="s">
        <v>7546</v>
      </c>
      <c r="C12904" t="s">
        <v>6839</v>
      </c>
      <c r="D12904" t="s">
        <v>2414</v>
      </c>
      <c r="E12904" t="s">
        <v>556</v>
      </c>
      <c r="F12904" t="s">
        <v>1068</v>
      </c>
      <c r="G12904" t="s">
        <v>1073</v>
      </c>
      <c r="H12904" s="171" t="s">
        <v>7549</v>
      </c>
      <c r="I12904" t="s">
        <v>1074</v>
      </c>
      <c r="J12904">
        <v>10</v>
      </c>
    </row>
    <row r="12905" spans="1:10" hidden="1">
      <c r="A12905" t="s">
        <v>7545</v>
      </c>
      <c r="B12905" t="s">
        <v>7546</v>
      </c>
      <c r="C12905" t="s">
        <v>6839</v>
      </c>
      <c r="D12905" t="s">
        <v>2414</v>
      </c>
      <c r="E12905" t="s">
        <v>556</v>
      </c>
      <c r="F12905" t="s">
        <v>1068</v>
      </c>
      <c r="G12905" t="s">
        <v>1075</v>
      </c>
      <c r="H12905">
        <v>4.2498652406873999E-3</v>
      </c>
      <c r="I12905" t="s">
        <v>1077</v>
      </c>
      <c r="J12905">
        <v>10</v>
      </c>
    </row>
    <row r="12906" spans="1:10" hidden="1">
      <c r="A12906" t="s">
        <v>7545</v>
      </c>
      <c r="B12906" t="s">
        <v>7546</v>
      </c>
      <c r="C12906" t="s">
        <v>6839</v>
      </c>
      <c r="D12906" t="s">
        <v>2414</v>
      </c>
      <c r="E12906" t="s">
        <v>556</v>
      </c>
      <c r="F12906" t="s">
        <v>1068</v>
      </c>
      <c r="G12906" t="s">
        <v>1078</v>
      </c>
      <c r="H12906">
        <v>4.8932475133413401E-2</v>
      </c>
      <c r="I12906" t="s">
        <v>1079</v>
      </c>
      <c r="J12906">
        <v>10</v>
      </c>
    </row>
    <row r="12907" spans="1:10" hidden="1">
      <c r="A12907" t="s">
        <v>7545</v>
      </c>
      <c r="B12907" t="s">
        <v>7546</v>
      </c>
      <c r="C12907" t="s">
        <v>6839</v>
      </c>
      <c r="D12907" t="s">
        <v>2414</v>
      </c>
      <c r="E12907" t="s">
        <v>556</v>
      </c>
      <c r="F12907" t="s">
        <v>1068</v>
      </c>
      <c r="G12907" t="s">
        <v>1080</v>
      </c>
      <c r="H12907" s="171" t="s">
        <v>7550</v>
      </c>
      <c r="I12907" t="s">
        <v>1082</v>
      </c>
      <c r="J12907">
        <v>10</v>
      </c>
    </row>
    <row r="12908" spans="1:10" hidden="1">
      <c r="A12908" t="s">
        <v>7545</v>
      </c>
      <c r="B12908" t="s">
        <v>7546</v>
      </c>
      <c r="C12908" t="s">
        <v>6839</v>
      </c>
      <c r="D12908" t="s">
        <v>2414</v>
      </c>
      <c r="E12908" t="s">
        <v>556</v>
      </c>
      <c r="F12908" t="s">
        <v>1068</v>
      </c>
      <c r="G12908" t="s">
        <v>1083</v>
      </c>
      <c r="H12908" s="171" t="s">
        <v>7551</v>
      </c>
      <c r="I12908" t="s">
        <v>1084</v>
      </c>
      <c r="J12908">
        <v>10</v>
      </c>
    </row>
    <row r="12909" spans="1:10" hidden="1">
      <c r="A12909" t="s">
        <v>7545</v>
      </c>
      <c r="B12909" t="s">
        <v>7546</v>
      </c>
      <c r="C12909" t="s">
        <v>6839</v>
      </c>
      <c r="D12909" t="s">
        <v>2414</v>
      </c>
      <c r="E12909" t="s">
        <v>556</v>
      </c>
      <c r="F12909" t="s">
        <v>1068</v>
      </c>
      <c r="G12909" t="s">
        <v>1085</v>
      </c>
      <c r="H12909">
        <v>1.5486608253723001E-4</v>
      </c>
      <c r="I12909" t="s">
        <v>1086</v>
      </c>
      <c r="J12909">
        <v>10</v>
      </c>
    </row>
    <row r="12910" spans="1:10" hidden="1">
      <c r="A12910" t="s">
        <v>7545</v>
      </c>
      <c r="B12910" t="s">
        <v>7546</v>
      </c>
      <c r="C12910" t="s">
        <v>6839</v>
      </c>
      <c r="D12910" t="s">
        <v>2414</v>
      </c>
      <c r="E12910" t="s">
        <v>556</v>
      </c>
      <c r="F12910" t="s">
        <v>1068</v>
      </c>
      <c r="G12910" t="s">
        <v>1087</v>
      </c>
      <c r="H12910" s="171" t="s">
        <v>7552</v>
      </c>
      <c r="I12910" t="s">
        <v>1088</v>
      </c>
      <c r="J12910">
        <v>10</v>
      </c>
    </row>
    <row r="12911" spans="1:10" hidden="1">
      <c r="A12911" t="s">
        <v>7545</v>
      </c>
      <c r="B12911" t="s">
        <v>7546</v>
      </c>
      <c r="C12911" t="s">
        <v>6839</v>
      </c>
      <c r="D12911" t="s">
        <v>2414</v>
      </c>
      <c r="E12911" t="s">
        <v>556</v>
      </c>
      <c r="F12911" t="s">
        <v>1068</v>
      </c>
      <c r="G12911" t="s">
        <v>1089</v>
      </c>
      <c r="H12911" s="171" t="s">
        <v>6882</v>
      </c>
      <c r="I12911" t="s">
        <v>1090</v>
      </c>
      <c r="J12911">
        <v>10</v>
      </c>
    </row>
    <row r="12912" spans="1:10" hidden="1">
      <c r="A12912" t="s">
        <v>7553</v>
      </c>
      <c r="B12912" t="s">
        <v>7554</v>
      </c>
      <c r="C12912" t="s">
        <v>6839</v>
      </c>
      <c r="D12912" t="s">
        <v>2414</v>
      </c>
      <c r="E12912" t="s">
        <v>557</v>
      </c>
      <c r="F12912" t="s">
        <v>1068</v>
      </c>
      <c r="G12912" t="s">
        <v>1069</v>
      </c>
      <c r="H12912" s="171" t="s">
        <v>7555</v>
      </c>
      <c r="I12912" t="s">
        <v>1070</v>
      </c>
      <c r="J12912">
        <v>10.07</v>
      </c>
    </row>
    <row r="12913" spans="1:10" hidden="1">
      <c r="A12913" t="s">
        <v>7553</v>
      </c>
      <c r="B12913" t="s">
        <v>7554</v>
      </c>
      <c r="C12913" t="s">
        <v>6839</v>
      </c>
      <c r="D12913" t="s">
        <v>2414</v>
      </c>
      <c r="E12913" t="s">
        <v>557</v>
      </c>
      <c r="F12913" t="s">
        <v>1068</v>
      </c>
      <c r="G12913" t="s">
        <v>1071</v>
      </c>
      <c r="H12913" s="171" t="s">
        <v>7556</v>
      </c>
      <c r="I12913" t="s">
        <v>1072</v>
      </c>
      <c r="J12913">
        <v>10.07</v>
      </c>
    </row>
    <row r="12914" spans="1:10" hidden="1">
      <c r="A12914" t="s">
        <v>7553</v>
      </c>
      <c r="B12914" t="s">
        <v>7554</v>
      </c>
      <c r="C12914" t="s">
        <v>6839</v>
      </c>
      <c r="D12914" t="s">
        <v>2414</v>
      </c>
      <c r="E12914" t="s">
        <v>557</v>
      </c>
      <c r="F12914" t="s">
        <v>1068</v>
      </c>
      <c r="G12914" t="s">
        <v>1073</v>
      </c>
      <c r="H12914" s="171" t="s">
        <v>7557</v>
      </c>
      <c r="I12914" t="s">
        <v>1074</v>
      </c>
      <c r="J12914">
        <v>10.07</v>
      </c>
    </row>
    <row r="12915" spans="1:10" hidden="1">
      <c r="A12915" t="s">
        <v>7553</v>
      </c>
      <c r="B12915" t="s">
        <v>7554</v>
      </c>
      <c r="C12915" t="s">
        <v>6839</v>
      </c>
      <c r="D12915" t="s">
        <v>2414</v>
      </c>
      <c r="E12915" t="s">
        <v>557</v>
      </c>
      <c r="F12915" t="s">
        <v>1068</v>
      </c>
      <c r="G12915" t="s">
        <v>1075</v>
      </c>
      <c r="H12915">
        <v>4.2495599159341002E-3</v>
      </c>
      <c r="I12915" t="s">
        <v>1077</v>
      </c>
      <c r="J12915">
        <v>10.07</v>
      </c>
    </row>
    <row r="12916" spans="1:10" hidden="1">
      <c r="A12916" t="s">
        <v>7553</v>
      </c>
      <c r="B12916" t="s">
        <v>7554</v>
      </c>
      <c r="C12916" t="s">
        <v>6839</v>
      </c>
      <c r="D12916" t="s">
        <v>2414</v>
      </c>
      <c r="E12916" t="s">
        <v>557</v>
      </c>
      <c r="F12916" t="s">
        <v>1068</v>
      </c>
      <c r="G12916" t="s">
        <v>1078</v>
      </c>
      <c r="H12916">
        <v>4.8919275480954698E-2</v>
      </c>
      <c r="I12916" t="s">
        <v>1079</v>
      </c>
      <c r="J12916">
        <v>10.07</v>
      </c>
    </row>
    <row r="12917" spans="1:10" hidden="1">
      <c r="A12917" t="s">
        <v>7553</v>
      </c>
      <c r="B12917" t="s">
        <v>7554</v>
      </c>
      <c r="C12917" t="s">
        <v>6839</v>
      </c>
      <c r="D12917" t="s">
        <v>2414</v>
      </c>
      <c r="E12917" t="s">
        <v>557</v>
      </c>
      <c r="F12917" t="s">
        <v>1068</v>
      </c>
      <c r="G12917" t="s">
        <v>1080</v>
      </c>
      <c r="H12917" s="171" t="s">
        <v>7558</v>
      </c>
      <c r="I12917" t="s">
        <v>1082</v>
      </c>
      <c r="J12917">
        <v>10.07</v>
      </c>
    </row>
    <row r="12918" spans="1:10" hidden="1">
      <c r="A12918" t="s">
        <v>7553</v>
      </c>
      <c r="B12918" t="s">
        <v>7554</v>
      </c>
      <c r="C12918" t="s">
        <v>6839</v>
      </c>
      <c r="D12918" t="s">
        <v>2414</v>
      </c>
      <c r="E12918" t="s">
        <v>557</v>
      </c>
      <c r="F12918" t="s">
        <v>1068</v>
      </c>
      <c r="G12918" t="s">
        <v>1083</v>
      </c>
      <c r="H12918" s="171" t="s">
        <v>7559</v>
      </c>
      <c r="I12918" t="s">
        <v>1084</v>
      </c>
      <c r="J12918">
        <v>10.07</v>
      </c>
    </row>
    <row r="12919" spans="1:10" hidden="1">
      <c r="A12919" t="s">
        <v>7553</v>
      </c>
      <c r="B12919" t="s">
        <v>7554</v>
      </c>
      <c r="C12919" t="s">
        <v>6839</v>
      </c>
      <c r="D12919" t="s">
        <v>2414</v>
      </c>
      <c r="E12919" t="s">
        <v>557</v>
      </c>
      <c r="F12919" t="s">
        <v>1068</v>
      </c>
      <c r="G12919" t="s">
        <v>1085</v>
      </c>
      <c r="H12919">
        <v>1.54849493616113E-4</v>
      </c>
      <c r="I12919" t="s">
        <v>1086</v>
      </c>
      <c r="J12919">
        <v>10.07</v>
      </c>
    </row>
    <row r="12920" spans="1:10" hidden="1">
      <c r="A12920" t="s">
        <v>7553</v>
      </c>
      <c r="B12920" t="s">
        <v>7554</v>
      </c>
      <c r="C12920" t="s">
        <v>6839</v>
      </c>
      <c r="D12920" t="s">
        <v>2414</v>
      </c>
      <c r="E12920" t="s">
        <v>557</v>
      </c>
      <c r="F12920" t="s">
        <v>1068</v>
      </c>
      <c r="G12920" t="s">
        <v>1087</v>
      </c>
      <c r="H12920" s="171" t="s">
        <v>6890</v>
      </c>
      <c r="I12920" t="s">
        <v>1088</v>
      </c>
      <c r="J12920">
        <v>10.07</v>
      </c>
    </row>
    <row r="12921" spans="1:10" hidden="1">
      <c r="A12921" t="s">
        <v>7553</v>
      </c>
      <c r="B12921" t="s">
        <v>7554</v>
      </c>
      <c r="C12921" t="s">
        <v>6839</v>
      </c>
      <c r="D12921" t="s">
        <v>2414</v>
      </c>
      <c r="E12921" t="s">
        <v>557</v>
      </c>
      <c r="F12921" t="s">
        <v>1068</v>
      </c>
      <c r="G12921" t="s">
        <v>1089</v>
      </c>
      <c r="H12921" s="171" t="s">
        <v>7361</v>
      </c>
      <c r="I12921" t="s">
        <v>1090</v>
      </c>
      <c r="J12921">
        <v>10.07</v>
      </c>
    </row>
    <row r="12922" spans="1:10" hidden="1">
      <c r="A12922" t="s">
        <v>7560</v>
      </c>
      <c r="B12922" t="s">
        <v>7561</v>
      </c>
      <c r="C12922" t="s">
        <v>6839</v>
      </c>
      <c r="D12922" t="s">
        <v>2414</v>
      </c>
      <c r="E12922" t="s">
        <v>559</v>
      </c>
      <c r="F12922" t="s">
        <v>1068</v>
      </c>
      <c r="G12922" t="s">
        <v>1069</v>
      </c>
      <c r="H12922" s="171" t="s">
        <v>7562</v>
      </c>
      <c r="I12922" t="s">
        <v>1070</v>
      </c>
      <c r="J12922">
        <v>9.0299999999999994</v>
      </c>
    </row>
    <row r="12923" spans="1:10" hidden="1">
      <c r="A12923" t="s">
        <v>7560</v>
      </c>
      <c r="B12923" t="s">
        <v>7561</v>
      </c>
      <c r="C12923" t="s">
        <v>6839</v>
      </c>
      <c r="D12923" t="s">
        <v>2414</v>
      </c>
      <c r="E12923" t="s">
        <v>559</v>
      </c>
      <c r="F12923" t="s">
        <v>1068</v>
      </c>
      <c r="G12923" t="s">
        <v>1071</v>
      </c>
      <c r="H12923" s="171" t="s">
        <v>7563</v>
      </c>
      <c r="I12923" t="s">
        <v>1072</v>
      </c>
      <c r="J12923">
        <v>9.0299999999999994</v>
      </c>
    </row>
    <row r="12924" spans="1:10" hidden="1">
      <c r="A12924" t="s">
        <v>7560</v>
      </c>
      <c r="B12924" t="s">
        <v>7561</v>
      </c>
      <c r="C12924" t="s">
        <v>6839</v>
      </c>
      <c r="D12924" t="s">
        <v>2414</v>
      </c>
      <c r="E12924" t="s">
        <v>559</v>
      </c>
      <c r="F12924" t="s">
        <v>1068</v>
      </c>
      <c r="G12924" t="s">
        <v>1073</v>
      </c>
      <c r="H12924" s="171" t="s">
        <v>7564</v>
      </c>
      <c r="I12924" t="s">
        <v>1074</v>
      </c>
      <c r="J12924">
        <v>9.0299999999999994</v>
      </c>
    </row>
    <row r="12925" spans="1:10" hidden="1">
      <c r="A12925" t="s">
        <v>7560</v>
      </c>
      <c r="B12925" t="s">
        <v>7561</v>
      </c>
      <c r="C12925" t="s">
        <v>6839</v>
      </c>
      <c r="D12925" t="s">
        <v>2414</v>
      </c>
      <c r="E12925" t="s">
        <v>559</v>
      </c>
      <c r="F12925" t="s">
        <v>1068</v>
      </c>
      <c r="G12925" t="s">
        <v>1075</v>
      </c>
      <c r="H12925">
        <v>4.2497200498587597E-3</v>
      </c>
      <c r="I12925" t="s">
        <v>1077</v>
      </c>
      <c r="J12925">
        <v>9.0299999999999994</v>
      </c>
    </row>
    <row r="12926" spans="1:10" hidden="1">
      <c r="A12926" t="s">
        <v>7560</v>
      </c>
      <c r="B12926" t="s">
        <v>7561</v>
      </c>
      <c r="C12926" t="s">
        <v>6839</v>
      </c>
      <c r="D12926" t="s">
        <v>2414</v>
      </c>
      <c r="E12926" t="s">
        <v>559</v>
      </c>
      <c r="F12926" t="s">
        <v>1068</v>
      </c>
      <c r="G12926" t="s">
        <v>1078</v>
      </c>
      <c r="H12926">
        <v>4.8926196521969799E-2</v>
      </c>
      <c r="I12926" t="s">
        <v>1079</v>
      </c>
      <c r="J12926">
        <v>9.0299999999999994</v>
      </c>
    </row>
    <row r="12927" spans="1:10" hidden="1">
      <c r="A12927" t="s">
        <v>7560</v>
      </c>
      <c r="B12927" t="s">
        <v>7561</v>
      </c>
      <c r="C12927" t="s">
        <v>6839</v>
      </c>
      <c r="D12927" t="s">
        <v>2414</v>
      </c>
      <c r="E12927" t="s">
        <v>559</v>
      </c>
      <c r="F12927" t="s">
        <v>1068</v>
      </c>
      <c r="G12927" t="s">
        <v>1080</v>
      </c>
      <c r="H12927" s="171" t="s">
        <v>7565</v>
      </c>
      <c r="I12927" t="s">
        <v>1082</v>
      </c>
      <c r="J12927">
        <v>9.0299999999999994</v>
      </c>
    </row>
    <row r="12928" spans="1:10" hidden="1">
      <c r="A12928" t="s">
        <v>7560</v>
      </c>
      <c r="B12928" t="s">
        <v>7561</v>
      </c>
      <c r="C12928" t="s">
        <v>6839</v>
      </c>
      <c r="D12928" t="s">
        <v>2414</v>
      </c>
      <c r="E12928" t="s">
        <v>559</v>
      </c>
      <c r="F12928" t="s">
        <v>1068</v>
      </c>
      <c r="G12928" t="s">
        <v>1083</v>
      </c>
      <c r="H12928" s="171" t="s">
        <v>7566</v>
      </c>
      <c r="I12928" t="s">
        <v>1084</v>
      </c>
      <c r="J12928">
        <v>9.0299999999999994</v>
      </c>
    </row>
    <row r="12929" spans="1:10" hidden="1">
      <c r="A12929" t="s">
        <v>7560</v>
      </c>
      <c r="B12929" t="s">
        <v>7561</v>
      </c>
      <c r="C12929" t="s">
        <v>6839</v>
      </c>
      <c r="D12929" t="s">
        <v>2414</v>
      </c>
      <c r="E12929" t="s">
        <v>559</v>
      </c>
      <c r="F12929" t="s">
        <v>1068</v>
      </c>
      <c r="G12929" t="s">
        <v>1085</v>
      </c>
      <c r="H12929">
        <v>1.5485819208515999E-4</v>
      </c>
      <c r="I12929" t="s">
        <v>1086</v>
      </c>
      <c r="J12929">
        <v>9.0299999999999994</v>
      </c>
    </row>
    <row r="12930" spans="1:10" hidden="1">
      <c r="A12930" t="s">
        <v>7560</v>
      </c>
      <c r="B12930" t="s">
        <v>7561</v>
      </c>
      <c r="C12930" t="s">
        <v>6839</v>
      </c>
      <c r="D12930" t="s">
        <v>2414</v>
      </c>
      <c r="E12930" t="s">
        <v>559</v>
      </c>
      <c r="F12930" t="s">
        <v>1068</v>
      </c>
      <c r="G12930" t="s">
        <v>1087</v>
      </c>
      <c r="H12930" s="171" t="s">
        <v>7567</v>
      </c>
      <c r="I12930" t="s">
        <v>1088</v>
      </c>
      <c r="J12930">
        <v>9.0299999999999994</v>
      </c>
    </row>
    <row r="12931" spans="1:10" hidden="1">
      <c r="A12931" t="s">
        <v>7560</v>
      </c>
      <c r="B12931" t="s">
        <v>7561</v>
      </c>
      <c r="C12931" t="s">
        <v>6839</v>
      </c>
      <c r="D12931" t="s">
        <v>2414</v>
      </c>
      <c r="E12931" t="s">
        <v>559</v>
      </c>
      <c r="F12931" t="s">
        <v>1068</v>
      </c>
      <c r="G12931" t="s">
        <v>1089</v>
      </c>
      <c r="H12931" s="171" t="s">
        <v>7568</v>
      </c>
      <c r="I12931" t="s">
        <v>1090</v>
      </c>
      <c r="J12931">
        <v>9.0299999999999994</v>
      </c>
    </row>
    <row r="12932" spans="1:10" hidden="1">
      <c r="A12932" t="s">
        <v>7569</v>
      </c>
      <c r="B12932" t="s">
        <v>7570</v>
      </c>
      <c r="C12932" t="s">
        <v>6839</v>
      </c>
      <c r="D12932" t="s">
        <v>2414</v>
      </c>
      <c r="E12932" t="s">
        <v>560</v>
      </c>
      <c r="F12932" t="s">
        <v>1068</v>
      </c>
      <c r="G12932" t="s">
        <v>1069</v>
      </c>
      <c r="H12932" s="171" t="s">
        <v>7571</v>
      </c>
      <c r="I12932" t="s">
        <v>1070</v>
      </c>
      <c r="J12932">
        <v>9.7100000000000009</v>
      </c>
    </row>
    <row r="12933" spans="1:10" hidden="1">
      <c r="A12933" t="s">
        <v>7569</v>
      </c>
      <c r="B12933" t="s">
        <v>7570</v>
      </c>
      <c r="C12933" t="s">
        <v>6839</v>
      </c>
      <c r="D12933" t="s">
        <v>2414</v>
      </c>
      <c r="E12933" t="s">
        <v>560</v>
      </c>
      <c r="F12933" t="s">
        <v>1068</v>
      </c>
      <c r="G12933" t="s">
        <v>1071</v>
      </c>
      <c r="H12933" s="171" t="s">
        <v>7572</v>
      </c>
      <c r="I12933" t="s">
        <v>1072</v>
      </c>
      <c r="J12933">
        <v>9.7100000000000009</v>
      </c>
    </row>
    <row r="12934" spans="1:10" hidden="1">
      <c r="A12934" t="s">
        <v>7569</v>
      </c>
      <c r="B12934" t="s">
        <v>7570</v>
      </c>
      <c r="C12934" t="s">
        <v>6839</v>
      </c>
      <c r="D12934" t="s">
        <v>2414</v>
      </c>
      <c r="E12934" t="s">
        <v>560</v>
      </c>
      <c r="F12934" t="s">
        <v>1068</v>
      </c>
      <c r="G12934" t="s">
        <v>1073</v>
      </c>
      <c r="H12934" s="171" t="s">
        <v>7573</v>
      </c>
      <c r="I12934" t="s">
        <v>1074</v>
      </c>
      <c r="J12934">
        <v>9.7100000000000009</v>
      </c>
    </row>
    <row r="12935" spans="1:10" hidden="1">
      <c r="A12935" t="s">
        <v>7569</v>
      </c>
      <c r="B12935" t="s">
        <v>7570</v>
      </c>
      <c r="C12935" t="s">
        <v>6839</v>
      </c>
      <c r="D12935" t="s">
        <v>2414</v>
      </c>
      <c r="E12935" t="s">
        <v>560</v>
      </c>
      <c r="F12935" t="s">
        <v>1068</v>
      </c>
      <c r="G12935" t="s">
        <v>1075</v>
      </c>
      <c r="H12935">
        <v>4.2496488524968196E-3</v>
      </c>
      <c r="I12935" t="s">
        <v>1077</v>
      </c>
      <c r="J12935">
        <v>9.7100000000000009</v>
      </c>
    </row>
    <row r="12936" spans="1:10" hidden="1">
      <c r="A12936" t="s">
        <v>7569</v>
      </c>
      <c r="B12936" t="s">
        <v>7570</v>
      </c>
      <c r="C12936" t="s">
        <v>6839</v>
      </c>
      <c r="D12936" t="s">
        <v>2414</v>
      </c>
      <c r="E12936" t="s">
        <v>560</v>
      </c>
      <c r="F12936" t="s">
        <v>1068</v>
      </c>
      <c r="G12936" t="s">
        <v>1078</v>
      </c>
      <c r="H12936">
        <v>4.8923121440990501E-2</v>
      </c>
      <c r="I12936" t="s">
        <v>1079</v>
      </c>
      <c r="J12936">
        <v>9.7100000000000009</v>
      </c>
    </row>
    <row r="12937" spans="1:10" hidden="1">
      <c r="A12937" t="s">
        <v>7569</v>
      </c>
      <c r="B12937" t="s">
        <v>7570</v>
      </c>
      <c r="C12937" t="s">
        <v>6839</v>
      </c>
      <c r="D12937" t="s">
        <v>2414</v>
      </c>
      <c r="E12937" t="s">
        <v>560</v>
      </c>
      <c r="F12937" t="s">
        <v>1068</v>
      </c>
      <c r="G12937" t="s">
        <v>1080</v>
      </c>
      <c r="H12937" s="171" t="s">
        <v>6906</v>
      </c>
      <c r="I12937" t="s">
        <v>1082</v>
      </c>
      <c r="J12937">
        <v>9.7100000000000009</v>
      </c>
    </row>
    <row r="12938" spans="1:10" hidden="1">
      <c r="A12938" t="s">
        <v>7569</v>
      </c>
      <c r="B12938" t="s">
        <v>7570</v>
      </c>
      <c r="C12938" t="s">
        <v>6839</v>
      </c>
      <c r="D12938" t="s">
        <v>2414</v>
      </c>
      <c r="E12938" t="s">
        <v>560</v>
      </c>
      <c r="F12938" t="s">
        <v>1068</v>
      </c>
      <c r="G12938" t="s">
        <v>1083</v>
      </c>
      <c r="H12938" s="171" t="s">
        <v>6907</v>
      </c>
      <c r="I12938" t="s">
        <v>1084</v>
      </c>
      <c r="J12938">
        <v>9.7100000000000009</v>
      </c>
    </row>
    <row r="12939" spans="1:10" hidden="1">
      <c r="A12939" t="s">
        <v>7569</v>
      </c>
      <c r="B12939" t="s">
        <v>7570</v>
      </c>
      <c r="C12939" t="s">
        <v>6839</v>
      </c>
      <c r="D12939" t="s">
        <v>2414</v>
      </c>
      <c r="E12939" t="s">
        <v>560</v>
      </c>
      <c r="F12939" t="s">
        <v>1068</v>
      </c>
      <c r="G12939" t="s">
        <v>1085</v>
      </c>
      <c r="H12939">
        <v>1.5485432690824199E-4</v>
      </c>
      <c r="I12939" t="s">
        <v>1086</v>
      </c>
      <c r="J12939">
        <v>9.7100000000000009</v>
      </c>
    </row>
    <row r="12940" spans="1:10" hidden="1">
      <c r="A12940" t="s">
        <v>7569</v>
      </c>
      <c r="B12940" t="s">
        <v>7570</v>
      </c>
      <c r="C12940" t="s">
        <v>6839</v>
      </c>
      <c r="D12940" t="s">
        <v>2414</v>
      </c>
      <c r="E12940" t="s">
        <v>560</v>
      </c>
      <c r="F12940" t="s">
        <v>1068</v>
      </c>
      <c r="G12940" t="s">
        <v>1087</v>
      </c>
      <c r="H12940" s="171" t="s">
        <v>6908</v>
      </c>
      <c r="I12940" t="s">
        <v>1088</v>
      </c>
      <c r="J12940">
        <v>9.7100000000000009</v>
      </c>
    </row>
    <row r="12941" spans="1:10" hidden="1">
      <c r="A12941" t="s">
        <v>7569</v>
      </c>
      <c r="B12941" t="s">
        <v>7570</v>
      </c>
      <c r="C12941" t="s">
        <v>6839</v>
      </c>
      <c r="D12941" t="s">
        <v>2414</v>
      </c>
      <c r="E12941" t="s">
        <v>560</v>
      </c>
      <c r="F12941" t="s">
        <v>1068</v>
      </c>
      <c r="G12941" t="s">
        <v>1089</v>
      </c>
      <c r="H12941" s="171" t="s">
        <v>7377</v>
      </c>
      <c r="I12941" t="s">
        <v>1090</v>
      </c>
      <c r="J12941">
        <v>9.7100000000000009</v>
      </c>
    </row>
    <row r="12942" spans="1:10" hidden="1">
      <c r="A12942" t="s">
        <v>7574</v>
      </c>
      <c r="B12942" t="s">
        <v>7575</v>
      </c>
      <c r="C12942" t="s">
        <v>6839</v>
      </c>
      <c r="D12942" t="s">
        <v>2414</v>
      </c>
      <c r="E12942" t="s">
        <v>1116</v>
      </c>
      <c r="F12942" t="s">
        <v>1068</v>
      </c>
      <c r="G12942" t="s">
        <v>1069</v>
      </c>
      <c r="H12942" s="171" t="s">
        <v>7576</v>
      </c>
      <c r="I12942" t="s">
        <v>1070</v>
      </c>
      <c r="J12942">
        <v>9.61</v>
      </c>
    </row>
    <row r="12943" spans="1:10" hidden="1">
      <c r="A12943" t="s">
        <v>7574</v>
      </c>
      <c r="B12943" t="s">
        <v>7575</v>
      </c>
      <c r="C12943" t="s">
        <v>6839</v>
      </c>
      <c r="D12943" t="s">
        <v>2414</v>
      </c>
      <c r="E12943" t="s">
        <v>1116</v>
      </c>
      <c r="F12943" t="s">
        <v>1068</v>
      </c>
      <c r="G12943" t="s">
        <v>1071</v>
      </c>
      <c r="H12943" s="171" t="s">
        <v>7577</v>
      </c>
      <c r="I12943" t="s">
        <v>1072</v>
      </c>
      <c r="J12943">
        <v>9.61</v>
      </c>
    </row>
    <row r="12944" spans="1:10" hidden="1">
      <c r="A12944" t="s">
        <v>7574</v>
      </c>
      <c r="B12944" t="s">
        <v>7575</v>
      </c>
      <c r="C12944" t="s">
        <v>6839</v>
      </c>
      <c r="D12944" t="s">
        <v>2414</v>
      </c>
      <c r="E12944" t="s">
        <v>1116</v>
      </c>
      <c r="F12944" t="s">
        <v>1068</v>
      </c>
      <c r="G12944" t="s">
        <v>1073</v>
      </c>
      <c r="H12944" s="171" t="s">
        <v>7578</v>
      </c>
      <c r="I12944" t="s">
        <v>1074</v>
      </c>
      <c r="J12944">
        <v>9.61</v>
      </c>
    </row>
    <row r="12945" spans="1:10" hidden="1">
      <c r="A12945" t="s">
        <v>7574</v>
      </c>
      <c r="B12945" t="s">
        <v>7575</v>
      </c>
      <c r="C12945" t="s">
        <v>6839</v>
      </c>
      <c r="D12945" t="s">
        <v>2414</v>
      </c>
      <c r="E12945" t="s">
        <v>1116</v>
      </c>
      <c r="F12945" t="s">
        <v>1068</v>
      </c>
      <c r="G12945" t="s">
        <v>1075</v>
      </c>
      <c r="H12945">
        <v>4.2493789210850197E-3</v>
      </c>
      <c r="I12945" t="s">
        <v>1077</v>
      </c>
      <c r="J12945">
        <v>9.61</v>
      </c>
    </row>
    <row r="12946" spans="1:10" hidden="1">
      <c r="A12946" t="s">
        <v>7574</v>
      </c>
      <c r="B12946" t="s">
        <v>7575</v>
      </c>
      <c r="C12946" t="s">
        <v>6839</v>
      </c>
      <c r="D12946" t="s">
        <v>2414</v>
      </c>
      <c r="E12946" t="s">
        <v>1116</v>
      </c>
      <c r="F12946" t="s">
        <v>1068</v>
      </c>
      <c r="G12946" t="s">
        <v>1078</v>
      </c>
      <c r="H12946">
        <v>4.8911448565512002E-2</v>
      </c>
      <c r="I12946" t="s">
        <v>1079</v>
      </c>
      <c r="J12946">
        <v>9.61</v>
      </c>
    </row>
    <row r="12947" spans="1:10" hidden="1">
      <c r="A12947" t="s">
        <v>7574</v>
      </c>
      <c r="B12947" t="s">
        <v>7575</v>
      </c>
      <c r="C12947" t="s">
        <v>6839</v>
      </c>
      <c r="D12947" t="s">
        <v>2414</v>
      </c>
      <c r="E12947" t="s">
        <v>1116</v>
      </c>
      <c r="F12947" t="s">
        <v>1068</v>
      </c>
      <c r="G12947" t="s">
        <v>1080</v>
      </c>
      <c r="H12947" s="171" t="s">
        <v>7383</v>
      </c>
      <c r="I12947" t="s">
        <v>1082</v>
      </c>
      <c r="J12947">
        <v>9.61</v>
      </c>
    </row>
    <row r="12948" spans="1:10" hidden="1">
      <c r="A12948" t="s">
        <v>7574</v>
      </c>
      <c r="B12948" t="s">
        <v>7575</v>
      </c>
      <c r="C12948" t="s">
        <v>6839</v>
      </c>
      <c r="D12948" t="s">
        <v>2414</v>
      </c>
      <c r="E12948" t="s">
        <v>1116</v>
      </c>
      <c r="F12948" t="s">
        <v>1068</v>
      </c>
      <c r="G12948" t="s">
        <v>1083</v>
      </c>
      <c r="H12948" s="171" t="s">
        <v>7384</v>
      </c>
      <c r="I12948" t="s">
        <v>1084</v>
      </c>
      <c r="J12948">
        <v>9.61</v>
      </c>
    </row>
    <row r="12949" spans="1:10" hidden="1">
      <c r="A12949" t="s">
        <v>7574</v>
      </c>
      <c r="B12949" t="s">
        <v>7575</v>
      </c>
      <c r="C12949" t="s">
        <v>6839</v>
      </c>
      <c r="D12949" t="s">
        <v>2414</v>
      </c>
      <c r="E12949" t="s">
        <v>1116</v>
      </c>
      <c r="F12949" t="s">
        <v>1068</v>
      </c>
      <c r="G12949" t="s">
        <v>1085</v>
      </c>
      <c r="H12949">
        <v>1.54839657380571E-4</v>
      </c>
      <c r="I12949" t="s">
        <v>1086</v>
      </c>
      <c r="J12949">
        <v>9.61</v>
      </c>
    </row>
    <row r="12950" spans="1:10" hidden="1">
      <c r="A12950" t="s">
        <v>7574</v>
      </c>
      <c r="B12950" t="s">
        <v>7575</v>
      </c>
      <c r="C12950" t="s">
        <v>6839</v>
      </c>
      <c r="D12950" t="s">
        <v>2414</v>
      </c>
      <c r="E12950" t="s">
        <v>1116</v>
      </c>
      <c r="F12950" t="s">
        <v>1068</v>
      </c>
      <c r="G12950" t="s">
        <v>1087</v>
      </c>
      <c r="H12950" s="171" t="s">
        <v>7385</v>
      </c>
      <c r="I12950" t="s">
        <v>1088</v>
      </c>
      <c r="J12950">
        <v>9.61</v>
      </c>
    </row>
    <row r="12951" spans="1:10" hidden="1">
      <c r="A12951" t="s">
        <v>7574</v>
      </c>
      <c r="B12951" t="s">
        <v>7575</v>
      </c>
      <c r="C12951" t="s">
        <v>6839</v>
      </c>
      <c r="D12951" t="s">
        <v>2414</v>
      </c>
      <c r="E12951" t="s">
        <v>1116</v>
      </c>
      <c r="F12951" t="s">
        <v>1068</v>
      </c>
      <c r="G12951" t="s">
        <v>1089</v>
      </c>
      <c r="H12951" s="171" t="s">
        <v>7386</v>
      </c>
      <c r="I12951" t="s">
        <v>1090</v>
      </c>
      <c r="J12951">
        <v>9.61</v>
      </c>
    </row>
    <row r="12952" spans="1:10" hidden="1">
      <c r="A12952" t="s">
        <v>7579</v>
      </c>
      <c r="B12952" t="s">
        <v>7580</v>
      </c>
      <c r="C12952" t="s">
        <v>6839</v>
      </c>
      <c r="D12952" t="s">
        <v>2502</v>
      </c>
      <c r="E12952" t="s">
        <v>561</v>
      </c>
      <c r="F12952" t="s">
        <v>1068</v>
      </c>
      <c r="G12952" t="s">
        <v>1069</v>
      </c>
      <c r="H12952" s="171" t="s">
        <v>7581</v>
      </c>
      <c r="I12952" t="s">
        <v>1070</v>
      </c>
      <c r="J12952">
        <v>9.1</v>
      </c>
    </row>
    <row r="12953" spans="1:10" hidden="1">
      <c r="A12953" t="s">
        <v>7579</v>
      </c>
      <c r="B12953" t="s">
        <v>7580</v>
      </c>
      <c r="C12953" t="s">
        <v>6839</v>
      </c>
      <c r="D12953" t="s">
        <v>2502</v>
      </c>
      <c r="E12953" t="s">
        <v>561</v>
      </c>
      <c r="F12953" t="s">
        <v>1068</v>
      </c>
      <c r="G12953" t="s">
        <v>1071</v>
      </c>
      <c r="H12953" s="171" t="s">
        <v>7582</v>
      </c>
      <c r="I12953" t="s">
        <v>1072</v>
      </c>
      <c r="J12953">
        <v>9.1</v>
      </c>
    </row>
    <row r="12954" spans="1:10" hidden="1">
      <c r="A12954" t="s">
        <v>7579</v>
      </c>
      <c r="B12954" t="s">
        <v>7580</v>
      </c>
      <c r="C12954" t="s">
        <v>6839</v>
      </c>
      <c r="D12954" t="s">
        <v>2502</v>
      </c>
      <c r="E12954" t="s">
        <v>561</v>
      </c>
      <c r="F12954" t="s">
        <v>1068</v>
      </c>
      <c r="G12954" t="s">
        <v>1073</v>
      </c>
      <c r="H12954" s="171" t="s">
        <v>7583</v>
      </c>
      <c r="I12954" t="s">
        <v>1074</v>
      </c>
      <c r="J12954">
        <v>9.1</v>
      </c>
    </row>
    <row r="12955" spans="1:10" hidden="1">
      <c r="A12955" t="s">
        <v>7579</v>
      </c>
      <c r="B12955" t="s">
        <v>7580</v>
      </c>
      <c r="C12955" t="s">
        <v>6839</v>
      </c>
      <c r="D12955" t="s">
        <v>2502</v>
      </c>
      <c r="E12955" t="s">
        <v>561</v>
      </c>
      <c r="F12955" t="s">
        <v>1068</v>
      </c>
      <c r="G12955" t="s">
        <v>1075</v>
      </c>
      <c r="H12955">
        <v>4.81284052651813E-3</v>
      </c>
      <c r="I12955" t="s">
        <v>1077</v>
      </c>
      <c r="J12955">
        <v>9.1</v>
      </c>
    </row>
    <row r="12956" spans="1:10" hidden="1">
      <c r="A12956" t="s">
        <v>7579</v>
      </c>
      <c r="B12956" t="s">
        <v>7580</v>
      </c>
      <c r="C12956" t="s">
        <v>6839</v>
      </c>
      <c r="D12956" t="s">
        <v>2502</v>
      </c>
      <c r="E12956" t="s">
        <v>561</v>
      </c>
      <c r="F12956" t="s">
        <v>1068</v>
      </c>
      <c r="G12956" t="s">
        <v>1078</v>
      </c>
      <c r="H12956" s="171" t="s">
        <v>7584</v>
      </c>
      <c r="I12956" t="s">
        <v>1079</v>
      </c>
      <c r="J12956">
        <v>9.1</v>
      </c>
    </row>
    <row r="12957" spans="1:10" hidden="1">
      <c r="A12957" t="s">
        <v>7579</v>
      </c>
      <c r="B12957" t="s">
        <v>7580</v>
      </c>
      <c r="C12957" t="s">
        <v>6839</v>
      </c>
      <c r="D12957" t="s">
        <v>2502</v>
      </c>
      <c r="E12957" t="s">
        <v>561</v>
      </c>
      <c r="F12957" t="s">
        <v>1068</v>
      </c>
      <c r="G12957" t="s">
        <v>1080</v>
      </c>
      <c r="H12957" s="171" t="s">
        <v>7585</v>
      </c>
      <c r="I12957" t="s">
        <v>1082</v>
      </c>
      <c r="J12957">
        <v>9.1</v>
      </c>
    </row>
    <row r="12958" spans="1:10" hidden="1">
      <c r="A12958" t="s">
        <v>7579</v>
      </c>
      <c r="B12958" t="s">
        <v>7580</v>
      </c>
      <c r="C12958" t="s">
        <v>6839</v>
      </c>
      <c r="D12958" t="s">
        <v>2502</v>
      </c>
      <c r="E12958" t="s">
        <v>561</v>
      </c>
      <c r="F12958" t="s">
        <v>1068</v>
      </c>
      <c r="G12958" t="s">
        <v>1083</v>
      </c>
      <c r="H12958" s="171" t="s">
        <v>7586</v>
      </c>
      <c r="I12958" t="s">
        <v>1084</v>
      </c>
      <c r="J12958">
        <v>9.1</v>
      </c>
    </row>
    <row r="12959" spans="1:10" hidden="1">
      <c r="A12959" t="s">
        <v>7579</v>
      </c>
      <c r="B12959" t="s">
        <v>7580</v>
      </c>
      <c r="C12959" t="s">
        <v>6839</v>
      </c>
      <c r="D12959" t="s">
        <v>2502</v>
      </c>
      <c r="E12959" t="s">
        <v>561</v>
      </c>
      <c r="F12959" t="s">
        <v>1068</v>
      </c>
      <c r="G12959" t="s">
        <v>1085</v>
      </c>
      <c r="H12959">
        <v>1.75131152046336E-4</v>
      </c>
      <c r="I12959" t="s">
        <v>1086</v>
      </c>
      <c r="J12959">
        <v>9.1</v>
      </c>
    </row>
    <row r="12960" spans="1:10" hidden="1">
      <c r="A12960" t="s">
        <v>7579</v>
      </c>
      <c r="B12960" t="s">
        <v>7580</v>
      </c>
      <c r="C12960" t="s">
        <v>6839</v>
      </c>
      <c r="D12960" t="s">
        <v>2502</v>
      </c>
      <c r="E12960" t="s">
        <v>561</v>
      </c>
      <c r="F12960" t="s">
        <v>1068</v>
      </c>
      <c r="G12960" t="s">
        <v>1087</v>
      </c>
      <c r="H12960" s="171" t="s">
        <v>7587</v>
      </c>
      <c r="I12960" t="s">
        <v>1088</v>
      </c>
      <c r="J12960">
        <v>9.1</v>
      </c>
    </row>
    <row r="12961" spans="1:10" hidden="1">
      <c r="A12961" t="s">
        <v>7579</v>
      </c>
      <c r="B12961" t="s">
        <v>7580</v>
      </c>
      <c r="C12961" t="s">
        <v>6839</v>
      </c>
      <c r="D12961" t="s">
        <v>2502</v>
      </c>
      <c r="E12961" t="s">
        <v>561</v>
      </c>
      <c r="F12961" t="s">
        <v>1068</v>
      </c>
      <c r="G12961" t="s">
        <v>1089</v>
      </c>
      <c r="H12961" s="171" t="s">
        <v>7588</v>
      </c>
      <c r="I12961" t="s">
        <v>1090</v>
      </c>
      <c r="J12961">
        <v>9.1</v>
      </c>
    </row>
    <row r="12962" spans="1:10" hidden="1">
      <c r="A12962" t="s">
        <v>7589</v>
      </c>
      <c r="B12962" t="s">
        <v>7590</v>
      </c>
      <c r="C12962" t="s">
        <v>6839</v>
      </c>
      <c r="D12962" t="s">
        <v>2502</v>
      </c>
      <c r="E12962" t="s">
        <v>555</v>
      </c>
      <c r="F12962" t="s">
        <v>1068</v>
      </c>
      <c r="G12962" t="s">
        <v>1069</v>
      </c>
      <c r="H12962" s="171" t="s">
        <v>7591</v>
      </c>
      <c r="I12962" t="s">
        <v>1070</v>
      </c>
      <c r="J12962">
        <v>9.9</v>
      </c>
    </row>
    <row r="12963" spans="1:10" hidden="1">
      <c r="A12963" t="s">
        <v>7589</v>
      </c>
      <c r="B12963" t="s">
        <v>7590</v>
      </c>
      <c r="C12963" t="s">
        <v>6839</v>
      </c>
      <c r="D12963" t="s">
        <v>2502</v>
      </c>
      <c r="E12963" t="s">
        <v>555</v>
      </c>
      <c r="F12963" t="s">
        <v>1068</v>
      </c>
      <c r="G12963" t="s">
        <v>1071</v>
      </c>
      <c r="H12963" s="171" t="s">
        <v>7592</v>
      </c>
      <c r="I12963" t="s">
        <v>1072</v>
      </c>
      <c r="J12963">
        <v>9.9</v>
      </c>
    </row>
    <row r="12964" spans="1:10" hidden="1">
      <c r="A12964" t="s">
        <v>7589</v>
      </c>
      <c r="B12964" t="s">
        <v>7590</v>
      </c>
      <c r="C12964" t="s">
        <v>6839</v>
      </c>
      <c r="D12964" t="s">
        <v>2502</v>
      </c>
      <c r="E12964" t="s">
        <v>555</v>
      </c>
      <c r="F12964" t="s">
        <v>1068</v>
      </c>
      <c r="G12964" t="s">
        <v>1073</v>
      </c>
      <c r="H12964" s="171" t="s">
        <v>7593</v>
      </c>
      <c r="I12964" t="s">
        <v>1074</v>
      </c>
      <c r="J12964">
        <v>9.9</v>
      </c>
    </row>
    <row r="12965" spans="1:10" hidden="1">
      <c r="A12965" t="s">
        <v>7589</v>
      </c>
      <c r="B12965" t="s">
        <v>7590</v>
      </c>
      <c r="C12965" t="s">
        <v>6839</v>
      </c>
      <c r="D12965" t="s">
        <v>2502</v>
      </c>
      <c r="E12965" t="s">
        <v>555</v>
      </c>
      <c r="F12965" t="s">
        <v>1068</v>
      </c>
      <c r="G12965" t="s">
        <v>1075</v>
      </c>
      <c r="H12965">
        <v>4.8133076711076002E-3</v>
      </c>
      <c r="I12965" t="s">
        <v>1077</v>
      </c>
      <c r="J12965">
        <v>9.9</v>
      </c>
    </row>
    <row r="12966" spans="1:10" hidden="1">
      <c r="A12966" t="s">
        <v>7589</v>
      </c>
      <c r="B12966" t="s">
        <v>7590</v>
      </c>
      <c r="C12966" t="s">
        <v>6839</v>
      </c>
      <c r="D12966" t="s">
        <v>2502</v>
      </c>
      <c r="E12966" t="s">
        <v>555</v>
      </c>
      <c r="F12966" t="s">
        <v>1068</v>
      </c>
      <c r="G12966" t="s">
        <v>1078</v>
      </c>
      <c r="H12966" s="171" t="s">
        <v>7594</v>
      </c>
      <c r="I12966" t="s">
        <v>1079</v>
      </c>
      <c r="J12966">
        <v>9.9</v>
      </c>
    </row>
    <row r="12967" spans="1:10" hidden="1">
      <c r="A12967" t="s">
        <v>7589</v>
      </c>
      <c r="B12967" t="s">
        <v>7590</v>
      </c>
      <c r="C12967" t="s">
        <v>6839</v>
      </c>
      <c r="D12967" t="s">
        <v>2502</v>
      </c>
      <c r="E12967" t="s">
        <v>555</v>
      </c>
      <c r="F12967" t="s">
        <v>1068</v>
      </c>
      <c r="G12967" t="s">
        <v>1080</v>
      </c>
      <c r="H12967" s="171" t="s">
        <v>7595</v>
      </c>
      <c r="I12967" t="s">
        <v>1082</v>
      </c>
      <c r="J12967">
        <v>9.9</v>
      </c>
    </row>
    <row r="12968" spans="1:10" hidden="1">
      <c r="A12968" t="s">
        <v>7589</v>
      </c>
      <c r="B12968" t="s">
        <v>7590</v>
      </c>
      <c r="C12968" t="s">
        <v>6839</v>
      </c>
      <c r="D12968" t="s">
        <v>2502</v>
      </c>
      <c r="E12968" t="s">
        <v>555</v>
      </c>
      <c r="F12968" t="s">
        <v>1068</v>
      </c>
      <c r="G12968" t="s">
        <v>1083</v>
      </c>
      <c r="H12968" s="171" t="s">
        <v>7596</v>
      </c>
      <c r="I12968" t="s">
        <v>1084</v>
      </c>
      <c r="J12968">
        <v>9.9</v>
      </c>
    </row>
    <row r="12969" spans="1:10" hidden="1">
      <c r="A12969" t="s">
        <v>7589</v>
      </c>
      <c r="B12969" t="s">
        <v>7590</v>
      </c>
      <c r="C12969" t="s">
        <v>6839</v>
      </c>
      <c r="D12969" t="s">
        <v>2502</v>
      </c>
      <c r="E12969" t="s">
        <v>555</v>
      </c>
      <c r="F12969" t="s">
        <v>1068</v>
      </c>
      <c r="G12969" t="s">
        <v>1085</v>
      </c>
      <c r="H12969">
        <v>1.75156535257908E-4</v>
      </c>
      <c r="I12969" t="s">
        <v>1086</v>
      </c>
      <c r="J12969">
        <v>9.9</v>
      </c>
    </row>
    <row r="12970" spans="1:10" hidden="1">
      <c r="A12970" t="s">
        <v>7589</v>
      </c>
      <c r="B12970" t="s">
        <v>7590</v>
      </c>
      <c r="C12970" t="s">
        <v>6839</v>
      </c>
      <c r="D12970" t="s">
        <v>2502</v>
      </c>
      <c r="E12970" t="s">
        <v>555</v>
      </c>
      <c r="F12970" t="s">
        <v>1068</v>
      </c>
      <c r="G12970" t="s">
        <v>1087</v>
      </c>
      <c r="H12970" s="171" t="s">
        <v>7597</v>
      </c>
      <c r="I12970" t="s">
        <v>1088</v>
      </c>
      <c r="J12970">
        <v>9.9</v>
      </c>
    </row>
    <row r="12971" spans="1:10" hidden="1">
      <c r="A12971" t="s">
        <v>7589</v>
      </c>
      <c r="B12971" t="s">
        <v>7590</v>
      </c>
      <c r="C12971" t="s">
        <v>6839</v>
      </c>
      <c r="D12971" t="s">
        <v>2502</v>
      </c>
      <c r="E12971" t="s">
        <v>555</v>
      </c>
      <c r="F12971" t="s">
        <v>1068</v>
      </c>
      <c r="G12971" t="s">
        <v>1089</v>
      </c>
      <c r="H12971" s="171" t="s">
        <v>7598</v>
      </c>
      <c r="I12971" t="s">
        <v>1090</v>
      </c>
      <c r="J12971">
        <v>9.9</v>
      </c>
    </row>
    <row r="12972" spans="1:10" hidden="1">
      <c r="A12972" t="s">
        <v>7599</v>
      </c>
      <c r="B12972" t="s">
        <v>7600</v>
      </c>
      <c r="C12972" t="s">
        <v>6839</v>
      </c>
      <c r="D12972" t="s">
        <v>2502</v>
      </c>
      <c r="E12972" t="s">
        <v>558</v>
      </c>
      <c r="F12972" t="s">
        <v>1068</v>
      </c>
      <c r="G12972" t="s">
        <v>1069</v>
      </c>
      <c r="H12972" s="171" t="s">
        <v>7601</v>
      </c>
      <c r="I12972" t="s">
        <v>1070</v>
      </c>
      <c r="J12972">
        <v>8.65</v>
      </c>
    </row>
    <row r="12973" spans="1:10" hidden="1">
      <c r="A12973" t="s">
        <v>7599</v>
      </c>
      <c r="B12973" t="s">
        <v>7600</v>
      </c>
      <c r="C12973" t="s">
        <v>6839</v>
      </c>
      <c r="D12973" t="s">
        <v>2502</v>
      </c>
      <c r="E12973" t="s">
        <v>558</v>
      </c>
      <c r="F12973" t="s">
        <v>1068</v>
      </c>
      <c r="G12973" t="s">
        <v>1071</v>
      </c>
      <c r="H12973" s="171" t="s">
        <v>7602</v>
      </c>
      <c r="I12973" t="s">
        <v>1072</v>
      </c>
      <c r="J12973">
        <v>8.65</v>
      </c>
    </row>
    <row r="12974" spans="1:10" hidden="1">
      <c r="A12974" t="s">
        <v>7599</v>
      </c>
      <c r="B12974" t="s">
        <v>7600</v>
      </c>
      <c r="C12974" t="s">
        <v>6839</v>
      </c>
      <c r="D12974" t="s">
        <v>2502</v>
      </c>
      <c r="E12974" t="s">
        <v>558</v>
      </c>
      <c r="F12974" t="s">
        <v>1068</v>
      </c>
      <c r="G12974" t="s">
        <v>1073</v>
      </c>
      <c r="H12974" s="171" t="s">
        <v>7603</v>
      </c>
      <c r="I12974" t="s">
        <v>1074</v>
      </c>
      <c r="J12974">
        <v>8.65</v>
      </c>
    </row>
    <row r="12975" spans="1:10" hidden="1">
      <c r="A12975" t="s">
        <v>7599</v>
      </c>
      <c r="B12975" t="s">
        <v>7600</v>
      </c>
      <c r="C12975" t="s">
        <v>6839</v>
      </c>
      <c r="D12975" t="s">
        <v>2502</v>
      </c>
      <c r="E12975" t="s">
        <v>558</v>
      </c>
      <c r="F12975" t="s">
        <v>1068</v>
      </c>
      <c r="G12975" t="s">
        <v>1075</v>
      </c>
      <c r="H12975">
        <v>4.8128014293411896E-3</v>
      </c>
      <c r="I12975" t="s">
        <v>1077</v>
      </c>
      <c r="J12975">
        <v>8.65</v>
      </c>
    </row>
    <row r="12976" spans="1:10" hidden="1">
      <c r="A12976" t="s">
        <v>7599</v>
      </c>
      <c r="B12976" t="s">
        <v>7600</v>
      </c>
      <c r="C12976" t="s">
        <v>6839</v>
      </c>
      <c r="D12976" t="s">
        <v>2502</v>
      </c>
      <c r="E12976" t="s">
        <v>558</v>
      </c>
      <c r="F12976" t="s">
        <v>1068</v>
      </c>
      <c r="G12976" t="s">
        <v>1078</v>
      </c>
      <c r="H12976" s="171" t="s">
        <v>7604</v>
      </c>
      <c r="I12976" t="s">
        <v>1079</v>
      </c>
      <c r="J12976">
        <v>8.65</v>
      </c>
    </row>
    <row r="12977" spans="1:10" hidden="1">
      <c r="A12977" t="s">
        <v>7599</v>
      </c>
      <c r="B12977" t="s">
        <v>7600</v>
      </c>
      <c r="C12977" t="s">
        <v>6839</v>
      </c>
      <c r="D12977" t="s">
        <v>2502</v>
      </c>
      <c r="E12977" t="s">
        <v>558</v>
      </c>
      <c r="F12977" t="s">
        <v>1068</v>
      </c>
      <c r="G12977" t="s">
        <v>1080</v>
      </c>
      <c r="H12977" s="171" t="s">
        <v>7605</v>
      </c>
      <c r="I12977" t="s">
        <v>1082</v>
      </c>
      <c r="J12977">
        <v>8.65</v>
      </c>
    </row>
    <row r="12978" spans="1:10" hidden="1">
      <c r="A12978" t="s">
        <v>7599</v>
      </c>
      <c r="B12978" t="s">
        <v>7600</v>
      </c>
      <c r="C12978" t="s">
        <v>6839</v>
      </c>
      <c r="D12978" t="s">
        <v>2502</v>
      </c>
      <c r="E12978" t="s">
        <v>558</v>
      </c>
      <c r="F12978" t="s">
        <v>1068</v>
      </c>
      <c r="G12978" t="s">
        <v>1083</v>
      </c>
      <c r="H12978" s="171" t="s">
        <v>7606</v>
      </c>
      <c r="I12978" t="s">
        <v>1084</v>
      </c>
      <c r="J12978">
        <v>8.65</v>
      </c>
    </row>
    <row r="12979" spans="1:10" hidden="1">
      <c r="A12979" t="s">
        <v>7599</v>
      </c>
      <c r="B12979" t="s">
        <v>7600</v>
      </c>
      <c r="C12979" t="s">
        <v>6839</v>
      </c>
      <c r="D12979" t="s">
        <v>2502</v>
      </c>
      <c r="E12979" t="s">
        <v>558</v>
      </c>
      <c r="F12979" t="s">
        <v>1068</v>
      </c>
      <c r="G12979" t="s">
        <v>1085</v>
      </c>
      <c r="H12979">
        <v>1.7512902729502E-4</v>
      </c>
      <c r="I12979" t="s">
        <v>1086</v>
      </c>
      <c r="J12979">
        <v>8.65</v>
      </c>
    </row>
    <row r="12980" spans="1:10" hidden="1">
      <c r="A12980" t="s">
        <v>7599</v>
      </c>
      <c r="B12980" t="s">
        <v>7600</v>
      </c>
      <c r="C12980" t="s">
        <v>6839</v>
      </c>
      <c r="D12980" t="s">
        <v>2502</v>
      </c>
      <c r="E12980" t="s">
        <v>558</v>
      </c>
      <c r="F12980" t="s">
        <v>1068</v>
      </c>
      <c r="G12980" t="s">
        <v>1087</v>
      </c>
      <c r="H12980" s="171" t="s">
        <v>7607</v>
      </c>
      <c r="I12980" t="s">
        <v>1088</v>
      </c>
      <c r="J12980">
        <v>8.65</v>
      </c>
    </row>
    <row r="12981" spans="1:10" hidden="1">
      <c r="A12981" t="s">
        <v>7599</v>
      </c>
      <c r="B12981" t="s">
        <v>7600</v>
      </c>
      <c r="C12981" t="s">
        <v>6839</v>
      </c>
      <c r="D12981" t="s">
        <v>2502</v>
      </c>
      <c r="E12981" t="s">
        <v>558</v>
      </c>
      <c r="F12981" t="s">
        <v>1068</v>
      </c>
      <c r="G12981" t="s">
        <v>1089</v>
      </c>
      <c r="H12981" s="171" t="s">
        <v>7608</v>
      </c>
      <c r="I12981" t="s">
        <v>1090</v>
      </c>
      <c r="J12981">
        <v>8.65</v>
      </c>
    </row>
    <row r="12982" spans="1:10" hidden="1">
      <c r="A12982" t="s">
        <v>7609</v>
      </c>
      <c r="B12982" t="s">
        <v>7610</v>
      </c>
      <c r="C12982" t="s">
        <v>6839</v>
      </c>
      <c r="D12982" t="s">
        <v>2502</v>
      </c>
      <c r="E12982" t="s">
        <v>553</v>
      </c>
      <c r="F12982" t="s">
        <v>1068</v>
      </c>
      <c r="G12982" t="s">
        <v>1069</v>
      </c>
      <c r="H12982" s="171" t="s">
        <v>7611</v>
      </c>
      <c r="I12982" t="s">
        <v>1070</v>
      </c>
      <c r="J12982">
        <v>8.64</v>
      </c>
    </row>
    <row r="12983" spans="1:10" hidden="1">
      <c r="A12983" t="s">
        <v>7609</v>
      </c>
      <c r="B12983" t="s">
        <v>7610</v>
      </c>
      <c r="C12983" t="s">
        <v>6839</v>
      </c>
      <c r="D12983" t="s">
        <v>2502</v>
      </c>
      <c r="E12983" t="s">
        <v>553</v>
      </c>
      <c r="F12983" t="s">
        <v>1068</v>
      </c>
      <c r="G12983" t="s">
        <v>1071</v>
      </c>
      <c r="H12983" s="171" t="s">
        <v>7612</v>
      </c>
      <c r="I12983" t="s">
        <v>1072</v>
      </c>
      <c r="J12983">
        <v>8.64</v>
      </c>
    </row>
    <row r="12984" spans="1:10" hidden="1">
      <c r="A12984" t="s">
        <v>7609</v>
      </c>
      <c r="B12984" t="s">
        <v>7610</v>
      </c>
      <c r="C12984" t="s">
        <v>6839</v>
      </c>
      <c r="D12984" t="s">
        <v>2502</v>
      </c>
      <c r="E12984" t="s">
        <v>553</v>
      </c>
      <c r="F12984" t="s">
        <v>1068</v>
      </c>
      <c r="G12984" t="s">
        <v>1073</v>
      </c>
      <c r="H12984" s="171" t="s">
        <v>7613</v>
      </c>
      <c r="I12984" t="s">
        <v>1074</v>
      </c>
      <c r="J12984">
        <v>8.64</v>
      </c>
    </row>
    <row r="12985" spans="1:10" hidden="1">
      <c r="A12985" t="s">
        <v>7609</v>
      </c>
      <c r="B12985" t="s">
        <v>7610</v>
      </c>
      <c r="C12985" t="s">
        <v>6839</v>
      </c>
      <c r="D12985" t="s">
        <v>2502</v>
      </c>
      <c r="E12985" t="s">
        <v>553</v>
      </c>
      <c r="F12985" t="s">
        <v>1068</v>
      </c>
      <c r="G12985" t="s">
        <v>1075</v>
      </c>
      <c r="H12985">
        <v>4.8127855676958504E-3</v>
      </c>
      <c r="I12985" t="s">
        <v>1077</v>
      </c>
      <c r="J12985">
        <v>8.64</v>
      </c>
    </row>
    <row r="12986" spans="1:10" hidden="1">
      <c r="A12986" t="s">
        <v>7609</v>
      </c>
      <c r="B12986" t="s">
        <v>7610</v>
      </c>
      <c r="C12986" t="s">
        <v>6839</v>
      </c>
      <c r="D12986" t="s">
        <v>2502</v>
      </c>
      <c r="E12986" t="s">
        <v>553</v>
      </c>
      <c r="F12986" t="s">
        <v>1068</v>
      </c>
      <c r="G12986" t="s">
        <v>1078</v>
      </c>
      <c r="H12986" s="171" t="s">
        <v>7614</v>
      </c>
      <c r="I12986" t="s">
        <v>1079</v>
      </c>
      <c r="J12986">
        <v>8.64</v>
      </c>
    </row>
    <row r="12987" spans="1:10" hidden="1">
      <c r="A12987" t="s">
        <v>7609</v>
      </c>
      <c r="B12987" t="s">
        <v>7610</v>
      </c>
      <c r="C12987" t="s">
        <v>6839</v>
      </c>
      <c r="D12987" t="s">
        <v>2502</v>
      </c>
      <c r="E12987" t="s">
        <v>553</v>
      </c>
      <c r="F12987" t="s">
        <v>1068</v>
      </c>
      <c r="G12987" t="s">
        <v>1080</v>
      </c>
      <c r="H12987" s="171" t="s">
        <v>7615</v>
      </c>
      <c r="I12987" t="s">
        <v>1082</v>
      </c>
      <c r="J12987">
        <v>8.64</v>
      </c>
    </row>
    <row r="12988" spans="1:10" hidden="1">
      <c r="A12988" t="s">
        <v>7609</v>
      </c>
      <c r="B12988" t="s">
        <v>7610</v>
      </c>
      <c r="C12988" t="s">
        <v>6839</v>
      </c>
      <c r="D12988" t="s">
        <v>2502</v>
      </c>
      <c r="E12988" t="s">
        <v>553</v>
      </c>
      <c r="F12988" t="s">
        <v>1068</v>
      </c>
      <c r="G12988" t="s">
        <v>1083</v>
      </c>
      <c r="H12988" s="171" t="s">
        <v>7616</v>
      </c>
      <c r="I12988" t="s">
        <v>1084</v>
      </c>
      <c r="J12988">
        <v>8.64</v>
      </c>
    </row>
    <row r="12989" spans="1:10" hidden="1">
      <c r="A12989" t="s">
        <v>7609</v>
      </c>
      <c r="B12989" t="s">
        <v>7610</v>
      </c>
      <c r="C12989" t="s">
        <v>6839</v>
      </c>
      <c r="D12989" t="s">
        <v>2502</v>
      </c>
      <c r="E12989" t="s">
        <v>553</v>
      </c>
      <c r="F12989" t="s">
        <v>1068</v>
      </c>
      <c r="G12989" t="s">
        <v>1085</v>
      </c>
      <c r="H12989">
        <v>1.7512816134473299E-4</v>
      </c>
      <c r="I12989" t="s">
        <v>1086</v>
      </c>
      <c r="J12989">
        <v>8.64</v>
      </c>
    </row>
    <row r="12990" spans="1:10" hidden="1">
      <c r="A12990" t="s">
        <v>7609</v>
      </c>
      <c r="B12990" t="s">
        <v>7610</v>
      </c>
      <c r="C12990" t="s">
        <v>6839</v>
      </c>
      <c r="D12990" t="s">
        <v>2502</v>
      </c>
      <c r="E12990" t="s">
        <v>553</v>
      </c>
      <c r="F12990" t="s">
        <v>1068</v>
      </c>
      <c r="G12990" t="s">
        <v>1087</v>
      </c>
      <c r="H12990" s="171" t="s">
        <v>7617</v>
      </c>
      <c r="I12990" t="s">
        <v>1088</v>
      </c>
      <c r="J12990">
        <v>8.64</v>
      </c>
    </row>
    <row r="12991" spans="1:10" hidden="1">
      <c r="A12991" t="s">
        <v>7609</v>
      </c>
      <c r="B12991" t="s">
        <v>7610</v>
      </c>
      <c r="C12991" t="s">
        <v>6839</v>
      </c>
      <c r="D12991" t="s">
        <v>2502</v>
      </c>
      <c r="E12991" t="s">
        <v>553</v>
      </c>
      <c r="F12991" t="s">
        <v>1068</v>
      </c>
      <c r="G12991" t="s">
        <v>1089</v>
      </c>
      <c r="H12991" s="171" t="s">
        <v>7618</v>
      </c>
      <c r="I12991" t="s">
        <v>1090</v>
      </c>
      <c r="J12991">
        <v>8.64</v>
      </c>
    </row>
    <row r="12992" spans="1:10" hidden="1">
      <c r="A12992" t="s">
        <v>7619</v>
      </c>
      <c r="B12992" t="s">
        <v>7620</v>
      </c>
      <c r="C12992" t="s">
        <v>6839</v>
      </c>
      <c r="D12992" t="s">
        <v>2502</v>
      </c>
      <c r="E12992" t="s">
        <v>556</v>
      </c>
      <c r="F12992" t="s">
        <v>1068</v>
      </c>
      <c r="G12992" t="s">
        <v>1069</v>
      </c>
      <c r="H12992" s="171" t="s">
        <v>7621</v>
      </c>
      <c r="I12992" t="s">
        <v>1070</v>
      </c>
      <c r="J12992">
        <v>9.6</v>
      </c>
    </row>
    <row r="12993" spans="1:10" hidden="1">
      <c r="A12993" t="s">
        <v>7619</v>
      </c>
      <c r="B12993" t="s">
        <v>7620</v>
      </c>
      <c r="C12993" t="s">
        <v>6839</v>
      </c>
      <c r="D12993" t="s">
        <v>2502</v>
      </c>
      <c r="E12993" t="s">
        <v>556</v>
      </c>
      <c r="F12993" t="s">
        <v>1068</v>
      </c>
      <c r="G12993" t="s">
        <v>1071</v>
      </c>
      <c r="H12993" s="171" t="s">
        <v>7622</v>
      </c>
      <c r="I12993" t="s">
        <v>1072</v>
      </c>
      <c r="J12993">
        <v>9.6</v>
      </c>
    </row>
    <row r="12994" spans="1:10" hidden="1">
      <c r="A12994" t="s">
        <v>7619</v>
      </c>
      <c r="B12994" t="s">
        <v>7620</v>
      </c>
      <c r="C12994" t="s">
        <v>6839</v>
      </c>
      <c r="D12994" t="s">
        <v>2502</v>
      </c>
      <c r="E12994" t="s">
        <v>556</v>
      </c>
      <c r="F12994" t="s">
        <v>1068</v>
      </c>
      <c r="G12994" t="s">
        <v>1073</v>
      </c>
      <c r="H12994" s="171" t="s">
        <v>7623</v>
      </c>
      <c r="I12994" t="s">
        <v>1074</v>
      </c>
      <c r="J12994">
        <v>9.6</v>
      </c>
    </row>
    <row r="12995" spans="1:10" hidden="1">
      <c r="A12995" t="s">
        <v>7619</v>
      </c>
      <c r="B12995" t="s">
        <v>7620</v>
      </c>
      <c r="C12995" t="s">
        <v>6839</v>
      </c>
      <c r="D12995" t="s">
        <v>2502</v>
      </c>
      <c r="E12995" t="s">
        <v>556</v>
      </c>
      <c r="F12995" t="s">
        <v>1068</v>
      </c>
      <c r="G12995" t="s">
        <v>1075</v>
      </c>
      <c r="H12995">
        <v>4.8132585974351699E-3</v>
      </c>
      <c r="I12995" t="s">
        <v>1077</v>
      </c>
      <c r="J12995">
        <v>9.6</v>
      </c>
    </row>
    <row r="12996" spans="1:10" hidden="1">
      <c r="A12996" t="s">
        <v>7619</v>
      </c>
      <c r="B12996" t="s">
        <v>7620</v>
      </c>
      <c r="C12996" t="s">
        <v>6839</v>
      </c>
      <c r="D12996" t="s">
        <v>2502</v>
      </c>
      <c r="E12996" t="s">
        <v>556</v>
      </c>
      <c r="F12996" t="s">
        <v>1068</v>
      </c>
      <c r="G12996" t="s">
        <v>1078</v>
      </c>
      <c r="H12996" s="171" t="s">
        <v>7624</v>
      </c>
      <c r="I12996" t="s">
        <v>1079</v>
      </c>
      <c r="J12996">
        <v>9.6</v>
      </c>
    </row>
    <row r="12997" spans="1:10" hidden="1">
      <c r="A12997" t="s">
        <v>7619</v>
      </c>
      <c r="B12997" t="s">
        <v>7620</v>
      </c>
      <c r="C12997" t="s">
        <v>6839</v>
      </c>
      <c r="D12997" t="s">
        <v>2502</v>
      </c>
      <c r="E12997" t="s">
        <v>556</v>
      </c>
      <c r="F12997" t="s">
        <v>1068</v>
      </c>
      <c r="G12997" t="s">
        <v>1080</v>
      </c>
      <c r="H12997" s="171" t="s">
        <v>7625</v>
      </c>
      <c r="I12997" t="s">
        <v>1082</v>
      </c>
      <c r="J12997">
        <v>9.6</v>
      </c>
    </row>
    <row r="12998" spans="1:10" hidden="1">
      <c r="A12998" t="s">
        <v>7619</v>
      </c>
      <c r="B12998" t="s">
        <v>7620</v>
      </c>
      <c r="C12998" t="s">
        <v>6839</v>
      </c>
      <c r="D12998" t="s">
        <v>2502</v>
      </c>
      <c r="E12998" t="s">
        <v>556</v>
      </c>
      <c r="F12998" t="s">
        <v>1068</v>
      </c>
      <c r="G12998" t="s">
        <v>1083</v>
      </c>
      <c r="H12998" s="171" t="s">
        <v>7626</v>
      </c>
      <c r="I12998" t="s">
        <v>1084</v>
      </c>
      <c r="J12998">
        <v>9.6</v>
      </c>
    </row>
    <row r="12999" spans="1:10" hidden="1">
      <c r="A12999" t="s">
        <v>7619</v>
      </c>
      <c r="B12999" t="s">
        <v>7620</v>
      </c>
      <c r="C12999" t="s">
        <v>6839</v>
      </c>
      <c r="D12999" t="s">
        <v>2502</v>
      </c>
      <c r="E12999" t="s">
        <v>556</v>
      </c>
      <c r="F12999" t="s">
        <v>1068</v>
      </c>
      <c r="G12999" t="s">
        <v>1085</v>
      </c>
      <c r="H12999">
        <v>1.7515386833004699E-4</v>
      </c>
      <c r="I12999" t="s">
        <v>1086</v>
      </c>
      <c r="J12999">
        <v>9.6</v>
      </c>
    </row>
    <row r="13000" spans="1:10" hidden="1">
      <c r="A13000" t="s">
        <v>7619</v>
      </c>
      <c r="B13000" t="s">
        <v>7620</v>
      </c>
      <c r="C13000" t="s">
        <v>6839</v>
      </c>
      <c r="D13000" t="s">
        <v>2502</v>
      </c>
      <c r="E13000" t="s">
        <v>556</v>
      </c>
      <c r="F13000" t="s">
        <v>1068</v>
      </c>
      <c r="G13000" t="s">
        <v>1087</v>
      </c>
      <c r="H13000" s="171" t="s">
        <v>7627</v>
      </c>
      <c r="I13000" t="s">
        <v>1088</v>
      </c>
      <c r="J13000">
        <v>9.6</v>
      </c>
    </row>
    <row r="13001" spans="1:10" hidden="1">
      <c r="A13001" t="s">
        <v>7619</v>
      </c>
      <c r="B13001" t="s">
        <v>7620</v>
      </c>
      <c r="C13001" t="s">
        <v>6839</v>
      </c>
      <c r="D13001" t="s">
        <v>2502</v>
      </c>
      <c r="E13001" t="s">
        <v>556</v>
      </c>
      <c r="F13001" t="s">
        <v>1068</v>
      </c>
      <c r="G13001" t="s">
        <v>1089</v>
      </c>
      <c r="H13001" s="171" t="s">
        <v>7628</v>
      </c>
      <c r="I13001" t="s">
        <v>1090</v>
      </c>
      <c r="J13001">
        <v>9.6</v>
      </c>
    </row>
    <row r="13002" spans="1:10" hidden="1">
      <c r="A13002" t="s">
        <v>7629</v>
      </c>
      <c r="B13002" t="s">
        <v>7630</v>
      </c>
      <c r="C13002" t="s">
        <v>6839</v>
      </c>
      <c r="D13002" t="s">
        <v>2502</v>
      </c>
      <c r="E13002" t="s">
        <v>557</v>
      </c>
      <c r="F13002" t="s">
        <v>1068</v>
      </c>
      <c r="G13002" t="s">
        <v>1069</v>
      </c>
      <c r="H13002" s="171" t="s">
        <v>7631</v>
      </c>
      <c r="I13002" t="s">
        <v>1070</v>
      </c>
      <c r="J13002">
        <v>9.14</v>
      </c>
    </row>
    <row r="13003" spans="1:10" hidden="1">
      <c r="A13003" t="s">
        <v>7629</v>
      </c>
      <c r="B13003" t="s">
        <v>7630</v>
      </c>
      <c r="C13003" t="s">
        <v>6839</v>
      </c>
      <c r="D13003" t="s">
        <v>2502</v>
      </c>
      <c r="E13003" t="s">
        <v>557</v>
      </c>
      <c r="F13003" t="s">
        <v>1068</v>
      </c>
      <c r="G13003" t="s">
        <v>1071</v>
      </c>
      <c r="H13003" s="171" t="s">
        <v>7632</v>
      </c>
      <c r="I13003" t="s">
        <v>1072</v>
      </c>
      <c r="J13003">
        <v>9.14</v>
      </c>
    </row>
    <row r="13004" spans="1:10" hidden="1">
      <c r="A13004" t="s">
        <v>7629</v>
      </c>
      <c r="B13004" t="s">
        <v>7630</v>
      </c>
      <c r="C13004" t="s">
        <v>6839</v>
      </c>
      <c r="D13004" t="s">
        <v>2502</v>
      </c>
      <c r="E13004" t="s">
        <v>557</v>
      </c>
      <c r="F13004" t="s">
        <v>1068</v>
      </c>
      <c r="G13004" t="s">
        <v>1073</v>
      </c>
      <c r="H13004" s="171" t="s">
        <v>7633</v>
      </c>
      <c r="I13004" t="s">
        <v>1074</v>
      </c>
      <c r="J13004">
        <v>9.14</v>
      </c>
    </row>
    <row r="13005" spans="1:10" hidden="1">
      <c r="A13005" t="s">
        <v>7629</v>
      </c>
      <c r="B13005" t="s">
        <v>7630</v>
      </c>
      <c r="C13005" t="s">
        <v>6839</v>
      </c>
      <c r="D13005" t="s">
        <v>2502</v>
      </c>
      <c r="E13005" t="s">
        <v>557</v>
      </c>
      <c r="F13005" t="s">
        <v>1068</v>
      </c>
      <c r="G13005" t="s">
        <v>1075</v>
      </c>
      <c r="H13005">
        <v>4.8129629176828304E-3</v>
      </c>
      <c r="I13005" t="s">
        <v>1077</v>
      </c>
      <c r="J13005">
        <v>9.14</v>
      </c>
    </row>
    <row r="13006" spans="1:10" hidden="1">
      <c r="A13006" t="s">
        <v>7629</v>
      </c>
      <c r="B13006" t="s">
        <v>7630</v>
      </c>
      <c r="C13006" t="s">
        <v>6839</v>
      </c>
      <c r="D13006" t="s">
        <v>2502</v>
      </c>
      <c r="E13006" t="s">
        <v>557</v>
      </c>
      <c r="F13006" t="s">
        <v>1068</v>
      </c>
      <c r="G13006" t="s">
        <v>1078</v>
      </c>
      <c r="H13006" s="171" t="s">
        <v>7634</v>
      </c>
      <c r="I13006" t="s">
        <v>1079</v>
      </c>
      <c r="J13006">
        <v>9.14</v>
      </c>
    </row>
    <row r="13007" spans="1:10" hidden="1">
      <c r="A13007" t="s">
        <v>7629</v>
      </c>
      <c r="B13007" t="s">
        <v>7630</v>
      </c>
      <c r="C13007" t="s">
        <v>6839</v>
      </c>
      <c r="D13007" t="s">
        <v>2502</v>
      </c>
      <c r="E13007" t="s">
        <v>557</v>
      </c>
      <c r="F13007" t="s">
        <v>1068</v>
      </c>
      <c r="G13007" t="s">
        <v>1080</v>
      </c>
      <c r="H13007" s="171" t="s">
        <v>7635</v>
      </c>
      <c r="I13007" t="s">
        <v>1082</v>
      </c>
      <c r="J13007">
        <v>9.14</v>
      </c>
    </row>
    <row r="13008" spans="1:10" hidden="1">
      <c r="A13008" t="s">
        <v>7629</v>
      </c>
      <c r="B13008" t="s">
        <v>7630</v>
      </c>
      <c r="C13008" t="s">
        <v>6839</v>
      </c>
      <c r="D13008" t="s">
        <v>2502</v>
      </c>
      <c r="E13008" t="s">
        <v>557</v>
      </c>
      <c r="F13008" t="s">
        <v>1068</v>
      </c>
      <c r="G13008" t="s">
        <v>1083</v>
      </c>
      <c r="H13008" s="171" t="s">
        <v>7636</v>
      </c>
      <c r="I13008" t="s">
        <v>1084</v>
      </c>
      <c r="J13008">
        <v>9.14</v>
      </c>
    </row>
    <row r="13009" spans="1:10" hidden="1">
      <c r="A13009" t="s">
        <v>7629</v>
      </c>
      <c r="B13009" t="s">
        <v>7630</v>
      </c>
      <c r="C13009" t="s">
        <v>6839</v>
      </c>
      <c r="D13009" t="s">
        <v>2502</v>
      </c>
      <c r="E13009" t="s">
        <v>557</v>
      </c>
      <c r="F13009" t="s">
        <v>1068</v>
      </c>
      <c r="G13009" t="s">
        <v>1085</v>
      </c>
      <c r="H13009">
        <v>1.7513780344182101E-4</v>
      </c>
      <c r="I13009" t="s">
        <v>1086</v>
      </c>
      <c r="J13009">
        <v>9.14</v>
      </c>
    </row>
    <row r="13010" spans="1:10" hidden="1">
      <c r="A13010" t="s">
        <v>7629</v>
      </c>
      <c r="B13010" t="s">
        <v>7630</v>
      </c>
      <c r="C13010" t="s">
        <v>6839</v>
      </c>
      <c r="D13010" t="s">
        <v>2502</v>
      </c>
      <c r="E13010" t="s">
        <v>557</v>
      </c>
      <c r="F13010" t="s">
        <v>1068</v>
      </c>
      <c r="G13010" t="s">
        <v>1087</v>
      </c>
      <c r="H13010" s="171" t="s">
        <v>7637</v>
      </c>
      <c r="I13010" t="s">
        <v>1088</v>
      </c>
      <c r="J13010">
        <v>9.14</v>
      </c>
    </row>
    <row r="13011" spans="1:10" hidden="1">
      <c r="A13011" t="s">
        <v>7629</v>
      </c>
      <c r="B13011" t="s">
        <v>7630</v>
      </c>
      <c r="C13011" t="s">
        <v>6839</v>
      </c>
      <c r="D13011" t="s">
        <v>2502</v>
      </c>
      <c r="E13011" t="s">
        <v>557</v>
      </c>
      <c r="F13011" t="s">
        <v>1068</v>
      </c>
      <c r="G13011" t="s">
        <v>1089</v>
      </c>
      <c r="H13011" s="171" t="s">
        <v>7638</v>
      </c>
      <c r="I13011" t="s">
        <v>1090</v>
      </c>
      <c r="J13011">
        <v>9.14</v>
      </c>
    </row>
    <row r="13012" spans="1:10" hidden="1">
      <c r="A13012" t="s">
        <v>7639</v>
      </c>
      <c r="B13012" t="s">
        <v>7640</v>
      </c>
      <c r="C13012" t="s">
        <v>6839</v>
      </c>
      <c r="D13012" t="s">
        <v>2502</v>
      </c>
      <c r="E13012" t="s">
        <v>559</v>
      </c>
      <c r="F13012" t="s">
        <v>1068</v>
      </c>
      <c r="G13012" t="s">
        <v>1069</v>
      </c>
      <c r="H13012" s="171" t="s">
        <v>7641</v>
      </c>
      <c r="I13012" t="s">
        <v>1070</v>
      </c>
      <c r="J13012">
        <v>9.14</v>
      </c>
    </row>
    <row r="13013" spans="1:10" hidden="1">
      <c r="A13013" t="s">
        <v>7639</v>
      </c>
      <c r="B13013" t="s">
        <v>7640</v>
      </c>
      <c r="C13013" t="s">
        <v>6839</v>
      </c>
      <c r="D13013" t="s">
        <v>2502</v>
      </c>
      <c r="E13013" t="s">
        <v>559</v>
      </c>
      <c r="F13013" t="s">
        <v>1068</v>
      </c>
      <c r="G13013" t="s">
        <v>1071</v>
      </c>
      <c r="H13013" s="171" t="s">
        <v>7642</v>
      </c>
      <c r="I13013" t="s">
        <v>1072</v>
      </c>
      <c r="J13013">
        <v>9.14</v>
      </c>
    </row>
    <row r="13014" spans="1:10" hidden="1">
      <c r="A13014" t="s">
        <v>7639</v>
      </c>
      <c r="B13014" t="s">
        <v>7640</v>
      </c>
      <c r="C13014" t="s">
        <v>6839</v>
      </c>
      <c r="D13014" t="s">
        <v>2502</v>
      </c>
      <c r="E13014" t="s">
        <v>559</v>
      </c>
      <c r="F13014" t="s">
        <v>1068</v>
      </c>
      <c r="G13014" t="s">
        <v>1073</v>
      </c>
      <c r="H13014" s="171" t="s">
        <v>7643</v>
      </c>
      <c r="I13014" t="s">
        <v>1074</v>
      </c>
      <c r="J13014">
        <v>9.14</v>
      </c>
    </row>
    <row r="13015" spans="1:10" hidden="1">
      <c r="A13015" t="s">
        <v>7639</v>
      </c>
      <c r="B13015" t="s">
        <v>7640</v>
      </c>
      <c r="C13015" t="s">
        <v>6839</v>
      </c>
      <c r="D13015" t="s">
        <v>2502</v>
      </c>
      <c r="E13015" t="s">
        <v>559</v>
      </c>
      <c r="F13015" t="s">
        <v>1068</v>
      </c>
      <c r="G13015" t="s">
        <v>1075</v>
      </c>
      <c r="H13015">
        <v>4.8131179930887896E-3</v>
      </c>
      <c r="I13015" t="s">
        <v>1077</v>
      </c>
      <c r="J13015">
        <v>9.14</v>
      </c>
    </row>
    <row r="13016" spans="1:10" hidden="1">
      <c r="A13016" t="s">
        <v>7639</v>
      </c>
      <c r="B13016" t="s">
        <v>7640</v>
      </c>
      <c r="C13016" t="s">
        <v>6839</v>
      </c>
      <c r="D13016" t="s">
        <v>2502</v>
      </c>
      <c r="E13016" t="s">
        <v>559</v>
      </c>
      <c r="F13016" t="s">
        <v>1068</v>
      </c>
      <c r="G13016" t="s">
        <v>1078</v>
      </c>
      <c r="H13016" s="171" t="s">
        <v>7644</v>
      </c>
      <c r="I13016" t="s">
        <v>1079</v>
      </c>
      <c r="J13016">
        <v>9.14</v>
      </c>
    </row>
    <row r="13017" spans="1:10" hidden="1">
      <c r="A13017" t="s">
        <v>7639</v>
      </c>
      <c r="B13017" t="s">
        <v>7640</v>
      </c>
      <c r="C13017" t="s">
        <v>6839</v>
      </c>
      <c r="D13017" t="s">
        <v>2502</v>
      </c>
      <c r="E13017" t="s">
        <v>559</v>
      </c>
      <c r="F13017" t="s">
        <v>1068</v>
      </c>
      <c r="G13017" t="s">
        <v>1080</v>
      </c>
      <c r="H13017" s="171" t="s">
        <v>7645</v>
      </c>
      <c r="I13017" t="s">
        <v>1082</v>
      </c>
      <c r="J13017">
        <v>9.14</v>
      </c>
    </row>
    <row r="13018" spans="1:10" hidden="1">
      <c r="A13018" t="s">
        <v>7639</v>
      </c>
      <c r="B13018" t="s">
        <v>7640</v>
      </c>
      <c r="C13018" t="s">
        <v>6839</v>
      </c>
      <c r="D13018" t="s">
        <v>2502</v>
      </c>
      <c r="E13018" t="s">
        <v>559</v>
      </c>
      <c r="F13018" t="s">
        <v>1068</v>
      </c>
      <c r="G13018" t="s">
        <v>1083</v>
      </c>
      <c r="H13018" s="171" t="s">
        <v>7646</v>
      </c>
      <c r="I13018" t="s">
        <v>1084</v>
      </c>
      <c r="J13018">
        <v>9.14</v>
      </c>
    </row>
    <row r="13019" spans="1:10" hidden="1">
      <c r="A13019" t="s">
        <v>7639</v>
      </c>
      <c r="B13019" t="s">
        <v>7640</v>
      </c>
      <c r="C13019" t="s">
        <v>6839</v>
      </c>
      <c r="D13019" t="s">
        <v>2502</v>
      </c>
      <c r="E13019" t="s">
        <v>559</v>
      </c>
      <c r="F13019" t="s">
        <v>1068</v>
      </c>
      <c r="G13019" t="s">
        <v>1085</v>
      </c>
      <c r="H13019">
        <v>1.7514622713213899E-4</v>
      </c>
      <c r="I13019" t="s">
        <v>1086</v>
      </c>
      <c r="J13019">
        <v>9.14</v>
      </c>
    </row>
    <row r="13020" spans="1:10" hidden="1">
      <c r="A13020" t="s">
        <v>7639</v>
      </c>
      <c r="B13020" t="s">
        <v>7640</v>
      </c>
      <c r="C13020" t="s">
        <v>6839</v>
      </c>
      <c r="D13020" t="s">
        <v>2502</v>
      </c>
      <c r="E13020" t="s">
        <v>559</v>
      </c>
      <c r="F13020" t="s">
        <v>1068</v>
      </c>
      <c r="G13020" t="s">
        <v>1087</v>
      </c>
      <c r="H13020" s="171" t="s">
        <v>7647</v>
      </c>
      <c r="I13020" t="s">
        <v>1088</v>
      </c>
      <c r="J13020">
        <v>9.14</v>
      </c>
    </row>
    <row r="13021" spans="1:10" hidden="1">
      <c r="A13021" t="s">
        <v>7639</v>
      </c>
      <c r="B13021" t="s">
        <v>7640</v>
      </c>
      <c r="C13021" t="s">
        <v>6839</v>
      </c>
      <c r="D13021" t="s">
        <v>2502</v>
      </c>
      <c r="E13021" t="s">
        <v>559</v>
      </c>
      <c r="F13021" t="s">
        <v>1068</v>
      </c>
      <c r="G13021" t="s">
        <v>1089</v>
      </c>
      <c r="H13021" s="171" t="s">
        <v>7648</v>
      </c>
      <c r="I13021" t="s">
        <v>1090</v>
      </c>
      <c r="J13021">
        <v>9.14</v>
      </c>
    </row>
    <row r="13022" spans="1:10" hidden="1">
      <c r="A13022" t="s">
        <v>7649</v>
      </c>
      <c r="B13022" t="s">
        <v>7650</v>
      </c>
      <c r="C13022" t="s">
        <v>6839</v>
      </c>
      <c r="D13022" t="s">
        <v>2502</v>
      </c>
      <c r="E13022" t="s">
        <v>560</v>
      </c>
      <c r="F13022" t="s">
        <v>1068</v>
      </c>
      <c r="G13022" t="s">
        <v>1069</v>
      </c>
      <c r="H13022" s="171" t="s">
        <v>7651</v>
      </c>
      <c r="I13022" t="s">
        <v>1070</v>
      </c>
      <c r="J13022">
        <v>8.6199999999999992</v>
      </c>
    </row>
    <row r="13023" spans="1:10" hidden="1">
      <c r="A13023" t="s">
        <v>7649</v>
      </c>
      <c r="B13023" t="s">
        <v>7650</v>
      </c>
      <c r="C13023" t="s">
        <v>6839</v>
      </c>
      <c r="D13023" t="s">
        <v>2502</v>
      </c>
      <c r="E13023" t="s">
        <v>560</v>
      </c>
      <c r="F13023" t="s">
        <v>1068</v>
      </c>
      <c r="G13023" t="s">
        <v>1071</v>
      </c>
      <c r="H13023" s="171" t="s">
        <v>7652</v>
      </c>
      <c r="I13023" t="s">
        <v>1072</v>
      </c>
      <c r="J13023">
        <v>8.6199999999999992</v>
      </c>
    </row>
    <row r="13024" spans="1:10" hidden="1">
      <c r="A13024" t="s">
        <v>7649</v>
      </c>
      <c r="B13024" t="s">
        <v>7650</v>
      </c>
      <c r="C13024" t="s">
        <v>6839</v>
      </c>
      <c r="D13024" t="s">
        <v>2502</v>
      </c>
      <c r="E13024" t="s">
        <v>560</v>
      </c>
      <c r="F13024" t="s">
        <v>1068</v>
      </c>
      <c r="G13024" t="s">
        <v>1073</v>
      </c>
      <c r="H13024" s="171" t="s">
        <v>7653</v>
      </c>
      <c r="I13024" t="s">
        <v>1074</v>
      </c>
      <c r="J13024">
        <v>8.6199999999999992</v>
      </c>
    </row>
    <row r="13025" spans="1:10" hidden="1">
      <c r="A13025" t="s">
        <v>7649</v>
      </c>
      <c r="B13025" t="s">
        <v>7650</v>
      </c>
      <c r="C13025" t="s">
        <v>6839</v>
      </c>
      <c r="D13025" t="s">
        <v>2502</v>
      </c>
      <c r="E13025" t="s">
        <v>560</v>
      </c>
      <c r="F13025" t="s">
        <v>1068</v>
      </c>
      <c r="G13025" t="s">
        <v>1075</v>
      </c>
      <c r="H13025">
        <v>4.8130490447983697E-3</v>
      </c>
      <c r="I13025" t="s">
        <v>1077</v>
      </c>
      <c r="J13025">
        <v>8.6199999999999992</v>
      </c>
    </row>
    <row r="13026" spans="1:10" hidden="1">
      <c r="A13026" t="s">
        <v>7649</v>
      </c>
      <c r="B13026" t="s">
        <v>7650</v>
      </c>
      <c r="C13026" t="s">
        <v>6839</v>
      </c>
      <c r="D13026" t="s">
        <v>2502</v>
      </c>
      <c r="E13026" t="s">
        <v>560</v>
      </c>
      <c r="F13026" t="s">
        <v>1068</v>
      </c>
      <c r="G13026" t="s">
        <v>1078</v>
      </c>
      <c r="H13026" s="171" t="s">
        <v>7654</v>
      </c>
      <c r="I13026" t="s">
        <v>1079</v>
      </c>
      <c r="J13026">
        <v>8.6199999999999992</v>
      </c>
    </row>
    <row r="13027" spans="1:10" hidden="1">
      <c r="A13027" t="s">
        <v>7649</v>
      </c>
      <c r="B13027" t="s">
        <v>7650</v>
      </c>
      <c r="C13027" t="s">
        <v>6839</v>
      </c>
      <c r="D13027" t="s">
        <v>2502</v>
      </c>
      <c r="E13027" t="s">
        <v>560</v>
      </c>
      <c r="F13027" t="s">
        <v>1068</v>
      </c>
      <c r="G13027" t="s">
        <v>1080</v>
      </c>
      <c r="H13027" s="171" t="s">
        <v>7655</v>
      </c>
      <c r="I13027" t="s">
        <v>1082</v>
      </c>
      <c r="J13027">
        <v>8.6199999999999992</v>
      </c>
    </row>
    <row r="13028" spans="1:10" hidden="1">
      <c r="A13028" t="s">
        <v>7649</v>
      </c>
      <c r="B13028" t="s">
        <v>7650</v>
      </c>
      <c r="C13028" t="s">
        <v>6839</v>
      </c>
      <c r="D13028" t="s">
        <v>2502</v>
      </c>
      <c r="E13028" t="s">
        <v>560</v>
      </c>
      <c r="F13028" t="s">
        <v>1068</v>
      </c>
      <c r="G13028" t="s">
        <v>1083</v>
      </c>
      <c r="H13028" s="171" t="s">
        <v>7656</v>
      </c>
      <c r="I13028" t="s">
        <v>1084</v>
      </c>
      <c r="J13028">
        <v>8.6199999999999992</v>
      </c>
    </row>
    <row r="13029" spans="1:10" hidden="1">
      <c r="A13029" t="s">
        <v>7649</v>
      </c>
      <c r="B13029" t="s">
        <v>7650</v>
      </c>
      <c r="C13029" t="s">
        <v>6839</v>
      </c>
      <c r="D13029" t="s">
        <v>2502</v>
      </c>
      <c r="E13029" t="s">
        <v>560</v>
      </c>
      <c r="F13029" t="s">
        <v>1068</v>
      </c>
      <c r="G13029" t="s">
        <v>1085</v>
      </c>
      <c r="H13029">
        <v>1.75142484053448E-4</v>
      </c>
      <c r="I13029" t="s">
        <v>1086</v>
      </c>
      <c r="J13029">
        <v>8.6199999999999992</v>
      </c>
    </row>
    <row r="13030" spans="1:10" hidden="1">
      <c r="A13030" t="s">
        <v>7649</v>
      </c>
      <c r="B13030" t="s">
        <v>7650</v>
      </c>
      <c r="C13030" t="s">
        <v>6839</v>
      </c>
      <c r="D13030" t="s">
        <v>2502</v>
      </c>
      <c r="E13030" t="s">
        <v>560</v>
      </c>
      <c r="F13030" t="s">
        <v>1068</v>
      </c>
      <c r="G13030" t="s">
        <v>1087</v>
      </c>
      <c r="H13030" s="171" t="s">
        <v>7657</v>
      </c>
      <c r="I13030" t="s">
        <v>1088</v>
      </c>
      <c r="J13030">
        <v>8.6199999999999992</v>
      </c>
    </row>
    <row r="13031" spans="1:10" hidden="1">
      <c r="A13031" t="s">
        <v>7649</v>
      </c>
      <c r="B13031" t="s">
        <v>7650</v>
      </c>
      <c r="C13031" t="s">
        <v>6839</v>
      </c>
      <c r="D13031" t="s">
        <v>2502</v>
      </c>
      <c r="E13031" t="s">
        <v>560</v>
      </c>
      <c r="F13031" t="s">
        <v>1068</v>
      </c>
      <c r="G13031" t="s">
        <v>1089</v>
      </c>
      <c r="H13031" s="171" t="s">
        <v>7658</v>
      </c>
      <c r="I13031" t="s">
        <v>1090</v>
      </c>
      <c r="J13031">
        <v>8.6199999999999992</v>
      </c>
    </row>
    <row r="13032" spans="1:10" hidden="1">
      <c r="A13032" t="s">
        <v>7659</v>
      </c>
      <c r="B13032" t="s">
        <v>7660</v>
      </c>
      <c r="C13032" t="s">
        <v>6839</v>
      </c>
      <c r="D13032" t="s">
        <v>2502</v>
      </c>
      <c r="E13032" t="s">
        <v>1116</v>
      </c>
      <c r="F13032" t="s">
        <v>1068</v>
      </c>
      <c r="G13032" t="s">
        <v>1069</v>
      </c>
      <c r="H13032" s="171" t="s">
        <v>7661</v>
      </c>
      <c r="I13032" t="s">
        <v>1070</v>
      </c>
      <c r="J13032">
        <v>12.95</v>
      </c>
    </row>
    <row r="13033" spans="1:10" hidden="1">
      <c r="A13033" t="s">
        <v>7659</v>
      </c>
      <c r="B13033" t="s">
        <v>7660</v>
      </c>
      <c r="C13033" t="s">
        <v>6839</v>
      </c>
      <c r="D13033" t="s">
        <v>2502</v>
      </c>
      <c r="E13033" t="s">
        <v>1116</v>
      </c>
      <c r="F13033" t="s">
        <v>1068</v>
      </c>
      <c r="G13033" t="s">
        <v>1071</v>
      </c>
      <c r="H13033" s="171" t="s">
        <v>7662</v>
      </c>
      <c r="I13033" t="s">
        <v>1072</v>
      </c>
      <c r="J13033">
        <v>12.95</v>
      </c>
    </row>
    <row r="13034" spans="1:10" hidden="1">
      <c r="A13034" t="s">
        <v>7659</v>
      </c>
      <c r="B13034" t="s">
        <v>7660</v>
      </c>
      <c r="C13034" t="s">
        <v>6839</v>
      </c>
      <c r="D13034" t="s">
        <v>2502</v>
      </c>
      <c r="E13034" t="s">
        <v>1116</v>
      </c>
      <c r="F13034" t="s">
        <v>1068</v>
      </c>
      <c r="G13034" t="s">
        <v>1073</v>
      </c>
      <c r="H13034" s="171" t="s">
        <v>7663</v>
      </c>
      <c r="I13034" t="s">
        <v>1074</v>
      </c>
      <c r="J13034">
        <v>12.95</v>
      </c>
    </row>
    <row r="13035" spans="1:10" hidden="1">
      <c r="A13035" t="s">
        <v>7659</v>
      </c>
      <c r="B13035" t="s">
        <v>7660</v>
      </c>
      <c r="C13035" t="s">
        <v>6839</v>
      </c>
      <c r="D13035" t="s">
        <v>2502</v>
      </c>
      <c r="E13035" t="s">
        <v>1116</v>
      </c>
      <c r="F13035" t="s">
        <v>1068</v>
      </c>
      <c r="G13035" t="s">
        <v>1075</v>
      </c>
      <c r="H13035">
        <v>4.8127876403413301E-3</v>
      </c>
      <c r="I13035" t="s">
        <v>1077</v>
      </c>
      <c r="J13035">
        <v>12.95</v>
      </c>
    </row>
    <row r="13036" spans="1:10" hidden="1">
      <c r="A13036" t="s">
        <v>7659</v>
      </c>
      <c r="B13036" t="s">
        <v>7660</v>
      </c>
      <c r="C13036" t="s">
        <v>6839</v>
      </c>
      <c r="D13036" t="s">
        <v>2502</v>
      </c>
      <c r="E13036" t="s">
        <v>1116</v>
      </c>
      <c r="F13036" t="s">
        <v>1068</v>
      </c>
      <c r="G13036" t="s">
        <v>1078</v>
      </c>
      <c r="H13036" s="171" t="s">
        <v>7664</v>
      </c>
      <c r="I13036" t="s">
        <v>1079</v>
      </c>
      <c r="J13036">
        <v>12.95</v>
      </c>
    </row>
    <row r="13037" spans="1:10" hidden="1">
      <c r="A13037" t="s">
        <v>7659</v>
      </c>
      <c r="B13037" t="s">
        <v>7660</v>
      </c>
      <c r="C13037" t="s">
        <v>6839</v>
      </c>
      <c r="D13037" t="s">
        <v>2502</v>
      </c>
      <c r="E13037" t="s">
        <v>1116</v>
      </c>
      <c r="F13037" t="s">
        <v>1068</v>
      </c>
      <c r="G13037" t="s">
        <v>1080</v>
      </c>
      <c r="H13037" s="171" t="s">
        <v>7665</v>
      </c>
      <c r="I13037" t="s">
        <v>1082</v>
      </c>
      <c r="J13037">
        <v>12.95</v>
      </c>
    </row>
    <row r="13038" spans="1:10" hidden="1">
      <c r="A13038" t="s">
        <v>7659</v>
      </c>
      <c r="B13038" t="s">
        <v>7660</v>
      </c>
      <c r="C13038" t="s">
        <v>6839</v>
      </c>
      <c r="D13038" t="s">
        <v>2502</v>
      </c>
      <c r="E13038" t="s">
        <v>1116</v>
      </c>
      <c r="F13038" t="s">
        <v>1068</v>
      </c>
      <c r="G13038" t="s">
        <v>1083</v>
      </c>
      <c r="H13038" s="171" t="s">
        <v>7666</v>
      </c>
      <c r="I13038" t="s">
        <v>1084</v>
      </c>
      <c r="J13038">
        <v>12.95</v>
      </c>
    </row>
    <row r="13039" spans="1:10" hidden="1">
      <c r="A13039" t="s">
        <v>7659</v>
      </c>
      <c r="B13039" t="s">
        <v>7660</v>
      </c>
      <c r="C13039" t="s">
        <v>6839</v>
      </c>
      <c r="D13039" t="s">
        <v>2502</v>
      </c>
      <c r="E13039" t="s">
        <v>1116</v>
      </c>
      <c r="F13039" t="s">
        <v>1068</v>
      </c>
      <c r="G13039" t="s">
        <v>1085</v>
      </c>
      <c r="H13039">
        <v>1.7512827792645299E-4</v>
      </c>
      <c r="I13039" t="s">
        <v>1086</v>
      </c>
      <c r="J13039">
        <v>12.95</v>
      </c>
    </row>
    <row r="13040" spans="1:10" hidden="1">
      <c r="A13040" t="s">
        <v>7659</v>
      </c>
      <c r="B13040" t="s">
        <v>7660</v>
      </c>
      <c r="C13040" t="s">
        <v>6839</v>
      </c>
      <c r="D13040" t="s">
        <v>2502</v>
      </c>
      <c r="E13040" t="s">
        <v>1116</v>
      </c>
      <c r="F13040" t="s">
        <v>1068</v>
      </c>
      <c r="G13040" t="s">
        <v>1087</v>
      </c>
      <c r="H13040" s="171" t="s">
        <v>7667</v>
      </c>
      <c r="I13040" t="s">
        <v>1088</v>
      </c>
      <c r="J13040">
        <v>12.95</v>
      </c>
    </row>
    <row r="13041" spans="1:10" hidden="1">
      <c r="A13041" t="s">
        <v>7659</v>
      </c>
      <c r="B13041" t="s">
        <v>7660</v>
      </c>
      <c r="C13041" t="s">
        <v>6839</v>
      </c>
      <c r="D13041" t="s">
        <v>2502</v>
      </c>
      <c r="E13041" t="s">
        <v>1116</v>
      </c>
      <c r="F13041" t="s">
        <v>1068</v>
      </c>
      <c r="G13041" t="s">
        <v>1089</v>
      </c>
      <c r="H13041" s="171" t="s">
        <v>7668</v>
      </c>
      <c r="I13041" t="s">
        <v>1090</v>
      </c>
      <c r="J13041">
        <v>12.95</v>
      </c>
    </row>
    <row r="13042" spans="1:10" hidden="1">
      <c r="A13042" t="s">
        <v>7669</v>
      </c>
      <c r="B13042" t="s">
        <v>7670</v>
      </c>
      <c r="C13042" t="s">
        <v>6839</v>
      </c>
      <c r="D13042" t="s">
        <v>1148</v>
      </c>
      <c r="E13042" t="s">
        <v>561</v>
      </c>
      <c r="F13042" t="s">
        <v>1068</v>
      </c>
      <c r="G13042" t="s">
        <v>1069</v>
      </c>
      <c r="H13042">
        <v>5.2104766879887E-2</v>
      </c>
      <c r="I13042" t="s">
        <v>1070</v>
      </c>
      <c r="J13042">
        <v>10.97</v>
      </c>
    </row>
    <row r="13043" spans="1:10" hidden="1">
      <c r="A13043" t="s">
        <v>7669</v>
      </c>
      <c r="B13043" t="s">
        <v>7670</v>
      </c>
      <c r="C13043" t="s">
        <v>6839</v>
      </c>
      <c r="D13043" t="s">
        <v>1148</v>
      </c>
      <c r="E13043" t="s">
        <v>561</v>
      </c>
      <c r="F13043" t="s">
        <v>1068</v>
      </c>
      <c r="G13043" t="s">
        <v>1071</v>
      </c>
      <c r="H13043" s="171" t="s">
        <v>7671</v>
      </c>
      <c r="I13043" t="s">
        <v>1072</v>
      </c>
      <c r="J13043">
        <v>10.97</v>
      </c>
    </row>
    <row r="13044" spans="1:10" hidden="1">
      <c r="A13044" t="s">
        <v>7669</v>
      </c>
      <c r="B13044" t="s">
        <v>7670</v>
      </c>
      <c r="C13044" t="s">
        <v>6839</v>
      </c>
      <c r="D13044" t="s">
        <v>1148</v>
      </c>
      <c r="E13044" t="s">
        <v>561</v>
      </c>
      <c r="F13044" t="s">
        <v>1068</v>
      </c>
      <c r="G13044" t="s">
        <v>1073</v>
      </c>
      <c r="H13044" s="171" t="s">
        <v>7672</v>
      </c>
      <c r="I13044" t="s">
        <v>1074</v>
      </c>
      <c r="J13044">
        <v>10.97</v>
      </c>
    </row>
    <row r="13045" spans="1:10" hidden="1">
      <c r="A13045" t="s">
        <v>7669</v>
      </c>
      <c r="B13045" t="s">
        <v>7670</v>
      </c>
      <c r="C13045" t="s">
        <v>6839</v>
      </c>
      <c r="D13045" t="s">
        <v>1148</v>
      </c>
      <c r="E13045" t="s">
        <v>561</v>
      </c>
      <c r="F13045" t="s">
        <v>1068</v>
      </c>
      <c r="G13045" t="s">
        <v>1075</v>
      </c>
      <c r="H13045">
        <v>8.6074367439966104E-3</v>
      </c>
      <c r="I13045" t="s">
        <v>1077</v>
      </c>
      <c r="J13045">
        <v>10.97</v>
      </c>
    </row>
    <row r="13046" spans="1:10" hidden="1">
      <c r="A13046" t="s">
        <v>7669</v>
      </c>
      <c r="B13046" t="s">
        <v>7670</v>
      </c>
      <c r="C13046" t="s">
        <v>6839</v>
      </c>
      <c r="D13046" t="s">
        <v>1148</v>
      </c>
      <c r="E13046" t="s">
        <v>561</v>
      </c>
      <c r="F13046" t="s">
        <v>1068</v>
      </c>
      <c r="G13046" t="s">
        <v>1078</v>
      </c>
      <c r="H13046" s="171" t="s">
        <v>7673</v>
      </c>
      <c r="I13046" t="s">
        <v>1079</v>
      </c>
      <c r="J13046">
        <v>10.97</v>
      </c>
    </row>
    <row r="13047" spans="1:10" hidden="1">
      <c r="A13047" t="s">
        <v>7669</v>
      </c>
      <c r="B13047" t="s">
        <v>7670</v>
      </c>
      <c r="C13047" t="s">
        <v>6839</v>
      </c>
      <c r="D13047" t="s">
        <v>1148</v>
      </c>
      <c r="E13047" t="s">
        <v>561</v>
      </c>
      <c r="F13047" t="s">
        <v>1068</v>
      </c>
      <c r="G13047" t="s">
        <v>1080</v>
      </c>
      <c r="H13047" s="171" t="s">
        <v>7674</v>
      </c>
      <c r="I13047" t="s">
        <v>1082</v>
      </c>
      <c r="J13047">
        <v>10.97</v>
      </c>
    </row>
    <row r="13048" spans="1:10" hidden="1">
      <c r="A13048" t="s">
        <v>7669</v>
      </c>
      <c r="B13048" t="s">
        <v>7670</v>
      </c>
      <c r="C13048" t="s">
        <v>6839</v>
      </c>
      <c r="D13048" t="s">
        <v>1148</v>
      </c>
      <c r="E13048" t="s">
        <v>561</v>
      </c>
      <c r="F13048" t="s">
        <v>1068</v>
      </c>
      <c r="G13048" t="s">
        <v>1083</v>
      </c>
      <c r="H13048" s="171" t="s">
        <v>7675</v>
      </c>
      <c r="I13048" t="s">
        <v>1084</v>
      </c>
      <c r="J13048">
        <v>10.97</v>
      </c>
    </row>
    <row r="13049" spans="1:10" hidden="1">
      <c r="A13049" t="s">
        <v>7669</v>
      </c>
      <c r="B13049" t="s">
        <v>7670</v>
      </c>
      <c r="C13049" t="s">
        <v>6839</v>
      </c>
      <c r="D13049" t="s">
        <v>1148</v>
      </c>
      <c r="E13049" t="s">
        <v>561</v>
      </c>
      <c r="F13049" t="s">
        <v>1068</v>
      </c>
      <c r="G13049" t="s">
        <v>1085</v>
      </c>
      <c r="H13049">
        <v>3.2713352191041898E-4</v>
      </c>
      <c r="I13049" t="s">
        <v>1086</v>
      </c>
      <c r="J13049">
        <v>10.97</v>
      </c>
    </row>
    <row r="13050" spans="1:10" hidden="1">
      <c r="A13050" t="s">
        <v>7669</v>
      </c>
      <c r="B13050" t="s">
        <v>7670</v>
      </c>
      <c r="C13050" t="s">
        <v>6839</v>
      </c>
      <c r="D13050" t="s">
        <v>1148</v>
      </c>
      <c r="E13050" t="s">
        <v>561</v>
      </c>
      <c r="F13050" t="s">
        <v>1068</v>
      </c>
      <c r="G13050" t="s">
        <v>1087</v>
      </c>
      <c r="H13050" s="171" t="s">
        <v>7676</v>
      </c>
      <c r="I13050" t="s">
        <v>1088</v>
      </c>
      <c r="J13050">
        <v>10.97</v>
      </c>
    </row>
    <row r="13051" spans="1:10" hidden="1">
      <c r="A13051" t="s">
        <v>7669</v>
      </c>
      <c r="B13051" t="s">
        <v>7670</v>
      </c>
      <c r="C13051" t="s">
        <v>6839</v>
      </c>
      <c r="D13051" t="s">
        <v>1148</v>
      </c>
      <c r="E13051" t="s">
        <v>561</v>
      </c>
      <c r="F13051" t="s">
        <v>1068</v>
      </c>
      <c r="G13051" t="s">
        <v>1089</v>
      </c>
      <c r="H13051" s="171" t="s">
        <v>7677</v>
      </c>
      <c r="I13051" t="s">
        <v>1090</v>
      </c>
      <c r="J13051">
        <v>10.97</v>
      </c>
    </row>
    <row r="13052" spans="1:10" hidden="1">
      <c r="A13052" t="s">
        <v>7678</v>
      </c>
      <c r="B13052" t="s">
        <v>7679</v>
      </c>
      <c r="C13052" t="s">
        <v>6839</v>
      </c>
      <c r="D13052" t="s">
        <v>1148</v>
      </c>
      <c r="E13052" t="s">
        <v>555</v>
      </c>
      <c r="F13052" t="s">
        <v>1068</v>
      </c>
      <c r="G13052" t="s">
        <v>1069</v>
      </c>
      <c r="H13052">
        <v>5.2107743597843599E-2</v>
      </c>
      <c r="I13052" t="s">
        <v>1070</v>
      </c>
      <c r="J13052">
        <v>9.39</v>
      </c>
    </row>
    <row r="13053" spans="1:10" hidden="1">
      <c r="A13053" t="s">
        <v>7678</v>
      </c>
      <c r="B13053" t="s">
        <v>7679</v>
      </c>
      <c r="C13053" t="s">
        <v>6839</v>
      </c>
      <c r="D13053" t="s">
        <v>1148</v>
      </c>
      <c r="E13053" t="s">
        <v>555</v>
      </c>
      <c r="F13053" t="s">
        <v>1068</v>
      </c>
      <c r="G13053" t="s">
        <v>1071</v>
      </c>
      <c r="H13053" s="171" t="s">
        <v>7680</v>
      </c>
      <c r="I13053" t="s">
        <v>1072</v>
      </c>
      <c r="J13053">
        <v>9.39</v>
      </c>
    </row>
    <row r="13054" spans="1:10" hidden="1">
      <c r="A13054" t="s">
        <v>7678</v>
      </c>
      <c r="B13054" t="s">
        <v>7679</v>
      </c>
      <c r="C13054" t="s">
        <v>6839</v>
      </c>
      <c r="D13054" t="s">
        <v>1148</v>
      </c>
      <c r="E13054" t="s">
        <v>555</v>
      </c>
      <c r="F13054" t="s">
        <v>1068</v>
      </c>
      <c r="G13054" t="s">
        <v>1073</v>
      </c>
      <c r="H13054" s="171" t="s">
        <v>7681</v>
      </c>
      <c r="I13054" t="s">
        <v>1074</v>
      </c>
      <c r="J13054">
        <v>9.39</v>
      </c>
    </row>
    <row r="13055" spans="1:10" hidden="1">
      <c r="A13055" t="s">
        <v>7678</v>
      </c>
      <c r="B13055" t="s">
        <v>7679</v>
      </c>
      <c r="C13055" t="s">
        <v>6839</v>
      </c>
      <c r="D13055" t="s">
        <v>1148</v>
      </c>
      <c r="E13055" t="s">
        <v>555</v>
      </c>
      <c r="F13055" t="s">
        <v>1068</v>
      </c>
      <c r="G13055" t="s">
        <v>1075</v>
      </c>
      <c r="H13055">
        <v>8.6075010301143503E-3</v>
      </c>
      <c r="I13055" t="s">
        <v>1077</v>
      </c>
      <c r="J13055">
        <v>9.39</v>
      </c>
    </row>
    <row r="13056" spans="1:10" hidden="1">
      <c r="A13056" t="s">
        <v>7678</v>
      </c>
      <c r="B13056" t="s">
        <v>7679</v>
      </c>
      <c r="C13056" t="s">
        <v>6839</v>
      </c>
      <c r="D13056" t="s">
        <v>1148</v>
      </c>
      <c r="E13056" t="s">
        <v>555</v>
      </c>
      <c r="F13056" t="s">
        <v>1068</v>
      </c>
      <c r="G13056" t="s">
        <v>1078</v>
      </c>
      <c r="H13056">
        <v>2.8423287432432599E-2</v>
      </c>
      <c r="I13056" t="s">
        <v>1079</v>
      </c>
      <c r="J13056">
        <v>9.39</v>
      </c>
    </row>
    <row r="13057" spans="1:10" hidden="1">
      <c r="A13057" t="s">
        <v>7678</v>
      </c>
      <c r="B13057" t="s">
        <v>7679</v>
      </c>
      <c r="C13057" t="s">
        <v>6839</v>
      </c>
      <c r="D13057" t="s">
        <v>1148</v>
      </c>
      <c r="E13057" t="s">
        <v>555</v>
      </c>
      <c r="F13057" t="s">
        <v>1068</v>
      </c>
      <c r="G13057" t="s">
        <v>1080</v>
      </c>
      <c r="H13057" s="171" t="s">
        <v>7682</v>
      </c>
      <c r="I13057" t="s">
        <v>1082</v>
      </c>
      <c r="J13057">
        <v>9.39</v>
      </c>
    </row>
    <row r="13058" spans="1:10" hidden="1">
      <c r="A13058" t="s">
        <v>7678</v>
      </c>
      <c r="B13058" t="s">
        <v>7679</v>
      </c>
      <c r="C13058" t="s">
        <v>6839</v>
      </c>
      <c r="D13058" t="s">
        <v>1148</v>
      </c>
      <c r="E13058" t="s">
        <v>555</v>
      </c>
      <c r="F13058" t="s">
        <v>1068</v>
      </c>
      <c r="G13058" t="s">
        <v>1083</v>
      </c>
      <c r="H13058" s="171" t="s">
        <v>7683</v>
      </c>
      <c r="I13058" t="s">
        <v>1084</v>
      </c>
      <c r="J13058">
        <v>9.39</v>
      </c>
    </row>
    <row r="13059" spans="1:10" hidden="1">
      <c r="A13059" t="s">
        <v>7678</v>
      </c>
      <c r="B13059" t="s">
        <v>7679</v>
      </c>
      <c r="C13059" t="s">
        <v>6839</v>
      </c>
      <c r="D13059" t="s">
        <v>1148</v>
      </c>
      <c r="E13059" t="s">
        <v>555</v>
      </c>
      <c r="F13059" t="s">
        <v>1068</v>
      </c>
      <c r="G13059" t="s">
        <v>1085</v>
      </c>
      <c r="H13059">
        <v>3.27137015017174E-4</v>
      </c>
      <c r="I13059" t="s">
        <v>1086</v>
      </c>
      <c r="J13059">
        <v>9.39</v>
      </c>
    </row>
    <row r="13060" spans="1:10" hidden="1">
      <c r="A13060" t="s">
        <v>7678</v>
      </c>
      <c r="B13060" t="s">
        <v>7679</v>
      </c>
      <c r="C13060" t="s">
        <v>6839</v>
      </c>
      <c r="D13060" t="s">
        <v>1148</v>
      </c>
      <c r="E13060" t="s">
        <v>555</v>
      </c>
      <c r="F13060" t="s">
        <v>1068</v>
      </c>
      <c r="G13060" t="s">
        <v>1087</v>
      </c>
      <c r="H13060" s="171" t="s">
        <v>7684</v>
      </c>
      <c r="I13060" t="s">
        <v>1088</v>
      </c>
      <c r="J13060">
        <v>9.39</v>
      </c>
    </row>
    <row r="13061" spans="1:10" hidden="1">
      <c r="A13061" t="s">
        <v>7678</v>
      </c>
      <c r="B13061" t="s">
        <v>7679</v>
      </c>
      <c r="C13061" t="s">
        <v>6839</v>
      </c>
      <c r="D13061" t="s">
        <v>1148</v>
      </c>
      <c r="E13061" t="s">
        <v>555</v>
      </c>
      <c r="F13061" t="s">
        <v>1068</v>
      </c>
      <c r="G13061" t="s">
        <v>1089</v>
      </c>
      <c r="H13061" s="171" t="s">
        <v>7685</v>
      </c>
      <c r="I13061" t="s">
        <v>1090</v>
      </c>
      <c r="J13061">
        <v>9.39</v>
      </c>
    </row>
    <row r="13062" spans="1:10" hidden="1">
      <c r="A13062" t="s">
        <v>7686</v>
      </c>
      <c r="B13062" t="s">
        <v>7687</v>
      </c>
      <c r="C13062" t="s">
        <v>6839</v>
      </c>
      <c r="D13062" t="s">
        <v>1148</v>
      </c>
      <c r="E13062" t="s">
        <v>558</v>
      </c>
      <c r="F13062" t="s">
        <v>1068</v>
      </c>
      <c r="G13062" t="s">
        <v>1069</v>
      </c>
      <c r="H13062">
        <v>5.2104596675403798E-2</v>
      </c>
      <c r="I13062" t="s">
        <v>1070</v>
      </c>
      <c r="J13062">
        <v>9.27</v>
      </c>
    </row>
    <row r="13063" spans="1:10" hidden="1">
      <c r="A13063" t="s">
        <v>7686</v>
      </c>
      <c r="B13063" t="s">
        <v>7687</v>
      </c>
      <c r="C13063" t="s">
        <v>6839</v>
      </c>
      <c r="D13063" t="s">
        <v>1148</v>
      </c>
      <c r="E13063" t="s">
        <v>558</v>
      </c>
      <c r="F13063" t="s">
        <v>1068</v>
      </c>
      <c r="G13063" t="s">
        <v>1071</v>
      </c>
      <c r="H13063" s="171" t="s">
        <v>7688</v>
      </c>
      <c r="I13063" t="s">
        <v>1072</v>
      </c>
      <c r="J13063">
        <v>9.27</v>
      </c>
    </row>
    <row r="13064" spans="1:10" hidden="1">
      <c r="A13064" t="s">
        <v>7686</v>
      </c>
      <c r="B13064" t="s">
        <v>7687</v>
      </c>
      <c r="C13064" t="s">
        <v>6839</v>
      </c>
      <c r="D13064" t="s">
        <v>1148</v>
      </c>
      <c r="E13064" t="s">
        <v>558</v>
      </c>
      <c r="F13064" t="s">
        <v>1068</v>
      </c>
      <c r="G13064" t="s">
        <v>1073</v>
      </c>
      <c r="H13064" s="171" t="s">
        <v>7689</v>
      </c>
      <c r="I13064" t="s">
        <v>1074</v>
      </c>
      <c r="J13064">
        <v>9.27</v>
      </c>
    </row>
    <row r="13065" spans="1:10" hidden="1">
      <c r="A13065" t="s">
        <v>7686</v>
      </c>
      <c r="B13065" t="s">
        <v>7687</v>
      </c>
      <c r="C13065" t="s">
        <v>6839</v>
      </c>
      <c r="D13065" t="s">
        <v>1148</v>
      </c>
      <c r="E13065" t="s">
        <v>558</v>
      </c>
      <c r="F13065" t="s">
        <v>1068</v>
      </c>
      <c r="G13065" t="s">
        <v>1075</v>
      </c>
      <c r="H13065">
        <v>8.6074313636512294E-3</v>
      </c>
      <c r="I13065" t="s">
        <v>1077</v>
      </c>
      <c r="J13065">
        <v>9.27</v>
      </c>
    </row>
    <row r="13066" spans="1:10" hidden="1">
      <c r="A13066" t="s">
        <v>7686</v>
      </c>
      <c r="B13066" t="s">
        <v>7687</v>
      </c>
      <c r="C13066" t="s">
        <v>6839</v>
      </c>
      <c r="D13066" t="s">
        <v>1148</v>
      </c>
      <c r="E13066" t="s">
        <v>558</v>
      </c>
      <c r="F13066" t="s">
        <v>1068</v>
      </c>
      <c r="G13066" t="s">
        <v>1078</v>
      </c>
      <c r="H13066">
        <v>2.8420275292329902E-2</v>
      </c>
      <c r="I13066" t="s">
        <v>1079</v>
      </c>
      <c r="J13066">
        <v>9.27</v>
      </c>
    </row>
    <row r="13067" spans="1:10" hidden="1">
      <c r="A13067" t="s">
        <v>7686</v>
      </c>
      <c r="B13067" t="s">
        <v>7687</v>
      </c>
      <c r="C13067" t="s">
        <v>6839</v>
      </c>
      <c r="D13067" t="s">
        <v>1148</v>
      </c>
      <c r="E13067" t="s">
        <v>558</v>
      </c>
      <c r="F13067" t="s">
        <v>1068</v>
      </c>
      <c r="G13067" t="s">
        <v>1080</v>
      </c>
      <c r="H13067" s="171" t="s">
        <v>7690</v>
      </c>
      <c r="I13067" t="s">
        <v>1082</v>
      </c>
      <c r="J13067">
        <v>9.27</v>
      </c>
    </row>
    <row r="13068" spans="1:10" hidden="1">
      <c r="A13068" t="s">
        <v>7686</v>
      </c>
      <c r="B13068" t="s">
        <v>7687</v>
      </c>
      <c r="C13068" t="s">
        <v>6839</v>
      </c>
      <c r="D13068" t="s">
        <v>1148</v>
      </c>
      <c r="E13068" t="s">
        <v>558</v>
      </c>
      <c r="F13068" t="s">
        <v>1068</v>
      </c>
      <c r="G13068" t="s">
        <v>1083</v>
      </c>
      <c r="H13068" s="171" t="s">
        <v>7691</v>
      </c>
      <c r="I13068" t="s">
        <v>1084</v>
      </c>
      <c r="J13068">
        <v>9.27</v>
      </c>
    </row>
    <row r="13069" spans="1:10" hidden="1">
      <c r="A13069" t="s">
        <v>7686</v>
      </c>
      <c r="B13069" t="s">
        <v>7687</v>
      </c>
      <c r="C13069" t="s">
        <v>6839</v>
      </c>
      <c r="D13069" t="s">
        <v>1148</v>
      </c>
      <c r="E13069" t="s">
        <v>558</v>
      </c>
      <c r="F13069" t="s">
        <v>1068</v>
      </c>
      <c r="G13069" t="s">
        <v>1085</v>
      </c>
      <c r="H13069">
        <v>3.2713322951345199E-4</v>
      </c>
      <c r="I13069" t="s">
        <v>1086</v>
      </c>
      <c r="J13069">
        <v>9.27</v>
      </c>
    </row>
    <row r="13070" spans="1:10" hidden="1">
      <c r="A13070" t="s">
        <v>7686</v>
      </c>
      <c r="B13070" t="s">
        <v>7687</v>
      </c>
      <c r="C13070" t="s">
        <v>6839</v>
      </c>
      <c r="D13070" t="s">
        <v>1148</v>
      </c>
      <c r="E13070" t="s">
        <v>558</v>
      </c>
      <c r="F13070" t="s">
        <v>1068</v>
      </c>
      <c r="G13070" t="s">
        <v>1087</v>
      </c>
      <c r="H13070" s="171" t="s">
        <v>7692</v>
      </c>
      <c r="I13070" t="s">
        <v>1088</v>
      </c>
      <c r="J13070">
        <v>9.27</v>
      </c>
    </row>
    <row r="13071" spans="1:10" hidden="1">
      <c r="A13071" t="s">
        <v>7686</v>
      </c>
      <c r="B13071" t="s">
        <v>7687</v>
      </c>
      <c r="C13071" t="s">
        <v>6839</v>
      </c>
      <c r="D13071" t="s">
        <v>1148</v>
      </c>
      <c r="E13071" t="s">
        <v>558</v>
      </c>
      <c r="F13071" t="s">
        <v>1068</v>
      </c>
      <c r="G13071" t="s">
        <v>1089</v>
      </c>
      <c r="H13071" s="171" t="s">
        <v>7693</v>
      </c>
      <c r="I13071" t="s">
        <v>1090</v>
      </c>
      <c r="J13071">
        <v>9.27</v>
      </c>
    </row>
    <row r="13072" spans="1:10" hidden="1">
      <c r="A13072" t="s">
        <v>7694</v>
      </c>
      <c r="B13072" t="s">
        <v>7695</v>
      </c>
      <c r="C13072" t="s">
        <v>6839</v>
      </c>
      <c r="D13072" t="s">
        <v>1148</v>
      </c>
      <c r="E13072" t="s">
        <v>553</v>
      </c>
      <c r="F13072" t="s">
        <v>1068</v>
      </c>
      <c r="G13072" t="s">
        <v>1069</v>
      </c>
      <c r="H13072" s="171" t="s">
        <v>7696</v>
      </c>
      <c r="I13072" t="s">
        <v>1070</v>
      </c>
      <c r="J13072">
        <v>9.6199999999999992</v>
      </c>
    </row>
    <row r="13073" spans="1:10" hidden="1">
      <c r="A13073" t="s">
        <v>7694</v>
      </c>
      <c r="B13073" t="s">
        <v>7695</v>
      </c>
      <c r="C13073" t="s">
        <v>6839</v>
      </c>
      <c r="D13073" t="s">
        <v>1148</v>
      </c>
      <c r="E13073" t="s">
        <v>553</v>
      </c>
      <c r="F13073" t="s">
        <v>1068</v>
      </c>
      <c r="G13073" t="s">
        <v>1071</v>
      </c>
      <c r="H13073" s="171" t="s">
        <v>7697</v>
      </c>
      <c r="I13073" t="s">
        <v>1072</v>
      </c>
      <c r="J13073">
        <v>9.6199999999999992</v>
      </c>
    </row>
    <row r="13074" spans="1:10" hidden="1">
      <c r="A13074" t="s">
        <v>7694</v>
      </c>
      <c r="B13074" t="s">
        <v>7695</v>
      </c>
      <c r="C13074" t="s">
        <v>6839</v>
      </c>
      <c r="D13074" t="s">
        <v>1148</v>
      </c>
      <c r="E13074" t="s">
        <v>553</v>
      </c>
      <c r="F13074" t="s">
        <v>1068</v>
      </c>
      <c r="G13074" t="s">
        <v>1073</v>
      </c>
      <c r="H13074" s="171" t="s">
        <v>7698</v>
      </c>
      <c r="I13074" t="s">
        <v>1074</v>
      </c>
      <c r="J13074">
        <v>9.6199999999999992</v>
      </c>
    </row>
    <row r="13075" spans="1:10" hidden="1">
      <c r="A13075" t="s">
        <v>7694</v>
      </c>
      <c r="B13075" t="s">
        <v>7695</v>
      </c>
      <c r="C13075" t="s">
        <v>6839</v>
      </c>
      <c r="D13075" t="s">
        <v>1148</v>
      </c>
      <c r="E13075" t="s">
        <v>553</v>
      </c>
      <c r="F13075" t="s">
        <v>1068</v>
      </c>
      <c r="G13075" t="s">
        <v>1075</v>
      </c>
      <c r="H13075">
        <v>8.6074291810209203E-3</v>
      </c>
      <c r="I13075" t="s">
        <v>1077</v>
      </c>
      <c r="J13075">
        <v>9.6199999999999992</v>
      </c>
    </row>
    <row r="13076" spans="1:10" hidden="1">
      <c r="A13076" t="s">
        <v>7694</v>
      </c>
      <c r="B13076" t="s">
        <v>7695</v>
      </c>
      <c r="C13076" t="s">
        <v>6839</v>
      </c>
      <c r="D13076" t="s">
        <v>1148</v>
      </c>
      <c r="E13076" t="s">
        <v>553</v>
      </c>
      <c r="F13076" t="s">
        <v>1068</v>
      </c>
      <c r="G13076" t="s">
        <v>1078</v>
      </c>
      <c r="H13076" s="171" t="s">
        <v>7699</v>
      </c>
      <c r="I13076" t="s">
        <v>1079</v>
      </c>
      <c r="J13076">
        <v>9.6199999999999992</v>
      </c>
    </row>
    <row r="13077" spans="1:10" hidden="1">
      <c r="A13077" t="s">
        <v>7694</v>
      </c>
      <c r="B13077" t="s">
        <v>7695</v>
      </c>
      <c r="C13077" t="s">
        <v>6839</v>
      </c>
      <c r="D13077" t="s">
        <v>1148</v>
      </c>
      <c r="E13077" t="s">
        <v>553</v>
      </c>
      <c r="F13077" t="s">
        <v>1068</v>
      </c>
      <c r="G13077" t="s">
        <v>1080</v>
      </c>
      <c r="H13077" s="171" t="s">
        <v>7700</v>
      </c>
      <c r="I13077" t="s">
        <v>1082</v>
      </c>
      <c r="J13077">
        <v>9.6199999999999992</v>
      </c>
    </row>
    <row r="13078" spans="1:10" hidden="1">
      <c r="A13078" t="s">
        <v>7694</v>
      </c>
      <c r="B13078" t="s">
        <v>7695</v>
      </c>
      <c r="C13078" t="s">
        <v>6839</v>
      </c>
      <c r="D13078" t="s">
        <v>1148</v>
      </c>
      <c r="E13078" t="s">
        <v>553</v>
      </c>
      <c r="F13078" t="s">
        <v>1068</v>
      </c>
      <c r="G13078" t="s">
        <v>1083</v>
      </c>
      <c r="H13078" s="171" t="s">
        <v>7701</v>
      </c>
      <c r="I13078" t="s">
        <v>1084</v>
      </c>
      <c r="J13078">
        <v>9.6199999999999992</v>
      </c>
    </row>
    <row r="13079" spans="1:10" hidden="1">
      <c r="A13079" t="s">
        <v>7694</v>
      </c>
      <c r="B13079" t="s">
        <v>7695</v>
      </c>
      <c r="C13079" t="s">
        <v>6839</v>
      </c>
      <c r="D13079" t="s">
        <v>1148</v>
      </c>
      <c r="E13079" t="s">
        <v>553</v>
      </c>
      <c r="F13079" t="s">
        <v>1068</v>
      </c>
      <c r="G13079" t="s">
        <v>1085</v>
      </c>
      <c r="H13079">
        <v>3.2713311035022198E-4</v>
      </c>
      <c r="I13079" t="s">
        <v>1086</v>
      </c>
      <c r="J13079">
        <v>9.6199999999999992</v>
      </c>
    </row>
    <row r="13080" spans="1:10" hidden="1">
      <c r="A13080" t="s">
        <v>7694</v>
      </c>
      <c r="B13080" t="s">
        <v>7695</v>
      </c>
      <c r="C13080" t="s">
        <v>6839</v>
      </c>
      <c r="D13080" t="s">
        <v>1148</v>
      </c>
      <c r="E13080" t="s">
        <v>553</v>
      </c>
      <c r="F13080" t="s">
        <v>1068</v>
      </c>
      <c r="G13080" t="s">
        <v>1087</v>
      </c>
      <c r="H13080" s="171" t="s">
        <v>7702</v>
      </c>
      <c r="I13080" t="s">
        <v>1088</v>
      </c>
      <c r="J13080">
        <v>9.6199999999999992</v>
      </c>
    </row>
    <row r="13081" spans="1:10" hidden="1">
      <c r="A13081" t="s">
        <v>7694</v>
      </c>
      <c r="B13081" t="s">
        <v>7695</v>
      </c>
      <c r="C13081" t="s">
        <v>6839</v>
      </c>
      <c r="D13081" t="s">
        <v>1148</v>
      </c>
      <c r="E13081" t="s">
        <v>553</v>
      </c>
      <c r="F13081" t="s">
        <v>1068</v>
      </c>
      <c r="G13081" t="s">
        <v>1089</v>
      </c>
      <c r="H13081" s="171" t="s">
        <v>7703</v>
      </c>
      <c r="I13081" t="s">
        <v>1090</v>
      </c>
      <c r="J13081">
        <v>9.6199999999999992</v>
      </c>
    </row>
    <row r="13082" spans="1:10" hidden="1">
      <c r="A13082" t="s">
        <v>7704</v>
      </c>
      <c r="B13082" t="s">
        <v>7705</v>
      </c>
      <c r="C13082" t="s">
        <v>6839</v>
      </c>
      <c r="D13082" t="s">
        <v>1148</v>
      </c>
      <c r="E13082" t="s">
        <v>556</v>
      </c>
      <c r="F13082" t="s">
        <v>1068</v>
      </c>
      <c r="G13082" t="s">
        <v>1069</v>
      </c>
      <c r="H13082">
        <v>5.21075299619988E-2</v>
      </c>
      <c r="I13082" t="s">
        <v>1070</v>
      </c>
      <c r="J13082">
        <v>9.4</v>
      </c>
    </row>
    <row r="13083" spans="1:10" hidden="1">
      <c r="A13083" t="s">
        <v>7704</v>
      </c>
      <c r="B13083" t="s">
        <v>7705</v>
      </c>
      <c r="C13083" t="s">
        <v>6839</v>
      </c>
      <c r="D13083" t="s">
        <v>1148</v>
      </c>
      <c r="E13083" t="s">
        <v>556</v>
      </c>
      <c r="F13083" t="s">
        <v>1068</v>
      </c>
      <c r="G13083" t="s">
        <v>1071</v>
      </c>
      <c r="H13083" s="171" t="s">
        <v>7706</v>
      </c>
      <c r="I13083" t="s">
        <v>1072</v>
      </c>
      <c r="J13083">
        <v>9.4</v>
      </c>
    </row>
    <row r="13084" spans="1:10" hidden="1">
      <c r="A13084" t="s">
        <v>7704</v>
      </c>
      <c r="B13084" t="s">
        <v>7705</v>
      </c>
      <c r="C13084" t="s">
        <v>6839</v>
      </c>
      <c r="D13084" t="s">
        <v>1148</v>
      </c>
      <c r="E13084" t="s">
        <v>556</v>
      </c>
      <c r="F13084" t="s">
        <v>1068</v>
      </c>
      <c r="G13084" t="s">
        <v>1073</v>
      </c>
      <c r="H13084" s="171" t="s">
        <v>7707</v>
      </c>
      <c r="I13084" t="s">
        <v>1074</v>
      </c>
      <c r="J13084">
        <v>9.4</v>
      </c>
    </row>
    <row r="13085" spans="1:10" hidden="1">
      <c r="A13085" t="s">
        <v>7704</v>
      </c>
      <c r="B13085" t="s">
        <v>7705</v>
      </c>
      <c r="C13085" t="s">
        <v>6839</v>
      </c>
      <c r="D13085" t="s">
        <v>1148</v>
      </c>
      <c r="E13085" t="s">
        <v>556</v>
      </c>
      <c r="F13085" t="s">
        <v>1068</v>
      </c>
      <c r="G13085" t="s">
        <v>1075</v>
      </c>
      <c r="H13085">
        <v>8.6074942768568693E-3</v>
      </c>
      <c r="I13085" t="s">
        <v>1077</v>
      </c>
      <c r="J13085">
        <v>9.4</v>
      </c>
    </row>
    <row r="13086" spans="1:10" hidden="1">
      <c r="A13086" t="s">
        <v>7704</v>
      </c>
      <c r="B13086" t="s">
        <v>7705</v>
      </c>
      <c r="C13086" t="s">
        <v>6839</v>
      </c>
      <c r="D13086" t="s">
        <v>1148</v>
      </c>
      <c r="E13086" t="s">
        <v>556</v>
      </c>
      <c r="F13086" t="s">
        <v>1068</v>
      </c>
      <c r="G13086" t="s">
        <v>1078</v>
      </c>
      <c r="H13086" s="171" t="s">
        <v>7708</v>
      </c>
      <c r="I13086" t="s">
        <v>1079</v>
      </c>
      <c r="J13086">
        <v>9.4</v>
      </c>
    </row>
    <row r="13087" spans="1:10" hidden="1">
      <c r="A13087" t="s">
        <v>7704</v>
      </c>
      <c r="B13087" t="s">
        <v>7705</v>
      </c>
      <c r="C13087" t="s">
        <v>6839</v>
      </c>
      <c r="D13087" t="s">
        <v>1148</v>
      </c>
      <c r="E13087" t="s">
        <v>556</v>
      </c>
      <c r="F13087" t="s">
        <v>1068</v>
      </c>
      <c r="G13087" t="s">
        <v>1080</v>
      </c>
      <c r="H13087" s="171" t="s">
        <v>7709</v>
      </c>
      <c r="I13087" t="s">
        <v>1082</v>
      </c>
      <c r="J13087">
        <v>9.4</v>
      </c>
    </row>
    <row r="13088" spans="1:10" hidden="1">
      <c r="A13088" t="s">
        <v>7704</v>
      </c>
      <c r="B13088" t="s">
        <v>7705</v>
      </c>
      <c r="C13088" t="s">
        <v>6839</v>
      </c>
      <c r="D13088" t="s">
        <v>1148</v>
      </c>
      <c r="E13088" t="s">
        <v>556</v>
      </c>
      <c r="F13088" t="s">
        <v>1068</v>
      </c>
      <c r="G13088" t="s">
        <v>1083</v>
      </c>
      <c r="H13088" s="171" t="s">
        <v>7710</v>
      </c>
      <c r="I13088" t="s">
        <v>1084</v>
      </c>
      <c r="J13088">
        <v>9.4</v>
      </c>
    </row>
    <row r="13089" spans="1:10" hidden="1">
      <c r="A13089" t="s">
        <v>7704</v>
      </c>
      <c r="B13089" t="s">
        <v>7705</v>
      </c>
      <c r="C13089" t="s">
        <v>6839</v>
      </c>
      <c r="D13089" t="s">
        <v>1148</v>
      </c>
      <c r="E13089" t="s">
        <v>556</v>
      </c>
      <c r="F13089" t="s">
        <v>1068</v>
      </c>
      <c r="G13089" t="s">
        <v>1085</v>
      </c>
      <c r="H13089">
        <v>3.2713664800875799E-4</v>
      </c>
      <c r="I13089" t="s">
        <v>1086</v>
      </c>
      <c r="J13089">
        <v>9.4</v>
      </c>
    </row>
    <row r="13090" spans="1:10" hidden="1">
      <c r="A13090" t="s">
        <v>7704</v>
      </c>
      <c r="B13090" t="s">
        <v>7705</v>
      </c>
      <c r="C13090" t="s">
        <v>6839</v>
      </c>
      <c r="D13090" t="s">
        <v>1148</v>
      </c>
      <c r="E13090" t="s">
        <v>556</v>
      </c>
      <c r="F13090" t="s">
        <v>1068</v>
      </c>
      <c r="G13090" t="s">
        <v>1087</v>
      </c>
      <c r="H13090" s="171" t="s">
        <v>7711</v>
      </c>
      <c r="I13090" t="s">
        <v>1088</v>
      </c>
      <c r="J13090">
        <v>9.4</v>
      </c>
    </row>
    <row r="13091" spans="1:10" hidden="1">
      <c r="A13091" t="s">
        <v>7704</v>
      </c>
      <c r="B13091" t="s">
        <v>7705</v>
      </c>
      <c r="C13091" t="s">
        <v>6839</v>
      </c>
      <c r="D13091" t="s">
        <v>1148</v>
      </c>
      <c r="E13091" t="s">
        <v>556</v>
      </c>
      <c r="F13091" t="s">
        <v>1068</v>
      </c>
      <c r="G13091" t="s">
        <v>1089</v>
      </c>
      <c r="H13091" s="171" t="s">
        <v>7712</v>
      </c>
      <c r="I13091" t="s">
        <v>1090</v>
      </c>
      <c r="J13091">
        <v>9.4</v>
      </c>
    </row>
    <row r="13092" spans="1:10" hidden="1">
      <c r="A13092" t="s">
        <v>7713</v>
      </c>
      <c r="B13092" t="s">
        <v>7714</v>
      </c>
      <c r="C13092" t="s">
        <v>6839</v>
      </c>
      <c r="D13092" t="s">
        <v>1148</v>
      </c>
      <c r="E13092" t="s">
        <v>557</v>
      </c>
      <c r="F13092" t="s">
        <v>1068</v>
      </c>
      <c r="G13092" t="s">
        <v>1069</v>
      </c>
      <c r="H13092">
        <v>5.2105299693917903E-2</v>
      </c>
      <c r="I13092" t="s">
        <v>1070</v>
      </c>
      <c r="J13092">
        <v>9.3800000000000008</v>
      </c>
    </row>
    <row r="13093" spans="1:10" hidden="1">
      <c r="A13093" t="s">
        <v>7713</v>
      </c>
      <c r="B13093" t="s">
        <v>7714</v>
      </c>
      <c r="C13093" t="s">
        <v>6839</v>
      </c>
      <c r="D13093" t="s">
        <v>1148</v>
      </c>
      <c r="E13093" t="s">
        <v>557</v>
      </c>
      <c r="F13093" t="s">
        <v>1068</v>
      </c>
      <c r="G13093" t="s">
        <v>1071</v>
      </c>
      <c r="H13093" s="171" t="s">
        <v>7715</v>
      </c>
      <c r="I13093" t="s">
        <v>1072</v>
      </c>
      <c r="J13093">
        <v>9.3800000000000008</v>
      </c>
    </row>
    <row r="13094" spans="1:10" hidden="1">
      <c r="A13094" t="s">
        <v>7713</v>
      </c>
      <c r="B13094" t="s">
        <v>7714</v>
      </c>
      <c r="C13094" t="s">
        <v>6839</v>
      </c>
      <c r="D13094" t="s">
        <v>1148</v>
      </c>
      <c r="E13094" t="s">
        <v>557</v>
      </c>
      <c r="F13094" t="s">
        <v>1068</v>
      </c>
      <c r="G13094" t="s">
        <v>1073</v>
      </c>
      <c r="H13094" s="171" t="s">
        <v>7716</v>
      </c>
      <c r="I13094" t="s">
        <v>1074</v>
      </c>
      <c r="J13094">
        <v>9.3800000000000008</v>
      </c>
    </row>
    <row r="13095" spans="1:10" hidden="1">
      <c r="A13095" t="s">
        <v>7713</v>
      </c>
      <c r="B13095" t="s">
        <v>7714</v>
      </c>
      <c r="C13095" t="s">
        <v>6839</v>
      </c>
      <c r="D13095" t="s">
        <v>1148</v>
      </c>
      <c r="E13095" t="s">
        <v>557</v>
      </c>
      <c r="F13095" t="s">
        <v>1068</v>
      </c>
      <c r="G13095" t="s">
        <v>1075</v>
      </c>
      <c r="H13095">
        <v>8.6074535868175296E-3</v>
      </c>
      <c r="I13095" t="s">
        <v>1077</v>
      </c>
      <c r="J13095">
        <v>9.3800000000000008</v>
      </c>
    </row>
    <row r="13096" spans="1:10" hidden="1">
      <c r="A13096" t="s">
        <v>7713</v>
      </c>
      <c r="B13096" t="s">
        <v>7714</v>
      </c>
      <c r="C13096" t="s">
        <v>6839</v>
      </c>
      <c r="D13096" t="s">
        <v>1148</v>
      </c>
      <c r="E13096" t="s">
        <v>557</v>
      </c>
      <c r="F13096" t="s">
        <v>1068</v>
      </c>
      <c r="G13096" t="s">
        <v>1078</v>
      </c>
      <c r="H13096" s="171" t="s">
        <v>7717</v>
      </c>
      <c r="I13096" t="s">
        <v>1079</v>
      </c>
      <c r="J13096">
        <v>9.3800000000000008</v>
      </c>
    </row>
    <row r="13097" spans="1:10" hidden="1">
      <c r="A13097" t="s">
        <v>7713</v>
      </c>
      <c r="B13097" t="s">
        <v>7714</v>
      </c>
      <c r="C13097" t="s">
        <v>6839</v>
      </c>
      <c r="D13097" t="s">
        <v>1148</v>
      </c>
      <c r="E13097" t="s">
        <v>557</v>
      </c>
      <c r="F13097" t="s">
        <v>1068</v>
      </c>
      <c r="G13097" t="s">
        <v>1080</v>
      </c>
      <c r="H13097" s="171" t="s">
        <v>7718</v>
      </c>
      <c r="I13097" t="s">
        <v>1082</v>
      </c>
      <c r="J13097">
        <v>9.3800000000000008</v>
      </c>
    </row>
    <row r="13098" spans="1:10" hidden="1">
      <c r="A13098" t="s">
        <v>7713</v>
      </c>
      <c r="B13098" t="s">
        <v>7714</v>
      </c>
      <c r="C13098" t="s">
        <v>6839</v>
      </c>
      <c r="D13098" t="s">
        <v>1148</v>
      </c>
      <c r="E13098" t="s">
        <v>557</v>
      </c>
      <c r="F13098" t="s">
        <v>1068</v>
      </c>
      <c r="G13098" t="s">
        <v>1083</v>
      </c>
      <c r="H13098" s="171" t="s">
        <v>7719</v>
      </c>
      <c r="I13098" t="s">
        <v>1084</v>
      </c>
      <c r="J13098">
        <v>9.3800000000000008</v>
      </c>
    </row>
    <row r="13099" spans="1:10" hidden="1">
      <c r="A13099" t="s">
        <v>7713</v>
      </c>
      <c r="B13099" t="s">
        <v>7714</v>
      </c>
      <c r="C13099" t="s">
        <v>6839</v>
      </c>
      <c r="D13099" t="s">
        <v>1148</v>
      </c>
      <c r="E13099" t="s">
        <v>557</v>
      </c>
      <c r="F13099" t="s">
        <v>1068</v>
      </c>
      <c r="G13099" t="s">
        <v>1085</v>
      </c>
      <c r="H13099">
        <v>3.2713443724007599E-4</v>
      </c>
      <c r="I13099" t="s">
        <v>1086</v>
      </c>
      <c r="J13099">
        <v>9.3800000000000008</v>
      </c>
    </row>
    <row r="13100" spans="1:10" hidden="1">
      <c r="A13100" t="s">
        <v>7713</v>
      </c>
      <c r="B13100" t="s">
        <v>7714</v>
      </c>
      <c r="C13100" t="s">
        <v>6839</v>
      </c>
      <c r="D13100" t="s">
        <v>1148</v>
      </c>
      <c r="E13100" t="s">
        <v>557</v>
      </c>
      <c r="F13100" t="s">
        <v>1068</v>
      </c>
      <c r="G13100" t="s">
        <v>1087</v>
      </c>
      <c r="H13100" s="171" t="s">
        <v>7720</v>
      </c>
      <c r="I13100" t="s">
        <v>1088</v>
      </c>
      <c r="J13100">
        <v>9.3800000000000008</v>
      </c>
    </row>
    <row r="13101" spans="1:10" hidden="1">
      <c r="A13101" t="s">
        <v>7713</v>
      </c>
      <c r="B13101" t="s">
        <v>7714</v>
      </c>
      <c r="C13101" t="s">
        <v>6839</v>
      </c>
      <c r="D13101" t="s">
        <v>1148</v>
      </c>
      <c r="E13101" t="s">
        <v>557</v>
      </c>
      <c r="F13101" t="s">
        <v>1068</v>
      </c>
      <c r="G13101" t="s">
        <v>1089</v>
      </c>
      <c r="H13101" s="171" t="s">
        <v>7721</v>
      </c>
      <c r="I13101" t="s">
        <v>1090</v>
      </c>
      <c r="J13101">
        <v>9.3800000000000008</v>
      </c>
    </row>
    <row r="13102" spans="1:10" hidden="1">
      <c r="A13102" t="s">
        <v>7722</v>
      </c>
      <c r="B13102" t="s">
        <v>7723</v>
      </c>
      <c r="C13102" t="s">
        <v>6839</v>
      </c>
      <c r="D13102" t="s">
        <v>1148</v>
      </c>
      <c r="E13102" t="s">
        <v>559</v>
      </c>
      <c r="F13102" t="s">
        <v>1068</v>
      </c>
      <c r="G13102" t="s">
        <v>1069</v>
      </c>
      <c r="H13102">
        <v>5.2106917859237101E-2</v>
      </c>
      <c r="I13102" t="s">
        <v>1070</v>
      </c>
      <c r="J13102">
        <v>9.1999999999999993</v>
      </c>
    </row>
    <row r="13103" spans="1:10" hidden="1">
      <c r="A13103" t="s">
        <v>7722</v>
      </c>
      <c r="B13103" t="s">
        <v>7723</v>
      </c>
      <c r="C13103" t="s">
        <v>6839</v>
      </c>
      <c r="D13103" t="s">
        <v>1148</v>
      </c>
      <c r="E13103" t="s">
        <v>559</v>
      </c>
      <c r="F13103" t="s">
        <v>1068</v>
      </c>
      <c r="G13103" t="s">
        <v>1071</v>
      </c>
      <c r="H13103" s="171" t="s">
        <v>7724</v>
      </c>
      <c r="I13103" t="s">
        <v>1072</v>
      </c>
      <c r="J13103">
        <v>9.1999999999999993</v>
      </c>
    </row>
    <row r="13104" spans="1:10" hidden="1">
      <c r="A13104" t="s">
        <v>7722</v>
      </c>
      <c r="B13104" t="s">
        <v>7723</v>
      </c>
      <c r="C13104" t="s">
        <v>6839</v>
      </c>
      <c r="D13104" t="s">
        <v>1148</v>
      </c>
      <c r="E13104" t="s">
        <v>559</v>
      </c>
      <c r="F13104" t="s">
        <v>1068</v>
      </c>
      <c r="G13104" t="s">
        <v>1073</v>
      </c>
      <c r="H13104" s="171" t="s">
        <v>7725</v>
      </c>
      <c r="I13104" t="s">
        <v>1074</v>
      </c>
      <c r="J13104">
        <v>9.1999999999999993</v>
      </c>
    </row>
    <row r="13105" spans="1:10" hidden="1">
      <c r="A13105" t="s">
        <v>7722</v>
      </c>
      <c r="B13105" t="s">
        <v>7723</v>
      </c>
      <c r="C13105" t="s">
        <v>6839</v>
      </c>
      <c r="D13105" t="s">
        <v>1148</v>
      </c>
      <c r="E13105" t="s">
        <v>559</v>
      </c>
      <c r="F13105" t="s">
        <v>1068</v>
      </c>
      <c r="G13105" t="s">
        <v>1075</v>
      </c>
      <c r="H13105">
        <v>8.6074749276346101E-3</v>
      </c>
      <c r="I13105" t="s">
        <v>1077</v>
      </c>
      <c r="J13105">
        <v>9.1999999999999993</v>
      </c>
    </row>
    <row r="13106" spans="1:10" hidden="1">
      <c r="A13106" t="s">
        <v>7722</v>
      </c>
      <c r="B13106" t="s">
        <v>7723</v>
      </c>
      <c r="C13106" t="s">
        <v>6839</v>
      </c>
      <c r="D13106" t="s">
        <v>1148</v>
      </c>
      <c r="E13106" t="s">
        <v>559</v>
      </c>
      <c r="F13106" t="s">
        <v>1068</v>
      </c>
      <c r="G13106" t="s">
        <v>1078</v>
      </c>
      <c r="H13106" s="171" t="s">
        <v>7726</v>
      </c>
      <c r="I13106" t="s">
        <v>1079</v>
      </c>
      <c r="J13106">
        <v>9.1999999999999993</v>
      </c>
    </row>
    <row r="13107" spans="1:10" hidden="1">
      <c r="A13107" t="s">
        <v>7722</v>
      </c>
      <c r="B13107" t="s">
        <v>7723</v>
      </c>
      <c r="C13107" t="s">
        <v>6839</v>
      </c>
      <c r="D13107" t="s">
        <v>1148</v>
      </c>
      <c r="E13107" t="s">
        <v>559</v>
      </c>
      <c r="F13107" t="s">
        <v>1068</v>
      </c>
      <c r="G13107" t="s">
        <v>1080</v>
      </c>
      <c r="H13107" s="171" t="s">
        <v>7727</v>
      </c>
      <c r="I13107" t="s">
        <v>1082</v>
      </c>
      <c r="J13107">
        <v>9.1999999999999993</v>
      </c>
    </row>
    <row r="13108" spans="1:10" hidden="1">
      <c r="A13108" t="s">
        <v>7722</v>
      </c>
      <c r="B13108" t="s">
        <v>7723</v>
      </c>
      <c r="C13108" t="s">
        <v>6839</v>
      </c>
      <c r="D13108" t="s">
        <v>1148</v>
      </c>
      <c r="E13108" t="s">
        <v>559</v>
      </c>
      <c r="F13108" t="s">
        <v>1068</v>
      </c>
      <c r="G13108" t="s">
        <v>1083</v>
      </c>
      <c r="H13108" s="171" t="s">
        <v>7728</v>
      </c>
      <c r="I13108" t="s">
        <v>1084</v>
      </c>
      <c r="J13108">
        <v>9.1999999999999993</v>
      </c>
    </row>
    <row r="13109" spans="1:10" hidden="1">
      <c r="A13109" t="s">
        <v>7722</v>
      </c>
      <c r="B13109" t="s">
        <v>7723</v>
      </c>
      <c r="C13109" t="s">
        <v>6839</v>
      </c>
      <c r="D13109" t="s">
        <v>1148</v>
      </c>
      <c r="E13109" t="s">
        <v>559</v>
      </c>
      <c r="F13109" t="s">
        <v>1068</v>
      </c>
      <c r="G13109" t="s">
        <v>1085</v>
      </c>
      <c r="H13109">
        <v>3.2713559646775398E-4</v>
      </c>
      <c r="I13109" t="s">
        <v>1086</v>
      </c>
      <c r="J13109">
        <v>9.1999999999999993</v>
      </c>
    </row>
    <row r="13110" spans="1:10" hidden="1">
      <c r="A13110" t="s">
        <v>7722</v>
      </c>
      <c r="B13110" t="s">
        <v>7723</v>
      </c>
      <c r="C13110" t="s">
        <v>6839</v>
      </c>
      <c r="D13110" t="s">
        <v>1148</v>
      </c>
      <c r="E13110" t="s">
        <v>559</v>
      </c>
      <c r="F13110" t="s">
        <v>1068</v>
      </c>
      <c r="G13110" t="s">
        <v>1087</v>
      </c>
      <c r="H13110" s="171" t="s">
        <v>7729</v>
      </c>
      <c r="I13110" t="s">
        <v>1088</v>
      </c>
      <c r="J13110">
        <v>9.1999999999999993</v>
      </c>
    </row>
    <row r="13111" spans="1:10" hidden="1">
      <c r="A13111" t="s">
        <v>7722</v>
      </c>
      <c r="B13111" t="s">
        <v>7723</v>
      </c>
      <c r="C13111" t="s">
        <v>6839</v>
      </c>
      <c r="D13111" t="s">
        <v>1148</v>
      </c>
      <c r="E13111" t="s">
        <v>559</v>
      </c>
      <c r="F13111" t="s">
        <v>1068</v>
      </c>
      <c r="G13111" t="s">
        <v>1089</v>
      </c>
      <c r="H13111" s="171" t="s">
        <v>7730</v>
      </c>
      <c r="I13111" t="s">
        <v>1090</v>
      </c>
      <c r="J13111">
        <v>9.1999999999999993</v>
      </c>
    </row>
    <row r="13112" spans="1:10" hidden="1">
      <c r="A13112" t="s">
        <v>7731</v>
      </c>
      <c r="B13112" t="s">
        <v>7732</v>
      </c>
      <c r="C13112" t="s">
        <v>6839</v>
      </c>
      <c r="D13112" t="s">
        <v>1148</v>
      </c>
      <c r="E13112" t="s">
        <v>560</v>
      </c>
      <c r="F13112" t="s">
        <v>1068</v>
      </c>
      <c r="G13112" t="s">
        <v>1069</v>
      </c>
      <c r="H13112">
        <v>5.2105674637125898E-2</v>
      </c>
      <c r="I13112" t="s">
        <v>1070</v>
      </c>
      <c r="J13112">
        <v>9.02</v>
      </c>
    </row>
    <row r="13113" spans="1:10" hidden="1">
      <c r="A13113" t="s">
        <v>7731</v>
      </c>
      <c r="B13113" t="s">
        <v>7732</v>
      </c>
      <c r="C13113" t="s">
        <v>6839</v>
      </c>
      <c r="D13113" t="s">
        <v>1148</v>
      </c>
      <c r="E13113" t="s">
        <v>560</v>
      </c>
      <c r="F13113" t="s">
        <v>1068</v>
      </c>
      <c r="G13113" t="s">
        <v>1071</v>
      </c>
      <c r="H13113" s="171" t="s">
        <v>7733</v>
      </c>
      <c r="I13113" t="s">
        <v>1072</v>
      </c>
      <c r="J13113">
        <v>9.02</v>
      </c>
    </row>
    <row r="13114" spans="1:10" hidden="1">
      <c r="A13114" t="s">
        <v>7731</v>
      </c>
      <c r="B13114" t="s">
        <v>7732</v>
      </c>
      <c r="C13114" t="s">
        <v>6839</v>
      </c>
      <c r="D13114" t="s">
        <v>1148</v>
      </c>
      <c r="E13114" t="s">
        <v>560</v>
      </c>
      <c r="F13114" t="s">
        <v>1068</v>
      </c>
      <c r="G13114" t="s">
        <v>1073</v>
      </c>
      <c r="H13114" s="171" t="s">
        <v>7734</v>
      </c>
      <c r="I13114" t="s">
        <v>1074</v>
      </c>
      <c r="J13114">
        <v>9.02</v>
      </c>
    </row>
    <row r="13115" spans="1:10" hidden="1">
      <c r="A13115" t="s">
        <v>7731</v>
      </c>
      <c r="B13115" t="s">
        <v>7732</v>
      </c>
      <c r="C13115" t="s">
        <v>6839</v>
      </c>
      <c r="D13115" t="s">
        <v>1148</v>
      </c>
      <c r="E13115" t="s">
        <v>560</v>
      </c>
      <c r="F13115" t="s">
        <v>1068</v>
      </c>
      <c r="G13115" t="s">
        <v>1075</v>
      </c>
      <c r="H13115">
        <v>8.6074654391728699E-3</v>
      </c>
      <c r="I13115" t="s">
        <v>1077</v>
      </c>
      <c r="J13115">
        <v>9.02</v>
      </c>
    </row>
    <row r="13116" spans="1:10" hidden="1">
      <c r="A13116" t="s">
        <v>7731</v>
      </c>
      <c r="B13116" t="s">
        <v>7732</v>
      </c>
      <c r="C13116" t="s">
        <v>6839</v>
      </c>
      <c r="D13116" t="s">
        <v>1148</v>
      </c>
      <c r="E13116" t="s">
        <v>560</v>
      </c>
      <c r="F13116" t="s">
        <v>1068</v>
      </c>
      <c r="G13116" t="s">
        <v>1078</v>
      </c>
      <c r="H13116" s="171" t="s">
        <v>7735</v>
      </c>
      <c r="I13116" t="s">
        <v>1079</v>
      </c>
      <c r="J13116">
        <v>9.02</v>
      </c>
    </row>
    <row r="13117" spans="1:10" hidden="1">
      <c r="A13117" t="s">
        <v>7731</v>
      </c>
      <c r="B13117" t="s">
        <v>7732</v>
      </c>
      <c r="C13117" t="s">
        <v>6839</v>
      </c>
      <c r="D13117" t="s">
        <v>1148</v>
      </c>
      <c r="E13117" t="s">
        <v>560</v>
      </c>
      <c r="F13117" t="s">
        <v>1068</v>
      </c>
      <c r="G13117" t="s">
        <v>1080</v>
      </c>
      <c r="H13117" s="171" t="s">
        <v>7736</v>
      </c>
      <c r="I13117" t="s">
        <v>1082</v>
      </c>
      <c r="J13117">
        <v>9.02</v>
      </c>
    </row>
    <row r="13118" spans="1:10" hidden="1">
      <c r="A13118" t="s">
        <v>7731</v>
      </c>
      <c r="B13118" t="s">
        <v>7732</v>
      </c>
      <c r="C13118" t="s">
        <v>6839</v>
      </c>
      <c r="D13118" t="s">
        <v>1148</v>
      </c>
      <c r="E13118" t="s">
        <v>560</v>
      </c>
      <c r="F13118" t="s">
        <v>1068</v>
      </c>
      <c r="G13118" t="s">
        <v>1083</v>
      </c>
      <c r="H13118" s="171" t="s">
        <v>7737</v>
      </c>
      <c r="I13118" t="s">
        <v>1084</v>
      </c>
      <c r="J13118">
        <v>9.02</v>
      </c>
    </row>
    <row r="13119" spans="1:10" hidden="1">
      <c r="A13119" t="s">
        <v>7731</v>
      </c>
      <c r="B13119" t="s">
        <v>7732</v>
      </c>
      <c r="C13119" t="s">
        <v>6839</v>
      </c>
      <c r="D13119" t="s">
        <v>1148</v>
      </c>
      <c r="E13119" t="s">
        <v>560</v>
      </c>
      <c r="F13119" t="s">
        <v>1068</v>
      </c>
      <c r="G13119" t="s">
        <v>1085</v>
      </c>
      <c r="H13119">
        <v>3.2713508136094201E-4</v>
      </c>
      <c r="I13119" t="s">
        <v>1086</v>
      </c>
      <c r="J13119">
        <v>9.02</v>
      </c>
    </row>
    <row r="13120" spans="1:10" hidden="1">
      <c r="A13120" t="s">
        <v>7731</v>
      </c>
      <c r="B13120" t="s">
        <v>7732</v>
      </c>
      <c r="C13120" t="s">
        <v>6839</v>
      </c>
      <c r="D13120" t="s">
        <v>1148</v>
      </c>
      <c r="E13120" t="s">
        <v>560</v>
      </c>
      <c r="F13120" t="s">
        <v>1068</v>
      </c>
      <c r="G13120" t="s">
        <v>1087</v>
      </c>
      <c r="H13120" s="171" t="s">
        <v>7738</v>
      </c>
      <c r="I13120" t="s">
        <v>1088</v>
      </c>
      <c r="J13120">
        <v>9.02</v>
      </c>
    </row>
    <row r="13121" spans="1:10" hidden="1">
      <c r="A13121" t="s">
        <v>7731</v>
      </c>
      <c r="B13121" t="s">
        <v>7732</v>
      </c>
      <c r="C13121" t="s">
        <v>6839</v>
      </c>
      <c r="D13121" t="s">
        <v>1148</v>
      </c>
      <c r="E13121" t="s">
        <v>560</v>
      </c>
      <c r="F13121" t="s">
        <v>1068</v>
      </c>
      <c r="G13121" t="s">
        <v>1089</v>
      </c>
      <c r="H13121" s="171" t="s">
        <v>7739</v>
      </c>
      <c r="I13121" t="s">
        <v>1090</v>
      </c>
      <c r="J13121">
        <v>9.02</v>
      </c>
    </row>
    <row r="13122" spans="1:10" hidden="1">
      <c r="A13122" t="s">
        <v>7740</v>
      </c>
      <c r="B13122" t="s">
        <v>7741</v>
      </c>
      <c r="C13122" t="s">
        <v>6839</v>
      </c>
      <c r="D13122" t="s">
        <v>1148</v>
      </c>
      <c r="E13122" t="s">
        <v>1116</v>
      </c>
      <c r="F13122" t="s">
        <v>1068</v>
      </c>
      <c r="G13122" t="s">
        <v>1069</v>
      </c>
      <c r="H13122">
        <v>5.2104536646783203E-2</v>
      </c>
      <c r="I13122" t="s">
        <v>1070</v>
      </c>
      <c r="J13122">
        <v>10.55</v>
      </c>
    </row>
    <row r="13123" spans="1:10" hidden="1">
      <c r="A13123" t="s">
        <v>7740</v>
      </c>
      <c r="B13123" t="s">
        <v>7741</v>
      </c>
      <c r="C13123" t="s">
        <v>6839</v>
      </c>
      <c r="D13123" t="s">
        <v>1148</v>
      </c>
      <c r="E13123" t="s">
        <v>1116</v>
      </c>
      <c r="F13123" t="s">
        <v>1068</v>
      </c>
      <c r="G13123" t="s">
        <v>1071</v>
      </c>
      <c r="H13123" s="171" t="s">
        <v>7742</v>
      </c>
      <c r="I13123" t="s">
        <v>1072</v>
      </c>
      <c r="J13123">
        <v>10.55</v>
      </c>
    </row>
    <row r="13124" spans="1:10" hidden="1">
      <c r="A13124" t="s">
        <v>7740</v>
      </c>
      <c r="B13124" t="s">
        <v>7741</v>
      </c>
      <c r="C13124" t="s">
        <v>6839</v>
      </c>
      <c r="D13124" t="s">
        <v>1148</v>
      </c>
      <c r="E13124" t="s">
        <v>1116</v>
      </c>
      <c r="F13124" t="s">
        <v>1068</v>
      </c>
      <c r="G13124" t="s">
        <v>1073</v>
      </c>
      <c r="H13124" s="171" t="s">
        <v>7743</v>
      </c>
      <c r="I13124" t="s">
        <v>1074</v>
      </c>
      <c r="J13124">
        <v>10.55</v>
      </c>
    </row>
    <row r="13125" spans="1:10" hidden="1">
      <c r="A13125" t="s">
        <v>7740</v>
      </c>
      <c r="B13125" t="s">
        <v>7741</v>
      </c>
      <c r="C13125" t="s">
        <v>6839</v>
      </c>
      <c r="D13125" t="s">
        <v>1148</v>
      </c>
      <c r="E13125" t="s">
        <v>1116</v>
      </c>
      <c r="F13125" t="s">
        <v>1068</v>
      </c>
      <c r="G13125" t="s">
        <v>1075</v>
      </c>
      <c r="H13125">
        <v>8.6074294660824606E-3</v>
      </c>
      <c r="I13125" t="s">
        <v>1077</v>
      </c>
      <c r="J13125">
        <v>10.55</v>
      </c>
    </row>
    <row r="13126" spans="1:10" hidden="1">
      <c r="A13126" t="s">
        <v>7740</v>
      </c>
      <c r="B13126" t="s">
        <v>7741</v>
      </c>
      <c r="C13126" t="s">
        <v>6839</v>
      </c>
      <c r="D13126" t="s">
        <v>1148</v>
      </c>
      <c r="E13126" t="s">
        <v>1116</v>
      </c>
      <c r="F13126" t="s">
        <v>1068</v>
      </c>
      <c r="G13126" t="s">
        <v>1078</v>
      </c>
      <c r="H13126">
        <v>2.84201932341357E-2</v>
      </c>
      <c r="I13126" t="s">
        <v>1079</v>
      </c>
      <c r="J13126">
        <v>10.55</v>
      </c>
    </row>
    <row r="13127" spans="1:10" hidden="1">
      <c r="A13127" t="s">
        <v>7740</v>
      </c>
      <c r="B13127" t="s">
        <v>7741</v>
      </c>
      <c r="C13127" t="s">
        <v>6839</v>
      </c>
      <c r="D13127" t="s">
        <v>1148</v>
      </c>
      <c r="E13127" t="s">
        <v>1116</v>
      </c>
      <c r="F13127" t="s">
        <v>1068</v>
      </c>
      <c r="G13127" t="s">
        <v>1080</v>
      </c>
      <c r="H13127" s="171" t="s">
        <v>7744</v>
      </c>
      <c r="I13127" t="s">
        <v>1082</v>
      </c>
      <c r="J13127">
        <v>10.55</v>
      </c>
    </row>
    <row r="13128" spans="1:10" hidden="1">
      <c r="A13128" t="s">
        <v>7740</v>
      </c>
      <c r="B13128" t="s">
        <v>7741</v>
      </c>
      <c r="C13128" t="s">
        <v>6839</v>
      </c>
      <c r="D13128" t="s">
        <v>1148</v>
      </c>
      <c r="E13128" t="s">
        <v>1116</v>
      </c>
      <c r="F13128" t="s">
        <v>1068</v>
      </c>
      <c r="G13128" t="s">
        <v>1083</v>
      </c>
      <c r="H13128" s="171" t="s">
        <v>7745</v>
      </c>
      <c r="I13128" t="s">
        <v>1084</v>
      </c>
      <c r="J13128">
        <v>10.55</v>
      </c>
    </row>
    <row r="13129" spans="1:10" hidden="1">
      <c r="A13129" t="s">
        <v>7740</v>
      </c>
      <c r="B13129" t="s">
        <v>7741</v>
      </c>
      <c r="C13129" t="s">
        <v>6839</v>
      </c>
      <c r="D13129" t="s">
        <v>1148</v>
      </c>
      <c r="E13129" t="s">
        <v>1116</v>
      </c>
      <c r="F13129" t="s">
        <v>1068</v>
      </c>
      <c r="G13129" t="s">
        <v>1085</v>
      </c>
      <c r="H13129">
        <v>3.27133126389337E-4</v>
      </c>
      <c r="I13129" t="s">
        <v>1086</v>
      </c>
      <c r="J13129">
        <v>10.55</v>
      </c>
    </row>
    <row r="13130" spans="1:10" hidden="1">
      <c r="A13130" t="s">
        <v>7740</v>
      </c>
      <c r="B13130" t="s">
        <v>7741</v>
      </c>
      <c r="C13130" t="s">
        <v>6839</v>
      </c>
      <c r="D13130" t="s">
        <v>1148</v>
      </c>
      <c r="E13130" t="s">
        <v>1116</v>
      </c>
      <c r="F13130" t="s">
        <v>1068</v>
      </c>
      <c r="G13130" t="s">
        <v>1087</v>
      </c>
      <c r="H13130" s="171" t="s">
        <v>7746</v>
      </c>
      <c r="I13130" t="s">
        <v>1088</v>
      </c>
      <c r="J13130">
        <v>10.55</v>
      </c>
    </row>
    <row r="13131" spans="1:10" hidden="1">
      <c r="A13131" t="s">
        <v>7740</v>
      </c>
      <c r="B13131" t="s">
        <v>7741</v>
      </c>
      <c r="C13131" t="s">
        <v>6839</v>
      </c>
      <c r="D13131" t="s">
        <v>1148</v>
      </c>
      <c r="E13131" t="s">
        <v>1116</v>
      </c>
      <c r="F13131" t="s">
        <v>1068</v>
      </c>
      <c r="G13131" t="s">
        <v>1089</v>
      </c>
      <c r="H13131" s="171" t="s">
        <v>7747</v>
      </c>
      <c r="I13131" t="s">
        <v>1090</v>
      </c>
      <c r="J13131">
        <v>10.55</v>
      </c>
    </row>
    <row r="13132" spans="1:10" hidden="1">
      <c r="A13132" t="s">
        <v>7748</v>
      </c>
      <c r="B13132" t="s">
        <v>7749</v>
      </c>
      <c r="C13132" t="s">
        <v>6839</v>
      </c>
      <c r="D13132" t="s">
        <v>1179</v>
      </c>
      <c r="E13132" t="s">
        <v>561</v>
      </c>
      <c r="F13132" t="s">
        <v>1068</v>
      </c>
      <c r="G13132" t="s">
        <v>1069</v>
      </c>
      <c r="H13132">
        <v>4.7625764201280299E-2</v>
      </c>
      <c r="I13132" t="s">
        <v>1070</v>
      </c>
      <c r="J13132">
        <v>8.9700000000000006</v>
      </c>
    </row>
    <row r="13133" spans="1:10" hidden="1">
      <c r="A13133" t="s">
        <v>7748</v>
      </c>
      <c r="B13133" t="s">
        <v>7749</v>
      </c>
      <c r="C13133" t="s">
        <v>6839</v>
      </c>
      <c r="D13133" t="s">
        <v>1179</v>
      </c>
      <c r="E13133" t="s">
        <v>561</v>
      </c>
      <c r="F13133" t="s">
        <v>1068</v>
      </c>
      <c r="G13133" t="s">
        <v>1071</v>
      </c>
      <c r="H13133" s="171" t="s">
        <v>7750</v>
      </c>
      <c r="I13133" t="s">
        <v>1072</v>
      </c>
      <c r="J13133">
        <v>8.9700000000000006</v>
      </c>
    </row>
    <row r="13134" spans="1:10" hidden="1">
      <c r="A13134" t="s">
        <v>7748</v>
      </c>
      <c r="B13134" t="s">
        <v>7749</v>
      </c>
      <c r="C13134" t="s">
        <v>6839</v>
      </c>
      <c r="D13134" t="s">
        <v>1179</v>
      </c>
      <c r="E13134" t="s">
        <v>561</v>
      </c>
      <c r="F13134" t="s">
        <v>1068</v>
      </c>
      <c r="G13134" t="s">
        <v>1073</v>
      </c>
      <c r="H13134" s="171" t="s">
        <v>7751</v>
      </c>
      <c r="I13134" t="s">
        <v>1074</v>
      </c>
      <c r="J13134">
        <v>8.9700000000000006</v>
      </c>
    </row>
    <row r="13135" spans="1:10" hidden="1">
      <c r="A13135" t="s">
        <v>7748</v>
      </c>
      <c r="B13135" t="s">
        <v>7749</v>
      </c>
      <c r="C13135" t="s">
        <v>6839</v>
      </c>
      <c r="D13135" t="s">
        <v>1179</v>
      </c>
      <c r="E13135" t="s">
        <v>561</v>
      </c>
      <c r="F13135" t="s">
        <v>1068</v>
      </c>
      <c r="G13135" t="s">
        <v>1075</v>
      </c>
      <c r="H13135">
        <v>4.8460264380891498E-3</v>
      </c>
      <c r="I13135" t="s">
        <v>1077</v>
      </c>
      <c r="J13135">
        <v>8.9700000000000006</v>
      </c>
    </row>
    <row r="13136" spans="1:10" hidden="1">
      <c r="A13136" t="s">
        <v>7748</v>
      </c>
      <c r="B13136" t="s">
        <v>7749</v>
      </c>
      <c r="C13136" t="s">
        <v>6839</v>
      </c>
      <c r="D13136" t="s">
        <v>1179</v>
      </c>
      <c r="E13136" t="s">
        <v>561</v>
      </c>
      <c r="F13136" t="s">
        <v>1068</v>
      </c>
      <c r="G13136" t="s">
        <v>1078</v>
      </c>
      <c r="H13136" s="171" t="s">
        <v>7752</v>
      </c>
      <c r="I13136" t="s">
        <v>1079</v>
      </c>
      <c r="J13136">
        <v>8.9700000000000006</v>
      </c>
    </row>
    <row r="13137" spans="1:10" hidden="1">
      <c r="A13137" t="s">
        <v>7748</v>
      </c>
      <c r="B13137" t="s">
        <v>7749</v>
      </c>
      <c r="C13137" t="s">
        <v>6839</v>
      </c>
      <c r="D13137" t="s">
        <v>1179</v>
      </c>
      <c r="E13137" t="s">
        <v>561</v>
      </c>
      <c r="F13137" t="s">
        <v>1068</v>
      </c>
      <c r="G13137" t="s">
        <v>1080</v>
      </c>
      <c r="H13137" s="171" t="s">
        <v>7753</v>
      </c>
      <c r="I13137" t="s">
        <v>1082</v>
      </c>
      <c r="J13137">
        <v>8.9700000000000006</v>
      </c>
    </row>
    <row r="13138" spans="1:10" hidden="1">
      <c r="A13138" t="s">
        <v>7748</v>
      </c>
      <c r="B13138" t="s">
        <v>7749</v>
      </c>
      <c r="C13138" t="s">
        <v>6839</v>
      </c>
      <c r="D13138" t="s">
        <v>1179</v>
      </c>
      <c r="E13138" t="s">
        <v>561</v>
      </c>
      <c r="F13138" t="s">
        <v>1068</v>
      </c>
      <c r="G13138" t="s">
        <v>1083</v>
      </c>
      <c r="H13138" s="171" t="s">
        <v>7754</v>
      </c>
      <c r="I13138" t="s">
        <v>1084</v>
      </c>
      <c r="J13138">
        <v>8.9700000000000006</v>
      </c>
    </row>
    <row r="13139" spans="1:10" hidden="1">
      <c r="A13139" t="s">
        <v>7748</v>
      </c>
      <c r="B13139" t="s">
        <v>7749</v>
      </c>
      <c r="C13139" t="s">
        <v>6839</v>
      </c>
      <c r="D13139" t="s">
        <v>1179</v>
      </c>
      <c r="E13139" t="s">
        <v>561</v>
      </c>
      <c r="F13139" t="s">
        <v>1068</v>
      </c>
      <c r="G13139" t="s">
        <v>1085</v>
      </c>
      <c r="H13139">
        <v>1.98397594527486E-4</v>
      </c>
      <c r="I13139" t="s">
        <v>1086</v>
      </c>
      <c r="J13139">
        <v>8.9700000000000006</v>
      </c>
    </row>
    <row r="13140" spans="1:10" hidden="1">
      <c r="A13140" t="s">
        <v>7748</v>
      </c>
      <c r="B13140" t="s">
        <v>7749</v>
      </c>
      <c r="C13140" t="s">
        <v>6839</v>
      </c>
      <c r="D13140" t="s">
        <v>1179</v>
      </c>
      <c r="E13140" t="s">
        <v>561</v>
      </c>
      <c r="F13140" t="s">
        <v>1068</v>
      </c>
      <c r="G13140" t="s">
        <v>1087</v>
      </c>
      <c r="H13140" s="171" t="s">
        <v>7755</v>
      </c>
      <c r="I13140" t="s">
        <v>1088</v>
      </c>
      <c r="J13140">
        <v>8.9700000000000006</v>
      </c>
    </row>
    <row r="13141" spans="1:10" hidden="1">
      <c r="A13141" t="s">
        <v>7748</v>
      </c>
      <c r="B13141" t="s">
        <v>7749</v>
      </c>
      <c r="C13141" t="s">
        <v>6839</v>
      </c>
      <c r="D13141" t="s">
        <v>1179</v>
      </c>
      <c r="E13141" t="s">
        <v>561</v>
      </c>
      <c r="F13141" t="s">
        <v>1068</v>
      </c>
      <c r="G13141" t="s">
        <v>1089</v>
      </c>
      <c r="H13141" s="171" t="s">
        <v>7756</v>
      </c>
      <c r="I13141" t="s">
        <v>1090</v>
      </c>
      <c r="J13141">
        <v>8.9700000000000006</v>
      </c>
    </row>
    <row r="13142" spans="1:10" hidden="1">
      <c r="A13142" t="s">
        <v>7757</v>
      </c>
      <c r="B13142" t="s">
        <v>7758</v>
      </c>
      <c r="C13142" t="s">
        <v>6839</v>
      </c>
      <c r="D13142" t="s">
        <v>1179</v>
      </c>
      <c r="E13142" t="s">
        <v>555</v>
      </c>
      <c r="F13142" t="s">
        <v>1068</v>
      </c>
      <c r="G13142" t="s">
        <v>1069</v>
      </c>
      <c r="H13142">
        <v>4.76273781709802E-2</v>
      </c>
      <c r="I13142" t="s">
        <v>1070</v>
      </c>
      <c r="J13142">
        <v>9.19</v>
      </c>
    </row>
    <row r="13143" spans="1:10" hidden="1">
      <c r="A13143" t="s">
        <v>7757</v>
      </c>
      <c r="B13143" t="s">
        <v>7758</v>
      </c>
      <c r="C13143" t="s">
        <v>6839</v>
      </c>
      <c r="D13143" t="s">
        <v>1179</v>
      </c>
      <c r="E13143" t="s">
        <v>555</v>
      </c>
      <c r="F13143" t="s">
        <v>1068</v>
      </c>
      <c r="G13143" t="s">
        <v>1071</v>
      </c>
      <c r="H13143" s="171" t="s">
        <v>7759</v>
      </c>
      <c r="I13143" t="s">
        <v>1072</v>
      </c>
      <c r="J13143">
        <v>9.19</v>
      </c>
    </row>
    <row r="13144" spans="1:10" hidden="1">
      <c r="A13144" t="s">
        <v>7757</v>
      </c>
      <c r="B13144" t="s">
        <v>7758</v>
      </c>
      <c r="C13144" t="s">
        <v>6839</v>
      </c>
      <c r="D13144" t="s">
        <v>1179</v>
      </c>
      <c r="E13144" t="s">
        <v>555</v>
      </c>
      <c r="F13144" t="s">
        <v>1068</v>
      </c>
      <c r="G13144" t="s">
        <v>1073</v>
      </c>
      <c r="H13144" s="171" t="s">
        <v>7760</v>
      </c>
      <c r="I13144" t="s">
        <v>1074</v>
      </c>
      <c r="J13144">
        <v>9.19</v>
      </c>
    </row>
    <row r="13145" spans="1:10" hidden="1">
      <c r="A13145" t="s">
        <v>7757</v>
      </c>
      <c r="B13145" t="s">
        <v>7758</v>
      </c>
      <c r="C13145" t="s">
        <v>6839</v>
      </c>
      <c r="D13145" t="s">
        <v>1179</v>
      </c>
      <c r="E13145" t="s">
        <v>555</v>
      </c>
      <c r="F13145" t="s">
        <v>1068</v>
      </c>
      <c r="G13145" t="s">
        <v>1075</v>
      </c>
      <c r="H13145">
        <v>4.8460612002999498E-3</v>
      </c>
      <c r="I13145" t="s">
        <v>1077</v>
      </c>
      <c r="J13145">
        <v>9.19</v>
      </c>
    </row>
    <row r="13146" spans="1:10" hidden="1">
      <c r="A13146" t="s">
        <v>7757</v>
      </c>
      <c r="B13146" t="s">
        <v>7758</v>
      </c>
      <c r="C13146" t="s">
        <v>6839</v>
      </c>
      <c r="D13146" t="s">
        <v>1179</v>
      </c>
      <c r="E13146" t="s">
        <v>555</v>
      </c>
      <c r="F13146" t="s">
        <v>1068</v>
      </c>
      <c r="G13146" t="s">
        <v>1078</v>
      </c>
      <c r="H13146">
        <v>2.5730109090173599E-2</v>
      </c>
      <c r="I13146" t="s">
        <v>1079</v>
      </c>
      <c r="J13146">
        <v>9.19</v>
      </c>
    </row>
    <row r="13147" spans="1:10" hidden="1">
      <c r="A13147" t="s">
        <v>7757</v>
      </c>
      <c r="B13147" t="s">
        <v>7758</v>
      </c>
      <c r="C13147" t="s">
        <v>6839</v>
      </c>
      <c r="D13147" t="s">
        <v>1179</v>
      </c>
      <c r="E13147" t="s">
        <v>555</v>
      </c>
      <c r="F13147" t="s">
        <v>1068</v>
      </c>
      <c r="G13147" t="s">
        <v>1080</v>
      </c>
      <c r="H13147" s="171" t="s">
        <v>7761</v>
      </c>
      <c r="I13147" t="s">
        <v>1082</v>
      </c>
      <c r="J13147">
        <v>9.19</v>
      </c>
    </row>
    <row r="13148" spans="1:10" hidden="1">
      <c r="A13148" t="s">
        <v>7757</v>
      </c>
      <c r="B13148" t="s">
        <v>7758</v>
      </c>
      <c r="C13148" t="s">
        <v>6839</v>
      </c>
      <c r="D13148" t="s">
        <v>1179</v>
      </c>
      <c r="E13148" t="s">
        <v>555</v>
      </c>
      <c r="F13148" t="s">
        <v>1068</v>
      </c>
      <c r="G13148" t="s">
        <v>1083</v>
      </c>
      <c r="H13148" s="171" t="s">
        <v>7762</v>
      </c>
      <c r="I13148" t="s">
        <v>1084</v>
      </c>
      <c r="J13148">
        <v>9.19</v>
      </c>
    </row>
    <row r="13149" spans="1:10" hidden="1">
      <c r="A13149" t="s">
        <v>7757</v>
      </c>
      <c r="B13149" t="s">
        <v>7758</v>
      </c>
      <c r="C13149" t="s">
        <v>6839</v>
      </c>
      <c r="D13149" t="s">
        <v>1179</v>
      </c>
      <c r="E13149" t="s">
        <v>555</v>
      </c>
      <c r="F13149" t="s">
        <v>1068</v>
      </c>
      <c r="G13149" t="s">
        <v>1085</v>
      </c>
      <c r="H13149">
        <v>1.9839948339487999E-4</v>
      </c>
      <c r="I13149" t="s">
        <v>1086</v>
      </c>
      <c r="J13149">
        <v>9.19</v>
      </c>
    </row>
    <row r="13150" spans="1:10" hidden="1">
      <c r="A13150" t="s">
        <v>7757</v>
      </c>
      <c r="B13150" t="s">
        <v>7758</v>
      </c>
      <c r="C13150" t="s">
        <v>6839</v>
      </c>
      <c r="D13150" t="s">
        <v>1179</v>
      </c>
      <c r="E13150" t="s">
        <v>555</v>
      </c>
      <c r="F13150" t="s">
        <v>1068</v>
      </c>
      <c r="G13150" t="s">
        <v>1087</v>
      </c>
      <c r="H13150" s="171" t="s">
        <v>7763</v>
      </c>
      <c r="I13150" t="s">
        <v>1088</v>
      </c>
      <c r="J13150">
        <v>9.19</v>
      </c>
    </row>
    <row r="13151" spans="1:10" hidden="1">
      <c r="A13151" t="s">
        <v>7757</v>
      </c>
      <c r="B13151" t="s">
        <v>7758</v>
      </c>
      <c r="C13151" t="s">
        <v>6839</v>
      </c>
      <c r="D13151" t="s">
        <v>1179</v>
      </c>
      <c r="E13151" t="s">
        <v>555</v>
      </c>
      <c r="F13151" t="s">
        <v>1068</v>
      </c>
      <c r="G13151" t="s">
        <v>1089</v>
      </c>
      <c r="H13151" s="171" t="s">
        <v>7764</v>
      </c>
      <c r="I13151" t="s">
        <v>1090</v>
      </c>
      <c r="J13151">
        <v>9.19</v>
      </c>
    </row>
    <row r="13152" spans="1:10" hidden="1">
      <c r="A13152" t="s">
        <v>7765</v>
      </c>
      <c r="B13152" t="s">
        <v>7766</v>
      </c>
      <c r="C13152" t="s">
        <v>6839</v>
      </c>
      <c r="D13152" t="s">
        <v>1179</v>
      </c>
      <c r="E13152" t="s">
        <v>558</v>
      </c>
      <c r="F13152" t="s">
        <v>1068</v>
      </c>
      <c r="G13152" t="s">
        <v>1069</v>
      </c>
      <c r="H13152">
        <v>4.7625672164783701E-2</v>
      </c>
      <c r="I13152" t="s">
        <v>1070</v>
      </c>
      <c r="J13152">
        <v>9.9700000000000006</v>
      </c>
    </row>
    <row r="13153" spans="1:10" hidden="1">
      <c r="A13153" t="s">
        <v>7765</v>
      </c>
      <c r="B13153" t="s">
        <v>7766</v>
      </c>
      <c r="C13153" t="s">
        <v>6839</v>
      </c>
      <c r="D13153" t="s">
        <v>1179</v>
      </c>
      <c r="E13153" t="s">
        <v>558</v>
      </c>
      <c r="F13153" t="s">
        <v>1068</v>
      </c>
      <c r="G13153" t="s">
        <v>1071</v>
      </c>
      <c r="H13153" s="171" t="s">
        <v>7767</v>
      </c>
      <c r="I13153" t="s">
        <v>1072</v>
      </c>
      <c r="J13153">
        <v>9.9700000000000006</v>
      </c>
    </row>
    <row r="13154" spans="1:10" hidden="1">
      <c r="A13154" t="s">
        <v>7765</v>
      </c>
      <c r="B13154" t="s">
        <v>7766</v>
      </c>
      <c r="C13154" t="s">
        <v>6839</v>
      </c>
      <c r="D13154" t="s">
        <v>1179</v>
      </c>
      <c r="E13154" t="s">
        <v>558</v>
      </c>
      <c r="F13154" t="s">
        <v>1068</v>
      </c>
      <c r="G13154" t="s">
        <v>1073</v>
      </c>
      <c r="H13154" s="171" t="s">
        <v>7768</v>
      </c>
      <c r="I13154" t="s">
        <v>1074</v>
      </c>
      <c r="J13154">
        <v>9.9700000000000006</v>
      </c>
    </row>
    <row r="13155" spans="1:10" hidden="1">
      <c r="A13155" t="s">
        <v>7765</v>
      </c>
      <c r="B13155" t="s">
        <v>7766</v>
      </c>
      <c r="C13155" t="s">
        <v>6839</v>
      </c>
      <c r="D13155" t="s">
        <v>1179</v>
      </c>
      <c r="E13155" t="s">
        <v>558</v>
      </c>
      <c r="F13155" t="s">
        <v>1068</v>
      </c>
      <c r="G13155" t="s">
        <v>1075</v>
      </c>
      <c r="H13155">
        <v>4.8460235287172198E-3</v>
      </c>
      <c r="I13155" t="s">
        <v>1077</v>
      </c>
      <c r="J13155">
        <v>9.9700000000000006</v>
      </c>
    </row>
    <row r="13156" spans="1:10" hidden="1">
      <c r="A13156" t="s">
        <v>7765</v>
      </c>
      <c r="B13156" t="s">
        <v>7766</v>
      </c>
      <c r="C13156" t="s">
        <v>6839</v>
      </c>
      <c r="D13156" t="s">
        <v>1179</v>
      </c>
      <c r="E13156" t="s">
        <v>558</v>
      </c>
      <c r="F13156" t="s">
        <v>1068</v>
      </c>
      <c r="G13156" t="s">
        <v>1078</v>
      </c>
      <c r="H13156">
        <v>2.57284803018317E-2</v>
      </c>
      <c r="I13156" t="s">
        <v>1079</v>
      </c>
      <c r="J13156">
        <v>9.9700000000000006</v>
      </c>
    </row>
    <row r="13157" spans="1:10" hidden="1">
      <c r="A13157" t="s">
        <v>7765</v>
      </c>
      <c r="B13157" t="s">
        <v>7766</v>
      </c>
      <c r="C13157" t="s">
        <v>6839</v>
      </c>
      <c r="D13157" t="s">
        <v>1179</v>
      </c>
      <c r="E13157" t="s">
        <v>558</v>
      </c>
      <c r="F13157" t="s">
        <v>1068</v>
      </c>
      <c r="G13157" t="s">
        <v>1080</v>
      </c>
      <c r="H13157" s="171" t="s">
        <v>7769</v>
      </c>
      <c r="I13157" t="s">
        <v>1082</v>
      </c>
      <c r="J13157">
        <v>9.9700000000000006</v>
      </c>
    </row>
    <row r="13158" spans="1:10" hidden="1">
      <c r="A13158" t="s">
        <v>7765</v>
      </c>
      <c r="B13158" t="s">
        <v>7766</v>
      </c>
      <c r="C13158" t="s">
        <v>6839</v>
      </c>
      <c r="D13158" t="s">
        <v>1179</v>
      </c>
      <c r="E13158" t="s">
        <v>558</v>
      </c>
      <c r="F13158" t="s">
        <v>1068</v>
      </c>
      <c r="G13158" t="s">
        <v>1083</v>
      </c>
      <c r="H13158" s="171" t="s">
        <v>7770</v>
      </c>
      <c r="I13158" t="s">
        <v>1084</v>
      </c>
      <c r="J13158">
        <v>9.9700000000000006</v>
      </c>
    </row>
    <row r="13159" spans="1:10" hidden="1">
      <c r="A13159" t="s">
        <v>7765</v>
      </c>
      <c r="B13159" t="s">
        <v>7766</v>
      </c>
      <c r="C13159" t="s">
        <v>6839</v>
      </c>
      <c r="D13159" t="s">
        <v>1179</v>
      </c>
      <c r="E13159" t="s">
        <v>558</v>
      </c>
      <c r="F13159" t="s">
        <v>1068</v>
      </c>
      <c r="G13159" t="s">
        <v>1085</v>
      </c>
      <c r="H13159">
        <v>1.9839743641653299E-4</v>
      </c>
      <c r="I13159" t="s">
        <v>1086</v>
      </c>
      <c r="J13159">
        <v>9.9700000000000006</v>
      </c>
    </row>
    <row r="13160" spans="1:10" hidden="1">
      <c r="A13160" t="s">
        <v>7765</v>
      </c>
      <c r="B13160" t="s">
        <v>7766</v>
      </c>
      <c r="C13160" t="s">
        <v>6839</v>
      </c>
      <c r="D13160" t="s">
        <v>1179</v>
      </c>
      <c r="E13160" t="s">
        <v>558</v>
      </c>
      <c r="F13160" t="s">
        <v>1068</v>
      </c>
      <c r="G13160" t="s">
        <v>1087</v>
      </c>
      <c r="H13160" s="171" t="s">
        <v>7771</v>
      </c>
      <c r="I13160" t="s">
        <v>1088</v>
      </c>
      <c r="J13160">
        <v>9.9700000000000006</v>
      </c>
    </row>
    <row r="13161" spans="1:10" hidden="1">
      <c r="A13161" t="s">
        <v>7765</v>
      </c>
      <c r="B13161" t="s">
        <v>7766</v>
      </c>
      <c r="C13161" t="s">
        <v>6839</v>
      </c>
      <c r="D13161" t="s">
        <v>1179</v>
      </c>
      <c r="E13161" t="s">
        <v>558</v>
      </c>
      <c r="F13161" t="s">
        <v>1068</v>
      </c>
      <c r="G13161" t="s">
        <v>1089</v>
      </c>
      <c r="H13161" s="171" t="s">
        <v>7772</v>
      </c>
      <c r="I13161" t="s">
        <v>1090</v>
      </c>
      <c r="J13161">
        <v>9.9700000000000006</v>
      </c>
    </row>
    <row r="13162" spans="1:10" hidden="1">
      <c r="A13162" t="s">
        <v>7773</v>
      </c>
      <c r="B13162" t="s">
        <v>7774</v>
      </c>
      <c r="C13162" t="s">
        <v>6839</v>
      </c>
      <c r="D13162" t="s">
        <v>1179</v>
      </c>
      <c r="E13162" t="s">
        <v>553</v>
      </c>
      <c r="F13162" t="s">
        <v>1068</v>
      </c>
      <c r="G13162" t="s">
        <v>1069</v>
      </c>
      <c r="H13162">
        <v>4.7626149116283198E-2</v>
      </c>
      <c r="I13162" t="s">
        <v>1070</v>
      </c>
      <c r="J13162">
        <v>8.9499999999999993</v>
      </c>
    </row>
    <row r="13163" spans="1:10" hidden="1">
      <c r="A13163" t="s">
        <v>7773</v>
      </c>
      <c r="B13163" t="s">
        <v>7774</v>
      </c>
      <c r="C13163" t="s">
        <v>6839</v>
      </c>
      <c r="D13163" t="s">
        <v>1179</v>
      </c>
      <c r="E13163" t="s">
        <v>553</v>
      </c>
      <c r="F13163" t="s">
        <v>1068</v>
      </c>
      <c r="G13163" t="s">
        <v>1071</v>
      </c>
      <c r="H13163" s="171" t="s">
        <v>7775</v>
      </c>
      <c r="I13163" t="s">
        <v>1072</v>
      </c>
      <c r="J13163">
        <v>8.9499999999999993</v>
      </c>
    </row>
    <row r="13164" spans="1:10" hidden="1">
      <c r="A13164" t="s">
        <v>7773</v>
      </c>
      <c r="B13164" t="s">
        <v>7774</v>
      </c>
      <c r="C13164" t="s">
        <v>6839</v>
      </c>
      <c r="D13164" t="s">
        <v>1179</v>
      </c>
      <c r="E13164" t="s">
        <v>553</v>
      </c>
      <c r="F13164" t="s">
        <v>1068</v>
      </c>
      <c r="G13164" t="s">
        <v>1073</v>
      </c>
      <c r="H13164" s="171" t="s">
        <v>7776</v>
      </c>
      <c r="I13164" t="s">
        <v>1074</v>
      </c>
      <c r="J13164">
        <v>8.9499999999999993</v>
      </c>
    </row>
    <row r="13165" spans="1:10" hidden="1">
      <c r="A13165" t="s">
        <v>7773</v>
      </c>
      <c r="B13165" t="s">
        <v>7774</v>
      </c>
      <c r="C13165" t="s">
        <v>6839</v>
      </c>
      <c r="D13165" t="s">
        <v>1179</v>
      </c>
      <c r="E13165" t="s">
        <v>553</v>
      </c>
      <c r="F13165" t="s">
        <v>1068</v>
      </c>
      <c r="G13165" t="s">
        <v>1075</v>
      </c>
      <c r="H13165">
        <v>4.84602234856791E-3</v>
      </c>
      <c r="I13165" t="s">
        <v>1077</v>
      </c>
      <c r="J13165">
        <v>8.9499999999999993</v>
      </c>
    </row>
    <row r="13166" spans="1:10" hidden="1">
      <c r="A13166" t="s">
        <v>7773</v>
      </c>
      <c r="B13166" t="s">
        <v>7774</v>
      </c>
      <c r="C13166" t="s">
        <v>6839</v>
      </c>
      <c r="D13166" t="s">
        <v>1179</v>
      </c>
      <c r="E13166" t="s">
        <v>553</v>
      </c>
      <c r="F13166" t="s">
        <v>1068</v>
      </c>
      <c r="G13166" t="s">
        <v>1078</v>
      </c>
      <c r="H13166">
        <v>2.5728428991418702E-2</v>
      </c>
      <c r="I13166" t="s">
        <v>1079</v>
      </c>
      <c r="J13166">
        <v>8.9499999999999993</v>
      </c>
    </row>
    <row r="13167" spans="1:10" hidden="1">
      <c r="A13167" t="s">
        <v>7773</v>
      </c>
      <c r="B13167" t="s">
        <v>7774</v>
      </c>
      <c r="C13167" t="s">
        <v>6839</v>
      </c>
      <c r="D13167" t="s">
        <v>1179</v>
      </c>
      <c r="E13167" t="s">
        <v>553</v>
      </c>
      <c r="F13167" t="s">
        <v>1068</v>
      </c>
      <c r="G13167" t="s">
        <v>1080</v>
      </c>
      <c r="H13167" s="171" t="s">
        <v>7777</v>
      </c>
      <c r="I13167" t="s">
        <v>1082</v>
      </c>
      <c r="J13167">
        <v>8.9499999999999993</v>
      </c>
    </row>
    <row r="13168" spans="1:10" hidden="1">
      <c r="A13168" t="s">
        <v>7773</v>
      </c>
      <c r="B13168" t="s">
        <v>7774</v>
      </c>
      <c r="C13168" t="s">
        <v>6839</v>
      </c>
      <c r="D13168" t="s">
        <v>1179</v>
      </c>
      <c r="E13168" t="s">
        <v>553</v>
      </c>
      <c r="F13168" t="s">
        <v>1068</v>
      </c>
      <c r="G13168" t="s">
        <v>1083</v>
      </c>
      <c r="H13168" s="171" t="s">
        <v>7778</v>
      </c>
      <c r="I13168" t="s">
        <v>1084</v>
      </c>
      <c r="J13168">
        <v>8.9499999999999993</v>
      </c>
    </row>
    <row r="13169" spans="1:10" hidden="1">
      <c r="A13169" t="s">
        <v>7773</v>
      </c>
      <c r="B13169" t="s">
        <v>7774</v>
      </c>
      <c r="C13169" t="s">
        <v>6839</v>
      </c>
      <c r="D13169" t="s">
        <v>1179</v>
      </c>
      <c r="E13169" t="s">
        <v>553</v>
      </c>
      <c r="F13169" t="s">
        <v>1068</v>
      </c>
      <c r="G13169" t="s">
        <v>1085</v>
      </c>
      <c r="H13169">
        <v>1.9839737198237801E-4</v>
      </c>
      <c r="I13169" t="s">
        <v>1086</v>
      </c>
      <c r="J13169">
        <v>8.9499999999999993</v>
      </c>
    </row>
    <row r="13170" spans="1:10" hidden="1">
      <c r="A13170" t="s">
        <v>7773</v>
      </c>
      <c r="B13170" t="s">
        <v>7774</v>
      </c>
      <c r="C13170" t="s">
        <v>6839</v>
      </c>
      <c r="D13170" t="s">
        <v>1179</v>
      </c>
      <c r="E13170" t="s">
        <v>553</v>
      </c>
      <c r="F13170" t="s">
        <v>1068</v>
      </c>
      <c r="G13170" t="s">
        <v>1087</v>
      </c>
      <c r="H13170" s="171" t="s">
        <v>7779</v>
      </c>
      <c r="I13170" t="s">
        <v>1088</v>
      </c>
      <c r="J13170">
        <v>8.9499999999999993</v>
      </c>
    </row>
    <row r="13171" spans="1:10" hidden="1">
      <c r="A13171" t="s">
        <v>7773</v>
      </c>
      <c r="B13171" t="s">
        <v>7774</v>
      </c>
      <c r="C13171" t="s">
        <v>6839</v>
      </c>
      <c r="D13171" t="s">
        <v>1179</v>
      </c>
      <c r="E13171" t="s">
        <v>553</v>
      </c>
      <c r="F13171" t="s">
        <v>1068</v>
      </c>
      <c r="G13171" t="s">
        <v>1089</v>
      </c>
      <c r="H13171" s="171" t="s">
        <v>7780</v>
      </c>
      <c r="I13171" t="s">
        <v>1090</v>
      </c>
      <c r="J13171">
        <v>8.9499999999999993</v>
      </c>
    </row>
    <row r="13172" spans="1:10" hidden="1">
      <c r="A13172" t="s">
        <v>7781</v>
      </c>
      <c r="B13172" t="s">
        <v>7782</v>
      </c>
      <c r="C13172" t="s">
        <v>6839</v>
      </c>
      <c r="D13172" t="s">
        <v>1179</v>
      </c>
      <c r="E13172" t="s">
        <v>556</v>
      </c>
      <c r="F13172" t="s">
        <v>1068</v>
      </c>
      <c r="G13172" t="s">
        <v>1069</v>
      </c>
      <c r="H13172">
        <v>4.7627262649380303E-2</v>
      </c>
      <c r="I13172" t="s">
        <v>1070</v>
      </c>
      <c r="J13172">
        <v>9.06</v>
      </c>
    </row>
    <row r="13173" spans="1:10" hidden="1">
      <c r="A13173" t="s">
        <v>7781</v>
      </c>
      <c r="B13173" t="s">
        <v>7782</v>
      </c>
      <c r="C13173" t="s">
        <v>6839</v>
      </c>
      <c r="D13173" t="s">
        <v>1179</v>
      </c>
      <c r="E13173" t="s">
        <v>556</v>
      </c>
      <c r="F13173" t="s">
        <v>1068</v>
      </c>
      <c r="G13173" t="s">
        <v>1071</v>
      </c>
      <c r="H13173" s="171" t="s">
        <v>7783</v>
      </c>
      <c r="I13173" t="s">
        <v>1072</v>
      </c>
      <c r="J13173">
        <v>9.06</v>
      </c>
    </row>
    <row r="13174" spans="1:10" hidden="1">
      <c r="A13174" t="s">
        <v>7781</v>
      </c>
      <c r="B13174" t="s">
        <v>7782</v>
      </c>
      <c r="C13174" t="s">
        <v>6839</v>
      </c>
      <c r="D13174" t="s">
        <v>1179</v>
      </c>
      <c r="E13174" t="s">
        <v>556</v>
      </c>
      <c r="F13174" t="s">
        <v>1068</v>
      </c>
      <c r="G13174" t="s">
        <v>1073</v>
      </c>
      <c r="H13174" s="171" t="s">
        <v>7784</v>
      </c>
      <c r="I13174" t="s">
        <v>1074</v>
      </c>
      <c r="J13174">
        <v>9.06</v>
      </c>
    </row>
    <row r="13175" spans="1:10" hidden="1">
      <c r="A13175" t="s">
        <v>7781</v>
      </c>
      <c r="B13175" t="s">
        <v>7782</v>
      </c>
      <c r="C13175" t="s">
        <v>6839</v>
      </c>
      <c r="D13175" t="s">
        <v>1179</v>
      </c>
      <c r="E13175" t="s">
        <v>556</v>
      </c>
      <c r="F13175" t="s">
        <v>1068</v>
      </c>
      <c r="G13175" t="s">
        <v>1075</v>
      </c>
      <c r="H13175">
        <v>4.8460575485385904E-3</v>
      </c>
      <c r="I13175" t="s">
        <v>1077</v>
      </c>
      <c r="J13175">
        <v>9.06</v>
      </c>
    </row>
    <row r="13176" spans="1:10" hidden="1">
      <c r="A13176" t="s">
        <v>7781</v>
      </c>
      <c r="B13176" t="s">
        <v>7782</v>
      </c>
      <c r="C13176" t="s">
        <v>6839</v>
      </c>
      <c r="D13176" t="s">
        <v>1179</v>
      </c>
      <c r="E13176" t="s">
        <v>556</v>
      </c>
      <c r="F13176" t="s">
        <v>1068</v>
      </c>
      <c r="G13176" t="s">
        <v>1078</v>
      </c>
      <c r="H13176" s="171" t="s">
        <v>7785</v>
      </c>
      <c r="I13176" t="s">
        <v>1079</v>
      </c>
      <c r="J13176">
        <v>9.06</v>
      </c>
    </row>
    <row r="13177" spans="1:10" hidden="1">
      <c r="A13177" t="s">
        <v>7781</v>
      </c>
      <c r="B13177" t="s">
        <v>7782</v>
      </c>
      <c r="C13177" t="s">
        <v>6839</v>
      </c>
      <c r="D13177" t="s">
        <v>1179</v>
      </c>
      <c r="E13177" t="s">
        <v>556</v>
      </c>
      <c r="F13177" t="s">
        <v>1068</v>
      </c>
      <c r="G13177" t="s">
        <v>1080</v>
      </c>
      <c r="H13177" s="171" t="s">
        <v>7786</v>
      </c>
      <c r="I13177" t="s">
        <v>1082</v>
      </c>
      <c r="J13177">
        <v>9.06</v>
      </c>
    </row>
    <row r="13178" spans="1:10" hidden="1">
      <c r="A13178" t="s">
        <v>7781</v>
      </c>
      <c r="B13178" t="s">
        <v>7782</v>
      </c>
      <c r="C13178" t="s">
        <v>6839</v>
      </c>
      <c r="D13178" t="s">
        <v>1179</v>
      </c>
      <c r="E13178" t="s">
        <v>556</v>
      </c>
      <c r="F13178" t="s">
        <v>1068</v>
      </c>
      <c r="G13178" t="s">
        <v>1083</v>
      </c>
      <c r="H13178" s="171" t="s">
        <v>7787</v>
      </c>
      <c r="I13178" t="s">
        <v>1084</v>
      </c>
      <c r="J13178">
        <v>9.06</v>
      </c>
    </row>
    <row r="13179" spans="1:10" hidden="1">
      <c r="A13179" t="s">
        <v>7781</v>
      </c>
      <c r="B13179" t="s">
        <v>7782</v>
      </c>
      <c r="C13179" t="s">
        <v>6839</v>
      </c>
      <c r="D13179" t="s">
        <v>1179</v>
      </c>
      <c r="E13179" t="s">
        <v>556</v>
      </c>
      <c r="F13179" t="s">
        <v>1068</v>
      </c>
      <c r="G13179" t="s">
        <v>1085</v>
      </c>
      <c r="H13179">
        <v>1.9839928493847899E-4</v>
      </c>
      <c r="I13179" t="s">
        <v>1086</v>
      </c>
      <c r="J13179">
        <v>9.06</v>
      </c>
    </row>
    <row r="13180" spans="1:10" hidden="1">
      <c r="A13180" t="s">
        <v>7781</v>
      </c>
      <c r="B13180" t="s">
        <v>7782</v>
      </c>
      <c r="C13180" t="s">
        <v>6839</v>
      </c>
      <c r="D13180" t="s">
        <v>1179</v>
      </c>
      <c r="E13180" t="s">
        <v>556</v>
      </c>
      <c r="F13180" t="s">
        <v>1068</v>
      </c>
      <c r="G13180" t="s">
        <v>1087</v>
      </c>
      <c r="H13180" s="171" t="s">
        <v>7788</v>
      </c>
      <c r="I13180" t="s">
        <v>1088</v>
      </c>
      <c r="J13180">
        <v>9.06</v>
      </c>
    </row>
    <row r="13181" spans="1:10" hidden="1">
      <c r="A13181" t="s">
        <v>7781</v>
      </c>
      <c r="B13181" t="s">
        <v>7782</v>
      </c>
      <c r="C13181" t="s">
        <v>6839</v>
      </c>
      <c r="D13181" t="s">
        <v>1179</v>
      </c>
      <c r="E13181" t="s">
        <v>556</v>
      </c>
      <c r="F13181" t="s">
        <v>1068</v>
      </c>
      <c r="G13181" t="s">
        <v>1089</v>
      </c>
      <c r="H13181" s="171" t="s">
        <v>7789</v>
      </c>
      <c r="I13181" t="s">
        <v>1090</v>
      </c>
      <c r="J13181">
        <v>9.06</v>
      </c>
    </row>
    <row r="13182" spans="1:10" hidden="1">
      <c r="A13182" t="s">
        <v>7790</v>
      </c>
      <c r="B13182" t="s">
        <v>7791</v>
      </c>
      <c r="C13182" t="s">
        <v>6839</v>
      </c>
      <c r="D13182" t="s">
        <v>1179</v>
      </c>
      <c r="E13182" t="s">
        <v>557</v>
      </c>
      <c r="F13182" t="s">
        <v>1068</v>
      </c>
      <c r="G13182" t="s">
        <v>1069</v>
      </c>
      <c r="H13182">
        <v>4.7626052315535301E-2</v>
      </c>
      <c r="I13182" t="s">
        <v>1070</v>
      </c>
      <c r="J13182">
        <v>8.77</v>
      </c>
    </row>
    <row r="13183" spans="1:10" hidden="1">
      <c r="A13183" t="s">
        <v>7790</v>
      </c>
      <c r="B13183" t="s">
        <v>7791</v>
      </c>
      <c r="C13183" t="s">
        <v>6839</v>
      </c>
      <c r="D13183" t="s">
        <v>1179</v>
      </c>
      <c r="E13183" t="s">
        <v>557</v>
      </c>
      <c r="F13183" t="s">
        <v>1068</v>
      </c>
      <c r="G13183" t="s">
        <v>1071</v>
      </c>
      <c r="H13183" s="171" t="s">
        <v>7792</v>
      </c>
      <c r="I13183" t="s">
        <v>1072</v>
      </c>
      <c r="J13183">
        <v>8.77</v>
      </c>
    </row>
    <row r="13184" spans="1:10" hidden="1">
      <c r="A13184" t="s">
        <v>7790</v>
      </c>
      <c r="B13184" t="s">
        <v>7791</v>
      </c>
      <c r="C13184" t="s">
        <v>6839</v>
      </c>
      <c r="D13184" t="s">
        <v>1179</v>
      </c>
      <c r="E13184" t="s">
        <v>557</v>
      </c>
      <c r="F13184" t="s">
        <v>1068</v>
      </c>
      <c r="G13184" t="s">
        <v>1073</v>
      </c>
      <c r="H13184" s="171" t="s">
        <v>7793</v>
      </c>
      <c r="I13184" t="s">
        <v>1074</v>
      </c>
      <c r="J13184">
        <v>8.77</v>
      </c>
    </row>
    <row r="13185" spans="1:10" hidden="1">
      <c r="A13185" t="s">
        <v>7790</v>
      </c>
      <c r="B13185" t="s">
        <v>7791</v>
      </c>
      <c r="C13185" t="s">
        <v>6839</v>
      </c>
      <c r="D13185" t="s">
        <v>1179</v>
      </c>
      <c r="E13185" t="s">
        <v>557</v>
      </c>
      <c r="F13185" t="s">
        <v>1068</v>
      </c>
      <c r="G13185" t="s">
        <v>1075</v>
      </c>
      <c r="H13185">
        <v>4.8460355456886204E-3</v>
      </c>
      <c r="I13185" t="s">
        <v>1077</v>
      </c>
      <c r="J13185">
        <v>8.77</v>
      </c>
    </row>
    <row r="13186" spans="1:10" hidden="1">
      <c r="A13186" t="s">
        <v>7790</v>
      </c>
      <c r="B13186" t="s">
        <v>7791</v>
      </c>
      <c r="C13186" t="s">
        <v>6839</v>
      </c>
      <c r="D13186" t="s">
        <v>1179</v>
      </c>
      <c r="E13186" t="s">
        <v>557</v>
      </c>
      <c r="F13186" t="s">
        <v>1068</v>
      </c>
      <c r="G13186" t="s">
        <v>1078</v>
      </c>
      <c r="H13186" s="171" t="s">
        <v>7794</v>
      </c>
      <c r="I13186" t="s">
        <v>1079</v>
      </c>
      <c r="J13186">
        <v>8.77</v>
      </c>
    </row>
    <row r="13187" spans="1:10" hidden="1">
      <c r="A13187" t="s">
        <v>7790</v>
      </c>
      <c r="B13187" t="s">
        <v>7791</v>
      </c>
      <c r="C13187" t="s">
        <v>6839</v>
      </c>
      <c r="D13187" t="s">
        <v>1179</v>
      </c>
      <c r="E13187" t="s">
        <v>557</v>
      </c>
      <c r="F13187" t="s">
        <v>1068</v>
      </c>
      <c r="G13187" t="s">
        <v>1080</v>
      </c>
      <c r="H13187" s="171" t="s">
        <v>7795</v>
      </c>
      <c r="I13187" t="s">
        <v>1082</v>
      </c>
      <c r="J13187">
        <v>8.77</v>
      </c>
    </row>
    <row r="13188" spans="1:10" hidden="1">
      <c r="A13188" t="s">
        <v>7790</v>
      </c>
      <c r="B13188" t="s">
        <v>7791</v>
      </c>
      <c r="C13188" t="s">
        <v>6839</v>
      </c>
      <c r="D13188" t="s">
        <v>1179</v>
      </c>
      <c r="E13188" t="s">
        <v>557</v>
      </c>
      <c r="F13188" t="s">
        <v>1068</v>
      </c>
      <c r="G13188" t="s">
        <v>1083</v>
      </c>
      <c r="H13188" s="171" t="s">
        <v>7796</v>
      </c>
      <c r="I13188" t="s">
        <v>1084</v>
      </c>
      <c r="J13188">
        <v>8.77</v>
      </c>
    </row>
    <row r="13189" spans="1:10" hidden="1">
      <c r="A13189" t="s">
        <v>7790</v>
      </c>
      <c r="B13189" t="s">
        <v>7791</v>
      </c>
      <c r="C13189" t="s">
        <v>6839</v>
      </c>
      <c r="D13189" t="s">
        <v>1179</v>
      </c>
      <c r="E13189" t="s">
        <v>557</v>
      </c>
      <c r="F13189" t="s">
        <v>1068</v>
      </c>
      <c r="G13189" t="s">
        <v>1085</v>
      </c>
      <c r="H13189">
        <v>1.9839808948352299E-4</v>
      </c>
      <c r="I13189" t="s">
        <v>1086</v>
      </c>
      <c r="J13189">
        <v>8.77</v>
      </c>
    </row>
    <row r="13190" spans="1:10" hidden="1">
      <c r="A13190" t="s">
        <v>7790</v>
      </c>
      <c r="B13190" t="s">
        <v>7791</v>
      </c>
      <c r="C13190" t="s">
        <v>6839</v>
      </c>
      <c r="D13190" t="s">
        <v>1179</v>
      </c>
      <c r="E13190" t="s">
        <v>557</v>
      </c>
      <c r="F13190" t="s">
        <v>1068</v>
      </c>
      <c r="G13190" t="s">
        <v>1087</v>
      </c>
      <c r="H13190" s="171" t="s">
        <v>7797</v>
      </c>
      <c r="I13190" t="s">
        <v>1088</v>
      </c>
      <c r="J13190">
        <v>8.77</v>
      </c>
    </row>
    <row r="13191" spans="1:10" hidden="1">
      <c r="A13191" t="s">
        <v>7790</v>
      </c>
      <c r="B13191" t="s">
        <v>7791</v>
      </c>
      <c r="C13191" t="s">
        <v>6839</v>
      </c>
      <c r="D13191" t="s">
        <v>1179</v>
      </c>
      <c r="E13191" t="s">
        <v>557</v>
      </c>
      <c r="F13191" t="s">
        <v>1068</v>
      </c>
      <c r="G13191" t="s">
        <v>1089</v>
      </c>
      <c r="H13191" s="171" t="s">
        <v>7798</v>
      </c>
      <c r="I13191" t="s">
        <v>1090</v>
      </c>
      <c r="J13191">
        <v>8.77</v>
      </c>
    </row>
    <row r="13192" spans="1:10" hidden="1">
      <c r="A13192" t="s">
        <v>7799</v>
      </c>
      <c r="B13192" t="s">
        <v>7800</v>
      </c>
      <c r="C13192" t="s">
        <v>6839</v>
      </c>
      <c r="D13192" t="s">
        <v>1179</v>
      </c>
      <c r="E13192" t="s">
        <v>559</v>
      </c>
      <c r="F13192" t="s">
        <v>1068</v>
      </c>
      <c r="G13192" t="s">
        <v>1069</v>
      </c>
      <c r="H13192">
        <v>4.7626931660472299E-2</v>
      </c>
      <c r="I13192" t="s">
        <v>1070</v>
      </c>
      <c r="J13192">
        <v>9.5500000000000007</v>
      </c>
    </row>
    <row r="13193" spans="1:10" hidden="1">
      <c r="A13193" t="s">
        <v>7799</v>
      </c>
      <c r="B13193" t="s">
        <v>7800</v>
      </c>
      <c r="C13193" t="s">
        <v>6839</v>
      </c>
      <c r="D13193" t="s">
        <v>1179</v>
      </c>
      <c r="E13193" t="s">
        <v>559</v>
      </c>
      <c r="F13193" t="s">
        <v>1068</v>
      </c>
      <c r="G13193" t="s">
        <v>1071</v>
      </c>
      <c r="H13193" s="171" t="s">
        <v>7801</v>
      </c>
      <c r="I13193" t="s">
        <v>1072</v>
      </c>
      <c r="J13193">
        <v>9.5500000000000007</v>
      </c>
    </row>
    <row r="13194" spans="1:10" hidden="1">
      <c r="A13194" t="s">
        <v>7799</v>
      </c>
      <c r="B13194" t="s">
        <v>7800</v>
      </c>
      <c r="C13194" t="s">
        <v>6839</v>
      </c>
      <c r="D13194" t="s">
        <v>1179</v>
      </c>
      <c r="E13194" t="s">
        <v>559</v>
      </c>
      <c r="F13194" t="s">
        <v>1068</v>
      </c>
      <c r="G13194" t="s">
        <v>1073</v>
      </c>
      <c r="H13194" s="171" t="s">
        <v>7802</v>
      </c>
      <c r="I13194" t="s">
        <v>1074</v>
      </c>
      <c r="J13194">
        <v>9.5500000000000007</v>
      </c>
    </row>
    <row r="13195" spans="1:10" hidden="1">
      <c r="A13195" t="s">
        <v>7799</v>
      </c>
      <c r="B13195" t="s">
        <v>7800</v>
      </c>
      <c r="C13195" t="s">
        <v>6839</v>
      </c>
      <c r="D13195" t="s">
        <v>1179</v>
      </c>
      <c r="E13195" t="s">
        <v>559</v>
      </c>
      <c r="F13195" t="s">
        <v>1068</v>
      </c>
      <c r="G13195" t="s">
        <v>1075</v>
      </c>
      <c r="H13195">
        <v>4.8460470856258103E-3</v>
      </c>
      <c r="I13195" t="s">
        <v>1077</v>
      </c>
      <c r="J13195">
        <v>9.5500000000000007</v>
      </c>
    </row>
    <row r="13196" spans="1:10" hidden="1">
      <c r="A13196" t="s">
        <v>7799</v>
      </c>
      <c r="B13196" t="s">
        <v>7800</v>
      </c>
      <c r="C13196" t="s">
        <v>6839</v>
      </c>
      <c r="D13196" t="s">
        <v>1179</v>
      </c>
      <c r="E13196" t="s">
        <v>559</v>
      </c>
      <c r="F13196" t="s">
        <v>1068</v>
      </c>
      <c r="G13196" t="s">
        <v>1078</v>
      </c>
      <c r="H13196">
        <v>2.57294987172179E-2</v>
      </c>
      <c r="I13196" t="s">
        <v>1079</v>
      </c>
      <c r="J13196">
        <v>9.5500000000000007</v>
      </c>
    </row>
    <row r="13197" spans="1:10" hidden="1">
      <c r="A13197" t="s">
        <v>7799</v>
      </c>
      <c r="B13197" t="s">
        <v>7800</v>
      </c>
      <c r="C13197" t="s">
        <v>6839</v>
      </c>
      <c r="D13197" t="s">
        <v>1179</v>
      </c>
      <c r="E13197" t="s">
        <v>559</v>
      </c>
      <c r="F13197" t="s">
        <v>1068</v>
      </c>
      <c r="G13197" t="s">
        <v>1080</v>
      </c>
      <c r="H13197" s="171" t="s">
        <v>7803</v>
      </c>
      <c r="I13197" t="s">
        <v>1082</v>
      </c>
      <c r="J13197">
        <v>9.5500000000000007</v>
      </c>
    </row>
    <row r="13198" spans="1:10" hidden="1">
      <c r="A13198" t="s">
        <v>7799</v>
      </c>
      <c r="B13198" t="s">
        <v>7800</v>
      </c>
      <c r="C13198" t="s">
        <v>6839</v>
      </c>
      <c r="D13198" t="s">
        <v>1179</v>
      </c>
      <c r="E13198" t="s">
        <v>559</v>
      </c>
      <c r="F13198" t="s">
        <v>1068</v>
      </c>
      <c r="G13198" t="s">
        <v>1083</v>
      </c>
      <c r="H13198" s="171" t="s">
        <v>7804</v>
      </c>
      <c r="I13198" t="s">
        <v>1084</v>
      </c>
      <c r="J13198">
        <v>9.5500000000000007</v>
      </c>
    </row>
    <row r="13199" spans="1:10" hidden="1">
      <c r="A13199" t="s">
        <v>7799</v>
      </c>
      <c r="B13199" t="s">
        <v>7800</v>
      </c>
      <c r="C13199" t="s">
        <v>6839</v>
      </c>
      <c r="D13199" t="s">
        <v>1179</v>
      </c>
      <c r="E13199" t="s">
        <v>559</v>
      </c>
      <c r="F13199" t="s">
        <v>1068</v>
      </c>
      <c r="G13199" t="s">
        <v>1085</v>
      </c>
      <c r="H13199">
        <v>1.98398716327418E-4</v>
      </c>
      <c r="I13199" t="s">
        <v>1086</v>
      </c>
      <c r="J13199">
        <v>9.5500000000000007</v>
      </c>
    </row>
    <row r="13200" spans="1:10" hidden="1">
      <c r="A13200" t="s">
        <v>7799</v>
      </c>
      <c r="B13200" t="s">
        <v>7800</v>
      </c>
      <c r="C13200" t="s">
        <v>6839</v>
      </c>
      <c r="D13200" t="s">
        <v>1179</v>
      </c>
      <c r="E13200" t="s">
        <v>559</v>
      </c>
      <c r="F13200" t="s">
        <v>1068</v>
      </c>
      <c r="G13200" t="s">
        <v>1087</v>
      </c>
      <c r="H13200" s="171" t="s">
        <v>7805</v>
      </c>
      <c r="I13200" t="s">
        <v>1088</v>
      </c>
      <c r="J13200">
        <v>9.5500000000000007</v>
      </c>
    </row>
    <row r="13201" spans="1:10" hidden="1">
      <c r="A13201" t="s">
        <v>7799</v>
      </c>
      <c r="B13201" t="s">
        <v>7800</v>
      </c>
      <c r="C13201" t="s">
        <v>6839</v>
      </c>
      <c r="D13201" t="s">
        <v>1179</v>
      </c>
      <c r="E13201" t="s">
        <v>559</v>
      </c>
      <c r="F13201" t="s">
        <v>1068</v>
      </c>
      <c r="G13201" t="s">
        <v>1089</v>
      </c>
      <c r="H13201" s="171" t="s">
        <v>7806</v>
      </c>
      <c r="I13201" t="s">
        <v>1090</v>
      </c>
      <c r="J13201">
        <v>9.5500000000000007</v>
      </c>
    </row>
    <row r="13202" spans="1:10" hidden="1">
      <c r="A13202" t="s">
        <v>7807</v>
      </c>
      <c r="B13202" t="s">
        <v>7808</v>
      </c>
      <c r="C13202" t="s">
        <v>6839</v>
      </c>
      <c r="D13202" t="s">
        <v>1179</v>
      </c>
      <c r="E13202" t="s">
        <v>560</v>
      </c>
      <c r="F13202" t="s">
        <v>1068</v>
      </c>
      <c r="G13202" t="s">
        <v>1069</v>
      </c>
      <c r="H13202" s="171" t="s">
        <v>7809</v>
      </c>
      <c r="I13202" t="s">
        <v>1070</v>
      </c>
      <c r="J13202">
        <v>9.23</v>
      </c>
    </row>
    <row r="13203" spans="1:10" hidden="1">
      <c r="A13203" t="s">
        <v>7807</v>
      </c>
      <c r="B13203" t="s">
        <v>7808</v>
      </c>
      <c r="C13203" t="s">
        <v>6839</v>
      </c>
      <c r="D13203" t="s">
        <v>1179</v>
      </c>
      <c r="E13203" t="s">
        <v>560</v>
      </c>
      <c r="F13203" t="s">
        <v>1068</v>
      </c>
      <c r="G13203" t="s">
        <v>1071</v>
      </c>
      <c r="H13203" s="171" t="s">
        <v>7810</v>
      </c>
      <c r="I13203" t="s">
        <v>1072</v>
      </c>
      <c r="J13203">
        <v>9.23</v>
      </c>
    </row>
    <row r="13204" spans="1:10" hidden="1">
      <c r="A13204" t="s">
        <v>7807</v>
      </c>
      <c r="B13204" t="s">
        <v>7808</v>
      </c>
      <c r="C13204" t="s">
        <v>6839</v>
      </c>
      <c r="D13204" t="s">
        <v>1179</v>
      </c>
      <c r="E13204" t="s">
        <v>560</v>
      </c>
      <c r="F13204" t="s">
        <v>1068</v>
      </c>
      <c r="G13204" t="s">
        <v>1073</v>
      </c>
      <c r="H13204" s="171" t="s">
        <v>7811</v>
      </c>
      <c r="I13204" t="s">
        <v>1074</v>
      </c>
      <c r="J13204">
        <v>9.23</v>
      </c>
    </row>
    <row r="13205" spans="1:10" hidden="1">
      <c r="A13205" t="s">
        <v>7807</v>
      </c>
      <c r="B13205" t="s">
        <v>7808</v>
      </c>
      <c r="C13205" t="s">
        <v>6839</v>
      </c>
      <c r="D13205" t="s">
        <v>1179</v>
      </c>
      <c r="E13205" t="s">
        <v>560</v>
      </c>
      <c r="F13205" t="s">
        <v>1068</v>
      </c>
      <c r="G13205" t="s">
        <v>1075</v>
      </c>
      <c r="H13205">
        <v>4.8460419547400298E-3</v>
      </c>
      <c r="I13205" t="s">
        <v>1077</v>
      </c>
      <c r="J13205">
        <v>9.23</v>
      </c>
    </row>
    <row r="13206" spans="1:10" hidden="1">
      <c r="A13206" t="s">
        <v>7807</v>
      </c>
      <c r="B13206" t="s">
        <v>7808</v>
      </c>
      <c r="C13206" t="s">
        <v>6839</v>
      </c>
      <c r="D13206" t="s">
        <v>1179</v>
      </c>
      <c r="E13206" t="s">
        <v>560</v>
      </c>
      <c r="F13206" t="s">
        <v>1068</v>
      </c>
      <c r="G13206" t="s">
        <v>1078</v>
      </c>
      <c r="H13206">
        <v>2.5729277114134301E-2</v>
      </c>
      <c r="I13206" t="s">
        <v>1079</v>
      </c>
      <c r="J13206">
        <v>9.23</v>
      </c>
    </row>
    <row r="13207" spans="1:10" hidden="1">
      <c r="A13207" t="s">
        <v>7807</v>
      </c>
      <c r="B13207" t="s">
        <v>7808</v>
      </c>
      <c r="C13207" t="s">
        <v>6839</v>
      </c>
      <c r="D13207" t="s">
        <v>1179</v>
      </c>
      <c r="E13207" t="s">
        <v>560</v>
      </c>
      <c r="F13207" t="s">
        <v>1068</v>
      </c>
      <c r="G13207" t="s">
        <v>1080</v>
      </c>
      <c r="H13207" s="171" t="s">
        <v>7812</v>
      </c>
      <c r="I13207" t="s">
        <v>1082</v>
      </c>
      <c r="J13207">
        <v>9.23</v>
      </c>
    </row>
    <row r="13208" spans="1:10" hidden="1">
      <c r="A13208" t="s">
        <v>7807</v>
      </c>
      <c r="B13208" t="s">
        <v>7808</v>
      </c>
      <c r="C13208" t="s">
        <v>6839</v>
      </c>
      <c r="D13208" t="s">
        <v>1179</v>
      </c>
      <c r="E13208" t="s">
        <v>560</v>
      </c>
      <c r="F13208" t="s">
        <v>1068</v>
      </c>
      <c r="G13208" t="s">
        <v>1083</v>
      </c>
      <c r="H13208" s="171" t="s">
        <v>7813</v>
      </c>
      <c r="I13208" t="s">
        <v>1084</v>
      </c>
      <c r="J13208">
        <v>9.23</v>
      </c>
    </row>
    <row r="13209" spans="1:10" hidden="1">
      <c r="A13209" t="s">
        <v>7807</v>
      </c>
      <c r="B13209" t="s">
        <v>7808</v>
      </c>
      <c r="C13209" t="s">
        <v>6839</v>
      </c>
      <c r="D13209" t="s">
        <v>1179</v>
      </c>
      <c r="E13209" t="s">
        <v>560</v>
      </c>
      <c r="F13209" t="s">
        <v>1068</v>
      </c>
      <c r="G13209" t="s">
        <v>1085</v>
      </c>
      <c r="H13209">
        <v>1.9839843778591699E-4</v>
      </c>
      <c r="I13209" t="s">
        <v>1086</v>
      </c>
      <c r="J13209">
        <v>9.23</v>
      </c>
    </row>
    <row r="13210" spans="1:10" hidden="1">
      <c r="A13210" t="s">
        <v>7807</v>
      </c>
      <c r="B13210" t="s">
        <v>7808</v>
      </c>
      <c r="C13210" t="s">
        <v>6839</v>
      </c>
      <c r="D13210" t="s">
        <v>1179</v>
      </c>
      <c r="E13210" t="s">
        <v>560</v>
      </c>
      <c r="F13210" t="s">
        <v>1068</v>
      </c>
      <c r="G13210" t="s">
        <v>1087</v>
      </c>
      <c r="H13210" s="171" t="s">
        <v>7814</v>
      </c>
      <c r="I13210" t="s">
        <v>1088</v>
      </c>
      <c r="J13210">
        <v>9.23</v>
      </c>
    </row>
    <row r="13211" spans="1:10" hidden="1">
      <c r="A13211" t="s">
        <v>7807</v>
      </c>
      <c r="B13211" t="s">
        <v>7808</v>
      </c>
      <c r="C13211" t="s">
        <v>6839</v>
      </c>
      <c r="D13211" t="s">
        <v>1179</v>
      </c>
      <c r="E13211" t="s">
        <v>560</v>
      </c>
      <c r="F13211" t="s">
        <v>1068</v>
      </c>
      <c r="G13211" t="s">
        <v>1089</v>
      </c>
      <c r="H13211" s="171" t="s">
        <v>7815</v>
      </c>
      <c r="I13211" t="s">
        <v>1090</v>
      </c>
      <c r="J13211">
        <v>9.23</v>
      </c>
    </row>
    <row r="13212" spans="1:10" hidden="1">
      <c r="A13212" t="s">
        <v>7816</v>
      </c>
      <c r="B13212" t="s">
        <v>7817</v>
      </c>
      <c r="C13212" t="s">
        <v>6839</v>
      </c>
      <c r="D13212" t="s">
        <v>1179</v>
      </c>
      <c r="E13212" t="s">
        <v>1116</v>
      </c>
      <c r="F13212" t="s">
        <v>1068</v>
      </c>
      <c r="G13212" t="s">
        <v>1069</v>
      </c>
      <c r="H13212">
        <v>4.7625639704862298E-2</v>
      </c>
      <c r="I13212" t="s">
        <v>1070</v>
      </c>
      <c r="J13212">
        <v>9.58</v>
      </c>
    </row>
    <row r="13213" spans="1:10" hidden="1">
      <c r="A13213" t="s">
        <v>7816</v>
      </c>
      <c r="B13213" t="s">
        <v>7817</v>
      </c>
      <c r="C13213" t="s">
        <v>6839</v>
      </c>
      <c r="D13213" t="s">
        <v>1179</v>
      </c>
      <c r="E13213" t="s">
        <v>1116</v>
      </c>
      <c r="F13213" t="s">
        <v>1068</v>
      </c>
      <c r="G13213" t="s">
        <v>1071</v>
      </c>
      <c r="H13213" s="171" t="s">
        <v>7818</v>
      </c>
      <c r="I13213" t="s">
        <v>1072</v>
      </c>
      <c r="J13213">
        <v>9.58</v>
      </c>
    </row>
    <row r="13214" spans="1:10" hidden="1">
      <c r="A13214" t="s">
        <v>7816</v>
      </c>
      <c r="B13214" t="s">
        <v>7817</v>
      </c>
      <c r="C13214" t="s">
        <v>6839</v>
      </c>
      <c r="D13214" t="s">
        <v>1179</v>
      </c>
      <c r="E13214" t="s">
        <v>1116</v>
      </c>
      <c r="F13214" t="s">
        <v>1068</v>
      </c>
      <c r="G13214" t="s">
        <v>1073</v>
      </c>
      <c r="H13214" s="171" t="s">
        <v>7819</v>
      </c>
      <c r="I13214" t="s">
        <v>1074</v>
      </c>
      <c r="J13214">
        <v>9.58</v>
      </c>
    </row>
    <row r="13215" spans="1:10" hidden="1">
      <c r="A13215" t="s">
        <v>7816</v>
      </c>
      <c r="B13215" t="s">
        <v>7817</v>
      </c>
      <c r="C13215" t="s">
        <v>6839</v>
      </c>
      <c r="D13215" t="s">
        <v>1179</v>
      </c>
      <c r="E13215" t="s">
        <v>1116</v>
      </c>
      <c r="F13215" t="s">
        <v>1068</v>
      </c>
      <c r="G13215" t="s">
        <v>1075</v>
      </c>
      <c r="H13215">
        <v>4.84602250262447E-3</v>
      </c>
      <c r="I13215" t="s">
        <v>1077</v>
      </c>
      <c r="J13215">
        <v>9.58</v>
      </c>
    </row>
    <row r="13216" spans="1:10" hidden="1">
      <c r="A13216" t="s">
        <v>7816</v>
      </c>
      <c r="B13216" t="s">
        <v>7817</v>
      </c>
      <c r="C13216" t="s">
        <v>6839</v>
      </c>
      <c r="D13216" t="s">
        <v>1179</v>
      </c>
      <c r="E13216" t="s">
        <v>1116</v>
      </c>
      <c r="F13216" t="s">
        <v>1068</v>
      </c>
      <c r="G13216" t="s">
        <v>1078</v>
      </c>
      <c r="H13216" s="171" t="s">
        <v>7820</v>
      </c>
      <c r="I13216" t="s">
        <v>1079</v>
      </c>
      <c r="J13216">
        <v>9.58</v>
      </c>
    </row>
    <row r="13217" spans="1:10" hidden="1">
      <c r="A13217" t="s">
        <v>7816</v>
      </c>
      <c r="B13217" t="s">
        <v>7817</v>
      </c>
      <c r="C13217" t="s">
        <v>6839</v>
      </c>
      <c r="D13217" t="s">
        <v>1179</v>
      </c>
      <c r="E13217" t="s">
        <v>1116</v>
      </c>
      <c r="F13217" t="s">
        <v>1068</v>
      </c>
      <c r="G13217" t="s">
        <v>1080</v>
      </c>
      <c r="H13217" s="171" t="s">
        <v>7821</v>
      </c>
      <c r="I13217" t="s">
        <v>1082</v>
      </c>
      <c r="J13217">
        <v>9.58</v>
      </c>
    </row>
    <row r="13218" spans="1:10" hidden="1">
      <c r="A13218" t="s">
        <v>7816</v>
      </c>
      <c r="B13218" t="s">
        <v>7817</v>
      </c>
      <c r="C13218" t="s">
        <v>6839</v>
      </c>
      <c r="D13218" t="s">
        <v>1179</v>
      </c>
      <c r="E13218" t="s">
        <v>1116</v>
      </c>
      <c r="F13218" t="s">
        <v>1068</v>
      </c>
      <c r="G13218" t="s">
        <v>1083</v>
      </c>
      <c r="H13218" s="171" t="s">
        <v>7822</v>
      </c>
      <c r="I13218" t="s">
        <v>1084</v>
      </c>
      <c r="J13218">
        <v>9.58</v>
      </c>
    </row>
    <row r="13219" spans="1:10" hidden="1">
      <c r="A13219" t="s">
        <v>7816</v>
      </c>
      <c r="B13219" t="s">
        <v>7817</v>
      </c>
      <c r="C13219" t="s">
        <v>6839</v>
      </c>
      <c r="D13219" t="s">
        <v>1179</v>
      </c>
      <c r="E13219" t="s">
        <v>1116</v>
      </c>
      <c r="F13219" t="s">
        <v>1068</v>
      </c>
      <c r="G13219" t="s">
        <v>1085</v>
      </c>
      <c r="H13219">
        <v>1.9839738065312301E-4</v>
      </c>
      <c r="I13219" t="s">
        <v>1086</v>
      </c>
      <c r="J13219">
        <v>9.58</v>
      </c>
    </row>
    <row r="13220" spans="1:10" hidden="1">
      <c r="A13220" t="s">
        <v>7816</v>
      </c>
      <c r="B13220" t="s">
        <v>7817</v>
      </c>
      <c r="C13220" t="s">
        <v>6839</v>
      </c>
      <c r="D13220" t="s">
        <v>1179</v>
      </c>
      <c r="E13220" t="s">
        <v>1116</v>
      </c>
      <c r="F13220" t="s">
        <v>1068</v>
      </c>
      <c r="G13220" t="s">
        <v>1087</v>
      </c>
      <c r="H13220" s="171" t="s">
        <v>7823</v>
      </c>
      <c r="I13220" t="s">
        <v>1088</v>
      </c>
      <c r="J13220">
        <v>9.58</v>
      </c>
    </row>
    <row r="13221" spans="1:10" hidden="1">
      <c r="A13221" t="s">
        <v>7816</v>
      </c>
      <c r="B13221" t="s">
        <v>7817</v>
      </c>
      <c r="C13221" t="s">
        <v>6839</v>
      </c>
      <c r="D13221" t="s">
        <v>1179</v>
      </c>
      <c r="E13221" t="s">
        <v>1116</v>
      </c>
      <c r="F13221" t="s">
        <v>1068</v>
      </c>
      <c r="G13221" t="s">
        <v>1089</v>
      </c>
      <c r="H13221" s="171" t="s">
        <v>7824</v>
      </c>
      <c r="I13221" t="s">
        <v>1090</v>
      </c>
      <c r="J13221">
        <v>9.58</v>
      </c>
    </row>
    <row r="13222" spans="1:10" hidden="1">
      <c r="A13222" t="s">
        <v>7825</v>
      </c>
      <c r="B13222" t="s">
        <v>7826</v>
      </c>
      <c r="C13222" t="s">
        <v>6839</v>
      </c>
      <c r="D13222" t="s">
        <v>1210</v>
      </c>
      <c r="E13222" t="s">
        <v>561</v>
      </c>
      <c r="F13222" t="s">
        <v>1068</v>
      </c>
      <c r="G13222" t="s">
        <v>1069</v>
      </c>
      <c r="H13222" s="171" t="s">
        <v>7827</v>
      </c>
      <c r="I13222" t="s">
        <v>1070</v>
      </c>
      <c r="J13222">
        <v>8.1300000000000008</v>
      </c>
    </row>
    <row r="13223" spans="1:10" hidden="1">
      <c r="A13223" t="s">
        <v>7825</v>
      </c>
      <c r="B13223" t="s">
        <v>7826</v>
      </c>
      <c r="C13223" t="s">
        <v>6839</v>
      </c>
      <c r="D13223" t="s">
        <v>1210</v>
      </c>
      <c r="E13223" t="s">
        <v>561</v>
      </c>
      <c r="F13223" t="s">
        <v>1068</v>
      </c>
      <c r="G13223" t="s">
        <v>1071</v>
      </c>
      <c r="H13223" s="171" t="s">
        <v>7828</v>
      </c>
      <c r="I13223" t="s">
        <v>1072</v>
      </c>
      <c r="J13223">
        <v>8.1300000000000008</v>
      </c>
    </row>
    <row r="13224" spans="1:10" hidden="1">
      <c r="A13224" t="s">
        <v>7825</v>
      </c>
      <c r="B13224" t="s">
        <v>7826</v>
      </c>
      <c r="C13224" t="s">
        <v>6839</v>
      </c>
      <c r="D13224" t="s">
        <v>1210</v>
      </c>
      <c r="E13224" t="s">
        <v>561</v>
      </c>
      <c r="F13224" t="s">
        <v>1068</v>
      </c>
      <c r="G13224" t="s">
        <v>1073</v>
      </c>
      <c r="H13224" s="171" t="s">
        <v>7829</v>
      </c>
      <c r="I13224" t="s">
        <v>1074</v>
      </c>
      <c r="J13224">
        <v>8.1300000000000008</v>
      </c>
    </row>
    <row r="13225" spans="1:10" hidden="1">
      <c r="A13225" t="s">
        <v>7825</v>
      </c>
      <c r="B13225" t="s">
        <v>7826</v>
      </c>
      <c r="C13225" t="s">
        <v>6839</v>
      </c>
      <c r="D13225" t="s">
        <v>1210</v>
      </c>
      <c r="E13225" t="s">
        <v>561</v>
      </c>
      <c r="F13225" t="s">
        <v>1068</v>
      </c>
      <c r="G13225" t="s">
        <v>1075</v>
      </c>
      <c r="H13225">
        <v>3.7562641946197999E-3</v>
      </c>
      <c r="I13225" t="s">
        <v>1077</v>
      </c>
      <c r="J13225">
        <v>8.1300000000000008</v>
      </c>
    </row>
    <row r="13226" spans="1:10" hidden="1">
      <c r="A13226" t="s">
        <v>7825</v>
      </c>
      <c r="B13226" t="s">
        <v>7826</v>
      </c>
      <c r="C13226" t="s">
        <v>6839</v>
      </c>
      <c r="D13226" t="s">
        <v>1210</v>
      </c>
      <c r="E13226" t="s">
        <v>561</v>
      </c>
      <c r="F13226" t="s">
        <v>1068</v>
      </c>
      <c r="G13226" t="s">
        <v>1078</v>
      </c>
      <c r="H13226" s="171" t="s">
        <v>7830</v>
      </c>
      <c r="I13226" t="s">
        <v>1079</v>
      </c>
      <c r="J13226">
        <v>8.1300000000000008</v>
      </c>
    </row>
    <row r="13227" spans="1:10" hidden="1">
      <c r="A13227" t="s">
        <v>7825</v>
      </c>
      <c r="B13227" t="s">
        <v>7826</v>
      </c>
      <c r="C13227" t="s">
        <v>6839</v>
      </c>
      <c r="D13227" t="s">
        <v>1210</v>
      </c>
      <c r="E13227" t="s">
        <v>561</v>
      </c>
      <c r="F13227" t="s">
        <v>1068</v>
      </c>
      <c r="G13227" t="s">
        <v>1080</v>
      </c>
      <c r="H13227" s="171" t="s">
        <v>7831</v>
      </c>
      <c r="I13227" t="s">
        <v>1082</v>
      </c>
      <c r="J13227">
        <v>8.1300000000000008</v>
      </c>
    </row>
    <row r="13228" spans="1:10" hidden="1">
      <c r="A13228" t="s">
        <v>7825</v>
      </c>
      <c r="B13228" t="s">
        <v>7826</v>
      </c>
      <c r="C13228" t="s">
        <v>6839</v>
      </c>
      <c r="D13228" t="s">
        <v>1210</v>
      </c>
      <c r="E13228" t="s">
        <v>561</v>
      </c>
      <c r="F13228" t="s">
        <v>1068</v>
      </c>
      <c r="G13228" t="s">
        <v>1083</v>
      </c>
      <c r="H13228" s="171" t="s">
        <v>7832</v>
      </c>
      <c r="I13228" t="s">
        <v>1084</v>
      </c>
      <c r="J13228">
        <v>8.1300000000000008</v>
      </c>
    </row>
    <row r="13229" spans="1:10" hidden="1">
      <c r="A13229" t="s">
        <v>7825</v>
      </c>
      <c r="B13229" t="s">
        <v>7826</v>
      </c>
      <c r="C13229" t="s">
        <v>6839</v>
      </c>
      <c r="D13229" t="s">
        <v>1210</v>
      </c>
      <c r="E13229" t="s">
        <v>561</v>
      </c>
      <c r="F13229" t="s">
        <v>1068</v>
      </c>
      <c r="G13229" t="s">
        <v>1085</v>
      </c>
      <c r="H13229">
        <v>1.60932836226428E-4</v>
      </c>
      <c r="I13229" t="s">
        <v>1086</v>
      </c>
      <c r="J13229">
        <v>8.1300000000000008</v>
      </c>
    </row>
    <row r="13230" spans="1:10" hidden="1">
      <c r="A13230" t="s">
        <v>7825</v>
      </c>
      <c r="B13230" t="s">
        <v>7826</v>
      </c>
      <c r="C13230" t="s">
        <v>6839</v>
      </c>
      <c r="D13230" t="s">
        <v>1210</v>
      </c>
      <c r="E13230" t="s">
        <v>561</v>
      </c>
      <c r="F13230" t="s">
        <v>1068</v>
      </c>
      <c r="G13230" t="s">
        <v>1087</v>
      </c>
      <c r="H13230" s="171" t="s">
        <v>7833</v>
      </c>
      <c r="I13230" t="s">
        <v>1088</v>
      </c>
      <c r="J13230">
        <v>8.1300000000000008</v>
      </c>
    </row>
    <row r="13231" spans="1:10" hidden="1">
      <c r="A13231" t="s">
        <v>7825</v>
      </c>
      <c r="B13231" t="s">
        <v>7826</v>
      </c>
      <c r="C13231" t="s">
        <v>6839</v>
      </c>
      <c r="D13231" t="s">
        <v>1210</v>
      </c>
      <c r="E13231" t="s">
        <v>561</v>
      </c>
      <c r="F13231" t="s">
        <v>1068</v>
      </c>
      <c r="G13231" t="s">
        <v>1089</v>
      </c>
      <c r="H13231" s="171" t="s">
        <v>7834</v>
      </c>
      <c r="I13231" t="s">
        <v>1090</v>
      </c>
      <c r="J13231">
        <v>8.1300000000000008</v>
      </c>
    </row>
    <row r="13232" spans="1:10" hidden="1">
      <c r="A13232" t="s">
        <v>7835</v>
      </c>
      <c r="B13232" t="s">
        <v>7836</v>
      </c>
      <c r="C13232" t="s">
        <v>6839</v>
      </c>
      <c r="D13232" t="s">
        <v>1210</v>
      </c>
      <c r="E13232" t="s">
        <v>555</v>
      </c>
      <c r="F13232" t="s">
        <v>1068</v>
      </c>
      <c r="G13232" t="s">
        <v>1069</v>
      </c>
      <c r="H13232">
        <v>4.6839749554126398E-2</v>
      </c>
      <c r="I13232" t="s">
        <v>1070</v>
      </c>
      <c r="J13232">
        <v>9.81</v>
      </c>
    </row>
    <row r="13233" spans="1:10" hidden="1">
      <c r="A13233" t="s">
        <v>7835</v>
      </c>
      <c r="B13233" t="s">
        <v>7836</v>
      </c>
      <c r="C13233" t="s">
        <v>6839</v>
      </c>
      <c r="D13233" t="s">
        <v>1210</v>
      </c>
      <c r="E13233" t="s">
        <v>555</v>
      </c>
      <c r="F13233" t="s">
        <v>1068</v>
      </c>
      <c r="G13233" t="s">
        <v>1071</v>
      </c>
      <c r="H13233" s="171" t="s">
        <v>7837</v>
      </c>
      <c r="I13233" t="s">
        <v>1072</v>
      </c>
      <c r="J13233">
        <v>9.81</v>
      </c>
    </row>
    <row r="13234" spans="1:10" hidden="1">
      <c r="A13234" t="s">
        <v>7835</v>
      </c>
      <c r="B13234" t="s">
        <v>7836</v>
      </c>
      <c r="C13234" t="s">
        <v>6839</v>
      </c>
      <c r="D13234" t="s">
        <v>1210</v>
      </c>
      <c r="E13234" t="s">
        <v>555</v>
      </c>
      <c r="F13234" t="s">
        <v>1068</v>
      </c>
      <c r="G13234" t="s">
        <v>1073</v>
      </c>
      <c r="H13234" s="171" t="s">
        <v>7838</v>
      </c>
      <c r="I13234" t="s">
        <v>1074</v>
      </c>
      <c r="J13234">
        <v>9.81</v>
      </c>
    </row>
    <row r="13235" spans="1:10" hidden="1">
      <c r="A13235" t="s">
        <v>7835</v>
      </c>
      <c r="B13235" t="s">
        <v>7836</v>
      </c>
      <c r="C13235" t="s">
        <v>6839</v>
      </c>
      <c r="D13235" t="s">
        <v>1210</v>
      </c>
      <c r="E13235" t="s">
        <v>555</v>
      </c>
      <c r="F13235" t="s">
        <v>1068</v>
      </c>
      <c r="G13235" t="s">
        <v>1075</v>
      </c>
      <c r="H13235">
        <v>3.75629367109887E-3</v>
      </c>
      <c r="I13235" t="s">
        <v>1077</v>
      </c>
      <c r="J13235">
        <v>9.81</v>
      </c>
    </row>
    <row r="13236" spans="1:10" hidden="1">
      <c r="A13236" t="s">
        <v>7835</v>
      </c>
      <c r="B13236" t="s">
        <v>7836</v>
      </c>
      <c r="C13236" t="s">
        <v>6839</v>
      </c>
      <c r="D13236" t="s">
        <v>1210</v>
      </c>
      <c r="E13236" t="s">
        <v>555</v>
      </c>
      <c r="F13236" t="s">
        <v>1068</v>
      </c>
      <c r="G13236" t="s">
        <v>1078</v>
      </c>
      <c r="H13236">
        <v>2.50856610037276E-2</v>
      </c>
      <c r="I13236" t="s">
        <v>1079</v>
      </c>
      <c r="J13236">
        <v>9.81</v>
      </c>
    </row>
    <row r="13237" spans="1:10" hidden="1">
      <c r="A13237" t="s">
        <v>7835</v>
      </c>
      <c r="B13237" t="s">
        <v>7836</v>
      </c>
      <c r="C13237" t="s">
        <v>6839</v>
      </c>
      <c r="D13237" t="s">
        <v>1210</v>
      </c>
      <c r="E13237" t="s">
        <v>555</v>
      </c>
      <c r="F13237" t="s">
        <v>1068</v>
      </c>
      <c r="G13237" t="s">
        <v>1080</v>
      </c>
      <c r="H13237" s="171" t="s">
        <v>7839</v>
      </c>
      <c r="I13237" t="s">
        <v>1082</v>
      </c>
      <c r="J13237">
        <v>9.81</v>
      </c>
    </row>
    <row r="13238" spans="1:10" hidden="1">
      <c r="A13238" t="s">
        <v>7835</v>
      </c>
      <c r="B13238" t="s">
        <v>7836</v>
      </c>
      <c r="C13238" t="s">
        <v>6839</v>
      </c>
      <c r="D13238" t="s">
        <v>1210</v>
      </c>
      <c r="E13238" t="s">
        <v>555</v>
      </c>
      <c r="F13238" t="s">
        <v>1068</v>
      </c>
      <c r="G13238" t="s">
        <v>1083</v>
      </c>
      <c r="H13238" s="171" t="s">
        <v>7840</v>
      </c>
      <c r="I13238" t="s">
        <v>1084</v>
      </c>
      <c r="J13238">
        <v>9.81</v>
      </c>
    </row>
    <row r="13239" spans="1:10" hidden="1">
      <c r="A13239" t="s">
        <v>7835</v>
      </c>
      <c r="B13239" t="s">
        <v>7836</v>
      </c>
      <c r="C13239" t="s">
        <v>6839</v>
      </c>
      <c r="D13239" t="s">
        <v>1210</v>
      </c>
      <c r="E13239" t="s">
        <v>555</v>
      </c>
      <c r="F13239" t="s">
        <v>1068</v>
      </c>
      <c r="G13239" t="s">
        <v>1085</v>
      </c>
      <c r="H13239">
        <v>1.6093443788322699E-4</v>
      </c>
      <c r="I13239" t="s">
        <v>1086</v>
      </c>
      <c r="J13239">
        <v>9.81</v>
      </c>
    </row>
    <row r="13240" spans="1:10" hidden="1">
      <c r="A13240" t="s">
        <v>7835</v>
      </c>
      <c r="B13240" t="s">
        <v>7836</v>
      </c>
      <c r="C13240" t="s">
        <v>6839</v>
      </c>
      <c r="D13240" t="s">
        <v>1210</v>
      </c>
      <c r="E13240" t="s">
        <v>555</v>
      </c>
      <c r="F13240" t="s">
        <v>1068</v>
      </c>
      <c r="G13240" t="s">
        <v>1087</v>
      </c>
      <c r="H13240" s="171" t="s">
        <v>7841</v>
      </c>
      <c r="I13240" t="s">
        <v>1088</v>
      </c>
      <c r="J13240">
        <v>9.81</v>
      </c>
    </row>
    <row r="13241" spans="1:10" hidden="1">
      <c r="A13241" t="s">
        <v>7835</v>
      </c>
      <c r="B13241" t="s">
        <v>7836</v>
      </c>
      <c r="C13241" t="s">
        <v>6839</v>
      </c>
      <c r="D13241" t="s">
        <v>1210</v>
      </c>
      <c r="E13241" t="s">
        <v>555</v>
      </c>
      <c r="F13241" t="s">
        <v>1068</v>
      </c>
      <c r="G13241" t="s">
        <v>1089</v>
      </c>
      <c r="H13241" s="171" t="s">
        <v>7842</v>
      </c>
      <c r="I13241" t="s">
        <v>1090</v>
      </c>
      <c r="J13241">
        <v>9.81</v>
      </c>
    </row>
    <row r="13242" spans="1:10" hidden="1">
      <c r="A13242" t="s">
        <v>7843</v>
      </c>
      <c r="B13242" t="s">
        <v>7844</v>
      </c>
      <c r="C13242" t="s">
        <v>6839</v>
      </c>
      <c r="D13242" t="s">
        <v>1210</v>
      </c>
      <c r="E13242" t="s">
        <v>558</v>
      </c>
      <c r="F13242" t="s">
        <v>1068</v>
      </c>
      <c r="G13242" t="s">
        <v>1069</v>
      </c>
      <c r="H13242" s="171" t="s">
        <v>7845</v>
      </c>
      <c r="I13242" t="s">
        <v>1070</v>
      </c>
      <c r="J13242">
        <v>9.32</v>
      </c>
    </row>
    <row r="13243" spans="1:10" hidden="1">
      <c r="A13243" t="s">
        <v>7843</v>
      </c>
      <c r="B13243" t="s">
        <v>7844</v>
      </c>
      <c r="C13243" t="s">
        <v>6839</v>
      </c>
      <c r="D13243" t="s">
        <v>1210</v>
      </c>
      <c r="E13243" t="s">
        <v>558</v>
      </c>
      <c r="F13243" t="s">
        <v>1068</v>
      </c>
      <c r="G13243" t="s">
        <v>1071</v>
      </c>
      <c r="H13243" s="171" t="s">
        <v>7846</v>
      </c>
      <c r="I13243" t="s">
        <v>1072</v>
      </c>
      <c r="J13243">
        <v>9.32</v>
      </c>
    </row>
    <row r="13244" spans="1:10" hidden="1">
      <c r="A13244" t="s">
        <v>7843</v>
      </c>
      <c r="B13244" t="s">
        <v>7844</v>
      </c>
      <c r="C13244" t="s">
        <v>6839</v>
      </c>
      <c r="D13244" t="s">
        <v>1210</v>
      </c>
      <c r="E13244" t="s">
        <v>558</v>
      </c>
      <c r="F13244" t="s">
        <v>1068</v>
      </c>
      <c r="G13244" t="s">
        <v>1073</v>
      </c>
      <c r="H13244" s="171" t="s">
        <v>7847</v>
      </c>
      <c r="I13244" t="s">
        <v>1074</v>
      </c>
      <c r="J13244">
        <v>9.32</v>
      </c>
    </row>
    <row r="13245" spans="1:10" hidden="1">
      <c r="A13245" t="s">
        <v>7843</v>
      </c>
      <c r="B13245" t="s">
        <v>7844</v>
      </c>
      <c r="C13245" t="s">
        <v>6839</v>
      </c>
      <c r="D13245" t="s">
        <v>1210</v>
      </c>
      <c r="E13245" t="s">
        <v>558</v>
      </c>
      <c r="F13245" t="s">
        <v>1068</v>
      </c>
      <c r="G13245" t="s">
        <v>1075</v>
      </c>
      <c r="H13245">
        <v>3.7562617276318201E-3</v>
      </c>
      <c r="I13245" t="s">
        <v>1077</v>
      </c>
      <c r="J13245">
        <v>9.32</v>
      </c>
    </row>
    <row r="13246" spans="1:10" hidden="1">
      <c r="A13246" t="s">
        <v>7843</v>
      </c>
      <c r="B13246" t="s">
        <v>7844</v>
      </c>
      <c r="C13246" t="s">
        <v>6839</v>
      </c>
      <c r="D13246" t="s">
        <v>1210</v>
      </c>
      <c r="E13246" t="s">
        <v>558</v>
      </c>
      <c r="F13246" t="s">
        <v>1068</v>
      </c>
      <c r="G13246" t="s">
        <v>1078</v>
      </c>
      <c r="H13246">
        <v>2.5084279879975201E-2</v>
      </c>
      <c r="I13246" t="s">
        <v>1079</v>
      </c>
      <c r="J13246">
        <v>9.32</v>
      </c>
    </row>
    <row r="13247" spans="1:10" hidden="1">
      <c r="A13247" t="s">
        <v>7843</v>
      </c>
      <c r="B13247" t="s">
        <v>7844</v>
      </c>
      <c r="C13247" t="s">
        <v>6839</v>
      </c>
      <c r="D13247" t="s">
        <v>1210</v>
      </c>
      <c r="E13247" t="s">
        <v>558</v>
      </c>
      <c r="F13247" t="s">
        <v>1068</v>
      </c>
      <c r="G13247" t="s">
        <v>1080</v>
      </c>
      <c r="H13247" s="171" t="s">
        <v>7848</v>
      </c>
      <c r="I13247" t="s">
        <v>1082</v>
      </c>
      <c r="J13247">
        <v>9.32</v>
      </c>
    </row>
    <row r="13248" spans="1:10" hidden="1">
      <c r="A13248" t="s">
        <v>7843</v>
      </c>
      <c r="B13248" t="s">
        <v>7844</v>
      </c>
      <c r="C13248" t="s">
        <v>6839</v>
      </c>
      <c r="D13248" t="s">
        <v>1210</v>
      </c>
      <c r="E13248" t="s">
        <v>558</v>
      </c>
      <c r="F13248" t="s">
        <v>1068</v>
      </c>
      <c r="G13248" t="s">
        <v>1083</v>
      </c>
      <c r="H13248" s="171" t="s">
        <v>7849</v>
      </c>
      <c r="I13248" t="s">
        <v>1084</v>
      </c>
      <c r="J13248">
        <v>9.32</v>
      </c>
    </row>
    <row r="13249" spans="1:10" hidden="1">
      <c r="A13249" t="s">
        <v>7843</v>
      </c>
      <c r="B13249" t="s">
        <v>7844</v>
      </c>
      <c r="C13249" t="s">
        <v>6839</v>
      </c>
      <c r="D13249" t="s">
        <v>1210</v>
      </c>
      <c r="E13249" t="s">
        <v>558</v>
      </c>
      <c r="F13249" t="s">
        <v>1068</v>
      </c>
      <c r="G13249" t="s">
        <v>1085</v>
      </c>
      <c r="H13249">
        <v>1.60932702157004E-4</v>
      </c>
      <c r="I13249" t="s">
        <v>1086</v>
      </c>
      <c r="J13249">
        <v>9.32</v>
      </c>
    </row>
    <row r="13250" spans="1:10" hidden="1">
      <c r="A13250" t="s">
        <v>7843</v>
      </c>
      <c r="B13250" t="s">
        <v>7844</v>
      </c>
      <c r="C13250" t="s">
        <v>6839</v>
      </c>
      <c r="D13250" t="s">
        <v>1210</v>
      </c>
      <c r="E13250" t="s">
        <v>558</v>
      </c>
      <c r="F13250" t="s">
        <v>1068</v>
      </c>
      <c r="G13250" t="s">
        <v>1087</v>
      </c>
      <c r="H13250" s="171" t="s">
        <v>7850</v>
      </c>
      <c r="I13250" t="s">
        <v>1088</v>
      </c>
      <c r="J13250">
        <v>9.32</v>
      </c>
    </row>
    <row r="13251" spans="1:10" hidden="1">
      <c r="A13251" t="s">
        <v>7843</v>
      </c>
      <c r="B13251" t="s">
        <v>7844</v>
      </c>
      <c r="C13251" t="s">
        <v>6839</v>
      </c>
      <c r="D13251" t="s">
        <v>1210</v>
      </c>
      <c r="E13251" t="s">
        <v>558</v>
      </c>
      <c r="F13251" t="s">
        <v>1068</v>
      </c>
      <c r="G13251" t="s">
        <v>1089</v>
      </c>
      <c r="H13251" s="171" t="s">
        <v>7851</v>
      </c>
      <c r="I13251" t="s">
        <v>1090</v>
      </c>
      <c r="J13251">
        <v>9.32</v>
      </c>
    </row>
    <row r="13252" spans="1:10" hidden="1">
      <c r="A13252" t="s">
        <v>7852</v>
      </c>
      <c r="B13252" t="s">
        <v>7853</v>
      </c>
      <c r="C13252" t="s">
        <v>6839</v>
      </c>
      <c r="D13252" t="s">
        <v>1210</v>
      </c>
      <c r="E13252" t="s">
        <v>553</v>
      </c>
      <c r="F13252" t="s">
        <v>1068</v>
      </c>
      <c r="G13252" t="s">
        <v>1069</v>
      </c>
      <c r="H13252" s="171" t="s">
        <v>7854</v>
      </c>
      <c r="I13252" t="s">
        <v>1070</v>
      </c>
      <c r="J13252">
        <v>9.2899999999999991</v>
      </c>
    </row>
    <row r="13253" spans="1:10" hidden="1">
      <c r="A13253" t="s">
        <v>7852</v>
      </c>
      <c r="B13253" t="s">
        <v>7853</v>
      </c>
      <c r="C13253" t="s">
        <v>6839</v>
      </c>
      <c r="D13253" t="s">
        <v>1210</v>
      </c>
      <c r="E13253" t="s">
        <v>553</v>
      </c>
      <c r="F13253" t="s">
        <v>1068</v>
      </c>
      <c r="G13253" t="s">
        <v>1071</v>
      </c>
      <c r="H13253" s="171" t="s">
        <v>7855</v>
      </c>
      <c r="I13253" t="s">
        <v>1072</v>
      </c>
      <c r="J13253">
        <v>9.2899999999999991</v>
      </c>
    </row>
    <row r="13254" spans="1:10" hidden="1">
      <c r="A13254" t="s">
        <v>7852</v>
      </c>
      <c r="B13254" t="s">
        <v>7853</v>
      </c>
      <c r="C13254" t="s">
        <v>6839</v>
      </c>
      <c r="D13254" t="s">
        <v>1210</v>
      </c>
      <c r="E13254" t="s">
        <v>553</v>
      </c>
      <c r="F13254" t="s">
        <v>1068</v>
      </c>
      <c r="G13254" t="s">
        <v>1073</v>
      </c>
      <c r="H13254" s="171" t="s">
        <v>7856</v>
      </c>
      <c r="I13254" t="s">
        <v>1074</v>
      </c>
      <c r="J13254">
        <v>9.2899999999999991</v>
      </c>
    </row>
    <row r="13255" spans="1:10" hidden="1">
      <c r="A13255" t="s">
        <v>7852</v>
      </c>
      <c r="B13255" t="s">
        <v>7853</v>
      </c>
      <c r="C13255" t="s">
        <v>6839</v>
      </c>
      <c r="D13255" t="s">
        <v>1210</v>
      </c>
      <c r="E13255" t="s">
        <v>553</v>
      </c>
      <c r="F13255" t="s">
        <v>1068</v>
      </c>
      <c r="G13255" t="s">
        <v>1075</v>
      </c>
      <c r="H13255">
        <v>3.7562607269590702E-3</v>
      </c>
      <c r="I13255" t="s">
        <v>1077</v>
      </c>
      <c r="J13255">
        <v>9.2899999999999991</v>
      </c>
    </row>
    <row r="13256" spans="1:10" hidden="1">
      <c r="A13256" t="s">
        <v>7852</v>
      </c>
      <c r="B13256" t="s">
        <v>7853</v>
      </c>
      <c r="C13256" t="s">
        <v>6839</v>
      </c>
      <c r="D13256" t="s">
        <v>1210</v>
      </c>
      <c r="E13256" t="s">
        <v>553</v>
      </c>
      <c r="F13256" t="s">
        <v>1068</v>
      </c>
      <c r="G13256" t="s">
        <v>1078</v>
      </c>
      <c r="H13256" s="171" t="s">
        <v>7857</v>
      </c>
      <c r="I13256" t="s">
        <v>1079</v>
      </c>
      <c r="J13256">
        <v>9.2899999999999991</v>
      </c>
    </row>
    <row r="13257" spans="1:10" hidden="1">
      <c r="A13257" t="s">
        <v>7852</v>
      </c>
      <c r="B13257" t="s">
        <v>7853</v>
      </c>
      <c r="C13257" t="s">
        <v>6839</v>
      </c>
      <c r="D13257" t="s">
        <v>1210</v>
      </c>
      <c r="E13257" t="s">
        <v>553</v>
      </c>
      <c r="F13257" t="s">
        <v>1068</v>
      </c>
      <c r="G13257" t="s">
        <v>1080</v>
      </c>
      <c r="H13257" s="171" t="s">
        <v>7858</v>
      </c>
      <c r="I13257" t="s">
        <v>1082</v>
      </c>
      <c r="J13257">
        <v>9.2899999999999991</v>
      </c>
    </row>
    <row r="13258" spans="1:10" hidden="1">
      <c r="A13258" t="s">
        <v>7852</v>
      </c>
      <c r="B13258" t="s">
        <v>7853</v>
      </c>
      <c r="C13258" t="s">
        <v>6839</v>
      </c>
      <c r="D13258" t="s">
        <v>1210</v>
      </c>
      <c r="E13258" t="s">
        <v>553</v>
      </c>
      <c r="F13258" t="s">
        <v>1068</v>
      </c>
      <c r="G13258" t="s">
        <v>1083</v>
      </c>
      <c r="H13258" s="171" t="s">
        <v>7859</v>
      </c>
      <c r="I13258" t="s">
        <v>1084</v>
      </c>
      <c r="J13258">
        <v>9.2899999999999991</v>
      </c>
    </row>
    <row r="13259" spans="1:10" hidden="1">
      <c r="A13259" t="s">
        <v>7852</v>
      </c>
      <c r="B13259" t="s">
        <v>7853</v>
      </c>
      <c r="C13259" t="s">
        <v>6839</v>
      </c>
      <c r="D13259" t="s">
        <v>1210</v>
      </c>
      <c r="E13259" t="s">
        <v>553</v>
      </c>
      <c r="F13259" t="s">
        <v>1068</v>
      </c>
      <c r="G13259" t="s">
        <v>1085</v>
      </c>
      <c r="H13259">
        <v>1.60932647521122E-4</v>
      </c>
      <c r="I13259" t="s">
        <v>1086</v>
      </c>
      <c r="J13259">
        <v>9.2899999999999991</v>
      </c>
    </row>
    <row r="13260" spans="1:10" hidden="1">
      <c r="A13260" t="s">
        <v>7852</v>
      </c>
      <c r="B13260" t="s">
        <v>7853</v>
      </c>
      <c r="C13260" t="s">
        <v>6839</v>
      </c>
      <c r="D13260" t="s">
        <v>1210</v>
      </c>
      <c r="E13260" t="s">
        <v>553</v>
      </c>
      <c r="F13260" t="s">
        <v>1068</v>
      </c>
      <c r="G13260" t="s">
        <v>1087</v>
      </c>
      <c r="H13260" s="171" t="s">
        <v>7860</v>
      </c>
      <c r="I13260" t="s">
        <v>1088</v>
      </c>
      <c r="J13260">
        <v>9.2899999999999991</v>
      </c>
    </row>
    <row r="13261" spans="1:10" hidden="1">
      <c r="A13261" t="s">
        <v>7852</v>
      </c>
      <c r="B13261" t="s">
        <v>7853</v>
      </c>
      <c r="C13261" t="s">
        <v>6839</v>
      </c>
      <c r="D13261" t="s">
        <v>1210</v>
      </c>
      <c r="E13261" t="s">
        <v>553</v>
      </c>
      <c r="F13261" t="s">
        <v>1068</v>
      </c>
      <c r="G13261" t="s">
        <v>1089</v>
      </c>
      <c r="H13261" s="171" t="s">
        <v>7861</v>
      </c>
      <c r="I13261" t="s">
        <v>1090</v>
      </c>
      <c r="J13261">
        <v>9.2899999999999991</v>
      </c>
    </row>
    <row r="13262" spans="1:10" hidden="1">
      <c r="A13262" t="s">
        <v>7862</v>
      </c>
      <c r="B13262" t="s">
        <v>7863</v>
      </c>
      <c r="C13262" t="s">
        <v>6839</v>
      </c>
      <c r="D13262" t="s">
        <v>1210</v>
      </c>
      <c r="E13262" t="s">
        <v>556</v>
      </c>
      <c r="F13262" t="s">
        <v>1068</v>
      </c>
      <c r="G13262" t="s">
        <v>1069</v>
      </c>
      <c r="H13262" s="171" t="s">
        <v>7864</v>
      </c>
      <c r="I13262" t="s">
        <v>1070</v>
      </c>
      <c r="J13262">
        <v>9.65</v>
      </c>
    </row>
    <row r="13263" spans="1:10" hidden="1">
      <c r="A13263" t="s">
        <v>7862</v>
      </c>
      <c r="B13263" t="s">
        <v>7863</v>
      </c>
      <c r="C13263" t="s">
        <v>6839</v>
      </c>
      <c r="D13263" t="s">
        <v>1210</v>
      </c>
      <c r="E13263" t="s">
        <v>556</v>
      </c>
      <c r="F13263" t="s">
        <v>1068</v>
      </c>
      <c r="G13263" t="s">
        <v>1071</v>
      </c>
      <c r="H13263" s="171" t="s">
        <v>7865</v>
      </c>
      <c r="I13263" t="s">
        <v>1072</v>
      </c>
      <c r="J13263">
        <v>9.65</v>
      </c>
    </row>
    <row r="13264" spans="1:10" hidden="1">
      <c r="A13264" t="s">
        <v>7862</v>
      </c>
      <c r="B13264" t="s">
        <v>7863</v>
      </c>
      <c r="C13264" t="s">
        <v>6839</v>
      </c>
      <c r="D13264" t="s">
        <v>1210</v>
      </c>
      <c r="E13264" t="s">
        <v>556</v>
      </c>
      <c r="F13264" t="s">
        <v>1068</v>
      </c>
      <c r="G13264" t="s">
        <v>1073</v>
      </c>
      <c r="H13264" s="171" t="s">
        <v>7866</v>
      </c>
      <c r="I13264" t="s">
        <v>1074</v>
      </c>
      <c r="J13264">
        <v>9.65</v>
      </c>
    </row>
    <row r="13265" spans="1:10" hidden="1">
      <c r="A13265" t="s">
        <v>7862</v>
      </c>
      <c r="B13265" t="s">
        <v>7863</v>
      </c>
      <c r="C13265" t="s">
        <v>6839</v>
      </c>
      <c r="D13265" t="s">
        <v>1210</v>
      </c>
      <c r="E13265" t="s">
        <v>556</v>
      </c>
      <c r="F13265" t="s">
        <v>1068</v>
      </c>
      <c r="G13265" t="s">
        <v>1075</v>
      </c>
      <c r="H13265">
        <v>3.75629057460538E-3</v>
      </c>
      <c r="I13265" t="s">
        <v>1077</v>
      </c>
      <c r="J13265">
        <v>9.65</v>
      </c>
    </row>
    <row r="13266" spans="1:10" hidden="1">
      <c r="A13266" t="s">
        <v>7862</v>
      </c>
      <c r="B13266" t="s">
        <v>7863</v>
      </c>
      <c r="C13266" t="s">
        <v>6839</v>
      </c>
      <c r="D13266" t="s">
        <v>1210</v>
      </c>
      <c r="E13266" t="s">
        <v>556</v>
      </c>
      <c r="F13266" t="s">
        <v>1068</v>
      </c>
      <c r="G13266" t="s">
        <v>1078</v>
      </c>
      <c r="H13266" s="171" t="s">
        <v>7867</v>
      </c>
      <c r="I13266" t="s">
        <v>1079</v>
      </c>
      <c r="J13266">
        <v>9.65</v>
      </c>
    </row>
    <row r="13267" spans="1:10" hidden="1">
      <c r="A13267" t="s">
        <v>7862</v>
      </c>
      <c r="B13267" t="s">
        <v>7863</v>
      </c>
      <c r="C13267" t="s">
        <v>6839</v>
      </c>
      <c r="D13267" t="s">
        <v>1210</v>
      </c>
      <c r="E13267" t="s">
        <v>556</v>
      </c>
      <c r="F13267" t="s">
        <v>1068</v>
      </c>
      <c r="G13267" t="s">
        <v>1080</v>
      </c>
      <c r="H13267" s="171" t="s">
        <v>7868</v>
      </c>
      <c r="I13267" t="s">
        <v>1082</v>
      </c>
      <c r="J13267">
        <v>9.65</v>
      </c>
    </row>
    <row r="13268" spans="1:10" hidden="1">
      <c r="A13268" t="s">
        <v>7862</v>
      </c>
      <c r="B13268" t="s">
        <v>7863</v>
      </c>
      <c r="C13268" t="s">
        <v>6839</v>
      </c>
      <c r="D13268" t="s">
        <v>1210</v>
      </c>
      <c r="E13268" t="s">
        <v>556</v>
      </c>
      <c r="F13268" t="s">
        <v>1068</v>
      </c>
      <c r="G13268" t="s">
        <v>1083</v>
      </c>
      <c r="H13268" s="171" t="s">
        <v>7869</v>
      </c>
      <c r="I13268" t="s">
        <v>1084</v>
      </c>
      <c r="J13268">
        <v>9.65</v>
      </c>
    </row>
    <row r="13269" spans="1:10" hidden="1">
      <c r="A13269" t="s">
        <v>7862</v>
      </c>
      <c r="B13269" t="s">
        <v>7863</v>
      </c>
      <c r="C13269" t="s">
        <v>6839</v>
      </c>
      <c r="D13269" t="s">
        <v>1210</v>
      </c>
      <c r="E13269" t="s">
        <v>556</v>
      </c>
      <c r="F13269" t="s">
        <v>1068</v>
      </c>
      <c r="G13269" t="s">
        <v>1085</v>
      </c>
      <c r="H13269">
        <v>1.60934269603074E-4</v>
      </c>
      <c r="I13269" t="s">
        <v>1086</v>
      </c>
      <c r="J13269">
        <v>9.65</v>
      </c>
    </row>
    <row r="13270" spans="1:10" hidden="1">
      <c r="A13270" t="s">
        <v>7862</v>
      </c>
      <c r="B13270" t="s">
        <v>7863</v>
      </c>
      <c r="C13270" t="s">
        <v>6839</v>
      </c>
      <c r="D13270" t="s">
        <v>1210</v>
      </c>
      <c r="E13270" t="s">
        <v>556</v>
      </c>
      <c r="F13270" t="s">
        <v>1068</v>
      </c>
      <c r="G13270" t="s">
        <v>1087</v>
      </c>
      <c r="H13270" s="171" t="s">
        <v>7870</v>
      </c>
      <c r="I13270" t="s">
        <v>1088</v>
      </c>
      <c r="J13270">
        <v>9.65</v>
      </c>
    </row>
    <row r="13271" spans="1:10" hidden="1">
      <c r="A13271" t="s">
        <v>7862</v>
      </c>
      <c r="B13271" t="s">
        <v>7863</v>
      </c>
      <c r="C13271" t="s">
        <v>6839</v>
      </c>
      <c r="D13271" t="s">
        <v>1210</v>
      </c>
      <c r="E13271" t="s">
        <v>556</v>
      </c>
      <c r="F13271" t="s">
        <v>1068</v>
      </c>
      <c r="G13271" t="s">
        <v>1089</v>
      </c>
      <c r="H13271" s="171" t="s">
        <v>7871</v>
      </c>
      <c r="I13271" t="s">
        <v>1090</v>
      </c>
      <c r="J13271">
        <v>9.65</v>
      </c>
    </row>
    <row r="13272" spans="1:10" hidden="1">
      <c r="A13272" t="s">
        <v>7872</v>
      </c>
      <c r="B13272" t="s">
        <v>7873</v>
      </c>
      <c r="C13272" t="s">
        <v>6839</v>
      </c>
      <c r="D13272" t="s">
        <v>1210</v>
      </c>
      <c r="E13272" t="s">
        <v>557</v>
      </c>
      <c r="F13272" t="s">
        <v>1068</v>
      </c>
      <c r="G13272" t="s">
        <v>1069</v>
      </c>
      <c r="H13272">
        <v>4.6838623865425401E-2</v>
      </c>
      <c r="I13272" t="s">
        <v>1070</v>
      </c>
      <c r="J13272">
        <v>9.06</v>
      </c>
    </row>
    <row r="13273" spans="1:10" hidden="1">
      <c r="A13273" t="s">
        <v>7872</v>
      </c>
      <c r="B13273" t="s">
        <v>7873</v>
      </c>
      <c r="C13273" t="s">
        <v>6839</v>
      </c>
      <c r="D13273" t="s">
        <v>1210</v>
      </c>
      <c r="E13273" t="s">
        <v>557</v>
      </c>
      <c r="F13273" t="s">
        <v>1068</v>
      </c>
      <c r="G13273" t="s">
        <v>1071</v>
      </c>
      <c r="H13273" s="171" t="s">
        <v>7874</v>
      </c>
      <c r="I13273" t="s">
        <v>1072</v>
      </c>
      <c r="J13273">
        <v>9.06</v>
      </c>
    </row>
    <row r="13274" spans="1:10" hidden="1">
      <c r="A13274" t="s">
        <v>7872</v>
      </c>
      <c r="B13274" t="s">
        <v>7873</v>
      </c>
      <c r="C13274" t="s">
        <v>6839</v>
      </c>
      <c r="D13274" t="s">
        <v>1210</v>
      </c>
      <c r="E13274" t="s">
        <v>557</v>
      </c>
      <c r="F13274" t="s">
        <v>1068</v>
      </c>
      <c r="G13274" t="s">
        <v>1073</v>
      </c>
      <c r="H13274" s="171" t="s">
        <v>7875</v>
      </c>
      <c r="I13274" t="s">
        <v>1074</v>
      </c>
      <c r="J13274">
        <v>9.06</v>
      </c>
    </row>
    <row r="13275" spans="1:10" hidden="1">
      <c r="A13275" t="s">
        <v>7872</v>
      </c>
      <c r="B13275" t="s">
        <v>7873</v>
      </c>
      <c r="C13275" t="s">
        <v>6839</v>
      </c>
      <c r="D13275" t="s">
        <v>1210</v>
      </c>
      <c r="E13275" t="s">
        <v>557</v>
      </c>
      <c r="F13275" t="s">
        <v>1068</v>
      </c>
      <c r="G13275" t="s">
        <v>1075</v>
      </c>
      <c r="H13275">
        <v>3.7562719173651099E-3</v>
      </c>
      <c r="I13275" t="s">
        <v>1077</v>
      </c>
      <c r="J13275">
        <v>9.06</v>
      </c>
    </row>
    <row r="13276" spans="1:10" hidden="1">
      <c r="A13276" t="s">
        <v>7872</v>
      </c>
      <c r="B13276" t="s">
        <v>7873</v>
      </c>
      <c r="C13276" t="s">
        <v>6839</v>
      </c>
      <c r="D13276" t="s">
        <v>1210</v>
      </c>
      <c r="E13276" t="s">
        <v>557</v>
      </c>
      <c r="F13276" t="s">
        <v>1068</v>
      </c>
      <c r="G13276" t="s">
        <v>1078</v>
      </c>
      <c r="H13276" s="171" t="s">
        <v>7876</v>
      </c>
      <c r="I13276" t="s">
        <v>1079</v>
      </c>
      <c r="J13276">
        <v>9.06</v>
      </c>
    </row>
    <row r="13277" spans="1:10" hidden="1">
      <c r="A13277" t="s">
        <v>7872</v>
      </c>
      <c r="B13277" t="s">
        <v>7873</v>
      </c>
      <c r="C13277" t="s">
        <v>6839</v>
      </c>
      <c r="D13277" t="s">
        <v>1210</v>
      </c>
      <c r="E13277" t="s">
        <v>557</v>
      </c>
      <c r="F13277" t="s">
        <v>1068</v>
      </c>
      <c r="G13277" t="s">
        <v>1080</v>
      </c>
      <c r="H13277" s="171" t="s">
        <v>7877</v>
      </c>
      <c r="I13277" t="s">
        <v>1082</v>
      </c>
      <c r="J13277">
        <v>9.06</v>
      </c>
    </row>
    <row r="13278" spans="1:10" hidden="1">
      <c r="A13278" t="s">
        <v>7872</v>
      </c>
      <c r="B13278" t="s">
        <v>7873</v>
      </c>
      <c r="C13278" t="s">
        <v>6839</v>
      </c>
      <c r="D13278" t="s">
        <v>1210</v>
      </c>
      <c r="E13278" t="s">
        <v>557</v>
      </c>
      <c r="F13278" t="s">
        <v>1068</v>
      </c>
      <c r="G13278" t="s">
        <v>1083</v>
      </c>
      <c r="H13278" s="171" t="s">
        <v>7878</v>
      </c>
      <c r="I13278" t="s">
        <v>1084</v>
      </c>
      <c r="J13278">
        <v>9.06</v>
      </c>
    </row>
    <row r="13279" spans="1:10" hidden="1">
      <c r="A13279" t="s">
        <v>7872</v>
      </c>
      <c r="B13279" t="s">
        <v>7873</v>
      </c>
      <c r="C13279" t="s">
        <v>6839</v>
      </c>
      <c r="D13279" t="s">
        <v>1210</v>
      </c>
      <c r="E13279" t="s">
        <v>557</v>
      </c>
      <c r="F13279" t="s">
        <v>1068</v>
      </c>
      <c r="G13279" t="s">
        <v>1085</v>
      </c>
      <c r="H13279">
        <v>1.6093325592202699E-4</v>
      </c>
      <c r="I13279" t="s">
        <v>1086</v>
      </c>
      <c r="J13279">
        <v>9.06</v>
      </c>
    </row>
    <row r="13280" spans="1:10" hidden="1">
      <c r="A13280" t="s">
        <v>7872</v>
      </c>
      <c r="B13280" t="s">
        <v>7873</v>
      </c>
      <c r="C13280" t="s">
        <v>6839</v>
      </c>
      <c r="D13280" t="s">
        <v>1210</v>
      </c>
      <c r="E13280" t="s">
        <v>557</v>
      </c>
      <c r="F13280" t="s">
        <v>1068</v>
      </c>
      <c r="G13280" t="s">
        <v>1087</v>
      </c>
      <c r="H13280" s="171" t="s">
        <v>7879</v>
      </c>
      <c r="I13280" t="s">
        <v>1088</v>
      </c>
      <c r="J13280">
        <v>9.06</v>
      </c>
    </row>
    <row r="13281" spans="1:10" hidden="1">
      <c r="A13281" t="s">
        <v>7872</v>
      </c>
      <c r="B13281" t="s">
        <v>7873</v>
      </c>
      <c r="C13281" t="s">
        <v>6839</v>
      </c>
      <c r="D13281" t="s">
        <v>1210</v>
      </c>
      <c r="E13281" t="s">
        <v>557</v>
      </c>
      <c r="F13281" t="s">
        <v>1068</v>
      </c>
      <c r="G13281" t="s">
        <v>1089</v>
      </c>
      <c r="H13281" s="171" t="s">
        <v>7880</v>
      </c>
      <c r="I13281" t="s">
        <v>1090</v>
      </c>
      <c r="J13281">
        <v>9.06</v>
      </c>
    </row>
    <row r="13282" spans="1:10" hidden="1">
      <c r="A13282" t="s">
        <v>7881</v>
      </c>
      <c r="B13282" t="s">
        <v>7882</v>
      </c>
      <c r="C13282" t="s">
        <v>6839</v>
      </c>
      <c r="D13282" t="s">
        <v>1210</v>
      </c>
      <c r="E13282" t="s">
        <v>559</v>
      </c>
      <c r="F13282" t="s">
        <v>1068</v>
      </c>
      <c r="G13282" t="s">
        <v>1069</v>
      </c>
      <c r="H13282" s="171" t="s">
        <v>7883</v>
      </c>
      <c r="I13282" t="s">
        <v>1070</v>
      </c>
      <c r="J13282">
        <v>8.8800000000000008</v>
      </c>
    </row>
    <row r="13283" spans="1:10" hidden="1">
      <c r="A13283" t="s">
        <v>7881</v>
      </c>
      <c r="B13283" t="s">
        <v>7882</v>
      </c>
      <c r="C13283" t="s">
        <v>6839</v>
      </c>
      <c r="D13283" t="s">
        <v>1210</v>
      </c>
      <c r="E13283" t="s">
        <v>559</v>
      </c>
      <c r="F13283" t="s">
        <v>1068</v>
      </c>
      <c r="G13283" t="s">
        <v>1071</v>
      </c>
      <c r="H13283" s="171" t="s">
        <v>7884</v>
      </c>
      <c r="I13283" t="s">
        <v>1072</v>
      </c>
      <c r="J13283">
        <v>8.8800000000000008</v>
      </c>
    </row>
    <row r="13284" spans="1:10" hidden="1">
      <c r="A13284" t="s">
        <v>7881</v>
      </c>
      <c r="B13284" t="s">
        <v>7882</v>
      </c>
      <c r="C13284" t="s">
        <v>6839</v>
      </c>
      <c r="D13284" t="s">
        <v>1210</v>
      </c>
      <c r="E13284" t="s">
        <v>559</v>
      </c>
      <c r="F13284" t="s">
        <v>1068</v>
      </c>
      <c r="G13284" t="s">
        <v>1073</v>
      </c>
      <c r="H13284" s="171" t="s">
        <v>7885</v>
      </c>
      <c r="I13284" t="s">
        <v>1074</v>
      </c>
      <c r="J13284">
        <v>8.8800000000000008</v>
      </c>
    </row>
    <row r="13285" spans="1:10" hidden="1">
      <c r="A13285" t="s">
        <v>7881</v>
      </c>
      <c r="B13285" t="s">
        <v>7882</v>
      </c>
      <c r="C13285" t="s">
        <v>6839</v>
      </c>
      <c r="D13285" t="s">
        <v>1210</v>
      </c>
      <c r="E13285" t="s">
        <v>559</v>
      </c>
      <c r="F13285" t="s">
        <v>1068</v>
      </c>
      <c r="G13285" t="s">
        <v>1075</v>
      </c>
      <c r="H13285">
        <v>3.75628170262861E-3</v>
      </c>
      <c r="I13285" t="s">
        <v>1077</v>
      </c>
      <c r="J13285">
        <v>8.8800000000000008</v>
      </c>
    </row>
    <row r="13286" spans="1:10" hidden="1">
      <c r="A13286" t="s">
        <v>7881</v>
      </c>
      <c r="B13286" t="s">
        <v>7882</v>
      </c>
      <c r="C13286" t="s">
        <v>6839</v>
      </c>
      <c r="D13286" t="s">
        <v>1210</v>
      </c>
      <c r="E13286" t="s">
        <v>559</v>
      </c>
      <c r="F13286" t="s">
        <v>1068</v>
      </c>
      <c r="G13286" t="s">
        <v>1078</v>
      </c>
      <c r="H13286" s="171" t="s">
        <v>7886</v>
      </c>
      <c r="I13286" t="s">
        <v>1079</v>
      </c>
      <c r="J13286">
        <v>8.8800000000000008</v>
      </c>
    </row>
    <row r="13287" spans="1:10" hidden="1">
      <c r="A13287" t="s">
        <v>7881</v>
      </c>
      <c r="B13287" t="s">
        <v>7882</v>
      </c>
      <c r="C13287" t="s">
        <v>6839</v>
      </c>
      <c r="D13287" t="s">
        <v>1210</v>
      </c>
      <c r="E13287" t="s">
        <v>559</v>
      </c>
      <c r="F13287" t="s">
        <v>1068</v>
      </c>
      <c r="G13287" t="s">
        <v>1080</v>
      </c>
      <c r="H13287" s="171" t="s">
        <v>7887</v>
      </c>
      <c r="I13287" t="s">
        <v>1082</v>
      </c>
      <c r="J13287">
        <v>8.8800000000000008</v>
      </c>
    </row>
    <row r="13288" spans="1:10" hidden="1">
      <c r="A13288" t="s">
        <v>7881</v>
      </c>
      <c r="B13288" t="s">
        <v>7882</v>
      </c>
      <c r="C13288" t="s">
        <v>6839</v>
      </c>
      <c r="D13288" t="s">
        <v>1210</v>
      </c>
      <c r="E13288" t="s">
        <v>559</v>
      </c>
      <c r="F13288" t="s">
        <v>1068</v>
      </c>
      <c r="G13288" t="s">
        <v>1083</v>
      </c>
      <c r="H13288" s="171" t="s">
        <v>7888</v>
      </c>
      <c r="I13288" t="s">
        <v>1084</v>
      </c>
      <c r="J13288">
        <v>8.8800000000000008</v>
      </c>
    </row>
    <row r="13289" spans="1:10" hidden="1">
      <c r="A13289" t="s">
        <v>7881</v>
      </c>
      <c r="B13289" t="s">
        <v>7882</v>
      </c>
      <c r="C13289" t="s">
        <v>6839</v>
      </c>
      <c r="D13289" t="s">
        <v>1210</v>
      </c>
      <c r="E13289" t="s">
        <v>559</v>
      </c>
      <c r="F13289" t="s">
        <v>1068</v>
      </c>
      <c r="G13289" t="s">
        <v>1085</v>
      </c>
      <c r="H13289">
        <v>1.6093378745205E-4</v>
      </c>
      <c r="I13289" t="s">
        <v>1086</v>
      </c>
      <c r="J13289">
        <v>8.8800000000000008</v>
      </c>
    </row>
    <row r="13290" spans="1:10" hidden="1">
      <c r="A13290" t="s">
        <v>7881</v>
      </c>
      <c r="B13290" t="s">
        <v>7882</v>
      </c>
      <c r="C13290" t="s">
        <v>6839</v>
      </c>
      <c r="D13290" t="s">
        <v>1210</v>
      </c>
      <c r="E13290" t="s">
        <v>559</v>
      </c>
      <c r="F13290" t="s">
        <v>1068</v>
      </c>
      <c r="G13290" t="s">
        <v>1087</v>
      </c>
      <c r="H13290" s="171" t="s">
        <v>7889</v>
      </c>
      <c r="I13290" t="s">
        <v>1088</v>
      </c>
      <c r="J13290">
        <v>8.8800000000000008</v>
      </c>
    </row>
    <row r="13291" spans="1:10" hidden="1">
      <c r="A13291" t="s">
        <v>7881</v>
      </c>
      <c r="B13291" t="s">
        <v>7882</v>
      </c>
      <c r="C13291" t="s">
        <v>6839</v>
      </c>
      <c r="D13291" t="s">
        <v>1210</v>
      </c>
      <c r="E13291" t="s">
        <v>559</v>
      </c>
      <c r="F13291" t="s">
        <v>1068</v>
      </c>
      <c r="G13291" t="s">
        <v>1089</v>
      </c>
      <c r="H13291" s="171" t="s">
        <v>7890</v>
      </c>
      <c r="I13291" t="s">
        <v>1090</v>
      </c>
      <c r="J13291">
        <v>8.8800000000000008</v>
      </c>
    </row>
    <row r="13292" spans="1:10" hidden="1">
      <c r="A13292" t="s">
        <v>7891</v>
      </c>
      <c r="B13292" t="s">
        <v>7892</v>
      </c>
      <c r="C13292" t="s">
        <v>6839</v>
      </c>
      <c r="D13292" t="s">
        <v>1210</v>
      </c>
      <c r="E13292" t="s">
        <v>560</v>
      </c>
      <c r="F13292" t="s">
        <v>1068</v>
      </c>
      <c r="G13292" t="s">
        <v>1069</v>
      </c>
      <c r="H13292">
        <v>4.6838795783829802E-2</v>
      </c>
      <c r="I13292" t="s">
        <v>1070</v>
      </c>
      <c r="J13292">
        <v>10.33</v>
      </c>
    </row>
    <row r="13293" spans="1:10" hidden="1">
      <c r="A13293" t="s">
        <v>7891</v>
      </c>
      <c r="B13293" t="s">
        <v>7892</v>
      </c>
      <c r="C13293" t="s">
        <v>6839</v>
      </c>
      <c r="D13293" t="s">
        <v>1210</v>
      </c>
      <c r="E13293" t="s">
        <v>560</v>
      </c>
      <c r="F13293" t="s">
        <v>1068</v>
      </c>
      <c r="G13293" t="s">
        <v>1071</v>
      </c>
      <c r="H13293" s="171" t="s">
        <v>7893</v>
      </c>
      <c r="I13293" t="s">
        <v>1072</v>
      </c>
      <c r="J13293">
        <v>10.33</v>
      </c>
    </row>
    <row r="13294" spans="1:10" hidden="1">
      <c r="A13294" t="s">
        <v>7891</v>
      </c>
      <c r="B13294" t="s">
        <v>7892</v>
      </c>
      <c r="C13294" t="s">
        <v>6839</v>
      </c>
      <c r="D13294" t="s">
        <v>1210</v>
      </c>
      <c r="E13294" t="s">
        <v>560</v>
      </c>
      <c r="F13294" t="s">
        <v>1068</v>
      </c>
      <c r="G13294" t="s">
        <v>1073</v>
      </c>
      <c r="H13294" s="171" t="s">
        <v>7894</v>
      </c>
      <c r="I13294" t="s">
        <v>1074</v>
      </c>
      <c r="J13294">
        <v>10.33</v>
      </c>
    </row>
    <row r="13295" spans="1:10" hidden="1">
      <c r="A13295" t="s">
        <v>7891</v>
      </c>
      <c r="B13295" t="s">
        <v>7892</v>
      </c>
      <c r="C13295" t="s">
        <v>6839</v>
      </c>
      <c r="D13295" t="s">
        <v>1210</v>
      </c>
      <c r="E13295" t="s">
        <v>560</v>
      </c>
      <c r="F13295" t="s">
        <v>1068</v>
      </c>
      <c r="G13295" t="s">
        <v>1075</v>
      </c>
      <c r="H13295">
        <v>3.7562773518895298E-3</v>
      </c>
      <c r="I13295" t="s">
        <v>1077</v>
      </c>
      <c r="J13295">
        <v>10.33</v>
      </c>
    </row>
    <row r="13296" spans="1:10" hidden="1">
      <c r="A13296" t="s">
        <v>7891</v>
      </c>
      <c r="B13296" t="s">
        <v>7892</v>
      </c>
      <c r="C13296" t="s">
        <v>6839</v>
      </c>
      <c r="D13296" t="s">
        <v>1210</v>
      </c>
      <c r="E13296" t="s">
        <v>560</v>
      </c>
      <c r="F13296" t="s">
        <v>1068</v>
      </c>
      <c r="G13296" t="s">
        <v>1078</v>
      </c>
      <c r="H13296" s="171" t="s">
        <v>7895</v>
      </c>
      <c r="I13296" t="s">
        <v>1079</v>
      </c>
      <c r="J13296">
        <v>10.33</v>
      </c>
    </row>
    <row r="13297" spans="1:10" hidden="1">
      <c r="A13297" t="s">
        <v>7891</v>
      </c>
      <c r="B13297" t="s">
        <v>7892</v>
      </c>
      <c r="C13297" t="s">
        <v>6839</v>
      </c>
      <c r="D13297" t="s">
        <v>1210</v>
      </c>
      <c r="E13297" t="s">
        <v>560</v>
      </c>
      <c r="F13297" t="s">
        <v>1068</v>
      </c>
      <c r="G13297" t="s">
        <v>1080</v>
      </c>
      <c r="H13297" s="171" t="s">
        <v>7896</v>
      </c>
      <c r="I13297" t="s">
        <v>1082</v>
      </c>
      <c r="J13297">
        <v>10.33</v>
      </c>
    </row>
    <row r="13298" spans="1:10" hidden="1">
      <c r="A13298" t="s">
        <v>7891</v>
      </c>
      <c r="B13298" t="s">
        <v>7892</v>
      </c>
      <c r="C13298" t="s">
        <v>6839</v>
      </c>
      <c r="D13298" t="s">
        <v>1210</v>
      </c>
      <c r="E13298" t="s">
        <v>560</v>
      </c>
      <c r="F13298" t="s">
        <v>1068</v>
      </c>
      <c r="G13298" t="s">
        <v>1083</v>
      </c>
      <c r="H13298" s="171" t="s">
        <v>7897</v>
      </c>
      <c r="I13298" t="s">
        <v>1084</v>
      </c>
      <c r="J13298">
        <v>10.33</v>
      </c>
    </row>
    <row r="13299" spans="1:10" hidden="1">
      <c r="A13299" t="s">
        <v>7891</v>
      </c>
      <c r="B13299" t="s">
        <v>7892</v>
      </c>
      <c r="C13299" t="s">
        <v>6839</v>
      </c>
      <c r="D13299" t="s">
        <v>1210</v>
      </c>
      <c r="E13299" t="s">
        <v>560</v>
      </c>
      <c r="F13299" t="s">
        <v>1068</v>
      </c>
      <c r="G13299" t="s">
        <v>1085</v>
      </c>
      <c r="H13299">
        <v>1.6093355126337201E-4</v>
      </c>
      <c r="I13299" t="s">
        <v>1086</v>
      </c>
      <c r="J13299">
        <v>10.33</v>
      </c>
    </row>
    <row r="13300" spans="1:10" hidden="1">
      <c r="A13300" t="s">
        <v>7891</v>
      </c>
      <c r="B13300" t="s">
        <v>7892</v>
      </c>
      <c r="C13300" t="s">
        <v>6839</v>
      </c>
      <c r="D13300" t="s">
        <v>1210</v>
      </c>
      <c r="E13300" t="s">
        <v>560</v>
      </c>
      <c r="F13300" t="s">
        <v>1068</v>
      </c>
      <c r="G13300" t="s">
        <v>1087</v>
      </c>
      <c r="H13300" s="171" t="s">
        <v>7898</v>
      </c>
      <c r="I13300" t="s">
        <v>1088</v>
      </c>
      <c r="J13300">
        <v>10.33</v>
      </c>
    </row>
    <row r="13301" spans="1:10" hidden="1">
      <c r="A13301" t="s">
        <v>7891</v>
      </c>
      <c r="B13301" t="s">
        <v>7892</v>
      </c>
      <c r="C13301" t="s">
        <v>6839</v>
      </c>
      <c r="D13301" t="s">
        <v>1210</v>
      </c>
      <c r="E13301" t="s">
        <v>560</v>
      </c>
      <c r="F13301" t="s">
        <v>1068</v>
      </c>
      <c r="G13301" t="s">
        <v>1089</v>
      </c>
      <c r="H13301" s="171" t="s">
        <v>7899</v>
      </c>
      <c r="I13301" t="s">
        <v>1090</v>
      </c>
      <c r="J13301">
        <v>10.33</v>
      </c>
    </row>
    <row r="13302" spans="1:10" hidden="1">
      <c r="A13302" t="s">
        <v>7900</v>
      </c>
      <c r="B13302" t="s">
        <v>7901</v>
      </c>
      <c r="C13302" t="s">
        <v>6839</v>
      </c>
      <c r="D13302" t="s">
        <v>1210</v>
      </c>
      <c r="E13302" t="s">
        <v>1116</v>
      </c>
      <c r="F13302" t="s">
        <v>1068</v>
      </c>
      <c r="G13302" t="s">
        <v>1069</v>
      </c>
      <c r="H13302">
        <v>4.6838273994183603E-2</v>
      </c>
      <c r="I13302" t="s">
        <v>1070</v>
      </c>
      <c r="J13302">
        <v>8.89</v>
      </c>
    </row>
    <row r="13303" spans="1:10" hidden="1">
      <c r="A13303" t="s">
        <v>7900</v>
      </c>
      <c r="B13303" t="s">
        <v>7901</v>
      </c>
      <c r="C13303" t="s">
        <v>6839</v>
      </c>
      <c r="D13303" t="s">
        <v>1210</v>
      </c>
      <c r="E13303" t="s">
        <v>1116</v>
      </c>
      <c r="F13303" t="s">
        <v>1068</v>
      </c>
      <c r="G13303" t="s">
        <v>1071</v>
      </c>
      <c r="H13303" s="171" t="s">
        <v>7902</v>
      </c>
      <c r="I13303" t="s">
        <v>1072</v>
      </c>
      <c r="J13303">
        <v>8.89</v>
      </c>
    </row>
    <row r="13304" spans="1:10" hidden="1">
      <c r="A13304" t="s">
        <v>7900</v>
      </c>
      <c r="B13304" t="s">
        <v>7901</v>
      </c>
      <c r="C13304" t="s">
        <v>6839</v>
      </c>
      <c r="D13304" t="s">
        <v>1210</v>
      </c>
      <c r="E13304" t="s">
        <v>1116</v>
      </c>
      <c r="F13304" t="s">
        <v>1068</v>
      </c>
      <c r="G13304" t="s">
        <v>1073</v>
      </c>
      <c r="H13304" s="171" t="s">
        <v>7903</v>
      </c>
      <c r="I13304" t="s">
        <v>1074</v>
      </c>
      <c r="J13304">
        <v>8.89</v>
      </c>
    </row>
    <row r="13305" spans="1:10" hidden="1">
      <c r="A13305" t="s">
        <v>7900</v>
      </c>
      <c r="B13305" t="s">
        <v>7901</v>
      </c>
      <c r="C13305" t="s">
        <v>6839</v>
      </c>
      <c r="D13305" t="s">
        <v>1210</v>
      </c>
      <c r="E13305" t="s">
        <v>1116</v>
      </c>
      <c r="F13305" t="s">
        <v>1068</v>
      </c>
      <c r="G13305" t="s">
        <v>1075</v>
      </c>
      <c r="H13305">
        <v>3.7562608575614099E-3</v>
      </c>
      <c r="I13305" t="s">
        <v>1077</v>
      </c>
      <c r="J13305">
        <v>8.89</v>
      </c>
    </row>
    <row r="13306" spans="1:10" hidden="1">
      <c r="A13306" t="s">
        <v>7900</v>
      </c>
      <c r="B13306" t="s">
        <v>7901</v>
      </c>
      <c r="C13306" t="s">
        <v>6839</v>
      </c>
      <c r="D13306" t="s">
        <v>1210</v>
      </c>
      <c r="E13306" t="s">
        <v>1116</v>
      </c>
      <c r="F13306" t="s">
        <v>1068</v>
      </c>
      <c r="G13306" t="s">
        <v>1078</v>
      </c>
      <c r="H13306" s="171" t="s">
        <v>7904</v>
      </c>
      <c r="I13306" t="s">
        <v>1079</v>
      </c>
      <c r="J13306">
        <v>8.89</v>
      </c>
    </row>
    <row r="13307" spans="1:10" hidden="1">
      <c r="A13307" t="s">
        <v>7900</v>
      </c>
      <c r="B13307" t="s">
        <v>7901</v>
      </c>
      <c r="C13307" t="s">
        <v>6839</v>
      </c>
      <c r="D13307" t="s">
        <v>1210</v>
      </c>
      <c r="E13307" t="s">
        <v>1116</v>
      </c>
      <c r="F13307" t="s">
        <v>1068</v>
      </c>
      <c r="G13307" t="s">
        <v>1080</v>
      </c>
      <c r="H13307" s="171" t="s">
        <v>7905</v>
      </c>
      <c r="I13307" t="s">
        <v>1082</v>
      </c>
      <c r="J13307">
        <v>8.89</v>
      </c>
    </row>
    <row r="13308" spans="1:10" hidden="1">
      <c r="A13308" t="s">
        <v>7900</v>
      </c>
      <c r="B13308" t="s">
        <v>7901</v>
      </c>
      <c r="C13308" t="s">
        <v>6839</v>
      </c>
      <c r="D13308" t="s">
        <v>1210</v>
      </c>
      <c r="E13308" t="s">
        <v>1116</v>
      </c>
      <c r="F13308" t="s">
        <v>1068</v>
      </c>
      <c r="G13308" t="s">
        <v>1083</v>
      </c>
      <c r="H13308" s="171" t="s">
        <v>7906</v>
      </c>
      <c r="I13308" t="s">
        <v>1084</v>
      </c>
      <c r="J13308">
        <v>8.89</v>
      </c>
    </row>
    <row r="13309" spans="1:10" hidden="1">
      <c r="A13309" t="s">
        <v>7900</v>
      </c>
      <c r="B13309" t="s">
        <v>7901</v>
      </c>
      <c r="C13309" t="s">
        <v>6839</v>
      </c>
      <c r="D13309" t="s">
        <v>1210</v>
      </c>
      <c r="E13309" t="s">
        <v>1116</v>
      </c>
      <c r="F13309" t="s">
        <v>1068</v>
      </c>
      <c r="G13309" t="s">
        <v>1085</v>
      </c>
      <c r="H13309">
        <v>1.60932654872688E-4</v>
      </c>
      <c r="I13309" t="s">
        <v>1086</v>
      </c>
      <c r="J13309">
        <v>8.89</v>
      </c>
    </row>
    <row r="13310" spans="1:10" hidden="1">
      <c r="A13310" t="s">
        <v>7900</v>
      </c>
      <c r="B13310" t="s">
        <v>7901</v>
      </c>
      <c r="C13310" t="s">
        <v>6839</v>
      </c>
      <c r="D13310" t="s">
        <v>1210</v>
      </c>
      <c r="E13310" t="s">
        <v>1116</v>
      </c>
      <c r="F13310" t="s">
        <v>1068</v>
      </c>
      <c r="G13310" t="s">
        <v>1087</v>
      </c>
      <c r="H13310" s="171" t="s">
        <v>7907</v>
      </c>
      <c r="I13310" t="s">
        <v>1088</v>
      </c>
      <c r="J13310">
        <v>8.89</v>
      </c>
    </row>
    <row r="13311" spans="1:10" hidden="1">
      <c r="A13311" t="s">
        <v>7900</v>
      </c>
      <c r="B13311" t="s">
        <v>7901</v>
      </c>
      <c r="C13311" t="s">
        <v>6839</v>
      </c>
      <c r="D13311" t="s">
        <v>1210</v>
      </c>
      <c r="E13311" t="s">
        <v>1116</v>
      </c>
      <c r="F13311" t="s">
        <v>1068</v>
      </c>
      <c r="G13311" t="s">
        <v>1089</v>
      </c>
      <c r="H13311" s="171" t="s">
        <v>7908</v>
      </c>
      <c r="I13311" t="s">
        <v>1090</v>
      </c>
      <c r="J13311">
        <v>8.89</v>
      </c>
    </row>
    <row r="13312" spans="1:10" hidden="1">
      <c r="A13312" t="s">
        <v>7909</v>
      </c>
      <c r="B13312" t="s">
        <v>7910</v>
      </c>
      <c r="C13312" t="s">
        <v>6839</v>
      </c>
      <c r="D13312" t="s">
        <v>2713</v>
      </c>
      <c r="E13312" t="s">
        <v>561</v>
      </c>
      <c r="F13312" t="s">
        <v>1068</v>
      </c>
      <c r="G13312" t="s">
        <v>1069</v>
      </c>
      <c r="H13312" s="171" t="s">
        <v>7911</v>
      </c>
      <c r="I13312" t="s">
        <v>1070</v>
      </c>
      <c r="J13312">
        <v>8.68</v>
      </c>
    </row>
    <row r="13313" spans="1:10" hidden="1">
      <c r="A13313" t="s">
        <v>7909</v>
      </c>
      <c r="B13313" t="s">
        <v>7910</v>
      </c>
      <c r="C13313" t="s">
        <v>6839</v>
      </c>
      <c r="D13313" t="s">
        <v>2713</v>
      </c>
      <c r="E13313" t="s">
        <v>561</v>
      </c>
      <c r="F13313" t="s">
        <v>1068</v>
      </c>
      <c r="G13313" t="s">
        <v>1071</v>
      </c>
      <c r="H13313" s="171" t="s">
        <v>7912</v>
      </c>
      <c r="I13313" t="s">
        <v>1072</v>
      </c>
      <c r="J13313">
        <v>8.68</v>
      </c>
    </row>
    <row r="13314" spans="1:10" hidden="1">
      <c r="A13314" t="s">
        <v>7909</v>
      </c>
      <c r="B13314" t="s">
        <v>7910</v>
      </c>
      <c r="C13314" t="s">
        <v>6839</v>
      </c>
      <c r="D13314" t="s">
        <v>2713</v>
      </c>
      <c r="E13314" t="s">
        <v>561</v>
      </c>
      <c r="F13314" t="s">
        <v>1068</v>
      </c>
      <c r="G13314" t="s">
        <v>1073</v>
      </c>
      <c r="H13314" s="171" t="s">
        <v>7913</v>
      </c>
      <c r="I13314" t="s">
        <v>1074</v>
      </c>
      <c r="J13314">
        <v>8.68</v>
      </c>
    </row>
    <row r="13315" spans="1:10" hidden="1">
      <c r="A13315" t="s">
        <v>7909</v>
      </c>
      <c r="B13315" t="s">
        <v>7910</v>
      </c>
      <c r="C13315" t="s">
        <v>6839</v>
      </c>
      <c r="D13315" t="s">
        <v>2713</v>
      </c>
      <c r="E13315" t="s">
        <v>561</v>
      </c>
      <c r="F13315" t="s">
        <v>1068</v>
      </c>
      <c r="G13315" t="s">
        <v>1075</v>
      </c>
      <c r="H13315">
        <v>4.2502141053647998E-3</v>
      </c>
      <c r="I13315" t="s">
        <v>1077</v>
      </c>
      <c r="J13315">
        <v>8.68</v>
      </c>
    </row>
    <row r="13316" spans="1:10" hidden="1">
      <c r="A13316" t="s">
        <v>7909</v>
      </c>
      <c r="B13316" t="s">
        <v>7910</v>
      </c>
      <c r="C13316" t="s">
        <v>6839</v>
      </c>
      <c r="D13316" t="s">
        <v>2713</v>
      </c>
      <c r="E13316" t="s">
        <v>561</v>
      </c>
      <c r="F13316" t="s">
        <v>1068</v>
      </c>
      <c r="G13316" t="s">
        <v>1078</v>
      </c>
      <c r="H13316" s="171" t="s">
        <v>7914</v>
      </c>
      <c r="I13316" t="s">
        <v>1079</v>
      </c>
      <c r="J13316">
        <v>8.68</v>
      </c>
    </row>
    <row r="13317" spans="1:10" hidden="1">
      <c r="A13317" t="s">
        <v>7909</v>
      </c>
      <c r="B13317" t="s">
        <v>7910</v>
      </c>
      <c r="C13317" t="s">
        <v>6839</v>
      </c>
      <c r="D13317" t="s">
        <v>2713</v>
      </c>
      <c r="E13317" t="s">
        <v>561</v>
      </c>
      <c r="F13317" t="s">
        <v>1068</v>
      </c>
      <c r="G13317" t="s">
        <v>1080</v>
      </c>
      <c r="H13317" s="171" t="s">
        <v>7915</v>
      </c>
      <c r="I13317" t="s">
        <v>1082</v>
      </c>
      <c r="J13317">
        <v>8.68</v>
      </c>
    </row>
    <row r="13318" spans="1:10" hidden="1">
      <c r="A13318" t="s">
        <v>7909</v>
      </c>
      <c r="B13318" t="s">
        <v>7910</v>
      </c>
      <c r="C13318" t="s">
        <v>6839</v>
      </c>
      <c r="D13318" t="s">
        <v>2713</v>
      </c>
      <c r="E13318" t="s">
        <v>561</v>
      </c>
      <c r="F13318" t="s">
        <v>1068</v>
      </c>
      <c r="G13318" t="s">
        <v>1083</v>
      </c>
      <c r="H13318" s="171" t="s">
        <v>7916</v>
      </c>
      <c r="I13318" t="s">
        <v>1084</v>
      </c>
      <c r="J13318">
        <v>8.68</v>
      </c>
    </row>
    <row r="13319" spans="1:10" hidden="1">
      <c r="A13319" t="s">
        <v>7909</v>
      </c>
      <c r="B13319" t="s">
        <v>7910</v>
      </c>
      <c r="C13319" t="s">
        <v>6839</v>
      </c>
      <c r="D13319" t="s">
        <v>2713</v>
      </c>
      <c r="E13319" t="s">
        <v>561</v>
      </c>
      <c r="F13319" t="s">
        <v>1068</v>
      </c>
      <c r="G13319" t="s">
        <v>1085</v>
      </c>
      <c r="H13319">
        <v>1.5486965410932299E-4</v>
      </c>
      <c r="I13319" t="s">
        <v>1086</v>
      </c>
      <c r="J13319">
        <v>8.68</v>
      </c>
    </row>
    <row r="13320" spans="1:10" hidden="1">
      <c r="A13320" t="s">
        <v>7909</v>
      </c>
      <c r="B13320" t="s">
        <v>7910</v>
      </c>
      <c r="C13320" t="s">
        <v>6839</v>
      </c>
      <c r="D13320" t="s">
        <v>2713</v>
      </c>
      <c r="E13320" t="s">
        <v>561</v>
      </c>
      <c r="F13320" t="s">
        <v>1068</v>
      </c>
      <c r="G13320" t="s">
        <v>1087</v>
      </c>
      <c r="H13320" s="171" t="s">
        <v>7917</v>
      </c>
      <c r="I13320" t="s">
        <v>1088</v>
      </c>
      <c r="J13320">
        <v>8.68</v>
      </c>
    </row>
    <row r="13321" spans="1:10" hidden="1">
      <c r="A13321" t="s">
        <v>7909</v>
      </c>
      <c r="B13321" t="s">
        <v>7910</v>
      </c>
      <c r="C13321" t="s">
        <v>6839</v>
      </c>
      <c r="D13321" t="s">
        <v>2713</v>
      </c>
      <c r="E13321" t="s">
        <v>561</v>
      </c>
      <c r="F13321" t="s">
        <v>1068</v>
      </c>
      <c r="G13321" t="s">
        <v>1089</v>
      </c>
      <c r="H13321" s="171" t="s">
        <v>7918</v>
      </c>
      <c r="I13321" t="s">
        <v>1090</v>
      </c>
      <c r="J13321">
        <v>8.68</v>
      </c>
    </row>
    <row r="13322" spans="1:10" hidden="1">
      <c r="A13322" t="s">
        <v>7919</v>
      </c>
      <c r="B13322" t="s">
        <v>7920</v>
      </c>
      <c r="C13322" t="s">
        <v>6839</v>
      </c>
      <c r="D13322" t="s">
        <v>2713</v>
      </c>
      <c r="E13322" t="s">
        <v>555</v>
      </c>
      <c r="F13322" t="s">
        <v>1068</v>
      </c>
      <c r="G13322" t="s">
        <v>1069</v>
      </c>
      <c r="H13322" s="171" t="s">
        <v>7921</v>
      </c>
      <c r="I13322" t="s">
        <v>1070</v>
      </c>
      <c r="J13322">
        <v>8.75</v>
      </c>
    </row>
    <row r="13323" spans="1:10" hidden="1">
      <c r="A13323" t="s">
        <v>7919</v>
      </c>
      <c r="B13323" t="s">
        <v>7920</v>
      </c>
      <c r="C13323" t="s">
        <v>6839</v>
      </c>
      <c r="D13323" t="s">
        <v>2713</v>
      </c>
      <c r="E13323" t="s">
        <v>555</v>
      </c>
      <c r="F13323" t="s">
        <v>1068</v>
      </c>
      <c r="G13323" t="s">
        <v>1071</v>
      </c>
      <c r="H13323" s="171" t="s">
        <v>7922</v>
      </c>
      <c r="I13323" t="s">
        <v>1072</v>
      </c>
      <c r="J13323">
        <v>8.75</v>
      </c>
    </row>
    <row r="13324" spans="1:10" hidden="1">
      <c r="A13324" t="s">
        <v>7919</v>
      </c>
      <c r="B13324" t="s">
        <v>7920</v>
      </c>
      <c r="C13324" t="s">
        <v>6839</v>
      </c>
      <c r="D13324" t="s">
        <v>2713</v>
      </c>
      <c r="E13324" t="s">
        <v>555</v>
      </c>
      <c r="F13324" t="s">
        <v>1068</v>
      </c>
      <c r="G13324" t="s">
        <v>1073</v>
      </c>
      <c r="H13324" s="171" t="s">
        <v>7923</v>
      </c>
      <c r="I13324" t="s">
        <v>1074</v>
      </c>
      <c r="J13324">
        <v>8.75</v>
      </c>
    </row>
    <row r="13325" spans="1:10" hidden="1">
      <c r="A13325" t="s">
        <v>7919</v>
      </c>
      <c r="B13325" t="s">
        <v>7920</v>
      </c>
      <c r="C13325" t="s">
        <v>6839</v>
      </c>
      <c r="D13325" t="s">
        <v>2713</v>
      </c>
      <c r="E13325" t="s">
        <v>555</v>
      </c>
      <c r="F13325" t="s">
        <v>1068</v>
      </c>
      <c r="G13325" t="s">
        <v>1075</v>
      </c>
      <c r="H13325">
        <v>4.2506964880992398E-3</v>
      </c>
      <c r="I13325" t="s">
        <v>1077</v>
      </c>
      <c r="J13325">
        <v>8.75</v>
      </c>
    </row>
    <row r="13326" spans="1:10" hidden="1">
      <c r="A13326" t="s">
        <v>7919</v>
      </c>
      <c r="B13326" t="s">
        <v>7920</v>
      </c>
      <c r="C13326" t="s">
        <v>6839</v>
      </c>
      <c r="D13326" t="s">
        <v>2713</v>
      </c>
      <c r="E13326" t="s">
        <v>555</v>
      </c>
      <c r="F13326" t="s">
        <v>1068</v>
      </c>
      <c r="G13326" t="s">
        <v>1078</v>
      </c>
      <c r="H13326" s="171" t="s">
        <v>7924</v>
      </c>
      <c r="I13326" t="s">
        <v>1079</v>
      </c>
      <c r="J13326">
        <v>8.75</v>
      </c>
    </row>
    <row r="13327" spans="1:10" hidden="1">
      <c r="A13327" t="s">
        <v>7919</v>
      </c>
      <c r="B13327" t="s">
        <v>7920</v>
      </c>
      <c r="C13327" t="s">
        <v>6839</v>
      </c>
      <c r="D13327" t="s">
        <v>2713</v>
      </c>
      <c r="E13327" t="s">
        <v>555</v>
      </c>
      <c r="F13327" t="s">
        <v>1068</v>
      </c>
      <c r="G13327" t="s">
        <v>1080</v>
      </c>
      <c r="H13327" s="171" t="s">
        <v>7925</v>
      </c>
      <c r="I13327" t="s">
        <v>1082</v>
      </c>
      <c r="J13327">
        <v>8.75</v>
      </c>
    </row>
    <row r="13328" spans="1:10" hidden="1">
      <c r="A13328" t="s">
        <v>7919</v>
      </c>
      <c r="B13328" t="s">
        <v>7920</v>
      </c>
      <c r="C13328" t="s">
        <v>6839</v>
      </c>
      <c r="D13328" t="s">
        <v>2713</v>
      </c>
      <c r="E13328" t="s">
        <v>555</v>
      </c>
      <c r="F13328" t="s">
        <v>1068</v>
      </c>
      <c r="G13328" t="s">
        <v>1083</v>
      </c>
      <c r="H13328" s="171" t="s">
        <v>7926</v>
      </c>
      <c r="I13328" t="s">
        <v>1084</v>
      </c>
      <c r="J13328">
        <v>8.75</v>
      </c>
    </row>
    <row r="13329" spans="1:10" hidden="1">
      <c r="A13329" t="s">
        <v>7919</v>
      </c>
      <c r="B13329" t="s">
        <v>7920</v>
      </c>
      <c r="C13329" t="s">
        <v>6839</v>
      </c>
      <c r="D13329" t="s">
        <v>2713</v>
      </c>
      <c r="E13329" t="s">
        <v>555</v>
      </c>
      <c r="F13329" t="s">
        <v>1068</v>
      </c>
      <c r="G13329" t="s">
        <v>1085</v>
      </c>
      <c r="H13329">
        <v>1.54895865315389E-4</v>
      </c>
      <c r="I13329" t="s">
        <v>1086</v>
      </c>
      <c r="J13329">
        <v>8.75</v>
      </c>
    </row>
    <row r="13330" spans="1:10" hidden="1">
      <c r="A13330" t="s">
        <v>7919</v>
      </c>
      <c r="B13330" t="s">
        <v>7920</v>
      </c>
      <c r="C13330" t="s">
        <v>6839</v>
      </c>
      <c r="D13330" t="s">
        <v>2713</v>
      </c>
      <c r="E13330" t="s">
        <v>555</v>
      </c>
      <c r="F13330" t="s">
        <v>1068</v>
      </c>
      <c r="G13330" t="s">
        <v>1087</v>
      </c>
      <c r="H13330" s="171" t="s">
        <v>6854</v>
      </c>
      <c r="I13330" t="s">
        <v>1088</v>
      </c>
      <c r="J13330">
        <v>8.75</v>
      </c>
    </row>
    <row r="13331" spans="1:10" hidden="1">
      <c r="A13331" t="s">
        <v>7919</v>
      </c>
      <c r="B13331" t="s">
        <v>7920</v>
      </c>
      <c r="C13331" t="s">
        <v>6839</v>
      </c>
      <c r="D13331" t="s">
        <v>2713</v>
      </c>
      <c r="E13331" t="s">
        <v>555</v>
      </c>
      <c r="F13331" t="s">
        <v>1068</v>
      </c>
      <c r="G13331" t="s">
        <v>1089</v>
      </c>
      <c r="H13331" s="171" t="s">
        <v>7927</v>
      </c>
      <c r="I13331" t="s">
        <v>1090</v>
      </c>
      <c r="J13331">
        <v>8.75</v>
      </c>
    </row>
    <row r="13332" spans="1:10" hidden="1">
      <c r="A13332" t="s">
        <v>7928</v>
      </c>
      <c r="B13332" t="s">
        <v>7929</v>
      </c>
      <c r="C13332" t="s">
        <v>6839</v>
      </c>
      <c r="D13332" t="s">
        <v>2713</v>
      </c>
      <c r="E13332" t="s">
        <v>558</v>
      </c>
      <c r="F13332" t="s">
        <v>1068</v>
      </c>
      <c r="G13332" t="s">
        <v>1069</v>
      </c>
      <c r="H13332" s="171" t="s">
        <v>7930</v>
      </c>
      <c r="I13332" t="s">
        <v>1070</v>
      </c>
      <c r="J13332">
        <v>8.5299999999999994</v>
      </c>
    </row>
    <row r="13333" spans="1:10" hidden="1">
      <c r="A13333" t="s">
        <v>7928</v>
      </c>
      <c r="B13333" t="s">
        <v>7929</v>
      </c>
      <c r="C13333" t="s">
        <v>6839</v>
      </c>
      <c r="D13333" t="s">
        <v>2713</v>
      </c>
      <c r="E13333" t="s">
        <v>558</v>
      </c>
      <c r="F13333" t="s">
        <v>1068</v>
      </c>
      <c r="G13333" t="s">
        <v>1071</v>
      </c>
      <c r="H13333" s="171" t="s">
        <v>7931</v>
      </c>
      <c r="I13333" t="s">
        <v>1072</v>
      </c>
      <c r="J13333">
        <v>8.5299999999999994</v>
      </c>
    </row>
    <row r="13334" spans="1:10" hidden="1">
      <c r="A13334" t="s">
        <v>7928</v>
      </c>
      <c r="B13334" t="s">
        <v>7929</v>
      </c>
      <c r="C13334" t="s">
        <v>6839</v>
      </c>
      <c r="D13334" t="s">
        <v>2713</v>
      </c>
      <c r="E13334" t="s">
        <v>558</v>
      </c>
      <c r="F13334" t="s">
        <v>1068</v>
      </c>
      <c r="G13334" t="s">
        <v>1073</v>
      </c>
      <c r="H13334" s="171" t="s">
        <v>7932</v>
      </c>
      <c r="I13334" t="s">
        <v>1074</v>
      </c>
      <c r="J13334">
        <v>8.5299999999999994</v>
      </c>
    </row>
    <row r="13335" spans="1:10" hidden="1">
      <c r="A13335" t="s">
        <v>7928</v>
      </c>
      <c r="B13335" t="s">
        <v>7929</v>
      </c>
      <c r="C13335" t="s">
        <v>6839</v>
      </c>
      <c r="D13335" t="s">
        <v>2713</v>
      </c>
      <c r="E13335" t="s">
        <v>558</v>
      </c>
      <c r="F13335" t="s">
        <v>1068</v>
      </c>
      <c r="G13335" t="s">
        <v>1075</v>
      </c>
      <c r="H13335">
        <v>4.2501737328461799E-3</v>
      </c>
      <c r="I13335" t="s">
        <v>1077</v>
      </c>
      <c r="J13335">
        <v>8.5299999999999994</v>
      </c>
    </row>
    <row r="13336" spans="1:10" hidden="1">
      <c r="A13336" t="s">
        <v>7928</v>
      </c>
      <c r="B13336" t="s">
        <v>7929</v>
      </c>
      <c r="C13336" t="s">
        <v>6839</v>
      </c>
      <c r="D13336" t="s">
        <v>2713</v>
      </c>
      <c r="E13336" t="s">
        <v>558</v>
      </c>
      <c r="F13336" t="s">
        <v>1068</v>
      </c>
      <c r="G13336" t="s">
        <v>1078</v>
      </c>
      <c r="H13336">
        <v>4.8912397427465303E-2</v>
      </c>
      <c r="I13336" t="s">
        <v>1079</v>
      </c>
      <c r="J13336">
        <v>8.5299999999999994</v>
      </c>
    </row>
    <row r="13337" spans="1:10" hidden="1">
      <c r="A13337" t="s">
        <v>7928</v>
      </c>
      <c r="B13337" t="s">
        <v>7929</v>
      </c>
      <c r="C13337" t="s">
        <v>6839</v>
      </c>
      <c r="D13337" t="s">
        <v>2713</v>
      </c>
      <c r="E13337" t="s">
        <v>558</v>
      </c>
      <c r="F13337" t="s">
        <v>1068</v>
      </c>
      <c r="G13337" t="s">
        <v>1080</v>
      </c>
      <c r="H13337" s="171" t="s">
        <v>7933</v>
      </c>
      <c r="I13337" t="s">
        <v>1082</v>
      </c>
      <c r="J13337">
        <v>8.5299999999999994</v>
      </c>
    </row>
    <row r="13338" spans="1:10" hidden="1">
      <c r="A13338" t="s">
        <v>7928</v>
      </c>
      <c r="B13338" t="s">
        <v>7929</v>
      </c>
      <c r="C13338" t="s">
        <v>6839</v>
      </c>
      <c r="D13338" t="s">
        <v>2713</v>
      </c>
      <c r="E13338" t="s">
        <v>558</v>
      </c>
      <c r="F13338" t="s">
        <v>1068</v>
      </c>
      <c r="G13338" t="s">
        <v>1083</v>
      </c>
      <c r="H13338" s="171" t="s">
        <v>7934</v>
      </c>
      <c r="I13338" t="s">
        <v>1084</v>
      </c>
      <c r="J13338">
        <v>8.5299999999999994</v>
      </c>
    </row>
    <row r="13339" spans="1:10" hidden="1">
      <c r="A13339" t="s">
        <v>7928</v>
      </c>
      <c r="B13339" t="s">
        <v>7929</v>
      </c>
      <c r="C13339" t="s">
        <v>6839</v>
      </c>
      <c r="D13339" t="s">
        <v>2713</v>
      </c>
      <c r="E13339" t="s">
        <v>558</v>
      </c>
      <c r="F13339" t="s">
        <v>1068</v>
      </c>
      <c r="G13339" t="s">
        <v>1085</v>
      </c>
      <c r="H13339">
        <v>1.5486746004907999E-4</v>
      </c>
      <c r="I13339" t="s">
        <v>1086</v>
      </c>
      <c r="J13339">
        <v>8.5299999999999994</v>
      </c>
    </row>
    <row r="13340" spans="1:10" hidden="1">
      <c r="A13340" t="s">
        <v>7928</v>
      </c>
      <c r="B13340" t="s">
        <v>7929</v>
      </c>
      <c r="C13340" t="s">
        <v>6839</v>
      </c>
      <c r="D13340" t="s">
        <v>2713</v>
      </c>
      <c r="E13340" t="s">
        <v>558</v>
      </c>
      <c r="F13340" t="s">
        <v>1068</v>
      </c>
      <c r="G13340" t="s">
        <v>1087</v>
      </c>
      <c r="H13340" s="171" t="s">
        <v>7935</v>
      </c>
      <c r="I13340" t="s">
        <v>1088</v>
      </c>
      <c r="J13340">
        <v>8.5299999999999994</v>
      </c>
    </row>
    <row r="13341" spans="1:10" hidden="1">
      <c r="A13341" t="s">
        <v>7928</v>
      </c>
      <c r="B13341" t="s">
        <v>7929</v>
      </c>
      <c r="C13341" t="s">
        <v>6839</v>
      </c>
      <c r="D13341" t="s">
        <v>2713</v>
      </c>
      <c r="E13341" t="s">
        <v>558</v>
      </c>
      <c r="F13341" t="s">
        <v>1068</v>
      </c>
      <c r="G13341" t="s">
        <v>1089</v>
      </c>
      <c r="H13341" s="171" t="s">
        <v>7936</v>
      </c>
      <c r="I13341" t="s">
        <v>1090</v>
      </c>
      <c r="J13341">
        <v>8.5299999999999994</v>
      </c>
    </row>
    <row r="13342" spans="1:10" hidden="1">
      <c r="A13342" t="s">
        <v>7937</v>
      </c>
      <c r="B13342" t="s">
        <v>7938</v>
      </c>
      <c r="C13342" t="s">
        <v>6839</v>
      </c>
      <c r="D13342" t="s">
        <v>2713</v>
      </c>
      <c r="E13342" t="s">
        <v>553</v>
      </c>
      <c r="F13342" t="s">
        <v>1068</v>
      </c>
      <c r="G13342" t="s">
        <v>1069</v>
      </c>
      <c r="H13342" s="171" t="s">
        <v>7939</v>
      </c>
      <c r="I13342" t="s">
        <v>1070</v>
      </c>
      <c r="J13342">
        <v>9.3800000000000008</v>
      </c>
    </row>
    <row r="13343" spans="1:10" hidden="1">
      <c r="A13343" t="s">
        <v>7937</v>
      </c>
      <c r="B13343" t="s">
        <v>7938</v>
      </c>
      <c r="C13343" t="s">
        <v>6839</v>
      </c>
      <c r="D13343" t="s">
        <v>2713</v>
      </c>
      <c r="E13343" t="s">
        <v>553</v>
      </c>
      <c r="F13343" t="s">
        <v>1068</v>
      </c>
      <c r="G13343" t="s">
        <v>1071</v>
      </c>
      <c r="H13343" s="171" t="s">
        <v>7940</v>
      </c>
      <c r="I13343" t="s">
        <v>1072</v>
      </c>
      <c r="J13343">
        <v>9.3800000000000008</v>
      </c>
    </row>
    <row r="13344" spans="1:10" hidden="1">
      <c r="A13344" t="s">
        <v>7937</v>
      </c>
      <c r="B13344" t="s">
        <v>7938</v>
      </c>
      <c r="C13344" t="s">
        <v>6839</v>
      </c>
      <c r="D13344" t="s">
        <v>2713</v>
      </c>
      <c r="E13344" t="s">
        <v>553</v>
      </c>
      <c r="F13344" t="s">
        <v>1068</v>
      </c>
      <c r="G13344" t="s">
        <v>1073</v>
      </c>
      <c r="H13344" s="171" t="s">
        <v>7941</v>
      </c>
      <c r="I13344" t="s">
        <v>1074</v>
      </c>
      <c r="J13344">
        <v>9.3800000000000008</v>
      </c>
    </row>
    <row r="13345" spans="1:10" hidden="1">
      <c r="A13345" t="s">
        <v>7937</v>
      </c>
      <c r="B13345" t="s">
        <v>7938</v>
      </c>
      <c r="C13345" t="s">
        <v>6839</v>
      </c>
      <c r="D13345" t="s">
        <v>2713</v>
      </c>
      <c r="E13345" t="s">
        <v>553</v>
      </c>
      <c r="F13345" t="s">
        <v>1068</v>
      </c>
      <c r="G13345" t="s">
        <v>1075</v>
      </c>
      <c r="H13345">
        <v>4.25015735379185E-3</v>
      </c>
      <c r="I13345" t="s">
        <v>1077</v>
      </c>
      <c r="J13345">
        <v>9.3800000000000008</v>
      </c>
    </row>
    <row r="13346" spans="1:10" hidden="1">
      <c r="A13346" t="s">
        <v>7937</v>
      </c>
      <c r="B13346" t="s">
        <v>7938</v>
      </c>
      <c r="C13346" t="s">
        <v>6839</v>
      </c>
      <c r="D13346" t="s">
        <v>2713</v>
      </c>
      <c r="E13346" t="s">
        <v>553</v>
      </c>
      <c r="F13346" t="s">
        <v>1068</v>
      </c>
      <c r="G13346" t="s">
        <v>1078</v>
      </c>
      <c r="H13346" s="171" t="s">
        <v>7942</v>
      </c>
      <c r="I13346" t="s">
        <v>1079</v>
      </c>
      <c r="J13346">
        <v>9.3800000000000008</v>
      </c>
    </row>
    <row r="13347" spans="1:10" hidden="1">
      <c r="A13347" t="s">
        <v>7937</v>
      </c>
      <c r="B13347" t="s">
        <v>7938</v>
      </c>
      <c r="C13347" t="s">
        <v>6839</v>
      </c>
      <c r="D13347" t="s">
        <v>2713</v>
      </c>
      <c r="E13347" t="s">
        <v>553</v>
      </c>
      <c r="F13347" t="s">
        <v>1068</v>
      </c>
      <c r="G13347" t="s">
        <v>1080</v>
      </c>
      <c r="H13347" s="171" t="s">
        <v>7943</v>
      </c>
      <c r="I13347" t="s">
        <v>1082</v>
      </c>
      <c r="J13347">
        <v>9.3800000000000008</v>
      </c>
    </row>
    <row r="13348" spans="1:10" hidden="1">
      <c r="A13348" t="s">
        <v>7937</v>
      </c>
      <c r="B13348" t="s">
        <v>7938</v>
      </c>
      <c r="C13348" t="s">
        <v>6839</v>
      </c>
      <c r="D13348" t="s">
        <v>2713</v>
      </c>
      <c r="E13348" t="s">
        <v>553</v>
      </c>
      <c r="F13348" t="s">
        <v>1068</v>
      </c>
      <c r="G13348" t="s">
        <v>1083</v>
      </c>
      <c r="H13348" s="171" t="s">
        <v>7944</v>
      </c>
      <c r="I13348" t="s">
        <v>1084</v>
      </c>
      <c r="J13348">
        <v>9.3800000000000008</v>
      </c>
    </row>
    <row r="13349" spans="1:10" hidden="1">
      <c r="A13349" t="s">
        <v>7937</v>
      </c>
      <c r="B13349" t="s">
        <v>7938</v>
      </c>
      <c r="C13349" t="s">
        <v>6839</v>
      </c>
      <c r="D13349" t="s">
        <v>2713</v>
      </c>
      <c r="E13349" t="s">
        <v>553</v>
      </c>
      <c r="F13349" t="s">
        <v>1068</v>
      </c>
      <c r="G13349" t="s">
        <v>1085</v>
      </c>
      <c r="H13349">
        <v>1.5486656585154401E-4</v>
      </c>
      <c r="I13349" t="s">
        <v>1086</v>
      </c>
      <c r="J13349">
        <v>9.3800000000000008</v>
      </c>
    </row>
    <row r="13350" spans="1:10" hidden="1">
      <c r="A13350" t="s">
        <v>7937</v>
      </c>
      <c r="B13350" t="s">
        <v>7938</v>
      </c>
      <c r="C13350" t="s">
        <v>6839</v>
      </c>
      <c r="D13350" t="s">
        <v>2713</v>
      </c>
      <c r="E13350" t="s">
        <v>553</v>
      </c>
      <c r="F13350" t="s">
        <v>1068</v>
      </c>
      <c r="G13350" t="s">
        <v>1087</v>
      </c>
      <c r="H13350" s="171" t="s">
        <v>7945</v>
      </c>
      <c r="I13350" t="s">
        <v>1088</v>
      </c>
      <c r="J13350">
        <v>9.3800000000000008</v>
      </c>
    </row>
    <row r="13351" spans="1:10" hidden="1">
      <c r="A13351" t="s">
        <v>7937</v>
      </c>
      <c r="B13351" t="s">
        <v>7938</v>
      </c>
      <c r="C13351" t="s">
        <v>6839</v>
      </c>
      <c r="D13351" t="s">
        <v>2713</v>
      </c>
      <c r="E13351" t="s">
        <v>553</v>
      </c>
      <c r="F13351" t="s">
        <v>1068</v>
      </c>
      <c r="G13351" t="s">
        <v>1089</v>
      </c>
      <c r="H13351" s="171" t="s">
        <v>7946</v>
      </c>
      <c r="I13351" t="s">
        <v>1090</v>
      </c>
      <c r="J13351">
        <v>9.3800000000000008</v>
      </c>
    </row>
    <row r="13352" spans="1:10" hidden="1">
      <c r="A13352" t="s">
        <v>7947</v>
      </c>
      <c r="B13352" t="s">
        <v>7948</v>
      </c>
      <c r="C13352" t="s">
        <v>6839</v>
      </c>
      <c r="D13352" t="s">
        <v>2713</v>
      </c>
      <c r="E13352" t="s">
        <v>556</v>
      </c>
      <c r="F13352" t="s">
        <v>1068</v>
      </c>
      <c r="G13352" t="s">
        <v>1069</v>
      </c>
      <c r="H13352" s="171" t="s">
        <v>7949</v>
      </c>
      <c r="I13352" t="s">
        <v>1070</v>
      </c>
      <c r="J13352">
        <v>10.18</v>
      </c>
    </row>
    <row r="13353" spans="1:10" hidden="1">
      <c r="A13353" t="s">
        <v>7947</v>
      </c>
      <c r="B13353" t="s">
        <v>7948</v>
      </c>
      <c r="C13353" t="s">
        <v>6839</v>
      </c>
      <c r="D13353" t="s">
        <v>2713</v>
      </c>
      <c r="E13353" t="s">
        <v>556</v>
      </c>
      <c r="F13353" t="s">
        <v>1068</v>
      </c>
      <c r="G13353" t="s">
        <v>1071</v>
      </c>
      <c r="H13353" s="171" t="s">
        <v>7950</v>
      </c>
      <c r="I13353" t="s">
        <v>1072</v>
      </c>
      <c r="J13353">
        <v>10.18</v>
      </c>
    </row>
    <row r="13354" spans="1:10" hidden="1">
      <c r="A13354" t="s">
        <v>7947</v>
      </c>
      <c r="B13354" t="s">
        <v>7948</v>
      </c>
      <c r="C13354" t="s">
        <v>6839</v>
      </c>
      <c r="D13354" t="s">
        <v>2713</v>
      </c>
      <c r="E13354" t="s">
        <v>556</v>
      </c>
      <c r="F13354" t="s">
        <v>1068</v>
      </c>
      <c r="G13354" t="s">
        <v>1073</v>
      </c>
      <c r="H13354" s="171" t="s">
        <v>7951</v>
      </c>
      <c r="I13354" t="s">
        <v>1074</v>
      </c>
      <c r="J13354">
        <v>10.18</v>
      </c>
    </row>
    <row r="13355" spans="1:10" hidden="1">
      <c r="A13355" t="s">
        <v>7947</v>
      </c>
      <c r="B13355" t="s">
        <v>7948</v>
      </c>
      <c r="C13355" t="s">
        <v>6839</v>
      </c>
      <c r="D13355" t="s">
        <v>2713</v>
      </c>
      <c r="E13355" t="s">
        <v>556</v>
      </c>
      <c r="F13355" t="s">
        <v>1068</v>
      </c>
      <c r="G13355" t="s">
        <v>1075</v>
      </c>
      <c r="H13355">
        <v>4.2506458136546202E-3</v>
      </c>
      <c r="I13355" t="s">
        <v>1077</v>
      </c>
      <c r="J13355">
        <v>10.18</v>
      </c>
    </row>
    <row r="13356" spans="1:10" hidden="1">
      <c r="A13356" t="s">
        <v>7947</v>
      </c>
      <c r="B13356" t="s">
        <v>7948</v>
      </c>
      <c r="C13356" t="s">
        <v>6839</v>
      </c>
      <c r="D13356" t="s">
        <v>2713</v>
      </c>
      <c r="E13356" t="s">
        <v>556</v>
      </c>
      <c r="F13356" t="s">
        <v>1068</v>
      </c>
      <c r="G13356" t="s">
        <v>1078</v>
      </c>
      <c r="H13356">
        <v>4.89328082549913E-2</v>
      </c>
      <c r="I13356" t="s">
        <v>1079</v>
      </c>
      <c r="J13356">
        <v>10.18</v>
      </c>
    </row>
    <row r="13357" spans="1:10" hidden="1">
      <c r="A13357" t="s">
        <v>7947</v>
      </c>
      <c r="B13357" t="s">
        <v>7948</v>
      </c>
      <c r="C13357" t="s">
        <v>6839</v>
      </c>
      <c r="D13357" t="s">
        <v>2713</v>
      </c>
      <c r="E13357" t="s">
        <v>556</v>
      </c>
      <c r="F13357" t="s">
        <v>1068</v>
      </c>
      <c r="G13357" t="s">
        <v>1080</v>
      </c>
      <c r="H13357" s="171" t="s">
        <v>6879</v>
      </c>
      <c r="I13357" t="s">
        <v>1082</v>
      </c>
      <c r="J13357">
        <v>10.18</v>
      </c>
    </row>
    <row r="13358" spans="1:10" hidden="1">
      <c r="A13358" t="s">
        <v>7947</v>
      </c>
      <c r="B13358" t="s">
        <v>7948</v>
      </c>
      <c r="C13358" t="s">
        <v>6839</v>
      </c>
      <c r="D13358" t="s">
        <v>2713</v>
      </c>
      <c r="E13358" t="s">
        <v>556</v>
      </c>
      <c r="F13358" t="s">
        <v>1068</v>
      </c>
      <c r="G13358" t="s">
        <v>1083</v>
      </c>
      <c r="H13358" s="171" t="s">
        <v>7952</v>
      </c>
      <c r="I13358" t="s">
        <v>1084</v>
      </c>
      <c r="J13358">
        <v>10.18</v>
      </c>
    </row>
    <row r="13359" spans="1:10" hidden="1">
      <c r="A13359" t="s">
        <v>7947</v>
      </c>
      <c r="B13359" t="s">
        <v>7948</v>
      </c>
      <c r="C13359" t="s">
        <v>6839</v>
      </c>
      <c r="D13359" t="s">
        <v>2713</v>
      </c>
      <c r="E13359" t="s">
        <v>556</v>
      </c>
      <c r="F13359" t="s">
        <v>1068</v>
      </c>
      <c r="G13359" t="s">
        <v>1085</v>
      </c>
      <c r="H13359">
        <v>1.54893111392938E-4</v>
      </c>
      <c r="I13359" t="s">
        <v>1086</v>
      </c>
      <c r="J13359">
        <v>10.18</v>
      </c>
    </row>
    <row r="13360" spans="1:10" hidden="1">
      <c r="A13360" t="s">
        <v>7947</v>
      </c>
      <c r="B13360" t="s">
        <v>7948</v>
      </c>
      <c r="C13360" t="s">
        <v>6839</v>
      </c>
      <c r="D13360" t="s">
        <v>2713</v>
      </c>
      <c r="E13360" t="s">
        <v>556</v>
      </c>
      <c r="F13360" t="s">
        <v>1068</v>
      </c>
      <c r="G13360" t="s">
        <v>1087</v>
      </c>
      <c r="H13360" s="171" t="s">
        <v>6881</v>
      </c>
      <c r="I13360" t="s">
        <v>1088</v>
      </c>
      <c r="J13360">
        <v>10.18</v>
      </c>
    </row>
    <row r="13361" spans="1:10" hidden="1">
      <c r="A13361" t="s">
        <v>7947</v>
      </c>
      <c r="B13361" t="s">
        <v>7948</v>
      </c>
      <c r="C13361" t="s">
        <v>6839</v>
      </c>
      <c r="D13361" t="s">
        <v>2713</v>
      </c>
      <c r="E13361" t="s">
        <v>556</v>
      </c>
      <c r="F13361" t="s">
        <v>1068</v>
      </c>
      <c r="G13361" t="s">
        <v>1089</v>
      </c>
      <c r="H13361" s="171" t="s">
        <v>7953</v>
      </c>
      <c r="I13361" t="s">
        <v>1090</v>
      </c>
      <c r="J13361">
        <v>10.18</v>
      </c>
    </row>
    <row r="13362" spans="1:10" hidden="1">
      <c r="A13362" t="s">
        <v>7954</v>
      </c>
      <c r="B13362" t="s">
        <v>7955</v>
      </c>
      <c r="C13362" t="s">
        <v>6839</v>
      </c>
      <c r="D13362" t="s">
        <v>2713</v>
      </c>
      <c r="E13362" t="s">
        <v>557</v>
      </c>
      <c r="F13362" t="s">
        <v>1068</v>
      </c>
      <c r="G13362" t="s">
        <v>1069</v>
      </c>
      <c r="H13362" s="171" t="s">
        <v>7956</v>
      </c>
      <c r="I13362" t="s">
        <v>1070</v>
      </c>
      <c r="J13362">
        <v>9.39</v>
      </c>
    </row>
    <row r="13363" spans="1:10" hidden="1">
      <c r="A13363" t="s">
        <v>7954</v>
      </c>
      <c r="B13363" t="s">
        <v>7955</v>
      </c>
      <c r="C13363" t="s">
        <v>6839</v>
      </c>
      <c r="D13363" t="s">
        <v>2713</v>
      </c>
      <c r="E13363" t="s">
        <v>557</v>
      </c>
      <c r="F13363" t="s">
        <v>1068</v>
      </c>
      <c r="G13363" t="s">
        <v>1071</v>
      </c>
      <c r="H13363" s="171" t="s">
        <v>7957</v>
      </c>
      <c r="I13363" t="s">
        <v>1072</v>
      </c>
      <c r="J13363">
        <v>9.39</v>
      </c>
    </row>
    <row r="13364" spans="1:10" hidden="1">
      <c r="A13364" t="s">
        <v>7954</v>
      </c>
      <c r="B13364" t="s">
        <v>7955</v>
      </c>
      <c r="C13364" t="s">
        <v>6839</v>
      </c>
      <c r="D13364" t="s">
        <v>2713</v>
      </c>
      <c r="E13364" t="s">
        <v>557</v>
      </c>
      <c r="F13364" t="s">
        <v>1068</v>
      </c>
      <c r="G13364" t="s">
        <v>1073</v>
      </c>
      <c r="H13364" s="171" t="s">
        <v>7958</v>
      </c>
      <c r="I13364" t="s">
        <v>1074</v>
      </c>
      <c r="J13364">
        <v>9.39</v>
      </c>
    </row>
    <row r="13365" spans="1:10" hidden="1">
      <c r="A13365" t="s">
        <v>7954</v>
      </c>
      <c r="B13365" t="s">
        <v>7955</v>
      </c>
      <c r="C13365" t="s">
        <v>6839</v>
      </c>
      <c r="D13365" t="s">
        <v>2713</v>
      </c>
      <c r="E13365" t="s">
        <v>557</v>
      </c>
      <c r="F13365" t="s">
        <v>1068</v>
      </c>
      <c r="G13365" t="s">
        <v>1075</v>
      </c>
      <c r="H13365">
        <v>4.2503404889013101E-3</v>
      </c>
      <c r="I13365" t="s">
        <v>1077</v>
      </c>
      <c r="J13365">
        <v>9.39</v>
      </c>
    </row>
    <row r="13366" spans="1:10" hidden="1">
      <c r="A13366" t="s">
        <v>7954</v>
      </c>
      <c r="B13366" t="s">
        <v>7955</v>
      </c>
      <c r="C13366" t="s">
        <v>6839</v>
      </c>
      <c r="D13366" t="s">
        <v>2713</v>
      </c>
      <c r="E13366" t="s">
        <v>557</v>
      </c>
      <c r="F13366" t="s">
        <v>1068</v>
      </c>
      <c r="G13366" t="s">
        <v>1078</v>
      </c>
      <c r="H13366">
        <v>4.8919608602532499E-2</v>
      </c>
      <c r="I13366" t="s">
        <v>1079</v>
      </c>
      <c r="J13366">
        <v>9.39</v>
      </c>
    </row>
    <row r="13367" spans="1:10" hidden="1">
      <c r="A13367" t="s">
        <v>7954</v>
      </c>
      <c r="B13367" t="s">
        <v>7955</v>
      </c>
      <c r="C13367" t="s">
        <v>6839</v>
      </c>
      <c r="D13367" t="s">
        <v>2713</v>
      </c>
      <c r="E13367" t="s">
        <v>557</v>
      </c>
      <c r="F13367" t="s">
        <v>1068</v>
      </c>
      <c r="G13367" t="s">
        <v>1080</v>
      </c>
      <c r="H13367" s="171" t="s">
        <v>7959</v>
      </c>
      <c r="I13367" t="s">
        <v>1082</v>
      </c>
      <c r="J13367">
        <v>9.39</v>
      </c>
    </row>
    <row r="13368" spans="1:10" hidden="1">
      <c r="A13368" t="s">
        <v>7954</v>
      </c>
      <c r="B13368" t="s">
        <v>7955</v>
      </c>
      <c r="C13368" t="s">
        <v>6839</v>
      </c>
      <c r="D13368" t="s">
        <v>2713</v>
      </c>
      <c r="E13368" t="s">
        <v>557</v>
      </c>
      <c r="F13368" t="s">
        <v>1068</v>
      </c>
      <c r="G13368" t="s">
        <v>1083</v>
      </c>
      <c r="H13368" s="171" t="s">
        <v>7960</v>
      </c>
      <c r="I13368" t="s">
        <v>1084</v>
      </c>
      <c r="J13368">
        <v>9.39</v>
      </c>
    </row>
    <row r="13369" spans="1:10" hidden="1">
      <c r="A13369" t="s">
        <v>7954</v>
      </c>
      <c r="B13369" t="s">
        <v>7955</v>
      </c>
      <c r="C13369" t="s">
        <v>6839</v>
      </c>
      <c r="D13369" t="s">
        <v>2713</v>
      </c>
      <c r="E13369" t="s">
        <v>557</v>
      </c>
      <c r="F13369" t="s">
        <v>1068</v>
      </c>
      <c r="G13369" t="s">
        <v>1085</v>
      </c>
      <c r="H13369">
        <v>1.5487652247182199E-4</v>
      </c>
      <c r="I13369" t="s">
        <v>1086</v>
      </c>
      <c r="J13369">
        <v>9.39</v>
      </c>
    </row>
    <row r="13370" spans="1:10" hidden="1">
      <c r="A13370" t="s">
        <v>7954</v>
      </c>
      <c r="B13370" t="s">
        <v>7955</v>
      </c>
      <c r="C13370" t="s">
        <v>6839</v>
      </c>
      <c r="D13370" t="s">
        <v>2713</v>
      </c>
      <c r="E13370" t="s">
        <v>557</v>
      </c>
      <c r="F13370" t="s">
        <v>1068</v>
      </c>
      <c r="G13370" t="s">
        <v>1087</v>
      </c>
      <c r="H13370" s="171" t="s">
        <v>7961</v>
      </c>
      <c r="I13370" t="s">
        <v>1088</v>
      </c>
      <c r="J13370">
        <v>9.39</v>
      </c>
    </row>
    <row r="13371" spans="1:10" hidden="1">
      <c r="A13371" t="s">
        <v>7954</v>
      </c>
      <c r="B13371" t="s">
        <v>7955</v>
      </c>
      <c r="C13371" t="s">
        <v>6839</v>
      </c>
      <c r="D13371" t="s">
        <v>2713</v>
      </c>
      <c r="E13371" t="s">
        <v>557</v>
      </c>
      <c r="F13371" t="s">
        <v>1068</v>
      </c>
      <c r="G13371" t="s">
        <v>1089</v>
      </c>
      <c r="H13371" s="171" t="s">
        <v>7962</v>
      </c>
      <c r="I13371" t="s">
        <v>1090</v>
      </c>
      <c r="J13371">
        <v>9.39</v>
      </c>
    </row>
    <row r="13372" spans="1:10" hidden="1">
      <c r="A13372" t="s">
        <v>7963</v>
      </c>
      <c r="B13372" t="s">
        <v>7964</v>
      </c>
      <c r="C13372" t="s">
        <v>6839</v>
      </c>
      <c r="D13372" t="s">
        <v>2713</v>
      </c>
      <c r="E13372" t="s">
        <v>559</v>
      </c>
      <c r="F13372" t="s">
        <v>1068</v>
      </c>
      <c r="G13372" t="s">
        <v>1069</v>
      </c>
      <c r="H13372" s="171" t="s">
        <v>7965</v>
      </c>
      <c r="I13372" t="s">
        <v>1070</v>
      </c>
      <c r="J13372">
        <v>9.36</v>
      </c>
    </row>
    <row r="13373" spans="1:10" hidden="1">
      <c r="A13373" t="s">
        <v>7963</v>
      </c>
      <c r="B13373" t="s">
        <v>7964</v>
      </c>
      <c r="C13373" t="s">
        <v>6839</v>
      </c>
      <c r="D13373" t="s">
        <v>2713</v>
      </c>
      <c r="E13373" t="s">
        <v>559</v>
      </c>
      <c r="F13373" t="s">
        <v>1068</v>
      </c>
      <c r="G13373" t="s">
        <v>1071</v>
      </c>
      <c r="H13373" s="171" t="s">
        <v>7966</v>
      </c>
      <c r="I13373" t="s">
        <v>1072</v>
      </c>
      <c r="J13373">
        <v>9.36</v>
      </c>
    </row>
    <row r="13374" spans="1:10" hidden="1">
      <c r="A13374" t="s">
        <v>7963</v>
      </c>
      <c r="B13374" t="s">
        <v>7964</v>
      </c>
      <c r="C13374" t="s">
        <v>6839</v>
      </c>
      <c r="D13374" t="s">
        <v>2713</v>
      </c>
      <c r="E13374" t="s">
        <v>559</v>
      </c>
      <c r="F13374" t="s">
        <v>1068</v>
      </c>
      <c r="G13374" t="s">
        <v>1073</v>
      </c>
      <c r="H13374" s="171" t="s">
        <v>7967</v>
      </c>
      <c r="I13374" t="s">
        <v>1074</v>
      </c>
      <c r="J13374">
        <v>9.36</v>
      </c>
    </row>
    <row r="13375" spans="1:10" hidden="1">
      <c r="A13375" t="s">
        <v>7963</v>
      </c>
      <c r="B13375" t="s">
        <v>7964</v>
      </c>
      <c r="C13375" t="s">
        <v>6839</v>
      </c>
      <c r="D13375" t="s">
        <v>2713</v>
      </c>
      <c r="E13375" t="s">
        <v>559</v>
      </c>
      <c r="F13375" t="s">
        <v>1068</v>
      </c>
      <c r="G13375" t="s">
        <v>1075</v>
      </c>
      <c r="H13375">
        <v>4.2505006228265203E-3</v>
      </c>
      <c r="I13375" t="s">
        <v>1077</v>
      </c>
      <c r="J13375">
        <v>9.36</v>
      </c>
    </row>
    <row r="13376" spans="1:10" hidden="1">
      <c r="A13376" t="s">
        <v>7963</v>
      </c>
      <c r="B13376" t="s">
        <v>7964</v>
      </c>
      <c r="C13376" t="s">
        <v>6839</v>
      </c>
      <c r="D13376" t="s">
        <v>2713</v>
      </c>
      <c r="E13376" t="s">
        <v>559</v>
      </c>
      <c r="F13376" t="s">
        <v>1068</v>
      </c>
      <c r="G13376" t="s">
        <v>1078</v>
      </c>
      <c r="H13376">
        <v>4.8926529643549398E-2</v>
      </c>
      <c r="I13376" t="s">
        <v>1079</v>
      </c>
      <c r="J13376">
        <v>9.36</v>
      </c>
    </row>
    <row r="13377" spans="1:10" hidden="1">
      <c r="A13377" t="s">
        <v>7963</v>
      </c>
      <c r="B13377" t="s">
        <v>7964</v>
      </c>
      <c r="C13377" t="s">
        <v>6839</v>
      </c>
      <c r="D13377" t="s">
        <v>2713</v>
      </c>
      <c r="E13377" t="s">
        <v>559</v>
      </c>
      <c r="F13377" t="s">
        <v>1068</v>
      </c>
      <c r="G13377" t="s">
        <v>1080</v>
      </c>
      <c r="H13377" s="171" t="s">
        <v>7968</v>
      </c>
      <c r="I13377" t="s">
        <v>1082</v>
      </c>
      <c r="J13377">
        <v>9.36</v>
      </c>
    </row>
    <row r="13378" spans="1:10" hidden="1">
      <c r="A13378" t="s">
        <v>7963</v>
      </c>
      <c r="B13378" t="s">
        <v>7964</v>
      </c>
      <c r="C13378" t="s">
        <v>6839</v>
      </c>
      <c r="D13378" t="s">
        <v>2713</v>
      </c>
      <c r="E13378" t="s">
        <v>559</v>
      </c>
      <c r="F13378" t="s">
        <v>1068</v>
      </c>
      <c r="G13378" t="s">
        <v>1083</v>
      </c>
      <c r="H13378" s="171" t="s">
        <v>7969</v>
      </c>
      <c r="I13378" t="s">
        <v>1084</v>
      </c>
      <c r="J13378">
        <v>9.36</v>
      </c>
    </row>
    <row r="13379" spans="1:10" hidden="1">
      <c r="A13379" t="s">
        <v>7963</v>
      </c>
      <c r="B13379" t="s">
        <v>7964</v>
      </c>
      <c r="C13379" t="s">
        <v>6839</v>
      </c>
      <c r="D13379" t="s">
        <v>2713</v>
      </c>
      <c r="E13379" t="s">
        <v>559</v>
      </c>
      <c r="F13379" t="s">
        <v>1068</v>
      </c>
      <c r="G13379" t="s">
        <v>1085</v>
      </c>
      <c r="H13379">
        <v>1.54885220940883E-4</v>
      </c>
      <c r="I13379" t="s">
        <v>1086</v>
      </c>
      <c r="J13379">
        <v>9.36</v>
      </c>
    </row>
    <row r="13380" spans="1:10" hidden="1">
      <c r="A13380" t="s">
        <v>7963</v>
      </c>
      <c r="B13380" t="s">
        <v>7964</v>
      </c>
      <c r="C13380" t="s">
        <v>6839</v>
      </c>
      <c r="D13380" t="s">
        <v>2713</v>
      </c>
      <c r="E13380" t="s">
        <v>559</v>
      </c>
      <c r="F13380" t="s">
        <v>1068</v>
      </c>
      <c r="G13380" t="s">
        <v>1087</v>
      </c>
      <c r="H13380" s="171" t="s">
        <v>7970</v>
      </c>
      <c r="I13380" t="s">
        <v>1088</v>
      </c>
      <c r="J13380">
        <v>9.36</v>
      </c>
    </row>
    <row r="13381" spans="1:10" hidden="1">
      <c r="A13381" t="s">
        <v>7963</v>
      </c>
      <c r="B13381" t="s">
        <v>7964</v>
      </c>
      <c r="C13381" t="s">
        <v>6839</v>
      </c>
      <c r="D13381" t="s">
        <v>2713</v>
      </c>
      <c r="E13381" t="s">
        <v>559</v>
      </c>
      <c r="F13381" t="s">
        <v>1068</v>
      </c>
      <c r="G13381" t="s">
        <v>1089</v>
      </c>
      <c r="H13381" s="171" t="s">
        <v>7971</v>
      </c>
      <c r="I13381" t="s">
        <v>1090</v>
      </c>
      <c r="J13381">
        <v>9.36</v>
      </c>
    </row>
    <row r="13382" spans="1:10" hidden="1">
      <c r="A13382" t="s">
        <v>7972</v>
      </c>
      <c r="B13382" t="s">
        <v>7973</v>
      </c>
      <c r="C13382" t="s">
        <v>6839</v>
      </c>
      <c r="D13382" t="s">
        <v>2713</v>
      </c>
      <c r="E13382" t="s">
        <v>560</v>
      </c>
      <c r="F13382" t="s">
        <v>1068</v>
      </c>
      <c r="G13382" t="s">
        <v>1069</v>
      </c>
      <c r="H13382" s="171" t="s">
        <v>7974</v>
      </c>
      <c r="I13382" t="s">
        <v>1070</v>
      </c>
      <c r="J13382">
        <v>9.85</v>
      </c>
    </row>
    <row r="13383" spans="1:10" hidden="1">
      <c r="A13383" t="s">
        <v>7972</v>
      </c>
      <c r="B13383" t="s">
        <v>7973</v>
      </c>
      <c r="C13383" t="s">
        <v>6839</v>
      </c>
      <c r="D13383" t="s">
        <v>2713</v>
      </c>
      <c r="E13383" t="s">
        <v>560</v>
      </c>
      <c r="F13383" t="s">
        <v>1068</v>
      </c>
      <c r="G13383" t="s">
        <v>1071</v>
      </c>
      <c r="H13383" s="171" t="s">
        <v>7975</v>
      </c>
      <c r="I13383" t="s">
        <v>1072</v>
      </c>
      <c r="J13383">
        <v>9.85</v>
      </c>
    </row>
    <row r="13384" spans="1:10" hidden="1">
      <c r="A13384" t="s">
        <v>7972</v>
      </c>
      <c r="B13384" t="s">
        <v>7973</v>
      </c>
      <c r="C13384" t="s">
        <v>6839</v>
      </c>
      <c r="D13384" t="s">
        <v>2713</v>
      </c>
      <c r="E13384" t="s">
        <v>560</v>
      </c>
      <c r="F13384" t="s">
        <v>1068</v>
      </c>
      <c r="G13384" t="s">
        <v>1073</v>
      </c>
      <c r="H13384" s="171" t="s">
        <v>7976</v>
      </c>
      <c r="I13384" t="s">
        <v>1074</v>
      </c>
      <c r="J13384">
        <v>9.85</v>
      </c>
    </row>
    <row r="13385" spans="1:10" hidden="1">
      <c r="A13385" t="s">
        <v>7972</v>
      </c>
      <c r="B13385" t="s">
        <v>7973</v>
      </c>
      <c r="C13385" t="s">
        <v>6839</v>
      </c>
      <c r="D13385" t="s">
        <v>2713</v>
      </c>
      <c r="E13385" t="s">
        <v>560</v>
      </c>
      <c r="F13385" t="s">
        <v>1068</v>
      </c>
      <c r="G13385" t="s">
        <v>1075</v>
      </c>
      <c r="H13385">
        <v>4.2504294254640303E-3</v>
      </c>
      <c r="I13385" t="s">
        <v>1077</v>
      </c>
      <c r="J13385">
        <v>9.85</v>
      </c>
    </row>
    <row r="13386" spans="1:10" hidden="1">
      <c r="A13386" t="s">
        <v>7972</v>
      </c>
      <c r="B13386" t="s">
        <v>7973</v>
      </c>
      <c r="C13386" t="s">
        <v>6839</v>
      </c>
      <c r="D13386" t="s">
        <v>2713</v>
      </c>
      <c r="E13386" t="s">
        <v>560</v>
      </c>
      <c r="F13386" t="s">
        <v>1068</v>
      </c>
      <c r="G13386" t="s">
        <v>1078</v>
      </c>
      <c r="H13386">
        <v>4.89234545625684E-2</v>
      </c>
      <c r="I13386" t="s">
        <v>1079</v>
      </c>
      <c r="J13386">
        <v>9.85</v>
      </c>
    </row>
    <row r="13387" spans="1:10" hidden="1">
      <c r="A13387" t="s">
        <v>7972</v>
      </c>
      <c r="B13387" t="s">
        <v>7973</v>
      </c>
      <c r="C13387" t="s">
        <v>6839</v>
      </c>
      <c r="D13387" t="s">
        <v>2713</v>
      </c>
      <c r="E13387" t="s">
        <v>560</v>
      </c>
      <c r="F13387" t="s">
        <v>1068</v>
      </c>
      <c r="G13387" t="s">
        <v>1080</v>
      </c>
      <c r="H13387" s="171" t="s">
        <v>6906</v>
      </c>
      <c r="I13387" t="s">
        <v>1082</v>
      </c>
      <c r="J13387">
        <v>9.85</v>
      </c>
    </row>
    <row r="13388" spans="1:10" hidden="1">
      <c r="A13388" t="s">
        <v>7972</v>
      </c>
      <c r="B13388" t="s">
        <v>7973</v>
      </c>
      <c r="C13388" t="s">
        <v>6839</v>
      </c>
      <c r="D13388" t="s">
        <v>2713</v>
      </c>
      <c r="E13388" t="s">
        <v>560</v>
      </c>
      <c r="F13388" t="s">
        <v>1068</v>
      </c>
      <c r="G13388" t="s">
        <v>1083</v>
      </c>
      <c r="H13388" s="171" t="s">
        <v>7977</v>
      </c>
      <c r="I13388" t="s">
        <v>1084</v>
      </c>
      <c r="J13388">
        <v>9.85</v>
      </c>
    </row>
    <row r="13389" spans="1:10" hidden="1">
      <c r="A13389" t="s">
        <v>7972</v>
      </c>
      <c r="B13389" t="s">
        <v>7973</v>
      </c>
      <c r="C13389" t="s">
        <v>6839</v>
      </c>
      <c r="D13389" t="s">
        <v>2713</v>
      </c>
      <c r="E13389" t="s">
        <v>560</v>
      </c>
      <c r="F13389" t="s">
        <v>1068</v>
      </c>
      <c r="G13389" t="s">
        <v>1085</v>
      </c>
      <c r="H13389">
        <v>1.5488135576395001E-4</v>
      </c>
      <c r="I13389" t="s">
        <v>1086</v>
      </c>
      <c r="J13389">
        <v>9.85</v>
      </c>
    </row>
    <row r="13390" spans="1:10" hidden="1">
      <c r="A13390" t="s">
        <v>7972</v>
      </c>
      <c r="B13390" t="s">
        <v>7973</v>
      </c>
      <c r="C13390" t="s">
        <v>6839</v>
      </c>
      <c r="D13390" t="s">
        <v>2713</v>
      </c>
      <c r="E13390" t="s">
        <v>560</v>
      </c>
      <c r="F13390" t="s">
        <v>1068</v>
      </c>
      <c r="G13390" t="s">
        <v>1087</v>
      </c>
      <c r="H13390" s="171" t="s">
        <v>6908</v>
      </c>
      <c r="I13390" t="s">
        <v>1088</v>
      </c>
      <c r="J13390">
        <v>9.85</v>
      </c>
    </row>
    <row r="13391" spans="1:10" hidden="1">
      <c r="A13391" t="s">
        <v>7972</v>
      </c>
      <c r="B13391" t="s">
        <v>7973</v>
      </c>
      <c r="C13391" t="s">
        <v>6839</v>
      </c>
      <c r="D13391" t="s">
        <v>2713</v>
      </c>
      <c r="E13391" t="s">
        <v>560</v>
      </c>
      <c r="F13391" t="s">
        <v>1068</v>
      </c>
      <c r="G13391" t="s">
        <v>1089</v>
      </c>
      <c r="H13391" s="171" t="s">
        <v>7978</v>
      </c>
      <c r="I13391" t="s">
        <v>1090</v>
      </c>
      <c r="J13391">
        <v>9.85</v>
      </c>
    </row>
    <row r="13392" spans="1:10" hidden="1">
      <c r="A13392" t="s">
        <v>7979</v>
      </c>
      <c r="B13392" t="s">
        <v>7980</v>
      </c>
      <c r="C13392" t="s">
        <v>6839</v>
      </c>
      <c r="D13392" t="s">
        <v>2713</v>
      </c>
      <c r="E13392" t="s">
        <v>1116</v>
      </c>
      <c r="F13392" t="s">
        <v>1068</v>
      </c>
      <c r="G13392" t="s">
        <v>1069</v>
      </c>
      <c r="H13392" s="171" t="s">
        <v>7981</v>
      </c>
      <c r="I13392" t="s">
        <v>1070</v>
      </c>
      <c r="J13392">
        <v>8.89</v>
      </c>
    </row>
    <row r="13393" spans="1:10" hidden="1">
      <c r="A13393" t="s">
        <v>7979</v>
      </c>
      <c r="B13393" t="s">
        <v>7980</v>
      </c>
      <c r="C13393" t="s">
        <v>6839</v>
      </c>
      <c r="D13393" t="s">
        <v>2713</v>
      </c>
      <c r="E13393" t="s">
        <v>1116</v>
      </c>
      <c r="F13393" t="s">
        <v>1068</v>
      </c>
      <c r="G13393" t="s">
        <v>1071</v>
      </c>
      <c r="H13393" s="171" t="s">
        <v>7982</v>
      </c>
      <c r="I13393" t="s">
        <v>1072</v>
      </c>
      <c r="J13393">
        <v>8.89</v>
      </c>
    </row>
    <row r="13394" spans="1:10" hidden="1">
      <c r="A13394" t="s">
        <v>7979</v>
      </c>
      <c r="B13394" t="s">
        <v>7980</v>
      </c>
      <c r="C13394" t="s">
        <v>6839</v>
      </c>
      <c r="D13394" t="s">
        <v>2713</v>
      </c>
      <c r="E13394" t="s">
        <v>1116</v>
      </c>
      <c r="F13394" t="s">
        <v>1068</v>
      </c>
      <c r="G13394" t="s">
        <v>1073</v>
      </c>
      <c r="H13394" s="171" t="s">
        <v>7983</v>
      </c>
      <c r="I13394" t="s">
        <v>1074</v>
      </c>
      <c r="J13394">
        <v>8.89</v>
      </c>
    </row>
    <row r="13395" spans="1:10" hidden="1">
      <c r="A13395" t="s">
        <v>7979</v>
      </c>
      <c r="B13395" t="s">
        <v>7980</v>
      </c>
      <c r="C13395" t="s">
        <v>6839</v>
      </c>
      <c r="D13395" t="s">
        <v>2713</v>
      </c>
      <c r="E13395" t="s">
        <v>1116</v>
      </c>
      <c r="F13395" t="s">
        <v>1068</v>
      </c>
      <c r="G13395" t="s">
        <v>1075</v>
      </c>
      <c r="H13395">
        <v>4.25015949405224E-3</v>
      </c>
      <c r="I13395" t="s">
        <v>1077</v>
      </c>
      <c r="J13395">
        <v>8.89</v>
      </c>
    </row>
    <row r="13396" spans="1:10" hidden="1">
      <c r="A13396" t="s">
        <v>7979</v>
      </c>
      <c r="B13396" t="s">
        <v>7980</v>
      </c>
      <c r="C13396" t="s">
        <v>6839</v>
      </c>
      <c r="D13396" t="s">
        <v>2713</v>
      </c>
      <c r="E13396" t="s">
        <v>1116</v>
      </c>
      <c r="F13396" t="s">
        <v>1068</v>
      </c>
      <c r="G13396" t="s">
        <v>1078</v>
      </c>
      <c r="H13396" s="171" t="s">
        <v>7984</v>
      </c>
      <c r="I13396" t="s">
        <v>1079</v>
      </c>
      <c r="J13396">
        <v>8.89</v>
      </c>
    </row>
    <row r="13397" spans="1:10" hidden="1">
      <c r="A13397" t="s">
        <v>7979</v>
      </c>
      <c r="B13397" t="s">
        <v>7980</v>
      </c>
      <c r="C13397" t="s">
        <v>6839</v>
      </c>
      <c r="D13397" t="s">
        <v>2713</v>
      </c>
      <c r="E13397" t="s">
        <v>1116</v>
      </c>
      <c r="F13397" t="s">
        <v>1068</v>
      </c>
      <c r="G13397" t="s">
        <v>1080</v>
      </c>
      <c r="H13397" s="171" t="s">
        <v>7985</v>
      </c>
      <c r="I13397" t="s">
        <v>1082</v>
      </c>
      <c r="J13397">
        <v>8.89</v>
      </c>
    </row>
    <row r="13398" spans="1:10" hidden="1">
      <c r="A13398" t="s">
        <v>7979</v>
      </c>
      <c r="B13398" t="s">
        <v>7980</v>
      </c>
      <c r="C13398" t="s">
        <v>6839</v>
      </c>
      <c r="D13398" t="s">
        <v>2713</v>
      </c>
      <c r="E13398" t="s">
        <v>1116</v>
      </c>
      <c r="F13398" t="s">
        <v>1068</v>
      </c>
      <c r="G13398" t="s">
        <v>1083</v>
      </c>
      <c r="H13398" s="171" t="s">
        <v>7986</v>
      </c>
      <c r="I13398" t="s">
        <v>1084</v>
      </c>
      <c r="J13398">
        <v>8.89</v>
      </c>
    </row>
    <row r="13399" spans="1:10" hidden="1">
      <c r="A13399" t="s">
        <v>7979</v>
      </c>
      <c r="B13399" t="s">
        <v>7980</v>
      </c>
      <c r="C13399" t="s">
        <v>6839</v>
      </c>
      <c r="D13399" t="s">
        <v>2713</v>
      </c>
      <c r="E13399" t="s">
        <v>1116</v>
      </c>
      <c r="F13399" t="s">
        <v>1068</v>
      </c>
      <c r="G13399" t="s">
        <v>1085</v>
      </c>
      <c r="H13399">
        <v>1.5486668623627899E-4</v>
      </c>
      <c r="I13399" t="s">
        <v>1086</v>
      </c>
      <c r="J13399">
        <v>8.89</v>
      </c>
    </row>
    <row r="13400" spans="1:10" hidden="1">
      <c r="A13400" t="s">
        <v>7979</v>
      </c>
      <c r="B13400" t="s">
        <v>7980</v>
      </c>
      <c r="C13400" t="s">
        <v>6839</v>
      </c>
      <c r="D13400" t="s">
        <v>2713</v>
      </c>
      <c r="E13400" t="s">
        <v>1116</v>
      </c>
      <c r="F13400" t="s">
        <v>1068</v>
      </c>
      <c r="G13400" t="s">
        <v>1087</v>
      </c>
      <c r="H13400" s="171" t="s">
        <v>7987</v>
      </c>
      <c r="I13400" t="s">
        <v>1088</v>
      </c>
      <c r="J13400">
        <v>8.89</v>
      </c>
    </row>
    <row r="13401" spans="1:10" hidden="1">
      <c r="A13401" t="s">
        <v>7979</v>
      </c>
      <c r="B13401" t="s">
        <v>7980</v>
      </c>
      <c r="C13401" t="s">
        <v>6839</v>
      </c>
      <c r="D13401" t="s">
        <v>2713</v>
      </c>
      <c r="E13401" t="s">
        <v>1116</v>
      </c>
      <c r="F13401" t="s">
        <v>1068</v>
      </c>
      <c r="G13401" t="s">
        <v>1089</v>
      </c>
      <c r="H13401" s="171" t="s">
        <v>7988</v>
      </c>
      <c r="I13401" t="s">
        <v>1090</v>
      </c>
      <c r="J13401">
        <v>8.89</v>
      </c>
    </row>
    <row r="13402" spans="1:10" hidden="1">
      <c r="A13402" t="s">
        <v>7989</v>
      </c>
      <c r="B13402" t="s">
        <v>7990</v>
      </c>
      <c r="C13402" t="s">
        <v>6839</v>
      </c>
      <c r="D13402" t="s">
        <v>2798</v>
      </c>
      <c r="E13402" t="s">
        <v>561</v>
      </c>
      <c r="F13402" t="s">
        <v>1068</v>
      </c>
      <c r="G13402" t="s">
        <v>1069</v>
      </c>
      <c r="H13402" s="171" t="s">
        <v>7991</v>
      </c>
      <c r="I13402" t="s">
        <v>1070</v>
      </c>
      <c r="J13402">
        <v>8.56</v>
      </c>
    </row>
    <row r="13403" spans="1:10" hidden="1">
      <c r="A13403" t="s">
        <v>7989</v>
      </c>
      <c r="B13403" t="s">
        <v>7990</v>
      </c>
      <c r="C13403" t="s">
        <v>6839</v>
      </c>
      <c r="D13403" t="s">
        <v>2798</v>
      </c>
      <c r="E13403" t="s">
        <v>561</v>
      </c>
      <c r="F13403" t="s">
        <v>1068</v>
      </c>
      <c r="G13403" t="s">
        <v>1071</v>
      </c>
      <c r="H13403" s="171" t="s">
        <v>7992</v>
      </c>
      <c r="I13403" t="s">
        <v>1072</v>
      </c>
      <c r="J13403">
        <v>8.56</v>
      </c>
    </row>
    <row r="13404" spans="1:10" hidden="1">
      <c r="A13404" t="s">
        <v>7989</v>
      </c>
      <c r="B13404" t="s">
        <v>7990</v>
      </c>
      <c r="C13404" t="s">
        <v>6839</v>
      </c>
      <c r="D13404" t="s">
        <v>2798</v>
      </c>
      <c r="E13404" t="s">
        <v>561</v>
      </c>
      <c r="F13404" t="s">
        <v>1068</v>
      </c>
      <c r="G13404" t="s">
        <v>1073</v>
      </c>
      <c r="H13404" s="171" t="s">
        <v>7993</v>
      </c>
      <c r="I13404" t="s">
        <v>1074</v>
      </c>
      <c r="J13404">
        <v>8.56</v>
      </c>
    </row>
    <row r="13405" spans="1:10" hidden="1">
      <c r="A13405" t="s">
        <v>7989</v>
      </c>
      <c r="B13405" t="s">
        <v>7990</v>
      </c>
      <c r="C13405" t="s">
        <v>6839</v>
      </c>
      <c r="D13405" t="s">
        <v>2798</v>
      </c>
      <c r="E13405" t="s">
        <v>561</v>
      </c>
      <c r="F13405" t="s">
        <v>1068</v>
      </c>
      <c r="G13405" t="s">
        <v>1075</v>
      </c>
      <c r="H13405">
        <v>4.2559745488246698E-3</v>
      </c>
      <c r="I13405" t="s">
        <v>1077</v>
      </c>
      <c r="J13405">
        <v>8.56</v>
      </c>
    </row>
    <row r="13406" spans="1:10" hidden="1">
      <c r="A13406" t="s">
        <v>7989</v>
      </c>
      <c r="B13406" t="s">
        <v>7990</v>
      </c>
      <c r="C13406" t="s">
        <v>6839</v>
      </c>
      <c r="D13406" t="s">
        <v>2798</v>
      </c>
      <c r="E13406" t="s">
        <v>561</v>
      </c>
      <c r="F13406" t="s">
        <v>1068</v>
      </c>
      <c r="G13406" t="s">
        <v>1078</v>
      </c>
      <c r="H13406">
        <v>4.8916601649179797E-2</v>
      </c>
      <c r="I13406" t="s">
        <v>1079</v>
      </c>
      <c r="J13406">
        <v>8.56</v>
      </c>
    </row>
    <row r="13407" spans="1:10" hidden="1">
      <c r="A13407" t="s">
        <v>7989</v>
      </c>
      <c r="B13407" t="s">
        <v>7990</v>
      </c>
      <c r="C13407" t="s">
        <v>6839</v>
      </c>
      <c r="D13407" t="s">
        <v>2798</v>
      </c>
      <c r="E13407" t="s">
        <v>561</v>
      </c>
      <c r="F13407" t="s">
        <v>1068</v>
      </c>
      <c r="G13407" t="s">
        <v>1080</v>
      </c>
      <c r="H13407" s="171" t="s">
        <v>7994</v>
      </c>
      <c r="I13407" t="s">
        <v>1082</v>
      </c>
      <c r="J13407">
        <v>8.56</v>
      </c>
    </row>
    <row r="13408" spans="1:10" hidden="1">
      <c r="A13408" t="s">
        <v>7989</v>
      </c>
      <c r="B13408" t="s">
        <v>7990</v>
      </c>
      <c r="C13408" t="s">
        <v>6839</v>
      </c>
      <c r="D13408" t="s">
        <v>2798</v>
      </c>
      <c r="E13408" t="s">
        <v>561</v>
      </c>
      <c r="F13408" t="s">
        <v>1068</v>
      </c>
      <c r="G13408" t="s">
        <v>1083</v>
      </c>
      <c r="H13408" s="171" t="s">
        <v>7995</v>
      </c>
      <c r="I13408" t="s">
        <v>1084</v>
      </c>
      <c r="J13408">
        <v>8.56</v>
      </c>
    </row>
    <row r="13409" spans="1:10" hidden="1">
      <c r="A13409" t="s">
        <v>7989</v>
      </c>
      <c r="B13409" t="s">
        <v>7990</v>
      </c>
      <c r="C13409" t="s">
        <v>6839</v>
      </c>
      <c r="D13409" t="s">
        <v>2798</v>
      </c>
      <c r="E13409" t="s">
        <v>561</v>
      </c>
      <c r="F13409" t="s">
        <v>1068</v>
      </c>
      <c r="G13409" t="s">
        <v>1085</v>
      </c>
      <c r="H13409">
        <v>1.55069120657145E-4</v>
      </c>
      <c r="I13409" t="s">
        <v>1086</v>
      </c>
      <c r="J13409">
        <v>8.56</v>
      </c>
    </row>
    <row r="13410" spans="1:10" hidden="1">
      <c r="A13410" t="s">
        <v>7989</v>
      </c>
      <c r="B13410" t="s">
        <v>7990</v>
      </c>
      <c r="C13410" t="s">
        <v>6839</v>
      </c>
      <c r="D13410" t="s">
        <v>2798</v>
      </c>
      <c r="E13410" t="s">
        <v>561</v>
      </c>
      <c r="F13410" t="s">
        <v>1068</v>
      </c>
      <c r="G13410" t="s">
        <v>1087</v>
      </c>
      <c r="H13410" s="171" t="s">
        <v>6845</v>
      </c>
      <c r="I13410" t="s">
        <v>1088</v>
      </c>
      <c r="J13410">
        <v>8.56</v>
      </c>
    </row>
    <row r="13411" spans="1:10" hidden="1">
      <c r="A13411" t="s">
        <v>7989</v>
      </c>
      <c r="B13411" t="s">
        <v>7990</v>
      </c>
      <c r="C13411" t="s">
        <v>6839</v>
      </c>
      <c r="D13411" t="s">
        <v>2798</v>
      </c>
      <c r="E13411" t="s">
        <v>561</v>
      </c>
      <c r="F13411" t="s">
        <v>1068</v>
      </c>
      <c r="G13411" t="s">
        <v>1089</v>
      </c>
      <c r="H13411" s="171" t="s">
        <v>7996</v>
      </c>
      <c r="I13411" t="s">
        <v>1090</v>
      </c>
      <c r="J13411">
        <v>8.56</v>
      </c>
    </row>
    <row r="13412" spans="1:10" hidden="1">
      <c r="A13412" t="s">
        <v>7997</v>
      </c>
      <c r="B13412" t="s">
        <v>7998</v>
      </c>
      <c r="C13412" t="s">
        <v>6839</v>
      </c>
      <c r="D13412" t="s">
        <v>2798</v>
      </c>
      <c r="E13412" t="s">
        <v>555</v>
      </c>
      <c r="F13412" t="s">
        <v>1068</v>
      </c>
      <c r="G13412" t="s">
        <v>1069</v>
      </c>
      <c r="H13412" s="171" t="s">
        <v>7999</v>
      </c>
      <c r="I13412" t="s">
        <v>1070</v>
      </c>
      <c r="J13412">
        <v>9.8800000000000008</v>
      </c>
    </row>
    <row r="13413" spans="1:10" hidden="1">
      <c r="A13413" t="s">
        <v>7997</v>
      </c>
      <c r="B13413" t="s">
        <v>7998</v>
      </c>
      <c r="C13413" t="s">
        <v>6839</v>
      </c>
      <c r="D13413" t="s">
        <v>2798</v>
      </c>
      <c r="E13413" t="s">
        <v>555</v>
      </c>
      <c r="F13413" t="s">
        <v>1068</v>
      </c>
      <c r="G13413" t="s">
        <v>1071</v>
      </c>
      <c r="H13413" s="171" t="s">
        <v>8000</v>
      </c>
      <c r="I13413" t="s">
        <v>1072</v>
      </c>
      <c r="J13413">
        <v>9.8800000000000008</v>
      </c>
    </row>
    <row r="13414" spans="1:10" hidden="1">
      <c r="A13414" t="s">
        <v>7997</v>
      </c>
      <c r="B13414" t="s">
        <v>7998</v>
      </c>
      <c r="C13414" t="s">
        <v>6839</v>
      </c>
      <c r="D13414" t="s">
        <v>2798</v>
      </c>
      <c r="E13414" t="s">
        <v>555</v>
      </c>
      <c r="F13414" t="s">
        <v>1068</v>
      </c>
      <c r="G13414" t="s">
        <v>1073</v>
      </c>
      <c r="H13414" s="171" t="s">
        <v>8001</v>
      </c>
      <c r="I13414" t="s">
        <v>1074</v>
      </c>
      <c r="J13414">
        <v>9.8800000000000008</v>
      </c>
    </row>
    <row r="13415" spans="1:10" hidden="1">
      <c r="A13415" t="s">
        <v>7997</v>
      </c>
      <c r="B13415" t="s">
        <v>7998</v>
      </c>
      <c r="C13415" t="s">
        <v>6839</v>
      </c>
      <c r="D13415" t="s">
        <v>2798</v>
      </c>
      <c r="E13415" t="s">
        <v>555</v>
      </c>
      <c r="F13415" t="s">
        <v>1068</v>
      </c>
      <c r="G13415" t="s">
        <v>1075</v>
      </c>
      <c r="H13415">
        <v>4.2564569315591098E-3</v>
      </c>
      <c r="I13415" t="s">
        <v>1077</v>
      </c>
      <c r="J13415">
        <v>9.8800000000000008</v>
      </c>
    </row>
    <row r="13416" spans="1:10" hidden="1">
      <c r="A13416" t="s">
        <v>7997</v>
      </c>
      <c r="B13416" t="s">
        <v>7998</v>
      </c>
      <c r="C13416" t="s">
        <v>6839</v>
      </c>
      <c r="D13416" t="s">
        <v>2798</v>
      </c>
      <c r="E13416" t="s">
        <v>555</v>
      </c>
      <c r="F13416" t="s">
        <v>1068</v>
      </c>
      <c r="G13416" t="s">
        <v>1078</v>
      </c>
      <c r="H13416">
        <v>4.8937457971748297E-2</v>
      </c>
      <c r="I13416" t="s">
        <v>1079</v>
      </c>
      <c r="J13416">
        <v>9.8800000000000008</v>
      </c>
    </row>
    <row r="13417" spans="1:10" hidden="1">
      <c r="A13417" t="s">
        <v>7997</v>
      </c>
      <c r="B13417" t="s">
        <v>7998</v>
      </c>
      <c r="C13417" t="s">
        <v>6839</v>
      </c>
      <c r="D13417" t="s">
        <v>2798</v>
      </c>
      <c r="E13417" t="s">
        <v>555</v>
      </c>
      <c r="F13417" t="s">
        <v>1068</v>
      </c>
      <c r="G13417" t="s">
        <v>1080</v>
      </c>
      <c r="H13417" s="171" t="s">
        <v>7925</v>
      </c>
      <c r="I13417" t="s">
        <v>1082</v>
      </c>
      <c r="J13417">
        <v>9.8800000000000008</v>
      </c>
    </row>
    <row r="13418" spans="1:10" hidden="1">
      <c r="A13418" t="s">
        <v>7997</v>
      </c>
      <c r="B13418" t="s">
        <v>7998</v>
      </c>
      <c r="C13418" t="s">
        <v>6839</v>
      </c>
      <c r="D13418" t="s">
        <v>2798</v>
      </c>
      <c r="E13418" t="s">
        <v>555</v>
      </c>
      <c r="F13418" t="s">
        <v>1068</v>
      </c>
      <c r="G13418" t="s">
        <v>1083</v>
      </c>
      <c r="H13418" s="171" t="s">
        <v>8002</v>
      </c>
      <c r="I13418" t="s">
        <v>1084</v>
      </c>
      <c r="J13418">
        <v>9.8800000000000008</v>
      </c>
    </row>
    <row r="13419" spans="1:10" hidden="1">
      <c r="A13419" t="s">
        <v>7997</v>
      </c>
      <c r="B13419" t="s">
        <v>7998</v>
      </c>
      <c r="C13419" t="s">
        <v>6839</v>
      </c>
      <c r="D13419" t="s">
        <v>2798</v>
      </c>
      <c r="E13419" t="s">
        <v>555</v>
      </c>
      <c r="F13419" t="s">
        <v>1068</v>
      </c>
      <c r="G13419" t="s">
        <v>1085</v>
      </c>
      <c r="H13419">
        <v>1.5509533186321001E-4</v>
      </c>
      <c r="I13419" t="s">
        <v>1086</v>
      </c>
      <c r="J13419">
        <v>9.8800000000000008</v>
      </c>
    </row>
    <row r="13420" spans="1:10" hidden="1">
      <c r="A13420" t="s">
        <v>7997</v>
      </c>
      <c r="B13420" t="s">
        <v>7998</v>
      </c>
      <c r="C13420" t="s">
        <v>6839</v>
      </c>
      <c r="D13420" t="s">
        <v>2798</v>
      </c>
      <c r="E13420" t="s">
        <v>555</v>
      </c>
      <c r="F13420" t="s">
        <v>1068</v>
      </c>
      <c r="G13420" t="s">
        <v>1087</v>
      </c>
      <c r="H13420" s="171" t="s">
        <v>8003</v>
      </c>
      <c r="I13420" t="s">
        <v>1088</v>
      </c>
      <c r="J13420">
        <v>9.8800000000000008</v>
      </c>
    </row>
    <row r="13421" spans="1:10" hidden="1">
      <c r="A13421" t="s">
        <v>7997</v>
      </c>
      <c r="B13421" t="s">
        <v>7998</v>
      </c>
      <c r="C13421" t="s">
        <v>6839</v>
      </c>
      <c r="D13421" t="s">
        <v>2798</v>
      </c>
      <c r="E13421" t="s">
        <v>555</v>
      </c>
      <c r="F13421" t="s">
        <v>1068</v>
      </c>
      <c r="G13421" t="s">
        <v>1089</v>
      </c>
      <c r="H13421" s="171" t="s">
        <v>8004</v>
      </c>
      <c r="I13421" t="s">
        <v>1090</v>
      </c>
      <c r="J13421">
        <v>9.8800000000000008</v>
      </c>
    </row>
    <row r="13422" spans="1:10" hidden="1">
      <c r="A13422" t="s">
        <v>8005</v>
      </c>
      <c r="B13422" t="s">
        <v>8006</v>
      </c>
      <c r="C13422" t="s">
        <v>6839</v>
      </c>
      <c r="D13422" t="s">
        <v>2798</v>
      </c>
      <c r="E13422" t="s">
        <v>558</v>
      </c>
      <c r="F13422" t="s">
        <v>1068</v>
      </c>
      <c r="G13422" t="s">
        <v>1069</v>
      </c>
      <c r="H13422" s="171" t="s">
        <v>8007</v>
      </c>
      <c r="I13422" t="s">
        <v>1070</v>
      </c>
      <c r="J13422">
        <v>9.01</v>
      </c>
    </row>
    <row r="13423" spans="1:10" hidden="1">
      <c r="A13423" t="s">
        <v>8005</v>
      </c>
      <c r="B13423" t="s">
        <v>8006</v>
      </c>
      <c r="C13423" t="s">
        <v>6839</v>
      </c>
      <c r="D13423" t="s">
        <v>2798</v>
      </c>
      <c r="E13423" t="s">
        <v>558</v>
      </c>
      <c r="F13423" t="s">
        <v>1068</v>
      </c>
      <c r="G13423" t="s">
        <v>1071</v>
      </c>
      <c r="H13423" s="171" t="s">
        <v>8008</v>
      </c>
      <c r="I13423" t="s">
        <v>1072</v>
      </c>
      <c r="J13423">
        <v>9.01</v>
      </c>
    </row>
    <row r="13424" spans="1:10" hidden="1">
      <c r="A13424" t="s">
        <v>8005</v>
      </c>
      <c r="B13424" t="s">
        <v>8006</v>
      </c>
      <c r="C13424" t="s">
        <v>6839</v>
      </c>
      <c r="D13424" t="s">
        <v>2798</v>
      </c>
      <c r="E13424" t="s">
        <v>558</v>
      </c>
      <c r="F13424" t="s">
        <v>1068</v>
      </c>
      <c r="G13424" t="s">
        <v>1073</v>
      </c>
      <c r="H13424" s="171" t="s">
        <v>8009</v>
      </c>
      <c r="I13424" t="s">
        <v>1074</v>
      </c>
      <c r="J13424">
        <v>9.01</v>
      </c>
    </row>
    <row r="13425" spans="1:10" hidden="1">
      <c r="A13425" t="s">
        <v>8005</v>
      </c>
      <c r="B13425" t="s">
        <v>8006</v>
      </c>
      <c r="C13425" t="s">
        <v>6839</v>
      </c>
      <c r="D13425" t="s">
        <v>2798</v>
      </c>
      <c r="E13425" t="s">
        <v>558</v>
      </c>
      <c r="F13425" t="s">
        <v>1068</v>
      </c>
      <c r="G13425" t="s">
        <v>1075</v>
      </c>
      <c r="H13425">
        <v>4.2559341763060499E-3</v>
      </c>
      <c r="I13425" t="s">
        <v>1077</v>
      </c>
      <c r="J13425">
        <v>9.01</v>
      </c>
    </row>
    <row r="13426" spans="1:10" hidden="1">
      <c r="A13426" t="s">
        <v>8005</v>
      </c>
      <c r="B13426" t="s">
        <v>8006</v>
      </c>
      <c r="C13426" t="s">
        <v>6839</v>
      </c>
      <c r="D13426" t="s">
        <v>2798</v>
      </c>
      <c r="E13426" t="s">
        <v>558</v>
      </c>
      <c r="F13426" t="s">
        <v>1068</v>
      </c>
      <c r="G13426" t="s">
        <v>1078</v>
      </c>
      <c r="H13426" s="171" t="s">
        <v>8010</v>
      </c>
      <c r="I13426" t="s">
        <v>1079</v>
      </c>
      <c r="J13426">
        <v>9.01</v>
      </c>
    </row>
    <row r="13427" spans="1:10" hidden="1">
      <c r="A13427" t="s">
        <v>8005</v>
      </c>
      <c r="B13427" t="s">
        <v>8006</v>
      </c>
      <c r="C13427" t="s">
        <v>6839</v>
      </c>
      <c r="D13427" t="s">
        <v>2798</v>
      </c>
      <c r="E13427" t="s">
        <v>558</v>
      </c>
      <c r="F13427" t="s">
        <v>1068</v>
      </c>
      <c r="G13427" t="s">
        <v>1080</v>
      </c>
      <c r="H13427" s="171" t="s">
        <v>7933</v>
      </c>
      <c r="I13427" t="s">
        <v>1082</v>
      </c>
      <c r="J13427">
        <v>9.01</v>
      </c>
    </row>
    <row r="13428" spans="1:10" hidden="1">
      <c r="A13428" t="s">
        <v>8005</v>
      </c>
      <c r="B13428" t="s">
        <v>8006</v>
      </c>
      <c r="C13428" t="s">
        <v>6839</v>
      </c>
      <c r="D13428" t="s">
        <v>2798</v>
      </c>
      <c r="E13428" t="s">
        <v>558</v>
      </c>
      <c r="F13428" t="s">
        <v>1068</v>
      </c>
      <c r="G13428" t="s">
        <v>1083</v>
      </c>
      <c r="H13428" s="171" t="s">
        <v>8011</v>
      </c>
      <c r="I13428" t="s">
        <v>1084</v>
      </c>
      <c r="J13428">
        <v>9.01</v>
      </c>
    </row>
    <row r="13429" spans="1:10" hidden="1">
      <c r="A13429" t="s">
        <v>8005</v>
      </c>
      <c r="B13429" t="s">
        <v>8006</v>
      </c>
      <c r="C13429" t="s">
        <v>6839</v>
      </c>
      <c r="D13429" t="s">
        <v>2798</v>
      </c>
      <c r="E13429" t="s">
        <v>558</v>
      </c>
      <c r="F13429" t="s">
        <v>1068</v>
      </c>
      <c r="G13429" t="s">
        <v>1085</v>
      </c>
      <c r="H13429">
        <v>1.55066926596902E-4</v>
      </c>
      <c r="I13429" t="s">
        <v>1086</v>
      </c>
      <c r="J13429">
        <v>9.01</v>
      </c>
    </row>
    <row r="13430" spans="1:10" hidden="1">
      <c r="A13430" t="s">
        <v>8005</v>
      </c>
      <c r="B13430" t="s">
        <v>8006</v>
      </c>
      <c r="C13430" t="s">
        <v>6839</v>
      </c>
      <c r="D13430" t="s">
        <v>2798</v>
      </c>
      <c r="E13430" t="s">
        <v>558</v>
      </c>
      <c r="F13430" t="s">
        <v>1068</v>
      </c>
      <c r="G13430" t="s">
        <v>1087</v>
      </c>
      <c r="H13430" s="171" t="s">
        <v>7935</v>
      </c>
      <c r="I13430" t="s">
        <v>1088</v>
      </c>
      <c r="J13430">
        <v>9.01</v>
      </c>
    </row>
    <row r="13431" spans="1:10" hidden="1">
      <c r="A13431" t="s">
        <v>8005</v>
      </c>
      <c r="B13431" t="s">
        <v>8006</v>
      </c>
      <c r="C13431" t="s">
        <v>6839</v>
      </c>
      <c r="D13431" t="s">
        <v>2798</v>
      </c>
      <c r="E13431" t="s">
        <v>558</v>
      </c>
      <c r="F13431" t="s">
        <v>1068</v>
      </c>
      <c r="G13431" t="s">
        <v>1089</v>
      </c>
      <c r="H13431" s="171" t="s">
        <v>8012</v>
      </c>
      <c r="I13431" t="s">
        <v>1090</v>
      </c>
      <c r="J13431">
        <v>9.01</v>
      </c>
    </row>
    <row r="13432" spans="1:10" hidden="1">
      <c r="A13432" t="s">
        <v>8013</v>
      </c>
      <c r="B13432" t="s">
        <v>8014</v>
      </c>
      <c r="C13432" t="s">
        <v>6839</v>
      </c>
      <c r="D13432" t="s">
        <v>2798</v>
      </c>
      <c r="E13432" t="s">
        <v>553</v>
      </c>
      <c r="F13432" t="s">
        <v>1068</v>
      </c>
      <c r="G13432" t="s">
        <v>1069</v>
      </c>
      <c r="H13432" s="171" t="s">
        <v>8015</v>
      </c>
      <c r="I13432" t="s">
        <v>1070</v>
      </c>
      <c r="J13432">
        <v>9.59</v>
      </c>
    </row>
    <row r="13433" spans="1:10" hidden="1">
      <c r="A13433" t="s">
        <v>8013</v>
      </c>
      <c r="B13433" t="s">
        <v>8014</v>
      </c>
      <c r="C13433" t="s">
        <v>6839</v>
      </c>
      <c r="D13433" t="s">
        <v>2798</v>
      </c>
      <c r="E13433" t="s">
        <v>553</v>
      </c>
      <c r="F13433" t="s">
        <v>1068</v>
      </c>
      <c r="G13433" t="s">
        <v>1071</v>
      </c>
      <c r="H13433" s="171" t="s">
        <v>8016</v>
      </c>
      <c r="I13433" t="s">
        <v>1072</v>
      </c>
      <c r="J13433">
        <v>9.59</v>
      </c>
    </row>
    <row r="13434" spans="1:10" hidden="1">
      <c r="A13434" t="s">
        <v>8013</v>
      </c>
      <c r="B13434" t="s">
        <v>8014</v>
      </c>
      <c r="C13434" t="s">
        <v>6839</v>
      </c>
      <c r="D13434" t="s">
        <v>2798</v>
      </c>
      <c r="E13434" t="s">
        <v>553</v>
      </c>
      <c r="F13434" t="s">
        <v>1068</v>
      </c>
      <c r="G13434" t="s">
        <v>1073</v>
      </c>
      <c r="H13434" s="171" t="s">
        <v>8017</v>
      </c>
      <c r="I13434" t="s">
        <v>1074</v>
      </c>
      <c r="J13434">
        <v>9.59</v>
      </c>
    </row>
    <row r="13435" spans="1:10" hidden="1">
      <c r="A13435" t="s">
        <v>8013</v>
      </c>
      <c r="B13435" t="s">
        <v>8014</v>
      </c>
      <c r="C13435" t="s">
        <v>6839</v>
      </c>
      <c r="D13435" t="s">
        <v>2798</v>
      </c>
      <c r="E13435" t="s">
        <v>553</v>
      </c>
      <c r="F13435" t="s">
        <v>1068</v>
      </c>
      <c r="G13435" t="s">
        <v>1075</v>
      </c>
      <c r="H13435">
        <v>4.2559177972517201E-3</v>
      </c>
      <c r="I13435" t="s">
        <v>1077</v>
      </c>
      <c r="J13435">
        <v>9.59</v>
      </c>
    </row>
    <row r="13436" spans="1:10" hidden="1">
      <c r="A13436" t="s">
        <v>8013</v>
      </c>
      <c r="B13436" t="s">
        <v>8014</v>
      </c>
      <c r="C13436" t="s">
        <v>6839</v>
      </c>
      <c r="D13436" t="s">
        <v>2798</v>
      </c>
      <c r="E13436" t="s">
        <v>553</v>
      </c>
      <c r="F13436" t="s">
        <v>1068</v>
      </c>
      <c r="G13436" t="s">
        <v>1078</v>
      </c>
      <c r="H13436" s="171" t="s">
        <v>8018</v>
      </c>
      <c r="I13436" t="s">
        <v>1079</v>
      </c>
      <c r="J13436">
        <v>9.59</v>
      </c>
    </row>
    <row r="13437" spans="1:10" hidden="1">
      <c r="A13437" t="s">
        <v>8013</v>
      </c>
      <c r="B13437" t="s">
        <v>8014</v>
      </c>
      <c r="C13437" t="s">
        <v>6839</v>
      </c>
      <c r="D13437" t="s">
        <v>2798</v>
      </c>
      <c r="E13437" t="s">
        <v>553</v>
      </c>
      <c r="F13437" t="s">
        <v>1068</v>
      </c>
      <c r="G13437" t="s">
        <v>1080</v>
      </c>
      <c r="H13437" s="171" t="s">
        <v>8019</v>
      </c>
      <c r="I13437" t="s">
        <v>1082</v>
      </c>
      <c r="J13437">
        <v>9.59</v>
      </c>
    </row>
    <row r="13438" spans="1:10" hidden="1">
      <c r="A13438" t="s">
        <v>8013</v>
      </c>
      <c r="B13438" t="s">
        <v>8014</v>
      </c>
      <c r="C13438" t="s">
        <v>6839</v>
      </c>
      <c r="D13438" t="s">
        <v>2798</v>
      </c>
      <c r="E13438" t="s">
        <v>553</v>
      </c>
      <c r="F13438" t="s">
        <v>1068</v>
      </c>
      <c r="G13438" t="s">
        <v>1083</v>
      </c>
      <c r="H13438" s="171" t="s">
        <v>8020</v>
      </c>
      <c r="I13438" t="s">
        <v>1084</v>
      </c>
      <c r="J13438">
        <v>9.59</v>
      </c>
    </row>
    <row r="13439" spans="1:10" hidden="1">
      <c r="A13439" t="s">
        <v>8013</v>
      </c>
      <c r="B13439" t="s">
        <v>8014</v>
      </c>
      <c r="C13439" t="s">
        <v>6839</v>
      </c>
      <c r="D13439" t="s">
        <v>2798</v>
      </c>
      <c r="E13439" t="s">
        <v>553</v>
      </c>
      <c r="F13439" t="s">
        <v>1068</v>
      </c>
      <c r="G13439" t="s">
        <v>1085</v>
      </c>
      <c r="H13439">
        <v>1.55066032399366E-4</v>
      </c>
      <c r="I13439" t="s">
        <v>1086</v>
      </c>
      <c r="J13439">
        <v>9.59</v>
      </c>
    </row>
    <row r="13440" spans="1:10" hidden="1">
      <c r="A13440" t="s">
        <v>8013</v>
      </c>
      <c r="B13440" t="s">
        <v>8014</v>
      </c>
      <c r="C13440" t="s">
        <v>6839</v>
      </c>
      <c r="D13440" t="s">
        <v>2798</v>
      </c>
      <c r="E13440" t="s">
        <v>553</v>
      </c>
      <c r="F13440" t="s">
        <v>1068</v>
      </c>
      <c r="G13440" t="s">
        <v>1087</v>
      </c>
      <c r="H13440" s="171" t="s">
        <v>8021</v>
      </c>
      <c r="I13440" t="s">
        <v>1088</v>
      </c>
      <c r="J13440">
        <v>9.59</v>
      </c>
    </row>
    <row r="13441" spans="1:10" hidden="1">
      <c r="A13441" t="s">
        <v>8013</v>
      </c>
      <c r="B13441" t="s">
        <v>8014</v>
      </c>
      <c r="C13441" t="s">
        <v>6839</v>
      </c>
      <c r="D13441" t="s">
        <v>2798</v>
      </c>
      <c r="E13441" t="s">
        <v>553</v>
      </c>
      <c r="F13441" t="s">
        <v>1068</v>
      </c>
      <c r="G13441" t="s">
        <v>1089</v>
      </c>
      <c r="H13441" s="171" t="s">
        <v>8022</v>
      </c>
      <c r="I13441" t="s">
        <v>1090</v>
      </c>
      <c r="J13441">
        <v>9.59</v>
      </c>
    </row>
    <row r="13442" spans="1:10" hidden="1">
      <c r="A13442" t="s">
        <v>8023</v>
      </c>
      <c r="B13442" t="s">
        <v>8024</v>
      </c>
      <c r="C13442" t="s">
        <v>6839</v>
      </c>
      <c r="D13442" t="s">
        <v>2798</v>
      </c>
      <c r="E13442" t="s">
        <v>556</v>
      </c>
      <c r="F13442" t="s">
        <v>1068</v>
      </c>
      <c r="G13442" t="s">
        <v>1069</v>
      </c>
      <c r="H13442" s="171" t="s">
        <v>8025</v>
      </c>
      <c r="I13442" t="s">
        <v>1070</v>
      </c>
      <c r="J13442">
        <v>9.08</v>
      </c>
    </row>
    <row r="13443" spans="1:10" hidden="1">
      <c r="A13443" t="s">
        <v>8023</v>
      </c>
      <c r="B13443" t="s">
        <v>8024</v>
      </c>
      <c r="C13443" t="s">
        <v>6839</v>
      </c>
      <c r="D13443" t="s">
        <v>2798</v>
      </c>
      <c r="E13443" t="s">
        <v>556</v>
      </c>
      <c r="F13443" t="s">
        <v>1068</v>
      </c>
      <c r="G13443" t="s">
        <v>1071</v>
      </c>
      <c r="H13443" s="171" t="s">
        <v>8026</v>
      </c>
      <c r="I13443" t="s">
        <v>1072</v>
      </c>
      <c r="J13443">
        <v>9.08</v>
      </c>
    </row>
    <row r="13444" spans="1:10" hidden="1">
      <c r="A13444" t="s">
        <v>8023</v>
      </c>
      <c r="B13444" t="s">
        <v>8024</v>
      </c>
      <c r="C13444" t="s">
        <v>6839</v>
      </c>
      <c r="D13444" t="s">
        <v>2798</v>
      </c>
      <c r="E13444" t="s">
        <v>556</v>
      </c>
      <c r="F13444" t="s">
        <v>1068</v>
      </c>
      <c r="G13444" t="s">
        <v>1073</v>
      </c>
      <c r="H13444" s="171" t="s">
        <v>8027</v>
      </c>
      <c r="I13444" t="s">
        <v>1074</v>
      </c>
      <c r="J13444">
        <v>9.08</v>
      </c>
    </row>
    <row r="13445" spans="1:10" hidden="1">
      <c r="A13445" t="s">
        <v>8023</v>
      </c>
      <c r="B13445" t="s">
        <v>8024</v>
      </c>
      <c r="C13445" t="s">
        <v>6839</v>
      </c>
      <c r="D13445" t="s">
        <v>2798</v>
      </c>
      <c r="E13445" t="s">
        <v>556</v>
      </c>
      <c r="F13445" t="s">
        <v>1068</v>
      </c>
      <c r="G13445" t="s">
        <v>1075</v>
      </c>
      <c r="H13445">
        <v>4.2564062571144902E-3</v>
      </c>
      <c r="I13445" t="s">
        <v>1077</v>
      </c>
      <c r="J13445">
        <v>9.08</v>
      </c>
    </row>
    <row r="13446" spans="1:10" hidden="1">
      <c r="A13446" t="s">
        <v>8023</v>
      </c>
      <c r="B13446" t="s">
        <v>8024</v>
      </c>
      <c r="C13446" t="s">
        <v>6839</v>
      </c>
      <c r="D13446" t="s">
        <v>2798</v>
      </c>
      <c r="E13446" t="s">
        <v>556</v>
      </c>
      <c r="F13446" t="s">
        <v>1068</v>
      </c>
      <c r="G13446" t="s">
        <v>1078</v>
      </c>
      <c r="H13446">
        <v>4.8935266613268302E-2</v>
      </c>
      <c r="I13446" t="s">
        <v>1079</v>
      </c>
      <c r="J13446">
        <v>9.08</v>
      </c>
    </row>
    <row r="13447" spans="1:10" hidden="1">
      <c r="A13447" t="s">
        <v>8023</v>
      </c>
      <c r="B13447" t="s">
        <v>8024</v>
      </c>
      <c r="C13447" t="s">
        <v>6839</v>
      </c>
      <c r="D13447" t="s">
        <v>2798</v>
      </c>
      <c r="E13447" t="s">
        <v>556</v>
      </c>
      <c r="F13447" t="s">
        <v>1068</v>
      </c>
      <c r="G13447" t="s">
        <v>1080</v>
      </c>
      <c r="H13447" s="171" t="s">
        <v>8028</v>
      </c>
      <c r="I13447" t="s">
        <v>1082</v>
      </c>
      <c r="J13447">
        <v>9.08</v>
      </c>
    </row>
    <row r="13448" spans="1:10" hidden="1">
      <c r="A13448" t="s">
        <v>8023</v>
      </c>
      <c r="B13448" t="s">
        <v>8024</v>
      </c>
      <c r="C13448" t="s">
        <v>6839</v>
      </c>
      <c r="D13448" t="s">
        <v>2798</v>
      </c>
      <c r="E13448" t="s">
        <v>556</v>
      </c>
      <c r="F13448" t="s">
        <v>1068</v>
      </c>
      <c r="G13448" t="s">
        <v>1083</v>
      </c>
      <c r="H13448" s="171" t="s">
        <v>8029</v>
      </c>
      <c r="I13448" t="s">
        <v>1084</v>
      </c>
      <c r="J13448">
        <v>9.08</v>
      </c>
    </row>
    <row r="13449" spans="1:10" hidden="1">
      <c r="A13449" t="s">
        <v>8023</v>
      </c>
      <c r="B13449" t="s">
        <v>8024</v>
      </c>
      <c r="C13449" t="s">
        <v>6839</v>
      </c>
      <c r="D13449" t="s">
        <v>2798</v>
      </c>
      <c r="E13449" t="s">
        <v>556</v>
      </c>
      <c r="F13449" t="s">
        <v>1068</v>
      </c>
      <c r="G13449" t="s">
        <v>1085</v>
      </c>
      <c r="H13449">
        <v>1.5509257794076001E-4</v>
      </c>
      <c r="I13449" t="s">
        <v>1086</v>
      </c>
      <c r="J13449">
        <v>9.08</v>
      </c>
    </row>
    <row r="13450" spans="1:10" hidden="1">
      <c r="A13450" t="s">
        <v>8023</v>
      </c>
      <c r="B13450" t="s">
        <v>8024</v>
      </c>
      <c r="C13450" t="s">
        <v>6839</v>
      </c>
      <c r="D13450" t="s">
        <v>2798</v>
      </c>
      <c r="E13450" t="s">
        <v>556</v>
      </c>
      <c r="F13450" t="s">
        <v>1068</v>
      </c>
      <c r="G13450" t="s">
        <v>1087</v>
      </c>
      <c r="H13450" s="171" t="s">
        <v>6881</v>
      </c>
      <c r="I13450" t="s">
        <v>1088</v>
      </c>
      <c r="J13450">
        <v>9.08</v>
      </c>
    </row>
    <row r="13451" spans="1:10" hidden="1">
      <c r="A13451" t="s">
        <v>8023</v>
      </c>
      <c r="B13451" t="s">
        <v>8024</v>
      </c>
      <c r="C13451" t="s">
        <v>6839</v>
      </c>
      <c r="D13451" t="s">
        <v>2798</v>
      </c>
      <c r="E13451" t="s">
        <v>556</v>
      </c>
      <c r="F13451" t="s">
        <v>1068</v>
      </c>
      <c r="G13451" t="s">
        <v>1089</v>
      </c>
      <c r="H13451" s="171" t="s">
        <v>8030</v>
      </c>
      <c r="I13451" t="s">
        <v>1090</v>
      </c>
      <c r="J13451">
        <v>9.08</v>
      </c>
    </row>
    <row r="13452" spans="1:10" hidden="1">
      <c r="A13452" t="s">
        <v>8031</v>
      </c>
      <c r="B13452" t="s">
        <v>8032</v>
      </c>
      <c r="C13452" t="s">
        <v>6839</v>
      </c>
      <c r="D13452" t="s">
        <v>2798</v>
      </c>
      <c r="E13452" t="s">
        <v>557</v>
      </c>
      <c r="F13452" t="s">
        <v>1068</v>
      </c>
      <c r="G13452" t="s">
        <v>1069</v>
      </c>
      <c r="H13452" s="171" t="s">
        <v>8033</v>
      </c>
      <c r="I13452" t="s">
        <v>1070</v>
      </c>
      <c r="J13452">
        <v>8.32</v>
      </c>
    </row>
    <row r="13453" spans="1:10" hidden="1">
      <c r="A13453" t="s">
        <v>8031</v>
      </c>
      <c r="B13453" t="s">
        <v>8032</v>
      </c>
      <c r="C13453" t="s">
        <v>6839</v>
      </c>
      <c r="D13453" t="s">
        <v>2798</v>
      </c>
      <c r="E13453" t="s">
        <v>557</v>
      </c>
      <c r="F13453" t="s">
        <v>1068</v>
      </c>
      <c r="G13453" t="s">
        <v>1071</v>
      </c>
      <c r="H13453" s="171" t="s">
        <v>8034</v>
      </c>
      <c r="I13453" t="s">
        <v>1072</v>
      </c>
      <c r="J13453">
        <v>8.32</v>
      </c>
    </row>
    <row r="13454" spans="1:10" hidden="1">
      <c r="A13454" t="s">
        <v>8031</v>
      </c>
      <c r="B13454" t="s">
        <v>8032</v>
      </c>
      <c r="C13454" t="s">
        <v>6839</v>
      </c>
      <c r="D13454" t="s">
        <v>2798</v>
      </c>
      <c r="E13454" t="s">
        <v>557</v>
      </c>
      <c r="F13454" t="s">
        <v>1068</v>
      </c>
      <c r="G13454" t="s">
        <v>1073</v>
      </c>
      <c r="H13454" s="171" t="s">
        <v>8035</v>
      </c>
      <c r="I13454" t="s">
        <v>1074</v>
      </c>
      <c r="J13454">
        <v>8.32</v>
      </c>
    </row>
    <row r="13455" spans="1:10" hidden="1">
      <c r="A13455" t="s">
        <v>8031</v>
      </c>
      <c r="B13455" t="s">
        <v>8032</v>
      </c>
      <c r="C13455" t="s">
        <v>6839</v>
      </c>
      <c r="D13455" t="s">
        <v>2798</v>
      </c>
      <c r="E13455" t="s">
        <v>557</v>
      </c>
      <c r="F13455" t="s">
        <v>1068</v>
      </c>
      <c r="G13455" t="s">
        <v>1075</v>
      </c>
      <c r="H13455">
        <v>4.2561009323611801E-3</v>
      </c>
      <c r="I13455" t="s">
        <v>1077</v>
      </c>
      <c r="J13455">
        <v>8.32</v>
      </c>
    </row>
    <row r="13456" spans="1:10" hidden="1">
      <c r="A13456" t="s">
        <v>8031</v>
      </c>
      <c r="B13456" t="s">
        <v>8032</v>
      </c>
      <c r="C13456" t="s">
        <v>6839</v>
      </c>
      <c r="D13456" t="s">
        <v>2798</v>
      </c>
      <c r="E13456" t="s">
        <v>557</v>
      </c>
      <c r="F13456" t="s">
        <v>1068</v>
      </c>
      <c r="G13456" t="s">
        <v>1078</v>
      </c>
      <c r="H13456">
        <v>4.8922066960809502E-2</v>
      </c>
      <c r="I13456" t="s">
        <v>1079</v>
      </c>
      <c r="J13456">
        <v>8.32</v>
      </c>
    </row>
    <row r="13457" spans="1:10" hidden="1">
      <c r="A13457" t="s">
        <v>8031</v>
      </c>
      <c r="B13457" t="s">
        <v>8032</v>
      </c>
      <c r="C13457" t="s">
        <v>6839</v>
      </c>
      <c r="D13457" t="s">
        <v>2798</v>
      </c>
      <c r="E13457" t="s">
        <v>557</v>
      </c>
      <c r="F13457" t="s">
        <v>1068</v>
      </c>
      <c r="G13457" t="s">
        <v>1080</v>
      </c>
      <c r="H13457" s="171" t="s">
        <v>7959</v>
      </c>
      <c r="I13457" t="s">
        <v>1082</v>
      </c>
      <c r="J13457">
        <v>8.32</v>
      </c>
    </row>
    <row r="13458" spans="1:10" hidden="1">
      <c r="A13458" t="s">
        <v>8031</v>
      </c>
      <c r="B13458" t="s">
        <v>8032</v>
      </c>
      <c r="C13458" t="s">
        <v>6839</v>
      </c>
      <c r="D13458" t="s">
        <v>2798</v>
      </c>
      <c r="E13458" t="s">
        <v>557</v>
      </c>
      <c r="F13458" t="s">
        <v>1068</v>
      </c>
      <c r="G13458" t="s">
        <v>1083</v>
      </c>
      <c r="H13458" s="171" t="s">
        <v>8036</v>
      </c>
      <c r="I13458" t="s">
        <v>1084</v>
      </c>
      <c r="J13458">
        <v>8.32</v>
      </c>
    </row>
    <row r="13459" spans="1:10" hidden="1">
      <c r="A13459" t="s">
        <v>8031</v>
      </c>
      <c r="B13459" t="s">
        <v>8032</v>
      </c>
      <c r="C13459" t="s">
        <v>6839</v>
      </c>
      <c r="D13459" t="s">
        <v>2798</v>
      </c>
      <c r="E13459" t="s">
        <v>557</v>
      </c>
      <c r="F13459" t="s">
        <v>1068</v>
      </c>
      <c r="G13459" t="s">
        <v>1085</v>
      </c>
      <c r="H13459">
        <v>1.55075989019643E-4</v>
      </c>
      <c r="I13459" t="s">
        <v>1086</v>
      </c>
      <c r="J13459">
        <v>8.32</v>
      </c>
    </row>
    <row r="13460" spans="1:10" hidden="1">
      <c r="A13460" t="s">
        <v>8031</v>
      </c>
      <c r="B13460" t="s">
        <v>8032</v>
      </c>
      <c r="C13460" t="s">
        <v>6839</v>
      </c>
      <c r="D13460" t="s">
        <v>2798</v>
      </c>
      <c r="E13460" t="s">
        <v>557</v>
      </c>
      <c r="F13460" t="s">
        <v>1068</v>
      </c>
      <c r="G13460" t="s">
        <v>1087</v>
      </c>
      <c r="H13460" s="171" t="s">
        <v>7961</v>
      </c>
      <c r="I13460" t="s">
        <v>1088</v>
      </c>
      <c r="J13460">
        <v>8.32</v>
      </c>
    </row>
    <row r="13461" spans="1:10" hidden="1">
      <c r="A13461" t="s">
        <v>8031</v>
      </c>
      <c r="B13461" t="s">
        <v>8032</v>
      </c>
      <c r="C13461" t="s">
        <v>6839</v>
      </c>
      <c r="D13461" t="s">
        <v>2798</v>
      </c>
      <c r="E13461" t="s">
        <v>557</v>
      </c>
      <c r="F13461" t="s">
        <v>1068</v>
      </c>
      <c r="G13461" t="s">
        <v>1089</v>
      </c>
      <c r="H13461" s="171" t="s">
        <v>8037</v>
      </c>
      <c r="I13461" t="s">
        <v>1090</v>
      </c>
      <c r="J13461">
        <v>8.32</v>
      </c>
    </row>
    <row r="13462" spans="1:10" hidden="1">
      <c r="A13462" t="s">
        <v>8038</v>
      </c>
      <c r="B13462" t="s">
        <v>8039</v>
      </c>
      <c r="C13462" t="s">
        <v>6839</v>
      </c>
      <c r="D13462" t="s">
        <v>2798</v>
      </c>
      <c r="E13462" t="s">
        <v>559</v>
      </c>
      <c r="F13462" t="s">
        <v>1068</v>
      </c>
      <c r="G13462" t="s">
        <v>1069</v>
      </c>
      <c r="H13462" s="171" t="s">
        <v>8040</v>
      </c>
      <c r="I13462" t="s">
        <v>1070</v>
      </c>
      <c r="J13462">
        <v>8.18</v>
      </c>
    </row>
    <row r="13463" spans="1:10" hidden="1">
      <c r="A13463" t="s">
        <v>8038</v>
      </c>
      <c r="B13463" t="s">
        <v>8039</v>
      </c>
      <c r="C13463" t="s">
        <v>6839</v>
      </c>
      <c r="D13463" t="s">
        <v>2798</v>
      </c>
      <c r="E13463" t="s">
        <v>559</v>
      </c>
      <c r="F13463" t="s">
        <v>1068</v>
      </c>
      <c r="G13463" t="s">
        <v>1071</v>
      </c>
      <c r="H13463" s="171" t="s">
        <v>8041</v>
      </c>
      <c r="I13463" t="s">
        <v>1072</v>
      </c>
      <c r="J13463">
        <v>8.18</v>
      </c>
    </row>
    <row r="13464" spans="1:10" hidden="1">
      <c r="A13464" t="s">
        <v>8038</v>
      </c>
      <c r="B13464" t="s">
        <v>8039</v>
      </c>
      <c r="C13464" t="s">
        <v>6839</v>
      </c>
      <c r="D13464" t="s">
        <v>2798</v>
      </c>
      <c r="E13464" t="s">
        <v>559</v>
      </c>
      <c r="F13464" t="s">
        <v>1068</v>
      </c>
      <c r="G13464" t="s">
        <v>1073</v>
      </c>
      <c r="H13464" s="171" t="s">
        <v>8042</v>
      </c>
      <c r="I13464" t="s">
        <v>1074</v>
      </c>
      <c r="J13464">
        <v>8.18</v>
      </c>
    </row>
    <row r="13465" spans="1:10" hidden="1">
      <c r="A13465" t="s">
        <v>8038</v>
      </c>
      <c r="B13465" t="s">
        <v>8039</v>
      </c>
      <c r="C13465" t="s">
        <v>6839</v>
      </c>
      <c r="D13465" t="s">
        <v>2798</v>
      </c>
      <c r="E13465" t="s">
        <v>559</v>
      </c>
      <c r="F13465" t="s">
        <v>1068</v>
      </c>
      <c r="G13465" t="s">
        <v>1075</v>
      </c>
      <c r="H13465">
        <v>4.2562610662863903E-3</v>
      </c>
      <c r="I13465" t="s">
        <v>1077</v>
      </c>
      <c r="J13465">
        <v>8.18</v>
      </c>
    </row>
    <row r="13466" spans="1:10" hidden="1">
      <c r="A13466" t="s">
        <v>8038</v>
      </c>
      <c r="B13466" t="s">
        <v>8039</v>
      </c>
      <c r="C13466" t="s">
        <v>6839</v>
      </c>
      <c r="D13466" t="s">
        <v>2798</v>
      </c>
      <c r="E13466" t="s">
        <v>559</v>
      </c>
      <c r="F13466" t="s">
        <v>1068</v>
      </c>
      <c r="G13466" t="s">
        <v>1078</v>
      </c>
      <c r="H13466">
        <v>4.89289880018264E-2</v>
      </c>
      <c r="I13466" t="s">
        <v>1079</v>
      </c>
      <c r="J13466">
        <v>8.18</v>
      </c>
    </row>
    <row r="13467" spans="1:10" hidden="1">
      <c r="A13467" t="s">
        <v>8038</v>
      </c>
      <c r="B13467" t="s">
        <v>8039</v>
      </c>
      <c r="C13467" t="s">
        <v>6839</v>
      </c>
      <c r="D13467" t="s">
        <v>2798</v>
      </c>
      <c r="E13467" t="s">
        <v>559</v>
      </c>
      <c r="F13467" t="s">
        <v>1068</v>
      </c>
      <c r="G13467" t="s">
        <v>1080</v>
      </c>
      <c r="H13467" s="171" t="s">
        <v>8043</v>
      </c>
      <c r="I13467" t="s">
        <v>1082</v>
      </c>
      <c r="J13467">
        <v>8.18</v>
      </c>
    </row>
    <row r="13468" spans="1:10" hidden="1">
      <c r="A13468" t="s">
        <v>8038</v>
      </c>
      <c r="B13468" t="s">
        <v>8039</v>
      </c>
      <c r="C13468" t="s">
        <v>6839</v>
      </c>
      <c r="D13468" t="s">
        <v>2798</v>
      </c>
      <c r="E13468" t="s">
        <v>559</v>
      </c>
      <c r="F13468" t="s">
        <v>1068</v>
      </c>
      <c r="G13468" t="s">
        <v>1083</v>
      </c>
      <c r="H13468" s="171" t="s">
        <v>8044</v>
      </c>
      <c r="I13468" t="s">
        <v>1084</v>
      </c>
      <c r="J13468">
        <v>8.18</v>
      </c>
    </row>
    <row r="13469" spans="1:10" hidden="1">
      <c r="A13469" t="s">
        <v>8038</v>
      </c>
      <c r="B13469" t="s">
        <v>8039</v>
      </c>
      <c r="C13469" t="s">
        <v>6839</v>
      </c>
      <c r="D13469" t="s">
        <v>2798</v>
      </c>
      <c r="E13469" t="s">
        <v>559</v>
      </c>
      <c r="F13469" t="s">
        <v>1068</v>
      </c>
      <c r="G13469" t="s">
        <v>1085</v>
      </c>
      <c r="H13469">
        <v>1.5508468748870501E-4</v>
      </c>
      <c r="I13469" t="s">
        <v>1086</v>
      </c>
      <c r="J13469">
        <v>8.18</v>
      </c>
    </row>
    <row r="13470" spans="1:10" hidden="1">
      <c r="A13470" t="s">
        <v>8038</v>
      </c>
      <c r="B13470" t="s">
        <v>8039</v>
      </c>
      <c r="C13470" t="s">
        <v>6839</v>
      </c>
      <c r="D13470" t="s">
        <v>2798</v>
      </c>
      <c r="E13470" t="s">
        <v>559</v>
      </c>
      <c r="F13470" t="s">
        <v>1068</v>
      </c>
      <c r="G13470" t="s">
        <v>1087</v>
      </c>
      <c r="H13470" s="171" t="s">
        <v>8045</v>
      </c>
      <c r="I13470" t="s">
        <v>1088</v>
      </c>
      <c r="J13470">
        <v>8.18</v>
      </c>
    </row>
    <row r="13471" spans="1:10" hidden="1">
      <c r="A13471" t="s">
        <v>8038</v>
      </c>
      <c r="B13471" t="s">
        <v>8039</v>
      </c>
      <c r="C13471" t="s">
        <v>6839</v>
      </c>
      <c r="D13471" t="s">
        <v>2798</v>
      </c>
      <c r="E13471" t="s">
        <v>559</v>
      </c>
      <c r="F13471" t="s">
        <v>1068</v>
      </c>
      <c r="G13471" t="s">
        <v>1089</v>
      </c>
      <c r="H13471" s="171" t="s">
        <v>8046</v>
      </c>
      <c r="I13471" t="s">
        <v>1090</v>
      </c>
      <c r="J13471">
        <v>8.18</v>
      </c>
    </row>
    <row r="13472" spans="1:10" hidden="1">
      <c r="A13472" t="s">
        <v>8047</v>
      </c>
      <c r="B13472" t="s">
        <v>8048</v>
      </c>
      <c r="C13472" t="s">
        <v>6839</v>
      </c>
      <c r="D13472" t="s">
        <v>2798</v>
      </c>
      <c r="E13472" t="s">
        <v>560</v>
      </c>
      <c r="F13472" t="s">
        <v>1068</v>
      </c>
      <c r="G13472" t="s">
        <v>1069</v>
      </c>
      <c r="H13472" s="171" t="s">
        <v>8049</v>
      </c>
      <c r="I13472" t="s">
        <v>1070</v>
      </c>
      <c r="J13472">
        <v>8.89</v>
      </c>
    </row>
    <row r="13473" spans="1:10" hidden="1">
      <c r="A13473" t="s">
        <v>8047</v>
      </c>
      <c r="B13473" t="s">
        <v>8048</v>
      </c>
      <c r="C13473" t="s">
        <v>6839</v>
      </c>
      <c r="D13473" t="s">
        <v>2798</v>
      </c>
      <c r="E13473" t="s">
        <v>560</v>
      </c>
      <c r="F13473" t="s">
        <v>1068</v>
      </c>
      <c r="G13473" t="s">
        <v>1071</v>
      </c>
      <c r="H13473" s="171" t="s">
        <v>8050</v>
      </c>
      <c r="I13473" t="s">
        <v>1072</v>
      </c>
      <c r="J13473">
        <v>8.89</v>
      </c>
    </row>
    <row r="13474" spans="1:10" hidden="1">
      <c r="A13474" t="s">
        <v>8047</v>
      </c>
      <c r="B13474" t="s">
        <v>8048</v>
      </c>
      <c r="C13474" t="s">
        <v>6839</v>
      </c>
      <c r="D13474" t="s">
        <v>2798</v>
      </c>
      <c r="E13474" t="s">
        <v>560</v>
      </c>
      <c r="F13474" t="s">
        <v>1068</v>
      </c>
      <c r="G13474" t="s">
        <v>1073</v>
      </c>
      <c r="H13474" s="171" t="s">
        <v>8051</v>
      </c>
      <c r="I13474" t="s">
        <v>1074</v>
      </c>
      <c r="J13474">
        <v>8.89</v>
      </c>
    </row>
    <row r="13475" spans="1:10" hidden="1">
      <c r="A13475" t="s">
        <v>8047</v>
      </c>
      <c r="B13475" t="s">
        <v>8048</v>
      </c>
      <c r="C13475" t="s">
        <v>6839</v>
      </c>
      <c r="D13475" t="s">
        <v>2798</v>
      </c>
      <c r="E13475" t="s">
        <v>560</v>
      </c>
      <c r="F13475" t="s">
        <v>1068</v>
      </c>
      <c r="G13475" t="s">
        <v>1075</v>
      </c>
      <c r="H13475">
        <v>4.2561898689239003E-3</v>
      </c>
      <c r="I13475" t="s">
        <v>1077</v>
      </c>
      <c r="J13475">
        <v>8.89</v>
      </c>
    </row>
    <row r="13476" spans="1:10" hidden="1">
      <c r="A13476" t="s">
        <v>8047</v>
      </c>
      <c r="B13476" t="s">
        <v>8048</v>
      </c>
      <c r="C13476" t="s">
        <v>6839</v>
      </c>
      <c r="D13476" t="s">
        <v>2798</v>
      </c>
      <c r="E13476" t="s">
        <v>560</v>
      </c>
      <c r="F13476" t="s">
        <v>1068</v>
      </c>
      <c r="G13476" t="s">
        <v>1078</v>
      </c>
      <c r="H13476">
        <v>4.8925912920845402E-2</v>
      </c>
      <c r="I13476" t="s">
        <v>1079</v>
      </c>
      <c r="J13476">
        <v>8.89</v>
      </c>
    </row>
    <row r="13477" spans="1:10" hidden="1">
      <c r="A13477" t="s">
        <v>8047</v>
      </c>
      <c r="B13477" t="s">
        <v>8048</v>
      </c>
      <c r="C13477" t="s">
        <v>6839</v>
      </c>
      <c r="D13477" t="s">
        <v>2798</v>
      </c>
      <c r="E13477" t="s">
        <v>560</v>
      </c>
      <c r="F13477" t="s">
        <v>1068</v>
      </c>
      <c r="G13477" t="s">
        <v>1080</v>
      </c>
      <c r="H13477" s="171" t="s">
        <v>6906</v>
      </c>
      <c r="I13477" t="s">
        <v>1082</v>
      </c>
      <c r="J13477">
        <v>8.89</v>
      </c>
    </row>
    <row r="13478" spans="1:10" hidden="1">
      <c r="A13478" t="s">
        <v>8047</v>
      </c>
      <c r="B13478" t="s">
        <v>8048</v>
      </c>
      <c r="C13478" t="s">
        <v>6839</v>
      </c>
      <c r="D13478" t="s">
        <v>2798</v>
      </c>
      <c r="E13478" t="s">
        <v>560</v>
      </c>
      <c r="F13478" t="s">
        <v>1068</v>
      </c>
      <c r="G13478" t="s">
        <v>1083</v>
      </c>
      <c r="H13478" s="171" t="s">
        <v>8052</v>
      </c>
      <c r="I13478" t="s">
        <v>1084</v>
      </c>
      <c r="J13478">
        <v>8.89</v>
      </c>
    </row>
    <row r="13479" spans="1:10" hidden="1">
      <c r="A13479" t="s">
        <v>8047</v>
      </c>
      <c r="B13479" t="s">
        <v>8048</v>
      </c>
      <c r="C13479" t="s">
        <v>6839</v>
      </c>
      <c r="D13479" t="s">
        <v>2798</v>
      </c>
      <c r="E13479" t="s">
        <v>560</v>
      </c>
      <c r="F13479" t="s">
        <v>1068</v>
      </c>
      <c r="G13479" t="s">
        <v>1085</v>
      </c>
      <c r="H13479">
        <v>1.5508082231177199E-4</v>
      </c>
      <c r="I13479" t="s">
        <v>1086</v>
      </c>
      <c r="J13479">
        <v>8.89</v>
      </c>
    </row>
    <row r="13480" spans="1:10" hidden="1">
      <c r="A13480" t="s">
        <v>8047</v>
      </c>
      <c r="B13480" t="s">
        <v>8048</v>
      </c>
      <c r="C13480" t="s">
        <v>6839</v>
      </c>
      <c r="D13480" t="s">
        <v>2798</v>
      </c>
      <c r="E13480" t="s">
        <v>560</v>
      </c>
      <c r="F13480" t="s">
        <v>1068</v>
      </c>
      <c r="G13480" t="s">
        <v>1087</v>
      </c>
      <c r="H13480" s="171" t="s">
        <v>6908</v>
      </c>
      <c r="I13480" t="s">
        <v>1088</v>
      </c>
      <c r="J13480">
        <v>8.89</v>
      </c>
    </row>
    <row r="13481" spans="1:10" hidden="1">
      <c r="A13481" t="s">
        <v>8047</v>
      </c>
      <c r="B13481" t="s">
        <v>8048</v>
      </c>
      <c r="C13481" t="s">
        <v>6839</v>
      </c>
      <c r="D13481" t="s">
        <v>2798</v>
      </c>
      <c r="E13481" t="s">
        <v>560</v>
      </c>
      <c r="F13481" t="s">
        <v>1068</v>
      </c>
      <c r="G13481" t="s">
        <v>1089</v>
      </c>
      <c r="H13481" s="171" t="s">
        <v>8053</v>
      </c>
      <c r="I13481" t="s">
        <v>1090</v>
      </c>
      <c r="J13481">
        <v>8.89</v>
      </c>
    </row>
    <row r="13482" spans="1:10" hidden="1">
      <c r="A13482" t="s">
        <v>8054</v>
      </c>
      <c r="B13482" t="s">
        <v>8055</v>
      </c>
      <c r="C13482" t="s">
        <v>6839</v>
      </c>
      <c r="D13482" t="s">
        <v>2798</v>
      </c>
      <c r="E13482" t="s">
        <v>1116</v>
      </c>
      <c r="F13482" t="s">
        <v>1068</v>
      </c>
      <c r="G13482" t="s">
        <v>1069</v>
      </c>
      <c r="H13482" s="171" t="s">
        <v>8056</v>
      </c>
      <c r="I13482" t="s">
        <v>1070</v>
      </c>
      <c r="J13482">
        <v>8.83</v>
      </c>
    </row>
    <row r="13483" spans="1:10" hidden="1">
      <c r="A13483" t="s">
        <v>8054</v>
      </c>
      <c r="B13483" t="s">
        <v>8055</v>
      </c>
      <c r="C13483" t="s">
        <v>6839</v>
      </c>
      <c r="D13483" t="s">
        <v>2798</v>
      </c>
      <c r="E13483" t="s">
        <v>1116</v>
      </c>
      <c r="F13483" t="s">
        <v>1068</v>
      </c>
      <c r="G13483" t="s">
        <v>1071</v>
      </c>
      <c r="H13483" s="171" t="s">
        <v>8057</v>
      </c>
      <c r="I13483" t="s">
        <v>1072</v>
      </c>
      <c r="J13483">
        <v>8.83</v>
      </c>
    </row>
    <row r="13484" spans="1:10" hidden="1">
      <c r="A13484" t="s">
        <v>8054</v>
      </c>
      <c r="B13484" t="s">
        <v>8055</v>
      </c>
      <c r="C13484" t="s">
        <v>6839</v>
      </c>
      <c r="D13484" t="s">
        <v>2798</v>
      </c>
      <c r="E13484" t="s">
        <v>1116</v>
      </c>
      <c r="F13484" t="s">
        <v>1068</v>
      </c>
      <c r="G13484" t="s">
        <v>1073</v>
      </c>
      <c r="H13484" s="171" t="s">
        <v>8058</v>
      </c>
      <c r="I13484" t="s">
        <v>1074</v>
      </c>
      <c r="J13484">
        <v>8.83</v>
      </c>
    </row>
    <row r="13485" spans="1:10" hidden="1">
      <c r="A13485" t="s">
        <v>8054</v>
      </c>
      <c r="B13485" t="s">
        <v>8055</v>
      </c>
      <c r="C13485" t="s">
        <v>6839</v>
      </c>
      <c r="D13485" t="s">
        <v>2798</v>
      </c>
      <c r="E13485" t="s">
        <v>1116</v>
      </c>
      <c r="F13485" t="s">
        <v>1068</v>
      </c>
      <c r="G13485" t="s">
        <v>1075</v>
      </c>
      <c r="H13485">
        <v>4.25591993751211E-3</v>
      </c>
      <c r="I13485" t="s">
        <v>1077</v>
      </c>
      <c r="J13485">
        <v>8.83</v>
      </c>
    </row>
    <row r="13486" spans="1:10" hidden="1">
      <c r="A13486" t="s">
        <v>8054</v>
      </c>
      <c r="B13486" t="s">
        <v>8055</v>
      </c>
      <c r="C13486" t="s">
        <v>6839</v>
      </c>
      <c r="D13486" t="s">
        <v>2798</v>
      </c>
      <c r="E13486" t="s">
        <v>1116</v>
      </c>
      <c r="F13486" t="s">
        <v>1068</v>
      </c>
      <c r="G13486" t="s">
        <v>1078</v>
      </c>
      <c r="H13486" s="171" t="s">
        <v>8059</v>
      </c>
      <c r="I13486" t="s">
        <v>1079</v>
      </c>
      <c r="J13486">
        <v>8.83</v>
      </c>
    </row>
    <row r="13487" spans="1:10" hidden="1">
      <c r="A13487" t="s">
        <v>8054</v>
      </c>
      <c r="B13487" t="s">
        <v>8055</v>
      </c>
      <c r="C13487" t="s">
        <v>6839</v>
      </c>
      <c r="D13487" t="s">
        <v>2798</v>
      </c>
      <c r="E13487" t="s">
        <v>1116</v>
      </c>
      <c r="F13487" t="s">
        <v>1068</v>
      </c>
      <c r="G13487" t="s">
        <v>1080</v>
      </c>
      <c r="H13487" s="171" t="s">
        <v>7985</v>
      </c>
      <c r="I13487" t="s">
        <v>1082</v>
      </c>
      <c r="J13487">
        <v>8.83</v>
      </c>
    </row>
    <row r="13488" spans="1:10" hidden="1">
      <c r="A13488" t="s">
        <v>8054</v>
      </c>
      <c r="B13488" t="s">
        <v>8055</v>
      </c>
      <c r="C13488" t="s">
        <v>6839</v>
      </c>
      <c r="D13488" t="s">
        <v>2798</v>
      </c>
      <c r="E13488" t="s">
        <v>1116</v>
      </c>
      <c r="F13488" t="s">
        <v>1068</v>
      </c>
      <c r="G13488" t="s">
        <v>1083</v>
      </c>
      <c r="H13488" s="171" t="s">
        <v>8060</v>
      </c>
      <c r="I13488" t="s">
        <v>1084</v>
      </c>
      <c r="J13488">
        <v>8.83</v>
      </c>
    </row>
    <row r="13489" spans="1:10" hidden="1">
      <c r="A13489" t="s">
        <v>8054</v>
      </c>
      <c r="B13489" t="s">
        <v>8055</v>
      </c>
      <c r="C13489" t="s">
        <v>6839</v>
      </c>
      <c r="D13489" t="s">
        <v>2798</v>
      </c>
      <c r="E13489" t="s">
        <v>1116</v>
      </c>
      <c r="F13489" t="s">
        <v>1068</v>
      </c>
      <c r="G13489" t="s">
        <v>1085</v>
      </c>
      <c r="H13489">
        <v>1.55066152784101E-4</v>
      </c>
      <c r="I13489" t="s">
        <v>1086</v>
      </c>
      <c r="J13489">
        <v>8.83</v>
      </c>
    </row>
    <row r="13490" spans="1:10" hidden="1">
      <c r="A13490" t="s">
        <v>8054</v>
      </c>
      <c r="B13490" t="s">
        <v>8055</v>
      </c>
      <c r="C13490" t="s">
        <v>6839</v>
      </c>
      <c r="D13490" t="s">
        <v>2798</v>
      </c>
      <c r="E13490" t="s">
        <v>1116</v>
      </c>
      <c r="F13490" t="s">
        <v>1068</v>
      </c>
      <c r="G13490" t="s">
        <v>1087</v>
      </c>
      <c r="H13490" s="171" t="s">
        <v>7987</v>
      </c>
      <c r="I13490" t="s">
        <v>1088</v>
      </c>
      <c r="J13490">
        <v>8.83</v>
      </c>
    </row>
    <row r="13491" spans="1:10" hidden="1">
      <c r="A13491" t="s">
        <v>8054</v>
      </c>
      <c r="B13491" t="s">
        <v>8055</v>
      </c>
      <c r="C13491" t="s">
        <v>6839</v>
      </c>
      <c r="D13491" t="s">
        <v>2798</v>
      </c>
      <c r="E13491" t="s">
        <v>1116</v>
      </c>
      <c r="F13491" t="s">
        <v>1068</v>
      </c>
      <c r="G13491" t="s">
        <v>1089</v>
      </c>
      <c r="H13491" s="171" t="s">
        <v>8061</v>
      </c>
      <c r="I13491" t="s">
        <v>1090</v>
      </c>
      <c r="J13491">
        <v>8.83</v>
      </c>
    </row>
    <row r="13492" spans="1:10" hidden="1">
      <c r="A13492" t="s">
        <v>8062</v>
      </c>
      <c r="B13492" t="s">
        <v>8063</v>
      </c>
      <c r="C13492" t="s">
        <v>6839</v>
      </c>
      <c r="D13492" t="s">
        <v>2886</v>
      </c>
      <c r="E13492" t="s">
        <v>561</v>
      </c>
      <c r="F13492" t="s">
        <v>1068</v>
      </c>
      <c r="G13492" t="s">
        <v>1069</v>
      </c>
      <c r="H13492" s="171" t="s">
        <v>8064</v>
      </c>
      <c r="I13492" t="s">
        <v>1070</v>
      </c>
      <c r="J13492">
        <v>9.1</v>
      </c>
    </row>
    <row r="13493" spans="1:10" hidden="1">
      <c r="A13493" t="s">
        <v>8062</v>
      </c>
      <c r="B13493" t="s">
        <v>8063</v>
      </c>
      <c r="C13493" t="s">
        <v>6839</v>
      </c>
      <c r="D13493" t="s">
        <v>2886</v>
      </c>
      <c r="E13493" t="s">
        <v>561</v>
      </c>
      <c r="F13493" t="s">
        <v>1068</v>
      </c>
      <c r="G13493" t="s">
        <v>1071</v>
      </c>
      <c r="H13493" s="171" t="s">
        <v>8065</v>
      </c>
      <c r="I13493" t="s">
        <v>1072</v>
      </c>
      <c r="J13493">
        <v>9.1</v>
      </c>
    </row>
    <row r="13494" spans="1:10" hidden="1">
      <c r="A13494" t="s">
        <v>8062</v>
      </c>
      <c r="B13494" t="s">
        <v>8063</v>
      </c>
      <c r="C13494" t="s">
        <v>6839</v>
      </c>
      <c r="D13494" t="s">
        <v>2886</v>
      </c>
      <c r="E13494" t="s">
        <v>561</v>
      </c>
      <c r="F13494" t="s">
        <v>1068</v>
      </c>
      <c r="G13494" t="s">
        <v>1073</v>
      </c>
      <c r="H13494" s="171" t="s">
        <v>8066</v>
      </c>
      <c r="I13494" t="s">
        <v>1074</v>
      </c>
      <c r="J13494">
        <v>9.1</v>
      </c>
    </row>
    <row r="13495" spans="1:10" hidden="1">
      <c r="A13495" t="s">
        <v>8062</v>
      </c>
      <c r="B13495" t="s">
        <v>8063</v>
      </c>
      <c r="C13495" t="s">
        <v>6839</v>
      </c>
      <c r="D13495" t="s">
        <v>2886</v>
      </c>
      <c r="E13495" t="s">
        <v>561</v>
      </c>
      <c r="F13495" t="s">
        <v>1068</v>
      </c>
      <c r="G13495" t="s">
        <v>1075</v>
      </c>
      <c r="H13495">
        <v>4.2503911771904698E-3</v>
      </c>
      <c r="I13495" t="s">
        <v>1077</v>
      </c>
      <c r="J13495">
        <v>9.1</v>
      </c>
    </row>
    <row r="13496" spans="1:10" hidden="1">
      <c r="A13496" t="s">
        <v>8062</v>
      </c>
      <c r="B13496" t="s">
        <v>8063</v>
      </c>
      <c r="C13496" t="s">
        <v>6839</v>
      </c>
      <c r="D13496" t="s">
        <v>2886</v>
      </c>
      <c r="E13496" t="s">
        <v>561</v>
      </c>
      <c r="F13496" t="s">
        <v>1068</v>
      </c>
      <c r="G13496" t="s">
        <v>1078</v>
      </c>
      <c r="H13496">
        <v>4.8914218859041098E-2</v>
      </c>
      <c r="I13496" t="s">
        <v>1079</v>
      </c>
      <c r="J13496">
        <v>9.1</v>
      </c>
    </row>
    <row r="13497" spans="1:10" hidden="1">
      <c r="A13497" t="s">
        <v>8062</v>
      </c>
      <c r="B13497" t="s">
        <v>8063</v>
      </c>
      <c r="C13497" t="s">
        <v>6839</v>
      </c>
      <c r="D13497" t="s">
        <v>2886</v>
      </c>
      <c r="E13497" t="s">
        <v>561</v>
      </c>
      <c r="F13497" t="s">
        <v>1068</v>
      </c>
      <c r="G13497" t="s">
        <v>1080</v>
      </c>
      <c r="H13497" s="171" t="s">
        <v>8067</v>
      </c>
      <c r="I13497" t="s">
        <v>1082</v>
      </c>
      <c r="J13497">
        <v>9.1</v>
      </c>
    </row>
    <row r="13498" spans="1:10" hidden="1">
      <c r="A13498" t="s">
        <v>8062</v>
      </c>
      <c r="B13498" t="s">
        <v>8063</v>
      </c>
      <c r="C13498" t="s">
        <v>6839</v>
      </c>
      <c r="D13498" t="s">
        <v>2886</v>
      </c>
      <c r="E13498" t="s">
        <v>561</v>
      </c>
      <c r="F13498" t="s">
        <v>1068</v>
      </c>
      <c r="G13498" t="s">
        <v>1083</v>
      </c>
      <c r="H13498" s="171" t="s">
        <v>8068</v>
      </c>
      <c r="I13498" t="s">
        <v>1084</v>
      </c>
      <c r="J13498">
        <v>9.1</v>
      </c>
    </row>
    <row r="13499" spans="1:10" hidden="1">
      <c r="A13499" t="s">
        <v>8062</v>
      </c>
      <c r="B13499" t="s">
        <v>8063</v>
      </c>
      <c r="C13499" t="s">
        <v>6839</v>
      </c>
      <c r="D13499" t="s">
        <v>2886</v>
      </c>
      <c r="E13499" t="s">
        <v>561</v>
      </c>
      <c r="F13499" t="s">
        <v>1068</v>
      </c>
      <c r="G13499" t="s">
        <v>1085</v>
      </c>
      <c r="H13499">
        <v>1.5487578556535301E-4</v>
      </c>
      <c r="I13499" t="s">
        <v>1086</v>
      </c>
      <c r="J13499">
        <v>9.1</v>
      </c>
    </row>
    <row r="13500" spans="1:10" hidden="1">
      <c r="A13500" t="s">
        <v>8062</v>
      </c>
      <c r="B13500" t="s">
        <v>8063</v>
      </c>
      <c r="C13500" t="s">
        <v>6839</v>
      </c>
      <c r="D13500" t="s">
        <v>2886</v>
      </c>
      <c r="E13500" t="s">
        <v>561</v>
      </c>
      <c r="F13500" t="s">
        <v>1068</v>
      </c>
      <c r="G13500" t="s">
        <v>1087</v>
      </c>
      <c r="H13500" s="171" t="s">
        <v>8069</v>
      </c>
      <c r="I13500" t="s">
        <v>1088</v>
      </c>
      <c r="J13500">
        <v>9.1</v>
      </c>
    </row>
    <row r="13501" spans="1:10" hidden="1">
      <c r="A13501" t="s">
        <v>8062</v>
      </c>
      <c r="B13501" t="s">
        <v>8063</v>
      </c>
      <c r="C13501" t="s">
        <v>6839</v>
      </c>
      <c r="D13501" t="s">
        <v>2886</v>
      </c>
      <c r="E13501" t="s">
        <v>561</v>
      </c>
      <c r="F13501" t="s">
        <v>1068</v>
      </c>
      <c r="G13501" t="s">
        <v>1089</v>
      </c>
      <c r="H13501" s="171" t="s">
        <v>8070</v>
      </c>
      <c r="I13501" t="s">
        <v>1090</v>
      </c>
      <c r="J13501">
        <v>9.1</v>
      </c>
    </row>
    <row r="13502" spans="1:10" hidden="1">
      <c r="A13502" t="s">
        <v>8071</v>
      </c>
      <c r="B13502" t="s">
        <v>8072</v>
      </c>
      <c r="C13502" t="s">
        <v>6839</v>
      </c>
      <c r="D13502" t="s">
        <v>2886</v>
      </c>
      <c r="E13502" t="s">
        <v>555</v>
      </c>
      <c r="F13502" t="s">
        <v>1068</v>
      </c>
      <c r="G13502" t="s">
        <v>1069</v>
      </c>
      <c r="H13502" s="171" t="s">
        <v>8073</v>
      </c>
      <c r="I13502" t="s">
        <v>1070</v>
      </c>
      <c r="J13502">
        <v>9.19</v>
      </c>
    </row>
    <row r="13503" spans="1:10" hidden="1">
      <c r="A13503" t="s">
        <v>8071</v>
      </c>
      <c r="B13503" t="s">
        <v>8072</v>
      </c>
      <c r="C13503" t="s">
        <v>6839</v>
      </c>
      <c r="D13503" t="s">
        <v>2886</v>
      </c>
      <c r="E13503" t="s">
        <v>555</v>
      </c>
      <c r="F13503" t="s">
        <v>1068</v>
      </c>
      <c r="G13503" t="s">
        <v>1071</v>
      </c>
      <c r="H13503" s="171" t="s">
        <v>8074</v>
      </c>
      <c r="I13503" t="s">
        <v>1072</v>
      </c>
      <c r="J13503">
        <v>9.19</v>
      </c>
    </row>
    <row r="13504" spans="1:10" hidden="1">
      <c r="A13504" t="s">
        <v>8071</v>
      </c>
      <c r="B13504" t="s">
        <v>8072</v>
      </c>
      <c r="C13504" t="s">
        <v>6839</v>
      </c>
      <c r="D13504" t="s">
        <v>2886</v>
      </c>
      <c r="E13504" t="s">
        <v>555</v>
      </c>
      <c r="F13504" t="s">
        <v>1068</v>
      </c>
      <c r="G13504" t="s">
        <v>1073</v>
      </c>
      <c r="H13504" s="171" t="s">
        <v>8075</v>
      </c>
      <c r="I13504" t="s">
        <v>1074</v>
      </c>
      <c r="J13504">
        <v>9.19</v>
      </c>
    </row>
    <row r="13505" spans="1:10" hidden="1">
      <c r="A13505" t="s">
        <v>8071</v>
      </c>
      <c r="B13505" t="s">
        <v>8072</v>
      </c>
      <c r="C13505" t="s">
        <v>6839</v>
      </c>
      <c r="D13505" t="s">
        <v>2886</v>
      </c>
      <c r="E13505" t="s">
        <v>555</v>
      </c>
      <c r="F13505" t="s">
        <v>1068</v>
      </c>
      <c r="G13505" t="s">
        <v>1075</v>
      </c>
      <c r="H13505">
        <v>4.2508735599249203E-3</v>
      </c>
      <c r="I13505" t="s">
        <v>1077</v>
      </c>
      <c r="J13505">
        <v>9.19</v>
      </c>
    </row>
    <row r="13506" spans="1:10" hidden="1">
      <c r="A13506" t="s">
        <v>8071</v>
      </c>
      <c r="B13506" t="s">
        <v>8072</v>
      </c>
      <c r="C13506" t="s">
        <v>6839</v>
      </c>
      <c r="D13506" t="s">
        <v>2886</v>
      </c>
      <c r="E13506" t="s">
        <v>555</v>
      </c>
      <c r="F13506" t="s">
        <v>1068</v>
      </c>
      <c r="G13506" t="s">
        <v>1078</v>
      </c>
      <c r="H13506">
        <v>4.8935075181609701E-2</v>
      </c>
      <c r="I13506" t="s">
        <v>1079</v>
      </c>
      <c r="J13506">
        <v>9.19</v>
      </c>
    </row>
    <row r="13507" spans="1:10" hidden="1">
      <c r="A13507" t="s">
        <v>8071</v>
      </c>
      <c r="B13507" t="s">
        <v>8072</v>
      </c>
      <c r="C13507" t="s">
        <v>6839</v>
      </c>
      <c r="D13507" t="s">
        <v>2886</v>
      </c>
      <c r="E13507" t="s">
        <v>555</v>
      </c>
      <c r="F13507" t="s">
        <v>1068</v>
      </c>
      <c r="G13507" t="s">
        <v>1080</v>
      </c>
      <c r="H13507" s="171" t="s">
        <v>7925</v>
      </c>
      <c r="I13507" t="s">
        <v>1082</v>
      </c>
      <c r="J13507">
        <v>9.19</v>
      </c>
    </row>
    <row r="13508" spans="1:10" hidden="1">
      <c r="A13508" t="s">
        <v>8071</v>
      </c>
      <c r="B13508" t="s">
        <v>8072</v>
      </c>
      <c r="C13508" t="s">
        <v>6839</v>
      </c>
      <c r="D13508" t="s">
        <v>2886</v>
      </c>
      <c r="E13508" t="s">
        <v>555</v>
      </c>
      <c r="F13508" t="s">
        <v>1068</v>
      </c>
      <c r="G13508" t="s">
        <v>1083</v>
      </c>
      <c r="H13508" s="171" t="s">
        <v>8076</v>
      </c>
      <c r="I13508" t="s">
        <v>1084</v>
      </c>
      <c r="J13508">
        <v>9.19</v>
      </c>
    </row>
    <row r="13509" spans="1:10" hidden="1">
      <c r="A13509" t="s">
        <v>8071</v>
      </c>
      <c r="B13509" t="s">
        <v>8072</v>
      </c>
      <c r="C13509" t="s">
        <v>6839</v>
      </c>
      <c r="D13509" t="s">
        <v>2886</v>
      </c>
      <c r="E13509" t="s">
        <v>555</v>
      </c>
      <c r="F13509" t="s">
        <v>1068</v>
      </c>
      <c r="G13509" t="s">
        <v>1085</v>
      </c>
      <c r="H13509">
        <v>1.54901996771418E-4</v>
      </c>
      <c r="I13509" t="s">
        <v>1086</v>
      </c>
      <c r="J13509">
        <v>9.19</v>
      </c>
    </row>
    <row r="13510" spans="1:10" hidden="1">
      <c r="A13510" t="s">
        <v>8071</v>
      </c>
      <c r="B13510" t="s">
        <v>8072</v>
      </c>
      <c r="C13510" t="s">
        <v>6839</v>
      </c>
      <c r="D13510" t="s">
        <v>2886</v>
      </c>
      <c r="E13510" t="s">
        <v>555</v>
      </c>
      <c r="F13510" t="s">
        <v>1068</v>
      </c>
      <c r="G13510" t="s">
        <v>1087</v>
      </c>
      <c r="H13510" s="171" t="s">
        <v>6854</v>
      </c>
      <c r="I13510" t="s">
        <v>1088</v>
      </c>
      <c r="J13510">
        <v>9.19</v>
      </c>
    </row>
    <row r="13511" spans="1:10" hidden="1">
      <c r="A13511" t="s">
        <v>8071</v>
      </c>
      <c r="B13511" t="s">
        <v>8072</v>
      </c>
      <c r="C13511" t="s">
        <v>6839</v>
      </c>
      <c r="D13511" t="s">
        <v>2886</v>
      </c>
      <c r="E13511" t="s">
        <v>555</v>
      </c>
      <c r="F13511" t="s">
        <v>1068</v>
      </c>
      <c r="G13511" t="s">
        <v>1089</v>
      </c>
      <c r="H13511" s="171" t="s">
        <v>8077</v>
      </c>
      <c r="I13511" t="s">
        <v>1090</v>
      </c>
      <c r="J13511">
        <v>9.19</v>
      </c>
    </row>
    <row r="13512" spans="1:10" hidden="1">
      <c r="A13512" t="s">
        <v>8078</v>
      </c>
      <c r="B13512" t="s">
        <v>8079</v>
      </c>
      <c r="C13512" t="s">
        <v>6839</v>
      </c>
      <c r="D13512" t="s">
        <v>2886</v>
      </c>
      <c r="E13512" t="s">
        <v>558</v>
      </c>
      <c r="F13512" t="s">
        <v>1068</v>
      </c>
      <c r="G13512" t="s">
        <v>1069</v>
      </c>
      <c r="H13512" s="171" t="s">
        <v>8080</v>
      </c>
      <c r="I13512" t="s">
        <v>1070</v>
      </c>
      <c r="J13512">
        <v>8.9600000000000009</v>
      </c>
    </row>
    <row r="13513" spans="1:10" hidden="1">
      <c r="A13513" t="s">
        <v>8078</v>
      </c>
      <c r="B13513" t="s">
        <v>8079</v>
      </c>
      <c r="C13513" t="s">
        <v>6839</v>
      </c>
      <c r="D13513" t="s">
        <v>2886</v>
      </c>
      <c r="E13513" t="s">
        <v>558</v>
      </c>
      <c r="F13513" t="s">
        <v>1068</v>
      </c>
      <c r="G13513" t="s">
        <v>1071</v>
      </c>
      <c r="H13513" s="171" t="s">
        <v>8081</v>
      </c>
      <c r="I13513" t="s">
        <v>1072</v>
      </c>
      <c r="J13513">
        <v>8.9600000000000009</v>
      </c>
    </row>
    <row r="13514" spans="1:10" hidden="1">
      <c r="A13514" t="s">
        <v>8078</v>
      </c>
      <c r="B13514" t="s">
        <v>8079</v>
      </c>
      <c r="C13514" t="s">
        <v>6839</v>
      </c>
      <c r="D13514" t="s">
        <v>2886</v>
      </c>
      <c r="E13514" t="s">
        <v>558</v>
      </c>
      <c r="F13514" t="s">
        <v>1068</v>
      </c>
      <c r="G13514" t="s">
        <v>1073</v>
      </c>
      <c r="H13514" s="171" t="s">
        <v>8082</v>
      </c>
      <c r="I13514" t="s">
        <v>1074</v>
      </c>
      <c r="J13514">
        <v>8.9600000000000009</v>
      </c>
    </row>
    <row r="13515" spans="1:10" hidden="1">
      <c r="A13515" t="s">
        <v>8078</v>
      </c>
      <c r="B13515" t="s">
        <v>8079</v>
      </c>
      <c r="C13515" t="s">
        <v>6839</v>
      </c>
      <c r="D13515" t="s">
        <v>2886</v>
      </c>
      <c r="E13515" t="s">
        <v>558</v>
      </c>
      <c r="F13515" t="s">
        <v>1068</v>
      </c>
      <c r="G13515" t="s">
        <v>1075</v>
      </c>
      <c r="H13515">
        <v>4.2503508046718604E-3</v>
      </c>
      <c r="I13515" t="s">
        <v>1077</v>
      </c>
      <c r="J13515">
        <v>8.9600000000000009</v>
      </c>
    </row>
    <row r="13516" spans="1:10" hidden="1">
      <c r="A13516" t="s">
        <v>8078</v>
      </c>
      <c r="B13516" t="s">
        <v>8079</v>
      </c>
      <c r="C13516" t="s">
        <v>6839</v>
      </c>
      <c r="D13516" t="s">
        <v>2886</v>
      </c>
      <c r="E13516" t="s">
        <v>558</v>
      </c>
      <c r="F13516" t="s">
        <v>1068</v>
      </c>
      <c r="G13516" t="s">
        <v>1078</v>
      </c>
      <c r="H13516">
        <v>4.8912472995603598E-2</v>
      </c>
      <c r="I13516" t="s">
        <v>1079</v>
      </c>
      <c r="J13516">
        <v>8.9600000000000009</v>
      </c>
    </row>
    <row r="13517" spans="1:10" hidden="1">
      <c r="A13517" t="s">
        <v>8078</v>
      </c>
      <c r="B13517" t="s">
        <v>8079</v>
      </c>
      <c r="C13517" t="s">
        <v>6839</v>
      </c>
      <c r="D13517" t="s">
        <v>2886</v>
      </c>
      <c r="E13517" t="s">
        <v>558</v>
      </c>
      <c r="F13517" t="s">
        <v>1068</v>
      </c>
      <c r="G13517" t="s">
        <v>1080</v>
      </c>
      <c r="H13517" s="171" t="s">
        <v>7933</v>
      </c>
      <c r="I13517" t="s">
        <v>1082</v>
      </c>
      <c r="J13517">
        <v>8.9600000000000009</v>
      </c>
    </row>
    <row r="13518" spans="1:10" hidden="1">
      <c r="A13518" t="s">
        <v>8078</v>
      </c>
      <c r="B13518" t="s">
        <v>8079</v>
      </c>
      <c r="C13518" t="s">
        <v>6839</v>
      </c>
      <c r="D13518" t="s">
        <v>2886</v>
      </c>
      <c r="E13518" t="s">
        <v>558</v>
      </c>
      <c r="F13518" t="s">
        <v>1068</v>
      </c>
      <c r="G13518" t="s">
        <v>1083</v>
      </c>
      <c r="H13518" s="171" t="s">
        <v>8083</v>
      </c>
      <c r="I13518" t="s">
        <v>1084</v>
      </c>
      <c r="J13518">
        <v>8.9600000000000009</v>
      </c>
    </row>
    <row r="13519" spans="1:10" hidden="1">
      <c r="A13519" t="s">
        <v>8078</v>
      </c>
      <c r="B13519" t="s">
        <v>8079</v>
      </c>
      <c r="C13519" t="s">
        <v>6839</v>
      </c>
      <c r="D13519" t="s">
        <v>2886</v>
      </c>
      <c r="E13519" t="s">
        <v>558</v>
      </c>
      <c r="F13519" t="s">
        <v>1068</v>
      </c>
      <c r="G13519" t="s">
        <v>1085</v>
      </c>
      <c r="H13519">
        <v>1.5487359150511001E-4</v>
      </c>
      <c r="I13519" t="s">
        <v>1086</v>
      </c>
      <c r="J13519">
        <v>8.9600000000000009</v>
      </c>
    </row>
    <row r="13520" spans="1:10" hidden="1">
      <c r="A13520" t="s">
        <v>8078</v>
      </c>
      <c r="B13520" t="s">
        <v>8079</v>
      </c>
      <c r="C13520" t="s">
        <v>6839</v>
      </c>
      <c r="D13520" t="s">
        <v>2886</v>
      </c>
      <c r="E13520" t="s">
        <v>558</v>
      </c>
      <c r="F13520" t="s">
        <v>1068</v>
      </c>
      <c r="G13520" t="s">
        <v>1087</v>
      </c>
      <c r="H13520" s="171" t="s">
        <v>7935</v>
      </c>
      <c r="I13520" t="s">
        <v>1088</v>
      </c>
      <c r="J13520">
        <v>8.9600000000000009</v>
      </c>
    </row>
    <row r="13521" spans="1:10" hidden="1">
      <c r="A13521" t="s">
        <v>8078</v>
      </c>
      <c r="B13521" t="s">
        <v>8079</v>
      </c>
      <c r="C13521" t="s">
        <v>6839</v>
      </c>
      <c r="D13521" t="s">
        <v>2886</v>
      </c>
      <c r="E13521" t="s">
        <v>558</v>
      </c>
      <c r="F13521" t="s">
        <v>1068</v>
      </c>
      <c r="G13521" t="s">
        <v>1089</v>
      </c>
      <c r="H13521" s="171" t="s">
        <v>8084</v>
      </c>
      <c r="I13521" t="s">
        <v>1090</v>
      </c>
      <c r="J13521">
        <v>8.9600000000000009</v>
      </c>
    </row>
    <row r="13522" spans="1:10" hidden="1">
      <c r="A13522" t="s">
        <v>8085</v>
      </c>
      <c r="B13522" t="s">
        <v>8086</v>
      </c>
      <c r="C13522" t="s">
        <v>6839</v>
      </c>
      <c r="D13522" t="s">
        <v>2886</v>
      </c>
      <c r="E13522" t="s">
        <v>553</v>
      </c>
      <c r="F13522" t="s">
        <v>1068</v>
      </c>
      <c r="G13522" t="s">
        <v>1069</v>
      </c>
      <c r="H13522" s="171" t="s">
        <v>8087</v>
      </c>
      <c r="I13522" t="s">
        <v>1070</v>
      </c>
      <c r="J13522">
        <v>8.26</v>
      </c>
    </row>
    <row r="13523" spans="1:10" hidden="1">
      <c r="A13523" t="s">
        <v>8085</v>
      </c>
      <c r="B13523" t="s">
        <v>8086</v>
      </c>
      <c r="C13523" t="s">
        <v>6839</v>
      </c>
      <c r="D13523" t="s">
        <v>2886</v>
      </c>
      <c r="E13523" t="s">
        <v>553</v>
      </c>
      <c r="F13523" t="s">
        <v>1068</v>
      </c>
      <c r="G13523" t="s">
        <v>1071</v>
      </c>
      <c r="H13523" s="171" t="s">
        <v>8088</v>
      </c>
      <c r="I13523" t="s">
        <v>1072</v>
      </c>
      <c r="J13523">
        <v>8.26</v>
      </c>
    </row>
    <row r="13524" spans="1:10" hidden="1">
      <c r="A13524" t="s">
        <v>8085</v>
      </c>
      <c r="B13524" t="s">
        <v>8086</v>
      </c>
      <c r="C13524" t="s">
        <v>6839</v>
      </c>
      <c r="D13524" t="s">
        <v>2886</v>
      </c>
      <c r="E13524" t="s">
        <v>553</v>
      </c>
      <c r="F13524" t="s">
        <v>1068</v>
      </c>
      <c r="G13524" t="s">
        <v>1073</v>
      </c>
      <c r="H13524" s="171" t="s">
        <v>8089</v>
      </c>
      <c r="I13524" t="s">
        <v>1074</v>
      </c>
      <c r="J13524">
        <v>8.26</v>
      </c>
    </row>
    <row r="13525" spans="1:10" hidden="1">
      <c r="A13525" t="s">
        <v>8085</v>
      </c>
      <c r="B13525" t="s">
        <v>8086</v>
      </c>
      <c r="C13525" t="s">
        <v>6839</v>
      </c>
      <c r="D13525" t="s">
        <v>2886</v>
      </c>
      <c r="E13525" t="s">
        <v>553</v>
      </c>
      <c r="F13525" t="s">
        <v>1068</v>
      </c>
      <c r="G13525" t="s">
        <v>1075</v>
      </c>
      <c r="H13525">
        <v>4.2503344256175296E-3</v>
      </c>
      <c r="I13525" t="s">
        <v>1077</v>
      </c>
      <c r="J13525">
        <v>8.26</v>
      </c>
    </row>
    <row r="13526" spans="1:10" hidden="1">
      <c r="A13526" t="s">
        <v>8085</v>
      </c>
      <c r="B13526" t="s">
        <v>8086</v>
      </c>
      <c r="C13526" t="s">
        <v>6839</v>
      </c>
      <c r="D13526" t="s">
        <v>2886</v>
      </c>
      <c r="E13526" t="s">
        <v>553</v>
      </c>
      <c r="F13526" t="s">
        <v>1068</v>
      </c>
      <c r="G13526" t="s">
        <v>1078</v>
      </c>
      <c r="H13526" s="171" t="s">
        <v>8090</v>
      </c>
      <c r="I13526" t="s">
        <v>1079</v>
      </c>
      <c r="J13526">
        <v>8.26</v>
      </c>
    </row>
    <row r="13527" spans="1:10" hidden="1">
      <c r="A13527" t="s">
        <v>8085</v>
      </c>
      <c r="B13527" t="s">
        <v>8086</v>
      </c>
      <c r="C13527" t="s">
        <v>6839</v>
      </c>
      <c r="D13527" t="s">
        <v>2886</v>
      </c>
      <c r="E13527" t="s">
        <v>553</v>
      </c>
      <c r="F13527" t="s">
        <v>1068</v>
      </c>
      <c r="G13527" t="s">
        <v>1080</v>
      </c>
      <c r="H13527" s="171" t="s">
        <v>8019</v>
      </c>
      <c r="I13527" t="s">
        <v>1082</v>
      </c>
      <c r="J13527">
        <v>8.26</v>
      </c>
    </row>
    <row r="13528" spans="1:10" hidden="1">
      <c r="A13528" t="s">
        <v>8085</v>
      </c>
      <c r="B13528" t="s">
        <v>8086</v>
      </c>
      <c r="C13528" t="s">
        <v>6839</v>
      </c>
      <c r="D13528" t="s">
        <v>2886</v>
      </c>
      <c r="E13528" t="s">
        <v>553</v>
      </c>
      <c r="F13528" t="s">
        <v>1068</v>
      </c>
      <c r="G13528" t="s">
        <v>1083</v>
      </c>
      <c r="H13528" s="171" t="s">
        <v>8091</v>
      </c>
      <c r="I13528" t="s">
        <v>1084</v>
      </c>
      <c r="J13528">
        <v>8.26</v>
      </c>
    </row>
    <row r="13529" spans="1:10" hidden="1">
      <c r="A13529" t="s">
        <v>8085</v>
      </c>
      <c r="B13529" t="s">
        <v>8086</v>
      </c>
      <c r="C13529" t="s">
        <v>6839</v>
      </c>
      <c r="D13529" t="s">
        <v>2886</v>
      </c>
      <c r="E13529" t="s">
        <v>553</v>
      </c>
      <c r="F13529" t="s">
        <v>1068</v>
      </c>
      <c r="G13529" t="s">
        <v>1085</v>
      </c>
      <c r="H13529">
        <v>1.54872697307573E-4</v>
      </c>
      <c r="I13529" t="s">
        <v>1086</v>
      </c>
      <c r="J13529">
        <v>8.26</v>
      </c>
    </row>
    <row r="13530" spans="1:10" hidden="1">
      <c r="A13530" t="s">
        <v>8085</v>
      </c>
      <c r="B13530" t="s">
        <v>8086</v>
      </c>
      <c r="C13530" t="s">
        <v>6839</v>
      </c>
      <c r="D13530" t="s">
        <v>2886</v>
      </c>
      <c r="E13530" t="s">
        <v>553</v>
      </c>
      <c r="F13530" t="s">
        <v>1068</v>
      </c>
      <c r="G13530" t="s">
        <v>1087</v>
      </c>
      <c r="H13530" s="171" t="s">
        <v>8021</v>
      </c>
      <c r="I13530" t="s">
        <v>1088</v>
      </c>
      <c r="J13530">
        <v>8.26</v>
      </c>
    </row>
    <row r="13531" spans="1:10" hidden="1">
      <c r="A13531" t="s">
        <v>8085</v>
      </c>
      <c r="B13531" t="s">
        <v>8086</v>
      </c>
      <c r="C13531" t="s">
        <v>6839</v>
      </c>
      <c r="D13531" t="s">
        <v>2886</v>
      </c>
      <c r="E13531" t="s">
        <v>553</v>
      </c>
      <c r="F13531" t="s">
        <v>1068</v>
      </c>
      <c r="G13531" t="s">
        <v>1089</v>
      </c>
      <c r="H13531" s="171" t="s">
        <v>8092</v>
      </c>
      <c r="I13531" t="s">
        <v>1090</v>
      </c>
      <c r="J13531">
        <v>8.26</v>
      </c>
    </row>
    <row r="13532" spans="1:10" hidden="1">
      <c r="A13532" t="s">
        <v>8093</v>
      </c>
      <c r="B13532" t="s">
        <v>8094</v>
      </c>
      <c r="C13532" t="s">
        <v>6839</v>
      </c>
      <c r="D13532" t="s">
        <v>2886</v>
      </c>
      <c r="E13532" t="s">
        <v>556</v>
      </c>
      <c r="F13532" t="s">
        <v>1068</v>
      </c>
      <c r="G13532" t="s">
        <v>1069</v>
      </c>
      <c r="H13532" s="171" t="s">
        <v>8095</v>
      </c>
      <c r="I13532" t="s">
        <v>1070</v>
      </c>
      <c r="J13532">
        <v>8.91</v>
      </c>
    </row>
    <row r="13533" spans="1:10" hidden="1">
      <c r="A13533" t="s">
        <v>8093</v>
      </c>
      <c r="B13533" t="s">
        <v>8094</v>
      </c>
      <c r="C13533" t="s">
        <v>6839</v>
      </c>
      <c r="D13533" t="s">
        <v>2886</v>
      </c>
      <c r="E13533" t="s">
        <v>556</v>
      </c>
      <c r="F13533" t="s">
        <v>1068</v>
      </c>
      <c r="G13533" t="s">
        <v>1071</v>
      </c>
      <c r="H13533" s="171" t="s">
        <v>8096</v>
      </c>
      <c r="I13533" t="s">
        <v>1072</v>
      </c>
      <c r="J13533">
        <v>8.91</v>
      </c>
    </row>
    <row r="13534" spans="1:10" hidden="1">
      <c r="A13534" t="s">
        <v>8093</v>
      </c>
      <c r="B13534" t="s">
        <v>8094</v>
      </c>
      <c r="C13534" t="s">
        <v>6839</v>
      </c>
      <c r="D13534" t="s">
        <v>2886</v>
      </c>
      <c r="E13534" t="s">
        <v>556</v>
      </c>
      <c r="F13534" t="s">
        <v>1068</v>
      </c>
      <c r="G13534" t="s">
        <v>1073</v>
      </c>
      <c r="H13534" s="171" t="s">
        <v>8097</v>
      </c>
      <c r="I13534" t="s">
        <v>1074</v>
      </c>
      <c r="J13534">
        <v>8.91</v>
      </c>
    </row>
    <row r="13535" spans="1:10" hidden="1">
      <c r="A13535" t="s">
        <v>8093</v>
      </c>
      <c r="B13535" t="s">
        <v>8094</v>
      </c>
      <c r="C13535" t="s">
        <v>6839</v>
      </c>
      <c r="D13535" t="s">
        <v>2886</v>
      </c>
      <c r="E13535" t="s">
        <v>556</v>
      </c>
      <c r="F13535" t="s">
        <v>1068</v>
      </c>
      <c r="G13535" t="s">
        <v>1075</v>
      </c>
      <c r="H13535">
        <v>4.2508228854802902E-3</v>
      </c>
      <c r="I13535" t="s">
        <v>1077</v>
      </c>
      <c r="J13535">
        <v>8.91</v>
      </c>
    </row>
    <row r="13536" spans="1:10" hidden="1">
      <c r="A13536" t="s">
        <v>8093</v>
      </c>
      <c r="B13536" t="s">
        <v>8094</v>
      </c>
      <c r="C13536" t="s">
        <v>6839</v>
      </c>
      <c r="D13536" t="s">
        <v>2886</v>
      </c>
      <c r="E13536" t="s">
        <v>556</v>
      </c>
      <c r="F13536" t="s">
        <v>1068</v>
      </c>
      <c r="G13536" t="s">
        <v>1078</v>
      </c>
      <c r="H13536">
        <v>4.8932883823129603E-2</v>
      </c>
      <c r="I13536" t="s">
        <v>1079</v>
      </c>
      <c r="J13536">
        <v>8.91</v>
      </c>
    </row>
    <row r="13537" spans="1:10" hidden="1">
      <c r="A13537" t="s">
        <v>8093</v>
      </c>
      <c r="B13537" t="s">
        <v>8094</v>
      </c>
      <c r="C13537" t="s">
        <v>6839</v>
      </c>
      <c r="D13537" t="s">
        <v>2886</v>
      </c>
      <c r="E13537" t="s">
        <v>556</v>
      </c>
      <c r="F13537" t="s">
        <v>1068</v>
      </c>
      <c r="G13537" t="s">
        <v>1080</v>
      </c>
      <c r="H13537" s="171" t="s">
        <v>8028</v>
      </c>
      <c r="I13537" t="s">
        <v>1082</v>
      </c>
      <c r="J13537">
        <v>8.91</v>
      </c>
    </row>
    <row r="13538" spans="1:10" hidden="1">
      <c r="A13538" t="s">
        <v>8093</v>
      </c>
      <c r="B13538" t="s">
        <v>8094</v>
      </c>
      <c r="C13538" t="s">
        <v>6839</v>
      </c>
      <c r="D13538" t="s">
        <v>2886</v>
      </c>
      <c r="E13538" t="s">
        <v>556</v>
      </c>
      <c r="F13538" t="s">
        <v>1068</v>
      </c>
      <c r="G13538" t="s">
        <v>1083</v>
      </c>
      <c r="H13538" s="171" t="s">
        <v>8098</v>
      </c>
      <c r="I13538" t="s">
        <v>1084</v>
      </c>
      <c r="J13538">
        <v>8.91</v>
      </c>
    </row>
    <row r="13539" spans="1:10" hidden="1">
      <c r="A13539" t="s">
        <v>8093</v>
      </c>
      <c r="B13539" t="s">
        <v>8094</v>
      </c>
      <c r="C13539" t="s">
        <v>6839</v>
      </c>
      <c r="D13539" t="s">
        <v>2886</v>
      </c>
      <c r="E13539" t="s">
        <v>556</v>
      </c>
      <c r="F13539" t="s">
        <v>1068</v>
      </c>
      <c r="G13539" t="s">
        <v>1085</v>
      </c>
      <c r="H13539">
        <v>1.5489924284896699E-4</v>
      </c>
      <c r="I13539" t="s">
        <v>1086</v>
      </c>
      <c r="J13539">
        <v>8.91</v>
      </c>
    </row>
    <row r="13540" spans="1:10" hidden="1">
      <c r="A13540" t="s">
        <v>8093</v>
      </c>
      <c r="B13540" t="s">
        <v>8094</v>
      </c>
      <c r="C13540" t="s">
        <v>6839</v>
      </c>
      <c r="D13540" t="s">
        <v>2886</v>
      </c>
      <c r="E13540" t="s">
        <v>556</v>
      </c>
      <c r="F13540" t="s">
        <v>1068</v>
      </c>
      <c r="G13540" t="s">
        <v>1087</v>
      </c>
      <c r="H13540" s="171" t="s">
        <v>6881</v>
      </c>
      <c r="I13540" t="s">
        <v>1088</v>
      </c>
      <c r="J13540">
        <v>8.91</v>
      </c>
    </row>
    <row r="13541" spans="1:10" hidden="1">
      <c r="A13541" t="s">
        <v>8093</v>
      </c>
      <c r="B13541" t="s">
        <v>8094</v>
      </c>
      <c r="C13541" t="s">
        <v>6839</v>
      </c>
      <c r="D13541" t="s">
        <v>2886</v>
      </c>
      <c r="E13541" t="s">
        <v>556</v>
      </c>
      <c r="F13541" t="s">
        <v>1068</v>
      </c>
      <c r="G13541" t="s">
        <v>1089</v>
      </c>
      <c r="H13541" s="171" t="s">
        <v>8099</v>
      </c>
      <c r="I13541" t="s">
        <v>1090</v>
      </c>
      <c r="J13541">
        <v>8.91</v>
      </c>
    </row>
    <row r="13542" spans="1:10" hidden="1">
      <c r="A13542" t="s">
        <v>8100</v>
      </c>
      <c r="B13542" t="s">
        <v>8101</v>
      </c>
      <c r="C13542" t="s">
        <v>6839</v>
      </c>
      <c r="D13542" t="s">
        <v>2886</v>
      </c>
      <c r="E13542" t="s">
        <v>557</v>
      </c>
      <c r="F13542" t="s">
        <v>1068</v>
      </c>
      <c r="G13542" t="s">
        <v>1069</v>
      </c>
      <c r="H13542" s="171" t="s">
        <v>8102</v>
      </c>
      <c r="I13542" t="s">
        <v>1070</v>
      </c>
      <c r="J13542">
        <v>11.33</v>
      </c>
    </row>
    <row r="13543" spans="1:10" hidden="1">
      <c r="A13543" t="s">
        <v>8100</v>
      </c>
      <c r="B13543" t="s">
        <v>8101</v>
      </c>
      <c r="C13543" t="s">
        <v>6839</v>
      </c>
      <c r="D13543" t="s">
        <v>2886</v>
      </c>
      <c r="E13543" t="s">
        <v>557</v>
      </c>
      <c r="F13543" t="s">
        <v>1068</v>
      </c>
      <c r="G13543" t="s">
        <v>1071</v>
      </c>
      <c r="H13543" s="171" t="s">
        <v>8103</v>
      </c>
      <c r="I13543" t="s">
        <v>1072</v>
      </c>
      <c r="J13543">
        <v>11.33</v>
      </c>
    </row>
    <row r="13544" spans="1:10" hidden="1">
      <c r="A13544" t="s">
        <v>8100</v>
      </c>
      <c r="B13544" t="s">
        <v>8101</v>
      </c>
      <c r="C13544" t="s">
        <v>6839</v>
      </c>
      <c r="D13544" t="s">
        <v>2886</v>
      </c>
      <c r="E13544" t="s">
        <v>557</v>
      </c>
      <c r="F13544" t="s">
        <v>1068</v>
      </c>
      <c r="G13544" t="s">
        <v>1073</v>
      </c>
      <c r="H13544" s="171" t="s">
        <v>8104</v>
      </c>
      <c r="I13544" t="s">
        <v>1074</v>
      </c>
      <c r="J13544">
        <v>11.33</v>
      </c>
    </row>
    <row r="13545" spans="1:10" hidden="1">
      <c r="A13545" t="s">
        <v>8100</v>
      </c>
      <c r="B13545" t="s">
        <v>8101</v>
      </c>
      <c r="C13545" t="s">
        <v>6839</v>
      </c>
      <c r="D13545" t="s">
        <v>2886</v>
      </c>
      <c r="E13545" t="s">
        <v>557</v>
      </c>
      <c r="F13545" t="s">
        <v>1068</v>
      </c>
      <c r="G13545" t="s">
        <v>1075</v>
      </c>
      <c r="H13545">
        <v>4.2505175607269897E-3</v>
      </c>
      <c r="I13545" t="s">
        <v>1077</v>
      </c>
      <c r="J13545">
        <v>11.33</v>
      </c>
    </row>
    <row r="13546" spans="1:10" hidden="1">
      <c r="A13546" t="s">
        <v>8100</v>
      </c>
      <c r="B13546" t="s">
        <v>8101</v>
      </c>
      <c r="C13546" t="s">
        <v>6839</v>
      </c>
      <c r="D13546" t="s">
        <v>2886</v>
      </c>
      <c r="E13546" t="s">
        <v>557</v>
      </c>
      <c r="F13546" t="s">
        <v>1068</v>
      </c>
      <c r="G13546" t="s">
        <v>1078</v>
      </c>
      <c r="H13546" s="171" t="s">
        <v>8105</v>
      </c>
      <c r="I13546" t="s">
        <v>1079</v>
      </c>
      <c r="J13546">
        <v>11.33</v>
      </c>
    </row>
    <row r="13547" spans="1:10" hidden="1">
      <c r="A13547" t="s">
        <v>8100</v>
      </c>
      <c r="B13547" t="s">
        <v>8101</v>
      </c>
      <c r="C13547" t="s">
        <v>6839</v>
      </c>
      <c r="D13547" t="s">
        <v>2886</v>
      </c>
      <c r="E13547" t="s">
        <v>557</v>
      </c>
      <c r="F13547" t="s">
        <v>1068</v>
      </c>
      <c r="G13547" t="s">
        <v>1080</v>
      </c>
      <c r="H13547" s="171" t="s">
        <v>7959</v>
      </c>
      <c r="I13547" t="s">
        <v>1082</v>
      </c>
      <c r="J13547">
        <v>11.33</v>
      </c>
    </row>
    <row r="13548" spans="1:10" hidden="1">
      <c r="A13548" t="s">
        <v>8100</v>
      </c>
      <c r="B13548" t="s">
        <v>8101</v>
      </c>
      <c r="C13548" t="s">
        <v>6839</v>
      </c>
      <c r="D13548" t="s">
        <v>2886</v>
      </c>
      <c r="E13548" t="s">
        <v>557</v>
      </c>
      <c r="F13548" t="s">
        <v>1068</v>
      </c>
      <c r="G13548" t="s">
        <v>1083</v>
      </c>
      <c r="H13548" s="171" t="s">
        <v>8106</v>
      </c>
      <c r="I13548" t="s">
        <v>1084</v>
      </c>
      <c r="J13548">
        <v>11.33</v>
      </c>
    </row>
    <row r="13549" spans="1:10" hidden="1">
      <c r="A13549" t="s">
        <v>8100</v>
      </c>
      <c r="B13549" t="s">
        <v>8101</v>
      </c>
      <c r="C13549" t="s">
        <v>6839</v>
      </c>
      <c r="D13549" t="s">
        <v>2886</v>
      </c>
      <c r="E13549" t="s">
        <v>557</v>
      </c>
      <c r="F13549" t="s">
        <v>1068</v>
      </c>
      <c r="G13549" t="s">
        <v>1085</v>
      </c>
      <c r="H13549">
        <v>1.5488265392785101E-4</v>
      </c>
      <c r="I13549" t="s">
        <v>1086</v>
      </c>
      <c r="J13549">
        <v>11.33</v>
      </c>
    </row>
    <row r="13550" spans="1:10" hidden="1">
      <c r="A13550" t="s">
        <v>8100</v>
      </c>
      <c r="B13550" t="s">
        <v>8101</v>
      </c>
      <c r="C13550" t="s">
        <v>6839</v>
      </c>
      <c r="D13550" t="s">
        <v>2886</v>
      </c>
      <c r="E13550" t="s">
        <v>557</v>
      </c>
      <c r="F13550" t="s">
        <v>1068</v>
      </c>
      <c r="G13550" t="s">
        <v>1087</v>
      </c>
      <c r="H13550" s="171" t="s">
        <v>7961</v>
      </c>
      <c r="I13550" t="s">
        <v>1088</v>
      </c>
      <c r="J13550">
        <v>11.33</v>
      </c>
    </row>
    <row r="13551" spans="1:10" hidden="1">
      <c r="A13551" t="s">
        <v>8100</v>
      </c>
      <c r="B13551" t="s">
        <v>8101</v>
      </c>
      <c r="C13551" t="s">
        <v>6839</v>
      </c>
      <c r="D13551" t="s">
        <v>2886</v>
      </c>
      <c r="E13551" t="s">
        <v>557</v>
      </c>
      <c r="F13551" t="s">
        <v>1068</v>
      </c>
      <c r="G13551" t="s">
        <v>1089</v>
      </c>
      <c r="H13551" s="171" t="s">
        <v>8107</v>
      </c>
      <c r="I13551" t="s">
        <v>1090</v>
      </c>
      <c r="J13551">
        <v>11.33</v>
      </c>
    </row>
    <row r="13552" spans="1:10" hidden="1">
      <c r="A13552" t="s">
        <v>8108</v>
      </c>
      <c r="B13552" t="s">
        <v>8109</v>
      </c>
      <c r="C13552" t="s">
        <v>6839</v>
      </c>
      <c r="D13552" t="s">
        <v>2886</v>
      </c>
      <c r="E13552" t="s">
        <v>559</v>
      </c>
      <c r="F13552" t="s">
        <v>1068</v>
      </c>
      <c r="G13552" t="s">
        <v>1069</v>
      </c>
      <c r="H13552" s="171" t="s">
        <v>8110</v>
      </c>
      <c r="I13552" t="s">
        <v>1070</v>
      </c>
      <c r="J13552">
        <v>9.2899999999999991</v>
      </c>
    </row>
    <row r="13553" spans="1:10" hidden="1">
      <c r="A13553" t="s">
        <v>8108</v>
      </c>
      <c r="B13553" t="s">
        <v>8109</v>
      </c>
      <c r="C13553" t="s">
        <v>6839</v>
      </c>
      <c r="D13553" t="s">
        <v>2886</v>
      </c>
      <c r="E13553" t="s">
        <v>559</v>
      </c>
      <c r="F13553" t="s">
        <v>1068</v>
      </c>
      <c r="G13553" t="s">
        <v>1071</v>
      </c>
      <c r="H13553" s="171" t="s">
        <v>8111</v>
      </c>
      <c r="I13553" t="s">
        <v>1072</v>
      </c>
      <c r="J13553">
        <v>9.2899999999999991</v>
      </c>
    </row>
    <row r="13554" spans="1:10" hidden="1">
      <c r="A13554" t="s">
        <v>8108</v>
      </c>
      <c r="B13554" t="s">
        <v>8109</v>
      </c>
      <c r="C13554" t="s">
        <v>6839</v>
      </c>
      <c r="D13554" t="s">
        <v>2886</v>
      </c>
      <c r="E13554" t="s">
        <v>559</v>
      </c>
      <c r="F13554" t="s">
        <v>1068</v>
      </c>
      <c r="G13554" t="s">
        <v>1073</v>
      </c>
      <c r="H13554" s="171" t="s">
        <v>8112</v>
      </c>
      <c r="I13554" t="s">
        <v>1074</v>
      </c>
      <c r="J13554">
        <v>9.2899999999999991</v>
      </c>
    </row>
    <row r="13555" spans="1:10" hidden="1">
      <c r="A13555" t="s">
        <v>8108</v>
      </c>
      <c r="B13555" t="s">
        <v>8109</v>
      </c>
      <c r="C13555" t="s">
        <v>6839</v>
      </c>
      <c r="D13555" t="s">
        <v>2886</v>
      </c>
      <c r="E13555" t="s">
        <v>559</v>
      </c>
      <c r="F13555" t="s">
        <v>1068</v>
      </c>
      <c r="G13555" t="s">
        <v>1075</v>
      </c>
      <c r="H13555">
        <v>4.2506776946521999E-3</v>
      </c>
      <c r="I13555" t="s">
        <v>1077</v>
      </c>
      <c r="J13555">
        <v>9.2899999999999991</v>
      </c>
    </row>
    <row r="13556" spans="1:10" hidden="1">
      <c r="A13556" t="s">
        <v>8108</v>
      </c>
      <c r="B13556" t="s">
        <v>8109</v>
      </c>
      <c r="C13556" t="s">
        <v>6839</v>
      </c>
      <c r="D13556" t="s">
        <v>2886</v>
      </c>
      <c r="E13556" t="s">
        <v>559</v>
      </c>
      <c r="F13556" t="s">
        <v>1068</v>
      </c>
      <c r="G13556" t="s">
        <v>1078</v>
      </c>
      <c r="H13556" s="171" t="s">
        <v>8113</v>
      </c>
      <c r="I13556" t="s">
        <v>1079</v>
      </c>
      <c r="J13556">
        <v>9.2899999999999991</v>
      </c>
    </row>
    <row r="13557" spans="1:10" hidden="1">
      <c r="A13557" t="s">
        <v>8108</v>
      </c>
      <c r="B13557" t="s">
        <v>8109</v>
      </c>
      <c r="C13557" t="s">
        <v>6839</v>
      </c>
      <c r="D13557" t="s">
        <v>2886</v>
      </c>
      <c r="E13557" t="s">
        <v>559</v>
      </c>
      <c r="F13557" t="s">
        <v>1068</v>
      </c>
      <c r="G13557" t="s">
        <v>1080</v>
      </c>
      <c r="H13557" s="171" t="s">
        <v>8043</v>
      </c>
      <c r="I13557" t="s">
        <v>1082</v>
      </c>
      <c r="J13557">
        <v>9.2899999999999991</v>
      </c>
    </row>
    <row r="13558" spans="1:10" hidden="1">
      <c r="A13558" t="s">
        <v>8108</v>
      </c>
      <c r="B13558" t="s">
        <v>8109</v>
      </c>
      <c r="C13558" t="s">
        <v>6839</v>
      </c>
      <c r="D13558" t="s">
        <v>2886</v>
      </c>
      <c r="E13558" t="s">
        <v>559</v>
      </c>
      <c r="F13558" t="s">
        <v>1068</v>
      </c>
      <c r="G13558" t="s">
        <v>1083</v>
      </c>
      <c r="H13558" s="171" t="s">
        <v>8114</v>
      </c>
      <c r="I13558" t="s">
        <v>1084</v>
      </c>
      <c r="J13558">
        <v>9.2899999999999991</v>
      </c>
    </row>
    <row r="13559" spans="1:10" hidden="1">
      <c r="A13559" t="s">
        <v>8108</v>
      </c>
      <c r="B13559" t="s">
        <v>8109</v>
      </c>
      <c r="C13559" t="s">
        <v>6839</v>
      </c>
      <c r="D13559" t="s">
        <v>2886</v>
      </c>
      <c r="E13559" t="s">
        <v>559</v>
      </c>
      <c r="F13559" t="s">
        <v>1068</v>
      </c>
      <c r="G13559" t="s">
        <v>1085</v>
      </c>
      <c r="H13559">
        <v>1.5489135239691299E-4</v>
      </c>
      <c r="I13559" t="s">
        <v>1086</v>
      </c>
      <c r="J13559">
        <v>9.2899999999999991</v>
      </c>
    </row>
    <row r="13560" spans="1:10" hidden="1">
      <c r="A13560" t="s">
        <v>8108</v>
      </c>
      <c r="B13560" t="s">
        <v>8109</v>
      </c>
      <c r="C13560" t="s">
        <v>6839</v>
      </c>
      <c r="D13560" t="s">
        <v>2886</v>
      </c>
      <c r="E13560" t="s">
        <v>559</v>
      </c>
      <c r="F13560" t="s">
        <v>1068</v>
      </c>
      <c r="G13560" t="s">
        <v>1087</v>
      </c>
      <c r="H13560" s="171" t="s">
        <v>8045</v>
      </c>
      <c r="I13560" t="s">
        <v>1088</v>
      </c>
      <c r="J13560">
        <v>9.2899999999999991</v>
      </c>
    </row>
    <row r="13561" spans="1:10" hidden="1">
      <c r="A13561" t="s">
        <v>8108</v>
      </c>
      <c r="B13561" t="s">
        <v>8109</v>
      </c>
      <c r="C13561" t="s">
        <v>6839</v>
      </c>
      <c r="D13561" t="s">
        <v>2886</v>
      </c>
      <c r="E13561" t="s">
        <v>559</v>
      </c>
      <c r="F13561" t="s">
        <v>1068</v>
      </c>
      <c r="G13561" t="s">
        <v>1089</v>
      </c>
      <c r="H13561" s="171" t="s">
        <v>8115</v>
      </c>
      <c r="I13561" t="s">
        <v>1090</v>
      </c>
      <c r="J13561">
        <v>9.2899999999999991</v>
      </c>
    </row>
    <row r="13562" spans="1:10" hidden="1">
      <c r="A13562" t="s">
        <v>8116</v>
      </c>
      <c r="B13562" t="s">
        <v>8117</v>
      </c>
      <c r="C13562" t="s">
        <v>6839</v>
      </c>
      <c r="D13562" t="s">
        <v>2886</v>
      </c>
      <c r="E13562" t="s">
        <v>560</v>
      </c>
      <c r="F13562" t="s">
        <v>1068</v>
      </c>
      <c r="G13562" t="s">
        <v>1069</v>
      </c>
      <c r="H13562" s="171" t="s">
        <v>8118</v>
      </c>
      <c r="I13562" t="s">
        <v>1070</v>
      </c>
      <c r="J13562">
        <v>10.45</v>
      </c>
    </row>
    <row r="13563" spans="1:10" hidden="1">
      <c r="A13563" t="s">
        <v>8116</v>
      </c>
      <c r="B13563" t="s">
        <v>8117</v>
      </c>
      <c r="C13563" t="s">
        <v>6839</v>
      </c>
      <c r="D13563" t="s">
        <v>2886</v>
      </c>
      <c r="E13563" t="s">
        <v>560</v>
      </c>
      <c r="F13563" t="s">
        <v>1068</v>
      </c>
      <c r="G13563" t="s">
        <v>1071</v>
      </c>
      <c r="H13563" s="171" t="s">
        <v>8119</v>
      </c>
      <c r="I13563" t="s">
        <v>1072</v>
      </c>
      <c r="J13563">
        <v>10.45</v>
      </c>
    </row>
    <row r="13564" spans="1:10" hidden="1">
      <c r="A13564" t="s">
        <v>8116</v>
      </c>
      <c r="B13564" t="s">
        <v>8117</v>
      </c>
      <c r="C13564" t="s">
        <v>6839</v>
      </c>
      <c r="D13564" t="s">
        <v>2886</v>
      </c>
      <c r="E13564" t="s">
        <v>560</v>
      </c>
      <c r="F13564" t="s">
        <v>1068</v>
      </c>
      <c r="G13564" t="s">
        <v>1073</v>
      </c>
      <c r="H13564" s="171" t="s">
        <v>8120</v>
      </c>
      <c r="I13564" t="s">
        <v>1074</v>
      </c>
      <c r="J13564">
        <v>10.45</v>
      </c>
    </row>
    <row r="13565" spans="1:10" hidden="1">
      <c r="A13565" t="s">
        <v>8116</v>
      </c>
      <c r="B13565" t="s">
        <v>8117</v>
      </c>
      <c r="C13565" t="s">
        <v>6839</v>
      </c>
      <c r="D13565" t="s">
        <v>2886</v>
      </c>
      <c r="E13565" t="s">
        <v>560</v>
      </c>
      <c r="F13565" t="s">
        <v>1068</v>
      </c>
      <c r="G13565" t="s">
        <v>1075</v>
      </c>
      <c r="H13565">
        <v>4.2506064972897099E-3</v>
      </c>
      <c r="I13565" t="s">
        <v>1077</v>
      </c>
      <c r="J13565">
        <v>10.45</v>
      </c>
    </row>
    <row r="13566" spans="1:10" hidden="1">
      <c r="A13566" t="s">
        <v>8116</v>
      </c>
      <c r="B13566" t="s">
        <v>8117</v>
      </c>
      <c r="C13566" t="s">
        <v>6839</v>
      </c>
      <c r="D13566" t="s">
        <v>2886</v>
      </c>
      <c r="E13566" t="s">
        <v>560</v>
      </c>
      <c r="F13566" t="s">
        <v>1068</v>
      </c>
      <c r="G13566" t="s">
        <v>1078</v>
      </c>
      <c r="H13566">
        <v>4.8923530130706702E-2</v>
      </c>
      <c r="I13566" t="s">
        <v>1079</v>
      </c>
      <c r="J13566">
        <v>10.45</v>
      </c>
    </row>
    <row r="13567" spans="1:10" hidden="1">
      <c r="A13567" t="s">
        <v>8116</v>
      </c>
      <c r="B13567" t="s">
        <v>8117</v>
      </c>
      <c r="C13567" t="s">
        <v>6839</v>
      </c>
      <c r="D13567" t="s">
        <v>2886</v>
      </c>
      <c r="E13567" t="s">
        <v>560</v>
      </c>
      <c r="F13567" t="s">
        <v>1068</v>
      </c>
      <c r="G13567" t="s">
        <v>1080</v>
      </c>
      <c r="H13567" s="171" t="s">
        <v>8121</v>
      </c>
      <c r="I13567" t="s">
        <v>1082</v>
      </c>
      <c r="J13567">
        <v>10.45</v>
      </c>
    </row>
    <row r="13568" spans="1:10" hidden="1">
      <c r="A13568" t="s">
        <v>8116</v>
      </c>
      <c r="B13568" t="s">
        <v>8117</v>
      </c>
      <c r="C13568" t="s">
        <v>6839</v>
      </c>
      <c r="D13568" t="s">
        <v>2886</v>
      </c>
      <c r="E13568" t="s">
        <v>560</v>
      </c>
      <c r="F13568" t="s">
        <v>1068</v>
      </c>
      <c r="G13568" t="s">
        <v>1083</v>
      </c>
      <c r="H13568" s="171" t="s">
        <v>8122</v>
      </c>
      <c r="I13568" t="s">
        <v>1084</v>
      </c>
      <c r="J13568">
        <v>10.45</v>
      </c>
    </row>
    <row r="13569" spans="1:10" hidden="1">
      <c r="A13569" t="s">
        <v>8116</v>
      </c>
      <c r="B13569" t="s">
        <v>8117</v>
      </c>
      <c r="C13569" t="s">
        <v>6839</v>
      </c>
      <c r="D13569" t="s">
        <v>2886</v>
      </c>
      <c r="E13569" t="s">
        <v>560</v>
      </c>
      <c r="F13569" t="s">
        <v>1068</v>
      </c>
      <c r="G13569" t="s">
        <v>1085</v>
      </c>
      <c r="H13569">
        <v>1.54887487219979E-4</v>
      </c>
      <c r="I13569" t="s">
        <v>1086</v>
      </c>
      <c r="J13569">
        <v>10.45</v>
      </c>
    </row>
    <row r="13570" spans="1:10" hidden="1">
      <c r="A13570" t="s">
        <v>8116</v>
      </c>
      <c r="B13570" t="s">
        <v>8117</v>
      </c>
      <c r="C13570" t="s">
        <v>6839</v>
      </c>
      <c r="D13570" t="s">
        <v>2886</v>
      </c>
      <c r="E13570" t="s">
        <v>560</v>
      </c>
      <c r="F13570" t="s">
        <v>1068</v>
      </c>
      <c r="G13570" t="s">
        <v>1087</v>
      </c>
      <c r="H13570" s="171" t="s">
        <v>8123</v>
      </c>
      <c r="I13570" t="s">
        <v>1088</v>
      </c>
      <c r="J13570">
        <v>10.45</v>
      </c>
    </row>
    <row r="13571" spans="1:10" hidden="1">
      <c r="A13571" t="s">
        <v>8116</v>
      </c>
      <c r="B13571" t="s">
        <v>8117</v>
      </c>
      <c r="C13571" t="s">
        <v>6839</v>
      </c>
      <c r="D13571" t="s">
        <v>2886</v>
      </c>
      <c r="E13571" t="s">
        <v>560</v>
      </c>
      <c r="F13571" t="s">
        <v>1068</v>
      </c>
      <c r="G13571" t="s">
        <v>1089</v>
      </c>
      <c r="H13571" s="171" t="s">
        <v>8124</v>
      </c>
      <c r="I13571" t="s">
        <v>1090</v>
      </c>
      <c r="J13571">
        <v>10.45</v>
      </c>
    </row>
    <row r="13572" spans="1:10" hidden="1">
      <c r="A13572" t="s">
        <v>8125</v>
      </c>
      <c r="B13572" t="s">
        <v>8126</v>
      </c>
      <c r="C13572" t="s">
        <v>6839</v>
      </c>
      <c r="D13572" t="s">
        <v>2886</v>
      </c>
      <c r="E13572" t="s">
        <v>1116</v>
      </c>
      <c r="F13572" t="s">
        <v>1068</v>
      </c>
      <c r="G13572" t="s">
        <v>1069</v>
      </c>
      <c r="H13572" s="171" t="s">
        <v>8127</v>
      </c>
      <c r="I13572" t="s">
        <v>1070</v>
      </c>
      <c r="J13572">
        <v>9.85</v>
      </c>
    </row>
    <row r="13573" spans="1:10" hidden="1">
      <c r="A13573" t="s">
        <v>8125</v>
      </c>
      <c r="B13573" t="s">
        <v>8126</v>
      </c>
      <c r="C13573" t="s">
        <v>6839</v>
      </c>
      <c r="D13573" t="s">
        <v>2886</v>
      </c>
      <c r="E13573" t="s">
        <v>1116</v>
      </c>
      <c r="F13573" t="s">
        <v>1068</v>
      </c>
      <c r="G13573" t="s">
        <v>1071</v>
      </c>
      <c r="H13573" s="171" t="s">
        <v>8128</v>
      </c>
      <c r="I13573" t="s">
        <v>1072</v>
      </c>
      <c r="J13573">
        <v>9.85</v>
      </c>
    </row>
    <row r="13574" spans="1:10" hidden="1">
      <c r="A13574" t="s">
        <v>8125</v>
      </c>
      <c r="B13574" t="s">
        <v>8126</v>
      </c>
      <c r="C13574" t="s">
        <v>6839</v>
      </c>
      <c r="D13574" t="s">
        <v>2886</v>
      </c>
      <c r="E13574" t="s">
        <v>1116</v>
      </c>
      <c r="F13574" t="s">
        <v>1068</v>
      </c>
      <c r="G13574" t="s">
        <v>1073</v>
      </c>
      <c r="H13574" s="171" t="s">
        <v>8129</v>
      </c>
      <c r="I13574" t="s">
        <v>1074</v>
      </c>
      <c r="J13574">
        <v>9.85</v>
      </c>
    </row>
    <row r="13575" spans="1:10" hidden="1">
      <c r="A13575" t="s">
        <v>8125</v>
      </c>
      <c r="B13575" t="s">
        <v>8126</v>
      </c>
      <c r="C13575" t="s">
        <v>6839</v>
      </c>
      <c r="D13575" t="s">
        <v>2886</v>
      </c>
      <c r="E13575" t="s">
        <v>1116</v>
      </c>
      <c r="F13575" t="s">
        <v>1068</v>
      </c>
      <c r="G13575" t="s">
        <v>1075</v>
      </c>
      <c r="H13575">
        <v>4.2503365658779196E-3</v>
      </c>
      <c r="I13575" t="s">
        <v>1077</v>
      </c>
      <c r="J13575">
        <v>9.85</v>
      </c>
    </row>
    <row r="13576" spans="1:10" hidden="1">
      <c r="A13576" t="s">
        <v>8125</v>
      </c>
      <c r="B13576" t="s">
        <v>8126</v>
      </c>
      <c r="C13576" t="s">
        <v>6839</v>
      </c>
      <c r="D13576" t="s">
        <v>2886</v>
      </c>
      <c r="E13576" t="s">
        <v>1116</v>
      </c>
      <c r="F13576" t="s">
        <v>1068</v>
      </c>
      <c r="G13576" t="s">
        <v>1078</v>
      </c>
      <c r="H13576">
        <v>4.8911857255228397E-2</v>
      </c>
      <c r="I13576" t="s">
        <v>1079</v>
      </c>
      <c r="J13576">
        <v>9.85</v>
      </c>
    </row>
    <row r="13577" spans="1:10" hidden="1">
      <c r="A13577" t="s">
        <v>8125</v>
      </c>
      <c r="B13577" t="s">
        <v>8126</v>
      </c>
      <c r="C13577" t="s">
        <v>6839</v>
      </c>
      <c r="D13577" t="s">
        <v>2886</v>
      </c>
      <c r="E13577" t="s">
        <v>1116</v>
      </c>
      <c r="F13577" t="s">
        <v>1068</v>
      </c>
      <c r="G13577" t="s">
        <v>1080</v>
      </c>
      <c r="H13577" s="171" t="s">
        <v>7985</v>
      </c>
      <c r="I13577" t="s">
        <v>1082</v>
      </c>
      <c r="J13577">
        <v>9.85</v>
      </c>
    </row>
    <row r="13578" spans="1:10" hidden="1">
      <c r="A13578" t="s">
        <v>8125</v>
      </c>
      <c r="B13578" t="s">
        <v>8126</v>
      </c>
      <c r="C13578" t="s">
        <v>6839</v>
      </c>
      <c r="D13578" t="s">
        <v>2886</v>
      </c>
      <c r="E13578" t="s">
        <v>1116</v>
      </c>
      <c r="F13578" t="s">
        <v>1068</v>
      </c>
      <c r="G13578" t="s">
        <v>1083</v>
      </c>
      <c r="H13578" s="171" t="s">
        <v>8130</v>
      </c>
      <c r="I13578" t="s">
        <v>1084</v>
      </c>
      <c r="J13578">
        <v>9.85</v>
      </c>
    </row>
    <row r="13579" spans="1:10" hidden="1">
      <c r="A13579" t="s">
        <v>8125</v>
      </c>
      <c r="B13579" t="s">
        <v>8126</v>
      </c>
      <c r="C13579" t="s">
        <v>6839</v>
      </c>
      <c r="D13579" t="s">
        <v>2886</v>
      </c>
      <c r="E13579" t="s">
        <v>1116</v>
      </c>
      <c r="F13579" t="s">
        <v>1068</v>
      </c>
      <c r="G13579" t="s">
        <v>1085</v>
      </c>
      <c r="H13579">
        <v>1.5487281769230901E-4</v>
      </c>
      <c r="I13579" t="s">
        <v>1086</v>
      </c>
      <c r="J13579">
        <v>9.85</v>
      </c>
    </row>
    <row r="13580" spans="1:10" hidden="1">
      <c r="A13580" t="s">
        <v>8125</v>
      </c>
      <c r="B13580" t="s">
        <v>8126</v>
      </c>
      <c r="C13580" t="s">
        <v>6839</v>
      </c>
      <c r="D13580" t="s">
        <v>2886</v>
      </c>
      <c r="E13580" t="s">
        <v>1116</v>
      </c>
      <c r="F13580" t="s">
        <v>1068</v>
      </c>
      <c r="G13580" t="s">
        <v>1087</v>
      </c>
      <c r="H13580" s="171" t="s">
        <v>7987</v>
      </c>
      <c r="I13580" t="s">
        <v>1088</v>
      </c>
      <c r="J13580">
        <v>9.85</v>
      </c>
    </row>
    <row r="13581" spans="1:10" hidden="1">
      <c r="A13581" t="s">
        <v>8125</v>
      </c>
      <c r="B13581" t="s">
        <v>8126</v>
      </c>
      <c r="C13581" t="s">
        <v>6839</v>
      </c>
      <c r="D13581" t="s">
        <v>2886</v>
      </c>
      <c r="E13581" t="s">
        <v>1116</v>
      </c>
      <c r="F13581" t="s">
        <v>1068</v>
      </c>
      <c r="G13581" t="s">
        <v>1089</v>
      </c>
      <c r="H13581" s="171" t="s">
        <v>8131</v>
      </c>
      <c r="I13581" t="s">
        <v>1090</v>
      </c>
      <c r="J13581">
        <v>9.85</v>
      </c>
    </row>
    <row r="13582" spans="1:10" hidden="1">
      <c r="A13582" t="s">
        <v>8132</v>
      </c>
      <c r="B13582" t="s">
        <v>8133</v>
      </c>
      <c r="C13582" t="s">
        <v>6839</v>
      </c>
      <c r="D13582" t="s">
        <v>2975</v>
      </c>
      <c r="E13582" t="s">
        <v>561</v>
      </c>
      <c r="F13582" t="s">
        <v>1068</v>
      </c>
      <c r="G13582" t="s">
        <v>1069</v>
      </c>
      <c r="H13582" s="171" t="s">
        <v>8134</v>
      </c>
      <c r="I13582" t="s">
        <v>1070</v>
      </c>
      <c r="J13582">
        <v>9.65</v>
      </c>
    </row>
    <row r="13583" spans="1:10" hidden="1">
      <c r="A13583" t="s">
        <v>8132</v>
      </c>
      <c r="B13583" t="s">
        <v>8133</v>
      </c>
      <c r="C13583" t="s">
        <v>6839</v>
      </c>
      <c r="D13583" t="s">
        <v>2975</v>
      </c>
      <c r="E13583" t="s">
        <v>561</v>
      </c>
      <c r="F13583" t="s">
        <v>1068</v>
      </c>
      <c r="G13583" t="s">
        <v>1071</v>
      </c>
      <c r="H13583" s="171" t="s">
        <v>8135</v>
      </c>
      <c r="I13583" t="s">
        <v>1072</v>
      </c>
      <c r="J13583">
        <v>9.65</v>
      </c>
    </row>
    <row r="13584" spans="1:10" hidden="1">
      <c r="A13584" t="s">
        <v>8132</v>
      </c>
      <c r="B13584" t="s">
        <v>8133</v>
      </c>
      <c r="C13584" t="s">
        <v>6839</v>
      </c>
      <c r="D13584" t="s">
        <v>2975</v>
      </c>
      <c r="E13584" t="s">
        <v>561</v>
      </c>
      <c r="F13584" t="s">
        <v>1068</v>
      </c>
      <c r="G13584" t="s">
        <v>1073</v>
      </c>
      <c r="H13584" s="171" t="s">
        <v>8136</v>
      </c>
      <c r="I13584" t="s">
        <v>1074</v>
      </c>
      <c r="J13584">
        <v>9.65</v>
      </c>
    </row>
    <row r="13585" spans="1:10" hidden="1">
      <c r="A13585" t="s">
        <v>8132</v>
      </c>
      <c r="B13585" t="s">
        <v>8133</v>
      </c>
      <c r="C13585" t="s">
        <v>6839</v>
      </c>
      <c r="D13585" t="s">
        <v>2975</v>
      </c>
      <c r="E13585" t="s">
        <v>561</v>
      </c>
      <c r="F13585" t="s">
        <v>1068</v>
      </c>
      <c r="G13585" t="s">
        <v>1075</v>
      </c>
      <c r="H13585">
        <v>4.2549327890405598E-3</v>
      </c>
      <c r="I13585" t="s">
        <v>1077</v>
      </c>
      <c r="J13585">
        <v>9.65</v>
      </c>
    </row>
    <row r="13586" spans="1:10" hidden="1">
      <c r="A13586" t="s">
        <v>8132</v>
      </c>
      <c r="B13586" t="s">
        <v>8133</v>
      </c>
      <c r="C13586" t="s">
        <v>6839</v>
      </c>
      <c r="D13586" t="s">
        <v>2975</v>
      </c>
      <c r="E13586" t="s">
        <v>561</v>
      </c>
      <c r="F13586" t="s">
        <v>1068</v>
      </c>
      <c r="G13586" t="s">
        <v>1078</v>
      </c>
      <c r="H13586">
        <v>4.8916157062091001E-2</v>
      </c>
      <c r="I13586" t="s">
        <v>1079</v>
      </c>
      <c r="J13586">
        <v>9.65</v>
      </c>
    </row>
    <row r="13587" spans="1:10" hidden="1">
      <c r="A13587" t="s">
        <v>8132</v>
      </c>
      <c r="B13587" t="s">
        <v>8133</v>
      </c>
      <c r="C13587" t="s">
        <v>6839</v>
      </c>
      <c r="D13587" t="s">
        <v>2975</v>
      </c>
      <c r="E13587" t="s">
        <v>561</v>
      </c>
      <c r="F13587" t="s">
        <v>1068</v>
      </c>
      <c r="G13587" t="s">
        <v>1080</v>
      </c>
      <c r="H13587" s="171" t="s">
        <v>8067</v>
      </c>
      <c r="I13587" t="s">
        <v>1082</v>
      </c>
      <c r="J13587">
        <v>9.65</v>
      </c>
    </row>
    <row r="13588" spans="1:10" hidden="1">
      <c r="A13588" t="s">
        <v>8132</v>
      </c>
      <c r="B13588" t="s">
        <v>8133</v>
      </c>
      <c r="C13588" t="s">
        <v>6839</v>
      </c>
      <c r="D13588" t="s">
        <v>2975</v>
      </c>
      <c r="E13588" t="s">
        <v>561</v>
      </c>
      <c r="F13588" t="s">
        <v>1068</v>
      </c>
      <c r="G13588" t="s">
        <v>1083</v>
      </c>
      <c r="H13588" s="171" t="s">
        <v>8137</v>
      </c>
      <c r="I13588" t="s">
        <v>1084</v>
      </c>
      <c r="J13588">
        <v>9.65</v>
      </c>
    </row>
    <row r="13589" spans="1:10" hidden="1">
      <c r="A13589" t="s">
        <v>8132</v>
      </c>
      <c r="B13589" t="s">
        <v>8133</v>
      </c>
      <c r="C13589" t="s">
        <v>6839</v>
      </c>
      <c r="D13589" t="s">
        <v>2975</v>
      </c>
      <c r="E13589" t="s">
        <v>561</v>
      </c>
      <c r="F13589" t="s">
        <v>1068</v>
      </c>
      <c r="G13589" t="s">
        <v>1085</v>
      </c>
      <c r="H13589">
        <v>1.5503304770039399E-4</v>
      </c>
      <c r="I13589" t="s">
        <v>1086</v>
      </c>
      <c r="J13589">
        <v>9.65</v>
      </c>
    </row>
    <row r="13590" spans="1:10" hidden="1">
      <c r="A13590" t="s">
        <v>8132</v>
      </c>
      <c r="B13590" t="s">
        <v>8133</v>
      </c>
      <c r="C13590" t="s">
        <v>6839</v>
      </c>
      <c r="D13590" t="s">
        <v>2975</v>
      </c>
      <c r="E13590" t="s">
        <v>561</v>
      </c>
      <c r="F13590" t="s">
        <v>1068</v>
      </c>
      <c r="G13590" t="s">
        <v>1087</v>
      </c>
      <c r="H13590" s="171" t="s">
        <v>8069</v>
      </c>
      <c r="I13590" t="s">
        <v>1088</v>
      </c>
      <c r="J13590">
        <v>9.65</v>
      </c>
    </row>
    <row r="13591" spans="1:10" hidden="1">
      <c r="A13591" t="s">
        <v>8132</v>
      </c>
      <c r="B13591" t="s">
        <v>8133</v>
      </c>
      <c r="C13591" t="s">
        <v>6839</v>
      </c>
      <c r="D13591" t="s">
        <v>2975</v>
      </c>
      <c r="E13591" t="s">
        <v>561</v>
      </c>
      <c r="F13591" t="s">
        <v>1068</v>
      </c>
      <c r="G13591" t="s">
        <v>1089</v>
      </c>
      <c r="H13591" s="171" t="s">
        <v>8138</v>
      </c>
      <c r="I13591" t="s">
        <v>1090</v>
      </c>
      <c r="J13591">
        <v>9.65</v>
      </c>
    </row>
    <row r="13592" spans="1:10" hidden="1">
      <c r="A13592" t="s">
        <v>8139</v>
      </c>
      <c r="B13592" t="s">
        <v>8140</v>
      </c>
      <c r="C13592" t="s">
        <v>6839</v>
      </c>
      <c r="D13592" t="s">
        <v>2975</v>
      </c>
      <c r="E13592" t="s">
        <v>555</v>
      </c>
      <c r="F13592" t="s">
        <v>1068</v>
      </c>
      <c r="G13592" t="s">
        <v>1069</v>
      </c>
      <c r="H13592" s="171" t="s">
        <v>8141</v>
      </c>
      <c r="I13592" t="s">
        <v>1070</v>
      </c>
      <c r="J13592">
        <v>9.69</v>
      </c>
    </row>
    <row r="13593" spans="1:10" hidden="1">
      <c r="A13593" t="s">
        <v>8139</v>
      </c>
      <c r="B13593" t="s">
        <v>8140</v>
      </c>
      <c r="C13593" t="s">
        <v>6839</v>
      </c>
      <c r="D13593" t="s">
        <v>2975</v>
      </c>
      <c r="E13593" t="s">
        <v>555</v>
      </c>
      <c r="F13593" t="s">
        <v>1068</v>
      </c>
      <c r="G13593" t="s">
        <v>1071</v>
      </c>
      <c r="H13593" s="171" t="s">
        <v>8142</v>
      </c>
      <c r="I13593" t="s">
        <v>1072</v>
      </c>
      <c r="J13593">
        <v>9.69</v>
      </c>
    </row>
    <row r="13594" spans="1:10" hidden="1">
      <c r="A13594" t="s">
        <v>8139</v>
      </c>
      <c r="B13594" t="s">
        <v>8140</v>
      </c>
      <c r="C13594" t="s">
        <v>6839</v>
      </c>
      <c r="D13594" t="s">
        <v>2975</v>
      </c>
      <c r="E13594" t="s">
        <v>555</v>
      </c>
      <c r="F13594" t="s">
        <v>1068</v>
      </c>
      <c r="G13594" t="s">
        <v>1073</v>
      </c>
      <c r="H13594" s="171" t="s">
        <v>8143</v>
      </c>
      <c r="I13594" t="s">
        <v>1074</v>
      </c>
      <c r="J13594">
        <v>9.69</v>
      </c>
    </row>
    <row r="13595" spans="1:10" hidden="1">
      <c r="A13595" t="s">
        <v>8139</v>
      </c>
      <c r="B13595" t="s">
        <v>8140</v>
      </c>
      <c r="C13595" t="s">
        <v>6839</v>
      </c>
      <c r="D13595" t="s">
        <v>2975</v>
      </c>
      <c r="E13595" t="s">
        <v>555</v>
      </c>
      <c r="F13595" t="s">
        <v>1068</v>
      </c>
      <c r="G13595" t="s">
        <v>1075</v>
      </c>
      <c r="H13595">
        <v>4.2554151717749998E-3</v>
      </c>
      <c r="I13595" t="s">
        <v>1077</v>
      </c>
      <c r="J13595">
        <v>9.69</v>
      </c>
    </row>
    <row r="13596" spans="1:10" hidden="1">
      <c r="A13596" t="s">
        <v>8139</v>
      </c>
      <c r="B13596" t="s">
        <v>8140</v>
      </c>
      <c r="C13596" t="s">
        <v>6839</v>
      </c>
      <c r="D13596" t="s">
        <v>2975</v>
      </c>
      <c r="E13596" t="s">
        <v>555</v>
      </c>
      <c r="F13596" t="s">
        <v>1068</v>
      </c>
      <c r="G13596" t="s">
        <v>1078</v>
      </c>
      <c r="H13596" s="171" t="s">
        <v>8144</v>
      </c>
      <c r="I13596" t="s">
        <v>1079</v>
      </c>
      <c r="J13596">
        <v>9.69</v>
      </c>
    </row>
    <row r="13597" spans="1:10" hidden="1">
      <c r="A13597" t="s">
        <v>8139</v>
      </c>
      <c r="B13597" t="s">
        <v>8140</v>
      </c>
      <c r="C13597" t="s">
        <v>6839</v>
      </c>
      <c r="D13597" t="s">
        <v>2975</v>
      </c>
      <c r="E13597" t="s">
        <v>555</v>
      </c>
      <c r="F13597" t="s">
        <v>1068</v>
      </c>
      <c r="G13597" t="s">
        <v>1080</v>
      </c>
      <c r="H13597" s="171" t="s">
        <v>7528</v>
      </c>
      <c r="I13597" t="s">
        <v>1082</v>
      </c>
      <c r="J13597">
        <v>9.69</v>
      </c>
    </row>
    <row r="13598" spans="1:10" hidden="1">
      <c r="A13598" t="s">
        <v>8139</v>
      </c>
      <c r="B13598" t="s">
        <v>8140</v>
      </c>
      <c r="C13598" t="s">
        <v>6839</v>
      </c>
      <c r="D13598" t="s">
        <v>2975</v>
      </c>
      <c r="E13598" t="s">
        <v>555</v>
      </c>
      <c r="F13598" t="s">
        <v>1068</v>
      </c>
      <c r="G13598" t="s">
        <v>1083</v>
      </c>
      <c r="H13598" s="171" t="s">
        <v>8145</v>
      </c>
      <c r="I13598" t="s">
        <v>1084</v>
      </c>
      <c r="J13598">
        <v>9.69</v>
      </c>
    </row>
    <row r="13599" spans="1:10" hidden="1">
      <c r="A13599" t="s">
        <v>8139</v>
      </c>
      <c r="B13599" t="s">
        <v>8140</v>
      </c>
      <c r="C13599" t="s">
        <v>6839</v>
      </c>
      <c r="D13599" t="s">
        <v>2975</v>
      </c>
      <c r="E13599" t="s">
        <v>555</v>
      </c>
      <c r="F13599" t="s">
        <v>1068</v>
      </c>
      <c r="G13599" t="s">
        <v>1085</v>
      </c>
      <c r="H13599">
        <v>1.55059258906459E-4</v>
      </c>
      <c r="I13599" t="s">
        <v>1086</v>
      </c>
      <c r="J13599">
        <v>9.69</v>
      </c>
    </row>
    <row r="13600" spans="1:10" hidden="1">
      <c r="A13600" t="s">
        <v>8139</v>
      </c>
      <c r="B13600" t="s">
        <v>8140</v>
      </c>
      <c r="C13600" t="s">
        <v>6839</v>
      </c>
      <c r="D13600" t="s">
        <v>2975</v>
      </c>
      <c r="E13600" t="s">
        <v>555</v>
      </c>
      <c r="F13600" t="s">
        <v>1068</v>
      </c>
      <c r="G13600" t="s">
        <v>1087</v>
      </c>
      <c r="H13600" s="171" t="s">
        <v>6854</v>
      </c>
      <c r="I13600" t="s">
        <v>1088</v>
      </c>
      <c r="J13600">
        <v>9.69</v>
      </c>
    </row>
    <row r="13601" spans="1:10" hidden="1">
      <c r="A13601" t="s">
        <v>8139</v>
      </c>
      <c r="B13601" t="s">
        <v>8140</v>
      </c>
      <c r="C13601" t="s">
        <v>6839</v>
      </c>
      <c r="D13601" t="s">
        <v>2975</v>
      </c>
      <c r="E13601" t="s">
        <v>555</v>
      </c>
      <c r="F13601" t="s">
        <v>1068</v>
      </c>
      <c r="G13601" t="s">
        <v>1089</v>
      </c>
      <c r="H13601" s="171" t="s">
        <v>8146</v>
      </c>
      <c r="I13601" t="s">
        <v>1090</v>
      </c>
      <c r="J13601">
        <v>9.69</v>
      </c>
    </row>
    <row r="13602" spans="1:10" hidden="1">
      <c r="A13602" t="s">
        <v>8147</v>
      </c>
      <c r="B13602" t="s">
        <v>8148</v>
      </c>
      <c r="C13602" t="s">
        <v>6839</v>
      </c>
      <c r="D13602" t="s">
        <v>2975</v>
      </c>
      <c r="E13602" t="s">
        <v>558</v>
      </c>
      <c r="F13602" t="s">
        <v>1068</v>
      </c>
      <c r="G13602" t="s">
        <v>1069</v>
      </c>
      <c r="H13602" s="171" t="s">
        <v>8149</v>
      </c>
      <c r="I13602" t="s">
        <v>1070</v>
      </c>
      <c r="J13602">
        <v>8.19</v>
      </c>
    </row>
    <row r="13603" spans="1:10" hidden="1">
      <c r="A13603" t="s">
        <v>8147</v>
      </c>
      <c r="B13603" t="s">
        <v>8148</v>
      </c>
      <c r="C13603" t="s">
        <v>6839</v>
      </c>
      <c r="D13603" t="s">
        <v>2975</v>
      </c>
      <c r="E13603" t="s">
        <v>558</v>
      </c>
      <c r="F13603" t="s">
        <v>1068</v>
      </c>
      <c r="G13603" t="s">
        <v>1071</v>
      </c>
      <c r="H13603" s="171" t="s">
        <v>8150</v>
      </c>
      <c r="I13603" t="s">
        <v>1072</v>
      </c>
      <c r="J13603">
        <v>8.19</v>
      </c>
    </row>
    <row r="13604" spans="1:10" hidden="1">
      <c r="A13604" t="s">
        <v>8147</v>
      </c>
      <c r="B13604" t="s">
        <v>8148</v>
      </c>
      <c r="C13604" t="s">
        <v>6839</v>
      </c>
      <c r="D13604" t="s">
        <v>2975</v>
      </c>
      <c r="E13604" t="s">
        <v>558</v>
      </c>
      <c r="F13604" t="s">
        <v>1068</v>
      </c>
      <c r="G13604" t="s">
        <v>1073</v>
      </c>
      <c r="H13604" s="171" t="s">
        <v>8151</v>
      </c>
      <c r="I13604" t="s">
        <v>1074</v>
      </c>
      <c r="J13604">
        <v>8.19</v>
      </c>
    </row>
    <row r="13605" spans="1:10" hidden="1">
      <c r="A13605" t="s">
        <v>8147</v>
      </c>
      <c r="B13605" t="s">
        <v>8148</v>
      </c>
      <c r="C13605" t="s">
        <v>6839</v>
      </c>
      <c r="D13605" t="s">
        <v>2975</v>
      </c>
      <c r="E13605" t="s">
        <v>558</v>
      </c>
      <c r="F13605" t="s">
        <v>1068</v>
      </c>
      <c r="G13605" t="s">
        <v>1075</v>
      </c>
      <c r="H13605">
        <v>4.2548924165219503E-3</v>
      </c>
      <c r="I13605" t="s">
        <v>1077</v>
      </c>
      <c r="J13605">
        <v>8.19</v>
      </c>
    </row>
    <row r="13606" spans="1:10" hidden="1">
      <c r="A13606" t="s">
        <v>8147</v>
      </c>
      <c r="B13606" t="s">
        <v>8148</v>
      </c>
      <c r="C13606" t="s">
        <v>6839</v>
      </c>
      <c r="D13606" t="s">
        <v>2975</v>
      </c>
      <c r="E13606" t="s">
        <v>558</v>
      </c>
      <c r="F13606" t="s">
        <v>1068</v>
      </c>
      <c r="G13606" t="s">
        <v>1078</v>
      </c>
      <c r="H13606">
        <v>4.8914411198653501E-2</v>
      </c>
      <c r="I13606" t="s">
        <v>1079</v>
      </c>
      <c r="J13606">
        <v>8.19</v>
      </c>
    </row>
    <row r="13607" spans="1:10" hidden="1">
      <c r="A13607" t="s">
        <v>8147</v>
      </c>
      <c r="B13607" t="s">
        <v>8148</v>
      </c>
      <c r="C13607" t="s">
        <v>6839</v>
      </c>
      <c r="D13607" t="s">
        <v>2975</v>
      </c>
      <c r="E13607" t="s">
        <v>558</v>
      </c>
      <c r="F13607" t="s">
        <v>1068</v>
      </c>
      <c r="G13607" t="s">
        <v>1080</v>
      </c>
      <c r="H13607" s="171" t="s">
        <v>8152</v>
      </c>
      <c r="I13607" t="s">
        <v>1082</v>
      </c>
      <c r="J13607">
        <v>8.19</v>
      </c>
    </row>
    <row r="13608" spans="1:10" hidden="1">
      <c r="A13608" t="s">
        <v>8147</v>
      </c>
      <c r="B13608" t="s">
        <v>8148</v>
      </c>
      <c r="C13608" t="s">
        <v>6839</v>
      </c>
      <c r="D13608" t="s">
        <v>2975</v>
      </c>
      <c r="E13608" t="s">
        <v>558</v>
      </c>
      <c r="F13608" t="s">
        <v>1068</v>
      </c>
      <c r="G13608" t="s">
        <v>1083</v>
      </c>
      <c r="H13608" s="171" t="s">
        <v>8153</v>
      </c>
      <c r="I13608" t="s">
        <v>1084</v>
      </c>
      <c r="J13608">
        <v>8.19</v>
      </c>
    </row>
    <row r="13609" spans="1:10" hidden="1">
      <c r="A13609" t="s">
        <v>8147</v>
      </c>
      <c r="B13609" t="s">
        <v>8148</v>
      </c>
      <c r="C13609" t="s">
        <v>6839</v>
      </c>
      <c r="D13609" t="s">
        <v>2975</v>
      </c>
      <c r="E13609" t="s">
        <v>558</v>
      </c>
      <c r="F13609" t="s">
        <v>1068</v>
      </c>
      <c r="G13609" t="s">
        <v>1085</v>
      </c>
      <c r="H13609">
        <v>1.5503085364015101E-4</v>
      </c>
      <c r="I13609" t="s">
        <v>1086</v>
      </c>
      <c r="J13609">
        <v>8.19</v>
      </c>
    </row>
    <row r="13610" spans="1:10" hidden="1">
      <c r="A13610" t="s">
        <v>8147</v>
      </c>
      <c r="B13610" t="s">
        <v>8148</v>
      </c>
      <c r="C13610" t="s">
        <v>6839</v>
      </c>
      <c r="D13610" t="s">
        <v>2975</v>
      </c>
      <c r="E13610" t="s">
        <v>558</v>
      </c>
      <c r="F13610" t="s">
        <v>1068</v>
      </c>
      <c r="G13610" t="s">
        <v>1087</v>
      </c>
      <c r="H13610" s="171" t="s">
        <v>7935</v>
      </c>
      <c r="I13610" t="s">
        <v>1088</v>
      </c>
      <c r="J13610">
        <v>8.19</v>
      </c>
    </row>
    <row r="13611" spans="1:10" hidden="1">
      <c r="A13611" t="s">
        <v>8147</v>
      </c>
      <c r="B13611" t="s">
        <v>8148</v>
      </c>
      <c r="C13611" t="s">
        <v>6839</v>
      </c>
      <c r="D13611" t="s">
        <v>2975</v>
      </c>
      <c r="E13611" t="s">
        <v>558</v>
      </c>
      <c r="F13611" t="s">
        <v>1068</v>
      </c>
      <c r="G13611" t="s">
        <v>1089</v>
      </c>
      <c r="H13611" s="171" t="s">
        <v>8154</v>
      </c>
      <c r="I13611" t="s">
        <v>1090</v>
      </c>
      <c r="J13611">
        <v>8.19</v>
      </c>
    </row>
    <row r="13612" spans="1:10" hidden="1">
      <c r="A13612" t="s">
        <v>8155</v>
      </c>
      <c r="B13612" t="s">
        <v>8156</v>
      </c>
      <c r="C13612" t="s">
        <v>6839</v>
      </c>
      <c r="D13612" t="s">
        <v>2975</v>
      </c>
      <c r="E13612" t="s">
        <v>553</v>
      </c>
      <c r="F13612" t="s">
        <v>1068</v>
      </c>
      <c r="G13612" t="s">
        <v>1069</v>
      </c>
      <c r="H13612" s="171" t="s">
        <v>8157</v>
      </c>
      <c r="I13612" t="s">
        <v>1070</v>
      </c>
      <c r="J13612">
        <v>9.8000000000000007</v>
      </c>
    </row>
    <row r="13613" spans="1:10" hidden="1">
      <c r="A13613" t="s">
        <v>8155</v>
      </c>
      <c r="B13613" t="s">
        <v>8156</v>
      </c>
      <c r="C13613" t="s">
        <v>6839</v>
      </c>
      <c r="D13613" t="s">
        <v>2975</v>
      </c>
      <c r="E13613" t="s">
        <v>553</v>
      </c>
      <c r="F13613" t="s">
        <v>1068</v>
      </c>
      <c r="G13613" t="s">
        <v>1071</v>
      </c>
      <c r="H13613" s="171" t="s">
        <v>8158</v>
      </c>
      <c r="I13613" t="s">
        <v>1072</v>
      </c>
      <c r="J13613">
        <v>9.8000000000000007</v>
      </c>
    </row>
    <row r="13614" spans="1:10" hidden="1">
      <c r="A13614" t="s">
        <v>8155</v>
      </c>
      <c r="B13614" t="s">
        <v>8156</v>
      </c>
      <c r="C13614" t="s">
        <v>6839</v>
      </c>
      <c r="D13614" t="s">
        <v>2975</v>
      </c>
      <c r="E13614" t="s">
        <v>553</v>
      </c>
      <c r="F13614" t="s">
        <v>1068</v>
      </c>
      <c r="G13614" t="s">
        <v>1073</v>
      </c>
      <c r="H13614" s="171" t="s">
        <v>8159</v>
      </c>
      <c r="I13614" t="s">
        <v>1074</v>
      </c>
      <c r="J13614">
        <v>9.8000000000000007</v>
      </c>
    </row>
    <row r="13615" spans="1:10" hidden="1">
      <c r="A13615" t="s">
        <v>8155</v>
      </c>
      <c r="B13615" t="s">
        <v>8156</v>
      </c>
      <c r="C13615" t="s">
        <v>6839</v>
      </c>
      <c r="D13615" t="s">
        <v>2975</v>
      </c>
      <c r="E13615" t="s">
        <v>553</v>
      </c>
      <c r="F13615" t="s">
        <v>1068</v>
      </c>
      <c r="G13615" t="s">
        <v>1075</v>
      </c>
      <c r="H13615">
        <v>4.2548760374676101E-3</v>
      </c>
      <c r="I13615" t="s">
        <v>1077</v>
      </c>
      <c r="J13615">
        <v>9.8000000000000007</v>
      </c>
    </row>
    <row r="13616" spans="1:10" hidden="1">
      <c r="A13616" t="s">
        <v>8155</v>
      </c>
      <c r="B13616" t="s">
        <v>8156</v>
      </c>
      <c r="C13616" t="s">
        <v>6839</v>
      </c>
      <c r="D13616" t="s">
        <v>2975</v>
      </c>
      <c r="E13616" t="s">
        <v>553</v>
      </c>
      <c r="F13616" t="s">
        <v>1068</v>
      </c>
      <c r="G13616" t="s">
        <v>1078</v>
      </c>
      <c r="H13616">
        <v>4.8913699137554598E-2</v>
      </c>
      <c r="I13616" t="s">
        <v>1079</v>
      </c>
      <c r="J13616">
        <v>9.8000000000000007</v>
      </c>
    </row>
    <row r="13617" spans="1:10" hidden="1">
      <c r="A13617" t="s">
        <v>8155</v>
      </c>
      <c r="B13617" t="s">
        <v>8156</v>
      </c>
      <c r="C13617" t="s">
        <v>6839</v>
      </c>
      <c r="D13617" t="s">
        <v>2975</v>
      </c>
      <c r="E13617" t="s">
        <v>553</v>
      </c>
      <c r="F13617" t="s">
        <v>1068</v>
      </c>
      <c r="G13617" t="s">
        <v>1080</v>
      </c>
      <c r="H13617" s="171" t="s">
        <v>8019</v>
      </c>
      <c r="I13617" t="s">
        <v>1082</v>
      </c>
      <c r="J13617">
        <v>9.8000000000000007</v>
      </c>
    </row>
    <row r="13618" spans="1:10" hidden="1">
      <c r="A13618" t="s">
        <v>8155</v>
      </c>
      <c r="B13618" t="s">
        <v>8156</v>
      </c>
      <c r="C13618" t="s">
        <v>6839</v>
      </c>
      <c r="D13618" t="s">
        <v>2975</v>
      </c>
      <c r="E13618" t="s">
        <v>553</v>
      </c>
      <c r="F13618" t="s">
        <v>1068</v>
      </c>
      <c r="G13618" t="s">
        <v>1083</v>
      </c>
      <c r="H13618" s="171" t="s">
        <v>8160</v>
      </c>
      <c r="I13618" t="s">
        <v>1084</v>
      </c>
      <c r="J13618">
        <v>9.8000000000000007</v>
      </c>
    </row>
    <row r="13619" spans="1:10" hidden="1">
      <c r="A13619" t="s">
        <v>8155</v>
      </c>
      <c r="B13619" t="s">
        <v>8156</v>
      </c>
      <c r="C13619" t="s">
        <v>6839</v>
      </c>
      <c r="D13619" t="s">
        <v>2975</v>
      </c>
      <c r="E13619" t="s">
        <v>553</v>
      </c>
      <c r="F13619" t="s">
        <v>1068</v>
      </c>
      <c r="G13619" t="s">
        <v>1085</v>
      </c>
      <c r="H13619">
        <v>1.5502995944261501E-4</v>
      </c>
      <c r="I13619" t="s">
        <v>1086</v>
      </c>
      <c r="J13619">
        <v>9.8000000000000007</v>
      </c>
    </row>
    <row r="13620" spans="1:10" hidden="1">
      <c r="A13620" t="s">
        <v>8155</v>
      </c>
      <c r="B13620" t="s">
        <v>8156</v>
      </c>
      <c r="C13620" t="s">
        <v>6839</v>
      </c>
      <c r="D13620" t="s">
        <v>2975</v>
      </c>
      <c r="E13620" t="s">
        <v>553</v>
      </c>
      <c r="F13620" t="s">
        <v>1068</v>
      </c>
      <c r="G13620" t="s">
        <v>1087</v>
      </c>
      <c r="H13620" s="171" t="s">
        <v>8021</v>
      </c>
      <c r="I13620" t="s">
        <v>1088</v>
      </c>
      <c r="J13620">
        <v>9.8000000000000007</v>
      </c>
    </row>
    <row r="13621" spans="1:10" hidden="1">
      <c r="A13621" t="s">
        <v>8155</v>
      </c>
      <c r="B13621" t="s">
        <v>8156</v>
      </c>
      <c r="C13621" t="s">
        <v>6839</v>
      </c>
      <c r="D13621" t="s">
        <v>2975</v>
      </c>
      <c r="E13621" t="s">
        <v>553</v>
      </c>
      <c r="F13621" t="s">
        <v>1068</v>
      </c>
      <c r="G13621" t="s">
        <v>1089</v>
      </c>
      <c r="H13621" s="171" t="s">
        <v>8161</v>
      </c>
      <c r="I13621" t="s">
        <v>1090</v>
      </c>
      <c r="J13621">
        <v>9.8000000000000007</v>
      </c>
    </row>
    <row r="13622" spans="1:10" hidden="1">
      <c r="A13622" t="s">
        <v>8162</v>
      </c>
      <c r="B13622" t="s">
        <v>8163</v>
      </c>
      <c r="C13622" t="s">
        <v>6839</v>
      </c>
      <c r="D13622" t="s">
        <v>2975</v>
      </c>
      <c r="E13622" t="s">
        <v>556</v>
      </c>
      <c r="F13622" t="s">
        <v>1068</v>
      </c>
      <c r="G13622" t="s">
        <v>1069</v>
      </c>
      <c r="H13622" s="171" t="s">
        <v>8164</v>
      </c>
      <c r="I13622" t="s">
        <v>1070</v>
      </c>
      <c r="J13622">
        <v>9.7200000000000006</v>
      </c>
    </row>
    <row r="13623" spans="1:10" hidden="1">
      <c r="A13623" t="s">
        <v>8162</v>
      </c>
      <c r="B13623" t="s">
        <v>8163</v>
      </c>
      <c r="C13623" t="s">
        <v>6839</v>
      </c>
      <c r="D13623" t="s">
        <v>2975</v>
      </c>
      <c r="E13623" t="s">
        <v>556</v>
      </c>
      <c r="F13623" t="s">
        <v>1068</v>
      </c>
      <c r="G13623" t="s">
        <v>1071</v>
      </c>
      <c r="H13623" s="171" t="s">
        <v>8165</v>
      </c>
      <c r="I13623" t="s">
        <v>1072</v>
      </c>
      <c r="J13623">
        <v>9.7200000000000006</v>
      </c>
    </row>
    <row r="13624" spans="1:10" hidden="1">
      <c r="A13624" t="s">
        <v>8162</v>
      </c>
      <c r="B13624" t="s">
        <v>8163</v>
      </c>
      <c r="C13624" t="s">
        <v>6839</v>
      </c>
      <c r="D13624" t="s">
        <v>2975</v>
      </c>
      <c r="E13624" t="s">
        <v>556</v>
      </c>
      <c r="F13624" t="s">
        <v>1068</v>
      </c>
      <c r="G13624" t="s">
        <v>1073</v>
      </c>
      <c r="H13624" s="171" t="s">
        <v>8166</v>
      </c>
      <c r="I13624" t="s">
        <v>1074</v>
      </c>
      <c r="J13624">
        <v>9.7200000000000006</v>
      </c>
    </row>
    <row r="13625" spans="1:10" hidden="1">
      <c r="A13625" t="s">
        <v>8162</v>
      </c>
      <c r="B13625" t="s">
        <v>8163</v>
      </c>
      <c r="C13625" t="s">
        <v>6839</v>
      </c>
      <c r="D13625" t="s">
        <v>2975</v>
      </c>
      <c r="E13625" t="s">
        <v>556</v>
      </c>
      <c r="F13625" t="s">
        <v>1068</v>
      </c>
      <c r="G13625" t="s">
        <v>1075</v>
      </c>
      <c r="H13625">
        <v>4.2553644973303698E-3</v>
      </c>
      <c r="I13625" t="s">
        <v>1077</v>
      </c>
      <c r="J13625">
        <v>9.7200000000000006</v>
      </c>
    </row>
    <row r="13626" spans="1:10" hidden="1">
      <c r="A13626" t="s">
        <v>8162</v>
      </c>
      <c r="B13626" t="s">
        <v>8163</v>
      </c>
      <c r="C13626" t="s">
        <v>6839</v>
      </c>
      <c r="D13626" t="s">
        <v>2975</v>
      </c>
      <c r="E13626" t="s">
        <v>556</v>
      </c>
      <c r="F13626" t="s">
        <v>1068</v>
      </c>
      <c r="G13626" t="s">
        <v>1078</v>
      </c>
      <c r="H13626">
        <v>4.8934822026179499E-2</v>
      </c>
      <c r="I13626" t="s">
        <v>1079</v>
      </c>
      <c r="J13626">
        <v>9.7200000000000006</v>
      </c>
    </row>
    <row r="13627" spans="1:10" hidden="1">
      <c r="A13627" t="s">
        <v>8162</v>
      </c>
      <c r="B13627" t="s">
        <v>8163</v>
      </c>
      <c r="C13627" t="s">
        <v>6839</v>
      </c>
      <c r="D13627" t="s">
        <v>2975</v>
      </c>
      <c r="E13627" t="s">
        <v>556</v>
      </c>
      <c r="F13627" t="s">
        <v>1068</v>
      </c>
      <c r="G13627" t="s">
        <v>1080</v>
      </c>
      <c r="H13627" s="171" t="s">
        <v>8167</v>
      </c>
      <c r="I13627" t="s">
        <v>1082</v>
      </c>
      <c r="J13627">
        <v>9.7200000000000006</v>
      </c>
    </row>
    <row r="13628" spans="1:10" hidden="1">
      <c r="A13628" t="s">
        <v>8162</v>
      </c>
      <c r="B13628" t="s">
        <v>8163</v>
      </c>
      <c r="C13628" t="s">
        <v>6839</v>
      </c>
      <c r="D13628" t="s">
        <v>2975</v>
      </c>
      <c r="E13628" t="s">
        <v>556</v>
      </c>
      <c r="F13628" t="s">
        <v>1068</v>
      </c>
      <c r="G13628" t="s">
        <v>1083</v>
      </c>
      <c r="H13628" s="171" t="s">
        <v>8168</v>
      </c>
      <c r="I13628" t="s">
        <v>1084</v>
      </c>
      <c r="J13628">
        <v>9.7200000000000006</v>
      </c>
    </row>
    <row r="13629" spans="1:10" hidden="1">
      <c r="A13629" t="s">
        <v>8162</v>
      </c>
      <c r="B13629" t="s">
        <v>8163</v>
      </c>
      <c r="C13629" t="s">
        <v>6839</v>
      </c>
      <c r="D13629" t="s">
        <v>2975</v>
      </c>
      <c r="E13629" t="s">
        <v>556</v>
      </c>
      <c r="F13629" t="s">
        <v>1068</v>
      </c>
      <c r="G13629" t="s">
        <v>1085</v>
      </c>
      <c r="H13629">
        <v>1.5505650498400799E-4</v>
      </c>
      <c r="I13629" t="s">
        <v>1086</v>
      </c>
      <c r="J13629">
        <v>9.7200000000000006</v>
      </c>
    </row>
    <row r="13630" spans="1:10" hidden="1">
      <c r="A13630" t="s">
        <v>8162</v>
      </c>
      <c r="B13630" t="s">
        <v>8163</v>
      </c>
      <c r="C13630" t="s">
        <v>6839</v>
      </c>
      <c r="D13630" t="s">
        <v>2975</v>
      </c>
      <c r="E13630" t="s">
        <v>556</v>
      </c>
      <c r="F13630" t="s">
        <v>1068</v>
      </c>
      <c r="G13630" t="s">
        <v>1087</v>
      </c>
      <c r="H13630" s="171" t="s">
        <v>8169</v>
      </c>
      <c r="I13630" t="s">
        <v>1088</v>
      </c>
      <c r="J13630">
        <v>9.7200000000000006</v>
      </c>
    </row>
    <row r="13631" spans="1:10" hidden="1">
      <c r="A13631" t="s">
        <v>8162</v>
      </c>
      <c r="B13631" t="s">
        <v>8163</v>
      </c>
      <c r="C13631" t="s">
        <v>6839</v>
      </c>
      <c r="D13631" t="s">
        <v>2975</v>
      </c>
      <c r="E13631" t="s">
        <v>556</v>
      </c>
      <c r="F13631" t="s">
        <v>1068</v>
      </c>
      <c r="G13631" t="s">
        <v>1089</v>
      </c>
      <c r="H13631" s="171" t="s">
        <v>8170</v>
      </c>
      <c r="I13631" t="s">
        <v>1090</v>
      </c>
      <c r="J13631">
        <v>9.7200000000000006</v>
      </c>
    </row>
    <row r="13632" spans="1:10" hidden="1">
      <c r="A13632" t="s">
        <v>8171</v>
      </c>
      <c r="B13632" s="170" t="s">
        <v>8172</v>
      </c>
      <c r="C13632" t="s">
        <v>6839</v>
      </c>
      <c r="D13632" t="s">
        <v>2975</v>
      </c>
      <c r="E13632" t="s">
        <v>557</v>
      </c>
      <c r="F13632" t="s">
        <v>1068</v>
      </c>
      <c r="G13632" t="s">
        <v>1069</v>
      </c>
      <c r="H13632" s="171" t="s">
        <v>8173</v>
      </c>
      <c r="I13632" t="s">
        <v>1070</v>
      </c>
      <c r="J13632">
        <v>8.92</v>
      </c>
    </row>
    <row r="13633" spans="1:10" hidden="1">
      <c r="A13633" t="s">
        <v>8171</v>
      </c>
      <c r="B13633" s="170" t="s">
        <v>8172</v>
      </c>
      <c r="C13633" t="s">
        <v>6839</v>
      </c>
      <c r="D13633" t="s">
        <v>2975</v>
      </c>
      <c r="E13633" t="s">
        <v>557</v>
      </c>
      <c r="F13633" t="s">
        <v>1068</v>
      </c>
      <c r="G13633" t="s">
        <v>1071</v>
      </c>
      <c r="H13633" s="171" t="s">
        <v>8174</v>
      </c>
      <c r="I13633" t="s">
        <v>1072</v>
      </c>
      <c r="J13633">
        <v>8.92</v>
      </c>
    </row>
    <row r="13634" spans="1:10" hidden="1">
      <c r="A13634" t="s">
        <v>8171</v>
      </c>
      <c r="B13634" s="170" t="s">
        <v>8172</v>
      </c>
      <c r="C13634" t="s">
        <v>6839</v>
      </c>
      <c r="D13634" t="s">
        <v>2975</v>
      </c>
      <c r="E13634" t="s">
        <v>557</v>
      </c>
      <c r="F13634" t="s">
        <v>1068</v>
      </c>
      <c r="G13634" t="s">
        <v>1073</v>
      </c>
      <c r="H13634" s="171" t="s">
        <v>8175</v>
      </c>
      <c r="I13634" t="s">
        <v>1074</v>
      </c>
      <c r="J13634">
        <v>8.92</v>
      </c>
    </row>
    <row r="13635" spans="1:10" hidden="1">
      <c r="A13635" t="s">
        <v>8171</v>
      </c>
      <c r="B13635" s="170" t="s">
        <v>8172</v>
      </c>
      <c r="C13635" t="s">
        <v>6839</v>
      </c>
      <c r="D13635" t="s">
        <v>2975</v>
      </c>
      <c r="E13635" t="s">
        <v>557</v>
      </c>
      <c r="F13635" t="s">
        <v>1068</v>
      </c>
      <c r="G13635" t="s">
        <v>1075</v>
      </c>
      <c r="H13635">
        <v>4.2550591725770796E-3</v>
      </c>
      <c r="I13635" t="s">
        <v>1077</v>
      </c>
      <c r="J13635">
        <v>8.92</v>
      </c>
    </row>
    <row r="13636" spans="1:10" hidden="1">
      <c r="A13636" t="s">
        <v>8171</v>
      </c>
      <c r="B13636" s="170" t="s">
        <v>8172</v>
      </c>
      <c r="C13636" t="s">
        <v>6839</v>
      </c>
      <c r="D13636" t="s">
        <v>2975</v>
      </c>
      <c r="E13636" t="s">
        <v>557</v>
      </c>
      <c r="F13636" t="s">
        <v>1068</v>
      </c>
      <c r="G13636" t="s">
        <v>1078</v>
      </c>
      <c r="H13636" s="171" t="s">
        <v>8176</v>
      </c>
      <c r="I13636" t="s">
        <v>1079</v>
      </c>
      <c r="J13636">
        <v>8.92</v>
      </c>
    </row>
    <row r="13637" spans="1:10" hidden="1">
      <c r="A13637" t="s">
        <v>8171</v>
      </c>
      <c r="B13637" s="170" t="s">
        <v>8172</v>
      </c>
      <c r="C13637" t="s">
        <v>6839</v>
      </c>
      <c r="D13637" t="s">
        <v>2975</v>
      </c>
      <c r="E13637" t="s">
        <v>557</v>
      </c>
      <c r="F13637" t="s">
        <v>1068</v>
      </c>
      <c r="G13637" t="s">
        <v>1080</v>
      </c>
      <c r="H13637" s="171" t="s">
        <v>7959</v>
      </c>
      <c r="I13637" t="s">
        <v>1082</v>
      </c>
      <c r="J13637">
        <v>8.92</v>
      </c>
    </row>
    <row r="13638" spans="1:10" hidden="1">
      <c r="A13638" t="s">
        <v>8171</v>
      </c>
      <c r="B13638" s="170" t="s">
        <v>8172</v>
      </c>
      <c r="C13638" t="s">
        <v>6839</v>
      </c>
      <c r="D13638" t="s">
        <v>2975</v>
      </c>
      <c r="E13638" t="s">
        <v>557</v>
      </c>
      <c r="F13638" t="s">
        <v>1068</v>
      </c>
      <c r="G13638" t="s">
        <v>1083</v>
      </c>
      <c r="H13638" s="171" t="s">
        <v>8177</v>
      </c>
      <c r="I13638" t="s">
        <v>1084</v>
      </c>
      <c r="J13638">
        <v>8.92</v>
      </c>
    </row>
    <row r="13639" spans="1:10" hidden="1">
      <c r="A13639" t="s">
        <v>8171</v>
      </c>
      <c r="B13639" s="170" t="s">
        <v>8172</v>
      </c>
      <c r="C13639" t="s">
        <v>6839</v>
      </c>
      <c r="D13639" t="s">
        <v>2975</v>
      </c>
      <c r="E13639" t="s">
        <v>557</v>
      </c>
      <c r="F13639" t="s">
        <v>1068</v>
      </c>
      <c r="G13639" t="s">
        <v>1085</v>
      </c>
      <c r="H13639">
        <v>1.5503991606289201E-4</v>
      </c>
      <c r="I13639" t="s">
        <v>1086</v>
      </c>
      <c r="J13639">
        <v>8.92</v>
      </c>
    </row>
    <row r="13640" spans="1:10" hidden="1">
      <c r="A13640" t="s">
        <v>8171</v>
      </c>
      <c r="B13640" s="170" t="s">
        <v>8172</v>
      </c>
      <c r="C13640" t="s">
        <v>6839</v>
      </c>
      <c r="D13640" t="s">
        <v>2975</v>
      </c>
      <c r="E13640" t="s">
        <v>557</v>
      </c>
      <c r="F13640" t="s">
        <v>1068</v>
      </c>
      <c r="G13640" t="s">
        <v>1087</v>
      </c>
      <c r="H13640" s="171" t="s">
        <v>7961</v>
      </c>
      <c r="I13640" t="s">
        <v>1088</v>
      </c>
      <c r="J13640">
        <v>8.92</v>
      </c>
    </row>
    <row r="13641" spans="1:10" hidden="1">
      <c r="A13641" t="s">
        <v>8171</v>
      </c>
      <c r="B13641" s="170" t="s">
        <v>8172</v>
      </c>
      <c r="C13641" t="s">
        <v>6839</v>
      </c>
      <c r="D13641" t="s">
        <v>2975</v>
      </c>
      <c r="E13641" t="s">
        <v>557</v>
      </c>
      <c r="F13641" t="s">
        <v>1068</v>
      </c>
      <c r="G13641" t="s">
        <v>1089</v>
      </c>
      <c r="H13641" s="171" t="s">
        <v>8178</v>
      </c>
      <c r="I13641" t="s">
        <v>1090</v>
      </c>
      <c r="J13641">
        <v>8.92</v>
      </c>
    </row>
    <row r="13642" spans="1:10" hidden="1">
      <c r="A13642" t="s">
        <v>8179</v>
      </c>
      <c r="B13642" t="s">
        <v>8180</v>
      </c>
      <c r="C13642" t="s">
        <v>6839</v>
      </c>
      <c r="D13642" t="s">
        <v>2975</v>
      </c>
      <c r="E13642" t="s">
        <v>559</v>
      </c>
      <c r="F13642" t="s">
        <v>1068</v>
      </c>
      <c r="G13642" t="s">
        <v>1069</v>
      </c>
      <c r="H13642" s="171" t="s">
        <v>8181</v>
      </c>
      <c r="I13642" t="s">
        <v>1070</v>
      </c>
      <c r="J13642">
        <v>7.96</v>
      </c>
    </row>
    <row r="13643" spans="1:10" hidden="1">
      <c r="A13643" t="s">
        <v>8179</v>
      </c>
      <c r="B13643" t="s">
        <v>8180</v>
      </c>
      <c r="C13643" t="s">
        <v>6839</v>
      </c>
      <c r="D13643" t="s">
        <v>2975</v>
      </c>
      <c r="E13643" t="s">
        <v>559</v>
      </c>
      <c r="F13643" t="s">
        <v>1068</v>
      </c>
      <c r="G13643" t="s">
        <v>1071</v>
      </c>
      <c r="H13643" s="171" t="s">
        <v>8182</v>
      </c>
      <c r="I13643" t="s">
        <v>1072</v>
      </c>
      <c r="J13643">
        <v>7.96</v>
      </c>
    </row>
    <row r="13644" spans="1:10" hidden="1">
      <c r="A13644" t="s">
        <v>8179</v>
      </c>
      <c r="B13644" t="s">
        <v>8180</v>
      </c>
      <c r="C13644" t="s">
        <v>6839</v>
      </c>
      <c r="D13644" t="s">
        <v>2975</v>
      </c>
      <c r="E13644" t="s">
        <v>559</v>
      </c>
      <c r="F13644" t="s">
        <v>1068</v>
      </c>
      <c r="G13644" t="s">
        <v>1073</v>
      </c>
      <c r="H13644" s="171" t="s">
        <v>8183</v>
      </c>
      <c r="I13644" t="s">
        <v>1074</v>
      </c>
      <c r="J13644">
        <v>7.96</v>
      </c>
    </row>
    <row r="13645" spans="1:10" hidden="1">
      <c r="A13645" t="s">
        <v>8179</v>
      </c>
      <c r="B13645" t="s">
        <v>8180</v>
      </c>
      <c r="C13645" t="s">
        <v>6839</v>
      </c>
      <c r="D13645" t="s">
        <v>2975</v>
      </c>
      <c r="E13645" t="s">
        <v>559</v>
      </c>
      <c r="F13645" t="s">
        <v>1068</v>
      </c>
      <c r="G13645" t="s">
        <v>1075</v>
      </c>
      <c r="H13645">
        <v>4.2552193065022803E-3</v>
      </c>
      <c r="I13645" t="s">
        <v>1077</v>
      </c>
      <c r="J13645">
        <v>7.96</v>
      </c>
    </row>
    <row r="13646" spans="1:10" hidden="1">
      <c r="A13646" t="s">
        <v>8179</v>
      </c>
      <c r="B13646" t="s">
        <v>8180</v>
      </c>
      <c r="C13646" t="s">
        <v>6839</v>
      </c>
      <c r="D13646" t="s">
        <v>2975</v>
      </c>
      <c r="E13646" t="s">
        <v>559</v>
      </c>
      <c r="F13646" t="s">
        <v>1068</v>
      </c>
      <c r="G13646" t="s">
        <v>1078</v>
      </c>
      <c r="H13646">
        <v>4.89285434147377E-2</v>
      </c>
      <c r="I13646" t="s">
        <v>1079</v>
      </c>
      <c r="J13646">
        <v>7.96</v>
      </c>
    </row>
    <row r="13647" spans="1:10" hidden="1">
      <c r="A13647" t="s">
        <v>8179</v>
      </c>
      <c r="B13647" t="s">
        <v>8180</v>
      </c>
      <c r="C13647" t="s">
        <v>6839</v>
      </c>
      <c r="D13647" t="s">
        <v>2975</v>
      </c>
      <c r="E13647" t="s">
        <v>559</v>
      </c>
      <c r="F13647" t="s">
        <v>1068</v>
      </c>
      <c r="G13647" t="s">
        <v>1080</v>
      </c>
      <c r="H13647" s="171" t="s">
        <v>8043</v>
      </c>
      <c r="I13647" t="s">
        <v>1082</v>
      </c>
      <c r="J13647">
        <v>7.96</v>
      </c>
    </row>
    <row r="13648" spans="1:10" hidden="1">
      <c r="A13648" t="s">
        <v>8179</v>
      </c>
      <c r="B13648" t="s">
        <v>8180</v>
      </c>
      <c r="C13648" t="s">
        <v>6839</v>
      </c>
      <c r="D13648" t="s">
        <v>2975</v>
      </c>
      <c r="E13648" t="s">
        <v>559</v>
      </c>
      <c r="F13648" t="s">
        <v>1068</v>
      </c>
      <c r="G13648" t="s">
        <v>1083</v>
      </c>
      <c r="H13648" s="171" t="s">
        <v>8184</v>
      </c>
      <c r="I13648" t="s">
        <v>1084</v>
      </c>
      <c r="J13648">
        <v>7.96</v>
      </c>
    </row>
    <row r="13649" spans="1:10" hidden="1">
      <c r="A13649" t="s">
        <v>8179</v>
      </c>
      <c r="B13649" t="s">
        <v>8180</v>
      </c>
      <c r="C13649" t="s">
        <v>6839</v>
      </c>
      <c r="D13649" t="s">
        <v>2975</v>
      </c>
      <c r="E13649" t="s">
        <v>559</v>
      </c>
      <c r="F13649" t="s">
        <v>1068</v>
      </c>
      <c r="G13649" t="s">
        <v>1085</v>
      </c>
      <c r="H13649">
        <v>1.5504861453195399E-4</v>
      </c>
      <c r="I13649" t="s">
        <v>1086</v>
      </c>
      <c r="J13649">
        <v>7.96</v>
      </c>
    </row>
    <row r="13650" spans="1:10" hidden="1">
      <c r="A13650" t="s">
        <v>8179</v>
      </c>
      <c r="B13650" t="s">
        <v>8180</v>
      </c>
      <c r="C13650" t="s">
        <v>6839</v>
      </c>
      <c r="D13650" t="s">
        <v>2975</v>
      </c>
      <c r="E13650" t="s">
        <v>559</v>
      </c>
      <c r="F13650" t="s">
        <v>1068</v>
      </c>
      <c r="G13650" t="s">
        <v>1087</v>
      </c>
      <c r="H13650" s="171" t="s">
        <v>8045</v>
      </c>
      <c r="I13650" t="s">
        <v>1088</v>
      </c>
      <c r="J13650">
        <v>7.96</v>
      </c>
    </row>
    <row r="13651" spans="1:10" hidden="1">
      <c r="A13651" t="s">
        <v>8179</v>
      </c>
      <c r="B13651" t="s">
        <v>8180</v>
      </c>
      <c r="C13651" t="s">
        <v>6839</v>
      </c>
      <c r="D13651" t="s">
        <v>2975</v>
      </c>
      <c r="E13651" t="s">
        <v>559</v>
      </c>
      <c r="F13651" t="s">
        <v>1068</v>
      </c>
      <c r="G13651" t="s">
        <v>1089</v>
      </c>
      <c r="H13651" s="171" t="s">
        <v>8185</v>
      </c>
      <c r="I13651" t="s">
        <v>1090</v>
      </c>
      <c r="J13651">
        <v>7.96</v>
      </c>
    </row>
    <row r="13652" spans="1:10" hidden="1">
      <c r="A13652" t="s">
        <v>8186</v>
      </c>
      <c r="B13652" t="s">
        <v>8187</v>
      </c>
      <c r="C13652" t="s">
        <v>6839</v>
      </c>
      <c r="D13652" t="s">
        <v>2975</v>
      </c>
      <c r="E13652" t="s">
        <v>560</v>
      </c>
      <c r="F13652" t="s">
        <v>1068</v>
      </c>
      <c r="G13652" t="s">
        <v>1069</v>
      </c>
      <c r="H13652" s="171" t="s">
        <v>8188</v>
      </c>
      <c r="I13652" t="s">
        <v>1070</v>
      </c>
      <c r="J13652">
        <v>4.93</v>
      </c>
    </row>
    <row r="13653" spans="1:10" hidden="1">
      <c r="A13653" t="s">
        <v>8186</v>
      </c>
      <c r="B13653" t="s">
        <v>8187</v>
      </c>
      <c r="C13653" t="s">
        <v>6839</v>
      </c>
      <c r="D13653" t="s">
        <v>2975</v>
      </c>
      <c r="E13653" t="s">
        <v>560</v>
      </c>
      <c r="F13653" t="s">
        <v>1068</v>
      </c>
      <c r="G13653" t="s">
        <v>1071</v>
      </c>
      <c r="H13653" s="171" t="s">
        <v>8189</v>
      </c>
      <c r="I13653" t="s">
        <v>1072</v>
      </c>
      <c r="J13653">
        <v>4.93</v>
      </c>
    </row>
    <row r="13654" spans="1:10" hidden="1">
      <c r="A13654" t="s">
        <v>8186</v>
      </c>
      <c r="B13654" t="s">
        <v>8187</v>
      </c>
      <c r="C13654" t="s">
        <v>6839</v>
      </c>
      <c r="D13654" t="s">
        <v>2975</v>
      </c>
      <c r="E13654" t="s">
        <v>560</v>
      </c>
      <c r="F13654" t="s">
        <v>1068</v>
      </c>
      <c r="G13654" t="s">
        <v>1073</v>
      </c>
      <c r="H13654" s="171" t="s">
        <v>8190</v>
      </c>
      <c r="I13654" t="s">
        <v>1074</v>
      </c>
      <c r="J13654">
        <v>4.93</v>
      </c>
    </row>
    <row r="13655" spans="1:10" hidden="1">
      <c r="A13655" t="s">
        <v>8186</v>
      </c>
      <c r="B13655" t="s">
        <v>8187</v>
      </c>
      <c r="C13655" t="s">
        <v>6839</v>
      </c>
      <c r="D13655" t="s">
        <v>2975</v>
      </c>
      <c r="E13655" t="s">
        <v>560</v>
      </c>
      <c r="F13655" t="s">
        <v>1068</v>
      </c>
      <c r="G13655" t="s">
        <v>1075</v>
      </c>
      <c r="H13655">
        <v>4.25514810913991E-3</v>
      </c>
      <c r="I13655" t="s">
        <v>1077</v>
      </c>
      <c r="J13655">
        <v>4.93</v>
      </c>
    </row>
    <row r="13656" spans="1:10" hidden="1">
      <c r="A13656" t="s">
        <v>8186</v>
      </c>
      <c r="B13656" t="s">
        <v>8187</v>
      </c>
      <c r="C13656" t="s">
        <v>6839</v>
      </c>
      <c r="D13656" t="s">
        <v>2975</v>
      </c>
      <c r="E13656" t="s">
        <v>560</v>
      </c>
      <c r="F13656" t="s">
        <v>1068</v>
      </c>
      <c r="G13656" t="s">
        <v>1078</v>
      </c>
      <c r="H13656" s="171" t="s">
        <v>8191</v>
      </c>
      <c r="I13656" t="s">
        <v>1079</v>
      </c>
      <c r="J13656">
        <v>4.93</v>
      </c>
    </row>
    <row r="13657" spans="1:10" hidden="1">
      <c r="A13657" t="s">
        <v>8186</v>
      </c>
      <c r="B13657" t="s">
        <v>8187</v>
      </c>
      <c r="C13657" t="s">
        <v>6839</v>
      </c>
      <c r="D13657" t="s">
        <v>2975</v>
      </c>
      <c r="E13657" t="s">
        <v>560</v>
      </c>
      <c r="F13657" t="s">
        <v>1068</v>
      </c>
      <c r="G13657" t="s">
        <v>1080</v>
      </c>
      <c r="H13657" s="171" t="s">
        <v>8192</v>
      </c>
      <c r="I13657" t="s">
        <v>1082</v>
      </c>
      <c r="J13657">
        <v>4.93</v>
      </c>
    </row>
    <row r="13658" spans="1:10" hidden="1">
      <c r="A13658" t="s">
        <v>8186</v>
      </c>
      <c r="B13658" t="s">
        <v>8187</v>
      </c>
      <c r="C13658" t="s">
        <v>6839</v>
      </c>
      <c r="D13658" t="s">
        <v>2975</v>
      </c>
      <c r="E13658" t="s">
        <v>560</v>
      </c>
      <c r="F13658" t="s">
        <v>1068</v>
      </c>
      <c r="G13658" t="s">
        <v>1083</v>
      </c>
      <c r="H13658" s="171" t="s">
        <v>8193</v>
      </c>
      <c r="I13658" t="s">
        <v>1084</v>
      </c>
      <c r="J13658">
        <v>4.93</v>
      </c>
    </row>
    <row r="13659" spans="1:10" hidden="1">
      <c r="A13659" t="s">
        <v>8186</v>
      </c>
      <c r="B13659" t="s">
        <v>8187</v>
      </c>
      <c r="C13659" t="s">
        <v>6839</v>
      </c>
      <c r="D13659" t="s">
        <v>2975</v>
      </c>
      <c r="E13659" t="s">
        <v>560</v>
      </c>
      <c r="F13659" t="s">
        <v>1068</v>
      </c>
      <c r="G13659" t="s">
        <v>1085</v>
      </c>
      <c r="H13659">
        <v>1.5504474935502401E-4</v>
      </c>
      <c r="I13659" t="s">
        <v>1086</v>
      </c>
      <c r="J13659">
        <v>4.93</v>
      </c>
    </row>
    <row r="13660" spans="1:10" hidden="1">
      <c r="A13660" t="s">
        <v>8186</v>
      </c>
      <c r="B13660" t="s">
        <v>8187</v>
      </c>
      <c r="C13660" t="s">
        <v>6839</v>
      </c>
      <c r="D13660" t="s">
        <v>2975</v>
      </c>
      <c r="E13660" t="s">
        <v>560</v>
      </c>
      <c r="F13660" t="s">
        <v>1068</v>
      </c>
      <c r="G13660" t="s">
        <v>1087</v>
      </c>
      <c r="H13660" s="171" t="s">
        <v>8194</v>
      </c>
      <c r="I13660" t="s">
        <v>1088</v>
      </c>
      <c r="J13660">
        <v>4.93</v>
      </c>
    </row>
    <row r="13661" spans="1:10" hidden="1">
      <c r="A13661" t="s">
        <v>8186</v>
      </c>
      <c r="B13661" t="s">
        <v>8187</v>
      </c>
      <c r="C13661" t="s">
        <v>6839</v>
      </c>
      <c r="D13661" t="s">
        <v>2975</v>
      </c>
      <c r="E13661" t="s">
        <v>560</v>
      </c>
      <c r="F13661" t="s">
        <v>1068</v>
      </c>
      <c r="G13661" t="s">
        <v>1089</v>
      </c>
      <c r="H13661" s="171" t="s">
        <v>8195</v>
      </c>
      <c r="I13661" t="s">
        <v>1090</v>
      </c>
      <c r="J13661">
        <v>4.93</v>
      </c>
    </row>
    <row r="13662" spans="1:10" hidden="1">
      <c r="A13662" t="s">
        <v>8196</v>
      </c>
      <c r="B13662" t="s">
        <v>8197</v>
      </c>
      <c r="C13662" t="s">
        <v>6839</v>
      </c>
      <c r="D13662" t="s">
        <v>2975</v>
      </c>
      <c r="E13662" t="s">
        <v>1116</v>
      </c>
      <c r="F13662" t="s">
        <v>1068</v>
      </c>
      <c r="G13662" t="s">
        <v>1069</v>
      </c>
      <c r="H13662" s="171" t="s">
        <v>8198</v>
      </c>
      <c r="I13662" t="s">
        <v>1070</v>
      </c>
      <c r="J13662">
        <v>4.59</v>
      </c>
    </row>
    <row r="13663" spans="1:10" hidden="1">
      <c r="A13663" t="s">
        <v>8196</v>
      </c>
      <c r="B13663" t="s">
        <v>8197</v>
      </c>
      <c r="C13663" t="s">
        <v>6839</v>
      </c>
      <c r="D13663" t="s">
        <v>2975</v>
      </c>
      <c r="E13663" t="s">
        <v>1116</v>
      </c>
      <c r="F13663" t="s">
        <v>1068</v>
      </c>
      <c r="G13663" t="s">
        <v>1071</v>
      </c>
      <c r="H13663" s="171" t="s">
        <v>8199</v>
      </c>
      <c r="I13663" t="s">
        <v>1072</v>
      </c>
      <c r="J13663">
        <v>4.59</v>
      </c>
    </row>
    <row r="13664" spans="1:10" hidden="1">
      <c r="A13664" t="s">
        <v>8196</v>
      </c>
      <c r="B13664" t="s">
        <v>8197</v>
      </c>
      <c r="C13664" t="s">
        <v>6839</v>
      </c>
      <c r="D13664" t="s">
        <v>2975</v>
      </c>
      <c r="E13664" t="s">
        <v>1116</v>
      </c>
      <c r="F13664" t="s">
        <v>1068</v>
      </c>
      <c r="G13664" t="s">
        <v>1073</v>
      </c>
      <c r="H13664" s="171" t="s">
        <v>8200</v>
      </c>
      <c r="I13664" t="s">
        <v>1074</v>
      </c>
      <c r="J13664">
        <v>4.59</v>
      </c>
    </row>
    <row r="13665" spans="1:10" hidden="1">
      <c r="A13665" t="s">
        <v>8196</v>
      </c>
      <c r="B13665" t="s">
        <v>8197</v>
      </c>
      <c r="C13665" t="s">
        <v>6839</v>
      </c>
      <c r="D13665" t="s">
        <v>2975</v>
      </c>
      <c r="E13665" t="s">
        <v>1116</v>
      </c>
      <c r="F13665" t="s">
        <v>1068</v>
      </c>
      <c r="G13665" t="s">
        <v>1075</v>
      </c>
      <c r="H13665">
        <v>4.2548781777280104E-3</v>
      </c>
      <c r="I13665" t="s">
        <v>1077</v>
      </c>
      <c r="J13665">
        <v>4.59</v>
      </c>
    </row>
    <row r="13666" spans="1:10" hidden="1">
      <c r="A13666" t="s">
        <v>8196</v>
      </c>
      <c r="B13666" t="s">
        <v>8197</v>
      </c>
      <c r="C13666" t="s">
        <v>6839</v>
      </c>
      <c r="D13666" t="s">
        <v>2975</v>
      </c>
      <c r="E13666" t="s">
        <v>1116</v>
      </c>
      <c r="F13666" t="s">
        <v>1068</v>
      </c>
      <c r="G13666" t="s">
        <v>1078</v>
      </c>
      <c r="H13666">
        <v>4.89137954582783E-2</v>
      </c>
      <c r="I13666" t="s">
        <v>1079</v>
      </c>
      <c r="J13666">
        <v>4.59</v>
      </c>
    </row>
    <row r="13667" spans="1:10" hidden="1">
      <c r="A13667" t="s">
        <v>8196</v>
      </c>
      <c r="B13667" t="s">
        <v>8197</v>
      </c>
      <c r="C13667" t="s">
        <v>6839</v>
      </c>
      <c r="D13667" t="s">
        <v>2975</v>
      </c>
      <c r="E13667" t="s">
        <v>1116</v>
      </c>
      <c r="F13667" t="s">
        <v>1068</v>
      </c>
      <c r="G13667" t="s">
        <v>1080</v>
      </c>
      <c r="H13667" s="171" t="s">
        <v>7985</v>
      </c>
      <c r="I13667" t="s">
        <v>1082</v>
      </c>
      <c r="J13667">
        <v>4.59</v>
      </c>
    </row>
    <row r="13668" spans="1:10" hidden="1">
      <c r="A13668" t="s">
        <v>8196</v>
      </c>
      <c r="B13668" t="s">
        <v>8197</v>
      </c>
      <c r="C13668" t="s">
        <v>6839</v>
      </c>
      <c r="D13668" t="s">
        <v>2975</v>
      </c>
      <c r="E13668" t="s">
        <v>1116</v>
      </c>
      <c r="F13668" t="s">
        <v>1068</v>
      </c>
      <c r="G13668" t="s">
        <v>1083</v>
      </c>
      <c r="H13668" s="171" t="s">
        <v>8201</v>
      </c>
      <c r="I13668" t="s">
        <v>1084</v>
      </c>
      <c r="J13668">
        <v>4.59</v>
      </c>
    </row>
    <row r="13669" spans="1:10" hidden="1">
      <c r="A13669" t="s">
        <v>8196</v>
      </c>
      <c r="B13669" t="s">
        <v>8197</v>
      </c>
      <c r="C13669" t="s">
        <v>6839</v>
      </c>
      <c r="D13669" t="s">
        <v>2975</v>
      </c>
      <c r="E13669" t="s">
        <v>1116</v>
      </c>
      <c r="F13669" t="s">
        <v>1068</v>
      </c>
      <c r="G13669" t="s">
        <v>1085</v>
      </c>
      <c r="H13669">
        <v>1.5503007982735001E-4</v>
      </c>
      <c r="I13669" t="s">
        <v>1086</v>
      </c>
      <c r="J13669">
        <v>4.59</v>
      </c>
    </row>
    <row r="13670" spans="1:10" hidden="1">
      <c r="A13670" t="s">
        <v>8196</v>
      </c>
      <c r="B13670" t="s">
        <v>8197</v>
      </c>
      <c r="C13670" t="s">
        <v>6839</v>
      </c>
      <c r="D13670" t="s">
        <v>2975</v>
      </c>
      <c r="E13670" t="s">
        <v>1116</v>
      </c>
      <c r="F13670" t="s">
        <v>1068</v>
      </c>
      <c r="G13670" t="s">
        <v>1087</v>
      </c>
      <c r="H13670" s="171" t="s">
        <v>7987</v>
      </c>
      <c r="I13670" t="s">
        <v>1088</v>
      </c>
      <c r="J13670">
        <v>4.59</v>
      </c>
    </row>
    <row r="13671" spans="1:10" hidden="1">
      <c r="A13671" t="s">
        <v>8196</v>
      </c>
      <c r="B13671" t="s">
        <v>8197</v>
      </c>
      <c r="C13671" t="s">
        <v>6839</v>
      </c>
      <c r="D13671" t="s">
        <v>2975</v>
      </c>
      <c r="E13671" t="s">
        <v>1116</v>
      </c>
      <c r="F13671" t="s">
        <v>1068</v>
      </c>
      <c r="G13671" t="s">
        <v>1089</v>
      </c>
      <c r="H13671" s="171" t="s">
        <v>8202</v>
      </c>
      <c r="I13671" t="s">
        <v>1090</v>
      </c>
      <c r="J13671">
        <v>4.59</v>
      </c>
    </row>
    <row r="13672" spans="1:10" hidden="1">
      <c r="A13672" t="s">
        <v>8203</v>
      </c>
      <c r="B13672" t="s">
        <v>8204</v>
      </c>
      <c r="C13672" t="s">
        <v>6839</v>
      </c>
      <c r="D13672" t="s">
        <v>3062</v>
      </c>
      <c r="E13672" t="s">
        <v>561</v>
      </c>
      <c r="F13672" t="s">
        <v>1068</v>
      </c>
      <c r="G13672" t="s">
        <v>1069</v>
      </c>
      <c r="H13672">
        <v>4.3398466447366599E-2</v>
      </c>
      <c r="I13672" t="s">
        <v>1070</v>
      </c>
      <c r="J13672">
        <v>4.5599999999999996</v>
      </c>
    </row>
    <row r="13673" spans="1:10" hidden="1">
      <c r="A13673" t="s">
        <v>8203</v>
      </c>
      <c r="B13673" t="s">
        <v>8204</v>
      </c>
      <c r="C13673" t="s">
        <v>6839</v>
      </c>
      <c r="D13673" t="s">
        <v>3062</v>
      </c>
      <c r="E13673" t="s">
        <v>561</v>
      </c>
      <c r="F13673" t="s">
        <v>1068</v>
      </c>
      <c r="G13673" t="s">
        <v>1071</v>
      </c>
      <c r="H13673" s="171" t="s">
        <v>8205</v>
      </c>
      <c r="I13673" t="s">
        <v>1072</v>
      </c>
      <c r="J13673">
        <v>4.5599999999999996</v>
      </c>
    </row>
    <row r="13674" spans="1:10" hidden="1">
      <c r="A13674" t="s">
        <v>8203</v>
      </c>
      <c r="B13674" t="s">
        <v>8204</v>
      </c>
      <c r="C13674" t="s">
        <v>6839</v>
      </c>
      <c r="D13674" t="s">
        <v>3062</v>
      </c>
      <c r="E13674" t="s">
        <v>561</v>
      </c>
      <c r="F13674" t="s">
        <v>1068</v>
      </c>
      <c r="G13674" t="s">
        <v>1073</v>
      </c>
      <c r="H13674" s="171" t="s">
        <v>8206</v>
      </c>
      <c r="I13674" t="s">
        <v>1074</v>
      </c>
      <c r="J13674">
        <v>4.5599999999999996</v>
      </c>
    </row>
    <row r="13675" spans="1:10" hidden="1">
      <c r="A13675" t="s">
        <v>8203</v>
      </c>
      <c r="B13675" t="s">
        <v>8204</v>
      </c>
      <c r="C13675" t="s">
        <v>6839</v>
      </c>
      <c r="D13675" t="s">
        <v>3062</v>
      </c>
      <c r="E13675" t="s">
        <v>561</v>
      </c>
      <c r="F13675" t="s">
        <v>1068</v>
      </c>
      <c r="G13675" t="s">
        <v>1075</v>
      </c>
      <c r="H13675">
        <v>2.8526434107227199E-2</v>
      </c>
      <c r="I13675" t="s">
        <v>1077</v>
      </c>
      <c r="J13675">
        <v>4.5599999999999996</v>
      </c>
    </row>
    <row r="13676" spans="1:10" hidden="1">
      <c r="A13676" t="s">
        <v>8203</v>
      </c>
      <c r="B13676" t="s">
        <v>8204</v>
      </c>
      <c r="C13676" t="s">
        <v>6839</v>
      </c>
      <c r="D13676" t="s">
        <v>3062</v>
      </c>
      <c r="E13676" t="s">
        <v>561</v>
      </c>
      <c r="F13676" t="s">
        <v>1068</v>
      </c>
      <c r="G13676" t="s">
        <v>1078</v>
      </c>
      <c r="H13676" s="171" t="s">
        <v>8207</v>
      </c>
      <c r="I13676" t="s">
        <v>1079</v>
      </c>
      <c r="J13676">
        <v>4.5599999999999996</v>
      </c>
    </row>
    <row r="13677" spans="1:10" hidden="1">
      <c r="A13677" t="s">
        <v>8203</v>
      </c>
      <c r="B13677" t="s">
        <v>8204</v>
      </c>
      <c r="C13677" t="s">
        <v>6839</v>
      </c>
      <c r="D13677" t="s">
        <v>3062</v>
      </c>
      <c r="E13677" t="s">
        <v>561</v>
      </c>
      <c r="F13677" t="s">
        <v>1068</v>
      </c>
      <c r="G13677" t="s">
        <v>1080</v>
      </c>
      <c r="H13677" s="171" t="s">
        <v>8208</v>
      </c>
      <c r="I13677" t="s">
        <v>1082</v>
      </c>
      <c r="J13677">
        <v>4.5599999999999996</v>
      </c>
    </row>
    <row r="13678" spans="1:10" hidden="1">
      <c r="A13678" t="s">
        <v>8203</v>
      </c>
      <c r="B13678" t="s">
        <v>8204</v>
      </c>
      <c r="C13678" t="s">
        <v>6839</v>
      </c>
      <c r="D13678" t="s">
        <v>3062</v>
      </c>
      <c r="E13678" t="s">
        <v>561</v>
      </c>
      <c r="F13678" t="s">
        <v>1068</v>
      </c>
      <c r="G13678" t="s">
        <v>1083</v>
      </c>
      <c r="H13678" s="171" t="s">
        <v>8209</v>
      </c>
      <c r="I13678" t="s">
        <v>1084</v>
      </c>
      <c r="J13678">
        <v>4.5599999999999996</v>
      </c>
    </row>
    <row r="13679" spans="1:10" hidden="1">
      <c r="A13679" t="s">
        <v>8203</v>
      </c>
      <c r="B13679" t="s">
        <v>8204</v>
      </c>
      <c r="C13679" t="s">
        <v>6839</v>
      </c>
      <c r="D13679" t="s">
        <v>3062</v>
      </c>
      <c r="E13679" t="s">
        <v>561</v>
      </c>
      <c r="F13679" t="s">
        <v>1068</v>
      </c>
      <c r="G13679" t="s">
        <v>1085</v>
      </c>
      <c r="H13679">
        <v>1.01983921972439E-3</v>
      </c>
      <c r="I13679" t="s">
        <v>1086</v>
      </c>
      <c r="J13679">
        <v>4.5599999999999996</v>
      </c>
    </row>
    <row r="13680" spans="1:10" hidden="1">
      <c r="A13680" t="s">
        <v>8203</v>
      </c>
      <c r="B13680" t="s">
        <v>8204</v>
      </c>
      <c r="C13680" t="s">
        <v>6839</v>
      </c>
      <c r="D13680" t="s">
        <v>3062</v>
      </c>
      <c r="E13680" t="s">
        <v>561</v>
      </c>
      <c r="F13680" t="s">
        <v>1068</v>
      </c>
      <c r="G13680" t="s">
        <v>1087</v>
      </c>
      <c r="H13680" s="171" t="s">
        <v>8210</v>
      </c>
      <c r="I13680" t="s">
        <v>1088</v>
      </c>
      <c r="J13680">
        <v>4.5599999999999996</v>
      </c>
    </row>
    <row r="13681" spans="1:10" hidden="1">
      <c r="A13681" t="s">
        <v>8203</v>
      </c>
      <c r="B13681" t="s">
        <v>8204</v>
      </c>
      <c r="C13681" t="s">
        <v>6839</v>
      </c>
      <c r="D13681" t="s">
        <v>3062</v>
      </c>
      <c r="E13681" t="s">
        <v>561</v>
      </c>
      <c r="F13681" t="s">
        <v>1068</v>
      </c>
      <c r="G13681" t="s">
        <v>1089</v>
      </c>
      <c r="H13681">
        <v>3.1568192695014598E-4</v>
      </c>
      <c r="I13681" t="s">
        <v>1090</v>
      </c>
      <c r="J13681">
        <v>4.5599999999999996</v>
      </c>
    </row>
    <row r="13682" spans="1:10" hidden="1">
      <c r="A13682" t="s">
        <v>8211</v>
      </c>
      <c r="B13682" t="s">
        <v>8212</v>
      </c>
      <c r="C13682" t="s">
        <v>6839</v>
      </c>
      <c r="D13682" t="s">
        <v>3062</v>
      </c>
      <c r="E13682" t="s">
        <v>555</v>
      </c>
      <c r="F13682" t="s">
        <v>1068</v>
      </c>
      <c r="G13682" t="s">
        <v>1069</v>
      </c>
      <c r="H13682">
        <v>4.3398761628427603E-2</v>
      </c>
      <c r="I13682" t="s">
        <v>1070</v>
      </c>
      <c r="J13682">
        <v>4.5</v>
      </c>
    </row>
    <row r="13683" spans="1:10" hidden="1">
      <c r="A13683" t="s">
        <v>8211</v>
      </c>
      <c r="B13683" t="s">
        <v>8212</v>
      </c>
      <c r="C13683" t="s">
        <v>6839</v>
      </c>
      <c r="D13683" t="s">
        <v>3062</v>
      </c>
      <c r="E13683" t="s">
        <v>555</v>
      </c>
      <c r="F13683" t="s">
        <v>1068</v>
      </c>
      <c r="G13683" t="s">
        <v>1071</v>
      </c>
      <c r="H13683" s="171" t="s">
        <v>8213</v>
      </c>
      <c r="I13683" t="s">
        <v>1072</v>
      </c>
      <c r="J13683">
        <v>4.5</v>
      </c>
    </row>
    <row r="13684" spans="1:10" hidden="1">
      <c r="A13684" t="s">
        <v>8211</v>
      </c>
      <c r="B13684" t="s">
        <v>8212</v>
      </c>
      <c r="C13684" t="s">
        <v>6839</v>
      </c>
      <c r="D13684" t="s">
        <v>3062</v>
      </c>
      <c r="E13684" t="s">
        <v>555</v>
      </c>
      <c r="F13684" t="s">
        <v>1068</v>
      </c>
      <c r="G13684" t="s">
        <v>1073</v>
      </c>
      <c r="H13684" s="171" t="s">
        <v>8214</v>
      </c>
      <c r="I13684" t="s">
        <v>1074</v>
      </c>
      <c r="J13684">
        <v>4.5</v>
      </c>
    </row>
    <row r="13685" spans="1:10" hidden="1">
      <c r="A13685" t="s">
        <v>8211</v>
      </c>
      <c r="B13685" t="s">
        <v>8212</v>
      </c>
      <c r="C13685" t="s">
        <v>6839</v>
      </c>
      <c r="D13685" t="s">
        <v>3062</v>
      </c>
      <c r="E13685" t="s">
        <v>555</v>
      </c>
      <c r="F13685" t="s">
        <v>1068</v>
      </c>
      <c r="G13685" t="s">
        <v>1075</v>
      </c>
      <c r="H13685" s="171" t="s">
        <v>8215</v>
      </c>
      <c r="I13685" t="s">
        <v>1077</v>
      </c>
      <c r="J13685">
        <v>4.5</v>
      </c>
    </row>
    <row r="13686" spans="1:10" hidden="1">
      <c r="A13686" t="s">
        <v>8211</v>
      </c>
      <c r="B13686" t="s">
        <v>8212</v>
      </c>
      <c r="C13686" t="s">
        <v>6839</v>
      </c>
      <c r="D13686" t="s">
        <v>3062</v>
      </c>
      <c r="E13686" t="s">
        <v>555</v>
      </c>
      <c r="F13686" t="s">
        <v>1068</v>
      </c>
      <c r="G13686" t="s">
        <v>1078</v>
      </c>
      <c r="H13686" s="171" t="s">
        <v>8216</v>
      </c>
      <c r="I13686" t="s">
        <v>1079</v>
      </c>
      <c r="J13686">
        <v>4.5</v>
      </c>
    </row>
    <row r="13687" spans="1:10" hidden="1">
      <c r="A13687" t="s">
        <v>8211</v>
      </c>
      <c r="B13687" t="s">
        <v>8212</v>
      </c>
      <c r="C13687" t="s">
        <v>6839</v>
      </c>
      <c r="D13687" t="s">
        <v>3062</v>
      </c>
      <c r="E13687" t="s">
        <v>555</v>
      </c>
      <c r="F13687" t="s">
        <v>1068</v>
      </c>
      <c r="G13687" t="s">
        <v>1080</v>
      </c>
      <c r="H13687" s="171" t="s">
        <v>8217</v>
      </c>
      <c r="I13687" t="s">
        <v>1082</v>
      </c>
      <c r="J13687">
        <v>4.5</v>
      </c>
    </row>
    <row r="13688" spans="1:10" hidden="1">
      <c r="A13688" t="s">
        <v>8211</v>
      </c>
      <c r="B13688" t="s">
        <v>8212</v>
      </c>
      <c r="C13688" t="s">
        <v>6839</v>
      </c>
      <c r="D13688" t="s">
        <v>3062</v>
      </c>
      <c r="E13688" t="s">
        <v>555</v>
      </c>
      <c r="F13688" t="s">
        <v>1068</v>
      </c>
      <c r="G13688" t="s">
        <v>1083</v>
      </c>
      <c r="H13688" s="171" t="s">
        <v>8218</v>
      </c>
      <c r="I13688" t="s">
        <v>1084</v>
      </c>
      <c r="J13688">
        <v>4.5</v>
      </c>
    </row>
    <row r="13689" spans="1:10" hidden="1">
      <c r="A13689" t="s">
        <v>8211</v>
      </c>
      <c r="B13689" t="s">
        <v>8212</v>
      </c>
      <c r="C13689" t="s">
        <v>6839</v>
      </c>
      <c r="D13689" t="s">
        <v>3062</v>
      </c>
      <c r="E13689" t="s">
        <v>555</v>
      </c>
      <c r="F13689" t="s">
        <v>1068</v>
      </c>
      <c r="G13689" t="s">
        <v>1085</v>
      </c>
      <c r="H13689">
        <v>1.01983955610208E-3</v>
      </c>
      <c r="I13689" t="s">
        <v>1086</v>
      </c>
      <c r="J13689">
        <v>4.5</v>
      </c>
    </row>
    <row r="13690" spans="1:10" hidden="1">
      <c r="A13690" t="s">
        <v>8211</v>
      </c>
      <c r="B13690" t="s">
        <v>8212</v>
      </c>
      <c r="C13690" t="s">
        <v>6839</v>
      </c>
      <c r="D13690" t="s">
        <v>3062</v>
      </c>
      <c r="E13690" t="s">
        <v>555</v>
      </c>
      <c r="F13690" t="s">
        <v>1068</v>
      </c>
      <c r="G13690" t="s">
        <v>1087</v>
      </c>
      <c r="H13690" s="171" t="s">
        <v>8219</v>
      </c>
      <c r="I13690" t="s">
        <v>1088</v>
      </c>
      <c r="J13690">
        <v>4.5</v>
      </c>
    </row>
    <row r="13691" spans="1:10" hidden="1">
      <c r="A13691" t="s">
        <v>8211</v>
      </c>
      <c r="B13691" t="s">
        <v>8212</v>
      </c>
      <c r="C13691" t="s">
        <v>6839</v>
      </c>
      <c r="D13691" t="s">
        <v>3062</v>
      </c>
      <c r="E13691" t="s">
        <v>555</v>
      </c>
      <c r="F13691" t="s">
        <v>1068</v>
      </c>
      <c r="G13691" t="s">
        <v>1089</v>
      </c>
      <c r="H13691">
        <v>3.1568199634959598E-4</v>
      </c>
      <c r="I13691" t="s">
        <v>1090</v>
      </c>
      <c r="J13691">
        <v>4.5</v>
      </c>
    </row>
    <row r="13692" spans="1:10" hidden="1">
      <c r="A13692" t="s">
        <v>8220</v>
      </c>
      <c r="B13692" t="s">
        <v>8221</v>
      </c>
      <c r="C13692" t="s">
        <v>6839</v>
      </c>
      <c r="D13692" t="s">
        <v>3062</v>
      </c>
      <c r="E13692" t="s">
        <v>558</v>
      </c>
      <c r="F13692" t="s">
        <v>1068</v>
      </c>
      <c r="G13692" t="s">
        <v>1069</v>
      </c>
      <c r="H13692">
        <v>4.3398450057302897E-2</v>
      </c>
      <c r="I13692" t="s">
        <v>1070</v>
      </c>
      <c r="J13692">
        <v>4.59</v>
      </c>
    </row>
    <row r="13693" spans="1:10" hidden="1">
      <c r="A13693" t="s">
        <v>8220</v>
      </c>
      <c r="B13693" t="s">
        <v>8221</v>
      </c>
      <c r="C13693" t="s">
        <v>6839</v>
      </c>
      <c r="D13693" t="s">
        <v>3062</v>
      </c>
      <c r="E13693" t="s">
        <v>558</v>
      </c>
      <c r="F13693" t="s">
        <v>1068</v>
      </c>
      <c r="G13693" t="s">
        <v>1071</v>
      </c>
      <c r="H13693" s="171" t="s">
        <v>8222</v>
      </c>
      <c r="I13693" t="s">
        <v>1072</v>
      </c>
      <c r="J13693">
        <v>4.59</v>
      </c>
    </row>
    <row r="13694" spans="1:10" hidden="1">
      <c r="A13694" t="s">
        <v>8220</v>
      </c>
      <c r="B13694" t="s">
        <v>8221</v>
      </c>
      <c r="C13694" t="s">
        <v>6839</v>
      </c>
      <c r="D13694" t="s">
        <v>3062</v>
      </c>
      <c r="E13694" t="s">
        <v>558</v>
      </c>
      <c r="F13694" t="s">
        <v>1068</v>
      </c>
      <c r="G13694" t="s">
        <v>1073</v>
      </c>
      <c r="H13694" s="171" t="s">
        <v>8223</v>
      </c>
      <c r="I13694" t="s">
        <v>1074</v>
      </c>
      <c r="J13694">
        <v>4.59</v>
      </c>
    </row>
    <row r="13695" spans="1:10" hidden="1">
      <c r="A13695" t="s">
        <v>8220</v>
      </c>
      <c r="B13695" t="s">
        <v>8221</v>
      </c>
      <c r="C13695" t="s">
        <v>6839</v>
      </c>
      <c r="D13695" t="s">
        <v>3062</v>
      </c>
      <c r="E13695" t="s">
        <v>558</v>
      </c>
      <c r="F13695" t="s">
        <v>1068</v>
      </c>
      <c r="G13695" t="s">
        <v>1075</v>
      </c>
      <c r="H13695" s="171" t="s">
        <v>8224</v>
      </c>
      <c r="I13695" t="s">
        <v>1077</v>
      </c>
      <c r="J13695">
        <v>4.59</v>
      </c>
    </row>
    <row r="13696" spans="1:10" hidden="1">
      <c r="A13696" t="s">
        <v>8220</v>
      </c>
      <c r="B13696" t="s">
        <v>8221</v>
      </c>
      <c r="C13696" t="s">
        <v>6839</v>
      </c>
      <c r="D13696" t="s">
        <v>3062</v>
      </c>
      <c r="E13696" t="s">
        <v>558</v>
      </c>
      <c r="F13696" t="s">
        <v>1068</v>
      </c>
      <c r="G13696" t="s">
        <v>1078</v>
      </c>
      <c r="H13696" s="171" t="s">
        <v>8225</v>
      </c>
      <c r="I13696" t="s">
        <v>1079</v>
      </c>
      <c r="J13696">
        <v>4.59</v>
      </c>
    </row>
    <row r="13697" spans="1:10" hidden="1">
      <c r="A13697" t="s">
        <v>8220</v>
      </c>
      <c r="B13697" t="s">
        <v>8221</v>
      </c>
      <c r="C13697" t="s">
        <v>6839</v>
      </c>
      <c r="D13697" t="s">
        <v>3062</v>
      </c>
      <c r="E13697" t="s">
        <v>558</v>
      </c>
      <c r="F13697" t="s">
        <v>1068</v>
      </c>
      <c r="G13697" t="s">
        <v>1080</v>
      </c>
      <c r="H13697" s="171" t="s">
        <v>8226</v>
      </c>
      <c r="I13697" t="s">
        <v>1082</v>
      </c>
      <c r="J13697">
        <v>4.59</v>
      </c>
    </row>
    <row r="13698" spans="1:10" hidden="1">
      <c r="A13698" t="s">
        <v>8220</v>
      </c>
      <c r="B13698" t="s">
        <v>8221</v>
      </c>
      <c r="C13698" t="s">
        <v>6839</v>
      </c>
      <c r="D13698" t="s">
        <v>3062</v>
      </c>
      <c r="E13698" t="s">
        <v>558</v>
      </c>
      <c r="F13698" t="s">
        <v>1068</v>
      </c>
      <c r="G13698" t="s">
        <v>1083</v>
      </c>
      <c r="H13698" s="171" t="s">
        <v>8227</v>
      </c>
      <c r="I13698" t="s">
        <v>1084</v>
      </c>
      <c r="J13698">
        <v>4.59</v>
      </c>
    </row>
    <row r="13699" spans="1:10" hidden="1">
      <c r="A13699" t="s">
        <v>8220</v>
      </c>
      <c r="B13699" t="s">
        <v>8221</v>
      </c>
      <c r="C13699" t="s">
        <v>6839</v>
      </c>
      <c r="D13699" t="s">
        <v>3062</v>
      </c>
      <c r="E13699" t="s">
        <v>558</v>
      </c>
      <c r="F13699" t="s">
        <v>1068</v>
      </c>
      <c r="G13699" t="s">
        <v>1085</v>
      </c>
      <c r="H13699">
        <v>1.01983919156764E-3</v>
      </c>
      <c r="I13699" t="s">
        <v>1086</v>
      </c>
      <c r="J13699">
        <v>4.59</v>
      </c>
    </row>
    <row r="13700" spans="1:10" hidden="1">
      <c r="A13700" t="s">
        <v>8220</v>
      </c>
      <c r="B13700" t="s">
        <v>8221</v>
      </c>
      <c r="C13700" t="s">
        <v>6839</v>
      </c>
      <c r="D13700" t="s">
        <v>3062</v>
      </c>
      <c r="E13700" t="s">
        <v>558</v>
      </c>
      <c r="F13700" t="s">
        <v>1068</v>
      </c>
      <c r="G13700" t="s">
        <v>1087</v>
      </c>
      <c r="H13700" s="171" t="s">
        <v>8228</v>
      </c>
      <c r="I13700" t="s">
        <v>1088</v>
      </c>
      <c r="J13700">
        <v>4.59</v>
      </c>
    </row>
    <row r="13701" spans="1:10" hidden="1">
      <c r="A13701" t="s">
        <v>8220</v>
      </c>
      <c r="B13701" t="s">
        <v>8221</v>
      </c>
      <c r="C13701" t="s">
        <v>6839</v>
      </c>
      <c r="D13701" t="s">
        <v>3062</v>
      </c>
      <c r="E13701" t="s">
        <v>558</v>
      </c>
      <c r="F13701" t="s">
        <v>1068</v>
      </c>
      <c r="G13701" t="s">
        <v>1089</v>
      </c>
      <c r="H13701">
        <v>3.1568192114146503E-4</v>
      </c>
      <c r="I13701" t="s">
        <v>1090</v>
      </c>
      <c r="J13701">
        <v>4.59</v>
      </c>
    </row>
    <row r="13702" spans="1:10" hidden="1">
      <c r="A13702" t="s">
        <v>8229</v>
      </c>
      <c r="B13702" t="s">
        <v>8230</v>
      </c>
      <c r="C13702" t="s">
        <v>6839</v>
      </c>
      <c r="D13702" t="s">
        <v>3062</v>
      </c>
      <c r="E13702" t="s">
        <v>553</v>
      </c>
      <c r="F13702" t="s">
        <v>1068</v>
      </c>
      <c r="G13702" t="s">
        <v>1069</v>
      </c>
      <c r="H13702">
        <v>4.3398542755674598E-2</v>
      </c>
      <c r="I13702" t="s">
        <v>1070</v>
      </c>
      <c r="J13702">
        <v>4.3899999999999997</v>
      </c>
    </row>
    <row r="13703" spans="1:10" hidden="1">
      <c r="A13703" t="s">
        <v>8229</v>
      </c>
      <c r="B13703" t="s">
        <v>8230</v>
      </c>
      <c r="C13703" t="s">
        <v>6839</v>
      </c>
      <c r="D13703" t="s">
        <v>3062</v>
      </c>
      <c r="E13703" t="s">
        <v>553</v>
      </c>
      <c r="F13703" t="s">
        <v>1068</v>
      </c>
      <c r="G13703" t="s">
        <v>1071</v>
      </c>
      <c r="H13703" s="171" t="s">
        <v>8231</v>
      </c>
      <c r="I13703" t="s">
        <v>1072</v>
      </c>
      <c r="J13703">
        <v>4.3899999999999997</v>
      </c>
    </row>
    <row r="13704" spans="1:10" hidden="1">
      <c r="A13704" t="s">
        <v>8229</v>
      </c>
      <c r="B13704" t="s">
        <v>8230</v>
      </c>
      <c r="C13704" t="s">
        <v>6839</v>
      </c>
      <c r="D13704" t="s">
        <v>3062</v>
      </c>
      <c r="E13704" t="s">
        <v>553</v>
      </c>
      <c r="F13704" t="s">
        <v>1068</v>
      </c>
      <c r="G13704" t="s">
        <v>1073</v>
      </c>
      <c r="H13704" s="171" t="s">
        <v>8232</v>
      </c>
      <c r="I13704" t="s">
        <v>1074</v>
      </c>
      <c r="J13704">
        <v>4.3899999999999997</v>
      </c>
    </row>
    <row r="13705" spans="1:10" hidden="1">
      <c r="A13705" t="s">
        <v>8229</v>
      </c>
      <c r="B13705" t="s">
        <v>8230</v>
      </c>
      <c r="C13705" t="s">
        <v>6839</v>
      </c>
      <c r="D13705" t="s">
        <v>3062</v>
      </c>
      <c r="E13705" t="s">
        <v>553</v>
      </c>
      <c r="F13705" t="s">
        <v>1068</v>
      </c>
      <c r="G13705" t="s">
        <v>1075</v>
      </c>
      <c r="H13705" s="171" t="s">
        <v>8233</v>
      </c>
      <c r="I13705" t="s">
        <v>1077</v>
      </c>
      <c r="J13705">
        <v>4.3899999999999997</v>
      </c>
    </row>
    <row r="13706" spans="1:10" hidden="1">
      <c r="A13706" t="s">
        <v>8229</v>
      </c>
      <c r="B13706" t="s">
        <v>8230</v>
      </c>
      <c r="C13706" t="s">
        <v>6839</v>
      </c>
      <c r="D13706" t="s">
        <v>3062</v>
      </c>
      <c r="E13706" t="s">
        <v>553</v>
      </c>
      <c r="F13706" t="s">
        <v>1068</v>
      </c>
      <c r="G13706" t="s">
        <v>1078</v>
      </c>
      <c r="H13706" s="171" t="s">
        <v>8234</v>
      </c>
      <c r="I13706" t="s">
        <v>1079</v>
      </c>
      <c r="J13706">
        <v>4.3899999999999997</v>
      </c>
    </row>
    <row r="13707" spans="1:10" hidden="1">
      <c r="A13707" t="s">
        <v>8229</v>
      </c>
      <c r="B13707" t="s">
        <v>8230</v>
      </c>
      <c r="C13707" t="s">
        <v>6839</v>
      </c>
      <c r="D13707" t="s">
        <v>3062</v>
      </c>
      <c r="E13707" t="s">
        <v>553</v>
      </c>
      <c r="F13707" t="s">
        <v>1068</v>
      </c>
      <c r="G13707" t="s">
        <v>1080</v>
      </c>
      <c r="H13707" s="171" t="s">
        <v>8235</v>
      </c>
      <c r="I13707" t="s">
        <v>1082</v>
      </c>
      <c r="J13707">
        <v>4.3899999999999997</v>
      </c>
    </row>
    <row r="13708" spans="1:10" hidden="1">
      <c r="A13708" t="s">
        <v>8229</v>
      </c>
      <c r="B13708" t="s">
        <v>8230</v>
      </c>
      <c r="C13708" t="s">
        <v>6839</v>
      </c>
      <c r="D13708" t="s">
        <v>3062</v>
      </c>
      <c r="E13708" t="s">
        <v>553</v>
      </c>
      <c r="F13708" t="s">
        <v>1068</v>
      </c>
      <c r="G13708" t="s">
        <v>1083</v>
      </c>
      <c r="H13708" s="171" t="s">
        <v>8236</v>
      </c>
      <c r="I13708" t="s">
        <v>1084</v>
      </c>
      <c r="J13708">
        <v>4.3899999999999997</v>
      </c>
    </row>
    <row r="13709" spans="1:10" hidden="1">
      <c r="A13709" t="s">
        <v>8229</v>
      </c>
      <c r="B13709" t="s">
        <v>8230</v>
      </c>
      <c r="C13709" t="s">
        <v>6839</v>
      </c>
      <c r="D13709" t="s">
        <v>3062</v>
      </c>
      <c r="E13709" t="s">
        <v>553</v>
      </c>
      <c r="F13709" t="s">
        <v>1068</v>
      </c>
      <c r="G13709" t="s">
        <v>1085</v>
      </c>
      <c r="H13709">
        <v>1.01983918009711E-3</v>
      </c>
      <c r="I13709" t="s">
        <v>1086</v>
      </c>
      <c r="J13709">
        <v>4.3899999999999997</v>
      </c>
    </row>
    <row r="13710" spans="1:10" hidden="1">
      <c r="A13710" t="s">
        <v>8229</v>
      </c>
      <c r="B13710" t="s">
        <v>8230</v>
      </c>
      <c r="C13710" t="s">
        <v>6839</v>
      </c>
      <c r="D13710" t="s">
        <v>3062</v>
      </c>
      <c r="E13710" t="s">
        <v>553</v>
      </c>
      <c r="F13710" t="s">
        <v>1068</v>
      </c>
      <c r="G13710" t="s">
        <v>1087</v>
      </c>
      <c r="H13710" s="171" t="s">
        <v>8237</v>
      </c>
      <c r="I13710" t="s">
        <v>1088</v>
      </c>
      <c r="J13710">
        <v>4.3899999999999997</v>
      </c>
    </row>
    <row r="13711" spans="1:10" hidden="1">
      <c r="A13711" t="s">
        <v>8229</v>
      </c>
      <c r="B13711" t="s">
        <v>8230</v>
      </c>
      <c r="C13711" t="s">
        <v>6839</v>
      </c>
      <c r="D13711" t="s">
        <v>3062</v>
      </c>
      <c r="E13711" t="s">
        <v>553</v>
      </c>
      <c r="F13711" t="s">
        <v>1068</v>
      </c>
      <c r="G13711" t="s">
        <v>1089</v>
      </c>
      <c r="H13711">
        <v>3.1568191878051402E-4</v>
      </c>
      <c r="I13711" t="s">
        <v>1090</v>
      </c>
      <c r="J13711">
        <v>4.3899999999999997</v>
      </c>
    </row>
    <row r="13712" spans="1:10" hidden="1">
      <c r="A13712" t="s">
        <v>8238</v>
      </c>
      <c r="B13712" t="s">
        <v>8239</v>
      </c>
      <c r="C13712" t="s">
        <v>6839</v>
      </c>
      <c r="D13712" t="s">
        <v>3062</v>
      </c>
      <c r="E13712" t="s">
        <v>556</v>
      </c>
      <c r="F13712" t="s">
        <v>1068</v>
      </c>
      <c r="G13712" t="s">
        <v>1069</v>
      </c>
      <c r="H13712" s="171" t="s">
        <v>8240</v>
      </c>
      <c r="I13712" t="s">
        <v>1070</v>
      </c>
      <c r="J13712">
        <v>4.43</v>
      </c>
    </row>
    <row r="13713" spans="1:10" hidden="1">
      <c r="A13713" t="s">
        <v>8238</v>
      </c>
      <c r="B13713" t="s">
        <v>8239</v>
      </c>
      <c r="C13713" t="s">
        <v>6839</v>
      </c>
      <c r="D13713" t="s">
        <v>3062</v>
      </c>
      <c r="E13713" t="s">
        <v>556</v>
      </c>
      <c r="F13713" t="s">
        <v>1068</v>
      </c>
      <c r="G13713" t="s">
        <v>1071</v>
      </c>
      <c r="H13713" s="171" t="s">
        <v>8241</v>
      </c>
      <c r="I13713" t="s">
        <v>1072</v>
      </c>
      <c r="J13713">
        <v>4.43</v>
      </c>
    </row>
    <row r="13714" spans="1:10" hidden="1">
      <c r="A13714" t="s">
        <v>8238</v>
      </c>
      <c r="B13714" t="s">
        <v>8239</v>
      </c>
      <c r="C13714" t="s">
        <v>6839</v>
      </c>
      <c r="D13714" t="s">
        <v>3062</v>
      </c>
      <c r="E13714" t="s">
        <v>556</v>
      </c>
      <c r="F13714" t="s">
        <v>1068</v>
      </c>
      <c r="G13714" t="s">
        <v>1073</v>
      </c>
      <c r="H13714" s="171" t="s">
        <v>8242</v>
      </c>
      <c r="I13714" t="s">
        <v>1074</v>
      </c>
      <c r="J13714">
        <v>4.43</v>
      </c>
    </row>
    <row r="13715" spans="1:10" hidden="1">
      <c r="A13715" t="s">
        <v>8238</v>
      </c>
      <c r="B13715" t="s">
        <v>8239</v>
      </c>
      <c r="C13715" t="s">
        <v>6839</v>
      </c>
      <c r="D13715" t="s">
        <v>3062</v>
      </c>
      <c r="E13715" t="s">
        <v>556</v>
      </c>
      <c r="F13715" t="s">
        <v>1068</v>
      </c>
      <c r="G13715" t="s">
        <v>1075</v>
      </c>
      <c r="H13715" s="171" t="s">
        <v>8243</v>
      </c>
      <c r="I13715" t="s">
        <v>1077</v>
      </c>
      <c r="J13715">
        <v>4.43</v>
      </c>
    </row>
    <row r="13716" spans="1:10" hidden="1">
      <c r="A13716" t="s">
        <v>8238</v>
      </c>
      <c r="B13716" t="s">
        <v>8239</v>
      </c>
      <c r="C13716" t="s">
        <v>6839</v>
      </c>
      <c r="D13716" t="s">
        <v>3062</v>
      </c>
      <c r="E13716" t="s">
        <v>556</v>
      </c>
      <c r="F13716" t="s">
        <v>1068</v>
      </c>
      <c r="G13716" t="s">
        <v>1078</v>
      </c>
      <c r="H13716" s="171" t="s">
        <v>8244</v>
      </c>
      <c r="I13716" t="s">
        <v>1079</v>
      </c>
      <c r="J13716">
        <v>4.43</v>
      </c>
    </row>
    <row r="13717" spans="1:10" hidden="1">
      <c r="A13717" t="s">
        <v>8238</v>
      </c>
      <c r="B13717" t="s">
        <v>8239</v>
      </c>
      <c r="C13717" t="s">
        <v>6839</v>
      </c>
      <c r="D13717" t="s">
        <v>3062</v>
      </c>
      <c r="E13717" t="s">
        <v>556</v>
      </c>
      <c r="F13717" t="s">
        <v>1068</v>
      </c>
      <c r="G13717" t="s">
        <v>1080</v>
      </c>
      <c r="H13717" s="171" t="s">
        <v>8245</v>
      </c>
      <c r="I13717" t="s">
        <v>1082</v>
      </c>
      <c r="J13717">
        <v>4.43</v>
      </c>
    </row>
    <row r="13718" spans="1:10" hidden="1">
      <c r="A13718" t="s">
        <v>8238</v>
      </c>
      <c r="B13718" t="s">
        <v>8239</v>
      </c>
      <c r="C13718" t="s">
        <v>6839</v>
      </c>
      <c r="D13718" t="s">
        <v>3062</v>
      </c>
      <c r="E13718" t="s">
        <v>556</v>
      </c>
      <c r="F13718" t="s">
        <v>1068</v>
      </c>
      <c r="G13718" t="s">
        <v>1083</v>
      </c>
      <c r="H13718" s="171" t="s">
        <v>8246</v>
      </c>
      <c r="I13718" t="s">
        <v>1084</v>
      </c>
      <c r="J13718">
        <v>4.43</v>
      </c>
    </row>
    <row r="13719" spans="1:10" hidden="1">
      <c r="A13719" t="s">
        <v>8238</v>
      </c>
      <c r="B13719" t="s">
        <v>8239</v>
      </c>
      <c r="C13719" t="s">
        <v>6839</v>
      </c>
      <c r="D13719" t="s">
        <v>3062</v>
      </c>
      <c r="E13719" t="s">
        <v>556</v>
      </c>
      <c r="F13719" t="s">
        <v>1068</v>
      </c>
      <c r="G13719" t="s">
        <v>1085</v>
      </c>
      <c r="H13719">
        <v>1.01983952076052E-3</v>
      </c>
      <c r="I13719" t="s">
        <v>1086</v>
      </c>
      <c r="J13719">
        <v>4.43</v>
      </c>
    </row>
    <row r="13720" spans="1:10" hidden="1">
      <c r="A13720" t="s">
        <v>8238</v>
      </c>
      <c r="B13720" t="s">
        <v>8239</v>
      </c>
      <c r="C13720" t="s">
        <v>6839</v>
      </c>
      <c r="D13720" t="s">
        <v>3062</v>
      </c>
      <c r="E13720" t="s">
        <v>556</v>
      </c>
      <c r="F13720" t="s">
        <v>1068</v>
      </c>
      <c r="G13720" t="s">
        <v>1087</v>
      </c>
      <c r="H13720" s="171" t="s">
        <v>8247</v>
      </c>
      <c r="I13720" t="s">
        <v>1088</v>
      </c>
      <c r="J13720">
        <v>4.43</v>
      </c>
    </row>
    <row r="13721" spans="1:10" hidden="1">
      <c r="A13721" t="s">
        <v>8238</v>
      </c>
      <c r="B13721" t="s">
        <v>8239</v>
      </c>
      <c r="C13721" t="s">
        <v>6839</v>
      </c>
      <c r="D13721" t="s">
        <v>3062</v>
      </c>
      <c r="E13721" t="s">
        <v>556</v>
      </c>
      <c r="F13721" t="s">
        <v>1068</v>
      </c>
      <c r="G13721" t="s">
        <v>1089</v>
      </c>
      <c r="H13721">
        <v>3.15681989058703E-4</v>
      </c>
      <c r="I13721" t="s">
        <v>1090</v>
      </c>
      <c r="J13721">
        <v>4.43</v>
      </c>
    </row>
    <row r="13722" spans="1:10" hidden="1">
      <c r="A13722" t="s">
        <v>8248</v>
      </c>
      <c r="B13722" t="s">
        <v>8249</v>
      </c>
      <c r="C13722" t="s">
        <v>6839</v>
      </c>
      <c r="D13722" t="s">
        <v>3062</v>
      </c>
      <c r="E13722" t="s">
        <v>557</v>
      </c>
      <c r="F13722" t="s">
        <v>1068</v>
      </c>
      <c r="G13722" t="s">
        <v>1069</v>
      </c>
      <c r="H13722">
        <v>4.3398517755384697E-2</v>
      </c>
      <c r="I13722" t="s">
        <v>1070</v>
      </c>
      <c r="J13722">
        <v>4.37</v>
      </c>
    </row>
    <row r="13723" spans="1:10" hidden="1">
      <c r="A13723" t="s">
        <v>8248</v>
      </c>
      <c r="B13723" t="s">
        <v>8249</v>
      </c>
      <c r="C13723" t="s">
        <v>6839</v>
      </c>
      <c r="D13723" t="s">
        <v>3062</v>
      </c>
      <c r="E13723" t="s">
        <v>557</v>
      </c>
      <c r="F13723" t="s">
        <v>1068</v>
      </c>
      <c r="G13723" t="s">
        <v>1071</v>
      </c>
      <c r="H13723" s="171" t="s">
        <v>8250</v>
      </c>
      <c r="I13723" t="s">
        <v>1072</v>
      </c>
      <c r="J13723">
        <v>4.37</v>
      </c>
    </row>
    <row r="13724" spans="1:10" hidden="1">
      <c r="A13724" t="s">
        <v>8248</v>
      </c>
      <c r="B13724" t="s">
        <v>8249</v>
      </c>
      <c r="C13724" t="s">
        <v>6839</v>
      </c>
      <c r="D13724" t="s">
        <v>3062</v>
      </c>
      <c r="E13724" t="s">
        <v>557</v>
      </c>
      <c r="F13724" t="s">
        <v>1068</v>
      </c>
      <c r="G13724" t="s">
        <v>1073</v>
      </c>
      <c r="H13724" s="171" t="s">
        <v>8251</v>
      </c>
      <c r="I13724" t="s">
        <v>1074</v>
      </c>
      <c r="J13724">
        <v>4.37</v>
      </c>
    </row>
    <row r="13725" spans="1:10" hidden="1">
      <c r="A13725" t="s">
        <v>8248</v>
      </c>
      <c r="B13725" t="s">
        <v>8249</v>
      </c>
      <c r="C13725" t="s">
        <v>6839</v>
      </c>
      <c r="D13725" t="s">
        <v>3062</v>
      </c>
      <c r="E13725" t="s">
        <v>557</v>
      </c>
      <c r="F13725" t="s">
        <v>1068</v>
      </c>
      <c r="G13725" t="s">
        <v>1075</v>
      </c>
      <c r="H13725">
        <v>2.85264357291285E-2</v>
      </c>
      <c r="I13725" t="s">
        <v>1077</v>
      </c>
      <c r="J13725">
        <v>4.37</v>
      </c>
    </row>
    <row r="13726" spans="1:10" hidden="1">
      <c r="A13726" t="s">
        <v>8248</v>
      </c>
      <c r="B13726" t="s">
        <v>8249</v>
      </c>
      <c r="C13726" t="s">
        <v>6839</v>
      </c>
      <c r="D13726" t="s">
        <v>3062</v>
      </c>
      <c r="E13726" t="s">
        <v>557</v>
      </c>
      <c r="F13726" t="s">
        <v>1068</v>
      </c>
      <c r="G13726" t="s">
        <v>1078</v>
      </c>
      <c r="H13726" s="171" t="s">
        <v>8252</v>
      </c>
      <c r="I13726" t="s">
        <v>1079</v>
      </c>
      <c r="J13726">
        <v>4.37</v>
      </c>
    </row>
    <row r="13727" spans="1:10" hidden="1">
      <c r="A13727" t="s">
        <v>8248</v>
      </c>
      <c r="B13727" t="s">
        <v>8249</v>
      </c>
      <c r="C13727" t="s">
        <v>6839</v>
      </c>
      <c r="D13727" t="s">
        <v>3062</v>
      </c>
      <c r="E13727" t="s">
        <v>557</v>
      </c>
      <c r="F13727" t="s">
        <v>1068</v>
      </c>
      <c r="G13727" t="s">
        <v>1080</v>
      </c>
      <c r="H13727" s="171" t="s">
        <v>8253</v>
      </c>
      <c r="I13727" t="s">
        <v>1082</v>
      </c>
      <c r="J13727">
        <v>4.37</v>
      </c>
    </row>
    <row r="13728" spans="1:10" hidden="1">
      <c r="A13728" t="s">
        <v>8248</v>
      </c>
      <c r="B13728" t="s">
        <v>8249</v>
      </c>
      <c r="C13728" t="s">
        <v>6839</v>
      </c>
      <c r="D13728" t="s">
        <v>3062</v>
      </c>
      <c r="E13728" t="s">
        <v>557</v>
      </c>
      <c r="F13728" t="s">
        <v>1068</v>
      </c>
      <c r="G13728" t="s">
        <v>1083</v>
      </c>
      <c r="H13728" s="171" t="s">
        <v>8254</v>
      </c>
      <c r="I13728" t="s">
        <v>1084</v>
      </c>
      <c r="J13728">
        <v>4.37</v>
      </c>
    </row>
    <row r="13729" spans="1:10" hidden="1">
      <c r="A13729" t="s">
        <v>8248</v>
      </c>
      <c r="B13729" t="s">
        <v>8249</v>
      </c>
      <c r="C13729" t="s">
        <v>6839</v>
      </c>
      <c r="D13729" t="s">
        <v>3062</v>
      </c>
      <c r="E13729" t="s">
        <v>557</v>
      </c>
      <c r="F13729" t="s">
        <v>1068</v>
      </c>
      <c r="G13729" t="s">
        <v>1085</v>
      </c>
      <c r="H13729">
        <v>1.01983930786724E-3</v>
      </c>
      <c r="I13729" t="s">
        <v>1086</v>
      </c>
      <c r="J13729">
        <v>4.37</v>
      </c>
    </row>
    <row r="13730" spans="1:10" hidden="1">
      <c r="A13730" t="s">
        <v>8248</v>
      </c>
      <c r="B13730" t="s">
        <v>8249</v>
      </c>
      <c r="C13730" t="s">
        <v>6839</v>
      </c>
      <c r="D13730" t="s">
        <v>3062</v>
      </c>
      <c r="E13730" t="s">
        <v>557</v>
      </c>
      <c r="F13730" t="s">
        <v>1068</v>
      </c>
      <c r="G13730" t="s">
        <v>1087</v>
      </c>
      <c r="H13730" s="171" t="s">
        <v>8255</v>
      </c>
      <c r="I13730" t="s">
        <v>1088</v>
      </c>
      <c r="J13730">
        <v>4.37</v>
      </c>
    </row>
    <row r="13731" spans="1:10" hidden="1">
      <c r="A13731" t="s">
        <v>8248</v>
      </c>
      <c r="B13731" t="s">
        <v>8249</v>
      </c>
      <c r="C13731" t="s">
        <v>6839</v>
      </c>
      <c r="D13731" t="s">
        <v>3062</v>
      </c>
      <c r="E13731" t="s">
        <v>557</v>
      </c>
      <c r="F13731" t="s">
        <v>1068</v>
      </c>
      <c r="G13731" t="s">
        <v>1089</v>
      </c>
      <c r="H13731">
        <v>3.1568194513384299E-4</v>
      </c>
      <c r="I13731" t="s">
        <v>1090</v>
      </c>
      <c r="J13731">
        <v>4.37</v>
      </c>
    </row>
    <row r="13732" spans="1:10" hidden="1">
      <c r="A13732" t="s">
        <v>8256</v>
      </c>
      <c r="B13732" t="s">
        <v>8257</v>
      </c>
      <c r="C13732" t="s">
        <v>6839</v>
      </c>
      <c r="D13732" t="s">
        <v>3062</v>
      </c>
      <c r="E13732" t="s">
        <v>559</v>
      </c>
      <c r="F13732" t="s">
        <v>1068</v>
      </c>
      <c r="G13732" t="s">
        <v>1069</v>
      </c>
      <c r="H13732">
        <v>4.3398682112857703E-2</v>
      </c>
      <c r="I13732" t="s">
        <v>1070</v>
      </c>
      <c r="J13732">
        <v>4.26</v>
      </c>
    </row>
    <row r="13733" spans="1:10" hidden="1">
      <c r="A13733" t="s">
        <v>8256</v>
      </c>
      <c r="B13733" t="s">
        <v>8257</v>
      </c>
      <c r="C13733" t="s">
        <v>6839</v>
      </c>
      <c r="D13733" t="s">
        <v>3062</v>
      </c>
      <c r="E13733" t="s">
        <v>559</v>
      </c>
      <c r="F13733" t="s">
        <v>1068</v>
      </c>
      <c r="G13733" t="s">
        <v>1071</v>
      </c>
      <c r="H13733" s="171" t="s">
        <v>8258</v>
      </c>
      <c r="I13733" t="s">
        <v>1072</v>
      </c>
      <c r="J13733">
        <v>4.26</v>
      </c>
    </row>
    <row r="13734" spans="1:10" hidden="1">
      <c r="A13734" t="s">
        <v>8256</v>
      </c>
      <c r="B13734" t="s">
        <v>8257</v>
      </c>
      <c r="C13734" t="s">
        <v>6839</v>
      </c>
      <c r="D13734" t="s">
        <v>3062</v>
      </c>
      <c r="E13734" t="s">
        <v>559</v>
      </c>
      <c r="F13734" t="s">
        <v>1068</v>
      </c>
      <c r="G13734" t="s">
        <v>1073</v>
      </c>
      <c r="H13734" s="171" t="s">
        <v>8259</v>
      </c>
      <c r="I13734" t="s">
        <v>1074</v>
      </c>
      <c r="J13734">
        <v>4.26</v>
      </c>
    </row>
    <row r="13735" spans="1:10" hidden="1">
      <c r="A13735" t="s">
        <v>8256</v>
      </c>
      <c r="B13735" t="s">
        <v>8257</v>
      </c>
      <c r="C13735" t="s">
        <v>6839</v>
      </c>
      <c r="D13735" t="s">
        <v>3062</v>
      </c>
      <c r="E13735" t="s">
        <v>559</v>
      </c>
      <c r="F13735" t="s">
        <v>1068</v>
      </c>
      <c r="G13735" t="s">
        <v>1075</v>
      </c>
      <c r="H13735" s="171" t="s">
        <v>8260</v>
      </c>
      <c r="I13735" t="s">
        <v>1077</v>
      </c>
      <c r="J13735">
        <v>4.26</v>
      </c>
    </row>
    <row r="13736" spans="1:10" hidden="1">
      <c r="A13736" t="s">
        <v>8256</v>
      </c>
      <c r="B13736" t="s">
        <v>8257</v>
      </c>
      <c r="C13736" t="s">
        <v>6839</v>
      </c>
      <c r="D13736" t="s">
        <v>3062</v>
      </c>
      <c r="E13736" t="s">
        <v>559</v>
      </c>
      <c r="F13736" t="s">
        <v>1068</v>
      </c>
      <c r="G13736" t="s">
        <v>1078</v>
      </c>
      <c r="H13736" s="171" t="s">
        <v>8261</v>
      </c>
      <c r="I13736" t="s">
        <v>1079</v>
      </c>
      <c r="J13736">
        <v>4.26</v>
      </c>
    </row>
    <row r="13737" spans="1:10" hidden="1">
      <c r="A13737" t="s">
        <v>8256</v>
      </c>
      <c r="B13737" t="s">
        <v>8257</v>
      </c>
      <c r="C13737" t="s">
        <v>6839</v>
      </c>
      <c r="D13737" t="s">
        <v>3062</v>
      </c>
      <c r="E13737" t="s">
        <v>559</v>
      </c>
      <c r="F13737" t="s">
        <v>1068</v>
      </c>
      <c r="G13737" t="s">
        <v>1080</v>
      </c>
      <c r="H13737" s="171" t="s">
        <v>8262</v>
      </c>
      <c r="I13737" t="s">
        <v>1082</v>
      </c>
      <c r="J13737">
        <v>4.26</v>
      </c>
    </row>
    <row r="13738" spans="1:10" hidden="1">
      <c r="A13738" t="s">
        <v>8256</v>
      </c>
      <c r="B13738" t="s">
        <v>8257</v>
      </c>
      <c r="C13738" t="s">
        <v>6839</v>
      </c>
      <c r="D13738" t="s">
        <v>3062</v>
      </c>
      <c r="E13738" t="s">
        <v>559</v>
      </c>
      <c r="F13738" t="s">
        <v>1068</v>
      </c>
      <c r="G13738" t="s">
        <v>1083</v>
      </c>
      <c r="H13738" s="171" t="s">
        <v>8263</v>
      </c>
      <c r="I13738" t="s">
        <v>1084</v>
      </c>
      <c r="J13738">
        <v>4.26</v>
      </c>
    </row>
    <row r="13739" spans="1:10" hidden="1">
      <c r="A13739" t="s">
        <v>8256</v>
      </c>
      <c r="B13739" t="s">
        <v>8257</v>
      </c>
      <c r="C13739" t="s">
        <v>6839</v>
      </c>
      <c r="D13739" t="s">
        <v>3062</v>
      </c>
      <c r="E13739" t="s">
        <v>559</v>
      </c>
      <c r="F13739" t="s">
        <v>1068</v>
      </c>
      <c r="G13739" t="s">
        <v>1085</v>
      </c>
      <c r="H13739">
        <v>1.0198394195010201E-3</v>
      </c>
      <c r="I13739" t="s">
        <v>1086</v>
      </c>
      <c r="J13739">
        <v>4.26</v>
      </c>
    </row>
    <row r="13740" spans="1:10" hidden="1">
      <c r="A13740" t="s">
        <v>8256</v>
      </c>
      <c r="B13740" t="s">
        <v>8257</v>
      </c>
      <c r="C13740" t="s">
        <v>6839</v>
      </c>
      <c r="D13740" t="s">
        <v>3062</v>
      </c>
      <c r="E13740" t="s">
        <v>559</v>
      </c>
      <c r="F13740" t="s">
        <v>1068</v>
      </c>
      <c r="G13740" t="s">
        <v>1087</v>
      </c>
      <c r="H13740" s="171" t="s">
        <v>8264</v>
      </c>
      <c r="I13740" t="s">
        <v>1088</v>
      </c>
      <c r="J13740">
        <v>4.26</v>
      </c>
    </row>
    <row r="13741" spans="1:10" hidden="1">
      <c r="A13741" t="s">
        <v>8256</v>
      </c>
      <c r="B13741" t="s">
        <v>8257</v>
      </c>
      <c r="C13741" t="s">
        <v>6839</v>
      </c>
      <c r="D13741" t="s">
        <v>3062</v>
      </c>
      <c r="E13741" t="s">
        <v>559</v>
      </c>
      <c r="F13741" t="s">
        <v>1068</v>
      </c>
      <c r="G13741" t="s">
        <v>1089</v>
      </c>
      <c r="H13741">
        <v>3.1568196816906798E-4</v>
      </c>
      <c r="I13741" t="s">
        <v>1090</v>
      </c>
      <c r="J13741">
        <v>4.26</v>
      </c>
    </row>
    <row r="13742" spans="1:10" hidden="1">
      <c r="A13742" t="s">
        <v>8265</v>
      </c>
      <c r="B13742" t="s">
        <v>8266</v>
      </c>
      <c r="C13742" t="s">
        <v>6839</v>
      </c>
      <c r="D13742" t="s">
        <v>3062</v>
      </c>
      <c r="E13742" t="s">
        <v>560</v>
      </c>
      <c r="F13742" t="s">
        <v>1068</v>
      </c>
      <c r="G13742" t="s">
        <v>1069</v>
      </c>
      <c r="H13742">
        <v>4.3398553861025597E-2</v>
      </c>
      <c r="I13742" t="s">
        <v>1070</v>
      </c>
      <c r="J13742">
        <v>4.42</v>
      </c>
    </row>
    <row r="13743" spans="1:10" hidden="1">
      <c r="A13743" t="s">
        <v>8265</v>
      </c>
      <c r="B13743" t="s">
        <v>8266</v>
      </c>
      <c r="C13743" t="s">
        <v>6839</v>
      </c>
      <c r="D13743" t="s">
        <v>3062</v>
      </c>
      <c r="E13743" t="s">
        <v>560</v>
      </c>
      <c r="F13743" t="s">
        <v>1068</v>
      </c>
      <c r="G13743" t="s">
        <v>1071</v>
      </c>
      <c r="H13743" s="171" t="s">
        <v>8267</v>
      </c>
      <c r="I13743" t="s">
        <v>1072</v>
      </c>
      <c r="J13743">
        <v>4.42</v>
      </c>
    </row>
    <row r="13744" spans="1:10" hidden="1">
      <c r="A13744" t="s">
        <v>8265</v>
      </c>
      <c r="B13744" t="s">
        <v>8266</v>
      </c>
      <c r="C13744" t="s">
        <v>6839</v>
      </c>
      <c r="D13744" t="s">
        <v>3062</v>
      </c>
      <c r="E13744" t="s">
        <v>560</v>
      </c>
      <c r="F13744" t="s">
        <v>1068</v>
      </c>
      <c r="G13744" t="s">
        <v>1073</v>
      </c>
      <c r="H13744" s="171" t="s">
        <v>8268</v>
      </c>
      <c r="I13744" t="s">
        <v>1074</v>
      </c>
      <c r="J13744">
        <v>4.42</v>
      </c>
    </row>
    <row r="13745" spans="1:10" hidden="1">
      <c r="A13745" t="s">
        <v>8265</v>
      </c>
      <c r="B13745" t="s">
        <v>8266</v>
      </c>
      <c r="C13745" t="s">
        <v>6839</v>
      </c>
      <c r="D13745" t="s">
        <v>3062</v>
      </c>
      <c r="E13745" t="s">
        <v>560</v>
      </c>
      <c r="F13745" t="s">
        <v>1068</v>
      </c>
      <c r="G13745" t="s">
        <v>1075</v>
      </c>
      <c r="H13745" s="171" t="s">
        <v>8269</v>
      </c>
      <c r="I13745" t="s">
        <v>1077</v>
      </c>
      <c r="J13745">
        <v>4.42</v>
      </c>
    </row>
    <row r="13746" spans="1:10" hidden="1">
      <c r="A13746" t="s">
        <v>8265</v>
      </c>
      <c r="B13746" t="s">
        <v>8266</v>
      </c>
      <c r="C13746" t="s">
        <v>6839</v>
      </c>
      <c r="D13746" t="s">
        <v>3062</v>
      </c>
      <c r="E13746" t="s">
        <v>560</v>
      </c>
      <c r="F13746" t="s">
        <v>1068</v>
      </c>
      <c r="G13746" t="s">
        <v>1078</v>
      </c>
      <c r="H13746" s="171" t="s">
        <v>8270</v>
      </c>
      <c r="I13746" t="s">
        <v>1079</v>
      </c>
      <c r="J13746">
        <v>4.42</v>
      </c>
    </row>
    <row r="13747" spans="1:10" hidden="1">
      <c r="A13747" t="s">
        <v>8265</v>
      </c>
      <c r="B13747" t="s">
        <v>8266</v>
      </c>
      <c r="C13747" t="s">
        <v>6839</v>
      </c>
      <c r="D13747" t="s">
        <v>3062</v>
      </c>
      <c r="E13747" t="s">
        <v>560</v>
      </c>
      <c r="F13747" t="s">
        <v>1068</v>
      </c>
      <c r="G13747" t="s">
        <v>1080</v>
      </c>
      <c r="H13747" s="171" t="s">
        <v>8271</v>
      </c>
      <c r="I13747" t="s">
        <v>1082</v>
      </c>
      <c r="J13747">
        <v>4.42</v>
      </c>
    </row>
    <row r="13748" spans="1:10" hidden="1">
      <c r="A13748" t="s">
        <v>8265</v>
      </c>
      <c r="B13748" t="s">
        <v>8266</v>
      </c>
      <c r="C13748" t="s">
        <v>6839</v>
      </c>
      <c r="D13748" t="s">
        <v>3062</v>
      </c>
      <c r="E13748" t="s">
        <v>560</v>
      </c>
      <c r="F13748" t="s">
        <v>1068</v>
      </c>
      <c r="G13748" t="s">
        <v>1083</v>
      </c>
      <c r="H13748" s="171" t="s">
        <v>8272</v>
      </c>
      <c r="I13748" t="s">
        <v>1084</v>
      </c>
      <c r="J13748">
        <v>4.42</v>
      </c>
    </row>
    <row r="13749" spans="1:10" hidden="1">
      <c r="A13749" t="s">
        <v>8265</v>
      </c>
      <c r="B13749" t="s">
        <v>8266</v>
      </c>
      <c r="C13749" t="s">
        <v>6839</v>
      </c>
      <c r="D13749" t="s">
        <v>3062</v>
      </c>
      <c r="E13749" t="s">
        <v>560</v>
      </c>
      <c r="F13749" t="s">
        <v>1068</v>
      </c>
      <c r="G13749" t="s">
        <v>1085</v>
      </c>
      <c r="H13749">
        <v>1.0198393698936999E-3</v>
      </c>
      <c r="I13749" t="s">
        <v>1086</v>
      </c>
      <c r="J13749">
        <v>4.42</v>
      </c>
    </row>
    <row r="13750" spans="1:10" hidden="1">
      <c r="A13750" t="s">
        <v>8265</v>
      </c>
      <c r="B13750" t="s">
        <v>8266</v>
      </c>
      <c r="C13750" t="s">
        <v>6839</v>
      </c>
      <c r="D13750" t="s">
        <v>3062</v>
      </c>
      <c r="E13750" t="s">
        <v>560</v>
      </c>
      <c r="F13750" t="s">
        <v>1068</v>
      </c>
      <c r="G13750" t="s">
        <v>1087</v>
      </c>
      <c r="H13750" s="171" t="s">
        <v>8273</v>
      </c>
      <c r="I13750" t="s">
        <v>1088</v>
      </c>
      <c r="J13750">
        <v>4.42</v>
      </c>
    </row>
    <row r="13751" spans="1:10" hidden="1">
      <c r="A13751" t="s">
        <v>8265</v>
      </c>
      <c r="B13751" t="s">
        <v>8266</v>
      </c>
      <c r="C13751" t="s">
        <v>6839</v>
      </c>
      <c r="D13751" t="s">
        <v>3062</v>
      </c>
      <c r="E13751" t="s">
        <v>560</v>
      </c>
      <c r="F13751" t="s">
        <v>1068</v>
      </c>
      <c r="G13751" t="s">
        <v>1089</v>
      </c>
      <c r="H13751">
        <v>3.1568195792977798E-4</v>
      </c>
      <c r="I13751" t="s">
        <v>1090</v>
      </c>
      <c r="J13751">
        <v>4.42</v>
      </c>
    </row>
    <row r="13752" spans="1:10" hidden="1">
      <c r="A13752" t="s">
        <v>8274</v>
      </c>
      <c r="B13752" t="s">
        <v>8275</v>
      </c>
      <c r="C13752" t="s">
        <v>6839</v>
      </c>
      <c r="D13752" t="s">
        <v>3062</v>
      </c>
      <c r="E13752" t="s">
        <v>1116</v>
      </c>
      <c r="F13752" t="s">
        <v>1068</v>
      </c>
      <c r="G13752" t="s">
        <v>1069</v>
      </c>
      <c r="H13752">
        <v>4.33984442767716E-2</v>
      </c>
      <c r="I13752" t="s">
        <v>1070</v>
      </c>
      <c r="J13752">
        <v>4.3899999999999997</v>
      </c>
    </row>
    <row r="13753" spans="1:10" hidden="1">
      <c r="A13753" t="s">
        <v>8274</v>
      </c>
      <c r="B13753" t="s">
        <v>8275</v>
      </c>
      <c r="C13753" t="s">
        <v>6839</v>
      </c>
      <c r="D13753" t="s">
        <v>3062</v>
      </c>
      <c r="E13753" t="s">
        <v>1116</v>
      </c>
      <c r="F13753" t="s">
        <v>1068</v>
      </c>
      <c r="G13753" t="s">
        <v>1071</v>
      </c>
      <c r="H13753" s="171" t="s">
        <v>8276</v>
      </c>
      <c r="I13753" t="s">
        <v>1072</v>
      </c>
      <c r="J13753">
        <v>4.3899999999999997</v>
      </c>
    </row>
    <row r="13754" spans="1:10" hidden="1">
      <c r="A13754" t="s">
        <v>8274</v>
      </c>
      <c r="B13754" t="s">
        <v>8275</v>
      </c>
      <c r="C13754" t="s">
        <v>6839</v>
      </c>
      <c r="D13754" t="s">
        <v>3062</v>
      </c>
      <c r="E13754" t="s">
        <v>1116</v>
      </c>
      <c r="F13754" t="s">
        <v>1068</v>
      </c>
      <c r="G13754" t="s">
        <v>1073</v>
      </c>
      <c r="H13754" s="171" t="s">
        <v>8277</v>
      </c>
      <c r="I13754" t="s">
        <v>1074</v>
      </c>
      <c r="J13754">
        <v>4.3899999999999997</v>
      </c>
    </row>
    <row r="13755" spans="1:10" hidden="1">
      <c r="A13755" t="s">
        <v>8274</v>
      </c>
      <c r="B13755" t="s">
        <v>8275</v>
      </c>
      <c r="C13755" t="s">
        <v>6839</v>
      </c>
      <c r="D13755" t="s">
        <v>3062</v>
      </c>
      <c r="E13755" t="s">
        <v>1116</v>
      </c>
      <c r="F13755" t="s">
        <v>1068</v>
      </c>
      <c r="G13755" t="s">
        <v>1075</v>
      </c>
      <c r="H13755">
        <v>2.8526433406391102E-2</v>
      </c>
      <c r="I13755" t="s">
        <v>1077</v>
      </c>
      <c r="J13755">
        <v>4.3899999999999997</v>
      </c>
    </row>
    <row r="13756" spans="1:10" hidden="1">
      <c r="A13756" t="s">
        <v>8274</v>
      </c>
      <c r="B13756" t="s">
        <v>8275</v>
      </c>
      <c r="C13756" t="s">
        <v>6839</v>
      </c>
      <c r="D13756" t="s">
        <v>3062</v>
      </c>
      <c r="E13756" t="s">
        <v>1116</v>
      </c>
      <c r="F13756" t="s">
        <v>1068</v>
      </c>
      <c r="G13756" t="s">
        <v>1078</v>
      </c>
      <c r="H13756" s="171" t="s">
        <v>8278</v>
      </c>
      <c r="I13756" t="s">
        <v>1079</v>
      </c>
      <c r="J13756">
        <v>4.3899999999999997</v>
      </c>
    </row>
    <row r="13757" spans="1:10" hidden="1">
      <c r="A13757" t="s">
        <v>8274</v>
      </c>
      <c r="B13757" t="s">
        <v>8275</v>
      </c>
      <c r="C13757" t="s">
        <v>6839</v>
      </c>
      <c r="D13757" t="s">
        <v>3062</v>
      </c>
      <c r="E13757" t="s">
        <v>1116</v>
      </c>
      <c r="F13757" t="s">
        <v>1068</v>
      </c>
      <c r="G13757" t="s">
        <v>1080</v>
      </c>
      <c r="H13757" s="171" t="s">
        <v>8279</v>
      </c>
      <c r="I13757" t="s">
        <v>1082</v>
      </c>
      <c r="J13757">
        <v>4.3899999999999997</v>
      </c>
    </row>
    <row r="13758" spans="1:10" hidden="1">
      <c r="A13758" t="s">
        <v>8274</v>
      </c>
      <c r="B13758" t="s">
        <v>8275</v>
      </c>
      <c r="C13758" t="s">
        <v>6839</v>
      </c>
      <c r="D13758" t="s">
        <v>3062</v>
      </c>
      <c r="E13758" t="s">
        <v>1116</v>
      </c>
      <c r="F13758" t="s">
        <v>1068</v>
      </c>
      <c r="G13758" t="s">
        <v>1083</v>
      </c>
      <c r="H13758" s="171" t="s">
        <v>8280</v>
      </c>
      <c r="I13758" t="s">
        <v>1084</v>
      </c>
      <c r="J13758">
        <v>4.3899999999999997</v>
      </c>
    </row>
    <row r="13759" spans="1:10" hidden="1">
      <c r="A13759" t="s">
        <v>8274</v>
      </c>
      <c r="B13759" t="s">
        <v>8275</v>
      </c>
      <c r="C13759" t="s">
        <v>6839</v>
      </c>
      <c r="D13759" t="s">
        <v>3062</v>
      </c>
      <c r="E13759" t="s">
        <v>1116</v>
      </c>
      <c r="F13759" t="s">
        <v>1068</v>
      </c>
      <c r="G13759" t="s">
        <v>1085</v>
      </c>
      <c r="H13759">
        <v>1.01983918163717E-3</v>
      </c>
      <c r="I13759" t="s">
        <v>1086</v>
      </c>
      <c r="J13759">
        <v>4.3899999999999997</v>
      </c>
    </row>
    <row r="13760" spans="1:10" hidden="1">
      <c r="A13760" t="s">
        <v>8274</v>
      </c>
      <c r="B13760" t="s">
        <v>8275</v>
      </c>
      <c r="C13760" t="s">
        <v>6839</v>
      </c>
      <c r="D13760" t="s">
        <v>3062</v>
      </c>
      <c r="E13760" t="s">
        <v>1116</v>
      </c>
      <c r="F13760" t="s">
        <v>1068</v>
      </c>
      <c r="G13760" t="s">
        <v>1087</v>
      </c>
      <c r="H13760" s="171" t="s">
        <v>8281</v>
      </c>
      <c r="I13760" t="s">
        <v>1088</v>
      </c>
      <c r="J13760">
        <v>4.3899999999999997</v>
      </c>
    </row>
    <row r="13761" spans="1:10" hidden="1">
      <c r="A13761" t="s">
        <v>8274</v>
      </c>
      <c r="B13761" t="s">
        <v>8275</v>
      </c>
      <c r="C13761" t="s">
        <v>6839</v>
      </c>
      <c r="D13761" t="s">
        <v>3062</v>
      </c>
      <c r="E13761" t="s">
        <v>1116</v>
      </c>
      <c r="F13761" t="s">
        <v>1068</v>
      </c>
      <c r="G13761" t="s">
        <v>1089</v>
      </c>
      <c r="H13761">
        <v>3.15681919092828E-4</v>
      </c>
      <c r="I13761" t="s">
        <v>1090</v>
      </c>
      <c r="J13761">
        <v>4.3899999999999997</v>
      </c>
    </row>
    <row r="13762" spans="1:10" hidden="1">
      <c r="A13762" t="s">
        <v>8282</v>
      </c>
      <c r="B13762" t="s">
        <v>8283</v>
      </c>
      <c r="C13762" t="s">
        <v>6839</v>
      </c>
      <c r="D13762" t="s">
        <v>3151</v>
      </c>
      <c r="E13762" t="s">
        <v>561</v>
      </c>
      <c r="F13762" t="s">
        <v>1068</v>
      </c>
      <c r="G13762" t="s">
        <v>1069</v>
      </c>
      <c r="H13762" s="171" t="s">
        <v>8284</v>
      </c>
      <c r="I13762" t="s">
        <v>1070</v>
      </c>
      <c r="J13762">
        <v>4.5199999999999996</v>
      </c>
    </row>
    <row r="13763" spans="1:10" hidden="1">
      <c r="A13763" t="s">
        <v>8282</v>
      </c>
      <c r="B13763" t="s">
        <v>8283</v>
      </c>
      <c r="C13763" t="s">
        <v>6839</v>
      </c>
      <c r="D13763" t="s">
        <v>3151</v>
      </c>
      <c r="E13763" t="s">
        <v>561</v>
      </c>
      <c r="F13763" t="s">
        <v>1068</v>
      </c>
      <c r="G13763" t="s">
        <v>1071</v>
      </c>
      <c r="H13763" s="171" t="s">
        <v>8285</v>
      </c>
      <c r="I13763" t="s">
        <v>1072</v>
      </c>
      <c r="J13763">
        <v>4.5199999999999996</v>
      </c>
    </row>
    <row r="13764" spans="1:10" hidden="1">
      <c r="A13764" t="s">
        <v>8282</v>
      </c>
      <c r="B13764" t="s">
        <v>8283</v>
      </c>
      <c r="C13764" t="s">
        <v>6839</v>
      </c>
      <c r="D13764" t="s">
        <v>3151</v>
      </c>
      <c r="E13764" t="s">
        <v>561</v>
      </c>
      <c r="F13764" t="s">
        <v>1068</v>
      </c>
      <c r="G13764" t="s">
        <v>1073</v>
      </c>
      <c r="H13764" s="171" t="s">
        <v>8286</v>
      </c>
      <c r="I13764" t="s">
        <v>1074</v>
      </c>
      <c r="J13764">
        <v>4.5199999999999996</v>
      </c>
    </row>
    <row r="13765" spans="1:10" hidden="1">
      <c r="A13765" t="s">
        <v>8282</v>
      </c>
      <c r="B13765" t="s">
        <v>8283</v>
      </c>
      <c r="C13765" t="s">
        <v>6839</v>
      </c>
      <c r="D13765" t="s">
        <v>3151</v>
      </c>
      <c r="E13765" t="s">
        <v>561</v>
      </c>
      <c r="F13765" t="s">
        <v>1068</v>
      </c>
      <c r="G13765" t="s">
        <v>1075</v>
      </c>
      <c r="H13765">
        <v>2.7838957584156599E-2</v>
      </c>
      <c r="I13765" t="s">
        <v>1077</v>
      </c>
      <c r="J13765">
        <v>4.5199999999999996</v>
      </c>
    </row>
    <row r="13766" spans="1:10" hidden="1">
      <c r="A13766" t="s">
        <v>8282</v>
      </c>
      <c r="B13766" t="s">
        <v>8283</v>
      </c>
      <c r="C13766" t="s">
        <v>6839</v>
      </c>
      <c r="D13766" t="s">
        <v>3151</v>
      </c>
      <c r="E13766" t="s">
        <v>561</v>
      </c>
      <c r="F13766" t="s">
        <v>1068</v>
      </c>
      <c r="G13766" t="s">
        <v>1078</v>
      </c>
      <c r="H13766" s="171" t="s">
        <v>8287</v>
      </c>
      <c r="I13766" t="s">
        <v>1079</v>
      </c>
      <c r="J13766">
        <v>4.5199999999999996</v>
      </c>
    </row>
    <row r="13767" spans="1:10" hidden="1">
      <c r="A13767" t="s">
        <v>8282</v>
      </c>
      <c r="B13767" t="s">
        <v>8283</v>
      </c>
      <c r="C13767" t="s">
        <v>6839</v>
      </c>
      <c r="D13767" t="s">
        <v>3151</v>
      </c>
      <c r="E13767" t="s">
        <v>561</v>
      </c>
      <c r="F13767" t="s">
        <v>1068</v>
      </c>
      <c r="G13767" t="s">
        <v>1080</v>
      </c>
      <c r="H13767" s="171" t="s">
        <v>8288</v>
      </c>
      <c r="I13767" t="s">
        <v>1082</v>
      </c>
      <c r="J13767">
        <v>4.5199999999999996</v>
      </c>
    </row>
    <row r="13768" spans="1:10" hidden="1">
      <c r="A13768" t="s">
        <v>8282</v>
      </c>
      <c r="B13768" t="s">
        <v>8283</v>
      </c>
      <c r="C13768" t="s">
        <v>6839</v>
      </c>
      <c r="D13768" t="s">
        <v>3151</v>
      </c>
      <c r="E13768" t="s">
        <v>561</v>
      </c>
      <c r="F13768" t="s">
        <v>1068</v>
      </c>
      <c r="G13768" t="s">
        <v>1083</v>
      </c>
      <c r="H13768" s="171" t="s">
        <v>8289</v>
      </c>
      <c r="I13768" t="s">
        <v>1084</v>
      </c>
      <c r="J13768">
        <v>4.5199999999999996</v>
      </c>
    </row>
    <row r="13769" spans="1:10" hidden="1">
      <c r="A13769" t="s">
        <v>8282</v>
      </c>
      <c r="B13769" t="s">
        <v>8283</v>
      </c>
      <c r="C13769" t="s">
        <v>6839</v>
      </c>
      <c r="D13769" t="s">
        <v>3151</v>
      </c>
      <c r="E13769" t="s">
        <v>561</v>
      </c>
      <c r="F13769" t="s">
        <v>1068</v>
      </c>
      <c r="G13769" t="s">
        <v>1085</v>
      </c>
      <c r="H13769">
        <v>9.954006940782439E-4</v>
      </c>
      <c r="I13769" t="s">
        <v>1086</v>
      </c>
      <c r="J13769">
        <v>4.5199999999999996</v>
      </c>
    </row>
    <row r="13770" spans="1:10" hidden="1">
      <c r="A13770" t="s">
        <v>8282</v>
      </c>
      <c r="B13770" t="s">
        <v>8283</v>
      </c>
      <c r="C13770" t="s">
        <v>6839</v>
      </c>
      <c r="D13770" t="s">
        <v>3151</v>
      </c>
      <c r="E13770" t="s">
        <v>561</v>
      </c>
      <c r="F13770" t="s">
        <v>1068</v>
      </c>
      <c r="G13770" t="s">
        <v>1087</v>
      </c>
      <c r="H13770" s="171" t="s">
        <v>8290</v>
      </c>
      <c r="I13770" t="s">
        <v>1088</v>
      </c>
      <c r="J13770">
        <v>4.5199999999999996</v>
      </c>
    </row>
    <row r="13771" spans="1:10" hidden="1">
      <c r="A13771" t="s">
        <v>8282</v>
      </c>
      <c r="B13771" t="s">
        <v>8283</v>
      </c>
      <c r="C13771" t="s">
        <v>6839</v>
      </c>
      <c r="D13771" t="s">
        <v>3151</v>
      </c>
      <c r="E13771" t="s">
        <v>561</v>
      </c>
      <c r="F13771" t="s">
        <v>1068</v>
      </c>
      <c r="G13771" t="s">
        <v>1089</v>
      </c>
      <c r="H13771">
        <v>3.07893292058088E-4</v>
      </c>
      <c r="I13771" t="s">
        <v>1090</v>
      </c>
      <c r="J13771">
        <v>4.5199999999999996</v>
      </c>
    </row>
    <row r="13772" spans="1:10" hidden="1">
      <c r="A13772" t="s">
        <v>8291</v>
      </c>
      <c r="B13772" t="s">
        <v>8292</v>
      </c>
      <c r="C13772" t="s">
        <v>6839</v>
      </c>
      <c r="D13772" t="s">
        <v>3151</v>
      </c>
      <c r="E13772" t="s">
        <v>555</v>
      </c>
      <c r="F13772" t="s">
        <v>1068</v>
      </c>
      <c r="G13772" t="s">
        <v>1069</v>
      </c>
      <c r="H13772">
        <v>4.52446105233014E-2</v>
      </c>
      <c r="I13772" t="s">
        <v>1070</v>
      </c>
      <c r="J13772">
        <v>4.87</v>
      </c>
    </row>
    <row r="13773" spans="1:10" hidden="1">
      <c r="A13773" t="s">
        <v>8291</v>
      </c>
      <c r="B13773" t="s">
        <v>8292</v>
      </c>
      <c r="C13773" t="s">
        <v>6839</v>
      </c>
      <c r="D13773" t="s">
        <v>3151</v>
      </c>
      <c r="E13773" t="s">
        <v>555</v>
      </c>
      <c r="F13773" t="s">
        <v>1068</v>
      </c>
      <c r="G13773" t="s">
        <v>1071</v>
      </c>
      <c r="H13773" s="171" t="s">
        <v>8293</v>
      </c>
      <c r="I13773" t="s">
        <v>1072</v>
      </c>
      <c r="J13773">
        <v>4.87</v>
      </c>
    </row>
    <row r="13774" spans="1:10" hidden="1">
      <c r="A13774" t="s">
        <v>8291</v>
      </c>
      <c r="B13774" t="s">
        <v>8292</v>
      </c>
      <c r="C13774" t="s">
        <v>6839</v>
      </c>
      <c r="D13774" t="s">
        <v>3151</v>
      </c>
      <c r="E13774" t="s">
        <v>555</v>
      </c>
      <c r="F13774" t="s">
        <v>1068</v>
      </c>
      <c r="G13774" t="s">
        <v>1073</v>
      </c>
      <c r="H13774" s="171" t="s">
        <v>8294</v>
      </c>
      <c r="I13774" t="s">
        <v>1074</v>
      </c>
      <c r="J13774">
        <v>4.87</v>
      </c>
    </row>
    <row r="13775" spans="1:10" hidden="1">
      <c r="A13775" t="s">
        <v>8291</v>
      </c>
      <c r="B13775" t="s">
        <v>8292</v>
      </c>
      <c r="C13775" t="s">
        <v>6839</v>
      </c>
      <c r="D13775" t="s">
        <v>3151</v>
      </c>
      <c r="E13775" t="s">
        <v>555</v>
      </c>
      <c r="F13775" t="s">
        <v>1068</v>
      </c>
      <c r="G13775" t="s">
        <v>1075</v>
      </c>
      <c r="H13775" s="171" t="s">
        <v>8295</v>
      </c>
      <c r="I13775" t="s">
        <v>1077</v>
      </c>
      <c r="J13775">
        <v>4.87</v>
      </c>
    </row>
    <row r="13776" spans="1:10" hidden="1">
      <c r="A13776" t="s">
        <v>8291</v>
      </c>
      <c r="B13776" t="s">
        <v>8292</v>
      </c>
      <c r="C13776" t="s">
        <v>6839</v>
      </c>
      <c r="D13776" t="s">
        <v>3151</v>
      </c>
      <c r="E13776" t="s">
        <v>555</v>
      </c>
      <c r="F13776" t="s">
        <v>1068</v>
      </c>
      <c r="G13776" t="s">
        <v>1078</v>
      </c>
      <c r="H13776">
        <v>3.0189703541554</v>
      </c>
      <c r="I13776" t="s">
        <v>1079</v>
      </c>
      <c r="J13776">
        <v>4.87</v>
      </c>
    </row>
    <row r="13777" spans="1:10" hidden="1">
      <c r="A13777" t="s">
        <v>8291</v>
      </c>
      <c r="B13777" t="s">
        <v>8292</v>
      </c>
      <c r="C13777" t="s">
        <v>6839</v>
      </c>
      <c r="D13777" t="s">
        <v>3151</v>
      </c>
      <c r="E13777" t="s">
        <v>555</v>
      </c>
      <c r="F13777" t="s">
        <v>1068</v>
      </c>
      <c r="G13777" t="s">
        <v>1080</v>
      </c>
      <c r="H13777" s="171" t="s">
        <v>8296</v>
      </c>
      <c r="I13777" t="s">
        <v>1082</v>
      </c>
      <c r="J13777">
        <v>4.87</v>
      </c>
    </row>
    <row r="13778" spans="1:10" hidden="1">
      <c r="A13778" t="s">
        <v>8291</v>
      </c>
      <c r="B13778" t="s">
        <v>8292</v>
      </c>
      <c r="C13778" t="s">
        <v>6839</v>
      </c>
      <c r="D13778" t="s">
        <v>3151</v>
      </c>
      <c r="E13778" t="s">
        <v>555</v>
      </c>
      <c r="F13778" t="s">
        <v>1068</v>
      </c>
      <c r="G13778" t="s">
        <v>1083</v>
      </c>
      <c r="H13778" s="171" t="s">
        <v>8297</v>
      </c>
      <c r="I13778" t="s">
        <v>1084</v>
      </c>
      <c r="J13778">
        <v>4.87</v>
      </c>
    </row>
    <row r="13779" spans="1:10" hidden="1">
      <c r="A13779" t="s">
        <v>8291</v>
      </c>
      <c r="B13779" t="s">
        <v>8292</v>
      </c>
      <c r="C13779" t="s">
        <v>6839</v>
      </c>
      <c r="D13779" t="s">
        <v>3151</v>
      </c>
      <c r="E13779" t="s">
        <v>555</v>
      </c>
      <c r="F13779" t="s">
        <v>1068</v>
      </c>
      <c r="G13779" t="s">
        <v>1085</v>
      </c>
      <c r="H13779">
        <v>9.9540170320147094E-4</v>
      </c>
      <c r="I13779" t="s">
        <v>1086</v>
      </c>
      <c r="J13779">
        <v>4.87</v>
      </c>
    </row>
    <row r="13780" spans="1:10" hidden="1">
      <c r="A13780" t="s">
        <v>8291</v>
      </c>
      <c r="B13780" t="s">
        <v>8292</v>
      </c>
      <c r="C13780" t="s">
        <v>6839</v>
      </c>
      <c r="D13780" t="s">
        <v>3151</v>
      </c>
      <c r="E13780" t="s">
        <v>555</v>
      </c>
      <c r="F13780" t="s">
        <v>1068</v>
      </c>
      <c r="G13780" t="s">
        <v>1087</v>
      </c>
      <c r="H13780" s="171" t="s">
        <v>8298</v>
      </c>
      <c r="I13780" t="s">
        <v>1088</v>
      </c>
      <c r="J13780">
        <v>4.87</v>
      </c>
    </row>
    <row r="13781" spans="1:10" hidden="1">
      <c r="A13781" t="s">
        <v>8291</v>
      </c>
      <c r="B13781" t="s">
        <v>8292</v>
      </c>
      <c r="C13781" t="s">
        <v>6839</v>
      </c>
      <c r="D13781" t="s">
        <v>3151</v>
      </c>
      <c r="E13781" t="s">
        <v>555</v>
      </c>
      <c r="F13781" t="s">
        <v>1068</v>
      </c>
      <c r="G13781" t="s">
        <v>1089</v>
      </c>
      <c r="H13781">
        <v>3.0789350025338201E-4</v>
      </c>
      <c r="I13781" t="s">
        <v>1090</v>
      </c>
      <c r="J13781">
        <v>4.87</v>
      </c>
    </row>
    <row r="13782" spans="1:10" hidden="1">
      <c r="A13782" t="s">
        <v>8299</v>
      </c>
      <c r="B13782" t="s">
        <v>8300</v>
      </c>
      <c r="C13782" t="s">
        <v>6839</v>
      </c>
      <c r="D13782" t="s">
        <v>3151</v>
      </c>
      <c r="E13782" t="s">
        <v>558</v>
      </c>
      <c r="F13782" t="s">
        <v>1068</v>
      </c>
      <c r="G13782" t="s">
        <v>1069</v>
      </c>
      <c r="H13782" s="171" t="s">
        <v>8301</v>
      </c>
      <c r="I13782" t="s">
        <v>1070</v>
      </c>
      <c r="J13782">
        <v>4.4400000000000004</v>
      </c>
    </row>
    <row r="13783" spans="1:10" hidden="1">
      <c r="A13783" t="s">
        <v>8299</v>
      </c>
      <c r="B13783" t="s">
        <v>8300</v>
      </c>
      <c r="C13783" t="s">
        <v>6839</v>
      </c>
      <c r="D13783" t="s">
        <v>3151</v>
      </c>
      <c r="E13783" t="s">
        <v>558</v>
      </c>
      <c r="F13783" t="s">
        <v>1068</v>
      </c>
      <c r="G13783" t="s">
        <v>1071</v>
      </c>
      <c r="H13783" s="171" t="s">
        <v>8302</v>
      </c>
      <c r="I13783" t="s">
        <v>1072</v>
      </c>
      <c r="J13783">
        <v>4.4400000000000004</v>
      </c>
    </row>
    <row r="13784" spans="1:10" hidden="1">
      <c r="A13784" t="s">
        <v>8299</v>
      </c>
      <c r="B13784" t="s">
        <v>8300</v>
      </c>
      <c r="C13784" t="s">
        <v>6839</v>
      </c>
      <c r="D13784" t="s">
        <v>3151</v>
      </c>
      <c r="E13784" t="s">
        <v>558</v>
      </c>
      <c r="F13784" t="s">
        <v>1068</v>
      </c>
      <c r="G13784" t="s">
        <v>1073</v>
      </c>
      <c r="H13784" s="171" t="s">
        <v>8303</v>
      </c>
      <c r="I13784" t="s">
        <v>1074</v>
      </c>
      <c r="J13784">
        <v>4.4400000000000004</v>
      </c>
    </row>
    <row r="13785" spans="1:10" hidden="1">
      <c r="A13785" t="s">
        <v>8299</v>
      </c>
      <c r="B13785" t="s">
        <v>8300</v>
      </c>
      <c r="C13785" t="s">
        <v>6839</v>
      </c>
      <c r="D13785" t="s">
        <v>3151</v>
      </c>
      <c r="E13785" t="s">
        <v>558</v>
      </c>
      <c r="F13785" t="s">
        <v>1068</v>
      </c>
      <c r="G13785" t="s">
        <v>1075</v>
      </c>
      <c r="H13785" s="171" t="s">
        <v>8304</v>
      </c>
      <c r="I13785" t="s">
        <v>1077</v>
      </c>
      <c r="J13785">
        <v>4.4400000000000004</v>
      </c>
    </row>
    <row r="13786" spans="1:10" hidden="1">
      <c r="A13786" t="s">
        <v>8299</v>
      </c>
      <c r="B13786" t="s">
        <v>8300</v>
      </c>
      <c r="C13786" t="s">
        <v>6839</v>
      </c>
      <c r="D13786" t="s">
        <v>3151</v>
      </c>
      <c r="E13786" t="s">
        <v>558</v>
      </c>
      <c r="F13786" t="s">
        <v>1068</v>
      </c>
      <c r="G13786" t="s">
        <v>1078</v>
      </c>
      <c r="H13786" s="171" t="s">
        <v>8305</v>
      </c>
      <c r="I13786" t="s">
        <v>1079</v>
      </c>
      <c r="J13786">
        <v>4.4400000000000004</v>
      </c>
    </row>
    <row r="13787" spans="1:10" hidden="1">
      <c r="A13787" t="s">
        <v>8299</v>
      </c>
      <c r="B13787" t="s">
        <v>8300</v>
      </c>
      <c r="C13787" t="s">
        <v>6839</v>
      </c>
      <c r="D13787" t="s">
        <v>3151</v>
      </c>
      <c r="E13787" t="s">
        <v>558</v>
      </c>
      <c r="F13787" t="s">
        <v>1068</v>
      </c>
      <c r="G13787" t="s">
        <v>1080</v>
      </c>
      <c r="H13787" s="171" t="s">
        <v>8306</v>
      </c>
      <c r="I13787" t="s">
        <v>1082</v>
      </c>
      <c r="J13787">
        <v>4.4400000000000004</v>
      </c>
    </row>
    <row r="13788" spans="1:10" hidden="1">
      <c r="A13788" t="s">
        <v>8299</v>
      </c>
      <c r="B13788" t="s">
        <v>8300</v>
      </c>
      <c r="C13788" t="s">
        <v>6839</v>
      </c>
      <c r="D13788" t="s">
        <v>3151</v>
      </c>
      <c r="E13788" t="s">
        <v>558</v>
      </c>
      <c r="F13788" t="s">
        <v>1068</v>
      </c>
      <c r="G13788" t="s">
        <v>1083</v>
      </c>
      <c r="H13788" s="171" t="s">
        <v>8307</v>
      </c>
      <c r="I13788" t="s">
        <v>1084</v>
      </c>
      <c r="J13788">
        <v>4.4400000000000004</v>
      </c>
    </row>
    <row r="13789" spans="1:10" hidden="1">
      <c r="A13789" t="s">
        <v>8299</v>
      </c>
      <c r="B13789" t="s">
        <v>8300</v>
      </c>
      <c r="C13789" t="s">
        <v>6839</v>
      </c>
      <c r="D13789" t="s">
        <v>3151</v>
      </c>
      <c r="E13789" t="s">
        <v>558</v>
      </c>
      <c r="F13789" t="s">
        <v>1068</v>
      </c>
      <c r="G13789" t="s">
        <v>1085</v>
      </c>
      <c r="H13789">
        <v>9.9540060960800797E-4</v>
      </c>
      <c r="I13789" t="s">
        <v>1086</v>
      </c>
      <c r="J13789">
        <v>4.4400000000000004</v>
      </c>
    </row>
    <row r="13790" spans="1:10" hidden="1">
      <c r="A13790" t="s">
        <v>8299</v>
      </c>
      <c r="B13790" t="s">
        <v>8300</v>
      </c>
      <c r="C13790" t="s">
        <v>6839</v>
      </c>
      <c r="D13790" t="s">
        <v>3151</v>
      </c>
      <c r="E13790" t="s">
        <v>558</v>
      </c>
      <c r="F13790" t="s">
        <v>1068</v>
      </c>
      <c r="G13790" t="s">
        <v>1087</v>
      </c>
      <c r="H13790" s="171" t="s">
        <v>8308</v>
      </c>
      <c r="I13790" t="s">
        <v>1088</v>
      </c>
      <c r="J13790">
        <v>4.4400000000000004</v>
      </c>
    </row>
    <row r="13791" spans="1:10" hidden="1">
      <c r="A13791" t="s">
        <v>8299</v>
      </c>
      <c r="B13791" t="s">
        <v>8300</v>
      </c>
      <c r="C13791" t="s">
        <v>6839</v>
      </c>
      <c r="D13791" t="s">
        <v>3151</v>
      </c>
      <c r="E13791" t="s">
        <v>558</v>
      </c>
      <c r="F13791" t="s">
        <v>1068</v>
      </c>
      <c r="G13791" t="s">
        <v>1089</v>
      </c>
      <c r="H13791">
        <v>3.0789327463204503E-4</v>
      </c>
      <c r="I13791" t="s">
        <v>1090</v>
      </c>
      <c r="J13791">
        <v>4.4400000000000004</v>
      </c>
    </row>
    <row r="13792" spans="1:10" hidden="1">
      <c r="A13792" t="s">
        <v>8309</v>
      </c>
      <c r="B13792" t="s">
        <v>8310</v>
      </c>
      <c r="C13792" t="s">
        <v>6839</v>
      </c>
      <c r="D13792" t="s">
        <v>3151</v>
      </c>
      <c r="E13792" t="s">
        <v>553</v>
      </c>
      <c r="F13792" t="s">
        <v>1068</v>
      </c>
      <c r="G13792" t="s">
        <v>1069</v>
      </c>
      <c r="H13792" s="171" t="s">
        <v>8311</v>
      </c>
      <c r="I13792" t="s">
        <v>1070</v>
      </c>
      <c r="J13792">
        <v>4.38</v>
      </c>
    </row>
    <row r="13793" spans="1:10" hidden="1">
      <c r="A13793" t="s">
        <v>8309</v>
      </c>
      <c r="B13793" t="s">
        <v>8310</v>
      </c>
      <c r="C13793" t="s">
        <v>6839</v>
      </c>
      <c r="D13793" t="s">
        <v>3151</v>
      </c>
      <c r="E13793" t="s">
        <v>553</v>
      </c>
      <c r="F13793" t="s">
        <v>1068</v>
      </c>
      <c r="G13793" t="s">
        <v>1071</v>
      </c>
      <c r="H13793" s="171" t="s">
        <v>8312</v>
      </c>
      <c r="I13793" t="s">
        <v>1072</v>
      </c>
      <c r="J13793">
        <v>4.38</v>
      </c>
    </row>
    <row r="13794" spans="1:10" hidden="1">
      <c r="A13794" t="s">
        <v>8309</v>
      </c>
      <c r="B13794" t="s">
        <v>8310</v>
      </c>
      <c r="C13794" t="s">
        <v>6839</v>
      </c>
      <c r="D13794" t="s">
        <v>3151</v>
      </c>
      <c r="E13794" t="s">
        <v>553</v>
      </c>
      <c r="F13794" t="s">
        <v>1068</v>
      </c>
      <c r="G13794" t="s">
        <v>1073</v>
      </c>
      <c r="H13794" s="171" t="s">
        <v>8313</v>
      </c>
      <c r="I13794" t="s">
        <v>1074</v>
      </c>
      <c r="J13794">
        <v>4.38</v>
      </c>
    </row>
    <row r="13795" spans="1:10" hidden="1">
      <c r="A13795" t="s">
        <v>8309</v>
      </c>
      <c r="B13795" t="s">
        <v>8310</v>
      </c>
      <c r="C13795" t="s">
        <v>6839</v>
      </c>
      <c r="D13795" t="s">
        <v>3151</v>
      </c>
      <c r="E13795" t="s">
        <v>553</v>
      </c>
      <c r="F13795" t="s">
        <v>1068</v>
      </c>
      <c r="G13795" t="s">
        <v>1075</v>
      </c>
      <c r="H13795" s="171" t="s">
        <v>8314</v>
      </c>
      <c r="I13795" t="s">
        <v>1077</v>
      </c>
      <c r="J13795">
        <v>4.38</v>
      </c>
    </row>
    <row r="13796" spans="1:10" hidden="1">
      <c r="A13796" t="s">
        <v>8309</v>
      </c>
      <c r="B13796" t="s">
        <v>8310</v>
      </c>
      <c r="C13796" t="s">
        <v>6839</v>
      </c>
      <c r="D13796" t="s">
        <v>3151</v>
      </c>
      <c r="E13796" t="s">
        <v>553</v>
      </c>
      <c r="F13796" t="s">
        <v>1068</v>
      </c>
      <c r="G13796" t="s">
        <v>1078</v>
      </c>
      <c r="H13796" s="171" t="s">
        <v>8315</v>
      </c>
      <c r="I13796" t="s">
        <v>1079</v>
      </c>
      <c r="J13796">
        <v>4.38</v>
      </c>
    </row>
    <row r="13797" spans="1:10" hidden="1">
      <c r="A13797" t="s">
        <v>8309</v>
      </c>
      <c r="B13797" t="s">
        <v>8310</v>
      </c>
      <c r="C13797" t="s">
        <v>6839</v>
      </c>
      <c r="D13797" t="s">
        <v>3151</v>
      </c>
      <c r="E13797" t="s">
        <v>553</v>
      </c>
      <c r="F13797" t="s">
        <v>1068</v>
      </c>
      <c r="G13797" t="s">
        <v>1080</v>
      </c>
      <c r="H13797" s="171" t="s">
        <v>8316</v>
      </c>
      <c r="I13797" t="s">
        <v>1082</v>
      </c>
      <c r="J13797">
        <v>4.38</v>
      </c>
    </row>
    <row r="13798" spans="1:10" hidden="1">
      <c r="A13798" t="s">
        <v>8309</v>
      </c>
      <c r="B13798" t="s">
        <v>8310</v>
      </c>
      <c r="C13798" t="s">
        <v>6839</v>
      </c>
      <c r="D13798" t="s">
        <v>3151</v>
      </c>
      <c r="E13798" t="s">
        <v>553</v>
      </c>
      <c r="F13798" t="s">
        <v>1068</v>
      </c>
      <c r="G13798" t="s">
        <v>1083</v>
      </c>
      <c r="H13798" s="171" t="s">
        <v>8317</v>
      </c>
      <c r="I13798" t="s">
        <v>1084</v>
      </c>
      <c r="J13798">
        <v>4.38</v>
      </c>
    </row>
    <row r="13799" spans="1:10" hidden="1">
      <c r="A13799" t="s">
        <v>8309</v>
      </c>
      <c r="B13799" t="s">
        <v>8310</v>
      </c>
      <c r="C13799" t="s">
        <v>6839</v>
      </c>
      <c r="D13799" t="s">
        <v>3151</v>
      </c>
      <c r="E13799" t="s">
        <v>553</v>
      </c>
      <c r="F13799" t="s">
        <v>1068</v>
      </c>
      <c r="G13799" t="s">
        <v>1085</v>
      </c>
      <c r="H13799">
        <v>9.9540057518657308E-4</v>
      </c>
      <c r="I13799" t="s">
        <v>1086</v>
      </c>
      <c r="J13799">
        <v>4.38</v>
      </c>
    </row>
    <row r="13800" spans="1:10" hidden="1">
      <c r="A13800" t="s">
        <v>8309</v>
      </c>
      <c r="B13800" t="s">
        <v>8310</v>
      </c>
      <c r="C13800" t="s">
        <v>6839</v>
      </c>
      <c r="D13800" t="s">
        <v>3151</v>
      </c>
      <c r="E13800" t="s">
        <v>553</v>
      </c>
      <c r="F13800" t="s">
        <v>1068</v>
      </c>
      <c r="G13800" t="s">
        <v>1087</v>
      </c>
      <c r="H13800" s="171" t="s">
        <v>8318</v>
      </c>
      <c r="I13800" t="s">
        <v>1088</v>
      </c>
      <c r="J13800">
        <v>4.38</v>
      </c>
    </row>
    <row r="13801" spans="1:10" hidden="1">
      <c r="A13801" t="s">
        <v>8309</v>
      </c>
      <c r="B13801" t="s">
        <v>8310</v>
      </c>
      <c r="C13801" t="s">
        <v>6839</v>
      </c>
      <c r="D13801" t="s">
        <v>3151</v>
      </c>
      <c r="E13801" t="s">
        <v>553</v>
      </c>
      <c r="F13801" t="s">
        <v>1068</v>
      </c>
      <c r="G13801" t="s">
        <v>1089</v>
      </c>
      <c r="H13801">
        <v>3.0789326754613602E-4</v>
      </c>
      <c r="I13801" t="s">
        <v>1090</v>
      </c>
      <c r="J13801">
        <v>4.38</v>
      </c>
    </row>
    <row r="13802" spans="1:10" hidden="1">
      <c r="A13802" t="s">
        <v>8319</v>
      </c>
      <c r="B13802" t="s">
        <v>8320</v>
      </c>
      <c r="C13802" t="s">
        <v>6839</v>
      </c>
      <c r="D13802" t="s">
        <v>3151</v>
      </c>
      <c r="E13802" t="s">
        <v>556</v>
      </c>
      <c r="F13802" t="s">
        <v>1068</v>
      </c>
      <c r="G13802" t="s">
        <v>1069</v>
      </c>
      <c r="H13802">
        <v>4.5244548806288802E-2</v>
      </c>
      <c r="I13802" t="s">
        <v>1070</v>
      </c>
      <c r="J13802">
        <v>4.3600000000000003</v>
      </c>
    </row>
    <row r="13803" spans="1:10" hidden="1">
      <c r="A13803" t="s">
        <v>8319</v>
      </c>
      <c r="B13803" t="s">
        <v>8320</v>
      </c>
      <c r="C13803" t="s">
        <v>6839</v>
      </c>
      <c r="D13803" t="s">
        <v>3151</v>
      </c>
      <c r="E13803" t="s">
        <v>556</v>
      </c>
      <c r="F13803" t="s">
        <v>1068</v>
      </c>
      <c r="G13803" t="s">
        <v>1071</v>
      </c>
      <c r="H13803" s="171" t="s">
        <v>8321</v>
      </c>
      <c r="I13803" t="s">
        <v>1072</v>
      </c>
      <c r="J13803">
        <v>4.3600000000000003</v>
      </c>
    </row>
    <row r="13804" spans="1:10" hidden="1">
      <c r="A13804" t="s">
        <v>8319</v>
      </c>
      <c r="B13804" t="s">
        <v>8320</v>
      </c>
      <c r="C13804" t="s">
        <v>6839</v>
      </c>
      <c r="D13804" t="s">
        <v>3151</v>
      </c>
      <c r="E13804" t="s">
        <v>556</v>
      </c>
      <c r="F13804" t="s">
        <v>1068</v>
      </c>
      <c r="G13804" t="s">
        <v>1073</v>
      </c>
      <c r="H13804" s="171" t="s">
        <v>8322</v>
      </c>
      <c r="I13804" t="s">
        <v>1074</v>
      </c>
      <c r="J13804">
        <v>4.3600000000000003</v>
      </c>
    </row>
    <row r="13805" spans="1:10" hidden="1">
      <c r="A13805" t="s">
        <v>8319</v>
      </c>
      <c r="B13805" t="s">
        <v>8320</v>
      </c>
      <c r="C13805" t="s">
        <v>6839</v>
      </c>
      <c r="D13805" t="s">
        <v>3151</v>
      </c>
      <c r="E13805" t="s">
        <v>556</v>
      </c>
      <c r="F13805" t="s">
        <v>1068</v>
      </c>
      <c r="G13805" t="s">
        <v>1075</v>
      </c>
      <c r="H13805">
        <v>2.78389742048968E-2</v>
      </c>
      <c r="I13805" t="s">
        <v>1077</v>
      </c>
      <c r="J13805">
        <v>4.3600000000000003</v>
      </c>
    </row>
    <row r="13806" spans="1:10" hidden="1">
      <c r="A13806" t="s">
        <v>8319</v>
      </c>
      <c r="B13806" t="s">
        <v>8320</v>
      </c>
      <c r="C13806" t="s">
        <v>6839</v>
      </c>
      <c r="D13806" t="s">
        <v>3151</v>
      </c>
      <c r="E13806" t="s">
        <v>556</v>
      </c>
      <c r="F13806" t="s">
        <v>1068</v>
      </c>
      <c r="G13806" t="s">
        <v>1078</v>
      </c>
      <c r="H13806" s="171" t="s">
        <v>8323</v>
      </c>
      <c r="I13806" t="s">
        <v>1079</v>
      </c>
      <c r="J13806">
        <v>4.3600000000000003</v>
      </c>
    </row>
    <row r="13807" spans="1:10" hidden="1">
      <c r="A13807" t="s">
        <v>8319</v>
      </c>
      <c r="B13807" t="s">
        <v>8320</v>
      </c>
      <c r="C13807" t="s">
        <v>6839</v>
      </c>
      <c r="D13807" t="s">
        <v>3151</v>
      </c>
      <c r="E13807" t="s">
        <v>556</v>
      </c>
      <c r="F13807" t="s">
        <v>1068</v>
      </c>
      <c r="G13807" t="s">
        <v>1080</v>
      </c>
      <c r="H13807" s="171" t="s">
        <v>8324</v>
      </c>
      <c r="I13807" t="s">
        <v>1082</v>
      </c>
      <c r="J13807">
        <v>4.3600000000000003</v>
      </c>
    </row>
    <row r="13808" spans="1:10" hidden="1">
      <c r="A13808" t="s">
        <v>8319</v>
      </c>
      <c r="B13808" t="s">
        <v>8320</v>
      </c>
      <c r="C13808" t="s">
        <v>6839</v>
      </c>
      <c r="D13808" t="s">
        <v>3151</v>
      </c>
      <c r="E13808" t="s">
        <v>556</v>
      </c>
      <c r="F13808" t="s">
        <v>1068</v>
      </c>
      <c r="G13808" t="s">
        <v>1083</v>
      </c>
      <c r="H13808" s="171" t="s">
        <v>8325</v>
      </c>
      <c r="I13808" t="s">
        <v>1084</v>
      </c>
      <c r="J13808">
        <v>4.3600000000000003</v>
      </c>
    </row>
    <row r="13809" spans="1:10" hidden="1">
      <c r="A13809" t="s">
        <v>8319</v>
      </c>
      <c r="B13809" t="s">
        <v>8320</v>
      </c>
      <c r="C13809" t="s">
        <v>6839</v>
      </c>
      <c r="D13809" t="s">
        <v>3151</v>
      </c>
      <c r="E13809" t="s">
        <v>556</v>
      </c>
      <c r="F13809" t="s">
        <v>1068</v>
      </c>
      <c r="G13809" t="s">
        <v>1085</v>
      </c>
      <c r="H13809">
        <v>9.9540159717682094E-4</v>
      </c>
      <c r="I13809" t="s">
        <v>1086</v>
      </c>
      <c r="J13809">
        <v>4.3600000000000003</v>
      </c>
    </row>
    <row r="13810" spans="1:10" hidden="1">
      <c r="A13810" t="s">
        <v>8319</v>
      </c>
      <c r="B13810" t="s">
        <v>8320</v>
      </c>
      <c r="C13810" t="s">
        <v>6839</v>
      </c>
      <c r="D13810" t="s">
        <v>3151</v>
      </c>
      <c r="E13810" t="s">
        <v>556</v>
      </c>
      <c r="F13810" t="s">
        <v>1068</v>
      </c>
      <c r="G13810" t="s">
        <v>1087</v>
      </c>
      <c r="H13810" s="171" t="s">
        <v>8326</v>
      </c>
      <c r="I13810" t="s">
        <v>1088</v>
      </c>
      <c r="J13810">
        <v>4.3600000000000003</v>
      </c>
    </row>
    <row r="13811" spans="1:10" hidden="1">
      <c r="A13811" t="s">
        <v>8319</v>
      </c>
      <c r="B13811" t="s">
        <v>8320</v>
      </c>
      <c r="C13811" t="s">
        <v>6839</v>
      </c>
      <c r="D13811" t="s">
        <v>3151</v>
      </c>
      <c r="E13811" t="s">
        <v>556</v>
      </c>
      <c r="F13811" t="s">
        <v>1068</v>
      </c>
      <c r="G13811" t="s">
        <v>1089</v>
      </c>
      <c r="H13811">
        <v>3.0789347838070701E-4</v>
      </c>
      <c r="I13811" t="s">
        <v>1090</v>
      </c>
      <c r="J13811">
        <v>4.3600000000000003</v>
      </c>
    </row>
    <row r="13812" spans="1:10" hidden="1">
      <c r="A13812" t="s">
        <v>8327</v>
      </c>
      <c r="B13812" t="s">
        <v>8328</v>
      </c>
      <c r="C13812" t="s">
        <v>6839</v>
      </c>
      <c r="D13812" t="s">
        <v>3151</v>
      </c>
      <c r="E13812" t="s">
        <v>557</v>
      </c>
      <c r="F13812" t="s">
        <v>1068</v>
      </c>
      <c r="G13812" t="s">
        <v>1069</v>
      </c>
      <c r="H13812" s="171" t="s">
        <v>8329</v>
      </c>
      <c r="I13812" t="s">
        <v>1070</v>
      </c>
      <c r="J13812">
        <v>4.37</v>
      </c>
    </row>
    <row r="13813" spans="1:10" hidden="1">
      <c r="A13813" t="s">
        <v>8327</v>
      </c>
      <c r="B13813" t="s">
        <v>8328</v>
      </c>
      <c r="C13813" t="s">
        <v>6839</v>
      </c>
      <c r="D13813" t="s">
        <v>3151</v>
      </c>
      <c r="E13813" t="s">
        <v>557</v>
      </c>
      <c r="F13813" t="s">
        <v>1068</v>
      </c>
      <c r="G13813" t="s">
        <v>1071</v>
      </c>
      <c r="H13813" s="171" t="s">
        <v>8330</v>
      </c>
      <c r="I13813" t="s">
        <v>1072</v>
      </c>
      <c r="J13813">
        <v>4.37</v>
      </c>
    </row>
    <row r="13814" spans="1:10" hidden="1">
      <c r="A13814" t="s">
        <v>8327</v>
      </c>
      <c r="B13814" t="s">
        <v>8328</v>
      </c>
      <c r="C13814" t="s">
        <v>6839</v>
      </c>
      <c r="D13814" t="s">
        <v>3151</v>
      </c>
      <c r="E13814" t="s">
        <v>557</v>
      </c>
      <c r="F13814" t="s">
        <v>1068</v>
      </c>
      <c r="G13814" t="s">
        <v>1073</v>
      </c>
      <c r="H13814" s="171" t="s">
        <v>8331</v>
      </c>
      <c r="I13814" t="s">
        <v>1074</v>
      </c>
      <c r="J13814">
        <v>4.37</v>
      </c>
    </row>
    <row r="13815" spans="1:10" hidden="1">
      <c r="A13815" t="s">
        <v>8327</v>
      </c>
      <c r="B13815" t="s">
        <v>8328</v>
      </c>
      <c r="C13815" t="s">
        <v>6839</v>
      </c>
      <c r="D13815" t="s">
        <v>3151</v>
      </c>
      <c r="E13815" t="s">
        <v>557</v>
      </c>
      <c r="F13815" t="s">
        <v>1068</v>
      </c>
      <c r="G13815" t="s">
        <v>1075</v>
      </c>
      <c r="H13815" s="171" t="s">
        <v>8332</v>
      </c>
      <c r="I13815" t="s">
        <v>1077</v>
      </c>
      <c r="J13815">
        <v>4.37</v>
      </c>
    </row>
    <row r="13816" spans="1:10" hidden="1">
      <c r="A13816" t="s">
        <v>8327</v>
      </c>
      <c r="B13816" t="s">
        <v>8328</v>
      </c>
      <c r="C13816" t="s">
        <v>6839</v>
      </c>
      <c r="D13816" t="s">
        <v>3151</v>
      </c>
      <c r="E13816" t="s">
        <v>557</v>
      </c>
      <c r="F13816" t="s">
        <v>1068</v>
      </c>
      <c r="G13816" t="s">
        <v>1078</v>
      </c>
      <c r="H13816" s="171" t="s">
        <v>8333</v>
      </c>
      <c r="I13816" t="s">
        <v>1079</v>
      </c>
      <c r="J13816">
        <v>4.37</v>
      </c>
    </row>
    <row r="13817" spans="1:10" hidden="1">
      <c r="A13817" t="s">
        <v>8327</v>
      </c>
      <c r="B13817" t="s">
        <v>8328</v>
      </c>
      <c r="C13817" t="s">
        <v>6839</v>
      </c>
      <c r="D13817" t="s">
        <v>3151</v>
      </c>
      <c r="E13817" t="s">
        <v>557</v>
      </c>
      <c r="F13817" t="s">
        <v>1068</v>
      </c>
      <c r="G13817" t="s">
        <v>1080</v>
      </c>
      <c r="H13817" s="171" t="s">
        <v>8334</v>
      </c>
      <c r="I13817" t="s">
        <v>1082</v>
      </c>
      <c r="J13817">
        <v>4.37</v>
      </c>
    </row>
    <row r="13818" spans="1:10" hidden="1">
      <c r="A13818" t="s">
        <v>8327</v>
      </c>
      <c r="B13818" t="s">
        <v>8328</v>
      </c>
      <c r="C13818" t="s">
        <v>6839</v>
      </c>
      <c r="D13818" t="s">
        <v>3151</v>
      </c>
      <c r="E13818" t="s">
        <v>557</v>
      </c>
      <c r="F13818" t="s">
        <v>1068</v>
      </c>
      <c r="G13818" t="s">
        <v>1083</v>
      </c>
      <c r="H13818" s="171" t="s">
        <v>8335</v>
      </c>
      <c r="I13818" t="s">
        <v>1084</v>
      </c>
      <c r="J13818">
        <v>4.37</v>
      </c>
    </row>
    <row r="13819" spans="1:10" hidden="1">
      <c r="A13819" t="s">
        <v>8327</v>
      </c>
      <c r="B13819" t="s">
        <v>8328</v>
      </c>
      <c r="C13819" t="s">
        <v>6839</v>
      </c>
      <c r="D13819" t="s">
        <v>3151</v>
      </c>
      <c r="E13819" t="s">
        <v>557</v>
      </c>
      <c r="F13819" t="s">
        <v>1068</v>
      </c>
      <c r="G13819" t="s">
        <v>1085</v>
      </c>
      <c r="H13819">
        <v>9.9540095850680996E-4</v>
      </c>
      <c r="I13819" t="s">
        <v>1086</v>
      </c>
      <c r="J13819">
        <v>4.37</v>
      </c>
    </row>
    <row r="13820" spans="1:10" hidden="1">
      <c r="A13820" t="s">
        <v>8327</v>
      </c>
      <c r="B13820" t="s">
        <v>8328</v>
      </c>
      <c r="C13820" t="s">
        <v>6839</v>
      </c>
      <c r="D13820" t="s">
        <v>3151</v>
      </c>
      <c r="E13820" t="s">
        <v>557</v>
      </c>
      <c r="F13820" t="s">
        <v>1068</v>
      </c>
      <c r="G13820" t="s">
        <v>1087</v>
      </c>
      <c r="H13820" s="171" t="s">
        <v>8336</v>
      </c>
      <c r="I13820" t="s">
        <v>1088</v>
      </c>
      <c r="J13820">
        <v>4.37</v>
      </c>
    </row>
    <row r="13821" spans="1:10" hidden="1">
      <c r="A13821" t="s">
        <v>8327</v>
      </c>
      <c r="B13821" t="s">
        <v>8328</v>
      </c>
      <c r="C13821" t="s">
        <v>6839</v>
      </c>
      <c r="D13821" t="s">
        <v>3151</v>
      </c>
      <c r="E13821" t="s">
        <v>557</v>
      </c>
      <c r="F13821" t="s">
        <v>1068</v>
      </c>
      <c r="G13821" t="s">
        <v>1089</v>
      </c>
      <c r="H13821">
        <v>3.0789334660917902E-4</v>
      </c>
      <c r="I13821" t="s">
        <v>1090</v>
      </c>
      <c r="J13821">
        <v>4.37</v>
      </c>
    </row>
    <row r="13822" spans="1:10" hidden="1">
      <c r="A13822" t="s">
        <v>8337</v>
      </c>
      <c r="B13822" t="s">
        <v>8338</v>
      </c>
      <c r="C13822" t="s">
        <v>6839</v>
      </c>
      <c r="D13822" t="s">
        <v>3151</v>
      </c>
      <c r="E13822" t="s">
        <v>559</v>
      </c>
      <c r="F13822" t="s">
        <v>1068</v>
      </c>
      <c r="G13822" t="s">
        <v>1069</v>
      </c>
      <c r="H13822">
        <v>4.5244371976591903E-2</v>
      </c>
      <c r="I13822" t="s">
        <v>1070</v>
      </c>
      <c r="J13822">
        <v>4.4400000000000004</v>
      </c>
    </row>
    <row r="13823" spans="1:10" hidden="1">
      <c r="A13823" t="s">
        <v>8337</v>
      </c>
      <c r="B13823" t="s">
        <v>8338</v>
      </c>
      <c r="C13823" t="s">
        <v>6839</v>
      </c>
      <c r="D13823" t="s">
        <v>3151</v>
      </c>
      <c r="E13823" t="s">
        <v>559</v>
      </c>
      <c r="F13823" t="s">
        <v>1068</v>
      </c>
      <c r="G13823" t="s">
        <v>1071</v>
      </c>
      <c r="H13823" s="171" t="s">
        <v>8339</v>
      </c>
      <c r="I13823" t="s">
        <v>1072</v>
      </c>
      <c r="J13823">
        <v>4.4400000000000004</v>
      </c>
    </row>
    <row r="13824" spans="1:10" hidden="1">
      <c r="A13824" t="s">
        <v>8337</v>
      </c>
      <c r="B13824" t="s">
        <v>8338</v>
      </c>
      <c r="C13824" t="s">
        <v>6839</v>
      </c>
      <c r="D13824" t="s">
        <v>3151</v>
      </c>
      <c r="E13824" t="s">
        <v>559</v>
      </c>
      <c r="F13824" t="s">
        <v>1068</v>
      </c>
      <c r="G13824" t="s">
        <v>1073</v>
      </c>
      <c r="H13824" s="171" t="s">
        <v>8340</v>
      </c>
      <c r="I13824" t="s">
        <v>1074</v>
      </c>
      <c r="J13824">
        <v>4.4400000000000004</v>
      </c>
    </row>
    <row r="13825" spans="1:10" hidden="1">
      <c r="A13825" t="s">
        <v>8337</v>
      </c>
      <c r="B13825" t="s">
        <v>8338</v>
      </c>
      <c r="C13825" t="s">
        <v>6839</v>
      </c>
      <c r="D13825" t="s">
        <v>3151</v>
      </c>
      <c r="E13825" t="s">
        <v>559</v>
      </c>
      <c r="F13825" t="s">
        <v>1068</v>
      </c>
      <c r="G13825" t="s">
        <v>1075</v>
      </c>
      <c r="H13825" s="171" t="s">
        <v>8341</v>
      </c>
      <c r="I13825" t="s">
        <v>1077</v>
      </c>
      <c r="J13825">
        <v>4.4400000000000004</v>
      </c>
    </row>
    <row r="13826" spans="1:10" hidden="1">
      <c r="A13826" t="s">
        <v>8337</v>
      </c>
      <c r="B13826" t="s">
        <v>8338</v>
      </c>
      <c r="C13826" t="s">
        <v>6839</v>
      </c>
      <c r="D13826" t="s">
        <v>3151</v>
      </c>
      <c r="E13826" t="s">
        <v>559</v>
      </c>
      <c r="F13826" t="s">
        <v>1068</v>
      </c>
      <c r="G13826" t="s">
        <v>1078</v>
      </c>
      <c r="H13826" s="171" t="s">
        <v>8342</v>
      </c>
      <c r="I13826" t="s">
        <v>1079</v>
      </c>
      <c r="J13826">
        <v>4.4400000000000004</v>
      </c>
    </row>
    <row r="13827" spans="1:10" hidden="1">
      <c r="A13827" t="s">
        <v>8337</v>
      </c>
      <c r="B13827" t="s">
        <v>8338</v>
      </c>
      <c r="C13827" t="s">
        <v>6839</v>
      </c>
      <c r="D13827" t="s">
        <v>3151</v>
      </c>
      <c r="E13827" t="s">
        <v>559</v>
      </c>
      <c r="F13827" t="s">
        <v>1068</v>
      </c>
      <c r="G13827" t="s">
        <v>1080</v>
      </c>
      <c r="H13827" s="171" t="s">
        <v>8343</v>
      </c>
      <c r="I13827" t="s">
        <v>1082</v>
      </c>
      <c r="J13827">
        <v>4.4400000000000004</v>
      </c>
    </row>
    <row r="13828" spans="1:10" hidden="1">
      <c r="A13828" t="s">
        <v>8337</v>
      </c>
      <c r="B13828" t="s">
        <v>8338</v>
      </c>
      <c r="C13828" t="s">
        <v>6839</v>
      </c>
      <c r="D13828" t="s">
        <v>3151</v>
      </c>
      <c r="E13828" t="s">
        <v>559</v>
      </c>
      <c r="F13828" t="s">
        <v>1068</v>
      </c>
      <c r="G13828" t="s">
        <v>1083</v>
      </c>
      <c r="H13828" s="171" t="s">
        <v>8344</v>
      </c>
      <c r="I13828" t="s">
        <v>1084</v>
      </c>
      <c r="J13828">
        <v>4.4400000000000004</v>
      </c>
    </row>
    <row r="13829" spans="1:10" hidden="1">
      <c r="A13829" t="s">
        <v>8337</v>
      </c>
      <c r="B13829" t="s">
        <v>8338</v>
      </c>
      <c r="C13829" t="s">
        <v>6839</v>
      </c>
      <c r="D13829" t="s">
        <v>3151</v>
      </c>
      <c r="E13829" t="s">
        <v>559</v>
      </c>
      <c r="F13829" t="s">
        <v>1068</v>
      </c>
      <c r="G13829" t="s">
        <v>1085</v>
      </c>
      <c r="H13829">
        <v>9.9540129339830493E-4</v>
      </c>
      <c r="I13829" t="s">
        <v>1086</v>
      </c>
      <c r="J13829">
        <v>4.4400000000000004</v>
      </c>
    </row>
    <row r="13830" spans="1:10" hidden="1">
      <c r="A13830" t="s">
        <v>8337</v>
      </c>
      <c r="B13830" t="s">
        <v>8338</v>
      </c>
      <c r="C13830" t="s">
        <v>6839</v>
      </c>
      <c r="D13830" t="s">
        <v>3151</v>
      </c>
      <c r="E13830" t="s">
        <v>559</v>
      </c>
      <c r="F13830" t="s">
        <v>1068</v>
      </c>
      <c r="G13830" t="s">
        <v>1087</v>
      </c>
      <c r="H13830" s="171" t="s">
        <v>8345</v>
      </c>
      <c r="I13830" t="s">
        <v>1088</v>
      </c>
      <c r="J13830">
        <v>4.4400000000000004</v>
      </c>
    </row>
    <row r="13831" spans="1:10" hidden="1">
      <c r="A13831" t="s">
        <v>8337</v>
      </c>
      <c r="B13831" t="s">
        <v>8338</v>
      </c>
      <c r="C13831" t="s">
        <v>6839</v>
      </c>
      <c r="D13831" t="s">
        <v>3151</v>
      </c>
      <c r="E13831" t="s">
        <v>559</v>
      </c>
      <c r="F13831" t="s">
        <v>1068</v>
      </c>
      <c r="G13831" t="s">
        <v>1089</v>
      </c>
      <c r="H13831">
        <v>3.0789341571179799E-4</v>
      </c>
      <c r="I13831" t="s">
        <v>1090</v>
      </c>
      <c r="J13831">
        <v>4.4400000000000004</v>
      </c>
    </row>
    <row r="13832" spans="1:10" hidden="1">
      <c r="A13832" t="s">
        <v>8346</v>
      </c>
      <c r="B13832" t="s">
        <v>8347</v>
      </c>
      <c r="C13832" t="s">
        <v>6839</v>
      </c>
      <c r="D13832" t="s">
        <v>3151</v>
      </c>
      <c r="E13832" t="s">
        <v>560</v>
      </c>
      <c r="F13832" t="s">
        <v>1068</v>
      </c>
      <c r="G13832" t="s">
        <v>1069</v>
      </c>
      <c r="H13832">
        <v>4.5244006108143699E-2</v>
      </c>
      <c r="I13832" t="s">
        <v>1070</v>
      </c>
      <c r="J13832">
        <v>4.47</v>
      </c>
    </row>
    <row r="13833" spans="1:10" hidden="1">
      <c r="A13833" t="s">
        <v>8346</v>
      </c>
      <c r="B13833" t="s">
        <v>8347</v>
      </c>
      <c r="C13833" t="s">
        <v>6839</v>
      </c>
      <c r="D13833" t="s">
        <v>3151</v>
      </c>
      <c r="E13833" t="s">
        <v>560</v>
      </c>
      <c r="F13833" t="s">
        <v>1068</v>
      </c>
      <c r="G13833" t="s">
        <v>1071</v>
      </c>
      <c r="H13833" s="171" t="s">
        <v>8348</v>
      </c>
      <c r="I13833" t="s">
        <v>1072</v>
      </c>
      <c r="J13833">
        <v>4.47</v>
      </c>
    </row>
    <row r="13834" spans="1:10" hidden="1">
      <c r="A13834" t="s">
        <v>8346</v>
      </c>
      <c r="B13834" t="s">
        <v>8347</v>
      </c>
      <c r="C13834" t="s">
        <v>6839</v>
      </c>
      <c r="D13834" t="s">
        <v>3151</v>
      </c>
      <c r="E13834" t="s">
        <v>560</v>
      </c>
      <c r="F13834" t="s">
        <v>1068</v>
      </c>
      <c r="G13834" t="s">
        <v>1073</v>
      </c>
      <c r="H13834" s="171" t="s">
        <v>8349</v>
      </c>
      <c r="I13834" t="s">
        <v>1074</v>
      </c>
      <c r="J13834">
        <v>4.47</v>
      </c>
    </row>
    <row r="13835" spans="1:10" hidden="1">
      <c r="A13835" t="s">
        <v>8346</v>
      </c>
      <c r="B13835" t="s">
        <v>8347</v>
      </c>
      <c r="C13835" t="s">
        <v>6839</v>
      </c>
      <c r="D13835" t="s">
        <v>3151</v>
      </c>
      <c r="E13835" t="s">
        <v>560</v>
      </c>
      <c r="F13835" t="s">
        <v>1068</v>
      </c>
      <c r="G13835" t="s">
        <v>1075</v>
      </c>
      <c r="H13835" s="171" t="s">
        <v>8350</v>
      </c>
      <c r="I13835" t="s">
        <v>1077</v>
      </c>
      <c r="J13835">
        <v>4.47</v>
      </c>
    </row>
    <row r="13836" spans="1:10" hidden="1">
      <c r="A13836" t="s">
        <v>8346</v>
      </c>
      <c r="B13836" t="s">
        <v>8347</v>
      </c>
      <c r="C13836" t="s">
        <v>6839</v>
      </c>
      <c r="D13836" t="s">
        <v>3151</v>
      </c>
      <c r="E13836" t="s">
        <v>560</v>
      </c>
      <c r="F13836" t="s">
        <v>1068</v>
      </c>
      <c r="G13836" t="s">
        <v>1078</v>
      </c>
      <c r="H13836" s="171" t="s">
        <v>8351</v>
      </c>
      <c r="I13836" t="s">
        <v>1079</v>
      </c>
      <c r="J13836">
        <v>4.47</v>
      </c>
    </row>
    <row r="13837" spans="1:10" hidden="1">
      <c r="A13837" t="s">
        <v>8346</v>
      </c>
      <c r="B13837" t="s">
        <v>8347</v>
      </c>
      <c r="C13837" t="s">
        <v>6839</v>
      </c>
      <c r="D13837" t="s">
        <v>3151</v>
      </c>
      <c r="E13837" t="s">
        <v>560</v>
      </c>
      <c r="F13837" t="s">
        <v>1068</v>
      </c>
      <c r="G13837" t="s">
        <v>1080</v>
      </c>
      <c r="H13837" s="171" t="s">
        <v>8352</v>
      </c>
      <c r="I13837" t="s">
        <v>1082</v>
      </c>
      <c r="J13837">
        <v>4.47</v>
      </c>
    </row>
    <row r="13838" spans="1:10" hidden="1">
      <c r="A13838" t="s">
        <v>8346</v>
      </c>
      <c r="B13838" t="s">
        <v>8347</v>
      </c>
      <c r="C13838" t="s">
        <v>6839</v>
      </c>
      <c r="D13838" t="s">
        <v>3151</v>
      </c>
      <c r="E13838" t="s">
        <v>560</v>
      </c>
      <c r="F13838" t="s">
        <v>1068</v>
      </c>
      <c r="G13838" t="s">
        <v>1083</v>
      </c>
      <c r="H13838" s="171" t="s">
        <v>8353</v>
      </c>
      <c r="I13838" t="s">
        <v>1084</v>
      </c>
      <c r="J13838">
        <v>4.47</v>
      </c>
    </row>
    <row r="13839" spans="1:10" hidden="1">
      <c r="A13839" t="s">
        <v>8346</v>
      </c>
      <c r="B13839" t="s">
        <v>8347</v>
      </c>
      <c r="C13839" t="s">
        <v>6839</v>
      </c>
      <c r="D13839" t="s">
        <v>3151</v>
      </c>
      <c r="E13839" t="s">
        <v>560</v>
      </c>
      <c r="F13839" t="s">
        <v>1068</v>
      </c>
      <c r="G13839" t="s">
        <v>1085</v>
      </c>
      <c r="H13839">
        <v>9.9540114458617195E-4</v>
      </c>
      <c r="I13839" t="s">
        <v>1086</v>
      </c>
      <c r="J13839">
        <v>4.47</v>
      </c>
    </row>
    <row r="13840" spans="1:10" hidden="1">
      <c r="A13840" t="s">
        <v>8346</v>
      </c>
      <c r="B13840" t="s">
        <v>8347</v>
      </c>
      <c r="C13840" t="s">
        <v>6839</v>
      </c>
      <c r="D13840" t="s">
        <v>3151</v>
      </c>
      <c r="E13840" t="s">
        <v>560</v>
      </c>
      <c r="F13840" t="s">
        <v>1068</v>
      </c>
      <c r="G13840" t="s">
        <v>1087</v>
      </c>
      <c r="H13840" s="171" t="s">
        <v>8354</v>
      </c>
      <c r="I13840" t="s">
        <v>1088</v>
      </c>
      <c r="J13840">
        <v>4.47</v>
      </c>
    </row>
    <row r="13841" spans="1:10" hidden="1">
      <c r="A13841" t="s">
        <v>8346</v>
      </c>
      <c r="B13841" t="s">
        <v>8347</v>
      </c>
      <c r="C13841" t="s">
        <v>6839</v>
      </c>
      <c r="D13841" t="s">
        <v>3151</v>
      </c>
      <c r="E13841" t="s">
        <v>560</v>
      </c>
      <c r="F13841" t="s">
        <v>1068</v>
      </c>
      <c r="G13841" t="s">
        <v>1089</v>
      </c>
      <c r="H13841">
        <v>3.07893384996984E-4</v>
      </c>
      <c r="I13841" t="s">
        <v>1090</v>
      </c>
      <c r="J13841">
        <v>4.47</v>
      </c>
    </row>
    <row r="13842" spans="1:10" hidden="1">
      <c r="A13842" t="s">
        <v>8355</v>
      </c>
      <c r="B13842" t="s">
        <v>8356</v>
      </c>
      <c r="C13842" t="s">
        <v>6839</v>
      </c>
      <c r="D13842" t="s">
        <v>3151</v>
      </c>
      <c r="E13842" t="s">
        <v>1116</v>
      </c>
      <c r="F13842" t="s">
        <v>1068</v>
      </c>
      <c r="G13842" t="s">
        <v>1069</v>
      </c>
      <c r="H13842" s="171" t="s">
        <v>8357</v>
      </c>
      <c r="I13842" t="s">
        <v>1070</v>
      </c>
      <c r="J13842">
        <v>4.8099999999999996</v>
      </c>
    </row>
    <row r="13843" spans="1:10" hidden="1">
      <c r="A13843" t="s">
        <v>8355</v>
      </c>
      <c r="B13843" t="s">
        <v>8356</v>
      </c>
      <c r="C13843" t="s">
        <v>6839</v>
      </c>
      <c r="D13843" t="s">
        <v>3151</v>
      </c>
      <c r="E13843" t="s">
        <v>1116</v>
      </c>
      <c r="F13843" t="s">
        <v>1068</v>
      </c>
      <c r="G13843" t="s">
        <v>1071</v>
      </c>
      <c r="H13843" s="171" t="s">
        <v>8358</v>
      </c>
      <c r="I13843" t="s">
        <v>1072</v>
      </c>
      <c r="J13843">
        <v>4.8099999999999996</v>
      </c>
    </row>
    <row r="13844" spans="1:10" hidden="1">
      <c r="A13844" t="s">
        <v>8355</v>
      </c>
      <c r="B13844" t="s">
        <v>8356</v>
      </c>
      <c r="C13844" t="s">
        <v>6839</v>
      </c>
      <c r="D13844" t="s">
        <v>3151</v>
      </c>
      <c r="E13844" t="s">
        <v>1116</v>
      </c>
      <c r="F13844" t="s">
        <v>1068</v>
      </c>
      <c r="G13844" t="s">
        <v>1073</v>
      </c>
      <c r="H13844" s="171" t="s">
        <v>8359</v>
      </c>
      <c r="I13844" t="s">
        <v>1074</v>
      </c>
      <c r="J13844">
        <v>4.8099999999999996</v>
      </c>
    </row>
    <row r="13845" spans="1:10" hidden="1">
      <c r="A13845" t="s">
        <v>8355</v>
      </c>
      <c r="B13845" t="s">
        <v>8356</v>
      </c>
      <c r="C13845" t="s">
        <v>6839</v>
      </c>
      <c r="D13845" t="s">
        <v>3151</v>
      </c>
      <c r="E13845" t="s">
        <v>1116</v>
      </c>
      <c r="F13845" t="s">
        <v>1068</v>
      </c>
      <c r="G13845" t="s">
        <v>1075</v>
      </c>
      <c r="H13845" s="171" t="s">
        <v>8360</v>
      </c>
      <c r="I13845" t="s">
        <v>1077</v>
      </c>
      <c r="J13845">
        <v>4.8099999999999996</v>
      </c>
    </row>
    <row r="13846" spans="1:10" hidden="1">
      <c r="A13846" t="s">
        <v>8355</v>
      </c>
      <c r="B13846" t="s">
        <v>8356</v>
      </c>
      <c r="C13846" t="s">
        <v>6839</v>
      </c>
      <c r="D13846" t="s">
        <v>3151</v>
      </c>
      <c r="E13846" t="s">
        <v>1116</v>
      </c>
      <c r="F13846" t="s">
        <v>1068</v>
      </c>
      <c r="G13846" t="s">
        <v>1078</v>
      </c>
      <c r="H13846" s="171" t="s">
        <v>8361</v>
      </c>
      <c r="I13846" t="s">
        <v>1079</v>
      </c>
      <c r="J13846">
        <v>4.8099999999999996</v>
      </c>
    </row>
    <row r="13847" spans="1:10" hidden="1">
      <c r="A13847" t="s">
        <v>8355</v>
      </c>
      <c r="B13847" t="s">
        <v>8356</v>
      </c>
      <c r="C13847" t="s">
        <v>6839</v>
      </c>
      <c r="D13847" t="s">
        <v>3151</v>
      </c>
      <c r="E13847" t="s">
        <v>1116</v>
      </c>
      <c r="F13847" t="s">
        <v>1068</v>
      </c>
      <c r="G13847" t="s">
        <v>1080</v>
      </c>
      <c r="H13847" s="171" t="s">
        <v>8362</v>
      </c>
      <c r="I13847" t="s">
        <v>1082</v>
      </c>
      <c r="J13847">
        <v>4.8099999999999996</v>
      </c>
    </row>
    <row r="13848" spans="1:10" hidden="1">
      <c r="A13848" t="s">
        <v>8355</v>
      </c>
      <c r="B13848" t="s">
        <v>8356</v>
      </c>
      <c r="C13848" t="s">
        <v>6839</v>
      </c>
      <c r="D13848" t="s">
        <v>3151</v>
      </c>
      <c r="E13848" t="s">
        <v>1116</v>
      </c>
      <c r="F13848" t="s">
        <v>1068</v>
      </c>
      <c r="G13848" t="s">
        <v>1083</v>
      </c>
      <c r="H13848" s="171" t="s">
        <v>8363</v>
      </c>
      <c r="I13848" t="s">
        <v>1084</v>
      </c>
      <c r="J13848">
        <v>4.8099999999999996</v>
      </c>
    </row>
    <row r="13849" spans="1:10" hidden="1">
      <c r="A13849" t="s">
        <v>8355</v>
      </c>
      <c r="B13849" t="s">
        <v>8356</v>
      </c>
      <c r="C13849" t="s">
        <v>6839</v>
      </c>
      <c r="D13849" t="s">
        <v>3151</v>
      </c>
      <c r="E13849" t="s">
        <v>1116</v>
      </c>
      <c r="F13849" t="s">
        <v>1068</v>
      </c>
      <c r="G13849" t="s">
        <v>1085</v>
      </c>
      <c r="H13849">
        <v>9.954005798165971E-4</v>
      </c>
      <c r="I13849" t="s">
        <v>1086</v>
      </c>
      <c r="J13849">
        <v>4.8099999999999996</v>
      </c>
    </row>
    <row r="13850" spans="1:10" hidden="1">
      <c r="A13850" t="s">
        <v>8355</v>
      </c>
      <c r="B13850" t="s">
        <v>8356</v>
      </c>
      <c r="C13850" t="s">
        <v>6839</v>
      </c>
      <c r="D13850" t="s">
        <v>3151</v>
      </c>
      <c r="E13850" t="s">
        <v>1116</v>
      </c>
      <c r="F13850" t="s">
        <v>1068</v>
      </c>
      <c r="G13850" t="s">
        <v>1087</v>
      </c>
      <c r="H13850" s="171" t="s">
        <v>8364</v>
      </c>
      <c r="I13850" t="s">
        <v>1088</v>
      </c>
      <c r="J13850">
        <v>4.8099999999999996</v>
      </c>
    </row>
    <row r="13851" spans="1:10" hidden="1">
      <c r="A13851" t="s">
        <v>8355</v>
      </c>
      <c r="B13851" t="s">
        <v>8356</v>
      </c>
      <c r="C13851" t="s">
        <v>6839</v>
      </c>
      <c r="D13851" t="s">
        <v>3151</v>
      </c>
      <c r="E13851" t="s">
        <v>1116</v>
      </c>
      <c r="F13851" t="s">
        <v>1068</v>
      </c>
      <c r="G13851" t="s">
        <v>1089</v>
      </c>
      <c r="H13851">
        <v>3.0789326848613599E-4</v>
      </c>
      <c r="I13851" t="s">
        <v>1090</v>
      </c>
      <c r="J13851">
        <v>4.8099999999999996</v>
      </c>
    </row>
    <row r="13852" spans="1:10" hidden="1">
      <c r="A13852" t="s">
        <v>8365</v>
      </c>
      <c r="B13852" t="s">
        <v>8366</v>
      </c>
      <c r="C13852" t="s">
        <v>6839</v>
      </c>
      <c r="D13852" t="s">
        <v>271</v>
      </c>
      <c r="E13852" t="s">
        <v>561</v>
      </c>
      <c r="F13852" t="s">
        <v>1068</v>
      </c>
      <c r="G13852" t="s">
        <v>1069</v>
      </c>
      <c r="H13852">
        <v>6.7551317149824097E-2</v>
      </c>
      <c r="I13852" t="s">
        <v>1070</v>
      </c>
      <c r="J13852">
        <v>4.58</v>
      </c>
    </row>
    <row r="13853" spans="1:10" hidden="1">
      <c r="A13853" t="s">
        <v>8365</v>
      </c>
      <c r="B13853" t="s">
        <v>8366</v>
      </c>
      <c r="C13853" t="s">
        <v>6839</v>
      </c>
      <c r="D13853" t="s">
        <v>271</v>
      </c>
      <c r="E13853" t="s">
        <v>561</v>
      </c>
      <c r="F13853" t="s">
        <v>1068</v>
      </c>
      <c r="G13853" t="s">
        <v>1071</v>
      </c>
      <c r="H13853" s="171" t="s">
        <v>8367</v>
      </c>
      <c r="I13853" t="s">
        <v>1072</v>
      </c>
      <c r="J13853">
        <v>4.58</v>
      </c>
    </row>
    <row r="13854" spans="1:10" hidden="1">
      <c r="A13854" t="s">
        <v>8365</v>
      </c>
      <c r="B13854" t="s">
        <v>8366</v>
      </c>
      <c r="C13854" t="s">
        <v>6839</v>
      </c>
      <c r="D13854" t="s">
        <v>271</v>
      </c>
      <c r="E13854" t="s">
        <v>561</v>
      </c>
      <c r="F13854" t="s">
        <v>1068</v>
      </c>
      <c r="G13854" t="s">
        <v>1073</v>
      </c>
      <c r="H13854" s="171" t="s">
        <v>8368</v>
      </c>
      <c r="I13854" t="s">
        <v>1074</v>
      </c>
      <c r="J13854">
        <v>4.58</v>
      </c>
    </row>
    <row r="13855" spans="1:10" hidden="1">
      <c r="A13855" t="s">
        <v>8365</v>
      </c>
      <c r="B13855" t="s">
        <v>8366</v>
      </c>
      <c r="C13855" t="s">
        <v>6839</v>
      </c>
      <c r="D13855" t="s">
        <v>271</v>
      </c>
      <c r="E13855" t="s">
        <v>561</v>
      </c>
      <c r="F13855" t="s">
        <v>1068</v>
      </c>
      <c r="G13855" t="s">
        <v>1075</v>
      </c>
      <c r="H13855" s="171" t="s">
        <v>8369</v>
      </c>
      <c r="I13855" t="s">
        <v>1077</v>
      </c>
      <c r="J13855">
        <v>4.58</v>
      </c>
    </row>
    <row r="13856" spans="1:10" hidden="1">
      <c r="A13856" t="s">
        <v>8365</v>
      </c>
      <c r="B13856" t="s">
        <v>8366</v>
      </c>
      <c r="C13856" t="s">
        <v>6839</v>
      </c>
      <c r="D13856" t="s">
        <v>271</v>
      </c>
      <c r="E13856" t="s">
        <v>561</v>
      </c>
      <c r="F13856" t="s">
        <v>1068</v>
      </c>
      <c r="G13856" t="s">
        <v>1078</v>
      </c>
      <c r="H13856">
        <v>4.0392236029905E-2</v>
      </c>
      <c r="I13856" t="s">
        <v>1079</v>
      </c>
      <c r="J13856">
        <v>4.58</v>
      </c>
    </row>
    <row r="13857" spans="1:10" hidden="1">
      <c r="A13857" t="s">
        <v>8365</v>
      </c>
      <c r="B13857" t="s">
        <v>8366</v>
      </c>
      <c r="C13857" t="s">
        <v>6839</v>
      </c>
      <c r="D13857" t="s">
        <v>271</v>
      </c>
      <c r="E13857" t="s">
        <v>561</v>
      </c>
      <c r="F13857" t="s">
        <v>1068</v>
      </c>
      <c r="G13857" t="s">
        <v>1080</v>
      </c>
      <c r="H13857" s="171" t="s">
        <v>8370</v>
      </c>
      <c r="I13857" t="s">
        <v>1082</v>
      </c>
      <c r="J13857">
        <v>4.58</v>
      </c>
    </row>
    <row r="13858" spans="1:10" hidden="1">
      <c r="A13858" t="s">
        <v>8365</v>
      </c>
      <c r="B13858" t="s">
        <v>8366</v>
      </c>
      <c r="C13858" t="s">
        <v>6839</v>
      </c>
      <c r="D13858" t="s">
        <v>271</v>
      </c>
      <c r="E13858" t="s">
        <v>561</v>
      </c>
      <c r="F13858" t="s">
        <v>1068</v>
      </c>
      <c r="G13858" t="s">
        <v>1083</v>
      </c>
      <c r="H13858" s="171" t="s">
        <v>8371</v>
      </c>
      <c r="I13858" t="s">
        <v>1084</v>
      </c>
      <c r="J13858">
        <v>4.58</v>
      </c>
    </row>
    <row r="13859" spans="1:10" hidden="1">
      <c r="A13859" t="s">
        <v>8365</v>
      </c>
      <c r="B13859" t="s">
        <v>8366</v>
      </c>
      <c r="C13859" t="s">
        <v>6839</v>
      </c>
      <c r="D13859" t="s">
        <v>271</v>
      </c>
      <c r="E13859" t="s">
        <v>561</v>
      </c>
      <c r="F13859" t="s">
        <v>1068</v>
      </c>
      <c r="G13859" t="s">
        <v>1085</v>
      </c>
      <c r="H13859">
        <v>3.7040363860048499E-4</v>
      </c>
      <c r="I13859" t="s">
        <v>1086</v>
      </c>
      <c r="J13859">
        <v>4.58</v>
      </c>
    </row>
    <row r="13860" spans="1:10" hidden="1">
      <c r="A13860" t="s">
        <v>8365</v>
      </c>
      <c r="B13860" t="s">
        <v>8366</v>
      </c>
      <c r="C13860" t="s">
        <v>6839</v>
      </c>
      <c r="D13860" t="s">
        <v>271</v>
      </c>
      <c r="E13860" t="s">
        <v>561</v>
      </c>
      <c r="F13860" t="s">
        <v>1068</v>
      </c>
      <c r="G13860" t="s">
        <v>1087</v>
      </c>
      <c r="H13860" s="171" t="s">
        <v>8372</v>
      </c>
      <c r="I13860" t="s">
        <v>1088</v>
      </c>
      <c r="J13860">
        <v>4.58</v>
      </c>
    </row>
    <row r="13861" spans="1:10" hidden="1">
      <c r="A13861" t="s">
        <v>8365</v>
      </c>
      <c r="B13861" t="s">
        <v>8366</v>
      </c>
      <c r="C13861" t="s">
        <v>6839</v>
      </c>
      <c r="D13861" t="s">
        <v>271</v>
      </c>
      <c r="E13861" t="s">
        <v>561</v>
      </c>
      <c r="F13861" t="s">
        <v>1068</v>
      </c>
      <c r="G13861" t="s">
        <v>1089</v>
      </c>
      <c r="H13861">
        <v>1.08019598155386E-4</v>
      </c>
      <c r="I13861" t="s">
        <v>1090</v>
      </c>
      <c r="J13861">
        <v>4.58</v>
      </c>
    </row>
    <row r="13862" spans="1:10" hidden="1">
      <c r="A13862" t="s">
        <v>8373</v>
      </c>
      <c r="B13862" t="s">
        <v>8374</v>
      </c>
      <c r="C13862" t="s">
        <v>6839</v>
      </c>
      <c r="D13862" t="s">
        <v>271</v>
      </c>
      <c r="E13862" t="s">
        <v>555</v>
      </c>
      <c r="F13862" t="s">
        <v>1068</v>
      </c>
      <c r="G13862" t="s">
        <v>1069</v>
      </c>
      <c r="H13862">
        <v>6.7559085466496901E-2</v>
      </c>
      <c r="I13862" t="s">
        <v>1070</v>
      </c>
      <c r="J13862">
        <v>4.58</v>
      </c>
    </row>
    <row r="13863" spans="1:10" hidden="1">
      <c r="A13863" t="s">
        <v>8373</v>
      </c>
      <c r="B13863" t="s">
        <v>8374</v>
      </c>
      <c r="C13863" t="s">
        <v>6839</v>
      </c>
      <c r="D13863" t="s">
        <v>271</v>
      </c>
      <c r="E13863" t="s">
        <v>555</v>
      </c>
      <c r="F13863" t="s">
        <v>1068</v>
      </c>
      <c r="G13863" t="s">
        <v>1071</v>
      </c>
      <c r="H13863" s="171" t="s">
        <v>8375</v>
      </c>
      <c r="I13863" t="s">
        <v>1072</v>
      </c>
      <c r="J13863">
        <v>4.58</v>
      </c>
    </row>
    <row r="13864" spans="1:10" hidden="1">
      <c r="A13864" t="s">
        <v>8373</v>
      </c>
      <c r="B13864" t="s">
        <v>8374</v>
      </c>
      <c r="C13864" t="s">
        <v>6839</v>
      </c>
      <c r="D13864" t="s">
        <v>271</v>
      </c>
      <c r="E13864" t="s">
        <v>555</v>
      </c>
      <c r="F13864" t="s">
        <v>1068</v>
      </c>
      <c r="G13864" t="s">
        <v>1073</v>
      </c>
      <c r="H13864" s="171" t="s">
        <v>8376</v>
      </c>
      <c r="I13864" t="s">
        <v>1074</v>
      </c>
      <c r="J13864">
        <v>4.58</v>
      </c>
    </row>
    <row r="13865" spans="1:10" hidden="1">
      <c r="A13865" t="s">
        <v>8373</v>
      </c>
      <c r="B13865" t="s">
        <v>8374</v>
      </c>
      <c r="C13865" t="s">
        <v>6839</v>
      </c>
      <c r="D13865" t="s">
        <v>271</v>
      </c>
      <c r="E13865" t="s">
        <v>555</v>
      </c>
      <c r="F13865" t="s">
        <v>1068</v>
      </c>
      <c r="G13865" t="s">
        <v>1075</v>
      </c>
      <c r="H13865" s="171" t="s">
        <v>8377</v>
      </c>
      <c r="I13865" t="s">
        <v>1077</v>
      </c>
      <c r="J13865">
        <v>4.58</v>
      </c>
    </row>
    <row r="13866" spans="1:10" hidden="1">
      <c r="A13866" t="s">
        <v>8373</v>
      </c>
      <c r="B13866" t="s">
        <v>8374</v>
      </c>
      <c r="C13866" t="s">
        <v>6839</v>
      </c>
      <c r="D13866" t="s">
        <v>271</v>
      </c>
      <c r="E13866" t="s">
        <v>555</v>
      </c>
      <c r="F13866" t="s">
        <v>1068</v>
      </c>
      <c r="G13866" t="s">
        <v>1078</v>
      </c>
      <c r="H13866">
        <v>4.0399503832453401E-2</v>
      </c>
      <c r="I13866" t="s">
        <v>1079</v>
      </c>
      <c r="J13866">
        <v>4.58</v>
      </c>
    </row>
    <row r="13867" spans="1:10" hidden="1">
      <c r="A13867" t="s">
        <v>8373</v>
      </c>
      <c r="B13867" t="s">
        <v>8374</v>
      </c>
      <c r="C13867" t="s">
        <v>6839</v>
      </c>
      <c r="D13867" t="s">
        <v>271</v>
      </c>
      <c r="E13867" t="s">
        <v>555</v>
      </c>
      <c r="F13867" t="s">
        <v>1068</v>
      </c>
      <c r="G13867" t="s">
        <v>1080</v>
      </c>
      <c r="H13867" s="171" t="s">
        <v>8378</v>
      </c>
      <c r="I13867" t="s">
        <v>1082</v>
      </c>
      <c r="J13867">
        <v>4.58</v>
      </c>
    </row>
    <row r="13868" spans="1:10" hidden="1">
      <c r="A13868" t="s">
        <v>8373</v>
      </c>
      <c r="B13868" t="s">
        <v>8374</v>
      </c>
      <c r="C13868" t="s">
        <v>6839</v>
      </c>
      <c r="D13868" t="s">
        <v>271</v>
      </c>
      <c r="E13868" t="s">
        <v>555</v>
      </c>
      <c r="F13868" t="s">
        <v>1068</v>
      </c>
      <c r="G13868" t="s">
        <v>1083</v>
      </c>
      <c r="H13868" s="171" t="s">
        <v>8379</v>
      </c>
      <c r="I13868" t="s">
        <v>1084</v>
      </c>
      <c r="J13868">
        <v>4.58</v>
      </c>
    </row>
    <row r="13869" spans="1:10" hidden="1">
      <c r="A13869" t="s">
        <v>8373</v>
      </c>
      <c r="B13869" t="s">
        <v>8374</v>
      </c>
      <c r="C13869" t="s">
        <v>6839</v>
      </c>
      <c r="D13869" t="s">
        <v>271</v>
      </c>
      <c r="E13869" t="s">
        <v>555</v>
      </c>
      <c r="F13869" t="s">
        <v>1068</v>
      </c>
      <c r="G13869" t="s">
        <v>1085</v>
      </c>
      <c r="H13869">
        <v>3.7041277241982301E-4</v>
      </c>
      <c r="I13869" t="s">
        <v>1086</v>
      </c>
      <c r="J13869">
        <v>4.58</v>
      </c>
    </row>
    <row r="13870" spans="1:10" hidden="1">
      <c r="A13870" t="s">
        <v>8373</v>
      </c>
      <c r="B13870" t="s">
        <v>8374</v>
      </c>
      <c r="C13870" t="s">
        <v>6839</v>
      </c>
      <c r="D13870" t="s">
        <v>271</v>
      </c>
      <c r="E13870" t="s">
        <v>555</v>
      </c>
      <c r="F13870" t="s">
        <v>1068</v>
      </c>
      <c r="G13870" t="s">
        <v>1087</v>
      </c>
      <c r="H13870" s="171" t="s">
        <v>8380</v>
      </c>
      <c r="I13870" t="s">
        <v>1088</v>
      </c>
      <c r="J13870">
        <v>4.58</v>
      </c>
    </row>
    <row r="13871" spans="1:10" hidden="1">
      <c r="A13871" t="s">
        <v>8373</v>
      </c>
      <c r="B13871" t="s">
        <v>8374</v>
      </c>
      <c r="C13871" t="s">
        <v>6839</v>
      </c>
      <c r="D13871" t="s">
        <v>271</v>
      </c>
      <c r="E13871" t="s">
        <v>555</v>
      </c>
      <c r="F13871" t="s">
        <v>1068</v>
      </c>
      <c r="G13871" t="s">
        <v>1089</v>
      </c>
      <c r="H13871">
        <v>1.08021482577418E-4</v>
      </c>
      <c r="I13871" t="s">
        <v>1090</v>
      </c>
      <c r="J13871">
        <v>4.58</v>
      </c>
    </row>
    <row r="13872" spans="1:10" hidden="1">
      <c r="A13872" t="s">
        <v>8381</v>
      </c>
      <c r="B13872" t="s">
        <v>8382</v>
      </c>
      <c r="C13872" t="s">
        <v>6839</v>
      </c>
      <c r="D13872" t="s">
        <v>271</v>
      </c>
      <c r="E13872" t="s">
        <v>558</v>
      </c>
      <c r="F13872" t="s">
        <v>1068</v>
      </c>
      <c r="G13872" t="s">
        <v>1069</v>
      </c>
      <c r="H13872">
        <v>6.7550872096618905E-2</v>
      </c>
      <c r="I13872" t="s">
        <v>1070</v>
      </c>
      <c r="J13872">
        <v>4.41</v>
      </c>
    </row>
    <row r="13873" spans="1:10" hidden="1">
      <c r="A13873" t="s">
        <v>8381</v>
      </c>
      <c r="B13873" t="s">
        <v>8382</v>
      </c>
      <c r="C13873" t="s">
        <v>6839</v>
      </c>
      <c r="D13873" t="s">
        <v>271</v>
      </c>
      <c r="E13873" t="s">
        <v>558</v>
      </c>
      <c r="F13873" t="s">
        <v>1068</v>
      </c>
      <c r="G13873" t="s">
        <v>1071</v>
      </c>
      <c r="H13873" s="171" t="s">
        <v>8383</v>
      </c>
      <c r="I13873" t="s">
        <v>1072</v>
      </c>
      <c r="J13873">
        <v>4.41</v>
      </c>
    </row>
    <row r="13874" spans="1:10" hidden="1">
      <c r="A13874" t="s">
        <v>8381</v>
      </c>
      <c r="B13874" t="s">
        <v>8382</v>
      </c>
      <c r="C13874" t="s">
        <v>6839</v>
      </c>
      <c r="D13874" t="s">
        <v>271</v>
      </c>
      <c r="E13874" t="s">
        <v>558</v>
      </c>
      <c r="F13874" t="s">
        <v>1068</v>
      </c>
      <c r="G13874" t="s">
        <v>1073</v>
      </c>
      <c r="H13874" s="171" t="s">
        <v>8384</v>
      </c>
      <c r="I13874" t="s">
        <v>1074</v>
      </c>
      <c r="J13874">
        <v>4.41</v>
      </c>
    </row>
    <row r="13875" spans="1:10" hidden="1">
      <c r="A13875" t="s">
        <v>8381</v>
      </c>
      <c r="B13875" t="s">
        <v>8382</v>
      </c>
      <c r="C13875" t="s">
        <v>6839</v>
      </c>
      <c r="D13875" t="s">
        <v>271</v>
      </c>
      <c r="E13875" t="s">
        <v>558</v>
      </c>
      <c r="F13875" t="s">
        <v>1068</v>
      </c>
      <c r="G13875" t="s">
        <v>1075</v>
      </c>
      <c r="H13875" s="171" t="s">
        <v>8385</v>
      </c>
      <c r="I13875" t="s">
        <v>1077</v>
      </c>
      <c r="J13875">
        <v>4.41</v>
      </c>
    </row>
    <row r="13876" spans="1:10" hidden="1">
      <c r="A13876" t="s">
        <v>8381</v>
      </c>
      <c r="B13876" t="s">
        <v>8382</v>
      </c>
      <c r="C13876" t="s">
        <v>6839</v>
      </c>
      <c r="D13876" t="s">
        <v>271</v>
      </c>
      <c r="E13876" t="s">
        <v>558</v>
      </c>
      <c r="F13876" t="s">
        <v>1068</v>
      </c>
      <c r="G13876" t="s">
        <v>1078</v>
      </c>
      <c r="H13876" s="171" t="s">
        <v>8386</v>
      </c>
      <c r="I13876" t="s">
        <v>1079</v>
      </c>
      <c r="J13876">
        <v>4.41</v>
      </c>
    </row>
    <row r="13877" spans="1:10" hidden="1">
      <c r="A13877" t="s">
        <v>8381</v>
      </c>
      <c r="B13877" t="s">
        <v>8382</v>
      </c>
      <c r="C13877" t="s">
        <v>6839</v>
      </c>
      <c r="D13877" t="s">
        <v>271</v>
      </c>
      <c r="E13877" t="s">
        <v>558</v>
      </c>
      <c r="F13877" t="s">
        <v>1068</v>
      </c>
      <c r="G13877" t="s">
        <v>1080</v>
      </c>
      <c r="H13877" s="171" t="s">
        <v>8387</v>
      </c>
      <c r="I13877" t="s">
        <v>1082</v>
      </c>
      <c r="J13877">
        <v>4.41</v>
      </c>
    </row>
    <row r="13878" spans="1:10" hidden="1">
      <c r="A13878" t="s">
        <v>8381</v>
      </c>
      <c r="B13878" t="s">
        <v>8382</v>
      </c>
      <c r="C13878" t="s">
        <v>6839</v>
      </c>
      <c r="D13878" t="s">
        <v>271</v>
      </c>
      <c r="E13878" t="s">
        <v>558</v>
      </c>
      <c r="F13878" t="s">
        <v>1068</v>
      </c>
      <c r="G13878" t="s">
        <v>1083</v>
      </c>
      <c r="H13878" s="171" t="s">
        <v>8388</v>
      </c>
      <c r="I13878" t="s">
        <v>1084</v>
      </c>
      <c r="J13878">
        <v>4.41</v>
      </c>
    </row>
    <row r="13879" spans="1:10" hidden="1">
      <c r="A13879" t="s">
        <v>8381</v>
      </c>
      <c r="B13879" t="s">
        <v>8382</v>
      </c>
      <c r="C13879" t="s">
        <v>6839</v>
      </c>
      <c r="D13879" t="s">
        <v>271</v>
      </c>
      <c r="E13879" t="s">
        <v>558</v>
      </c>
      <c r="F13879" t="s">
        <v>1068</v>
      </c>
      <c r="G13879" t="s">
        <v>1085</v>
      </c>
      <c r="H13879">
        <v>3.7040287403654999E-4</v>
      </c>
      <c r="I13879" t="s">
        <v>1086</v>
      </c>
      <c r="J13879">
        <v>4.41</v>
      </c>
    </row>
    <row r="13880" spans="1:10" hidden="1">
      <c r="A13880" t="s">
        <v>8381</v>
      </c>
      <c r="B13880" t="s">
        <v>8382</v>
      </c>
      <c r="C13880" t="s">
        <v>6839</v>
      </c>
      <c r="D13880" t="s">
        <v>271</v>
      </c>
      <c r="E13880" t="s">
        <v>558</v>
      </c>
      <c r="F13880" t="s">
        <v>1068</v>
      </c>
      <c r="G13880" t="s">
        <v>1087</v>
      </c>
      <c r="H13880" s="171" t="s">
        <v>8389</v>
      </c>
      <c r="I13880" t="s">
        <v>1088</v>
      </c>
      <c r="J13880">
        <v>4.41</v>
      </c>
    </row>
    <row r="13881" spans="1:10" hidden="1">
      <c r="A13881" t="s">
        <v>8381</v>
      </c>
      <c r="B13881" t="s">
        <v>8382</v>
      </c>
      <c r="C13881" t="s">
        <v>6839</v>
      </c>
      <c r="D13881" t="s">
        <v>271</v>
      </c>
      <c r="E13881" t="s">
        <v>558</v>
      </c>
      <c r="F13881" t="s">
        <v>1068</v>
      </c>
      <c r="G13881" t="s">
        <v>1089</v>
      </c>
      <c r="H13881">
        <v>1.08019440427356E-4</v>
      </c>
      <c r="I13881" t="s">
        <v>1090</v>
      </c>
      <c r="J13881">
        <v>4.41</v>
      </c>
    </row>
    <row r="13882" spans="1:10" hidden="1">
      <c r="A13882" t="s">
        <v>8390</v>
      </c>
      <c r="B13882" t="s">
        <v>8391</v>
      </c>
      <c r="C13882" t="s">
        <v>6839</v>
      </c>
      <c r="D13882" t="s">
        <v>271</v>
      </c>
      <c r="E13882" t="s">
        <v>553</v>
      </c>
      <c r="F13882" t="s">
        <v>1068</v>
      </c>
      <c r="G13882" t="s">
        <v>1069</v>
      </c>
      <c r="H13882">
        <v>6.7553142229403201E-2</v>
      </c>
      <c r="I13882" t="s">
        <v>1070</v>
      </c>
      <c r="J13882">
        <v>4.28</v>
      </c>
    </row>
    <row r="13883" spans="1:10" hidden="1">
      <c r="A13883" t="s">
        <v>8390</v>
      </c>
      <c r="B13883" t="s">
        <v>8391</v>
      </c>
      <c r="C13883" t="s">
        <v>6839</v>
      </c>
      <c r="D13883" t="s">
        <v>271</v>
      </c>
      <c r="E13883" t="s">
        <v>553</v>
      </c>
      <c r="F13883" t="s">
        <v>1068</v>
      </c>
      <c r="G13883" t="s">
        <v>1071</v>
      </c>
      <c r="H13883" s="171" t="s">
        <v>8392</v>
      </c>
      <c r="I13883" t="s">
        <v>1072</v>
      </c>
      <c r="J13883">
        <v>4.28</v>
      </c>
    </row>
    <row r="13884" spans="1:10" hidden="1">
      <c r="A13884" t="s">
        <v>8390</v>
      </c>
      <c r="B13884" t="s">
        <v>8391</v>
      </c>
      <c r="C13884" t="s">
        <v>6839</v>
      </c>
      <c r="D13884" t="s">
        <v>271</v>
      </c>
      <c r="E13884" t="s">
        <v>553</v>
      </c>
      <c r="F13884" t="s">
        <v>1068</v>
      </c>
      <c r="G13884" t="s">
        <v>1073</v>
      </c>
      <c r="H13884" s="171" t="s">
        <v>8393</v>
      </c>
      <c r="I13884" t="s">
        <v>1074</v>
      </c>
      <c r="J13884">
        <v>4.28</v>
      </c>
    </row>
    <row r="13885" spans="1:10" hidden="1">
      <c r="A13885" t="s">
        <v>8390</v>
      </c>
      <c r="B13885" t="s">
        <v>8391</v>
      </c>
      <c r="C13885" t="s">
        <v>6839</v>
      </c>
      <c r="D13885" t="s">
        <v>271</v>
      </c>
      <c r="E13885" t="s">
        <v>553</v>
      </c>
      <c r="F13885" t="s">
        <v>1068</v>
      </c>
      <c r="G13885" t="s">
        <v>1075</v>
      </c>
      <c r="H13885" s="171" t="s">
        <v>8394</v>
      </c>
      <c r="I13885" t="s">
        <v>1077</v>
      </c>
      <c r="J13885">
        <v>4.28</v>
      </c>
    </row>
    <row r="13886" spans="1:10" hidden="1">
      <c r="A13886" t="s">
        <v>8390</v>
      </c>
      <c r="B13886" t="s">
        <v>8391</v>
      </c>
      <c r="C13886" t="s">
        <v>6839</v>
      </c>
      <c r="D13886" t="s">
        <v>271</v>
      </c>
      <c r="E13886" t="s">
        <v>553</v>
      </c>
      <c r="F13886" t="s">
        <v>1068</v>
      </c>
      <c r="G13886" t="s">
        <v>1078</v>
      </c>
      <c r="H13886">
        <v>4.0391379519296298E-2</v>
      </c>
      <c r="I13886" t="s">
        <v>1079</v>
      </c>
      <c r="J13886">
        <v>4.28</v>
      </c>
    </row>
    <row r="13887" spans="1:10" hidden="1">
      <c r="A13887" t="s">
        <v>8390</v>
      </c>
      <c r="B13887" t="s">
        <v>8391</v>
      </c>
      <c r="C13887" t="s">
        <v>6839</v>
      </c>
      <c r="D13887" t="s">
        <v>271</v>
      </c>
      <c r="E13887" t="s">
        <v>553</v>
      </c>
      <c r="F13887" t="s">
        <v>1068</v>
      </c>
      <c r="G13887" t="s">
        <v>1080</v>
      </c>
      <c r="H13887" s="171" t="s">
        <v>8395</v>
      </c>
      <c r="I13887" t="s">
        <v>1082</v>
      </c>
      <c r="J13887">
        <v>4.28</v>
      </c>
    </row>
    <row r="13888" spans="1:10" hidden="1">
      <c r="A13888" t="s">
        <v>8390</v>
      </c>
      <c r="B13888" t="s">
        <v>8391</v>
      </c>
      <c r="C13888" t="s">
        <v>6839</v>
      </c>
      <c r="D13888" t="s">
        <v>271</v>
      </c>
      <c r="E13888" t="s">
        <v>553</v>
      </c>
      <c r="F13888" t="s">
        <v>1068</v>
      </c>
      <c r="G13888" t="s">
        <v>1083</v>
      </c>
      <c r="H13888" s="171" t="s">
        <v>8396</v>
      </c>
      <c r="I13888" t="s">
        <v>1084</v>
      </c>
      <c r="J13888">
        <v>4.28</v>
      </c>
    </row>
    <row r="13889" spans="1:10" hidden="1">
      <c r="A13889" t="s">
        <v>8390</v>
      </c>
      <c r="B13889" t="s">
        <v>8391</v>
      </c>
      <c r="C13889" t="s">
        <v>6839</v>
      </c>
      <c r="D13889" t="s">
        <v>271</v>
      </c>
      <c r="E13889" t="s">
        <v>553</v>
      </c>
      <c r="F13889" t="s">
        <v>1068</v>
      </c>
      <c r="G13889" t="s">
        <v>1085</v>
      </c>
      <c r="H13889">
        <v>3.7040256243883702E-4</v>
      </c>
      <c r="I13889" t="s">
        <v>1086</v>
      </c>
      <c r="J13889">
        <v>4.28</v>
      </c>
    </row>
    <row r="13890" spans="1:10" hidden="1">
      <c r="A13890" t="s">
        <v>8390</v>
      </c>
      <c r="B13890" t="s">
        <v>8391</v>
      </c>
      <c r="C13890" t="s">
        <v>6839</v>
      </c>
      <c r="D13890" t="s">
        <v>271</v>
      </c>
      <c r="E13890" t="s">
        <v>553</v>
      </c>
      <c r="F13890" t="s">
        <v>1068</v>
      </c>
      <c r="G13890" t="s">
        <v>1087</v>
      </c>
      <c r="H13890" s="171" t="s">
        <v>8397</v>
      </c>
      <c r="I13890" t="s">
        <v>1088</v>
      </c>
      <c r="J13890">
        <v>4.28</v>
      </c>
    </row>
    <row r="13891" spans="1:10" hidden="1">
      <c r="A13891" t="s">
        <v>8390</v>
      </c>
      <c r="B13891" t="s">
        <v>8391</v>
      </c>
      <c r="C13891" t="s">
        <v>6839</v>
      </c>
      <c r="D13891" t="s">
        <v>271</v>
      </c>
      <c r="E13891" t="s">
        <v>553</v>
      </c>
      <c r="F13891" t="s">
        <v>1068</v>
      </c>
      <c r="G13891" t="s">
        <v>1089</v>
      </c>
      <c r="H13891">
        <v>1.08019376278503E-4</v>
      </c>
      <c r="I13891" t="s">
        <v>1090</v>
      </c>
      <c r="J13891">
        <v>4.28</v>
      </c>
    </row>
    <row r="13892" spans="1:10" hidden="1">
      <c r="A13892" t="s">
        <v>8398</v>
      </c>
      <c r="B13892" t="s">
        <v>8399</v>
      </c>
      <c r="C13892" t="s">
        <v>6839</v>
      </c>
      <c r="D13892" t="s">
        <v>271</v>
      </c>
      <c r="E13892" t="s">
        <v>556</v>
      </c>
      <c r="F13892" t="s">
        <v>1068</v>
      </c>
      <c r="G13892" t="s">
        <v>1069</v>
      </c>
      <c r="H13892">
        <v>6.7558526848308501E-2</v>
      </c>
      <c r="I13892" t="s">
        <v>1070</v>
      </c>
      <c r="J13892">
        <v>4.38</v>
      </c>
    </row>
    <row r="13893" spans="1:10" hidden="1">
      <c r="A13893" t="s">
        <v>8398</v>
      </c>
      <c r="B13893" t="s">
        <v>8399</v>
      </c>
      <c r="C13893" t="s">
        <v>6839</v>
      </c>
      <c r="D13893" t="s">
        <v>271</v>
      </c>
      <c r="E13893" t="s">
        <v>556</v>
      </c>
      <c r="F13893" t="s">
        <v>1068</v>
      </c>
      <c r="G13893" t="s">
        <v>1071</v>
      </c>
      <c r="H13893" s="171" t="s">
        <v>8400</v>
      </c>
      <c r="I13893" t="s">
        <v>1072</v>
      </c>
      <c r="J13893">
        <v>4.38</v>
      </c>
    </row>
    <row r="13894" spans="1:10" hidden="1">
      <c r="A13894" t="s">
        <v>8398</v>
      </c>
      <c r="B13894" t="s">
        <v>8399</v>
      </c>
      <c r="C13894" t="s">
        <v>6839</v>
      </c>
      <c r="D13894" t="s">
        <v>271</v>
      </c>
      <c r="E13894" t="s">
        <v>556</v>
      </c>
      <c r="F13894" t="s">
        <v>1068</v>
      </c>
      <c r="G13894" t="s">
        <v>1073</v>
      </c>
      <c r="H13894" s="171" t="s">
        <v>8401</v>
      </c>
      <c r="I13894" t="s">
        <v>1074</v>
      </c>
      <c r="J13894">
        <v>4.38</v>
      </c>
    </row>
    <row r="13895" spans="1:10" hidden="1">
      <c r="A13895" t="s">
        <v>8398</v>
      </c>
      <c r="B13895" t="s">
        <v>8399</v>
      </c>
      <c r="C13895" t="s">
        <v>6839</v>
      </c>
      <c r="D13895" t="s">
        <v>271</v>
      </c>
      <c r="E13895" t="s">
        <v>556</v>
      </c>
      <c r="F13895" t="s">
        <v>1068</v>
      </c>
      <c r="G13895" t="s">
        <v>1075</v>
      </c>
      <c r="H13895" s="171" t="s">
        <v>8402</v>
      </c>
      <c r="I13895" t="s">
        <v>1077</v>
      </c>
      <c r="J13895">
        <v>4.38</v>
      </c>
    </row>
    <row r="13896" spans="1:10" hidden="1">
      <c r="A13896" t="s">
        <v>8398</v>
      </c>
      <c r="B13896" t="s">
        <v>8399</v>
      </c>
      <c r="C13896" t="s">
        <v>6839</v>
      </c>
      <c r="D13896" t="s">
        <v>271</v>
      </c>
      <c r="E13896" t="s">
        <v>556</v>
      </c>
      <c r="F13896" t="s">
        <v>1068</v>
      </c>
      <c r="G13896" t="s">
        <v>1078</v>
      </c>
      <c r="H13896" s="171" t="s">
        <v>8403</v>
      </c>
      <c r="I13896" t="s">
        <v>1079</v>
      </c>
      <c r="J13896">
        <v>4.38</v>
      </c>
    </row>
    <row r="13897" spans="1:10" hidden="1">
      <c r="A13897" t="s">
        <v>8398</v>
      </c>
      <c r="B13897" t="s">
        <v>8399</v>
      </c>
      <c r="C13897" t="s">
        <v>6839</v>
      </c>
      <c r="D13897" t="s">
        <v>271</v>
      </c>
      <c r="E13897" t="s">
        <v>556</v>
      </c>
      <c r="F13897" t="s">
        <v>1068</v>
      </c>
      <c r="G13897" t="s">
        <v>1080</v>
      </c>
      <c r="H13897" s="171" t="s">
        <v>8404</v>
      </c>
      <c r="I13897" t="s">
        <v>1082</v>
      </c>
      <c r="J13897">
        <v>4.38</v>
      </c>
    </row>
    <row r="13898" spans="1:10" hidden="1">
      <c r="A13898" t="s">
        <v>8398</v>
      </c>
      <c r="B13898" t="s">
        <v>8399</v>
      </c>
      <c r="C13898" t="s">
        <v>6839</v>
      </c>
      <c r="D13898" t="s">
        <v>271</v>
      </c>
      <c r="E13898" t="s">
        <v>556</v>
      </c>
      <c r="F13898" t="s">
        <v>1068</v>
      </c>
      <c r="G13898" t="s">
        <v>1083</v>
      </c>
      <c r="H13898" s="171" t="s">
        <v>8405</v>
      </c>
      <c r="I13898" t="s">
        <v>1084</v>
      </c>
      <c r="J13898">
        <v>4.38</v>
      </c>
    </row>
    <row r="13899" spans="1:10" hidden="1">
      <c r="A13899" t="s">
        <v>8398</v>
      </c>
      <c r="B13899" t="s">
        <v>8399</v>
      </c>
      <c r="C13899" t="s">
        <v>6839</v>
      </c>
      <c r="D13899" t="s">
        <v>271</v>
      </c>
      <c r="E13899" t="s">
        <v>556</v>
      </c>
      <c r="F13899" t="s">
        <v>1068</v>
      </c>
      <c r="G13899" t="s">
        <v>1085</v>
      </c>
      <c r="H13899">
        <v>3.7041181276076902E-4</v>
      </c>
      <c r="I13899" t="s">
        <v>1086</v>
      </c>
      <c r="J13899">
        <v>4.38</v>
      </c>
    </row>
    <row r="13900" spans="1:10" hidden="1">
      <c r="A13900" t="s">
        <v>8398</v>
      </c>
      <c r="B13900" t="s">
        <v>8399</v>
      </c>
      <c r="C13900" t="s">
        <v>6839</v>
      </c>
      <c r="D13900" t="s">
        <v>271</v>
      </c>
      <c r="E13900" t="s">
        <v>556</v>
      </c>
      <c r="F13900" t="s">
        <v>1068</v>
      </c>
      <c r="G13900" t="s">
        <v>1087</v>
      </c>
      <c r="H13900" s="171" t="s">
        <v>8406</v>
      </c>
      <c r="I13900" t="s">
        <v>1088</v>
      </c>
      <c r="J13900">
        <v>4.38</v>
      </c>
    </row>
    <row r="13901" spans="1:10" hidden="1">
      <c r="A13901" t="s">
        <v>8398</v>
      </c>
      <c r="B13901" t="s">
        <v>8399</v>
      </c>
      <c r="C13901" t="s">
        <v>6839</v>
      </c>
      <c r="D13901" t="s">
        <v>271</v>
      </c>
      <c r="E13901" t="s">
        <v>556</v>
      </c>
      <c r="F13901" t="s">
        <v>1068</v>
      </c>
      <c r="G13901" t="s">
        <v>1089</v>
      </c>
      <c r="H13901">
        <v>1.0802128460165199E-4</v>
      </c>
      <c r="I13901" t="s">
        <v>1090</v>
      </c>
      <c r="J13901">
        <v>4.38</v>
      </c>
    </row>
    <row r="13902" spans="1:10" hidden="1">
      <c r="A13902" t="s">
        <v>8407</v>
      </c>
      <c r="B13902" t="s">
        <v>8408</v>
      </c>
      <c r="C13902" t="s">
        <v>6839</v>
      </c>
      <c r="D13902" t="s">
        <v>271</v>
      </c>
      <c r="E13902" t="s">
        <v>557</v>
      </c>
      <c r="F13902" t="s">
        <v>1068</v>
      </c>
      <c r="G13902" t="s">
        <v>1069</v>
      </c>
      <c r="H13902">
        <v>6.7552710359848805E-2</v>
      </c>
      <c r="I13902" t="s">
        <v>1070</v>
      </c>
      <c r="J13902">
        <v>4.34</v>
      </c>
    </row>
    <row r="13903" spans="1:10" hidden="1">
      <c r="A13903" t="s">
        <v>8407</v>
      </c>
      <c r="B13903" t="s">
        <v>8408</v>
      </c>
      <c r="C13903" t="s">
        <v>6839</v>
      </c>
      <c r="D13903" t="s">
        <v>271</v>
      </c>
      <c r="E13903" t="s">
        <v>557</v>
      </c>
      <c r="F13903" t="s">
        <v>1068</v>
      </c>
      <c r="G13903" t="s">
        <v>1071</v>
      </c>
      <c r="H13903" s="171" t="s">
        <v>8409</v>
      </c>
      <c r="I13903" t="s">
        <v>1072</v>
      </c>
      <c r="J13903">
        <v>4.34</v>
      </c>
    </row>
    <row r="13904" spans="1:10" hidden="1">
      <c r="A13904" t="s">
        <v>8407</v>
      </c>
      <c r="B13904" t="s">
        <v>8408</v>
      </c>
      <c r="C13904" t="s">
        <v>6839</v>
      </c>
      <c r="D13904" t="s">
        <v>271</v>
      </c>
      <c r="E13904" t="s">
        <v>557</v>
      </c>
      <c r="F13904" t="s">
        <v>1068</v>
      </c>
      <c r="G13904" t="s">
        <v>1073</v>
      </c>
      <c r="H13904" s="171" t="s">
        <v>8410</v>
      </c>
      <c r="I13904" t="s">
        <v>1074</v>
      </c>
      <c r="J13904">
        <v>4.34</v>
      </c>
    </row>
    <row r="13905" spans="1:10" hidden="1">
      <c r="A13905" t="s">
        <v>8407</v>
      </c>
      <c r="B13905" t="s">
        <v>8408</v>
      </c>
      <c r="C13905" t="s">
        <v>6839</v>
      </c>
      <c r="D13905" t="s">
        <v>271</v>
      </c>
      <c r="E13905" t="s">
        <v>557</v>
      </c>
      <c r="F13905" t="s">
        <v>1068</v>
      </c>
      <c r="G13905" t="s">
        <v>1075</v>
      </c>
      <c r="H13905" s="171" t="s">
        <v>8411</v>
      </c>
      <c r="I13905" t="s">
        <v>1077</v>
      </c>
      <c r="J13905">
        <v>4.34</v>
      </c>
    </row>
    <row r="13906" spans="1:10" hidden="1">
      <c r="A13906" t="s">
        <v>8407</v>
      </c>
      <c r="B13906" t="s">
        <v>8408</v>
      </c>
      <c r="C13906" t="s">
        <v>6839</v>
      </c>
      <c r="D13906" t="s">
        <v>271</v>
      </c>
      <c r="E13906" t="s">
        <v>557</v>
      </c>
      <c r="F13906" t="s">
        <v>1068</v>
      </c>
      <c r="G13906" t="s">
        <v>1078</v>
      </c>
      <c r="H13906">
        <v>4.0394140526455E-2</v>
      </c>
      <c r="I13906" t="s">
        <v>1079</v>
      </c>
      <c r="J13906">
        <v>4.34</v>
      </c>
    </row>
    <row r="13907" spans="1:10" hidden="1">
      <c r="A13907" t="s">
        <v>8407</v>
      </c>
      <c r="B13907" t="s">
        <v>8408</v>
      </c>
      <c r="C13907" t="s">
        <v>6839</v>
      </c>
      <c r="D13907" t="s">
        <v>271</v>
      </c>
      <c r="E13907" t="s">
        <v>557</v>
      </c>
      <c r="F13907" t="s">
        <v>1068</v>
      </c>
      <c r="G13907" t="s">
        <v>1080</v>
      </c>
      <c r="H13907" s="171" t="s">
        <v>8412</v>
      </c>
      <c r="I13907" t="s">
        <v>1082</v>
      </c>
      <c r="J13907">
        <v>4.34</v>
      </c>
    </row>
    <row r="13908" spans="1:10" hidden="1">
      <c r="A13908" t="s">
        <v>8407</v>
      </c>
      <c r="B13908" t="s">
        <v>8408</v>
      </c>
      <c r="C13908" t="s">
        <v>6839</v>
      </c>
      <c r="D13908" t="s">
        <v>271</v>
      </c>
      <c r="E13908" t="s">
        <v>557</v>
      </c>
      <c r="F13908" t="s">
        <v>1068</v>
      </c>
      <c r="G13908" t="s">
        <v>1083</v>
      </c>
      <c r="H13908" s="171" t="s">
        <v>8413</v>
      </c>
      <c r="I13908" t="s">
        <v>1084</v>
      </c>
      <c r="J13908">
        <v>4.34</v>
      </c>
    </row>
    <row r="13909" spans="1:10" hidden="1">
      <c r="A13909" t="s">
        <v>8407</v>
      </c>
      <c r="B13909" t="s">
        <v>8408</v>
      </c>
      <c r="C13909" t="s">
        <v>6839</v>
      </c>
      <c r="D13909" t="s">
        <v>271</v>
      </c>
      <c r="E13909" t="s">
        <v>557</v>
      </c>
      <c r="F13909" t="s">
        <v>1068</v>
      </c>
      <c r="G13909" t="s">
        <v>1085</v>
      </c>
      <c r="H13909">
        <v>3.7040603201801898E-4</v>
      </c>
      <c r="I13909" t="s">
        <v>1086</v>
      </c>
      <c r="J13909">
        <v>4.34</v>
      </c>
    </row>
    <row r="13910" spans="1:10" hidden="1">
      <c r="A13910" t="s">
        <v>8407</v>
      </c>
      <c r="B13910" t="s">
        <v>8408</v>
      </c>
      <c r="C13910" t="s">
        <v>6839</v>
      </c>
      <c r="D13910" t="s">
        <v>271</v>
      </c>
      <c r="E13910" t="s">
        <v>557</v>
      </c>
      <c r="F13910" t="s">
        <v>1068</v>
      </c>
      <c r="G13910" t="s">
        <v>1087</v>
      </c>
      <c r="H13910" s="171" t="s">
        <v>8414</v>
      </c>
      <c r="I13910" t="s">
        <v>1088</v>
      </c>
      <c r="J13910">
        <v>4.34</v>
      </c>
    </row>
    <row r="13911" spans="1:10" hidden="1">
      <c r="A13911" t="s">
        <v>8407</v>
      </c>
      <c r="B13911" t="s">
        <v>8408</v>
      </c>
      <c r="C13911" t="s">
        <v>6839</v>
      </c>
      <c r="D13911" t="s">
        <v>271</v>
      </c>
      <c r="E13911" t="s">
        <v>557</v>
      </c>
      <c r="F13911" t="s">
        <v>1068</v>
      </c>
      <c r="G13911" t="s">
        <v>1089</v>
      </c>
      <c r="H13911">
        <v>1.08020091912697E-4</v>
      </c>
      <c r="I13911" t="s">
        <v>1090</v>
      </c>
      <c r="J13911">
        <v>4.34</v>
      </c>
    </row>
    <row r="13912" spans="1:10" hidden="1">
      <c r="A13912" t="s">
        <v>8415</v>
      </c>
      <c r="B13912" t="s">
        <v>8416</v>
      </c>
      <c r="C13912" t="s">
        <v>6839</v>
      </c>
      <c r="D13912" t="s">
        <v>271</v>
      </c>
      <c r="E13912" t="s">
        <v>559</v>
      </c>
      <c r="F13912" t="s">
        <v>1068</v>
      </c>
      <c r="G13912" t="s">
        <v>1069</v>
      </c>
      <c r="H13912">
        <v>6.7556926312945798E-2</v>
      </c>
      <c r="I13912" t="s">
        <v>1070</v>
      </c>
      <c r="J13912">
        <v>4.24</v>
      </c>
    </row>
    <row r="13913" spans="1:10" hidden="1">
      <c r="A13913" t="s">
        <v>8415</v>
      </c>
      <c r="B13913" t="s">
        <v>8416</v>
      </c>
      <c r="C13913" t="s">
        <v>6839</v>
      </c>
      <c r="D13913" t="s">
        <v>271</v>
      </c>
      <c r="E13913" t="s">
        <v>559</v>
      </c>
      <c r="F13913" t="s">
        <v>1068</v>
      </c>
      <c r="G13913" t="s">
        <v>1071</v>
      </c>
      <c r="H13913" s="171" t="s">
        <v>8417</v>
      </c>
      <c r="I13913" t="s">
        <v>1072</v>
      </c>
      <c r="J13913">
        <v>4.24</v>
      </c>
    </row>
    <row r="13914" spans="1:10" hidden="1">
      <c r="A13914" t="s">
        <v>8415</v>
      </c>
      <c r="B13914" t="s">
        <v>8416</v>
      </c>
      <c r="C13914" t="s">
        <v>6839</v>
      </c>
      <c r="D13914" t="s">
        <v>271</v>
      </c>
      <c r="E13914" t="s">
        <v>559</v>
      </c>
      <c r="F13914" t="s">
        <v>1068</v>
      </c>
      <c r="G13914" t="s">
        <v>1073</v>
      </c>
      <c r="H13914" s="171" t="s">
        <v>8418</v>
      </c>
      <c r="I13914" t="s">
        <v>1074</v>
      </c>
      <c r="J13914">
        <v>4.24</v>
      </c>
    </row>
    <row r="13915" spans="1:10" hidden="1">
      <c r="A13915" t="s">
        <v>8415</v>
      </c>
      <c r="B13915" t="s">
        <v>8416</v>
      </c>
      <c r="C13915" t="s">
        <v>6839</v>
      </c>
      <c r="D13915" t="s">
        <v>271</v>
      </c>
      <c r="E13915" t="s">
        <v>559</v>
      </c>
      <c r="F13915" t="s">
        <v>1068</v>
      </c>
      <c r="G13915" t="s">
        <v>1075</v>
      </c>
      <c r="H13915">
        <v>1.0010496733478201E-2</v>
      </c>
      <c r="I13915" t="s">
        <v>1077</v>
      </c>
      <c r="J13915">
        <v>4.24</v>
      </c>
    </row>
    <row r="13916" spans="1:10" hidden="1">
      <c r="A13916" t="s">
        <v>8415</v>
      </c>
      <c r="B13916" t="s">
        <v>8416</v>
      </c>
      <c r="C13916" t="s">
        <v>6839</v>
      </c>
      <c r="D13916" t="s">
        <v>271</v>
      </c>
      <c r="E13916" t="s">
        <v>559</v>
      </c>
      <c r="F13916" t="s">
        <v>1068</v>
      </c>
      <c r="G13916" t="s">
        <v>1078</v>
      </c>
      <c r="H13916">
        <v>4.03965523029544E-2</v>
      </c>
      <c r="I13916" t="s">
        <v>1079</v>
      </c>
      <c r="J13916">
        <v>4.24</v>
      </c>
    </row>
    <row r="13917" spans="1:10" hidden="1">
      <c r="A13917" t="s">
        <v>8415</v>
      </c>
      <c r="B13917" t="s">
        <v>8416</v>
      </c>
      <c r="C13917" t="s">
        <v>6839</v>
      </c>
      <c r="D13917" t="s">
        <v>271</v>
      </c>
      <c r="E13917" t="s">
        <v>559</v>
      </c>
      <c r="F13917" t="s">
        <v>1068</v>
      </c>
      <c r="G13917" t="s">
        <v>1080</v>
      </c>
      <c r="H13917" s="171" t="s">
        <v>8419</v>
      </c>
      <c r="I13917" t="s">
        <v>1082</v>
      </c>
      <c r="J13917">
        <v>4.24</v>
      </c>
    </row>
    <row r="13918" spans="1:10" hidden="1">
      <c r="A13918" t="s">
        <v>8415</v>
      </c>
      <c r="B13918" t="s">
        <v>8416</v>
      </c>
      <c r="C13918" t="s">
        <v>6839</v>
      </c>
      <c r="D13918" t="s">
        <v>271</v>
      </c>
      <c r="E13918" t="s">
        <v>559</v>
      </c>
      <c r="F13918" t="s">
        <v>1068</v>
      </c>
      <c r="G13918" t="s">
        <v>1083</v>
      </c>
      <c r="H13918" s="171" t="s">
        <v>8420</v>
      </c>
      <c r="I13918" t="s">
        <v>1084</v>
      </c>
      <c r="J13918">
        <v>4.24</v>
      </c>
    </row>
    <row r="13919" spans="1:10" hidden="1">
      <c r="A13919" t="s">
        <v>8415</v>
      </c>
      <c r="B13919" t="s">
        <v>8416</v>
      </c>
      <c r="C13919" t="s">
        <v>6839</v>
      </c>
      <c r="D13919" t="s">
        <v>271</v>
      </c>
      <c r="E13919" t="s">
        <v>559</v>
      </c>
      <c r="F13919" t="s">
        <v>1068</v>
      </c>
      <c r="G13919" t="s">
        <v>1085</v>
      </c>
      <c r="H13919">
        <v>3.7040906317579298E-4</v>
      </c>
      <c r="I13919" t="s">
        <v>1086</v>
      </c>
      <c r="J13919">
        <v>4.24</v>
      </c>
    </row>
    <row r="13920" spans="1:10" hidden="1">
      <c r="A13920" t="s">
        <v>8415</v>
      </c>
      <c r="B13920" t="s">
        <v>8416</v>
      </c>
      <c r="C13920" t="s">
        <v>6839</v>
      </c>
      <c r="D13920" t="s">
        <v>271</v>
      </c>
      <c r="E13920" t="s">
        <v>559</v>
      </c>
      <c r="F13920" t="s">
        <v>1068</v>
      </c>
      <c r="G13920" t="s">
        <v>1087</v>
      </c>
      <c r="H13920" s="171" t="s">
        <v>8421</v>
      </c>
      <c r="I13920" t="s">
        <v>1088</v>
      </c>
      <c r="J13920">
        <v>4.24</v>
      </c>
    </row>
    <row r="13921" spans="1:10" hidden="1">
      <c r="A13921" t="s">
        <v>8415</v>
      </c>
      <c r="B13921" t="s">
        <v>8416</v>
      </c>
      <c r="C13921" t="s">
        <v>6839</v>
      </c>
      <c r="D13921" t="s">
        <v>271</v>
      </c>
      <c r="E13921" t="s">
        <v>559</v>
      </c>
      <c r="F13921" t="s">
        <v>1068</v>
      </c>
      <c r="G13921" t="s">
        <v>1089</v>
      </c>
      <c r="H13921">
        <v>1.080207173677E-4</v>
      </c>
      <c r="I13921" t="s">
        <v>1090</v>
      </c>
      <c r="J13921">
        <v>4.24</v>
      </c>
    </row>
    <row r="13922" spans="1:10" hidden="1">
      <c r="A13922" t="s">
        <v>8422</v>
      </c>
      <c r="B13922" t="s">
        <v>8423</v>
      </c>
      <c r="C13922" t="s">
        <v>6839</v>
      </c>
      <c r="D13922" t="s">
        <v>271</v>
      </c>
      <c r="E13922" t="s">
        <v>560</v>
      </c>
      <c r="F13922" t="s">
        <v>1068</v>
      </c>
      <c r="G13922" t="s">
        <v>1069</v>
      </c>
      <c r="H13922">
        <v>6.7553690766902805E-2</v>
      </c>
      <c r="I13922" t="s">
        <v>1070</v>
      </c>
      <c r="J13922">
        <v>4.33</v>
      </c>
    </row>
    <row r="13923" spans="1:10" hidden="1">
      <c r="A13923" t="s">
        <v>8422</v>
      </c>
      <c r="B13923" t="s">
        <v>8423</v>
      </c>
      <c r="C13923" t="s">
        <v>6839</v>
      </c>
      <c r="D13923" t="s">
        <v>271</v>
      </c>
      <c r="E13923" t="s">
        <v>560</v>
      </c>
      <c r="F13923" t="s">
        <v>1068</v>
      </c>
      <c r="G13923" t="s">
        <v>1071</v>
      </c>
      <c r="H13923" s="171" t="s">
        <v>8424</v>
      </c>
      <c r="I13923" t="s">
        <v>1072</v>
      </c>
      <c r="J13923">
        <v>4.33</v>
      </c>
    </row>
    <row r="13924" spans="1:10" hidden="1">
      <c r="A13924" t="s">
        <v>8422</v>
      </c>
      <c r="B13924" t="s">
        <v>8423</v>
      </c>
      <c r="C13924" t="s">
        <v>6839</v>
      </c>
      <c r="D13924" t="s">
        <v>271</v>
      </c>
      <c r="E13924" t="s">
        <v>560</v>
      </c>
      <c r="F13924" t="s">
        <v>1068</v>
      </c>
      <c r="G13924" t="s">
        <v>1073</v>
      </c>
      <c r="H13924" s="171" t="s">
        <v>8425</v>
      </c>
      <c r="I13924" t="s">
        <v>1074</v>
      </c>
      <c r="J13924">
        <v>4.33</v>
      </c>
    </row>
    <row r="13925" spans="1:10" hidden="1">
      <c r="A13925" t="s">
        <v>8422</v>
      </c>
      <c r="B13925" t="s">
        <v>8423</v>
      </c>
      <c r="C13925" t="s">
        <v>6839</v>
      </c>
      <c r="D13925" t="s">
        <v>271</v>
      </c>
      <c r="E13925" t="s">
        <v>560</v>
      </c>
      <c r="F13925" t="s">
        <v>1068</v>
      </c>
      <c r="G13925" t="s">
        <v>1075</v>
      </c>
      <c r="H13925" s="171" t="s">
        <v>8426</v>
      </c>
      <c r="I13925" t="s">
        <v>1077</v>
      </c>
      <c r="J13925">
        <v>4.33</v>
      </c>
    </row>
    <row r="13926" spans="1:10" hidden="1">
      <c r="A13926" t="s">
        <v>8422</v>
      </c>
      <c r="B13926" t="s">
        <v>8423</v>
      </c>
      <c r="C13926" t="s">
        <v>6839</v>
      </c>
      <c r="D13926" t="s">
        <v>271</v>
      </c>
      <c r="E13926" t="s">
        <v>560</v>
      </c>
      <c r="F13926" t="s">
        <v>1068</v>
      </c>
      <c r="G13926" t="s">
        <v>1078</v>
      </c>
      <c r="H13926">
        <v>4.0395480727731303E-2</v>
      </c>
      <c r="I13926" t="s">
        <v>1079</v>
      </c>
      <c r="J13926">
        <v>4.33</v>
      </c>
    </row>
    <row r="13927" spans="1:10" hidden="1">
      <c r="A13927" t="s">
        <v>8422</v>
      </c>
      <c r="B13927" t="s">
        <v>8423</v>
      </c>
      <c r="C13927" t="s">
        <v>6839</v>
      </c>
      <c r="D13927" t="s">
        <v>271</v>
      </c>
      <c r="E13927" t="s">
        <v>560</v>
      </c>
      <c r="F13927" t="s">
        <v>1068</v>
      </c>
      <c r="G13927" t="s">
        <v>1080</v>
      </c>
      <c r="H13927" s="171" t="s">
        <v>8427</v>
      </c>
      <c r="I13927" t="s">
        <v>1082</v>
      </c>
      <c r="J13927">
        <v>4.33</v>
      </c>
    </row>
    <row r="13928" spans="1:10" hidden="1">
      <c r="A13928" t="s">
        <v>8422</v>
      </c>
      <c r="B13928" t="s">
        <v>8423</v>
      </c>
      <c r="C13928" t="s">
        <v>6839</v>
      </c>
      <c r="D13928" t="s">
        <v>271</v>
      </c>
      <c r="E13928" t="s">
        <v>560</v>
      </c>
      <c r="F13928" t="s">
        <v>1068</v>
      </c>
      <c r="G13928" t="s">
        <v>1083</v>
      </c>
      <c r="H13928" s="171" t="s">
        <v>8428</v>
      </c>
      <c r="I13928" t="s">
        <v>1084</v>
      </c>
      <c r="J13928">
        <v>4.33</v>
      </c>
    </row>
    <row r="13929" spans="1:10" hidden="1">
      <c r="A13929" t="s">
        <v>8422</v>
      </c>
      <c r="B13929" t="s">
        <v>8423</v>
      </c>
      <c r="C13929" t="s">
        <v>6839</v>
      </c>
      <c r="D13929" t="s">
        <v>271</v>
      </c>
      <c r="E13929" t="s">
        <v>560</v>
      </c>
      <c r="F13929" t="s">
        <v>1068</v>
      </c>
      <c r="G13929" t="s">
        <v>1085</v>
      </c>
      <c r="H13929">
        <v>3.7040771627480299E-4</v>
      </c>
      <c r="I13929" t="s">
        <v>1086</v>
      </c>
      <c r="J13929">
        <v>4.33</v>
      </c>
    </row>
    <row r="13930" spans="1:10" hidden="1">
      <c r="A13930" t="s">
        <v>8422</v>
      </c>
      <c r="B13930" t="s">
        <v>8423</v>
      </c>
      <c r="C13930" t="s">
        <v>6839</v>
      </c>
      <c r="D13930" t="s">
        <v>271</v>
      </c>
      <c r="E13930" t="s">
        <v>560</v>
      </c>
      <c r="F13930" t="s">
        <v>1068</v>
      </c>
      <c r="G13930" t="s">
        <v>1087</v>
      </c>
      <c r="H13930" s="171" t="s">
        <v>8429</v>
      </c>
      <c r="I13930" t="s">
        <v>1088</v>
      </c>
      <c r="J13930">
        <v>4.33</v>
      </c>
    </row>
    <row r="13931" spans="1:10" hidden="1">
      <c r="A13931" t="s">
        <v>8422</v>
      </c>
      <c r="B13931" t="s">
        <v>8423</v>
      </c>
      <c r="C13931" t="s">
        <v>6839</v>
      </c>
      <c r="D13931" t="s">
        <v>271</v>
      </c>
      <c r="E13931" t="s">
        <v>560</v>
      </c>
      <c r="F13931" t="s">
        <v>1068</v>
      </c>
      <c r="G13931" t="s">
        <v>1089</v>
      </c>
      <c r="H13931">
        <v>1.0802043937154599E-4</v>
      </c>
      <c r="I13931" t="s">
        <v>1090</v>
      </c>
      <c r="J13931">
        <v>4.33</v>
      </c>
    </row>
    <row r="13932" spans="1:10" hidden="1">
      <c r="A13932" t="s">
        <v>8430</v>
      </c>
      <c r="B13932" s="170" t="s">
        <v>8431</v>
      </c>
      <c r="C13932" t="s">
        <v>6839</v>
      </c>
      <c r="D13932" t="s">
        <v>271</v>
      </c>
      <c r="E13932" t="s">
        <v>1116</v>
      </c>
      <c r="F13932" t="s">
        <v>1068</v>
      </c>
      <c r="G13932" t="s">
        <v>1069</v>
      </c>
      <c r="H13932">
        <v>6.75507151328964E-2</v>
      </c>
      <c r="I13932" t="s">
        <v>1070</v>
      </c>
      <c r="J13932">
        <v>4.28</v>
      </c>
    </row>
    <row r="13933" spans="1:10" hidden="1">
      <c r="A13933" t="s">
        <v>8430</v>
      </c>
      <c r="B13933" s="170" t="s">
        <v>8431</v>
      </c>
      <c r="C13933" t="s">
        <v>6839</v>
      </c>
      <c r="D13933" t="s">
        <v>271</v>
      </c>
      <c r="E13933" t="s">
        <v>1116</v>
      </c>
      <c r="F13933" t="s">
        <v>1068</v>
      </c>
      <c r="G13933" t="s">
        <v>1071</v>
      </c>
      <c r="H13933" s="171" t="s">
        <v>8432</v>
      </c>
      <c r="I13933" t="s">
        <v>1072</v>
      </c>
      <c r="J13933">
        <v>4.28</v>
      </c>
    </row>
    <row r="13934" spans="1:10" hidden="1">
      <c r="A13934" t="s">
        <v>8430</v>
      </c>
      <c r="B13934" s="170" t="s">
        <v>8431</v>
      </c>
      <c r="C13934" t="s">
        <v>6839</v>
      </c>
      <c r="D13934" t="s">
        <v>271</v>
      </c>
      <c r="E13934" t="s">
        <v>1116</v>
      </c>
      <c r="F13934" t="s">
        <v>1068</v>
      </c>
      <c r="G13934" t="s">
        <v>1073</v>
      </c>
      <c r="H13934" s="171" t="s">
        <v>8433</v>
      </c>
      <c r="I13934" t="s">
        <v>1074</v>
      </c>
      <c r="J13934">
        <v>4.28</v>
      </c>
    </row>
    <row r="13935" spans="1:10" hidden="1">
      <c r="A13935" t="s">
        <v>8430</v>
      </c>
      <c r="B13935" s="170" t="s">
        <v>8431</v>
      </c>
      <c r="C13935" t="s">
        <v>6839</v>
      </c>
      <c r="D13935" t="s">
        <v>271</v>
      </c>
      <c r="E13935" t="s">
        <v>1116</v>
      </c>
      <c r="F13935" t="s">
        <v>1068</v>
      </c>
      <c r="G13935" t="s">
        <v>1075</v>
      </c>
      <c r="H13935" s="171" t="s">
        <v>8434</v>
      </c>
      <c r="I13935" t="s">
        <v>1077</v>
      </c>
      <c r="J13935">
        <v>4.28</v>
      </c>
    </row>
    <row r="13936" spans="1:10" hidden="1">
      <c r="A13936" t="s">
        <v>8430</v>
      </c>
      <c r="B13936" s="170" t="s">
        <v>8431</v>
      </c>
      <c r="C13936" t="s">
        <v>6839</v>
      </c>
      <c r="D13936" t="s">
        <v>271</v>
      </c>
      <c r="E13936" t="s">
        <v>1116</v>
      </c>
      <c r="F13936" t="s">
        <v>1068</v>
      </c>
      <c r="G13936" t="s">
        <v>1078</v>
      </c>
      <c r="H13936">
        <v>4.0391413082080801E-2</v>
      </c>
      <c r="I13936" t="s">
        <v>1079</v>
      </c>
      <c r="J13936">
        <v>4.28</v>
      </c>
    </row>
    <row r="13937" spans="1:10" hidden="1">
      <c r="A13937" t="s">
        <v>8430</v>
      </c>
      <c r="B13937" s="170" t="s">
        <v>8431</v>
      </c>
      <c r="C13937" t="s">
        <v>6839</v>
      </c>
      <c r="D13937" t="s">
        <v>271</v>
      </c>
      <c r="E13937" t="s">
        <v>1116</v>
      </c>
      <c r="F13937" t="s">
        <v>1068</v>
      </c>
      <c r="G13937" t="s">
        <v>1080</v>
      </c>
      <c r="H13937" s="171" t="s">
        <v>8435</v>
      </c>
      <c r="I13937" t="s">
        <v>1082</v>
      </c>
      <c r="J13937">
        <v>4.28</v>
      </c>
    </row>
    <row r="13938" spans="1:10" hidden="1">
      <c r="A13938" t="s">
        <v>8430</v>
      </c>
      <c r="B13938" s="170" t="s">
        <v>8431</v>
      </c>
      <c r="C13938" t="s">
        <v>6839</v>
      </c>
      <c r="D13938" t="s">
        <v>271</v>
      </c>
      <c r="E13938" t="s">
        <v>1116</v>
      </c>
      <c r="F13938" t="s">
        <v>1068</v>
      </c>
      <c r="G13938" t="s">
        <v>1083</v>
      </c>
      <c r="H13938" s="171" t="s">
        <v>8436</v>
      </c>
      <c r="I13938" t="s">
        <v>1084</v>
      </c>
      <c r="J13938">
        <v>4.28</v>
      </c>
    </row>
    <row r="13939" spans="1:10" hidden="1">
      <c r="A13939" t="s">
        <v>8430</v>
      </c>
      <c r="B13939" s="170" t="s">
        <v>8431</v>
      </c>
      <c r="C13939" t="s">
        <v>6839</v>
      </c>
      <c r="D13939" t="s">
        <v>271</v>
      </c>
      <c r="E13939" t="s">
        <v>1116</v>
      </c>
      <c r="F13939" t="s">
        <v>1068</v>
      </c>
      <c r="G13939" t="s">
        <v>1085</v>
      </c>
      <c r="H13939">
        <v>3.7040260438608798E-4</v>
      </c>
      <c r="I13939" t="s">
        <v>1086</v>
      </c>
      <c r="J13939">
        <v>4.28</v>
      </c>
    </row>
    <row r="13940" spans="1:10" hidden="1">
      <c r="A13940" t="s">
        <v>8430</v>
      </c>
      <c r="B13940" s="170" t="s">
        <v>8431</v>
      </c>
      <c r="C13940" t="s">
        <v>6839</v>
      </c>
      <c r="D13940" t="s">
        <v>271</v>
      </c>
      <c r="E13940" t="s">
        <v>1116</v>
      </c>
      <c r="F13940" t="s">
        <v>1068</v>
      </c>
      <c r="G13940" t="s">
        <v>1087</v>
      </c>
      <c r="H13940" s="171" t="s">
        <v>8437</v>
      </c>
      <c r="I13940" t="s">
        <v>1088</v>
      </c>
      <c r="J13940">
        <v>4.28</v>
      </c>
    </row>
    <row r="13941" spans="1:10" hidden="1">
      <c r="A13941" t="s">
        <v>8430</v>
      </c>
      <c r="B13941" s="170" t="s">
        <v>8431</v>
      </c>
      <c r="C13941" t="s">
        <v>6839</v>
      </c>
      <c r="D13941" t="s">
        <v>271</v>
      </c>
      <c r="E13941" t="s">
        <v>1116</v>
      </c>
      <c r="F13941" t="s">
        <v>1068</v>
      </c>
      <c r="G13941" t="s">
        <v>1089</v>
      </c>
      <c r="H13941">
        <v>1.08019384798998E-4</v>
      </c>
      <c r="I13941" t="s">
        <v>1090</v>
      </c>
      <c r="J13941">
        <v>4.28</v>
      </c>
    </row>
    <row r="13942" spans="1:10" hidden="1">
      <c r="A13942" t="s">
        <v>8438</v>
      </c>
      <c r="B13942" t="s">
        <v>8439</v>
      </c>
      <c r="C13942" t="s">
        <v>6839</v>
      </c>
      <c r="D13942" t="s">
        <v>3246</v>
      </c>
      <c r="E13942" t="s">
        <v>561</v>
      </c>
      <c r="F13942" t="s">
        <v>1068</v>
      </c>
      <c r="G13942" t="s">
        <v>1069</v>
      </c>
      <c r="H13942" s="171" t="s">
        <v>8440</v>
      </c>
      <c r="I13942" t="s">
        <v>1070</v>
      </c>
      <c r="J13942">
        <v>4.67</v>
      </c>
    </row>
    <row r="13943" spans="1:10" hidden="1">
      <c r="A13943" t="s">
        <v>8438</v>
      </c>
      <c r="B13943" t="s">
        <v>8439</v>
      </c>
      <c r="C13943" t="s">
        <v>6839</v>
      </c>
      <c r="D13943" t="s">
        <v>3246</v>
      </c>
      <c r="E13943" t="s">
        <v>561</v>
      </c>
      <c r="F13943" t="s">
        <v>1068</v>
      </c>
      <c r="G13943" t="s">
        <v>1071</v>
      </c>
      <c r="H13943" s="171" t="s">
        <v>8441</v>
      </c>
      <c r="I13943" t="s">
        <v>1072</v>
      </c>
      <c r="J13943">
        <v>4.67</v>
      </c>
    </row>
    <row r="13944" spans="1:10" hidden="1">
      <c r="A13944" t="s">
        <v>8438</v>
      </c>
      <c r="B13944" t="s">
        <v>8439</v>
      </c>
      <c r="C13944" t="s">
        <v>6839</v>
      </c>
      <c r="D13944" t="s">
        <v>3246</v>
      </c>
      <c r="E13944" t="s">
        <v>561</v>
      </c>
      <c r="F13944" t="s">
        <v>1068</v>
      </c>
      <c r="G13944" t="s">
        <v>1073</v>
      </c>
      <c r="H13944" s="171" t="s">
        <v>8442</v>
      </c>
      <c r="I13944" t="s">
        <v>1074</v>
      </c>
      <c r="J13944">
        <v>4.67</v>
      </c>
    </row>
    <row r="13945" spans="1:10" hidden="1">
      <c r="A13945" t="s">
        <v>8438</v>
      </c>
      <c r="B13945" t="s">
        <v>8439</v>
      </c>
      <c r="C13945" t="s">
        <v>6839</v>
      </c>
      <c r="D13945" t="s">
        <v>3246</v>
      </c>
      <c r="E13945" t="s">
        <v>561</v>
      </c>
      <c r="F13945" t="s">
        <v>1068</v>
      </c>
      <c r="G13945" t="s">
        <v>1075</v>
      </c>
      <c r="H13945">
        <v>4.2494335323975804E-3</v>
      </c>
      <c r="I13945" t="s">
        <v>1077</v>
      </c>
      <c r="J13945">
        <v>4.67</v>
      </c>
    </row>
    <row r="13946" spans="1:10" hidden="1">
      <c r="A13946" t="s">
        <v>8438</v>
      </c>
      <c r="B13946" t="s">
        <v>8439</v>
      </c>
      <c r="C13946" t="s">
        <v>6839</v>
      </c>
      <c r="D13946" t="s">
        <v>3246</v>
      </c>
      <c r="E13946" t="s">
        <v>561</v>
      </c>
      <c r="F13946" t="s">
        <v>1068</v>
      </c>
      <c r="G13946" t="s">
        <v>1078</v>
      </c>
      <c r="H13946">
        <v>4.8913810169324903E-2</v>
      </c>
      <c r="I13946" t="s">
        <v>1079</v>
      </c>
      <c r="J13946">
        <v>4.67</v>
      </c>
    </row>
    <row r="13947" spans="1:10" hidden="1">
      <c r="A13947" t="s">
        <v>8438</v>
      </c>
      <c r="B13947" t="s">
        <v>8439</v>
      </c>
      <c r="C13947" t="s">
        <v>6839</v>
      </c>
      <c r="D13947" t="s">
        <v>3246</v>
      </c>
      <c r="E13947" t="s">
        <v>561</v>
      </c>
      <c r="F13947" t="s">
        <v>1068</v>
      </c>
      <c r="G13947" t="s">
        <v>1080</v>
      </c>
      <c r="H13947" s="171" t="s">
        <v>8067</v>
      </c>
      <c r="I13947" t="s">
        <v>1082</v>
      </c>
      <c r="J13947">
        <v>4.67</v>
      </c>
    </row>
    <row r="13948" spans="1:10" hidden="1">
      <c r="A13948" t="s">
        <v>8438</v>
      </c>
      <c r="B13948" t="s">
        <v>8439</v>
      </c>
      <c r="C13948" t="s">
        <v>6839</v>
      </c>
      <c r="D13948" t="s">
        <v>3246</v>
      </c>
      <c r="E13948" t="s">
        <v>561</v>
      </c>
      <c r="F13948" t="s">
        <v>1068</v>
      </c>
      <c r="G13948" t="s">
        <v>1083</v>
      </c>
      <c r="H13948" s="171" t="s">
        <v>8443</v>
      </c>
      <c r="I13948" t="s">
        <v>1084</v>
      </c>
      <c r="J13948">
        <v>4.67</v>
      </c>
    </row>
    <row r="13949" spans="1:10" hidden="1">
      <c r="A13949" t="s">
        <v>8438</v>
      </c>
      <c r="B13949" t="s">
        <v>8439</v>
      </c>
      <c r="C13949" t="s">
        <v>6839</v>
      </c>
      <c r="D13949" t="s">
        <v>3246</v>
      </c>
      <c r="E13949" t="s">
        <v>561</v>
      </c>
      <c r="F13949" t="s">
        <v>1068</v>
      </c>
      <c r="G13949" t="s">
        <v>1085</v>
      </c>
      <c r="H13949">
        <v>1.54842625253615E-4</v>
      </c>
      <c r="I13949" t="s">
        <v>1086</v>
      </c>
      <c r="J13949">
        <v>4.67</v>
      </c>
    </row>
    <row r="13950" spans="1:10" hidden="1">
      <c r="A13950" t="s">
        <v>8438</v>
      </c>
      <c r="B13950" t="s">
        <v>8439</v>
      </c>
      <c r="C13950" t="s">
        <v>6839</v>
      </c>
      <c r="D13950" t="s">
        <v>3246</v>
      </c>
      <c r="E13950" t="s">
        <v>561</v>
      </c>
      <c r="F13950" t="s">
        <v>1068</v>
      </c>
      <c r="G13950" t="s">
        <v>1087</v>
      </c>
      <c r="H13950" s="171" t="s">
        <v>8069</v>
      </c>
      <c r="I13950" t="s">
        <v>1088</v>
      </c>
      <c r="J13950">
        <v>4.67</v>
      </c>
    </row>
    <row r="13951" spans="1:10" hidden="1">
      <c r="A13951" t="s">
        <v>8438</v>
      </c>
      <c r="B13951" t="s">
        <v>8439</v>
      </c>
      <c r="C13951" t="s">
        <v>6839</v>
      </c>
      <c r="D13951" t="s">
        <v>3246</v>
      </c>
      <c r="E13951" t="s">
        <v>561</v>
      </c>
      <c r="F13951" t="s">
        <v>1068</v>
      </c>
      <c r="G13951" t="s">
        <v>1089</v>
      </c>
      <c r="H13951" s="171" t="s">
        <v>8444</v>
      </c>
      <c r="I13951" t="s">
        <v>1090</v>
      </c>
      <c r="J13951">
        <v>4.67</v>
      </c>
    </row>
    <row r="13952" spans="1:10" hidden="1">
      <c r="A13952" t="s">
        <v>8445</v>
      </c>
      <c r="B13952" t="s">
        <v>8446</v>
      </c>
      <c r="C13952" t="s">
        <v>6839</v>
      </c>
      <c r="D13952" t="s">
        <v>3246</v>
      </c>
      <c r="E13952" t="s">
        <v>555</v>
      </c>
      <c r="F13952" t="s">
        <v>1068</v>
      </c>
      <c r="G13952" t="s">
        <v>1069</v>
      </c>
      <c r="H13952" s="171" t="s">
        <v>8447</v>
      </c>
      <c r="I13952" t="s">
        <v>1070</v>
      </c>
      <c r="J13952">
        <v>4.49</v>
      </c>
    </row>
    <row r="13953" spans="1:10" hidden="1">
      <c r="A13953" t="s">
        <v>8445</v>
      </c>
      <c r="B13953" t="s">
        <v>8446</v>
      </c>
      <c r="C13953" t="s">
        <v>6839</v>
      </c>
      <c r="D13953" t="s">
        <v>3246</v>
      </c>
      <c r="E13953" t="s">
        <v>555</v>
      </c>
      <c r="F13953" t="s">
        <v>1068</v>
      </c>
      <c r="G13953" t="s">
        <v>1071</v>
      </c>
      <c r="H13953" s="171" t="s">
        <v>8448</v>
      </c>
      <c r="I13953" t="s">
        <v>1072</v>
      </c>
      <c r="J13953">
        <v>4.49</v>
      </c>
    </row>
    <row r="13954" spans="1:10" hidden="1">
      <c r="A13954" t="s">
        <v>8445</v>
      </c>
      <c r="B13954" t="s">
        <v>8446</v>
      </c>
      <c r="C13954" t="s">
        <v>6839</v>
      </c>
      <c r="D13954" t="s">
        <v>3246</v>
      </c>
      <c r="E13954" t="s">
        <v>555</v>
      </c>
      <c r="F13954" t="s">
        <v>1068</v>
      </c>
      <c r="G13954" t="s">
        <v>1073</v>
      </c>
      <c r="H13954" s="171" t="s">
        <v>8449</v>
      </c>
      <c r="I13954" t="s">
        <v>1074</v>
      </c>
      <c r="J13954">
        <v>4.49</v>
      </c>
    </row>
    <row r="13955" spans="1:10" hidden="1">
      <c r="A13955" t="s">
        <v>8445</v>
      </c>
      <c r="B13955" t="s">
        <v>8446</v>
      </c>
      <c r="C13955" t="s">
        <v>6839</v>
      </c>
      <c r="D13955" t="s">
        <v>3246</v>
      </c>
      <c r="E13955" t="s">
        <v>555</v>
      </c>
      <c r="F13955" t="s">
        <v>1068</v>
      </c>
      <c r="G13955" t="s">
        <v>1075</v>
      </c>
      <c r="H13955">
        <v>4.2499159151321401E-3</v>
      </c>
      <c r="I13955" t="s">
        <v>1077</v>
      </c>
      <c r="J13955">
        <v>4.49</v>
      </c>
    </row>
    <row r="13956" spans="1:10" hidden="1">
      <c r="A13956" t="s">
        <v>8445</v>
      </c>
      <c r="B13956" t="s">
        <v>8446</v>
      </c>
      <c r="C13956" t="s">
        <v>6839</v>
      </c>
      <c r="D13956" t="s">
        <v>3246</v>
      </c>
      <c r="E13956" t="s">
        <v>555</v>
      </c>
      <c r="F13956" t="s">
        <v>1068</v>
      </c>
      <c r="G13956" t="s">
        <v>1078</v>
      </c>
      <c r="H13956" s="171" t="s">
        <v>8450</v>
      </c>
      <c r="I13956" t="s">
        <v>1079</v>
      </c>
      <c r="J13956">
        <v>4.49</v>
      </c>
    </row>
    <row r="13957" spans="1:10" hidden="1">
      <c r="A13957" t="s">
        <v>8445</v>
      </c>
      <c r="B13957" t="s">
        <v>8446</v>
      </c>
      <c r="C13957" t="s">
        <v>6839</v>
      </c>
      <c r="D13957" t="s">
        <v>3246</v>
      </c>
      <c r="E13957" t="s">
        <v>555</v>
      </c>
      <c r="F13957" t="s">
        <v>1068</v>
      </c>
      <c r="G13957" t="s">
        <v>1080</v>
      </c>
      <c r="H13957" s="171" t="s">
        <v>8451</v>
      </c>
      <c r="I13957" t="s">
        <v>1082</v>
      </c>
      <c r="J13957">
        <v>4.49</v>
      </c>
    </row>
    <row r="13958" spans="1:10" hidden="1">
      <c r="A13958" t="s">
        <v>8445</v>
      </c>
      <c r="B13958" t="s">
        <v>8446</v>
      </c>
      <c r="C13958" t="s">
        <v>6839</v>
      </c>
      <c r="D13958" t="s">
        <v>3246</v>
      </c>
      <c r="E13958" t="s">
        <v>555</v>
      </c>
      <c r="F13958" t="s">
        <v>1068</v>
      </c>
      <c r="G13958" t="s">
        <v>1083</v>
      </c>
      <c r="H13958" s="171" t="s">
        <v>8452</v>
      </c>
      <c r="I13958" t="s">
        <v>1084</v>
      </c>
      <c r="J13958">
        <v>4.49</v>
      </c>
    </row>
    <row r="13959" spans="1:10" hidden="1">
      <c r="A13959" t="s">
        <v>8445</v>
      </c>
      <c r="B13959" t="s">
        <v>8446</v>
      </c>
      <c r="C13959" t="s">
        <v>6839</v>
      </c>
      <c r="D13959" t="s">
        <v>3246</v>
      </c>
      <c r="E13959" t="s">
        <v>555</v>
      </c>
      <c r="F13959" t="s">
        <v>1068</v>
      </c>
      <c r="G13959" t="s">
        <v>1085</v>
      </c>
      <c r="H13959">
        <v>1.54868836459684E-4</v>
      </c>
      <c r="I13959" t="s">
        <v>1086</v>
      </c>
      <c r="J13959">
        <v>4.49</v>
      </c>
    </row>
    <row r="13960" spans="1:10" hidden="1">
      <c r="A13960" t="s">
        <v>8445</v>
      </c>
      <c r="B13960" t="s">
        <v>8446</v>
      </c>
      <c r="C13960" t="s">
        <v>6839</v>
      </c>
      <c r="D13960" t="s">
        <v>3246</v>
      </c>
      <c r="E13960" t="s">
        <v>555</v>
      </c>
      <c r="F13960" t="s">
        <v>1068</v>
      </c>
      <c r="G13960" t="s">
        <v>1087</v>
      </c>
      <c r="H13960" s="171" t="s">
        <v>8453</v>
      </c>
      <c r="I13960" t="s">
        <v>1088</v>
      </c>
      <c r="J13960">
        <v>4.49</v>
      </c>
    </row>
    <row r="13961" spans="1:10" hidden="1">
      <c r="A13961" t="s">
        <v>8445</v>
      </c>
      <c r="B13961" t="s">
        <v>8446</v>
      </c>
      <c r="C13961" t="s">
        <v>6839</v>
      </c>
      <c r="D13961" t="s">
        <v>3246</v>
      </c>
      <c r="E13961" t="s">
        <v>555</v>
      </c>
      <c r="F13961" t="s">
        <v>1068</v>
      </c>
      <c r="G13961" t="s">
        <v>1089</v>
      </c>
      <c r="H13961" s="171" t="s">
        <v>8454</v>
      </c>
      <c r="I13961" t="s">
        <v>1090</v>
      </c>
      <c r="J13961">
        <v>4.49</v>
      </c>
    </row>
    <row r="13962" spans="1:10" hidden="1">
      <c r="A13962" t="s">
        <v>8455</v>
      </c>
      <c r="B13962" t="s">
        <v>8456</v>
      </c>
      <c r="C13962" t="s">
        <v>6839</v>
      </c>
      <c r="D13962" t="s">
        <v>3246</v>
      </c>
      <c r="E13962" t="s">
        <v>558</v>
      </c>
      <c r="F13962" t="s">
        <v>1068</v>
      </c>
      <c r="G13962" t="s">
        <v>1069</v>
      </c>
      <c r="H13962" s="171" t="s">
        <v>8457</v>
      </c>
      <c r="I13962" t="s">
        <v>1070</v>
      </c>
      <c r="J13962">
        <v>4.37</v>
      </c>
    </row>
    <row r="13963" spans="1:10" hidden="1">
      <c r="A13963" t="s">
        <v>8455</v>
      </c>
      <c r="B13963" t="s">
        <v>8456</v>
      </c>
      <c r="C13963" t="s">
        <v>6839</v>
      </c>
      <c r="D13963" t="s">
        <v>3246</v>
      </c>
      <c r="E13963" t="s">
        <v>558</v>
      </c>
      <c r="F13963" t="s">
        <v>1068</v>
      </c>
      <c r="G13963" t="s">
        <v>1071</v>
      </c>
      <c r="H13963" s="171" t="s">
        <v>8458</v>
      </c>
      <c r="I13963" t="s">
        <v>1072</v>
      </c>
      <c r="J13963">
        <v>4.37</v>
      </c>
    </row>
    <row r="13964" spans="1:10" hidden="1">
      <c r="A13964" t="s">
        <v>8455</v>
      </c>
      <c r="B13964" t="s">
        <v>8456</v>
      </c>
      <c r="C13964" t="s">
        <v>6839</v>
      </c>
      <c r="D13964" t="s">
        <v>3246</v>
      </c>
      <c r="E13964" t="s">
        <v>558</v>
      </c>
      <c r="F13964" t="s">
        <v>1068</v>
      </c>
      <c r="G13964" t="s">
        <v>1073</v>
      </c>
      <c r="H13964" s="171" t="s">
        <v>8459</v>
      </c>
      <c r="I13964" t="s">
        <v>1074</v>
      </c>
      <c r="J13964">
        <v>4.37</v>
      </c>
    </row>
    <row r="13965" spans="1:10" hidden="1">
      <c r="A13965" t="s">
        <v>8455</v>
      </c>
      <c r="B13965" t="s">
        <v>8456</v>
      </c>
      <c r="C13965" t="s">
        <v>6839</v>
      </c>
      <c r="D13965" t="s">
        <v>3246</v>
      </c>
      <c r="E13965" t="s">
        <v>558</v>
      </c>
      <c r="F13965" t="s">
        <v>1068</v>
      </c>
      <c r="G13965" t="s">
        <v>1075</v>
      </c>
      <c r="H13965">
        <v>4.2493931598789701E-3</v>
      </c>
      <c r="I13965" t="s">
        <v>1077</v>
      </c>
      <c r="J13965">
        <v>4.37</v>
      </c>
    </row>
    <row r="13966" spans="1:10" hidden="1">
      <c r="A13966" t="s">
        <v>8455</v>
      </c>
      <c r="B13966" t="s">
        <v>8456</v>
      </c>
      <c r="C13966" t="s">
        <v>6839</v>
      </c>
      <c r="D13966" t="s">
        <v>3246</v>
      </c>
      <c r="E13966" t="s">
        <v>558</v>
      </c>
      <c r="F13966" t="s">
        <v>1068</v>
      </c>
      <c r="G13966" t="s">
        <v>1078</v>
      </c>
      <c r="H13966">
        <v>4.8912064305887397E-2</v>
      </c>
      <c r="I13966" t="s">
        <v>1079</v>
      </c>
      <c r="J13966">
        <v>4.37</v>
      </c>
    </row>
    <row r="13967" spans="1:10" hidden="1">
      <c r="A13967" t="s">
        <v>8455</v>
      </c>
      <c r="B13967" t="s">
        <v>8456</v>
      </c>
      <c r="C13967" t="s">
        <v>6839</v>
      </c>
      <c r="D13967" t="s">
        <v>3246</v>
      </c>
      <c r="E13967" t="s">
        <v>558</v>
      </c>
      <c r="F13967" t="s">
        <v>1068</v>
      </c>
      <c r="G13967" t="s">
        <v>1080</v>
      </c>
      <c r="H13967" s="171" t="s">
        <v>8152</v>
      </c>
      <c r="I13967" t="s">
        <v>1082</v>
      </c>
      <c r="J13967">
        <v>4.37</v>
      </c>
    </row>
    <row r="13968" spans="1:10" hidden="1">
      <c r="A13968" t="s">
        <v>8455</v>
      </c>
      <c r="B13968" t="s">
        <v>8456</v>
      </c>
      <c r="C13968" t="s">
        <v>6839</v>
      </c>
      <c r="D13968" t="s">
        <v>3246</v>
      </c>
      <c r="E13968" t="s">
        <v>558</v>
      </c>
      <c r="F13968" t="s">
        <v>1068</v>
      </c>
      <c r="G13968" t="s">
        <v>1083</v>
      </c>
      <c r="H13968" s="171" t="s">
        <v>8460</v>
      </c>
      <c r="I13968" t="s">
        <v>1084</v>
      </c>
      <c r="J13968">
        <v>4.37</v>
      </c>
    </row>
    <row r="13969" spans="1:10" hidden="1">
      <c r="A13969" t="s">
        <v>8455</v>
      </c>
      <c r="B13969" t="s">
        <v>8456</v>
      </c>
      <c r="C13969" t="s">
        <v>6839</v>
      </c>
      <c r="D13969" t="s">
        <v>3246</v>
      </c>
      <c r="E13969" t="s">
        <v>558</v>
      </c>
      <c r="F13969" t="s">
        <v>1068</v>
      </c>
      <c r="G13969" t="s">
        <v>1085</v>
      </c>
      <c r="H13969">
        <v>1.54840431193372E-4</v>
      </c>
      <c r="I13969" t="s">
        <v>1086</v>
      </c>
      <c r="J13969">
        <v>4.37</v>
      </c>
    </row>
    <row r="13970" spans="1:10" hidden="1">
      <c r="A13970" t="s">
        <v>8455</v>
      </c>
      <c r="B13970" t="s">
        <v>8456</v>
      </c>
      <c r="C13970" t="s">
        <v>6839</v>
      </c>
      <c r="D13970" t="s">
        <v>3246</v>
      </c>
      <c r="E13970" t="s">
        <v>558</v>
      </c>
      <c r="F13970" t="s">
        <v>1068</v>
      </c>
      <c r="G13970" t="s">
        <v>1087</v>
      </c>
      <c r="H13970" s="171" t="s">
        <v>7935</v>
      </c>
      <c r="I13970" t="s">
        <v>1088</v>
      </c>
      <c r="J13970">
        <v>4.37</v>
      </c>
    </row>
    <row r="13971" spans="1:10" hidden="1">
      <c r="A13971" t="s">
        <v>8455</v>
      </c>
      <c r="B13971" t="s">
        <v>8456</v>
      </c>
      <c r="C13971" t="s">
        <v>6839</v>
      </c>
      <c r="D13971" t="s">
        <v>3246</v>
      </c>
      <c r="E13971" t="s">
        <v>558</v>
      </c>
      <c r="F13971" t="s">
        <v>1068</v>
      </c>
      <c r="G13971" t="s">
        <v>1089</v>
      </c>
      <c r="H13971" s="171" t="s">
        <v>8461</v>
      </c>
      <c r="I13971" t="s">
        <v>1090</v>
      </c>
      <c r="J13971">
        <v>4.37</v>
      </c>
    </row>
    <row r="13972" spans="1:10" hidden="1">
      <c r="A13972" t="s">
        <v>8462</v>
      </c>
      <c r="B13972" t="s">
        <v>8463</v>
      </c>
      <c r="C13972" t="s">
        <v>6839</v>
      </c>
      <c r="D13972" t="s">
        <v>3246</v>
      </c>
      <c r="E13972" t="s">
        <v>553</v>
      </c>
      <c r="F13972" t="s">
        <v>1068</v>
      </c>
      <c r="G13972" t="s">
        <v>1069</v>
      </c>
      <c r="H13972" s="171" t="s">
        <v>8464</v>
      </c>
      <c r="I13972" t="s">
        <v>1070</v>
      </c>
      <c r="J13972">
        <v>4.95</v>
      </c>
    </row>
    <row r="13973" spans="1:10" hidden="1">
      <c r="A13973" t="s">
        <v>8462</v>
      </c>
      <c r="B13973" t="s">
        <v>8463</v>
      </c>
      <c r="C13973" t="s">
        <v>6839</v>
      </c>
      <c r="D13973" t="s">
        <v>3246</v>
      </c>
      <c r="E13973" t="s">
        <v>553</v>
      </c>
      <c r="F13973" t="s">
        <v>1068</v>
      </c>
      <c r="G13973" t="s">
        <v>1071</v>
      </c>
      <c r="H13973" s="171" t="s">
        <v>8465</v>
      </c>
      <c r="I13973" t="s">
        <v>1072</v>
      </c>
      <c r="J13973">
        <v>4.95</v>
      </c>
    </row>
    <row r="13974" spans="1:10" hidden="1">
      <c r="A13974" t="s">
        <v>8462</v>
      </c>
      <c r="B13974" t="s">
        <v>8463</v>
      </c>
      <c r="C13974" t="s">
        <v>6839</v>
      </c>
      <c r="D13974" t="s">
        <v>3246</v>
      </c>
      <c r="E13974" t="s">
        <v>553</v>
      </c>
      <c r="F13974" t="s">
        <v>1068</v>
      </c>
      <c r="G13974" t="s">
        <v>1073</v>
      </c>
      <c r="H13974" s="171" t="s">
        <v>8466</v>
      </c>
      <c r="I13974" t="s">
        <v>1074</v>
      </c>
      <c r="J13974">
        <v>4.95</v>
      </c>
    </row>
    <row r="13975" spans="1:10" hidden="1">
      <c r="A13975" t="s">
        <v>8462</v>
      </c>
      <c r="B13975" t="s">
        <v>8463</v>
      </c>
      <c r="C13975" t="s">
        <v>6839</v>
      </c>
      <c r="D13975" t="s">
        <v>3246</v>
      </c>
      <c r="E13975" t="s">
        <v>553</v>
      </c>
      <c r="F13975" t="s">
        <v>1068</v>
      </c>
      <c r="G13975" t="s">
        <v>1075</v>
      </c>
      <c r="H13975">
        <v>4.2493767808246402E-3</v>
      </c>
      <c r="I13975" t="s">
        <v>1077</v>
      </c>
      <c r="J13975">
        <v>4.95</v>
      </c>
    </row>
    <row r="13976" spans="1:10" hidden="1">
      <c r="A13976" t="s">
        <v>8462</v>
      </c>
      <c r="B13976" t="s">
        <v>8463</v>
      </c>
      <c r="C13976" t="s">
        <v>6839</v>
      </c>
      <c r="D13976" t="s">
        <v>3246</v>
      </c>
      <c r="E13976" t="s">
        <v>553</v>
      </c>
      <c r="F13976" t="s">
        <v>1068</v>
      </c>
      <c r="G13976" t="s">
        <v>1078</v>
      </c>
      <c r="H13976">
        <v>4.89113522447885E-2</v>
      </c>
      <c r="I13976" t="s">
        <v>1079</v>
      </c>
      <c r="J13976">
        <v>4.95</v>
      </c>
    </row>
    <row r="13977" spans="1:10" hidden="1">
      <c r="A13977" t="s">
        <v>8462</v>
      </c>
      <c r="B13977" t="s">
        <v>8463</v>
      </c>
      <c r="C13977" t="s">
        <v>6839</v>
      </c>
      <c r="D13977" t="s">
        <v>3246</v>
      </c>
      <c r="E13977" t="s">
        <v>553</v>
      </c>
      <c r="F13977" t="s">
        <v>1068</v>
      </c>
      <c r="G13977" t="s">
        <v>1080</v>
      </c>
      <c r="H13977" s="171" t="s">
        <v>8467</v>
      </c>
      <c r="I13977" t="s">
        <v>1082</v>
      </c>
      <c r="J13977">
        <v>4.95</v>
      </c>
    </row>
    <row r="13978" spans="1:10" hidden="1">
      <c r="A13978" t="s">
        <v>8462</v>
      </c>
      <c r="B13978" t="s">
        <v>8463</v>
      </c>
      <c r="C13978" t="s">
        <v>6839</v>
      </c>
      <c r="D13978" t="s">
        <v>3246</v>
      </c>
      <c r="E13978" t="s">
        <v>553</v>
      </c>
      <c r="F13978" t="s">
        <v>1068</v>
      </c>
      <c r="G13978" t="s">
        <v>1083</v>
      </c>
      <c r="H13978" s="171" t="s">
        <v>8468</v>
      </c>
      <c r="I13978" t="s">
        <v>1084</v>
      </c>
      <c r="J13978">
        <v>4.95</v>
      </c>
    </row>
    <row r="13979" spans="1:10" hidden="1">
      <c r="A13979" t="s">
        <v>8462</v>
      </c>
      <c r="B13979" t="s">
        <v>8463</v>
      </c>
      <c r="C13979" t="s">
        <v>6839</v>
      </c>
      <c r="D13979" t="s">
        <v>3246</v>
      </c>
      <c r="E13979" t="s">
        <v>553</v>
      </c>
      <c r="F13979" t="s">
        <v>1068</v>
      </c>
      <c r="G13979" t="s">
        <v>1085</v>
      </c>
      <c r="H13979">
        <v>1.5483953699583599E-4</v>
      </c>
      <c r="I13979" t="s">
        <v>1086</v>
      </c>
      <c r="J13979">
        <v>4.95</v>
      </c>
    </row>
    <row r="13980" spans="1:10" hidden="1">
      <c r="A13980" t="s">
        <v>8462</v>
      </c>
      <c r="B13980" t="s">
        <v>8463</v>
      </c>
      <c r="C13980" t="s">
        <v>6839</v>
      </c>
      <c r="D13980" t="s">
        <v>3246</v>
      </c>
      <c r="E13980" t="s">
        <v>553</v>
      </c>
      <c r="F13980" t="s">
        <v>1068</v>
      </c>
      <c r="G13980" t="s">
        <v>1087</v>
      </c>
      <c r="H13980" s="171" t="s">
        <v>8469</v>
      </c>
      <c r="I13980" t="s">
        <v>1088</v>
      </c>
      <c r="J13980">
        <v>4.95</v>
      </c>
    </row>
    <row r="13981" spans="1:10" hidden="1">
      <c r="A13981" t="s">
        <v>8462</v>
      </c>
      <c r="B13981" t="s">
        <v>8463</v>
      </c>
      <c r="C13981" t="s">
        <v>6839</v>
      </c>
      <c r="D13981" t="s">
        <v>3246</v>
      </c>
      <c r="E13981" t="s">
        <v>553</v>
      </c>
      <c r="F13981" t="s">
        <v>1068</v>
      </c>
      <c r="G13981" t="s">
        <v>1089</v>
      </c>
      <c r="H13981" s="171" t="s">
        <v>8470</v>
      </c>
      <c r="I13981" t="s">
        <v>1090</v>
      </c>
      <c r="J13981">
        <v>4.95</v>
      </c>
    </row>
    <row r="13982" spans="1:10" hidden="1">
      <c r="A13982" t="s">
        <v>8471</v>
      </c>
      <c r="B13982" t="s">
        <v>8472</v>
      </c>
      <c r="C13982" t="s">
        <v>6839</v>
      </c>
      <c r="D13982" t="s">
        <v>3246</v>
      </c>
      <c r="E13982" t="s">
        <v>556</v>
      </c>
      <c r="F13982" t="s">
        <v>1068</v>
      </c>
      <c r="G13982" t="s">
        <v>1069</v>
      </c>
      <c r="H13982" s="171" t="s">
        <v>8473</v>
      </c>
      <c r="I13982" t="s">
        <v>1070</v>
      </c>
      <c r="J13982">
        <v>6</v>
      </c>
    </row>
    <row r="13983" spans="1:10" hidden="1">
      <c r="A13983" t="s">
        <v>8471</v>
      </c>
      <c r="B13983" t="s">
        <v>8472</v>
      </c>
      <c r="C13983" t="s">
        <v>6839</v>
      </c>
      <c r="D13983" t="s">
        <v>3246</v>
      </c>
      <c r="E13983" t="s">
        <v>556</v>
      </c>
      <c r="F13983" t="s">
        <v>1068</v>
      </c>
      <c r="G13983" t="s">
        <v>1071</v>
      </c>
      <c r="H13983" s="171" t="s">
        <v>8474</v>
      </c>
      <c r="I13983" t="s">
        <v>1072</v>
      </c>
      <c r="J13983">
        <v>6</v>
      </c>
    </row>
    <row r="13984" spans="1:10" hidden="1">
      <c r="A13984" t="s">
        <v>8471</v>
      </c>
      <c r="B13984" t="s">
        <v>8472</v>
      </c>
      <c r="C13984" t="s">
        <v>6839</v>
      </c>
      <c r="D13984" t="s">
        <v>3246</v>
      </c>
      <c r="E13984" t="s">
        <v>556</v>
      </c>
      <c r="F13984" t="s">
        <v>1068</v>
      </c>
      <c r="G13984" t="s">
        <v>1073</v>
      </c>
      <c r="H13984" s="171" t="s">
        <v>8475</v>
      </c>
      <c r="I13984" t="s">
        <v>1074</v>
      </c>
      <c r="J13984">
        <v>6</v>
      </c>
    </row>
    <row r="13985" spans="1:10" hidden="1">
      <c r="A13985" t="s">
        <v>8471</v>
      </c>
      <c r="B13985" t="s">
        <v>8472</v>
      </c>
      <c r="C13985" t="s">
        <v>6839</v>
      </c>
      <c r="D13985" t="s">
        <v>3246</v>
      </c>
      <c r="E13985" t="s">
        <v>556</v>
      </c>
      <c r="F13985" t="s">
        <v>1068</v>
      </c>
      <c r="G13985" t="s">
        <v>1075</v>
      </c>
      <c r="H13985">
        <v>4.2498652406875196E-3</v>
      </c>
      <c r="I13985" t="s">
        <v>1077</v>
      </c>
      <c r="J13985">
        <v>6</v>
      </c>
    </row>
    <row r="13986" spans="1:10" hidden="1">
      <c r="A13986" t="s">
        <v>8471</v>
      </c>
      <c r="B13986" t="s">
        <v>8472</v>
      </c>
      <c r="C13986" t="s">
        <v>6839</v>
      </c>
      <c r="D13986" t="s">
        <v>3246</v>
      </c>
      <c r="E13986" t="s">
        <v>556</v>
      </c>
      <c r="F13986" t="s">
        <v>1068</v>
      </c>
      <c r="G13986" t="s">
        <v>1078</v>
      </c>
      <c r="H13986" s="171" t="s">
        <v>8476</v>
      </c>
      <c r="I13986" t="s">
        <v>1079</v>
      </c>
      <c r="J13986">
        <v>6</v>
      </c>
    </row>
    <row r="13987" spans="1:10" hidden="1">
      <c r="A13987" t="s">
        <v>8471</v>
      </c>
      <c r="B13987" t="s">
        <v>8472</v>
      </c>
      <c r="C13987" t="s">
        <v>6839</v>
      </c>
      <c r="D13987" t="s">
        <v>3246</v>
      </c>
      <c r="E13987" t="s">
        <v>556</v>
      </c>
      <c r="F13987" t="s">
        <v>1068</v>
      </c>
      <c r="G13987" t="s">
        <v>1080</v>
      </c>
      <c r="H13987" s="171" t="s">
        <v>8477</v>
      </c>
      <c r="I13987" t="s">
        <v>1082</v>
      </c>
      <c r="J13987">
        <v>6</v>
      </c>
    </row>
    <row r="13988" spans="1:10" hidden="1">
      <c r="A13988" t="s">
        <v>8471</v>
      </c>
      <c r="B13988" t="s">
        <v>8472</v>
      </c>
      <c r="C13988" t="s">
        <v>6839</v>
      </c>
      <c r="D13988" t="s">
        <v>3246</v>
      </c>
      <c r="E13988" t="s">
        <v>556</v>
      </c>
      <c r="F13988" t="s">
        <v>1068</v>
      </c>
      <c r="G13988" t="s">
        <v>1083</v>
      </c>
      <c r="H13988" s="171" t="s">
        <v>8478</v>
      </c>
      <c r="I13988" t="s">
        <v>1084</v>
      </c>
      <c r="J13988">
        <v>6</v>
      </c>
    </row>
    <row r="13989" spans="1:10" hidden="1">
      <c r="A13989" t="s">
        <v>8471</v>
      </c>
      <c r="B13989" t="s">
        <v>8472</v>
      </c>
      <c r="C13989" t="s">
        <v>6839</v>
      </c>
      <c r="D13989" t="s">
        <v>3246</v>
      </c>
      <c r="E13989" t="s">
        <v>556</v>
      </c>
      <c r="F13989" t="s">
        <v>1068</v>
      </c>
      <c r="G13989" t="s">
        <v>1085</v>
      </c>
      <c r="H13989">
        <v>1.5486608253723299E-4</v>
      </c>
      <c r="I13989" t="s">
        <v>1086</v>
      </c>
      <c r="J13989">
        <v>6</v>
      </c>
    </row>
    <row r="13990" spans="1:10" hidden="1">
      <c r="A13990" t="s">
        <v>8471</v>
      </c>
      <c r="B13990" t="s">
        <v>8472</v>
      </c>
      <c r="C13990" t="s">
        <v>6839</v>
      </c>
      <c r="D13990" t="s">
        <v>3246</v>
      </c>
      <c r="E13990" t="s">
        <v>556</v>
      </c>
      <c r="F13990" t="s">
        <v>1068</v>
      </c>
      <c r="G13990" t="s">
        <v>1087</v>
      </c>
      <c r="H13990" s="171" t="s">
        <v>8479</v>
      </c>
      <c r="I13990" t="s">
        <v>1088</v>
      </c>
      <c r="J13990">
        <v>6</v>
      </c>
    </row>
    <row r="13991" spans="1:10" hidden="1">
      <c r="A13991" t="s">
        <v>8471</v>
      </c>
      <c r="B13991" t="s">
        <v>8472</v>
      </c>
      <c r="C13991" t="s">
        <v>6839</v>
      </c>
      <c r="D13991" t="s">
        <v>3246</v>
      </c>
      <c r="E13991" t="s">
        <v>556</v>
      </c>
      <c r="F13991" t="s">
        <v>1068</v>
      </c>
      <c r="G13991" t="s">
        <v>1089</v>
      </c>
      <c r="H13991" s="171" t="s">
        <v>8480</v>
      </c>
      <c r="I13991" t="s">
        <v>1090</v>
      </c>
      <c r="J13991">
        <v>6</v>
      </c>
    </row>
    <row r="13992" spans="1:10" hidden="1">
      <c r="A13992" t="s">
        <v>8481</v>
      </c>
      <c r="B13992" t="s">
        <v>8482</v>
      </c>
      <c r="C13992" t="s">
        <v>6839</v>
      </c>
      <c r="D13992" t="s">
        <v>3246</v>
      </c>
      <c r="E13992" t="s">
        <v>557</v>
      </c>
      <c r="F13992" t="s">
        <v>1068</v>
      </c>
      <c r="G13992" t="s">
        <v>1069</v>
      </c>
      <c r="H13992" s="171" t="s">
        <v>8483</v>
      </c>
      <c r="I13992" t="s">
        <v>1070</v>
      </c>
      <c r="J13992">
        <v>4.29</v>
      </c>
    </row>
    <row r="13993" spans="1:10" hidden="1">
      <c r="A13993" t="s">
        <v>8481</v>
      </c>
      <c r="B13993" t="s">
        <v>8482</v>
      </c>
      <c r="C13993" t="s">
        <v>6839</v>
      </c>
      <c r="D13993" t="s">
        <v>3246</v>
      </c>
      <c r="E13993" t="s">
        <v>557</v>
      </c>
      <c r="F13993" t="s">
        <v>1068</v>
      </c>
      <c r="G13993" t="s">
        <v>1071</v>
      </c>
      <c r="H13993" s="171" t="s">
        <v>8484</v>
      </c>
      <c r="I13993" t="s">
        <v>1072</v>
      </c>
      <c r="J13993">
        <v>4.29</v>
      </c>
    </row>
    <row r="13994" spans="1:10" hidden="1">
      <c r="A13994" t="s">
        <v>8481</v>
      </c>
      <c r="B13994" t="s">
        <v>8482</v>
      </c>
      <c r="C13994" t="s">
        <v>6839</v>
      </c>
      <c r="D13994" t="s">
        <v>3246</v>
      </c>
      <c r="E13994" t="s">
        <v>557</v>
      </c>
      <c r="F13994" t="s">
        <v>1068</v>
      </c>
      <c r="G13994" t="s">
        <v>1073</v>
      </c>
      <c r="H13994" s="171" t="s">
        <v>8485</v>
      </c>
      <c r="I13994" t="s">
        <v>1074</v>
      </c>
      <c r="J13994">
        <v>4.29</v>
      </c>
    </row>
    <row r="13995" spans="1:10" hidden="1">
      <c r="A13995" t="s">
        <v>8481</v>
      </c>
      <c r="B13995" t="s">
        <v>8482</v>
      </c>
      <c r="C13995" t="s">
        <v>6839</v>
      </c>
      <c r="D13995" t="s">
        <v>3246</v>
      </c>
      <c r="E13995" t="s">
        <v>557</v>
      </c>
      <c r="F13995" t="s">
        <v>1068</v>
      </c>
      <c r="G13995" t="s">
        <v>1075</v>
      </c>
      <c r="H13995">
        <v>4.2495599159341002E-3</v>
      </c>
      <c r="I13995" t="s">
        <v>1077</v>
      </c>
      <c r="J13995">
        <v>4.29</v>
      </c>
    </row>
    <row r="13996" spans="1:10" hidden="1">
      <c r="A13996" t="s">
        <v>8481</v>
      </c>
      <c r="B13996" t="s">
        <v>8482</v>
      </c>
      <c r="C13996" t="s">
        <v>6839</v>
      </c>
      <c r="D13996" t="s">
        <v>3246</v>
      </c>
      <c r="E13996" t="s">
        <v>557</v>
      </c>
      <c r="F13996" t="s">
        <v>1068</v>
      </c>
      <c r="G13996" t="s">
        <v>1078</v>
      </c>
      <c r="H13996">
        <v>4.8919275480954601E-2</v>
      </c>
      <c r="I13996" t="s">
        <v>1079</v>
      </c>
      <c r="J13996">
        <v>4.29</v>
      </c>
    </row>
    <row r="13997" spans="1:10" hidden="1">
      <c r="A13997" t="s">
        <v>8481</v>
      </c>
      <c r="B13997" t="s">
        <v>8482</v>
      </c>
      <c r="C13997" t="s">
        <v>6839</v>
      </c>
      <c r="D13997" t="s">
        <v>3246</v>
      </c>
      <c r="E13997" t="s">
        <v>557</v>
      </c>
      <c r="F13997" t="s">
        <v>1068</v>
      </c>
      <c r="G13997" t="s">
        <v>1080</v>
      </c>
      <c r="H13997" s="171" t="s">
        <v>7959</v>
      </c>
      <c r="I13997" t="s">
        <v>1082</v>
      </c>
      <c r="J13997">
        <v>4.29</v>
      </c>
    </row>
    <row r="13998" spans="1:10" hidden="1">
      <c r="A13998" t="s">
        <v>8481</v>
      </c>
      <c r="B13998" t="s">
        <v>8482</v>
      </c>
      <c r="C13998" t="s">
        <v>6839</v>
      </c>
      <c r="D13998" t="s">
        <v>3246</v>
      </c>
      <c r="E13998" t="s">
        <v>557</v>
      </c>
      <c r="F13998" t="s">
        <v>1068</v>
      </c>
      <c r="G13998" t="s">
        <v>1083</v>
      </c>
      <c r="H13998" s="171" t="s">
        <v>8486</v>
      </c>
      <c r="I13998" t="s">
        <v>1084</v>
      </c>
      <c r="J13998">
        <v>4.29</v>
      </c>
    </row>
    <row r="13999" spans="1:10" hidden="1">
      <c r="A13999" t="s">
        <v>8481</v>
      </c>
      <c r="B13999" t="s">
        <v>8482</v>
      </c>
      <c r="C13999" t="s">
        <v>6839</v>
      </c>
      <c r="D13999" t="s">
        <v>3246</v>
      </c>
      <c r="E13999" t="s">
        <v>557</v>
      </c>
      <c r="F13999" t="s">
        <v>1068</v>
      </c>
      <c r="G13999" t="s">
        <v>1085</v>
      </c>
      <c r="H13999">
        <v>1.54849493616113E-4</v>
      </c>
      <c r="I13999" t="s">
        <v>1086</v>
      </c>
      <c r="J13999">
        <v>4.29</v>
      </c>
    </row>
    <row r="14000" spans="1:10" hidden="1">
      <c r="A14000" t="s">
        <v>8481</v>
      </c>
      <c r="B14000" t="s">
        <v>8482</v>
      </c>
      <c r="C14000" t="s">
        <v>6839</v>
      </c>
      <c r="D14000" t="s">
        <v>3246</v>
      </c>
      <c r="E14000" t="s">
        <v>557</v>
      </c>
      <c r="F14000" t="s">
        <v>1068</v>
      </c>
      <c r="G14000" t="s">
        <v>1087</v>
      </c>
      <c r="H14000" s="171" t="s">
        <v>7961</v>
      </c>
      <c r="I14000" t="s">
        <v>1088</v>
      </c>
      <c r="J14000">
        <v>4.29</v>
      </c>
    </row>
    <row r="14001" spans="1:10" hidden="1">
      <c r="A14001" t="s">
        <v>8481</v>
      </c>
      <c r="B14001" t="s">
        <v>8482</v>
      </c>
      <c r="C14001" t="s">
        <v>6839</v>
      </c>
      <c r="D14001" t="s">
        <v>3246</v>
      </c>
      <c r="E14001" t="s">
        <v>557</v>
      </c>
      <c r="F14001" t="s">
        <v>1068</v>
      </c>
      <c r="G14001" t="s">
        <v>1089</v>
      </c>
      <c r="H14001" s="171" t="s">
        <v>7361</v>
      </c>
      <c r="I14001" t="s">
        <v>1090</v>
      </c>
      <c r="J14001">
        <v>4.29</v>
      </c>
    </row>
    <row r="14002" spans="1:10" hidden="1">
      <c r="A14002" t="s">
        <v>8487</v>
      </c>
      <c r="B14002" t="s">
        <v>8488</v>
      </c>
      <c r="C14002" t="s">
        <v>6839</v>
      </c>
      <c r="D14002" t="s">
        <v>3246</v>
      </c>
      <c r="E14002" t="s">
        <v>559</v>
      </c>
      <c r="F14002" t="s">
        <v>1068</v>
      </c>
      <c r="G14002" t="s">
        <v>1069</v>
      </c>
      <c r="H14002" s="171" t="s">
        <v>8489</v>
      </c>
      <c r="I14002" t="s">
        <v>1070</v>
      </c>
      <c r="J14002">
        <v>4.43</v>
      </c>
    </row>
    <row r="14003" spans="1:10" hidden="1">
      <c r="A14003" t="s">
        <v>8487</v>
      </c>
      <c r="B14003" t="s">
        <v>8488</v>
      </c>
      <c r="C14003" t="s">
        <v>6839</v>
      </c>
      <c r="D14003" t="s">
        <v>3246</v>
      </c>
      <c r="E14003" t="s">
        <v>559</v>
      </c>
      <c r="F14003" t="s">
        <v>1068</v>
      </c>
      <c r="G14003" t="s">
        <v>1071</v>
      </c>
      <c r="H14003" s="171" t="s">
        <v>8490</v>
      </c>
      <c r="I14003" t="s">
        <v>1072</v>
      </c>
      <c r="J14003">
        <v>4.43</v>
      </c>
    </row>
    <row r="14004" spans="1:10" hidden="1">
      <c r="A14004" t="s">
        <v>8487</v>
      </c>
      <c r="B14004" t="s">
        <v>8488</v>
      </c>
      <c r="C14004" t="s">
        <v>6839</v>
      </c>
      <c r="D14004" t="s">
        <v>3246</v>
      </c>
      <c r="E14004" t="s">
        <v>559</v>
      </c>
      <c r="F14004" t="s">
        <v>1068</v>
      </c>
      <c r="G14004" t="s">
        <v>1073</v>
      </c>
      <c r="H14004" s="171" t="s">
        <v>8491</v>
      </c>
      <c r="I14004" t="s">
        <v>1074</v>
      </c>
      <c r="J14004">
        <v>4.43</v>
      </c>
    </row>
    <row r="14005" spans="1:10" hidden="1">
      <c r="A14005" t="s">
        <v>8487</v>
      </c>
      <c r="B14005" t="s">
        <v>8488</v>
      </c>
      <c r="C14005" t="s">
        <v>6839</v>
      </c>
      <c r="D14005" t="s">
        <v>3246</v>
      </c>
      <c r="E14005" t="s">
        <v>559</v>
      </c>
      <c r="F14005" t="s">
        <v>1068</v>
      </c>
      <c r="G14005" t="s">
        <v>1075</v>
      </c>
      <c r="H14005">
        <v>4.2497200498593001E-3</v>
      </c>
      <c r="I14005" t="s">
        <v>1077</v>
      </c>
      <c r="J14005">
        <v>4.43</v>
      </c>
    </row>
    <row r="14006" spans="1:10" hidden="1">
      <c r="A14006" t="s">
        <v>8487</v>
      </c>
      <c r="B14006" t="s">
        <v>8488</v>
      </c>
      <c r="C14006" t="s">
        <v>6839</v>
      </c>
      <c r="D14006" t="s">
        <v>3246</v>
      </c>
      <c r="E14006" t="s">
        <v>559</v>
      </c>
      <c r="F14006" t="s">
        <v>1068</v>
      </c>
      <c r="G14006" t="s">
        <v>1078</v>
      </c>
      <c r="H14006">
        <v>4.8926196521971499E-2</v>
      </c>
      <c r="I14006" t="s">
        <v>1079</v>
      </c>
      <c r="J14006">
        <v>4.43</v>
      </c>
    </row>
    <row r="14007" spans="1:10" hidden="1">
      <c r="A14007" t="s">
        <v>8487</v>
      </c>
      <c r="B14007" t="s">
        <v>8488</v>
      </c>
      <c r="C14007" t="s">
        <v>6839</v>
      </c>
      <c r="D14007" t="s">
        <v>3246</v>
      </c>
      <c r="E14007" t="s">
        <v>559</v>
      </c>
      <c r="F14007" t="s">
        <v>1068</v>
      </c>
      <c r="G14007" t="s">
        <v>1080</v>
      </c>
      <c r="H14007" s="171" t="s">
        <v>8492</v>
      </c>
      <c r="I14007" t="s">
        <v>1082</v>
      </c>
      <c r="J14007">
        <v>4.43</v>
      </c>
    </row>
    <row r="14008" spans="1:10" hidden="1">
      <c r="A14008" t="s">
        <v>8487</v>
      </c>
      <c r="B14008" t="s">
        <v>8488</v>
      </c>
      <c r="C14008" t="s">
        <v>6839</v>
      </c>
      <c r="D14008" t="s">
        <v>3246</v>
      </c>
      <c r="E14008" t="s">
        <v>559</v>
      </c>
      <c r="F14008" t="s">
        <v>1068</v>
      </c>
      <c r="G14008" t="s">
        <v>1083</v>
      </c>
      <c r="H14008" s="171" t="s">
        <v>8493</v>
      </c>
      <c r="I14008" t="s">
        <v>1084</v>
      </c>
      <c r="J14008">
        <v>4.43</v>
      </c>
    </row>
    <row r="14009" spans="1:10" hidden="1">
      <c r="A14009" t="s">
        <v>8487</v>
      </c>
      <c r="B14009" t="s">
        <v>8488</v>
      </c>
      <c r="C14009" t="s">
        <v>6839</v>
      </c>
      <c r="D14009" t="s">
        <v>3246</v>
      </c>
      <c r="E14009" t="s">
        <v>559</v>
      </c>
      <c r="F14009" t="s">
        <v>1068</v>
      </c>
      <c r="G14009" t="s">
        <v>1085</v>
      </c>
      <c r="H14009">
        <v>1.5485819208517501E-4</v>
      </c>
      <c r="I14009" t="s">
        <v>1086</v>
      </c>
      <c r="J14009">
        <v>4.43</v>
      </c>
    </row>
    <row r="14010" spans="1:10" hidden="1">
      <c r="A14010" t="s">
        <v>8487</v>
      </c>
      <c r="B14010" t="s">
        <v>8488</v>
      </c>
      <c r="C14010" t="s">
        <v>6839</v>
      </c>
      <c r="D14010" t="s">
        <v>3246</v>
      </c>
      <c r="E14010" t="s">
        <v>559</v>
      </c>
      <c r="F14010" t="s">
        <v>1068</v>
      </c>
      <c r="G14010" t="s">
        <v>1087</v>
      </c>
      <c r="H14010" s="171" t="s">
        <v>8494</v>
      </c>
      <c r="I14010" t="s">
        <v>1088</v>
      </c>
      <c r="J14010">
        <v>4.43</v>
      </c>
    </row>
    <row r="14011" spans="1:10" hidden="1">
      <c r="A14011" t="s">
        <v>8487</v>
      </c>
      <c r="B14011" t="s">
        <v>8488</v>
      </c>
      <c r="C14011" t="s">
        <v>6839</v>
      </c>
      <c r="D14011" t="s">
        <v>3246</v>
      </c>
      <c r="E14011" t="s">
        <v>559</v>
      </c>
      <c r="F14011" t="s">
        <v>1068</v>
      </c>
      <c r="G14011" t="s">
        <v>1089</v>
      </c>
      <c r="H14011" s="171" t="s">
        <v>8495</v>
      </c>
      <c r="I14011" t="s">
        <v>1090</v>
      </c>
      <c r="J14011">
        <v>4.43</v>
      </c>
    </row>
    <row r="14012" spans="1:10" hidden="1">
      <c r="A14012" t="s">
        <v>8496</v>
      </c>
      <c r="B14012" t="s">
        <v>8497</v>
      </c>
      <c r="C14012" t="s">
        <v>6839</v>
      </c>
      <c r="D14012" t="s">
        <v>3246</v>
      </c>
      <c r="E14012" t="s">
        <v>560</v>
      </c>
      <c r="F14012" t="s">
        <v>1068</v>
      </c>
      <c r="G14012" t="s">
        <v>1069</v>
      </c>
      <c r="H14012" s="171" t="s">
        <v>8498</v>
      </c>
      <c r="I14012" t="s">
        <v>1070</v>
      </c>
      <c r="J14012">
        <v>4.53</v>
      </c>
    </row>
    <row r="14013" spans="1:10" hidden="1">
      <c r="A14013" t="s">
        <v>8496</v>
      </c>
      <c r="B14013" t="s">
        <v>8497</v>
      </c>
      <c r="C14013" t="s">
        <v>6839</v>
      </c>
      <c r="D14013" t="s">
        <v>3246</v>
      </c>
      <c r="E14013" t="s">
        <v>560</v>
      </c>
      <c r="F14013" t="s">
        <v>1068</v>
      </c>
      <c r="G14013" t="s">
        <v>1071</v>
      </c>
      <c r="H14013" s="171" t="s">
        <v>8499</v>
      </c>
      <c r="I14013" t="s">
        <v>1072</v>
      </c>
      <c r="J14013">
        <v>4.53</v>
      </c>
    </row>
    <row r="14014" spans="1:10" hidden="1">
      <c r="A14014" t="s">
        <v>8496</v>
      </c>
      <c r="B14014" t="s">
        <v>8497</v>
      </c>
      <c r="C14014" t="s">
        <v>6839</v>
      </c>
      <c r="D14014" t="s">
        <v>3246</v>
      </c>
      <c r="E14014" t="s">
        <v>560</v>
      </c>
      <c r="F14014" t="s">
        <v>1068</v>
      </c>
      <c r="G14014" t="s">
        <v>1073</v>
      </c>
      <c r="H14014" s="171" t="s">
        <v>8500</v>
      </c>
      <c r="I14014" t="s">
        <v>1074</v>
      </c>
      <c r="J14014">
        <v>4.53</v>
      </c>
    </row>
    <row r="14015" spans="1:10" hidden="1">
      <c r="A14015" t="s">
        <v>8496</v>
      </c>
      <c r="B14015" t="s">
        <v>8497</v>
      </c>
      <c r="C14015" t="s">
        <v>6839</v>
      </c>
      <c r="D14015" t="s">
        <v>3246</v>
      </c>
      <c r="E14015" t="s">
        <v>560</v>
      </c>
      <c r="F14015" t="s">
        <v>1068</v>
      </c>
      <c r="G14015" t="s">
        <v>1075</v>
      </c>
      <c r="H14015">
        <v>4.2496488524969298E-3</v>
      </c>
      <c r="I14015" t="s">
        <v>1077</v>
      </c>
      <c r="J14015">
        <v>4.53</v>
      </c>
    </row>
    <row r="14016" spans="1:10" hidden="1">
      <c r="A14016" t="s">
        <v>8496</v>
      </c>
      <c r="B14016" t="s">
        <v>8497</v>
      </c>
      <c r="C14016" t="s">
        <v>6839</v>
      </c>
      <c r="D14016" t="s">
        <v>3246</v>
      </c>
      <c r="E14016" t="s">
        <v>560</v>
      </c>
      <c r="F14016" t="s">
        <v>1068</v>
      </c>
      <c r="G14016" t="s">
        <v>1078</v>
      </c>
      <c r="H14016">
        <v>4.8923121440990702E-2</v>
      </c>
      <c r="I14016" t="s">
        <v>1079</v>
      </c>
      <c r="J14016">
        <v>4.53</v>
      </c>
    </row>
    <row r="14017" spans="1:10" hidden="1">
      <c r="A14017" t="s">
        <v>8496</v>
      </c>
      <c r="B14017" t="s">
        <v>8497</v>
      </c>
      <c r="C14017" t="s">
        <v>6839</v>
      </c>
      <c r="D14017" t="s">
        <v>3246</v>
      </c>
      <c r="E14017" t="s">
        <v>560</v>
      </c>
      <c r="F14017" t="s">
        <v>1068</v>
      </c>
      <c r="G14017" t="s">
        <v>1080</v>
      </c>
      <c r="H14017" s="171" t="s">
        <v>8501</v>
      </c>
      <c r="I14017" t="s">
        <v>1082</v>
      </c>
      <c r="J14017">
        <v>4.53</v>
      </c>
    </row>
    <row r="14018" spans="1:10" hidden="1">
      <c r="A14018" t="s">
        <v>8496</v>
      </c>
      <c r="B14018" t="s">
        <v>8497</v>
      </c>
      <c r="C14018" t="s">
        <v>6839</v>
      </c>
      <c r="D14018" t="s">
        <v>3246</v>
      </c>
      <c r="E14018" t="s">
        <v>560</v>
      </c>
      <c r="F14018" t="s">
        <v>1068</v>
      </c>
      <c r="G14018" t="s">
        <v>1083</v>
      </c>
      <c r="H14018" s="171" t="s">
        <v>8502</v>
      </c>
      <c r="I14018" t="s">
        <v>1084</v>
      </c>
      <c r="J14018">
        <v>4.53</v>
      </c>
    </row>
    <row r="14019" spans="1:10" hidden="1">
      <c r="A14019" t="s">
        <v>8496</v>
      </c>
      <c r="B14019" t="s">
        <v>8497</v>
      </c>
      <c r="C14019" t="s">
        <v>6839</v>
      </c>
      <c r="D14019" t="s">
        <v>3246</v>
      </c>
      <c r="E14019" t="s">
        <v>560</v>
      </c>
      <c r="F14019" t="s">
        <v>1068</v>
      </c>
      <c r="G14019" t="s">
        <v>1085</v>
      </c>
      <c r="H14019">
        <v>1.54854326908245E-4</v>
      </c>
      <c r="I14019" t="s">
        <v>1086</v>
      </c>
      <c r="J14019">
        <v>4.53</v>
      </c>
    </row>
    <row r="14020" spans="1:10" hidden="1">
      <c r="A14020" t="s">
        <v>8496</v>
      </c>
      <c r="B14020" t="s">
        <v>8497</v>
      </c>
      <c r="C14020" t="s">
        <v>6839</v>
      </c>
      <c r="D14020" t="s">
        <v>3246</v>
      </c>
      <c r="E14020" t="s">
        <v>560</v>
      </c>
      <c r="F14020" t="s">
        <v>1068</v>
      </c>
      <c r="G14020" t="s">
        <v>1087</v>
      </c>
      <c r="H14020" s="171" t="s">
        <v>8503</v>
      </c>
      <c r="I14020" t="s">
        <v>1088</v>
      </c>
      <c r="J14020">
        <v>4.53</v>
      </c>
    </row>
    <row r="14021" spans="1:10" hidden="1">
      <c r="A14021" t="s">
        <v>8496</v>
      </c>
      <c r="B14021" t="s">
        <v>8497</v>
      </c>
      <c r="C14021" t="s">
        <v>6839</v>
      </c>
      <c r="D14021" t="s">
        <v>3246</v>
      </c>
      <c r="E14021" t="s">
        <v>560</v>
      </c>
      <c r="F14021" t="s">
        <v>1068</v>
      </c>
      <c r="G14021" t="s">
        <v>1089</v>
      </c>
      <c r="H14021" s="171" t="s">
        <v>8504</v>
      </c>
      <c r="I14021" t="s">
        <v>1090</v>
      </c>
      <c r="J14021">
        <v>4.53</v>
      </c>
    </row>
    <row r="14022" spans="1:10" hidden="1">
      <c r="A14022" t="s">
        <v>8505</v>
      </c>
      <c r="B14022" t="s">
        <v>8506</v>
      </c>
      <c r="C14022" t="s">
        <v>6839</v>
      </c>
      <c r="D14022" t="s">
        <v>3246</v>
      </c>
      <c r="E14022" t="s">
        <v>1116</v>
      </c>
      <c r="F14022" t="s">
        <v>1068</v>
      </c>
      <c r="G14022" t="s">
        <v>1069</v>
      </c>
      <c r="H14022" s="171" t="s">
        <v>8507</v>
      </c>
      <c r="I14022" t="s">
        <v>1070</v>
      </c>
      <c r="J14022">
        <v>4.42</v>
      </c>
    </row>
    <row r="14023" spans="1:10" hidden="1">
      <c r="A14023" t="s">
        <v>8505</v>
      </c>
      <c r="B14023" t="s">
        <v>8506</v>
      </c>
      <c r="C14023" t="s">
        <v>6839</v>
      </c>
      <c r="D14023" t="s">
        <v>3246</v>
      </c>
      <c r="E14023" t="s">
        <v>1116</v>
      </c>
      <c r="F14023" t="s">
        <v>1068</v>
      </c>
      <c r="G14023" t="s">
        <v>1071</v>
      </c>
      <c r="H14023" s="171" t="s">
        <v>8508</v>
      </c>
      <c r="I14023" t="s">
        <v>1072</v>
      </c>
      <c r="J14023">
        <v>4.42</v>
      </c>
    </row>
    <row r="14024" spans="1:10" hidden="1">
      <c r="A14024" t="s">
        <v>8505</v>
      </c>
      <c r="B14024" t="s">
        <v>8506</v>
      </c>
      <c r="C14024" t="s">
        <v>6839</v>
      </c>
      <c r="D14024" t="s">
        <v>3246</v>
      </c>
      <c r="E14024" t="s">
        <v>1116</v>
      </c>
      <c r="F14024" t="s">
        <v>1068</v>
      </c>
      <c r="G14024" t="s">
        <v>1073</v>
      </c>
      <c r="H14024" s="171" t="s">
        <v>8509</v>
      </c>
      <c r="I14024" t="s">
        <v>1074</v>
      </c>
      <c r="J14024">
        <v>4.42</v>
      </c>
    </row>
    <row r="14025" spans="1:10" hidden="1">
      <c r="A14025" t="s">
        <v>8505</v>
      </c>
      <c r="B14025" t="s">
        <v>8506</v>
      </c>
      <c r="C14025" t="s">
        <v>6839</v>
      </c>
      <c r="D14025" t="s">
        <v>3246</v>
      </c>
      <c r="E14025" t="s">
        <v>1116</v>
      </c>
      <c r="F14025" t="s">
        <v>1068</v>
      </c>
      <c r="G14025" t="s">
        <v>1075</v>
      </c>
      <c r="H14025">
        <v>4.2493789210850301E-3</v>
      </c>
      <c r="I14025" t="s">
        <v>1077</v>
      </c>
      <c r="J14025">
        <v>4.42</v>
      </c>
    </row>
    <row r="14026" spans="1:10" hidden="1">
      <c r="A14026" t="s">
        <v>8505</v>
      </c>
      <c r="B14026" t="s">
        <v>8506</v>
      </c>
      <c r="C14026" t="s">
        <v>6839</v>
      </c>
      <c r="D14026" t="s">
        <v>3246</v>
      </c>
      <c r="E14026" t="s">
        <v>1116</v>
      </c>
      <c r="F14026" t="s">
        <v>1068</v>
      </c>
      <c r="G14026" t="s">
        <v>1078</v>
      </c>
      <c r="H14026" s="171" t="s">
        <v>8510</v>
      </c>
      <c r="I14026" t="s">
        <v>1079</v>
      </c>
      <c r="J14026">
        <v>4.42</v>
      </c>
    </row>
    <row r="14027" spans="1:10" hidden="1">
      <c r="A14027" t="s">
        <v>8505</v>
      </c>
      <c r="B14027" t="s">
        <v>8506</v>
      </c>
      <c r="C14027" t="s">
        <v>6839</v>
      </c>
      <c r="D14027" t="s">
        <v>3246</v>
      </c>
      <c r="E14027" t="s">
        <v>1116</v>
      </c>
      <c r="F14027" t="s">
        <v>1068</v>
      </c>
      <c r="G14027" t="s">
        <v>1080</v>
      </c>
      <c r="H14027" s="171" t="s">
        <v>7383</v>
      </c>
      <c r="I14027" t="s">
        <v>1082</v>
      </c>
      <c r="J14027">
        <v>4.42</v>
      </c>
    </row>
    <row r="14028" spans="1:10" hidden="1">
      <c r="A14028" t="s">
        <v>8505</v>
      </c>
      <c r="B14028" t="s">
        <v>8506</v>
      </c>
      <c r="C14028" t="s">
        <v>6839</v>
      </c>
      <c r="D14028" t="s">
        <v>3246</v>
      </c>
      <c r="E14028" t="s">
        <v>1116</v>
      </c>
      <c r="F14028" t="s">
        <v>1068</v>
      </c>
      <c r="G14028" t="s">
        <v>1083</v>
      </c>
      <c r="H14028" s="171" t="s">
        <v>8511</v>
      </c>
      <c r="I14028" t="s">
        <v>1084</v>
      </c>
      <c r="J14028">
        <v>4.42</v>
      </c>
    </row>
    <row r="14029" spans="1:10" hidden="1">
      <c r="A14029" t="s">
        <v>8505</v>
      </c>
      <c r="B14029" t="s">
        <v>8506</v>
      </c>
      <c r="C14029" t="s">
        <v>6839</v>
      </c>
      <c r="D14029" t="s">
        <v>3246</v>
      </c>
      <c r="E14029" t="s">
        <v>1116</v>
      </c>
      <c r="F14029" t="s">
        <v>1068</v>
      </c>
      <c r="G14029" t="s">
        <v>1085</v>
      </c>
      <c r="H14029">
        <v>1.54839657380571E-4</v>
      </c>
      <c r="I14029" t="s">
        <v>1086</v>
      </c>
      <c r="J14029">
        <v>4.42</v>
      </c>
    </row>
    <row r="14030" spans="1:10" hidden="1">
      <c r="A14030" t="s">
        <v>8505</v>
      </c>
      <c r="B14030" t="s">
        <v>8506</v>
      </c>
      <c r="C14030" t="s">
        <v>6839</v>
      </c>
      <c r="D14030" t="s">
        <v>3246</v>
      </c>
      <c r="E14030" t="s">
        <v>1116</v>
      </c>
      <c r="F14030" t="s">
        <v>1068</v>
      </c>
      <c r="G14030" t="s">
        <v>1087</v>
      </c>
      <c r="H14030" s="171" t="s">
        <v>7987</v>
      </c>
      <c r="I14030" t="s">
        <v>1088</v>
      </c>
      <c r="J14030">
        <v>4.42</v>
      </c>
    </row>
    <row r="14031" spans="1:10" hidden="1">
      <c r="A14031" t="s">
        <v>8505</v>
      </c>
      <c r="B14031" t="s">
        <v>8506</v>
      </c>
      <c r="C14031" t="s">
        <v>6839</v>
      </c>
      <c r="D14031" t="s">
        <v>3246</v>
      </c>
      <c r="E14031" t="s">
        <v>1116</v>
      </c>
      <c r="F14031" t="s">
        <v>1068</v>
      </c>
      <c r="G14031" t="s">
        <v>1089</v>
      </c>
      <c r="H14031" s="171" t="s">
        <v>8512</v>
      </c>
      <c r="I14031" t="s">
        <v>1090</v>
      </c>
      <c r="J14031">
        <v>4.42</v>
      </c>
    </row>
    <row r="14032" spans="1:10" hidden="1">
      <c r="A14032" t="s">
        <v>8513</v>
      </c>
      <c r="B14032" t="s">
        <v>8514</v>
      </c>
      <c r="C14032" t="s">
        <v>6839</v>
      </c>
      <c r="D14032" t="s">
        <v>1273</v>
      </c>
      <c r="E14032" t="s">
        <v>561</v>
      </c>
      <c r="F14032" t="s">
        <v>1068</v>
      </c>
      <c r="G14032" t="s">
        <v>1069</v>
      </c>
      <c r="H14032">
        <v>5.26670981700397E-2</v>
      </c>
      <c r="I14032" t="s">
        <v>1070</v>
      </c>
      <c r="J14032">
        <v>4.34</v>
      </c>
    </row>
    <row r="14033" spans="1:10" hidden="1">
      <c r="A14033" t="s">
        <v>8513</v>
      </c>
      <c r="B14033" t="s">
        <v>8514</v>
      </c>
      <c r="C14033" t="s">
        <v>6839</v>
      </c>
      <c r="D14033" t="s">
        <v>1273</v>
      </c>
      <c r="E14033" t="s">
        <v>561</v>
      </c>
      <c r="F14033" t="s">
        <v>1068</v>
      </c>
      <c r="G14033" t="s">
        <v>1071</v>
      </c>
      <c r="H14033" s="171" t="s">
        <v>8515</v>
      </c>
      <c r="I14033" t="s">
        <v>1072</v>
      </c>
      <c r="J14033">
        <v>4.34</v>
      </c>
    </row>
    <row r="14034" spans="1:10" hidden="1">
      <c r="A14034" t="s">
        <v>8513</v>
      </c>
      <c r="B14034" t="s">
        <v>8514</v>
      </c>
      <c r="C14034" t="s">
        <v>6839</v>
      </c>
      <c r="D14034" t="s">
        <v>1273</v>
      </c>
      <c r="E14034" t="s">
        <v>561</v>
      </c>
      <c r="F14034" t="s">
        <v>1068</v>
      </c>
      <c r="G14034" t="s">
        <v>1073</v>
      </c>
      <c r="H14034" s="171" t="s">
        <v>8516</v>
      </c>
      <c r="I14034" t="s">
        <v>1074</v>
      </c>
      <c r="J14034">
        <v>4.34</v>
      </c>
    </row>
    <row r="14035" spans="1:10" hidden="1">
      <c r="A14035" t="s">
        <v>8513</v>
      </c>
      <c r="B14035" t="s">
        <v>8514</v>
      </c>
      <c r="C14035" t="s">
        <v>6839</v>
      </c>
      <c r="D14035" t="s">
        <v>1273</v>
      </c>
      <c r="E14035" t="s">
        <v>561</v>
      </c>
      <c r="F14035" t="s">
        <v>1068</v>
      </c>
      <c r="G14035" t="s">
        <v>1075</v>
      </c>
      <c r="H14035">
        <v>5.1070079559324202E-3</v>
      </c>
      <c r="I14035" t="s">
        <v>1077</v>
      </c>
      <c r="J14035">
        <v>4.34</v>
      </c>
    </row>
    <row r="14036" spans="1:10" hidden="1">
      <c r="A14036" t="s">
        <v>8513</v>
      </c>
      <c r="B14036" t="s">
        <v>8514</v>
      </c>
      <c r="C14036" t="s">
        <v>6839</v>
      </c>
      <c r="D14036" t="s">
        <v>1273</v>
      </c>
      <c r="E14036" t="s">
        <v>561</v>
      </c>
      <c r="F14036" t="s">
        <v>1068</v>
      </c>
      <c r="G14036" t="s">
        <v>1078</v>
      </c>
      <c r="H14036" s="171" t="s">
        <v>8517</v>
      </c>
      <c r="I14036" t="s">
        <v>1079</v>
      </c>
      <c r="J14036">
        <v>4.34</v>
      </c>
    </row>
    <row r="14037" spans="1:10" hidden="1">
      <c r="A14037" t="s">
        <v>8513</v>
      </c>
      <c r="B14037" t="s">
        <v>8514</v>
      </c>
      <c r="C14037" t="s">
        <v>6839</v>
      </c>
      <c r="D14037" t="s">
        <v>1273</v>
      </c>
      <c r="E14037" t="s">
        <v>561</v>
      </c>
      <c r="F14037" t="s">
        <v>1068</v>
      </c>
      <c r="G14037" t="s">
        <v>1080</v>
      </c>
      <c r="H14037" s="171" t="s">
        <v>8518</v>
      </c>
      <c r="I14037" t="s">
        <v>1082</v>
      </c>
      <c r="J14037">
        <v>4.34</v>
      </c>
    </row>
    <row r="14038" spans="1:10" hidden="1">
      <c r="A14038" t="s">
        <v>8513</v>
      </c>
      <c r="B14038" t="s">
        <v>8514</v>
      </c>
      <c r="C14038" t="s">
        <v>6839</v>
      </c>
      <c r="D14038" t="s">
        <v>1273</v>
      </c>
      <c r="E14038" t="s">
        <v>561</v>
      </c>
      <c r="F14038" t="s">
        <v>1068</v>
      </c>
      <c r="G14038" t="s">
        <v>1083</v>
      </c>
      <c r="H14038" s="171" t="s">
        <v>8519</v>
      </c>
      <c r="I14038" t="s">
        <v>1084</v>
      </c>
      <c r="J14038">
        <v>4.34</v>
      </c>
    </row>
    <row r="14039" spans="1:10" hidden="1">
      <c r="A14039" t="s">
        <v>8513</v>
      </c>
      <c r="B14039" t="s">
        <v>8514</v>
      </c>
      <c r="C14039" t="s">
        <v>6839</v>
      </c>
      <c r="D14039" t="s">
        <v>1273</v>
      </c>
      <c r="E14039" t="s">
        <v>561</v>
      </c>
      <c r="F14039" t="s">
        <v>1068</v>
      </c>
      <c r="G14039" t="s">
        <v>1085</v>
      </c>
      <c r="H14039">
        <v>2.0572950727907E-4</v>
      </c>
      <c r="I14039" t="s">
        <v>1086</v>
      </c>
      <c r="J14039">
        <v>4.34</v>
      </c>
    </row>
    <row r="14040" spans="1:10" hidden="1">
      <c r="A14040" t="s">
        <v>8513</v>
      </c>
      <c r="B14040" t="s">
        <v>8514</v>
      </c>
      <c r="C14040" t="s">
        <v>6839</v>
      </c>
      <c r="D14040" t="s">
        <v>1273</v>
      </c>
      <c r="E14040" t="s">
        <v>561</v>
      </c>
      <c r="F14040" t="s">
        <v>1068</v>
      </c>
      <c r="G14040" t="s">
        <v>1087</v>
      </c>
      <c r="H14040" s="171" t="s">
        <v>8520</v>
      </c>
      <c r="I14040" t="s">
        <v>1088</v>
      </c>
      <c r="J14040">
        <v>4.34</v>
      </c>
    </row>
    <row r="14041" spans="1:10" hidden="1">
      <c r="A14041" t="s">
        <v>8513</v>
      </c>
      <c r="B14041" t="s">
        <v>8514</v>
      </c>
      <c r="C14041" t="s">
        <v>6839</v>
      </c>
      <c r="D14041" t="s">
        <v>1273</v>
      </c>
      <c r="E14041" t="s">
        <v>561</v>
      </c>
      <c r="F14041" t="s">
        <v>1068</v>
      </c>
      <c r="G14041" t="s">
        <v>1089</v>
      </c>
      <c r="H14041" s="171" t="s">
        <v>8521</v>
      </c>
      <c r="I14041" t="s">
        <v>1090</v>
      </c>
      <c r="J14041">
        <v>4.34</v>
      </c>
    </row>
    <row r="14042" spans="1:10" hidden="1">
      <c r="A14042" t="s">
        <v>8522</v>
      </c>
      <c r="B14042" t="s">
        <v>8523</v>
      </c>
      <c r="C14042" t="s">
        <v>6839</v>
      </c>
      <c r="D14042" t="s">
        <v>1273</v>
      </c>
      <c r="E14042" t="s">
        <v>555</v>
      </c>
      <c r="F14042" t="s">
        <v>1068</v>
      </c>
      <c r="G14042" t="s">
        <v>1069</v>
      </c>
      <c r="H14042">
        <v>5.2670250726484E-2</v>
      </c>
      <c r="I14042" t="s">
        <v>1070</v>
      </c>
      <c r="J14042">
        <v>4.6100000000000003</v>
      </c>
    </row>
    <row r="14043" spans="1:10" hidden="1">
      <c r="A14043" t="s">
        <v>8522</v>
      </c>
      <c r="B14043" t="s">
        <v>8523</v>
      </c>
      <c r="C14043" t="s">
        <v>6839</v>
      </c>
      <c r="D14043" t="s">
        <v>1273</v>
      </c>
      <c r="E14043" t="s">
        <v>555</v>
      </c>
      <c r="F14043" t="s">
        <v>1068</v>
      </c>
      <c r="G14043" t="s">
        <v>1071</v>
      </c>
      <c r="H14043" s="171" t="s">
        <v>8524</v>
      </c>
      <c r="I14043" t="s">
        <v>1072</v>
      </c>
      <c r="J14043">
        <v>4.6100000000000003</v>
      </c>
    </row>
    <row r="14044" spans="1:10" hidden="1">
      <c r="A14044" t="s">
        <v>8522</v>
      </c>
      <c r="B14044" t="s">
        <v>8523</v>
      </c>
      <c r="C14044" t="s">
        <v>6839</v>
      </c>
      <c r="D14044" t="s">
        <v>1273</v>
      </c>
      <c r="E14044" t="s">
        <v>555</v>
      </c>
      <c r="F14044" t="s">
        <v>1068</v>
      </c>
      <c r="G14044" t="s">
        <v>1073</v>
      </c>
      <c r="H14044" s="171" t="s">
        <v>8525</v>
      </c>
      <c r="I14044" t="s">
        <v>1074</v>
      </c>
      <c r="J14044">
        <v>4.6100000000000003</v>
      </c>
    </row>
    <row r="14045" spans="1:10" hidden="1">
      <c r="A14045" t="s">
        <v>8522</v>
      </c>
      <c r="B14045" t="s">
        <v>8523</v>
      </c>
      <c r="C14045" t="s">
        <v>6839</v>
      </c>
      <c r="D14045" t="s">
        <v>1273</v>
      </c>
      <c r="E14045" t="s">
        <v>555</v>
      </c>
      <c r="F14045" t="s">
        <v>1068</v>
      </c>
      <c r="G14045" t="s">
        <v>1075</v>
      </c>
      <c r="H14045">
        <v>5.1070760515864004E-3</v>
      </c>
      <c r="I14045" t="s">
        <v>1077</v>
      </c>
      <c r="J14045">
        <v>4.6100000000000003</v>
      </c>
    </row>
    <row r="14046" spans="1:10" hidden="1">
      <c r="A14046" t="s">
        <v>8522</v>
      </c>
      <c r="B14046" t="s">
        <v>8523</v>
      </c>
      <c r="C14046" t="s">
        <v>6839</v>
      </c>
      <c r="D14046" t="s">
        <v>1273</v>
      </c>
      <c r="E14046" t="s">
        <v>555</v>
      </c>
      <c r="F14046" t="s">
        <v>1068</v>
      </c>
      <c r="G14046" t="s">
        <v>1078</v>
      </c>
      <c r="H14046">
        <v>2.7532513622578698E-2</v>
      </c>
      <c r="I14046" t="s">
        <v>1079</v>
      </c>
      <c r="J14046">
        <v>4.6100000000000003</v>
      </c>
    </row>
    <row r="14047" spans="1:10" hidden="1">
      <c r="A14047" t="s">
        <v>8522</v>
      </c>
      <c r="B14047" t="s">
        <v>8523</v>
      </c>
      <c r="C14047" t="s">
        <v>6839</v>
      </c>
      <c r="D14047" t="s">
        <v>1273</v>
      </c>
      <c r="E14047" t="s">
        <v>555</v>
      </c>
      <c r="F14047" t="s">
        <v>1068</v>
      </c>
      <c r="G14047" t="s">
        <v>1080</v>
      </c>
      <c r="H14047" s="171" t="s">
        <v>8526</v>
      </c>
      <c r="I14047" t="s">
        <v>1082</v>
      </c>
      <c r="J14047">
        <v>4.6100000000000003</v>
      </c>
    </row>
    <row r="14048" spans="1:10" hidden="1">
      <c r="A14048" t="s">
        <v>8522</v>
      </c>
      <c r="B14048" t="s">
        <v>8523</v>
      </c>
      <c r="C14048" t="s">
        <v>6839</v>
      </c>
      <c r="D14048" t="s">
        <v>1273</v>
      </c>
      <c r="E14048" t="s">
        <v>555</v>
      </c>
      <c r="F14048" t="s">
        <v>1068</v>
      </c>
      <c r="G14048" t="s">
        <v>1083</v>
      </c>
      <c r="H14048" s="171" t="s">
        <v>8527</v>
      </c>
      <c r="I14048" t="s">
        <v>1084</v>
      </c>
      <c r="J14048">
        <v>4.6100000000000003</v>
      </c>
    </row>
    <row r="14049" spans="1:10" hidden="1">
      <c r="A14049" t="s">
        <v>8522</v>
      </c>
      <c r="B14049" t="s">
        <v>8523</v>
      </c>
      <c r="C14049" t="s">
        <v>6839</v>
      </c>
      <c r="D14049" t="s">
        <v>1273</v>
      </c>
      <c r="E14049" t="s">
        <v>555</v>
      </c>
      <c r="F14049" t="s">
        <v>1068</v>
      </c>
      <c r="G14049" t="s">
        <v>1085</v>
      </c>
      <c r="H14049">
        <v>2.0573320738444801E-4</v>
      </c>
      <c r="I14049" t="s">
        <v>1086</v>
      </c>
      <c r="J14049">
        <v>4.6100000000000003</v>
      </c>
    </row>
    <row r="14050" spans="1:10" hidden="1">
      <c r="A14050" t="s">
        <v>8522</v>
      </c>
      <c r="B14050" t="s">
        <v>8523</v>
      </c>
      <c r="C14050" t="s">
        <v>6839</v>
      </c>
      <c r="D14050" t="s">
        <v>1273</v>
      </c>
      <c r="E14050" t="s">
        <v>555</v>
      </c>
      <c r="F14050" t="s">
        <v>1068</v>
      </c>
      <c r="G14050" t="s">
        <v>1087</v>
      </c>
      <c r="H14050" s="171" t="s">
        <v>8528</v>
      </c>
      <c r="I14050" t="s">
        <v>1088</v>
      </c>
      <c r="J14050">
        <v>4.6100000000000003</v>
      </c>
    </row>
    <row r="14051" spans="1:10" hidden="1">
      <c r="A14051" t="s">
        <v>8522</v>
      </c>
      <c r="B14051" t="s">
        <v>8523</v>
      </c>
      <c r="C14051" t="s">
        <v>6839</v>
      </c>
      <c r="D14051" t="s">
        <v>1273</v>
      </c>
      <c r="E14051" t="s">
        <v>555</v>
      </c>
      <c r="F14051" t="s">
        <v>1068</v>
      </c>
      <c r="G14051" t="s">
        <v>1089</v>
      </c>
      <c r="H14051" s="171" t="s">
        <v>8529</v>
      </c>
      <c r="I14051" t="s">
        <v>1090</v>
      </c>
      <c r="J14051">
        <v>4.6100000000000003</v>
      </c>
    </row>
    <row r="14052" spans="1:10" hidden="1">
      <c r="A14052" t="s">
        <v>8530</v>
      </c>
      <c r="B14052" t="s">
        <v>8531</v>
      </c>
      <c r="C14052" t="s">
        <v>6839</v>
      </c>
      <c r="D14052" t="s">
        <v>1273</v>
      </c>
      <c r="E14052" t="s">
        <v>558</v>
      </c>
      <c r="F14052" t="s">
        <v>1068</v>
      </c>
      <c r="G14052" t="s">
        <v>1069</v>
      </c>
      <c r="H14052">
        <v>5.26669178793642E-2</v>
      </c>
      <c r="I14052" t="s">
        <v>1070</v>
      </c>
      <c r="J14052">
        <v>4.51</v>
      </c>
    </row>
    <row r="14053" spans="1:10" hidden="1">
      <c r="A14053" t="s">
        <v>8530</v>
      </c>
      <c r="B14053" t="s">
        <v>8531</v>
      </c>
      <c r="C14053" t="s">
        <v>6839</v>
      </c>
      <c r="D14053" t="s">
        <v>1273</v>
      </c>
      <c r="E14053" t="s">
        <v>558</v>
      </c>
      <c r="F14053" t="s">
        <v>1068</v>
      </c>
      <c r="G14053" t="s">
        <v>1071</v>
      </c>
      <c r="H14053" s="171" t="s">
        <v>8532</v>
      </c>
      <c r="I14053" t="s">
        <v>1072</v>
      </c>
      <c r="J14053">
        <v>4.51</v>
      </c>
    </row>
    <row r="14054" spans="1:10" hidden="1">
      <c r="A14054" t="s">
        <v>8530</v>
      </c>
      <c r="B14054" t="s">
        <v>8531</v>
      </c>
      <c r="C14054" t="s">
        <v>6839</v>
      </c>
      <c r="D14054" t="s">
        <v>1273</v>
      </c>
      <c r="E14054" t="s">
        <v>558</v>
      </c>
      <c r="F14054" t="s">
        <v>1068</v>
      </c>
      <c r="G14054" t="s">
        <v>1073</v>
      </c>
      <c r="H14054" s="171" t="s">
        <v>8533</v>
      </c>
      <c r="I14054" t="s">
        <v>1074</v>
      </c>
      <c r="J14054">
        <v>4.51</v>
      </c>
    </row>
    <row r="14055" spans="1:10" hidden="1">
      <c r="A14055" t="s">
        <v>8530</v>
      </c>
      <c r="B14055" t="s">
        <v>8531</v>
      </c>
      <c r="C14055" t="s">
        <v>6839</v>
      </c>
      <c r="D14055" t="s">
        <v>1273</v>
      </c>
      <c r="E14055" t="s">
        <v>558</v>
      </c>
      <c r="F14055" t="s">
        <v>1068</v>
      </c>
      <c r="G14055" t="s">
        <v>1075</v>
      </c>
      <c r="H14055">
        <v>5.1070022567516003E-3</v>
      </c>
      <c r="I14055" t="s">
        <v>1077</v>
      </c>
      <c r="J14055">
        <v>4.51</v>
      </c>
    </row>
    <row r="14056" spans="1:10" hidden="1">
      <c r="A14056" t="s">
        <v>8530</v>
      </c>
      <c r="B14056" t="s">
        <v>8531</v>
      </c>
      <c r="C14056" t="s">
        <v>6839</v>
      </c>
      <c r="D14056" t="s">
        <v>1273</v>
      </c>
      <c r="E14056" t="s">
        <v>558</v>
      </c>
      <c r="F14056" t="s">
        <v>1068</v>
      </c>
      <c r="G14056" t="s">
        <v>1078</v>
      </c>
      <c r="H14056">
        <v>2.7529322985474499E-2</v>
      </c>
      <c r="I14056" t="s">
        <v>1079</v>
      </c>
      <c r="J14056">
        <v>4.51</v>
      </c>
    </row>
    <row r="14057" spans="1:10" hidden="1">
      <c r="A14057" t="s">
        <v>8530</v>
      </c>
      <c r="B14057" t="s">
        <v>8531</v>
      </c>
      <c r="C14057" t="s">
        <v>6839</v>
      </c>
      <c r="D14057" t="s">
        <v>1273</v>
      </c>
      <c r="E14057" t="s">
        <v>558</v>
      </c>
      <c r="F14057" t="s">
        <v>1068</v>
      </c>
      <c r="G14057" t="s">
        <v>1080</v>
      </c>
      <c r="H14057" s="171" t="s">
        <v>8534</v>
      </c>
      <c r="I14057" t="s">
        <v>1082</v>
      </c>
      <c r="J14057">
        <v>4.51</v>
      </c>
    </row>
    <row r="14058" spans="1:10" hidden="1">
      <c r="A14058" t="s">
        <v>8530</v>
      </c>
      <c r="B14058" t="s">
        <v>8531</v>
      </c>
      <c r="C14058" t="s">
        <v>6839</v>
      </c>
      <c r="D14058" t="s">
        <v>1273</v>
      </c>
      <c r="E14058" t="s">
        <v>558</v>
      </c>
      <c r="F14058" t="s">
        <v>1068</v>
      </c>
      <c r="G14058" t="s">
        <v>1083</v>
      </c>
      <c r="H14058" s="171" t="s">
        <v>8535</v>
      </c>
      <c r="I14058" t="s">
        <v>1084</v>
      </c>
      <c r="J14058">
        <v>4.51</v>
      </c>
    </row>
    <row r="14059" spans="1:10" hidden="1">
      <c r="A14059" t="s">
        <v>8530</v>
      </c>
      <c r="B14059" t="s">
        <v>8531</v>
      </c>
      <c r="C14059" t="s">
        <v>6839</v>
      </c>
      <c r="D14059" t="s">
        <v>1273</v>
      </c>
      <c r="E14059" t="s">
        <v>558</v>
      </c>
      <c r="F14059" t="s">
        <v>1068</v>
      </c>
      <c r="G14059" t="s">
        <v>1085</v>
      </c>
      <c r="H14059">
        <v>2.0572919755486999E-4</v>
      </c>
      <c r="I14059" t="s">
        <v>1086</v>
      </c>
      <c r="J14059">
        <v>4.51</v>
      </c>
    </row>
    <row r="14060" spans="1:10" hidden="1">
      <c r="A14060" t="s">
        <v>8530</v>
      </c>
      <c r="B14060" t="s">
        <v>8531</v>
      </c>
      <c r="C14060" t="s">
        <v>6839</v>
      </c>
      <c r="D14060" t="s">
        <v>1273</v>
      </c>
      <c r="E14060" t="s">
        <v>558</v>
      </c>
      <c r="F14060" t="s">
        <v>1068</v>
      </c>
      <c r="G14060" t="s">
        <v>1087</v>
      </c>
      <c r="H14060" s="171" t="s">
        <v>8536</v>
      </c>
      <c r="I14060" t="s">
        <v>1088</v>
      </c>
      <c r="J14060">
        <v>4.51</v>
      </c>
    </row>
    <row r="14061" spans="1:10" hidden="1">
      <c r="A14061" t="s">
        <v>8530</v>
      </c>
      <c r="B14061" t="s">
        <v>8531</v>
      </c>
      <c r="C14061" t="s">
        <v>6839</v>
      </c>
      <c r="D14061" t="s">
        <v>1273</v>
      </c>
      <c r="E14061" t="s">
        <v>558</v>
      </c>
      <c r="F14061" t="s">
        <v>1068</v>
      </c>
      <c r="G14061" t="s">
        <v>1089</v>
      </c>
      <c r="H14061" s="171" t="s">
        <v>8537</v>
      </c>
      <c r="I14061" t="s">
        <v>1090</v>
      </c>
      <c r="J14061">
        <v>4.51</v>
      </c>
    </row>
    <row r="14062" spans="1:10" hidden="1">
      <c r="A14062" t="s">
        <v>8538</v>
      </c>
      <c r="B14062" t="s">
        <v>8539</v>
      </c>
      <c r="C14062" t="s">
        <v>6839</v>
      </c>
      <c r="D14062" t="s">
        <v>1273</v>
      </c>
      <c r="E14062" t="s">
        <v>553</v>
      </c>
      <c r="F14062" t="s">
        <v>1068</v>
      </c>
      <c r="G14062" t="s">
        <v>1069</v>
      </c>
      <c r="H14062">
        <v>5.2667843126186602E-2</v>
      </c>
      <c r="I14062" t="s">
        <v>1070</v>
      </c>
      <c r="J14062">
        <v>4.3499999999999996</v>
      </c>
    </row>
    <row r="14063" spans="1:10" hidden="1">
      <c r="A14063" t="s">
        <v>8538</v>
      </c>
      <c r="B14063" t="s">
        <v>8539</v>
      </c>
      <c r="C14063" t="s">
        <v>6839</v>
      </c>
      <c r="D14063" t="s">
        <v>1273</v>
      </c>
      <c r="E14063" t="s">
        <v>553</v>
      </c>
      <c r="F14063" t="s">
        <v>1068</v>
      </c>
      <c r="G14063" t="s">
        <v>1071</v>
      </c>
      <c r="H14063" s="171" t="s">
        <v>8540</v>
      </c>
      <c r="I14063" t="s">
        <v>1072</v>
      </c>
      <c r="J14063">
        <v>4.3499999999999996</v>
      </c>
    </row>
    <row r="14064" spans="1:10" hidden="1">
      <c r="A14064" t="s">
        <v>8538</v>
      </c>
      <c r="B14064" t="s">
        <v>8539</v>
      </c>
      <c r="C14064" t="s">
        <v>6839</v>
      </c>
      <c r="D14064" t="s">
        <v>1273</v>
      </c>
      <c r="E14064" t="s">
        <v>553</v>
      </c>
      <c r="F14064" t="s">
        <v>1068</v>
      </c>
      <c r="G14064" t="s">
        <v>1073</v>
      </c>
      <c r="H14064" s="171" t="s">
        <v>8541</v>
      </c>
      <c r="I14064" t="s">
        <v>1074</v>
      </c>
      <c r="J14064">
        <v>4.3499999999999996</v>
      </c>
    </row>
    <row r="14065" spans="1:10" hidden="1">
      <c r="A14065" t="s">
        <v>8538</v>
      </c>
      <c r="B14065" t="s">
        <v>8539</v>
      </c>
      <c r="C14065" t="s">
        <v>6839</v>
      </c>
      <c r="D14065" t="s">
        <v>1273</v>
      </c>
      <c r="E14065" t="s">
        <v>553</v>
      </c>
      <c r="F14065" t="s">
        <v>1068</v>
      </c>
      <c r="G14065" t="s">
        <v>1075</v>
      </c>
      <c r="H14065">
        <v>5.10699994476904E-3</v>
      </c>
      <c r="I14065" t="s">
        <v>1077</v>
      </c>
      <c r="J14065">
        <v>4.3499999999999996</v>
      </c>
    </row>
    <row r="14066" spans="1:10" hidden="1">
      <c r="A14066" t="s">
        <v>8538</v>
      </c>
      <c r="B14066" t="s">
        <v>8539</v>
      </c>
      <c r="C14066" t="s">
        <v>6839</v>
      </c>
      <c r="D14066" t="s">
        <v>1273</v>
      </c>
      <c r="E14066" t="s">
        <v>553</v>
      </c>
      <c r="F14066" t="s">
        <v>1068</v>
      </c>
      <c r="G14066" t="s">
        <v>1078</v>
      </c>
      <c r="H14066" s="171" t="s">
        <v>8542</v>
      </c>
      <c r="I14066" t="s">
        <v>1079</v>
      </c>
      <c r="J14066">
        <v>4.3499999999999996</v>
      </c>
    </row>
    <row r="14067" spans="1:10" hidden="1">
      <c r="A14067" t="s">
        <v>8538</v>
      </c>
      <c r="B14067" t="s">
        <v>8539</v>
      </c>
      <c r="C14067" t="s">
        <v>6839</v>
      </c>
      <c r="D14067" t="s">
        <v>1273</v>
      </c>
      <c r="E14067" t="s">
        <v>553</v>
      </c>
      <c r="F14067" t="s">
        <v>1068</v>
      </c>
      <c r="G14067" t="s">
        <v>1080</v>
      </c>
      <c r="H14067" s="171" t="s">
        <v>8543</v>
      </c>
      <c r="I14067" t="s">
        <v>1082</v>
      </c>
      <c r="J14067">
        <v>4.3499999999999996</v>
      </c>
    </row>
    <row r="14068" spans="1:10" hidden="1">
      <c r="A14068" t="s">
        <v>8538</v>
      </c>
      <c r="B14068" t="s">
        <v>8539</v>
      </c>
      <c r="C14068" t="s">
        <v>6839</v>
      </c>
      <c r="D14068" t="s">
        <v>1273</v>
      </c>
      <c r="E14068" t="s">
        <v>553</v>
      </c>
      <c r="F14068" t="s">
        <v>1068</v>
      </c>
      <c r="G14068" t="s">
        <v>1083</v>
      </c>
      <c r="H14068" s="171" t="s">
        <v>8544</v>
      </c>
      <c r="I14068" t="s">
        <v>1084</v>
      </c>
      <c r="J14068">
        <v>4.3499999999999996</v>
      </c>
    </row>
    <row r="14069" spans="1:10" hidden="1">
      <c r="A14069" t="s">
        <v>8538</v>
      </c>
      <c r="B14069" t="s">
        <v>8539</v>
      </c>
      <c r="C14069" t="s">
        <v>6839</v>
      </c>
      <c r="D14069" t="s">
        <v>1273</v>
      </c>
      <c r="E14069" t="s">
        <v>553</v>
      </c>
      <c r="F14069" t="s">
        <v>1068</v>
      </c>
      <c r="G14069" t="s">
        <v>1085</v>
      </c>
      <c r="H14069">
        <v>2.0572907132982801E-4</v>
      </c>
      <c r="I14069" t="s">
        <v>1086</v>
      </c>
      <c r="J14069">
        <v>4.3499999999999996</v>
      </c>
    </row>
    <row r="14070" spans="1:10" hidden="1">
      <c r="A14070" t="s">
        <v>8538</v>
      </c>
      <c r="B14070" t="s">
        <v>8539</v>
      </c>
      <c r="C14070" t="s">
        <v>6839</v>
      </c>
      <c r="D14070" t="s">
        <v>1273</v>
      </c>
      <c r="E14070" t="s">
        <v>553</v>
      </c>
      <c r="F14070" t="s">
        <v>1068</v>
      </c>
      <c r="G14070" t="s">
        <v>1087</v>
      </c>
      <c r="H14070" s="171" t="s">
        <v>8545</v>
      </c>
      <c r="I14070" t="s">
        <v>1088</v>
      </c>
      <c r="J14070">
        <v>4.3499999999999996</v>
      </c>
    </row>
    <row r="14071" spans="1:10" hidden="1">
      <c r="A14071" t="s">
        <v>8538</v>
      </c>
      <c r="B14071" t="s">
        <v>8539</v>
      </c>
      <c r="C14071" t="s">
        <v>6839</v>
      </c>
      <c r="D14071" t="s">
        <v>1273</v>
      </c>
      <c r="E14071" t="s">
        <v>553</v>
      </c>
      <c r="F14071" t="s">
        <v>1068</v>
      </c>
      <c r="G14071" t="s">
        <v>1089</v>
      </c>
      <c r="H14071" s="171" t="s">
        <v>8546</v>
      </c>
      <c r="I14071" t="s">
        <v>1090</v>
      </c>
      <c r="J14071">
        <v>4.3499999999999996</v>
      </c>
    </row>
    <row r="14072" spans="1:10" hidden="1">
      <c r="A14072" t="s">
        <v>8547</v>
      </c>
      <c r="B14072" t="s">
        <v>8548</v>
      </c>
      <c r="C14072" t="s">
        <v>6839</v>
      </c>
      <c r="D14072" t="s">
        <v>1273</v>
      </c>
      <c r="E14072" t="s">
        <v>556</v>
      </c>
      <c r="F14072" t="s">
        <v>1068</v>
      </c>
      <c r="G14072" t="s">
        <v>1069</v>
      </c>
      <c r="H14072" s="171" t="s">
        <v>8549</v>
      </c>
      <c r="I14072" t="s">
        <v>1070</v>
      </c>
      <c r="J14072">
        <v>4.3600000000000003</v>
      </c>
    </row>
    <row r="14073" spans="1:10" hidden="1">
      <c r="A14073" t="s">
        <v>8547</v>
      </c>
      <c r="B14073" t="s">
        <v>8548</v>
      </c>
      <c r="C14073" t="s">
        <v>6839</v>
      </c>
      <c r="D14073" t="s">
        <v>1273</v>
      </c>
      <c r="E14073" t="s">
        <v>556</v>
      </c>
      <c r="F14073" t="s">
        <v>1068</v>
      </c>
      <c r="G14073" t="s">
        <v>1071</v>
      </c>
      <c r="H14073" s="171" t="s">
        <v>8550</v>
      </c>
      <c r="I14073" t="s">
        <v>1072</v>
      </c>
      <c r="J14073">
        <v>4.3600000000000003</v>
      </c>
    </row>
    <row r="14074" spans="1:10" hidden="1">
      <c r="A14074" t="s">
        <v>8547</v>
      </c>
      <c r="B14074" t="s">
        <v>8548</v>
      </c>
      <c r="C14074" t="s">
        <v>6839</v>
      </c>
      <c r="D14074" t="s">
        <v>1273</v>
      </c>
      <c r="E14074" t="s">
        <v>556</v>
      </c>
      <c r="F14074" t="s">
        <v>1068</v>
      </c>
      <c r="G14074" t="s">
        <v>1073</v>
      </c>
      <c r="H14074" s="171" t="s">
        <v>8551</v>
      </c>
      <c r="I14074" t="s">
        <v>1074</v>
      </c>
      <c r="J14074">
        <v>4.3600000000000003</v>
      </c>
    </row>
    <row r="14075" spans="1:10" hidden="1">
      <c r="A14075" t="s">
        <v>8547</v>
      </c>
      <c r="B14075" t="s">
        <v>8548</v>
      </c>
      <c r="C14075" t="s">
        <v>6839</v>
      </c>
      <c r="D14075" t="s">
        <v>1273</v>
      </c>
      <c r="E14075" t="s">
        <v>556</v>
      </c>
      <c r="F14075" t="s">
        <v>1068</v>
      </c>
      <c r="G14075" t="s">
        <v>1075</v>
      </c>
      <c r="H14075">
        <v>5.1070688981358697E-3</v>
      </c>
      <c r="I14075" t="s">
        <v>1077</v>
      </c>
      <c r="J14075">
        <v>4.3600000000000003</v>
      </c>
    </row>
    <row r="14076" spans="1:10" hidden="1">
      <c r="A14076" t="s">
        <v>8547</v>
      </c>
      <c r="B14076" t="s">
        <v>8548</v>
      </c>
      <c r="C14076" t="s">
        <v>6839</v>
      </c>
      <c r="D14076" t="s">
        <v>1273</v>
      </c>
      <c r="E14076" t="s">
        <v>556</v>
      </c>
      <c r="F14076" t="s">
        <v>1068</v>
      </c>
      <c r="G14076" t="s">
        <v>1078</v>
      </c>
      <c r="H14076" s="171" t="s">
        <v>8552</v>
      </c>
      <c r="I14076" t="s">
        <v>1079</v>
      </c>
      <c r="J14076">
        <v>4.3600000000000003</v>
      </c>
    </row>
    <row r="14077" spans="1:10" hidden="1">
      <c r="A14077" t="s">
        <v>8547</v>
      </c>
      <c r="B14077" t="s">
        <v>8548</v>
      </c>
      <c r="C14077" t="s">
        <v>6839</v>
      </c>
      <c r="D14077" t="s">
        <v>1273</v>
      </c>
      <c r="E14077" t="s">
        <v>556</v>
      </c>
      <c r="F14077" t="s">
        <v>1068</v>
      </c>
      <c r="G14077" t="s">
        <v>1080</v>
      </c>
      <c r="H14077" s="171" t="s">
        <v>8553</v>
      </c>
      <c r="I14077" t="s">
        <v>1082</v>
      </c>
      <c r="J14077">
        <v>4.3600000000000003</v>
      </c>
    </row>
    <row r="14078" spans="1:10" hidden="1">
      <c r="A14078" t="s">
        <v>8547</v>
      </c>
      <c r="B14078" t="s">
        <v>8548</v>
      </c>
      <c r="C14078" t="s">
        <v>6839</v>
      </c>
      <c r="D14078" t="s">
        <v>1273</v>
      </c>
      <c r="E14078" t="s">
        <v>556</v>
      </c>
      <c r="F14078" t="s">
        <v>1068</v>
      </c>
      <c r="G14078" t="s">
        <v>1083</v>
      </c>
      <c r="H14078" s="171" t="s">
        <v>8554</v>
      </c>
      <c r="I14078" t="s">
        <v>1084</v>
      </c>
      <c r="J14078">
        <v>4.3600000000000003</v>
      </c>
    </row>
    <row r="14079" spans="1:10" hidden="1">
      <c r="A14079" t="s">
        <v>8547</v>
      </c>
      <c r="B14079" t="s">
        <v>8548</v>
      </c>
      <c r="C14079" t="s">
        <v>6839</v>
      </c>
      <c r="D14079" t="s">
        <v>1273</v>
      </c>
      <c r="E14079" t="s">
        <v>556</v>
      </c>
      <c r="F14079" t="s">
        <v>1068</v>
      </c>
      <c r="G14079" t="s">
        <v>1085</v>
      </c>
      <c r="H14079">
        <v>2.0573281862738401E-4</v>
      </c>
      <c r="I14079" t="s">
        <v>1086</v>
      </c>
      <c r="J14079">
        <v>4.3600000000000003</v>
      </c>
    </row>
    <row r="14080" spans="1:10" hidden="1">
      <c r="A14080" t="s">
        <v>8547</v>
      </c>
      <c r="B14080" t="s">
        <v>8548</v>
      </c>
      <c r="C14080" t="s">
        <v>6839</v>
      </c>
      <c r="D14080" t="s">
        <v>1273</v>
      </c>
      <c r="E14080" t="s">
        <v>556</v>
      </c>
      <c r="F14080" t="s">
        <v>1068</v>
      </c>
      <c r="G14080" t="s">
        <v>1087</v>
      </c>
      <c r="H14080" s="171" t="s">
        <v>8555</v>
      </c>
      <c r="I14080" t="s">
        <v>1088</v>
      </c>
      <c r="J14080">
        <v>4.3600000000000003</v>
      </c>
    </row>
    <row r="14081" spans="1:10" hidden="1">
      <c r="A14081" t="s">
        <v>8547</v>
      </c>
      <c r="B14081" t="s">
        <v>8548</v>
      </c>
      <c r="C14081" t="s">
        <v>6839</v>
      </c>
      <c r="D14081" t="s">
        <v>1273</v>
      </c>
      <c r="E14081" t="s">
        <v>556</v>
      </c>
      <c r="F14081" t="s">
        <v>1068</v>
      </c>
      <c r="G14081" t="s">
        <v>1089</v>
      </c>
      <c r="H14081" s="171" t="s">
        <v>8556</v>
      </c>
      <c r="I14081" t="s">
        <v>1090</v>
      </c>
      <c r="J14081">
        <v>4.3600000000000003</v>
      </c>
    </row>
    <row r="14082" spans="1:10" hidden="1">
      <c r="A14082" t="s">
        <v>8557</v>
      </c>
      <c r="B14082" t="s">
        <v>8558</v>
      </c>
      <c r="C14082" t="s">
        <v>6839</v>
      </c>
      <c r="D14082" t="s">
        <v>1273</v>
      </c>
      <c r="E14082" t="s">
        <v>557</v>
      </c>
      <c r="F14082" t="s">
        <v>1068</v>
      </c>
      <c r="G14082" t="s">
        <v>1069</v>
      </c>
      <c r="H14082">
        <v>5.2667662558237002E-2</v>
      </c>
      <c r="I14082" t="s">
        <v>1070</v>
      </c>
      <c r="J14082">
        <v>4.29</v>
      </c>
    </row>
    <row r="14083" spans="1:10" hidden="1">
      <c r="A14083" t="s">
        <v>8557</v>
      </c>
      <c r="B14083" t="s">
        <v>8558</v>
      </c>
      <c r="C14083" t="s">
        <v>6839</v>
      </c>
      <c r="D14083" t="s">
        <v>1273</v>
      </c>
      <c r="E14083" t="s">
        <v>557</v>
      </c>
      <c r="F14083" t="s">
        <v>1068</v>
      </c>
      <c r="G14083" t="s">
        <v>1071</v>
      </c>
      <c r="H14083" s="171" t="s">
        <v>8559</v>
      </c>
      <c r="I14083" t="s">
        <v>1072</v>
      </c>
      <c r="J14083">
        <v>4.29</v>
      </c>
    </row>
    <row r="14084" spans="1:10" hidden="1">
      <c r="A14084" t="s">
        <v>8557</v>
      </c>
      <c r="B14084" t="s">
        <v>8558</v>
      </c>
      <c r="C14084" t="s">
        <v>6839</v>
      </c>
      <c r="D14084" t="s">
        <v>1273</v>
      </c>
      <c r="E14084" t="s">
        <v>557</v>
      </c>
      <c r="F14084" t="s">
        <v>1068</v>
      </c>
      <c r="G14084" t="s">
        <v>1073</v>
      </c>
      <c r="H14084" s="171" t="s">
        <v>8560</v>
      </c>
      <c r="I14084" t="s">
        <v>1074</v>
      </c>
      <c r="J14084">
        <v>4.29</v>
      </c>
    </row>
    <row r="14085" spans="1:10" hidden="1">
      <c r="A14085" t="s">
        <v>8557</v>
      </c>
      <c r="B14085" t="s">
        <v>8558</v>
      </c>
      <c r="C14085" t="s">
        <v>6839</v>
      </c>
      <c r="D14085" t="s">
        <v>1273</v>
      </c>
      <c r="E14085" t="s">
        <v>557</v>
      </c>
      <c r="F14085" t="s">
        <v>1068</v>
      </c>
      <c r="G14085" t="s">
        <v>1075</v>
      </c>
      <c r="H14085">
        <v>5.1070257968462499E-3</v>
      </c>
      <c r="I14085" t="s">
        <v>1077</v>
      </c>
      <c r="J14085">
        <v>4.29</v>
      </c>
    </row>
    <row r="14086" spans="1:10" hidden="1">
      <c r="A14086" t="s">
        <v>8557</v>
      </c>
      <c r="B14086" t="s">
        <v>8558</v>
      </c>
      <c r="C14086" t="s">
        <v>6839</v>
      </c>
      <c r="D14086" t="s">
        <v>1273</v>
      </c>
      <c r="E14086" t="s">
        <v>557</v>
      </c>
      <c r="F14086" t="s">
        <v>1068</v>
      </c>
      <c r="G14086" t="s">
        <v>1078</v>
      </c>
      <c r="H14086" s="171" t="s">
        <v>8561</v>
      </c>
      <c r="I14086" t="s">
        <v>1079</v>
      </c>
      <c r="J14086">
        <v>4.29</v>
      </c>
    </row>
    <row r="14087" spans="1:10" hidden="1">
      <c r="A14087" t="s">
        <v>8557</v>
      </c>
      <c r="B14087" t="s">
        <v>8558</v>
      </c>
      <c r="C14087" t="s">
        <v>6839</v>
      </c>
      <c r="D14087" t="s">
        <v>1273</v>
      </c>
      <c r="E14087" t="s">
        <v>557</v>
      </c>
      <c r="F14087" t="s">
        <v>1068</v>
      </c>
      <c r="G14087" t="s">
        <v>1080</v>
      </c>
      <c r="H14087" s="171" t="s">
        <v>8562</v>
      </c>
      <c r="I14087" t="s">
        <v>1082</v>
      </c>
      <c r="J14087">
        <v>4.29</v>
      </c>
    </row>
    <row r="14088" spans="1:10" hidden="1">
      <c r="A14088" t="s">
        <v>8557</v>
      </c>
      <c r="B14088" t="s">
        <v>8558</v>
      </c>
      <c r="C14088" t="s">
        <v>6839</v>
      </c>
      <c r="D14088" t="s">
        <v>1273</v>
      </c>
      <c r="E14088" t="s">
        <v>557</v>
      </c>
      <c r="F14088" t="s">
        <v>1068</v>
      </c>
      <c r="G14088" t="s">
        <v>1083</v>
      </c>
      <c r="H14088" s="171" t="s">
        <v>8563</v>
      </c>
      <c r="I14088" t="s">
        <v>1084</v>
      </c>
      <c r="J14088">
        <v>4.29</v>
      </c>
    </row>
    <row r="14089" spans="1:10" hidden="1">
      <c r="A14089" t="s">
        <v>8557</v>
      </c>
      <c r="B14089" t="s">
        <v>8558</v>
      </c>
      <c r="C14089" t="s">
        <v>6839</v>
      </c>
      <c r="D14089" t="s">
        <v>1273</v>
      </c>
      <c r="E14089" t="s">
        <v>557</v>
      </c>
      <c r="F14089" t="s">
        <v>1068</v>
      </c>
      <c r="G14089" t="s">
        <v>1085</v>
      </c>
      <c r="H14089">
        <v>2.0573047685047899E-4</v>
      </c>
      <c r="I14089" t="s">
        <v>1086</v>
      </c>
      <c r="J14089">
        <v>4.29</v>
      </c>
    </row>
    <row r="14090" spans="1:10" hidden="1">
      <c r="A14090" t="s">
        <v>8557</v>
      </c>
      <c r="B14090" t="s">
        <v>8558</v>
      </c>
      <c r="C14090" t="s">
        <v>6839</v>
      </c>
      <c r="D14090" t="s">
        <v>1273</v>
      </c>
      <c r="E14090" t="s">
        <v>557</v>
      </c>
      <c r="F14090" t="s">
        <v>1068</v>
      </c>
      <c r="G14090" t="s">
        <v>1087</v>
      </c>
      <c r="H14090" s="171" t="s">
        <v>8564</v>
      </c>
      <c r="I14090" t="s">
        <v>1088</v>
      </c>
      <c r="J14090">
        <v>4.29</v>
      </c>
    </row>
    <row r="14091" spans="1:10" hidden="1">
      <c r="A14091" t="s">
        <v>8557</v>
      </c>
      <c r="B14091" t="s">
        <v>8558</v>
      </c>
      <c r="C14091" t="s">
        <v>6839</v>
      </c>
      <c r="D14091" t="s">
        <v>1273</v>
      </c>
      <c r="E14091" t="s">
        <v>557</v>
      </c>
      <c r="F14091" t="s">
        <v>1068</v>
      </c>
      <c r="G14091" t="s">
        <v>1089</v>
      </c>
      <c r="H14091" s="171" t="s">
        <v>8565</v>
      </c>
      <c r="I14091" t="s">
        <v>1090</v>
      </c>
      <c r="J14091">
        <v>4.29</v>
      </c>
    </row>
    <row r="14092" spans="1:10" hidden="1">
      <c r="A14092" t="s">
        <v>8566</v>
      </c>
      <c r="B14092" t="s">
        <v>8567</v>
      </c>
      <c r="C14092" t="s">
        <v>6839</v>
      </c>
      <c r="D14092" t="s">
        <v>1273</v>
      </c>
      <c r="E14092" t="s">
        <v>559</v>
      </c>
      <c r="F14092" t="s">
        <v>1068</v>
      </c>
      <c r="G14092" t="s">
        <v>1069</v>
      </c>
      <c r="H14092">
        <v>5.2669376055214198E-2</v>
      </c>
      <c r="I14092" t="s">
        <v>1070</v>
      </c>
      <c r="J14092">
        <v>4.3600000000000003</v>
      </c>
    </row>
    <row r="14093" spans="1:10" hidden="1">
      <c r="A14093" t="s">
        <v>8566</v>
      </c>
      <c r="B14093" t="s">
        <v>8567</v>
      </c>
      <c r="C14093" t="s">
        <v>6839</v>
      </c>
      <c r="D14093" t="s">
        <v>1273</v>
      </c>
      <c r="E14093" t="s">
        <v>559</v>
      </c>
      <c r="F14093" t="s">
        <v>1068</v>
      </c>
      <c r="G14093" t="s">
        <v>1071</v>
      </c>
      <c r="H14093" s="171" t="s">
        <v>8568</v>
      </c>
      <c r="I14093" t="s">
        <v>1072</v>
      </c>
      <c r="J14093">
        <v>4.3600000000000003</v>
      </c>
    </row>
    <row r="14094" spans="1:10" hidden="1">
      <c r="A14094" t="s">
        <v>8566</v>
      </c>
      <c r="B14094" t="s">
        <v>8567</v>
      </c>
      <c r="C14094" t="s">
        <v>6839</v>
      </c>
      <c r="D14094" t="s">
        <v>1273</v>
      </c>
      <c r="E14094" t="s">
        <v>559</v>
      </c>
      <c r="F14094" t="s">
        <v>1068</v>
      </c>
      <c r="G14094" t="s">
        <v>1073</v>
      </c>
      <c r="H14094" s="171" t="s">
        <v>8569</v>
      </c>
      <c r="I14094" t="s">
        <v>1074</v>
      </c>
      <c r="J14094">
        <v>4.3600000000000003</v>
      </c>
    </row>
    <row r="14095" spans="1:10" hidden="1">
      <c r="A14095" t="s">
        <v>8566</v>
      </c>
      <c r="B14095" t="s">
        <v>8567</v>
      </c>
      <c r="C14095" t="s">
        <v>6839</v>
      </c>
      <c r="D14095" t="s">
        <v>1273</v>
      </c>
      <c r="E14095" t="s">
        <v>559</v>
      </c>
      <c r="F14095" t="s">
        <v>1068</v>
      </c>
      <c r="G14095" t="s">
        <v>1075</v>
      </c>
      <c r="H14095">
        <v>5.1070484022931904E-3</v>
      </c>
      <c r="I14095" t="s">
        <v>1077</v>
      </c>
      <c r="J14095">
        <v>4.3600000000000003</v>
      </c>
    </row>
    <row r="14096" spans="1:10" hidden="1">
      <c r="A14096" t="s">
        <v>8566</v>
      </c>
      <c r="B14096" t="s">
        <v>8567</v>
      </c>
      <c r="C14096" t="s">
        <v>6839</v>
      </c>
      <c r="D14096" t="s">
        <v>1273</v>
      </c>
      <c r="E14096" t="s">
        <v>559</v>
      </c>
      <c r="F14096" t="s">
        <v>1068</v>
      </c>
      <c r="G14096" t="s">
        <v>1078</v>
      </c>
      <c r="H14096" s="171" t="s">
        <v>8570</v>
      </c>
      <c r="I14096" t="s">
        <v>1079</v>
      </c>
      <c r="J14096">
        <v>4.3600000000000003</v>
      </c>
    </row>
    <row r="14097" spans="1:10" hidden="1">
      <c r="A14097" t="s">
        <v>8566</v>
      </c>
      <c r="B14097" t="s">
        <v>8567</v>
      </c>
      <c r="C14097" t="s">
        <v>6839</v>
      </c>
      <c r="D14097" t="s">
        <v>1273</v>
      </c>
      <c r="E14097" t="s">
        <v>559</v>
      </c>
      <c r="F14097" t="s">
        <v>1068</v>
      </c>
      <c r="G14097" t="s">
        <v>1080</v>
      </c>
      <c r="H14097" s="171" t="s">
        <v>8571</v>
      </c>
      <c r="I14097" t="s">
        <v>1082</v>
      </c>
      <c r="J14097">
        <v>4.3600000000000003</v>
      </c>
    </row>
    <row r="14098" spans="1:10" hidden="1">
      <c r="A14098" t="s">
        <v>8566</v>
      </c>
      <c r="B14098" t="s">
        <v>8567</v>
      </c>
      <c r="C14098" t="s">
        <v>6839</v>
      </c>
      <c r="D14098" t="s">
        <v>1273</v>
      </c>
      <c r="E14098" t="s">
        <v>559</v>
      </c>
      <c r="F14098" t="s">
        <v>1068</v>
      </c>
      <c r="G14098" t="s">
        <v>1083</v>
      </c>
      <c r="H14098" s="171" t="s">
        <v>8572</v>
      </c>
      <c r="I14098" t="s">
        <v>1084</v>
      </c>
      <c r="J14098">
        <v>4.3600000000000003</v>
      </c>
    </row>
    <row r="14099" spans="1:10" hidden="1">
      <c r="A14099" t="s">
        <v>8566</v>
      </c>
      <c r="B14099" t="s">
        <v>8567</v>
      </c>
      <c r="C14099" t="s">
        <v>6839</v>
      </c>
      <c r="D14099" t="s">
        <v>1273</v>
      </c>
      <c r="E14099" t="s">
        <v>559</v>
      </c>
      <c r="F14099" t="s">
        <v>1068</v>
      </c>
      <c r="G14099" t="s">
        <v>1085</v>
      </c>
      <c r="H14099">
        <v>2.0573170477284399E-4</v>
      </c>
      <c r="I14099" t="s">
        <v>1086</v>
      </c>
      <c r="J14099">
        <v>4.3600000000000003</v>
      </c>
    </row>
    <row r="14100" spans="1:10" hidden="1">
      <c r="A14100" t="s">
        <v>8566</v>
      </c>
      <c r="B14100" t="s">
        <v>8567</v>
      </c>
      <c r="C14100" t="s">
        <v>6839</v>
      </c>
      <c r="D14100" t="s">
        <v>1273</v>
      </c>
      <c r="E14100" t="s">
        <v>559</v>
      </c>
      <c r="F14100" t="s">
        <v>1068</v>
      </c>
      <c r="G14100" t="s">
        <v>1087</v>
      </c>
      <c r="H14100" s="171" t="s">
        <v>8573</v>
      </c>
      <c r="I14100" t="s">
        <v>1088</v>
      </c>
      <c r="J14100">
        <v>4.3600000000000003</v>
      </c>
    </row>
    <row r="14101" spans="1:10" hidden="1">
      <c r="A14101" t="s">
        <v>8566</v>
      </c>
      <c r="B14101" t="s">
        <v>8567</v>
      </c>
      <c r="C14101" t="s">
        <v>6839</v>
      </c>
      <c r="D14101" t="s">
        <v>1273</v>
      </c>
      <c r="E14101" t="s">
        <v>559</v>
      </c>
      <c r="F14101" t="s">
        <v>1068</v>
      </c>
      <c r="G14101" t="s">
        <v>1089</v>
      </c>
      <c r="H14101" s="171" t="s">
        <v>8574</v>
      </c>
      <c r="I14101" t="s">
        <v>1090</v>
      </c>
      <c r="J14101">
        <v>4.3600000000000003</v>
      </c>
    </row>
    <row r="14102" spans="1:10" hidden="1">
      <c r="A14102" t="s">
        <v>8575</v>
      </c>
      <c r="B14102" t="s">
        <v>8576</v>
      </c>
      <c r="C14102" t="s">
        <v>6839</v>
      </c>
      <c r="D14102" t="s">
        <v>1273</v>
      </c>
      <c r="E14102" t="s">
        <v>560</v>
      </c>
      <c r="F14102" t="s">
        <v>1068</v>
      </c>
      <c r="G14102" t="s">
        <v>1069</v>
      </c>
      <c r="H14102">
        <v>5.2668059720300697E-2</v>
      </c>
      <c r="I14102" t="s">
        <v>1070</v>
      </c>
      <c r="J14102">
        <v>4.21</v>
      </c>
    </row>
    <row r="14103" spans="1:10" hidden="1">
      <c r="A14103" t="s">
        <v>8575</v>
      </c>
      <c r="B14103" t="s">
        <v>8576</v>
      </c>
      <c r="C14103" t="s">
        <v>6839</v>
      </c>
      <c r="D14103" t="s">
        <v>1273</v>
      </c>
      <c r="E14103" t="s">
        <v>560</v>
      </c>
      <c r="F14103" t="s">
        <v>1068</v>
      </c>
      <c r="G14103" t="s">
        <v>1071</v>
      </c>
      <c r="H14103" s="171" t="s">
        <v>8577</v>
      </c>
      <c r="I14103" t="s">
        <v>1072</v>
      </c>
      <c r="J14103">
        <v>4.21</v>
      </c>
    </row>
    <row r="14104" spans="1:10" hidden="1">
      <c r="A14104" t="s">
        <v>8575</v>
      </c>
      <c r="B14104" t="s">
        <v>8576</v>
      </c>
      <c r="C14104" t="s">
        <v>6839</v>
      </c>
      <c r="D14104" t="s">
        <v>1273</v>
      </c>
      <c r="E14104" t="s">
        <v>560</v>
      </c>
      <c r="F14104" t="s">
        <v>1068</v>
      </c>
      <c r="G14104" t="s">
        <v>1073</v>
      </c>
      <c r="H14104" s="171" t="s">
        <v>8578</v>
      </c>
      <c r="I14104" t="s">
        <v>1074</v>
      </c>
      <c r="J14104">
        <v>4.21</v>
      </c>
    </row>
    <row r="14105" spans="1:10" hidden="1">
      <c r="A14105" t="s">
        <v>8575</v>
      </c>
      <c r="B14105" t="s">
        <v>8576</v>
      </c>
      <c r="C14105" t="s">
        <v>6839</v>
      </c>
      <c r="D14105" t="s">
        <v>1273</v>
      </c>
      <c r="E14105" t="s">
        <v>560</v>
      </c>
      <c r="F14105" t="s">
        <v>1068</v>
      </c>
      <c r="G14105" t="s">
        <v>1075</v>
      </c>
      <c r="H14105">
        <v>5.1070383515634298E-3</v>
      </c>
      <c r="I14105" t="s">
        <v>1077</v>
      </c>
      <c r="J14105">
        <v>4.21</v>
      </c>
    </row>
    <row r="14106" spans="1:10" hidden="1">
      <c r="A14106" t="s">
        <v>8575</v>
      </c>
      <c r="B14106" t="s">
        <v>8576</v>
      </c>
      <c r="C14106" t="s">
        <v>6839</v>
      </c>
      <c r="D14106" t="s">
        <v>1273</v>
      </c>
      <c r="E14106" t="s">
        <v>560</v>
      </c>
      <c r="F14106" t="s">
        <v>1068</v>
      </c>
      <c r="G14106" t="s">
        <v>1078</v>
      </c>
      <c r="H14106">
        <v>2.7530883864368701E-2</v>
      </c>
      <c r="I14106" t="s">
        <v>1079</v>
      </c>
      <c r="J14106">
        <v>4.21</v>
      </c>
    </row>
    <row r="14107" spans="1:10" hidden="1">
      <c r="A14107" t="s">
        <v>8575</v>
      </c>
      <c r="B14107" t="s">
        <v>8576</v>
      </c>
      <c r="C14107" t="s">
        <v>6839</v>
      </c>
      <c r="D14107" t="s">
        <v>1273</v>
      </c>
      <c r="E14107" t="s">
        <v>560</v>
      </c>
      <c r="F14107" t="s">
        <v>1068</v>
      </c>
      <c r="G14107" t="s">
        <v>1080</v>
      </c>
      <c r="H14107" s="171" t="s">
        <v>8579</v>
      </c>
      <c r="I14107" t="s">
        <v>1082</v>
      </c>
      <c r="J14107">
        <v>4.21</v>
      </c>
    </row>
    <row r="14108" spans="1:10" hidden="1">
      <c r="A14108" t="s">
        <v>8575</v>
      </c>
      <c r="B14108" t="s">
        <v>8576</v>
      </c>
      <c r="C14108" t="s">
        <v>6839</v>
      </c>
      <c r="D14108" t="s">
        <v>1273</v>
      </c>
      <c r="E14108" t="s">
        <v>560</v>
      </c>
      <c r="F14108" t="s">
        <v>1068</v>
      </c>
      <c r="G14108" t="s">
        <v>1083</v>
      </c>
      <c r="H14108" s="171" t="s">
        <v>8580</v>
      </c>
      <c r="I14108" t="s">
        <v>1084</v>
      </c>
      <c r="J14108">
        <v>4.21</v>
      </c>
    </row>
    <row r="14109" spans="1:10" hidden="1">
      <c r="A14109" t="s">
        <v>8575</v>
      </c>
      <c r="B14109" t="s">
        <v>8576</v>
      </c>
      <c r="C14109" t="s">
        <v>6839</v>
      </c>
      <c r="D14109" t="s">
        <v>1273</v>
      </c>
      <c r="E14109" t="s">
        <v>560</v>
      </c>
      <c r="F14109" t="s">
        <v>1068</v>
      </c>
      <c r="G14109" t="s">
        <v>1085</v>
      </c>
      <c r="H14109">
        <v>2.0573115914147101E-4</v>
      </c>
      <c r="I14109" t="s">
        <v>1086</v>
      </c>
      <c r="J14109">
        <v>4.21</v>
      </c>
    </row>
    <row r="14110" spans="1:10" hidden="1">
      <c r="A14110" t="s">
        <v>8575</v>
      </c>
      <c r="B14110" t="s">
        <v>8576</v>
      </c>
      <c r="C14110" t="s">
        <v>6839</v>
      </c>
      <c r="D14110" t="s">
        <v>1273</v>
      </c>
      <c r="E14110" t="s">
        <v>560</v>
      </c>
      <c r="F14110" t="s">
        <v>1068</v>
      </c>
      <c r="G14110" t="s">
        <v>1087</v>
      </c>
      <c r="H14110" s="171" t="s">
        <v>8581</v>
      </c>
      <c r="I14110" t="s">
        <v>1088</v>
      </c>
      <c r="J14110">
        <v>4.21</v>
      </c>
    </row>
    <row r="14111" spans="1:10" hidden="1">
      <c r="A14111" t="s">
        <v>8575</v>
      </c>
      <c r="B14111" t="s">
        <v>8576</v>
      </c>
      <c r="C14111" t="s">
        <v>6839</v>
      </c>
      <c r="D14111" t="s">
        <v>1273</v>
      </c>
      <c r="E14111" t="s">
        <v>560</v>
      </c>
      <c r="F14111" t="s">
        <v>1068</v>
      </c>
      <c r="G14111" t="s">
        <v>1089</v>
      </c>
      <c r="H14111" s="171" t="s">
        <v>8582</v>
      </c>
      <c r="I14111" t="s">
        <v>1090</v>
      </c>
      <c r="J14111">
        <v>4.21</v>
      </c>
    </row>
    <row r="14112" spans="1:10" hidden="1">
      <c r="A14112" t="s">
        <v>8583</v>
      </c>
      <c r="B14112" t="s">
        <v>8584</v>
      </c>
      <c r="C14112" t="s">
        <v>6839</v>
      </c>
      <c r="D14112" t="s">
        <v>1273</v>
      </c>
      <c r="E14112" t="s">
        <v>1116</v>
      </c>
      <c r="F14112" t="s">
        <v>1068</v>
      </c>
      <c r="G14112" t="s">
        <v>1069</v>
      </c>
      <c r="H14112" s="171" t="s">
        <v>8585</v>
      </c>
      <c r="I14112" t="s">
        <v>1070</v>
      </c>
      <c r="J14112">
        <v>4.38</v>
      </c>
    </row>
    <row r="14113" spans="1:10" hidden="1">
      <c r="A14113" t="s">
        <v>8583</v>
      </c>
      <c r="B14113" t="s">
        <v>8584</v>
      </c>
      <c r="C14113" t="s">
        <v>6839</v>
      </c>
      <c r="D14113" t="s">
        <v>1273</v>
      </c>
      <c r="E14113" t="s">
        <v>1116</v>
      </c>
      <c r="F14113" t="s">
        <v>1068</v>
      </c>
      <c r="G14113" t="s">
        <v>1071</v>
      </c>
      <c r="H14113" s="171" t="s">
        <v>8586</v>
      </c>
      <c r="I14113" t="s">
        <v>1072</v>
      </c>
      <c r="J14113">
        <v>4.38</v>
      </c>
    </row>
    <row r="14114" spans="1:10" hidden="1">
      <c r="A14114" t="s">
        <v>8583</v>
      </c>
      <c r="B14114" t="s">
        <v>8584</v>
      </c>
      <c r="C14114" t="s">
        <v>6839</v>
      </c>
      <c r="D14114" t="s">
        <v>1273</v>
      </c>
      <c r="E14114" t="s">
        <v>1116</v>
      </c>
      <c r="F14114" t="s">
        <v>1068</v>
      </c>
      <c r="G14114" t="s">
        <v>1073</v>
      </c>
      <c r="H14114" s="171" t="s">
        <v>8587</v>
      </c>
      <c r="I14114" t="s">
        <v>1074</v>
      </c>
      <c r="J14114">
        <v>4.38</v>
      </c>
    </row>
    <row r="14115" spans="1:10" hidden="1">
      <c r="A14115" t="s">
        <v>8583</v>
      </c>
      <c r="B14115" t="s">
        <v>8584</v>
      </c>
      <c r="C14115" t="s">
        <v>6839</v>
      </c>
      <c r="D14115" t="s">
        <v>1273</v>
      </c>
      <c r="E14115" t="s">
        <v>1116</v>
      </c>
      <c r="F14115" t="s">
        <v>1068</v>
      </c>
      <c r="G14115" t="s">
        <v>1075</v>
      </c>
      <c r="H14115">
        <v>5.1070002467343001E-3</v>
      </c>
      <c r="I14115" t="s">
        <v>1077</v>
      </c>
      <c r="J14115">
        <v>4.38</v>
      </c>
    </row>
    <row r="14116" spans="1:10" hidden="1">
      <c r="A14116" t="s">
        <v>8583</v>
      </c>
      <c r="B14116" t="s">
        <v>8584</v>
      </c>
      <c r="C14116" t="s">
        <v>6839</v>
      </c>
      <c r="D14116" t="s">
        <v>1273</v>
      </c>
      <c r="E14116" t="s">
        <v>1116</v>
      </c>
      <c r="F14116" t="s">
        <v>1068</v>
      </c>
      <c r="G14116" t="s">
        <v>1078</v>
      </c>
      <c r="H14116" s="171" t="s">
        <v>8588</v>
      </c>
      <c r="I14116" t="s">
        <v>1079</v>
      </c>
      <c r="J14116">
        <v>4.38</v>
      </c>
    </row>
    <row r="14117" spans="1:10" hidden="1">
      <c r="A14117" t="s">
        <v>8583</v>
      </c>
      <c r="B14117" t="s">
        <v>8584</v>
      </c>
      <c r="C14117" t="s">
        <v>6839</v>
      </c>
      <c r="D14117" t="s">
        <v>1273</v>
      </c>
      <c r="E14117" t="s">
        <v>1116</v>
      </c>
      <c r="F14117" t="s">
        <v>1068</v>
      </c>
      <c r="G14117" t="s">
        <v>1080</v>
      </c>
      <c r="H14117" s="171" t="s">
        <v>8589</v>
      </c>
      <c r="I14117" t="s">
        <v>1082</v>
      </c>
      <c r="J14117">
        <v>4.38</v>
      </c>
    </row>
    <row r="14118" spans="1:10" hidden="1">
      <c r="A14118" t="s">
        <v>8583</v>
      </c>
      <c r="B14118" t="s">
        <v>8584</v>
      </c>
      <c r="C14118" t="s">
        <v>6839</v>
      </c>
      <c r="D14118" t="s">
        <v>1273</v>
      </c>
      <c r="E14118" t="s">
        <v>1116</v>
      </c>
      <c r="F14118" t="s">
        <v>1068</v>
      </c>
      <c r="G14118" t="s">
        <v>1083</v>
      </c>
      <c r="H14118" s="171" t="s">
        <v>8590</v>
      </c>
      <c r="I14118" t="s">
        <v>1084</v>
      </c>
      <c r="J14118">
        <v>4.38</v>
      </c>
    </row>
    <row r="14119" spans="1:10" hidden="1">
      <c r="A14119" t="s">
        <v>8583</v>
      </c>
      <c r="B14119" t="s">
        <v>8584</v>
      </c>
      <c r="C14119" t="s">
        <v>6839</v>
      </c>
      <c r="D14119" t="s">
        <v>1273</v>
      </c>
      <c r="E14119" t="s">
        <v>1116</v>
      </c>
      <c r="F14119" t="s">
        <v>1068</v>
      </c>
      <c r="G14119" t="s">
        <v>1085</v>
      </c>
      <c r="H14119">
        <v>2.05729088319697E-4</v>
      </c>
      <c r="I14119" t="s">
        <v>1086</v>
      </c>
      <c r="J14119">
        <v>4.38</v>
      </c>
    </row>
    <row r="14120" spans="1:10" hidden="1">
      <c r="A14120" t="s">
        <v>8583</v>
      </c>
      <c r="B14120" t="s">
        <v>8584</v>
      </c>
      <c r="C14120" t="s">
        <v>6839</v>
      </c>
      <c r="D14120" t="s">
        <v>1273</v>
      </c>
      <c r="E14120" t="s">
        <v>1116</v>
      </c>
      <c r="F14120" t="s">
        <v>1068</v>
      </c>
      <c r="G14120" t="s">
        <v>1087</v>
      </c>
      <c r="H14120" s="171" t="s">
        <v>8591</v>
      </c>
      <c r="I14120" t="s">
        <v>1088</v>
      </c>
      <c r="J14120">
        <v>4.38</v>
      </c>
    </row>
    <row r="14121" spans="1:10" hidden="1">
      <c r="A14121" t="s">
        <v>8583</v>
      </c>
      <c r="B14121" t="s">
        <v>8584</v>
      </c>
      <c r="C14121" t="s">
        <v>6839</v>
      </c>
      <c r="D14121" t="s">
        <v>1273</v>
      </c>
      <c r="E14121" t="s">
        <v>1116</v>
      </c>
      <c r="F14121" t="s">
        <v>1068</v>
      </c>
      <c r="G14121" t="s">
        <v>1089</v>
      </c>
      <c r="H14121" s="171" t="s">
        <v>8592</v>
      </c>
      <c r="I14121" t="s">
        <v>1090</v>
      </c>
      <c r="J14121">
        <v>4.38</v>
      </c>
    </row>
    <row r="14122" spans="1:10" hidden="1">
      <c r="A14122" t="s">
        <v>8593</v>
      </c>
      <c r="B14122" t="s">
        <v>8594</v>
      </c>
      <c r="C14122" t="s">
        <v>6839</v>
      </c>
      <c r="D14122" t="s">
        <v>3374</v>
      </c>
      <c r="E14122" t="s">
        <v>561</v>
      </c>
      <c r="F14122" t="s">
        <v>1068</v>
      </c>
      <c r="G14122" t="s">
        <v>1069</v>
      </c>
      <c r="H14122" s="171" t="s">
        <v>8595</v>
      </c>
      <c r="I14122" t="s">
        <v>1070</v>
      </c>
      <c r="J14122">
        <v>4.49</v>
      </c>
    </row>
    <row r="14123" spans="1:10" hidden="1">
      <c r="A14123" t="s">
        <v>8593</v>
      </c>
      <c r="B14123" t="s">
        <v>8594</v>
      </c>
      <c r="C14123" t="s">
        <v>6839</v>
      </c>
      <c r="D14123" t="s">
        <v>3374</v>
      </c>
      <c r="E14123" t="s">
        <v>561</v>
      </c>
      <c r="F14123" t="s">
        <v>1068</v>
      </c>
      <c r="G14123" t="s">
        <v>1071</v>
      </c>
      <c r="H14123" s="171" t="s">
        <v>8596</v>
      </c>
      <c r="I14123" t="s">
        <v>1072</v>
      </c>
      <c r="J14123">
        <v>4.49</v>
      </c>
    </row>
    <row r="14124" spans="1:10" hidden="1">
      <c r="A14124" t="s">
        <v>8593</v>
      </c>
      <c r="B14124" t="s">
        <v>8594</v>
      </c>
      <c r="C14124" t="s">
        <v>6839</v>
      </c>
      <c r="D14124" t="s">
        <v>3374</v>
      </c>
      <c r="E14124" t="s">
        <v>561</v>
      </c>
      <c r="F14124" t="s">
        <v>1068</v>
      </c>
      <c r="G14124" t="s">
        <v>1073</v>
      </c>
      <c r="H14124" s="171" t="s">
        <v>8597</v>
      </c>
      <c r="I14124" t="s">
        <v>1074</v>
      </c>
      <c r="J14124">
        <v>4.49</v>
      </c>
    </row>
    <row r="14125" spans="1:10" hidden="1">
      <c r="A14125" t="s">
        <v>8593</v>
      </c>
      <c r="B14125" t="s">
        <v>8594</v>
      </c>
      <c r="C14125" t="s">
        <v>6839</v>
      </c>
      <c r="D14125" t="s">
        <v>3374</v>
      </c>
      <c r="E14125" t="s">
        <v>561</v>
      </c>
      <c r="F14125" t="s">
        <v>1068</v>
      </c>
      <c r="G14125" t="s">
        <v>1075</v>
      </c>
      <c r="H14125">
        <v>4.2529875388550697E-3</v>
      </c>
      <c r="I14125" t="s">
        <v>1077</v>
      </c>
      <c r="J14125">
        <v>4.49</v>
      </c>
    </row>
    <row r="14126" spans="1:10" hidden="1">
      <c r="A14126" t="s">
        <v>8593</v>
      </c>
      <c r="B14126" t="s">
        <v>8594</v>
      </c>
      <c r="C14126" t="s">
        <v>6839</v>
      </c>
      <c r="D14126" t="s">
        <v>3374</v>
      </c>
      <c r="E14126" t="s">
        <v>561</v>
      </c>
      <c r="F14126" t="s">
        <v>1068</v>
      </c>
      <c r="G14126" t="s">
        <v>1078</v>
      </c>
      <c r="H14126" s="171" t="s">
        <v>8598</v>
      </c>
      <c r="I14126" t="s">
        <v>1079</v>
      </c>
      <c r="J14126">
        <v>4.49</v>
      </c>
    </row>
    <row r="14127" spans="1:10" hidden="1">
      <c r="A14127" t="s">
        <v>8593</v>
      </c>
      <c r="B14127" t="s">
        <v>8594</v>
      </c>
      <c r="C14127" t="s">
        <v>6839</v>
      </c>
      <c r="D14127" t="s">
        <v>3374</v>
      </c>
      <c r="E14127" t="s">
        <v>561</v>
      </c>
      <c r="F14127" t="s">
        <v>1068</v>
      </c>
      <c r="G14127" t="s">
        <v>1080</v>
      </c>
      <c r="H14127" s="171" t="s">
        <v>8599</v>
      </c>
      <c r="I14127" t="s">
        <v>1082</v>
      </c>
      <c r="J14127">
        <v>4.49</v>
      </c>
    </row>
    <row r="14128" spans="1:10" hidden="1">
      <c r="A14128" t="s">
        <v>8593</v>
      </c>
      <c r="B14128" t="s">
        <v>8594</v>
      </c>
      <c r="C14128" t="s">
        <v>6839</v>
      </c>
      <c r="D14128" t="s">
        <v>3374</v>
      </c>
      <c r="E14128" t="s">
        <v>561</v>
      </c>
      <c r="F14128" t="s">
        <v>1068</v>
      </c>
      <c r="G14128" t="s">
        <v>1083</v>
      </c>
      <c r="H14128" s="171" t="s">
        <v>8600</v>
      </c>
      <c r="I14128" t="s">
        <v>1084</v>
      </c>
      <c r="J14128">
        <v>4.49</v>
      </c>
    </row>
    <row r="14129" spans="1:10" hidden="1">
      <c r="A14129" t="s">
        <v>8593</v>
      </c>
      <c r="B14129" t="s">
        <v>8594</v>
      </c>
      <c r="C14129" t="s">
        <v>6839</v>
      </c>
      <c r="D14129" t="s">
        <v>3374</v>
      </c>
      <c r="E14129" t="s">
        <v>561</v>
      </c>
      <c r="F14129" t="s">
        <v>1068</v>
      </c>
      <c r="G14129" t="s">
        <v>1085</v>
      </c>
      <c r="H14129">
        <v>1.5496568963293701E-4</v>
      </c>
      <c r="I14129" t="s">
        <v>1086</v>
      </c>
      <c r="J14129">
        <v>4.49</v>
      </c>
    </row>
    <row r="14130" spans="1:10" hidden="1">
      <c r="A14130" t="s">
        <v>8593</v>
      </c>
      <c r="B14130" t="s">
        <v>8594</v>
      </c>
      <c r="C14130" t="s">
        <v>6839</v>
      </c>
      <c r="D14130" t="s">
        <v>3374</v>
      </c>
      <c r="E14130" t="s">
        <v>561</v>
      </c>
      <c r="F14130" t="s">
        <v>1068</v>
      </c>
      <c r="G14130" t="s">
        <v>1087</v>
      </c>
      <c r="H14130" s="171" t="s">
        <v>8601</v>
      </c>
      <c r="I14130" t="s">
        <v>1088</v>
      </c>
      <c r="J14130">
        <v>4.49</v>
      </c>
    </row>
    <row r="14131" spans="1:10" hidden="1">
      <c r="A14131" t="s">
        <v>8593</v>
      </c>
      <c r="B14131" t="s">
        <v>8594</v>
      </c>
      <c r="C14131" t="s">
        <v>6839</v>
      </c>
      <c r="D14131" t="s">
        <v>3374</v>
      </c>
      <c r="E14131" t="s">
        <v>561</v>
      </c>
      <c r="F14131" t="s">
        <v>1068</v>
      </c>
      <c r="G14131" t="s">
        <v>1089</v>
      </c>
      <c r="H14131" s="171" t="s">
        <v>8602</v>
      </c>
      <c r="I14131" t="s">
        <v>1090</v>
      </c>
      <c r="J14131">
        <v>4.49</v>
      </c>
    </row>
    <row r="14132" spans="1:10" hidden="1">
      <c r="A14132" t="s">
        <v>8603</v>
      </c>
      <c r="B14132" t="s">
        <v>8604</v>
      </c>
      <c r="C14132" t="s">
        <v>6839</v>
      </c>
      <c r="D14132" t="s">
        <v>3374</v>
      </c>
      <c r="E14132" t="s">
        <v>555</v>
      </c>
      <c r="F14132" t="s">
        <v>1068</v>
      </c>
      <c r="G14132" t="s">
        <v>1069</v>
      </c>
      <c r="H14132" s="171" t="s">
        <v>8605</v>
      </c>
      <c r="I14132" t="s">
        <v>1070</v>
      </c>
      <c r="J14132">
        <v>4.38</v>
      </c>
    </row>
    <row r="14133" spans="1:10" hidden="1">
      <c r="A14133" t="s">
        <v>8603</v>
      </c>
      <c r="B14133" t="s">
        <v>8604</v>
      </c>
      <c r="C14133" t="s">
        <v>6839</v>
      </c>
      <c r="D14133" t="s">
        <v>3374</v>
      </c>
      <c r="E14133" t="s">
        <v>555</v>
      </c>
      <c r="F14133" t="s">
        <v>1068</v>
      </c>
      <c r="G14133" t="s">
        <v>1071</v>
      </c>
      <c r="H14133" s="171" t="s">
        <v>8606</v>
      </c>
      <c r="I14133" t="s">
        <v>1072</v>
      </c>
      <c r="J14133">
        <v>4.38</v>
      </c>
    </row>
    <row r="14134" spans="1:10" hidden="1">
      <c r="A14134" t="s">
        <v>8603</v>
      </c>
      <c r="B14134" t="s">
        <v>8604</v>
      </c>
      <c r="C14134" t="s">
        <v>6839</v>
      </c>
      <c r="D14134" t="s">
        <v>3374</v>
      </c>
      <c r="E14134" t="s">
        <v>555</v>
      </c>
      <c r="F14134" t="s">
        <v>1068</v>
      </c>
      <c r="G14134" t="s">
        <v>1073</v>
      </c>
      <c r="H14134" s="171" t="s">
        <v>8607</v>
      </c>
      <c r="I14134" t="s">
        <v>1074</v>
      </c>
      <c r="J14134">
        <v>4.38</v>
      </c>
    </row>
    <row r="14135" spans="1:10" hidden="1">
      <c r="A14135" t="s">
        <v>8603</v>
      </c>
      <c r="B14135" t="s">
        <v>8604</v>
      </c>
      <c r="C14135" t="s">
        <v>6839</v>
      </c>
      <c r="D14135" t="s">
        <v>3374</v>
      </c>
      <c r="E14135" t="s">
        <v>555</v>
      </c>
      <c r="F14135" t="s">
        <v>1068</v>
      </c>
      <c r="G14135" t="s">
        <v>1075</v>
      </c>
      <c r="H14135">
        <v>4.2534699215896199E-3</v>
      </c>
      <c r="I14135" t="s">
        <v>1077</v>
      </c>
      <c r="J14135">
        <v>4.38</v>
      </c>
    </row>
    <row r="14136" spans="1:10" hidden="1">
      <c r="A14136" t="s">
        <v>8603</v>
      </c>
      <c r="B14136" t="s">
        <v>8604</v>
      </c>
      <c r="C14136" t="s">
        <v>6839</v>
      </c>
      <c r="D14136" t="s">
        <v>3374</v>
      </c>
      <c r="E14136" t="s">
        <v>555</v>
      </c>
      <c r="F14136" t="s">
        <v>1068</v>
      </c>
      <c r="G14136" t="s">
        <v>1078</v>
      </c>
      <c r="H14136">
        <v>4.8936183219078298E-2</v>
      </c>
      <c r="I14136" t="s">
        <v>1079</v>
      </c>
      <c r="J14136">
        <v>4.38</v>
      </c>
    </row>
    <row r="14137" spans="1:10" hidden="1">
      <c r="A14137" t="s">
        <v>8603</v>
      </c>
      <c r="B14137" t="s">
        <v>8604</v>
      </c>
      <c r="C14137" t="s">
        <v>6839</v>
      </c>
      <c r="D14137" t="s">
        <v>3374</v>
      </c>
      <c r="E14137" t="s">
        <v>555</v>
      </c>
      <c r="F14137" t="s">
        <v>1068</v>
      </c>
      <c r="G14137" t="s">
        <v>1080</v>
      </c>
      <c r="H14137" s="171" t="s">
        <v>8608</v>
      </c>
      <c r="I14137" t="s">
        <v>1082</v>
      </c>
      <c r="J14137">
        <v>4.38</v>
      </c>
    </row>
    <row r="14138" spans="1:10" hidden="1">
      <c r="A14138" t="s">
        <v>8603</v>
      </c>
      <c r="B14138" t="s">
        <v>8604</v>
      </c>
      <c r="C14138" t="s">
        <v>6839</v>
      </c>
      <c r="D14138" t="s">
        <v>3374</v>
      </c>
      <c r="E14138" t="s">
        <v>555</v>
      </c>
      <c r="F14138" t="s">
        <v>1068</v>
      </c>
      <c r="G14138" t="s">
        <v>1083</v>
      </c>
      <c r="H14138" s="171" t="s">
        <v>8609</v>
      </c>
      <c r="I14138" t="s">
        <v>1084</v>
      </c>
      <c r="J14138">
        <v>4.38</v>
      </c>
    </row>
    <row r="14139" spans="1:10" hidden="1">
      <c r="A14139" t="s">
        <v>8603</v>
      </c>
      <c r="B14139" t="s">
        <v>8604</v>
      </c>
      <c r="C14139" t="s">
        <v>6839</v>
      </c>
      <c r="D14139" t="s">
        <v>3374</v>
      </c>
      <c r="E14139" t="s">
        <v>555</v>
      </c>
      <c r="F14139" t="s">
        <v>1068</v>
      </c>
      <c r="G14139" t="s">
        <v>1085</v>
      </c>
      <c r="H14139">
        <v>1.54991900839006E-4</v>
      </c>
      <c r="I14139" t="s">
        <v>1086</v>
      </c>
      <c r="J14139">
        <v>4.38</v>
      </c>
    </row>
    <row r="14140" spans="1:10" hidden="1">
      <c r="A14140" t="s">
        <v>8603</v>
      </c>
      <c r="B14140" t="s">
        <v>8604</v>
      </c>
      <c r="C14140" t="s">
        <v>6839</v>
      </c>
      <c r="D14140" t="s">
        <v>3374</v>
      </c>
      <c r="E14140" t="s">
        <v>555</v>
      </c>
      <c r="F14140" t="s">
        <v>1068</v>
      </c>
      <c r="G14140" t="s">
        <v>1087</v>
      </c>
      <c r="H14140" s="171" t="s">
        <v>8610</v>
      </c>
      <c r="I14140" t="s">
        <v>1088</v>
      </c>
      <c r="J14140">
        <v>4.38</v>
      </c>
    </row>
    <row r="14141" spans="1:10" hidden="1">
      <c r="A14141" t="s">
        <v>8603</v>
      </c>
      <c r="B14141" t="s">
        <v>8604</v>
      </c>
      <c r="C14141" t="s">
        <v>6839</v>
      </c>
      <c r="D14141" t="s">
        <v>3374</v>
      </c>
      <c r="E14141" t="s">
        <v>555</v>
      </c>
      <c r="F14141" t="s">
        <v>1068</v>
      </c>
      <c r="G14141" t="s">
        <v>1089</v>
      </c>
      <c r="H14141" s="171" t="s">
        <v>8611</v>
      </c>
      <c r="I14141" t="s">
        <v>1090</v>
      </c>
      <c r="J14141">
        <v>4.38</v>
      </c>
    </row>
    <row r="14142" spans="1:10" hidden="1">
      <c r="A14142" t="s">
        <v>8612</v>
      </c>
      <c r="B14142" t="s">
        <v>8613</v>
      </c>
      <c r="C14142" t="s">
        <v>6839</v>
      </c>
      <c r="D14142" t="s">
        <v>3374</v>
      </c>
      <c r="E14142" t="s">
        <v>558</v>
      </c>
      <c r="F14142" t="s">
        <v>1068</v>
      </c>
      <c r="G14142" t="s">
        <v>1069</v>
      </c>
      <c r="H14142" s="171" t="s">
        <v>8614</v>
      </c>
      <c r="I14142" t="s">
        <v>1070</v>
      </c>
      <c r="J14142">
        <v>4.47</v>
      </c>
    </row>
    <row r="14143" spans="1:10" hidden="1">
      <c r="A14143" t="s">
        <v>8612</v>
      </c>
      <c r="B14143" t="s">
        <v>8613</v>
      </c>
      <c r="C14143" t="s">
        <v>6839</v>
      </c>
      <c r="D14143" t="s">
        <v>3374</v>
      </c>
      <c r="E14143" t="s">
        <v>558</v>
      </c>
      <c r="F14143" t="s">
        <v>1068</v>
      </c>
      <c r="G14143" t="s">
        <v>1071</v>
      </c>
      <c r="H14143" s="171" t="s">
        <v>8615</v>
      </c>
      <c r="I14143" t="s">
        <v>1072</v>
      </c>
      <c r="J14143">
        <v>4.47</v>
      </c>
    </row>
    <row r="14144" spans="1:10" hidden="1">
      <c r="A14144" t="s">
        <v>8612</v>
      </c>
      <c r="B14144" t="s">
        <v>8613</v>
      </c>
      <c r="C14144" t="s">
        <v>6839</v>
      </c>
      <c r="D14144" t="s">
        <v>3374</v>
      </c>
      <c r="E14144" t="s">
        <v>558</v>
      </c>
      <c r="F14144" t="s">
        <v>1068</v>
      </c>
      <c r="G14144" t="s">
        <v>1073</v>
      </c>
      <c r="H14144" s="171" t="s">
        <v>8616</v>
      </c>
      <c r="I14144" t="s">
        <v>1074</v>
      </c>
      <c r="J14144">
        <v>4.47</v>
      </c>
    </row>
    <row r="14145" spans="1:10" hidden="1">
      <c r="A14145" t="s">
        <v>8612</v>
      </c>
      <c r="B14145" t="s">
        <v>8613</v>
      </c>
      <c r="C14145" t="s">
        <v>6839</v>
      </c>
      <c r="D14145" t="s">
        <v>3374</v>
      </c>
      <c r="E14145" t="s">
        <v>558</v>
      </c>
      <c r="F14145" t="s">
        <v>1068</v>
      </c>
      <c r="G14145" t="s">
        <v>1075</v>
      </c>
      <c r="H14145">
        <v>4.2529471663364498E-3</v>
      </c>
      <c r="I14145" t="s">
        <v>1077</v>
      </c>
      <c r="J14145">
        <v>4.47</v>
      </c>
    </row>
    <row r="14146" spans="1:10" hidden="1">
      <c r="A14146" t="s">
        <v>8612</v>
      </c>
      <c r="B14146" t="s">
        <v>8613</v>
      </c>
      <c r="C14146" t="s">
        <v>6839</v>
      </c>
      <c r="D14146" t="s">
        <v>3374</v>
      </c>
      <c r="E14146" t="s">
        <v>558</v>
      </c>
      <c r="F14146" t="s">
        <v>1068</v>
      </c>
      <c r="G14146" t="s">
        <v>1078</v>
      </c>
      <c r="H14146" s="171" t="s">
        <v>8617</v>
      </c>
      <c r="I14146" t="s">
        <v>1079</v>
      </c>
      <c r="J14146">
        <v>4.47</v>
      </c>
    </row>
    <row r="14147" spans="1:10" hidden="1">
      <c r="A14147" t="s">
        <v>8612</v>
      </c>
      <c r="B14147" t="s">
        <v>8613</v>
      </c>
      <c r="C14147" t="s">
        <v>6839</v>
      </c>
      <c r="D14147" t="s">
        <v>3374</v>
      </c>
      <c r="E14147" t="s">
        <v>558</v>
      </c>
      <c r="F14147" t="s">
        <v>1068</v>
      </c>
      <c r="G14147" t="s">
        <v>1080</v>
      </c>
      <c r="H14147" s="171" t="s">
        <v>7933</v>
      </c>
      <c r="I14147" t="s">
        <v>1082</v>
      </c>
      <c r="J14147">
        <v>4.47</v>
      </c>
    </row>
    <row r="14148" spans="1:10" hidden="1">
      <c r="A14148" t="s">
        <v>8612</v>
      </c>
      <c r="B14148" t="s">
        <v>8613</v>
      </c>
      <c r="C14148" t="s">
        <v>6839</v>
      </c>
      <c r="D14148" t="s">
        <v>3374</v>
      </c>
      <c r="E14148" t="s">
        <v>558</v>
      </c>
      <c r="F14148" t="s">
        <v>1068</v>
      </c>
      <c r="G14148" t="s">
        <v>1083</v>
      </c>
      <c r="H14148" s="171" t="s">
        <v>8618</v>
      </c>
      <c r="I14148" t="s">
        <v>1084</v>
      </c>
      <c r="J14148">
        <v>4.47</v>
      </c>
    </row>
    <row r="14149" spans="1:10" hidden="1">
      <c r="A14149" t="s">
        <v>8612</v>
      </c>
      <c r="B14149" t="s">
        <v>8613</v>
      </c>
      <c r="C14149" t="s">
        <v>6839</v>
      </c>
      <c r="D14149" t="s">
        <v>3374</v>
      </c>
      <c r="E14149" t="s">
        <v>558</v>
      </c>
      <c r="F14149" t="s">
        <v>1068</v>
      </c>
      <c r="G14149" t="s">
        <v>1085</v>
      </c>
      <c r="H14149">
        <v>1.5496349557269401E-4</v>
      </c>
      <c r="I14149" t="s">
        <v>1086</v>
      </c>
      <c r="J14149">
        <v>4.47</v>
      </c>
    </row>
    <row r="14150" spans="1:10" hidden="1">
      <c r="A14150" t="s">
        <v>8612</v>
      </c>
      <c r="B14150" t="s">
        <v>8613</v>
      </c>
      <c r="C14150" t="s">
        <v>6839</v>
      </c>
      <c r="D14150" t="s">
        <v>3374</v>
      </c>
      <c r="E14150" t="s">
        <v>558</v>
      </c>
      <c r="F14150" t="s">
        <v>1068</v>
      </c>
      <c r="G14150" t="s">
        <v>1087</v>
      </c>
      <c r="H14150" s="171" t="s">
        <v>7935</v>
      </c>
      <c r="I14150" t="s">
        <v>1088</v>
      </c>
      <c r="J14150">
        <v>4.47</v>
      </c>
    </row>
    <row r="14151" spans="1:10" hidden="1">
      <c r="A14151" t="s">
        <v>8612</v>
      </c>
      <c r="B14151" t="s">
        <v>8613</v>
      </c>
      <c r="C14151" t="s">
        <v>6839</v>
      </c>
      <c r="D14151" t="s">
        <v>3374</v>
      </c>
      <c r="E14151" t="s">
        <v>558</v>
      </c>
      <c r="F14151" t="s">
        <v>1068</v>
      </c>
      <c r="G14151" t="s">
        <v>1089</v>
      </c>
      <c r="H14151" s="171" t="s">
        <v>8619</v>
      </c>
      <c r="I14151" t="s">
        <v>1090</v>
      </c>
      <c r="J14151">
        <v>4.47</v>
      </c>
    </row>
    <row r="14152" spans="1:10" hidden="1">
      <c r="A14152" t="s">
        <v>8620</v>
      </c>
      <c r="B14152" t="s">
        <v>8621</v>
      </c>
      <c r="C14152" t="s">
        <v>6839</v>
      </c>
      <c r="D14152" t="s">
        <v>3374</v>
      </c>
      <c r="E14152" t="s">
        <v>553</v>
      </c>
      <c r="F14152" t="s">
        <v>1068</v>
      </c>
      <c r="G14152" t="s">
        <v>1069</v>
      </c>
      <c r="H14152" s="171" t="s">
        <v>8622</v>
      </c>
      <c r="I14152" t="s">
        <v>1070</v>
      </c>
      <c r="J14152">
        <v>4.6100000000000003</v>
      </c>
    </row>
    <row r="14153" spans="1:10" hidden="1">
      <c r="A14153" t="s">
        <v>8620</v>
      </c>
      <c r="B14153" t="s">
        <v>8621</v>
      </c>
      <c r="C14153" t="s">
        <v>6839</v>
      </c>
      <c r="D14153" t="s">
        <v>3374</v>
      </c>
      <c r="E14153" t="s">
        <v>553</v>
      </c>
      <c r="F14153" t="s">
        <v>1068</v>
      </c>
      <c r="G14153" t="s">
        <v>1071</v>
      </c>
      <c r="H14153" s="171" t="s">
        <v>8623</v>
      </c>
      <c r="I14153" t="s">
        <v>1072</v>
      </c>
      <c r="J14153">
        <v>4.6100000000000003</v>
      </c>
    </row>
    <row r="14154" spans="1:10" hidden="1">
      <c r="A14154" t="s">
        <v>8620</v>
      </c>
      <c r="B14154" t="s">
        <v>8621</v>
      </c>
      <c r="C14154" t="s">
        <v>6839</v>
      </c>
      <c r="D14154" t="s">
        <v>3374</v>
      </c>
      <c r="E14154" t="s">
        <v>553</v>
      </c>
      <c r="F14154" t="s">
        <v>1068</v>
      </c>
      <c r="G14154" t="s">
        <v>1073</v>
      </c>
      <c r="H14154" s="171" t="s">
        <v>8624</v>
      </c>
      <c r="I14154" t="s">
        <v>1074</v>
      </c>
      <c r="J14154">
        <v>4.6100000000000003</v>
      </c>
    </row>
    <row r="14155" spans="1:10" hidden="1">
      <c r="A14155" t="s">
        <v>8620</v>
      </c>
      <c r="B14155" t="s">
        <v>8621</v>
      </c>
      <c r="C14155" t="s">
        <v>6839</v>
      </c>
      <c r="D14155" t="s">
        <v>3374</v>
      </c>
      <c r="E14155" t="s">
        <v>553</v>
      </c>
      <c r="F14155" t="s">
        <v>1068</v>
      </c>
      <c r="G14155" t="s">
        <v>1075</v>
      </c>
      <c r="H14155">
        <v>4.25293078728212E-3</v>
      </c>
      <c r="I14155" t="s">
        <v>1077</v>
      </c>
      <c r="J14155">
        <v>4.6100000000000003</v>
      </c>
    </row>
    <row r="14156" spans="1:10" hidden="1">
      <c r="A14156" t="s">
        <v>8620</v>
      </c>
      <c r="B14156" t="s">
        <v>8621</v>
      </c>
      <c r="C14156" t="s">
        <v>6839</v>
      </c>
      <c r="D14156" t="s">
        <v>3374</v>
      </c>
      <c r="E14156" t="s">
        <v>553</v>
      </c>
      <c r="F14156" t="s">
        <v>1068</v>
      </c>
      <c r="G14156" t="s">
        <v>1078</v>
      </c>
      <c r="H14156">
        <v>4.8912868971973202E-2</v>
      </c>
      <c r="I14156" t="s">
        <v>1079</v>
      </c>
      <c r="J14156">
        <v>4.6100000000000003</v>
      </c>
    </row>
    <row r="14157" spans="1:10" hidden="1">
      <c r="A14157" t="s">
        <v>8620</v>
      </c>
      <c r="B14157" t="s">
        <v>8621</v>
      </c>
      <c r="C14157" t="s">
        <v>6839</v>
      </c>
      <c r="D14157" t="s">
        <v>3374</v>
      </c>
      <c r="E14157" t="s">
        <v>553</v>
      </c>
      <c r="F14157" t="s">
        <v>1068</v>
      </c>
      <c r="G14157" t="s">
        <v>1080</v>
      </c>
      <c r="H14157" s="171" t="s">
        <v>8467</v>
      </c>
      <c r="I14157" t="s">
        <v>1082</v>
      </c>
      <c r="J14157">
        <v>4.6100000000000003</v>
      </c>
    </row>
    <row r="14158" spans="1:10" hidden="1">
      <c r="A14158" t="s">
        <v>8620</v>
      </c>
      <c r="B14158" t="s">
        <v>8621</v>
      </c>
      <c r="C14158" t="s">
        <v>6839</v>
      </c>
      <c r="D14158" t="s">
        <v>3374</v>
      </c>
      <c r="E14158" t="s">
        <v>553</v>
      </c>
      <c r="F14158" t="s">
        <v>1068</v>
      </c>
      <c r="G14158" t="s">
        <v>1083</v>
      </c>
      <c r="H14158" s="171" t="s">
        <v>8625</v>
      </c>
      <c r="I14158" t="s">
        <v>1084</v>
      </c>
      <c r="J14158">
        <v>4.6100000000000003</v>
      </c>
    </row>
    <row r="14159" spans="1:10" hidden="1">
      <c r="A14159" t="s">
        <v>8620</v>
      </c>
      <c r="B14159" t="s">
        <v>8621</v>
      </c>
      <c r="C14159" t="s">
        <v>6839</v>
      </c>
      <c r="D14159" t="s">
        <v>3374</v>
      </c>
      <c r="E14159" t="s">
        <v>553</v>
      </c>
      <c r="F14159" t="s">
        <v>1068</v>
      </c>
      <c r="G14159" t="s">
        <v>1085</v>
      </c>
      <c r="H14159">
        <v>1.54962601375158E-4</v>
      </c>
      <c r="I14159" t="s">
        <v>1086</v>
      </c>
      <c r="J14159">
        <v>4.6100000000000003</v>
      </c>
    </row>
    <row r="14160" spans="1:10" hidden="1">
      <c r="A14160" t="s">
        <v>8620</v>
      </c>
      <c r="B14160" t="s">
        <v>8621</v>
      </c>
      <c r="C14160" t="s">
        <v>6839</v>
      </c>
      <c r="D14160" t="s">
        <v>3374</v>
      </c>
      <c r="E14160" t="s">
        <v>553</v>
      </c>
      <c r="F14160" t="s">
        <v>1068</v>
      </c>
      <c r="G14160" t="s">
        <v>1087</v>
      </c>
      <c r="H14160" s="171" t="s">
        <v>8469</v>
      </c>
      <c r="I14160" t="s">
        <v>1088</v>
      </c>
      <c r="J14160">
        <v>4.6100000000000003</v>
      </c>
    </row>
    <row r="14161" spans="1:10" hidden="1">
      <c r="A14161" t="s">
        <v>8620</v>
      </c>
      <c r="B14161" t="s">
        <v>8621</v>
      </c>
      <c r="C14161" t="s">
        <v>6839</v>
      </c>
      <c r="D14161" t="s">
        <v>3374</v>
      </c>
      <c r="E14161" t="s">
        <v>553</v>
      </c>
      <c r="F14161" t="s">
        <v>1068</v>
      </c>
      <c r="G14161" t="s">
        <v>1089</v>
      </c>
      <c r="H14161" s="171" t="s">
        <v>8626</v>
      </c>
      <c r="I14161" t="s">
        <v>1090</v>
      </c>
      <c r="J14161">
        <v>4.6100000000000003</v>
      </c>
    </row>
    <row r="14162" spans="1:10" hidden="1">
      <c r="A14162" t="s">
        <v>8627</v>
      </c>
      <c r="B14162" t="s">
        <v>8628</v>
      </c>
      <c r="C14162" t="s">
        <v>6839</v>
      </c>
      <c r="D14162" t="s">
        <v>3374</v>
      </c>
      <c r="E14162" t="s">
        <v>556</v>
      </c>
      <c r="F14162" t="s">
        <v>1068</v>
      </c>
      <c r="G14162" t="s">
        <v>1069</v>
      </c>
      <c r="H14162" s="171" t="s">
        <v>8629</v>
      </c>
      <c r="I14162" t="s">
        <v>1070</v>
      </c>
      <c r="J14162">
        <v>4.55</v>
      </c>
    </row>
    <row r="14163" spans="1:10" hidden="1">
      <c r="A14163" t="s">
        <v>8627</v>
      </c>
      <c r="B14163" t="s">
        <v>8628</v>
      </c>
      <c r="C14163" t="s">
        <v>6839</v>
      </c>
      <c r="D14163" t="s">
        <v>3374</v>
      </c>
      <c r="E14163" t="s">
        <v>556</v>
      </c>
      <c r="F14163" t="s">
        <v>1068</v>
      </c>
      <c r="G14163" t="s">
        <v>1071</v>
      </c>
      <c r="H14163" s="171" t="s">
        <v>8630</v>
      </c>
      <c r="I14163" t="s">
        <v>1072</v>
      </c>
      <c r="J14163">
        <v>4.55</v>
      </c>
    </row>
    <row r="14164" spans="1:10" hidden="1">
      <c r="A14164" t="s">
        <v>8627</v>
      </c>
      <c r="B14164" t="s">
        <v>8628</v>
      </c>
      <c r="C14164" t="s">
        <v>6839</v>
      </c>
      <c r="D14164" t="s">
        <v>3374</v>
      </c>
      <c r="E14164" t="s">
        <v>556</v>
      </c>
      <c r="F14164" t="s">
        <v>1068</v>
      </c>
      <c r="G14164" t="s">
        <v>1073</v>
      </c>
      <c r="H14164" s="171" t="s">
        <v>8631</v>
      </c>
      <c r="I14164" t="s">
        <v>1074</v>
      </c>
      <c r="J14164">
        <v>4.55</v>
      </c>
    </row>
    <row r="14165" spans="1:10" hidden="1">
      <c r="A14165" t="s">
        <v>8627</v>
      </c>
      <c r="B14165" t="s">
        <v>8628</v>
      </c>
      <c r="C14165" t="s">
        <v>6839</v>
      </c>
      <c r="D14165" t="s">
        <v>3374</v>
      </c>
      <c r="E14165" t="s">
        <v>556</v>
      </c>
      <c r="F14165" t="s">
        <v>1068</v>
      </c>
      <c r="G14165" t="s">
        <v>1075</v>
      </c>
      <c r="H14165">
        <v>4.2534192471450002E-3</v>
      </c>
      <c r="I14165" t="s">
        <v>1077</v>
      </c>
      <c r="J14165">
        <v>4.55</v>
      </c>
    </row>
    <row r="14166" spans="1:10" hidden="1">
      <c r="A14166" t="s">
        <v>8627</v>
      </c>
      <c r="B14166" t="s">
        <v>8628</v>
      </c>
      <c r="C14166" t="s">
        <v>6839</v>
      </c>
      <c r="D14166" t="s">
        <v>3374</v>
      </c>
      <c r="E14166" t="s">
        <v>556</v>
      </c>
      <c r="F14166" t="s">
        <v>1068</v>
      </c>
      <c r="G14166" t="s">
        <v>1078</v>
      </c>
      <c r="H14166">
        <v>4.8933991860598297E-2</v>
      </c>
      <c r="I14166" t="s">
        <v>1079</v>
      </c>
      <c r="J14166">
        <v>4.55</v>
      </c>
    </row>
    <row r="14167" spans="1:10" hidden="1">
      <c r="A14167" t="s">
        <v>8627</v>
      </c>
      <c r="B14167" t="s">
        <v>8628</v>
      </c>
      <c r="C14167" t="s">
        <v>6839</v>
      </c>
      <c r="D14167" t="s">
        <v>3374</v>
      </c>
      <c r="E14167" t="s">
        <v>556</v>
      </c>
      <c r="F14167" t="s">
        <v>1068</v>
      </c>
      <c r="G14167" t="s">
        <v>1080</v>
      </c>
      <c r="H14167" s="171" t="s">
        <v>8167</v>
      </c>
      <c r="I14167" t="s">
        <v>1082</v>
      </c>
      <c r="J14167">
        <v>4.55</v>
      </c>
    </row>
    <row r="14168" spans="1:10" hidden="1">
      <c r="A14168" t="s">
        <v>8627</v>
      </c>
      <c r="B14168" t="s">
        <v>8628</v>
      </c>
      <c r="C14168" t="s">
        <v>6839</v>
      </c>
      <c r="D14168" t="s">
        <v>3374</v>
      </c>
      <c r="E14168" t="s">
        <v>556</v>
      </c>
      <c r="F14168" t="s">
        <v>1068</v>
      </c>
      <c r="G14168" t="s">
        <v>1083</v>
      </c>
      <c r="H14168" s="171" t="s">
        <v>8632</v>
      </c>
      <c r="I14168" t="s">
        <v>1084</v>
      </c>
      <c r="J14168">
        <v>4.55</v>
      </c>
    </row>
    <row r="14169" spans="1:10" hidden="1">
      <c r="A14169" t="s">
        <v>8627</v>
      </c>
      <c r="B14169" t="s">
        <v>8628</v>
      </c>
      <c r="C14169" t="s">
        <v>6839</v>
      </c>
      <c r="D14169" t="s">
        <v>3374</v>
      </c>
      <c r="E14169" t="s">
        <v>556</v>
      </c>
      <c r="F14169" t="s">
        <v>1068</v>
      </c>
      <c r="G14169" t="s">
        <v>1085</v>
      </c>
      <c r="H14169">
        <v>1.54989146916555E-4</v>
      </c>
      <c r="I14169" t="s">
        <v>1086</v>
      </c>
      <c r="J14169">
        <v>4.55</v>
      </c>
    </row>
    <row r="14170" spans="1:10" hidden="1">
      <c r="A14170" t="s">
        <v>8627</v>
      </c>
      <c r="B14170" t="s">
        <v>8628</v>
      </c>
      <c r="C14170" t="s">
        <v>6839</v>
      </c>
      <c r="D14170" t="s">
        <v>3374</v>
      </c>
      <c r="E14170" t="s">
        <v>556</v>
      </c>
      <c r="F14170" t="s">
        <v>1068</v>
      </c>
      <c r="G14170" t="s">
        <v>1087</v>
      </c>
      <c r="H14170" s="171" t="s">
        <v>8633</v>
      </c>
      <c r="I14170" t="s">
        <v>1088</v>
      </c>
      <c r="J14170">
        <v>4.55</v>
      </c>
    </row>
    <row r="14171" spans="1:10" hidden="1">
      <c r="A14171" t="s">
        <v>8627</v>
      </c>
      <c r="B14171" t="s">
        <v>8628</v>
      </c>
      <c r="C14171" t="s">
        <v>6839</v>
      </c>
      <c r="D14171" t="s">
        <v>3374</v>
      </c>
      <c r="E14171" t="s">
        <v>556</v>
      </c>
      <c r="F14171" t="s">
        <v>1068</v>
      </c>
      <c r="G14171" t="s">
        <v>1089</v>
      </c>
      <c r="H14171" s="171" t="s">
        <v>8634</v>
      </c>
      <c r="I14171" t="s">
        <v>1090</v>
      </c>
      <c r="J14171">
        <v>4.55</v>
      </c>
    </row>
    <row r="14172" spans="1:10" hidden="1">
      <c r="A14172" t="s">
        <v>8635</v>
      </c>
      <c r="B14172" t="s">
        <v>8636</v>
      </c>
      <c r="C14172" t="s">
        <v>6839</v>
      </c>
      <c r="D14172" t="s">
        <v>3374</v>
      </c>
      <c r="E14172" t="s">
        <v>557</v>
      </c>
      <c r="F14172" t="s">
        <v>1068</v>
      </c>
      <c r="G14172" t="s">
        <v>1069</v>
      </c>
      <c r="H14172" s="171" t="s">
        <v>8637</v>
      </c>
      <c r="I14172" t="s">
        <v>1070</v>
      </c>
      <c r="J14172">
        <v>4.51</v>
      </c>
    </row>
    <row r="14173" spans="1:10" hidden="1">
      <c r="A14173" t="s">
        <v>8635</v>
      </c>
      <c r="B14173" t="s">
        <v>8636</v>
      </c>
      <c r="C14173" t="s">
        <v>6839</v>
      </c>
      <c r="D14173" t="s">
        <v>3374</v>
      </c>
      <c r="E14173" t="s">
        <v>557</v>
      </c>
      <c r="F14173" t="s">
        <v>1068</v>
      </c>
      <c r="G14173" t="s">
        <v>1071</v>
      </c>
      <c r="H14173" s="171" t="s">
        <v>8638</v>
      </c>
      <c r="I14173" t="s">
        <v>1072</v>
      </c>
      <c r="J14173">
        <v>4.51</v>
      </c>
    </row>
    <row r="14174" spans="1:10" hidden="1">
      <c r="A14174" t="s">
        <v>8635</v>
      </c>
      <c r="B14174" t="s">
        <v>8636</v>
      </c>
      <c r="C14174" t="s">
        <v>6839</v>
      </c>
      <c r="D14174" t="s">
        <v>3374</v>
      </c>
      <c r="E14174" t="s">
        <v>557</v>
      </c>
      <c r="F14174" t="s">
        <v>1068</v>
      </c>
      <c r="G14174" t="s">
        <v>1073</v>
      </c>
      <c r="H14174" s="171" t="s">
        <v>8639</v>
      </c>
      <c r="I14174" t="s">
        <v>1074</v>
      </c>
      <c r="J14174">
        <v>4.51</v>
      </c>
    </row>
    <row r="14175" spans="1:10" hidden="1">
      <c r="A14175" t="s">
        <v>8635</v>
      </c>
      <c r="B14175" t="s">
        <v>8636</v>
      </c>
      <c r="C14175" t="s">
        <v>6839</v>
      </c>
      <c r="D14175" t="s">
        <v>3374</v>
      </c>
      <c r="E14175" t="s">
        <v>557</v>
      </c>
      <c r="F14175" t="s">
        <v>1068</v>
      </c>
      <c r="G14175" t="s">
        <v>1075</v>
      </c>
      <c r="H14175">
        <v>4.2531139223915696E-3</v>
      </c>
      <c r="I14175" t="s">
        <v>1077</v>
      </c>
      <c r="J14175">
        <v>4.51</v>
      </c>
    </row>
    <row r="14176" spans="1:10" hidden="1">
      <c r="A14176" t="s">
        <v>8635</v>
      </c>
      <c r="B14176" t="s">
        <v>8636</v>
      </c>
      <c r="C14176" t="s">
        <v>6839</v>
      </c>
      <c r="D14176" t="s">
        <v>3374</v>
      </c>
      <c r="E14176" t="s">
        <v>557</v>
      </c>
      <c r="F14176" t="s">
        <v>1068</v>
      </c>
      <c r="G14176" t="s">
        <v>1078</v>
      </c>
      <c r="H14176">
        <v>4.8920792208139198E-2</v>
      </c>
      <c r="I14176" t="s">
        <v>1079</v>
      </c>
      <c r="J14176">
        <v>4.51</v>
      </c>
    </row>
    <row r="14177" spans="1:10" hidden="1">
      <c r="A14177" t="s">
        <v>8635</v>
      </c>
      <c r="B14177" t="s">
        <v>8636</v>
      </c>
      <c r="C14177" t="s">
        <v>6839</v>
      </c>
      <c r="D14177" t="s">
        <v>3374</v>
      </c>
      <c r="E14177" t="s">
        <v>557</v>
      </c>
      <c r="F14177" t="s">
        <v>1068</v>
      </c>
      <c r="G14177" t="s">
        <v>1080</v>
      </c>
      <c r="H14177" s="171" t="s">
        <v>7959</v>
      </c>
      <c r="I14177" t="s">
        <v>1082</v>
      </c>
      <c r="J14177">
        <v>4.51</v>
      </c>
    </row>
    <row r="14178" spans="1:10" hidden="1">
      <c r="A14178" t="s">
        <v>8635</v>
      </c>
      <c r="B14178" t="s">
        <v>8636</v>
      </c>
      <c r="C14178" t="s">
        <v>6839</v>
      </c>
      <c r="D14178" t="s">
        <v>3374</v>
      </c>
      <c r="E14178" t="s">
        <v>557</v>
      </c>
      <c r="F14178" t="s">
        <v>1068</v>
      </c>
      <c r="G14178" t="s">
        <v>1083</v>
      </c>
      <c r="H14178" s="171" t="s">
        <v>8640</v>
      </c>
      <c r="I14178" t="s">
        <v>1084</v>
      </c>
      <c r="J14178">
        <v>4.51</v>
      </c>
    </row>
    <row r="14179" spans="1:10" hidden="1">
      <c r="A14179" t="s">
        <v>8635</v>
      </c>
      <c r="B14179" t="s">
        <v>8636</v>
      </c>
      <c r="C14179" t="s">
        <v>6839</v>
      </c>
      <c r="D14179" t="s">
        <v>3374</v>
      </c>
      <c r="E14179" t="s">
        <v>557</v>
      </c>
      <c r="F14179" t="s">
        <v>1068</v>
      </c>
      <c r="G14179" t="s">
        <v>1085</v>
      </c>
      <c r="H14179">
        <v>1.5497255799543501E-4</v>
      </c>
      <c r="I14179" t="s">
        <v>1086</v>
      </c>
      <c r="J14179">
        <v>4.51</v>
      </c>
    </row>
    <row r="14180" spans="1:10" hidden="1">
      <c r="A14180" t="s">
        <v>8635</v>
      </c>
      <c r="B14180" t="s">
        <v>8636</v>
      </c>
      <c r="C14180" t="s">
        <v>6839</v>
      </c>
      <c r="D14180" t="s">
        <v>3374</v>
      </c>
      <c r="E14180" t="s">
        <v>557</v>
      </c>
      <c r="F14180" t="s">
        <v>1068</v>
      </c>
      <c r="G14180" t="s">
        <v>1087</v>
      </c>
      <c r="H14180" s="171" t="s">
        <v>7961</v>
      </c>
      <c r="I14180" t="s">
        <v>1088</v>
      </c>
      <c r="J14180">
        <v>4.51</v>
      </c>
    </row>
    <row r="14181" spans="1:10" hidden="1">
      <c r="A14181" t="s">
        <v>8635</v>
      </c>
      <c r="B14181" t="s">
        <v>8636</v>
      </c>
      <c r="C14181" t="s">
        <v>6839</v>
      </c>
      <c r="D14181" t="s">
        <v>3374</v>
      </c>
      <c r="E14181" t="s">
        <v>557</v>
      </c>
      <c r="F14181" t="s">
        <v>1068</v>
      </c>
      <c r="G14181" t="s">
        <v>1089</v>
      </c>
      <c r="H14181" s="171" t="s">
        <v>8641</v>
      </c>
      <c r="I14181" t="s">
        <v>1090</v>
      </c>
      <c r="J14181">
        <v>4.51</v>
      </c>
    </row>
    <row r="14182" spans="1:10" hidden="1">
      <c r="A14182" t="s">
        <v>8642</v>
      </c>
      <c r="B14182" t="s">
        <v>8643</v>
      </c>
      <c r="C14182" t="s">
        <v>6839</v>
      </c>
      <c r="D14182" t="s">
        <v>3374</v>
      </c>
      <c r="E14182" t="s">
        <v>559</v>
      </c>
      <c r="F14182" t="s">
        <v>1068</v>
      </c>
      <c r="G14182" t="s">
        <v>1069</v>
      </c>
      <c r="H14182" s="171" t="s">
        <v>8644</v>
      </c>
      <c r="I14182" t="s">
        <v>1070</v>
      </c>
      <c r="J14182">
        <v>6.51</v>
      </c>
    </row>
    <row r="14183" spans="1:10" hidden="1">
      <c r="A14183" t="s">
        <v>8642</v>
      </c>
      <c r="B14183" t="s">
        <v>8643</v>
      </c>
      <c r="C14183" t="s">
        <v>6839</v>
      </c>
      <c r="D14183" t="s">
        <v>3374</v>
      </c>
      <c r="E14183" t="s">
        <v>559</v>
      </c>
      <c r="F14183" t="s">
        <v>1068</v>
      </c>
      <c r="G14183" t="s">
        <v>1071</v>
      </c>
      <c r="H14183" s="171" t="s">
        <v>8645</v>
      </c>
      <c r="I14183" t="s">
        <v>1072</v>
      </c>
      <c r="J14183">
        <v>6.51</v>
      </c>
    </row>
    <row r="14184" spans="1:10" hidden="1">
      <c r="A14184" t="s">
        <v>8642</v>
      </c>
      <c r="B14184" t="s">
        <v>8643</v>
      </c>
      <c r="C14184" t="s">
        <v>6839</v>
      </c>
      <c r="D14184" t="s">
        <v>3374</v>
      </c>
      <c r="E14184" t="s">
        <v>559</v>
      </c>
      <c r="F14184" t="s">
        <v>1068</v>
      </c>
      <c r="G14184" t="s">
        <v>1073</v>
      </c>
      <c r="H14184" s="171" t="s">
        <v>8646</v>
      </c>
      <c r="I14184" t="s">
        <v>1074</v>
      </c>
      <c r="J14184">
        <v>6.51</v>
      </c>
    </row>
    <row r="14185" spans="1:10" hidden="1">
      <c r="A14185" t="s">
        <v>8642</v>
      </c>
      <c r="B14185" t="s">
        <v>8643</v>
      </c>
      <c r="C14185" t="s">
        <v>6839</v>
      </c>
      <c r="D14185" t="s">
        <v>3374</v>
      </c>
      <c r="E14185" t="s">
        <v>559</v>
      </c>
      <c r="F14185" t="s">
        <v>1068</v>
      </c>
      <c r="G14185" t="s">
        <v>1075</v>
      </c>
      <c r="H14185">
        <v>4.2532740563167798E-3</v>
      </c>
      <c r="I14185" t="s">
        <v>1077</v>
      </c>
      <c r="J14185">
        <v>6.51</v>
      </c>
    </row>
    <row r="14186" spans="1:10" hidden="1">
      <c r="A14186" t="s">
        <v>8642</v>
      </c>
      <c r="B14186" t="s">
        <v>8643</v>
      </c>
      <c r="C14186" t="s">
        <v>6839</v>
      </c>
      <c r="D14186" t="s">
        <v>3374</v>
      </c>
      <c r="E14186" t="s">
        <v>559</v>
      </c>
      <c r="F14186" t="s">
        <v>1068</v>
      </c>
      <c r="G14186" t="s">
        <v>1078</v>
      </c>
      <c r="H14186">
        <v>4.8927713249156103E-2</v>
      </c>
      <c r="I14186" t="s">
        <v>1079</v>
      </c>
      <c r="J14186">
        <v>6.51</v>
      </c>
    </row>
    <row r="14187" spans="1:10" hidden="1">
      <c r="A14187" t="s">
        <v>8642</v>
      </c>
      <c r="B14187" t="s">
        <v>8643</v>
      </c>
      <c r="C14187" t="s">
        <v>6839</v>
      </c>
      <c r="D14187" t="s">
        <v>3374</v>
      </c>
      <c r="E14187" t="s">
        <v>559</v>
      </c>
      <c r="F14187" t="s">
        <v>1068</v>
      </c>
      <c r="G14187" t="s">
        <v>1080</v>
      </c>
      <c r="H14187" s="171" t="s">
        <v>8492</v>
      </c>
      <c r="I14187" t="s">
        <v>1082</v>
      </c>
      <c r="J14187">
        <v>6.51</v>
      </c>
    </row>
    <row r="14188" spans="1:10" hidden="1">
      <c r="A14188" t="s">
        <v>8642</v>
      </c>
      <c r="B14188" t="s">
        <v>8643</v>
      </c>
      <c r="C14188" t="s">
        <v>6839</v>
      </c>
      <c r="D14188" t="s">
        <v>3374</v>
      </c>
      <c r="E14188" t="s">
        <v>559</v>
      </c>
      <c r="F14188" t="s">
        <v>1068</v>
      </c>
      <c r="G14188" t="s">
        <v>1083</v>
      </c>
      <c r="H14188" s="171" t="s">
        <v>8647</v>
      </c>
      <c r="I14188" t="s">
        <v>1084</v>
      </c>
      <c r="J14188">
        <v>6.51</v>
      </c>
    </row>
    <row r="14189" spans="1:10" hidden="1">
      <c r="A14189" t="s">
        <v>8642</v>
      </c>
      <c r="B14189" t="s">
        <v>8643</v>
      </c>
      <c r="C14189" t="s">
        <v>6839</v>
      </c>
      <c r="D14189" t="s">
        <v>3374</v>
      </c>
      <c r="E14189" t="s">
        <v>559</v>
      </c>
      <c r="F14189" t="s">
        <v>1068</v>
      </c>
      <c r="G14189" t="s">
        <v>1085</v>
      </c>
      <c r="H14189">
        <v>1.5498125646449699E-4</v>
      </c>
      <c r="I14189" t="s">
        <v>1086</v>
      </c>
      <c r="J14189">
        <v>6.51</v>
      </c>
    </row>
    <row r="14190" spans="1:10" hidden="1">
      <c r="A14190" t="s">
        <v>8642</v>
      </c>
      <c r="B14190" t="s">
        <v>8643</v>
      </c>
      <c r="C14190" t="s">
        <v>6839</v>
      </c>
      <c r="D14190" t="s">
        <v>3374</v>
      </c>
      <c r="E14190" t="s">
        <v>559</v>
      </c>
      <c r="F14190" t="s">
        <v>1068</v>
      </c>
      <c r="G14190" t="s">
        <v>1087</v>
      </c>
      <c r="H14190" s="171" t="s">
        <v>8648</v>
      </c>
      <c r="I14190" t="s">
        <v>1088</v>
      </c>
      <c r="J14190">
        <v>6.51</v>
      </c>
    </row>
    <row r="14191" spans="1:10" hidden="1">
      <c r="A14191" t="s">
        <v>8642</v>
      </c>
      <c r="B14191" t="s">
        <v>8643</v>
      </c>
      <c r="C14191" t="s">
        <v>6839</v>
      </c>
      <c r="D14191" t="s">
        <v>3374</v>
      </c>
      <c r="E14191" t="s">
        <v>559</v>
      </c>
      <c r="F14191" t="s">
        <v>1068</v>
      </c>
      <c r="G14191" t="s">
        <v>1089</v>
      </c>
      <c r="H14191" s="171" t="s">
        <v>8649</v>
      </c>
      <c r="I14191" t="s">
        <v>1090</v>
      </c>
      <c r="J14191">
        <v>6.51</v>
      </c>
    </row>
    <row r="14192" spans="1:10" hidden="1">
      <c r="A14192" t="s">
        <v>8650</v>
      </c>
      <c r="B14192" t="s">
        <v>8651</v>
      </c>
      <c r="C14192" t="s">
        <v>6839</v>
      </c>
      <c r="D14192" t="s">
        <v>3374</v>
      </c>
      <c r="E14192" t="s">
        <v>560</v>
      </c>
      <c r="F14192" t="s">
        <v>1068</v>
      </c>
      <c r="G14192" t="s">
        <v>1069</v>
      </c>
      <c r="H14192" s="171" t="s">
        <v>8652</v>
      </c>
      <c r="I14192" t="s">
        <v>1070</v>
      </c>
      <c r="J14192">
        <v>5.43</v>
      </c>
    </row>
    <row r="14193" spans="1:10" hidden="1">
      <c r="A14193" t="s">
        <v>8650</v>
      </c>
      <c r="B14193" t="s">
        <v>8651</v>
      </c>
      <c r="C14193" t="s">
        <v>6839</v>
      </c>
      <c r="D14193" t="s">
        <v>3374</v>
      </c>
      <c r="E14193" t="s">
        <v>560</v>
      </c>
      <c r="F14193" t="s">
        <v>1068</v>
      </c>
      <c r="G14193" t="s">
        <v>1071</v>
      </c>
      <c r="H14193" s="171" t="s">
        <v>8653</v>
      </c>
      <c r="I14193" t="s">
        <v>1072</v>
      </c>
      <c r="J14193">
        <v>5.43</v>
      </c>
    </row>
    <row r="14194" spans="1:10" hidden="1">
      <c r="A14194" t="s">
        <v>8650</v>
      </c>
      <c r="B14194" t="s">
        <v>8651</v>
      </c>
      <c r="C14194" t="s">
        <v>6839</v>
      </c>
      <c r="D14194" t="s">
        <v>3374</v>
      </c>
      <c r="E14194" t="s">
        <v>560</v>
      </c>
      <c r="F14194" t="s">
        <v>1068</v>
      </c>
      <c r="G14194" t="s">
        <v>1073</v>
      </c>
      <c r="H14194" s="171" t="s">
        <v>8654</v>
      </c>
      <c r="I14194" t="s">
        <v>1074</v>
      </c>
      <c r="J14194">
        <v>5.43</v>
      </c>
    </row>
    <row r="14195" spans="1:10" hidden="1">
      <c r="A14195" t="s">
        <v>8650</v>
      </c>
      <c r="B14195" t="s">
        <v>8651</v>
      </c>
      <c r="C14195" t="s">
        <v>6839</v>
      </c>
      <c r="D14195" t="s">
        <v>3374</v>
      </c>
      <c r="E14195" t="s">
        <v>560</v>
      </c>
      <c r="F14195" t="s">
        <v>1068</v>
      </c>
      <c r="G14195" t="s">
        <v>1075</v>
      </c>
      <c r="H14195">
        <v>4.2532028589537902E-3</v>
      </c>
      <c r="I14195" t="s">
        <v>1077</v>
      </c>
      <c r="J14195">
        <v>5.43</v>
      </c>
    </row>
    <row r="14196" spans="1:10" hidden="1">
      <c r="A14196" t="s">
        <v>8650</v>
      </c>
      <c r="B14196" t="s">
        <v>8651</v>
      </c>
      <c r="C14196" t="s">
        <v>6839</v>
      </c>
      <c r="D14196" t="s">
        <v>3374</v>
      </c>
      <c r="E14196" t="s">
        <v>560</v>
      </c>
      <c r="F14196" t="s">
        <v>1068</v>
      </c>
      <c r="G14196" t="s">
        <v>1078</v>
      </c>
      <c r="H14196">
        <v>4.8924638168173801E-2</v>
      </c>
      <c r="I14196" t="s">
        <v>1079</v>
      </c>
      <c r="J14196">
        <v>5.43</v>
      </c>
    </row>
    <row r="14197" spans="1:10" hidden="1">
      <c r="A14197" t="s">
        <v>8650</v>
      </c>
      <c r="B14197" t="s">
        <v>8651</v>
      </c>
      <c r="C14197" t="s">
        <v>6839</v>
      </c>
      <c r="D14197" t="s">
        <v>3374</v>
      </c>
      <c r="E14197" t="s">
        <v>560</v>
      </c>
      <c r="F14197" t="s">
        <v>1068</v>
      </c>
      <c r="G14197" t="s">
        <v>1080</v>
      </c>
      <c r="H14197" s="171" t="s">
        <v>8655</v>
      </c>
      <c r="I14197" t="s">
        <v>1082</v>
      </c>
      <c r="J14197">
        <v>5.43</v>
      </c>
    </row>
    <row r="14198" spans="1:10" hidden="1">
      <c r="A14198" t="s">
        <v>8650</v>
      </c>
      <c r="B14198" t="s">
        <v>8651</v>
      </c>
      <c r="C14198" t="s">
        <v>6839</v>
      </c>
      <c r="D14198" t="s">
        <v>3374</v>
      </c>
      <c r="E14198" t="s">
        <v>560</v>
      </c>
      <c r="F14198" t="s">
        <v>1068</v>
      </c>
      <c r="G14198" t="s">
        <v>1083</v>
      </c>
      <c r="H14198" s="171" t="s">
        <v>8656</v>
      </c>
      <c r="I14198" t="s">
        <v>1084</v>
      </c>
      <c r="J14198">
        <v>5.43</v>
      </c>
    </row>
    <row r="14199" spans="1:10" hidden="1">
      <c r="A14199" t="s">
        <v>8650</v>
      </c>
      <c r="B14199" t="s">
        <v>8651</v>
      </c>
      <c r="C14199" t="s">
        <v>6839</v>
      </c>
      <c r="D14199" t="s">
        <v>3374</v>
      </c>
      <c r="E14199" t="s">
        <v>560</v>
      </c>
      <c r="F14199" t="s">
        <v>1068</v>
      </c>
      <c r="G14199" t="s">
        <v>1085</v>
      </c>
      <c r="H14199">
        <v>1.5497739128754901E-4</v>
      </c>
      <c r="I14199" t="s">
        <v>1086</v>
      </c>
      <c r="J14199">
        <v>5.43</v>
      </c>
    </row>
    <row r="14200" spans="1:10" hidden="1">
      <c r="A14200" t="s">
        <v>8650</v>
      </c>
      <c r="B14200" t="s">
        <v>8651</v>
      </c>
      <c r="C14200" t="s">
        <v>6839</v>
      </c>
      <c r="D14200" t="s">
        <v>3374</v>
      </c>
      <c r="E14200" t="s">
        <v>560</v>
      </c>
      <c r="F14200" t="s">
        <v>1068</v>
      </c>
      <c r="G14200" t="s">
        <v>1087</v>
      </c>
      <c r="H14200" s="171" t="s">
        <v>8657</v>
      </c>
      <c r="I14200" t="s">
        <v>1088</v>
      </c>
      <c r="J14200">
        <v>5.43</v>
      </c>
    </row>
    <row r="14201" spans="1:10" hidden="1">
      <c r="A14201" t="s">
        <v>8650</v>
      </c>
      <c r="B14201" t="s">
        <v>8651</v>
      </c>
      <c r="C14201" t="s">
        <v>6839</v>
      </c>
      <c r="D14201" t="s">
        <v>3374</v>
      </c>
      <c r="E14201" t="s">
        <v>560</v>
      </c>
      <c r="F14201" t="s">
        <v>1068</v>
      </c>
      <c r="G14201" t="s">
        <v>1089</v>
      </c>
      <c r="H14201" s="171" t="s">
        <v>8658</v>
      </c>
      <c r="I14201" t="s">
        <v>1090</v>
      </c>
      <c r="J14201">
        <v>5.43</v>
      </c>
    </row>
    <row r="14202" spans="1:10" hidden="1">
      <c r="A14202" t="s">
        <v>8659</v>
      </c>
      <c r="B14202" t="s">
        <v>8660</v>
      </c>
      <c r="C14202" t="s">
        <v>6839</v>
      </c>
      <c r="D14202" t="s">
        <v>3374</v>
      </c>
      <c r="E14202" t="s">
        <v>1116</v>
      </c>
      <c r="F14202" t="s">
        <v>1068</v>
      </c>
      <c r="G14202" t="s">
        <v>1069</v>
      </c>
      <c r="H14202" s="171" t="s">
        <v>8661</v>
      </c>
      <c r="I14202" t="s">
        <v>1070</v>
      </c>
      <c r="J14202">
        <v>4.49</v>
      </c>
    </row>
    <row r="14203" spans="1:10" hidden="1">
      <c r="A14203" t="s">
        <v>8659</v>
      </c>
      <c r="B14203" t="s">
        <v>8660</v>
      </c>
      <c r="C14203" t="s">
        <v>6839</v>
      </c>
      <c r="D14203" t="s">
        <v>3374</v>
      </c>
      <c r="E14203" t="s">
        <v>1116</v>
      </c>
      <c r="F14203" t="s">
        <v>1068</v>
      </c>
      <c r="G14203" t="s">
        <v>1071</v>
      </c>
      <c r="H14203" s="171" t="s">
        <v>8662</v>
      </c>
      <c r="I14203" t="s">
        <v>1072</v>
      </c>
      <c r="J14203">
        <v>4.49</v>
      </c>
    </row>
    <row r="14204" spans="1:10" hidden="1">
      <c r="A14204" t="s">
        <v>8659</v>
      </c>
      <c r="B14204" t="s">
        <v>8660</v>
      </c>
      <c r="C14204" t="s">
        <v>6839</v>
      </c>
      <c r="D14204" t="s">
        <v>3374</v>
      </c>
      <c r="E14204" t="s">
        <v>1116</v>
      </c>
      <c r="F14204" t="s">
        <v>1068</v>
      </c>
      <c r="G14204" t="s">
        <v>1073</v>
      </c>
      <c r="H14204" s="171" t="s">
        <v>8663</v>
      </c>
      <c r="I14204" t="s">
        <v>1074</v>
      </c>
      <c r="J14204">
        <v>4.49</v>
      </c>
    </row>
    <row r="14205" spans="1:10" hidden="1">
      <c r="A14205" t="s">
        <v>8659</v>
      </c>
      <c r="B14205" t="s">
        <v>8660</v>
      </c>
      <c r="C14205" t="s">
        <v>6839</v>
      </c>
      <c r="D14205" t="s">
        <v>3374</v>
      </c>
      <c r="E14205" t="s">
        <v>1116</v>
      </c>
      <c r="F14205" t="s">
        <v>1068</v>
      </c>
      <c r="G14205" t="s">
        <v>1075</v>
      </c>
      <c r="H14205">
        <v>4.2529329275425099E-3</v>
      </c>
      <c r="I14205" t="s">
        <v>1077</v>
      </c>
      <c r="J14205">
        <v>4.49</v>
      </c>
    </row>
    <row r="14206" spans="1:10" hidden="1">
      <c r="A14206" t="s">
        <v>8659</v>
      </c>
      <c r="B14206" t="s">
        <v>8660</v>
      </c>
      <c r="C14206" t="s">
        <v>6839</v>
      </c>
      <c r="D14206" t="s">
        <v>3374</v>
      </c>
      <c r="E14206" t="s">
        <v>1116</v>
      </c>
      <c r="F14206" t="s">
        <v>1068</v>
      </c>
      <c r="G14206" t="s">
        <v>1078</v>
      </c>
      <c r="H14206" s="171" t="s">
        <v>8664</v>
      </c>
      <c r="I14206" t="s">
        <v>1079</v>
      </c>
      <c r="J14206">
        <v>4.49</v>
      </c>
    </row>
    <row r="14207" spans="1:10" hidden="1">
      <c r="A14207" t="s">
        <v>8659</v>
      </c>
      <c r="B14207" t="s">
        <v>8660</v>
      </c>
      <c r="C14207" t="s">
        <v>6839</v>
      </c>
      <c r="D14207" t="s">
        <v>3374</v>
      </c>
      <c r="E14207" t="s">
        <v>1116</v>
      </c>
      <c r="F14207" t="s">
        <v>1068</v>
      </c>
      <c r="G14207" t="s">
        <v>1080</v>
      </c>
      <c r="H14207" s="171" t="s">
        <v>7383</v>
      </c>
      <c r="I14207" t="s">
        <v>1082</v>
      </c>
      <c r="J14207">
        <v>4.49</v>
      </c>
    </row>
    <row r="14208" spans="1:10" hidden="1">
      <c r="A14208" t="s">
        <v>8659</v>
      </c>
      <c r="B14208" t="s">
        <v>8660</v>
      </c>
      <c r="C14208" t="s">
        <v>6839</v>
      </c>
      <c r="D14208" t="s">
        <v>3374</v>
      </c>
      <c r="E14208" t="s">
        <v>1116</v>
      </c>
      <c r="F14208" t="s">
        <v>1068</v>
      </c>
      <c r="G14208" t="s">
        <v>1083</v>
      </c>
      <c r="H14208" s="171" t="s">
        <v>8665</v>
      </c>
      <c r="I14208" t="s">
        <v>1084</v>
      </c>
      <c r="J14208">
        <v>4.49</v>
      </c>
    </row>
    <row r="14209" spans="1:10" hidden="1">
      <c r="A14209" t="s">
        <v>8659</v>
      </c>
      <c r="B14209" t="s">
        <v>8660</v>
      </c>
      <c r="C14209" t="s">
        <v>6839</v>
      </c>
      <c r="D14209" t="s">
        <v>3374</v>
      </c>
      <c r="E14209" t="s">
        <v>1116</v>
      </c>
      <c r="F14209" t="s">
        <v>1068</v>
      </c>
      <c r="G14209" t="s">
        <v>1085</v>
      </c>
      <c r="H14209">
        <v>1.5496272175989301E-4</v>
      </c>
      <c r="I14209" t="s">
        <v>1086</v>
      </c>
      <c r="J14209">
        <v>4.49</v>
      </c>
    </row>
    <row r="14210" spans="1:10" hidden="1">
      <c r="A14210" t="s">
        <v>8659</v>
      </c>
      <c r="B14210" t="s">
        <v>8660</v>
      </c>
      <c r="C14210" t="s">
        <v>6839</v>
      </c>
      <c r="D14210" t="s">
        <v>3374</v>
      </c>
      <c r="E14210" t="s">
        <v>1116</v>
      </c>
      <c r="F14210" t="s">
        <v>1068</v>
      </c>
      <c r="G14210" t="s">
        <v>1087</v>
      </c>
      <c r="H14210" s="171" t="s">
        <v>7987</v>
      </c>
      <c r="I14210" t="s">
        <v>1088</v>
      </c>
      <c r="J14210">
        <v>4.49</v>
      </c>
    </row>
    <row r="14211" spans="1:10" hidden="1">
      <c r="A14211" t="s">
        <v>8659</v>
      </c>
      <c r="B14211" t="s">
        <v>8660</v>
      </c>
      <c r="C14211" t="s">
        <v>6839</v>
      </c>
      <c r="D14211" t="s">
        <v>3374</v>
      </c>
      <c r="E14211" t="s">
        <v>1116</v>
      </c>
      <c r="F14211" t="s">
        <v>1068</v>
      </c>
      <c r="G14211" t="s">
        <v>1089</v>
      </c>
      <c r="H14211" s="171" t="s">
        <v>8666</v>
      </c>
      <c r="I14211" t="s">
        <v>1090</v>
      </c>
      <c r="J14211">
        <v>4.49</v>
      </c>
    </row>
    <row r="14212" spans="1:10" hidden="1">
      <c r="A14212" t="s">
        <v>8667</v>
      </c>
      <c r="B14212" t="s">
        <v>8668</v>
      </c>
      <c r="C14212" t="s">
        <v>6839</v>
      </c>
      <c r="D14212" t="s">
        <v>1307</v>
      </c>
      <c r="E14212" t="s">
        <v>561</v>
      </c>
      <c r="F14212" t="s">
        <v>1068</v>
      </c>
      <c r="G14212" t="s">
        <v>1069</v>
      </c>
      <c r="H14212">
        <v>4.7670042774516697E-2</v>
      </c>
      <c r="I14212" t="s">
        <v>1070</v>
      </c>
      <c r="J14212">
        <v>4.5199999999999996</v>
      </c>
    </row>
    <row r="14213" spans="1:10" hidden="1">
      <c r="A14213" t="s">
        <v>8667</v>
      </c>
      <c r="B14213" t="s">
        <v>8668</v>
      </c>
      <c r="C14213" t="s">
        <v>6839</v>
      </c>
      <c r="D14213" t="s">
        <v>1307</v>
      </c>
      <c r="E14213" t="s">
        <v>561</v>
      </c>
      <c r="F14213" t="s">
        <v>1068</v>
      </c>
      <c r="G14213" t="s">
        <v>1071</v>
      </c>
      <c r="H14213" s="171" t="s">
        <v>8669</v>
      </c>
      <c r="I14213" t="s">
        <v>1072</v>
      </c>
      <c r="J14213">
        <v>4.5199999999999996</v>
      </c>
    </row>
    <row r="14214" spans="1:10" hidden="1">
      <c r="A14214" t="s">
        <v>8667</v>
      </c>
      <c r="B14214" t="s">
        <v>8668</v>
      </c>
      <c r="C14214" t="s">
        <v>6839</v>
      </c>
      <c r="D14214" t="s">
        <v>1307</v>
      </c>
      <c r="E14214" t="s">
        <v>561</v>
      </c>
      <c r="F14214" t="s">
        <v>1068</v>
      </c>
      <c r="G14214" t="s">
        <v>1073</v>
      </c>
      <c r="H14214" s="171" t="s">
        <v>8670</v>
      </c>
      <c r="I14214" t="s">
        <v>1074</v>
      </c>
      <c r="J14214">
        <v>4.5199999999999996</v>
      </c>
    </row>
    <row r="14215" spans="1:10" hidden="1">
      <c r="A14215" t="s">
        <v>8667</v>
      </c>
      <c r="B14215" t="s">
        <v>8668</v>
      </c>
      <c r="C14215" t="s">
        <v>6839</v>
      </c>
      <c r="D14215" t="s">
        <v>1307</v>
      </c>
      <c r="E14215" t="s">
        <v>561</v>
      </c>
      <c r="F14215" t="s">
        <v>1068</v>
      </c>
      <c r="G14215" t="s">
        <v>1075</v>
      </c>
      <c r="H14215" s="171" t="s">
        <v>8671</v>
      </c>
      <c r="I14215" t="s">
        <v>1077</v>
      </c>
      <c r="J14215">
        <v>4.5199999999999996</v>
      </c>
    </row>
    <row r="14216" spans="1:10" hidden="1">
      <c r="A14216" t="s">
        <v>8667</v>
      </c>
      <c r="B14216" t="s">
        <v>8668</v>
      </c>
      <c r="C14216" t="s">
        <v>6839</v>
      </c>
      <c r="D14216" t="s">
        <v>1307</v>
      </c>
      <c r="E14216" t="s">
        <v>561</v>
      </c>
      <c r="F14216" t="s">
        <v>1068</v>
      </c>
      <c r="G14216" t="s">
        <v>1078</v>
      </c>
      <c r="H14216">
        <v>2.7471597181405401E-2</v>
      </c>
      <c r="I14216" t="s">
        <v>1079</v>
      </c>
      <c r="J14216">
        <v>4.5199999999999996</v>
      </c>
    </row>
    <row r="14217" spans="1:10" hidden="1">
      <c r="A14217" t="s">
        <v>8667</v>
      </c>
      <c r="B14217" t="s">
        <v>8668</v>
      </c>
      <c r="C14217" t="s">
        <v>6839</v>
      </c>
      <c r="D14217" t="s">
        <v>1307</v>
      </c>
      <c r="E14217" t="s">
        <v>561</v>
      </c>
      <c r="F14217" t="s">
        <v>1068</v>
      </c>
      <c r="G14217" t="s">
        <v>1080</v>
      </c>
      <c r="H14217" s="171" t="s">
        <v>8672</v>
      </c>
      <c r="I14217" t="s">
        <v>1082</v>
      </c>
      <c r="J14217">
        <v>4.5199999999999996</v>
      </c>
    </row>
    <row r="14218" spans="1:10" hidden="1">
      <c r="A14218" t="s">
        <v>8667</v>
      </c>
      <c r="B14218" t="s">
        <v>8668</v>
      </c>
      <c r="C14218" t="s">
        <v>6839</v>
      </c>
      <c r="D14218" t="s">
        <v>1307</v>
      </c>
      <c r="E14218" t="s">
        <v>561</v>
      </c>
      <c r="F14218" t="s">
        <v>1068</v>
      </c>
      <c r="G14218" t="s">
        <v>1083</v>
      </c>
      <c r="H14218" s="171" t="s">
        <v>8673</v>
      </c>
      <c r="I14218" t="s">
        <v>1084</v>
      </c>
      <c r="J14218">
        <v>4.5199999999999996</v>
      </c>
    </row>
    <row r="14219" spans="1:10" hidden="1">
      <c r="A14219" t="s">
        <v>8667</v>
      </c>
      <c r="B14219" t="s">
        <v>8668</v>
      </c>
      <c r="C14219" t="s">
        <v>6839</v>
      </c>
      <c r="D14219" t="s">
        <v>1307</v>
      </c>
      <c r="E14219" t="s">
        <v>561</v>
      </c>
      <c r="F14219" t="s">
        <v>1068</v>
      </c>
      <c r="G14219" t="s">
        <v>1085</v>
      </c>
      <c r="H14219">
        <v>3.9219453394938498E-4</v>
      </c>
      <c r="I14219" t="s">
        <v>1086</v>
      </c>
      <c r="J14219">
        <v>4.5199999999999996</v>
      </c>
    </row>
    <row r="14220" spans="1:10" hidden="1">
      <c r="A14220" t="s">
        <v>8667</v>
      </c>
      <c r="B14220" t="s">
        <v>8668</v>
      </c>
      <c r="C14220" t="s">
        <v>6839</v>
      </c>
      <c r="D14220" t="s">
        <v>1307</v>
      </c>
      <c r="E14220" t="s">
        <v>561</v>
      </c>
      <c r="F14220" t="s">
        <v>1068</v>
      </c>
      <c r="G14220" t="s">
        <v>1087</v>
      </c>
      <c r="H14220" s="171" t="s">
        <v>8674</v>
      </c>
      <c r="I14220" t="s">
        <v>1088</v>
      </c>
      <c r="J14220">
        <v>4.5199999999999996</v>
      </c>
    </row>
    <row r="14221" spans="1:10" hidden="1">
      <c r="A14221" t="s">
        <v>8667</v>
      </c>
      <c r="B14221" t="s">
        <v>8668</v>
      </c>
      <c r="C14221" t="s">
        <v>6839</v>
      </c>
      <c r="D14221" t="s">
        <v>1307</v>
      </c>
      <c r="E14221" t="s">
        <v>561</v>
      </c>
      <c r="F14221" t="s">
        <v>1068</v>
      </c>
      <c r="G14221" t="s">
        <v>1089</v>
      </c>
      <c r="H14221">
        <v>1.1446300696570401E-4</v>
      </c>
      <c r="I14221" t="s">
        <v>1090</v>
      </c>
      <c r="J14221">
        <v>4.5199999999999996</v>
      </c>
    </row>
    <row r="14222" spans="1:10" hidden="1">
      <c r="A14222" t="s">
        <v>8675</v>
      </c>
      <c r="B14222" t="s">
        <v>8676</v>
      </c>
      <c r="C14222" t="s">
        <v>6839</v>
      </c>
      <c r="D14222" t="s">
        <v>1307</v>
      </c>
      <c r="E14222" t="s">
        <v>555</v>
      </c>
      <c r="F14222" t="s">
        <v>1068</v>
      </c>
      <c r="G14222" t="s">
        <v>1069</v>
      </c>
      <c r="H14222">
        <v>4.7671656744217403E-2</v>
      </c>
      <c r="I14222" t="s">
        <v>1070</v>
      </c>
      <c r="J14222">
        <v>4.45</v>
      </c>
    </row>
    <row r="14223" spans="1:10" hidden="1">
      <c r="A14223" t="s">
        <v>8675</v>
      </c>
      <c r="B14223" t="s">
        <v>8676</v>
      </c>
      <c r="C14223" t="s">
        <v>6839</v>
      </c>
      <c r="D14223" t="s">
        <v>1307</v>
      </c>
      <c r="E14223" t="s">
        <v>555</v>
      </c>
      <c r="F14223" t="s">
        <v>1068</v>
      </c>
      <c r="G14223" t="s">
        <v>1071</v>
      </c>
      <c r="H14223" s="171" t="s">
        <v>8677</v>
      </c>
      <c r="I14223" t="s">
        <v>1072</v>
      </c>
      <c r="J14223">
        <v>4.45</v>
      </c>
    </row>
    <row r="14224" spans="1:10" hidden="1">
      <c r="A14224" t="s">
        <v>8675</v>
      </c>
      <c r="B14224" t="s">
        <v>8676</v>
      </c>
      <c r="C14224" t="s">
        <v>6839</v>
      </c>
      <c r="D14224" t="s">
        <v>1307</v>
      </c>
      <c r="E14224" t="s">
        <v>555</v>
      </c>
      <c r="F14224" t="s">
        <v>1068</v>
      </c>
      <c r="G14224" t="s">
        <v>1073</v>
      </c>
      <c r="H14224" s="171" t="s">
        <v>8678</v>
      </c>
      <c r="I14224" t="s">
        <v>1074</v>
      </c>
      <c r="J14224">
        <v>4.45</v>
      </c>
    </row>
    <row r="14225" spans="1:10" hidden="1">
      <c r="A14225" t="s">
        <v>8675</v>
      </c>
      <c r="B14225" t="s">
        <v>8676</v>
      </c>
      <c r="C14225" t="s">
        <v>6839</v>
      </c>
      <c r="D14225" t="s">
        <v>1307</v>
      </c>
      <c r="E14225" t="s">
        <v>555</v>
      </c>
      <c r="F14225" t="s">
        <v>1068</v>
      </c>
      <c r="G14225" t="s">
        <v>1075</v>
      </c>
      <c r="H14225">
        <v>1.04427706457046E-2</v>
      </c>
      <c r="I14225" t="s">
        <v>1077</v>
      </c>
      <c r="J14225">
        <v>4.45</v>
      </c>
    </row>
    <row r="14226" spans="1:10" hidden="1">
      <c r="A14226" t="s">
        <v>8675</v>
      </c>
      <c r="B14226" t="s">
        <v>8676</v>
      </c>
      <c r="C14226" t="s">
        <v>6839</v>
      </c>
      <c r="D14226" t="s">
        <v>1307</v>
      </c>
      <c r="E14226" t="s">
        <v>555</v>
      </c>
      <c r="F14226" t="s">
        <v>1068</v>
      </c>
      <c r="G14226" t="s">
        <v>1078</v>
      </c>
      <c r="H14226" s="171" t="s">
        <v>8679</v>
      </c>
      <c r="I14226" t="s">
        <v>1079</v>
      </c>
      <c r="J14226">
        <v>4.45</v>
      </c>
    </row>
    <row r="14227" spans="1:10" hidden="1">
      <c r="A14227" t="s">
        <v>8675</v>
      </c>
      <c r="B14227" t="s">
        <v>8676</v>
      </c>
      <c r="C14227" t="s">
        <v>6839</v>
      </c>
      <c r="D14227" t="s">
        <v>1307</v>
      </c>
      <c r="E14227" t="s">
        <v>555</v>
      </c>
      <c r="F14227" t="s">
        <v>1068</v>
      </c>
      <c r="G14227" t="s">
        <v>1080</v>
      </c>
      <c r="H14227" s="171" t="s">
        <v>8680</v>
      </c>
      <c r="I14227" t="s">
        <v>1082</v>
      </c>
      <c r="J14227">
        <v>4.45</v>
      </c>
    </row>
    <row r="14228" spans="1:10" hidden="1">
      <c r="A14228" t="s">
        <v>8675</v>
      </c>
      <c r="B14228" t="s">
        <v>8676</v>
      </c>
      <c r="C14228" t="s">
        <v>6839</v>
      </c>
      <c r="D14228" t="s">
        <v>1307</v>
      </c>
      <c r="E14228" t="s">
        <v>555</v>
      </c>
      <c r="F14228" t="s">
        <v>1068</v>
      </c>
      <c r="G14228" t="s">
        <v>1083</v>
      </c>
      <c r="H14228" s="171" t="s">
        <v>8681</v>
      </c>
      <c r="I14228" t="s">
        <v>1084</v>
      </c>
      <c r="J14228">
        <v>4.45</v>
      </c>
    </row>
    <row r="14229" spans="1:10" hidden="1">
      <c r="A14229" t="s">
        <v>8675</v>
      </c>
      <c r="B14229" t="s">
        <v>8676</v>
      </c>
      <c r="C14229" t="s">
        <v>6839</v>
      </c>
      <c r="D14229" t="s">
        <v>1307</v>
      </c>
      <c r="E14229" t="s">
        <v>555</v>
      </c>
      <c r="F14229" t="s">
        <v>1068</v>
      </c>
      <c r="G14229" t="s">
        <v>1085</v>
      </c>
      <c r="H14229">
        <v>3.9219642281677702E-4</v>
      </c>
      <c r="I14229" t="s">
        <v>1086</v>
      </c>
      <c r="J14229">
        <v>4.45</v>
      </c>
    </row>
    <row r="14230" spans="1:10" hidden="1">
      <c r="A14230" t="s">
        <v>8675</v>
      </c>
      <c r="B14230" t="s">
        <v>8676</v>
      </c>
      <c r="C14230" t="s">
        <v>6839</v>
      </c>
      <c r="D14230" t="s">
        <v>1307</v>
      </c>
      <c r="E14230" t="s">
        <v>555</v>
      </c>
      <c r="F14230" t="s">
        <v>1068</v>
      </c>
      <c r="G14230" t="s">
        <v>1087</v>
      </c>
      <c r="H14230" s="171" t="s">
        <v>8682</v>
      </c>
      <c r="I14230" t="s">
        <v>1088</v>
      </c>
      <c r="J14230">
        <v>4.45</v>
      </c>
    </row>
    <row r="14231" spans="1:10" hidden="1">
      <c r="A14231" t="s">
        <v>8675</v>
      </c>
      <c r="B14231" t="s">
        <v>8676</v>
      </c>
      <c r="C14231" t="s">
        <v>6839</v>
      </c>
      <c r="D14231" t="s">
        <v>1307</v>
      </c>
      <c r="E14231" t="s">
        <v>555</v>
      </c>
      <c r="F14231" t="s">
        <v>1068</v>
      </c>
      <c r="G14231" t="s">
        <v>1089</v>
      </c>
      <c r="H14231">
        <v>1.14463396663256E-4</v>
      </c>
      <c r="I14231" t="s">
        <v>1090</v>
      </c>
      <c r="J14231">
        <v>4.45</v>
      </c>
    </row>
    <row r="14232" spans="1:10" hidden="1">
      <c r="A14232" t="s">
        <v>8683</v>
      </c>
      <c r="B14232" t="s">
        <v>8684</v>
      </c>
      <c r="C14232" t="s">
        <v>6839</v>
      </c>
      <c r="D14232" t="s">
        <v>1307</v>
      </c>
      <c r="E14232" t="s">
        <v>558</v>
      </c>
      <c r="F14232" t="s">
        <v>1068</v>
      </c>
      <c r="G14232" t="s">
        <v>1069</v>
      </c>
      <c r="H14232">
        <v>4.76699507380174E-2</v>
      </c>
      <c r="I14232" t="s">
        <v>1070</v>
      </c>
      <c r="J14232">
        <v>4.62</v>
      </c>
    </row>
    <row r="14233" spans="1:10" hidden="1">
      <c r="A14233" t="s">
        <v>8683</v>
      </c>
      <c r="B14233" t="s">
        <v>8684</v>
      </c>
      <c r="C14233" t="s">
        <v>6839</v>
      </c>
      <c r="D14233" t="s">
        <v>1307</v>
      </c>
      <c r="E14233" t="s">
        <v>558</v>
      </c>
      <c r="F14233" t="s">
        <v>1068</v>
      </c>
      <c r="G14233" t="s">
        <v>1071</v>
      </c>
      <c r="H14233" s="171" t="s">
        <v>8685</v>
      </c>
      <c r="I14233" t="s">
        <v>1072</v>
      </c>
      <c r="J14233">
        <v>4.62</v>
      </c>
    </row>
    <row r="14234" spans="1:10" hidden="1">
      <c r="A14234" t="s">
        <v>8683</v>
      </c>
      <c r="B14234" t="s">
        <v>8684</v>
      </c>
      <c r="C14234" t="s">
        <v>6839</v>
      </c>
      <c r="D14234" t="s">
        <v>1307</v>
      </c>
      <c r="E14234" t="s">
        <v>558</v>
      </c>
      <c r="F14234" t="s">
        <v>1068</v>
      </c>
      <c r="G14234" t="s">
        <v>1073</v>
      </c>
      <c r="H14234" s="171" t="s">
        <v>8686</v>
      </c>
      <c r="I14234" t="s">
        <v>1074</v>
      </c>
      <c r="J14234">
        <v>4.62</v>
      </c>
    </row>
    <row r="14235" spans="1:10" hidden="1">
      <c r="A14235" t="s">
        <v>8683</v>
      </c>
      <c r="B14235" t="s">
        <v>8684</v>
      </c>
      <c r="C14235" t="s">
        <v>6839</v>
      </c>
      <c r="D14235" t="s">
        <v>1307</v>
      </c>
      <c r="E14235" t="s">
        <v>558</v>
      </c>
      <c r="F14235" t="s">
        <v>1068</v>
      </c>
      <c r="G14235" t="s">
        <v>1075</v>
      </c>
      <c r="H14235">
        <v>1.04427329741218E-2</v>
      </c>
      <c r="I14235" t="s">
        <v>1077</v>
      </c>
      <c r="J14235">
        <v>4.62</v>
      </c>
    </row>
    <row r="14236" spans="1:10" hidden="1">
      <c r="A14236" t="s">
        <v>8683</v>
      </c>
      <c r="B14236" t="s">
        <v>8684</v>
      </c>
      <c r="C14236" t="s">
        <v>6839</v>
      </c>
      <c r="D14236" t="s">
        <v>1307</v>
      </c>
      <c r="E14236" t="s">
        <v>558</v>
      </c>
      <c r="F14236" t="s">
        <v>1068</v>
      </c>
      <c r="G14236" t="s">
        <v>1078</v>
      </c>
      <c r="H14236" s="171" t="s">
        <v>8687</v>
      </c>
      <c r="I14236" t="s">
        <v>1079</v>
      </c>
      <c r="J14236">
        <v>4.62</v>
      </c>
    </row>
    <row r="14237" spans="1:10" hidden="1">
      <c r="A14237" t="s">
        <v>8683</v>
      </c>
      <c r="B14237" t="s">
        <v>8684</v>
      </c>
      <c r="C14237" t="s">
        <v>6839</v>
      </c>
      <c r="D14237" t="s">
        <v>1307</v>
      </c>
      <c r="E14237" t="s">
        <v>558</v>
      </c>
      <c r="F14237" t="s">
        <v>1068</v>
      </c>
      <c r="G14237" t="s">
        <v>1080</v>
      </c>
      <c r="H14237" s="171" t="s">
        <v>8688</v>
      </c>
      <c r="I14237" t="s">
        <v>1082</v>
      </c>
      <c r="J14237">
        <v>4.62</v>
      </c>
    </row>
    <row r="14238" spans="1:10" hidden="1">
      <c r="A14238" t="s">
        <v>8683</v>
      </c>
      <c r="B14238" t="s">
        <v>8684</v>
      </c>
      <c r="C14238" t="s">
        <v>6839</v>
      </c>
      <c r="D14238" t="s">
        <v>1307</v>
      </c>
      <c r="E14238" t="s">
        <v>558</v>
      </c>
      <c r="F14238" t="s">
        <v>1068</v>
      </c>
      <c r="G14238" t="s">
        <v>1083</v>
      </c>
      <c r="H14238" s="171" t="s">
        <v>8689</v>
      </c>
      <c r="I14238" t="s">
        <v>1084</v>
      </c>
      <c r="J14238">
        <v>4.62</v>
      </c>
    </row>
    <row r="14239" spans="1:10" hidden="1">
      <c r="A14239" t="s">
        <v>8683</v>
      </c>
      <c r="B14239" t="s">
        <v>8684</v>
      </c>
      <c r="C14239" t="s">
        <v>6839</v>
      </c>
      <c r="D14239" t="s">
        <v>1307</v>
      </c>
      <c r="E14239" t="s">
        <v>558</v>
      </c>
      <c r="F14239" t="s">
        <v>1068</v>
      </c>
      <c r="G14239" t="s">
        <v>1085</v>
      </c>
      <c r="H14239">
        <v>3.9219437583842999E-4</v>
      </c>
      <c r="I14239" t="s">
        <v>1086</v>
      </c>
      <c r="J14239">
        <v>4.62</v>
      </c>
    </row>
    <row r="14240" spans="1:10" hidden="1">
      <c r="A14240" t="s">
        <v>8683</v>
      </c>
      <c r="B14240" t="s">
        <v>8684</v>
      </c>
      <c r="C14240" t="s">
        <v>6839</v>
      </c>
      <c r="D14240" t="s">
        <v>1307</v>
      </c>
      <c r="E14240" t="s">
        <v>558</v>
      </c>
      <c r="F14240" t="s">
        <v>1068</v>
      </c>
      <c r="G14240" t="s">
        <v>1087</v>
      </c>
      <c r="H14240" s="171" t="s">
        <v>8690</v>
      </c>
      <c r="I14240" t="s">
        <v>1088</v>
      </c>
      <c r="J14240">
        <v>4.62</v>
      </c>
    </row>
    <row r="14241" spans="1:10" hidden="1">
      <c r="A14241" t="s">
        <v>8683</v>
      </c>
      <c r="B14241" t="s">
        <v>8684</v>
      </c>
      <c r="C14241" t="s">
        <v>6839</v>
      </c>
      <c r="D14241" t="s">
        <v>1307</v>
      </c>
      <c r="E14241" t="s">
        <v>558</v>
      </c>
      <c r="F14241" t="s">
        <v>1068</v>
      </c>
      <c r="G14241" t="s">
        <v>1089</v>
      </c>
      <c r="H14241">
        <v>1.14462974347726E-4</v>
      </c>
      <c r="I14241" t="s">
        <v>1090</v>
      </c>
      <c r="J14241">
        <v>4.62</v>
      </c>
    </row>
    <row r="14242" spans="1:10" hidden="1">
      <c r="A14242" t="s">
        <v>8691</v>
      </c>
      <c r="B14242" t="s">
        <v>8692</v>
      </c>
      <c r="C14242" t="s">
        <v>6839</v>
      </c>
      <c r="D14242" t="s">
        <v>1307</v>
      </c>
      <c r="E14242" t="s">
        <v>553</v>
      </c>
      <c r="F14242" t="s">
        <v>1068</v>
      </c>
      <c r="G14242" t="s">
        <v>1069</v>
      </c>
      <c r="H14242">
        <v>4.7670427689519602E-2</v>
      </c>
      <c r="I14242" t="s">
        <v>1070</v>
      </c>
      <c r="J14242">
        <v>4.67</v>
      </c>
    </row>
    <row r="14243" spans="1:10" hidden="1">
      <c r="A14243" t="s">
        <v>8691</v>
      </c>
      <c r="B14243" t="s">
        <v>8692</v>
      </c>
      <c r="C14243" t="s">
        <v>6839</v>
      </c>
      <c r="D14243" t="s">
        <v>1307</v>
      </c>
      <c r="E14243" t="s">
        <v>553</v>
      </c>
      <c r="F14243" t="s">
        <v>1068</v>
      </c>
      <c r="G14243" t="s">
        <v>1071</v>
      </c>
      <c r="H14243" s="171" t="s">
        <v>8693</v>
      </c>
      <c r="I14243" t="s">
        <v>1072</v>
      </c>
      <c r="J14243">
        <v>4.67</v>
      </c>
    </row>
    <row r="14244" spans="1:10" hidden="1">
      <c r="A14244" t="s">
        <v>8691</v>
      </c>
      <c r="B14244" t="s">
        <v>8692</v>
      </c>
      <c r="C14244" t="s">
        <v>6839</v>
      </c>
      <c r="D14244" t="s">
        <v>1307</v>
      </c>
      <c r="E14244" t="s">
        <v>553</v>
      </c>
      <c r="F14244" t="s">
        <v>1068</v>
      </c>
      <c r="G14244" t="s">
        <v>1073</v>
      </c>
      <c r="H14244" s="171" t="s">
        <v>8694</v>
      </c>
      <c r="I14244" t="s">
        <v>1074</v>
      </c>
      <c r="J14244">
        <v>4.67</v>
      </c>
    </row>
    <row r="14245" spans="1:10" hidden="1">
      <c r="A14245" t="s">
        <v>8691</v>
      </c>
      <c r="B14245" t="s">
        <v>8692</v>
      </c>
      <c r="C14245" t="s">
        <v>6839</v>
      </c>
      <c r="D14245" t="s">
        <v>1307</v>
      </c>
      <c r="E14245" t="s">
        <v>553</v>
      </c>
      <c r="F14245" t="s">
        <v>1068</v>
      </c>
      <c r="G14245" t="s">
        <v>1075</v>
      </c>
      <c r="H14245" s="171" t="s">
        <v>8695</v>
      </c>
      <c r="I14245" t="s">
        <v>1077</v>
      </c>
      <c r="J14245">
        <v>4.67</v>
      </c>
    </row>
    <row r="14246" spans="1:10" hidden="1">
      <c r="A14246" t="s">
        <v>8691</v>
      </c>
      <c r="B14246" t="s">
        <v>8692</v>
      </c>
      <c r="C14246" t="s">
        <v>6839</v>
      </c>
      <c r="D14246" t="s">
        <v>1307</v>
      </c>
      <c r="E14246" t="s">
        <v>553</v>
      </c>
      <c r="F14246" t="s">
        <v>1068</v>
      </c>
      <c r="G14246" t="s">
        <v>1078</v>
      </c>
      <c r="H14246" s="171" t="s">
        <v>8696</v>
      </c>
      <c r="I14246" t="s">
        <v>1079</v>
      </c>
      <c r="J14246">
        <v>4.67</v>
      </c>
    </row>
    <row r="14247" spans="1:10" hidden="1">
      <c r="A14247" t="s">
        <v>8691</v>
      </c>
      <c r="B14247" t="s">
        <v>8692</v>
      </c>
      <c r="C14247" t="s">
        <v>6839</v>
      </c>
      <c r="D14247" t="s">
        <v>1307</v>
      </c>
      <c r="E14247" t="s">
        <v>553</v>
      </c>
      <c r="F14247" t="s">
        <v>1068</v>
      </c>
      <c r="G14247" t="s">
        <v>1080</v>
      </c>
      <c r="H14247" s="171" t="s">
        <v>8697</v>
      </c>
      <c r="I14247" t="s">
        <v>1082</v>
      </c>
      <c r="J14247">
        <v>4.67</v>
      </c>
    </row>
    <row r="14248" spans="1:10" hidden="1">
      <c r="A14248" t="s">
        <v>8691</v>
      </c>
      <c r="B14248" t="s">
        <v>8692</v>
      </c>
      <c r="C14248" t="s">
        <v>6839</v>
      </c>
      <c r="D14248" t="s">
        <v>1307</v>
      </c>
      <c r="E14248" t="s">
        <v>553</v>
      </c>
      <c r="F14248" t="s">
        <v>1068</v>
      </c>
      <c r="G14248" t="s">
        <v>1083</v>
      </c>
      <c r="H14248" s="171" t="s">
        <v>8698</v>
      </c>
      <c r="I14248" t="s">
        <v>1084</v>
      </c>
      <c r="J14248">
        <v>4.67</v>
      </c>
    </row>
    <row r="14249" spans="1:10" hidden="1">
      <c r="A14249" t="s">
        <v>8691</v>
      </c>
      <c r="B14249" t="s">
        <v>8692</v>
      </c>
      <c r="C14249" t="s">
        <v>6839</v>
      </c>
      <c r="D14249" t="s">
        <v>1307</v>
      </c>
      <c r="E14249" t="s">
        <v>553</v>
      </c>
      <c r="F14249" t="s">
        <v>1068</v>
      </c>
      <c r="G14249" t="s">
        <v>1085</v>
      </c>
      <c r="H14249">
        <v>3.9219431140427802E-4</v>
      </c>
      <c r="I14249" t="s">
        <v>1086</v>
      </c>
      <c r="J14249">
        <v>4.67</v>
      </c>
    </row>
    <row r="14250" spans="1:10" hidden="1">
      <c r="A14250" t="s">
        <v>8691</v>
      </c>
      <c r="B14250" t="s">
        <v>8692</v>
      </c>
      <c r="C14250" t="s">
        <v>6839</v>
      </c>
      <c r="D14250" t="s">
        <v>1307</v>
      </c>
      <c r="E14250" t="s">
        <v>553</v>
      </c>
      <c r="F14250" t="s">
        <v>1068</v>
      </c>
      <c r="G14250" t="s">
        <v>1087</v>
      </c>
      <c r="H14250" s="171" t="s">
        <v>8699</v>
      </c>
      <c r="I14250" t="s">
        <v>1088</v>
      </c>
      <c r="J14250">
        <v>4.67</v>
      </c>
    </row>
    <row r="14251" spans="1:10" hidden="1">
      <c r="A14251" t="s">
        <v>8691</v>
      </c>
      <c r="B14251" t="s">
        <v>8692</v>
      </c>
      <c r="C14251" t="s">
        <v>6839</v>
      </c>
      <c r="D14251" t="s">
        <v>1307</v>
      </c>
      <c r="E14251" t="s">
        <v>553</v>
      </c>
      <c r="F14251" t="s">
        <v>1068</v>
      </c>
      <c r="G14251" t="s">
        <v>1089</v>
      </c>
      <c r="H14251">
        <v>1.1446296108302699E-4</v>
      </c>
      <c r="I14251" t="s">
        <v>1090</v>
      </c>
      <c r="J14251">
        <v>4.67</v>
      </c>
    </row>
    <row r="14252" spans="1:10" hidden="1">
      <c r="A14252" t="s">
        <v>8700</v>
      </c>
      <c r="B14252" t="s">
        <v>8701</v>
      </c>
      <c r="C14252" t="s">
        <v>6839</v>
      </c>
      <c r="D14252" t="s">
        <v>1307</v>
      </c>
      <c r="E14252" t="s">
        <v>556</v>
      </c>
      <c r="F14252" t="s">
        <v>1068</v>
      </c>
      <c r="G14252" t="s">
        <v>1069</v>
      </c>
      <c r="H14252">
        <v>4.76715412226177E-2</v>
      </c>
      <c r="I14252" t="s">
        <v>1070</v>
      </c>
      <c r="J14252">
        <v>4.97</v>
      </c>
    </row>
    <row r="14253" spans="1:10" hidden="1">
      <c r="A14253" t="s">
        <v>8700</v>
      </c>
      <c r="B14253" t="s">
        <v>8701</v>
      </c>
      <c r="C14253" t="s">
        <v>6839</v>
      </c>
      <c r="D14253" t="s">
        <v>1307</v>
      </c>
      <c r="E14253" t="s">
        <v>556</v>
      </c>
      <c r="F14253" t="s">
        <v>1068</v>
      </c>
      <c r="G14253" t="s">
        <v>1071</v>
      </c>
      <c r="H14253" s="171" t="s">
        <v>8702</v>
      </c>
      <c r="I14253" t="s">
        <v>1072</v>
      </c>
      <c r="J14253">
        <v>4.97</v>
      </c>
    </row>
    <row r="14254" spans="1:10" hidden="1">
      <c r="A14254" t="s">
        <v>8700</v>
      </c>
      <c r="B14254" t="s">
        <v>8701</v>
      </c>
      <c r="C14254" t="s">
        <v>6839</v>
      </c>
      <c r="D14254" t="s">
        <v>1307</v>
      </c>
      <c r="E14254" t="s">
        <v>556</v>
      </c>
      <c r="F14254" t="s">
        <v>1068</v>
      </c>
      <c r="G14254" t="s">
        <v>1073</v>
      </c>
      <c r="H14254" s="171" t="s">
        <v>8703</v>
      </c>
      <c r="I14254" t="s">
        <v>1074</v>
      </c>
      <c r="J14254">
        <v>4.97</v>
      </c>
    </row>
    <row r="14255" spans="1:10" hidden="1">
      <c r="A14255" t="s">
        <v>8700</v>
      </c>
      <c r="B14255" t="s">
        <v>8701</v>
      </c>
      <c r="C14255" t="s">
        <v>6839</v>
      </c>
      <c r="D14255" t="s">
        <v>1307</v>
      </c>
      <c r="E14255" t="s">
        <v>556</v>
      </c>
      <c r="F14255" t="s">
        <v>1068</v>
      </c>
      <c r="G14255" t="s">
        <v>1075</v>
      </c>
      <c r="H14255" s="171" t="s">
        <v>8704</v>
      </c>
      <c r="I14255" t="s">
        <v>1077</v>
      </c>
      <c r="J14255">
        <v>4.97</v>
      </c>
    </row>
    <row r="14256" spans="1:10" hidden="1">
      <c r="A14256" t="s">
        <v>8700</v>
      </c>
      <c r="B14256" t="s">
        <v>8701</v>
      </c>
      <c r="C14256" t="s">
        <v>6839</v>
      </c>
      <c r="D14256" t="s">
        <v>1307</v>
      </c>
      <c r="E14256" t="s">
        <v>556</v>
      </c>
      <c r="F14256" t="s">
        <v>1068</v>
      </c>
      <c r="G14256" t="s">
        <v>1078</v>
      </c>
      <c r="H14256">
        <v>2.7472942241024201E-2</v>
      </c>
      <c r="I14256" t="s">
        <v>1079</v>
      </c>
      <c r="J14256">
        <v>4.97</v>
      </c>
    </row>
    <row r="14257" spans="1:10" hidden="1">
      <c r="A14257" t="s">
        <v>8700</v>
      </c>
      <c r="B14257" t="s">
        <v>8701</v>
      </c>
      <c r="C14257" t="s">
        <v>6839</v>
      </c>
      <c r="D14257" t="s">
        <v>1307</v>
      </c>
      <c r="E14257" t="s">
        <v>556</v>
      </c>
      <c r="F14257" t="s">
        <v>1068</v>
      </c>
      <c r="G14257" t="s">
        <v>1080</v>
      </c>
      <c r="H14257" s="171" t="s">
        <v>8705</v>
      </c>
      <c r="I14257" t="s">
        <v>1082</v>
      </c>
      <c r="J14257">
        <v>4.97</v>
      </c>
    </row>
    <row r="14258" spans="1:10" hidden="1">
      <c r="A14258" t="s">
        <v>8700</v>
      </c>
      <c r="B14258" t="s">
        <v>8701</v>
      </c>
      <c r="C14258" t="s">
        <v>6839</v>
      </c>
      <c r="D14258" t="s">
        <v>1307</v>
      </c>
      <c r="E14258" t="s">
        <v>556</v>
      </c>
      <c r="F14258" t="s">
        <v>1068</v>
      </c>
      <c r="G14258" t="s">
        <v>1083</v>
      </c>
      <c r="H14258" s="171" t="s">
        <v>8706</v>
      </c>
      <c r="I14258" t="s">
        <v>1084</v>
      </c>
      <c r="J14258">
        <v>4.97</v>
      </c>
    </row>
    <row r="14259" spans="1:10" hidden="1">
      <c r="A14259" t="s">
        <v>8700</v>
      </c>
      <c r="B14259" t="s">
        <v>8701</v>
      </c>
      <c r="C14259" t="s">
        <v>6839</v>
      </c>
      <c r="D14259" t="s">
        <v>1307</v>
      </c>
      <c r="E14259" t="s">
        <v>556</v>
      </c>
      <c r="F14259" t="s">
        <v>1068</v>
      </c>
      <c r="G14259" t="s">
        <v>1085</v>
      </c>
      <c r="H14259">
        <v>3.9219622436037201E-4</v>
      </c>
      <c r="I14259" t="s">
        <v>1086</v>
      </c>
      <c r="J14259">
        <v>4.97</v>
      </c>
    </row>
    <row r="14260" spans="1:10" hidden="1">
      <c r="A14260" t="s">
        <v>8700</v>
      </c>
      <c r="B14260" t="s">
        <v>8701</v>
      </c>
      <c r="C14260" t="s">
        <v>6839</v>
      </c>
      <c r="D14260" t="s">
        <v>1307</v>
      </c>
      <c r="E14260" t="s">
        <v>556</v>
      </c>
      <c r="F14260" t="s">
        <v>1068</v>
      </c>
      <c r="G14260" t="s">
        <v>1087</v>
      </c>
      <c r="H14260" s="171" t="s">
        <v>8707</v>
      </c>
      <c r="I14260" t="s">
        <v>1088</v>
      </c>
      <c r="J14260">
        <v>4.97</v>
      </c>
    </row>
    <row r="14261" spans="1:10" hidden="1">
      <c r="A14261" t="s">
        <v>8700</v>
      </c>
      <c r="B14261" t="s">
        <v>8701</v>
      </c>
      <c r="C14261" t="s">
        <v>6839</v>
      </c>
      <c r="D14261" t="s">
        <v>1307</v>
      </c>
      <c r="E14261" t="s">
        <v>556</v>
      </c>
      <c r="F14261" t="s">
        <v>1068</v>
      </c>
      <c r="G14261" t="s">
        <v>1089</v>
      </c>
      <c r="H14261">
        <v>1.1446335572209201E-4</v>
      </c>
      <c r="I14261" t="s">
        <v>1090</v>
      </c>
      <c r="J14261">
        <v>4.97</v>
      </c>
    </row>
    <row r="14262" spans="1:10" hidden="1">
      <c r="A14262" t="s">
        <v>8708</v>
      </c>
      <c r="B14262" t="s">
        <v>8709</v>
      </c>
      <c r="C14262" t="s">
        <v>6839</v>
      </c>
      <c r="D14262" t="s">
        <v>1307</v>
      </c>
      <c r="E14262" t="s">
        <v>557</v>
      </c>
      <c r="F14262" t="s">
        <v>1068</v>
      </c>
      <c r="G14262" t="s">
        <v>1069</v>
      </c>
      <c r="H14262">
        <v>4.7670330888771303E-2</v>
      </c>
      <c r="I14262" t="s">
        <v>1070</v>
      </c>
      <c r="J14262">
        <v>4.41</v>
      </c>
    </row>
    <row r="14263" spans="1:10" hidden="1">
      <c r="A14263" t="s">
        <v>8708</v>
      </c>
      <c r="B14263" t="s">
        <v>8709</v>
      </c>
      <c r="C14263" t="s">
        <v>6839</v>
      </c>
      <c r="D14263" t="s">
        <v>1307</v>
      </c>
      <c r="E14263" t="s">
        <v>557</v>
      </c>
      <c r="F14263" t="s">
        <v>1068</v>
      </c>
      <c r="G14263" t="s">
        <v>1071</v>
      </c>
      <c r="H14263" s="171" t="s">
        <v>8710</v>
      </c>
      <c r="I14263" t="s">
        <v>1072</v>
      </c>
      <c r="J14263">
        <v>4.41</v>
      </c>
    </row>
    <row r="14264" spans="1:10" hidden="1">
      <c r="A14264" t="s">
        <v>8708</v>
      </c>
      <c r="B14264" t="s">
        <v>8709</v>
      </c>
      <c r="C14264" t="s">
        <v>6839</v>
      </c>
      <c r="D14264" t="s">
        <v>1307</v>
      </c>
      <c r="E14264" t="s">
        <v>557</v>
      </c>
      <c r="F14264" t="s">
        <v>1068</v>
      </c>
      <c r="G14264" t="s">
        <v>1073</v>
      </c>
      <c r="H14264" s="171" t="s">
        <v>8711</v>
      </c>
      <c r="I14264" t="s">
        <v>1074</v>
      </c>
      <c r="J14264">
        <v>4.41</v>
      </c>
    </row>
    <row r="14265" spans="1:10" hidden="1">
      <c r="A14265" t="s">
        <v>8708</v>
      </c>
      <c r="B14265" t="s">
        <v>8709</v>
      </c>
      <c r="C14265" t="s">
        <v>6839</v>
      </c>
      <c r="D14265" t="s">
        <v>1307</v>
      </c>
      <c r="E14265" t="s">
        <v>557</v>
      </c>
      <c r="F14265" t="s">
        <v>1068</v>
      </c>
      <c r="G14265" t="s">
        <v>1075</v>
      </c>
      <c r="H14265" s="171" t="s">
        <v>8712</v>
      </c>
      <c r="I14265" t="s">
        <v>1077</v>
      </c>
      <c r="J14265">
        <v>4.41</v>
      </c>
    </row>
    <row r="14266" spans="1:10" hidden="1">
      <c r="A14266" t="s">
        <v>8708</v>
      </c>
      <c r="B14266" t="s">
        <v>8709</v>
      </c>
      <c r="C14266" t="s">
        <v>6839</v>
      </c>
      <c r="D14266" t="s">
        <v>1307</v>
      </c>
      <c r="E14266" t="s">
        <v>557</v>
      </c>
      <c r="F14266" t="s">
        <v>1068</v>
      </c>
      <c r="G14266" t="s">
        <v>1078</v>
      </c>
      <c r="H14266" s="171" t="s">
        <v>8713</v>
      </c>
      <c r="I14266" t="s">
        <v>1079</v>
      </c>
      <c r="J14266">
        <v>4.41</v>
      </c>
    </row>
    <row r="14267" spans="1:10" hidden="1">
      <c r="A14267" t="s">
        <v>8708</v>
      </c>
      <c r="B14267" t="s">
        <v>8709</v>
      </c>
      <c r="C14267" t="s">
        <v>6839</v>
      </c>
      <c r="D14267" t="s">
        <v>1307</v>
      </c>
      <c r="E14267" t="s">
        <v>557</v>
      </c>
      <c r="F14267" t="s">
        <v>1068</v>
      </c>
      <c r="G14267" t="s">
        <v>1080</v>
      </c>
      <c r="H14267" s="171" t="s">
        <v>8714</v>
      </c>
      <c r="I14267" t="s">
        <v>1082</v>
      </c>
      <c r="J14267">
        <v>4.41</v>
      </c>
    </row>
    <row r="14268" spans="1:10" hidden="1">
      <c r="A14268" t="s">
        <v>8708</v>
      </c>
      <c r="B14268" t="s">
        <v>8709</v>
      </c>
      <c r="C14268" t="s">
        <v>6839</v>
      </c>
      <c r="D14268" t="s">
        <v>1307</v>
      </c>
      <c r="E14268" t="s">
        <v>557</v>
      </c>
      <c r="F14268" t="s">
        <v>1068</v>
      </c>
      <c r="G14268" t="s">
        <v>1083</v>
      </c>
      <c r="H14268" s="171" t="s">
        <v>8715</v>
      </c>
      <c r="I14268" t="s">
        <v>1084</v>
      </c>
      <c r="J14268">
        <v>4.41</v>
      </c>
    </row>
    <row r="14269" spans="1:10" hidden="1">
      <c r="A14269" t="s">
        <v>8708</v>
      </c>
      <c r="B14269" t="s">
        <v>8709</v>
      </c>
      <c r="C14269" t="s">
        <v>6839</v>
      </c>
      <c r="D14269" t="s">
        <v>1307</v>
      </c>
      <c r="E14269" t="s">
        <v>557</v>
      </c>
      <c r="F14269" t="s">
        <v>1068</v>
      </c>
      <c r="G14269" t="s">
        <v>1085</v>
      </c>
      <c r="H14269">
        <v>3.9219502890541899E-4</v>
      </c>
      <c r="I14269" t="s">
        <v>1086</v>
      </c>
      <c r="J14269">
        <v>4.41</v>
      </c>
    </row>
    <row r="14270" spans="1:10" hidden="1">
      <c r="A14270" t="s">
        <v>8708</v>
      </c>
      <c r="B14270" t="s">
        <v>8709</v>
      </c>
      <c r="C14270" t="s">
        <v>6839</v>
      </c>
      <c r="D14270" t="s">
        <v>1307</v>
      </c>
      <c r="E14270" t="s">
        <v>557</v>
      </c>
      <c r="F14270" t="s">
        <v>1068</v>
      </c>
      <c r="G14270" t="s">
        <v>1087</v>
      </c>
      <c r="H14270" s="171" t="s">
        <v>8716</v>
      </c>
      <c r="I14270" t="s">
        <v>1088</v>
      </c>
      <c r="J14270">
        <v>4.41</v>
      </c>
    </row>
    <row r="14271" spans="1:10" hidden="1">
      <c r="A14271" t="s">
        <v>8708</v>
      </c>
      <c r="B14271" t="s">
        <v>8709</v>
      </c>
      <c r="C14271" t="s">
        <v>6839</v>
      </c>
      <c r="D14271" t="s">
        <v>1307</v>
      </c>
      <c r="E14271" t="s">
        <v>557</v>
      </c>
      <c r="F14271" t="s">
        <v>1068</v>
      </c>
      <c r="G14271" t="s">
        <v>1089</v>
      </c>
      <c r="H14271">
        <v>1.14463109074156E-4</v>
      </c>
      <c r="I14271" t="s">
        <v>1090</v>
      </c>
      <c r="J14271">
        <v>4.41</v>
      </c>
    </row>
    <row r="14272" spans="1:10" hidden="1">
      <c r="A14272" t="s">
        <v>8717</v>
      </c>
      <c r="B14272" t="s">
        <v>8718</v>
      </c>
      <c r="C14272" t="s">
        <v>6839</v>
      </c>
      <c r="D14272" t="s">
        <v>1307</v>
      </c>
      <c r="E14272" t="s">
        <v>559</v>
      </c>
      <c r="F14272" t="s">
        <v>1068</v>
      </c>
      <c r="G14272" t="s">
        <v>1069</v>
      </c>
      <c r="H14272">
        <v>4.76712102337086E-2</v>
      </c>
      <c r="I14272" t="s">
        <v>1070</v>
      </c>
      <c r="J14272">
        <v>4.66</v>
      </c>
    </row>
    <row r="14273" spans="1:10" hidden="1">
      <c r="A14273" t="s">
        <v>8717</v>
      </c>
      <c r="B14273" t="s">
        <v>8718</v>
      </c>
      <c r="C14273" t="s">
        <v>6839</v>
      </c>
      <c r="D14273" t="s">
        <v>1307</v>
      </c>
      <c r="E14273" t="s">
        <v>559</v>
      </c>
      <c r="F14273" t="s">
        <v>1068</v>
      </c>
      <c r="G14273" t="s">
        <v>1071</v>
      </c>
      <c r="H14273" s="171" t="s">
        <v>8719</v>
      </c>
      <c r="I14273" t="s">
        <v>1072</v>
      </c>
      <c r="J14273">
        <v>4.66</v>
      </c>
    </row>
    <row r="14274" spans="1:10" hidden="1">
      <c r="A14274" t="s">
        <v>8717</v>
      </c>
      <c r="B14274" t="s">
        <v>8718</v>
      </c>
      <c r="C14274" t="s">
        <v>6839</v>
      </c>
      <c r="D14274" t="s">
        <v>1307</v>
      </c>
      <c r="E14274" t="s">
        <v>559</v>
      </c>
      <c r="F14274" t="s">
        <v>1068</v>
      </c>
      <c r="G14274" t="s">
        <v>1073</v>
      </c>
      <c r="H14274" s="171" t="s">
        <v>8720</v>
      </c>
      <c r="I14274" t="s">
        <v>1074</v>
      </c>
      <c r="J14274">
        <v>4.66</v>
      </c>
    </row>
    <row r="14275" spans="1:10" hidden="1">
      <c r="A14275" t="s">
        <v>8717</v>
      </c>
      <c r="B14275" t="s">
        <v>8718</v>
      </c>
      <c r="C14275" t="s">
        <v>6839</v>
      </c>
      <c r="D14275" t="s">
        <v>1307</v>
      </c>
      <c r="E14275" t="s">
        <v>559</v>
      </c>
      <c r="F14275" t="s">
        <v>1068</v>
      </c>
      <c r="G14275" t="s">
        <v>1075</v>
      </c>
      <c r="H14275" s="171" t="s">
        <v>8721</v>
      </c>
      <c r="I14275" t="s">
        <v>1077</v>
      </c>
      <c r="J14275">
        <v>4.66</v>
      </c>
    </row>
    <row r="14276" spans="1:10" hidden="1">
      <c r="A14276" t="s">
        <v>8717</v>
      </c>
      <c r="B14276" t="s">
        <v>8718</v>
      </c>
      <c r="C14276" t="s">
        <v>6839</v>
      </c>
      <c r="D14276" t="s">
        <v>1307</v>
      </c>
      <c r="E14276" t="s">
        <v>559</v>
      </c>
      <c r="F14276" t="s">
        <v>1068</v>
      </c>
      <c r="G14276" t="s">
        <v>1078</v>
      </c>
      <c r="H14276" s="171" t="s">
        <v>8722</v>
      </c>
      <c r="I14276" t="s">
        <v>1079</v>
      </c>
      <c r="J14276">
        <v>4.66</v>
      </c>
    </row>
    <row r="14277" spans="1:10" hidden="1">
      <c r="A14277" t="s">
        <v>8717</v>
      </c>
      <c r="B14277" t="s">
        <v>8718</v>
      </c>
      <c r="C14277" t="s">
        <v>6839</v>
      </c>
      <c r="D14277" t="s">
        <v>1307</v>
      </c>
      <c r="E14277" t="s">
        <v>559</v>
      </c>
      <c r="F14277" t="s">
        <v>1068</v>
      </c>
      <c r="G14277" t="s">
        <v>1080</v>
      </c>
      <c r="H14277" s="171" t="s">
        <v>8723</v>
      </c>
      <c r="I14277" t="s">
        <v>1082</v>
      </c>
      <c r="J14277">
        <v>4.66</v>
      </c>
    </row>
    <row r="14278" spans="1:10" hidden="1">
      <c r="A14278" t="s">
        <v>8717</v>
      </c>
      <c r="B14278" t="s">
        <v>8718</v>
      </c>
      <c r="C14278" t="s">
        <v>6839</v>
      </c>
      <c r="D14278" t="s">
        <v>1307</v>
      </c>
      <c r="E14278" t="s">
        <v>559</v>
      </c>
      <c r="F14278" t="s">
        <v>1068</v>
      </c>
      <c r="G14278" t="s">
        <v>1083</v>
      </c>
      <c r="H14278" s="171" t="s">
        <v>8724</v>
      </c>
      <c r="I14278" t="s">
        <v>1084</v>
      </c>
      <c r="J14278">
        <v>4.66</v>
      </c>
    </row>
    <row r="14279" spans="1:10" hidden="1">
      <c r="A14279" t="s">
        <v>8717</v>
      </c>
      <c r="B14279" t="s">
        <v>8718</v>
      </c>
      <c r="C14279" t="s">
        <v>6839</v>
      </c>
      <c r="D14279" t="s">
        <v>1307</v>
      </c>
      <c r="E14279" t="s">
        <v>559</v>
      </c>
      <c r="F14279" t="s">
        <v>1068</v>
      </c>
      <c r="G14279" t="s">
        <v>1085</v>
      </c>
      <c r="H14279">
        <v>3.9219565574931397E-4</v>
      </c>
      <c r="I14279" t="s">
        <v>1086</v>
      </c>
      <c r="J14279">
        <v>4.66</v>
      </c>
    </row>
    <row r="14280" spans="1:10" hidden="1">
      <c r="A14280" t="s">
        <v>8717</v>
      </c>
      <c r="B14280" t="s">
        <v>8718</v>
      </c>
      <c r="C14280" t="s">
        <v>6839</v>
      </c>
      <c r="D14280" t="s">
        <v>1307</v>
      </c>
      <c r="E14280" t="s">
        <v>559</v>
      </c>
      <c r="F14280" t="s">
        <v>1068</v>
      </c>
      <c r="G14280" t="s">
        <v>1087</v>
      </c>
      <c r="H14280" s="171" t="s">
        <v>8725</v>
      </c>
      <c r="I14280" t="s">
        <v>1088</v>
      </c>
      <c r="J14280">
        <v>4.66</v>
      </c>
    </row>
    <row r="14281" spans="1:10" hidden="1">
      <c r="A14281" t="s">
        <v>8717</v>
      </c>
      <c r="B14281" t="s">
        <v>8718</v>
      </c>
      <c r="C14281" t="s">
        <v>6839</v>
      </c>
      <c r="D14281" t="s">
        <v>1307</v>
      </c>
      <c r="E14281" t="s">
        <v>559</v>
      </c>
      <c r="F14281" t="s">
        <v>1068</v>
      </c>
      <c r="G14281" t="s">
        <v>1089</v>
      </c>
      <c r="H14281">
        <v>1.14463238418754E-4</v>
      </c>
      <c r="I14281" t="s">
        <v>1090</v>
      </c>
      <c r="J14281">
        <v>4.66</v>
      </c>
    </row>
    <row r="14282" spans="1:10" hidden="1">
      <c r="A14282" t="s">
        <v>8726</v>
      </c>
      <c r="B14282" t="s">
        <v>8727</v>
      </c>
      <c r="C14282" t="s">
        <v>6839</v>
      </c>
      <c r="D14282" t="s">
        <v>1307</v>
      </c>
      <c r="E14282" t="s">
        <v>560</v>
      </c>
      <c r="F14282" t="s">
        <v>1068</v>
      </c>
      <c r="G14282" t="s">
        <v>1069</v>
      </c>
      <c r="H14282">
        <v>4.7670533635839403E-2</v>
      </c>
      <c r="I14282" t="s">
        <v>1070</v>
      </c>
      <c r="J14282">
        <v>4.3899999999999997</v>
      </c>
    </row>
    <row r="14283" spans="1:10" hidden="1">
      <c r="A14283" t="s">
        <v>8726</v>
      </c>
      <c r="B14283" t="s">
        <v>8727</v>
      </c>
      <c r="C14283" t="s">
        <v>6839</v>
      </c>
      <c r="D14283" t="s">
        <v>1307</v>
      </c>
      <c r="E14283" t="s">
        <v>560</v>
      </c>
      <c r="F14283" t="s">
        <v>1068</v>
      </c>
      <c r="G14283" t="s">
        <v>1071</v>
      </c>
      <c r="H14283" s="171" t="s">
        <v>8728</v>
      </c>
      <c r="I14283" t="s">
        <v>1072</v>
      </c>
      <c r="J14283">
        <v>4.3899999999999997</v>
      </c>
    </row>
    <row r="14284" spans="1:10" hidden="1">
      <c r="A14284" t="s">
        <v>8726</v>
      </c>
      <c r="B14284" t="s">
        <v>8727</v>
      </c>
      <c r="C14284" t="s">
        <v>6839</v>
      </c>
      <c r="D14284" t="s">
        <v>1307</v>
      </c>
      <c r="E14284" t="s">
        <v>560</v>
      </c>
      <c r="F14284" t="s">
        <v>1068</v>
      </c>
      <c r="G14284" t="s">
        <v>1073</v>
      </c>
      <c r="H14284" s="171" t="s">
        <v>8729</v>
      </c>
      <c r="I14284" t="s">
        <v>1074</v>
      </c>
      <c r="J14284">
        <v>4.3899999999999997</v>
      </c>
    </row>
    <row r="14285" spans="1:10" hidden="1">
      <c r="A14285" t="s">
        <v>8726</v>
      </c>
      <c r="B14285" t="s">
        <v>8727</v>
      </c>
      <c r="C14285" t="s">
        <v>6839</v>
      </c>
      <c r="D14285" t="s">
        <v>1307</v>
      </c>
      <c r="E14285" t="s">
        <v>560</v>
      </c>
      <c r="F14285" t="s">
        <v>1068</v>
      </c>
      <c r="G14285" t="s">
        <v>1075</v>
      </c>
      <c r="H14285" s="171" t="s">
        <v>8730</v>
      </c>
      <c r="I14285" t="s">
        <v>1077</v>
      </c>
      <c r="J14285">
        <v>4.3899999999999997</v>
      </c>
    </row>
    <row r="14286" spans="1:10" hidden="1">
      <c r="A14286" t="s">
        <v>8726</v>
      </c>
      <c r="B14286" t="s">
        <v>8727</v>
      </c>
      <c r="C14286" t="s">
        <v>6839</v>
      </c>
      <c r="D14286" t="s">
        <v>1307</v>
      </c>
      <c r="E14286" t="s">
        <v>560</v>
      </c>
      <c r="F14286" t="s">
        <v>1068</v>
      </c>
      <c r="G14286" t="s">
        <v>1078</v>
      </c>
      <c r="H14286" s="171" t="s">
        <v>8731</v>
      </c>
      <c r="I14286" t="s">
        <v>1079</v>
      </c>
      <c r="J14286">
        <v>4.3899999999999997</v>
      </c>
    </row>
    <row r="14287" spans="1:10" hidden="1">
      <c r="A14287" t="s">
        <v>8726</v>
      </c>
      <c r="B14287" t="s">
        <v>8727</v>
      </c>
      <c r="C14287" t="s">
        <v>6839</v>
      </c>
      <c r="D14287" t="s">
        <v>1307</v>
      </c>
      <c r="E14287" t="s">
        <v>560</v>
      </c>
      <c r="F14287" t="s">
        <v>1068</v>
      </c>
      <c r="G14287" t="s">
        <v>1080</v>
      </c>
      <c r="H14287" s="171" t="s">
        <v>8732</v>
      </c>
      <c r="I14287" t="s">
        <v>1082</v>
      </c>
      <c r="J14287">
        <v>4.3899999999999997</v>
      </c>
    </row>
    <row r="14288" spans="1:10" hidden="1">
      <c r="A14288" t="s">
        <v>8726</v>
      </c>
      <c r="B14288" t="s">
        <v>8727</v>
      </c>
      <c r="C14288" t="s">
        <v>6839</v>
      </c>
      <c r="D14288" t="s">
        <v>1307</v>
      </c>
      <c r="E14288" t="s">
        <v>560</v>
      </c>
      <c r="F14288" t="s">
        <v>1068</v>
      </c>
      <c r="G14288" t="s">
        <v>1083</v>
      </c>
      <c r="H14288" s="171" t="s">
        <v>8733</v>
      </c>
      <c r="I14288" t="s">
        <v>1084</v>
      </c>
      <c r="J14288">
        <v>4.3899999999999997</v>
      </c>
    </row>
    <row r="14289" spans="1:10" hidden="1">
      <c r="A14289" t="s">
        <v>8726</v>
      </c>
      <c r="B14289" t="s">
        <v>8727</v>
      </c>
      <c r="C14289" t="s">
        <v>6839</v>
      </c>
      <c r="D14289" t="s">
        <v>1307</v>
      </c>
      <c r="E14289" t="s">
        <v>560</v>
      </c>
      <c r="F14289" t="s">
        <v>1068</v>
      </c>
      <c r="G14289" t="s">
        <v>1085</v>
      </c>
      <c r="H14289">
        <v>3.9219537720780999E-4</v>
      </c>
      <c r="I14289" t="s">
        <v>1086</v>
      </c>
      <c r="J14289">
        <v>4.3899999999999997</v>
      </c>
    </row>
    <row r="14290" spans="1:10" hidden="1">
      <c r="A14290" t="s">
        <v>8726</v>
      </c>
      <c r="B14290" t="s">
        <v>8727</v>
      </c>
      <c r="C14290" t="s">
        <v>6839</v>
      </c>
      <c r="D14290" t="s">
        <v>1307</v>
      </c>
      <c r="E14290" t="s">
        <v>560</v>
      </c>
      <c r="F14290" t="s">
        <v>1068</v>
      </c>
      <c r="G14290" t="s">
        <v>1087</v>
      </c>
      <c r="H14290" s="171" t="s">
        <v>8734</v>
      </c>
      <c r="I14290" t="s">
        <v>1088</v>
      </c>
      <c r="J14290">
        <v>4.3899999999999997</v>
      </c>
    </row>
    <row r="14291" spans="1:10" hidden="1">
      <c r="A14291" t="s">
        <v>8726</v>
      </c>
      <c r="B14291" t="s">
        <v>8727</v>
      </c>
      <c r="C14291" t="s">
        <v>6839</v>
      </c>
      <c r="D14291" t="s">
        <v>1307</v>
      </c>
      <c r="E14291" t="s">
        <v>560</v>
      </c>
      <c r="F14291" t="s">
        <v>1068</v>
      </c>
      <c r="G14291" t="s">
        <v>1089</v>
      </c>
      <c r="H14291">
        <v>1.14463180928251E-4</v>
      </c>
      <c r="I14291" t="s">
        <v>1090</v>
      </c>
      <c r="J14291">
        <v>4.3899999999999997</v>
      </c>
    </row>
    <row r="14292" spans="1:10" hidden="1">
      <c r="A14292" t="s">
        <v>8735</v>
      </c>
      <c r="B14292" t="s">
        <v>8736</v>
      </c>
      <c r="C14292" t="s">
        <v>6839</v>
      </c>
      <c r="D14292" t="s">
        <v>1307</v>
      </c>
      <c r="E14292" t="s">
        <v>1116</v>
      </c>
      <c r="F14292" t="s">
        <v>1068</v>
      </c>
      <c r="G14292" t="s">
        <v>1069</v>
      </c>
      <c r="H14292">
        <v>4.7669918278098397E-2</v>
      </c>
      <c r="I14292" t="s">
        <v>1070</v>
      </c>
      <c r="J14292">
        <v>4.43</v>
      </c>
    </row>
    <row r="14293" spans="1:10" hidden="1">
      <c r="A14293" t="s">
        <v>8735</v>
      </c>
      <c r="B14293" t="s">
        <v>8736</v>
      </c>
      <c r="C14293" t="s">
        <v>6839</v>
      </c>
      <c r="D14293" t="s">
        <v>1307</v>
      </c>
      <c r="E14293" t="s">
        <v>1116</v>
      </c>
      <c r="F14293" t="s">
        <v>1068</v>
      </c>
      <c r="G14293" t="s">
        <v>1071</v>
      </c>
      <c r="H14293" s="171" t="s">
        <v>8737</v>
      </c>
      <c r="I14293" t="s">
        <v>1072</v>
      </c>
      <c r="J14293">
        <v>4.43</v>
      </c>
    </row>
    <row r="14294" spans="1:10" hidden="1">
      <c r="A14294" t="s">
        <v>8735</v>
      </c>
      <c r="B14294" t="s">
        <v>8736</v>
      </c>
      <c r="C14294" t="s">
        <v>6839</v>
      </c>
      <c r="D14294" t="s">
        <v>1307</v>
      </c>
      <c r="E14294" t="s">
        <v>1116</v>
      </c>
      <c r="F14294" t="s">
        <v>1068</v>
      </c>
      <c r="G14294" t="s">
        <v>1073</v>
      </c>
      <c r="H14294" s="171" t="s">
        <v>8738</v>
      </c>
      <c r="I14294" t="s">
        <v>1074</v>
      </c>
      <c r="J14294">
        <v>4.43</v>
      </c>
    </row>
    <row r="14295" spans="1:10" hidden="1">
      <c r="A14295" t="s">
        <v>8735</v>
      </c>
      <c r="B14295" t="s">
        <v>8736</v>
      </c>
      <c r="C14295" t="s">
        <v>6839</v>
      </c>
      <c r="D14295" t="s">
        <v>1307</v>
      </c>
      <c r="E14295" t="s">
        <v>1116</v>
      </c>
      <c r="F14295" t="s">
        <v>1068</v>
      </c>
      <c r="G14295" t="s">
        <v>1075</v>
      </c>
      <c r="H14295">
        <v>1.04427319480291E-2</v>
      </c>
      <c r="I14295" t="s">
        <v>1077</v>
      </c>
      <c r="J14295">
        <v>4.43</v>
      </c>
    </row>
    <row r="14296" spans="1:10" hidden="1">
      <c r="A14296" t="s">
        <v>8735</v>
      </c>
      <c r="B14296" t="s">
        <v>8736</v>
      </c>
      <c r="C14296" t="s">
        <v>6839</v>
      </c>
      <c r="D14296" t="s">
        <v>1307</v>
      </c>
      <c r="E14296" t="s">
        <v>1116</v>
      </c>
      <c r="F14296" t="s">
        <v>1068</v>
      </c>
      <c r="G14296" t="s">
        <v>1078</v>
      </c>
      <c r="H14296" s="171" t="s">
        <v>8739</v>
      </c>
      <c r="I14296" t="s">
        <v>1079</v>
      </c>
      <c r="J14296">
        <v>4.43</v>
      </c>
    </row>
    <row r="14297" spans="1:10" hidden="1">
      <c r="A14297" t="s">
        <v>8735</v>
      </c>
      <c r="B14297" t="s">
        <v>8736</v>
      </c>
      <c r="C14297" t="s">
        <v>6839</v>
      </c>
      <c r="D14297" t="s">
        <v>1307</v>
      </c>
      <c r="E14297" t="s">
        <v>1116</v>
      </c>
      <c r="F14297" t="s">
        <v>1068</v>
      </c>
      <c r="G14297" t="s">
        <v>1080</v>
      </c>
      <c r="H14297" s="171" t="s">
        <v>7821</v>
      </c>
      <c r="I14297" t="s">
        <v>1082</v>
      </c>
      <c r="J14297">
        <v>4.43</v>
      </c>
    </row>
    <row r="14298" spans="1:10" hidden="1">
      <c r="A14298" t="s">
        <v>8735</v>
      </c>
      <c r="B14298" t="s">
        <v>8736</v>
      </c>
      <c r="C14298" t="s">
        <v>6839</v>
      </c>
      <c r="D14298" t="s">
        <v>1307</v>
      </c>
      <c r="E14298" t="s">
        <v>1116</v>
      </c>
      <c r="F14298" t="s">
        <v>1068</v>
      </c>
      <c r="G14298" t="s">
        <v>1083</v>
      </c>
      <c r="H14298" s="171" t="s">
        <v>8740</v>
      </c>
      <c r="I14298" t="s">
        <v>1084</v>
      </c>
      <c r="J14298">
        <v>4.43</v>
      </c>
    </row>
    <row r="14299" spans="1:10" hidden="1">
      <c r="A14299" t="s">
        <v>8735</v>
      </c>
      <c r="B14299" t="s">
        <v>8736</v>
      </c>
      <c r="C14299" t="s">
        <v>6839</v>
      </c>
      <c r="D14299" t="s">
        <v>1307</v>
      </c>
      <c r="E14299" t="s">
        <v>1116</v>
      </c>
      <c r="F14299" t="s">
        <v>1068</v>
      </c>
      <c r="G14299" t="s">
        <v>1085</v>
      </c>
      <c r="H14299">
        <v>3.9219432007501999E-4</v>
      </c>
      <c r="I14299" t="s">
        <v>1086</v>
      </c>
      <c r="J14299">
        <v>4.43</v>
      </c>
    </row>
    <row r="14300" spans="1:10" hidden="1">
      <c r="A14300" t="s">
        <v>8735</v>
      </c>
      <c r="B14300" t="s">
        <v>8736</v>
      </c>
      <c r="C14300" t="s">
        <v>6839</v>
      </c>
      <c r="D14300" t="s">
        <v>1307</v>
      </c>
      <c r="E14300" t="s">
        <v>1116</v>
      </c>
      <c r="F14300" t="s">
        <v>1068</v>
      </c>
      <c r="G14300" t="s">
        <v>1087</v>
      </c>
      <c r="H14300" s="171" t="s">
        <v>7823</v>
      </c>
      <c r="I14300" t="s">
        <v>1088</v>
      </c>
      <c r="J14300">
        <v>4.43</v>
      </c>
    </row>
    <row r="14301" spans="1:10" hidden="1">
      <c r="A14301" t="s">
        <v>8735</v>
      </c>
      <c r="B14301" t="s">
        <v>8736</v>
      </c>
      <c r="C14301" t="s">
        <v>6839</v>
      </c>
      <c r="D14301" t="s">
        <v>1307</v>
      </c>
      <c r="E14301" t="s">
        <v>1116</v>
      </c>
      <c r="F14301" t="s">
        <v>1068</v>
      </c>
      <c r="G14301" t="s">
        <v>1089</v>
      </c>
      <c r="H14301">
        <v>1.14462962843844E-4</v>
      </c>
      <c r="I14301" t="s">
        <v>1090</v>
      </c>
      <c r="J14301">
        <v>4.43</v>
      </c>
    </row>
    <row r="14302" spans="1:10" hidden="1">
      <c r="A14302" t="s">
        <v>8741</v>
      </c>
      <c r="B14302" t="s">
        <v>8742</v>
      </c>
      <c r="C14302" t="s">
        <v>6839</v>
      </c>
      <c r="D14302" t="s">
        <v>3489</v>
      </c>
      <c r="E14302" t="s">
        <v>561</v>
      </c>
      <c r="F14302" t="s">
        <v>1068</v>
      </c>
      <c r="G14302" t="s">
        <v>1069</v>
      </c>
      <c r="H14302">
        <v>5.0657352124537799E-2</v>
      </c>
      <c r="I14302" t="s">
        <v>1070</v>
      </c>
      <c r="J14302">
        <v>4.63</v>
      </c>
    </row>
    <row r="14303" spans="1:10" hidden="1">
      <c r="A14303" t="s">
        <v>8741</v>
      </c>
      <c r="B14303" t="s">
        <v>8742</v>
      </c>
      <c r="C14303" t="s">
        <v>6839</v>
      </c>
      <c r="D14303" t="s">
        <v>3489</v>
      </c>
      <c r="E14303" t="s">
        <v>561</v>
      </c>
      <c r="F14303" t="s">
        <v>1068</v>
      </c>
      <c r="G14303" t="s">
        <v>1071</v>
      </c>
      <c r="H14303" s="171" t="s">
        <v>8743</v>
      </c>
      <c r="I14303" t="s">
        <v>1072</v>
      </c>
      <c r="J14303">
        <v>4.63</v>
      </c>
    </row>
    <row r="14304" spans="1:10" hidden="1">
      <c r="A14304" t="s">
        <v>8741</v>
      </c>
      <c r="B14304" t="s">
        <v>8742</v>
      </c>
      <c r="C14304" t="s">
        <v>6839</v>
      </c>
      <c r="D14304" t="s">
        <v>3489</v>
      </c>
      <c r="E14304" t="s">
        <v>561</v>
      </c>
      <c r="F14304" t="s">
        <v>1068</v>
      </c>
      <c r="G14304" t="s">
        <v>1073</v>
      </c>
      <c r="H14304" s="171" t="s">
        <v>8744</v>
      </c>
      <c r="I14304" t="s">
        <v>1074</v>
      </c>
      <c r="J14304">
        <v>4.63</v>
      </c>
    </row>
    <row r="14305" spans="1:10" hidden="1">
      <c r="A14305" t="s">
        <v>8741</v>
      </c>
      <c r="B14305" t="s">
        <v>8742</v>
      </c>
      <c r="C14305" t="s">
        <v>6839</v>
      </c>
      <c r="D14305" t="s">
        <v>3489</v>
      </c>
      <c r="E14305" t="s">
        <v>561</v>
      </c>
      <c r="F14305" t="s">
        <v>1068</v>
      </c>
      <c r="G14305" t="s">
        <v>1075</v>
      </c>
      <c r="H14305" s="171" t="s">
        <v>8745</v>
      </c>
      <c r="I14305" t="s">
        <v>1077</v>
      </c>
      <c r="J14305">
        <v>4.63</v>
      </c>
    </row>
    <row r="14306" spans="1:10" hidden="1">
      <c r="A14306" t="s">
        <v>8741</v>
      </c>
      <c r="B14306" t="s">
        <v>8742</v>
      </c>
      <c r="C14306" t="s">
        <v>6839</v>
      </c>
      <c r="D14306" t="s">
        <v>3489</v>
      </c>
      <c r="E14306" t="s">
        <v>561</v>
      </c>
      <c r="F14306" t="s">
        <v>1068</v>
      </c>
      <c r="G14306" t="s">
        <v>1078</v>
      </c>
      <c r="H14306" s="171" t="s">
        <v>8746</v>
      </c>
      <c r="I14306" t="s">
        <v>1079</v>
      </c>
      <c r="J14306">
        <v>4.63</v>
      </c>
    </row>
    <row r="14307" spans="1:10" hidden="1">
      <c r="A14307" t="s">
        <v>8741</v>
      </c>
      <c r="B14307" t="s">
        <v>8742</v>
      </c>
      <c r="C14307" t="s">
        <v>6839</v>
      </c>
      <c r="D14307" t="s">
        <v>3489</v>
      </c>
      <c r="E14307" t="s">
        <v>561</v>
      </c>
      <c r="F14307" t="s">
        <v>1068</v>
      </c>
      <c r="G14307" t="s">
        <v>1080</v>
      </c>
      <c r="H14307" s="171" t="s">
        <v>8747</v>
      </c>
      <c r="I14307" t="s">
        <v>1082</v>
      </c>
      <c r="J14307">
        <v>4.63</v>
      </c>
    </row>
    <row r="14308" spans="1:10" hidden="1">
      <c r="A14308" t="s">
        <v>8741</v>
      </c>
      <c r="B14308" t="s">
        <v>8742</v>
      </c>
      <c r="C14308" t="s">
        <v>6839</v>
      </c>
      <c r="D14308" t="s">
        <v>3489</v>
      </c>
      <c r="E14308" t="s">
        <v>561</v>
      </c>
      <c r="F14308" t="s">
        <v>1068</v>
      </c>
      <c r="G14308" t="s">
        <v>1083</v>
      </c>
      <c r="H14308" s="171" t="s">
        <v>8748</v>
      </c>
      <c r="I14308" t="s">
        <v>1084</v>
      </c>
      <c r="J14308">
        <v>4.63</v>
      </c>
    </row>
    <row r="14309" spans="1:10" hidden="1">
      <c r="A14309" t="s">
        <v>8741</v>
      </c>
      <c r="B14309" t="s">
        <v>8742</v>
      </c>
      <c r="C14309" t="s">
        <v>6839</v>
      </c>
      <c r="D14309" t="s">
        <v>3489</v>
      </c>
      <c r="E14309" t="s">
        <v>561</v>
      </c>
      <c r="F14309" t="s">
        <v>1068</v>
      </c>
      <c r="G14309" t="s">
        <v>1085</v>
      </c>
      <c r="H14309">
        <v>6.3778822540156398E-4</v>
      </c>
      <c r="I14309" t="s">
        <v>1086</v>
      </c>
      <c r="J14309">
        <v>4.63</v>
      </c>
    </row>
    <row r="14310" spans="1:10" hidden="1">
      <c r="A14310" t="s">
        <v>8741</v>
      </c>
      <c r="B14310" t="s">
        <v>8742</v>
      </c>
      <c r="C14310" t="s">
        <v>6839</v>
      </c>
      <c r="D14310" t="s">
        <v>3489</v>
      </c>
      <c r="E14310" t="s">
        <v>561</v>
      </c>
      <c r="F14310" t="s">
        <v>1068</v>
      </c>
      <c r="G14310" t="s">
        <v>1087</v>
      </c>
      <c r="H14310" s="171" t="s">
        <v>8749</v>
      </c>
      <c r="I14310" t="s">
        <v>1088</v>
      </c>
      <c r="J14310">
        <v>4.63</v>
      </c>
    </row>
    <row r="14311" spans="1:10" hidden="1">
      <c r="A14311" t="s">
        <v>8741</v>
      </c>
      <c r="B14311" t="s">
        <v>8742</v>
      </c>
      <c r="C14311" t="s">
        <v>6839</v>
      </c>
      <c r="D14311" t="s">
        <v>3489</v>
      </c>
      <c r="E14311" t="s">
        <v>561</v>
      </c>
      <c r="F14311" t="s">
        <v>1068</v>
      </c>
      <c r="G14311" t="s">
        <v>1089</v>
      </c>
      <c r="H14311">
        <v>1.9332663328873399E-4</v>
      </c>
      <c r="I14311" t="s">
        <v>1090</v>
      </c>
      <c r="J14311">
        <v>4.63</v>
      </c>
    </row>
    <row r="14312" spans="1:10" hidden="1">
      <c r="A14312" t="s">
        <v>8750</v>
      </c>
      <c r="B14312" t="s">
        <v>8751</v>
      </c>
      <c r="C14312" t="s">
        <v>6839</v>
      </c>
      <c r="D14312" t="s">
        <v>3489</v>
      </c>
      <c r="E14312" t="s">
        <v>555</v>
      </c>
      <c r="F14312" t="s">
        <v>1068</v>
      </c>
      <c r="G14312" t="s">
        <v>1069</v>
      </c>
      <c r="H14312">
        <v>5.0659889246283299E-2</v>
      </c>
      <c r="I14312" t="s">
        <v>1070</v>
      </c>
      <c r="J14312">
        <v>4.42</v>
      </c>
    </row>
    <row r="14313" spans="1:10" hidden="1">
      <c r="A14313" t="s">
        <v>8750</v>
      </c>
      <c r="B14313" t="s">
        <v>8751</v>
      </c>
      <c r="C14313" t="s">
        <v>6839</v>
      </c>
      <c r="D14313" t="s">
        <v>3489</v>
      </c>
      <c r="E14313" t="s">
        <v>555</v>
      </c>
      <c r="F14313" t="s">
        <v>1068</v>
      </c>
      <c r="G14313" t="s">
        <v>1071</v>
      </c>
      <c r="H14313" s="171" t="s">
        <v>8752</v>
      </c>
      <c r="I14313" t="s">
        <v>1072</v>
      </c>
      <c r="J14313">
        <v>4.42</v>
      </c>
    </row>
    <row r="14314" spans="1:10" hidden="1">
      <c r="A14314" t="s">
        <v>8750</v>
      </c>
      <c r="B14314" t="s">
        <v>8751</v>
      </c>
      <c r="C14314" t="s">
        <v>6839</v>
      </c>
      <c r="D14314" t="s">
        <v>3489</v>
      </c>
      <c r="E14314" t="s">
        <v>555</v>
      </c>
      <c r="F14314" t="s">
        <v>1068</v>
      </c>
      <c r="G14314" t="s">
        <v>1073</v>
      </c>
      <c r="H14314" s="171" t="s">
        <v>8753</v>
      </c>
      <c r="I14314" t="s">
        <v>1074</v>
      </c>
      <c r="J14314">
        <v>4.42</v>
      </c>
    </row>
    <row r="14315" spans="1:10" hidden="1">
      <c r="A14315" t="s">
        <v>8750</v>
      </c>
      <c r="B14315" t="s">
        <v>8751</v>
      </c>
      <c r="C14315" t="s">
        <v>6839</v>
      </c>
      <c r="D14315" t="s">
        <v>3489</v>
      </c>
      <c r="E14315" t="s">
        <v>555</v>
      </c>
      <c r="F14315" t="s">
        <v>1068</v>
      </c>
      <c r="G14315" t="s">
        <v>1075</v>
      </c>
      <c r="H14315">
        <v>1.7564896068239601E-2</v>
      </c>
      <c r="I14315" t="s">
        <v>1077</v>
      </c>
      <c r="J14315">
        <v>4.42</v>
      </c>
    </row>
    <row r="14316" spans="1:10" hidden="1">
      <c r="A14316" t="s">
        <v>8750</v>
      </c>
      <c r="B14316" t="s">
        <v>8751</v>
      </c>
      <c r="C14316" t="s">
        <v>6839</v>
      </c>
      <c r="D14316" t="s">
        <v>3489</v>
      </c>
      <c r="E14316" t="s">
        <v>555</v>
      </c>
      <c r="F14316" t="s">
        <v>1068</v>
      </c>
      <c r="G14316" t="s">
        <v>1078</v>
      </c>
      <c r="H14316" s="171" t="s">
        <v>8754</v>
      </c>
      <c r="I14316" t="s">
        <v>1079</v>
      </c>
      <c r="J14316">
        <v>4.42</v>
      </c>
    </row>
    <row r="14317" spans="1:10" hidden="1">
      <c r="A14317" t="s">
        <v>8750</v>
      </c>
      <c r="B14317" t="s">
        <v>8751</v>
      </c>
      <c r="C14317" t="s">
        <v>6839</v>
      </c>
      <c r="D14317" t="s">
        <v>3489</v>
      </c>
      <c r="E14317" t="s">
        <v>555</v>
      </c>
      <c r="F14317" t="s">
        <v>1068</v>
      </c>
      <c r="G14317" t="s">
        <v>1080</v>
      </c>
      <c r="H14317" s="171" t="s">
        <v>8755</v>
      </c>
      <c r="I14317" t="s">
        <v>1082</v>
      </c>
      <c r="J14317">
        <v>4.42</v>
      </c>
    </row>
    <row r="14318" spans="1:10" hidden="1">
      <c r="A14318" t="s">
        <v>8750</v>
      </c>
      <c r="B14318" t="s">
        <v>8751</v>
      </c>
      <c r="C14318" t="s">
        <v>6839</v>
      </c>
      <c r="D14318" t="s">
        <v>3489</v>
      </c>
      <c r="E14318" t="s">
        <v>555</v>
      </c>
      <c r="F14318" t="s">
        <v>1068</v>
      </c>
      <c r="G14318" t="s">
        <v>1083</v>
      </c>
      <c r="H14318" s="171" t="s">
        <v>8756</v>
      </c>
      <c r="I14318" t="s">
        <v>1084</v>
      </c>
      <c r="J14318">
        <v>4.42</v>
      </c>
    </row>
    <row r="14319" spans="1:10" hidden="1">
      <c r="A14319" t="s">
        <v>8750</v>
      </c>
      <c r="B14319" t="s">
        <v>8751</v>
      </c>
      <c r="C14319" t="s">
        <v>6839</v>
      </c>
      <c r="D14319" t="s">
        <v>3489</v>
      </c>
      <c r="E14319" t="s">
        <v>555</v>
      </c>
      <c r="F14319" t="s">
        <v>1068</v>
      </c>
      <c r="G14319" t="s">
        <v>1085</v>
      </c>
      <c r="H14319">
        <v>6.3779120101174205E-4</v>
      </c>
      <c r="I14319" t="s">
        <v>1086</v>
      </c>
      <c r="J14319">
        <v>4.42</v>
      </c>
    </row>
    <row r="14320" spans="1:10" hidden="1">
      <c r="A14320" t="s">
        <v>8750</v>
      </c>
      <c r="B14320" t="s">
        <v>8751</v>
      </c>
      <c r="C14320" t="s">
        <v>6839</v>
      </c>
      <c r="D14320" t="s">
        <v>3489</v>
      </c>
      <c r="E14320" t="s">
        <v>555</v>
      </c>
      <c r="F14320" t="s">
        <v>1068</v>
      </c>
      <c r="G14320" t="s">
        <v>1087</v>
      </c>
      <c r="H14320" s="171" t="s">
        <v>8757</v>
      </c>
      <c r="I14320" t="s">
        <v>1088</v>
      </c>
      <c r="J14320">
        <v>4.42</v>
      </c>
    </row>
    <row r="14321" spans="1:10" hidden="1">
      <c r="A14321" t="s">
        <v>8750</v>
      </c>
      <c r="B14321" t="s">
        <v>8751</v>
      </c>
      <c r="C14321" t="s">
        <v>6839</v>
      </c>
      <c r="D14321" t="s">
        <v>3489</v>
      </c>
      <c r="E14321" t="s">
        <v>555</v>
      </c>
      <c r="F14321" t="s">
        <v>1068</v>
      </c>
      <c r="G14321" t="s">
        <v>1089</v>
      </c>
      <c r="H14321">
        <v>1.93327247194957E-4</v>
      </c>
      <c r="I14321" t="s">
        <v>1090</v>
      </c>
      <c r="J14321">
        <v>4.42</v>
      </c>
    </row>
    <row r="14322" spans="1:10" hidden="1">
      <c r="A14322" t="s">
        <v>8758</v>
      </c>
      <c r="B14322" t="s">
        <v>8759</v>
      </c>
      <c r="C14322" t="s">
        <v>6839</v>
      </c>
      <c r="D14322" t="s">
        <v>3489</v>
      </c>
      <c r="E14322" t="s">
        <v>558</v>
      </c>
      <c r="F14322" t="s">
        <v>1068</v>
      </c>
      <c r="G14322" t="s">
        <v>1069</v>
      </c>
      <c r="H14322">
        <v>5.0657207135532699E-2</v>
      </c>
      <c r="I14322" t="s">
        <v>1070</v>
      </c>
      <c r="J14322">
        <v>4.46</v>
      </c>
    </row>
    <row r="14323" spans="1:10" hidden="1">
      <c r="A14323" t="s">
        <v>8758</v>
      </c>
      <c r="B14323" t="s">
        <v>8759</v>
      </c>
      <c r="C14323" t="s">
        <v>6839</v>
      </c>
      <c r="D14323" t="s">
        <v>3489</v>
      </c>
      <c r="E14323" t="s">
        <v>558</v>
      </c>
      <c r="F14323" t="s">
        <v>1068</v>
      </c>
      <c r="G14323" t="s">
        <v>1071</v>
      </c>
      <c r="H14323" s="171" t="s">
        <v>8760</v>
      </c>
      <c r="I14323" t="s">
        <v>1072</v>
      </c>
      <c r="J14323">
        <v>4.46</v>
      </c>
    </row>
    <row r="14324" spans="1:10" hidden="1">
      <c r="A14324" t="s">
        <v>8758</v>
      </c>
      <c r="B14324" t="s">
        <v>8759</v>
      </c>
      <c r="C14324" t="s">
        <v>6839</v>
      </c>
      <c r="D14324" t="s">
        <v>3489</v>
      </c>
      <c r="E14324" t="s">
        <v>558</v>
      </c>
      <c r="F14324" t="s">
        <v>1068</v>
      </c>
      <c r="G14324" t="s">
        <v>1073</v>
      </c>
      <c r="H14324" s="171" t="s">
        <v>8761</v>
      </c>
      <c r="I14324" t="s">
        <v>1074</v>
      </c>
      <c r="J14324">
        <v>4.46</v>
      </c>
    </row>
    <row r="14325" spans="1:10" hidden="1">
      <c r="A14325" t="s">
        <v>8758</v>
      </c>
      <c r="B14325" t="s">
        <v>8759</v>
      </c>
      <c r="C14325" t="s">
        <v>6839</v>
      </c>
      <c r="D14325" t="s">
        <v>3489</v>
      </c>
      <c r="E14325" t="s">
        <v>558</v>
      </c>
      <c r="F14325" t="s">
        <v>1068</v>
      </c>
      <c r="G14325" t="s">
        <v>1075</v>
      </c>
      <c r="H14325" s="171" t="s">
        <v>8762</v>
      </c>
      <c r="I14325" t="s">
        <v>1077</v>
      </c>
      <c r="J14325">
        <v>4.46</v>
      </c>
    </row>
    <row r="14326" spans="1:10" hidden="1">
      <c r="A14326" t="s">
        <v>8758</v>
      </c>
      <c r="B14326" t="s">
        <v>8759</v>
      </c>
      <c r="C14326" t="s">
        <v>6839</v>
      </c>
      <c r="D14326" t="s">
        <v>3489</v>
      </c>
      <c r="E14326" t="s">
        <v>558</v>
      </c>
      <c r="F14326" t="s">
        <v>1068</v>
      </c>
      <c r="G14326" t="s">
        <v>1078</v>
      </c>
      <c r="H14326" s="171" t="s">
        <v>8763</v>
      </c>
      <c r="I14326" t="s">
        <v>1079</v>
      </c>
      <c r="J14326">
        <v>4.46</v>
      </c>
    </row>
    <row r="14327" spans="1:10" hidden="1">
      <c r="A14327" t="s">
        <v>8758</v>
      </c>
      <c r="B14327" t="s">
        <v>8759</v>
      </c>
      <c r="C14327" t="s">
        <v>6839</v>
      </c>
      <c r="D14327" t="s">
        <v>3489</v>
      </c>
      <c r="E14327" t="s">
        <v>558</v>
      </c>
      <c r="F14327" t="s">
        <v>1068</v>
      </c>
      <c r="G14327" t="s">
        <v>1080</v>
      </c>
      <c r="H14327" s="171" t="s">
        <v>8764</v>
      </c>
      <c r="I14327" t="s">
        <v>1082</v>
      </c>
      <c r="J14327">
        <v>4.46</v>
      </c>
    </row>
    <row r="14328" spans="1:10" hidden="1">
      <c r="A14328" t="s">
        <v>8758</v>
      </c>
      <c r="B14328" t="s">
        <v>8759</v>
      </c>
      <c r="C14328" t="s">
        <v>6839</v>
      </c>
      <c r="D14328" t="s">
        <v>3489</v>
      </c>
      <c r="E14328" t="s">
        <v>558</v>
      </c>
      <c r="F14328" t="s">
        <v>1068</v>
      </c>
      <c r="G14328" t="s">
        <v>1083</v>
      </c>
      <c r="H14328" s="171" t="s">
        <v>8765</v>
      </c>
      <c r="I14328" t="s">
        <v>1084</v>
      </c>
      <c r="J14328">
        <v>4.46</v>
      </c>
    </row>
    <row r="14329" spans="1:10" hidden="1">
      <c r="A14329" t="s">
        <v>8758</v>
      </c>
      <c r="B14329" t="s">
        <v>8759</v>
      </c>
      <c r="C14329" t="s">
        <v>6839</v>
      </c>
      <c r="D14329" t="s">
        <v>3489</v>
      </c>
      <c r="E14329" t="s">
        <v>558</v>
      </c>
      <c r="F14329" t="s">
        <v>1068</v>
      </c>
      <c r="G14329" t="s">
        <v>1085</v>
      </c>
      <c r="H14329">
        <v>6.3778797632266097E-4</v>
      </c>
      <c r="I14329" t="s">
        <v>1086</v>
      </c>
      <c r="J14329">
        <v>4.46</v>
      </c>
    </row>
    <row r="14330" spans="1:10" hidden="1">
      <c r="A14330" t="s">
        <v>8758</v>
      </c>
      <c r="B14330" t="s">
        <v>8759</v>
      </c>
      <c r="C14330" t="s">
        <v>6839</v>
      </c>
      <c r="D14330" t="s">
        <v>3489</v>
      </c>
      <c r="E14330" t="s">
        <v>558</v>
      </c>
      <c r="F14330" t="s">
        <v>1068</v>
      </c>
      <c r="G14330" t="s">
        <v>1087</v>
      </c>
      <c r="H14330" s="171" t="s">
        <v>8766</v>
      </c>
      <c r="I14330" t="s">
        <v>1088</v>
      </c>
      <c r="J14330">
        <v>4.46</v>
      </c>
    </row>
    <row r="14331" spans="1:10" hidden="1">
      <c r="A14331" t="s">
        <v>8758</v>
      </c>
      <c r="B14331" t="s">
        <v>8759</v>
      </c>
      <c r="C14331" t="s">
        <v>6839</v>
      </c>
      <c r="D14331" t="s">
        <v>3489</v>
      </c>
      <c r="E14331" t="s">
        <v>558</v>
      </c>
      <c r="F14331" t="s">
        <v>1068</v>
      </c>
      <c r="G14331" t="s">
        <v>1089</v>
      </c>
      <c r="H14331">
        <v>1.93326581904248E-4</v>
      </c>
      <c r="I14331" t="s">
        <v>1090</v>
      </c>
      <c r="J14331">
        <v>4.46</v>
      </c>
    </row>
    <row r="14332" spans="1:10" hidden="1">
      <c r="A14332" t="s">
        <v>8767</v>
      </c>
      <c r="B14332" t="s">
        <v>8768</v>
      </c>
      <c r="C14332" t="s">
        <v>6839</v>
      </c>
      <c r="D14332" t="s">
        <v>3489</v>
      </c>
      <c r="E14332" t="s">
        <v>553</v>
      </c>
      <c r="F14332" t="s">
        <v>1068</v>
      </c>
      <c r="G14332" t="s">
        <v>1069</v>
      </c>
      <c r="H14332" s="171" t="s">
        <v>8769</v>
      </c>
      <c r="I14332" t="s">
        <v>1070</v>
      </c>
      <c r="J14332">
        <v>4.5</v>
      </c>
    </row>
    <row r="14333" spans="1:10" hidden="1">
      <c r="A14333" t="s">
        <v>8767</v>
      </c>
      <c r="B14333" t="s">
        <v>8768</v>
      </c>
      <c r="C14333" t="s">
        <v>6839</v>
      </c>
      <c r="D14333" t="s">
        <v>3489</v>
      </c>
      <c r="E14333" t="s">
        <v>553</v>
      </c>
      <c r="F14333" t="s">
        <v>1068</v>
      </c>
      <c r="G14333" t="s">
        <v>1071</v>
      </c>
      <c r="H14333" s="171" t="s">
        <v>8770</v>
      </c>
      <c r="I14333" t="s">
        <v>1072</v>
      </c>
      <c r="J14333">
        <v>4.5</v>
      </c>
    </row>
    <row r="14334" spans="1:10" hidden="1">
      <c r="A14334" t="s">
        <v>8767</v>
      </c>
      <c r="B14334" t="s">
        <v>8768</v>
      </c>
      <c r="C14334" t="s">
        <v>6839</v>
      </c>
      <c r="D14334" t="s">
        <v>3489</v>
      </c>
      <c r="E14334" t="s">
        <v>553</v>
      </c>
      <c r="F14334" t="s">
        <v>1068</v>
      </c>
      <c r="G14334" t="s">
        <v>1073</v>
      </c>
      <c r="H14334" s="171" t="s">
        <v>8771</v>
      </c>
      <c r="I14334" t="s">
        <v>1074</v>
      </c>
      <c r="J14334">
        <v>4.5</v>
      </c>
    </row>
    <row r="14335" spans="1:10" hidden="1">
      <c r="A14335" t="s">
        <v>8767</v>
      </c>
      <c r="B14335" t="s">
        <v>8768</v>
      </c>
      <c r="C14335" t="s">
        <v>6839</v>
      </c>
      <c r="D14335" t="s">
        <v>3489</v>
      </c>
      <c r="E14335" t="s">
        <v>553</v>
      </c>
      <c r="F14335" t="s">
        <v>1068</v>
      </c>
      <c r="G14335" t="s">
        <v>1075</v>
      </c>
      <c r="H14335">
        <v>1.7564834863456599E-2</v>
      </c>
      <c r="I14335" t="s">
        <v>1077</v>
      </c>
      <c r="J14335">
        <v>4.5</v>
      </c>
    </row>
    <row r="14336" spans="1:10" hidden="1">
      <c r="A14336" t="s">
        <v>8767</v>
      </c>
      <c r="B14336" t="s">
        <v>8768</v>
      </c>
      <c r="C14336" t="s">
        <v>6839</v>
      </c>
      <c r="D14336" t="s">
        <v>3489</v>
      </c>
      <c r="E14336" t="s">
        <v>553</v>
      </c>
      <c r="F14336" t="s">
        <v>1068</v>
      </c>
      <c r="G14336" t="s">
        <v>1078</v>
      </c>
      <c r="H14336" s="171" t="s">
        <v>8772</v>
      </c>
      <c r="I14336" t="s">
        <v>1079</v>
      </c>
      <c r="J14336">
        <v>4.5</v>
      </c>
    </row>
    <row r="14337" spans="1:10" hidden="1">
      <c r="A14337" t="s">
        <v>8767</v>
      </c>
      <c r="B14337" t="s">
        <v>8768</v>
      </c>
      <c r="C14337" t="s">
        <v>6839</v>
      </c>
      <c r="D14337" t="s">
        <v>3489</v>
      </c>
      <c r="E14337" t="s">
        <v>553</v>
      </c>
      <c r="F14337" t="s">
        <v>1068</v>
      </c>
      <c r="G14337" t="s">
        <v>1080</v>
      </c>
      <c r="H14337" s="171" t="s">
        <v>8773</v>
      </c>
      <c r="I14337" t="s">
        <v>1082</v>
      </c>
      <c r="J14337">
        <v>4.5</v>
      </c>
    </row>
    <row r="14338" spans="1:10" hidden="1">
      <c r="A14338" t="s">
        <v>8767</v>
      </c>
      <c r="B14338" t="s">
        <v>8768</v>
      </c>
      <c r="C14338" t="s">
        <v>6839</v>
      </c>
      <c r="D14338" t="s">
        <v>3489</v>
      </c>
      <c r="E14338" t="s">
        <v>553</v>
      </c>
      <c r="F14338" t="s">
        <v>1068</v>
      </c>
      <c r="G14338" t="s">
        <v>1083</v>
      </c>
      <c r="H14338" s="171" t="s">
        <v>8774</v>
      </c>
      <c r="I14338" t="s">
        <v>1084</v>
      </c>
      <c r="J14338">
        <v>4.5</v>
      </c>
    </row>
    <row r="14339" spans="1:10" hidden="1">
      <c r="A14339" t="s">
        <v>8767</v>
      </c>
      <c r="B14339" t="s">
        <v>8768</v>
      </c>
      <c r="C14339" t="s">
        <v>6839</v>
      </c>
      <c r="D14339" t="s">
        <v>3489</v>
      </c>
      <c r="E14339" t="s">
        <v>553</v>
      </c>
      <c r="F14339" t="s">
        <v>1068</v>
      </c>
      <c r="G14339" t="s">
        <v>1085</v>
      </c>
      <c r="H14339">
        <v>6.3778787481397604E-4</v>
      </c>
      <c r="I14339" t="s">
        <v>1086</v>
      </c>
      <c r="J14339">
        <v>4.5</v>
      </c>
    </row>
    <row r="14340" spans="1:10" hidden="1">
      <c r="A14340" t="s">
        <v>8767</v>
      </c>
      <c r="B14340" t="s">
        <v>8768</v>
      </c>
      <c r="C14340" t="s">
        <v>6839</v>
      </c>
      <c r="D14340" t="s">
        <v>3489</v>
      </c>
      <c r="E14340" t="s">
        <v>553</v>
      </c>
      <c r="F14340" t="s">
        <v>1068</v>
      </c>
      <c r="G14340" t="s">
        <v>1087</v>
      </c>
      <c r="H14340" s="171" t="s">
        <v>8775</v>
      </c>
      <c r="I14340" t="s">
        <v>1088</v>
      </c>
      <c r="J14340">
        <v>4.5</v>
      </c>
    </row>
    <row r="14341" spans="1:10" hidden="1">
      <c r="A14341" t="s">
        <v>8767</v>
      </c>
      <c r="B14341" t="s">
        <v>8768</v>
      </c>
      <c r="C14341" t="s">
        <v>6839</v>
      </c>
      <c r="D14341" t="s">
        <v>3489</v>
      </c>
      <c r="E14341" t="s">
        <v>553</v>
      </c>
      <c r="F14341" t="s">
        <v>1068</v>
      </c>
      <c r="G14341" t="s">
        <v>1089</v>
      </c>
      <c r="H14341">
        <v>1.9332656100692601E-4</v>
      </c>
      <c r="I14341" t="s">
        <v>1090</v>
      </c>
      <c r="J14341">
        <v>4.5</v>
      </c>
    </row>
    <row r="14342" spans="1:10" hidden="1">
      <c r="A14342" t="s">
        <v>8776</v>
      </c>
      <c r="B14342" t="s">
        <v>8777</v>
      </c>
      <c r="C14342" t="s">
        <v>6839</v>
      </c>
      <c r="D14342" t="s">
        <v>3489</v>
      </c>
      <c r="E14342" t="s">
        <v>556</v>
      </c>
      <c r="F14342" t="s">
        <v>1068</v>
      </c>
      <c r="G14342" t="s">
        <v>1069</v>
      </c>
      <c r="H14342" s="171" t="s">
        <v>8778</v>
      </c>
      <c r="I14342" t="s">
        <v>1070</v>
      </c>
      <c r="J14342">
        <v>4.51</v>
      </c>
    </row>
    <row r="14343" spans="1:10" hidden="1">
      <c r="A14343" t="s">
        <v>8776</v>
      </c>
      <c r="B14343" t="s">
        <v>8777</v>
      </c>
      <c r="C14343" t="s">
        <v>6839</v>
      </c>
      <c r="D14343" t="s">
        <v>3489</v>
      </c>
      <c r="E14343" t="s">
        <v>556</v>
      </c>
      <c r="F14343" t="s">
        <v>1068</v>
      </c>
      <c r="G14343" t="s">
        <v>1071</v>
      </c>
      <c r="H14343" s="171" t="s">
        <v>8779</v>
      </c>
      <c r="I14343" t="s">
        <v>1072</v>
      </c>
      <c r="J14343">
        <v>4.51</v>
      </c>
    </row>
    <row r="14344" spans="1:10" hidden="1">
      <c r="A14344" t="s">
        <v>8776</v>
      </c>
      <c r="B14344" t="s">
        <v>8777</v>
      </c>
      <c r="C14344" t="s">
        <v>6839</v>
      </c>
      <c r="D14344" t="s">
        <v>3489</v>
      </c>
      <c r="E14344" t="s">
        <v>556</v>
      </c>
      <c r="F14344" t="s">
        <v>1068</v>
      </c>
      <c r="G14344" t="s">
        <v>1073</v>
      </c>
      <c r="H14344" s="171" t="s">
        <v>8780</v>
      </c>
      <c r="I14344" t="s">
        <v>1074</v>
      </c>
      <c r="J14344">
        <v>4.51</v>
      </c>
    </row>
    <row r="14345" spans="1:10" hidden="1">
      <c r="A14345" t="s">
        <v>8776</v>
      </c>
      <c r="B14345" t="s">
        <v>8777</v>
      </c>
      <c r="C14345" t="s">
        <v>6839</v>
      </c>
      <c r="D14345" t="s">
        <v>3489</v>
      </c>
      <c r="E14345" t="s">
        <v>556</v>
      </c>
      <c r="F14345" t="s">
        <v>1068</v>
      </c>
      <c r="G14345" t="s">
        <v>1075</v>
      </c>
      <c r="H14345">
        <v>1.7564890315464699E-2</v>
      </c>
      <c r="I14345" t="s">
        <v>1077</v>
      </c>
      <c r="J14345">
        <v>4.51</v>
      </c>
    </row>
    <row r="14346" spans="1:10" hidden="1">
      <c r="A14346" t="s">
        <v>8776</v>
      </c>
      <c r="B14346" t="s">
        <v>8777</v>
      </c>
      <c r="C14346" t="s">
        <v>6839</v>
      </c>
      <c r="D14346" t="s">
        <v>3489</v>
      </c>
      <c r="E14346" t="s">
        <v>556</v>
      </c>
      <c r="F14346" t="s">
        <v>1068</v>
      </c>
      <c r="G14346" t="s">
        <v>1078</v>
      </c>
      <c r="H14346">
        <v>2.1870266836515802</v>
      </c>
      <c r="I14346" t="s">
        <v>1079</v>
      </c>
      <c r="J14346">
        <v>4.51</v>
      </c>
    </row>
    <row r="14347" spans="1:10" hidden="1">
      <c r="A14347" t="s">
        <v>8776</v>
      </c>
      <c r="B14347" t="s">
        <v>8777</v>
      </c>
      <c r="C14347" t="s">
        <v>6839</v>
      </c>
      <c r="D14347" t="s">
        <v>3489</v>
      </c>
      <c r="E14347" t="s">
        <v>556</v>
      </c>
      <c r="F14347" t="s">
        <v>1068</v>
      </c>
      <c r="G14347" t="s">
        <v>1080</v>
      </c>
      <c r="H14347" s="171" t="s">
        <v>8781</v>
      </c>
      <c r="I14347" t="s">
        <v>1082</v>
      </c>
      <c r="J14347">
        <v>4.51</v>
      </c>
    </row>
    <row r="14348" spans="1:10" hidden="1">
      <c r="A14348" t="s">
        <v>8776</v>
      </c>
      <c r="B14348" t="s">
        <v>8777</v>
      </c>
      <c r="C14348" t="s">
        <v>6839</v>
      </c>
      <c r="D14348" t="s">
        <v>3489</v>
      </c>
      <c r="E14348" t="s">
        <v>556</v>
      </c>
      <c r="F14348" t="s">
        <v>1068</v>
      </c>
      <c r="G14348" t="s">
        <v>1083</v>
      </c>
      <c r="H14348" s="171" t="s">
        <v>8782</v>
      </c>
      <c r="I14348" t="s">
        <v>1084</v>
      </c>
      <c r="J14348">
        <v>4.51</v>
      </c>
    </row>
    <row r="14349" spans="1:10" hidden="1">
      <c r="A14349" t="s">
        <v>8776</v>
      </c>
      <c r="B14349" t="s">
        <v>8777</v>
      </c>
      <c r="C14349" t="s">
        <v>6839</v>
      </c>
      <c r="D14349" t="s">
        <v>3489</v>
      </c>
      <c r="E14349" t="s">
        <v>556</v>
      </c>
      <c r="F14349" t="s">
        <v>1068</v>
      </c>
      <c r="G14349" t="s">
        <v>1085</v>
      </c>
      <c r="H14349">
        <v>6.3779088837494398E-4</v>
      </c>
      <c r="I14349" t="s">
        <v>1086</v>
      </c>
      <c r="J14349">
        <v>4.51</v>
      </c>
    </row>
    <row r="14350" spans="1:10" hidden="1">
      <c r="A14350" t="s">
        <v>8776</v>
      </c>
      <c r="B14350" t="s">
        <v>8777</v>
      </c>
      <c r="C14350" t="s">
        <v>6839</v>
      </c>
      <c r="D14350" t="s">
        <v>3489</v>
      </c>
      <c r="E14350" t="s">
        <v>556</v>
      </c>
      <c r="F14350" t="s">
        <v>1068</v>
      </c>
      <c r="G14350" t="s">
        <v>1087</v>
      </c>
      <c r="H14350" s="171" t="s">
        <v>8783</v>
      </c>
      <c r="I14350" t="s">
        <v>1088</v>
      </c>
      <c r="J14350">
        <v>4.51</v>
      </c>
    </row>
    <row r="14351" spans="1:10" hidden="1">
      <c r="A14351" t="s">
        <v>8776</v>
      </c>
      <c r="B14351" t="s">
        <v>8777</v>
      </c>
      <c r="C14351" t="s">
        <v>6839</v>
      </c>
      <c r="D14351" t="s">
        <v>3489</v>
      </c>
      <c r="E14351" t="s">
        <v>556</v>
      </c>
      <c r="F14351" t="s">
        <v>1068</v>
      </c>
      <c r="G14351" t="s">
        <v>1089</v>
      </c>
      <c r="H14351">
        <v>1.9332718269860299E-4</v>
      </c>
      <c r="I14351" t="s">
        <v>1090</v>
      </c>
      <c r="J14351">
        <v>4.51</v>
      </c>
    </row>
    <row r="14352" spans="1:10" hidden="1">
      <c r="A14352" t="s">
        <v>8784</v>
      </c>
      <c r="B14352" t="s">
        <v>8785</v>
      </c>
      <c r="C14352" t="s">
        <v>6839</v>
      </c>
      <c r="D14352" t="s">
        <v>3489</v>
      </c>
      <c r="E14352" t="s">
        <v>557</v>
      </c>
      <c r="F14352" t="s">
        <v>1068</v>
      </c>
      <c r="G14352" t="s">
        <v>1069</v>
      </c>
      <c r="H14352">
        <v>5.0657806003158001E-2</v>
      </c>
      <c r="I14352" t="s">
        <v>1070</v>
      </c>
      <c r="J14352">
        <v>4.4800000000000004</v>
      </c>
    </row>
    <row r="14353" spans="1:10" hidden="1">
      <c r="A14353" t="s">
        <v>8784</v>
      </c>
      <c r="B14353" t="s">
        <v>8785</v>
      </c>
      <c r="C14353" t="s">
        <v>6839</v>
      </c>
      <c r="D14353" t="s">
        <v>3489</v>
      </c>
      <c r="E14353" t="s">
        <v>557</v>
      </c>
      <c r="F14353" t="s">
        <v>1068</v>
      </c>
      <c r="G14353" t="s">
        <v>1071</v>
      </c>
      <c r="H14353" s="171" t="s">
        <v>8786</v>
      </c>
      <c r="I14353" t="s">
        <v>1072</v>
      </c>
      <c r="J14353">
        <v>4.4800000000000004</v>
      </c>
    </row>
    <row r="14354" spans="1:10" hidden="1">
      <c r="A14354" t="s">
        <v>8784</v>
      </c>
      <c r="B14354" t="s">
        <v>8785</v>
      </c>
      <c r="C14354" t="s">
        <v>6839</v>
      </c>
      <c r="D14354" t="s">
        <v>3489</v>
      </c>
      <c r="E14354" t="s">
        <v>557</v>
      </c>
      <c r="F14354" t="s">
        <v>1068</v>
      </c>
      <c r="G14354" t="s">
        <v>1073</v>
      </c>
      <c r="H14354" s="171" t="s">
        <v>8787</v>
      </c>
      <c r="I14354" t="s">
        <v>1074</v>
      </c>
      <c r="J14354">
        <v>4.4800000000000004</v>
      </c>
    </row>
    <row r="14355" spans="1:10" hidden="1">
      <c r="A14355" t="s">
        <v>8784</v>
      </c>
      <c r="B14355" t="s">
        <v>8785</v>
      </c>
      <c r="C14355" t="s">
        <v>6839</v>
      </c>
      <c r="D14355" t="s">
        <v>3489</v>
      </c>
      <c r="E14355" t="s">
        <v>557</v>
      </c>
      <c r="F14355" t="s">
        <v>1068</v>
      </c>
      <c r="G14355" t="s">
        <v>1075</v>
      </c>
      <c r="H14355" s="171" t="s">
        <v>8788</v>
      </c>
      <c r="I14355" t="s">
        <v>1077</v>
      </c>
      <c r="J14355">
        <v>4.4800000000000004</v>
      </c>
    </row>
    <row r="14356" spans="1:10" hidden="1">
      <c r="A14356" t="s">
        <v>8784</v>
      </c>
      <c r="B14356" t="s">
        <v>8785</v>
      </c>
      <c r="C14356" t="s">
        <v>6839</v>
      </c>
      <c r="D14356" t="s">
        <v>3489</v>
      </c>
      <c r="E14356" t="s">
        <v>557</v>
      </c>
      <c r="F14356" t="s">
        <v>1068</v>
      </c>
      <c r="G14356" t="s">
        <v>1078</v>
      </c>
      <c r="H14356" s="171" t="s">
        <v>8789</v>
      </c>
      <c r="I14356" t="s">
        <v>1079</v>
      </c>
      <c r="J14356">
        <v>4.4800000000000004</v>
      </c>
    </row>
    <row r="14357" spans="1:10" hidden="1">
      <c r="A14357" t="s">
        <v>8784</v>
      </c>
      <c r="B14357" t="s">
        <v>8785</v>
      </c>
      <c r="C14357" t="s">
        <v>6839</v>
      </c>
      <c r="D14357" t="s">
        <v>3489</v>
      </c>
      <c r="E14357" t="s">
        <v>557</v>
      </c>
      <c r="F14357" t="s">
        <v>1068</v>
      </c>
      <c r="G14357" t="s">
        <v>1080</v>
      </c>
      <c r="H14357" s="171" t="s">
        <v>8790</v>
      </c>
      <c r="I14357" t="s">
        <v>1082</v>
      </c>
      <c r="J14357">
        <v>4.4800000000000004</v>
      </c>
    </row>
    <row r="14358" spans="1:10" hidden="1">
      <c r="A14358" t="s">
        <v>8784</v>
      </c>
      <c r="B14358" t="s">
        <v>8785</v>
      </c>
      <c r="C14358" t="s">
        <v>6839</v>
      </c>
      <c r="D14358" t="s">
        <v>3489</v>
      </c>
      <c r="E14358" t="s">
        <v>557</v>
      </c>
      <c r="F14358" t="s">
        <v>1068</v>
      </c>
      <c r="G14358" t="s">
        <v>1083</v>
      </c>
      <c r="H14358" s="171" t="s">
        <v>8791</v>
      </c>
      <c r="I14358" t="s">
        <v>1084</v>
      </c>
      <c r="J14358">
        <v>4.4800000000000004</v>
      </c>
    </row>
    <row r="14359" spans="1:10" hidden="1">
      <c r="A14359" t="s">
        <v>8784</v>
      </c>
      <c r="B14359" t="s">
        <v>8785</v>
      </c>
      <c r="C14359" t="s">
        <v>6839</v>
      </c>
      <c r="D14359" t="s">
        <v>3489</v>
      </c>
      <c r="E14359" t="s">
        <v>557</v>
      </c>
      <c r="F14359" t="s">
        <v>1068</v>
      </c>
      <c r="G14359" t="s">
        <v>1085</v>
      </c>
      <c r="H14359">
        <v>6.3778900512682305E-4</v>
      </c>
      <c r="I14359" t="s">
        <v>1086</v>
      </c>
      <c r="J14359">
        <v>4.4800000000000004</v>
      </c>
    </row>
    <row r="14360" spans="1:10" hidden="1">
      <c r="A14360" t="s">
        <v>8784</v>
      </c>
      <c r="B14360" t="s">
        <v>8785</v>
      </c>
      <c r="C14360" t="s">
        <v>6839</v>
      </c>
      <c r="D14360" t="s">
        <v>3489</v>
      </c>
      <c r="E14360" t="s">
        <v>557</v>
      </c>
      <c r="F14360" t="s">
        <v>1068</v>
      </c>
      <c r="G14360" t="s">
        <v>1087</v>
      </c>
      <c r="H14360" s="171" t="s">
        <v>8792</v>
      </c>
      <c r="I14360" t="s">
        <v>1088</v>
      </c>
      <c r="J14360">
        <v>4.4800000000000004</v>
      </c>
    </row>
    <row r="14361" spans="1:10" hidden="1">
      <c r="A14361" t="s">
        <v>8784</v>
      </c>
      <c r="B14361" t="s">
        <v>8785</v>
      </c>
      <c r="C14361" t="s">
        <v>6839</v>
      </c>
      <c r="D14361" t="s">
        <v>3489</v>
      </c>
      <c r="E14361" t="s">
        <v>557</v>
      </c>
      <c r="F14361" t="s">
        <v>1068</v>
      </c>
      <c r="G14361" t="s">
        <v>1089</v>
      </c>
      <c r="H14361">
        <v>1.93326794144515E-4</v>
      </c>
      <c r="I14361" t="s">
        <v>1090</v>
      </c>
      <c r="J14361">
        <v>4.4800000000000004</v>
      </c>
    </row>
    <row r="14362" spans="1:10" hidden="1">
      <c r="A14362" t="s">
        <v>8793</v>
      </c>
      <c r="B14362" t="s">
        <v>8794</v>
      </c>
      <c r="C14362" t="s">
        <v>6839</v>
      </c>
      <c r="D14362" t="s">
        <v>3489</v>
      </c>
      <c r="E14362" t="s">
        <v>559</v>
      </c>
      <c r="F14362" t="s">
        <v>1068</v>
      </c>
      <c r="G14362" t="s">
        <v>1069</v>
      </c>
      <c r="H14362">
        <v>5.06591858393192E-2</v>
      </c>
      <c r="I14362" t="s">
        <v>1070</v>
      </c>
      <c r="J14362">
        <v>4.95</v>
      </c>
    </row>
    <row r="14363" spans="1:10" hidden="1">
      <c r="A14363" t="s">
        <v>8793</v>
      </c>
      <c r="B14363" t="s">
        <v>8794</v>
      </c>
      <c r="C14363" t="s">
        <v>6839</v>
      </c>
      <c r="D14363" t="s">
        <v>3489</v>
      </c>
      <c r="E14363" t="s">
        <v>559</v>
      </c>
      <c r="F14363" t="s">
        <v>1068</v>
      </c>
      <c r="G14363" t="s">
        <v>1071</v>
      </c>
      <c r="H14363" s="171" t="s">
        <v>8795</v>
      </c>
      <c r="I14363" t="s">
        <v>1072</v>
      </c>
      <c r="J14363">
        <v>4.95</v>
      </c>
    </row>
    <row r="14364" spans="1:10" hidden="1">
      <c r="A14364" t="s">
        <v>8793</v>
      </c>
      <c r="B14364" t="s">
        <v>8794</v>
      </c>
      <c r="C14364" t="s">
        <v>6839</v>
      </c>
      <c r="D14364" t="s">
        <v>3489</v>
      </c>
      <c r="E14364" t="s">
        <v>559</v>
      </c>
      <c r="F14364" t="s">
        <v>1068</v>
      </c>
      <c r="G14364" t="s">
        <v>1073</v>
      </c>
      <c r="H14364" s="171" t="s">
        <v>8796</v>
      </c>
      <c r="I14364" t="s">
        <v>1074</v>
      </c>
      <c r="J14364">
        <v>4.95</v>
      </c>
    </row>
    <row r="14365" spans="1:10" hidden="1">
      <c r="A14365" t="s">
        <v>8793</v>
      </c>
      <c r="B14365" t="s">
        <v>8794</v>
      </c>
      <c r="C14365" t="s">
        <v>6839</v>
      </c>
      <c r="D14365" t="s">
        <v>3489</v>
      </c>
      <c r="E14365" t="s">
        <v>559</v>
      </c>
      <c r="F14365" t="s">
        <v>1068</v>
      </c>
      <c r="G14365" t="s">
        <v>1075</v>
      </c>
      <c r="H14365">
        <v>1.75648738327942E-2</v>
      </c>
      <c r="I14365" t="s">
        <v>1077</v>
      </c>
      <c r="J14365">
        <v>4.95</v>
      </c>
    </row>
    <row r="14366" spans="1:10" hidden="1">
      <c r="A14366" t="s">
        <v>8793</v>
      </c>
      <c r="B14366" t="s">
        <v>8794</v>
      </c>
      <c r="C14366" t="s">
        <v>6839</v>
      </c>
      <c r="D14366" t="s">
        <v>3489</v>
      </c>
      <c r="E14366" t="s">
        <v>559</v>
      </c>
      <c r="F14366" t="s">
        <v>1068</v>
      </c>
      <c r="G14366" t="s">
        <v>1078</v>
      </c>
      <c r="H14366" s="171" t="s">
        <v>8797</v>
      </c>
      <c r="I14366" t="s">
        <v>1079</v>
      </c>
      <c r="J14366">
        <v>4.95</v>
      </c>
    </row>
    <row r="14367" spans="1:10" hidden="1">
      <c r="A14367" t="s">
        <v>8793</v>
      </c>
      <c r="B14367" t="s">
        <v>8794</v>
      </c>
      <c r="C14367" t="s">
        <v>6839</v>
      </c>
      <c r="D14367" t="s">
        <v>3489</v>
      </c>
      <c r="E14367" t="s">
        <v>559</v>
      </c>
      <c r="F14367" t="s">
        <v>1068</v>
      </c>
      <c r="G14367" t="s">
        <v>1080</v>
      </c>
      <c r="H14367" s="171" t="s">
        <v>8798</v>
      </c>
      <c r="I14367" t="s">
        <v>1082</v>
      </c>
      <c r="J14367">
        <v>4.95</v>
      </c>
    </row>
    <row r="14368" spans="1:10" hidden="1">
      <c r="A14368" t="s">
        <v>8793</v>
      </c>
      <c r="B14368" t="s">
        <v>8794</v>
      </c>
      <c r="C14368" t="s">
        <v>6839</v>
      </c>
      <c r="D14368" t="s">
        <v>3489</v>
      </c>
      <c r="E14368" t="s">
        <v>559</v>
      </c>
      <c r="F14368" t="s">
        <v>1068</v>
      </c>
      <c r="G14368" t="s">
        <v>1083</v>
      </c>
      <c r="H14368" s="171" t="s">
        <v>8799</v>
      </c>
      <c r="I14368" t="s">
        <v>1084</v>
      </c>
      <c r="J14368">
        <v>4.95</v>
      </c>
    </row>
    <row r="14369" spans="1:10" hidden="1">
      <c r="A14369" t="s">
        <v>8793</v>
      </c>
      <c r="B14369" t="s">
        <v>8794</v>
      </c>
      <c r="C14369" t="s">
        <v>6839</v>
      </c>
      <c r="D14369" t="s">
        <v>3489</v>
      </c>
      <c r="E14369" t="s">
        <v>559</v>
      </c>
      <c r="F14369" t="s">
        <v>1068</v>
      </c>
      <c r="G14369" t="s">
        <v>1085</v>
      </c>
      <c r="H14369">
        <v>6.3778999261779996E-4</v>
      </c>
      <c r="I14369" t="s">
        <v>1086</v>
      </c>
      <c r="J14369">
        <v>4.95</v>
      </c>
    </row>
    <row r="14370" spans="1:10" hidden="1">
      <c r="A14370" t="s">
        <v>8793</v>
      </c>
      <c r="B14370" t="s">
        <v>8794</v>
      </c>
      <c r="C14370" t="s">
        <v>6839</v>
      </c>
      <c r="D14370" t="s">
        <v>3489</v>
      </c>
      <c r="E14370" t="s">
        <v>559</v>
      </c>
      <c r="F14370" t="s">
        <v>1068</v>
      </c>
      <c r="G14370" t="s">
        <v>1087</v>
      </c>
      <c r="H14370" s="171" t="s">
        <v>8800</v>
      </c>
      <c r="I14370" t="s">
        <v>1088</v>
      </c>
      <c r="J14370">
        <v>4.95</v>
      </c>
    </row>
    <row r="14371" spans="1:10" hidden="1">
      <c r="A14371" t="s">
        <v>8793</v>
      </c>
      <c r="B14371" t="s">
        <v>8794</v>
      </c>
      <c r="C14371" t="s">
        <v>6839</v>
      </c>
      <c r="D14371" t="s">
        <v>3489</v>
      </c>
      <c r="E14371" t="s">
        <v>559</v>
      </c>
      <c r="F14371" t="s">
        <v>1068</v>
      </c>
      <c r="G14371" t="s">
        <v>1089</v>
      </c>
      <c r="H14371">
        <v>1.9332699790567301E-4</v>
      </c>
      <c r="I14371" t="s">
        <v>1090</v>
      </c>
      <c r="J14371">
        <v>4.95</v>
      </c>
    </row>
    <row r="14372" spans="1:10" hidden="1">
      <c r="A14372" t="s">
        <v>8801</v>
      </c>
      <c r="B14372" t="s">
        <v>8802</v>
      </c>
      <c r="C14372" t="s">
        <v>6839</v>
      </c>
      <c r="D14372" t="s">
        <v>3489</v>
      </c>
      <c r="E14372" t="s">
        <v>560</v>
      </c>
      <c r="F14372" t="s">
        <v>1068</v>
      </c>
      <c r="G14372" t="s">
        <v>1069</v>
      </c>
      <c r="H14372" s="171" t="s">
        <v>8803</v>
      </c>
      <c r="I14372" t="s">
        <v>1070</v>
      </c>
      <c r="J14372">
        <v>6.66</v>
      </c>
    </row>
    <row r="14373" spans="1:10" hidden="1">
      <c r="A14373" t="s">
        <v>8801</v>
      </c>
      <c r="B14373" t="s">
        <v>8802</v>
      </c>
      <c r="C14373" t="s">
        <v>6839</v>
      </c>
      <c r="D14373" t="s">
        <v>3489</v>
      </c>
      <c r="E14373" t="s">
        <v>560</v>
      </c>
      <c r="F14373" t="s">
        <v>1068</v>
      </c>
      <c r="G14373" t="s">
        <v>1071</v>
      </c>
      <c r="H14373" s="171" t="s">
        <v>8804</v>
      </c>
      <c r="I14373" t="s">
        <v>1072</v>
      </c>
      <c r="J14373">
        <v>6.66</v>
      </c>
    </row>
    <row r="14374" spans="1:10" hidden="1">
      <c r="A14374" t="s">
        <v>8801</v>
      </c>
      <c r="B14374" t="s">
        <v>8802</v>
      </c>
      <c r="C14374" t="s">
        <v>6839</v>
      </c>
      <c r="D14374" t="s">
        <v>3489</v>
      </c>
      <c r="E14374" t="s">
        <v>560</v>
      </c>
      <c r="F14374" t="s">
        <v>1068</v>
      </c>
      <c r="G14374" t="s">
        <v>1073</v>
      </c>
      <c r="H14374" s="171" t="s">
        <v>8805</v>
      </c>
      <c r="I14374" t="s">
        <v>1074</v>
      </c>
      <c r="J14374">
        <v>6.66</v>
      </c>
    </row>
    <row r="14375" spans="1:10" hidden="1">
      <c r="A14375" t="s">
        <v>8801</v>
      </c>
      <c r="B14375" t="s">
        <v>8802</v>
      </c>
      <c r="C14375" t="s">
        <v>6839</v>
      </c>
      <c r="D14375" t="s">
        <v>3489</v>
      </c>
      <c r="E14375" t="s">
        <v>560</v>
      </c>
      <c r="F14375" t="s">
        <v>1068</v>
      </c>
      <c r="G14375" t="s">
        <v>1075</v>
      </c>
      <c r="H14375">
        <v>1.7564865750001799E-2</v>
      </c>
      <c r="I14375" t="s">
        <v>1077</v>
      </c>
      <c r="J14375">
        <v>6.66</v>
      </c>
    </row>
    <row r="14376" spans="1:10" hidden="1">
      <c r="A14376" t="s">
        <v>8801</v>
      </c>
      <c r="B14376" t="s">
        <v>8802</v>
      </c>
      <c r="C14376" t="s">
        <v>6839</v>
      </c>
      <c r="D14376" t="s">
        <v>3489</v>
      </c>
      <c r="E14376" t="s">
        <v>560</v>
      </c>
      <c r="F14376" t="s">
        <v>1068</v>
      </c>
      <c r="G14376" t="s">
        <v>1078</v>
      </c>
      <c r="H14376" s="171" t="s">
        <v>8806</v>
      </c>
      <c r="I14376" t="s">
        <v>1079</v>
      </c>
      <c r="J14376">
        <v>6.66</v>
      </c>
    </row>
    <row r="14377" spans="1:10" hidden="1">
      <c r="A14377" t="s">
        <v>8801</v>
      </c>
      <c r="B14377" t="s">
        <v>8802</v>
      </c>
      <c r="C14377" t="s">
        <v>6839</v>
      </c>
      <c r="D14377" t="s">
        <v>3489</v>
      </c>
      <c r="E14377" t="s">
        <v>560</v>
      </c>
      <c r="F14377" t="s">
        <v>1068</v>
      </c>
      <c r="G14377" t="s">
        <v>1080</v>
      </c>
      <c r="H14377" s="171" t="s">
        <v>8807</v>
      </c>
      <c r="I14377" t="s">
        <v>1082</v>
      </c>
      <c r="J14377">
        <v>6.66</v>
      </c>
    </row>
    <row r="14378" spans="1:10" hidden="1">
      <c r="A14378" t="s">
        <v>8801</v>
      </c>
      <c r="B14378" t="s">
        <v>8802</v>
      </c>
      <c r="C14378" t="s">
        <v>6839</v>
      </c>
      <c r="D14378" t="s">
        <v>3489</v>
      </c>
      <c r="E14378" t="s">
        <v>560</v>
      </c>
      <c r="F14378" t="s">
        <v>1068</v>
      </c>
      <c r="G14378" t="s">
        <v>1083</v>
      </c>
      <c r="H14378" s="171" t="s">
        <v>8808</v>
      </c>
      <c r="I14378" t="s">
        <v>1084</v>
      </c>
      <c r="J14378">
        <v>6.66</v>
      </c>
    </row>
    <row r="14379" spans="1:10" hidden="1">
      <c r="A14379" t="s">
        <v>8801</v>
      </c>
      <c r="B14379" t="s">
        <v>8802</v>
      </c>
      <c r="C14379" t="s">
        <v>6839</v>
      </c>
      <c r="D14379" t="s">
        <v>3489</v>
      </c>
      <c r="E14379" t="s">
        <v>560</v>
      </c>
      <c r="F14379" t="s">
        <v>1068</v>
      </c>
      <c r="G14379" t="s">
        <v>1085</v>
      </c>
      <c r="H14379">
        <v>6.3778955382237104E-4</v>
      </c>
      <c r="I14379" t="s">
        <v>1086</v>
      </c>
      <c r="J14379">
        <v>6.66</v>
      </c>
    </row>
    <row r="14380" spans="1:10" hidden="1">
      <c r="A14380" t="s">
        <v>8801</v>
      </c>
      <c r="B14380" t="s">
        <v>8802</v>
      </c>
      <c r="C14380" t="s">
        <v>6839</v>
      </c>
      <c r="D14380" t="s">
        <v>3489</v>
      </c>
      <c r="E14380" t="s">
        <v>560</v>
      </c>
      <c r="F14380" t="s">
        <v>1068</v>
      </c>
      <c r="G14380" t="s">
        <v>1087</v>
      </c>
      <c r="H14380" s="171" t="s">
        <v>8809</v>
      </c>
      <c r="I14380" t="s">
        <v>1088</v>
      </c>
      <c r="J14380">
        <v>6.66</v>
      </c>
    </row>
    <row r="14381" spans="1:10" hidden="1">
      <c r="A14381" t="s">
        <v>8801</v>
      </c>
      <c r="B14381" t="s">
        <v>8802</v>
      </c>
      <c r="C14381" t="s">
        <v>6839</v>
      </c>
      <c r="D14381" t="s">
        <v>3489</v>
      </c>
      <c r="E14381" t="s">
        <v>560</v>
      </c>
      <c r="F14381" t="s">
        <v>1068</v>
      </c>
      <c r="G14381" t="s">
        <v>1089</v>
      </c>
      <c r="H14381">
        <v>1.9332690733932199E-4</v>
      </c>
      <c r="I14381" t="s">
        <v>1090</v>
      </c>
      <c r="J14381">
        <v>6.66</v>
      </c>
    </row>
    <row r="14382" spans="1:10" hidden="1">
      <c r="A14382" t="s">
        <v>8810</v>
      </c>
      <c r="B14382" t="s">
        <v>8811</v>
      </c>
      <c r="C14382" t="s">
        <v>6839</v>
      </c>
      <c r="D14382" t="s">
        <v>3489</v>
      </c>
      <c r="E14382" t="s">
        <v>1116</v>
      </c>
      <c r="F14382" t="s">
        <v>1068</v>
      </c>
      <c r="G14382" t="s">
        <v>1069</v>
      </c>
      <c r="H14382" s="171" t="s">
        <v>8812</v>
      </c>
      <c r="I14382" t="s">
        <v>1070</v>
      </c>
      <c r="J14382">
        <v>4.57</v>
      </c>
    </row>
    <row r="14383" spans="1:10" hidden="1">
      <c r="A14383" t="s">
        <v>8810</v>
      </c>
      <c r="B14383" t="s">
        <v>8811</v>
      </c>
      <c r="C14383" t="s">
        <v>6839</v>
      </c>
      <c r="D14383" t="s">
        <v>3489</v>
      </c>
      <c r="E14383" t="s">
        <v>1116</v>
      </c>
      <c r="F14383" t="s">
        <v>1068</v>
      </c>
      <c r="G14383" t="s">
        <v>1071</v>
      </c>
      <c r="H14383" s="171" t="s">
        <v>8813</v>
      </c>
      <c r="I14383" t="s">
        <v>1072</v>
      </c>
      <c r="J14383">
        <v>4.57</v>
      </c>
    </row>
    <row r="14384" spans="1:10" hidden="1">
      <c r="A14384" t="s">
        <v>8810</v>
      </c>
      <c r="B14384" t="s">
        <v>8811</v>
      </c>
      <c r="C14384" t="s">
        <v>6839</v>
      </c>
      <c r="D14384" t="s">
        <v>3489</v>
      </c>
      <c r="E14384" t="s">
        <v>1116</v>
      </c>
      <c r="F14384" t="s">
        <v>1068</v>
      </c>
      <c r="G14384" t="s">
        <v>1073</v>
      </c>
      <c r="H14384" s="171" t="s">
        <v>8814</v>
      </c>
      <c r="I14384" t="s">
        <v>1074</v>
      </c>
      <c r="J14384">
        <v>4.57</v>
      </c>
    </row>
    <row r="14385" spans="1:10" hidden="1">
      <c r="A14385" t="s">
        <v>8810</v>
      </c>
      <c r="B14385" t="s">
        <v>8811</v>
      </c>
      <c r="C14385" t="s">
        <v>6839</v>
      </c>
      <c r="D14385" t="s">
        <v>3489</v>
      </c>
      <c r="E14385" t="s">
        <v>1116</v>
      </c>
      <c r="F14385" t="s">
        <v>1068</v>
      </c>
      <c r="G14385" t="s">
        <v>1075</v>
      </c>
      <c r="H14385" s="171" t="s">
        <v>8815</v>
      </c>
      <c r="I14385" t="s">
        <v>1077</v>
      </c>
      <c r="J14385">
        <v>4.57</v>
      </c>
    </row>
    <row r="14386" spans="1:10" hidden="1">
      <c r="A14386" t="s">
        <v>8810</v>
      </c>
      <c r="B14386" t="s">
        <v>8811</v>
      </c>
      <c r="C14386" t="s">
        <v>6839</v>
      </c>
      <c r="D14386" t="s">
        <v>3489</v>
      </c>
      <c r="E14386" t="s">
        <v>1116</v>
      </c>
      <c r="F14386" t="s">
        <v>1068</v>
      </c>
      <c r="G14386" t="s">
        <v>1078</v>
      </c>
      <c r="H14386" s="171" t="s">
        <v>8816</v>
      </c>
      <c r="I14386" t="s">
        <v>1079</v>
      </c>
      <c r="J14386">
        <v>4.57</v>
      </c>
    </row>
    <row r="14387" spans="1:10" hidden="1">
      <c r="A14387" t="s">
        <v>8810</v>
      </c>
      <c r="B14387" t="s">
        <v>8811</v>
      </c>
      <c r="C14387" t="s">
        <v>6839</v>
      </c>
      <c r="D14387" t="s">
        <v>3489</v>
      </c>
      <c r="E14387" t="s">
        <v>1116</v>
      </c>
      <c r="F14387" t="s">
        <v>1068</v>
      </c>
      <c r="G14387" t="s">
        <v>1080</v>
      </c>
      <c r="H14387" s="171" t="s">
        <v>8817</v>
      </c>
      <c r="I14387" t="s">
        <v>1082</v>
      </c>
      <c r="J14387">
        <v>4.57</v>
      </c>
    </row>
    <row r="14388" spans="1:10" hidden="1">
      <c r="A14388" t="s">
        <v>8810</v>
      </c>
      <c r="B14388" t="s">
        <v>8811</v>
      </c>
      <c r="C14388" t="s">
        <v>6839</v>
      </c>
      <c r="D14388" t="s">
        <v>3489</v>
      </c>
      <c r="E14388" t="s">
        <v>1116</v>
      </c>
      <c r="F14388" t="s">
        <v>1068</v>
      </c>
      <c r="G14388" t="s">
        <v>1083</v>
      </c>
      <c r="H14388" s="171" t="s">
        <v>8818</v>
      </c>
      <c r="I14388" t="s">
        <v>1084</v>
      </c>
      <c r="J14388">
        <v>4.57</v>
      </c>
    </row>
    <row r="14389" spans="1:10" hidden="1">
      <c r="A14389" t="s">
        <v>8810</v>
      </c>
      <c r="B14389" t="s">
        <v>8811</v>
      </c>
      <c r="C14389" t="s">
        <v>6839</v>
      </c>
      <c r="D14389" t="s">
        <v>3489</v>
      </c>
      <c r="E14389" t="s">
        <v>1116</v>
      </c>
      <c r="F14389" t="s">
        <v>1068</v>
      </c>
      <c r="G14389" t="s">
        <v>1085</v>
      </c>
      <c r="H14389">
        <v>6.3778788847619399E-4</v>
      </c>
      <c r="I14389" t="s">
        <v>1086</v>
      </c>
      <c r="J14389">
        <v>4.57</v>
      </c>
    </row>
    <row r="14390" spans="1:10" hidden="1">
      <c r="A14390" t="s">
        <v>8810</v>
      </c>
      <c r="B14390" t="s">
        <v>8811</v>
      </c>
      <c r="C14390" t="s">
        <v>6839</v>
      </c>
      <c r="D14390" t="s">
        <v>3489</v>
      </c>
      <c r="E14390" t="s">
        <v>1116</v>
      </c>
      <c r="F14390" t="s">
        <v>1068</v>
      </c>
      <c r="G14390" t="s">
        <v>1087</v>
      </c>
      <c r="H14390" s="171" t="s">
        <v>8819</v>
      </c>
      <c r="I14390" t="s">
        <v>1088</v>
      </c>
      <c r="J14390">
        <v>4.57</v>
      </c>
    </row>
    <row r="14391" spans="1:10" hidden="1">
      <c r="A14391" t="s">
        <v>8810</v>
      </c>
      <c r="B14391" t="s">
        <v>8811</v>
      </c>
      <c r="C14391" t="s">
        <v>6839</v>
      </c>
      <c r="D14391" t="s">
        <v>3489</v>
      </c>
      <c r="E14391" t="s">
        <v>1116</v>
      </c>
      <c r="F14391" t="s">
        <v>1068</v>
      </c>
      <c r="G14391" t="s">
        <v>1089</v>
      </c>
      <c r="H14391">
        <v>1.9332656378169501E-4</v>
      </c>
      <c r="I14391" t="s">
        <v>1090</v>
      </c>
      <c r="J14391">
        <v>4.57</v>
      </c>
    </row>
    <row r="14392" spans="1:10" hidden="1">
      <c r="A14392" t="s">
        <v>8820</v>
      </c>
      <c r="B14392" t="s">
        <v>8821</v>
      </c>
      <c r="C14392" t="s">
        <v>6839</v>
      </c>
      <c r="D14392" t="s">
        <v>324</v>
      </c>
      <c r="E14392" t="s">
        <v>561</v>
      </c>
      <c r="F14392" t="s">
        <v>1068</v>
      </c>
      <c r="G14392" t="s">
        <v>1069</v>
      </c>
      <c r="H14392">
        <v>4.4723239329771701E-2</v>
      </c>
      <c r="I14392" t="s">
        <v>1070</v>
      </c>
      <c r="J14392">
        <v>5.0599999999999996</v>
      </c>
    </row>
    <row r="14393" spans="1:10" hidden="1">
      <c r="A14393" t="s">
        <v>8820</v>
      </c>
      <c r="B14393" t="s">
        <v>8821</v>
      </c>
      <c r="C14393" t="s">
        <v>6839</v>
      </c>
      <c r="D14393" t="s">
        <v>324</v>
      </c>
      <c r="E14393" t="s">
        <v>561</v>
      </c>
      <c r="F14393" t="s">
        <v>1068</v>
      </c>
      <c r="G14393" t="s">
        <v>1071</v>
      </c>
      <c r="H14393" s="171" t="s">
        <v>8822</v>
      </c>
      <c r="I14393" t="s">
        <v>1072</v>
      </c>
      <c r="J14393">
        <v>5.0599999999999996</v>
      </c>
    </row>
    <row r="14394" spans="1:10" hidden="1">
      <c r="A14394" t="s">
        <v>8820</v>
      </c>
      <c r="B14394" t="s">
        <v>8821</v>
      </c>
      <c r="C14394" t="s">
        <v>6839</v>
      </c>
      <c r="D14394" t="s">
        <v>324</v>
      </c>
      <c r="E14394" t="s">
        <v>561</v>
      </c>
      <c r="F14394" t="s">
        <v>1068</v>
      </c>
      <c r="G14394" t="s">
        <v>1073</v>
      </c>
      <c r="H14394" s="171" t="s">
        <v>8823</v>
      </c>
      <c r="I14394" t="s">
        <v>1074</v>
      </c>
      <c r="J14394">
        <v>5.0599999999999996</v>
      </c>
    </row>
    <row r="14395" spans="1:10" hidden="1">
      <c r="A14395" t="s">
        <v>8820</v>
      </c>
      <c r="B14395" t="s">
        <v>8821</v>
      </c>
      <c r="C14395" t="s">
        <v>6839</v>
      </c>
      <c r="D14395" t="s">
        <v>324</v>
      </c>
      <c r="E14395" t="s">
        <v>561</v>
      </c>
      <c r="F14395" t="s">
        <v>1068</v>
      </c>
      <c r="G14395" t="s">
        <v>1075</v>
      </c>
      <c r="H14395" s="171" t="s">
        <v>8824</v>
      </c>
      <c r="I14395" t="s">
        <v>1077</v>
      </c>
      <c r="J14395">
        <v>5.0599999999999996</v>
      </c>
    </row>
    <row r="14396" spans="1:10" hidden="1">
      <c r="A14396" t="s">
        <v>8820</v>
      </c>
      <c r="B14396" t="s">
        <v>8821</v>
      </c>
      <c r="C14396" t="s">
        <v>6839</v>
      </c>
      <c r="D14396" t="s">
        <v>324</v>
      </c>
      <c r="E14396" t="s">
        <v>561</v>
      </c>
      <c r="F14396" t="s">
        <v>1068</v>
      </c>
      <c r="G14396" t="s">
        <v>1078</v>
      </c>
      <c r="H14396">
        <v>2.66824832139794E-2</v>
      </c>
      <c r="I14396" t="s">
        <v>1079</v>
      </c>
      <c r="J14396">
        <v>5.0599999999999996</v>
      </c>
    </row>
    <row r="14397" spans="1:10" hidden="1">
      <c r="A14397" t="s">
        <v>8820</v>
      </c>
      <c r="B14397" t="s">
        <v>8821</v>
      </c>
      <c r="C14397" t="s">
        <v>6839</v>
      </c>
      <c r="D14397" t="s">
        <v>324</v>
      </c>
      <c r="E14397" t="s">
        <v>561</v>
      </c>
      <c r="F14397" t="s">
        <v>1068</v>
      </c>
      <c r="G14397" t="s">
        <v>1080</v>
      </c>
      <c r="H14397" s="171" t="s">
        <v>8825</v>
      </c>
      <c r="I14397" t="s">
        <v>1082</v>
      </c>
      <c r="J14397">
        <v>5.0599999999999996</v>
      </c>
    </row>
    <row r="14398" spans="1:10" hidden="1">
      <c r="A14398" t="s">
        <v>8820</v>
      </c>
      <c r="B14398" t="s">
        <v>8821</v>
      </c>
      <c r="C14398" t="s">
        <v>6839</v>
      </c>
      <c r="D14398" t="s">
        <v>324</v>
      </c>
      <c r="E14398" t="s">
        <v>561</v>
      </c>
      <c r="F14398" t="s">
        <v>1068</v>
      </c>
      <c r="G14398" t="s">
        <v>1083</v>
      </c>
      <c r="H14398" s="171" t="s">
        <v>8826</v>
      </c>
      <c r="I14398" t="s">
        <v>1084</v>
      </c>
      <c r="J14398">
        <v>5.0599999999999996</v>
      </c>
    </row>
    <row r="14399" spans="1:10" hidden="1">
      <c r="A14399" t="s">
        <v>8820</v>
      </c>
      <c r="B14399" t="s">
        <v>8821</v>
      </c>
      <c r="C14399" t="s">
        <v>6839</v>
      </c>
      <c r="D14399" t="s">
        <v>324</v>
      </c>
      <c r="E14399" t="s">
        <v>561</v>
      </c>
      <c r="F14399" t="s">
        <v>1068</v>
      </c>
      <c r="G14399" t="s">
        <v>1085</v>
      </c>
      <c r="H14399">
        <v>4.1655782129371898E-4</v>
      </c>
      <c r="I14399" t="s">
        <v>1086</v>
      </c>
      <c r="J14399">
        <v>5.0599999999999996</v>
      </c>
    </row>
    <row r="14400" spans="1:10" hidden="1">
      <c r="A14400" t="s">
        <v>8820</v>
      </c>
      <c r="B14400" t="s">
        <v>8821</v>
      </c>
      <c r="C14400" t="s">
        <v>6839</v>
      </c>
      <c r="D14400" t="s">
        <v>324</v>
      </c>
      <c r="E14400" t="s">
        <v>561</v>
      </c>
      <c r="F14400" t="s">
        <v>1068</v>
      </c>
      <c r="G14400" t="s">
        <v>1087</v>
      </c>
      <c r="H14400" s="171" t="s">
        <v>8827</v>
      </c>
      <c r="I14400" t="s">
        <v>1088</v>
      </c>
      <c r="J14400">
        <v>5.0599999999999996</v>
      </c>
    </row>
    <row r="14401" spans="1:10" hidden="1">
      <c r="A14401" t="s">
        <v>8820</v>
      </c>
      <c r="B14401" t="s">
        <v>8821</v>
      </c>
      <c r="C14401" t="s">
        <v>6839</v>
      </c>
      <c r="D14401" t="s">
        <v>324</v>
      </c>
      <c r="E14401" t="s">
        <v>561</v>
      </c>
      <c r="F14401" t="s">
        <v>1068</v>
      </c>
      <c r="G14401" t="s">
        <v>1089</v>
      </c>
      <c r="H14401">
        <v>1.2219763464227899E-4</v>
      </c>
      <c r="I14401" t="s">
        <v>1090</v>
      </c>
      <c r="J14401">
        <v>5.0599999999999996</v>
      </c>
    </row>
    <row r="14402" spans="1:10" hidden="1">
      <c r="A14402" t="s">
        <v>8828</v>
      </c>
      <c r="B14402" t="s">
        <v>8829</v>
      </c>
      <c r="C14402" t="s">
        <v>6839</v>
      </c>
      <c r="D14402" t="s">
        <v>324</v>
      </c>
      <c r="E14402" t="s">
        <v>555</v>
      </c>
      <c r="F14402" t="s">
        <v>1068</v>
      </c>
      <c r="G14402" t="s">
        <v>1069</v>
      </c>
      <c r="H14402">
        <v>4.47239455332923E-2</v>
      </c>
      <c r="I14402" t="s">
        <v>1070</v>
      </c>
      <c r="J14402">
        <v>5.1100000000000003</v>
      </c>
    </row>
    <row r="14403" spans="1:10" hidden="1">
      <c r="A14403" t="s">
        <v>8828</v>
      </c>
      <c r="B14403" t="s">
        <v>8829</v>
      </c>
      <c r="C14403" t="s">
        <v>6839</v>
      </c>
      <c r="D14403" t="s">
        <v>324</v>
      </c>
      <c r="E14403" t="s">
        <v>555</v>
      </c>
      <c r="F14403" t="s">
        <v>1068</v>
      </c>
      <c r="G14403" t="s">
        <v>1071</v>
      </c>
      <c r="H14403" s="171" t="s">
        <v>8830</v>
      </c>
      <c r="I14403" t="s">
        <v>1072</v>
      </c>
      <c r="J14403">
        <v>5.1100000000000003</v>
      </c>
    </row>
    <row r="14404" spans="1:10" hidden="1">
      <c r="A14404" t="s">
        <v>8828</v>
      </c>
      <c r="B14404" t="s">
        <v>8829</v>
      </c>
      <c r="C14404" t="s">
        <v>6839</v>
      </c>
      <c r="D14404" t="s">
        <v>324</v>
      </c>
      <c r="E14404" t="s">
        <v>555</v>
      </c>
      <c r="F14404" t="s">
        <v>1068</v>
      </c>
      <c r="G14404" t="s">
        <v>1073</v>
      </c>
      <c r="H14404" s="171" t="s">
        <v>8831</v>
      </c>
      <c r="I14404" t="s">
        <v>1074</v>
      </c>
      <c r="J14404">
        <v>5.1100000000000003</v>
      </c>
    </row>
    <row r="14405" spans="1:10" hidden="1">
      <c r="A14405" t="s">
        <v>8828</v>
      </c>
      <c r="B14405" t="s">
        <v>8829</v>
      </c>
      <c r="C14405" t="s">
        <v>6839</v>
      </c>
      <c r="D14405" t="s">
        <v>324</v>
      </c>
      <c r="E14405" t="s">
        <v>555</v>
      </c>
      <c r="F14405" t="s">
        <v>1068</v>
      </c>
      <c r="G14405" t="s">
        <v>1075</v>
      </c>
      <c r="H14405" s="171" t="s">
        <v>8832</v>
      </c>
      <c r="I14405" t="s">
        <v>1077</v>
      </c>
      <c r="J14405">
        <v>5.1100000000000003</v>
      </c>
    </row>
    <row r="14406" spans="1:10" hidden="1">
      <c r="A14406" t="s">
        <v>8828</v>
      </c>
      <c r="B14406" t="s">
        <v>8829</v>
      </c>
      <c r="C14406" t="s">
        <v>6839</v>
      </c>
      <c r="D14406" t="s">
        <v>324</v>
      </c>
      <c r="E14406" t="s">
        <v>555</v>
      </c>
      <c r="F14406" t="s">
        <v>1068</v>
      </c>
      <c r="G14406" t="s">
        <v>1078</v>
      </c>
      <c r="H14406">
        <v>2.66831358779176E-2</v>
      </c>
      <c r="I14406" t="s">
        <v>1079</v>
      </c>
      <c r="J14406">
        <v>5.1100000000000003</v>
      </c>
    </row>
    <row r="14407" spans="1:10" hidden="1">
      <c r="A14407" t="s">
        <v>8828</v>
      </c>
      <c r="B14407" t="s">
        <v>8829</v>
      </c>
      <c r="C14407" t="s">
        <v>6839</v>
      </c>
      <c r="D14407" t="s">
        <v>324</v>
      </c>
      <c r="E14407" t="s">
        <v>555</v>
      </c>
      <c r="F14407" t="s">
        <v>1068</v>
      </c>
      <c r="G14407" t="s">
        <v>1080</v>
      </c>
      <c r="H14407" s="171" t="s">
        <v>8833</v>
      </c>
      <c r="I14407" t="s">
        <v>1082</v>
      </c>
      <c r="J14407">
        <v>5.1100000000000003</v>
      </c>
    </row>
    <row r="14408" spans="1:10" hidden="1">
      <c r="A14408" t="s">
        <v>8828</v>
      </c>
      <c r="B14408" t="s">
        <v>8829</v>
      </c>
      <c r="C14408" t="s">
        <v>6839</v>
      </c>
      <c r="D14408" t="s">
        <v>324</v>
      </c>
      <c r="E14408" t="s">
        <v>555</v>
      </c>
      <c r="F14408" t="s">
        <v>1068</v>
      </c>
      <c r="G14408" t="s">
        <v>1083</v>
      </c>
      <c r="H14408" s="171" t="s">
        <v>8834</v>
      </c>
      <c r="I14408" t="s">
        <v>1084</v>
      </c>
      <c r="J14408">
        <v>5.1100000000000003</v>
      </c>
    </row>
    <row r="14409" spans="1:10" hidden="1">
      <c r="A14409" t="s">
        <v>8828</v>
      </c>
      <c r="B14409" t="s">
        <v>8829</v>
      </c>
      <c r="C14409" t="s">
        <v>6839</v>
      </c>
      <c r="D14409" t="s">
        <v>324</v>
      </c>
      <c r="E14409" t="s">
        <v>555</v>
      </c>
      <c r="F14409" t="s">
        <v>1068</v>
      </c>
      <c r="G14409" t="s">
        <v>1085</v>
      </c>
      <c r="H14409">
        <v>4.16558641530694E-4</v>
      </c>
      <c r="I14409" t="s">
        <v>1086</v>
      </c>
      <c r="J14409">
        <v>5.1100000000000003</v>
      </c>
    </row>
    <row r="14410" spans="1:10" hidden="1">
      <c r="A14410" t="s">
        <v>8828</v>
      </c>
      <c r="B14410" t="s">
        <v>8829</v>
      </c>
      <c r="C14410" t="s">
        <v>6839</v>
      </c>
      <c r="D14410" t="s">
        <v>324</v>
      </c>
      <c r="E14410" t="s">
        <v>555</v>
      </c>
      <c r="F14410" t="s">
        <v>1068</v>
      </c>
      <c r="G14410" t="s">
        <v>1087</v>
      </c>
      <c r="H14410" s="171" t="s">
        <v>8835</v>
      </c>
      <c r="I14410" t="s">
        <v>1088</v>
      </c>
      <c r="J14410">
        <v>5.1100000000000003</v>
      </c>
    </row>
    <row r="14411" spans="1:10" hidden="1">
      <c r="A14411" t="s">
        <v>8828</v>
      </c>
      <c r="B14411" t="s">
        <v>8829</v>
      </c>
      <c r="C14411" t="s">
        <v>6839</v>
      </c>
      <c r="D14411" t="s">
        <v>324</v>
      </c>
      <c r="E14411" t="s">
        <v>555</v>
      </c>
      <c r="F14411" t="s">
        <v>1068</v>
      </c>
      <c r="G14411" t="s">
        <v>1089</v>
      </c>
      <c r="H14411">
        <v>1.2219780386796901E-4</v>
      </c>
      <c r="I14411" t="s">
        <v>1090</v>
      </c>
      <c r="J14411">
        <v>5.1100000000000003</v>
      </c>
    </row>
    <row r="14412" spans="1:10" hidden="1">
      <c r="A14412" t="s">
        <v>8836</v>
      </c>
      <c r="B14412" t="s">
        <v>8837</v>
      </c>
      <c r="C14412" t="s">
        <v>6839</v>
      </c>
      <c r="D14412" t="s">
        <v>324</v>
      </c>
      <c r="E14412" t="s">
        <v>558</v>
      </c>
      <c r="F14412" t="s">
        <v>1068</v>
      </c>
      <c r="G14412" t="s">
        <v>1069</v>
      </c>
      <c r="H14412">
        <v>4.47231993632363E-2</v>
      </c>
      <c r="I14412" t="s">
        <v>1070</v>
      </c>
      <c r="J14412">
        <v>5.42</v>
      </c>
    </row>
    <row r="14413" spans="1:10" hidden="1">
      <c r="A14413" t="s">
        <v>8836</v>
      </c>
      <c r="B14413" t="s">
        <v>8837</v>
      </c>
      <c r="C14413" t="s">
        <v>6839</v>
      </c>
      <c r="D14413" t="s">
        <v>324</v>
      </c>
      <c r="E14413" t="s">
        <v>558</v>
      </c>
      <c r="F14413" t="s">
        <v>1068</v>
      </c>
      <c r="G14413" t="s">
        <v>1071</v>
      </c>
      <c r="H14413" s="171" t="s">
        <v>8838</v>
      </c>
      <c r="I14413" t="s">
        <v>1072</v>
      </c>
      <c r="J14413">
        <v>5.42</v>
      </c>
    </row>
    <row r="14414" spans="1:10" hidden="1">
      <c r="A14414" t="s">
        <v>8836</v>
      </c>
      <c r="B14414" t="s">
        <v>8837</v>
      </c>
      <c r="C14414" t="s">
        <v>6839</v>
      </c>
      <c r="D14414" t="s">
        <v>324</v>
      </c>
      <c r="E14414" t="s">
        <v>558</v>
      </c>
      <c r="F14414" t="s">
        <v>1068</v>
      </c>
      <c r="G14414" t="s">
        <v>1073</v>
      </c>
      <c r="H14414" s="171" t="s">
        <v>8839</v>
      </c>
      <c r="I14414" t="s">
        <v>1074</v>
      </c>
      <c r="J14414">
        <v>5.42</v>
      </c>
    </row>
    <row r="14415" spans="1:10" hidden="1">
      <c r="A14415" t="s">
        <v>8836</v>
      </c>
      <c r="B14415" t="s">
        <v>8837</v>
      </c>
      <c r="C14415" t="s">
        <v>6839</v>
      </c>
      <c r="D14415" t="s">
        <v>324</v>
      </c>
      <c r="E14415" t="s">
        <v>558</v>
      </c>
      <c r="F14415" t="s">
        <v>1068</v>
      </c>
      <c r="G14415" t="s">
        <v>1075</v>
      </c>
      <c r="H14415" s="171" t="s">
        <v>8840</v>
      </c>
      <c r="I14415" t="s">
        <v>1077</v>
      </c>
      <c r="J14415">
        <v>5.42</v>
      </c>
    </row>
    <row r="14416" spans="1:10" hidden="1">
      <c r="A14416" t="s">
        <v>8836</v>
      </c>
      <c r="B14416" t="s">
        <v>8837</v>
      </c>
      <c r="C14416" t="s">
        <v>6839</v>
      </c>
      <c r="D14416" t="s">
        <v>324</v>
      </c>
      <c r="E14416" t="s">
        <v>558</v>
      </c>
      <c r="F14416" t="s">
        <v>1068</v>
      </c>
      <c r="G14416" t="s">
        <v>1078</v>
      </c>
      <c r="H14416">
        <v>2.6682428580345498E-2</v>
      </c>
      <c r="I14416" t="s">
        <v>1079</v>
      </c>
      <c r="J14416">
        <v>5.42</v>
      </c>
    </row>
    <row r="14417" spans="1:10" hidden="1">
      <c r="A14417" t="s">
        <v>8836</v>
      </c>
      <c r="B14417" t="s">
        <v>8837</v>
      </c>
      <c r="C14417" t="s">
        <v>6839</v>
      </c>
      <c r="D14417" t="s">
        <v>324</v>
      </c>
      <c r="E14417" t="s">
        <v>558</v>
      </c>
      <c r="F14417" t="s">
        <v>1068</v>
      </c>
      <c r="G14417" t="s">
        <v>1080</v>
      </c>
      <c r="H14417" s="171" t="s">
        <v>8841</v>
      </c>
      <c r="I14417" t="s">
        <v>1082</v>
      </c>
      <c r="J14417">
        <v>5.42</v>
      </c>
    </row>
    <row r="14418" spans="1:10" hidden="1">
      <c r="A14418" t="s">
        <v>8836</v>
      </c>
      <c r="B14418" t="s">
        <v>8837</v>
      </c>
      <c r="C14418" t="s">
        <v>6839</v>
      </c>
      <c r="D14418" t="s">
        <v>324</v>
      </c>
      <c r="E14418" t="s">
        <v>558</v>
      </c>
      <c r="F14418" t="s">
        <v>1068</v>
      </c>
      <c r="G14418" t="s">
        <v>1083</v>
      </c>
      <c r="H14418" s="171" t="s">
        <v>8842</v>
      </c>
      <c r="I14418" t="s">
        <v>1084</v>
      </c>
      <c r="J14418">
        <v>5.42</v>
      </c>
    </row>
    <row r="14419" spans="1:10" hidden="1">
      <c r="A14419" t="s">
        <v>8836</v>
      </c>
      <c r="B14419" t="s">
        <v>8837</v>
      </c>
      <c r="C14419" t="s">
        <v>6839</v>
      </c>
      <c r="D14419" t="s">
        <v>324</v>
      </c>
      <c r="E14419" t="s">
        <v>558</v>
      </c>
      <c r="F14419" t="s">
        <v>1068</v>
      </c>
      <c r="G14419" t="s">
        <v>1085</v>
      </c>
      <c r="H14419">
        <v>4.16557752634578E-4</v>
      </c>
      <c r="I14419" t="s">
        <v>1086</v>
      </c>
      <c r="J14419">
        <v>5.42</v>
      </c>
    </row>
    <row r="14420" spans="1:10" hidden="1">
      <c r="A14420" t="s">
        <v>8836</v>
      </c>
      <c r="B14420" t="s">
        <v>8837</v>
      </c>
      <c r="C14420" t="s">
        <v>6839</v>
      </c>
      <c r="D14420" t="s">
        <v>324</v>
      </c>
      <c r="E14420" t="s">
        <v>558</v>
      </c>
      <c r="F14420" t="s">
        <v>1068</v>
      </c>
      <c r="G14420" t="s">
        <v>1087</v>
      </c>
      <c r="H14420" s="171" t="s">
        <v>8843</v>
      </c>
      <c r="I14420" t="s">
        <v>1088</v>
      </c>
      <c r="J14420">
        <v>5.42</v>
      </c>
    </row>
    <row r="14421" spans="1:10" hidden="1">
      <c r="A14421" t="s">
        <v>8836</v>
      </c>
      <c r="B14421" t="s">
        <v>8837</v>
      </c>
      <c r="C14421" t="s">
        <v>6839</v>
      </c>
      <c r="D14421" t="s">
        <v>324</v>
      </c>
      <c r="E14421" t="s">
        <v>558</v>
      </c>
      <c r="F14421" t="s">
        <v>1068</v>
      </c>
      <c r="G14421" t="s">
        <v>1089</v>
      </c>
      <c r="H14421">
        <v>1.2219762047803399E-4</v>
      </c>
      <c r="I14421" t="s">
        <v>1090</v>
      </c>
      <c r="J14421">
        <v>5.42</v>
      </c>
    </row>
    <row r="14422" spans="1:10" hidden="1">
      <c r="A14422" t="s">
        <v>8844</v>
      </c>
      <c r="B14422" t="s">
        <v>8845</v>
      </c>
      <c r="C14422" t="s">
        <v>6839</v>
      </c>
      <c r="D14422" t="s">
        <v>324</v>
      </c>
      <c r="E14422" t="s">
        <v>553</v>
      </c>
      <c r="F14422" t="s">
        <v>1068</v>
      </c>
      <c r="G14422" t="s">
        <v>1069</v>
      </c>
      <c r="H14422">
        <v>4.4723411820499499E-2</v>
      </c>
      <c r="I14422" t="s">
        <v>1070</v>
      </c>
      <c r="J14422">
        <v>4.4800000000000004</v>
      </c>
    </row>
    <row r="14423" spans="1:10" hidden="1">
      <c r="A14423" t="s">
        <v>8844</v>
      </c>
      <c r="B14423" t="s">
        <v>8845</v>
      </c>
      <c r="C14423" t="s">
        <v>6839</v>
      </c>
      <c r="D14423" t="s">
        <v>324</v>
      </c>
      <c r="E14423" t="s">
        <v>553</v>
      </c>
      <c r="F14423" t="s">
        <v>1068</v>
      </c>
      <c r="G14423" t="s">
        <v>1071</v>
      </c>
      <c r="H14423" s="171" t="s">
        <v>8846</v>
      </c>
      <c r="I14423" t="s">
        <v>1072</v>
      </c>
      <c r="J14423">
        <v>4.4800000000000004</v>
      </c>
    </row>
    <row r="14424" spans="1:10" hidden="1">
      <c r="A14424" t="s">
        <v>8844</v>
      </c>
      <c r="B14424" t="s">
        <v>8845</v>
      </c>
      <c r="C14424" t="s">
        <v>6839</v>
      </c>
      <c r="D14424" t="s">
        <v>324</v>
      </c>
      <c r="E14424" t="s">
        <v>553</v>
      </c>
      <c r="F14424" t="s">
        <v>1068</v>
      </c>
      <c r="G14424" t="s">
        <v>1073</v>
      </c>
      <c r="H14424" s="171" t="s">
        <v>8847</v>
      </c>
      <c r="I14424" t="s">
        <v>1074</v>
      </c>
      <c r="J14424">
        <v>4.4800000000000004</v>
      </c>
    </row>
    <row r="14425" spans="1:10" hidden="1">
      <c r="A14425" t="s">
        <v>8844</v>
      </c>
      <c r="B14425" t="s">
        <v>8845</v>
      </c>
      <c r="C14425" t="s">
        <v>6839</v>
      </c>
      <c r="D14425" t="s">
        <v>324</v>
      </c>
      <c r="E14425" t="s">
        <v>553</v>
      </c>
      <c r="F14425" t="s">
        <v>1068</v>
      </c>
      <c r="G14425" t="s">
        <v>1075</v>
      </c>
      <c r="H14425" s="171" t="s">
        <v>8848</v>
      </c>
      <c r="I14425" t="s">
        <v>1077</v>
      </c>
      <c r="J14425">
        <v>4.4800000000000004</v>
      </c>
    </row>
    <row r="14426" spans="1:10" hidden="1">
      <c r="A14426" t="s">
        <v>8844</v>
      </c>
      <c r="B14426" t="s">
        <v>8845</v>
      </c>
      <c r="C14426" t="s">
        <v>6839</v>
      </c>
      <c r="D14426" t="s">
        <v>324</v>
      </c>
      <c r="E14426" t="s">
        <v>553</v>
      </c>
      <c r="F14426" t="s">
        <v>1068</v>
      </c>
      <c r="G14426" t="s">
        <v>1078</v>
      </c>
      <c r="H14426">
        <v>2.6682406300787401E-2</v>
      </c>
      <c r="I14426" t="s">
        <v>1079</v>
      </c>
      <c r="J14426">
        <v>4.4800000000000004</v>
      </c>
    </row>
    <row r="14427" spans="1:10" hidden="1">
      <c r="A14427" t="s">
        <v>8844</v>
      </c>
      <c r="B14427" t="s">
        <v>8845</v>
      </c>
      <c r="C14427" t="s">
        <v>6839</v>
      </c>
      <c r="D14427" t="s">
        <v>324</v>
      </c>
      <c r="E14427" t="s">
        <v>553</v>
      </c>
      <c r="F14427" t="s">
        <v>1068</v>
      </c>
      <c r="G14427" t="s">
        <v>1080</v>
      </c>
      <c r="H14427" s="171" t="s">
        <v>8849</v>
      </c>
      <c r="I14427" t="s">
        <v>1082</v>
      </c>
      <c r="J14427">
        <v>4.4800000000000004</v>
      </c>
    </row>
    <row r="14428" spans="1:10" hidden="1">
      <c r="A14428" t="s">
        <v>8844</v>
      </c>
      <c r="B14428" t="s">
        <v>8845</v>
      </c>
      <c r="C14428" t="s">
        <v>6839</v>
      </c>
      <c r="D14428" t="s">
        <v>324</v>
      </c>
      <c r="E14428" t="s">
        <v>553</v>
      </c>
      <c r="F14428" t="s">
        <v>1068</v>
      </c>
      <c r="G14428" t="s">
        <v>1083</v>
      </c>
      <c r="H14428" s="171" t="s">
        <v>8850</v>
      </c>
      <c r="I14428" t="s">
        <v>1084</v>
      </c>
      <c r="J14428">
        <v>4.4800000000000004</v>
      </c>
    </row>
    <row r="14429" spans="1:10" hidden="1">
      <c r="A14429" t="s">
        <v>8844</v>
      </c>
      <c r="B14429" t="s">
        <v>8845</v>
      </c>
      <c r="C14429" t="s">
        <v>6839</v>
      </c>
      <c r="D14429" t="s">
        <v>324</v>
      </c>
      <c r="E14429" t="s">
        <v>553</v>
      </c>
      <c r="F14429" t="s">
        <v>1068</v>
      </c>
      <c r="G14429" t="s">
        <v>1085</v>
      </c>
      <c r="H14429">
        <v>4.1655772465705102E-4</v>
      </c>
      <c r="I14429" t="s">
        <v>1086</v>
      </c>
      <c r="J14429">
        <v>4.4800000000000004</v>
      </c>
    </row>
    <row r="14430" spans="1:10" hidden="1">
      <c r="A14430" t="s">
        <v>8844</v>
      </c>
      <c r="B14430" t="s">
        <v>8845</v>
      </c>
      <c r="C14430" t="s">
        <v>6839</v>
      </c>
      <c r="D14430" t="s">
        <v>324</v>
      </c>
      <c r="E14430" t="s">
        <v>553</v>
      </c>
      <c r="F14430" t="s">
        <v>1068</v>
      </c>
      <c r="G14430" t="s">
        <v>1087</v>
      </c>
      <c r="H14430" s="171" t="s">
        <v>8851</v>
      </c>
      <c r="I14430" t="s">
        <v>1088</v>
      </c>
      <c r="J14430">
        <v>4.4800000000000004</v>
      </c>
    </row>
    <row r="14431" spans="1:10" hidden="1">
      <c r="A14431" t="s">
        <v>8844</v>
      </c>
      <c r="B14431" t="s">
        <v>8845</v>
      </c>
      <c r="C14431" t="s">
        <v>6839</v>
      </c>
      <c r="D14431" t="s">
        <v>324</v>
      </c>
      <c r="E14431" t="s">
        <v>553</v>
      </c>
      <c r="F14431" t="s">
        <v>1068</v>
      </c>
      <c r="G14431" t="s">
        <v>1089</v>
      </c>
      <c r="H14431">
        <v>1.2219761471874799E-4</v>
      </c>
      <c r="I14431" t="s">
        <v>1090</v>
      </c>
      <c r="J14431">
        <v>4.4800000000000004</v>
      </c>
    </row>
    <row r="14432" spans="1:10" hidden="1">
      <c r="A14432" t="s">
        <v>8852</v>
      </c>
      <c r="B14432" t="s">
        <v>8853</v>
      </c>
      <c r="C14432" t="s">
        <v>6839</v>
      </c>
      <c r="D14432" t="s">
        <v>324</v>
      </c>
      <c r="E14432" t="s">
        <v>556</v>
      </c>
      <c r="F14432" t="s">
        <v>1068</v>
      </c>
      <c r="G14432" t="s">
        <v>1069</v>
      </c>
      <c r="H14432">
        <v>4.4723895368440798E-2</v>
      </c>
      <c r="I14432" t="s">
        <v>1070</v>
      </c>
      <c r="J14432">
        <v>4.53</v>
      </c>
    </row>
    <row r="14433" spans="1:10" hidden="1">
      <c r="A14433" t="s">
        <v>8852</v>
      </c>
      <c r="B14433" t="s">
        <v>8853</v>
      </c>
      <c r="C14433" t="s">
        <v>6839</v>
      </c>
      <c r="D14433" t="s">
        <v>324</v>
      </c>
      <c r="E14433" t="s">
        <v>556</v>
      </c>
      <c r="F14433" t="s">
        <v>1068</v>
      </c>
      <c r="G14433" t="s">
        <v>1071</v>
      </c>
      <c r="H14433" s="171" t="s">
        <v>8854</v>
      </c>
      <c r="I14433" t="s">
        <v>1072</v>
      </c>
      <c r="J14433">
        <v>4.53</v>
      </c>
    </row>
    <row r="14434" spans="1:10" hidden="1">
      <c r="A14434" t="s">
        <v>8852</v>
      </c>
      <c r="B14434" t="s">
        <v>8853</v>
      </c>
      <c r="C14434" t="s">
        <v>6839</v>
      </c>
      <c r="D14434" t="s">
        <v>324</v>
      </c>
      <c r="E14434" t="s">
        <v>556</v>
      </c>
      <c r="F14434" t="s">
        <v>1068</v>
      </c>
      <c r="G14434" t="s">
        <v>1073</v>
      </c>
      <c r="H14434" s="171" t="s">
        <v>8855</v>
      </c>
      <c r="I14434" t="s">
        <v>1074</v>
      </c>
      <c r="J14434">
        <v>4.53</v>
      </c>
    </row>
    <row r="14435" spans="1:10" hidden="1">
      <c r="A14435" t="s">
        <v>8852</v>
      </c>
      <c r="B14435" t="s">
        <v>8853</v>
      </c>
      <c r="C14435" t="s">
        <v>6839</v>
      </c>
      <c r="D14435" t="s">
        <v>324</v>
      </c>
      <c r="E14435" t="s">
        <v>556</v>
      </c>
      <c r="F14435" t="s">
        <v>1068</v>
      </c>
      <c r="G14435" t="s">
        <v>1075</v>
      </c>
      <c r="H14435" s="171" t="s">
        <v>8856</v>
      </c>
      <c r="I14435" t="s">
        <v>1077</v>
      </c>
      <c r="J14435">
        <v>4.53</v>
      </c>
    </row>
    <row r="14436" spans="1:10" hidden="1">
      <c r="A14436" t="s">
        <v>8852</v>
      </c>
      <c r="B14436" t="s">
        <v>8853</v>
      </c>
      <c r="C14436" t="s">
        <v>6839</v>
      </c>
      <c r="D14436" t="s">
        <v>324</v>
      </c>
      <c r="E14436" t="s">
        <v>556</v>
      </c>
      <c r="F14436" t="s">
        <v>1068</v>
      </c>
      <c r="G14436" t="s">
        <v>1078</v>
      </c>
      <c r="H14436" s="171" t="s">
        <v>8857</v>
      </c>
      <c r="I14436" t="s">
        <v>1079</v>
      </c>
      <c r="J14436">
        <v>4.53</v>
      </c>
    </row>
    <row r="14437" spans="1:10" hidden="1">
      <c r="A14437" t="s">
        <v>8852</v>
      </c>
      <c r="B14437" t="s">
        <v>8853</v>
      </c>
      <c r="C14437" t="s">
        <v>6839</v>
      </c>
      <c r="D14437" t="s">
        <v>324</v>
      </c>
      <c r="E14437" t="s">
        <v>556</v>
      </c>
      <c r="F14437" t="s">
        <v>1068</v>
      </c>
      <c r="G14437" t="s">
        <v>1080</v>
      </c>
      <c r="H14437" s="171" t="s">
        <v>8858</v>
      </c>
      <c r="I14437" t="s">
        <v>1082</v>
      </c>
      <c r="J14437">
        <v>4.53</v>
      </c>
    </row>
    <row r="14438" spans="1:10" hidden="1">
      <c r="A14438" t="s">
        <v>8852</v>
      </c>
      <c r="B14438" t="s">
        <v>8853</v>
      </c>
      <c r="C14438" t="s">
        <v>6839</v>
      </c>
      <c r="D14438" t="s">
        <v>324</v>
      </c>
      <c r="E14438" t="s">
        <v>556</v>
      </c>
      <c r="F14438" t="s">
        <v>1068</v>
      </c>
      <c r="G14438" t="s">
        <v>1083</v>
      </c>
      <c r="H14438" s="171" t="s">
        <v>8859</v>
      </c>
      <c r="I14438" t="s">
        <v>1084</v>
      </c>
      <c r="J14438">
        <v>4.53</v>
      </c>
    </row>
    <row r="14439" spans="1:10" hidden="1">
      <c r="A14439" t="s">
        <v>8852</v>
      </c>
      <c r="B14439" t="s">
        <v>8853</v>
      </c>
      <c r="C14439" t="s">
        <v>6839</v>
      </c>
      <c r="D14439" t="s">
        <v>324</v>
      </c>
      <c r="E14439" t="s">
        <v>556</v>
      </c>
      <c r="F14439" t="s">
        <v>1068</v>
      </c>
      <c r="G14439" t="s">
        <v>1085</v>
      </c>
      <c r="H14439">
        <v>4.1655855535168503E-4</v>
      </c>
      <c r="I14439" t="s">
        <v>1086</v>
      </c>
      <c r="J14439">
        <v>4.53</v>
      </c>
    </row>
    <row r="14440" spans="1:10" hidden="1">
      <c r="A14440" t="s">
        <v>8852</v>
      </c>
      <c r="B14440" t="s">
        <v>8853</v>
      </c>
      <c r="C14440" t="s">
        <v>6839</v>
      </c>
      <c r="D14440" t="s">
        <v>324</v>
      </c>
      <c r="E14440" t="s">
        <v>556</v>
      </c>
      <c r="F14440" t="s">
        <v>1068</v>
      </c>
      <c r="G14440" t="s">
        <v>1087</v>
      </c>
      <c r="H14440" s="171" t="s">
        <v>8860</v>
      </c>
      <c r="I14440" t="s">
        <v>1088</v>
      </c>
      <c r="J14440">
        <v>4.53</v>
      </c>
    </row>
    <row r="14441" spans="1:10" hidden="1">
      <c r="A14441" t="s">
        <v>8852</v>
      </c>
      <c r="B14441" t="s">
        <v>8853</v>
      </c>
      <c r="C14441" t="s">
        <v>6839</v>
      </c>
      <c r="D14441" t="s">
        <v>324</v>
      </c>
      <c r="E14441" t="s">
        <v>556</v>
      </c>
      <c r="F14441" t="s">
        <v>1068</v>
      </c>
      <c r="G14441" t="s">
        <v>1089</v>
      </c>
      <c r="H14441">
        <v>1.2219778608941101E-4</v>
      </c>
      <c r="I14441" t="s">
        <v>1090</v>
      </c>
      <c r="J14441">
        <v>4.53</v>
      </c>
    </row>
    <row r="14442" spans="1:10" hidden="1">
      <c r="A14442" t="s">
        <v>8861</v>
      </c>
      <c r="B14442" t="s">
        <v>8862</v>
      </c>
      <c r="C14442" t="s">
        <v>6839</v>
      </c>
      <c r="D14442" t="s">
        <v>324</v>
      </c>
      <c r="E14442" t="s">
        <v>557</v>
      </c>
      <c r="F14442" t="s">
        <v>1068</v>
      </c>
      <c r="G14442" t="s">
        <v>1069</v>
      </c>
      <c r="H14442">
        <v>4.47233644424E-2</v>
      </c>
      <c r="I14442" t="s">
        <v>1070</v>
      </c>
      <c r="J14442">
        <v>4.5599999999999996</v>
      </c>
    </row>
    <row r="14443" spans="1:10" hidden="1">
      <c r="A14443" t="s">
        <v>8861</v>
      </c>
      <c r="B14443" t="s">
        <v>8862</v>
      </c>
      <c r="C14443" t="s">
        <v>6839</v>
      </c>
      <c r="D14443" t="s">
        <v>324</v>
      </c>
      <c r="E14443" t="s">
        <v>557</v>
      </c>
      <c r="F14443" t="s">
        <v>1068</v>
      </c>
      <c r="G14443" t="s">
        <v>1071</v>
      </c>
      <c r="H14443" s="171" t="s">
        <v>8863</v>
      </c>
      <c r="I14443" t="s">
        <v>1072</v>
      </c>
      <c r="J14443">
        <v>4.5599999999999996</v>
      </c>
    </row>
    <row r="14444" spans="1:10" hidden="1">
      <c r="A14444" t="s">
        <v>8861</v>
      </c>
      <c r="B14444" t="s">
        <v>8862</v>
      </c>
      <c r="C14444" t="s">
        <v>6839</v>
      </c>
      <c r="D14444" t="s">
        <v>324</v>
      </c>
      <c r="E14444" t="s">
        <v>557</v>
      </c>
      <c r="F14444" t="s">
        <v>1068</v>
      </c>
      <c r="G14444" t="s">
        <v>1073</v>
      </c>
      <c r="H14444" s="171" t="s">
        <v>8864</v>
      </c>
      <c r="I14444" t="s">
        <v>1074</v>
      </c>
      <c r="J14444">
        <v>4.5599999999999996</v>
      </c>
    </row>
    <row r="14445" spans="1:10" hidden="1">
      <c r="A14445" t="s">
        <v>8861</v>
      </c>
      <c r="B14445" t="s">
        <v>8862</v>
      </c>
      <c r="C14445" t="s">
        <v>6839</v>
      </c>
      <c r="D14445" t="s">
        <v>324</v>
      </c>
      <c r="E14445" t="s">
        <v>557</v>
      </c>
      <c r="F14445" t="s">
        <v>1068</v>
      </c>
      <c r="G14445" t="s">
        <v>1075</v>
      </c>
      <c r="H14445" s="171" t="s">
        <v>8865</v>
      </c>
      <c r="I14445" t="s">
        <v>1077</v>
      </c>
      <c r="J14445">
        <v>4.5599999999999996</v>
      </c>
    </row>
    <row r="14446" spans="1:10" hidden="1">
      <c r="A14446" t="s">
        <v>8861</v>
      </c>
      <c r="B14446" t="s">
        <v>8862</v>
      </c>
      <c r="C14446" t="s">
        <v>6839</v>
      </c>
      <c r="D14446" t="s">
        <v>324</v>
      </c>
      <c r="E14446" t="s">
        <v>557</v>
      </c>
      <c r="F14446" t="s">
        <v>1068</v>
      </c>
      <c r="G14446" t="s">
        <v>1078</v>
      </c>
      <c r="H14446">
        <v>2.66826542410066E-2</v>
      </c>
      <c r="I14446" t="s">
        <v>1079</v>
      </c>
      <c r="J14446">
        <v>4.5599999999999996</v>
      </c>
    </row>
    <row r="14447" spans="1:10" hidden="1">
      <c r="A14447" t="s">
        <v>8861</v>
      </c>
      <c r="B14447" t="s">
        <v>8862</v>
      </c>
      <c r="C14447" t="s">
        <v>6839</v>
      </c>
      <c r="D14447" t="s">
        <v>324</v>
      </c>
      <c r="E14447" t="s">
        <v>557</v>
      </c>
      <c r="F14447" t="s">
        <v>1068</v>
      </c>
      <c r="G14447" t="s">
        <v>1080</v>
      </c>
      <c r="H14447" s="171" t="s">
        <v>8866</v>
      </c>
      <c r="I14447" t="s">
        <v>1082</v>
      </c>
      <c r="J14447">
        <v>4.5599999999999996</v>
      </c>
    </row>
    <row r="14448" spans="1:10" hidden="1">
      <c r="A14448" t="s">
        <v>8861</v>
      </c>
      <c r="B14448" t="s">
        <v>8862</v>
      </c>
      <c r="C14448" t="s">
        <v>6839</v>
      </c>
      <c r="D14448" t="s">
        <v>324</v>
      </c>
      <c r="E14448" t="s">
        <v>557</v>
      </c>
      <c r="F14448" t="s">
        <v>1068</v>
      </c>
      <c r="G14448" t="s">
        <v>1083</v>
      </c>
      <c r="H14448" s="171" t="s">
        <v>8867</v>
      </c>
      <c r="I14448" t="s">
        <v>1084</v>
      </c>
      <c r="J14448">
        <v>4.5599999999999996</v>
      </c>
    </row>
    <row r="14449" spans="1:10" hidden="1">
      <c r="A14449" t="s">
        <v>8861</v>
      </c>
      <c r="B14449" t="s">
        <v>8862</v>
      </c>
      <c r="C14449" t="s">
        <v>6839</v>
      </c>
      <c r="D14449" t="s">
        <v>324</v>
      </c>
      <c r="E14449" t="s">
        <v>557</v>
      </c>
      <c r="F14449" t="s">
        <v>1068</v>
      </c>
      <c r="G14449" t="s">
        <v>1085</v>
      </c>
      <c r="H14449">
        <v>4.1655803622668098E-4</v>
      </c>
      <c r="I14449" t="s">
        <v>1086</v>
      </c>
      <c r="J14449">
        <v>4.5599999999999996</v>
      </c>
    </row>
    <row r="14450" spans="1:10" hidden="1">
      <c r="A14450" t="s">
        <v>8861</v>
      </c>
      <c r="B14450" t="s">
        <v>8862</v>
      </c>
      <c r="C14450" t="s">
        <v>6839</v>
      </c>
      <c r="D14450" t="s">
        <v>324</v>
      </c>
      <c r="E14450" t="s">
        <v>557</v>
      </c>
      <c r="F14450" t="s">
        <v>1068</v>
      </c>
      <c r="G14450" t="s">
        <v>1087</v>
      </c>
      <c r="H14450" s="171" t="s">
        <v>8868</v>
      </c>
      <c r="I14450" t="s">
        <v>1088</v>
      </c>
      <c r="J14450">
        <v>4.5599999999999996</v>
      </c>
    </row>
    <row r="14451" spans="1:10" hidden="1">
      <c r="A14451" t="s">
        <v>8861</v>
      </c>
      <c r="B14451" t="s">
        <v>8862</v>
      </c>
      <c r="C14451" t="s">
        <v>6839</v>
      </c>
      <c r="D14451" t="s">
        <v>324</v>
      </c>
      <c r="E14451" t="s">
        <v>557</v>
      </c>
      <c r="F14451" t="s">
        <v>1068</v>
      </c>
      <c r="G14451" t="s">
        <v>1089</v>
      </c>
      <c r="H14451">
        <v>1.2219767898252501E-4</v>
      </c>
      <c r="I14451" t="s">
        <v>1090</v>
      </c>
      <c r="J14451">
        <v>4.5599999999999996</v>
      </c>
    </row>
    <row r="14452" spans="1:10" hidden="1">
      <c r="A14452" t="s">
        <v>8869</v>
      </c>
      <c r="B14452" t="s">
        <v>8870</v>
      </c>
      <c r="C14452" t="s">
        <v>6839</v>
      </c>
      <c r="D14452" t="s">
        <v>324</v>
      </c>
      <c r="E14452" t="s">
        <v>559</v>
      </c>
      <c r="F14452" t="s">
        <v>1068</v>
      </c>
      <c r="G14452" t="s">
        <v>1069</v>
      </c>
      <c r="H14452">
        <v>4.4723751637633598E-2</v>
      </c>
      <c r="I14452" t="s">
        <v>1070</v>
      </c>
      <c r="J14452">
        <v>4.51</v>
      </c>
    </row>
    <row r="14453" spans="1:10" hidden="1">
      <c r="A14453" t="s">
        <v>8869</v>
      </c>
      <c r="B14453" t="s">
        <v>8870</v>
      </c>
      <c r="C14453" t="s">
        <v>6839</v>
      </c>
      <c r="D14453" t="s">
        <v>324</v>
      </c>
      <c r="E14453" t="s">
        <v>559</v>
      </c>
      <c r="F14453" t="s">
        <v>1068</v>
      </c>
      <c r="G14453" t="s">
        <v>1071</v>
      </c>
      <c r="H14453" s="171" t="s">
        <v>8871</v>
      </c>
      <c r="I14453" t="s">
        <v>1072</v>
      </c>
      <c r="J14453">
        <v>4.51</v>
      </c>
    </row>
    <row r="14454" spans="1:10" hidden="1">
      <c r="A14454" t="s">
        <v>8869</v>
      </c>
      <c r="B14454" t="s">
        <v>8870</v>
      </c>
      <c r="C14454" t="s">
        <v>6839</v>
      </c>
      <c r="D14454" t="s">
        <v>324</v>
      </c>
      <c r="E14454" t="s">
        <v>559</v>
      </c>
      <c r="F14454" t="s">
        <v>1068</v>
      </c>
      <c r="G14454" t="s">
        <v>1073</v>
      </c>
      <c r="H14454" s="171" t="s">
        <v>8872</v>
      </c>
      <c r="I14454" t="s">
        <v>1074</v>
      </c>
      <c r="J14454">
        <v>4.51</v>
      </c>
    </row>
    <row r="14455" spans="1:10" hidden="1">
      <c r="A14455" t="s">
        <v>8869</v>
      </c>
      <c r="B14455" t="s">
        <v>8870</v>
      </c>
      <c r="C14455" t="s">
        <v>6839</v>
      </c>
      <c r="D14455" t="s">
        <v>324</v>
      </c>
      <c r="E14455" t="s">
        <v>559</v>
      </c>
      <c r="F14455" t="s">
        <v>1068</v>
      </c>
      <c r="G14455" t="s">
        <v>1075</v>
      </c>
      <c r="H14455" s="171" t="s">
        <v>8873</v>
      </c>
      <c r="I14455" t="s">
        <v>1077</v>
      </c>
      <c r="J14455">
        <v>4.51</v>
      </c>
    </row>
    <row r="14456" spans="1:10" hidden="1">
      <c r="A14456" t="s">
        <v>8869</v>
      </c>
      <c r="B14456" t="s">
        <v>8870</v>
      </c>
      <c r="C14456" t="s">
        <v>6839</v>
      </c>
      <c r="D14456" t="s">
        <v>324</v>
      </c>
      <c r="E14456" t="s">
        <v>559</v>
      </c>
      <c r="F14456" t="s">
        <v>1068</v>
      </c>
      <c r="G14456" t="s">
        <v>1078</v>
      </c>
      <c r="H14456" s="171" t="s">
        <v>8874</v>
      </c>
      <c r="I14456" t="s">
        <v>1079</v>
      </c>
      <c r="J14456">
        <v>4.51</v>
      </c>
    </row>
    <row r="14457" spans="1:10" hidden="1">
      <c r="A14457" t="s">
        <v>8869</v>
      </c>
      <c r="B14457" t="s">
        <v>8870</v>
      </c>
      <c r="C14457" t="s">
        <v>6839</v>
      </c>
      <c r="D14457" t="s">
        <v>324</v>
      </c>
      <c r="E14457" t="s">
        <v>559</v>
      </c>
      <c r="F14457" t="s">
        <v>1068</v>
      </c>
      <c r="G14457" t="s">
        <v>1080</v>
      </c>
      <c r="H14457" s="171" t="s">
        <v>8875</v>
      </c>
      <c r="I14457" t="s">
        <v>1082</v>
      </c>
      <c r="J14457">
        <v>4.51</v>
      </c>
    </row>
    <row r="14458" spans="1:10" hidden="1">
      <c r="A14458" t="s">
        <v>8869</v>
      </c>
      <c r="B14458" t="s">
        <v>8870</v>
      </c>
      <c r="C14458" t="s">
        <v>6839</v>
      </c>
      <c r="D14458" t="s">
        <v>324</v>
      </c>
      <c r="E14458" t="s">
        <v>559</v>
      </c>
      <c r="F14458" t="s">
        <v>1068</v>
      </c>
      <c r="G14458" t="s">
        <v>1083</v>
      </c>
      <c r="H14458" s="171" t="s">
        <v>8876</v>
      </c>
      <c r="I14458" t="s">
        <v>1084</v>
      </c>
      <c r="J14458">
        <v>4.51</v>
      </c>
    </row>
    <row r="14459" spans="1:10" hidden="1">
      <c r="A14459" t="s">
        <v>8869</v>
      </c>
      <c r="B14459" t="s">
        <v>8870</v>
      </c>
      <c r="C14459" t="s">
        <v>6839</v>
      </c>
      <c r="D14459" t="s">
        <v>324</v>
      </c>
      <c r="E14459" t="s">
        <v>559</v>
      </c>
      <c r="F14459" t="s">
        <v>1068</v>
      </c>
      <c r="G14459" t="s">
        <v>1085</v>
      </c>
      <c r="H14459">
        <v>4.1655830843427902E-4</v>
      </c>
      <c r="I14459" t="s">
        <v>1086</v>
      </c>
      <c r="J14459">
        <v>4.51</v>
      </c>
    </row>
    <row r="14460" spans="1:10" hidden="1">
      <c r="A14460" t="s">
        <v>8869</v>
      </c>
      <c r="B14460" t="s">
        <v>8870</v>
      </c>
      <c r="C14460" t="s">
        <v>6839</v>
      </c>
      <c r="D14460" t="s">
        <v>324</v>
      </c>
      <c r="E14460" t="s">
        <v>559</v>
      </c>
      <c r="F14460" t="s">
        <v>1068</v>
      </c>
      <c r="G14460" t="s">
        <v>1087</v>
      </c>
      <c r="H14460" s="171" t="s">
        <v>8877</v>
      </c>
      <c r="I14460" t="s">
        <v>1088</v>
      </c>
      <c r="J14460">
        <v>4.51</v>
      </c>
    </row>
    <row r="14461" spans="1:10" hidden="1">
      <c r="A14461" t="s">
        <v>8869</v>
      </c>
      <c r="B14461" t="s">
        <v>8870</v>
      </c>
      <c r="C14461" t="s">
        <v>6839</v>
      </c>
      <c r="D14461" t="s">
        <v>324</v>
      </c>
      <c r="E14461" t="s">
        <v>559</v>
      </c>
      <c r="F14461" t="s">
        <v>1068</v>
      </c>
      <c r="G14461" t="s">
        <v>1089</v>
      </c>
      <c r="H14461">
        <v>1.2219773515083701E-4</v>
      </c>
      <c r="I14461" t="s">
        <v>1090</v>
      </c>
      <c r="J14461">
        <v>4.51</v>
      </c>
    </row>
    <row r="14462" spans="1:10" hidden="1">
      <c r="A14462" t="s">
        <v>8878</v>
      </c>
      <c r="B14462" t="s">
        <v>8879</v>
      </c>
      <c r="C14462" t="s">
        <v>6839</v>
      </c>
      <c r="D14462" t="s">
        <v>324</v>
      </c>
      <c r="E14462" t="s">
        <v>560</v>
      </c>
      <c r="F14462" t="s">
        <v>1068</v>
      </c>
      <c r="G14462" t="s">
        <v>1069</v>
      </c>
      <c r="H14462">
        <v>4.4723452484620299E-2</v>
      </c>
      <c r="I14462" t="s">
        <v>1070</v>
      </c>
      <c r="J14462">
        <v>4.59</v>
      </c>
    </row>
    <row r="14463" spans="1:10" hidden="1">
      <c r="A14463" t="s">
        <v>8878</v>
      </c>
      <c r="B14463" t="s">
        <v>8879</v>
      </c>
      <c r="C14463" t="s">
        <v>6839</v>
      </c>
      <c r="D14463" t="s">
        <v>324</v>
      </c>
      <c r="E14463" t="s">
        <v>560</v>
      </c>
      <c r="F14463" t="s">
        <v>1068</v>
      </c>
      <c r="G14463" t="s">
        <v>1071</v>
      </c>
      <c r="H14463" s="171" t="s">
        <v>8880</v>
      </c>
      <c r="I14463" t="s">
        <v>1072</v>
      </c>
      <c r="J14463">
        <v>4.59</v>
      </c>
    </row>
    <row r="14464" spans="1:10" hidden="1">
      <c r="A14464" t="s">
        <v>8878</v>
      </c>
      <c r="B14464" t="s">
        <v>8879</v>
      </c>
      <c r="C14464" t="s">
        <v>6839</v>
      </c>
      <c r="D14464" t="s">
        <v>324</v>
      </c>
      <c r="E14464" t="s">
        <v>560</v>
      </c>
      <c r="F14464" t="s">
        <v>1068</v>
      </c>
      <c r="G14464" t="s">
        <v>1073</v>
      </c>
      <c r="H14464" s="171" t="s">
        <v>8881</v>
      </c>
      <c r="I14464" t="s">
        <v>1074</v>
      </c>
      <c r="J14464">
        <v>4.59</v>
      </c>
    </row>
    <row r="14465" spans="1:10" hidden="1">
      <c r="A14465" t="s">
        <v>8878</v>
      </c>
      <c r="B14465" t="s">
        <v>8879</v>
      </c>
      <c r="C14465" t="s">
        <v>6839</v>
      </c>
      <c r="D14465" t="s">
        <v>324</v>
      </c>
      <c r="E14465" t="s">
        <v>560</v>
      </c>
      <c r="F14465" t="s">
        <v>1068</v>
      </c>
      <c r="G14465" t="s">
        <v>1075</v>
      </c>
      <c r="H14465" s="171" t="s">
        <v>8882</v>
      </c>
      <c r="I14465" t="s">
        <v>1077</v>
      </c>
      <c r="J14465">
        <v>4.59</v>
      </c>
    </row>
    <row r="14466" spans="1:10" hidden="1">
      <c r="A14466" t="s">
        <v>8878</v>
      </c>
      <c r="B14466" t="s">
        <v>8879</v>
      </c>
      <c r="C14466" t="s">
        <v>6839</v>
      </c>
      <c r="D14466" t="s">
        <v>324</v>
      </c>
      <c r="E14466" t="s">
        <v>560</v>
      </c>
      <c r="F14466" t="s">
        <v>1068</v>
      </c>
      <c r="G14466" t="s">
        <v>1078</v>
      </c>
      <c r="H14466" s="171" t="s">
        <v>8883</v>
      </c>
      <c r="I14466" t="s">
        <v>1079</v>
      </c>
      <c r="J14466">
        <v>4.59</v>
      </c>
    </row>
    <row r="14467" spans="1:10" hidden="1">
      <c r="A14467" t="s">
        <v>8878</v>
      </c>
      <c r="B14467" t="s">
        <v>8879</v>
      </c>
      <c r="C14467" t="s">
        <v>6839</v>
      </c>
      <c r="D14467" t="s">
        <v>324</v>
      </c>
      <c r="E14467" t="s">
        <v>560</v>
      </c>
      <c r="F14467" t="s">
        <v>1068</v>
      </c>
      <c r="G14467" t="s">
        <v>1080</v>
      </c>
      <c r="H14467" s="171" t="s">
        <v>8884</v>
      </c>
      <c r="I14467" t="s">
        <v>1082</v>
      </c>
      <c r="J14467">
        <v>4.59</v>
      </c>
    </row>
    <row r="14468" spans="1:10" hidden="1">
      <c r="A14468" t="s">
        <v>8878</v>
      </c>
      <c r="B14468" t="s">
        <v>8879</v>
      </c>
      <c r="C14468" t="s">
        <v>6839</v>
      </c>
      <c r="D14468" t="s">
        <v>324</v>
      </c>
      <c r="E14468" t="s">
        <v>560</v>
      </c>
      <c r="F14468" t="s">
        <v>1068</v>
      </c>
      <c r="G14468" t="s">
        <v>1083</v>
      </c>
      <c r="H14468" s="171" t="s">
        <v>8885</v>
      </c>
      <c r="I14468" t="s">
        <v>1084</v>
      </c>
      <c r="J14468">
        <v>4.59</v>
      </c>
    </row>
    <row r="14469" spans="1:10" hidden="1">
      <c r="A14469" t="s">
        <v>8878</v>
      </c>
      <c r="B14469" t="s">
        <v>8879</v>
      </c>
      <c r="C14469" t="s">
        <v>6839</v>
      </c>
      <c r="D14469" t="s">
        <v>324</v>
      </c>
      <c r="E14469" t="s">
        <v>560</v>
      </c>
      <c r="F14469" t="s">
        <v>1068</v>
      </c>
      <c r="G14469" t="s">
        <v>1085</v>
      </c>
      <c r="H14469">
        <v>4.165581874758E-4</v>
      </c>
      <c r="I14469" t="s">
        <v>1086</v>
      </c>
      <c r="J14469">
        <v>4.59</v>
      </c>
    </row>
    <row r="14470" spans="1:10" hidden="1">
      <c r="A14470" t="s">
        <v>8878</v>
      </c>
      <c r="B14470" t="s">
        <v>8879</v>
      </c>
      <c r="C14470" t="s">
        <v>6839</v>
      </c>
      <c r="D14470" t="s">
        <v>324</v>
      </c>
      <c r="E14470" t="s">
        <v>560</v>
      </c>
      <c r="F14470" t="s">
        <v>1068</v>
      </c>
      <c r="G14470" t="s">
        <v>1087</v>
      </c>
      <c r="H14470" s="171" t="s">
        <v>8886</v>
      </c>
      <c r="I14470" t="s">
        <v>1088</v>
      </c>
      <c r="J14470">
        <v>4.59</v>
      </c>
    </row>
    <row r="14471" spans="1:10" hidden="1">
      <c r="A14471" t="s">
        <v>8878</v>
      </c>
      <c r="B14471" t="s">
        <v>8879</v>
      </c>
      <c r="C14471" t="s">
        <v>6839</v>
      </c>
      <c r="D14471" t="s">
        <v>324</v>
      </c>
      <c r="E14471" t="s">
        <v>560</v>
      </c>
      <c r="F14471" t="s">
        <v>1068</v>
      </c>
      <c r="G14471" t="s">
        <v>1089</v>
      </c>
      <c r="H14471">
        <v>1.22197710184918E-4</v>
      </c>
      <c r="I14471" t="s">
        <v>1090</v>
      </c>
      <c r="J14471">
        <v>4.59</v>
      </c>
    </row>
    <row r="14472" spans="1:10" hidden="1">
      <c r="A14472" t="s">
        <v>8887</v>
      </c>
      <c r="B14472" t="s">
        <v>8888</v>
      </c>
      <c r="C14472" t="s">
        <v>6839</v>
      </c>
      <c r="D14472" t="s">
        <v>324</v>
      </c>
      <c r="E14472" t="s">
        <v>1116</v>
      </c>
      <c r="F14472" t="s">
        <v>1068</v>
      </c>
      <c r="G14472" t="s">
        <v>1069</v>
      </c>
      <c r="H14472">
        <v>4.47231852676283E-2</v>
      </c>
      <c r="I14472" t="s">
        <v>1070</v>
      </c>
      <c r="J14472">
        <v>4.47</v>
      </c>
    </row>
    <row r="14473" spans="1:10" hidden="1">
      <c r="A14473" t="s">
        <v>8887</v>
      </c>
      <c r="B14473" t="s">
        <v>8888</v>
      </c>
      <c r="C14473" t="s">
        <v>6839</v>
      </c>
      <c r="D14473" t="s">
        <v>324</v>
      </c>
      <c r="E14473" t="s">
        <v>1116</v>
      </c>
      <c r="F14473" t="s">
        <v>1068</v>
      </c>
      <c r="G14473" t="s">
        <v>1071</v>
      </c>
      <c r="H14473" s="171" t="s">
        <v>8889</v>
      </c>
      <c r="I14473" t="s">
        <v>1072</v>
      </c>
      <c r="J14473">
        <v>4.47</v>
      </c>
    </row>
    <row r="14474" spans="1:10" hidden="1">
      <c r="A14474" t="s">
        <v>8887</v>
      </c>
      <c r="B14474" t="s">
        <v>8888</v>
      </c>
      <c r="C14474" t="s">
        <v>6839</v>
      </c>
      <c r="D14474" t="s">
        <v>324</v>
      </c>
      <c r="E14474" t="s">
        <v>1116</v>
      </c>
      <c r="F14474" t="s">
        <v>1068</v>
      </c>
      <c r="G14474" t="s">
        <v>1073</v>
      </c>
      <c r="H14474" s="171" t="s">
        <v>8890</v>
      </c>
      <c r="I14474" t="s">
        <v>1074</v>
      </c>
      <c r="J14474">
        <v>4.47</v>
      </c>
    </row>
    <row r="14475" spans="1:10" hidden="1">
      <c r="A14475" t="s">
        <v>8887</v>
      </c>
      <c r="B14475" t="s">
        <v>8888</v>
      </c>
      <c r="C14475" t="s">
        <v>6839</v>
      </c>
      <c r="D14475" t="s">
        <v>324</v>
      </c>
      <c r="E14475" t="s">
        <v>1116</v>
      </c>
      <c r="F14475" t="s">
        <v>1068</v>
      </c>
      <c r="G14475" t="s">
        <v>1075</v>
      </c>
      <c r="H14475" s="171" t="s">
        <v>8891</v>
      </c>
      <c r="I14475" t="s">
        <v>1077</v>
      </c>
      <c r="J14475">
        <v>4.47</v>
      </c>
    </row>
    <row r="14476" spans="1:10" hidden="1">
      <c r="A14476" t="s">
        <v>8887</v>
      </c>
      <c r="B14476" t="s">
        <v>8888</v>
      </c>
      <c r="C14476" t="s">
        <v>6839</v>
      </c>
      <c r="D14476" t="s">
        <v>324</v>
      </c>
      <c r="E14476" t="s">
        <v>1116</v>
      </c>
      <c r="F14476" t="s">
        <v>1068</v>
      </c>
      <c r="G14476" t="s">
        <v>1078</v>
      </c>
      <c r="H14476" s="171" t="s">
        <v>8892</v>
      </c>
      <c r="I14476" t="s">
        <v>1079</v>
      </c>
      <c r="J14476">
        <v>4.47</v>
      </c>
    </row>
    <row r="14477" spans="1:10" hidden="1">
      <c r="A14477" t="s">
        <v>8887</v>
      </c>
      <c r="B14477" t="s">
        <v>8888</v>
      </c>
      <c r="C14477" t="s">
        <v>6839</v>
      </c>
      <c r="D14477" t="s">
        <v>324</v>
      </c>
      <c r="E14477" t="s">
        <v>1116</v>
      </c>
      <c r="F14477" t="s">
        <v>1068</v>
      </c>
      <c r="G14477" t="s">
        <v>1080</v>
      </c>
      <c r="H14477" s="171" t="s">
        <v>8893</v>
      </c>
      <c r="I14477" t="s">
        <v>1082</v>
      </c>
      <c r="J14477">
        <v>4.47</v>
      </c>
    </row>
    <row r="14478" spans="1:10" hidden="1">
      <c r="A14478" t="s">
        <v>8887</v>
      </c>
      <c r="B14478" t="s">
        <v>8888</v>
      </c>
      <c r="C14478" t="s">
        <v>6839</v>
      </c>
      <c r="D14478" t="s">
        <v>324</v>
      </c>
      <c r="E14478" t="s">
        <v>1116</v>
      </c>
      <c r="F14478" t="s">
        <v>1068</v>
      </c>
      <c r="G14478" t="s">
        <v>1083</v>
      </c>
      <c r="H14478" s="171" t="s">
        <v>8894</v>
      </c>
      <c r="I14478" t="s">
        <v>1084</v>
      </c>
      <c r="J14478">
        <v>4.47</v>
      </c>
    </row>
    <row r="14479" spans="1:10" hidden="1">
      <c r="A14479" t="s">
        <v>8887</v>
      </c>
      <c r="B14479" t="s">
        <v>8888</v>
      </c>
      <c r="C14479" t="s">
        <v>6839</v>
      </c>
      <c r="D14479" t="s">
        <v>324</v>
      </c>
      <c r="E14479" t="s">
        <v>1116</v>
      </c>
      <c r="F14479" t="s">
        <v>1068</v>
      </c>
      <c r="G14479" t="s">
        <v>1085</v>
      </c>
      <c r="H14479">
        <v>4.16557728419508E-4</v>
      </c>
      <c r="I14479" t="s">
        <v>1086</v>
      </c>
      <c r="J14479">
        <v>4.47</v>
      </c>
    </row>
    <row r="14480" spans="1:10" hidden="1">
      <c r="A14480" t="s">
        <v>8887</v>
      </c>
      <c r="B14480" t="s">
        <v>8888</v>
      </c>
      <c r="C14480" t="s">
        <v>6839</v>
      </c>
      <c r="D14480" t="s">
        <v>324</v>
      </c>
      <c r="E14480" t="s">
        <v>1116</v>
      </c>
      <c r="F14480" t="s">
        <v>1068</v>
      </c>
      <c r="G14480" t="s">
        <v>1087</v>
      </c>
      <c r="H14480" s="171" t="s">
        <v>8895</v>
      </c>
      <c r="I14480" t="s">
        <v>1088</v>
      </c>
      <c r="J14480">
        <v>4.47</v>
      </c>
    </row>
    <row r="14481" spans="1:10" hidden="1">
      <c r="A14481" t="s">
        <v>8887</v>
      </c>
      <c r="B14481" t="s">
        <v>8888</v>
      </c>
      <c r="C14481" t="s">
        <v>6839</v>
      </c>
      <c r="D14481" t="s">
        <v>324</v>
      </c>
      <c r="E14481" t="s">
        <v>1116</v>
      </c>
      <c r="F14481" t="s">
        <v>1068</v>
      </c>
      <c r="G14481" t="s">
        <v>1089</v>
      </c>
      <c r="H14481">
        <v>1.2219761548251201E-4</v>
      </c>
      <c r="I14481" t="s">
        <v>1090</v>
      </c>
      <c r="J14481">
        <v>4.47</v>
      </c>
    </row>
    <row r="14482" spans="1:10" hidden="1">
      <c r="A14482" t="s">
        <v>8896</v>
      </c>
      <c r="B14482" t="s">
        <v>8897</v>
      </c>
      <c r="C14482" t="s">
        <v>6839</v>
      </c>
      <c r="D14482" t="s">
        <v>1368</v>
      </c>
      <c r="E14482" t="s">
        <v>561</v>
      </c>
      <c r="F14482" t="s">
        <v>1068</v>
      </c>
      <c r="G14482" t="s">
        <v>1069</v>
      </c>
      <c r="H14482">
        <v>5.8066658597221703E-2</v>
      </c>
      <c r="I14482" t="s">
        <v>1070</v>
      </c>
      <c r="J14482">
        <v>4.5</v>
      </c>
    </row>
    <row r="14483" spans="1:10" hidden="1">
      <c r="A14483" t="s">
        <v>8896</v>
      </c>
      <c r="B14483" t="s">
        <v>8897</v>
      </c>
      <c r="C14483" t="s">
        <v>6839</v>
      </c>
      <c r="D14483" t="s">
        <v>1368</v>
      </c>
      <c r="E14483" t="s">
        <v>561</v>
      </c>
      <c r="F14483" t="s">
        <v>1068</v>
      </c>
      <c r="G14483" t="s">
        <v>1071</v>
      </c>
      <c r="H14483" s="171" t="s">
        <v>8898</v>
      </c>
      <c r="I14483" t="s">
        <v>1072</v>
      </c>
      <c r="J14483">
        <v>4.5</v>
      </c>
    </row>
    <row r="14484" spans="1:10" hidden="1">
      <c r="A14484" t="s">
        <v>8896</v>
      </c>
      <c r="B14484" t="s">
        <v>8897</v>
      </c>
      <c r="C14484" t="s">
        <v>6839</v>
      </c>
      <c r="D14484" t="s">
        <v>1368</v>
      </c>
      <c r="E14484" t="s">
        <v>561</v>
      </c>
      <c r="F14484" t="s">
        <v>1068</v>
      </c>
      <c r="G14484" t="s">
        <v>1073</v>
      </c>
      <c r="H14484" s="171" t="s">
        <v>8899</v>
      </c>
      <c r="I14484" t="s">
        <v>1074</v>
      </c>
      <c r="J14484">
        <v>4.5</v>
      </c>
    </row>
    <row r="14485" spans="1:10" hidden="1">
      <c r="A14485" t="s">
        <v>8896</v>
      </c>
      <c r="B14485" t="s">
        <v>8897</v>
      </c>
      <c r="C14485" t="s">
        <v>6839</v>
      </c>
      <c r="D14485" t="s">
        <v>1368</v>
      </c>
      <c r="E14485" t="s">
        <v>561</v>
      </c>
      <c r="F14485" t="s">
        <v>1068</v>
      </c>
      <c r="G14485" t="s">
        <v>1075</v>
      </c>
      <c r="H14485">
        <v>9.8661596068468395E-3</v>
      </c>
      <c r="I14485" t="s">
        <v>1077</v>
      </c>
      <c r="J14485">
        <v>4.5</v>
      </c>
    </row>
    <row r="14486" spans="1:10" hidden="1">
      <c r="A14486" t="s">
        <v>8896</v>
      </c>
      <c r="B14486" t="s">
        <v>8897</v>
      </c>
      <c r="C14486" t="s">
        <v>6839</v>
      </c>
      <c r="D14486" t="s">
        <v>1368</v>
      </c>
      <c r="E14486" t="s">
        <v>561</v>
      </c>
      <c r="F14486" t="s">
        <v>1068</v>
      </c>
      <c r="G14486" t="s">
        <v>1078</v>
      </c>
      <c r="H14486">
        <v>3.7247553155519197E-2</v>
      </c>
      <c r="I14486" t="s">
        <v>1079</v>
      </c>
      <c r="J14486">
        <v>4.5</v>
      </c>
    </row>
    <row r="14487" spans="1:10" hidden="1">
      <c r="A14487" t="s">
        <v>8896</v>
      </c>
      <c r="B14487" t="s">
        <v>8897</v>
      </c>
      <c r="C14487" t="s">
        <v>6839</v>
      </c>
      <c r="D14487" t="s">
        <v>1368</v>
      </c>
      <c r="E14487" t="s">
        <v>561</v>
      </c>
      <c r="F14487" t="s">
        <v>1068</v>
      </c>
      <c r="G14487" t="s">
        <v>1080</v>
      </c>
      <c r="H14487" s="171" t="s">
        <v>8900</v>
      </c>
      <c r="I14487" t="s">
        <v>1082</v>
      </c>
      <c r="J14487">
        <v>4.5</v>
      </c>
    </row>
    <row r="14488" spans="1:10" hidden="1">
      <c r="A14488" t="s">
        <v>8896</v>
      </c>
      <c r="B14488" t="s">
        <v>8897</v>
      </c>
      <c r="C14488" t="s">
        <v>6839</v>
      </c>
      <c r="D14488" t="s">
        <v>1368</v>
      </c>
      <c r="E14488" t="s">
        <v>561</v>
      </c>
      <c r="F14488" t="s">
        <v>1068</v>
      </c>
      <c r="G14488" t="s">
        <v>1083</v>
      </c>
      <c r="H14488" s="171" t="s">
        <v>8901</v>
      </c>
      <c r="I14488" t="s">
        <v>1084</v>
      </c>
      <c r="J14488">
        <v>4.5</v>
      </c>
    </row>
    <row r="14489" spans="1:10" hidden="1">
      <c r="A14489" t="s">
        <v>8896</v>
      </c>
      <c r="B14489" t="s">
        <v>8897</v>
      </c>
      <c r="C14489" t="s">
        <v>6839</v>
      </c>
      <c r="D14489" t="s">
        <v>1368</v>
      </c>
      <c r="E14489" t="s">
        <v>561</v>
      </c>
      <c r="F14489" t="s">
        <v>1068</v>
      </c>
      <c r="G14489" t="s">
        <v>1085</v>
      </c>
      <c r="H14489">
        <v>3.6864879326793199E-4</v>
      </c>
      <c r="I14489" t="s">
        <v>1086</v>
      </c>
      <c r="J14489">
        <v>4.5</v>
      </c>
    </row>
    <row r="14490" spans="1:10" hidden="1">
      <c r="A14490" t="s">
        <v>8896</v>
      </c>
      <c r="B14490" t="s">
        <v>8897</v>
      </c>
      <c r="C14490" t="s">
        <v>6839</v>
      </c>
      <c r="D14490" t="s">
        <v>1368</v>
      </c>
      <c r="E14490" t="s">
        <v>561</v>
      </c>
      <c r="F14490" t="s">
        <v>1068</v>
      </c>
      <c r="G14490" t="s">
        <v>1087</v>
      </c>
      <c r="H14490" s="171" t="s">
        <v>8902</v>
      </c>
      <c r="I14490" t="s">
        <v>1088</v>
      </c>
      <c r="J14490">
        <v>4.5</v>
      </c>
    </row>
    <row r="14491" spans="1:10" hidden="1">
      <c r="A14491" t="s">
        <v>8896</v>
      </c>
      <c r="B14491" t="s">
        <v>8897</v>
      </c>
      <c r="C14491" t="s">
        <v>6839</v>
      </c>
      <c r="D14491" t="s">
        <v>1368</v>
      </c>
      <c r="E14491" t="s">
        <v>561</v>
      </c>
      <c r="F14491" t="s">
        <v>1068</v>
      </c>
      <c r="G14491" t="s">
        <v>1089</v>
      </c>
      <c r="H14491">
        <v>1.07197004504894E-4</v>
      </c>
      <c r="I14491" t="s">
        <v>1090</v>
      </c>
      <c r="J14491">
        <v>4.5</v>
      </c>
    </row>
    <row r="14492" spans="1:10" hidden="1">
      <c r="A14492" t="s">
        <v>8903</v>
      </c>
      <c r="B14492" t="s">
        <v>8904</v>
      </c>
      <c r="C14492" t="s">
        <v>6839</v>
      </c>
      <c r="D14492" t="s">
        <v>1368</v>
      </c>
      <c r="E14492" t="s">
        <v>555</v>
      </c>
      <c r="F14492" t="s">
        <v>1068</v>
      </c>
      <c r="G14492" t="s">
        <v>1069</v>
      </c>
      <c r="H14492">
        <v>5.8071503599082801E-2</v>
      </c>
      <c r="I14492" t="s">
        <v>1070</v>
      </c>
      <c r="J14492">
        <v>4.4400000000000004</v>
      </c>
    </row>
    <row r="14493" spans="1:10" hidden="1">
      <c r="A14493" t="s">
        <v>8903</v>
      </c>
      <c r="B14493" t="s">
        <v>8904</v>
      </c>
      <c r="C14493" t="s">
        <v>6839</v>
      </c>
      <c r="D14493" t="s">
        <v>1368</v>
      </c>
      <c r="E14493" t="s">
        <v>555</v>
      </c>
      <c r="F14493" t="s">
        <v>1068</v>
      </c>
      <c r="G14493" t="s">
        <v>1071</v>
      </c>
      <c r="H14493" s="171" t="s">
        <v>8905</v>
      </c>
      <c r="I14493" t="s">
        <v>1072</v>
      </c>
      <c r="J14493">
        <v>4.4400000000000004</v>
      </c>
    </row>
    <row r="14494" spans="1:10" hidden="1">
      <c r="A14494" t="s">
        <v>8903</v>
      </c>
      <c r="B14494" t="s">
        <v>8904</v>
      </c>
      <c r="C14494" t="s">
        <v>6839</v>
      </c>
      <c r="D14494" t="s">
        <v>1368</v>
      </c>
      <c r="E14494" t="s">
        <v>555</v>
      </c>
      <c r="F14494" t="s">
        <v>1068</v>
      </c>
      <c r="G14494" t="s">
        <v>1073</v>
      </c>
      <c r="H14494" s="171" t="s">
        <v>8906</v>
      </c>
      <c r="I14494" t="s">
        <v>1074</v>
      </c>
      <c r="J14494">
        <v>4.4400000000000004</v>
      </c>
    </row>
    <row r="14495" spans="1:10" hidden="1">
      <c r="A14495" t="s">
        <v>8903</v>
      </c>
      <c r="B14495" t="s">
        <v>8904</v>
      </c>
      <c r="C14495" t="s">
        <v>6839</v>
      </c>
      <c r="D14495" t="s">
        <v>1368</v>
      </c>
      <c r="E14495" t="s">
        <v>555</v>
      </c>
      <c r="F14495" t="s">
        <v>1068</v>
      </c>
      <c r="G14495" t="s">
        <v>1075</v>
      </c>
      <c r="H14495">
        <v>9.8662643692881899E-3</v>
      </c>
      <c r="I14495" t="s">
        <v>1077</v>
      </c>
      <c r="J14495">
        <v>4.4400000000000004</v>
      </c>
    </row>
    <row r="14496" spans="1:10" hidden="1">
      <c r="A14496" t="s">
        <v>8903</v>
      </c>
      <c r="B14496" t="s">
        <v>8904</v>
      </c>
      <c r="C14496" t="s">
        <v>6839</v>
      </c>
      <c r="D14496" t="s">
        <v>1368</v>
      </c>
      <c r="E14496" t="s">
        <v>555</v>
      </c>
      <c r="F14496" t="s">
        <v>1068</v>
      </c>
      <c r="G14496" t="s">
        <v>1078</v>
      </c>
      <c r="H14496">
        <v>3.7252082665396299E-2</v>
      </c>
      <c r="I14496" t="s">
        <v>1079</v>
      </c>
      <c r="J14496">
        <v>4.4400000000000004</v>
      </c>
    </row>
    <row r="14497" spans="1:10" hidden="1">
      <c r="A14497" t="s">
        <v>8903</v>
      </c>
      <c r="B14497" t="s">
        <v>8904</v>
      </c>
      <c r="C14497" t="s">
        <v>6839</v>
      </c>
      <c r="D14497" t="s">
        <v>1368</v>
      </c>
      <c r="E14497" t="s">
        <v>555</v>
      </c>
      <c r="F14497" t="s">
        <v>1068</v>
      </c>
      <c r="G14497" t="s">
        <v>1080</v>
      </c>
      <c r="H14497" s="171" t="s">
        <v>8907</v>
      </c>
      <c r="I14497" t="s">
        <v>1082</v>
      </c>
      <c r="J14497">
        <v>4.4400000000000004</v>
      </c>
    </row>
    <row r="14498" spans="1:10" hidden="1">
      <c r="A14498" t="s">
        <v>8903</v>
      </c>
      <c r="B14498" t="s">
        <v>8904</v>
      </c>
      <c r="C14498" t="s">
        <v>6839</v>
      </c>
      <c r="D14498" t="s">
        <v>1368</v>
      </c>
      <c r="E14498" t="s">
        <v>555</v>
      </c>
      <c r="F14498" t="s">
        <v>1068</v>
      </c>
      <c r="G14498" t="s">
        <v>1083</v>
      </c>
      <c r="H14498" s="171" t="s">
        <v>8908</v>
      </c>
      <c r="I14498" t="s">
        <v>1084</v>
      </c>
      <c r="J14498">
        <v>4.4400000000000004</v>
      </c>
    </row>
    <row r="14499" spans="1:10" hidden="1">
      <c r="A14499" t="s">
        <v>8903</v>
      </c>
      <c r="B14499" t="s">
        <v>8904</v>
      </c>
      <c r="C14499" t="s">
        <v>6839</v>
      </c>
      <c r="D14499" t="s">
        <v>1368</v>
      </c>
      <c r="E14499" t="s">
        <v>555</v>
      </c>
      <c r="F14499" t="s">
        <v>1068</v>
      </c>
      <c r="G14499" t="s">
        <v>1085</v>
      </c>
      <c r="H14499">
        <v>3.6865448573508898E-4</v>
      </c>
      <c r="I14499" t="s">
        <v>1086</v>
      </c>
      <c r="J14499">
        <v>4.4400000000000004</v>
      </c>
    </row>
    <row r="14500" spans="1:10" hidden="1">
      <c r="A14500" t="s">
        <v>8903</v>
      </c>
      <c r="B14500" t="s">
        <v>8904</v>
      </c>
      <c r="C14500" t="s">
        <v>6839</v>
      </c>
      <c r="D14500" t="s">
        <v>1368</v>
      </c>
      <c r="E14500" t="s">
        <v>555</v>
      </c>
      <c r="F14500" t="s">
        <v>1068</v>
      </c>
      <c r="G14500" t="s">
        <v>1087</v>
      </c>
      <c r="H14500" s="171" t="s">
        <v>8909</v>
      </c>
      <c r="I14500" t="s">
        <v>1088</v>
      </c>
      <c r="J14500">
        <v>4.4400000000000004</v>
      </c>
    </row>
    <row r="14501" spans="1:10" hidden="1">
      <c r="A14501" t="s">
        <v>8903</v>
      </c>
      <c r="B14501" t="s">
        <v>8904</v>
      </c>
      <c r="C14501" t="s">
        <v>6839</v>
      </c>
      <c r="D14501" t="s">
        <v>1368</v>
      </c>
      <c r="E14501" t="s">
        <v>555</v>
      </c>
      <c r="F14501" t="s">
        <v>1068</v>
      </c>
      <c r="G14501" t="s">
        <v>1089</v>
      </c>
      <c r="H14501">
        <v>1.07198178932796E-4</v>
      </c>
      <c r="I14501" t="s">
        <v>1090</v>
      </c>
      <c r="J14501">
        <v>4.4400000000000004</v>
      </c>
    </row>
    <row r="14502" spans="1:10" hidden="1">
      <c r="A14502" t="s">
        <v>8910</v>
      </c>
      <c r="B14502" t="s">
        <v>8911</v>
      </c>
      <c r="C14502" t="s">
        <v>6839</v>
      </c>
      <c r="D14502" t="s">
        <v>1368</v>
      </c>
      <c r="E14502" t="s">
        <v>558</v>
      </c>
      <c r="F14502" t="s">
        <v>1068</v>
      </c>
      <c r="G14502" t="s">
        <v>1069</v>
      </c>
      <c r="H14502">
        <v>5.8066381226952402E-2</v>
      </c>
      <c r="I14502" t="s">
        <v>1070</v>
      </c>
      <c r="J14502">
        <v>4.55</v>
      </c>
    </row>
    <row r="14503" spans="1:10" hidden="1">
      <c r="A14503" t="s">
        <v>8910</v>
      </c>
      <c r="B14503" t="s">
        <v>8911</v>
      </c>
      <c r="C14503" t="s">
        <v>6839</v>
      </c>
      <c r="D14503" t="s">
        <v>1368</v>
      </c>
      <c r="E14503" t="s">
        <v>558</v>
      </c>
      <c r="F14503" t="s">
        <v>1068</v>
      </c>
      <c r="G14503" t="s">
        <v>1071</v>
      </c>
      <c r="H14503" s="171" t="s">
        <v>8912</v>
      </c>
      <c r="I14503" t="s">
        <v>1072</v>
      </c>
      <c r="J14503">
        <v>4.55</v>
      </c>
    </row>
    <row r="14504" spans="1:10" hidden="1">
      <c r="A14504" t="s">
        <v>8910</v>
      </c>
      <c r="B14504" t="s">
        <v>8911</v>
      </c>
      <c r="C14504" t="s">
        <v>6839</v>
      </c>
      <c r="D14504" t="s">
        <v>1368</v>
      </c>
      <c r="E14504" t="s">
        <v>558</v>
      </c>
      <c r="F14504" t="s">
        <v>1068</v>
      </c>
      <c r="G14504" t="s">
        <v>1073</v>
      </c>
      <c r="H14504" s="171" t="s">
        <v>8913</v>
      </c>
      <c r="I14504" t="s">
        <v>1074</v>
      </c>
      <c r="J14504">
        <v>4.55</v>
      </c>
    </row>
    <row r="14505" spans="1:10" hidden="1">
      <c r="A14505" t="s">
        <v>8910</v>
      </c>
      <c r="B14505" t="s">
        <v>8911</v>
      </c>
      <c r="C14505" t="s">
        <v>6839</v>
      </c>
      <c r="D14505" t="s">
        <v>1368</v>
      </c>
      <c r="E14505" t="s">
        <v>558</v>
      </c>
      <c r="F14505" t="s">
        <v>1068</v>
      </c>
      <c r="G14505" t="s">
        <v>1075</v>
      </c>
      <c r="H14505">
        <v>9.8661508388763492E-3</v>
      </c>
      <c r="I14505" t="s">
        <v>1077</v>
      </c>
      <c r="J14505">
        <v>4.55</v>
      </c>
    </row>
    <row r="14506" spans="1:10" hidden="1">
      <c r="A14506" t="s">
        <v>8910</v>
      </c>
      <c r="B14506" t="s">
        <v>8911</v>
      </c>
      <c r="C14506" t="s">
        <v>6839</v>
      </c>
      <c r="D14506" t="s">
        <v>1368</v>
      </c>
      <c r="E14506" t="s">
        <v>558</v>
      </c>
      <c r="F14506" t="s">
        <v>1068</v>
      </c>
      <c r="G14506" t="s">
        <v>1078</v>
      </c>
      <c r="H14506">
        <v>3.7247173994654E-2</v>
      </c>
      <c r="I14506" t="s">
        <v>1079</v>
      </c>
      <c r="J14506">
        <v>4.55</v>
      </c>
    </row>
    <row r="14507" spans="1:10" hidden="1">
      <c r="A14507" t="s">
        <v>8910</v>
      </c>
      <c r="B14507" t="s">
        <v>8911</v>
      </c>
      <c r="C14507" t="s">
        <v>6839</v>
      </c>
      <c r="D14507" t="s">
        <v>1368</v>
      </c>
      <c r="E14507" t="s">
        <v>558</v>
      </c>
      <c r="F14507" t="s">
        <v>1068</v>
      </c>
      <c r="G14507" t="s">
        <v>1080</v>
      </c>
      <c r="H14507" s="171" t="s">
        <v>8914</v>
      </c>
      <c r="I14507" t="s">
        <v>1082</v>
      </c>
      <c r="J14507">
        <v>4.55</v>
      </c>
    </row>
    <row r="14508" spans="1:10" hidden="1">
      <c r="A14508" t="s">
        <v>8910</v>
      </c>
      <c r="B14508" t="s">
        <v>8911</v>
      </c>
      <c r="C14508" t="s">
        <v>6839</v>
      </c>
      <c r="D14508" t="s">
        <v>1368</v>
      </c>
      <c r="E14508" t="s">
        <v>558</v>
      </c>
      <c r="F14508" t="s">
        <v>1068</v>
      </c>
      <c r="G14508" t="s">
        <v>1083</v>
      </c>
      <c r="H14508" s="171" t="s">
        <v>8915</v>
      </c>
      <c r="I14508" t="s">
        <v>1084</v>
      </c>
      <c r="J14508">
        <v>4.55</v>
      </c>
    </row>
    <row r="14509" spans="1:10" hidden="1">
      <c r="A14509" t="s">
        <v>8910</v>
      </c>
      <c r="B14509" t="s">
        <v>8911</v>
      </c>
      <c r="C14509" t="s">
        <v>6839</v>
      </c>
      <c r="D14509" t="s">
        <v>1368</v>
      </c>
      <c r="E14509" t="s">
        <v>558</v>
      </c>
      <c r="F14509" t="s">
        <v>1068</v>
      </c>
      <c r="G14509" t="s">
        <v>1085</v>
      </c>
      <c r="H14509">
        <v>3.68648316769163E-4</v>
      </c>
      <c r="I14509" t="s">
        <v>1086</v>
      </c>
      <c r="J14509">
        <v>4.55</v>
      </c>
    </row>
    <row r="14510" spans="1:10" hidden="1">
      <c r="A14510" t="s">
        <v>8910</v>
      </c>
      <c r="B14510" t="s">
        <v>8911</v>
      </c>
      <c r="C14510" t="s">
        <v>6839</v>
      </c>
      <c r="D14510" t="s">
        <v>1368</v>
      </c>
      <c r="E14510" t="s">
        <v>558</v>
      </c>
      <c r="F14510" t="s">
        <v>1068</v>
      </c>
      <c r="G14510" t="s">
        <v>1087</v>
      </c>
      <c r="H14510" s="171" t="s">
        <v>8916</v>
      </c>
      <c r="I14510" t="s">
        <v>1088</v>
      </c>
      <c r="J14510">
        <v>4.55</v>
      </c>
    </row>
    <row r="14511" spans="1:10" hidden="1">
      <c r="A14511" t="s">
        <v>8910</v>
      </c>
      <c r="B14511" t="s">
        <v>8911</v>
      </c>
      <c r="C14511" t="s">
        <v>6839</v>
      </c>
      <c r="D14511" t="s">
        <v>1368</v>
      </c>
      <c r="E14511" t="s">
        <v>558</v>
      </c>
      <c r="F14511" t="s">
        <v>1068</v>
      </c>
      <c r="G14511" t="s">
        <v>1089</v>
      </c>
      <c r="H14511">
        <v>1.07196906204138E-4</v>
      </c>
      <c r="I14511" t="s">
        <v>1090</v>
      </c>
      <c r="J14511">
        <v>4.55</v>
      </c>
    </row>
    <row r="14512" spans="1:10" hidden="1">
      <c r="A14512" t="s">
        <v>8917</v>
      </c>
      <c r="B14512" t="s">
        <v>8918</v>
      </c>
      <c r="C14512" t="s">
        <v>6839</v>
      </c>
      <c r="D14512" t="s">
        <v>1368</v>
      </c>
      <c r="E14512" t="s">
        <v>553</v>
      </c>
      <c r="F14512" t="s">
        <v>1068</v>
      </c>
      <c r="G14512" t="s">
        <v>1069</v>
      </c>
      <c r="H14512">
        <v>5.80677995986272E-2</v>
      </c>
      <c r="I14512" t="s">
        <v>1070</v>
      </c>
      <c r="J14512">
        <v>4.5599999999999996</v>
      </c>
    </row>
    <row r="14513" spans="1:10" hidden="1">
      <c r="A14513" t="s">
        <v>8917</v>
      </c>
      <c r="B14513" t="s">
        <v>8918</v>
      </c>
      <c r="C14513" t="s">
        <v>6839</v>
      </c>
      <c r="D14513" t="s">
        <v>1368</v>
      </c>
      <c r="E14513" t="s">
        <v>553</v>
      </c>
      <c r="F14513" t="s">
        <v>1068</v>
      </c>
      <c r="G14513" t="s">
        <v>1071</v>
      </c>
      <c r="H14513" s="171" t="s">
        <v>8919</v>
      </c>
      <c r="I14513" t="s">
        <v>1072</v>
      </c>
      <c r="J14513">
        <v>4.5599999999999996</v>
      </c>
    </row>
    <row r="14514" spans="1:10" hidden="1">
      <c r="A14514" t="s">
        <v>8917</v>
      </c>
      <c r="B14514" t="s">
        <v>8918</v>
      </c>
      <c r="C14514" t="s">
        <v>6839</v>
      </c>
      <c r="D14514" t="s">
        <v>1368</v>
      </c>
      <c r="E14514" t="s">
        <v>553</v>
      </c>
      <c r="F14514" t="s">
        <v>1068</v>
      </c>
      <c r="G14514" t="s">
        <v>1073</v>
      </c>
      <c r="H14514" s="171" t="s">
        <v>8920</v>
      </c>
      <c r="I14514" t="s">
        <v>1074</v>
      </c>
      <c r="J14514">
        <v>4.5599999999999996</v>
      </c>
    </row>
    <row r="14515" spans="1:10" hidden="1">
      <c r="A14515" t="s">
        <v>8917</v>
      </c>
      <c r="B14515" t="s">
        <v>8918</v>
      </c>
      <c r="C14515" t="s">
        <v>6839</v>
      </c>
      <c r="D14515" t="s">
        <v>1368</v>
      </c>
      <c r="E14515" t="s">
        <v>553</v>
      </c>
      <c r="F14515" t="s">
        <v>1068</v>
      </c>
      <c r="G14515" t="s">
        <v>1075</v>
      </c>
      <c r="H14515">
        <v>9.8661472818770898E-3</v>
      </c>
      <c r="I14515" t="s">
        <v>1077</v>
      </c>
      <c r="J14515">
        <v>4.5599999999999996</v>
      </c>
    </row>
    <row r="14516" spans="1:10" hidden="1">
      <c r="A14516" t="s">
        <v>8917</v>
      </c>
      <c r="B14516" t="s">
        <v>8918</v>
      </c>
      <c r="C14516" t="s">
        <v>6839</v>
      </c>
      <c r="D14516" t="s">
        <v>1368</v>
      </c>
      <c r="E14516" t="s">
        <v>553</v>
      </c>
      <c r="F14516" t="s">
        <v>1068</v>
      </c>
      <c r="G14516" t="s">
        <v>1078</v>
      </c>
      <c r="H14516">
        <v>3.7247019354080799E-2</v>
      </c>
      <c r="I14516" t="s">
        <v>1079</v>
      </c>
      <c r="J14516">
        <v>4.5599999999999996</v>
      </c>
    </row>
    <row r="14517" spans="1:10" hidden="1">
      <c r="A14517" t="s">
        <v>8917</v>
      </c>
      <c r="B14517" t="s">
        <v>8918</v>
      </c>
      <c r="C14517" t="s">
        <v>6839</v>
      </c>
      <c r="D14517" t="s">
        <v>1368</v>
      </c>
      <c r="E14517" t="s">
        <v>553</v>
      </c>
      <c r="F14517" t="s">
        <v>1068</v>
      </c>
      <c r="G14517" t="s">
        <v>1080</v>
      </c>
      <c r="H14517" s="171" t="s">
        <v>8921</v>
      </c>
      <c r="I14517" t="s">
        <v>1082</v>
      </c>
      <c r="J14517">
        <v>4.5599999999999996</v>
      </c>
    </row>
    <row r="14518" spans="1:10" hidden="1">
      <c r="A14518" t="s">
        <v>8917</v>
      </c>
      <c r="B14518" t="s">
        <v>8918</v>
      </c>
      <c r="C14518" t="s">
        <v>6839</v>
      </c>
      <c r="D14518" t="s">
        <v>1368</v>
      </c>
      <c r="E14518" t="s">
        <v>553</v>
      </c>
      <c r="F14518" t="s">
        <v>1068</v>
      </c>
      <c r="G14518" t="s">
        <v>1083</v>
      </c>
      <c r="H14518" s="171" t="s">
        <v>8922</v>
      </c>
      <c r="I14518" t="s">
        <v>1084</v>
      </c>
      <c r="J14518">
        <v>4.5599999999999996</v>
      </c>
    </row>
    <row r="14519" spans="1:10" hidden="1">
      <c r="A14519" t="s">
        <v>8917</v>
      </c>
      <c r="B14519" t="s">
        <v>8918</v>
      </c>
      <c r="C14519" t="s">
        <v>6839</v>
      </c>
      <c r="D14519" t="s">
        <v>1368</v>
      </c>
      <c r="E14519" t="s">
        <v>553</v>
      </c>
      <c r="F14519" t="s">
        <v>1068</v>
      </c>
      <c r="G14519" t="s">
        <v>1085</v>
      </c>
      <c r="H14519">
        <v>3.6864812257414101E-4</v>
      </c>
      <c r="I14519" t="s">
        <v>1086</v>
      </c>
      <c r="J14519">
        <v>4.5599999999999996</v>
      </c>
    </row>
    <row r="14520" spans="1:10" hidden="1">
      <c r="A14520" t="s">
        <v>8917</v>
      </c>
      <c r="B14520" t="s">
        <v>8918</v>
      </c>
      <c r="C14520" t="s">
        <v>6839</v>
      </c>
      <c r="D14520" t="s">
        <v>1368</v>
      </c>
      <c r="E14520" t="s">
        <v>553</v>
      </c>
      <c r="F14520" t="s">
        <v>1068</v>
      </c>
      <c r="G14520" t="s">
        <v>1087</v>
      </c>
      <c r="H14520" s="171" t="s">
        <v>8923</v>
      </c>
      <c r="I14520" t="s">
        <v>1088</v>
      </c>
      <c r="J14520">
        <v>4.5599999999999996</v>
      </c>
    </row>
    <row r="14521" spans="1:10" hidden="1">
      <c r="A14521" t="s">
        <v>8917</v>
      </c>
      <c r="B14521" t="s">
        <v>8918</v>
      </c>
      <c r="C14521" t="s">
        <v>6839</v>
      </c>
      <c r="D14521" t="s">
        <v>1368</v>
      </c>
      <c r="E14521" t="s">
        <v>553</v>
      </c>
      <c r="F14521" t="s">
        <v>1068</v>
      </c>
      <c r="G14521" t="s">
        <v>1089</v>
      </c>
      <c r="H14521">
        <v>1.07196866225259E-4</v>
      </c>
      <c r="I14521" t="s">
        <v>1090</v>
      </c>
      <c r="J14521">
        <v>4.5599999999999996</v>
      </c>
    </row>
    <row r="14522" spans="1:10" hidden="1">
      <c r="A14522" t="s">
        <v>8924</v>
      </c>
      <c r="B14522" t="s">
        <v>8925</v>
      </c>
      <c r="C14522" t="s">
        <v>6839</v>
      </c>
      <c r="D14522" t="s">
        <v>1368</v>
      </c>
      <c r="E14522" t="s">
        <v>556</v>
      </c>
      <c r="F14522" t="s">
        <v>1068</v>
      </c>
      <c r="G14522" t="s">
        <v>1069</v>
      </c>
      <c r="H14522">
        <v>5.8071155451774499E-2</v>
      </c>
      <c r="I14522" t="s">
        <v>1070</v>
      </c>
      <c r="J14522">
        <v>4.43</v>
      </c>
    </row>
    <row r="14523" spans="1:10" hidden="1">
      <c r="A14523" t="s">
        <v>8924</v>
      </c>
      <c r="B14523" t="s">
        <v>8925</v>
      </c>
      <c r="C14523" t="s">
        <v>6839</v>
      </c>
      <c r="D14523" t="s">
        <v>1368</v>
      </c>
      <c r="E14523" t="s">
        <v>556</v>
      </c>
      <c r="F14523" t="s">
        <v>1068</v>
      </c>
      <c r="G14523" t="s">
        <v>1071</v>
      </c>
      <c r="H14523" s="171" t="s">
        <v>8926</v>
      </c>
      <c r="I14523" t="s">
        <v>1072</v>
      </c>
      <c r="J14523">
        <v>4.43</v>
      </c>
    </row>
    <row r="14524" spans="1:10" hidden="1">
      <c r="A14524" t="s">
        <v>8924</v>
      </c>
      <c r="B14524" t="s">
        <v>8925</v>
      </c>
      <c r="C14524" t="s">
        <v>6839</v>
      </c>
      <c r="D14524" t="s">
        <v>1368</v>
      </c>
      <c r="E14524" t="s">
        <v>556</v>
      </c>
      <c r="F14524" t="s">
        <v>1068</v>
      </c>
      <c r="G14524" t="s">
        <v>1073</v>
      </c>
      <c r="H14524" s="171" t="s">
        <v>8927</v>
      </c>
      <c r="I14524" t="s">
        <v>1074</v>
      </c>
      <c r="J14524">
        <v>4.43</v>
      </c>
    </row>
    <row r="14525" spans="1:10" hidden="1">
      <c r="A14525" t="s">
        <v>8924</v>
      </c>
      <c r="B14525" t="s">
        <v>8925</v>
      </c>
      <c r="C14525" t="s">
        <v>6839</v>
      </c>
      <c r="D14525" t="s">
        <v>1368</v>
      </c>
      <c r="E14525" t="s">
        <v>556</v>
      </c>
      <c r="F14525" t="s">
        <v>1068</v>
      </c>
      <c r="G14525" t="s">
        <v>1075</v>
      </c>
      <c r="H14525">
        <v>9.8662533639795602E-3</v>
      </c>
      <c r="I14525" t="s">
        <v>1077</v>
      </c>
      <c r="J14525">
        <v>4.43</v>
      </c>
    </row>
    <row r="14526" spans="1:10" hidden="1">
      <c r="A14526" t="s">
        <v>8924</v>
      </c>
      <c r="B14526" t="s">
        <v>8925</v>
      </c>
      <c r="C14526" t="s">
        <v>6839</v>
      </c>
      <c r="D14526" t="s">
        <v>1368</v>
      </c>
      <c r="E14526" t="s">
        <v>556</v>
      </c>
      <c r="F14526" t="s">
        <v>1068</v>
      </c>
      <c r="G14526" t="s">
        <v>1078</v>
      </c>
      <c r="H14526" s="171" t="s">
        <v>8928</v>
      </c>
      <c r="I14526" t="s">
        <v>1079</v>
      </c>
      <c r="J14526">
        <v>4.43</v>
      </c>
    </row>
    <row r="14527" spans="1:10" hidden="1">
      <c r="A14527" t="s">
        <v>8924</v>
      </c>
      <c r="B14527" t="s">
        <v>8925</v>
      </c>
      <c r="C14527" t="s">
        <v>6839</v>
      </c>
      <c r="D14527" t="s">
        <v>1368</v>
      </c>
      <c r="E14527" t="s">
        <v>556</v>
      </c>
      <c r="F14527" t="s">
        <v>1068</v>
      </c>
      <c r="G14527" t="s">
        <v>1080</v>
      </c>
      <c r="H14527" s="171" t="s">
        <v>8929</v>
      </c>
      <c r="I14527" t="s">
        <v>1082</v>
      </c>
      <c r="J14527">
        <v>4.43</v>
      </c>
    </row>
    <row r="14528" spans="1:10" hidden="1">
      <c r="A14528" t="s">
        <v>8924</v>
      </c>
      <c r="B14528" t="s">
        <v>8925</v>
      </c>
      <c r="C14528" t="s">
        <v>6839</v>
      </c>
      <c r="D14528" t="s">
        <v>1368</v>
      </c>
      <c r="E14528" t="s">
        <v>556</v>
      </c>
      <c r="F14528" t="s">
        <v>1068</v>
      </c>
      <c r="G14528" t="s">
        <v>1083</v>
      </c>
      <c r="H14528" s="171" t="s">
        <v>8930</v>
      </c>
      <c r="I14528" t="s">
        <v>1084</v>
      </c>
      <c r="J14528">
        <v>4.43</v>
      </c>
    </row>
    <row r="14529" spans="1:10" hidden="1">
      <c r="A14529" t="s">
        <v>8924</v>
      </c>
      <c r="B14529" t="s">
        <v>8925</v>
      </c>
      <c r="C14529" t="s">
        <v>6839</v>
      </c>
      <c r="D14529" t="s">
        <v>1368</v>
      </c>
      <c r="E14529" t="s">
        <v>556</v>
      </c>
      <c r="F14529" t="s">
        <v>1068</v>
      </c>
      <c r="G14529" t="s">
        <v>1085</v>
      </c>
      <c r="H14529">
        <v>3.6865388764729598E-4</v>
      </c>
      <c r="I14529" t="s">
        <v>1086</v>
      </c>
      <c r="J14529">
        <v>4.43</v>
      </c>
    </row>
    <row r="14530" spans="1:10" hidden="1">
      <c r="A14530" t="s">
        <v>8924</v>
      </c>
      <c r="B14530" t="s">
        <v>8925</v>
      </c>
      <c r="C14530" t="s">
        <v>6839</v>
      </c>
      <c r="D14530" t="s">
        <v>1368</v>
      </c>
      <c r="E14530" t="s">
        <v>556</v>
      </c>
      <c r="F14530" t="s">
        <v>1068</v>
      </c>
      <c r="G14530" t="s">
        <v>1087</v>
      </c>
      <c r="H14530" s="171" t="s">
        <v>8931</v>
      </c>
      <c r="I14530" t="s">
        <v>1088</v>
      </c>
      <c r="J14530">
        <v>4.43</v>
      </c>
    </row>
    <row r="14531" spans="1:10" hidden="1">
      <c r="A14531" t="s">
        <v>8924</v>
      </c>
      <c r="B14531" t="s">
        <v>8925</v>
      </c>
      <c r="C14531" t="s">
        <v>6839</v>
      </c>
      <c r="D14531" t="s">
        <v>1368</v>
      </c>
      <c r="E14531" t="s">
        <v>556</v>
      </c>
      <c r="F14531" t="s">
        <v>1068</v>
      </c>
      <c r="G14531" t="s">
        <v>1089</v>
      </c>
      <c r="H14531">
        <v>1.07198055548466E-4</v>
      </c>
      <c r="I14531" t="s">
        <v>1090</v>
      </c>
      <c r="J14531">
        <v>4.43</v>
      </c>
    </row>
    <row r="14532" spans="1:10" hidden="1">
      <c r="A14532" t="s">
        <v>8932</v>
      </c>
      <c r="B14532" t="s">
        <v>8933</v>
      </c>
      <c r="C14532" t="s">
        <v>6839</v>
      </c>
      <c r="D14532" t="s">
        <v>1368</v>
      </c>
      <c r="E14532" t="s">
        <v>557</v>
      </c>
      <c r="F14532" t="s">
        <v>1068</v>
      </c>
      <c r="G14532" t="s">
        <v>1069</v>
      </c>
      <c r="H14532">
        <v>5.8067526886756198E-2</v>
      </c>
      <c r="I14532" t="s">
        <v>1070</v>
      </c>
      <c r="J14532">
        <v>4.45</v>
      </c>
    </row>
    <row r="14533" spans="1:10" hidden="1">
      <c r="A14533" t="s">
        <v>8932</v>
      </c>
      <c r="B14533" t="s">
        <v>8933</v>
      </c>
      <c r="C14533" t="s">
        <v>6839</v>
      </c>
      <c r="D14533" t="s">
        <v>1368</v>
      </c>
      <c r="E14533" t="s">
        <v>557</v>
      </c>
      <c r="F14533" t="s">
        <v>1068</v>
      </c>
      <c r="G14533" t="s">
        <v>1071</v>
      </c>
      <c r="H14533" s="171" t="s">
        <v>8934</v>
      </c>
      <c r="I14533" t="s">
        <v>1072</v>
      </c>
      <c r="J14533">
        <v>4.45</v>
      </c>
    </row>
    <row r="14534" spans="1:10" hidden="1">
      <c r="A14534" t="s">
        <v>8932</v>
      </c>
      <c r="B14534" t="s">
        <v>8933</v>
      </c>
      <c r="C14534" t="s">
        <v>6839</v>
      </c>
      <c r="D14534" t="s">
        <v>1368</v>
      </c>
      <c r="E14534" t="s">
        <v>557</v>
      </c>
      <c r="F14534" t="s">
        <v>1068</v>
      </c>
      <c r="G14534" t="s">
        <v>1073</v>
      </c>
      <c r="H14534" s="171" t="s">
        <v>8935</v>
      </c>
      <c r="I14534" t="s">
        <v>1074</v>
      </c>
      <c r="J14534">
        <v>4.45</v>
      </c>
    </row>
    <row r="14535" spans="1:10" hidden="1">
      <c r="A14535" t="s">
        <v>8932</v>
      </c>
      <c r="B14535" t="s">
        <v>8933</v>
      </c>
      <c r="C14535" t="s">
        <v>6839</v>
      </c>
      <c r="D14535" t="s">
        <v>1368</v>
      </c>
      <c r="E14535" t="s">
        <v>557</v>
      </c>
      <c r="F14535" t="s">
        <v>1068</v>
      </c>
      <c r="G14535" t="s">
        <v>1075</v>
      </c>
      <c r="H14535">
        <v>9.8661870544065906E-3</v>
      </c>
      <c r="I14535" t="s">
        <v>1077</v>
      </c>
      <c r="J14535">
        <v>4.45</v>
      </c>
    </row>
    <row r="14536" spans="1:10" hidden="1">
      <c r="A14536" t="s">
        <v>8932</v>
      </c>
      <c r="B14536" t="s">
        <v>8933</v>
      </c>
      <c r="C14536" t="s">
        <v>6839</v>
      </c>
      <c r="D14536" t="s">
        <v>1368</v>
      </c>
      <c r="E14536" t="s">
        <v>557</v>
      </c>
      <c r="F14536" t="s">
        <v>1068</v>
      </c>
      <c r="G14536" t="s">
        <v>1078</v>
      </c>
      <c r="H14536">
        <v>3.7248740093878997E-2</v>
      </c>
      <c r="I14536" t="s">
        <v>1079</v>
      </c>
      <c r="J14536">
        <v>4.45</v>
      </c>
    </row>
    <row r="14537" spans="1:10" hidden="1">
      <c r="A14537" t="s">
        <v>8932</v>
      </c>
      <c r="B14537" t="s">
        <v>8933</v>
      </c>
      <c r="C14537" t="s">
        <v>6839</v>
      </c>
      <c r="D14537" t="s">
        <v>1368</v>
      </c>
      <c r="E14537" t="s">
        <v>557</v>
      </c>
      <c r="F14537" t="s">
        <v>1068</v>
      </c>
      <c r="G14537" t="s">
        <v>1080</v>
      </c>
      <c r="H14537" s="171" t="s">
        <v>8936</v>
      </c>
      <c r="I14537" t="s">
        <v>1082</v>
      </c>
      <c r="J14537">
        <v>4.45</v>
      </c>
    </row>
    <row r="14538" spans="1:10" hidden="1">
      <c r="A14538" t="s">
        <v>8932</v>
      </c>
      <c r="B14538" t="s">
        <v>8933</v>
      </c>
      <c r="C14538" t="s">
        <v>6839</v>
      </c>
      <c r="D14538" t="s">
        <v>1368</v>
      </c>
      <c r="E14538" t="s">
        <v>557</v>
      </c>
      <c r="F14538" t="s">
        <v>1068</v>
      </c>
      <c r="G14538" t="s">
        <v>1083</v>
      </c>
      <c r="H14538" s="171" t="s">
        <v>8937</v>
      </c>
      <c r="I14538" t="s">
        <v>1084</v>
      </c>
      <c r="J14538">
        <v>4.45</v>
      </c>
    </row>
    <row r="14539" spans="1:10" hidden="1">
      <c r="A14539" t="s">
        <v>8932</v>
      </c>
      <c r="B14539" t="s">
        <v>8933</v>
      </c>
      <c r="C14539" t="s">
        <v>6839</v>
      </c>
      <c r="D14539" t="s">
        <v>1368</v>
      </c>
      <c r="E14539" t="s">
        <v>557</v>
      </c>
      <c r="F14539" t="s">
        <v>1068</v>
      </c>
      <c r="G14539" t="s">
        <v>1085</v>
      </c>
      <c r="H14539">
        <v>3.6865028491625399E-4</v>
      </c>
      <c r="I14539" t="s">
        <v>1086</v>
      </c>
      <c r="J14539">
        <v>4.45</v>
      </c>
    </row>
    <row r="14540" spans="1:10" hidden="1">
      <c r="A14540" t="s">
        <v>8932</v>
      </c>
      <c r="B14540" t="s">
        <v>8933</v>
      </c>
      <c r="C14540" t="s">
        <v>6839</v>
      </c>
      <c r="D14540" t="s">
        <v>1368</v>
      </c>
      <c r="E14540" t="s">
        <v>557</v>
      </c>
      <c r="F14540" t="s">
        <v>1068</v>
      </c>
      <c r="G14540" t="s">
        <v>1087</v>
      </c>
      <c r="H14540" s="171" t="s">
        <v>8938</v>
      </c>
      <c r="I14540" t="s">
        <v>1088</v>
      </c>
      <c r="J14540">
        <v>4.45</v>
      </c>
    </row>
    <row r="14541" spans="1:10" hidden="1">
      <c r="A14541" t="s">
        <v>8932</v>
      </c>
      <c r="B14541" t="s">
        <v>8933</v>
      </c>
      <c r="C14541" t="s">
        <v>6839</v>
      </c>
      <c r="D14541" t="s">
        <v>1368</v>
      </c>
      <c r="E14541" t="s">
        <v>557</v>
      </c>
      <c r="F14541" t="s">
        <v>1068</v>
      </c>
      <c r="G14541" t="s">
        <v>1089</v>
      </c>
      <c r="H14541">
        <v>1.0719731222899699E-4</v>
      </c>
      <c r="I14541" t="s">
        <v>1090</v>
      </c>
      <c r="J14541">
        <v>4.45</v>
      </c>
    </row>
    <row r="14542" spans="1:10" hidden="1">
      <c r="A14542" t="s">
        <v>8939</v>
      </c>
      <c r="B14542" t="s">
        <v>8940</v>
      </c>
      <c r="C14542" t="s">
        <v>6839</v>
      </c>
      <c r="D14542" t="s">
        <v>1368</v>
      </c>
      <c r="E14542" t="s">
        <v>559</v>
      </c>
      <c r="F14542" t="s">
        <v>1068</v>
      </c>
      <c r="G14542" t="s">
        <v>1069</v>
      </c>
      <c r="H14542">
        <v>5.8070157950977197E-2</v>
      </c>
      <c r="I14542" t="s">
        <v>1070</v>
      </c>
      <c r="J14542">
        <v>4.5599999999999996</v>
      </c>
    </row>
    <row r="14543" spans="1:10" hidden="1">
      <c r="A14543" t="s">
        <v>8939</v>
      </c>
      <c r="B14543" t="s">
        <v>8940</v>
      </c>
      <c r="C14543" t="s">
        <v>6839</v>
      </c>
      <c r="D14543" t="s">
        <v>1368</v>
      </c>
      <c r="E14543" t="s">
        <v>559</v>
      </c>
      <c r="F14543" t="s">
        <v>1068</v>
      </c>
      <c r="G14543" t="s">
        <v>1071</v>
      </c>
      <c r="H14543" s="171" t="s">
        <v>8941</v>
      </c>
      <c r="I14543" t="s">
        <v>1072</v>
      </c>
      <c r="J14543">
        <v>4.5599999999999996</v>
      </c>
    </row>
    <row r="14544" spans="1:10" hidden="1">
      <c r="A14544" t="s">
        <v>8939</v>
      </c>
      <c r="B14544" t="s">
        <v>8940</v>
      </c>
      <c r="C14544" t="s">
        <v>6839</v>
      </c>
      <c r="D14544" t="s">
        <v>1368</v>
      </c>
      <c r="E14544" t="s">
        <v>559</v>
      </c>
      <c r="F14544" t="s">
        <v>1068</v>
      </c>
      <c r="G14544" t="s">
        <v>1073</v>
      </c>
      <c r="H14544" s="171" t="s">
        <v>8942</v>
      </c>
      <c r="I14544" t="s">
        <v>1074</v>
      </c>
      <c r="J14544">
        <v>4.5599999999999996</v>
      </c>
    </row>
    <row r="14545" spans="1:10" hidden="1">
      <c r="A14545" t="s">
        <v>8939</v>
      </c>
      <c r="B14545" t="s">
        <v>8940</v>
      </c>
      <c r="C14545" t="s">
        <v>6839</v>
      </c>
      <c r="D14545" t="s">
        <v>1368</v>
      </c>
      <c r="E14545" t="s">
        <v>559</v>
      </c>
      <c r="F14545" t="s">
        <v>1068</v>
      </c>
      <c r="G14545" t="s">
        <v>1075</v>
      </c>
      <c r="H14545">
        <v>9.8662218319142403E-3</v>
      </c>
      <c r="I14545" t="s">
        <v>1077</v>
      </c>
      <c r="J14545">
        <v>4.5599999999999996</v>
      </c>
    </row>
    <row r="14546" spans="1:10" hidden="1">
      <c r="A14546" t="s">
        <v>8939</v>
      </c>
      <c r="B14546" t="s">
        <v>8940</v>
      </c>
      <c r="C14546" t="s">
        <v>6839</v>
      </c>
      <c r="D14546" t="s">
        <v>1368</v>
      </c>
      <c r="E14546" t="s">
        <v>559</v>
      </c>
      <c r="F14546" t="s">
        <v>1068</v>
      </c>
      <c r="G14546" t="s">
        <v>1078</v>
      </c>
      <c r="H14546">
        <v>3.7250243185255799E-2</v>
      </c>
      <c r="I14546" t="s">
        <v>1079</v>
      </c>
      <c r="J14546">
        <v>4.5599999999999996</v>
      </c>
    </row>
    <row r="14547" spans="1:10" hidden="1">
      <c r="A14547" t="s">
        <v>8939</v>
      </c>
      <c r="B14547" t="s">
        <v>8940</v>
      </c>
      <c r="C14547" t="s">
        <v>6839</v>
      </c>
      <c r="D14547" t="s">
        <v>1368</v>
      </c>
      <c r="E14547" t="s">
        <v>559</v>
      </c>
      <c r="F14547" t="s">
        <v>1068</v>
      </c>
      <c r="G14547" t="s">
        <v>1080</v>
      </c>
      <c r="H14547" s="171" t="s">
        <v>8943</v>
      </c>
      <c r="I14547" t="s">
        <v>1082</v>
      </c>
      <c r="J14547">
        <v>4.5599999999999996</v>
      </c>
    </row>
    <row r="14548" spans="1:10" hidden="1">
      <c r="A14548" t="s">
        <v>8939</v>
      </c>
      <c r="B14548" t="s">
        <v>8940</v>
      </c>
      <c r="C14548" t="s">
        <v>6839</v>
      </c>
      <c r="D14548" t="s">
        <v>1368</v>
      </c>
      <c r="E14548" t="s">
        <v>559</v>
      </c>
      <c r="F14548" t="s">
        <v>1068</v>
      </c>
      <c r="G14548" t="s">
        <v>1083</v>
      </c>
      <c r="H14548" s="171" t="s">
        <v>8944</v>
      </c>
      <c r="I14548" t="s">
        <v>1084</v>
      </c>
      <c r="J14548">
        <v>4.5599999999999996</v>
      </c>
    </row>
    <row r="14549" spans="1:10" hidden="1">
      <c r="A14549" t="s">
        <v>8939</v>
      </c>
      <c r="B14549" t="s">
        <v>8940</v>
      </c>
      <c r="C14549" t="s">
        <v>6839</v>
      </c>
      <c r="D14549" t="s">
        <v>1368</v>
      </c>
      <c r="E14549" t="s">
        <v>559</v>
      </c>
      <c r="F14549" t="s">
        <v>1068</v>
      </c>
      <c r="G14549" t="s">
        <v>1085</v>
      </c>
      <c r="H14549">
        <v>3.68652174024935E-4</v>
      </c>
      <c r="I14549" t="s">
        <v>1086</v>
      </c>
      <c r="J14549">
        <v>4.5599999999999996</v>
      </c>
    </row>
    <row r="14550" spans="1:10" hidden="1">
      <c r="A14550" t="s">
        <v>8939</v>
      </c>
      <c r="B14550" t="s">
        <v>8940</v>
      </c>
      <c r="C14550" t="s">
        <v>6839</v>
      </c>
      <c r="D14550" t="s">
        <v>1368</v>
      </c>
      <c r="E14550" t="s">
        <v>559</v>
      </c>
      <c r="F14550" t="s">
        <v>1068</v>
      </c>
      <c r="G14550" t="s">
        <v>1087</v>
      </c>
      <c r="H14550" s="171" t="s">
        <v>8945</v>
      </c>
      <c r="I14550" t="s">
        <v>1088</v>
      </c>
      <c r="J14550">
        <v>4.5599999999999996</v>
      </c>
    </row>
    <row r="14551" spans="1:10" hidden="1">
      <c r="A14551" t="s">
        <v>8939</v>
      </c>
      <c r="B14551" t="s">
        <v>8940</v>
      </c>
      <c r="C14551" t="s">
        <v>6839</v>
      </c>
      <c r="D14551" t="s">
        <v>1368</v>
      </c>
      <c r="E14551" t="s">
        <v>559</v>
      </c>
      <c r="F14551" t="s">
        <v>1068</v>
      </c>
      <c r="G14551" t="s">
        <v>1089</v>
      </c>
      <c r="H14551">
        <v>1.07197702031557E-4</v>
      </c>
      <c r="I14551" t="s">
        <v>1090</v>
      </c>
      <c r="J14551">
        <v>4.5599999999999996</v>
      </c>
    </row>
    <row r="14552" spans="1:10" hidden="1">
      <c r="A14552" t="s">
        <v>8946</v>
      </c>
      <c r="B14552" t="s">
        <v>8947</v>
      </c>
      <c r="C14552" t="s">
        <v>6839</v>
      </c>
      <c r="D14552" t="s">
        <v>1368</v>
      </c>
      <c r="E14552" t="s">
        <v>560</v>
      </c>
      <c r="F14552" t="s">
        <v>1068</v>
      </c>
      <c r="G14552" t="s">
        <v>1069</v>
      </c>
      <c r="H14552">
        <v>5.8068137905317403E-2</v>
      </c>
      <c r="I14552" t="s">
        <v>1070</v>
      </c>
      <c r="J14552">
        <v>4.4800000000000004</v>
      </c>
    </row>
    <row r="14553" spans="1:10" hidden="1">
      <c r="A14553" t="s">
        <v>8946</v>
      </c>
      <c r="B14553" t="s">
        <v>8947</v>
      </c>
      <c r="C14553" t="s">
        <v>6839</v>
      </c>
      <c r="D14553" t="s">
        <v>1368</v>
      </c>
      <c r="E14553" t="s">
        <v>560</v>
      </c>
      <c r="F14553" t="s">
        <v>1068</v>
      </c>
      <c r="G14553" t="s">
        <v>1071</v>
      </c>
      <c r="H14553" s="171" t="s">
        <v>8948</v>
      </c>
      <c r="I14553" t="s">
        <v>1072</v>
      </c>
      <c r="J14553">
        <v>4.4800000000000004</v>
      </c>
    </row>
    <row r="14554" spans="1:10" hidden="1">
      <c r="A14554" t="s">
        <v>8946</v>
      </c>
      <c r="B14554" t="s">
        <v>8947</v>
      </c>
      <c r="C14554" t="s">
        <v>6839</v>
      </c>
      <c r="D14554" t="s">
        <v>1368</v>
      </c>
      <c r="E14554" t="s">
        <v>560</v>
      </c>
      <c r="F14554" t="s">
        <v>1068</v>
      </c>
      <c r="G14554" t="s">
        <v>1073</v>
      </c>
      <c r="H14554" s="171" t="s">
        <v>8949</v>
      </c>
      <c r="I14554" t="s">
        <v>1074</v>
      </c>
      <c r="J14554">
        <v>4.4800000000000004</v>
      </c>
    </row>
    <row r="14555" spans="1:10" hidden="1">
      <c r="A14555" t="s">
        <v>8946</v>
      </c>
      <c r="B14555" t="s">
        <v>8947</v>
      </c>
      <c r="C14555" t="s">
        <v>6839</v>
      </c>
      <c r="D14555" t="s">
        <v>1368</v>
      </c>
      <c r="E14555" t="s">
        <v>560</v>
      </c>
      <c r="F14555" t="s">
        <v>1068</v>
      </c>
      <c r="G14555" t="s">
        <v>1075</v>
      </c>
      <c r="H14555">
        <v>9.8662063693558209E-3</v>
      </c>
      <c r="I14555" t="s">
        <v>1077</v>
      </c>
      <c r="J14555">
        <v>4.4800000000000004</v>
      </c>
    </row>
    <row r="14556" spans="1:10" hidden="1">
      <c r="A14556" t="s">
        <v>8946</v>
      </c>
      <c r="B14556" t="s">
        <v>8947</v>
      </c>
      <c r="C14556" t="s">
        <v>6839</v>
      </c>
      <c r="D14556" t="s">
        <v>1368</v>
      </c>
      <c r="E14556" t="s">
        <v>560</v>
      </c>
      <c r="F14556" t="s">
        <v>1068</v>
      </c>
      <c r="G14556" t="s">
        <v>1078</v>
      </c>
      <c r="H14556">
        <v>3.7249575346798097E-2</v>
      </c>
      <c r="I14556" t="s">
        <v>1079</v>
      </c>
      <c r="J14556">
        <v>4.4800000000000004</v>
      </c>
    </row>
    <row r="14557" spans="1:10" hidden="1">
      <c r="A14557" t="s">
        <v>8946</v>
      </c>
      <c r="B14557" t="s">
        <v>8947</v>
      </c>
      <c r="C14557" t="s">
        <v>6839</v>
      </c>
      <c r="D14557" t="s">
        <v>1368</v>
      </c>
      <c r="E14557" t="s">
        <v>560</v>
      </c>
      <c r="F14557" t="s">
        <v>1068</v>
      </c>
      <c r="G14557" t="s">
        <v>1080</v>
      </c>
      <c r="H14557" s="171" t="s">
        <v>8950</v>
      </c>
      <c r="I14557" t="s">
        <v>1082</v>
      </c>
      <c r="J14557">
        <v>4.4800000000000004</v>
      </c>
    </row>
    <row r="14558" spans="1:10" hidden="1">
      <c r="A14558" t="s">
        <v>8946</v>
      </c>
      <c r="B14558" t="s">
        <v>8947</v>
      </c>
      <c r="C14558" t="s">
        <v>6839</v>
      </c>
      <c r="D14558" t="s">
        <v>1368</v>
      </c>
      <c r="E14558" t="s">
        <v>560</v>
      </c>
      <c r="F14558" t="s">
        <v>1068</v>
      </c>
      <c r="G14558" t="s">
        <v>1083</v>
      </c>
      <c r="H14558" s="171" t="s">
        <v>8951</v>
      </c>
      <c r="I14558" t="s">
        <v>1084</v>
      </c>
      <c r="J14558">
        <v>4.4800000000000004</v>
      </c>
    </row>
    <row r="14559" spans="1:10" hidden="1">
      <c r="A14559" t="s">
        <v>8946</v>
      </c>
      <c r="B14559" t="s">
        <v>8947</v>
      </c>
      <c r="C14559" t="s">
        <v>6839</v>
      </c>
      <c r="D14559" t="s">
        <v>1368</v>
      </c>
      <c r="E14559" t="s">
        <v>560</v>
      </c>
      <c r="F14559" t="s">
        <v>1068</v>
      </c>
      <c r="G14559" t="s">
        <v>1085</v>
      </c>
      <c r="H14559">
        <v>3.6865133459469598E-4</v>
      </c>
      <c r="I14559" t="s">
        <v>1086</v>
      </c>
      <c r="J14559">
        <v>4.4800000000000004</v>
      </c>
    </row>
    <row r="14560" spans="1:10" hidden="1">
      <c r="A14560" t="s">
        <v>8946</v>
      </c>
      <c r="B14560" t="s">
        <v>8947</v>
      </c>
      <c r="C14560" t="s">
        <v>6839</v>
      </c>
      <c r="D14560" t="s">
        <v>1368</v>
      </c>
      <c r="E14560" t="s">
        <v>560</v>
      </c>
      <c r="F14560" t="s">
        <v>1068</v>
      </c>
      <c r="G14560" t="s">
        <v>1087</v>
      </c>
      <c r="H14560" s="171" t="s">
        <v>8952</v>
      </c>
      <c r="I14560" t="s">
        <v>1088</v>
      </c>
      <c r="J14560">
        <v>4.4800000000000004</v>
      </c>
    </row>
    <row r="14561" spans="1:10" hidden="1">
      <c r="A14561" t="s">
        <v>8946</v>
      </c>
      <c r="B14561" t="s">
        <v>8947</v>
      </c>
      <c r="C14561" t="s">
        <v>6839</v>
      </c>
      <c r="D14561" t="s">
        <v>1368</v>
      </c>
      <c r="E14561" t="s">
        <v>560</v>
      </c>
      <c r="F14561" t="s">
        <v>1068</v>
      </c>
      <c r="G14561" t="s">
        <v>1089</v>
      </c>
      <c r="H14561">
        <v>1.07197528775586E-4</v>
      </c>
      <c r="I14561" t="s">
        <v>1090</v>
      </c>
      <c r="J14561">
        <v>4.4800000000000004</v>
      </c>
    </row>
    <row r="14562" spans="1:10" hidden="1">
      <c r="A14562" t="s">
        <v>8953</v>
      </c>
      <c r="B14562" t="s">
        <v>8954</v>
      </c>
      <c r="C14562" t="s">
        <v>6839</v>
      </c>
      <c r="D14562" t="s">
        <v>1368</v>
      </c>
      <c r="E14562" t="s">
        <v>1116</v>
      </c>
      <c r="F14562" t="s">
        <v>1068</v>
      </c>
      <c r="G14562" t="s">
        <v>1069</v>
      </c>
      <c r="H14562">
        <v>5.8066283402536598E-2</v>
      </c>
      <c r="I14562" t="s">
        <v>1070</v>
      </c>
      <c r="J14562">
        <v>4.34</v>
      </c>
    </row>
    <row r="14563" spans="1:10" hidden="1">
      <c r="A14563" t="s">
        <v>8953</v>
      </c>
      <c r="B14563" t="s">
        <v>8954</v>
      </c>
      <c r="C14563" t="s">
        <v>6839</v>
      </c>
      <c r="D14563" t="s">
        <v>1368</v>
      </c>
      <c r="E14563" t="s">
        <v>1116</v>
      </c>
      <c r="F14563" t="s">
        <v>1068</v>
      </c>
      <c r="G14563" t="s">
        <v>1071</v>
      </c>
      <c r="H14563" s="171" t="s">
        <v>8955</v>
      </c>
      <c r="I14563" t="s">
        <v>1072</v>
      </c>
      <c r="J14563">
        <v>4.34</v>
      </c>
    </row>
    <row r="14564" spans="1:10" hidden="1">
      <c r="A14564" t="s">
        <v>8953</v>
      </c>
      <c r="B14564" t="s">
        <v>8954</v>
      </c>
      <c r="C14564" t="s">
        <v>6839</v>
      </c>
      <c r="D14564" t="s">
        <v>1368</v>
      </c>
      <c r="E14564" t="s">
        <v>1116</v>
      </c>
      <c r="F14564" t="s">
        <v>1068</v>
      </c>
      <c r="G14564" t="s">
        <v>1073</v>
      </c>
      <c r="H14564" s="171" t="s">
        <v>8956</v>
      </c>
      <c r="I14564" t="s">
        <v>1074</v>
      </c>
      <c r="J14564">
        <v>4.34</v>
      </c>
    </row>
    <row r="14565" spans="1:10" hidden="1">
      <c r="A14565" t="s">
        <v>8953</v>
      </c>
      <c r="B14565" t="s">
        <v>8954</v>
      </c>
      <c r="C14565" t="s">
        <v>6839</v>
      </c>
      <c r="D14565" t="s">
        <v>1368</v>
      </c>
      <c r="E14565" t="s">
        <v>1116</v>
      </c>
      <c r="F14565" t="s">
        <v>1068</v>
      </c>
      <c r="G14565" t="s">
        <v>1075</v>
      </c>
      <c r="H14565">
        <v>9.86614774654203E-3</v>
      </c>
      <c r="I14565" t="s">
        <v>1077</v>
      </c>
      <c r="J14565">
        <v>4.34</v>
      </c>
    </row>
    <row r="14566" spans="1:10" hidden="1">
      <c r="A14566" t="s">
        <v>8953</v>
      </c>
      <c r="B14566" t="s">
        <v>8954</v>
      </c>
      <c r="C14566" t="s">
        <v>6839</v>
      </c>
      <c r="D14566" t="s">
        <v>1368</v>
      </c>
      <c r="E14566" t="s">
        <v>1116</v>
      </c>
      <c r="F14566" t="s">
        <v>1068</v>
      </c>
      <c r="G14566" t="s">
        <v>1078</v>
      </c>
      <c r="H14566">
        <v>3.7247040270189699E-2</v>
      </c>
      <c r="I14566" t="s">
        <v>1079</v>
      </c>
      <c r="J14566">
        <v>4.34</v>
      </c>
    </row>
    <row r="14567" spans="1:10" hidden="1">
      <c r="A14567" t="s">
        <v>8953</v>
      </c>
      <c r="B14567" t="s">
        <v>8954</v>
      </c>
      <c r="C14567" t="s">
        <v>6839</v>
      </c>
      <c r="D14567" t="s">
        <v>1368</v>
      </c>
      <c r="E14567" t="s">
        <v>1116</v>
      </c>
      <c r="F14567" t="s">
        <v>1068</v>
      </c>
      <c r="G14567" t="s">
        <v>1080</v>
      </c>
      <c r="H14567" s="171" t="s">
        <v>8957</v>
      </c>
      <c r="I14567" t="s">
        <v>1082</v>
      </c>
      <c r="J14567">
        <v>4.34</v>
      </c>
    </row>
    <row r="14568" spans="1:10" hidden="1">
      <c r="A14568" t="s">
        <v>8953</v>
      </c>
      <c r="B14568" t="s">
        <v>8954</v>
      </c>
      <c r="C14568" t="s">
        <v>6839</v>
      </c>
      <c r="D14568" t="s">
        <v>1368</v>
      </c>
      <c r="E14568" t="s">
        <v>1116</v>
      </c>
      <c r="F14568" t="s">
        <v>1068</v>
      </c>
      <c r="G14568" t="s">
        <v>1083</v>
      </c>
      <c r="H14568" s="171" t="s">
        <v>8958</v>
      </c>
      <c r="I14568" t="s">
        <v>1084</v>
      </c>
      <c r="J14568">
        <v>4.34</v>
      </c>
    </row>
    <row r="14569" spans="1:10" hidden="1">
      <c r="A14569" t="s">
        <v>8953</v>
      </c>
      <c r="B14569" t="s">
        <v>8954</v>
      </c>
      <c r="C14569" t="s">
        <v>6839</v>
      </c>
      <c r="D14569" t="s">
        <v>1368</v>
      </c>
      <c r="E14569" t="s">
        <v>1116</v>
      </c>
      <c r="F14569" t="s">
        <v>1068</v>
      </c>
      <c r="G14569" t="s">
        <v>1085</v>
      </c>
      <c r="H14569">
        <v>3.6864814871505E-4</v>
      </c>
      <c r="I14569" t="s">
        <v>1086</v>
      </c>
      <c r="J14569">
        <v>4.34</v>
      </c>
    </row>
    <row r="14570" spans="1:10" hidden="1">
      <c r="A14570" t="s">
        <v>8953</v>
      </c>
      <c r="B14570" t="s">
        <v>8954</v>
      </c>
      <c r="C14570" t="s">
        <v>6839</v>
      </c>
      <c r="D14570" t="s">
        <v>1368</v>
      </c>
      <c r="E14570" t="s">
        <v>1116</v>
      </c>
      <c r="F14570" t="s">
        <v>1068</v>
      </c>
      <c r="G14570" t="s">
        <v>1087</v>
      </c>
      <c r="H14570" s="171" t="s">
        <v>8959</v>
      </c>
      <c r="I14570" t="s">
        <v>1088</v>
      </c>
      <c r="J14570">
        <v>4.34</v>
      </c>
    </row>
    <row r="14571" spans="1:10" hidden="1">
      <c r="A14571" t="s">
        <v>8953</v>
      </c>
      <c r="B14571" t="s">
        <v>8954</v>
      </c>
      <c r="C14571" t="s">
        <v>6839</v>
      </c>
      <c r="D14571" t="s">
        <v>1368</v>
      </c>
      <c r="E14571" t="s">
        <v>1116</v>
      </c>
      <c r="F14571" t="s">
        <v>1068</v>
      </c>
      <c r="G14571" t="s">
        <v>1089</v>
      </c>
      <c r="H14571">
        <v>1.07196871534907E-4</v>
      </c>
      <c r="I14571" t="s">
        <v>1090</v>
      </c>
      <c r="J14571">
        <v>4.34</v>
      </c>
    </row>
    <row r="14572" spans="1:10" hidden="1">
      <c r="A14572" t="s">
        <v>8960</v>
      </c>
      <c r="B14572" t="s">
        <v>8961</v>
      </c>
      <c r="C14572" t="s">
        <v>6839</v>
      </c>
      <c r="D14572" t="s">
        <v>3640</v>
      </c>
      <c r="E14572" t="s">
        <v>561</v>
      </c>
      <c r="F14572" t="s">
        <v>1068</v>
      </c>
      <c r="G14572" t="s">
        <v>1069</v>
      </c>
      <c r="H14572">
        <v>4.43628430776195E-2</v>
      </c>
      <c r="I14572" t="s">
        <v>1070</v>
      </c>
      <c r="J14572">
        <v>4.37</v>
      </c>
    </row>
    <row r="14573" spans="1:10" hidden="1">
      <c r="A14573" t="s">
        <v>8960</v>
      </c>
      <c r="B14573" t="s">
        <v>8961</v>
      </c>
      <c r="C14573" t="s">
        <v>6839</v>
      </c>
      <c r="D14573" t="s">
        <v>3640</v>
      </c>
      <c r="E14573" t="s">
        <v>561</v>
      </c>
      <c r="F14573" t="s">
        <v>1068</v>
      </c>
      <c r="G14573" t="s">
        <v>1071</v>
      </c>
      <c r="H14573" s="171" t="s">
        <v>8962</v>
      </c>
      <c r="I14573" t="s">
        <v>1072</v>
      </c>
      <c r="J14573">
        <v>4.37</v>
      </c>
    </row>
    <row r="14574" spans="1:10" hidden="1">
      <c r="A14574" t="s">
        <v>8960</v>
      </c>
      <c r="B14574" t="s">
        <v>8961</v>
      </c>
      <c r="C14574" t="s">
        <v>6839</v>
      </c>
      <c r="D14574" t="s">
        <v>3640</v>
      </c>
      <c r="E14574" t="s">
        <v>561</v>
      </c>
      <c r="F14574" t="s">
        <v>1068</v>
      </c>
      <c r="G14574" t="s">
        <v>1073</v>
      </c>
      <c r="H14574" s="171" t="s">
        <v>8963</v>
      </c>
      <c r="I14574" t="s">
        <v>1074</v>
      </c>
      <c r="J14574">
        <v>4.37</v>
      </c>
    </row>
    <row r="14575" spans="1:10" hidden="1">
      <c r="A14575" t="s">
        <v>8960</v>
      </c>
      <c r="B14575" t="s">
        <v>8961</v>
      </c>
      <c r="C14575" t="s">
        <v>6839</v>
      </c>
      <c r="D14575" t="s">
        <v>3640</v>
      </c>
      <c r="E14575" t="s">
        <v>561</v>
      </c>
      <c r="F14575" t="s">
        <v>1068</v>
      </c>
      <c r="G14575" t="s">
        <v>1075</v>
      </c>
      <c r="H14575" s="171" t="s">
        <v>8964</v>
      </c>
      <c r="I14575" t="s">
        <v>1077</v>
      </c>
      <c r="J14575">
        <v>4.37</v>
      </c>
    </row>
    <row r="14576" spans="1:10" hidden="1">
      <c r="A14576" t="s">
        <v>8960</v>
      </c>
      <c r="B14576" t="s">
        <v>8961</v>
      </c>
      <c r="C14576" t="s">
        <v>6839</v>
      </c>
      <c r="D14576" t="s">
        <v>3640</v>
      </c>
      <c r="E14576" t="s">
        <v>561</v>
      </c>
      <c r="F14576" t="s">
        <v>1068</v>
      </c>
      <c r="G14576" t="s">
        <v>1078</v>
      </c>
      <c r="H14576" s="171" t="s">
        <v>8965</v>
      </c>
      <c r="I14576" t="s">
        <v>1079</v>
      </c>
      <c r="J14576">
        <v>4.37</v>
      </c>
    </row>
    <row r="14577" spans="1:10" hidden="1">
      <c r="A14577" t="s">
        <v>8960</v>
      </c>
      <c r="B14577" t="s">
        <v>8961</v>
      </c>
      <c r="C14577" t="s">
        <v>6839</v>
      </c>
      <c r="D14577" t="s">
        <v>3640</v>
      </c>
      <c r="E14577" t="s">
        <v>561</v>
      </c>
      <c r="F14577" t="s">
        <v>1068</v>
      </c>
      <c r="G14577" t="s">
        <v>1080</v>
      </c>
      <c r="H14577" s="171" t="s">
        <v>8966</v>
      </c>
      <c r="I14577" t="s">
        <v>1082</v>
      </c>
      <c r="J14577">
        <v>4.37</v>
      </c>
    </row>
    <row r="14578" spans="1:10" hidden="1">
      <c r="A14578" t="s">
        <v>8960</v>
      </c>
      <c r="B14578" t="s">
        <v>8961</v>
      </c>
      <c r="C14578" t="s">
        <v>6839</v>
      </c>
      <c r="D14578" t="s">
        <v>3640</v>
      </c>
      <c r="E14578" t="s">
        <v>561</v>
      </c>
      <c r="F14578" t="s">
        <v>1068</v>
      </c>
      <c r="G14578" t="s">
        <v>1083</v>
      </c>
      <c r="H14578" s="171" t="s">
        <v>8967</v>
      </c>
      <c r="I14578" t="s">
        <v>1084</v>
      </c>
      <c r="J14578">
        <v>4.37</v>
      </c>
    </row>
    <row r="14579" spans="1:10" hidden="1">
      <c r="A14579" t="s">
        <v>8960</v>
      </c>
      <c r="B14579" t="s">
        <v>8961</v>
      </c>
      <c r="C14579" t="s">
        <v>6839</v>
      </c>
      <c r="D14579" t="s">
        <v>3640</v>
      </c>
      <c r="E14579" t="s">
        <v>561</v>
      </c>
      <c r="F14579" t="s">
        <v>1068</v>
      </c>
      <c r="G14579" t="s">
        <v>1085</v>
      </c>
      <c r="H14579">
        <v>7.2786056655801804E-4</v>
      </c>
      <c r="I14579" t="s">
        <v>1086</v>
      </c>
      <c r="J14579">
        <v>4.37</v>
      </c>
    </row>
    <row r="14580" spans="1:10" hidden="1">
      <c r="A14580" t="s">
        <v>8960</v>
      </c>
      <c r="B14580" t="s">
        <v>8961</v>
      </c>
      <c r="C14580" t="s">
        <v>6839</v>
      </c>
      <c r="D14580" t="s">
        <v>3640</v>
      </c>
      <c r="E14580" t="s">
        <v>561</v>
      </c>
      <c r="F14580" t="s">
        <v>1068</v>
      </c>
      <c r="G14580" t="s">
        <v>1087</v>
      </c>
      <c r="H14580" s="171" t="s">
        <v>8968</v>
      </c>
      <c r="I14580" t="s">
        <v>1088</v>
      </c>
      <c r="J14580">
        <v>4.37</v>
      </c>
    </row>
    <row r="14581" spans="1:10" hidden="1">
      <c r="A14581" t="s">
        <v>8960</v>
      </c>
      <c r="B14581" t="s">
        <v>8961</v>
      </c>
      <c r="C14581" t="s">
        <v>6839</v>
      </c>
      <c r="D14581" t="s">
        <v>3640</v>
      </c>
      <c r="E14581" t="s">
        <v>561</v>
      </c>
      <c r="F14581" t="s">
        <v>1068</v>
      </c>
      <c r="G14581" t="s">
        <v>1089</v>
      </c>
      <c r="H14581">
        <v>2.2204747291125601E-4</v>
      </c>
      <c r="I14581" t="s">
        <v>1090</v>
      </c>
      <c r="J14581">
        <v>4.37</v>
      </c>
    </row>
    <row r="14582" spans="1:10" hidden="1">
      <c r="A14582" t="s">
        <v>8969</v>
      </c>
      <c r="B14582" t="s">
        <v>8970</v>
      </c>
      <c r="C14582" t="s">
        <v>6839</v>
      </c>
      <c r="D14582" t="s">
        <v>3640</v>
      </c>
      <c r="E14582" t="s">
        <v>555</v>
      </c>
      <c r="F14582" t="s">
        <v>1068</v>
      </c>
      <c r="G14582" t="s">
        <v>1069</v>
      </c>
      <c r="H14582" s="171" t="s">
        <v>8971</v>
      </c>
      <c r="I14582" t="s">
        <v>1070</v>
      </c>
      <c r="J14582">
        <v>4.33</v>
      </c>
    </row>
    <row r="14583" spans="1:10" hidden="1">
      <c r="A14583" t="s">
        <v>8969</v>
      </c>
      <c r="B14583" t="s">
        <v>8970</v>
      </c>
      <c r="C14583" t="s">
        <v>6839</v>
      </c>
      <c r="D14583" t="s">
        <v>3640</v>
      </c>
      <c r="E14583" t="s">
        <v>555</v>
      </c>
      <c r="F14583" t="s">
        <v>1068</v>
      </c>
      <c r="G14583" t="s">
        <v>1071</v>
      </c>
      <c r="H14583" s="171" t="s">
        <v>8972</v>
      </c>
      <c r="I14583" t="s">
        <v>1072</v>
      </c>
      <c r="J14583">
        <v>4.33</v>
      </c>
    </row>
    <row r="14584" spans="1:10" hidden="1">
      <c r="A14584" t="s">
        <v>8969</v>
      </c>
      <c r="B14584" t="s">
        <v>8970</v>
      </c>
      <c r="C14584" t="s">
        <v>6839</v>
      </c>
      <c r="D14584" t="s">
        <v>3640</v>
      </c>
      <c r="E14584" t="s">
        <v>555</v>
      </c>
      <c r="F14584" t="s">
        <v>1068</v>
      </c>
      <c r="G14584" t="s">
        <v>1073</v>
      </c>
      <c r="H14584" s="171" t="s">
        <v>8973</v>
      </c>
      <c r="I14584" t="s">
        <v>1074</v>
      </c>
      <c r="J14584">
        <v>4.33</v>
      </c>
    </row>
    <row r="14585" spans="1:10" hidden="1">
      <c r="A14585" t="s">
        <v>8969</v>
      </c>
      <c r="B14585" t="s">
        <v>8970</v>
      </c>
      <c r="C14585" t="s">
        <v>6839</v>
      </c>
      <c r="D14585" t="s">
        <v>3640</v>
      </c>
      <c r="E14585" t="s">
        <v>555</v>
      </c>
      <c r="F14585" t="s">
        <v>1068</v>
      </c>
      <c r="G14585" t="s">
        <v>1075</v>
      </c>
      <c r="H14585" s="171" t="s">
        <v>8974</v>
      </c>
      <c r="I14585" t="s">
        <v>1077</v>
      </c>
      <c r="J14585">
        <v>4.33</v>
      </c>
    </row>
    <row r="14586" spans="1:10" hidden="1">
      <c r="A14586" t="s">
        <v>8969</v>
      </c>
      <c r="B14586" t="s">
        <v>8970</v>
      </c>
      <c r="C14586" t="s">
        <v>6839</v>
      </c>
      <c r="D14586" t="s">
        <v>3640</v>
      </c>
      <c r="E14586" t="s">
        <v>555</v>
      </c>
      <c r="F14586" t="s">
        <v>1068</v>
      </c>
      <c r="G14586" t="s">
        <v>1078</v>
      </c>
      <c r="H14586" s="171" t="s">
        <v>8975</v>
      </c>
      <c r="I14586" t="s">
        <v>1079</v>
      </c>
      <c r="J14586">
        <v>4.33</v>
      </c>
    </row>
    <row r="14587" spans="1:10" hidden="1">
      <c r="A14587" t="s">
        <v>8969</v>
      </c>
      <c r="B14587" t="s">
        <v>8970</v>
      </c>
      <c r="C14587" t="s">
        <v>6839</v>
      </c>
      <c r="D14587" t="s">
        <v>3640</v>
      </c>
      <c r="E14587" t="s">
        <v>555</v>
      </c>
      <c r="F14587" t="s">
        <v>1068</v>
      </c>
      <c r="G14587" t="s">
        <v>1080</v>
      </c>
      <c r="H14587" s="171" t="s">
        <v>8976</v>
      </c>
      <c r="I14587" t="s">
        <v>1082</v>
      </c>
      <c r="J14587">
        <v>4.33</v>
      </c>
    </row>
    <row r="14588" spans="1:10" hidden="1">
      <c r="A14588" t="s">
        <v>8969</v>
      </c>
      <c r="B14588" t="s">
        <v>8970</v>
      </c>
      <c r="C14588" t="s">
        <v>6839</v>
      </c>
      <c r="D14588" t="s">
        <v>3640</v>
      </c>
      <c r="E14588" t="s">
        <v>555</v>
      </c>
      <c r="F14588" t="s">
        <v>1068</v>
      </c>
      <c r="G14588" t="s">
        <v>1083</v>
      </c>
      <c r="H14588" s="171" t="s">
        <v>8977</v>
      </c>
      <c r="I14588" t="s">
        <v>1084</v>
      </c>
      <c r="J14588">
        <v>4.33</v>
      </c>
    </row>
    <row r="14589" spans="1:10" hidden="1">
      <c r="A14589" t="s">
        <v>8969</v>
      </c>
      <c r="B14589" t="s">
        <v>8970</v>
      </c>
      <c r="C14589" t="s">
        <v>6839</v>
      </c>
      <c r="D14589" t="s">
        <v>3640</v>
      </c>
      <c r="E14589" t="s">
        <v>555</v>
      </c>
      <c r="F14589" t="s">
        <v>1068</v>
      </c>
      <c r="G14589" t="s">
        <v>1085</v>
      </c>
      <c r="H14589">
        <v>7.2786125483336904E-4</v>
      </c>
      <c r="I14589" t="s">
        <v>1086</v>
      </c>
      <c r="J14589">
        <v>4.33</v>
      </c>
    </row>
    <row r="14590" spans="1:10" hidden="1">
      <c r="A14590" t="s">
        <v>8969</v>
      </c>
      <c r="B14590" t="s">
        <v>8970</v>
      </c>
      <c r="C14590" t="s">
        <v>6839</v>
      </c>
      <c r="D14590" t="s">
        <v>3640</v>
      </c>
      <c r="E14590" t="s">
        <v>555</v>
      </c>
      <c r="F14590" t="s">
        <v>1068</v>
      </c>
      <c r="G14590" t="s">
        <v>1087</v>
      </c>
      <c r="H14590" s="171" t="s">
        <v>8978</v>
      </c>
      <c r="I14590" t="s">
        <v>1088</v>
      </c>
      <c r="J14590">
        <v>4.33</v>
      </c>
    </row>
    <row r="14591" spans="1:10" hidden="1">
      <c r="A14591" t="s">
        <v>8969</v>
      </c>
      <c r="B14591" t="s">
        <v>8970</v>
      </c>
      <c r="C14591" t="s">
        <v>6839</v>
      </c>
      <c r="D14591" t="s">
        <v>3640</v>
      </c>
      <c r="E14591" t="s">
        <v>555</v>
      </c>
      <c r="F14591" t="s">
        <v>1068</v>
      </c>
      <c r="G14591" t="s">
        <v>1089</v>
      </c>
      <c r="H14591">
        <v>2.22047614911608E-4</v>
      </c>
      <c r="I14591" t="s">
        <v>1090</v>
      </c>
      <c r="J14591">
        <v>4.33</v>
      </c>
    </row>
    <row r="14592" spans="1:10" hidden="1">
      <c r="A14592" t="s">
        <v>8979</v>
      </c>
      <c r="B14592" t="s">
        <v>8980</v>
      </c>
      <c r="C14592" t="s">
        <v>6839</v>
      </c>
      <c r="D14592" t="s">
        <v>3640</v>
      </c>
      <c r="E14592" t="s">
        <v>558</v>
      </c>
      <c r="F14592" t="s">
        <v>1068</v>
      </c>
      <c r="G14592" t="s">
        <v>1069</v>
      </c>
      <c r="H14592">
        <v>4.4362809541031202E-2</v>
      </c>
      <c r="I14592" t="s">
        <v>1070</v>
      </c>
      <c r="J14592">
        <v>4.33</v>
      </c>
    </row>
    <row r="14593" spans="1:10" hidden="1">
      <c r="A14593" t="s">
        <v>8979</v>
      </c>
      <c r="B14593" t="s">
        <v>8980</v>
      </c>
      <c r="C14593" t="s">
        <v>6839</v>
      </c>
      <c r="D14593" t="s">
        <v>3640</v>
      </c>
      <c r="E14593" t="s">
        <v>558</v>
      </c>
      <c r="F14593" t="s">
        <v>1068</v>
      </c>
      <c r="G14593" t="s">
        <v>1071</v>
      </c>
      <c r="H14593" s="171" t="s">
        <v>8981</v>
      </c>
      <c r="I14593" t="s">
        <v>1072</v>
      </c>
      <c r="J14593">
        <v>4.33</v>
      </c>
    </row>
    <row r="14594" spans="1:10" hidden="1">
      <c r="A14594" t="s">
        <v>8979</v>
      </c>
      <c r="B14594" t="s">
        <v>8980</v>
      </c>
      <c r="C14594" t="s">
        <v>6839</v>
      </c>
      <c r="D14594" t="s">
        <v>3640</v>
      </c>
      <c r="E14594" t="s">
        <v>558</v>
      </c>
      <c r="F14594" t="s">
        <v>1068</v>
      </c>
      <c r="G14594" t="s">
        <v>1073</v>
      </c>
      <c r="H14594" s="171" t="s">
        <v>8982</v>
      </c>
      <c r="I14594" t="s">
        <v>1074</v>
      </c>
      <c r="J14594">
        <v>4.33</v>
      </c>
    </row>
    <row r="14595" spans="1:10" hidden="1">
      <c r="A14595" t="s">
        <v>8979</v>
      </c>
      <c r="B14595" t="s">
        <v>8980</v>
      </c>
      <c r="C14595" t="s">
        <v>6839</v>
      </c>
      <c r="D14595" t="s">
        <v>3640</v>
      </c>
      <c r="E14595" t="s">
        <v>558</v>
      </c>
      <c r="F14595" t="s">
        <v>1068</v>
      </c>
      <c r="G14595" t="s">
        <v>1075</v>
      </c>
      <c r="H14595" s="171" t="s">
        <v>8983</v>
      </c>
      <c r="I14595" t="s">
        <v>1077</v>
      </c>
      <c r="J14595">
        <v>4.33</v>
      </c>
    </row>
    <row r="14596" spans="1:10" hidden="1">
      <c r="A14596" t="s">
        <v>8979</v>
      </c>
      <c r="B14596" t="s">
        <v>8980</v>
      </c>
      <c r="C14596" t="s">
        <v>6839</v>
      </c>
      <c r="D14596" t="s">
        <v>3640</v>
      </c>
      <c r="E14596" t="s">
        <v>558</v>
      </c>
      <c r="F14596" t="s">
        <v>1068</v>
      </c>
      <c r="G14596" t="s">
        <v>1078</v>
      </c>
      <c r="H14596" s="171" t="s">
        <v>8984</v>
      </c>
      <c r="I14596" t="s">
        <v>1079</v>
      </c>
      <c r="J14596">
        <v>4.33</v>
      </c>
    </row>
    <row r="14597" spans="1:10" hidden="1">
      <c r="A14597" t="s">
        <v>8979</v>
      </c>
      <c r="B14597" t="s">
        <v>8980</v>
      </c>
      <c r="C14597" t="s">
        <v>6839</v>
      </c>
      <c r="D14597" t="s">
        <v>3640</v>
      </c>
      <c r="E14597" t="s">
        <v>558</v>
      </c>
      <c r="F14597" t="s">
        <v>1068</v>
      </c>
      <c r="G14597" t="s">
        <v>1080</v>
      </c>
      <c r="H14597" s="171" t="s">
        <v>8985</v>
      </c>
      <c r="I14597" t="s">
        <v>1082</v>
      </c>
      <c r="J14597">
        <v>4.33</v>
      </c>
    </row>
    <row r="14598" spans="1:10" hidden="1">
      <c r="A14598" t="s">
        <v>8979</v>
      </c>
      <c r="B14598" t="s">
        <v>8980</v>
      </c>
      <c r="C14598" t="s">
        <v>6839</v>
      </c>
      <c r="D14598" t="s">
        <v>3640</v>
      </c>
      <c r="E14598" t="s">
        <v>558</v>
      </c>
      <c r="F14598" t="s">
        <v>1068</v>
      </c>
      <c r="G14598" t="s">
        <v>1083</v>
      </c>
      <c r="H14598" s="171" t="s">
        <v>8986</v>
      </c>
      <c r="I14598" t="s">
        <v>1084</v>
      </c>
      <c r="J14598">
        <v>4.33</v>
      </c>
    </row>
    <row r="14599" spans="1:10" hidden="1">
      <c r="A14599" t="s">
        <v>8979</v>
      </c>
      <c r="B14599" t="s">
        <v>8980</v>
      </c>
      <c r="C14599" t="s">
        <v>6839</v>
      </c>
      <c r="D14599" t="s">
        <v>3640</v>
      </c>
      <c r="E14599" t="s">
        <v>558</v>
      </c>
      <c r="F14599" t="s">
        <v>1068</v>
      </c>
      <c r="G14599" t="s">
        <v>1085</v>
      </c>
      <c r="H14599">
        <v>7.2786050894498499E-4</v>
      </c>
      <c r="I14599" t="s">
        <v>1086</v>
      </c>
      <c r="J14599">
        <v>4.33</v>
      </c>
    </row>
    <row r="14600" spans="1:10" hidden="1">
      <c r="A14600" t="s">
        <v>8979</v>
      </c>
      <c r="B14600" t="s">
        <v>8980</v>
      </c>
      <c r="C14600" t="s">
        <v>6839</v>
      </c>
      <c r="D14600" t="s">
        <v>3640</v>
      </c>
      <c r="E14600" t="s">
        <v>558</v>
      </c>
      <c r="F14600" t="s">
        <v>1068</v>
      </c>
      <c r="G14600" t="s">
        <v>1087</v>
      </c>
      <c r="H14600" s="171" t="s">
        <v>8987</v>
      </c>
      <c r="I14600" t="s">
        <v>1088</v>
      </c>
      <c r="J14600">
        <v>4.33</v>
      </c>
    </row>
    <row r="14601" spans="1:10" hidden="1">
      <c r="A14601" t="s">
        <v>8979</v>
      </c>
      <c r="B14601" t="s">
        <v>8980</v>
      </c>
      <c r="C14601" t="s">
        <v>6839</v>
      </c>
      <c r="D14601" t="s">
        <v>3640</v>
      </c>
      <c r="E14601" t="s">
        <v>558</v>
      </c>
      <c r="F14601" t="s">
        <v>1068</v>
      </c>
      <c r="G14601" t="s">
        <v>1089</v>
      </c>
      <c r="H14601">
        <v>2.2204746102580099E-4</v>
      </c>
      <c r="I14601" t="s">
        <v>1090</v>
      </c>
      <c r="J14601">
        <v>4.33</v>
      </c>
    </row>
    <row r="14602" spans="1:10" hidden="1">
      <c r="A14602" t="s">
        <v>8988</v>
      </c>
      <c r="B14602" t="s">
        <v>8989</v>
      </c>
      <c r="C14602" t="s">
        <v>6839</v>
      </c>
      <c r="D14602" t="s">
        <v>3640</v>
      </c>
      <c r="E14602" t="s">
        <v>553</v>
      </c>
      <c r="F14602" t="s">
        <v>1068</v>
      </c>
      <c r="G14602" t="s">
        <v>1069</v>
      </c>
      <c r="H14602">
        <v>4.4362989336778298E-2</v>
      </c>
      <c r="I14602" t="s">
        <v>1070</v>
      </c>
      <c r="J14602">
        <v>4.42</v>
      </c>
    </row>
    <row r="14603" spans="1:10" hidden="1">
      <c r="A14603" t="s">
        <v>8988</v>
      </c>
      <c r="B14603" t="s">
        <v>8989</v>
      </c>
      <c r="C14603" t="s">
        <v>6839</v>
      </c>
      <c r="D14603" t="s">
        <v>3640</v>
      </c>
      <c r="E14603" t="s">
        <v>553</v>
      </c>
      <c r="F14603" t="s">
        <v>1068</v>
      </c>
      <c r="G14603" t="s">
        <v>1071</v>
      </c>
      <c r="H14603" s="171" t="s">
        <v>8990</v>
      </c>
      <c r="I14603" t="s">
        <v>1072</v>
      </c>
      <c r="J14603">
        <v>4.42</v>
      </c>
    </row>
    <row r="14604" spans="1:10" hidden="1">
      <c r="A14604" t="s">
        <v>8988</v>
      </c>
      <c r="B14604" t="s">
        <v>8989</v>
      </c>
      <c r="C14604" t="s">
        <v>6839</v>
      </c>
      <c r="D14604" t="s">
        <v>3640</v>
      </c>
      <c r="E14604" t="s">
        <v>553</v>
      </c>
      <c r="F14604" t="s">
        <v>1068</v>
      </c>
      <c r="G14604" t="s">
        <v>1073</v>
      </c>
      <c r="H14604" s="171" t="s">
        <v>8991</v>
      </c>
      <c r="I14604" t="s">
        <v>1074</v>
      </c>
      <c r="J14604">
        <v>4.42</v>
      </c>
    </row>
    <row r="14605" spans="1:10" hidden="1">
      <c r="A14605" t="s">
        <v>8988</v>
      </c>
      <c r="B14605" t="s">
        <v>8989</v>
      </c>
      <c r="C14605" t="s">
        <v>6839</v>
      </c>
      <c r="D14605" t="s">
        <v>3640</v>
      </c>
      <c r="E14605" t="s">
        <v>553</v>
      </c>
      <c r="F14605" t="s">
        <v>1068</v>
      </c>
      <c r="G14605" t="s">
        <v>1075</v>
      </c>
      <c r="H14605" s="171" t="s">
        <v>8992</v>
      </c>
      <c r="I14605" t="s">
        <v>1077</v>
      </c>
      <c r="J14605">
        <v>4.42</v>
      </c>
    </row>
    <row r="14606" spans="1:10" hidden="1">
      <c r="A14606" t="s">
        <v>8988</v>
      </c>
      <c r="B14606" t="s">
        <v>8989</v>
      </c>
      <c r="C14606" t="s">
        <v>6839</v>
      </c>
      <c r="D14606" t="s">
        <v>3640</v>
      </c>
      <c r="E14606" t="s">
        <v>553</v>
      </c>
      <c r="F14606" t="s">
        <v>1068</v>
      </c>
      <c r="G14606" t="s">
        <v>1078</v>
      </c>
      <c r="H14606" s="171" t="s">
        <v>8993</v>
      </c>
      <c r="I14606" t="s">
        <v>1079</v>
      </c>
      <c r="J14606">
        <v>4.42</v>
      </c>
    </row>
    <row r="14607" spans="1:10" hidden="1">
      <c r="A14607" t="s">
        <v>8988</v>
      </c>
      <c r="B14607" t="s">
        <v>8989</v>
      </c>
      <c r="C14607" t="s">
        <v>6839</v>
      </c>
      <c r="D14607" t="s">
        <v>3640</v>
      </c>
      <c r="E14607" t="s">
        <v>553</v>
      </c>
      <c r="F14607" t="s">
        <v>1068</v>
      </c>
      <c r="G14607" t="s">
        <v>1080</v>
      </c>
      <c r="H14607" s="171" t="s">
        <v>8994</v>
      </c>
      <c r="I14607" t="s">
        <v>1082</v>
      </c>
      <c r="J14607">
        <v>4.42</v>
      </c>
    </row>
    <row r="14608" spans="1:10" hidden="1">
      <c r="A14608" t="s">
        <v>8988</v>
      </c>
      <c r="B14608" t="s">
        <v>8989</v>
      </c>
      <c r="C14608" t="s">
        <v>6839</v>
      </c>
      <c r="D14608" t="s">
        <v>3640</v>
      </c>
      <c r="E14608" t="s">
        <v>553</v>
      </c>
      <c r="F14608" t="s">
        <v>1068</v>
      </c>
      <c r="G14608" t="s">
        <v>1083</v>
      </c>
      <c r="H14608" s="171" t="s">
        <v>8995</v>
      </c>
      <c r="I14608" t="s">
        <v>1084</v>
      </c>
      <c r="J14608">
        <v>4.42</v>
      </c>
    </row>
    <row r="14609" spans="1:10" hidden="1">
      <c r="A14609" t="s">
        <v>8988</v>
      </c>
      <c r="B14609" t="s">
        <v>8989</v>
      </c>
      <c r="C14609" t="s">
        <v>6839</v>
      </c>
      <c r="D14609" t="s">
        <v>3640</v>
      </c>
      <c r="E14609" t="s">
        <v>553</v>
      </c>
      <c r="F14609" t="s">
        <v>1068</v>
      </c>
      <c r="G14609" t="s">
        <v>1085</v>
      </c>
      <c r="H14609">
        <v>7.2786048546936597E-4</v>
      </c>
      <c r="I14609" t="s">
        <v>1086</v>
      </c>
      <c r="J14609">
        <v>4.42</v>
      </c>
    </row>
    <row r="14610" spans="1:10" hidden="1">
      <c r="A14610" t="s">
        <v>8988</v>
      </c>
      <c r="B14610" t="s">
        <v>8989</v>
      </c>
      <c r="C14610" t="s">
        <v>6839</v>
      </c>
      <c r="D14610" t="s">
        <v>3640</v>
      </c>
      <c r="E14610" t="s">
        <v>553</v>
      </c>
      <c r="F14610" t="s">
        <v>1068</v>
      </c>
      <c r="G14610" t="s">
        <v>1087</v>
      </c>
      <c r="H14610" s="171" t="s">
        <v>8996</v>
      </c>
      <c r="I14610" t="s">
        <v>1088</v>
      </c>
      <c r="J14610">
        <v>4.42</v>
      </c>
    </row>
    <row r="14611" spans="1:10" hidden="1">
      <c r="A14611" t="s">
        <v>8988</v>
      </c>
      <c r="B14611" t="s">
        <v>8989</v>
      </c>
      <c r="C14611" t="s">
        <v>6839</v>
      </c>
      <c r="D14611" t="s">
        <v>3640</v>
      </c>
      <c r="E14611" t="s">
        <v>553</v>
      </c>
      <c r="F14611" t="s">
        <v>1068</v>
      </c>
      <c r="G14611" t="s">
        <v>1089</v>
      </c>
      <c r="H14611">
        <v>2.2204745619333399E-4</v>
      </c>
      <c r="I14611" t="s">
        <v>1090</v>
      </c>
      <c r="J14611">
        <v>4.42</v>
      </c>
    </row>
    <row r="14612" spans="1:10" hidden="1">
      <c r="A14612" t="s">
        <v>8997</v>
      </c>
      <c r="B14612" t="s">
        <v>8998</v>
      </c>
      <c r="C14612" t="s">
        <v>6839</v>
      </c>
      <c r="D14612" t="s">
        <v>3640</v>
      </c>
      <c r="E14612" t="s">
        <v>556</v>
      </c>
      <c r="F14612" t="s">
        <v>1068</v>
      </c>
      <c r="G14612" t="s">
        <v>1069</v>
      </c>
      <c r="H14612">
        <v>4.4363395089942401E-2</v>
      </c>
      <c r="I14612" t="s">
        <v>1070</v>
      </c>
      <c r="J14612">
        <v>4.3</v>
      </c>
    </row>
    <row r="14613" spans="1:10" hidden="1">
      <c r="A14613" t="s">
        <v>8997</v>
      </c>
      <c r="B14613" t="s">
        <v>8998</v>
      </c>
      <c r="C14613" t="s">
        <v>6839</v>
      </c>
      <c r="D14613" t="s">
        <v>3640</v>
      </c>
      <c r="E14613" t="s">
        <v>556</v>
      </c>
      <c r="F14613" t="s">
        <v>1068</v>
      </c>
      <c r="G14613" t="s">
        <v>1071</v>
      </c>
      <c r="H14613" s="171" t="s">
        <v>8999</v>
      </c>
      <c r="I14613" t="s">
        <v>1072</v>
      </c>
      <c r="J14613">
        <v>4.3</v>
      </c>
    </row>
    <row r="14614" spans="1:10" hidden="1">
      <c r="A14614" t="s">
        <v>8997</v>
      </c>
      <c r="B14614" t="s">
        <v>8998</v>
      </c>
      <c r="C14614" t="s">
        <v>6839</v>
      </c>
      <c r="D14614" t="s">
        <v>3640</v>
      </c>
      <c r="E14614" t="s">
        <v>556</v>
      </c>
      <c r="F14614" t="s">
        <v>1068</v>
      </c>
      <c r="G14614" t="s">
        <v>1073</v>
      </c>
      <c r="H14614" s="171" t="s">
        <v>9000</v>
      </c>
      <c r="I14614" t="s">
        <v>1074</v>
      </c>
      <c r="J14614">
        <v>4.3</v>
      </c>
    </row>
    <row r="14615" spans="1:10" hidden="1">
      <c r="A14615" t="s">
        <v>8997</v>
      </c>
      <c r="B14615" t="s">
        <v>8998</v>
      </c>
      <c r="C14615" t="s">
        <v>6839</v>
      </c>
      <c r="D14615" t="s">
        <v>3640</v>
      </c>
      <c r="E14615" t="s">
        <v>556</v>
      </c>
      <c r="F14615" t="s">
        <v>1068</v>
      </c>
      <c r="G14615" t="s">
        <v>1075</v>
      </c>
      <c r="H14615" s="171" t="s">
        <v>9001</v>
      </c>
      <c r="I14615" t="s">
        <v>1077</v>
      </c>
      <c r="J14615">
        <v>4.3</v>
      </c>
    </row>
    <row r="14616" spans="1:10" hidden="1">
      <c r="A14616" t="s">
        <v>8997</v>
      </c>
      <c r="B14616" t="s">
        <v>8998</v>
      </c>
      <c r="C14616" t="s">
        <v>6839</v>
      </c>
      <c r="D14616" t="s">
        <v>3640</v>
      </c>
      <c r="E14616" t="s">
        <v>556</v>
      </c>
      <c r="F14616" t="s">
        <v>1068</v>
      </c>
      <c r="G14616" t="s">
        <v>1078</v>
      </c>
      <c r="H14616" s="171" t="s">
        <v>9002</v>
      </c>
      <c r="I14616" t="s">
        <v>1079</v>
      </c>
      <c r="J14616">
        <v>4.3</v>
      </c>
    </row>
    <row r="14617" spans="1:10" hidden="1">
      <c r="A14617" t="s">
        <v>8997</v>
      </c>
      <c r="B14617" t="s">
        <v>8998</v>
      </c>
      <c r="C14617" t="s">
        <v>6839</v>
      </c>
      <c r="D14617" t="s">
        <v>3640</v>
      </c>
      <c r="E14617" t="s">
        <v>556</v>
      </c>
      <c r="F14617" t="s">
        <v>1068</v>
      </c>
      <c r="G14617" t="s">
        <v>1080</v>
      </c>
      <c r="H14617" s="171" t="s">
        <v>9003</v>
      </c>
      <c r="I14617" t="s">
        <v>1082</v>
      </c>
      <c r="J14617">
        <v>4.3</v>
      </c>
    </row>
    <row r="14618" spans="1:10" hidden="1">
      <c r="A14618" t="s">
        <v>8997</v>
      </c>
      <c r="B14618" t="s">
        <v>8998</v>
      </c>
      <c r="C14618" t="s">
        <v>6839</v>
      </c>
      <c r="D14618" t="s">
        <v>3640</v>
      </c>
      <c r="E14618" t="s">
        <v>556</v>
      </c>
      <c r="F14618" t="s">
        <v>1068</v>
      </c>
      <c r="G14618" t="s">
        <v>1083</v>
      </c>
      <c r="H14618" s="171" t="s">
        <v>9004</v>
      </c>
      <c r="I14618" t="s">
        <v>1084</v>
      </c>
      <c r="J14618">
        <v>4.3</v>
      </c>
    </row>
    <row r="14619" spans="1:10" hidden="1">
      <c r="A14619" t="s">
        <v>8997</v>
      </c>
      <c r="B14619" t="s">
        <v>8998</v>
      </c>
      <c r="C14619" t="s">
        <v>6839</v>
      </c>
      <c r="D14619" t="s">
        <v>3640</v>
      </c>
      <c r="E14619" t="s">
        <v>556</v>
      </c>
      <c r="F14619" t="s">
        <v>1068</v>
      </c>
      <c r="G14619" t="s">
        <v>1085</v>
      </c>
      <c r="H14619">
        <v>7.2786118251912297E-4</v>
      </c>
      <c r="I14619" t="s">
        <v>1086</v>
      </c>
      <c r="J14619">
        <v>4.3</v>
      </c>
    </row>
    <row r="14620" spans="1:10" hidden="1">
      <c r="A14620" t="s">
        <v>8997</v>
      </c>
      <c r="B14620" t="s">
        <v>8998</v>
      </c>
      <c r="C14620" t="s">
        <v>6839</v>
      </c>
      <c r="D14620" t="s">
        <v>3640</v>
      </c>
      <c r="E14620" t="s">
        <v>556</v>
      </c>
      <c r="F14620" t="s">
        <v>1068</v>
      </c>
      <c r="G14620" t="s">
        <v>1087</v>
      </c>
      <c r="H14620" s="171" t="s">
        <v>9005</v>
      </c>
      <c r="I14620" t="s">
        <v>1088</v>
      </c>
      <c r="J14620">
        <v>4.3</v>
      </c>
    </row>
    <row r="14621" spans="1:10" hidden="1">
      <c r="A14621" t="s">
        <v>8997</v>
      </c>
      <c r="B14621" t="s">
        <v>8998</v>
      </c>
      <c r="C14621" t="s">
        <v>6839</v>
      </c>
      <c r="D14621" t="s">
        <v>3640</v>
      </c>
      <c r="E14621" t="s">
        <v>556</v>
      </c>
      <c r="F14621" t="s">
        <v>1068</v>
      </c>
      <c r="G14621" t="s">
        <v>1089</v>
      </c>
      <c r="H14621">
        <v>2.2204759999332199E-4</v>
      </c>
      <c r="I14621" t="s">
        <v>1090</v>
      </c>
      <c r="J14621">
        <v>4.3</v>
      </c>
    </row>
    <row r="14622" spans="1:10" hidden="1">
      <c r="A14622" t="s">
        <v>9006</v>
      </c>
      <c r="B14622" t="s">
        <v>9007</v>
      </c>
      <c r="C14622" t="s">
        <v>6839</v>
      </c>
      <c r="D14622" t="s">
        <v>3640</v>
      </c>
      <c r="E14622" t="s">
        <v>557</v>
      </c>
      <c r="F14622" t="s">
        <v>1068</v>
      </c>
      <c r="G14622" t="s">
        <v>1069</v>
      </c>
      <c r="H14622" s="171" t="s">
        <v>9008</v>
      </c>
      <c r="I14622" t="s">
        <v>1070</v>
      </c>
      <c r="J14622">
        <v>4.4000000000000004</v>
      </c>
    </row>
    <row r="14623" spans="1:10" hidden="1">
      <c r="A14623" t="s">
        <v>9006</v>
      </c>
      <c r="B14623" t="s">
        <v>9007</v>
      </c>
      <c r="C14623" t="s">
        <v>6839</v>
      </c>
      <c r="D14623" t="s">
        <v>3640</v>
      </c>
      <c r="E14623" t="s">
        <v>557</v>
      </c>
      <c r="F14623" t="s">
        <v>1068</v>
      </c>
      <c r="G14623" t="s">
        <v>1071</v>
      </c>
      <c r="H14623" s="171" t="s">
        <v>9009</v>
      </c>
      <c r="I14623" t="s">
        <v>1072</v>
      </c>
      <c r="J14623">
        <v>4.4000000000000004</v>
      </c>
    </row>
    <row r="14624" spans="1:10" hidden="1">
      <c r="A14624" t="s">
        <v>9006</v>
      </c>
      <c r="B14624" t="s">
        <v>9007</v>
      </c>
      <c r="C14624" t="s">
        <v>6839</v>
      </c>
      <c r="D14624" t="s">
        <v>3640</v>
      </c>
      <c r="E14624" t="s">
        <v>557</v>
      </c>
      <c r="F14624" t="s">
        <v>1068</v>
      </c>
      <c r="G14624" t="s">
        <v>1073</v>
      </c>
      <c r="H14624" s="171" t="s">
        <v>9010</v>
      </c>
      <c r="I14624" t="s">
        <v>1074</v>
      </c>
      <c r="J14624">
        <v>4.4000000000000004</v>
      </c>
    </row>
    <row r="14625" spans="1:10" hidden="1">
      <c r="A14625" t="s">
        <v>9006</v>
      </c>
      <c r="B14625" t="s">
        <v>9007</v>
      </c>
      <c r="C14625" t="s">
        <v>6839</v>
      </c>
      <c r="D14625" t="s">
        <v>3640</v>
      </c>
      <c r="E14625" t="s">
        <v>557</v>
      </c>
      <c r="F14625" t="s">
        <v>1068</v>
      </c>
      <c r="G14625" t="s">
        <v>1075</v>
      </c>
      <c r="H14625" s="171" t="s">
        <v>9011</v>
      </c>
      <c r="I14625" t="s">
        <v>1077</v>
      </c>
      <c r="J14625">
        <v>4.4000000000000004</v>
      </c>
    </row>
    <row r="14626" spans="1:10" hidden="1">
      <c r="A14626" t="s">
        <v>9006</v>
      </c>
      <c r="B14626" t="s">
        <v>9007</v>
      </c>
      <c r="C14626" t="s">
        <v>6839</v>
      </c>
      <c r="D14626" t="s">
        <v>3640</v>
      </c>
      <c r="E14626" t="s">
        <v>557</v>
      </c>
      <c r="F14626" t="s">
        <v>1068</v>
      </c>
      <c r="G14626" t="s">
        <v>1078</v>
      </c>
      <c r="H14626">
        <v>2.5363327127883299</v>
      </c>
      <c r="I14626" t="s">
        <v>1079</v>
      </c>
      <c r="J14626">
        <v>4.4000000000000004</v>
      </c>
    </row>
    <row r="14627" spans="1:10" hidden="1">
      <c r="A14627" t="s">
        <v>9006</v>
      </c>
      <c r="B14627" t="s">
        <v>9007</v>
      </c>
      <c r="C14627" t="s">
        <v>6839</v>
      </c>
      <c r="D14627" t="s">
        <v>3640</v>
      </c>
      <c r="E14627" t="s">
        <v>557</v>
      </c>
      <c r="F14627" t="s">
        <v>1068</v>
      </c>
      <c r="G14627" t="s">
        <v>1080</v>
      </c>
      <c r="H14627" s="171" t="s">
        <v>9012</v>
      </c>
      <c r="I14627" t="s">
        <v>1082</v>
      </c>
      <c r="J14627">
        <v>4.4000000000000004</v>
      </c>
    </row>
    <row r="14628" spans="1:10" hidden="1">
      <c r="A14628" t="s">
        <v>9006</v>
      </c>
      <c r="B14628" t="s">
        <v>9007</v>
      </c>
      <c r="C14628" t="s">
        <v>6839</v>
      </c>
      <c r="D14628" t="s">
        <v>3640</v>
      </c>
      <c r="E14628" t="s">
        <v>557</v>
      </c>
      <c r="F14628" t="s">
        <v>1068</v>
      </c>
      <c r="G14628" t="s">
        <v>1083</v>
      </c>
      <c r="H14628" s="171" t="s">
        <v>9013</v>
      </c>
      <c r="I14628" t="s">
        <v>1084</v>
      </c>
      <c r="J14628">
        <v>4.4000000000000004</v>
      </c>
    </row>
    <row r="14629" spans="1:10" hidden="1">
      <c r="A14629" t="s">
        <v>9006</v>
      </c>
      <c r="B14629" t="s">
        <v>9007</v>
      </c>
      <c r="C14629" t="s">
        <v>6839</v>
      </c>
      <c r="D14629" t="s">
        <v>3640</v>
      </c>
      <c r="E14629" t="s">
        <v>557</v>
      </c>
      <c r="F14629" t="s">
        <v>1068</v>
      </c>
      <c r="G14629" t="s">
        <v>1085</v>
      </c>
      <c r="H14629">
        <v>7.2786074691186101E-4</v>
      </c>
      <c r="I14629" t="s">
        <v>1086</v>
      </c>
      <c r="J14629">
        <v>4.4000000000000004</v>
      </c>
    </row>
    <row r="14630" spans="1:10" hidden="1">
      <c r="A14630" t="s">
        <v>9006</v>
      </c>
      <c r="B14630" t="s">
        <v>9007</v>
      </c>
      <c r="C14630" t="s">
        <v>6839</v>
      </c>
      <c r="D14630" t="s">
        <v>3640</v>
      </c>
      <c r="E14630" t="s">
        <v>557</v>
      </c>
      <c r="F14630" t="s">
        <v>1068</v>
      </c>
      <c r="G14630" t="s">
        <v>1087</v>
      </c>
      <c r="H14630" s="171" t="s">
        <v>9014</v>
      </c>
      <c r="I14630" t="s">
        <v>1088</v>
      </c>
      <c r="J14630">
        <v>4.4000000000000004</v>
      </c>
    </row>
    <row r="14631" spans="1:10" hidden="1">
      <c r="A14631" t="s">
        <v>9006</v>
      </c>
      <c r="B14631" t="s">
        <v>9007</v>
      </c>
      <c r="C14631" t="s">
        <v>6839</v>
      </c>
      <c r="D14631" t="s">
        <v>3640</v>
      </c>
      <c r="E14631" t="s">
        <v>557</v>
      </c>
      <c r="F14631" t="s">
        <v>1068</v>
      </c>
      <c r="G14631" t="s">
        <v>1089</v>
      </c>
      <c r="H14631">
        <v>2.2204751011789799E-4</v>
      </c>
      <c r="I14631" t="s">
        <v>1090</v>
      </c>
      <c r="J14631">
        <v>4.4000000000000004</v>
      </c>
    </row>
    <row r="14632" spans="1:10" hidden="1">
      <c r="A14632" t="s">
        <v>9015</v>
      </c>
      <c r="B14632" t="s">
        <v>9016</v>
      </c>
      <c r="C14632" t="s">
        <v>6839</v>
      </c>
      <c r="D14632" t="s">
        <v>3640</v>
      </c>
      <c r="E14632" t="s">
        <v>559</v>
      </c>
      <c r="F14632" t="s">
        <v>1068</v>
      </c>
      <c r="G14632" t="s">
        <v>1069</v>
      </c>
      <c r="H14632">
        <v>4.4363274483016898E-2</v>
      </c>
      <c r="I14632" t="s">
        <v>1070</v>
      </c>
      <c r="J14632">
        <v>4.78</v>
      </c>
    </row>
    <row r="14633" spans="1:10" hidden="1">
      <c r="A14633" t="s">
        <v>9015</v>
      </c>
      <c r="B14633" t="s">
        <v>9016</v>
      </c>
      <c r="C14633" t="s">
        <v>6839</v>
      </c>
      <c r="D14633" t="s">
        <v>3640</v>
      </c>
      <c r="E14633" t="s">
        <v>559</v>
      </c>
      <c r="F14633" t="s">
        <v>1068</v>
      </c>
      <c r="G14633" t="s">
        <v>1071</v>
      </c>
      <c r="H14633" s="171" t="s">
        <v>9017</v>
      </c>
      <c r="I14633" t="s">
        <v>1072</v>
      </c>
      <c r="J14633">
        <v>4.78</v>
      </c>
    </row>
    <row r="14634" spans="1:10" hidden="1">
      <c r="A14634" t="s">
        <v>9015</v>
      </c>
      <c r="B14634" t="s">
        <v>9016</v>
      </c>
      <c r="C14634" t="s">
        <v>6839</v>
      </c>
      <c r="D14634" t="s">
        <v>3640</v>
      </c>
      <c r="E14634" t="s">
        <v>559</v>
      </c>
      <c r="F14634" t="s">
        <v>1068</v>
      </c>
      <c r="G14634" t="s">
        <v>1073</v>
      </c>
      <c r="H14634" s="171" t="s">
        <v>9018</v>
      </c>
      <c r="I14634" t="s">
        <v>1074</v>
      </c>
      <c r="J14634">
        <v>4.78</v>
      </c>
    </row>
    <row r="14635" spans="1:10" hidden="1">
      <c r="A14635" t="s">
        <v>9015</v>
      </c>
      <c r="B14635" t="s">
        <v>9016</v>
      </c>
      <c r="C14635" t="s">
        <v>6839</v>
      </c>
      <c r="D14635" t="s">
        <v>3640</v>
      </c>
      <c r="E14635" t="s">
        <v>559</v>
      </c>
      <c r="F14635" t="s">
        <v>1068</v>
      </c>
      <c r="G14635" t="s">
        <v>1075</v>
      </c>
      <c r="H14635">
        <v>2.0103885245038099E-2</v>
      </c>
      <c r="I14635" t="s">
        <v>1077</v>
      </c>
      <c r="J14635">
        <v>4.78</v>
      </c>
    </row>
    <row r="14636" spans="1:10" hidden="1">
      <c r="A14636" t="s">
        <v>9015</v>
      </c>
      <c r="B14636" t="s">
        <v>9016</v>
      </c>
      <c r="C14636" t="s">
        <v>6839</v>
      </c>
      <c r="D14636" t="s">
        <v>3640</v>
      </c>
      <c r="E14636" t="s">
        <v>559</v>
      </c>
      <c r="F14636" t="s">
        <v>1068</v>
      </c>
      <c r="G14636" t="s">
        <v>1078</v>
      </c>
      <c r="H14636" s="171" t="s">
        <v>9019</v>
      </c>
      <c r="I14636" t="s">
        <v>1079</v>
      </c>
      <c r="J14636">
        <v>4.78</v>
      </c>
    </row>
    <row r="14637" spans="1:10" hidden="1">
      <c r="A14637" t="s">
        <v>9015</v>
      </c>
      <c r="B14637" t="s">
        <v>9016</v>
      </c>
      <c r="C14637" t="s">
        <v>6839</v>
      </c>
      <c r="D14637" t="s">
        <v>3640</v>
      </c>
      <c r="E14637" t="s">
        <v>559</v>
      </c>
      <c r="F14637" t="s">
        <v>1068</v>
      </c>
      <c r="G14637" t="s">
        <v>1080</v>
      </c>
      <c r="H14637" s="171" t="s">
        <v>9020</v>
      </c>
      <c r="I14637" t="s">
        <v>1082</v>
      </c>
      <c r="J14637">
        <v>4.78</v>
      </c>
    </row>
    <row r="14638" spans="1:10" hidden="1">
      <c r="A14638" t="s">
        <v>9015</v>
      </c>
      <c r="B14638" t="s">
        <v>9016</v>
      </c>
      <c r="C14638" t="s">
        <v>6839</v>
      </c>
      <c r="D14638" t="s">
        <v>3640</v>
      </c>
      <c r="E14638" t="s">
        <v>559</v>
      </c>
      <c r="F14638" t="s">
        <v>1068</v>
      </c>
      <c r="G14638" t="s">
        <v>1083</v>
      </c>
      <c r="H14638" s="171" t="s">
        <v>9021</v>
      </c>
      <c r="I14638" t="s">
        <v>1084</v>
      </c>
      <c r="J14638">
        <v>4.78</v>
      </c>
    </row>
    <row r="14639" spans="1:10" hidden="1">
      <c r="A14639" t="s">
        <v>9015</v>
      </c>
      <c r="B14639" t="s">
        <v>9016</v>
      </c>
      <c r="C14639" t="s">
        <v>6839</v>
      </c>
      <c r="D14639" t="s">
        <v>3640</v>
      </c>
      <c r="E14639" t="s">
        <v>559</v>
      </c>
      <c r="F14639" t="s">
        <v>1068</v>
      </c>
      <c r="G14639" t="s">
        <v>1085</v>
      </c>
      <c r="H14639">
        <v>7.2786097532659899E-4</v>
      </c>
      <c r="I14639" t="s">
        <v>1086</v>
      </c>
      <c r="J14639">
        <v>4.78</v>
      </c>
    </row>
    <row r="14640" spans="1:10" hidden="1">
      <c r="A14640" t="s">
        <v>9015</v>
      </c>
      <c r="B14640" t="s">
        <v>9016</v>
      </c>
      <c r="C14640" t="s">
        <v>6839</v>
      </c>
      <c r="D14640" t="s">
        <v>3640</v>
      </c>
      <c r="E14640" t="s">
        <v>559</v>
      </c>
      <c r="F14640" t="s">
        <v>1068</v>
      </c>
      <c r="G14640" t="s">
        <v>1087</v>
      </c>
      <c r="H14640" s="171" t="s">
        <v>9022</v>
      </c>
      <c r="I14640" t="s">
        <v>1088</v>
      </c>
      <c r="J14640">
        <v>4.78</v>
      </c>
    </row>
    <row r="14641" spans="1:10" hidden="1">
      <c r="A14641" t="s">
        <v>9015</v>
      </c>
      <c r="B14641" t="s">
        <v>9016</v>
      </c>
      <c r="C14641" t="s">
        <v>6839</v>
      </c>
      <c r="D14641" t="s">
        <v>3640</v>
      </c>
      <c r="E14641" t="s">
        <v>559</v>
      </c>
      <c r="F14641" t="s">
        <v>1068</v>
      </c>
      <c r="G14641" t="s">
        <v>1089</v>
      </c>
      <c r="H14641">
        <v>2.22047557249914E-4</v>
      </c>
      <c r="I14641" t="s">
        <v>1090</v>
      </c>
      <c r="J14641">
        <v>4.78</v>
      </c>
    </row>
    <row r="14642" spans="1:10" hidden="1">
      <c r="A14642" t="s">
        <v>9023</v>
      </c>
      <c r="B14642" t="s">
        <v>9024</v>
      </c>
      <c r="C14642" t="s">
        <v>6839</v>
      </c>
      <c r="D14642" t="s">
        <v>3640</v>
      </c>
      <c r="E14642" t="s">
        <v>560</v>
      </c>
      <c r="F14642" t="s">
        <v>1068</v>
      </c>
      <c r="G14642" t="s">
        <v>1069</v>
      </c>
      <c r="H14642">
        <v>4.4363021939415298E-2</v>
      </c>
      <c r="I14642" t="s">
        <v>1070</v>
      </c>
      <c r="J14642">
        <v>4.4400000000000004</v>
      </c>
    </row>
    <row r="14643" spans="1:10" hidden="1">
      <c r="A14643" t="s">
        <v>9023</v>
      </c>
      <c r="B14643" t="s">
        <v>9024</v>
      </c>
      <c r="C14643" t="s">
        <v>6839</v>
      </c>
      <c r="D14643" t="s">
        <v>3640</v>
      </c>
      <c r="E14643" t="s">
        <v>560</v>
      </c>
      <c r="F14643" t="s">
        <v>1068</v>
      </c>
      <c r="G14643" t="s">
        <v>1071</v>
      </c>
      <c r="H14643" s="171" t="s">
        <v>9025</v>
      </c>
      <c r="I14643" t="s">
        <v>1072</v>
      </c>
      <c r="J14643">
        <v>4.4400000000000004</v>
      </c>
    </row>
    <row r="14644" spans="1:10" hidden="1">
      <c r="A14644" t="s">
        <v>9023</v>
      </c>
      <c r="B14644" t="s">
        <v>9024</v>
      </c>
      <c r="C14644" t="s">
        <v>6839</v>
      </c>
      <c r="D14644" t="s">
        <v>3640</v>
      </c>
      <c r="E14644" t="s">
        <v>560</v>
      </c>
      <c r="F14644" t="s">
        <v>1068</v>
      </c>
      <c r="G14644" t="s">
        <v>1073</v>
      </c>
      <c r="H14644" s="171" t="s">
        <v>9026</v>
      </c>
      <c r="I14644" t="s">
        <v>1074</v>
      </c>
      <c r="J14644">
        <v>4.4400000000000004</v>
      </c>
    </row>
    <row r="14645" spans="1:10" hidden="1">
      <c r="A14645" t="s">
        <v>9023</v>
      </c>
      <c r="B14645" t="s">
        <v>9024</v>
      </c>
      <c r="C14645" t="s">
        <v>6839</v>
      </c>
      <c r="D14645" t="s">
        <v>3640</v>
      </c>
      <c r="E14645" t="s">
        <v>560</v>
      </c>
      <c r="F14645" t="s">
        <v>1068</v>
      </c>
      <c r="G14645" t="s">
        <v>1075</v>
      </c>
      <c r="H14645">
        <v>2.0103883375306001E-2</v>
      </c>
      <c r="I14645" t="s">
        <v>1077</v>
      </c>
      <c r="J14645">
        <v>4.4400000000000004</v>
      </c>
    </row>
    <row r="14646" spans="1:10" hidden="1">
      <c r="A14646" t="s">
        <v>9023</v>
      </c>
      <c r="B14646" t="s">
        <v>9024</v>
      </c>
      <c r="C14646" t="s">
        <v>6839</v>
      </c>
      <c r="D14646" t="s">
        <v>3640</v>
      </c>
      <c r="E14646" t="s">
        <v>560</v>
      </c>
      <c r="F14646" t="s">
        <v>1068</v>
      </c>
      <c r="G14646" t="s">
        <v>1078</v>
      </c>
      <c r="H14646" s="171" t="s">
        <v>9027</v>
      </c>
      <c r="I14646" t="s">
        <v>1079</v>
      </c>
      <c r="J14646">
        <v>4.4400000000000004</v>
      </c>
    </row>
    <row r="14647" spans="1:10" hidden="1">
      <c r="A14647" t="s">
        <v>9023</v>
      </c>
      <c r="B14647" t="s">
        <v>9024</v>
      </c>
      <c r="C14647" t="s">
        <v>6839</v>
      </c>
      <c r="D14647" t="s">
        <v>3640</v>
      </c>
      <c r="E14647" t="s">
        <v>560</v>
      </c>
      <c r="F14647" t="s">
        <v>1068</v>
      </c>
      <c r="G14647" t="s">
        <v>1080</v>
      </c>
      <c r="H14647" s="171" t="s">
        <v>9028</v>
      </c>
      <c r="I14647" t="s">
        <v>1082</v>
      </c>
      <c r="J14647">
        <v>4.4400000000000004</v>
      </c>
    </row>
    <row r="14648" spans="1:10" hidden="1">
      <c r="A14648" t="s">
        <v>9023</v>
      </c>
      <c r="B14648" t="s">
        <v>9024</v>
      </c>
      <c r="C14648" t="s">
        <v>6839</v>
      </c>
      <c r="D14648" t="s">
        <v>3640</v>
      </c>
      <c r="E14648" t="s">
        <v>560</v>
      </c>
      <c r="F14648" t="s">
        <v>1068</v>
      </c>
      <c r="G14648" t="s">
        <v>1083</v>
      </c>
      <c r="H14648" s="171" t="s">
        <v>9029</v>
      </c>
      <c r="I14648" t="s">
        <v>1084</v>
      </c>
      <c r="J14648">
        <v>4.4400000000000004</v>
      </c>
    </row>
    <row r="14649" spans="1:10" hidden="1">
      <c r="A14649" t="s">
        <v>9023</v>
      </c>
      <c r="B14649" t="s">
        <v>9024</v>
      </c>
      <c r="C14649" t="s">
        <v>6839</v>
      </c>
      <c r="D14649" t="s">
        <v>3640</v>
      </c>
      <c r="E14649" t="s">
        <v>560</v>
      </c>
      <c r="F14649" t="s">
        <v>1068</v>
      </c>
      <c r="G14649" t="s">
        <v>1085</v>
      </c>
      <c r="H14649">
        <v>7.2786087382752497E-4</v>
      </c>
      <c r="I14649" t="s">
        <v>1086</v>
      </c>
      <c r="J14649">
        <v>4.4400000000000004</v>
      </c>
    </row>
    <row r="14650" spans="1:10" hidden="1">
      <c r="A14650" t="s">
        <v>9023</v>
      </c>
      <c r="B14650" t="s">
        <v>9024</v>
      </c>
      <c r="C14650" t="s">
        <v>6839</v>
      </c>
      <c r="D14650" t="s">
        <v>3640</v>
      </c>
      <c r="E14650" t="s">
        <v>560</v>
      </c>
      <c r="F14650" t="s">
        <v>1068</v>
      </c>
      <c r="G14650" t="s">
        <v>1087</v>
      </c>
      <c r="H14650" s="171" t="s">
        <v>9030</v>
      </c>
      <c r="I14650" t="s">
        <v>1088</v>
      </c>
      <c r="J14650">
        <v>4.4400000000000004</v>
      </c>
    </row>
    <row r="14651" spans="1:10" hidden="1">
      <c r="A14651" t="s">
        <v>9023</v>
      </c>
      <c r="B14651" t="s">
        <v>9024</v>
      </c>
      <c r="C14651" t="s">
        <v>6839</v>
      </c>
      <c r="D14651" t="s">
        <v>3640</v>
      </c>
      <c r="E14651" t="s">
        <v>560</v>
      </c>
      <c r="F14651" t="s">
        <v>1068</v>
      </c>
      <c r="G14651" t="s">
        <v>1089</v>
      </c>
      <c r="H14651">
        <v>2.22047536300348E-4</v>
      </c>
      <c r="I14651" t="s">
        <v>1090</v>
      </c>
      <c r="J14651">
        <v>4.4400000000000004</v>
      </c>
    </row>
    <row r="14652" spans="1:10" hidden="1">
      <c r="A14652" t="s">
        <v>9031</v>
      </c>
      <c r="B14652" t="s">
        <v>9032</v>
      </c>
      <c r="C14652" t="s">
        <v>6839</v>
      </c>
      <c r="D14652" t="s">
        <v>3640</v>
      </c>
      <c r="E14652" t="s">
        <v>1116</v>
      </c>
      <c r="F14652" t="s">
        <v>1068</v>
      </c>
      <c r="G14652" t="s">
        <v>1069</v>
      </c>
      <c r="H14652" s="171" t="s">
        <v>9033</v>
      </c>
      <c r="I14652" t="s">
        <v>1070</v>
      </c>
      <c r="J14652">
        <v>4.3600000000000003</v>
      </c>
    </row>
    <row r="14653" spans="1:10" hidden="1">
      <c r="A14653" t="s">
        <v>9031</v>
      </c>
      <c r="B14653" t="s">
        <v>9032</v>
      </c>
      <c r="C14653" t="s">
        <v>6839</v>
      </c>
      <c r="D14653" t="s">
        <v>3640</v>
      </c>
      <c r="E14653" t="s">
        <v>1116</v>
      </c>
      <c r="F14653" t="s">
        <v>1068</v>
      </c>
      <c r="G14653" t="s">
        <v>1071</v>
      </c>
      <c r="H14653" s="171" t="s">
        <v>9034</v>
      </c>
      <c r="I14653" t="s">
        <v>1072</v>
      </c>
      <c r="J14653">
        <v>4.3600000000000003</v>
      </c>
    </row>
    <row r="14654" spans="1:10" hidden="1">
      <c r="A14654" t="s">
        <v>9031</v>
      </c>
      <c r="B14654" t="s">
        <v>9032</v>
      </c>
      <c r="C14654" t="s">
        <v>6839</v>
      </c>
      <c r="D14654" t="s">
        <v>3640</v>
      </c>
      <c r="E14654" t="s">
        <v>1116</v>
      </c>
      <c r="F14654" t="s">
        <v>1068</v>
      </c>
      <c r="G14654" t="s">
        <v>1073</v>
      </c>
      <c r="H14654" s="171" t="s">
        <v>9035</v>
      </c>
      <c r="I14654" t="s">
        <v>1074</v>
      </c>
      <c r="J14654">
        <v>4.3600000000000003</v>
      </c>
    </row>
    <row r="14655" spans="1:10" hidden="1">
      <c r="A14655" t="s">
        <v>9031</v>
      </c>
      <c r="B14655" t="s">
        <v>9032</v>
      </c>
      <c r="C14655" t="s">
        <v>6839</v>
      </c>
      <c r="D14655" t="s">
        <v>3640</v>
      </c>
      <c r="E14655" t="s">
        <v>1116</v>
      </c>
      <c r="F14655" t="s">
        <v>1068</v>
      </c>
      <c r="G14655" t="s">
        <v>1075</v>
      </c>
      <c r="H14655">
        <v>2.0103876287274999E-2</v>
      </c>
      <c r="I14655" t="s">
        <v>1077</v>
      </c>
      <c r="J14655">
        <v>4.3600000000000003</v>
      </c>
    </row>
    <row r="14656" spans="1:10" hidden="1">
      <c r="A14656" t="s">
        <v>9031</v>
      </c>
      <c r="B14656" t="s">
        <v>9032</v>
      </c>
      <c r="C14656" t="s">
        <v>6839</v>
      </c>
      <c r="D14656" t="s">
        <v>3640</v>
      </c>
      <c r="E14656" t="s">
        <v>1116</v>
      </c>
      <c r="F14656" t="s">
        <v>1068</v>
      </c>
      <c r="G14656" t="s">
        <v>1078</v>
      </c>
      <c r="H14656" s="171" t="s">
        <v>9036</v>
      </c>
      <c r="I14656" t="s">
        <v>1079</v>
      </c>
      <c r="J14656">
        <v>4.3600000000000003</v>
      </c>
    </row>
    <row r="14657" spans="1:10" hidden="1">
      <c r="A14657" t="s">
        <v>9031</v>
      </c>
      <c r="B14657" t="s">
        <v>9032</v>
      </c>
      <c r="C14657" t="s">
        <v>6839</v>
      </c>
      <c r="D14657" t="s">
        <v>3640</v>
      </c>
      <c r="E14657" t="s">
        <v>1116</v>
      </c>
      <c r="F14657" t="s">
        <v>1068</v>
      </c>
      <c r="G14657" t="s">
        <v>1080</v>
      </c>
      <c r="H14657" s="171" t="s">
        <v>9037</v>
      </c>
      <c r="I14657" t="s">
        <v>1082</v>
      </c>
      <c r="J14657">
        <v>4.3600000000000003</v>
      </c>
    </row>
    <row r="14658" spans="1:10" hidden="1">
      <c r="A14658" t="s">
        <v>9031</v>
      </c>
      <c r="B14658" t="s">
        <v>9032</v>
      </c>
      <c r="C14658" t="s">
        <v>6839</v>
      </c>
      <c r="D14658" t="s">
        <v>3640</v>
      </c>
      <c r="E14658" t="s">
        <v>1116</v>
      </c>
      <c r="F14658" t="s">
        <v>1068</v>
      </c>
      <c r="G14658" t="s">
        <v>1083</v>
      </c>
      <c r="H14658" s="171" t="s">
        <v>9038</v>
      </c>
      <c r="I14658" t="s">
        <v>1084</v>
      </c>
      <c r="J14658">
        <v>4.3600000000000003</v>
      </c>
    </row>
    <row r="14659" spans="1:10" hidden="1">
      <c r="A14659" t="s">
        <v>9031</v>
      </c>
      <c r="B14659" t="s">
        <v>9032</v>
      </c>
      <c r="C14659" t="s">
        <v>6839</v>
      </c>
      <c r="D14659" t="s">
        <v>3640</v>
      </c>
      <c r="E14659" t="s">
        <v>1116</v>
      </c>
      <c r="F14659" t="s">
        <v>1068</v>
      </c>
      <c r="G14659" t="s">
        <v>1085</v>
      </c>
      <c r="H14659">
        <v>7.2786048862571496E-4</v>
      </c>
      <c r="I14659" t="s">
        <v>1086</v>
      </c>
      <c r="J14659">
        <v>4.3600000000000003</v>
      </c>
    </row>
    <row r="14660" spans="1:10" hidden="1">
      <c r="A14660" t="s">
        <v>9031</v>
      </c>
      <c r="B14660" t="s">
        <v>9032</v>
      </c>
      <c r="C14660" t="s">
        <v>6839</v>
      </c>
      <c r="D14660" t="s">
        <v>3640</v>
      </c>
      <c r="E14660" t="s">
        <v>1116</v>
      </c>
      <c r="F14660" t="s">
        <v>1068</v>
      </c>
      <c r="G14660" t="s">
        <v>1087</v>
      </c>
      <c r="H14660" s="171" t="s">
        <v>9039</v>
      </c>
      <c r="I14660" t="s">
        <v>1088</v>
      </c>
      <c r="J14660">
        <v>4.3600000000000003</v>
      </c>
    </row>
    <row r="14661" spans="1:10" hidden="1">
      <c r="A14661" t="s">
        <v>9031</v>
      </c>
      <c r="B14661" t="s">
        <v>9032</v>
      </c>
      <c r="C14661" t="s">
        <v>6839</v>
      </c>
      <c r="D14661" t="s">
        <v>3640</v>
      </c>
      <c r="E14661" t="s">
        <v>1116</v>
      </c>
      <c r="F14661" t="s">
        <v>1068</v>
      </c>
      <c r="G14661" t="s">
        <v>1089</v>
      </c>
      <c r="H14661">
        <v>2.2204745683397601E-4</v>
      </c>
      <c r="I14661" t="s">
        <v>1090</v>
      </c>
      <c r="J14661">
        <v>4.3600000000000003</v>
      </c>
    </row>
    <row r="14662" spans="1:10" hidden="1">
      <c r="A14662" t="s">
        <v>9040</v>
      </c>
      <c r="B14662" t="s">
        <v>9041</v>
      </c>
      <c r="C14662" t="s">
        <v>6839</v>
      </c>
      <c r="D14662" t="s">
        <v>1396</v>
      </c>
      <c r="E14662" t="s">
        <v>561</v>
      </c>
      <c r="F14662" t="s">
        <v>1068</v>
      </c>
      <c r="G14662" t="s">
        <v>1069</v>
      </c>
      <c r="H14662">
        <v>4.4225988197614197E-2</v>
      </c>
      <c r="I14662" t="s">
        <v>1070</v>
      </c>
      <c r="J14662">
        <v>4.45</v>
      </c>
    </row>
    <row r="14663" spans="1:10" hidden="1">
      <c r="A14663" t="s">
        <v>9040</v>
      </c>
      <c r="B14663" t="s">
        <v>9041</v>
      </c>
      <c r="C14663" t="s">
        <v>6839</v>
      </c>
      <c r="D14663" t="s">
        <v>1396</v>
      </c>
      <c r="E14663" t="s">
        <v>561</v>
      </c>
      <c r="F14663" t="s">
        <v>1068</v>
      </c>
      <c r="G14663" t="s">
        <v>1071</v>
      </c>
      <c r="H14663" s="171" t="s">
        <v>9042</v>
      </c>
      <c r="I14663" t="s">
        <v>1072</v>
      </c>
      <c r="J14663">
        <v>4.45</v>
      </c>
    </row>
    <row r="14664" spans="1:10" hidden="1">
      <c r="A14664" t="s">
        <v>9040</v>
      </c>
      <c r="B14664" t="s">
        <v>9041</v>
      </c>
      <c r="C14664" t="s">
        <v>6839</v>
      </c>
      <c r="D14664" t="s">
        <v>1396</v>
      </c>
      <c r="E14664" t="s">
        <v>561</v>
      </c>
      <c r="F14664" t="s">
        <v>1068</v>
      </c>
      <c r="G14664" t="s">
        <v>1073</v>
      </c>
      <c r="H14664" s="171" t="s">
        <v>9043</v>
      </c>
      <c r="I14664" t="s">
        <v>1074</v>
      </c>
      <c r="J14664">
        <v>4.45</v>
      </c>
    </row>
    <row r="14665" spans="1:10" hidden="1">
      <c r="A14665" t="s">
        <v>9040</v>
      </c>
      <c r="B14665" t="s">
        <v>9041</v>
      </c>
      <c r="C14665" t="s">
        <v>6839</v>
      </c>
      <c r="D14665" t="s">
        <v>1396</v>
      </c>
      <c r="E14665" t="s">
        <v>561</v>
      </c>
      <c r="F14665" t="s">
        <v>1068</v>
      </c>
      <c r="G14665" t="s">
        <v>1075</v>
      </c>
      <c r="H14665" s="171" t="s">
        <v>9044</v>
      </c>
      <c r="I14665" t="s">
        <v>1077</v>
      </c>
      <c r="J14665">
        <v>4.45</v>
      </c>
    </row>
    <row r="14666" spans="1:10" hidden="1">
      <c r="A14666" t="s">
        <v>9040</v>
      </c>
      <c r="B14666" t="s">
        <v>9041</v>
      </c>
      <c r="C14666" t="s">
        <v>6839</v>
      </c>
      <c r="D14666" t="s">
        <v>1396</v>
      </c>
      <c r="E14666" t="s">
        <v>561</v>
      </c>
      <c r="F14666" t="s">
        <v>1068</v>
      </c>
      <c r="G14666" t="s">
        <v>1078</v>
      </c>
      <c r="H14666" s="171" t="s">
        <v>9045</v>
      </c>
      <c r="I14666" t="s">
        <v>1079</v>
      </c>
      <c r="J14666">
        <v>4.45</v>
      </c>
    </row>
    <row r="14667" spans="1:10" hidden="1">
      <c r="A14667" t="s">
        <v>9040</v>
      </c>
      <c r="B14667" t="s">
        <v>9041</v>
      </c>
      <c r="C14667" t="s">
        <v>6839</v>
      </c>
      <c r="D14667" t="s">
        <v>1396</v>
      </c>
      <c r="E14667" t="s">
        <v>561</v>
      </c>
      <c r="F14667" t="s">
        <v>1068</v>
      </c>
      <c r="G14667" t="s">
        <v>1080</v>
      </c>
      <c r="H14667" s="171" t="s">
        <v>9046</v>
      </c>
      <c r="I14667" t="s">
        <v>1082</v>
      </c>
      <c r="J14667">
        <v>4.45</v>
      </c>
    </row>
    <row r="14668" spans="1:10" hidden="1">
      <c r="A14668" t="s">
        <v>9040</v>
      </c>
      <c r="B14668" t="s">
        <v>9041</v>
      </c>
      <c r="C14668" t="s">
        <v>6839</v>
      </c>
      <c r="D14668" t="s">
        <v>1396</v>
      </c>
      <c r="E14668" t="s">
        <v>561</v>
      </c>
      <c r="F14668" t="s">
        <v>1068</v>
      </c>
      <c r="G14668" t="s">
        <v>1083</v>
      </c>
      <c r="H14668" s="171" t="s">
        <v>9047</v>
      </c>
      <c r="I14668" t="s">
        <v>1084</v>
      </c>
      <c r="J14668">
        <v>4.45</v>
      </c>
    </row>
    <row r="14669" spans="1:10" hidden="1">
      <c r="A14669" t="s">
        <v>9040</v>
      </c>
      <c r="B14669" t="s">
        <v>9041</v>
      </c>
      <c r="C14669" t="s">
        <v>6839</v>
      </c>
      <c r="D14669" t="s">
        <v>1396</v>
      </c>
      <c r="E14669" t="s">
        <v>561</v>
      </c>
      <c r="F14669" t="s">
        <v>1068</v>
      </c>
      <c r="G14669" t="s">
        <v>1085</v>
      </c>
      <c r="H14669">
        <v>4.1078653138993299E-4</v>
      </c>
      <c r="I14669" t="s">
        <v>1086</v>
      </c>
      <c r="J14669">
        <v>4.45</v>
      </c>
    </row>
    <row r="14670" spans="1:10" hidden="1">
      <c r="A14670" t="s">
        <v>9040</v>
      </c>
      <c r="B14670" t="s">
        <v>9041</v>
      </c>
      <c r="C14670" t="s">
        <v>6839</v>
      </c>
      <c r="D14670" t="s">
        <v>1396</v>
      </c>
      <c r="E14670" t="s">
        <v>561</v>
      </c>
      <c r="F14670" t="s">
        <v>1068</v>
      </c>
      <c r="G14670" t="s">
        <v>1087</v>
      </c>
      <c r="H14670" s="171" t="s">
        <v>9048</v>
      </c>
      <c r="I14670" t="s">
        <v>1088</v>
      </c>
      <c r="J14670">
        <v>4.45</v>
      </c>
    </row>
    <row r="14671" spans="1:10" hidden="1">
      <c r="A14671" t="s">
        <v>9040</v>
      </c>
      <c r="B14671" t="s">
        <v>9041</v>
      </c>
      <c r="C14671" t="s">
        <v>6839</v>
      </c>
      <c r="D14671" t="s">
        <v>1396</v>
      </c>
      <c r="E14671" t="s">
        <v>561</v>
      </c>
      <c r="F14671" t="s">
        <v>1068</v>
      </c>
      <c r="G14671" t="s">
        <v>1089</v>
      </c>
      <c r="H14671">
        <v>1.2033069891699501E-4</v>
      </c>
      <c r="I14671" t="s">
        <v>1090</v>
      </c>
      <c r="J14671">
        <v>4.45</v>
      </c>
    </row>
    <row r="14672" spans="1:10" hidden="1">
      <c r="A14672" t="s">
        <v>9049</v>
      </c>
      <c r="B14672" t="s">
        <v>9050</v>
      </c>
      <c r="C14672" t="s">
        <v>6839</v>
      </c>
      <c r="D14672" t="s">
        <v>1396</v>
      </c>
      <c r="E14672" t="s">
        <v>555</v>
      </c>
      <c r="F14672" t="s">
        <v>1068</v>
      </c>
      <c r="G14672" t="s">
        <v>1069</v>
      </c>
      <c r="H14672">
        <v>4.4226518562650301E-2</v>
      </c>
      <c r="I14672" t="s">
        <v>1070</v>
      </c>
      <c r="J14672">
        <v>4.3499999999999996</v>
      </c>
    </row>
    <row r="14673" spans="1:10" hidden="1">
      <c r="A14673" t="s">
        <v>9049</v>
      </c>
      <c r="B14673" t="s">
        <v>9050</v>
      </c>
      <c r="C14673" t="s">
        <v>6839</v>
      </c>
      <c r="D14673" t="s">
        <v>1396</v>
      </c>
      <c r="E14673" t="s">
        <v>555</v>
      </c>
      <c r="F14673" t="s">
        <v>1068</v>
      </c>
      <c r="G14673" t="s">
        <v>1071</v>
      </c>
      <c r="H14673" s="171" t="s">
        <v>9051</v>
      </c>
      <c r="I14673" t="s">
        <v>1072</v>
      </c>
      <c r="J14673">
        <v>4.3499999999999996</v>
      </c>
    </row>
    <row r="14674" spans="1:10" hidden="1">
      <c r="A14674" t="s">
        <v>9049</v>
      </c>
      <c r="B14674" t="s">
        <v>9050</v>
      </c>
      <c r="C14674" t="s">
        <v>6839</v>
      </c>
      <c r="D14674" t="s">
        <v>1396</v>
      </c>
      <c r="E14674" t="s">
        <v>555</v>
      </c>
      <c r="F14674" t="s">
        <v>1068</v>
      </c>
      <c r="G14674" t="s">
        <v>1073</v>
      </c>
      <c r="H14674" s="171" t="s">
        <v>9052</v>
      </c>
      <c r="I14674" t="s">
        <v>1074</v>
      </c>
      <c r="J14674">
        <v>4.3499999999999996</v>
      </c>
    </row>
    <row r="14675" spans="1:10" hidden="1">
      <c r="A14675" t="s">
        <v>9049</v>
      </c>
      <c r="B14675" t="s">
        <v>9050</v>
      </c>
      <c r="C14675" t="s">
        <v>6839</v>
      </c>
      <c r="D14675" t="s">
        <v>1396</v>
      </c>
      <c r="E14675" t="s">
        <v>555</v>
      </c>
      <c r="F14675" t="s">
        <v>1068</v>
      </c>
      <c r="G14675" t="s">
        <v>1075</v>
      </c>
      <c r="H14675" s="171" t="s">
        <v>9053</v>
      </c>
      <c r="I14675" t="s">
        <v>1077</v>
      </c>
      <c r="J14675">
        <v>4.3499999999999996</v>
      </c>
    </row>
    <row r="14676" spans="1:10" hidden="1">
      <c r="A14676" t="s">
        <v>9049</v>
      </c>
      <c r="B14676" t="s">
        <v>9050</v>
      </c>
      <c r="C14676" t="s">
        <v>6839</v>
      </c>
      <c r="D14676" t="s">
        <v>1396</v>
      </c>
      <c r="E14676" t="s">
        <v>555</v>
      </c>
      <c r="F14676" t="s">
        <v>1068</v>
      </c>
      <c r="G14676" t="s">
        <v>1078</v>
      </c>
      <c r="H14676" s="171" t="s">
        <v>9054</v>
      </c>
      <c r="I14676" t="s">
        <v>1079</v>
      </c>
      <c r="J14676">
        <v>4.3499999999999996</v>
      </c>
    </row>
    <row r="14677" spans="1:10" hidden="1">
      <c r="A14677" t="s">
        <v>9049</v>
      </c>
      <c r="B14677" t="s">
        <v>9050</v>
      </c>
      <c r="C14677" t="s">
        <v>6839</v>
      </c>
      <c r="D14677" t="s">
        <v>1396</v>
      </c>
      <c r="E14677" t="s">
        <v>555</v>
      </c>
      <c r="F14677" t="s">
        <v>1068</v>
      </c>
      <c r="G14677" t="s">
        <v>1080</v>
      </c>
      <c r="H14677" s="171" t="s">
        <v>9055</v>
      </c>
      <c r="I14677" t="s">
        <v>1082</v>
      </c>
      <c r="J14677">
        <v>4.3499999999999996</v>
      </c>
    </row>
    <row r="14678" spans="1:10" hidden="1">
      <c r="A14678" t="s">
        <v>9049</v>
      </c>
      <c r="B14678" t="s">
        <v>9050</v>
      </c>
      <c r="C14678" t="s">
        <v>6839</v>
      </c>
      <c r="D14678" t="s">
        <v>1396</v>
      </c>
      <c r="E14678" t="s">
        <v>555</v>
      </c>
      <c r="F14678" t="s">
        <v>1068</v>
      </c>
      <c r="G14678" t="s">
        <v>1083</v>
      </c>
      <c r="H14678" s="171" t="s">
        <v>9056</v>
      </c>
      <c r="I14678" t="s">
        <v>1084</v>
      </c>
      <c r="J14678">
        <v>4.3499999999999996</v>
      </c>
    </row>
    <row r="14679" spans="1:10" hidden="1">
      <c r="A14679" t="s">
        <v>9049</v>
      </c>
      <c r="B14679" t="s">
        <v>9050</v>
      </c>
      <c r="C14679" t="s">
        <v>6839</v>
      </c>
      <c r="D14679" t="s">
        <v>1396</v>
      </c>
      <c r="E14679" t="s">
        <v>555</v>
      </c>
      <c r="F14679" t="s">
        <v>1068</v>
      </c>
      <c r="G14679" t="s">
        <v>1085</v>
      </c>
      <c r="H14679">
        <v>4.1078714462828198E-4</v>
      </c>
      <c r="I14679" t="s">
        <v>1086</v>
      </c>
      <c r="J14679">
        <v>4.3499999999999996</v>
      </c>
    </row>
    <row r="14680" spans="1:10" hidden="1">
      <c r="A14680" t="s">
        <v>9049</v>
      </c>
      <c r="B14680" t="s">
        <v>9050</v>
      </c>
      <c r="C14680" t="s">
        <v>6839</v>
      </c>
      <c r="D14680" t="s">
        <v>1396</v>
      </c>
      <c r="E14680" t="s">
        <v>555</v>
      </c>
      <c r="F14680" t="s">
        <v>1068</v>
      </c>
      <c r="G14680" t="s">
        <v>1087</v>
      </c>
      <c r="H14680" s="171" t="s">
        <v>9057</v>
      </c>
      <c r="I14680" t="s">
        <v>1088</v>
      </c>
      <c r="J14680">
        <v>4.3499999999999996</v>
      </c>
    </row>
    <row r="14681" spans="1:10" hidden="1">
      <c r="A14681" t="s">
        <v>9049</v>
      </c>
      <c r="B14681" t="s">
        <v>9050</v>
      </c>
      <c r="C14681" t="s">
        <v>6839</v>
      </c>
      <c r="D14681" t="s">
        <v>1396</v>
      </c>
      <c r="E14681" t="s">
        <v>555</v>
      </c>
      <c r="F14681" t="s">
        <v>1068</v>
      </c>
      <c r="G14681" t="s">
        <v>1089</v>
      </c>
      <c r="H14681">
        <v>1.20330825436272E-4</v>
      </c>
      <c r="I14681" t="s">
        <v>1090</v>
      </c>
      <c r="J14681">
        <v>4.3499999999999996</v>
      </c>
    </row>
    <row r="14682" spans="1:10" hidden="1">
      <c r="A14682" t="s">
        <v>9058</v>
      </c>
      <c r="B14682" t="s">
        <v>9059</v>
      </c>
      <c r="C14682" t="s">
        <v>6839</v>
      </c>
      <c r="D14682" t="s">
        <v>1396</v>
      </c>
      <c r="E14682" t="s">
        <v>558</v>
      </c>
      <c r="F14682" t="s">
        <v>1068</v>
      </c>
      <c r="G14682" t="s">
        <v>1069</v>
      </c>
      <c r="H14682">
        <v>4.42259583172704E-2</v>
      </c>
      <c r="I14682" t="s">
        <v>1070</v>
      </c>
      <c r="J14682">
        <v>5.51</v>
      </c>
    </row>
    <row r="14683" spans="1:10" hidden="1">
      <c r="A14683" t="s">
        <v>9058</v>
      </c>
      <c r="B14683" t="s">
        <v>9059</v>
      </c>
      <c r="C14683" t="s">
        <v>6839</v>
      </c>
      <c r="D14683" t="s">
        <v>1396</v>
      </c>
      <c r="E14683" t="s">
        <v>558</v>
      </c>
      <c r="F14683" t="s">
        <v>1068</v>
      </c>
      <c r="G14683" t="s">
        <v>1071</v>
      </c>
      <c r="H14683" s="171" t="s">
        <v>9060</v>
      </c>
      <c r="I14683" t="s">
        <v>1072</v>
      </c>
      <c r="J14683">
        <v>5.51</v>
      </c>
    </row>
    <row r="14684" spans="1:10" hidden="1">
      <c r="A14684" t="s">
        <v>9058</v>
      </c>
      <c r="B14684" t="s">
        <v>9059</v>
      </c>
      <c r="C14684" t="s">
        <v>6839</v>
      </c>
      <c r="D14684" t="s">
        <v>1396</v>
      </c>
      <c r="E14684" t="s">
        <v>558</v>
      </c>
      <c r="F14684" t="s">
        <v>1068</v>
      </c>
      <c r="G14684" t="s">
        <v>1073</v>
      </c>
      <c r="H14684" s="171" t="s">
        <v>9061</v>
      </c>
      <c r="I14684" t="s">
        <v>1074</v>
      </c>
      <c r="J14684">
        <v>5.51</v>
      </c>
    </row>
    <row r="14685" spans="1:10" hidden="1">
      <c r="A14685" t="s">
        <v>9058</v>
      </c>
      <c r="B14685" t="s">
        <v>9059</v>
      </c>
      <c r="C14685" t="s">
        <v>6839</v>
      </c>
      <c r="D14685" t="s">
        <v>1396</v>
      </c>
      <c r="E14685" t="s">
        <v>558</v>
      </c>
      <c r="F14685" t="s">
        <v>1068</v>
      </c>
      <c r="G14685" t="s">
        <v>1075</v>
      </c>
      <c r="H14685" s="171" t="s">
        <v>9062</v>
      </c>
      <c r="I14685" t="s">
        <v>1077</v>
      </c>
      <c r="J14685">
        <v>5.51</v>
      </c>
    </row>
    <row r="14686" spans="1:10" hidden="1">
      <c r="A14686" t="s">
        <v>9058</v>
      </c>
      <c r="B14686" t="s">
        <v>9059</v>
      </c>
      <c r="C14686" t="s">
        <v>6839</v>
      </c>
      <c r="D14686" t="s">
        <v>1396</v>
      </c>
      <c r="E14686" t="s">
        <v>558</v>
      </c>
      <c r="F14686" t="s">
        <v>1068</v>
      </c>
      <c r="G14686" t="s">
        <v>1078</v>
      </c>
      <c r="H14686" s="171" t="s">
        <v>9063</v>
      </c>
      <c r="I14686" t="s">
        <v>1079</v>
      </c>
      <c r="J14686">
        <v>5.51</v>
      </c>
    </row>
    <row r="14687" spans="1:10" hidden="1">
      <c r="A14687" t="s">
        <v>9058</v>
      </c>
      <c r="B14687" t="s">
        <v>9059</v>
      </c>
      <c r="C14687" t="s">
        <v>6839</v>
      </c>
      <c r="D14687" t="s">
        <v>1396</v>
      </c>
      <c r="E14687" t="s">
        <v>558</v>
      </c>
      <c r="F14687" t="s">
        <v>1068</v>
      </c>
      <c r="G14687" t="s">
        <v>1080</v>
      </c>
      <c r="H14687" s="171" t="s">
        <v>9064</v>
      </c>
      <c r="I14687" t="s">
        <v>1082</v>
      </c>
      <c r="J14687">
        <v>5.51</v>
      </c>
    </row>
    <row r="14688" spans="1:10" hidden="1">
      <c r="A14688" t="s">
        <v>9058</v>
      </c>
      <c r="B14688" t="s">
        <v>9059</v>
      </c>
      <c r="C14688" t="s">
        <v>6839</v>
      </c>
      <c r="D14688" t="s">
        <v>1396</v>
      </c>
      <c r="E14688" t="s">
        <v>558</v>
      </c>
      <c r="F14688" t="s">
        <v>1068</v>
      </c>
      <c r="G14688" t="s">
        <v>1083</v>
      </c>
      <c r="H14688" s="171" t="s">
        <v>9065</v>
      </c>
      <c r="I14688" t="s">
        <v>1084</v>
      </c>
      <c r="J14688">
        <v>5.51</v>
      </c>
    </row>
    <row r="14689" spans="1:10" hidden="1">
      <c r="A14689" t="s">
        <v>9058</v>
      </c>
      <c r="B14689" t="s">
        <v>9059</v>
      </c>
      <c r="C14689" t="s">
        <v>6839</v>
      </c>
      <c r="D14689" t="s">
        <v>1396</v>
      </c>
      <c r="E14689" t="s">
        <v>558</v>
      </c>
      <c r="F14689" t="s">
        <v>1068</v>
      </c>
      <c r="G14689" t="s">
        <v>1085</v>
      </c>
      <c r="H14689">
        <v>4.1078648005801998E-4</v>
      </c>
      <c r="I14689" t="s">
        <v>1086</v>
      </c>
      <c r="J14689">
        <v>5.51</v>
      </c>
    </row>
    <row r="14690" spans="1:10" hidden="1">
      <c r="A14690" t="s">
        <v>9058</v>
      </c>
      <c r="B14690" t="s">
        <v>9059</v>
      </c>
      <c r="C14690" t="s">
        <v>6839</v>
      </c>
      <c r="D14690" t="s">
        <v>1396</v>
      </c>
      <c r="E14690" t="s">
        <v>558</v>
      </c>
      <c r="F14690" t="s">
        <v>1068</v>
      </c>
      <c r="G14690" t="s">
        <v>1087</v>
      </c>
      <c r="H14690" s="171" t="s">
        <v>9066</v>
      </c>
      <c r="I14690" t="s">
        <v>1088</v>
      </c>
      <c r="J14690">
        <v>5.51</v>
      </c>
    </row>
    <row r="14691" spans="1:10" hidden="1">
      <c r="A14691" t="s">
        <v>9058</v>
      </c>
      <c r="B14691" t="s">
        <v>9059</v>
      </c>
      <c r="C14691" t="s">
        <v>6839</v>
      </c>
      <c r="D14691" t="s">
        <v>1396</v>
      </c>
      <c r="E14691" t="s">
        <v>558</v>
      </c>
      <c r="F14691" t="s">
        <v>1068</v>
      </c>
      <c r="G14691" t="s">
        <v>1089</v>
      </c>
      <c r="H14691">
        <v>1.20330688327323E-4</v>
      </c>
      <c r="I14691" t="s">
        <v>1090</v>
      </c>
      <c r="J14691">
        <v>5.51</v>
      </c>
    </row>
    <row r="14692" spans="1:10" hidden="1">
      <c r="A14692" t="s">
        <v>9067</v>
      </c>
      <c r="B14692" t="s">
        <v>9068</v>
      </c>
      <c r="C14692" t="s">
        <v>6839</v>
      </c>
      <c r="D14692" t="s">
        <v>1396</v>
      </c>
      <c r="E14692" t="s">
        <v>553</v>
      </c>
      <c r="F14692" t="s">
        <v>1068</v>
      </c>
      <c r="G14692" t="s">
        <v>1069</v>
      </c>
      <c r="H14692">
        <v>4.4226119540782698E-2</v>
      </c>
      <c r="I14692" t="s">
        <v>1070</v>
      </c>
      <c r="J14692">
        <v>6.15</v>
      </c>
    </row>
    <row r="14693" spans="1:10" hidden="1">
      <c r="A14693" t="s">
        <v>9067</v>
      </c>
      <c r="B14693" t="s">
        <v>9068</v>
      </c>
      <c r="C14693" t="s">
        <v>6839</v>
      </c>
      <c r="D14693" t="s">
        <v>1396</v>
      </c>
      <c r="E14693" t="s">
        <v>553</v>
      </c>
      <c r="F14693" t="s">
        <v>1068</v>
      </c>
      <c r="G14693" t="s">
        <v>1071</v>
      </c>
      <c r="H14693" s="171" t="s">
        <v>9069</v>
      </c>
      <c r="I14693" t="s">
        <v>1072</v>
      </c>
      <c r="J14693">
        <v>6.15</v>
      </c>
    </row>
    <row r="14694" spans="1:10" hidden="1">
      <c r="A14694" t="s">
        <v>9067</v>
      </c>
      <c r="B14694" t="s">
        <v>9068</v>
      </c>
      <c r="C14694" t="s">
        <v>6839</v>
      </c>
      <c r="D14694" t="s">
        <v>1396</v>
      </c>
      <c r="E14694" t="s">
        <v>553</v>
      </c>
      <c r="F14694" t="s">
        <v>1068</v>
      </c>
      <c r="G14694" t="s">
        <v>1073</v>
      </c>
      <c r="H14694" s="171" t="s">
        <v>9070</v>
      </c>
      <c r="I14694" t="s">
        <v>1074</v>
      </c>
      <c r="J14694">
        <v>6.15</v>
      </c>
    </row>
    <row r="14695" spans="1:10" hidden="1">
      <c r="A14695" t="s">
        <v>9067</v>
      </c>
      <c r="B14695" t="s">
        <v>9068</v>
      </c>
      <c r="C14695" t="s">
        <v>6839</v>
      </c>
      <c r="D14695" t="s">
        <v>1396</v>
      </c>
      <c r="E14695" t="s">
        <v>553</v>
      </c>
      <c r="F14695" t="s">
        <v>1068</v>
      </c>
      <c r="G14695" t="s">
        <v>1075</v>
      </c>
      <c r="H14695">
        <v>1.09449773997881E-2</v>
      </c>
      <c r="I14695" t="s">
        <v>1077</v>
      </c>
      <c r="J14695">
        <v>6.15</v>
      </c>
    </row>
    <row r="14696" spans="1:10" hidden="1">
      <c r="A14696" t="s">
        <v>9067</v>
      </c>
      <c r="B14696" t="s">
        <v>9068</v>
      </c>
      <c r="C14696" t="s">
        <v>6839</v>
      </c>
      <c r="D14696" t="s">
        <v>1396</v>
      </c>
      <c r="E14696" t="s">
        <v>553</v>
      </c>
      <c r="F14696" t="s">
        <v>1068</v>
      </c>
      <c r="G14696" t="s">
        <v>1078</v>
      </c>
      <c r="H14696" s="171" t="s">
        <v>9071</v>
      </c>
      <c r="I14696" t="s">
        <v>1079</v>
      </c>
      <c r="J14696">
        <v>6.15</v>
      </c>
    </row>
    <row r="14697" spans="1:10" hidden="1">
      <c r="A14697" t="s">
        <v>9067</v>
      </c>
      <c r="B14697" t="s">
        <v>9068</v>
      </c>
      <c r="C14697" t="s">
        <v>6839</v>
      </c>
      <c r="D14697" t="s">
        <v>1396</v>
      </c>
      <c r="E14697" t="s">
        <v>553</v>
      </c>
      <c r="F14697" t="s">
        <v>1068</v>
      </c>
      <c r="G14697" t="s">
        <v>1080</v>
      </c>
      <c r="H14697" s="171" t="s">
        <v>9072</v>
      </c>
      <c r="I14697" t="s">
        <v>1082</v>
      </c>
      <c r="J14697">
        <v>6.15</v>
      </c>
    </row>
    <row r="14698" spans="1:10" hidden="1">
      <c r="A14698" t="s">
        <v>9067</v>
      </c>
      <c r="B14698" t="s">
        <v>9068</v>
      </c>
      <c r="C14698" t="s">
        <v>6839</v>
      </c>
      <c r="D14698" t="s">
        <v>1396</v>
      </c>
      <c r="E14698" t="s">
        <v>553</v>
      </c>
      <c r="F14698" t="s">
        <v>1068</v>
      </c>
      <c r="G14698" t="s">
        <v>1083</v>
      </c>
      <c r="H14698" s="171" t="s">
        <v>9073</v>
      </c>
      <c r="I14698" t="s">
        <v>1084</v>
      </c>
      <c r="J14698">
        <v>6.15</v>
      </c>
    </row>
    <row r="14699" spans="1:10" hidden="1">
      <c r="A14699" t="s">
        <v>9067</v>
      </c>
      <c r="B14699" t="s">
        <v>9068</v>
      </c>
      <c r="C14699" t="s">
        <v>6839</v>
      </c>
      <c r="D14699" t="s">
        <v>1396</v>
      </c>
      <c r="E14699" t="s">
        <v>553</v>
      </c>
      <c r="F14699" t="s">
        <v>1068</v>
      </c>
      <c r="G14699" t="s">
        <v>1085</v>
      </c>
      <c r="H14699">
        <v>4.1078645914231001E-4</v>
      </c>
      <c r="I14699" t="s">
        <v>1086</v>
      </c>
      <c r="J14699">
        <v>6.15</v>
      </c>
    </row>
    <row r="14700" spans="1:10" hidden="1">
      <c r="A14700" t="s">
        <v>9067</v>
      </c>
      <c r="B14700" t="s">
        <v>9068</v>
      </c>
      <c r="C14700" t="s">
        <v>6839</v>
      </c>
      <c r="D14700" t="s">
        <v>1396</v>
      </c>
      <c r="E14700" t="s">
        <v>553</v>
      </c>
      <c r="F14700" t="s">
        <v>1068</v>
      </c>
      <c r="G14700" t="s">
        <v>1087</v>
      </c>
      <c r="H14700" s="171" t="s">
        <v>9074</v>
      </c>
      <c r="I14700" t="s">
        <v>1088</v>
      </c>
      <c r="J14700">
        <v>6.15</v>
      </c>
    </row>
    <row r="14701" spans="1:10" hidden="1">
      <c r="A14701" t="s">
        <v>9067</v>
      </c>
      <c r="B14701" t="s">
        <v>9068</v>
      </c>
      <c r="C14701" t="s">
        <v>6839</v>
      </c>
      <c r="D14701" t="s">
        <v>1396</v>
      </c>
      <c r="E14701" t="s">
        <v>553</v>
      </c>
      <c r="F14701" t="s">
        <v>1068</v>
      </c>
      <c r="G14701" t="s">
        <v>1089</v>
      </c>
      <c r="H14701">
        <v>1.20330684021871E-4</v>
      </c>
      <c r="I14701" t="s">
        <v>1090</v>
      </c>
      <c r="J14701">
        <v>6.15</v>
      </c>
    </row>
    <row r="14702" spans="1:10" hidden="1">
      <c r="A14702" t="s">
        <v>9075</v>
      </c>
      <c r="B14702" t="s">
        <v>9076</v>
      </c>
      <c r="C14702" t="s">
        <v>6839</v>
      </c>
      <c r="D14702" t="s">
        <v>1396</v>
      </c>
      <c r="E14702" t="s">
        <v>556</v>
      </c>
      <c r="F14702" t="s">
        <v>1068</v>
      </c>
      <c r="G14702" t="s">
        <v>1069</v>
      </c>
      <c r="H14702">
        <v>4.4226481057702299E-2</v>
      </c>
      <c r="I14702" t="s">
        <v>1070</v>
      </c>
      <c r="J14702">
        <v>4.66</v>
      </c>
    </row>
    <row r="14703" spans="1:10" hidden="1">
      <c r="A14703" t="s">
        <v>9075</v>
      </c>
      <c r="B14703" t="s">
        <v>9076</v>
      </c>
      <c r="C14703" t="s">
        <v>6839</v>
      </c>
      <c r="D14703" t="s">
        <v>1396</v>
      </c>
      <c r="E14703" t="s">
        <v>556</v>
      </c>
      <c r="F14703" t="s">
        <v>1068</v>
      </c>
      <c r="G14703" t="s">
        <v>1071</v>
      </c>
      <c r="H14703" s="171" t="s">
        <v>9077</v>
      </c>
      <c r="I14703" t="s">
        <v>1072</v>
      </c>
      <c r="J14703">
        <v>4.66</v>
      </c>
    </row>
    <row r="14704" spans="1:10" hidden="1">
      <c r="A14704" t="s">
        <v>9075</v>
      </c>
      <c r="B14704" t="s">
        <v>9076</v>
      </c>
      <c r="C14704" t="s">
        <v>6839</v>
      </c>
      <c r="D14704" t="s">
        <v>1396</v>
      </c>
      <c r="E14704" t="s">
        <v>556</v>
      </c>
      <c r="F14704" t="s">
        <v>1068</v>
      </c>
      <c r="G14704" t="s">
        <v>1073</v>
      </c>
      <c r="H14704" s="171" t="s">
        <v>9078</v>
      </c>
      <c r="I14704" t="s">
        <v>1074</v>
      </c>
      <c r="J14704">
        <v>4.66</v>
      </c>
    </row>
    <row r="14705" spans="1:10" hidden="1">
      <c r="A14705" t="s">
        <v>9075</v>
      </c>
      <c r="B14705" t="s">
        <v>9076</v>
      </c>
      <c r="C14705" t="s">
        <v>6839</v>
      </c>
      <c r="D14705" t="s">
        <v>1396</v>
      </c>
      <c r="E14705" t="s">
        <v>556</v>
      </c>
      <c r="F14705" t="s">
        <v>1068</v>
      </c>
      <c r="G14705" t="s">
        <v>1075</v>
      </c>
      <c r="H14705" s="171" t="s">
        <v>9079</v>
      </c>
      <c r="I14705" t="s">
        <v>1077</v>
      </c>
      <c r="J14705">
        <v>4.66</v>
      </c>
    </row>
    <row r="14706" spans="1:10" hidden="1">
      <c r="A14706" t="s">
        <v>9075</v>
      </c>
      <c r="B14706" t="s">
        <v>9076</v>
      </c>
      <c r="C14706" t="s">
        <v>6839</v>
      </c>
      <c r="D14706" t="s">
        <v>1396</v>
      </c>
      <c r="E14706" t="s">
        <v>556</v>
      </c>
      <c r="F14706" t="s">
        <v>1068</v>
      </c>
      <c r="G14706" t="s">
        <v>1078</v>
      </c>
      <c r="H14706" s="171" t="s">
        <v>9080</v>
      </c>
      <c r="I14706" t="s">
        <v>1079</v>
      </c>
      <c r="J14706">
        <v>4.66</v>
      </c>
    </row>
    <row r="14707" spans="1:10" hidden="1">
      <c r="A14707" t="s">
        <v>9075</v>
      </c>
      <c r="B14707" t="s">
        <v>9076</v>
      </c>
      <c r="C14707" t="s">
        <v>6839</v>
      </c>
      <c r="D14707" t="s">
        <v>1396</v>
      </c>
      <c r="E14707" t="s">
        <v>556</v>
      </c>
      <c r="F14707" t="s">
        <v>1068</v>
      </c>
      <c r="G14707" t="s">
        <v>1080</v>
      </c>
      <c r="H14707" s="171" t="s">
        <v>9081</v>
      </c>
      <c r="I14707" t="s">
        <v>1082</v>
      </c>
      <c r="J14707">
        <v>4.66</v>
      </c>
    </row>
    <row r="14708" spans="1:10" hidden="1">
      <c r="A14708" t="s">
        <v>9075</v>
      </c>
      <c r="B14708" t="s">
        <v>9076</v>
      </c>
      <c r="C14708" t="s">
        <v>6839</v>
      </c>
      <c r="D14708" t="s">
        <v>1396</v>
      </c>
      <c r="E14708" t="s">
        <v>556</v>
      </c>
      <c r="F14708" t="s">
        <v>1068</v>
      </c>
      <c r="G14708" t="s">
        <v>1083</v>
      </c>
      <c r="H14708" s="171" t="s">
        <v>9082</v>
      </c>
      <c r="I14708" t="s">
        <v>1084</v>
      </c>
      <c r="J14708">
        <v>4.66</v>
      </c>
    </row>
    <row r="14709" spans="1:10" hidden="1">
      <c r="A14709" t="s">
        <v>9075</v>
      </c>
      <c r="B14709" t="s">
        <v>9076</v>
      </c>
      <c r="C14709" t="s">
        <v>6839</v>
      </c>
      <c r="D14709" t="s">
        <v>1396</v>
      </c>
      <c r="E14709" t="s">
        <v>556</v>
      </c>
      <c r="F14709" t="s">
        <v>1068</v>
      </c>
      <c r="G14709" t="s">
        <v>1085</v>
      </c>
      <c r="H14709">
        <v>4.1078708019792E-4</v>
      </c>
      <c r="I14709" t="s">
        <v>1086</v>
      </c>
      <c r="J14709">
        <v>4.66</v>
      </c>
    </row>
    <row r="14710" spans="1:10" hidden="1">
      <c r="A14710" t="s">
        <v>9075</v>
      </c>
      <c r="B14710" t="s">
        <v>9076</v>
      </c>
      <c r="C14710" t="s">
        <v>6839</v>
      </c>
      <c r="D14710" t="s">
        <v>1396</v>
      </c>
      <c r="E14710" t="s">
        <v>556</v>
      </c>
      <c r="F14710" t="s">
        <v>1068</v>
      </c>
      <c r="G14710" t="s">
        <v>1087</v>
      </c>
      <c r="H14710" s="171" t="s">
        <v>9083</v>
      </c>
      <c r="I14710" t="s">
        <v>1088</v>
      </c>
      <c r="J14710">
        <v>4.66</v>
      </c>
    </row>
    <row r="14711" spans="1:10" hidden="1">
      <c r="A14711" t="s">
        <v>9075</v>
      </c>
      <c r="B14711" t="s">
        <v>9076</v>
      </c>
      <c r="C14711" t="s">
        <v>6839</v>
      </c>
      <c r="D14711" t="s">
        <v>1396</v>
      </c>
      <c r="E14711" t="s">
        <v>556</v>
      </c>
      <c r="F14711" t="s">
        <v>1068</v>
      </c>
      <c r="G14711" t="s">
        <v>1089</v>
      </c>
      <c r="H14711">
        <v>1.2033081214441701E-4</v>
      </c>
      <c r="I14711" t="s">
        <v>1090</v>
      </c>
      <c r="J14711">
        <v>4.66</v>
      </c>
    </row>
    <row r="14712" spans="1:10" hidden="1">
      <c r="A14712" t="s">
        <v>9084</v>
      </c>
      <c r="B14712" t="s">
        <v>9085</v>
      </c>
      <c r="C14712" t="s">
        <v>6839</v>
      </c>
      <c r="D14712" t="s">
        <v>1396</v>
      </c>
      <c r="E14712" t="s">
        <v>557</v>
      </c>
      <c r="F14712" t="s">
        <v>1068</v>
      </c>
      <c r="G14712" t="s">
        <v>1069</v>
      </c>
      <c r="H14712">
        <v>4.4226081736077602E-2</v>
      </c>
      <c r="I14712" t="s">
        <v>1070</v>
      </c>
      <c r="J14712">
        <v>4.42</v>
      </c>
    </row>
    <row r="14713" spans="1:10" hidden="1">
      <c r="A14713" t="s">
        <v>9084</v>
      </c>
      <c r="B14713" t="s">
        <v>9085</v>
      </c>
      <c r="C14713" t="s">
        <v>6839</v>
      </c>
      <c r="D14713" t="s">
        <v>1396</v>
      </c>
      <c r="E14713" t="s">
        <v>557</v>
      </c>
      <c r="F14713" t="s">
        <v>1068</v>
      </c>
      <c r="G14713" t="s">
        <v>1071</v>
      </c>
      <c r="H14713" s="171" t="s">
        <v>9086</v>
      </c>
      <c r="I14713" t="s">
        <v>1072</v>
      </c>
      <c r="J14713">
        <v>4.42</v>
      </c>
    </row>
    <row r="14714" spans="1:10" hidden="1">
      <c r="A14714" t="s">
        <v>9084</v>
      </c>
      <c r="B14714" t="s">
        <v>9085</v>
      </c>
      <c r="C14714" t="s">
        <v>6839</v>
      </c>
      <c r="D14714" t="s">
        <v>1396</v>
      </c>
      <c r="E14714" t="s">
        <v>557</v>
      </c>
      <c r="F14714" t="s">
        <v>1068</v>
      </c>
      <c r="G14714" t="s">
        <v>1073</v>
      </c>
      <c r="H14714" s="171" t="s">
        <v>9087</v>
      </c>
      <c r="I14714" t="s">
        <v>1074</v>
      </c>
      <c r="J14714">
        <v>4.42</v>
      </c>
    </row>
    <row r="14715" spans="1:10" hidden="1">
      <c r="A14715" t="s">
        <v>9084</v>
      </c>
      <c r="B14715" t="s">
        <v>9085</v>
      </c>
      <c r="C14715" t="s">
        <v>6839</v>
      </c>
      <c r="D14715" t="s">
        <v>1396</v>
      </c>
      <c r="E14715" t="s">
        <v>557</v>
      </c>
      <c r="F14715" t="s">
        <v>1068</v>
      </c>
      <c r="G14715" t="s">
        <v>1075</v>
      </c>
      <c r="H14715" s="171" t="s">
        <v>9088</v>
      </c>
      <c r="I14715" t="s">
        <v>1077</v>
      </c>
      <c r="J14715">
        <v>4.42</v>
      </c>
    </row>
    <row r="14716" spans="1:10" hidden="1">
      <c r="A14716" t="s">
        <v>9084</v>
      </c>
      <c r="B14716" t="s">
        <v>9085</v>
      </c>
      <c r="C14716" t="s">
        <v>6839</v>
      </c>
      <c r="D14716" t="s">
        <v>1396</v>
      </c>
      <c r="E14716" t="s">
        <v>557</v>
      </c>
      <c r="F14716" t="s">
        <v>1068</v>
      </c>
      <c r="G14716" t="s">
        <v>1078</v>
      </c>
      <c r="H14716" s="171" t="s">
        <v>9089</v>
      </c>
      <c r="I14716" t="s">
        <v>1079</v>
      </c>
      <c r="J14716">
        <v>4.42</v>
      </c>
    </row>
    <row r="14717" spans="1:10" hidden="1">
      <c r="A14717" t="s">
        <v>9084</v>
      </c>
      <c r="B14717" t="s">
        <v>9085</v>
      </c>
      <c r="C14717" t="s">
        <v>6839</v>
      </c>
      <c r="D14717" t="s">
        <v>1396</v>
      </c>
      <c r="E14717" t="s">
        <v>557</v>
      </c>
      <c r="F14717" t="s">
        <v>1068</v>
      </c>
      <c r="G14717" t="s">
        <v>1080</v>
      </c>
      <c r="H14717" s="171" t="s">
        <v>9090</v>
      </c>
      <c r="I14717" t="s">
        <v>1082</v>
      </c>
      <c r="J14717">
        <v>4.42</v>
      </c>
    </row>
    <row r="14718" spans="1:10" hidden="1">
      <c r="A14718" t="s">
        <v>9084</v>
      </c>
      <c r="B14718" t="s">
        <v>9085</v>
      </c>
      <c r="C14718" t="s">
        <v>6839</v>
      </c>
      <c r="D14718" t="s">
        <v>1396</v>
      </c>
      <c r="E14718" t="s">
        <v>557</v>
      </c>
      <c r="F14718" t="s">
        <v>1068</v>
      </c>
      <c r="G14718" t="s">
        <v>1083</v>
      </c>
      <c r="H14718" s="171" t="s">
        <v>9091</v>
      </c>
      <c r="I14718" t="s">
        <v>1084</v>
      </c>
      <c r="J14718">
        <v>4.42</v>
      </c>
    </row>
    <row r="14719" spans="1:10" hidden="1">
      <c r="A14719" t="s">
        <v>9084</v>
      </c>
      <c r="B14719" t="s">
        <v>9085</v>
      </c>
      <c r="C14719" t="s">
        <v>6839</v>
      </c>
      <c r="D14719" t="s">
        <v>1396</v>
      </c>
      <c r="E14719" t="s">
        <v>557</v>
      </c>
      <c r="F14719" t="s">
        <v>1068</v>
      </c>
      <c r="G14719" t="s">
        <v>1085</v>
      </c>
      <c r="H14719">
        <v>4.1078669208113899E-4</v>
      </c>
      <c r="I14719" t="s">
        <v>1086</v>
      </c>
      <c r="J14719">
        <v>4.42</v>
      </c>
    </row>
    <row r="14720" spans="1:10" hidden="1">
      <c r="A14720" t="s">
        <v>9084</v>
      </c>
      <c r="B14720" t="s">
        <v>9085</v>
      </c>
      <c r="C14720" t="s">
        <v>6839</v>
      </c>
      <c r="D14720" t="s">
        <v>1396</v>
      </c>
      <c r="E14720" t="s">
        <v>557</v>
      </c>
      <c r="F14720" t="s">
        <v>1068</v>
      </c>
      <c r="G14720" t="s">
        <v>1087</v>
      </c>
      <c r="H14720" s="171" t="s">
        <v>9092</v>
      </c>
      <c r="I14720" t="s">
        <v>1088</v>
      </c>
      <c r="J14720">
        <v>4.42</v>
      </c>
    </row>
    <row r="14721" spans="1:10" hidden="1">
      <c r="A14721" t="s">
        <v>9084</v>
      </c>
      <c r="B14721" t="s">
        <v>9085</v>
      </c>
      <c r="C14721" t="s">
        <v>6839</v>
      </c>
      <c r="D14721" t="s">
        <v>1396</v>
      </c>
      <c r="E14721" t="s">
        <v>557</v>
      </c>
      <c r="F14721" t="s">
        <v>1068</v>
      </c>
      <c r="G14721" t="s">
        <v>1089</v>
      </c>
      <c r="H14721">
        <v>1.20330732067274E-4</v>
      </c>
      <c r="I14721" t="s">
        <v>1090</v>
      </c>
      <c r="J14721">
        <v>4.42</v>
      </c>
    </row>
    <row r="14722" spans="1:10" hidden="1">
      <c r="A14722" t="s">
        <v>9093</v>
      </c>
      <c r="B14722" t="s">
        <v>9094</v>
      </c>
      <c r="C14722" t="s">
        <v>6839</v>
      </c>
      <c r="D14722" t="s">
        <v>1396</v>
      </c>
      <c r="E14722" t="s">
        <v>559</v>
      </c>
      <c r="F14722" t="s">
        <v>1068</v>
      </c>
      <c r="G14722" t="s">
        <v>1069</v>
      </c>
      <c r="H14722" s="171" t="s">
        <v>9095</v>
      </c>
      <c r="I14722" t="s">
        <v>1070</v>
      </c>
      <c r="J14722">
        <v>33.26</v>
      </c>
    </row>
    <row r="14723" spans="1:10" hidden="1">
      <c r="A14723" t="s">
        <v>9093</v>
      </c>
      <c r="B14723" t="s">
        <v>9094</v>
      </c>
      <c r="C14723" t="s">
        <v>6839</v>
      </c>
      <c r="D14723" t="s">
        <v>1396</v>
      </c>
      <c r="E14723" t="s">
        <v>559</v>
      </c>
      <c r="F14723" t="s">
        <v>1068</v>
      </c>
      <c r="G14723" t="s">
        <v>1071</v>
      </c>
      <c r="H14723" s="171" t="s">
        <v>9096</v>
      </c>
      <c r="I14723" t="s">
        <v>1072</v>
      </c>
      <c r="J14723">
        <v>33.26</v>
      </c>
    </row>
    <row r="14724" spans="1:10" hidden="1">
      <c r="A14724" t="s">
        <v>9093</v>
      </c>
      <c r="B14724" t="s">
        <v>9094</v>
      </c>
      <c r="C14724" t="s">
        <v>6839</v>
      </c>
      <c r="D14724" t="s">
        <v>1396</v>
      </c>
      <c r="E14724" t="s">
        <v>559</v>
      </c>
      <c r="F14724" t="s">
        <v>1068</v>
      </c>
      <c r="G14724" t="s">
        <v>1073</v>
      </c>
      <c r="H14724" s="171" t="s">
        <v>9097</v>
      </c>
      <c r="I14724" t="s">
        <v>1074</v>
      </c>
      <c r="J14724">
        <v>33.26</v>
      </c>
    </row>
    <row r="14725" spans="1:10" hidden="1">
      <c r="A14725" t="s">
        <v>9093</v>
      </c>
      <c r="B14725" t="s">
        <v>9094</v>
      </c>
      <c r="C14725" t="s">
        <v>6839</v>
      </c>
      <c r="D14725" t="s">
        <v>1396</v>
      </c>
      <c r="E14725" t="s">
        <v>559</v>
      </c>
      <c r="F14725" t="s">
        <v>1068</v>
      </c>
      <c r="G14725" t="s">
        <v>1075</v>
      </c>
      <c r="H14725" s="171" t="s">
        <v>9098</v>
      </c>
      <c r="I14725" t="s">
        <v>1077</v>
      </c>
      <c r="J14725">
        <v>33.26</v>
      </c>
    </row>
    <row r="14726" spans="1:10" hidden="1">
      <c r="A14726" t="s">
        <v>9093</v>
      </c>
      <c r="B14726" t="s">
        <v>9094</v>
      </c>
      <c r="C14726" t="s">
        <v>6839</v>
      </c>
      <c r="D14726" t="s">
        <v>1396</v>
      </c>
      <c r="E14726" t="s">
        <v>559</v>
      </c>
      <c r="F14726" t="s">
        <v>1068</v>
      </c>
      <c r="G14726" t="s">
        <v>1078</v>
      </c>
      <c r="H14726">
        <v>2.63900265513301E-2</v>
      </c>
      <c r="I14726" t="s">
        <v>1079</v>
      </c>
      <c r="J14726">
        <v>33.26</v>
      </c>
    </row>
    <row r="14727" spans="1:10" hidden="1">
      <c r="A14727" t="s">
        <v>9093</v>
      </c>
      <c r="B14727" t="s">
        <v>9094</v>
      </c>
      <c r="C14727" t="s">
        <v>6839</v>
      </c>
      <c r="D14727" t="s">
        <v>1396</v>
      </c>
      <c r="E14727" t="s">
        <v>559</v>
      </c>
      <c r="F14727" t="s">
        <v>1068</v>
      </c>
      <c r="G14727" t="s">
        <v>1080</v>
      </c>
      <c r="H14727" s="171" t="s">
        <v>9099</v>
      </c>
      <c r="I14727" t="s">
        <v>1082</v>
      </c>
      <c r="J14727">
        <v>33.26</v>
      </c>
    </row>
    <row r="14728" spans="1:10" hidden="1">
      <c r="A14728" t="s">
        <v>9093</v>
      </c>
      <c r="B14728" t="s">
        <v>9094</v>
      </c>
      <c r="C14728" t="s">
        <v>6839</v>
      </c>
      <c r="D14728" t="s">
        <v>1396</v>
      </c>
      <c r="E14728" t="s">
        <v>559</v>
      </c>
      <c r="F14728" t="s">
        <v>1068</v>
      </c>
      <c r="G14728" t="s">
        <v>1083</v>
      </c>
      <c r="H14728" s="171" t="s">
        <v>9100</v>
      </c>
      <c r="I14728" t="s">
        <v>1084</v>
      </c>
      <c r="J14728">
        <v>33.26</v>
      </c>
    </row>
    <row r="14729" spans="1:10" hidden="1">
      <c r="A14729" t="s">
        <v>9093</v>
      </c>
      <c r="B14729" t="s">
        <v>9094</v>
      </c>
      <c r="C14729" t="s">
        <v>6839</v>
      </c>
      <c r="D14729" t="s">
        <v>1396</v>
      </c>
      <c r="E14729" t="s">
        <v>559</v>
      </c>
      <c r="F14729" t="s">
        <v>1068</v>
      </c>
      <c r="G14729" t="s">
        <v>1085</v>
      </c>
      <c r="H14729">
        <v>4.10786895594054E-4</v>
      </c>
      <c r="I14729" t="s">
        <v>1086</v>
      </c>
      <c r="J14729">
        <v>33.26</v>
      </c>
    </row>
    <row r="14730" spans="1:10" hidden="1">
      <c r="A14730" t="s">
        <v>9093</v>
      </c>
      <c r="B14730" t="s">
        <v>9094</v>
      </c>
      <c r="C14730" t="s">
        <v>6839</v>
      </c>
      <c r="D14730" t="s">
        <v>1396</v>
      </c>
      <c r="E14730" t="s">
        <v>559</v>
      </c>
      <c r="F14730" t="s">
        <v>1068</v>
      </c>
      <c r="G14730" t="s">
        <v>1087</v>
      </c>
      <c r="H14730" s="171" t="s">
        <v>9101</v>
      </c>
      <c r="I14730" t="s">
        <v>1088</v>
      </c>
      <c r="J14730">
        <v>33.26</v>
      </c>
    </row>
    <row r="14731" spans="1:10" hidden="1">
      <c r="A14731" t="s">
        <v>9093</v>
      </c>
      <c r="B14731" t="s">
        <v>9094</v>
      </c>
      <c r="C14731" t="s">
        <v>6839</v>
      </c>
      <c r="D14731" t="s">
        <v>1396</v>
      </c>
      <c r="E14731" t="s">
        <v>559</v>
      </c>
      <c r="F14731" t="s">
        <v>1068</v>
      </c>
      <c r="G14731" t="s">
        <v>1089</v>
      </c>
      <c r="H14731">
        <v>1.20330774061004E-4</v>
      </c>
      <c r="I14731" t="s">
        <v>1090</v>
      </c>
      <c r="J14731">
        <v>33.26</v>
      </c>
    </row>
    <row r="14732" spans="1:10" hidden="1">
      <c r="A14732" t="s">
        <v>9102</v>
      </c>
      <c r="B14732" t="s">
        <v>9103</v>
      </c>
      <c r="C14732" t="s">
        <v>6839</v>
      </c>
      <c r="D14732" t="s">
        <v>1396</v>
      </c>
      <c r="E14732" t="s">
        <v>560</v>
      </c>
      <c r="F14732" t="s">
        <v>1068</v>
      </c>
      <c r="G14732" t="s">
        <v>1069</v>
      </c>
      <c r="H14732">
        <v>4.4226147559444602E-2</v>
      </c>
      <c r="I14732" t="s">
        <v>1070</v>
      </c>
      <c r="J14732">
        <v>31.89</v>
      </c>
    </row>
    <row r="14733" spans="1:10" hidden="1">
      <c r="A14733" t="s">
        <v>9102</v>
      </c>
      <c r="B14733" t="s">
        <v>9103</v>
      </c>
      <c r="C14733" t="s">
        <v>6839</v>
      </c>
      <c r="D14733" t="s">
        <v>1396</v>
      </c>
      <c r="E14733" t="s">
        <v>560</v>
      </c>
      <c r="F14733" t="s">
        <v>1068</v>
      </c>
      <c r="G14733" t="s">
        <v>1071</v>
      </c>
      <c r="H14733" s="171" t="s">
        <v>9104</v>
      </c>
      <c r="I14733" t="s">
        <v>1072</v>
      </c>
      <c r="J14733">
        <v>31.89</v>
      </c>
    </row>
    <row r="14734" spans="1:10" hidden="1">
      <c r="A14734" t="s">
        <v>9102</v>
      </c>
      <c r="B14734" t="s">
        <v>9103</v>
      </c>
      <c r="C14734" t="s">
        <v>6839</v>
      </c>
      <c r="D14734" t="s">
        <v>1396</v>
      </c>
      <c r="E14734" t="s">
        <v>560</v>
      </c>
      <c r="F14734" t="s">
        <v>1068</v>
      </c>
      <c r="G14734" t="s">
        <v>1073</v>
      </c>
      <c r="H14734" s="171" t="s">
        <v>9105</v>
      </c>
      <c r="I14734" t="s">
        <v>1074</v>
      </c>
      <c r="J14734">
        <v>31.89</v>
      </c>
    </row>
    <row r="14735" spans="1:10" hidden="1">
      <c r="A14735" t="s">
        <v>9102</v>
      </c>
      <c r="B14735" t="s">
        <v>9103</v>
      </c>
      <c r="C14735" t="s">
        <v>6839</v>
      </c>
      <c r="D14735" t="s">
        <v>1396</v>
      </c>
      <c r="E14735" t="s">
        <v>560</v>
      </c>
      <c r="F14735" t="s">
        <v>1068</v>
      </c>
      <c r="G14735" t="s">
        <v>1075</v>
      </c>
      <c r="H14735" s="171" t="s">
        <v>9106</v>
      </c>
      <c r="I14735" t="s">
        <v>1077</v>
      </c>
      <c r="J14735">
        <v>31.89</v>
      </c>
    </row>
    <row r="14736" spans="1:10" hidden="1">
      <c r="A14736" t="s">
        <v>9102</v>
      </c>
      <c r="B14736" t="s">
        <v>9103</v>
      </c>
      <c r="C14736" t="s">
        <v>6839</v>
      </c>
      <c r="D14736" t="s">
        <v>1396</v>
      </c>
      <c r="E14736" t="s">
        <v>560</v>
      </c>
      <c r="F14736" t="s">
        <v>1068</v>
      </c>
      <c r="G14736" t="s">
        <v>1078</v>
      </c>
      <c r="H14736" s="171" t="s">
        <v>9107</v>
      </c>
      <c r="I14736" t="s">
        <v>1079</v>
      </c>
      <c r="J14736">
        <v>31.89</v>
      </c>
    </row>
    <row r="14737" spans="1:10" hidden="1">
      <c r="A14737" t="s">
        <v>9102</v>
      </c>
      <c r="B14737" t="s">
        <v>9103</v>
      </c>
      <c r="C14737" t="s">
        <v>6839</v>
      </c>
      <c r="D14737" t="s">
        <v>1396</v>
      </c>
      <c r="E14737" t="s">
        <v>560</v>
      </c>
      <c r="F14737" t="s">
        <v>1068</v>
      </c>
      <c r="G14737" t="s">
        <v>1080</v>
      </c>
      <c r="H14737" s="171" t="s">
        <v>9108</v>
      </c>
      <c r="I14737" t="s">
        <v>1082</v>
      </c>
      <c r="J14737">
        <v>31.89</v>
      </c>
    </row>
    <row r="14738" spans="1:10" hidden="1">
      <c r="A14738" t="s">
        <v>9102</v>
      </c>
      <c r="B14738" t="s">
        <v>9103</v>
      </c>
      <c r="C14738" t="s">
        <v>6839</v>
      </c>
      <c r="D14738" t="s">
        <v>1396</v>
      </c>
      <c r="E14738" t="s">
        <v>560</v>
      </c>
      <c r="F14738" t="s">
        <v>1068</v>
      </c>
      <c r="G14738" t="s">
        <v>1083</v>
      </c>
      <c r="H14738" s="171" t="s">
        <v>9109</v>
      </c>
      <c r="I14738" t="s">
        <v>1084</v>
      </c>
      <c r="J14738">
        <v>31.89</v>
      </c>
    </row>
    <row r="14739" spans="1:10" hidden="1">
      <c r="A14739" t="s">
        <v>9102</v>
      </c>
      <c r="B14739" t="s">
        <v>9103</v>
      </c>
      <c r="C14739" t="s">
        <v>6839</v>
      </c>
      <c r="D14739" t="s">
        <v>1396</v>
      </c>
      <c r="E14739" t="s">
        <v>560</v>
      </c>
      <c r="F14739" t="s">
        <v>1068</v>
      </c>
      <c r="G14739" t="s">
        <v>1085</v>
      </c>
      <c r="H14739">
        <v>4.1078680516013302E-4</v>
      </c>
      <c r="I14739" t="s">
        <v>1086</v>
      </c>
      <c r="J14739">
        <v>31.89</v>
      </c>
    </row>
    <row r="14740" spans="1:10" hidden="1">
      <c r="A14740" t="s">
        <v>9102</v>
      </c>
      <c r="B14740" t="s">
        <v>9103</v>
      </c>
      <c r="C14740" t="s">
        <v>6839</v>
      </c>
      <c r="D14740" t="s">
        <v>1396</v>
      </c>
      <c r="E14740" t="s">
        <v>560</v>
      </c>
      <c r="F14740" t="s">
        <v>1068</v>
      </c>
      <c r="G14740" t="s">
        <v>1087</v>
      </c>
      <c r="H14740" s="171" t="s">
        <v>9110</v>
      </c>
      <c r="I14740" t="s">
        <v>1088</v>
      </c>
      <c r="J14740">
        <v>31.89</v>
      </c>
    </row>
    <row r="14741" spans="1:10" hidden="1">
      <c r="A14741" t="s">
        <v>9102</v>
      </c>
      <c r="B14741" t="s">
        <v>9103</v>
      </c>
      <c r="C14741" t="s">
        <v>6839</v>
      </c>
      <c r="D14741" t="s">
        <v>1396</v>
      </c>
      <c r="E14741" t="s">
        <v>560</v>
      </c>
      <c r="F14741" t="s">
        <v>1068</v>
      </c>
      <c r="G14741" t="s">
        <v>1089</v>
      </c>
      <c r="H14741">
        <v>1.20330755395247E-4</v>
      </c>
      <c r="I14741" t="s">
        <v>1090</v>
      </c>
      <c r="J14741">
        <v>31.89</v>
      </c>
    </row>
    <row r="14742" spans="1:10" hidden="1">
      <c r="A14742" t="s">
        <v>9111</v>
      </c>
      <c r="B14742" t="s">
        <v>9112</v>
      </c>
      <c r="C14742" t="s">
        <v>6839</v>
      </c>
      <c r="D14742" t="s">
        <v>1396</v>
      </c>
      <c r="E14742" t="s">
        <v>1116</v>
      </c>
      <c r="F14742" t="s">
        <v>1068</v>
      </c>
      <c r="G14742" t="s">
        <v>1069</v>
      </c>
      <c r="H14742" s="171" t="s">
        <v>9113</v>
      </c>
      <c r="I14742" t="s">
        <v>1070</v>
      </c>
      <c r="J14742">
        <v>13.43</v>
      </c>
    </row>
    <row r="14743" spans="1:10" hidden="1">
      <c r="A14743" t="s">
        <v>9111</v>
      </c>
      <c r="B14743" t="s">
        <v>9112</v>
      </c>
      <c r="C14743" t="s">
        <v>6839</v>
      </c>
      <c r="D14743" t="s">
        <v>1396</v>
      </c>
      <c r="E14743" t="s">
        <v>1116</v>
      </c>
      <c r="F14743" t="s">
        <v>1068</v>
      </c>
      <c r="G14743" t="s">
        <v>1071</v>
      </c>
      <c r="H14743" s="171" t="s">
        <v>9114</v>
      </c>
      <c r="I14743" t="s">
        <v>1072</v>
      </c>
      <c r="J14743">
        <v>13.43</v>
      </c>
    </row>
    <row r="14744" spans="1:10" hidden="1">
      <c r="A14744" t="s">
        <v>9111</v>
      </c>
      <c r="B14744" t="s">
        <v>9112</v>
      </c>
      <c r="C14744" t="s">
        <v>6839</v>
      </c>
      <c r="D14744" t="s">
        <v>1396</v>
      </c>
      <c r="E14744" t="s">
        <v>1116</v>
      </c>
      <c r="F14744" t="s">
        <v>1068</v>
      </c>
      <c r="G14744" t="s">
        <v>1073</v>
      </c>
      <c r="H14744" s="171" t="s">
        <v>9115</v>
      </c>
      <c r="I14744" t="s">
        <v>1074</v>
      </c>
      <c r="J14744">
        <v>13.43</v>
      </c>
    </row>
    <row r="14745" spans="1:10" hidden="1">
      <c r="A14745" t="s">
        <v>9111</v>
      </c>
      <c r="B14745" t="s">
        <v>9112</v>
      </c>
      <c r="C14745" t="s">
        <v>6839</v>
      </c>
      <c r="D14745" t="s">
        <v>1396</v>
      </c>
      <c r="E14745" t="s">
        <v>1116</v>
      </c>
      <c r="F14745" t="s">
        <v>1068</v>
      </c>
      <c r="G14745" t="s">
        <v>1075</v>
      </c>
      <c r="H14745" s="171" t="s">
        <v>9116</v>
      </c>
      <c r="I14745" t="s">
        <v>1077</v>
      </c>
      <c r="J14745">
        <v>13.43</v>
      </c>
    </row>
    <row r="14746" spans="1:10" hidden="1">
      <c r="A14746" t="s">
        <v>9111</v>
      </c>
      <c r="B14746" t="s">
        <v>9112</v>
      </c>
      <c r="C14746" t="s">
        <v>6839</v>
      </c>
      <c r="D14746" t="s">
        <v>1396</v>
      </c>
      <c r="E14746" t="s">
        <v>1116</v>
      </c>
      <c r="F14746" t="s">
        <v>1068</v>
      </c>
      <c r="G14746" t="s">
        <v>1078</v>
      </c>
      <c r="H14746" s="171" t="s">
        <v>9117</v>
      </c>
      <c r="I14746" t="s">
        <v>1079</v>
      </c>
      <c r="J14746">
        <v>13.43</v>
      </c>
    </row>
    <row r="14747" spans="1:10" hidden="1">
      <c r="A14747" t="s">
        <v>9111</v>
      </c>
      <c r="B14747" t="s">
        <v>9112</v>
      </c>
      <c r="C14747" t="s">
        <v>6839</v>
      </c>
      <c r="D14747" t="s">
        <v>1396</v>
      </c>
      <c r="E14747" t="s">
        <v>1116</v>
      </c>
      <c r="F14747" t="s">
        <v>1068</v>
      </c>
      <c r="G14747" t="s">
        <v>1080</v>
      </c>
      <c r="H14747" s="171" t="s">
        <v>9118</v>
      </c>
      <c r="I14747" t="s">
        <v>1082</v>
      </c>
      <c r="J14747">
        <v>13.43</v>
      </c>
    </row>
    <row r="14748" spans="1:10" hidden="1">
      <c r="A14748" t="s">
        <v>9111</v>
      </c>
      <c r="B14748" t="s">
        <v>9112</v>
      </c>
      <c r="C14748" t="s">
        <v>6839</v>
      </c>
      <c r="D14748" t="s">
        <v>1396</v>
      </c>
      <c r="E14748" t="s">
        <v>1116</v>
      </c>
      <c r="F14748" t="s">
        <v>1068</v>
      </c>
      <c r="G14748" t="s">
        <v>1083</v>
      </c>
      <c r="H14748" s="171" t="s">
        <v>9119</v>
      </c>
      <c r="I14748" t="s">
        <v>1084</v>
      </c>
      <c r="J14748">
        <v>13.43</v>
      </c>
    </row>
    <row r="14749" spans="1:10" hidden="1">
      <c r="A14749" t="s">
        <v>9111</v>
      </c>
      <c r="B14749" t="s">
        <v>9112</v>
      </c>
      <c r="C14749" t="s">
        <v>6839</v>
      </c>
      <c r="D14749" t="s">
        <v>1396</v>
      </c>
      <c r="E14749" t="s">
        <v>1116</v>
      </c>
      <c r="F14749" t="s">
        <v>1068</v>
      </c>
      <c r="G14749" t="s">
        <v>1085</v>
      </c>
      <c r="H14749">
        <v>4.1078646195400902E-4</v>
      </c>
      <c r="I14749" t="s">
        <v>1086</v>
      </c>
      <c r="J14749">
        <v>13.43</v>
      </c>
    </row>
    <row r="14750" spans="1:10" hidden="1">
      <c r="A14750" t="s">
        <v>9111</v>
      </c>
      <c r="B14750" t="s">
        <v>9112</v>
      </c>
      <c r="C14750" t="s">
        <v>6839</v>
      </c>
      <c r="D14750" t="s">
        <v>1396</v>
      </c>
      <c r="E14750" t="s">
        <v>1116</v>
      </c>
      <c r="F14750" t="s">
        <v>1068</v>
      </c>
      <c r="G14750" t="s">
        <v>1087</v>
      </c>
      <c r="H14750" s="171" t="s">
        <v>9120</v>
      </c>
      <c r="I14750" t="s">
        <v>1088</v>
      </c>
      <c r="J14750">
        <v>13.43</v>
      </c>
    </row>
    <row r="14751" spans="1:10" hidden="1">
      <c r="A14751" t="s">
        <v>9111</v>
      </c>
      <c r="B14751" t="s">
        <v>9112</v>
      </c>
      <c r="C14751" t="s">
        <v>6839</v>
      </c>
      <c r="D14751" t="s">
        <v>1396</v>
      </c>
      <c r="E14751" t="s">
        <v>1116</v>
      </c>
      <c r="F14751" t="s">
        <v>1068</v>
      </c>
      <c r="G14751" t="s">
        <v>1089</v>
      </c>
      <c r="H14751">
        <v>1.20330684592501E-4</v>
      </c>
      <c r="I14751" t="s">
        <v>1090</v>
      </c>
      <c r="J14751">
        <v>13.43</v>
      </c>
    </row>
    <row r="14752" spans="1:10" hidden="1">
      <c r="A14752" t="s">
        <v>9121</v>
      </c>
      <c r="B14752" t="s">
        <v>9122</v>
      </c>
      <c r="C14752" t="s">
        <v>6839</v>
      </c>
      <c r="D14752" t="s">
        <v>1427</v>
      </c>
      <c r="E14752" t="s">
        <v>561</v>
      </c>
      <c r="F14752" t="s">
        <v>1068</v>
      </c>
      <c r="G14752" t="s">
        <v>1069</v>
      </c>
      <c r="H14752">
        <v>4.5367185645271597E-2</v>
      </c>
      <c r="I14752" t="s">
        <v>1070</v>
      </c>
      <c r="J14752">
        <v>9.2100000000000009</v>
      </c>
    </row>
    <row r="14753" spans="1:10" hidden="1">
      <c r="A14753" t="s">
        <v>9121</v>
      </c>
      <c r="B14753" t="s">
        <v>9122</v>
      </c>
      <c r="C14753" t="s">
        <v>6839</v>
      </c>
      <c r="D14753" t="s">
        <v>1427</v>
      </c>
      <c r="E14753" t="s">
        <v>561</v>
      </c>
      <c r="F14753" t="s">
        <v>1068</v>
      </c>
      <c r="G14753" t="s">
        <v>1071</v>
      </c>
      <c r="H14753" s="171" t="s">
        <v>9123</v>
      </c>
      <c r="I14753" t="s">
        <v>1072</v>
      </c>
      <c r="J14753">
        <v>9.2100000000000009</v>
      </c>
    </row>
    <row r="14754" spans="1:10" hidden="1">
      <c r="A14754" t="s">
        <v>9121</v>
      </c>
      <c r="B14754" t="s">
        <v>9122</v>
      </c>
      <c r="C14754" t="s">
        <v>6839</v>
      </c>
      <c r="D14754" t="s">
        <v>1427</v>
      </c>
      <c r="E14754" t="s">
        <v>561</v>
      </c>
      <c r="F14754" t="s">
        <v>1068</v>
      </c>
      <c r="G14754" t="s">
        <v>1073</v>
      </c>
      <c r="H14754" s="171" t="s">
        <v>9124</v>
      </c>
      <c r="I14754" t="s">
        <v>1074</v>
      </c>
      <c r="J14754">
        <v>9.2100000000000009</v>
      </c>
    </row>
    <row r="14755" spans="1:10" hidden="1">
      <c r="A14755" t="s">
        <v>9121</v>
      </c>
      <c r="B14755" t="s">
        <v>9122</v>
      </c>
      <c r="C14755" t="s">
        <v>6839</v>
      </c>
      <c r="D14755" t="s">
        <v>1427</v>
      </c>
      <c r="E14755" t="s">
        <v>561</v>
      </c>
      <c r="F14755" t="s">
        <v>1068</v>
      </c>
      <c r="G14755" t="s">
        <v>1075</v>
      </c>
      <c r="H14755" s="171" t="s">
        <v>9125</v>
      </c>
      <c r="I14755" t="s">
        <v>1077</v>
      </c>
      <c r="J14755">
        <v>9.2100000000000009</v>
      </c>
    </row>
    <row r="14756" spans="1:10" hidden="1">
      <c r="A14756" t="s">
        <v>9121</v>
      </c>
      <c r="B14756" t="s">
        <v>9122</v>
      </c>
      <c r="C14756" t="s">
        <v>6839</v>
      </c>
      <c r="D14756" t="s">
        <v>1427</v>
      </c>
      <c r="E14756" t="s">
        <v>561</v>
      </c>
      <c r="F14756" t="s">
        <v>1068</v>
      </c>
      <c r="G14756" t="s">
        <v>1078</v>
      </c>
      <c r="H14756" s="171" t="s">
        <v>9126</v>
      </c>
      <c r="I14756" t="s">
        <v>1079</v>
      </c>
      <c r="J14756">
        <v>9.2100000000000009</v>
      </c>
    </row>
    <row r="14757" spans="1:10" hidden="1">
      <c r="A14757" t="s">
        <v>9121</v>
      </c>
      <c r="B14757" t="s">
        <v>9122</v>
      </c>
      <c r="C14757" t="s">
        <v>6839</v>
      </c>
      <c r="D14757" t="s">
        <v>1427</v>
      </c>
      <c r="E14757" t="s">
        <v>561</v>
      </c>
      <c r="F14757" t="s">
        <v>1068</v>
      </c>
      <c r="G14757" t="s">
        <v>1080</v>
      </c>
      <c r="H14757" s="171" t="s">
        <v>9127</v>
      </c>
      <c r="I14757" t="s">
        <v>1082</v>
      </c>
      <c r="J14757">
        <v>9.2100000000000009</v>
      </c>
    </row>
    <row r="14758" spans="1:10" hidden="1">
      <c r="A14758" t="s">
        <v>9121</v>
      </c>
      <c r="B14758" t="s">
        <v>9122</v>
      </c>
      <c r="C14758" t="s">
        <v>6839</v>
      </c>
      <c r="D14758" t="s">
        <v>1427</v>
      </c>
      <c r="E14758" t="s">
        <v>561</v>
      </c>
      <c r="F14758" t="s">
        <v>1068</v>
      </c>
      <c r="G14758" t="s">
        <v>1083</v>
      </c>
      <c r="H14758" s="171" t="s">
        <v>9128</v>
      </c>
      <c r="I14758" t="s">
        <v>1084</v>
      </c>
      <c r="J14758">
        <v>9.2100000000000009</v>
      </c>
    </row>
    <row r="14759" spans="1:10" hidden="1">
      <c r="A14759" t="s">
        <v>9121</v>
      </c>
      <c r="B14759" t="s">
        <v>9122</v>
      </c>
      <c r="C14759" t="s">
        <v>6839</v>
      </c>
      <c r="D14759" t="s">
        <v>1427</v>
      </c>
      <c r="E14759" t="s">
        <v>561</v>
      </c>
      <c r="F14759" t="s">
        <v>1068</v>
      </c>
      <c r="G14759" t="s">
        <v>1085</v>
      </c>
      <c r="H14759">
        <v>4.2721991524352301E-4</v>
      </c>
      <c r="I14759" t="s">
        <v>1086</v>
      </c>
      <c r="J14759">
        <v>9.2100000000000009</v>
      </c>
    </row>
    <row r="14760" spans="1:10" hidden="1">
      <c r="A14760" t="s">
        <v>9121</v>
      </c>
      <c r="B14760" t="s">
        <v>9122</v>
      </c>
      <c r="C14760" t="s">
        <v>6839</v>
      </c>
      <c r="D14760" t="s">
        <v>1427</v>
      </c>
      <c r="E14760" t="s">
        <v>561</v>
      </c>
      <c r="F14760" t="s">
        <v>1068</v>
      </c>
      <c r="G14760" t="s">
        <v>1087</v>
      </c>
      <c r="H14760" s="171" t="s">
        <v>9129</v>
      </c>
      <c r="I14760" t="s">
        <v>1088</v>
      </c>
      <c r="J14760">
        <v>9.2100000000000009</v>
      </c>
    </row>
    <row r="14761" spans="1:10" hidden="1">
      <c r="A14761" t="s">
        <v>9121</v>
      </c>
      <c r="B14761" t="s">
        <v>9122</v>
      </c>
      <c r="C14761" t="s">
        <v>6839</v>
      </c>
      <c r="D14761" t="s">
        <v>1427</v>
      </c>
      <c r="E14761" t="s">
        <v>561</v>
      </c>
      <c r="F14761" t="s">
        <v>1068</v>
      </c>
      <c r="G14761" t="s">
        <v>1089</v>
      </c>
      <c r="H14761">
        <v>1.25635396511712E-4</v>
      </c>
      <c r="I14761" t="s">
        <v>1090</v>
      </c>
      <c r="J14761">
        <v>9.2100000000000009</v>
      </c>
    </row>
    <row r="14762" spans="1:10" hidden="1">
      <c r="A14762" t="s">
        <v>9130</v>
      </c>
      <c r="B14762" t="s">
        <v>9131</v>
      </c>
      <c r="C14762" t="s">
        <v>6839</v>
      </c>
      <c r="D14762" t="s">
        <v>1427</v>
      </c>
      <c r="E14762" t="s">
        <v>555</v>
      </c>
      <c r="F14762" t="s">
        <v>1068</v>
      </c>
      <c r="G14762" t="s">
        <v>1069</v>
      </c>
      <c r="H14762">
        <v>4.5368089667086997E-2</v>
      </c>
      <c r="I14762" t="s">
        <v>1070</v>
      </c>
      <c r="J14762">
        <v>8.1</v>
      </c>
    </row>
    <row r="14763" spans="1:10" hidden="1">
      <c r="A14763" t="s">
        <v>9130</v>
      </c>
      <c r="B14763" t="s">
        <v>9131</v>
      </c>
      <c r="C14763" t="s">
        <v>6839</v>
      </c>
      <c r="D14763" t="s">
        <v>1427</v>
      </c>
      <c r="E14763" t="s">
        <v>555</v>
      </c>
      <c r="F14763" t="s">
        <v>1068</v>
      </c>
      <c r="G14763" t="s">
        <v>1071</v>
      </c>
      <c r="H14763" s="171" t="s">
        <v>9132</v>
      </c>
      <c r="I14763" t="s">
        <v>1072</v>
      </c>
      <c r="J14763">
        <v>8.1</v>
      </c>
    </row>
    <row r="14764" spans="1:10" hidden="1">
      <c r="A14764" t="s">
        <v>9130</v>
      </c>
      <c r="B14764" t="s">
        <v>9131</v>
      </c>
      <c r="C14764" t="s">
        <v>6839</v>
      </c>
      <c r="D14764" t="s">
        <v>1427</v>
      </c>
      <c r="E14764" t="s">
        <v>555</v>
      </c>
      <c r="F14764" t="s">
        <v>1068</v>
      </c>
      <c r="G14764" t="s">
        <v>1073</v>
      </c>
      <c r="H14764" s="171" t="s">
        <v>9133</v>
      </c>
      <c r="I14764" t="s">
        <v>1074</v>
      </c>
      <c r="J14764">
        <v>8.1</v>
      </c>
    </row>
    <row r="14765" spans="1:10" hidden="1">
      <c r="A14765" t="s">
        <v>9130</v>
      </c>
      <c r="B14765" t="s">
        <v>9131</v>
      </c>
      <c r="C14765" t="s">
        <v>6839</v>
      </c>
      <c r="D14765" t="s">
        <v>1427</v>
      </c>
      <c r="E14765" t="s">
        <v>555</v>
      </c>
      <c r="F14765" t="s">
        <v>1068</v>
      </c>
      <c r="G14765" t="s">
        <v>1075</v>
      </c>
      <c r="H14765" s="171" t="s">
        <v>9134</v>
      </c>
      <c r="I14765" t="s">
        <v>1077</v>
      </c>
      <c r="J14765">
        <v>8.1</v>
      </c>
    </row>
    <row r="14766" spans="1:10" hidden="1">
      <c r="A14766" t="s">
        <v>9130</v>
      </c>
      <c r="B14766" t="s">
        <v>9131</v>
      </c>
      <c r="C14766" t="s">
        <v>6839</v>
      </c>
      <c r="D14766" t="s">
        <v>1427</v>
      </c>
      <c r="E14766" t="s">
        <v>555</v>
      </c>
      <c r="F14766" t="s">
        <v>1068</v>
      </c>
      <c r="G14766" t="s">
        <v>1078</v>
      </c>
      <c r="H14766" s="171" t="s">
        <v>9135</v>
      </c>
      <c r="I14766" t="s">
        <v>1079</v>
      </c>
      <c r="J14766">
        <v>8.1</v>
      </c>
    </row>
    <row r="14767" spans="1:10" hidden="1">
      <c r="A14767" t="s">
        <v>9130</v>
      </c>
      <c r="B14767" t="s">
        <v>9131</v>
      </c>
      <c r="C14767" t="s">
        <v>6839</v>
      </c>
      <c r="D14767" t="s">
        <v>1427</v>
      </c>
      <c r="E14767" t="s">
        <v>555</v>
      </c>
      <c r="F14767" t="s">
        <v>1068</v>
      </c>
      <c r="G14767" t="s">
        <v>1080</v>
      </c>
      <c r="H14767" s="171" t="s">
        <v>9136</v>
      </c>
      <c r="I14767" t="s">
        <v>1082</v>
      </c>
      <c r="J14767">
        <v>8.1</v>
      </c>
    </row>
    <row r="14768" spans="1:10" hidden="1">
      <c r="A14768" t="s">
        <v>9130</v>
      </c>
      <c r="B14768" t="s">
        <v>9131</v>
      </c>
      <c r="C14768" t="s">
        <v>6839</v>
      </c>
      <c r="D14768" t="s">
        <v>1427</v>
      </c>
      <c r="E14768" t="s">
        <v>555</v>
      </c>
      <c r="F14768" t="s">
        <v>1068</v>
      </c>
      <c r="G14768" t="s">
        <v>1083</v>
      </c>
      <c r="H14768" s="171" t="s">
        <v>9137</v>
      </c>
      <c r="I14768" t="s">
        <v>1084</v>
      </c>
      <c r="J14768">
        <v>8.1</v>
      </c>
    </row>
    <row r="14769" spans="1:10" hidden="1">
      <c r="A14769" t="s">
        <v>9130</v>
      </c>
      <c r="B14769" t="s">
        <v>9131</v>
      </c>
      <c r="C14769" t="s">
        <v>6839</v>
      </c>
      <c r="D14769" t="s">
        <v>1427</v>
      </c>
      <c r="E14769" t="s">
        <v>555</v>
      </c>
      <c r="F14769" t="s">
        <v>1068</v>
      </c>
      <c r="G14769" t="s">
        <v>1085</v>
      </c>
      <c r="H14769">
        <v>4.2722096835395298E-4</v>
      </c>
      <c r="I14769" t="s">
        <v>1086</v>
      </c>
      <c r="J14769">
        <v>8.1</v>
      </c>
    </row>
    <row r="14770" spans="1:10" hidden="1">
      <c r="A14770" t="s">
        <v>9130</v>
      </c>
      <c r="B14770" t="s">
        <v>9131</v>
      </c>
      <c r="C14770" t="s">
        <v>6839</v>
      </c>
      <c r="D14770" t="s">
        <v>1427</v>
      </c>
      <c r="E14770" t="s">
        <v>555</v>
      </c>
      <c r="F14770" t="s">
        <v>1068</v>
      </c>
      <c r="G14770" t="s">
        <v>1087</v>
      </c>
      <c r="H14770" s="171" t="s">
        <v>9138</v>
      </c>
      <c r="I14770" t="s">
        <v>1088</v>
      </c>
      <c r="J14770">
        <v>8.1</v>
      </c>
    </row>
    <row r="14771" spans="1:10" hidden="1">
      <c r="A14771" t="s">
        <v>9130</v>
      </c>
      <c r="B14771" t="s">
        <v>9131</v>
      </c>
      <c r="C14771" t="s">
        <v>6839</v>
      </c>
      <c r="D14771" t="s">
        <v>1427</v>
      </c>
      <c r="E14771" t="s">
        <v>555</v>
      </c>
      <c r="F14771" t="s">
        <v>1068</v>
      </c>
      <c r="G14771" t="s">
        <v>1089</v>
      </c>
      <c r="H14771">
        <v>1.2563561378211801E-4</v>
      </c>
      <c r="I14771" t="s">
        <v>1090</v>
      </c>
      <c r="J14771">
        <v>8.1</v>
      </c>
    </row>
    <row r="14772" spans="1:10" hidden="1">
      <c r="A14772" t="s">
        <v>9139</v>
      </c>
      <c r="B14772" t="s">
        <v>9140</v>
      </c>
      <c r="C14772" t="s">
        <v>6839</v>
      </c>
      <c r="D14772" t="s">
        <v>1427</v>
      </c>
      <c r="E14772" t="s">
        <v>558</v>
      </c>
      <c r="F14772" t="s">
        <v>1068</v>
      </c>
      <c r="G14772" t="s">
        <v>1069</v>
      </c>
      <c r="H14772" s="171" t="s">
        <v>9141</v>
      </c>
      <c r="I14772" t="s">
        <v>1070</v>
      </c>
      <c r="J14772">
        <v>8.4600000000000009</v>
      </c>
    </row>
    <row r="14773" spans="1:10" hidden="1">
      <c r="A14773" t="s">
        <v>9139</v>
      </c>
      <c r="B14773" t="s">
        <v>9140</v>
      </c>
      <c r="C14773" t="s">
        <v>6839</v>
      </c>
      <c r="D14773" t="s">
        <v>1427</v>
      </c>
      <c r="E14773" t="s">
        <v>558</v>
      </c>
      <c r="F14773" t="s">
        <v>1068</v>
      </c>
      <c r="G14773" t="s">
        <v>1071</v>
      </c>
      <c r="H14773" s="171" t="s">
        <v>9142</v>
      </c>
      <c r="I14773" t="s">
        <v>1072</v>
      </c>
      <c r="J14773">
        <v>8.4600000000000009</v>
      </c>
    </row>
    <row r="14774" spans="1:10" hidden="1">
      <c r="A14774" t="s">
        <v>9139</v>
      </c>
      <c r="B14774" t="s">
        <v>9140</v>
      </c>
      <c r="C14774" t="s">
        <v>6839</v>
      </c>
      <c r="D14774" t="s">
        <v>1427</v>
      </c>
      <c r="E14774" t="s">
        <v>558</v>
      </c>
      <c r="F14774" t="s">
        <v>1068</v>
      </c>
      <c r="G14774" t="s">
        <v>1073</v>
      </c>
      <c r="H14774" s="171" t="s">
        <v>9143</v>
      </c>
      <c r="I14774" t="s">
        <v>1074</v>
      </c>
      <c r="J14774">
        <v>8.4600000000000009</v>
      </c>
    </row>
    <row r="14775" spans="1:10" hidden="1">
      <c r="A14775" t="s">
        <v>9139</v>
      </c>
      <c r="B14775" t="s">
        <v>9140</v>
      </c>
      <c r="C14775" t="s">
        <v>6839</v>
      </c>
      <c r="D14775" t="s">
        <v>1427</v>
      </c>
      <c r="E14775" t="s">
        <v>558</v>
      </c>
      <c r="F14775" t="s">
        <v>1068</v>
      </c>
      <c r="G14775" t="s">
        <v>1075</v>
      </c>
      <c r="H14775" s="171" t="s">
        <v>9144</v>
      </c>
      <c r="I14775" t="s">
        <v>1077</v>
      </c>
      <c r="J14775">
        <v>8.4600000000000009</v>
      </c>
    </row>
    <row r="14776" spans="1:10" hidden="1">
      <c r="A14776" t="s">
        <v>9139</v>
      </c>
      <c r="B14776" t="s">
        <v>9140</v>
      </c>
      <c r="C14776" t="s">
        <v>6839</v>
      </c>
      <c r="D14776" t="s">
        <v>1427</v>
      </c>
      <c r="E14776" t="s">
        <v>558</v>
      </c>
      <c r="F14776" t="s">
        <v>1068</v>
      </c>
      <c r="G14776" t="s">
        <v>1078</v>
      </c>
      <c r="H14776" s="171" t="s">
        <v>9145</v>
      </c>
      <c r="I14776" t="s">
        <v>1079</v>
      </c>
      <c r="J14776">
        <v>8.4600000000000009</v>
      </c>
    </row>
    <row r="14777" spans="1:10" hidden="1">
      <c r="A14777" t="s">
        <v>9139</v>
      </c>
      <c r="B14777" t="s">
        <v>9140</v>
      </c>
      <c r="C14777" t="s">
        <v>6839</v>
      </c>
      <c r="D14777" t="s">
        <v>1427</v>
      </c>
      <c r="E14777" t="s">
        <v>558</v>
      </c>
      <c r="F14777" t="s">
        <v>1068</v>
      </c>
      <c r="G14777" t="s">
        <v>1080</v>
      </c>
      <c r="H14777" s="171" t="s">
        <v>9146</v>
      </c>
      <c r="I14777" t="s">
        <v>1082</v>
      </c>
      <c r="J14777">
        <v>8.4600000000000009</v>
      </c>
    </row>
    <row r="14778" spans="1:10" hidden="1">
      <c r="A14778" t="s">
        <v>9139</v>
      </c>
      <c r="B14778" t="s">
        <v>9140</v>
      </c>
      <c r="C14778" t="s">
        <v>6839</v>
      </c>
      <c r="D14778" t="s">
        <v>1427</v>
      </c>
      <c r="E14778" t="s">
        <v>558</v>
      </c>
      <c r="F14778" t="s">
        <v>1068</v>
      </c>
      <c r="G14778" t="s">
        <v>1083</v>
      </c>
      <c r="H14778" s="171" t="s">
        <v>9147</v>
      </c>
      <c r="I14778" t="s">
        <v>1084</v>
      </c>
      <c r="J14778">
        <v>8.4600000000000009</v>
      </c>
    </row>
    <row r="14779" spans="1:10" hidden="1">
      <c r="A14779" t="s">
        <v>9139</v>
      </c>
      <c r="B14779" t="s">
        <v>9140</v>
      </c>
      <c r="C14779" t="s">
        <v>6839</v>
      </c>
      <c r="D14779" t="s">
        <v>1427</v>
      </c>
      <c r="E14779" t="s">
        <v>558</v>
      </c>
      <c r="F14779" t="s">
        <v>1068</v>
      </c>
      <c r="G14779" t="s">
        <v>1085</v>
      </c>
      <c r="H14779">
        <v>4.2721982709125101E-4</v>
      </c>
      <c r="I14779" t="s">
        <v>1086</v>
      </c>
      <c r="J14779">
        <v>8.4600000000000009</v>
      </c>
    </row>
    <row r="14780" spans="1:10" hidden="1">
      <c r="A14780" t="s">
        <v>9139</v>
      </c>
      <c r="B14780" t="s">
        <v>9140</v>
      </c>
      <c r="C14780" t="s">
        <v>6839</v>
      </c>
      <c r="D14780" t="s">
        <v>1427</v>
      </c>
      <c r="E14780" t="s">
        <v>558</v>
      </c>
      <c r="F14780" t="s">
        <v>1068</v>
      </c>
      <c r="G14780" t="s">
        <v>1087</v>
      </c>
      <c r="H14780" s="171" t="s">
        <v>9148</v>
      </c>
      <c r="I14780" t="s">
        <v>1088</v>
      </c>
      <c r="J14780">
        <v>8.4600000000000009</v>
      </c>
    </row>
    <row r="14781" spans="1:10" hidden="1">
      <c r="A14781" t="s">
        <v>9139</v>
      </c>
      <c r="B14781" t="s">
        <v>9140</v>
      </c>
      <c r="C14781" t="s">
        <v>6839</v>
      </c>
      <c r="D14781" t="s">
        <v>1427</v>
      </c>
      <c r="E14781" t="s">
        <v>558</v>
      </c>
      <c r="F14781" t="s">
        <v>1068</v>
      </c>
      <c r="G14781" t="s">
        <v>1089</v>
      </c>
      <c r="H14781">
        <v>1.2563537832607199E-4</v>
      </c>
      <c r="I14781" t="s">
        <v>1090</v>
      </c>
      <c r="J14781">
        <v>8.4600000000000009</v>
      </c>
    </row>
    <row r="14782" spans="1:10" hidden="1">
      <c r="A14782" t="s">
        <v>9149</v>
      </c>
      <c r="B14782" t="s">
        <v>9150</v>
      </c>
      <c r="C14782" t="s">
        <v>6839</v>
      </c>
      <c r="D14782" t="s">
        <v>1427</v>
      </c>
      <c r="E14782" t="s">
        <v>553</v>
      </c>
      <c r="F14782" t="s">
        <v>1068</v>
      </c>
      <c r="G14782" t="s">
        <v>1069</v>
      </c>
      <c r="H14782">
        <v>4.5367404427003703E-2</v>
      </c>
      <c r="I14782" t="s">
        <v>1070</v>
      </c>
      <c r="J14782">
        <v>9.33</v>
      </c>
    </row>
    <row r="14783" spans="1:10" hidden="1">
      <c r="A14783" t="s">
        <v>9149</v>
      </c>
      <c r="B14783" t="s">
        <v>9150</v>
      </c>
      <c r="C14783" t="s">
        <v>6839</v>
      </c>
      <c r="D14783" t="s">
        <v>1427</v>
      </c>
      <c r="E14783" t="s">
        <v>553</v>
      </c>
      <c r="F14783" t="s">
        <v>1068</v>
      </c>
      <c r="G14783" t="s">
        <v>1071</v>
      </c>
      <c r="H14783" s="171" t="s">
        <v>9151</v>
      </c>
      <c r="I14783" t="s">
        <v>1072</v>
      </c>
      <c r="J14783">
        <v>9.33</v>
      </c>
    </row>
    <row r="14784" spans="1:10" hidden="1">
      <c r="A14784" t="s">
        <v>9149</v>
      </c>
      <c r="B14784" t="s">
        <v>9150</v>
      </c>
      <c r="C14784" t="s">
        <v>6839</v>
      </c>
      <c r="D14784" t="s">
        <v>1427</v>
      </c>
      <c r="E14784" t="s">
        <v>553</v>
      </c>
      <c r="F14784" t="s">
        <v>1068</v>
      </c>
      <c r="G14784" t="s">
        <v>1073</v>
      </c>
      <c r="H14784" s="171" t="s">
        <v>9152</v>
      </c>
      <c r="I14784" t="s">
        <v>1074</v>
      </c>
      <c r="J14784">
        <v>9.33</v>
      </c>
    </row>
    <row r="14785" spans="1:10" hidden="1">
      <c r="A14785" t="s">
        <v>9149</v>
      </c>
      <c r="B14785" t="s">
        <v>9150</v>
      </c>
      <c r="C14785" t="s">
        <v>6839</v>
      </c>
      <c r="D14785" t="s">
        <v>1427</v>
      </c>
      <c r="E14785" t="s">
        <v>553</v>
      </c>
      <c r="F14785" t="s">
        <v>1068</v>
      </c>
      <c r="G14785" t="s">
        <v>1075</v>
      </c>
      <c r="H14785" s="171" t="s">
        <v>9153</v>
      </c>
      <c r="I14785" t="s">
        <v>1077</v>
      </c>
      <c r="J14785">
        <v>9.33</v>
      </c>
    </row>
    <row r="14786" spans="1:10" hidden="1">
      <c r="A14786" t="s">
        <v>9149</v>
      </c>
      <c r="B14786" t="s">
        <v>9150</v>
      </c>
      <c r="C14786" t="s">
        <v>6839</v>
      </c>
      <c r="D14786" t="s">
        <v>1427</v>
      </c>
      <c r="E14786" t="s">
        <v>553</v>
      </c>
      <c r="F14786" t="s">
        <v>1068</v>
      </c>
      <c r="G14786" t="s">
        <v>1078</v>
      </c>
      <c r="H14786">
        <v>2.6991413418613601E-2</v>
      </c>
      <c r="I14786" t="s">
        <v>1079</v>
      </c>
      <c r="J14786">
        <v>9.33</v>
      </c>
    </row>
    <row r="14787" spans="1:10" hidden="1">
      <c r="A14787" t="s">
        <v>9149</v>
      </c>
      <c r="B14787" t="s">
        <v>9150</v>
      </c>
      <c r="C14787" t="s">
        <v>6839</v>
      </c>
      <c r="D14787" t="s">
        <v>1427</v>
      </c>
      <c r="E14787" t="s">
        <v>553</v>
      </c>
      <c r="F14787" t="s">
        <v>1068</v>
      </c>
      <c r="G14787" t="s">
        <v>1080</v>
      </c>
      <c r="H14787" s="171" t="s">
        <v>9154</v>
      </c>
      <c r="I14787" t="s">
        <v>1082</v>
      </c>
      <c r="J14787">
        <v>9.33</v>
      </c>
    </row>
    <row r="14788" spans="1:10" hidden="1">
      <c r="A14788" t="s">
        <v>9149</v>
      </c>
      <c r="B14788" t="s">
        <v>9150</v>
      </c>
      <c r="C14788" t="s">
        <v>6839</v>
      </c>
      <c r="D14788" t="s">
        <v>1427</v>
      </c>
      <c r="E14788" t="s">
        <v>553</v>
      </c>
      <c r="F14788" t="s">
        <v>1068</v>
      </c>
      <c r="G14788" t="s">
        <v>1083</v>
      </c>
      <c r="H14788" s="171" t="s">
        <v>9155</v>
      </c>
      <c r="I14788" t="s">
        <v>1084</v>
      </c>
      <c r="J14788">
        <v>9.33</v>
      </c>
    </row>
    <row r="14789" spans="1:10" hidden="1">
      <c r="A14789" t="s">
        <v>9149</v>
      </c>
      <c r="B14789" t="s">
        <v>9150</v>
      </c>
      <c r="C14789" t="s">
        <v>6839</v>
      </c>
      <c r="D14789" t="s">
        <v>1427</v>
      </c>
      <c r="E14789" t="s">
        <v>553</v>
      </c>
      <c r="F14789" t="s">
        <v>1068</v>
      </c>
      <c r="G14789" t="s">
        <v>1085</v>
      </c>
      <c r="H14789">
        <v>4.2721979116918101E-4</v>
      </c>
      <c r="I14789" t="s">
        <v>1086</v>
      </c>
      <c r="J14789">
        <v>9.33</v>
      </c>
    </row>
    <row r="14790" spans="1:10" hidden="1">
      <c r="A14790" t="s">
        <v>9149</v>
      </c>
      <c r="B14790" t="s">
        <v>9150</v>
      </c>
      <c r="C14790" t="s">
        <v>6839</v>
      </c>
      <c r="D14790" t="s">
        <v>1427</v>
      </c>
      <c r="E14790" t="s">
        <v>553</v>
      </c>
      <c r="F14790" t="s">
        <v>1068</v>
      </c>
      <c r="G14790" t="s">
        <v>1087</v>
      </c>
      <c r="H14790" s="171" t="s">
        <v>9156</v>
      </c>
      <c r="I14790" t="s">
        <v>1088</v>
      </c>
      <c r="J14790">
        <v>9.33</v>
      </c>
    </row>
    <row r="14791" spans="1:10" hidden="1">
      <c r="A14791" t="s">
        <v>9149</v>
      </c>
      <c r="B14791" t="s">
        <v>9150</v>
      </c>
      <c r="C14791" t="s">
        <v>6839</v>
      </c>
      <c r="D14791" t="s">
        <v>1427</v>
      </c>
      <c r="E14791" t="s">
        <v>553</v>
      </c>
      <c r="F14791" t="s">
        <v>1068</v>
      </c>
      <c r="G14791" t="s">
        <v>1089</v>
      </c>
      <c r="H14791">
        <v>1.2563537093122399E-4</v>
      </c>
      <c r="I14791" t="s">
        <v>1090</v>
      </c>
      <c r="J14791">
        <v>9.33</v>
      </c>
    </row>
    <row r="14792" spans="1:10" hidden="1">
      <c r="A14792" t="s">
        <v>9157</v>
      </c>
      <c r="B14792" t="s">
        <v>9158</v>
      </c>
      <c r="C14792" t="s">
        <v>6839</v>
      </c>
      <c r="D14792" t="s">
        <v>1427</v>
      </c>
      <c r="E14792" t="s">
        <v>556</v>
      </c>
      <c r="F14792" t="s">
        <v>1068</v>
      </c>
      <c r="G14792" t="s">
        <v>1069</v>
      </c>
      <c r="H14792">
        <v>4.5368025259831898E-2</v>
      </c>
      <c r="I14792" t="s">
        <v>1070</v>
      </c>
      <c r="J14792">
        <v>9.34</v>
      </c>
    </row>
    <row r="14793" spans="1:10" hidden="1">
      <c r="A14793" t="s">
        <v>9157</v>
      </c>
      <c r="B14793" t="s">
        <v>9158</v>
      </c>
      <c r="C14793" t="s">
        <v>6839</v>
      </c>
      <c r="D14793" t="s">
        <v>1427</v>
      </c>
      <c r="E14793" t="s">
        <v>556</v>
      </c>
      <c r="F14793" t="s">
        <v>1068</v>
      </c>
      <c r="G14793" t="s">
        <v>1071</v>
      </c>
      <c r="H14793" s="171" t="s">
        <v>9159</v>
      </c>
      <c r="I14793" t="s">
        <v>1072</v>
      </c>
      <c r="J14793">
        <v>9.34</v>
      </c>
    </row>
    <row r="14794" spans="1:10" hidden="1">
      <c r="A14794" t="s">
        <v>9157</v>
      </c>
      <c r="B14794" t="s">
        <v>9158</v>
      </c>
      <c r="C14794" t="s">
        <v>6839</v>
      </c>
      <c r="D14794" t="s">
        <v>1427</v>
      </c>
      <c r="E14794" t="s">
        <v>556</v>
      </c>
      <c r="F14794" t="s">
        <v>1068</v>
      </c>
      <c r="G14794" t="s">
        <v>1073</v>
      </c>
      <c r="H14794" s="171" t="s">
        <v>9160</v>
      </c>
      <c r="I14794" t="s">
        <v>1074</v>
      </c>
      <c r="J14794">
        <v>9.34</v>
      </c>
    </row>
    <row r="14795" spans="1:10" hidden="1">
      <c r="A14795" t="s">
        <v>9157</v>
      </c>
      <c r="B14795" t="s">
        <v>9158</v>
      </c>
      <c r="C14795" t="s">
        <v>6839</v>
      </c>
      <c r="D14795" t="s">
        <v>1427</v>
      </c>
      <c r="E14795" t="s">
        <v>556</v>
      </c>
      <c r="F14795" t="s">
        <v>1068</v>
      </c>
      <c r="G14795" t="s">
        <v>1075</v>
      </c>
      <c r="H14795" s="171" t="s">
        <v>9161</v>
      </c>
      <c r="I14795" t="s">
        <v>1077</v>
      </c>
      <c r="J14795">
        <v>9.34</v>
      </c>
    </row>
    <row r="14796" spans="1:10" hidden="1">
      <c r="A14796" t="s">
        <v>9157</v>
      </c>
      <c r="B14796" t="s">
        <v>9158</v>
      </c>
      <c r="C14796" t="s">
        <v>6839</v>
      </c>
      <c r="D14796" t="s">
        <v>1427</v>
      </c>
      <c r="E14796" t="s">
        <v>556</v>
      </c>
      <c r="F14796" t="s">
        <v>1068</v>
      </c>
      <c r="G14796" t="s">
        <v>1078</v>
      </c>
      <c r="H14796" s="171" t="s">
        <v>9162</v>
      </c>
      <c r="I14796" t="s">
        <v>1079</v>
      </c>
      <c r="J14796">
        <v>9.34</v>
      </c>
    </row>
    <row r="14797" spans="1:10" hidden="1">
      <c r="A14797" t="s">
        <v>9157</v>
      </c>
      <c r="B14797" t="s">
        <v>9158</v>
      </c>
      <c r="C14797" t="s">
        <v>6839</v>
      </c>
      <c r="D14797" t="s">
        <v>1427</v>
      </c>
      <c r="E14797" t="s">
        <v>556</v>
      </c>
      <c r="F14797" t="s">
        <v>1068</v>
      </c>
      <c r="G14797" t="s">
        <v>1080</v>
      </c>
      <c r="H14797" s="171" t="s">
        <v>9163</v>
      </c>
      <c r="I14797" t="s">
        <v>1082</v>
      </c>
      <c r="J14797">
        <v>9.34</v>
      </c>
    </row>
    <row r="14798" spans="1:10" hidden="1">
      <c r="A14798" t="s">
        <v>9157</v>
      </c>
      <c r="B14798" t="s">
        <v>9158</v>
      </c>
      <c r="C14798" t="s">
        <v>6839</v>
      </c>
      <c r="D14798" t="s">
        <v>1427</v>
      </c>
      <c r="E14798" t="s">
        <v>556</v>
      </c>
      <c r="F14798" t="s">
        <v>1068</v>
      </c>
      <c r="G14798" t="s">
        <v>1083</v>
      </c>
      <c r="H14798" s="171" t="s">
        <v>9164</v>
      </c>
      <c r="I14798" t="s">
        <v>1084</v>
      </c>
      <c r="J14798">
        <v>9.34</v>
      </c>
    </row>
    <row r="14799" spans="1:10" hidden="1">
      <c r="A14799" t="s">
        <v>9157</v>
      </c>
      <c r="B14799" t="s">
        <v>9158</v>
      </c>
      <c r="C14799" t="s">
        <v>6839</v>
      </c>
      <c r="D14799" t="s">
        <v>1427</v>
      </c>
      <c r="E14799" t="s">
        <v>556</v>
      </c>
      <c r="F14799" t="s">
        <v>1068</v>
      </c>
      <c r="G14799" t="s">
        <v>1085</v>
      </c>
      <c r="H14799">
        <v>4.2722085770771E-4</v>
      </c>
      <c r="I14799" t="s">
        <v>1086</v>
      </c>
      <c r="J14799">
        <v>9.34</v>
      </c>
    </row>
    <row r="14800" spans="1:10" hidden="1">
      <c r="A14800" t="s">
        <v>9157</v>
      </c>
      <c r="B14800" t="s">
        <v>9158</v>
      </c>
      <c r="C14800" t="s">
        <v>6839</v>
      </c>
      <c r="D14800" t="s">
        <v>1427</v>
      </c>
      <c r="E14800" t="s">
        <v>556</v>
      </c>
      <c r="F14800" t="s">
        <v>1068</v>
      </c>
      <c r="G14800" t="s">
        <v>1087</v>
      </c>
      <c r="H14800" s="171" t="s">
        <v>9165</v>
      </c>
      <c r="I14800" t="s">
        <v>1088</v>
      </c>
      <c r="J14800">
        <v>9.34</v>
      </c>
    </row>
    <row r="14801" spans="1:10" hidden="1">
      <c r="A14801" t="s">
        <v>9157</v>
      </c>
      <c r="B14801" t="s">
        <v>9158</v>
      </c>
      <c r="C14801" t="s">
        <v>6839</v>
      </c>
      <c r="D14801" t="s">
        <v>1427</v>
      </c>
      <c r="E14801" t="s">
        <v>556</v>
      </c>
      <c r="F14801" t="s">
        <v>1068</v>
      </c>
      <c r="G14801" t="s">
        <v>1089</v>
      </c>
      <c r="H14801">
        <v>1.25635590956016E-4</v>
      </c>
      <c r="I14801" t="s">
        <v>1090</v>
      </c>
      <c r="J14801">
        <v>9.34</v>
      </c>
    </row>
    <row r="14802" spans="1:10" hidden="1">
      <c r="A14802" t="s">
        <v>9166</v>
      </c>
      <c r="B14802" t="s">
        <v>9167</v>
      </c>
      <c r="C14802" t="s">
        <v>6839</v>
      </c>
      <c r="D14802" t="s">
        <v>1427</v>
      </c>
      <c r="E14802" t="s">
        <v>557</v>
      </c>
      <c r="F14802" t="s">
        <v>1068</v>
      </c>
      <c r="G14802" t="s">
        <v>1069</v>
      </c>
      <c r="H14802">
        <v>4.5367346278835298E-2</v>
      </c>
      <c r="I14802" t="s">
        <v>1070</v>
      </c>
      <c r="J14802">
        <v>7.61</v>
      </c>
    </row>
    <row r="14803" spans="1:10" hidden="1">
      <c r="A14803" t="s">
        <v>9166</v>
      </c>
      <c r="B14803" t="s">
        <v>9167</v>
      </c>
      <c r="C14803" t="s">
        <v>6839</v>
      </c>
      <c r="D14803" t="s">
        <v>1427</v>
      </c>
      <c r="E14803" t="s">
        <v>557</v>
      </c>
      <c r="F14803" t="s">
        <v>1068</v>
      </c>
      <c r="G14803" t="s">
        <v>1071</v>
      </c>
      <c r="H14803" s="171" t="s">
        <v>9168</v>
      </c>
      <c r="I14803" t="s">
        <v>1072</v>
      </c>
      <c r="J14803">
        <v>7.61</v>
      </c>
    </row>
    <row r="14804" spans="1:10" hidden="1">
      <c r="A14804" t="s">
        <v>9166</v>
      </c>
      <c r="B14804" t="s">
        <v>9167</v>
      </c>
      <c r="C14804" t="s">
        <v>6839</v>
      </c>
      <c r="D14804" t="s">
        <v>1427</v>
      </c>
      <c r="E14804" t="s">
        <v>557</v>
      </c>
      <c r="F14804" t="s">
        <v>1068</v>
      </c>
      <c r="G14804" t="s">
        <v>1073</v>
      </c>
      <c r="H14804" s="171" t="s">
        <v>9169</v>
      </c>
      <c r="I14804" t="s">
        <v>1074</v>
      </c>
      <c r="J14804">
        <v>7.61</v>
      </c>
    </row>
    <row r="14805" spans="1:10" hidden="1">
      <c r="A14805" t="s">
        <v>9166</v>
      </c>
      <c r="B14805" t="s">
        <v>9167</v>
      </c>
      <c r="C14805" t="s">
        <v>6839</v>
      </c>
      <c r="D14805" t="s">
        <v>1427</v>
      </c>
      <c r="E14805" t="s">
        <v>557</v>
      </c>
      <c r="F14805" t="s">
        <v>1068</v>
      </c>
      <c r="G14805" t="s">
        <v>1075</v>
      </c>
      <c r="H14805" s="171" t="s">
        <v>9170</v>
      </c>
      <c r="I14805" t="s">
        <v>1077</v>
      </c>
      <c r="J14805">
        <v>7.61</v>
      </c>
    </row>
    <row r="14806" spans="1:10" hidden="1">
      <c r="A14806" t="s">
        <v>9166</v>
      </c>
      <c r="B14806" t="s">
        <v>9167</v>
      </c>
      <c r="C14806" t="s">
        <v>6839</v>
      </c>
      <c r="D14806" t="s">
        <v>1427</v>
      </c>
      <c r="E14806" t="s">
        <v>557</v>
      </c>
      <c r="F14806" t="s">
        <v>1068</v>
      </c>
      <c r="G14806" t="s">
        <v>1078</v>
      </c>
      <c r="H14806">
        <v>2.6991731752864699E-2</v>
      </c>
      <c r="I14806" t="s">
        <v>1079</v>
      </c>
      <c r="J14806">
        <v>7.61</v>
      </c>
    </row>
    <row r="14807" spans="1:10" hidden="1">
      <c r="A14807" t="s">
        <v>9166</v>
      </c>
      <c r="B14807" t="s">
        <v>9167</v>
      </c>
      <c r="C14807" t="s">
        <v>6839</v>
      </c>
      <c r="D14807" t="s">
        <v>1427</v>
      </c>
      <c r="E14807" t="s">
        <v>557</v>
      </c>
      <c r="F14807" t="s">
        <v>1068</v>
      </c>
      <c r="G14807" t="s">
        <v>1080</v>
      </c>
      <c r="H14807" s="171" t="s">
        <v>9171</v>
      </c>
      <c r="I14807" t="s">
        <v>1082</v>
      </c>
      <c r="J14807">
        <v>7.61</v>
      </c>
    </row>
    <row r="14808" spans="1:10" hidden="1">
      <c r="A14808" t="s">
        <v>9166</v>
      </c>
      <c r="B14808" t="s">
        <v>9167</v>
      </c>
      <c r="C14808" t="s">
        <v>6839</v>
      </c>
      <c r="D14808" t="s">
        <v>1427</v>
      </c>
      <c r="E14808" t="s">
        <v>557</v>
      </c>
      <c r="F14808" t="s">
        <v>1068</v>
      </c>
      <c r="G14808" t="s">
        <v>1083</v>
      </c>
      <c r="H14808" s="171" t="s">
        <v>9172</v>
      </c>
      <c r="I14808" t="s">
        <v>1084</v>
      </c>
      <c r="J14808">
        <v>7.61</v>
      </c>
    </row>
    <row r="14809" spans="1:10" hidden="1">
      <c r="A14809" t="s">
        <v>9166</v>
      </c>
      <c r="B14809" t="s">
        <v>9167</v>
      </c>
      <c r="C14809" t="s">
        <v>6839</v>
      </c>
      <c r="D14809" t="s">
        <v>1427</v>
      </c>
      <c r="E14809" t="s">
        <v>557</v>
      </c>
      <c r="F14809" t="s">
        <v>1068</v>
      </c>
      <c r="G14809" t="s">
        <v>1085</v>
      </c>
      <c r="H14809">
        <v>4.2722019119846301E-4</v>
      </c>
      <c r="I14809" t="s">
        <v>1086</v>
      </c>
      <c r="J14809">
        <v>7.61</v>
      </c>
    </row>
    <row r="14810" spans="1:10" hidden="1">
      <c r="A14810" t="s">
        <v>9166</v>
      </c>
      <c r="B14810" t="s">
        <v>9167</v>
      </c>
      <c r="C14810" t="s">
        <v>6839</v>
      </c>
      <c r="D14810" t="s">
        <v>1427</v>
      </c>
      <c r="E14810" t="s">
        <v>557</v>
      </c>
      <c r="F14810" t="s">
        <v>1068</v>
      </c>
      <c r="G14810" t="s">
        <v>1087</v>
      </c>
      <c r="H14810" s="171" t="s">
        <v>9173</v>
      </c>
      <c r="I14810" t="s">
        <v>1088</v>
      </c>
      <c r="J14810">
        <v>7.61</v>
      </c>
    </row>
    <row r="14811" spans="1:10" hidden="1">
      <c r="A14811" t="s">
        <v>9166</v>
      </c>
      <c r="B14811" t="s">
        <v>9167</v>
      </c>
      <c r="C14811" t="s">
        <v>6839</v>
      </c>
      <c r="D14811" t="s">
        <v>1427</v>
      </c>
      <c r="E14811" t="s">
        <v>557</v>
      </c>
      <c r="F14811" t="s">
        <v>1068</v>
      </c>
      <c r="G14811" t="s">
        <v>1089</v>
      </c>
      <c r="H14811">
        <v>1.25635453440671E-4</v>
      </c>
      <c r="I14811" t="s">
        <v>1090</v>
      </c>
      <c r="J14811">
        <v>7.61</v>
      </c>
    </row>
    <row r="14812" spans="1:10" hidden="1">
      <c r="A14812" t="s">
        <v>9174</v>
      </c>
      <c r="B14812" t="s">
        <v>9175</v>
      </c>
      <c r="C14812" t="s">
        <v>6839</v>
      </c>
      <c r="D14812" t="s">
        <v>1427</v>
      </c>
      <c r="E14812" t="s">
        <v>559</v>
      </c>
      <c r="F14812" t="s">
        <v>1068</v>
      </c>
      <c r="G14812" t="s">
        <v>1069</v>
      </c>
      <c r="H14812" s="171" t="s">
        <v>9176</v>
      </c>
      <c r="I14812" t="s">
        <v>1070</v>
      </c>
      <c r="J14812">
        <v>15.89</v>
      </c>
    </row>
    <row r="14813" spans="1:10" hidden="1">
      <c r="A14813" t="s">
        <v>9174</v>
      </c>
      <c r="B14813" t="s">
        <v>9175</v>
      </c>
      <c r="C14813" t="s">
        <v>6839</v>
      </c>
      <c r="D14813" t="s">
        <v>1427</v>
      </c>
      <c r="E14813" t="s">
        <v>559</v>
      </c>
      <c r="F14813" t="s">
        <v>1068</v>
      </c>
      <c r="G14813" t="s">
        <v>1071</v>
      </c>
      <c r="H14813" s="171" t="s">
        <v>9177</v>
      </c>
      <c r="I14813" t="s">
        <v>1072</v>
      </c>
      <c r="J14813">
        <v>15.89</v>
      </c>
    </row>
    <row r="14814" spans="1:10" hidden="1">
      <c r="A14814" t="s">
        <v>9174</v>
      </c>
      <c r="B14814" t="s">
        <v>9175</v>
      </c>
      <c r="C14814" t="s">
        <v>6839</v>
      </c>
      <c r="D14814" t="s">
        <v>1427</v>
      </c>
      <c r="E14814" t="s">
        <v>559</v>
      </c>
      <c r="F14814" t="s">
        <v>1068</v>
      </c>
      <c r="G14814" t="s">
        <v>1073</v>
      </c>
      <c r="H14814" s="171" t="s">
        <v>9178</v>
      </c>
      <c r="I14814" t="s">
        <v>1074</v>
      </c>
      <c r="J14814">
        <v>15.89</v>
      </c>
    </row>
    <row r="14815" spans="1:10" hidden="1">
      <c r="A14815" t="s">
        <v>9174</v>
      </c>
      <c r="B14815" t="s">
        <v>9175</v>
      </c>
      <c r="C14815" t="s">
        <v>6839</v>
      </c>
      <c r="D14815" t="s">
        <v>1427</v>
      </c>
      <c r="E14815" t="s">
        <v>559</v>
      </c>
      <c r="F14815" t="s">
        <v>1068</v>
      </c>
      <c r="G14815" t="s">
        <v>1075</v>
      </c>
      <c r="H14815" s="171" t="s">
        <v>9179</v>
      </c>
      <c r="I14815" t="s">
        <v>1077</v>
      </c>
      <c r="J14815">
        <v>15.89</v>
      </c>
    </row>
    <row r="14816" spans="1:10" hidden="1">
      <c r="A14816" t="s">
        <v>9174</v>
      </c>
      <c r="B14816" t="s">
        <v>9175</v>
      </c>
      <c r="C14816" t="s">
        <v>6839</v>
      </c>
      <c r="D14816" t="s">
        <v>1427</v>
      </c>
      <c r="E14816" t="s">
        <v>559</v>
      </c>
      <c r="F14816" t="s">
        <v>1068</v>
      </c>
      <c r="G14816" t="s">
        <v>1078</v>
      </c>
      <c r="H14816" s="171" t="s">
        <v>9180</v>
      </c>
      <c r="I14816" t="s">
        <v>1079</v>
      </c>
      <c r="J14816">
        <v>15.89</v>
      </c>
    </row>
    <row r="14817" spans="1:10" hidden="1">
      <c r="A14817" t="s">
        <v>9174</v>
      </c>
      <c r="B14817" t="s">
        <v>9175</v>
      </c>
      <c r="C14817" t="s">
        <v>6839</v>
      </c>
      <c r="D14817" t="s">
        <v>1427</v>
      </c>
      <c r="E14817" t="s">
        <v>559</v>
      </c>
      <c r="F14817" t="s">
        <v>1068</v>
      </c>
      <c r="G14817" t="s">
        <v>1080</v>
      </c>
      <c r="H14817" s="171" t="s">
        <v>9181</v>
      </c>
      <c r="I14817" t="s">
        <v>1082</v>
      </c>
      <c r="J14817">
        <v>15.89</v>
      </c>
    </row>
    <row r="14818" spans="1:10" hidden="1">
      <c r="A14818" t="s">
        <v>9174</v>
      </c>
      <c r="B14818" t="s">
        <v>9175</v>
      </c>
      <c r="C14818" t="s">
        <v>6839</v>
      </c>
      <c r="D14818" t="s">
        <v>1427</v>
      </c>
      <c r="E14818" t="s">
        <v>559</v>
      </c>
      <c r="F14818" t="s">
        <v>1068</v>
      </c>
      <c r="G14818" t="s">
        <v>1083</v>
      </c>
      <c r="H14818" s="171" t="s">
        <v>9182</v>
      </c>
      <c r="I14818" t="s">
        <v>1084</v>
      </c>
      <c r="J14818">
        <v>15.89</v>
      </c>
    </row>
    <row r="14819" spans="1:10" hidden="1">
      <c r="A14819" t="s">
        <v>9174</v>
      </c>
      <c r="B14819" t="s">
        <v>9175</v>
      </c>
      <c r="C14819" t="s">
        <v>6839</v>
      </c>
      <c r="D14819" t="s">
        <v>1427</v>
      </c>
      <c r="E14819" t="s">
        <v>559</v>
      </c>
      <c r="F14819" t="s">
        <v>1068</v>
      </c>
      <c r="G14819" t="s">
        <v>1085</v>
      </c>
      <c r="H14819">
        <v>4.2722054068757801E-4</v>
      </c>
      <c r="I14819" t="s">
        <v>1086</v>
      </c>
      <c r="J14819">
        <v>15.89</v>
      </c>
    </row>
    <row r="14820" spans="1:10" hidden="1">
      <c r="A14820" t="s">
        <v>9174</v>
      </c>
      <c r="B14820" t="s">
        <v>9175</v>
      </c>
      <c r="C14820" t="s">
        <v>6839</v>
      </c>
      <c r="D14820" t="s">
        <v>1427</v>
      </c>
      <c r="E14820" t="s">
        <v>559</v>
      </c>
      <c r="F14820" t="s">
        <v>1068</v>
      </c>
      <c r="G14820" t="s">
        <v>1087</v>
      </c>
      <c r="H14820" s="171" t="s">
        <v>9183</v>
      </c>
      <c r="I14820" t="s">
        <v>1088</v>
      </c>
      <c r="J14820">
        <v>15.89</v>
      </c>
    </row>
    <row r="14821" spans="1:10" hidden="1">
      <c r="A14821" t="s">
        <v>9174</v>
      </c>
      <c r="B14821" t="s">
        <v>9175</v>
      </c>
      <c r="C14821" t="s">
        <v>6839</v>
      </c>
      <c r="D14821" t="s">
        <v>1427</v>
      </c>
      <c r="E14821" t="s">
        <v>559</v>
      </c>
      <c r="F14821" t="s">
        <v>1068</v>
      </c>
      <c r="G14821" t="s">
        <v>1089</v>
      </c>
      <c r="H14821">
        <v>1.2563552555539001E-4</v>
      </c>
      <c r="I14821" t="s">
        <v>1090</v>
      </c>
      <c r="J14821">
        <v>15.89</v>
      </c>
    </row>
    <row r="14822" spans="1:10" hidden="1">
      <c r="A14822" t="s">
        <v>9184</v>
      </c>
      <c r="B14822" t="s">
        <v>9185</v>
      </c>
      <c r="C14822" t="s">
        <v>6839</v>
      </c>
      <c r="D14822" t="s">
        <v>1427</v>
      </c>
      <c r="E14822" t="s">
        <v>560</v>
      </c>
      <c r="F14822" t="s">
        <v>1068</v>
      </c>
      <c r="G14822" t="s">
        <v>1069</v>
      </c>
      <c r="H14822">
        <v>4.5367459317273498E-2</v>
      </c>
      <c r="I14822" t="s">
        <v>1070</v>
      </c>
      <c r="J14822">
        <v>26.44</v>
      </c>
    </row>
    <row r="14823" spans="1:10" hidden="1">
      <c r="A14823" t="s">
        <v>9184</v>
      </c>
      <c r="B14823" t="s">
        <v>9185</v>
      </c>
      <c r="C14823" t="s">
        <v>6839</v>
      </c>
      <c r="D14823" t="s">
        <v>1427</v>
      </c>
      <c r="E14823" t="s">
        <v>560</v>
      </c>
      <c r="F14823" t="s">
        <v>1068</v>
      </c>
      <c r="G14823" t="s">
        <v>1071</v>
      </c>
      <c r="H14823" s="171" t="s">
        <v>9186</v>
      </c>
      <c r="I14823" t="s">
        <v>1072</v>
      </c>
      <c r="J14823">
        <v>26.44</v>
      </c>
    </row>
    <row r="14824" spans="1:10" hidden="1">
      <c r="A14824" t="s">
        <v>9184</v>
      </c>
      <c r="B14824" t="s">
        <v>9185</v>
      </c>
      <c r="C14824" t="s">
        <v>6839</v>
      </c>
      <c r="D14824" t="s">
        <v>1427</v>
      </c>
      <c r="E14824" t="s">
        <v>560</v>
      </c>
      <c r="F14824" t="s">
        <v>1068</v>
      </c>
      <c r="G14824" t="s">
        <v>1073</v>
      </c>
      <c r="H14824" s="171" t="s">
        <v>9187</v>
      </c>
      <c r="I14824" t="s">
        <v>1074</v>
      </c>
      <c r="J14824">
        <v>26.44</v>
      </c>
    </row>
    <row r="14825" spans="1:10" hidden="1">
      <c r="A14825" t="s">
        <v>9184</v>
      </c>
      <c r="B14825" t="s">
        <v>9185</v>
      </c>
      <c r="C14825" t="s">
        <v>6839</v>
      </c>
      <c r="D14825" t="s">
        <v>1427</v>
      </c>
      <c r="E14825" t="s">
        <v>560</v>
      </c>
      <c r="F14825" t="s">
        <v>1068</v>
      </c>
      <c r="G14825" t="s">
        <v>1075</v>
      </c>
      <c r="H14825">
        <v>1.14315297372783E-2</v>
      </c>
      <c r="I14825" t="s">
        <v>1077</v>
      </c>
      <c r="J14825">
        <v>26.44</v>
      </c>
    </row>
    <row r="14826" spans="1:10" hidden="1">
      <c r="A14826" t="s">
        <v>9184</v>
      </c>
      <c r="B14826" t="s">
        <v>9185</v>
      </c>
      <c r="C14826" t="s">
        <v>6839</v>
      </c>
      <c r="D14826" t="s">
        <v>1427</v>
      </c>
      <c r="E14826" t="s">
        <v>560</v>
      </c>
      <c r="F14826" t="s">
        <v>1068</v>
      </c>
      <c r="G14826" t="s">
        <v>1078</v>
      </c>
      <c r="H14826">
        <v>2.6991886274655E-2</v>
      </c>
      <c r="I14826" t="s">
        <v>1079</v>
      </c>
      <c r="J14826">
        <v>26.44</v>
      </c>
    </row>
    <row r="14827" spans="1:10" hidden="1">
      <c r="A14827" t="s">
        <v>9184</v>
      </c>
      <c r="B14827" t="s">
        <v>9185</v>
      </c>
      <c r="C14827" t="s">
        <v>6839</v>
      </c>
      <c r="D14827" t="s">
        <v>1427</v>
      </c>
      <c r="E14827" t="s">
        <v>560</v>
      </c>
      <c r="F14827" t="s">
        <v>1068</v>
      </c>
      <c r="G14827" t="s">
        <v>1080</v>
      </c>
      <c r="H14827" s="171" t="s">
        <v>9188</v>
      </c>
      <c r="I14827" t="s">
        <v>1082</v>
      </c>
      <c r="J14827">
        <v>26.44</v>
      </c>
    </row>
    <row r="14828" spans="1:10" hidden="1">
      <c r="A14828" t="s">
        <v>9184</v>
      </c>
      <c r="B14828" t="s">
        <v>9185</v>
      </c>
      <c r="C14828" t="s">
        <v>6839</v>
      </c>
      <c r="D14828" t="s">
        <v>1427</v>
      </c>
      <c r="E14828" t="s">
        <v>560</v>
      </c>
      <c r="F14828" t="s">
        <v>1068</v>
      </c>
      <c r="G14828" t="s">
        <v>1083</v>
      </c>
      <c r="H14828" s="171" t="s">
        <v>9189</v>
      </c>
      <c r="I14828" t="s">
        <v>1084</v>
      </c>
      <c r="J14828">
        <v>26.44</v>
      </c>
    </row>
    <row r="14829" spans="1:10" hidden="1">
      <c r="A14829" t="s">
        <v>9184</v>
      </c>
      <c r="B14829" t="s">
        <v>9185</v>
      </c>
      <c r="C14829" t="s">
        <v>6839</v>
      </c>
      <c r="D14829" t="s">
        <v>1427</v>
      </c>
      <c r="E14829" t="s">
        <v>560</v>
      </c>
      <c r="F14829" t="s">
        <v>1068</v>
      </c>
      <c r="G14829" t="s">
        <v>1085</v>
      </c>
      <c r="H14829">
        <v>4.2722038538897298E-4</v>
      </c>
      <c r="I14829" t="s">
        <v>1086</v>
      </c>
      <c r="J14829">
        <v>26.44</v>
      </c>
    </row>
    <row r="14830" spans="1:10" hidden="1">
      <c r="A14830" t="s">
        <v>9184</v>
      </c>
      <c r="B14830" t="s">
        <v>9185</v>
      </c>
      <c r="C14830" t="s">
        <v>6839</v>
      </c>
      <c r="D14830" t="s">
        <v>1427</v>
      </c>
      <c r="E14830" t="s">
        <v>560</v>
      </c>
      <c r="F14830" t="s">
        <v>1068</v>
      </c>
      <c r="G14830" t="s">
        <v>1087</v>
      </c>
      <c r="H14830" s="171" t="s">
        <v>9190</v>
      </c>
      <c r="I14830" t="s">
        <v>1088</v>
      </c>
      <c r="J14830">
        <v>26.44</v>
      </c>
    </row>
    <row r="14831" spans="1:10" hidden="1">
      <c r="A14831" t="s">
        <v>9184</v>
      </c>
      <c r="B14831" t="s">
        <v>9185</v>
      </c>
      <c r="C14831" t="s">
        <v>6839</v>
      </c>
      <c r="D14831" t="s">
        <v>1427</v>
      </c>
      <c r="E14831" t="s">
        <v>560</v>
      </c>
      <c r="F14831" t="s">
        <v>1068</v>
      </c>
      <c r="G14831" t="s">
        <v>1089</v>
      </c>
      <c r="H14831">
        <v>1.2563549350178899E-4</v>
      </c>
      <c r="I14831" t="s">
        <v>1090</v>
      </c>
      <c r="J14831">
        <v>26.44</v>
      </c>
    </row>
    <row r="14832" spans="1:10" hidden="1">
      <c r="A14832" t="s">
        <v>9191</v>
      </c>
      <c r="B14832" t="s">
        <v>9192</v>
      </c>
      <c r="C14832" t="s">
        <v>6839</v>
      </c>
      <c r="D14832" t="s">
        <v>1427</v>
      </c>
      <c r="E14832" t="s">
        <v>1116</v>
      </c>
      <c r="F14832" t="s">
        <v>1068</v>
      </c>
      <c r="G14832" t="s">
        <v>1069</v>
      </c>
      <c r="H14832">
        <v>4.5367116234254698E-2</v>
      </c>
      <c r="I14832" t="s">
        <v>1070</v>
      </c>
      <c r="J14832">
        <v>12.73</v>
      </c>
    </row>
    <row r="14833" spans="1:10" hidden="1">
      <c r="A14833" t="s">
        <v>9191</v>
      </c>
      <c r="B14833" t="s">
        <v>9192</v>
      </c>
      <c r="C14833" t="s">
        <v>6839</v>
      </c>
      <c r="D14833" t="s">
        <v>1427</v>
      </c>
      <c r="E14833" t="s">
        <v>1116</v>
      </c>
      <c r="F14833" t="s">
        <v>1068</v>
      </c>
      <c r="G14833" t="s">
        <v>1071</v>
      </c>
      <c r="H14833" s="171" t="s">
        <v>9193</v>
      </c>
      <c r="I14833" t="s">
        <v>1072</v>
      </c>
      <c r="J14833">
        <v>12.73</v>
      </c>
    </row>
    <row r="14834" spans="1:10" hidden="1">
      <c r="A14834" t="s">
        <v>9191</v>
      </c>
      <c r="B14834" t="s">
        <v>9192</v>
      </c>
      <c r="C14834" t="s">
        <v>6839</v>
      </c>
      <c r="D14834" t="s">
        <v>1427</v>
      </c>
      <c r="E14834" t="s">
        <v>1116</v>
      </c>
      <c r="F14834" t="s">
        <v>1068</v>
      </c>
      <c r="G14834" t="s">
        <v>1073</v>
      </c>
      <c r="H14834" s="171" t="s">
        <v>9194</v>
      </c>
      <c r="I14834" t="s">
        <v>1074</v>
      </c>
      <c r="J14834">
        <v>12.73</v>
      </c>
    </row>
    <row r="14835" spans="1:10" hidden="1">
      <c r="A14835" t="s">
        <v>9191</v>
      </c>
      <c r="B14835" t="s">
        <v>9192</v>
      </c>
      <c r="C14835" t="s">
        <v>6839</v>
      </c>
      <c r="D14835" t="s">
        <v>1427</v>
      </c>
      <c r="E14835" t="s">
        <v>1116</v>
      </c>
      <c r="F14835" t="s">
        <v>1068</v>
      </c>
      <c r="G14835" t="s">
        <v>1075</v>
      </c>
      <c r="H14835">
        <v>1.14315188920579E-2</v>
      </c>
      <c r="I14835" t="s">
        <v>1077</v>
      </c>
      <c r="J14835">
        <v>12.73</v>
      </c>
    </row>
    <row r="14836" spans="1:10" hidden="1">
      <c r="A14836" t="s">
        <v>9191</v>
      </c>
      <c r="B14836" t="s">
        <v>9192</v>
      </c>
      <c r="C14836" t="s">
        <v>6839</v>
      </c>
      <c r="D14836" t="s">
        <v>1427</v>
      </c>
      <c r="E14836" t="s">
        <v>1116</v>
      </c>
      <c r="F14836" t="s">
        <v>1068</v>
      </c>
      <c r="G14836" t="s">
        <v>1078</v>
      </c>
      <c r="H14836" s="171" t="s">
        <v>9195</v>
      </c>
      <c r="I14836" t="s">
        <v>1079</v>
      </c>
      <c r="J14836">
        <v>12.73</v>
      </c>
    </row>
    <row r="14837" spans="1:10" hidden="1">
      <c r="A14837" t="s">
        <v>9191</v>
      </c>
      <c r="B14837" t="s">
        <v>9192</v>
      </c>
      <c r="C14837" t="s">
        <v>6839</v>
      </c>
      <c r="D14837" t="s">
        <v>1427</v>
      </c>
      <c r="E14837" t="s">
        <v>1116</v>
      </c>
      <c r="F14837" t="s">
        <v>1068</v>
      </c>
      <c r="G14837" t="s">
        <v>1080</v>
      </c>
      <c r="H14837" s="171" t="s">
        <v>9196</v>
      </c>
      <c r="I14837" t="s">
        <v>1082</v>
      </c>
      <c r="J14837">
        <v>12.73</v>
      </c>
    </row>
    <row r="14838" spans="1:10" hidden="1">
      <c r="A14838" t="s">
        <v>9191</v>
      </c>
      <c r="B14838" t="s">
        <v>9192</v>
      </c>
      <c r="C14838" t="s">
        <v>6839</v>
      </c>
      <c r="D14838" t="s">
        <v>1427</v>
      </c>
      <c r="E14838" t="s">
        <v>1116</v>
      </c>
      <c r="F14838" t="s">
        <v>1068</v>
      </c>
      <c r="G14838" t="s">
        <v>1083</v>
      </c>
      <c r="H14838" s="171" t="s">
        <v>9197</v>
      </c>
      <c r="I14838" t="s">
        <v>1084</v>
      </c>
      <c r="J14838">
        <v>12.73</v>
      </c>
    </row>
    <row r="14839" spans="1:10" hidden="1">
      <c r="A14839" t="s">
        <v>9191</v>
      </c>
      <c r="B14839" t="s">
        <v>9192</v>
      </c>
      <c r="C14839" t="s">
        <v>6839</v>
      </c>
      <c r="D14839" t="s">
        <v>1427</v>
      </c>
      <c r="E14839" t="s">
        <v>1116</v>
      </c>
      <c r="F14839" t="s">
        <v>1068</v>
      </c>
      <c r="G14839" t="s">
        <v>1085</v>
      </c>
      <c r="H14839">
        <v>4.2721979600124002E-4</v>
      </c>
      <c r="I14839" t="s">
        <v>1086</v>
      </c>
      <c r="J14839">
        <v>12.73</v>
      </c>
    </row>
    <row r="14840" spans="1:10" hidden="1">
      <c r="A14840" t="s">
        <v>9191</v>
      </c>
      <c r="B14840" t="s">
        <v>9192</v>
      </c>
      <c r="C14840" t="s">
        <v>6839</v>
      </c>
      <c r="D14840" t="s">
        <v>1427</v>
      </c>
      <c r="E14840" t="s">
        <v>1116</v>
      </c>
      <c r="F14840" t="s">
        <v>1068</v>
      </c>
      <c r="G14840" t="s">
        <v>1087</v>
      </c>
      <c r="H14840" s="171" t="s">
        <v>9198</v>
      </c>
      <c r="I14840" t="s">
        <v>1088</v>
      </c>
      <c r="J14840">
        <v>12.73</v>
      </c>
    </row>
    <row r="14841" spans="1:10" hidden="1">
      <c r="A14841" t="s">
        <v>9191</v>
      </c>
      <c r="B14841" t="s">
        <v>9192</v>
      </c>
      <c r="C14841" t="s">
        <v>6839</v>
      </c>
      <c r="D14841" t="s">
        <v>1427</v>
      </c>
      <c r="E14841" t="s">
        <v>1116</v>
      </c>
      <c r="F14841" t="s">
        <v>1068</v>
      </c>
      <c r="G14841" t="s">
        <v>1089</v>
      </c>
      <c r="H14841">
        <v>1.2563537191226401E-4</v>
      </c>
      <c r="I14841" t="s">
        <v>1090</v>
      </c>
      <c r="J14841">
        <v>12.73</v>
      </c>
    </row>
    <row r="14842" spans="1:10" hidden="1">
      <c r="A14842" t="s">
        <v>9199</v>
      </c>
      <c r="B14842" t="s">
        <v>9200</v>
      </c>
      <c r="C14842" t="s">
        <v>6839</v>
      </c>
      <c r="D14842" t="s">
        <v>3762</v>
      </c>
      <c r="E14842" t="s">
        <v>561</v>
      </c>
      <c r="F14842" t="s">
        <v>1068</v>
      </c>
      <c r="G14842" t="s">
        <v>1069</v>
      </c>
      <c r="H14842">
        <v>4.8169613372780397E-2</v>
      </c>
      <c r="I14842" t="s">
        <v>1070</v>
      </c>
      <c r="J14842">
        <v>8.2899999999999991</v>
      </c>
    </row>
    <row r="14843" spans="1:10" hidden="1">
      <c r="A14843" t="s">
        <v>9199</v>
      </c>
      <c r="B14843" t="s">
        <v>9200</v>
      </c>
      <c r="C14843" t="s">
        <v>6839</v>
      </c>
      <c r="D14843" t="s">
        <v>3762</v>
      </c>
      <c r="E14843" t="s">
        <v>561</v>
      </c>
      <c r="F14843" t="s">
        <v>1068</v>
      </c>
      <c r="G14843" t="s">
        <v>1071</v>
      </c>
      <c r="H14843" s="171" t="s">
        <v>9201</v>
      </c>
      <c r="I14843" t="s">
        <v>1072</v>
      </c>
      <c r="J14843">
        <v>8.2899999999999991</v>
      </c>
    </row>
    <row r="14844" spans="1:10" hidden="1">
      <c r="A14844" t="s">
        <v>9199</v>
      </c>
      <c r="B14844" t="s">
        <v>9200</v>
      </c>
      <c r="C14844" t="s">
        <v>6839</v>
      </c>
      <c r="D14844" t="s">
        <v>3762</v>
      </c>
      <c r="E14844" t="s">
        <v>561</v>
      </c>
      <c r="F14844" t="s">
        <v>1068</v>
      </c>
      <c r="G14844" t="s">
        <v>1073</v>
      </c>
      <c r="H14844" s="171" t="s">
        <v>9202</v>
      </c>
      <c r="I14844" t="s">
        <v>1074</v>
      </c>
      <c r="J14844">
        <v>8.2899999999999991</v>
      </c>
    </row>
    <row r="14845" spans="1:10" hidden="1">
      <c r="A14845" t="s">
        <v>9199</v>
      </c>
      <c r="B14845" t="s">
        <v>9200</v>
      </c>
      <c r="C14845" t="s">
        <v>6839</v>
      </c>
      <c r="D14845" t="s">
        <v>3762</v>
      </c>
      <c r="E14845" t="s">
        <v>561</v>
      </c>
      <c r="F14845" t="s">
        <v>1068</v>
      </c>
      <c r="G14845" t="s">
        <v>1075</v>
      </c>
      <c r="H14845" s="171" t="s">
        <v>9203</v>
      </c>
      <c r="I14845" t="s">
        <v>1077</v>
      </c>
      <c r="J14845">
        <v>8.2899999999999991</v>
      </c>
    </row>
    <row r="14846" spans="1:10" hidden="1">
      <c r="A14846" t="s">
        <v>9199</v>
      </c>
      <c r="B14846" t="s">
        <v>9200</v>
      </c>
      <c r="C14846" t="s">
        <v>6839</v>
      </c>
      <c r="D14846" t="s">
        <v>3762</v>
      </c>
      <c r="E14846" t="s">
        <v>561</v>
      </c>
      <c r="F14846" t="s">
        <v>1068</v>
      </c>
      <c r="G14846" t="s">
        <v>1078</v>
      </c>
      <c r="H14846" s="171" t="s">
        <v>9204</v>
      </c>
      <c r="I14846" t="s">
        <v>1079</v>
      </c>
      <c r="J14846">
        <v>8.2899999999999991</v>
      </c>
    </row>
    <row r="14847" spans="1:10" hidden="1">
      <c r="A14847" t="s">
        <v>9199</v>
      </c>
      <c r="B14847" t="s">
        <v>9200</v>
      </c>
      <c r="C14847" t="s">
        <v>6839</v>
      </c>
      <c r="D14847" t="s">
        <v>3762</v>
      </c>
      <c r="E14847" t="s">
        <v>561</v>
      </c>
      <c r="F14847" t="s">
        <v>1068</v>
      </c>
      <c r="G14847" t="s">
        <v>1080</v>
      </c>
      <c r="H14847" s="171" t="s">
        <v>9205</v>
      </c>
      <c r="I14847" t="s">
        <v>1082</v>
      </c>
      <c r="J14847">
        <v>8.2899999999999991</v>
      </c>
    </row>
    <row r="14848" spans="1:10" hidden="1">
      <c r="A14848" t="s">
        <v>9199</v>
      </c>
      <c r="B14848" t="s">
        <v>9200</v>
      </c>
      <c r="C14848" t="s">
        <v>6839</v>
      </c>
      <c r="D14848" t="s">
        <v>3762</v>
      </c>
      <c r="E14848" t="s">
        <v>561</v>
      </c>
      <c r="F14848" t="s">
        <v>1068</v>
      </c>
      <c r="G14848" t="s">
        <v>1083</v>
      </c>
      <c r="H14848" s="171" t="s">
        <v>9206</v>
      </c>
      <c r="I14848" t="s">
        <v>1084</v>
      </c>
      <c r="J14848">
        <v>8.2899999999999991</v>
      </c>
    </row>
    <row r="14849" spans="1:10" hidden="1">
      <c r="A14849" t="s">
        <v>9199</v>
      </c>
      <c r="B14849" t="s">
        <v>9200</v>
      </c>
      <c r="C14849" t="s">
        <v>6839</v>
      </c>
      <c r="D14849" t="s">
        <v>3762</v>
      </c>
      <c r="E14849" t="s">
        <v>561</v>
      </c>
      <c r="F14849" t="s">
        <v>1068</v>
      </c>
      <c r="G14849" t="s">
        <v>1085</v>
      </c>
      <c r="H14849">
        <v>7.7304520621318995E-4</v>
      </c>
      <c r="I14849" t="s">
        <v>1086</v>
      </c>
      <c r="J14849">
        <v>8.2899999999999991</v>
      </c>
    </row>
    <row r="14850" spans="1:10" hidden="1">
      <c r="A14850" t="s">
        <v>9199</v>
      </c>
      <c r="B14850" t="s">
        <v>9200</v>
      </c>
      <c r="C14850" t="s">
        <v>6839</v>
      </c>
      <c r="D14850" t="s">
        <v>3762</v>
      </c>
      <c r="E14850" t="s">
        <v>561</v>
      </c>
      <c r="F14850" t="s">
        <v>1068</v>
      </c>
      <c r="G14850" t="s">
        <v>1087</v>
      </c>
      <c r="H14850" s="171" t="s">
        <v>9207</v>
      </c>
      <c r="I14850" t="s">
        <v>1088</v>
      </c>
      <c r="J14850">
        <v>8.2899999999999991</v>
      </c>
    </row>
    <row r="14851" spans="1:10" hidden="1">
      <c r="A14851" t="s">
        <v>9199</v>
      </c>
      <c r="B14851" t="s">
        <v>9200</v>
      </c>
      <c r="C14851" t="s">
        <v>6839</v>
      </c>
      <c r="D14851" t="s">
        <v>3762</v>
      </c>
      <c r="E14851" t="s">
        <v>561</v>
      </c>
      <c r="F14851" t="s">
        <v>1068</v>
      </c>
      <c r="G14851" t="s">
        <v>1089</v>
      </c>
      <c r="H14851">
        <v>2.3664646678012201E-4</v>
      </c>
      <c r="I14851" t="s">
        <v>1090</v>
      </c>
      <c r="J14851">
        <v>8.2899999999999991</v>
      </c>
    </row>
    <row r="14852" spans="1:10" hidden="1">
      <c r="A14852" t="s">
        <v>9208</v>
      </c>
      <c r="B14852" t="s">
        <v>9209</v>
      </c>
      <c r="C14852" t="s">
        <v>6839</v>
      </c>
      <c r="D14852" t="s">
        <v>3762</v>
      </c>
      <c r="E14852" t="s">
        <v>555</v>
      </c>
      <c r="F14852" t="s">
        <v>1068</v>
      </c>
      <c r="G14852" t="s">
        <v>1069</v>
      </c>
      <c r="H14852">
        <v>4.81713855971167E-2</v>
      </c>
      <c r="I14852" t="s">
        <v>1070</v>
      </c>
      <c r="J14852">
        <v>10</v>
      </c>
    </row>
    <row r="14853" spans="1:10" hidden="1">
      <c r="A14853" t="s">
        <v>9208</v>
      </c>
      <c r="B14853" t="s">
        <v>9209</v>
      </c>
      <c r="C14853" t="s">
        <v>6839</v>
      </c>
      <c r="D14853" t="s">
        <v>3762</v>
      </c>
      <c r="E14853" t="s">
        <v>555</v>
      </c>
      <c r="F14853" t="s">
        <v>1068</v>
      </c>
      <c r="G14853" t="s">
        <v>1071</v>
      </c>
      <c r="H14853" s="171" t="s">
        <v>9210</v>
      </c>
      <c r="I14853" t="s">
        <v>1072</v>
      </c>
      <c r="J14853">
        <v>10</v>
      </c>
    </row>
    <row r="14854" spans="1:10" hidden="1">
      <c r="A14854" t="s">
        <v>9208</v>
      </c>
      <c r="B14854" t="s">
        <v>9209</v>
      </c>
      <c r="C14854" t="s">
        <v>6839</v>
      </c>
      <c r="D14854" t="s">
        <v>3762</v>
      </c>
      <c r="E14854" t="s">
        <v>555</v>
      </c>
      <c r="F14854" t="s">
        <v>1068</v>
      </c>
      <c r="G14854" t="s">
        <v>1073</v>
      </c>
      <c r="H14854" s="171" t="s">
        <v>9211</v>
      </c>
      <c r="I14854" t="s">
        <v>1074</v>
      </c>
      <c r="J14854">
        <v>10</v>
      </c>
    </row>
    <row r="14855" spans="1:10" hidden="1">
      <c r="A14855" t="s">
        <v>9208</v>
      </c>
      <c r="B14855" t="s">
        <v>9209</v>
      </c>
      <c r="C14855" t="s">
        <v>6839</v>
      </c>
      <c r="D14855" t="s">
        <v>3762</v>
      </c>
      <c r="E14855" t="s">
        <v>555</v>
      </c>
      <c r="F14855" t="s">
        <v>1068</v>
      </c>
      <c r="G14855" t="s">
        <v>1075</v>
      </c>
      <c r="H14855" s="171" t="s">
        <v>9212</v>
      </c>
      <c r="I14855" t="s">
        <v>1077</v>
      </c>
      <c r="J14855">
        <v>10</v>
      </c>
    </row>
    <row r="14856" spans="1:10" hidden="1">
      <c r="A14856" t="s">
        <v>9208</v>
      </c>
      <c r="B14856" t="s">
        <v>9209</v>
      </c>
      <c r="C14856" t="s">
        <v>6839</v>
      </c>
      <c r="D14856" t="s">
        <v>3762</v>
      </c>
      <c r="E14856" t="s">
        <v>555</v>
      </c>
      <c r="F14856" t="s">
        <v>1068</v>
      </c>
      <c r="G14856" t="s">
        <v>1078</v>
      </c>
      <c r="H14856" s="171" t="s">
        <v>9213</v>
      </c>
      <c r="I14856" t="s">
        <v>1079</v>
      </c>
      <c r="J14856">
        <v>10</v>
      </c>
    </row>
    <row r="14857" spans="1:10" hidden="1">
      <c r="A14857" t="s">
        <v>9208</v>
      </c>
      <c r="B14857" t="s">
        <v>9209</v>
      </c>
      <c r="C14857" t="s">
        <v>6839</v>
      </c>
      <c r="D14857" t="s">
        <v>3762</v>
      </c>
      <c r="E14857" t="s">
        <v>555</v>
      </c>
      <c r="F14857" t="s">
        <v>1068</v>
      </c>
      <c r="G14857" t="s">
        <v>1080</v>
      </c>
      <c r="H14857" s="171" t="s">
        <v>9214</v>
      </c>
      <c r="I14857" t="s">
        <v>1082</v>
      </c>
      <c r="J14857">
        <v>10</v>
      </c>
    </row>
    <row r="14858" spans="1:10" hidden="1">
      <c r="A14858" t="s">
        <v>9208</v>
      </c>
      <c r="B14858" t="s">
        <v>9209</v>
      </c>
      <c r="C14858" t="s">
        <v>6839</v>
      </c>
      <c r="D14858" t="s">
        <v>3762</v>
      </c>
      <c r="E14858" t="s">
        <v>555</v>
      </c>
      <c r="F14858" t="s">
        <v>1068</v>
      </c>
      <c r="G14858" t="s">
        <v>1083</v>
      </c>
      <c r="H14858" s="171" t="s">
        <v>9215</v>
      </c>
      <c r="I14858" t="s">
        <v>1084</v>
      </c>
      <c r="J14858">
        <v>10</v>
      </c>
    </row>
    <row r="14859" spans="1:10" hidden="1">
      <c r="A14859" t="s">
        <v>9208</v>
      </c>
      <c r="B14859" t="s">
        <v>9209</v>
      </c>
      <c r="C14859" t="s">
        <v>6839</v>
      </c>
      <c r="D14859" t="s">
        <v>3762</v>
      </c>
      <c r="E14859" t="s">
        <v>555</v>
      </c>
      <c r="F14859" t="s">
        <v>1068</v>
      </c>
      <c r="G14859" t="s">
        <v>1085</v>
      </c>
      <c r="H14859">
        <v>7.7304728137934096E-4</v>
      </c>
      <c r="I14859" t="s">
        <v>1086</v>
      </c>
      <c r="J14859">
        <v>10</v>
      </c>
    </row>
    <row r="14860" spans="1:10" hidden="1">
      <c r="A14860" t="s">
        <v>9208</v>
      </c>
      <c r="B14860" t="s">
        <v>9209</v>
      </c>
      <c r="C14860" t="s">
        <v>6839</v>
      </c>
      <c r="D14860" t="s">
        <v>3762</v>
      </c>
      <c r="E14860" t="s">
        <v>555</v>
      </c>
      <c r="F14860" t="s">
        <v>1068</v>
      </c>
      <c r="G14860" t="s">
        <v>1087</v>
      </c>
      <c r="H14860" s="171" t="s">
        <v>9216</v>
      </c>
      <c r="I14860" t="s">
        <v>1088</v>
      </c>
      <c r="J14860">
        <v>10</v>
      </c>
    </row>
    <row r="14861" spans="1:10" hidden="1">
      <c r="A14861" t="s">
        <v>9208</v>
      </c>
      <c r="B14861" t="s">
        <v>9209</v>
      </c>
      <c r="C14861" t="s">
        <v>6839</v>
      </c>
      <c r="D14861" t="s">
        <v>3762</v>
      </c>
      <c r="E14861" t="s">
        <v>555</v>
      </c>
      <c r="F14861" t="s">
        <v>1068</v>
      </c>
      <c r="G14861" t="s">
        <v>1089</v>
      </c>
      <c r="H14861">
        <v>2.36646894913446E-4</v>
      </c>
      <c r="I14861" t="s">
        <v>1090</v>
      </c>
      <c r="J14861">
        <v>10</v>
      </c>
    </row>
    <row r="14862" spans="1:10" hidden="1">
      <c r="A14862" t="s">
        <v>9217</v>
      </c>
      <c r="B14862" t="s">
        <v>9218</v>
      </c>
      <c r="C14862" t="s">
        <v>6839</v>
      </c>
      <c r="D14862" t="s">
        <v>3762</v>
      </c>
      <c r="E14862" t="s">
        <v>558</v>
      </c>
      <c r="F14862" t="s">
        <v>1068</v>
      </c>
      <c r="G14862" t="s">
        <v>1069</v>
      </c>
      <c r="H14862">
        <v>4.8169512258708698E-2</v>
      </c>
      <c r="I14862" t="s">
        <v>1070</v>
      </c>
      <c r="J14862">
        <v>7.83</v>
      </c>
    </row>
    <row r="14863" spans="1:10" hidden="1">
      <c r="A14863" t="s">
        <v>9217</v>
      </c>
      <c r="B14863" t="s">
        <v>9218</v>
      </c>
      <c r="C14863" t="s">
        <v>6839</v>
      </c>
      <c r="D14863" t="s">
        <v>3762</v>
      </c>
      <c r="E14863" t="s">
        <v>558</v>
      </c>
      <c r="F14863" t="s">
        <v>1068</v>
      </c>
      <c r="G14863" t="s">
        <v>1071</v>
      </c>
      <c r="H14863" s="171" t="s">
        <v>9219</v>
      </c>
      <c r="I14863" t="s">
        <v>1072</v>
      </c>
      <c r="J14863">
        <v>7.83</v>
      </c>
    </row>
    <row r="14864" spans="1:10" hidden="1">
      <c r="A14864" t="s">
        <v>9217</v>
      </c>
      <c r="B14864" t="s">
        <v>9218</v>
      </c>
      <c r="C14864" t="s">
        <v>6839</v>
      </c>
      <c r="D14864" t="s">
        <v>3762</v>
      </c>
      <c r="E14864" t="s">
        <v>558</v>
      </c>
      <c r="F14864" t="s">
        <v>1068</v>
      </c>
      <c r="G14864" t="s">
        <v>1073</v>
      </c>
      <c r="H14864" s="171" t="s">
        <v>9220</v>
      </c>
      <c r="I14864" t="s">
        <v>1074</v>
      </c>
      <c r="J14864">
        <v>7.83</v>
      </c>
    </row>
    <row r="14865" spans="1:10" hidden="1">
      <c r="A14865" t="s">
        <v>9217</v>
      </c>
      <c r="B14865" t="s">
        <v>9218</v>
      </c>
      <c r="C14865" t="s">
        <v>6839</v>
      </c>
      <c r="D14865" t="s">
        <v>3762</v>
      </c>
      <c r="E14865" t="s">
        <v>558</v>
      </c>
      <c r="F14865" t="s">
        <v>1068</v>
      </c>
      <c r="G14865" t="s">
        <v>1075</v>
      </c>
      <c r="H14865" s="171" t="s">
        <v>9221</v>
      </c>
      <c r="I14865" t="s">
        <v>1077</v>
      </c>
      <c r="J14865">
        <v>7.83</v>
      </c>
    </row>
    <row r="14866" spans="1:10" hidden="1">
      <c r="A14866" t="s">
        <v>9217</v>
      </c>
      <c r="B14866" t="s">
        <v>9218</v>
      </c>
      <c r="C14866" t="s">
        <v>6839</v>
      </c>
      <c r="D14866" t="s">
        <v>3762</v>
      </c>
      <c r="E14866" t="s">
        <v>558</v>
      </c>
      <c r="F14866" t="s">
        <v>1068</v>
      </c>
      <c r="G14866" t="s">
        <v>1078</v>
      </c>
      <c r="H14866" s="171" t="s">
        <v>9222</v>
      </c>
      <c r="I14866" t="s">
        <v>1079</v>
      </c>
      <c r="J14866">
        <v>7.83</v>
      </c>
    </row>
    <row r="14867" spans="1:10" hidden="1">
      <c r="A14867" t="s">
        <v>9217</v>
      </c>
      <c r="B14867" t="s">
        <v>9218</v>
      </c>
      <c r="C14867" t="s">
        <v>6839</v>
      </c>
      <c r="D14867" t="s">
        <v>3762</v>
      </c>
      <c r="E14867" t="s">
        <v>558</v>
      </c>
      <c r="F14867" t="s">
        <v>1068</v>
      </c>
      <c r="G14867" t="s">
        <v>1080</v>
      </c>
      <c r="H14867" s="171" t="s">
        <v>9223</v>
      </c>
      <c r="I14867" t="s">
        <v>1082</v>
      </c>
      <c r="J14867">
        <v>7.83</v>
      </c>
    </row>
    <row r="14868" spans="1:10" hidden="1">
      <c r="A14868" t="s">
        <v>9217</v>
      </c>
      <c r="B14868" t="s">
        <v>9218</v>
      </c>
      <c r="C14868" t="s">
        <v>6839</v>
      </c>
      <c r="D14868" t="s">
        <v>3762</v>
      </c>
      <c r="E14868" t="s">
        <v>558</v>
      </c>
      <c r="F14868" t="s">
        <v>1068</v>
      </c>
      <c r="G14868" t="s">
        <v>1083</v>
      </c>
      <c r="H14868" s="171" t="s">
        <v>9224</v>
      </c>
      <c r="I14868" t="s">
        <v>1084</v>
      </c>
      <c r="J14868">
        <v>7.83</v>
      </c>
    </row>
    <row r="14869" spans="1:10" hidden="1">
      <c r="A14869" t="s">
        <v>9217</v>
      </c>
      <c r="B14869" t="s">
        <v>9218</v>
      </c>
      <c r="C14869" t="s">
        <v>6839</v>
      </c>
      <c r="D14869" t="s">
        <v>3762</v>
      </c>
      <c r="E14869" t="s">
        <v>558</v>
      </c>
      <c r="F14869" t="s">
        <v>1068</v>
      </c>
      <c r="G14869" t="s">
        <v>1085</v>
      </c>
      <c r="H14869">
        <v>7.7304503250772902E-4</v>
      </c>
      <c r="I14869" t="s">
        <v>1086</v>
      </c>
      <c r="J14869">
        <v>7.83</v>
      </c>
    </row>
    <row r="14870" spans="1:10" hidden="1">
      <c r="A14870" t="s">
        <v>9217</v>
      </c>
      <c r="B14870" t="s">
        <v>9218</v>
      </c>
      <c r="C14870" t="s">
        <v>6839</v>
      </c>
      <c r="D14870" t="s">
        <v>3762</v>
      </c>
      <c r="E14870" t="s">
        <v>558</v>
      </c>
      <c r="F14870" t="s">
        <v>1068</v>
      </c>
      <c r="G14870" t="s">
        <v>1087</v>
      </c>
      <c r="H14870" s="171" t="s">
        <v>9225</v>
      </c>
      <c r="I14870" t="s">
        <v>1088</v>
      </c>
      <c r="J14870">
        <v>7.83</v>
      </c>
    </row>
    <row r="14871" spans="1:10" hidden="1">
      <c r="A14871" t="s">
        <v>9217</v>
      </c>
      <c r="B14871" t="s">
        <v>9218</v>
      </c>
      <c r="C14871" t="s">
        <v>6839</v>
      </c>
      <c r="D14871" t="s">
        <v>3762</v>
      </c>
      <c r="E14871" t="s">
        <v>558</v>
      </c>
      <c r="F14871" t="s">
        <v>1068</v>
      </c>
      <c r="G14871" t="s">
        <v>1089</v>
      </c>
      <c r="H14871">
        <v>2.3664643094502901E-4</v>
      </c>
      <c r="I14871" t="s">
        <v>1090</v>
      </c>
      <c r="J14871">
        <v>7.83</v>
      </c>
    </row>
    <row r="14872" spans="1:10" hidden="1">
      <c r="A14872" t="s">
        <v>9226</v>
      </c>
      <c r="B14872" t="s">
        <v>9227</v>
      </c>
      <c r="C14872" t="s">
        <v>6839</v>
      </c>
      <c r="D14872" t="s">
        <v>3762</v>
      </c>
      <c r="E14872" t="s">
        <v>553</v>
      </c>
      <c r="F14872" t="s">
        <v>1068</v>
      </c>
      <c r="G14872" t="s">
        <v>1069</v>
      </c>
      <c r="H14872">
        <v>4.8170035320586703E-2</v>
      </c>
      <c r="I14872" t="s">
        <v>1070</v>
      </c>
      <c r="J14872">
        <v>8.3800000000000008</v>
      </c>
    </row>
    <row r="14873" spans="1:10" hidden="1">
      <c r="A14873" t="s">
        <v>9226</v>
      </c>
      <c r="B14873" t="s">
        <v>9227</v>
      </c>
      <c r="C14873" t="s">
        <v>6839</v>
      </c>
      <c r="D14873" t="s">
        <v>3762</v>
      </c>
      <c r="E14873" t="s">
        <v>553</v>
      </c>
      <c r="F14873" t="s">
        <v>1068</v>
      </c>
      <c r="G14873" t="s">
        <v>1071</v>
      </c>
      <c r="H14873" s="171" t="s">
        <v>9228</v>
      </c>
      <c r="I14873" t="s">
        <v>1072</v>
      </c>
      <c r="J14873">
        <v>8.3800000000000008</v>
      </c>
    </row>
    <row r="14874" spans="1:10" hidden="1">
      <c r="A14874" t="s">
        <v>9226</v>
      </c>
      <c r="B14874" t="s">
        <v>9227</v>
      </c>
      <c r="C14874" t="s">
        <v>6839</v>
      </c>
      <c r="D14874" t="s">
        <v>3762</v>
      </c>
      <c r="E14874" t="s">
        <v>553</v>
      </c>
      <c r="F14874" t="s">
        <v>1068</v>
      </c>
      <c r="G14874" t="s">
        <v>1073</v>
      </c>
      <c r="H14874" s="171" t="s">
        <v>9229</v>
      </c>
      <c r="I14874" t="s">
        <v>1074</v>
      </c>
      <c r="J14874">
        <v>8.3800000000000008</v>
      </c>
    </row>
    <row r="14875" spans="1:10" hidden="1">
      <c r="A14875" t="s">
        <v>9226</v>
      </c>
      <c r="B14875" t="s">
        <v>9227</v>
      </c>
      <c r="C14875" t="s">
        <v>6839</v>
      </c>
      <c r="D14875" t="s">
        <v>3762</v>
      </c>
      <c r="E14875" t="s">
        <v>553</v>
      </c>
      <c r="F14875" t="s">
        <v>1068</v>
      </c>
      <c r="G14875" t="s">
        <v>1075</v>
      </c>
      <c r="H14875" s="171" t="s">
        <v>9230</v>
      </c>
      <c r="I14875" t="s">
        <v>1077</v>
      </c>
      <c r="J14875">
        <v>8.3800000000000008</v>
      </c>
    </row>
    <row r="14876" spans="1:10" hidden="1">
      <c r="A14876" t="s">
        <v>9226</v>
      </c>
      <c r="B14876" t="s">
        <v>9227</v>
      </c>
      <c r="C14876" t="s">
        <v>6839</v>
      </c>
      <c r="D14876" t="s">
        <v>3762</v>
      </c>
      <c r="E14876" t="s">
        <v>553</v>
      </c>
      <c r="F14876" t="s">
        <v>1068</v>
      </c>
      <c r="G14876" t="s">
        <v>1078</v>
      </c>
      <c r="H14876" s="171" t="s">
        <v>9231</v>
      </c>
      <c r="I14876" t="s">
        <v>1079</v>
      </c>
      <c r="J14876">
        <v>8.3800000000000008</v>
      </c>
    </row>
    <row r="14877" spans="1:10" hidden="1">
      <c r="A14877" t="s">
        <v>9226</v>
      </c>
      <c r="B14877" t="s">
        <v>9227</v>
      </c>
      <c r="C14877" t="s">
        <v>6839</v>
      </c>
      <c r="D14877" t="s">
        <v>3762</v>
      </c>
      <c r="E14877" t="s">
        <v>553</v>
      </c>
      <c r="F14877" t="s">
        <v>1068</v>
      </c>
      <c r="G14877" t="s">
        <v>1080</v>
      </c>
      <c r="H14877" s="171" t="s">
        <v>9232</v>
      </c>
      <c r="I14877" t="s">
        <v>1082</v>
      </c>
      <c r="J14877">
        <v>8.3800000000000008</v>
      </c>
    </row>
    <row r="14878" spans="1:10" hidden="1">
      <c r="A14878" t="s">
        <v>9226</v>
      </c>
      <c r="B14878" t="s">
        <v>9227</v>
      </c>
      <c r="C14878" t="s">
        <v>6839</v>
      </c>
      <c r="D14878" t="s">
        <v>3762</v>
      </c>
      <c r="E14878" t="s">
        <v>553</v>
      </c>
      <c r="F14878" t="s">
        <v>1068</v>
      </c>
      <c r="G14878" t="s">
        <v>1083</v>
      </c>
      <c r="H14878" s="171" t="s">
        <v>9233</v>
      </c>
      <c r="I14878" t="s">
        <v>1084</v>
      </c>
      <c r="J14878">
        <v>8.3800000000000008</v>
      </c>
    </row>
    <row r="14879" spans="1:10" hidden="1">
      <c r="A14879" t="s">
        <v>9226</v>
      </c>
      <c r="B14879" t="s">
        <v>9227</v>
      </c>
      <c r="C14879" t="s">
        <v>6839</v>
      </c>
      <c r="D14879" t="s">
        <v>3762</v>
      </c>
      <c r="E14879" t="s">
        <v>553</v>
      </c>
      <c r="F14879" t="s">
        <v>1068</v>
      </c>
      <c r="G14879" t="s">
        <v>1085</v>
      </c>
      <c r="H14879">
        <v>7.7304496171794201E-4</v>
      </c>
      <c r="I14879" t="s">
        <v>1086</v>
      </c>
      <c r="J14879">
        <v>8.3800000000000008</v>
      </c>
    </row>
    <row r="14880" spans="1:10" hidden="1">
      <c r="A14880" t="s">
        <v>9226</v>
      </c>
      <c r="B14880" t="s">
        <v>9227</v>
      </c>
      <c r="C14880" t="s">
        <v>6839</v>
      </c>
      <c r="D14880" t="s">
        <v>3762</v>
      </c>
      <c r="E14880" t="s">
        <v>553</v>
      </c>
      <c r="F14880" t="s">
        <v>1068</v>
      </c>
      <c r="G14880" t="s">
        <v>1087</v>
      </c>
      <c r="H14880" s="171" t="s">
        <v>9234</v>
      </c>
      <c r="I14880" t="s">
        <v>1088</v>
      </c>
      <c r="J14880">
        <v>8.3800000000000008</v>
      </c>
    </row>
    <row r="14881" spans="1:10" hidden="1">
      <c r="A14881" t="s">
        <v>9226</v>
      </c>
      <c r="B14881" t="s">
        <v>9227</v>
      </c>
      <c r="C14881" t="s">
        <v>6839</v>
      </c>
      <c r="D14881" t="s">
        <v>3762</v>
      </c>
      <c r="E14881" t="s">
        <v>553</v>
      </c>
      <c r="F14881" t="s">
        <v>1068</v>
      </c>
      <c r="G14881" t="s">
        <v>1089</v>
      </c>
      <c r="H14881">
        <v>2.3664641637188101E-4</v>
      </c>
      <c r="I14881" t="s">
        <v>1090</v>
      </c>
      <c r="J14881">
        <v>8.3800000000000008</v>
      </c>
    </row>
    <row r="14882" spans="1:10" hidden="1">
      <c r="A14882" t="s">
        <v>9235</v>
      </c>
      <c r="B14882" t="s">
        <v>9236</v>
      </c>
      <c r="C14882" t="s">
        <v>6839</v>
      </c>
      <c r="D14882" t="s">
        <v>3762</v>
      </c>
      <c r="E14882" t="s">
        <v>556</v>
      </c>
      <c r="F14882" t="s">
        <v>1068</v>
      </c>
      <c r="G14882" t="s">
        <v>1069</v>
      </c>
      <c r="H14882">
        <v>4.8171258681584901E-2</v>
      </c>
      <c r="I14882" t="s">
        <v>1070</v>
      </c>
      <c r="J14882">
        <v>7.9</v>
      </c>
    </row>
    <row r="14883" spans="1:10" hidden="1">
      <c r="A14883" t="s">
        <v>9235</v>
      </c>
      <c r="B14883" t="s">
        <v>9236</v>
      </c>
      <c r="C14883" t="s">
        <v>6839</v>
      </c>
      <c r="D14883" t="s">
        <v>3762</v>
      </c>
      <c r="E14883" t="s">
        <v>556</v>
      </c>
      <c r="F14883" t="s">
        <v>1068</v>
      </c>
      <c r="G14883" t="s">
        <v>1071</v>
      </c>
      <c r="H14883" s="171" t="s">
        <v>9237</v>
      </c>
      <c r="I14883" t="s">
        <v>1072</v>
      </c>
      <c r="J14883">
        <v>7.9</v>
      </c>
    </row>
    <row r="14884" spans="1:10" hidden="1">
      <c r="A14884" t="s">
        <v>9235</v>
      </c>
      <c r="B14884" t="s">
        <v>9236</v>
      </c>
      <c r="C14884" t="s">
        <v>6839</v>
      </c>
      <c r="D14884" t="s">
        <v>3762</v>
      </c>
      <c r="E14884" t="s">
        <v>556</v>
      </c>
      <c r="F14884" t="s">
        <v>1068</v>
      </c>
      <c r="G14884" t="s">
        <v>1073</v>
      </c>
      <c r="H14884" s="171" t="s">
        <v>9238</v>
      </c>
      <c r="I14884" t="s">
        <v>1074</v>
      </c>
      <c r="J14884">
        <v>7.9</v>
      </c>
    </row>
    <row r="14885" spans="1:10" hidden="1">
      <c r="A14885" t="s">
        <v>9235</v>
      </c>
      <c r="B14885" t="s">
        <v>9236</v>
      </c>
      <c r="C14885" t="s">
        <v>6839</v>
      </c>
      <c r="D14885" t="s">
        <v>3762</v>
      </c>
      <c r="E14885" t="s">
        <v>556</v>
      </c>
      <c r="F14885" t="s">
        <v>1068</v>
      </c>
      <c r="G14885" t="s">
        <v>1075</v>
      </c>
      <c r="H14885">
        <v>2.14465150634566E-2</v>
      </c>
      <c r="I14885" t="s">
        <v>1077</v>
      </c>
      <c r="J14885">
        <v>7.9</v>
      </c>
    </row>
    <row r="14886" spans="1:10" hidden="1">
      <c r="A14886" t="s">
        <v>9235</v>
      </c>
      <c r="B14886" t="s">
        <v>9236</v>
      </c>
      <c r="C14886" t="s">
        <v>6839</v>
      </c>
      <c r="D14886" t="s">
        <v>3762</v>
      </c>
      <c r="E14886" t="s">
        <v>556</v>
      </c>
      <c r="F14886" t="s">
        <v>1068</v>
      </c>
      <c r="G14886" t="s">
        <v>1078</v>
      </c>
      <c r="H14886" s="171" t="s">
        <v>9239</v>
      </c>
      <c r="I14886" t="s">
        <v>1079</v>
      </c>
      <c r="J14886">
        <v>7.9</v>
      </c>
    </row>
    <row r="14887" spans="1:10" hidden="1">
      <c r="A14887" t="s">
        <v>9235</v>
      </c>
      <c r="B14887" t="s">
        <v>9236</v>
      </c>
      <c r="C14887" t="s">
        <v>6839</v>
      </c>
      <c r="D14887" t="s">
        <v>3762</v>
      </c>
      <c r="E14887" t="s">
        <v>556</v>
      </c>
      <c r="F14887" t="s">
        <v>1068</v>
      </c>
      <c r="G14887" t="s">
        <v>1080</v>
      </c>
      <c r="H14887" s="171" t="s">
        <v>9240</v>
      </c>
      <c r="I14887" t="s">
        <v>1082</v>
      </c>
      <c r="J14887">
        <v>7.9</v>
      </c>
    </row>
    <row r="14888" spans="1:10" hidden="1">
      <c r="A14888" t="s">
        <v>9235</v>
      </c>
      <c r="B14888" t="s">
        <v>9236</v>
      </c>
      <c r="C14888" t="s">
        <v>6839</v>
      </c>
      <c r="D14888" t="s">
        <v>3762</v>
      </c>
      <c r="E14888" t="s">
        <v>556</v>
      </c>
      <c r="F14888" t="s">
        <v>1068</v>
      </c>
      <c r="G14888" t="s">
        <v>1083</v>
      </c>
      <c r="H14888" s="171" t="s">
        <v>9241</v>
      </c>
      <c r="I14888" t="s">
        <v>1084</v>
      </c>
      <c r="J14888">
        <v>7.9</v>
      </c>
    </row>
    <row r="14889" spans="1:10" hidden="1">
      <c r="A14889" t="s">
        <v>9235</v>
      </c>
      <c r="B14889" t="s">
        <v>9236</v>
      </c>
      <c r="C14889" t="s">
        <v>6839</v>
      </c>
      <c r="D14889" t="s">
        <v>3762</v>
      </c>
      <c r="E14889" t="s">
        <v>556</v>
      </c>
      <c r="F14889" t="s">
        <v>1068</v>
      </c>
      <c r="G14889" t="s">
        <v>1085</v>
      </c>
      <c r="H14889">
        <v>7.7304706334915005E-4</v>
      </c>
      <c r="I14889" t="s">
        <v>1086</v>
      </c>
      <c r="J14889">
        <v>7.9</v>
      </c>
    </row>
    <row r="14890" spans="1:10" hidden="1">
      <c r="A14890" t="s">
        <v>9235</v>
      </c>
      <c r="B14890" t="s">
        <v>9236</v>
      </c>
      <c r="C14890" t="s">
        <v>6839</v>
      </c>
      <c r="D14890" t="s">
        <v>3762</v>
      </c>
      <c r="E14890" t="s">
        <v>556</v>
      </c>
      <c r="F14890" t="s">
        <v>1068</v>
      </c>
      <c r="G14890" t="s">
        <v>1087</v>
      </c>
      <c r="H14890" s="171" t="s">
        <v>9242</v>
      </c>
      <c r="I14890" t="s">
        <v>1088</v>
      </c>
      <c r="J14890">
        <v>7.9</v>
      </c>
    </row>
    <row r="14891" spans="1:10" hidden="1">
      <c r="A14891" t="s">
        <v>9235</v>
      </c>
      <c r="B14891" t="s">
        <v>9236</v>
      </c>
      <c r="C14891" t="s">
        <v>6839</v>
      </c>
      <c r="D14891" t="s">
        <v>3762</v>
      </c>
      <c r="E14891" t="s">
        <v>556</v>
      </c>
      <c r="F14891" t="s">
        <v>1068</v>
      </c>
      <c r="G14891" t="s">
        <v>1089</v>
      </c>
      <c r="H14891">
        <v>2.3664684993424801E-4</v>
      </c>
      <c r="I14891" t="s">
        <v>1090</v>
      </c>
      <c r="J14891">
        <v>7.9</v>
      </c>
    </row>
    <row r="14892" spans="1:10" hidden="1">
      <c r="A14892" t="s">
        <v>9243</v>
      </c>
      <c r="B14892" t="s">
        <v>9244</v>
      </c>
      <c r="C14892" t="s">
        <v>6839</v>
      </c>
      <c r="D14892" t="s">
        <v>3762</v>
      </c>
      <c r="E14892" t="s">
        <v>557</v>
      </c>
      <c r="F14892" t="s">
        <v>1068</v>
      </c>
      <c r="G14892" t="s">
        <v>1069</v>
      </c>
      <c r="H14892">
        <v>4.8169929903783403E-2</v>
      </c>
      <c r="I14892" t="s">
        <v>1070</v>
      </c>
      <c r="J14892">
        <v>7.79</v>
      </c>
    </row>
    <row r="14893" spans="1:10" hidden="1">
      <c r="A14893" t="s">
        <v>9243</v>
      </c>
      <c r="B14893" t="s">
        <v>9244</v>
      </c>
      <c r="C14893" t="s">
        <v>6839</v>
      </c>
      <c r="D14893" t="s">
        <v>3762</v>
      </c>
      <c r="E14893" t="s">
        <v>557</v>
      </c>
      <c r="F14893" t="s">
        <v>1068</v>
      </c>
      <c r="G14893" t="s">
        <v>1071</v>
      </c>
      <c r="H14893" s="171" t="s">
        <v>9245</v>
      </c>
      <c r="I14893" t="s">
        <v>1072</v>
      </c>
      <c r="J14893">
        <v>7.79</v>
      </c>
    </row>
    <row r="14894" spans="1:10" hidden="1">
      <c r="A14894" t="s">
        <v>9243</v>
      </c>
      <c r="B14894" t="s">
        <v>9244</v>
      </c>
      <c r="C14894" t="s">
        <v>6839</v>
      </c>
      <c r="D14894" t="s">
        <v>3762</v>
      </c>
      <c r="E14894" t="s">
        <v>557</v>
      </c>
      <c r="F14894" t="s">
        <v>1068</v>
      </c>
      <c r="G14894" t="s">
        <v>1073</v>
      </c>
      <c r="H14894" s="171" t="s">
        <v>9246</v>
      </c>
      <c r="I14894" t="s">
        <v>1074</v>
      </c>
      <c r="J14894">
        <v>7.79</v>
      </c>
    </row>
    <row r="14895" spans="1:10" hidden="1">
      <c r="A14895" t="s">
        <v>9243</v>
      </c>
      <c r="B14895" t="s">
        <v>9244</v>
      </c>
      <c r="C14895" t="s">
        <v>6839</v>
      </c>
      <c r="D14895" t="s">
        <v>3762</v>
      </c>
      <c r="E14895" t="s">
        <v>557</v>
      </c>
      <c r="F14895" t="s">
        <v>1068</v>
      </c>
      <c r="G14895" t="s">
        <v>1075</v>
      </c>
      <c r="H14895" s="171" t="s">
        <v>9247</v>
      </c>
      <c r="I14895" t="s">
        <v>1077</v>
      </c>
      <c r="J14895">
        <v>7.79</v>
      </c>
    </row>
    <row r="14896" spans="1:10" hidden="1">
      <c r="A14896" t="s">
        <v>9243</v>
      </c>
      <c r="B14896" t="s">
        <v>9244</v>
      </c>
      <c r="C14896" t="s">
        <v>6839</v>
      </c>
      <c r="D14896" t="s">
        <v>3762</v>
      </c>
      <c r="E14896" t="s">
        <v>557</v>
      </c>
      <c r="F14896" t="s">
        <v>1068</v>
      </c>
      <c r="G14896" t="s">
        <v>1078</v>
      </c>
      <c r="H14896" s="171" t="s">
        <v>9248</v>
      </c>
      <c r="I14896" t="s">
        <v>1079</v>
      </c>
      <c r="J14896">
        <v>7.79</v>
      </c>
    </row>
    <row r="14897" spans="1:10" hidden="1">
      <c r="A14897" t="s">
        <v>9243</v>
      </c>
      <c r="B14897" t="s">
        <v>9244</v>
      </c>
      <c r="C14897" t="s">
        <v>6839</v>
      </c>
      <c r="D14897" t="s">
        <v>3762</v>
      </c>
      <c r="E14897" t="s">
        <v>557</v>
      </c>
      <c r="F14897" t="s">
        <v>1068</v>
      </c>
      <c r="G14897" t="s">
        <v>1080</v>
      </c>
      <c r="H14897" s="171" t="s">
        <v>9249</v>
      </c>
      <c r="I14897" t="s">
        <v>1082</v>
      </c>
      <c r="J14897">
        <v>7.79</v>
      </c>
    </row>
    <row r="14898" spans="1:10" hidden="1">
      <c r="A14898" t="s">
        <v>9243</v>
      </c>
      <c r="B14898" t="s">
        <v>9244</v>
      </c>
      <c r="C14898" t="s">
        <v>6839</v>
      </c>
      <c r="D14898" t="s">
        <v>3762</v>
      </c>
      <c r="E14898" t="s">
        <v>557</v>
      </c>
      <c r="F14898" t="s">
        <v>1068</v>
      </c>
      <c r="G14898" t="s">
        <v>1083</v>
      </c>
      <c r="H14898" s="171" t="s">
        <v>9250</v>
      </c>
      <c r="I14898" t="s">
        <v>1084</v>
      </c>
      <c r="J14898">
        <v>7.79</v>
      </c>
    </row>
    <row r="14899" spans="1:10" hidden="1">
      <c r="A14899" t="s">
        <v>9243</v>
      </c>
      <c r="B14899" t="s">
        <v>9244</v>
      </c>
      <c r="C14899" t="s">
        <v>6839</v>
      </c>
      <c r="D14899" t="s">
        <v>3762</v>
      </c>
      <c r="E14899" t="s">
        <v>557</v>
      </c>
      <c r="F14899" t="s">
        <v>1068</v>
      </c>
      <c r="G14899" t="s">
        <v>1085</v>
      </c>
      <c r="H14899">
        <v>7.7304574998680496E-4</v>
      </c>
      <c r="I14899" t="s">
        <v>1086</v>
      </c>
      <c r="J14899">
        <v>7.79</v>
      </c>
    </row>
    <row r="14900" spans="1:10" hidden="1">
      <c r="A14900" t="s">
        <v>9243</v>
      </c>
      <c r="B14900" t="s">
        <v>9244</v>
      </c>
      <c r="C14900" t="s">
        <v>6839</v>
      </c>
      <c r="D14900" t="s">
        <v>3762</v>
      </c>
      <c r="E14900" t="s">
        <v>557</v>
      </c>
      <c r="F14900" t="s">
        <v>1068</v>
      </c>
      <c r="G14900" t="s">
        <v>1087</v>
      </c>
      <c r="H14900" s="171" t="s">
        <v>9251</v>
      </c>
      <c r="I14900" t="s">
        <v>1088</v>
      </c>
      <c r="J14900">
        <v>7.79</v>
      </c>
    </row>
    <row r="14901" spans="1:10" hidden="1">
      <c r="A14901" t="s">
        <v>9243</v>
      </c>
      <c r="B14901" t="s">
        <v>9244</v>
      </c>
      <c r="C14901" t="s">
        <v>6839</v>
      </c>
      <c r="D14901" t="s">
        <v>3762</v>
      </c>
      <c r="E14901" t="s">
        <v>557</v>
      </c>
      <c r="F14901" t="s">
        <v>1068</v>
      </c>
      <c r="G14901" t="s">
        <v>1089</v>
      </c>
      <c r="H14901">
        <v>2.3664657895954499E-4</v>
      </c>
      <c r="I14901" t="s">
        <v>1090</v>
      </c>
      <c r="J14901">
        <v>7.79</v>
      </c>
    </row>
    <row r="14902" spans="1:10" hidden="1">
      <c r="A14902" t="s">
        <v>9252</v>
      </c>
      <c r="B14902" t="s">
        <v>9253</v>
      </c>
      <c r="C14902" t="s">
        <v>6839</v>
      </c>
      <c r="D14902" t="s">
        <v>3762</v>
      </c>
      <c r="E14902" t="s">
        <v>559</v>
      </c>
      <c r="F14902" t="s">
        <v>1068</v>
      </c>
      <c r="G14902" t="s">
        <v>1069</v>
      </c>
      <c r="H14902" s="171" t="s">
        <v>9254</v>
      </c>
      <c r="I14902" t="s">
        <v>1070</v>
      </c>
      <c r="J14902">
        <v>9.1</v>
      </c>
    </row>
    <row r="14903" spans="1:10" hidden="1">
      <c r="A14903" t="s">
        <v>9252</v>
      </c>
      <c r="B14903" t="s">
        <v>9253</v>
      </c>
      <c r="C14903" t="s">
        <v>6839</v>
      </c>
      <c r="D14903" t="s">
        <v>3762</v>
      </c>
      <c r="E14903" t="s">
        <v>559</v>
      </c>
      <c r="F14903" t="s">
        <v>1068</v>
      </c>
      <c r="G14903" t="s">
        <v>1071</v>
      </c>
      <c r="H14903" s="171" t="s">
        <v>9255</v>
      </c>
      <c r="I14903" t="s">
        <v>1072</v>
      </c>
      <c r="J14903">
        <v>9.1</v>
      </c>
    </row>
    <row r="14904" spans="1:10" hidden="1">
      <c r="A14904" t="s">
        <v>9252</v>
      </c>
      <c r="B14904" t="s">
        <v>9253</v>
      </c>
      <c r="C14904" t="s">
        <v>6839</v>
      </c>
      <c r="D14904" t="s">
        <v>3762</v>
      </c>
      <c r="E14904" t="s">
        <v>559</v>
      </c>
      <c r="F14904" t="s">
        <v>1068</v>
      </c>
      <c r="G14904" t="s">
        <v>1073</v>
      </c>
      <c r="H14904" s="171" t="s">
        <v>9256</v>
      </c>
      <c r="I14904" t="s">
        <v>1074</v>
      </c>
      <c r="J14904">
        <v>9.1</v>
      </c>
    </row>
    <row r="14905" spans="1:10" hidden="1">
      <c r="A14905" t="s">
        <v>9252</v>
      </c>
      <c r="B14905" t="s">
        <v>9253</v>
      </c>
      <c r="C14905" t="s">
        <v>6839</v>
      </c>
      <c r="D14905" t="s">
        <v>3762</v>
      </c>
      <c r="E14905" t="s">
        <v>559</v>
      </c>
      <c r="F14905" t="s">
        <v>1068</v>
      </c>
      <c r="G14905" t="s">
        <v>1075</v>
      </c>
      <c r="H14905">
        <v>2.1446503568585702E-2</v>
      </c>
      <c r="I14905" t="s">
        <v>1077</v>
      </c>
      <c r="J14905">
        <v>9.1</v>
      </c>
    </row>
    <row r="14906" spans="1:10" hidden="1">
      <c r="A14906" t="s">
        <v>9252</v>
      </c>
      <c r="B14906" t="s">
        <v>9253</v>
      </c>
      <c r="C14906" t="s">
        <v>6839</v>
      </c>
      <c r="D14906" t="s">
        <v>3762</v>
      </c>
      <c r="E14906" t="s">
        <v>559</v>
      </c>
      <c r="F14906" t="s">
        <v>1068</v>
      </c>
      <c r="G14906" t="s">
        <v>1078</v>
      </c>
      <c r="H14906" s="171" t="s">
        <v>9257</v>
      </c>
      <c r="I14906" t="s">
        <v>1079</v>
      </c>
      <c r="J14906">
        <v>9.1</v>
      </c>
    </row>
    <row r="14907" spans="1:10" hidden="1">
      <c r="A14907" t="s">
        <v>9252</v>
      </c>
      <c r="B14907" t="s">
        <v>9253</v>
      </c>
      <c r="C14907" t="s">
        <v>6839</v>
      </c>
      <c r="D14907" t="s">
        <v>3762</v>
      </c>
      <c r="E14907" t="s">
        <v>559</v>
      </c>
      <c r="F14907" t="s">
        <v>1068</v>
      </c>
      <c r="G14907" t="s">
        <v>1080</v>
      </c>
      <c r="H14907" s="171" t="s">
        <v>9258</v>
      </c>
      <c r="I14907" t="s">
        <v>1082</v>
      </c>
      <c r="J14907">
        <v>9.1</v>
      </c>
    </row>
    <row r="14908" spans="1:10" hidden="1">
      <c r="A14908" t="s">
        <v>9252</v>
      </c>
      <c r="B14908" t="s">
        <v>9253</v>
      </c>
      <c r="C14908" t="s">
        <v>6839</v>
      </c>
      <c r="D14908" t="s">
        <v>3762</v>
      </c>
      <c r="E14908" t="s">
        <v>559</v>
      </c>
      <c r="F14908" t="s">
        <v>1068</v>
      </c>
      <c r="G14908" t="s">
        <v>1083</v>
      </c>
      <c r="H14908" s="171" t="s">
        <v>9259</v>
      </c>
      <c r="I14908" t="s">
        <v>1084</v>
      </c>
      <c r="J14908">
        <v>9.1</v>
      </c>
    </row>
    <row r="14909" spans="1:10" hidden="1">
      <c r="A14909" t="s">
        <v>9252</v>
      </c>
      <c r="B14909" t="s">
        <v>9253</v>
      </c>
      <c r="C14909" t="s">
        <v>6839</v>
      </c>
      <c r="D14909" t="s">
        <v>3762</v>
      </c>
      <c r="E14909" t="s">
        <v>559</v>
      </c>
      <c r="F14909" t="s">
        <v>1068</v>
      </c>
      <c r="G14909" t="s">
        <v>1085</v>
      </c>
      <c r="H14909">
        <v>7.73046438655914E-4</v>
      </c>
      <c r="I14909" t="s">
        <v>1086</v>
      </c>
      <c r="J14909">
        <v>9.1</v>
      </c>
    </row>
    <row r="14910" spans="1:10" hidden="1">
      <c r="A14910" t="s">
        <v>9252</v>
      </c>
      <c r="B14910" t="s">
        <v>9253</v>
      </c>
      <c r="C14910" t="s">
        <v>6839</v>
      </c>
      <c r="D14910" t="s">
        <v>3762</v>
      </c>
      <c r="E14910" t="s">
        <v>559</v>
      </c>
      <c r="F14910" t="s">
        <v>1068</v>
      </c>
      <c r="G14910" t="s">
        <v>1087</v>
      </c>
      <c r="H14910" s="171" t="s">
        <v>9260</v>
      </c>
      <c r="I14910" t="s">
        <v>1088</v>
      </c>
      <c r="J14910">
        <v>9.1</v>
      </c>
    </row>
    <row r="14911" spans="1:10" hidden="1">
      <c r="A14911" t="s">
        <v>9252</v>
      </c>
      <c r="B14911" t="s">
        <v>9253</v>
      </c>
      <c r="C14911" t="s">
        <v>6839</v>
      </c>
      <c r="D14911" t="s">
        <v>3762</v>
      </c>
      <c r="E14911" t="s">
        <v>559</v>
      </c>
      <c r="F14911" t="s">
        <v>1068</v>
      </c>
      <c r="G14911" t="s">
        <v>1089</v>
      </c>
      <c r="H14911">
        <v>2.3664672106126801E-4</v>
      </c>
      <c r="I14911" t="s">
        <v>1090</v>
      </c>
      <c r="J14911">
        <v>9.1</v>
      </c>
    </row>
    <row r="14912" spans="1:10" hidden="1">
      <c r="A14912" t="s">
        <v>9261</v>
      </c>
      <c r="B14912" t="s">
        <v>9262</v>
      </c>
      <c r="C14912" t="s">
        <v>6839</v>
      </c>
      <c r="D14912" t="s">
        <v>3762</v>
      </c>
      <c r="E14912" t="s">
        <v>560</v>
      </c>
      <c r="F14912" t="s">
        <v>1068</v>
      </c>
      <c r="G14912" t="s">
        <v>1069</v>
      </c>
      <c r="H14912">
        <v>4.8170152647822498E-2</v>
      </c>
      <c r="I14912" t="s">
        <v>1070</v>
      </c>
      <c r="J14912">
        <v>8.23</v>
      </c>
    </row>
    <row r="14913" spans="1:10" hidden="1">
      <c r="A14913" t="s">
        <v>9261</v>
      </c>
      <c r="B14913" t="s">
        <v>9262</v>
      </c>
      <c r="C14913" t="s">
        <v>6839</v>
      </c>
      <c r="D14913" t="s">
        <v>3762</v>
      </c>
      <c r="E14913" t="s">
        <v>560</v>
      </c>
      <c r="F14913" t="s">
        <v>1068</v>
      </c>
      <c r="G14913" t="s">
        <v>1071</v>
      </c>
      <c r="H14913" s="171" t="s">
        <v>9263</v>
      </c>
      <c r="I14913" t="s">
        <v>1072</v>
      </c>
      <c r="J14913">
        <v>8.23</v>
      </c>
    </row>
    <row r="14914" spans="1:10" hidden="1">
      <c r="A14914" t="s">
        <v>9261</v>
      </c>
      <c r="B14914" t="s">
        <v>9262</v>
      </c>
      <c r="C14914" t="s">
        <v>6839</v>
      </c>
      <c r="D14914" t="s">
        <v>3762</v>
      </c>
      <c r="E14914" t="s">
        <v>560</v>
      </c>
      <c r="F14914" t="s">
        <v>1068</v>
      </c>
      <c r="G14914" t="s">
        <v>1073</v>
      </c>
      <c r="H14914" s="171" t="s">
        <v>9264</v>
      </c>
      <c r="I14914" t="s">
        <v>1074</v>
      </c>
      <c r="J14914">
        <v>8.23</v>
      </c>
    </row>
    <row r="14915" spans="1:10" hidden="1">
      <c r="A14915" t="s">
        <v>9261</v>
      </c>
      <c r="B14915" t="s">
        <v>9262</v>
      </c>
      <c r="C14915" t="s">
        <v>6839</v>
      </c>
      <c r="D14915" t="s">
        <v>3762</v>
      </c>
      <c r="E14915" t="s">
        <v>560</v>
      </c>
      <c r="F14915" t="s">
        <v>1068</v>
      </c>
      <c r="G14915" t="s">
        <v>1075</v>
      </c>
      <c r="H14915">
        <v>2.14464979316587E-2</v>
      </c>
      <c r="I14915" t="s">
        <v>1077</v>
      </c>
      <c r="J14915">
        <v>8.23</v>
      </c>
    </row>
    <row r="14916" spans="1:10" hidden="1">
      <c r="A14916" t="s">
        <v>9261</v>
      </c>
      <c r="B14916" t="s">
        <v>9262</v>
      </c>
      <c r="C14916" t="s">
        <v>6839</v>
      </c>
      <c r="D14916" t="s">
        <v>3762</v>
      </c>
      <c r="E14916" t="s">
        <v>560</v>
      </c>
      <c r="F14916" t="s">
        <v>1068</v>
      </c>
      <c r="G14916" t="s">
        <v>1078</v>
      </c>
      <c r="H14916" s="171" t="s">
        <v>9265</v>
      </c>
      <c r="I14916" t="s">
        <v>1079</v>
      </c>
      <c r="J14916">
        <v>8.23</v>
      </c>
    </row>
    <row r="14917" spans="1:10" hidden="1">
      <c r="A14917" t="s">
        <v>9261</v>
      </c>
      <c r="B14917" t="s">
        <v>9262</v>
      </c>
      <c r="C14917" t="s">
        <v>6839</v>
      </c>
      <c r="D14917" t="s">
        <v>3762</v>
      </c>
      <c r="E14917" t="s">
        <v>560</v>
      </c>
      <c r="F14917" t="s">
        <v>1068</v>
      </c>
      <c r="G14917" t="s">
        <v>1080</v>
      </c>
      <c r="H14917" s="171" t="s">
        <v>9266</v>
      </c>
      <c r="I14917" t="s">
        <v>1082</v>
      </c>
      <c r="J14917">
        <v>8.23</v>
      </c>
    </row>
    <row r="14918" spans="1:10" hidden="1">
      <c r="A14918" t="s">
        <v>9261</v>
      </c>
      <c r="B14918" t="s">
        <v>9262</v>
      </c>
      <c r="C14918" t="s">
        <v>6839</v>
      </c>
      <c r="D14918" t="s">
        <v>3762</v>
      </c>
      <c r="E14918" t="s">
        <v>560</v>
      </c>
      <c r="F14918" t="s">
        <v>1068</v>
      </c>
      <c r="G14918" t="s">
        <v>1083</v>
      </c>
      <c r="H14918" s="171" t="s">
        <v>9267</v>
      </c>
      <c r="I14918" t="s">
        <v>1084</v>
      </c>
      <c r="J14918">
        <v>8.23</v>
      </c>
    </row>
    <row r="14919" spans="1:10" hidden="1">
      <c r="A14919" t="s">
        <v>9261</v>
      </c>
      <c r="B14919" t="s">
        <v>9262</v>
      </c>
      <c r="C14919" t="s">
        <v>6839</v>
      </c>
      <c r="D14919" t="s">
        <v>3762</v>
      </c>
      <c r="E14919" t="s">
        <v>560</v>
      </c>
      <c r="F14919" t="s">
        <v>1068</v>
      </c>
      <c r="G14919" t="s">
        <v>1085</v>
      </c>
      <c r="H14919">
        <v>7.7304613264230805E-4</v>
      </c>
      <c r="I14919" t="s">
        <v>1086</v>
      </c>
      <c r="J14919">
        <v>8.23</v>
      </c>
    </row>
    <row r="14920" spans="1:10" hidden="1">
      <c r="A14920" t="s">
        <v>9261</v>
      </c>
      <c r="B14920" t="s">
        <v>9262</v>
      </c>
      <c r="C14920" t="s">
        <v>6839</v>
      </c>
      <c r="D14920" t="s">
        <v>3762</v>
      </c>
      <c r="E14920" t="s">
        <v>560</v>
      </c>
      <c r="F14920" t="s">
        <v>1068</v>
      </c>
      <c r="G14920" t="s">
        <v>1087</v>
      </c>
      <c r="H14920" s="171" t="s">
        <v>9268</v>
      </c>
      <c r="I14920" t="s">
        <v>1088</v>
      </c>
      <c r="J14920">
        <v>8.23</v>
      </c>
    </row>
    <row r="14921" spans="1:10" hidden="1">
      <c r="A14921" t="s">
        <v>9261</v>
      </c>
      <c r="B14921" t="s">
        <v>9262</v>
      </c>
      <c r="C14921" t="s">
        <v>6839</v>
      </c>
      <c r="D14921" t="s">
        <v>3762</v>
      </c>
      <c r="E14921" t="s">
        <v>560</v>
      </c>
      <c r="F14921" t="s">
        <v>1068</v>
      </c>
      <c r="G14921" t="s">
        <v>1089</v>
      </c>
      <c r="H14921">
        <v>2.3664665790061899E-4</v>
      </c>
      <c r="I14921" t="s">
        <v>1090</v>
      </c>
      <c r="J14921">
        <v>8.23</v>
      </c>
    </row>
    <row r="14922" spans="1:10" hidden="1">
      <c r="A14922" t="s">
        <v>9269</v>
      </c>
      <c r="B14922" t="s">
        <v>9270</v>
      </c>
      <c r="C14922" t="s">
        <v>6839</v>
      </c>
      <c r="D14922" t="s">
        <v>3762</v>
      </c>
      <c r="E14922" t="s">
        <v>1116</v>
      </c>
      <c r="F14922" t="s">
        <v>1068</v>
      </c>
      <c r="G14922" t="s">
        <v>1069</v>
      </c>
      <c r="H14922">
        <v>4.8169476597263297E-2</v>
      </c>
      <c r="I14922" t="s">
        <v>1070</v>
      </c>
      <c r="J14922">
        <v>8.5</v>
      </c>
    </row>
    <row r="14923" spans="1:10" hidden="1">
      <c r="A14923" t="s">
        <v>9269</v>
      </c>
      <c r="B14923" t="s">
        <v>9270</v>
      </c>
      <c r="C14923" t="s">
        <v>6839</v>
      </c>
      <c r="D14923" t="s">
        <v>3762</v>
      </c>
      <c r="E14923" t="s">
        <v>1116</v>
      </c>
      <c r="F14923" t="s">
        <v>1068</v>
      </c>
      <c r="G14923" t="s">
        <v>1071</v>
      </c>
      <c r="H14923" s="171" t="s">
        <v>9271</v>
      </c>
      <c r="I14923" t="s">
        <v>1072</v>
      </c>
      <c r="J14923">
        <v>8.5</v>
      </c>
    </row>
    <row r="14924" spans="1:10" hidden="1">
      <c r="A14924" t="s">
        <v>9269</v>
      </c>
      <c r="B14924" t="s">
        <v>9270</v>
      </c>
      <c r="C14924" t="s">
        <v>6839</v>
      </c>
      <c r="D14924" t="s">
        <v>3762</v>
      </c>
      <c r="E14924" t="s">
        <v>1116</v>
      </c>
      <c r="F14924" t="s">
        <v>1068</v>
      </c>
      <c r="G14924" t="s">
        <v>1073</v>
      </c>
      <c r="H14924" s="171" t="s">
        <v>9272</v>
      </c>
      <c r="I14924" t="s">
        <v>1074</v>
      </c>
      <c r="J14924">
        <v>8.5</v>
      </c>
    </row>
    <row r="14925" spans="1:10" hidden="1">
      <c r="A14925" t="s">
        <v>9269</v>
      </c>
      <c r="B14925" t="s">
        <v>9270</v>
      </c>
      <c r="C14925" t="s">
        <v>6839</v>
      </c>
      <c r="D14925" t="s">
        <v>3762</v>
      </c>
      <c r="E14925" t="s">
        <v>1116</v>
      </c>
      <c r="F14925" t="s">
        <v>1068</v>
      </c>
      <c r="G14925" t="s">
        <v>1075</v>
      </c>
      <c r="H14925" s="171" t="s">
        <v>9273</v>
      </c>
      <c r="I14925" t="s">
        <v>1077</v>
      </c>
      <c r="J14925">
        <v>8.5</v>
      </c>
    </row>
    <row r="14926" spans="1:10" hidden="1">
      <c r="A14926" t="s">
        <v>9269</v>
      </c>
      <c r="B14926" t="s">
        <v>9270</v>
      </c>
      <c r="C14926" t="s">
        <v>6839</v>
      </c>
      <c r="D14926" t="s">
        <v>3762</v>
      </c>
      <c r="E14926" t="s">
        <v>1116</v>
      </c>
      <c r="F14926" t="s">
        <v>1068</v>
      </c>
      <c r="G14926" t="s">
        <v>1078</v>
      </c>
      <c r="H14926" s="171" t="s">
        <v>9274</v>
      </c>
      <c r="I14926" t="s">
        <v>1079</v>
      </c>
      <c r="J14926">
        <v>8.5</v>
      </c>
    </row>
    <row r="14927" spans="1:10" hidden="1">
      <c r="A14927" t="s">
        <v>9269</v>
      </c>
      <c r="B14927" t="s">
        <v>9270</v>
      </c>
      <c r="C14927" t="s">
        <v>6839</v>
      </c>
      <c r="D14927" t="s">
        <v>3762</v>
      </c>
      <c r="E14927" t="s">
        <v>1116</v>
      </c>
      <c r="F14927" t="s">
        <v>1068</v>
      </c>
      <c r="G14927" t="s">
        <v>1080</v>
      </c>
      <c r="H14927" s="171" t="s">
        <v>9275</v>
      </c>
      <c r="I14927" t="s">
        <v>1082</v>
      </c>
      <c r="J14927">
        <v>8.5</v>
      </c>
    </row>
    <row r="14928" spans="1:10" hidden="1">
      <c r="A14928" t="s">
        <v>9269</v>
      </c>
      <c r="B14928" t="s">
        <v>9270</v>
      </c>
      <c r="C14928" t="s">
        <v>6839</v>
      </c>
      <c r="D14928" t="s">
        <v>3762</v>
      </c>
      <c r="E14928" t="s">
        <v>1116</v>
      </c>
      <c r="F14928" t="s">
        <v>1068</v>
      </c>
      <c r="G14928" t="s">
        <v>1083</v>
      </c>
      <c r="H14928" s="171" t="s">
        <v>9276</v>
      </c>
      <c r="I14928" t="s">
        <v>1084</v>
      </c>
      <c r="J14928">
        <v>8.5</v>
      </c>
    </row>
    <row r="14929" spans="1:10" hidden="1">
      <c r="A14929" t="s">
        <v>9269</v>
      </c>
      <c r="B14929" t="s">
        <v>9270</v>
      </c>
      <c r="C14929" t="s">
        <v>6839</v>
      </c>
      <c r="D14929" t="s">
        <v>3762</v>
      </c>
      <c r="E14929" t="s">
        <v>1116</v>
      </c>
      <c r="F14929" t="s">
        <v>1068</v>
      </c>
      <c r="G14929" t="s">
        <v>1085</v>
      </c>
      <c r="H14929">
        <v>7.7304497124436604E-4</v>
      </c>
      <c r="I14929" t="s">
        <v>1086</v>
      </c>
      <c r="J14929">
        <v>8.5</v>
      </c>
    </row>
    <row r="14930" spans="1:10" hidden="1">
      <c r="A14930" t="s">
        <v>9269</v>
      </c>
      <c r="B14930" t="s">
        <v>9270</v>
      </c>
      <c r="C14930" t="s">
        <v>6839</v>
      </c>
      <c r="D14930" t="s">
        <v>3762</v>
      </c>
      <c r="E14930" t="s">
        <v>1116</v>
      </c>
      <c r="F14930" t="s">
        <v>1068</v>
      </c>
      <c r="G14930" t="s">
        <v>1087</v>
      </c>
      <c r="H14930" s="171" t="s">
        <v>9277</v>
      </c>
      <c r="I14930" t="s">
        <v>1088</v>
      </c>
      <c r="J14930">
        <v>8.5</v>
      </c>
    </row>
    <row r="14931" spans="1:10" hidden="1">
      <c r="A14931" t="s">
        <v>9269</v>
      </c>
      <c r="B14931" t="s">
        <v>9270</v>
      </c>
      <c r="C14931" t="s">
        <v>6839</v>
      </c>
      <c r="D14931" t="s">
        <v>3762</v>
      </c>
      <c r="E14931" t="s">
        <v>1116</v>
      </c>
      <c r="F14931" t="s">
        <v>1068</v>
      </c>
      <c r="G14931" t="s">
        <v>1089</v>
      </c>
      <c r="H14931">
        <v>2.36646418306518E-4</v>
      </c>
      <c r="I14931" t="s">
        <v>1090</v>
      </c>
      <c r="J14931">
        <v>8.5</v>
      </c>
    </row>
    <row r="14932" spans="1:10" hidden="1">
      <c r="A14932" t="s">
        <v>9278</v>
      </c>
      <c r="B14932" t="s">
        <v>9279</v>
      </c>
      <c r="C14932" t="s">
        <v>6839</v>
      </c>
      <c r="D14932" t="s">
        <v>3850</v>
      </c>
      <c r="E14932" t="s">
        <v>561</v>
      </c>
      <c r="F14932" t="s">
        <v>1068</v>
      </c>
      <c r="G14932" t="s">
        <v>1069</v>
      </c>
      <c r="H14932">
        <v>4.7334183619205897E-2</v>
      </c>
      <c r="I14932" t="s">
        <v>1070</v>
      </c>
      <c r="J14932">
        <v>7.38</v>
      </c>
    </row>
    <row r="14933" spans="1:10" hidden="1">
      <c r="A14933" t="s">
        <v>9278</v>
      </c>
      <c r="B14933" t="s">
        <v>9279</v>
      </c>
      <c r="C14933" t="s">
        <v>6839</v>
      </c>
      <c r="D14933" t="s">
        <v>3850</v>
      </c>
      <c r="E14933" t="s">
        <v>561</v>
      </c>
      <c r="F14933" t="s">
        <v>1068</v>
      </c>
      <c r="G14933" t="s">
        <v>1071</v>
      </c>
      <c r="H14933" s="171" t="s">
        <v>9280</v>
      </c>
      <c r="I14933" t="s">
        <v>1072</v>
      </c>
      <c r="J14933">
        <v>7.38</v>
      </c>
    </row>
    <row r="14934" spans="1:10" hidden="1">
      <c r="A14934" t="s">
        <v>9278</v>
      </c>
      <c r="B14934" t="s">
        <v>9279</v>
      </c>
      <c r="C14934" t="s">
        <v>6839</v>
      </c>
      <c r="D14934" t="s">
        <v>3850</v>
      </c>
      <c r="E14934" t="s">
        <v>561</v>
      </c>
      <c r="F14934" t="s">
        <v>1068</v>
      </c>
      <c r="G14934" t="s">
        <v>1073</v>
      </c>
      <c r="H14934" s="171" t="s">
        <v>9281</v>
      </c>
      <c r="I14934" t="s">
        <v>1074</v>
      </c>
      <c r="J14934">
        <v>7.38</v>
      </c>
    </row>
    <row r="14935" spans="1:10" hidden="1">
      <c r="A14935" t="s">
        <v>9278</v>
      </c>
      <c r="B14935" t="s">
        <v>9279</v>
      </c>
      <c r="C14935" t="s">
        <v>6839</v>
      </c>
      <c r="D14935" t="s">
        <v>3850</v>
      </c>
      <c r="E14935" t="s">
        <v>561</v>
      </c>
      <c r="F14935" t="s">
        <v>1068</v>
      </c>
      <c r="G14935" t="s">
        <v>1075</v>
      </c>
      <c r="H14935" s="171" t="s">
        <v>9282</v>
      </c>
      <c r="I14935" t="s">
        <v>1077</v>
      </c>
      <c r="J14935">
        <v>7.38</v>
      </c>
    </row>
    <row r="14936" spans="1:10" hidden="1">
      <c r="A14936" t="s">
        <v>9278</v>
      </c>
      <c r="B14936" t="s">
        <v>9279</v>
      </c>
      <c r="C14936" t="s">
        <v>6839</v>
      </c>
      <c r="D14936" t="s">
        <v>3850</v>
      </c>
      <c r="E14936" t="s">
        <v>561</v>
      </c>
      <c r="F14936" t="s">
        <v>1068</v>
      </c>
      <c r="G14936" t="s">
        <v>1078</v>
      </c>
      <c r="H14936" s="171" t="s">
        <v>9283</v>
      </c>
      <c r="I14936" t="s">
        <v>1079</v>
      </c>
      <c r="J14936">
        <v>7.38</v>
      </c>
    </row>
    <row r="14937" spans="1:10" hidden="1">
      <c r="A14937" t="s">
        <v>9278</v>
      </c>
      <c r="B14937" t="s">
        <v>9279</v>
      </c>
      <c r="C14937" t="s">
        <v>6839</v>
      </c>
      <c r="D14937" t="s">
        <v>3850</v>
      </c>
      <c r="E14937" t="s">
        <v>561</v>
      </c>
      <c r="F14937" t="s">
        <v>1068</v>
      </c>
      <c r="G14937" t="s">
        <v>1080</v>
      </c>
      <c r="H14937" s="171" t="s">
        <v>9284</v>
      </c>
      <c r="I14937" t="s">
        <v>1082</v>
      </c>
      <c r="J14937">
        <v>7.38</v>
      </c>
    </row>
    <row r="14938" spans="1:10" hidden="1">
      <c r="A14938" t="s">
        <v>9278</v>
      </c>
      <c r="B14938" t="s">
        <v>9279</v>
      </c>
      <c r="C14938" t="s">
        <v>6839</v>
      </c>
      <c r="D14938" t="s">
        <v>3850</v>
      </c>
      <c r="E14938" t="s">
        <v>561</v>
      </c>
      <c r="F14938" t="s">
        <v>1068</v>
      </c>
      <c r="G14938" t="s">
        <v>1083</v>
      </c>
      <c r="H14938" s="171" t="s">
        <v>9285</v>
      </c>
      <c r="I14938" t="s">
        <v>1084</v>
      </c>
      <c r="J14938">
        <v>7.38</v>
      </c>
    </row>
    <row r="14939" spans="1:10" hidden="1">
      <c r="A14939" t="s">
        <v>9278</v>
      </c>
      <c r="B14939" t="s">
        <v>9279</v>
      </c>
      <c r="C14939" t="s">
        <v>6839</v>
      </c>
      <c r="D14939" t="s">
        <v>3850</v>
      </c>
      <c r="E14939" t="s">
        <v>561</v>
      </c>
      <c r="F14939" t="s">
        <v>1068</v>
      </c>
      <c r="G14939" t="s">
        <v>1085</v>
      </c>
      <c r="H14939">
        <v>7.4272322350371601E-4</v>
      </c>
      <c r="I14939" t="s">
        <v>1086</v>
      </c>
      <c r="J14939">
        <v>7.38</v>
      </c>
    </row>
    <row r="14940" spans="1:10" hidden="1">
      <c r="A14940" t="s">
        <v>9278</v>
      </c>
      <c r="B14940" t="s">
        <v>9279</v>
      </c>
      <c r="C14940" t="s">
        <v>6839</v>
      </c>
      <c r="D14940" t="s">
        <v>3850</v>
      </c>
      <c r="E14940" t="s">
        <v>561</v>
      </c>
      <c r="F14940" t="s">
        <v>1068</v>
      </c>
      <c r="G14940" t="s">
        <v>1087</v>
      </c>
      <c r="H14940" s="171" t="s">
        <v>9286</v>
      </c>
      <c r="I14940" t="s">
        <v>1088</v>
      </c>
      <c r="J14940">
        <v>7.38</v>
      </c>
    </row>
    <row r="14941" spans="1:10" hidden="1">
      <c r="A14941" t="s">
        <v>9278</v>
      </c>
      <c r="B14941" t="s">
        <v>9279</v>
      </c>
      <c r="C14941" t="s">
        <v>6839</v>
      </c>
      <c r="D14941" t="s">
        <v>3850</v>
      </c>
      <c r="E14941" t="s">
        <v>561</v>
      </c>
      <c r="F14941" t="s">
        <v>1068</v>
      </c>
      <c r="G14941" t="s">
        <v>1089</v>
      </c>
      <c r="H14941">
        <v>2.2689595162154701E-4</v>
      </c>
      <c r="I14941" t="s">
        <v>1090</v>
      </c>
      <c r="J14941">
        <v>7.38</v>
      </c>
    </row>
    <row r="14942" spans="1:10" hidden="1">
      <c r="A14942" t="s">
        <v>9287</v>
      </c>
      <c r="B14942" t="s">
        <v>9288</v>
      </c>
      <c r="C14942" t="s">
        <v>6839</v>
      </c>
      <c r="D14942" t="s">
        <v>3850</v>
      </c>
      <c r="E14942" t="s">
        <v>555</v>
      </c>
      <c r="F14942" t="s">
        <v>1068</v>
      </c>
      <c r="G14942" t="s">
        <v>1069</v>
      </c>
      <c r="H14942">
        <v>4.7335687689849699E-2</v>
      </c>
      <c r="I14942" t="s">
        <v>1070</v>
      </c>
      <c r="J14942">
        <v>8.1300000000000008</v>
      </c>
    </row>
    <row r="14943" spans="1:10" hidden="1">
      <c r="A14943" t="s">
        <v>9287</v>
      </c>
      <c r="B14943" t="s">
        <v>9288</v>
      </c>
      <c r="C14943" t="s">
        <v>6839</v>
      </c>
      <c r="D14943" t="s">
        <v>3850</v>
      </c>
      <c r="E14943" t="s">
        <v>555</v>
      </c>
      <c r="F14943" t="s">
        <v>1068</v>
      </c>
      <c r="G14943" t="s">
        <v>1071</v>
      </c>
      <c r="H14943" s="171" t="s">
        <v>9289</v>
      </c>
      <c r="I14943" t="s">
        <v>1072</v>
      </c>
      <c r="J14943">
        <v>8.1300000000000008</v>
      </c>
    </row>
    <row r="14944" spans="1:10" hidden="1">
      <c r="A14944" t="s">
        <v>9287</v>
      </c>
      <c r="B14944" t="s">
        <v>9288</v>
      </c>
      <c r="C14944" t="s">
        <v>6839</v>
      </c>
      <c r="D14944" t="s">
        <v>3850</v>
      </c>
      <c r="E14944" t="s">
        <v>555</v>
      </c>
      <c r="F14944" t="s">
        <v>1068</v>
      </c>
      <c r="G14944" t="s">
        <v>1073</v>
      </c>
      <c r="H14944" s="171" t="s">
        <v>9290</v>
      </c>
      <c r="I14944" t="s">
        <v>1074</v>
      </c>
      <c r="J14944">
        <v>8.1300000000000008</v>
      </c>
    </row>
    <row r="14945" spans="1:10" hidden="1">
      <c r="A14945" t="s">
        <v>9287</v>
      </c>
      <c r="B14945" t="s">
        <v>9288</v>
      </c>
      <c r="C14945" t="s">
        <v>6839</v>
      </c>
      <c r="D14945" t="s">
        <v>3850</v>
      </c>
      <c r="E14945" t="s">
        <v>555</v>
      </c>
      <c r="F14945" t="s">
        <v>1068</v>
      </c>
      <c r="G14945" t="s">
        <v>1075</v>
      </c>
      <c r="H14945" s="171" t="s">
        <v>9291</v>
      </c>
      <c r="I14945" t="s">
        <v>1077</v>
      </c>
      <c r="J14945">
        <v>8.1300000000000008</v>
      </c>
    </row>
    <row r="14946" spans="1:10" hidden="1">
      <c r="A14946" t="s">
        <v>9287</v>
      </c>
      <c r="B14946" t="s">
        <v>9288</v>
      </c>
      <c r="C14946" t="s">
        <v>6839</v>
      </c>
      <c r="D14946" t="s">
        <v>3850</v>
      </c>
      <c r="E14946" t="s">
        <v>555</v>
      </c>
      <c r="F14946" t="s">
        <v>1068</v>
      </c>
      <c r="G14946" t="s">
        <v>1078</v>
      </c>
      <c r="H14946" s="171" t="s">
        <v>9292</v>
      </c>
      <c r="I14946" t="s">
        <v>1079</v>
      </c>
      <c r="J14946">
        <v>8.1300000000000008</v>
      </c>
    </row>
    <row r="14947" spans="1:10" hidden="1">
      <c r="A14947" t="s">
        <v>9287</v>
      </c>
      <c r="B14947" t="s">
        <v>9288</v>
      </c>
      <c r="C14947" t="s">
        <v>6839</v>
      </c>
      <c r="D14947" t="s">
        <v>3850</v>
      </c>
      <c r="E14947" t="s">
        <v>555</v>
      </c>
      <c r="F14947" t="s">
        <v>1068</v>
      </c>
      <c r="G14947" t="s">
        <v>1080</v>
      </c>
      <c r="H14947" s="171" t="s">
        <v>9293</v>
      </c>
      <c r="I14947" t="s">
        <v>1082</v>
      </c>
      <c r="J14947">
        <v>8.1300000000000008</v>
      </c>
    </row>
    <row r="14948" spans="1:10" hidden="1">
      <c r="A14948" t="s">
        <v>9287</v>
      </c>
      <c r="B14948" t="s">
        <v>9288</v>
      </c>
      <c r="C14948" t="s">
        <v>6839</v>
      </c>
      <c r="D14948" t="s">
        <v>3850</v>
      </c>
      <c r="E14948" t="s">
        <v>555</v>
      </c>
      <c r="F14948" t="s">
        <v>1068</v>
      </c>
      <c r="G14948" t="s">
        <v>1083</v>
      </c>
      <c r="H14948" s="171" t="s">
        <v>9294</v>
      </c>
      <c r="I14948" t="s">
        <v>1084</v>
      </c>
      <c r="J14948">
        <v>8.1300000000000008</v>
      </c>
    </row>
    <row r="14949" spans="1:10" hidden="1">
      <c r="A14949" t="s">
        <v>9287</v>
      </c>
      <c r="B14949" t="s">
        <v>9288</v>
      </c>
      <c r="C14949" t="s">
        <v>6839</v>
      </c>
      <c r="D14949" t="s">
        <v>3850</v>
      </c>
      <c r="E14949" t="s">
        <v>555</v>
      </c>
      <c r="F14949" t="s">
        <v>1068</v>
      </c>
      <c r="G14949" t="s">
        <v>1085</v>
      </c>
      <c r="H14949">
        <v>7.4272498299696199E-4</v>
      </c>
      <c r="I14949" t="s">
        <v>1086</v>
      </c>
      <c r="J14949">
        <v>8.1300000000000008</v>
      </c>
    </row>
    <row r="14950" spans="1:10" hidden="1">
      <c r="A14950" t="s">
        <v>9287</v>
      </c>
      <c r="B14950" t="s">
        <v>9288</v>
      </c>
      <c r="C14950" t="s">
        <v>6839</v>
      </c>
      <c r="D14950" t="s">
        <v>3850</v>
      </c>
      <c r="E14950" t="s">
        <v>555</v>
      </c>
      <c r="F14950" t="s">
        <v>1068</v>
      </c>
      <c r="G14950" t="s">
        <v>1087</v>
      </c>
      <c r="H14950" s="171" t="s">
        <v>9295</v>
      </c>
      <c r="I14950" t="s">
        <v>1088</v>
      </c>
      <c r="J14950">
        <v>8.1300000000000008</v>
      </c>
    </row>
    <row r="14951" spans="1:10" hidden="1">
      <c r="A14951" t="s">
        <v>9287</v>
      </c>
      <c r="B14951" t="s">
        <v>9288</v>
      </c>
      <c r="C14951" t="s">
        <v>6839</v>
      </c>
      <c r="D14951" t="s">
        <v>3850</v>
      </c>
      <c r="E14951" t="s">
        <v>555</v>
      </c>
      <c r="F14951" t="s">
        <v>1068</v>
      </c>
      <c r="G14951" t="s">
        <v>1089</v>
      </c>
      <c r="H14951">
        <v>2.2689631462758999E-4</v>
      </c>
      <c r="I14951" t="s">
        <v>1090</v>
      </c>
      <c r="J14951">
        <v>8.1300000000000008</v>
      </c>
    </row>
    <row r="14952" spans="1:10" hidden="1">
      <c r="A14952" t="s">
        <v>9296</v>
      </c>
      <c r="B14952" t="s">
        <v>9297</v>
      </c>
      <c r="C14952" t="s">
        <v>6839</v>
      </c>
      <c r="D14952" t="s">
        <v>3850</v>
      </c>
      <c r="E14952" t="s">
        <v>558</v>
      </c>
      <c r="F14952" t="s">
        <v>1068</v>
      </c>
      <c r="G14952" t="s">
        <v>1069</v>
      </c>
      <c r="H14952">
        <v>4.7334097886576297E-2</v>
      </c>
      <c r="I14952" t="s">
        <v>1070</v>
      </c>
      <c r="J14952">
        <v>13.47</v>
      </c>
    </row>
    <row r="14953" spans="1:10" hidden="1">
      <c r="A14953" t="s">
        <v>9296</v>
      </c>
      <c r="B14953" t="s">
        <v>9297</v>
      </c>
      <c r="C14953" t="s">
        <v>6839</v>
      </c>
      <c r="D14953" t="s">
        <v>3850</v>
      </c>
      <c r="E14953" t="s">
        <v>558</v>
      </c>
      <c r="F14953" t="s">
        <v>1068</v>
      </c>
      <c r="G14953" t="s">
        <v>1071</v>
      </c>
      <c r="H14953" s="171" t="s">
        <v>9298</v>
      </c>
      <c r="I14953" t="s">
        <v>1072</v>
      </c>
      <c r="J14953">
        <v>13.47</v>
      </c>
    </row>
    <row r="14954" spans="1:10" hidden="1">
      <c r="A14954" t="s">
        <v>9296</v>
      </c>
      <c r="B14954" t="s">
        <v>9297</v>
      </c>
      <c r="C14954" t="s">
        <v>6839</v>
      </c>
      <c r="D14954" t="s">
        <v>3850</v>
      </c>
      <c r="E14954" t="s">
        <v>558</v>
      </c>
      <c r="F14954" t="s">
        <v>1068</v>
      </c>
      <c r="G14954" t="s">
        <v>1073</v>
      </c>
      <c r="H14954" s="171" t="s">
        <v>9299</v>
      </c>
      <c r="I14954" t="s">
        <v>1074</v>
      </c>
      <c r="J14954">
        <v>13.47</v>
      </c>
    </row>
    <row r="14955" spans="1:10" hidden="1">
      <c r="A14955" t="s">
        <v>9296</v>
      </c>
      <c r="B14955" t="s">
        <v>9297</v>
      </c>
      <c r="C14955" t="s">
        <v>6839</v>
      </c>
      <c r="D14955" t="s">
        <v>3850</v>
      </c>
      <c r="E14955" t="s">
        <v>558</v>
      </c>
      <c r="F14955" t="s">
        <v>1068</v>
      </c>
      <c r="G14955" t="s">
        <v>1075</v>
      </c>
      <c r="H14955">
        <v>2.0562220109360499E-2</v>
      </c>
      <c r="I14955" t="s">
        <v>1077</v>
      </c>
      <c r="J14955">
        <v>13.47</v>
      </c>
    </row>
    <row r="14956" spans="1:10" hidden="1">
      <c r="A14956" t="s">
        <v>9296</v>
      </c>
      <c r="B14956" t="s">
        <v>9297</v>
      </c>
      <c r="C14956" t="s">
        <v>6839</v>
      </c>
      <c r="D14956" t="s">
        <v>3850</v>
      </c>
      <c r="E14956" t="s">
        <v>558</v>
      </c>
      <c r="F14956" t="s">
        <v>1068</v>
      </c>
      <c r="G14956" t="s">
        <v>1078</v>
      </c>
      <c r="H14956" s="171" t="s">
        <v>9300</v>
      </c>
      <c r="I14956" t="s">
        <v>1079</v>
      </c>
      <c r="J14956">
        <v>13.47</v>
      </c>
    </row>
    <row r="14957" spans="1:10" hidden="1">
      <c r="A14957" t="s">
        <v>9296</v>
      </c>
      <c r="B14957" t="s">
        <v>9297</v>
      </c>
      <c r="C14957" t="s">
        <v>6839</v>
      </c>
      <c r="D14957" t="s">
        <v>3850</v>
      </c>
      <c r="E14957" t="s">
        <v>558</v>
      </c>
      <c r="F14957" t="s">
        <v>1068</v>
      </c>
      <c r="G14957" t="s">
        <v>1080</v>
      </c>
      <c r="H14957" s="171" t="s">
        <v>9301</v>
      </c>
      <c r="I14957" t="s">
        <v>1082</v>
      </c>
      <c r="J14957">
        <v>13.47</v>
      </c>
    </row>
    <row r="14958" spans="1:10" hidden="1">
      <c r="A14958" t="s">
        <v>9296</v>
      </c>
      <c r="B14958" t="s">
        <v>9297</v>
      </c>
      <c r="C14958" t="s">
        <v>6839</v>
      </c>
      <c r="D14958" t="s">
        <v>3850</v>
      </c>
      <c r="E14958" t="s">
        <v>558</v>
      </c>
      <c r="F14958" t="s">
        <v>1068</v>
      </c>
      <c r="G14958" t="s">
        <v>1083</v>
      </c>
      <c r="H14958" s="171" t="s">
        <v>9302</v>
      </c>
      <c r="I14958" t="s">
        <v>1084</v>
      </c>
      <c r="J14958">
        <v>13.47</v>
      </c>
    </row>
    <row r="14959" spans="1:10" hidden="1">
      <c r="A14959" t="s">
        <v>9296</v>
      </c>
      <c r="B14959" t="s">
        <v>9297</v>
      </c>
      <c r="C14959" t="s">
        <v>6839</v>
      </c>
      <c r="D14959" t="s">
        <v>3850</v>
      </c>
      <c r="E14959" t="s">
        <v>558</v>
      </c>
      <c r="F14959" t="s">
        <v>1068</v>
      </c>
      <c r="G14959" t="s">
        <v>1085</v>
      </c>
      <c r="H14959">
        <v>7.4272307622227798E-4</v>
      </c>
      <c r="I14959" t="s">
        <v>1086</v>
      </c>
      <c r="J14959">
        <v>13.47</v>
      </c>
    </row>
    <row r="14960" spans="1:10" hidden="1">
      <c r="A14960" t="s">
        <v>9296</v>
      </c>
      <c r="B14960" t="s">
        <v>9297</v>
      </c>
      <c r="C14960" t="s">
        <v>6839</v>
      </c>
      <c r="D14960" t="s">
        <v>3850</v>
      </c>
      <c r="E14960" t="s">
        <v>558</v>
      </c>
      <c r="F14960" t="s">
        <v>1068</v>
      </c>
      <c r="G14960" t="s">
        <v>1087</v>
      </c>
      <c r="H14960" s="171" t="s">
        <v>9303</v>
      </c>
      <c r="I14960" t="s">
        <v>1088</v>
      </c>
      <c r="J14960">
        <v>13.47</v>
      </c>
    </row>
    <row r="14961" spans="1:10" hidden="1">
      <c r="A14961" t="s">
        <v>9296</v>
      </c>
      <c r="B14961" t="s">
        <v>9297</v>
      </c>
      <c r="C14961" t="s">
        <v>6839</v>
      </c>
      <c r="D14961" t="s">
        <v>3850</v>
      </c>
      <c r="E14961" t="s">
        <v>558</v>
      </c>
      <c r="F14961" t="s">
        <v>1068</v>
      </c>
      <c r="G14961" t="s">
        <v>1089</v>
      </c>
      <c r="H14961">
        <v>2.2689592123767701E-4</v>
      </c>
      <c r="I14961" t="s">
        <v>1090</v>
      </c>
      <c r="J14961">
        <v>13.47</v>
      </c>
    </row>
    <row r="14962" spans="1:10" hidden="1">
      <c r="A14962" t="s">
        <v>9304</v>
      </c>
      <c r="B14962" t="s">
        <v>9305</v>
      </c>
      <c r="C14962" t="s">
        <v>6839</v>
      </c>
      <c r="D14962" t="s">
        <v>3850</v>
      </c>
      <c r="E14962" t="s">
        <v>553</v>
      </c>
      <c r="F14962" t="s">
        <v>1068</v>
      </c>
      <c r="G14962" t="s">
        <v>1069</v>
      </c>
      <c r="H14962">
        <v>4.7334542816984203E-2</v>
      </c>
      <c r="I14962" t="s">
        <v>1070</v>
      </c>
      <c r="J14962">
        <v>13.62</v>
      </c>
    </row>
    <row r="14963" spans="1:10" hidden="1">
      <c r="A14963" t="s">
        <v>9304</v>
      </c>
      <c r="B14963" t="s">
        <v>9305</v>
      </c>
      <c r="C14963" t="s">
        <v>6839</v>
      </c>
      <c r="D14963" t="s">
        <v>3850</v>
      </c>
      <c r="E14963" t="s">
        <v>553</v>
      </c>
      <c r="F14963" t="s">
        <v>1068</v>
      </c>
      <c r="G14963" t="s">
        <v>1071</v>
      </c>
      <c r="H14963" s="171" t="s">
        <v>9306</v>
      </c>
      <c r="I14963" t="s">
        <v>1072</v>
      </c>
      <c r="J14963">
        <v>13.62</v>
      </c>
    </row>
    <row r="14964" spans="1:10" hidden="1">
      <c r="A14964" t="s">
        <v>9304</v>
      </c>
      <c r="B14964" t="s">
        <v>9305</v>
      </c>
      <c r="C14964" t="s">
        <v>6839</v>
      </c>
      <c r="D14964" t="s">
        <v>3850</v>
      </c>
      <c r="E14964" t="s">
        <v>553</v>
      </c>
      <c r="F14964" t="s">
        <v>1068</v>
      </c>
      <c r="G14964" t="s">
        <v>1073</v>
      </c>
      <c r="H14964" s="171" t="s">
        <v>9307</v>
      </c>
      <c r="I14964" t="s">
        <v>1074</v>
      </c>
      <c r="J14964">
        <v>13.62</v>
      </c>
    </row>
    <row r="14965" spans="1:10" hidden="1">
      <c r="A14965" t="s">
        <v>9304</v>
      </c>
      <c r="B14965" t="s">
        <v>9305</v>
      </c>
      <c r="C14965" t="s">
        <v>6839</v>
      </c>
      <c r="D14965" t="s">
        <v>3850</v>
      </c>
      <c r="E14965" t="s">
        <v>553</v>
      </c>
      <c r="F14965" t="s">
        <v>1068</v>
      </c>
      <c r="G14965" t="s">
        <v>1075</v>
      </c>
      <c r="H14965" s="171" t="s">
        <v>9308</v>
      </c>
      <c r="I14965" t="s">
        <v>1077</v>
      </c>
      <c r="J14965">
        <v>13.62</v>
      </c>
    </row>
    <row r="14966" spans="1:10" hidden="1">
      <c r="A14966" t="s">
        <v>9304</v>
      </c>
      <c r="B14966" t="s">
        <v>9305</v>
      </c>
      <c r="C14966" t="s">
        <v>6839</v>
      </c>
      <c r="D14966" t="s">
        <v>3850</v>
      </c>
      <c r="E14966" t="s">
        <v>553</v>
      </c>
      <c r="F14966" t="s">
        <v>1068</v>
      </c>
      <c r="G14966" t="s">
        <v>1078</v>
      </c>
      <c r="H14966" s="171" t="s">
        <v>9309</v>
      </c>
      <c r="I14966" t="s">
        <v>1079</v>
      </c>
      <c r="J14966">
        <v>13.62</v>
      </c>
    </row>
    <row r="14967" spans="1:10" hidden="1">
      <c r="A14967" t="s">
        <v>9304</v>
      </c>
      <c r="B14967" t="s">
        <v>9305</v>
      </c>
      <c r="C14967" t="s">
        <v>6839</v>
      </c>
      <c r="D14967" t="s">
        <v>3850</v>
      </c>
      <c r="E14967" t="s">
        <v>553</v>
      </c>
      <c r="F14967" t="s">
        <v>1068</v>
      </c>
      <c r="G14967" t="s">
        <v>1080</v>
      </c>
      <c r="H14967" s="171" t="s">
        <v>9310</v>
      </c>
      <c r="I14967" t="s">
        <v>1082</v>
      </c>
      <c r="J14967">
        <v>13.62</v>
      </c>
    </row>
    <row r="14968" spans="1:10" hidden="1">
      <c r="A14968" t="s">
        <v>9304</v>
      </c>
      <c r="B14968" t="s">
        <v>9305</v>
      </c>
      <c r="C14968" t="s">
        <v>6839</v>
      </c>
      <c r="D14968" t="s">
        <v>3850</v>
      </c>
      <c r="E14968" t="s">
        <v>553</v>
      </c>
      <c r="F14968" t="s">
        <v>1068</v>
      </c>
      <c r="G14968" t="s">
        <v>1083</v>
      </c>
      <c r="H14968" s="171" t="s">
        <v>9311</v>
      </c>
      <c r="I14968" t="s">
        <v>1084</v>
      </c>
      <c r="J14968">
        <v>13.62</v>
      </c>
    </row>
    <row r="14969" spans="1:10" hidden="1">
      <c r="A14969" t="s">
        <v>9304</v>
      </c>
      <c r="B14969" t="s">
        <v>9305</v>
      </c>
      <c r="C14969" t="s">
        <v>6839</v>
      </c>
      <c r="D14969" t="s">
        <v>3850</v>
      </c>
      <c r="E14969" t="s">
        <v>553</v>
      </c>
      <c r="F14969" t="s">
        <v>1068</v>
      </c>
      <c r="G14969" t="s">
        <v>1085</v>
      </c>
      <c r="H14969">
        <v>7.4272301620176197E-4</v>
      </c>
      <c r="I14969" t="s">
        <v>1086</v>
      </c>
      <c r="J14969">
        <v>13.62</v>
      </c>
    </row>
    <row r="14970" spans="1:10" hidden="1">
      <c r="A14970" t="s">
        <v>9304</v>
      </c>
      <c r="B14970" t="s">
        <v>9305</v>
      </c>
      <c r="C14970" t="s">
        <v>6839</v>
      </c>
      <c r="D14970" t="s">
        <v>3850</v>
      </c>
      <c r="E14970" t="s">
        <v>553</v>
      </c>
      <c r="F14970" t="s">
        <v>1068</v>
      </c>
      <c r="G14970" t="s">
        <v>1087</v>
      </c>
      <c r="H14970" s="171" t="s">
        <v>9312</v>
      </c>
      <c r="I14970" t="s">
        <v>1088</v>
      </c>
      <c r="J14970">
        <v>13.62</v>
      </c>
    </row>
    <row r="14971" spans="1:10" hidden="1">
      <c r="A14971" t="s">
        <v>9304</v>
      </c>
      <c r="B14971" t="s">
        <v>9305</v>
      </c>
      <c r="C14971" t="s">
        <v>6839</v>
      </c>
      <c r="D14971" t="s">
        <v>3850</v>
      </c>
      <c r="E14971" t="s">
        <v>553</v>
      </c>
      <c r="F14971" t="s">
        <v>1068</v>
      </c>
      <c r="G14971" t="s">
        <v>1089</v>
      </c>
      <c r="H14971">
        <v>2.26895908881624E-4</v>
      </c>
      <c r="I14971" t="s">
        <v>1090</v>
      </c>
      <c r="J14971">
        <v>13.62</v>
      </c>
    </row>
    <row r="14972" spans="1:10" hidden="1">
      <c r="A14972" t="s">
        <v>9313</v>
      </c>
      <c r="B14972" s="170" t="s">
        <v>9314</v>
      </c>
      <c r="C14972" t="s">
        <v>6839</v>
      </c>
      <c r="D14972" t="s">
        <v>3850</v>
      </c>
      <c r="E14972" t="s">
        <v>556</v>
      </c>
      <c r="F14972" t="s">
        <v>1068</v>
      </c>
      <c r="G14972" t="s">
        <v>1069</v>
      </c>
      <c r="H14972">
        <v>4.7335580080677397E-2</v>
      </c>
      <c r="I14972" t="s">
        <v>1070</v>
      </c>
      <c r="J14972">
        <v>11.25</v>
      </c>
    </row>
    <row r="14973" spans="1:10" hidden="1">
      <c r="A14973" t="s">
        <v>9313</v>
      </c>
      <c r="B14973" s="170" t="s">
        <v>9314</v>
      </c>
      <c r="C14973" t="s">
        <v>6839</v>
      </c>
      <c r="D14973" t="s">
        <v>3850</v>
      </c>
      <c r="E14973" t="s">
        <v>556</v>
      </c>
      <c r="F14973" t="s">
        <v>1068</v>
      </c>
      <c r="G14973" t="s">
        <v>1071</v>
      </c>
      <c r="H14973" s="171" t="s">
        <v>9315</v>
      </c>
      <c r="I14973" t="s">
        <v>1072</v>
      </c>
      <c r="J14973">
        <v>11.25</v>
      </c>
    </row>
    <row r="14974" spans="1:10" hidden="1">
      <c r="A14974" t="s">
        <v>9313</v>
      </c>
      <c r="B14974" s="170" t="s">
        <v>9314</v>
      </c>
      <c r="C14974" t="s">
        <v>6839</v>
      </c>
      <c r="D14974" t="s">
        <v>3850</v>
      </c>
      <c r="E14974" t="s">
        <v>556</v>
      </c>
      <c r="F14974" t="s">
        <v>1068</v>
      </c>
      <c r="G14974" t="s">
        <v>1073</v>
      </c>
      <c r="H14974" s="171" t="s">
        <v>9316</v>
      </c>
      <c r="I14974" t="s">
        <v>1074</v>
      </c>
      <c r="J14974">
        <v>11.25</v>
      </c>
    </row>
    <row r="14975" spans="1:10" hidden="1">
      <c r="A14975" t="s">
        <v>9313</v>
      </c>
      <c r="B14975" s="170" t="s">
        <v>9314</v>
      </c>
      <c r="C14975" t="s">
        <v>6839</v>
      </c>
      <c r="D14975" t="s">
        <v>3850</v>
      </c>
      <c r="E14975" t="s">
        <v>556</v>
      </c>
      <c r="F14975" t="s">
        <v>1068</v>
      </c>
      <c r="G14975" t="s">
        <v>1075</v>
      </c>
      <c r="H14975">
        <v>2.05622517990698E-2</v>
      </c>
      <c r="I14975" t="s">
        <v>1077</v>
      </c>
      <c r="J14975">
        <v>11.25</v>
      </c>
    </row>
    <row r="14976" spans="1:10" hidden="1">
      <c r="A14976" t="s">
        <v>9313</v>
      </c>
      <c r="B14976" s="170" t="s">
        <v>9314</v>
      </c>
      <c r="C14976" t="s">
        <v>6839</v>
      </c>
      <c r="D14976" t="s">
        <v>3850</v>
      </c>
      <c r="E14976" t="s">
        <v>556</v>
      </c>
      <c r="F14976" t="s">
        <v>1068</v>
      </c>
      <c r="G14976" t="s">
        <v>1078</v>
      </c>
      <c r="H14976" s="171" t="s">
        <v>9317</v>
      </c>
      <c r="I14976" t="s">
        <v>1079</v>
      </c>
      <c r="J14976">
        <v>11.25</v>
      </c>
    </row>
    <row r="14977" spans="1:10" hidden="1">
      <c r="A14977" t="s">
        <v>9313</v>
      </c>
      <c r="B14977" s="170" t="s">
        <v>9314</v>
      </c>
      <c r="C14977" t="s">
        <v>6839</v>
      </c>
      <c r="D14977" t="s">
        <v>3850</v>
      </c>
      <c r="E14977" t="s">
        <v>556</v>
      </c>
      <c r="F14977" t="s">
        <v>1068</v>
      </c>
      <c r="G14977" t="s">
        <v>1080</v>
      </c>
      <c r="H14977" s="171" t="s">
        <v>9318</v>
      </c>
      <c r="I14977" t="s">
        <v>1082</v>
      </c>
      <c r="J14977">
        <v>11.25</v>
      </c>
    </row>
    <row r="14978" spans="1:10" hidden="1">
      <c r="A14978" t="s">
        <v>9313</v>
      </c>
      <c r="B14978" s="170" t="s">
        <v>9314</v>
      </c>
      <c r="C14978" t="s">
        <v>6839</v>
      </c>
      <c r="D14978" t="s">
        <v>3850</v>
      </c>
      <c r="E14978" t="s">
        <v>556</v>
      </c>
      <c r="F14978" t="s">
        <v>1068</v>
      </c>
      <c r="G14978" t="s">
        <v>1083</v>
      </c>
      <c r="H14978" s="171" t="s">
        <v>9319</v>
      </c>
      <c r="I14978" t="s">
        <v>1084</v>
      </c>
      <c r="J14978">
        <v>11.25</v>
      </c>
    </row>
    <row r="14979" spans="1:10" hidden="1">
      <c r="A14979" t="s">
        <v>9313</v>
      </c>
      <c r="B14979" s="170" t="s">
        <v>9314</v>
      </c>
      <c r="C14979" t="s">
        <v>6839</v>
      </c>
      <c r="D14979" t="s">
        <v>3850</v>
      </c>
      <c r="E14979" t="s">
        <v>556</v>
      </c>
      <c r="F14979" t="s">
        <v>1068</v>
      </c>
      <c r="G14979" t="s">
        <v>1085</v>
      </c>
      <c r="H14979">
        <v>7.4272479813345803E-4</v>
      </c>
      <c r="I14979" t="s">
        <v>1086</v>
      </c>
      <c r="J14979">
        <v>11.25</v>
      </c>
    </row>
    <row r="14980" spans="1:10" hidden="1">
      <c r="A14980" t="s">
        <v>9313</v>
      </c>
      <c r="B14980" s="170" t="s">
        <v>9314</v>
      </c>
      <c r="C14980" t="s">
        <v>6839</v>
      </c>
      <c r="D14980" t="s">
        <v>3850</v>
      </c>
      <c r="E14980" t="s">
        <v>556</v>
      </c>
      <c r="F14980" t="s">
        <v>1068</v>
      </c>
      <c r="G14980" t="s">
        <v>1087</v>
      </c>
      <c r="H14980" s="171" t="s">
        <v>9320</v>
      </c>
      <c r="I14980" t="s">
        <v>1088</v>
      </c>
      <c r="J14980">
        <v>11.25</v>
      </c>
    </row>
    <row r="14981" spans="1:10" hidden="1">
      <c r="A14981" t="s">
        <v>9313</v>
      </c>
      <c r="B14981" s="170" t="s">
        <v>9314</v>
      </c>
      <c r="C14981" t="s">
        <v>6839</v>
      </c>
      <c r="D14981" t="s">
        <v>3850</v>
      </c>
      <c r="E14981" t="s">
        <v>556</v>
      </c>
      <c r="F14981" t="s">
        <v>1068</v>
      </c>
      <c r="G14981" t="s">
        <v>1089</v>
      </c>
      <c r="H14981">
        <v>2.2689627649061399E-4</v>
      </c>
      <c r="I14981" t="s">
        <v>1090</v>
      </c>
      <c r="J14981">
        <v>11.25</v>
      </c>
    </row>
    <row r="14982" spans="1:10" hidden="1">
      <c r="A14982" t="s">
        <v>9321</v>
      </c>
      <c r="B14982" t="s">
        <v>9322</v>
      </c>
      <c r="C14982" t="s">
        <v>6839</v>
      </c>
      <c r="D14982" t="s">
        <v>3850</v>
      </c>
      <c r="E14982" t="s">
        <v>557</v>
      </c>
      <c r="F14982" t="s">
        <v>1068</v>
      </c>
      <c r="G14982" t="s">
        <v>1069</v>
      </c>
      <c r="H14982" s="171" t="s">
        <v>9323</v>
      </c>
      <c r="I14982" t="s">
        <v>1070</v>
      </c>
      <c r="J14982">
        <v>9.98</v>
      </c>
    </row>
    <row r="14983" spans="1:10" hidden="1">
      <c r="A14983" t="s">
        <v>9321</v>
      </c>
      <c r="B14983" t="s">
        <v>9322</v>
      </c>
      <c r="C14983" t="s">
        <v>6839</v>
      </c>
      <c r="D14983" t="s">
        <v>3850</v>
      </c>
      <c r="E14983" t="s">
        <v>557</v>
      </c>
      <c r="F14983" t="s">
        <v>1068</v>
      </c>
      <c r="G14983" t="s">
        <v>1071</v>
      </c>
      <c r="H14983" s="171" t="s">
        <v>9324</v>
      </c>
      <c r="I14983" t="s">
        <v>1072</v>
      </c>
      <c r="J14983">
        <v>9.98</v>
      </c>
    </row>
    <row r="14984" spans="1:10" hidden="1">
      <c r="A14984" t="s">
        <v>9321</v>
      </c>
      <c r="B14984" t="s">
        <v>9322</v>
      </c>
      <c r="C14984" t="s">
        <v>6839</v>
      </c>
      <c r="D14984" t="s">
        <v>3850</v>
      </c>
      <c r="E14984" t="s">
        <v>557</v>
      </c>
      <c r="F14984" t="s">
        <v>1068</v>
      </c>
      <c r="G14984" t="s">
        <v>1073</v>
      </c>
      <c r="H14984" s="171" t="s">
        <v>9325</v>
      </c>
      <c r="I14984" t="s">
        <v>1074</v>
      </c>
      <c r="J14984">
        <v>9.98</v>
      </c>
    </row>
    <row r="14985" spans="1:10" hidden="1">
      <c r="A14985" t="s">
        <v>9321</v>
      </c>
      <c r="B14985" t="s">
        <v>9322</v>
      </c>
      <c r="C14985" t="s">
        <v>6839</v>
      </c>
      <c r="D14985" t="s">
        <v>3850</v>
      </c>
      <c r="E14985" t="s">
        <v>557</v>
      </c>
      <c r="F14985" t="s">
        <v>1068</v>
      </c>
      <c r="G14985" t="s">
        <v>1075</v>
      </c>
      <c r="H14985">
        <v>2.0562231303251601E-2</v>
      </c>
      <c r="I14985" t="s">
        <v>1077</v>
      </c>
      <c r="J14985">
        <v>9.98</v>
      </c>
    </row>
    <row r="14986" spans="1:10" hidden="1">
      <c r="A14986" t="s">
        <v>9321</v>
      </c>
      <c r="B14986" t="s">
        <v>9322</v>
      </c>
      <c r="C14986" t="s">
        <v>6839</v>
      </c>
      <c r="D14986" t="s">
        <v>3850</v>
      </c>
      <c r="E14986" t="s">
        <v>557</v>
      </c>
      <c r="F14986" t="s">
        <v>1068</v>
      </c>
      <c r="G14986" t="s">
        <v>1078</v>
      </c>
      <c r="H14986" s="171" t="s">
        <v>9326</v>
      </c>
      <c r="I14986" t="s">
        <v>1079</v>
      </c>
      <c r="J14986">
        <v>9.98</v>
      </c>
    </row>
    <row r="14987" spans="1:10" hidden="1">
      <c r="A14987" t="s">
        <v>9321</v>
      </c>
      <c r="B14987" t="s">
        <v>9322</v>
      </c>
      <c r="C14987" t="s">
        <v>6839</v>
      </c>
      <c r="D14987" t="s">
        <v>3850</v>
      </c>
      <c r="E14987" t="s">
        <v>557</v>
      </c>
      <c r="F14987" t="s">
        <v>1068</v>
      </c>
      <c r="G14987" t="s">
        <v>1080</v>
      </c>
      <c r="H14987" s="171" t="s">
        <v>9327</v>
      </c>
      <c r="I14987" t="s">
        <v>1082</v>
      </c>
      <c r="J14987">
        <v>9.98</v>
      </c>
    </row>
    <row r="14988" spans="1:10" hidden="1">
      <c r="A14988" t="s">
        <v>9321</v>
      </c>
      <c r="B14988" t="s">
        <v>9322</v>
      </c>
      <c r="C14988" t="s">
        <v>6839</v>
      </c>
      <c r="D14988" t="s">
        <v>3850</v>
      </c>
      <c r="E14988" t="s">
        <v>557</v>
      </c>
      <c r="F14988" t="s">
        <v>1068</v>
      </c>
      <c r="G14988" t="s">
        <v>1083</v>
      </c>
      <c r="H14988" s="171" t="s">
        <v>9328</v>
      </c>
      <c r="I14988" t="s">
        <v>1084</v>
      </c>
      <c r="J14988">
        <v>9.98</v>
      </c>
    </row>
    <row r="14989" spans="1:10" hidden="1">
      <c r="A14989" t="s">
        <v>9321</v>
      </c>
      <c r="B14989" t="s">
        <v>9322</v>
      </c>
      <c r="C14989" t="s">
        <v>6839</v>
      </c>
      <c r="D14989" t="s">
        <v>3850</v>
      </c>
      <c r="E14989" t="s">
        <v>557</v>
      </c>
      <c r="F14989" t="s">
        <v>1068</v>
      </c>
      <c r="G14989" t="s">
        <v>1085</v>
      </c>
      <c r="H14989">
        <v>7.4272368455865199E-4</v>
      </c>
      <c r="I14989" t="s">
        <v>1086</v>
      </c>
      <c r="J14989">
        <v>9.98</v>
      </c>
    </row>
    <row r="14990" spans="1:10" hidden="1">
      <c r="A14990" t="s">
        <v>9321</v>
      </c>
      <c r="B14990" t="s">
        <v>9322</v>
      </c>
      <c r="C14990" t="s">
        <v>6839</v>
      </c>
      <c r="D14990" t="s">
        <v>3850</v>
      </c>
      <c r="E14990" t="s">
        <v>557</v>
      </c>
      <c r="F14990" t="s">
        <v>1068</v>
      </c>
      <c r="G14990" t="s">
        <v>1087</v>
      </c>
      <c r="H14990" s="171" t="s">
        <v>9329</v>
      </c>
      <c r="I14990" t="s">
        <v>1088</v>
      </c>
      <c r="J14990">
        <v>9.98</v>
      </c>
    </row>
    <row r="14991" spans="1:10" hidden="1">
      <c r="A14991" t="s">
        <v>9321</v>
      </c>
      <c r="B14991" t="s">
        <v>9322</v>
      </c>
      <c r="C14991" t="s">
        <v>6839</v>
      </c>
      <c r="D14991" t="s">
        <v>3850</v>
      </c>
      <c r="E14991" t="s">
        <v>557</v>
      </c>
      <c r="F14991" t="s">
        <v>1068</v>
      </c>
      <c r="G14991" t="s">
        <v>1089</v>
      </c>
      <c r="H14991">
        <v>2.2689604673627E-4</v>
      </c>
      <c r="I14991" t="s">
        <v>1090</v>
      </c>
      <c r="J14991">
        <v>9.98</v>
      </c>
    </row>
    <row r="14992" spans="1:10" hidden="1">
      <c r="A14992" t="s">
        <v>9330</v>
      </c>
      <c r="B14992" t="s">
        <v>9331</v>
      </c>
      <c r="C14992" t="s">
        <v>6839</v>
      </c>
      <c r="D14992" t="s">
        <v>3850</v>
      </c>
      <c r="E14992" t="s">
        <v>559</v>
      </c>
      <c r="F14992" t="s">
        <v>1068</v>
      </c>
      <c r="G14992" t="s">
        <v>1069</v>
      </c>
      <c r="H14992" s="171" t="s">
        <v>9332</v>
      </c>
      <c r="I14992" t="s">
        <v>1070</v>
      </c>
      <c r="J14992">
        <v>9</v>
      </c>
    </row>
    <row r="14993" spans="1:10" hidden="1">
      <c r="A14993" t="s">
        <v>9330</v>
      </c>
      <c r="B14993" t="s">
        <v>9331</v>
      </c>
      <c r="C14993" t="s">
        <v>6839</v>
      </c>
      <c r="D14993" t="s">
        <v>3850</v>
      </c>
      <c r="E14993" t="s">
        <v>559</v>
      </c>
      <c r="F14993" t="s">
        <v>1068</v>
      </c>
      <c r="G14993" t="s">
        <v>1071</v>
      </c>
      <c r="H14993" s="171" t="s">
        <v>9333</v>
      </c>
      <c r="I14993" t="s">
        <v>1072</v>
      </c>
      <c r="J14993">
        <v>9</v>
      </c>
    </row>
    <row r="14994" spans="1:10" hidden="1">
      <c r="A14994" t="s">
        <v>9330</v>
      </c>
      <c r="B14994" t="s">
        <v>9331</v>
      </c>
      <c r="C14994" t="s">
        <v>6839</v>
      </c>
      <c r="D14994" t="s">
        <v>3850</v>
      </c>
      <c r="E14994" t="s">
        <v>559</v>
      </c>
      <c r="F14994" t="s">
        <v>1068</v>
      </c>
      <c r="G14994" t="s">
        <v>1073</v>
      </c>
      <c r="H14994" s="171" t="s">
        <v>9334</v>
      </c>
      <c r="I14994" t="s">
        <v>1074</v>
      </c>
      <c r="J14994">
        <v>9</v>
      </c>
    </row>
    <row r="14995" spans="1:10" hidden="1">
      <c r="A14995" t="s">
        <v>9330</v>
      </c>
      <c r="B14995" t="s">
        <v>9331</v>
      </c>
      <c r="C14995" t="s">
        <v>6839</v>
      </c>
      <c r="D14995" t="s">
        <v>3850</v>
      </c>
      <c r="E14995" t="s">
        <v>559</v>
      </c>
      <c r="F14995" t="s">
        <v>1068</v>
      </c>
      <c r="G14995" t="s">
        <v>1075</v>
      </c>
      <c r="H14995" s="171" t="s">
        <v>9335</v>
      </c>
      <c r="I14995" t="s">
        <v>1077</v>
      </c>
      <c r="J14995">
        <v>9</v>
      </c>
    </row>
    <row r="14996" spans="1:10" hidden="1">
      <c r="A14996" t="s">
        <v>9330</v>
      </c>
      <c r="B14996" t="s">
        <v>9331</v>
      </c>
      <c r="C14996" t="s">
        <v>6839</v>
      </c>
      <c r="D14996" t="s">
        <v>3850</v>
      </c>
      <c r="E14996" t="s">
        <v>559</v>
      </c>
      <c r="F14996" t="s">
        <v>1068</v>
      </c>
      <c r="G14996" t="s">
        <v>1078</v>
      </c>
      <c r="H14996" s="171" t="s">
        <v>9336</v>
      </c>
      <c r="I14996" t="s">
        <v>1079</v>
      </c>
      <c r="J14996">
        <v>9</v>
      </c>
    </row>
    <row r="14997" spans="1:10" hidden="1">
      <c r="A14997" t="s">
        <v>9330</v>
      </c>
      <c r="B14997" t="s">
        <v>9331</v>
      </c>
      <c r="C14997" t="s">
        <v>6839</v>
      </c>
      <c r="D14997" t="s">
        <v>3850</v>
      </c>
      <c r="E14997" t="s">
        <v>559</v>
      </c>
      <c r="F14997" t="s">
        <v>1068</v>
      </c>
      <c r="G14997" t="s">
        <v>1080</v>
      </c>
      <c r="H14997" s="171" t="s">
        <v>9337</v>
      </c>
      <c r="I14997" t="s">
        <v>1082</v>
      </c>
      <c r="J14997">
        <v>9</v>
      </c>
    </row>
    <row r="14998" spans="1:10" hidden="1">
      <c r="A14998" t="s">
        <v>9330</v>
      </c>
      <c r="B14998" t="s">
        <v>9331</v>
      </c>
      <c r="C14998" t="s">
        <v>6839</v>
      </c>
      <c r="D14998" t="s">
        <v>3850</v>
      </c>
      <c r="E14998" t="s">
        <v>559</v>
      </c>
      <c r="F14998" t="s">
        <v>1068</v>
      </c>
      <c r="G14998" t="s">
        <v>1083</v>
      </c>
      <c r="H14998" s="171" t="s">
        <v>9338</v>
      </c>
      <c r="I14998" t="s">
        <v>1084</v>
      </c>
      <c r="J14998">
        <v>9</v>
      </c>
    </row>
    <row r="14999" spans="1:10" hidden="1">
      <c r="A14999" t="s">
        <v>9330</v>
      </c>
      <c r="B14999" t="s">
        <v>9331</v>
      </c>
      <c r="C14999" t="s">
        <v>6839</v>
      </c>
      <c r="D14999" t="s">
        <v>3850</v>
      </c>
      <c r="E14999" t="s">
        <v>559</v>
      </c>
      <c r="F14999" t="s">
        <v>1068</v>
      </c>
      <c r="G14999" t="s">
        <v>1085</v>
      </c>
      <c r="H14999">
        <v>7.4272426846837096E-4</v>
      </c>
      <c r="I14999" t="s">
        <v>1086</v>
      </c>
      <c r="J14999">
        <v>9</v>
      </c>
    </row>
    <row r="15000" spans="1:10" hidden="1">
      <c r="A15000" t="s">
        <v>9330</v>
      </c>
      <c r="B15000" t="s">
        <v>9331</v>
      </c>
      <c r="C15000" t="s">
        <v>6839</v>
      </c>
      <c r="D15000" t="s">
        <v>3850</v>
      </c>
      <c r="E15000" t="s">
        <v>559</v>
      </c>
      <c r="F15000" t="s">
        <v>1068</v>
      </c>
      <c r="G15000" t="s">
        <v>1087</v>
      </c>
      <c r="H15000" s="171" t="s">
        <v>9339</v>
      </c>
      <c r="I15000" t="s">
        <v>1088</v>
      </c>
      <c r="J15000">
        <v>9</v>
      </c>
    </row>
    <row r="15001" spans="1:10" hidden="1">
      <c r="A15001" t="s">
        <v>9330</v>
      </c>
      <c r="B15001" t="s">
        <v>9331</v>
      </c>
      <c r="C15001" t="s">
        <v>6839</v>
      </c>
      <c r="D15001" t="s">
        <v>3850</v>
      </c>
      <c r="E15001" t="s">
        <v>559</v>
      </c>
      <c r="F15001" t="s">
        <v>1068</v>
      </c>
      <c r="G15001" t="s">
        <v>1089</v>
      </c>
      <c r="H15001">
        <v>2.26896167221753E-4</v>
      </c>
      <c r="I15001" t="s">
        <v>1090</v>
      </c>
      <c r="J15001">
        <v>9</v>
      </c>
    </row>
    <row r="15002" spans="1:10" hidden="1">
      <c r="A15002" t="s">
        <v>9340</v>
      </c>
      <c r="B15002" t="s">
        <v>9341</v>
      </c>
      <c r="C15002" t="s">
        <v>6839</v>
      </c>
      <c r="D15002" t="s">
        <v>3850</v>
      </c>
      <c r="E15002" t="s">
        <v>560</v>
      </c>
      <c r="F15002" t="s">
        <v>1068</v>
      </c>
      <c r="G15002" t="s">
        <v>1069</v>
      </c>
      <c r="H15002">
        <v>4.7334640859890101E-2</v>
      </c>
      <c r="I15002" t="s">
        <v>1070</v>
      </c>
      <c r="J15002">
        <v>8.5500000000000007</v>
      </c>
    </row>
    <row r="15003" spans="1:10" hidden="1">
      <c r="A15003" t="s">
        <v>9340</v>
      </c>
      <c r="B15003" t="s">
        <v>9341</v>
      </c>
      <c r="C15003" t="s">
        <v>6839</v>
      </c>
      <c r="D15003" t="s">
        <v>3850</v>
      </c>
      <c r="E15003" t="s">
        <v>560</v>
      </c>
      <c r="F15003" t="s">
        <v>1068</v>
      </c>
      <c r="G15003" t="s">
        <v>1071</v>
      </c>
      <c r="H15003" s="171" t="s">
        <v>9342</v>
      </c>
      <c r="I15003" t="s">
        <v>1072</v>
      </c>
      <c r="J15003">
        <v>8.5500000000000007</v>
      </c>
    </row>
    <row r="15004" spans="1:10" hidden="1">
      <c r="A15004" t="s">
        <v>9340</v>
      </c>
      <c r="B15004" t="s">
        <v>9341</v>
      </c>
      <c r="C15004" t="s">
        <v>6839</v>
      </c>
      <c r="D15004" t="s">
        <v>3850</v>
      </c>
      <c r="E15004" t="s">
        <v>560</v>
      </c>
      <c r="F15004" t="s">
        <v>1068</v>
      </c>
      <c r="G15004" t="s">
        <v>1073</v>
      </c>
      <c r="H15004" s="171" t="s">
        <v>9343</v>
      </c>
      <c r="I15004" t="s">
        <v>1074</v>
      </c>
      <c r="J15004">
        <v>8.5500000000000007</v>
      </c>
    </row>
    <row r="15005" spans="1:10" hidden="1">
      <c r="A15005" t="s">
        <v>9340</v>
      </c>
      <c r="B15005" t="s">
        <v>9341</v>
      </c>
      <c r="C15005" t="s">
        <v>6839</v>
      </c>
      <c r="D15005" t="s">
        <v>3850</v>
      </c>
      <c r="E15005" t="s">
        <v>560</v>
      </c>
      <c r="F15005" t="s">
        <v>1068</v>
      </c>
      <c r="G15005" t="s">
        <v>1075</v>
      </c>
      <c r="H15005" s="171" t="s">
        <v>9344</v>
      </c>
      <c r="I15005" t="s">
        <v>1077</v>
      </c>
      <c r="J15005">
        <v>8.5500000000000007</v>
      </c>
    </row>
    <row r="15006" spans="1:10" hidden="1">
      <c r="A15006" t="s">
        <v>9340</v>
      </c>
      <c r="B15006" t="s">
        <v>9341</v>
      </c>
      <c r="C15006" t="s">
        <v>6839</v>
      </c>
      <c r="D15006" t="s">
        <v>3850</v>
      </c>
      <c r="E15006" t="s">
        <v>560</v>
      </c>
      <c r="F15006" t="s">
        <v>1068</v>
      </c>
      <c r="G15006" t="s">
        <v>1078</v>
      </c>
      <c r="H15006" s="171" t="s">
        <v>9345</v>
      </c>
      <c r="I15006" t="s">
        <v>1079</v>
      </c>
      <c r="J15006">
        <v>8.5500000000000007</v>
      </c>
    </row>
    <row r="15007" spans="1:10" hidden="1">
      <c r="A15007" t="s">
        <v>9340</v>
      </c>
      <c r="B15007" t="s">
        <v>9341</v>
      </c>
      <c r="C15007" t="s">
        <v>6839</v>
      </c>
      <c r="D15007" t="s">
        <v>3850</v>
      </c>
      <c r="E15007" t="s">
        <v>560</v>
      </c>
      <c r="F15007" t="s">
        <v>1068</v>
      </c>
      <c r="G15007" t="s">
        <v>1080</v>
      </c>
      <c r="H15007" s="171" t="s">
        <v>9346</v>
      </c>
      <c r="I15007" t="s">
        <v>1082</v>
      </c>
      <c r="J15007">
        <v>8.5500000000000007</v>
      </c>
    </row>
    <row r="15008" spans="1:10" hidden="1">
      <c r="A15008" t="s">
        <v>9340</v>
      </c>
      <c r="B15008" t="s">
        <v>9341</v>
      </c>
      <c r="C15008" t="s">
        <v>6839</v>
      </c>
      <c r="D15008" t="s">
        <v>3850</v>
      </c>
      <c r="E15008" t="s">
        <v>560</v>
      </c>
      <c r="F15008" t="s">
        <v>1068</v>
      </c>
      <c r="G15008" t="s">
        <v>1083</v>
      </c>
      <c r="H15008" s="171" t="s">
        <v>9347</v>
      </c>
      <c r="I15008" t="s">
        <v>1084</v>
      </c>
      <c r="J15008">
        <v>8.5500000000000007</v>
      </c>
    </row>
    <row r="15009" spans="1:10" hidden="1">
      <c r="A15009" t="s">
        <v>9340</v>
      </c>
      <c r="B15009" t="s">
        <v>9341</v>
      </c>
      <c r="C15009" t="s">
        <v>6839</v>
      </c>
      <c r="D15009" t="s">
        <v>3850</v>
      </c>
      <c r="E15009" t="s">
        <v>560</v>
      </c>
      <c r="F15009" t="s">
        <v>1068</v>
      </c>
      <c r="G15009" t="s">
        <v>1085</v>
      </c>
      <c r="H15009">
        <v>7.4272400900471803E-4</v>
      </c>
      <c r="I15009" t="s">
        <v>1086</v>
      </c>
      <c r="J15009">
        <v>8.5500000000000007</v>
      </c>
    </row>
    <row r="15010" spans="1:10" hidden="1">
      <c r="A15010" t="s">
        <v>9340</v>
      </c>
      <c r="B15010" t="s">
        <v>9341</v>
      </c>
      <c r="C15010" t="s">
        <v>6839</v>
      </c>
      <c r="D15010" t="s">
        <v>3850</v>
      </c>
      <c r="E15010" t="s">
        <v>560</v>
      </c>
      <c r="F15010" t="s">
        <v>1068</v>
      </c>
      <c r="G15010" t="s">
        <v>1087</v>
      </c>
      <c r="H15010" s="171" t="s">
        <v>9348</v>
      </c>
      <c r="I15010" t="s">
        <v>1088</v>
      </c>
      <c r="J15010">
        <v>8.5500000000000007</v>
      </c>
    </row>
    <row r="15011" spans="1:10" hidden="1">
      <c r="A15011" t="s">
        <v>9340</v>
      </c>
      <c r="B15011" t="s">
        <v>9341</v>
      </c>
      <c r="C15011" t="s">
        <v>6839</v>
      </c>
      <c r="D15011" t="s">
        <v>3850</v>
      </c>
      <c r="E15011" t="s">
        <v>560</v>
      </c>
      <c r="F15011" t="s">
        <v>1068</v>
      </c>
      <c r="G15011" t="s">
        <v>1089</v>
      </c>
      <c r="H15011">
        <v>2.2689611366885301E-4</v>
      </c>
      <c r="I15011" t="s">
        <v>1090</v>
      </c>
      <c r="J15011">
        <v>8.5500000000000007</v>
      </c>
    </row>
    <row r="15012" spans="1:10" hidden="1">
      <c r="A15012" t="s">
        <v>9349</v>
      </c>
      <c r="B15012" t="s">
        <v>9350</v>
      </c>
      <c r="C15012" t="s">
        <v>6839</v>
      </c>
      <c r="D15012" t="s">
        <v>3850</v>
      </c>
      <c r="E15012" t="s">
        <v>1116</v>
      </c>
      <c r="F15012" t="s">
        <v>1068</v>
      </c>
      <c r="G15012" t="s">
        <v>1069</v>
      </c>
      <c r="H15012" s="171" t="s">
        <v>9351</v>
      </c>
      <c r="I15012" t="s">
        <v>1070</v>
      </c>
      <c r="J15012">
        <v>8.86</v>
      </c>
    </row>
    <row r="15013" spans="1:10" hidden="1">
      <c r="A15013" t="s">
        <v>9349</v>
      </c>
      <c r="B15013" t="s">
        <v>9350</v>
      </c>
      <c r="C15013" t="s">
        <v>6839</v>
      </c>
      <c r="D15013" t="s">
        <v>3850</v>
      </c>
      <c r="E15013" t="s">
        <v>1116</v>
      </c>
      <c r="F15013" t="s">
        <v>1068</v>
      </c>
      <c r="G15013" t="s">
        <v>1071</v>
      </c>
      <c r="H15013" s="171" t="s">
        <v>9352</v>
      </c>
      <c r="I15013" t="s">
        <v>1072</v>
      </c>
      <c r="J15013">
        <v>8.86</v>
      </c>
    </row>
    <row r="15014" spans="1:10" hidden="1">
      <c r="A15014" t="s">
        <v>9349</v>
      </c>
      <c r="B15014" t="s">
        <v>9350</v>
      </c>
      <c r="C15014" t="s">
        <v>6839</v>
      </c>
      <c r="D15014" t="s">
        <v>3850</v>
      </c>
      <c r="E15014" t="s">
        <v>1116</v>
      </c>
      <c r="F15014" t="s">
        <v>1068</v>
      </c>
      <c r="G15014" t="s">
        <v>1073</v>
      </c>
      <c r="H15014" s="171" t="s">
        <v>9353</v>
      </c>
      <c r="I15014" t="s">
        <v>1074</v>
      </c>
      <c r="J15014">
        <v>8.86</v>
      </c>
    </row>
    <row r="15015" spans="1:10" hidden="1">
      <c r="A15015" t="s">
        <v>9349</v>
      </c>
      <c r="B15015" t="s">
        <v>9350</v>
      </c>
      <c r="C15015" t="s">
        <v>6839</v>
      </c>
      <c r="D15015" t="s">
        <v>3850</v>
      </c>
      <c r="E15015" t="s">
        <v>1116</v>
      </c>
      <c r="F15015" t="s">
        <v>1068</v>
      </c>
      <c r="G15015" t="s">
        <v>1075</v>
      </c>
      <c r="H15015">
        <v>2.0562219153548E-2</v>
      </c>
      <c r="I15015" t="s">
        <v>1077</v>
      </c>
      <c r="J15015">
        <v>8.86</v>
      </c>
    </row>
    <row r="15016" spans="1:10" hidden="1">
      <c r="A15016" t="s">
        <v>9349</v>
      </c>
      <c r="B15016" t="s">
        <v>9350</v>
      </c>
      <c r="C15016" t="s">
        <v>6839</v>
      </c>
      <c r="D15016" t="s">
        <v>3850</v>
      </c>
      <c r="E15016" t="s">
        <v>1116</v>
      </c>
      <c r="F15016" t="s">
        <v>1068</v>
      </c>
      <c r="G15016" t="s">
        <v>1078</v>
      </c>
      <c r="H15016" s="171" t="s">
        <v>9354</v>
      </c>
      <c r="I15016" t="s">
        <v>1079</v>
      </c>
      <c r="J15016">
        <v>8.86</v>
      </c>
    </row>
    <row r="15017" spans="1:10" hidden="1">
      <c r="A15017" t="s">
        <v>9349</v>
      </c>
      <c r="B15017" t="s">
        <v>9350</v>
      </c>
      <c r="C15017" t="s">
        <v>6839</v>
      </c>
      <c r="D15017" t="s">
        <v>3850</v>
      </c>
      <c r="E15017" t="s">
        <v>1116</v>
      </c>
      <c r="F15017" t="s">
        <v>1068</v>
      </c>
      <c r="G15017" t="s">
        <v>1080</v>
      </c>
      <c r="H15017" s="171" t="s">
        <v>9355</v>
      </c>
      <c r="I15017" t="s">
        <v>1082</v>
      </c>
      <c r="J15017">
        <v>8.86</v>
      </c>
    </row>
    <row r="15018" spans="1:10" hidden="1">
      <c r="A15018" t="s">
        <v>9349</v>
      </c>
      <c r="B15018" t="s">
        <v>9350</v>
      </c>
      <c r="C15018" t="s">
        <v>6839</v>
      </c>
      <c r="D15018" t="s">
        <v>3850</v>
      </c>
      <c r="E15018" t="s">
        <v>1116</v>
      </c>
      <c r="F15018" t="s">
        <v>1068</v>
      </c>
      <c r="G15018" t="s">
        <v>1083</v>
      </c>
      <c r="H15018" s="171" t="s">
        <v>9356</v>
      </c>
      <c r="I15018" t="s">
        <v>1084</v>
      </c>
      <c r="J15018">
        <v>8.86</v>
      </c>
    </row>
    <row r="15019" spans="1:10" hidden="1">
      <c r="A15019" t="s">
        <v>9349</v>
      </c>
      <c r="B15019" t="s">
        <v>9350</v>
      </c>
      <c r="C15019" t="s">
        <v>6839</v>
      </c>
      <c r="D15019" t="s">
        <v>3850</v>
      </c>
      <c r="E15019" t="s">
        <v>1116</v>
      </c>
      <c r="F15019" t="s">
        <v>1068</v>
      </c>
      <c r="G15019" t="s">
        <v>1085</v>
      </c>
      <c r="H15019">
        <v>7.4272302427828005E-4</v>
      </c>
      <c r="I15019" t="s">
        <v>1086</v>
      </c>
      <c r="J15019">
        <v>8.86</v>
      </c>
    </row>
    <row r="15020" spans="1:10" hidden="1">
      <c r="A15020" t="s">
        <v>9349</v>
      </c>
      <c r="B15020" t="s">
        <v>9350</v>
      </c>
      <c r="C15020" t="s">
        <v>6839</v>
      </c>
      <c r="D15020" t="s">
        <v>3850</v>
      </c>
      <c r="E15020" t="s">
        <v>1116</v>
      </c>
      <c r="F15020" t="s">
        <v>1068</v>
      </c>
      <c r="G15020" t="s">
        <v>1087</v>
      </c>
      <c r="H15020" s="171" t="s">
        <v>9357</v>
      </c>
      <c r="I15020" t="s">
        <v>1088</v>
      </c>
      <c r="J15020">
        <v>8.86</v>
      </c>
    </row>
    <row r="15021" spans="1:10" hidden="1">
      <c r="A15021" t="s">
        <v>9349</v>
      </c>
      <c r="B15021" t="s">
        <v>9350</v>
      </c>
      <c r="C15021" t="s">
        <v>6839</v>
      </c>
      <c r="D15021" t="s">
        <v>3850</v>
      </c>
      <c r="E15021" t="s">
        <v>1116</v>
      </c>
      <c r="F15021" t="s">
        <v>1068</v>
      </c>
      <c r="G15021" t="s">
        <v>1089</v>
      </c>
      <c r="H15021">
        <v>2.26895910521733E-4</v>
      </c>
      <c r="I15021" t="s">
        <v>1090</v>
      </c>
      <c r="J15021">
        <v>8.86</v>
      </c>
    </row>
    <row r="15022" spans="1:10" hidden="1">
      <c r="A15022" t="s">
        <v>9358</v>
      </c>
      <c r="B15022" t="s">
        <v>9359</v>
      </c>
      <c r="C15022" t="s">
        <v>6839</v>
      </c>
      <c r="D15022" t="s">
        <v>3936</v>
      </c>
      <c r="E15022" t="s">
        <v>561</v>
      </c>
      <c r="F15022" t="s">
        <v>1068</v>
      </c>
      <c r="G15022" t="s">
        <v>1069</v>
      </c>
      <c r="H15022">
        <v>4.3541029049898802E-2</v>
      </c>
      <c r="I15022" t="s">
        <v>1070</v>
      </c>
      <c r="J15022">
        <v>7.85</v>
      </c>
    </row>
    <row r="15023" spans="1:10" hidden="1">
      <c r="A15023" t="s">
        <v>9358</v>
      </c>
      <c r="B15023" t="s">
        <v>9359</v>
      </c>
      <c r="C15023" t="s">
        <v>6839</v>
      </c>
      <c r="D15023" t="s">
        <v>3936</v>
      </c>
      <c r="E15023" t="s">
        <v>561</v>
      </c>
      <c r="F15023" t="s">
        <v>1068</v>
      </c>
      <c r="G15023" t="s">
        <v>1071</v>
      </c>
      <c r="H15023" s="171" t="s">
        <v>9360</v>
      </c>
      <c r="I15023" t="s">
        <v>1072</v>
      </c>
      <c r="J15023">
        <v>7.85</v>
      </c>
    </row>
    <row r="15024" spans="1:10" hidden="1">
      <c r="A15024" t="s">
        <v>9358</v>
      </c>
      <c r="B15024" t="s">
        <v>9359</v>
      </c>
      <c r="C15024" t="s">
        <v>6839</v>
      </c>
      <c r="D15024" t="s">
        <v>3936</v>
      </c>
      <c r="E15024" t="s">
        <v>561</v>
      </c>
      <c r="F15024" t="s">
        <v>1068</v>
      </c>
      <c r="G15024" t="s">
        <v>1073</v>
      </c>
      <c r="H15024" s="171" t="s">
        <v>9361</v>
      </c>
      <c r="I15024" t="s">
        <v>1074</v>
      </c>
      <c r="J15024">
        <v>7.85</v>
      </c>
    </row>
    <row r="15025" spans="1:10" hidden="1">
      <c r="A15025" t="s">
        <v>9358</v>
      </c>
      <c r="B15025" t="s">
        <v>9359</v>
      </c>
      <c r="C15025" t="s">
        <v>6839</v>
      </c>
      <c r="D15025" t="s">
        <v>3936</v>
      </c>
      <c r="E15025" t="s">
        <v>561</v>
      </c>
      <c r="F15025" t="s">
        <v>1068</v>
      </c>
      <c r="G15025" t="s">
        <v>1075</v>
      </c>
      <c r="H15025">
        <v>2.8970026482542301E-2</v>
      </c>
      <c r="I15025" t="s">
        <v>1077</v>
      </c>
      <c r="J15025">
        <v>7.85</v>
      </c>
    </row>
    <row r="15026" spans="1:10" hidden="1">
      <c r="A15026" t="s">
        <v>9358</v>
      </c>
      <c r="B15026" t="s">
        <v>9359</v>
      </c>
      <c r="C15026" t="s">
        <v>6839</v>
      </c>
      <c r="D15026" t="s">
        <v>3936</v>
      </c>
      <c r="E15026" t="s">
        <v>561</v>
      </c>
      <c r="F15026" t="s">
        <v>1068</v>
      </c>
      <c r="G15026" t="s">
        <v>1078</v>
      </c>
      <c r="H15026" s="171" t="s">
        <v>9362</v>
      </c>
      <c r="I15026" t="s">
        <v>1079</v>
      </c>
      <c r="J15026">
        <v>7.85</v>
      </c>
    </row>
    <row r="15027" spans="1:10" hidden="1">
      <c r="A15027" t="s">
        <v>9358</v>
      </c>
      <c r="B15027" t="s">
        <v>9359</v>
      </c>
      <c r="C15027" t="s">
        <v>6839</v>
      </c>
      <c r="D15027" t="s">
        <v>3936</v>
      </c>
      <c r="E15027" t="s">
        <v>561</v>
      </c>
      <c r="F15027" t="s">
        <v>1068</v>
      </c>
      <c r="G15027" t="s">
        <v>1080</v>
      </c>
      <c r="H15027" s="171" t="s">
        <v>8208</v>
      </c>
      <c r="I15027" t="s">
        <v>1082</v>
      </c>
      <c r="J15027">
        <v>7.85</v>
      </c>
    </row>
    <row r="15028" spans="1:10" hidden="1">
      <c r="A15028" t="s">
        <v>9358</v>
      </c>
      <c r="B15028" t="s">
        <v>9359</v>
      </c>
      <c r="C15028" t="s">
        <v>6839</v>
      </c>
      <c r="D15028" t="s">
        <v>3936</v>
      </c>
      <c r="E15028" t="s">
        <v>561</v>
      </c>
      <c r="F15028" t="s">
        <v>1068</v>
      </c>
      <c r="G15028" t="s">
        <v>1083</v>
      </c>
      <c r="H15028" s="171" t="s">
        <v>9363</v>
      </c>
      <c r="I15028" t="s">
        <v>1084</v>
      </c>
      <c r="J15028">
        <v>7.85</v>
      </c>
    </row>
    <row r="15029" spans="1:10" hidden="1">
      <c r="A15029" t="s">
        <v>9358</v>
      </c>
      <c r="B15029" t="s">
        <v>9359</v>
      </c>
      <c r="C15029" t="s">
        <v>6839</v>
      </c>
      <c r="D15029" t="s">
        <v>3936</v>
      </c>
      <c r="E15029" t="s">
        <v>561</v>
      </c>
      <c r="F15029" t="s">
        <v>1068</v>
      </c>
      <c r="G15029" t="s">
        <v>1085</v>
      </c>
      <c r="H15029">
        <v>1.03519946765677E-3</v>
      </c>
      <c r="I15029" t="s">
        <v>1086</v>
      </c>
      <c r="J15029">
        <v>7.85</v>
      </c>
    </row>
    <row r="15030" spans="1:10" hidden="1">
      <c r="A15030" t="s">
        <v>9358</v>
      </c>
      <c r="B15030" t="s">
        <v>9359</v>
      </c>
      <c r="C15030" t="s">
        <v>6839</v>
      </c>
      <c r="D15030" t="s">
        <v>3936</v>
      </c>
      <c r="E15030" t="s">
        <v>561</v>
      </c>
      <c r="F15030" t="s">
        <v>1068</v>
      </c>
      <c r="G15030" t="s">
        <v>1087</v>
      </c>
      <c r="H15030" s="171" t="s">
        <v>8210</v>
      </c>
      <c r="I15030" t="s">
        <v>1088</v>
      </c>
      <c r="J15030">
        <v>7.85</v>
      </c>
    </row>
    <row r="15031" spans="1:10" hidden="1">
      <c r="A15031" t="s">
        <v>9358</v>
      </c>
      <c r="B15031" t="s">
        <v>9359</v>
      </c>
      <c r="C15031" t="s">
        <v>6839</v>
      </c>
      <c r="D15031" t="s">
        <v>3936</v>
      </c>
      <c r="E15031" t="s">
        <v>561</v>
      </c>
      <c r="F15031" t="s">
        <v>1068</v>
      </c>
      <c r="G15031" t="s">
        <v>1089</v>
      </c>
      <c r="H15031">
        <v>3.2060919226834699E-4</v>
      </c>
      <c r="I15031" t="s">
        <v>1090</v>
      </c>
      <c r="J15031">
        <v>7.85</v>
      </c>
    </row>
    <row r="15032" spans="1:10" hidden="1">
      <c r="A15032" t="s">
        <v>9364</v>
      </c>
      <c r="B15032" t="s">
        <v>9365</v>
      </c>
      <c r="C15032" t="s">
        <v>6839</v>
      </c>
      <c r="D15032" t="s">
        <v>3936</v>
      </c>
      <c r="E15032" t="s">
        <v>555</v>
      </c>
      <c r="F15032" t="s">
        <v>1068</v>
      </c>
      <c r="G15032" t="s">
        <v>1069</v>
      </c>
      <c r="H15032" s="171" t="s">
        <v>9366</v>
      </c>
      <c r="I15032" t="s">
        <v>1070</v>
      </c>
      <c r="J15032">
        <v>7.93</v>
      </c>
    </row>
    <row r="15033" spans="1:10" hidden="1">
      <c r="A15033" t="s">
        <v>9364</v>
      </c>
      <c r="B15033" t="s">
        <v>9365</v>
      </c>
      <c r="C15033" t="s">
        <v>6839</v>
      </c>
      <c r="D15033" t="s">
        <v>3936</v>
      </c>
      <c r="E15033" t="s">
        <v>555</v>
      </c>
      <c r="F15033" t="s">
        <v>1068</v>
      </c>
      <c r="G15033" t="s">
        <v>1071</v>
      </c>
      <c r="H15033" s="171" t="s">
        <v>9367</v>
      </c>
      <c r="I15033" t="s">
        <v>1072</v>
      </c>
      <c r="J15033">
        <v>7.93</v>
      </c>
    </row>
    <row r="15034" spans="1:10" hidden="1">
      <c r="A15034" t="s">
        <v>9364</v>
      </c>
      <c r="B15034" t="s">
        <v>9365</v>
      </c>
      <c r="C15034" t="s">
        <v>6839</v>
      </c>
      <c r="D15034" t="s">
        <v>3936</v>
      </c>
      <c r="E15034" t="s">
        <v>555</v>
      </c>
      <c r="F15034" t="s">
        <v>1068</v>
      </c>
      <c r="G15034" t="s">
        <v>1073</v>
      </c>
      <c r="H15034" s="171" t="s">
        <v>9368</v>
      </c>
      <c r="I15034" t="s">
        <v>1074</v>
      </c>
      <c r="J15034">
        <v>7.93</v>
      </c>
    </row>
    <row r="15035" spans="1:10" hidden="1">
      <c r="A15035" t="s">
        <v>9364</v>
      </c>
      <c r="B15035" t="s">
        <v>9365</v>
      </c>
      <c r="C15035" t="s">
        <v>6839</v>
      </c>
      <c r="D15035" t="s">
        <v>3936</v>
      </c>
      <c r="E15035" t="s">
        <v>555</v>
      </c>
      <c r="F15035" t="s">
        <v>1068</v>
      </c>
      <c r="G15035" t="s">
        <v>1075</v>
      </c>
      <c r="H15035" s="171" t="s">
        <v>9369</v>
      </c>
      <c r="I15035" t="s">
        <v>1077</v>
      </c>
      <c r="J15035">
        <v>7.93</v>
      </c>
    </row>
    <row r="15036" spans="1:10" hidden="1">
      <c r="A15036" t="s">
        <v>9364</v>
      </c>
      <c r="B15036" t="s">
        <v>9365</v>
      </c>
      <c r="C15036" t="s">
        <v>6839</v>
      </c>
      <c r="D15036" t="s">
        <v>3936</v>
      </c>
      <c r="E15036" t="s">
        <v>555</v>
      </c>
      <c r="F15036" t="s">
        <v>1068</v>
      </c>
      <c r="G15036" t="s">
        <v>1078</v>
      </c>
      <c r="H15036" s="171" t="s">
        <v>9370</v>
      </c>
      <c r="I15036" t="s">
        <v>1079</v>
      </c>
      <c r="J15036">
        <v>7.93</v>
      </c>
    </row>
    <row r="15037" spans="1:10" hidden="1">
      <c r="A15037" t="s">
        <v>9364</v>
      </c>
      <c r="B15037" t="s">
        <v>9365</v>
      </c>
      <c r="C15037" t="s">
        <v>6839</v>
      </c>
      <c r="D15037" t="s">
        <v>3936</v>
      </c>
      <c r="E15037" t="s">
        <v>555</v>
      </c>
      <c r="F15037" t="s">
        <v>1068</v>
      </c>
      <c r="G15037" t="s">
        <v>1080</v>
      </c>
      <c r="H15037" s="171" t="s">
        <v>9371</v>
      </c>
      <c r="I15037" t="s">
        <v>1082</v>
      </c>
      <c r="J15037">
        <v>7.93</v>
      </c>
    </row>
    <row r="15038" spans="1:10" hidden="1">
      <c r="A15038" t="s">
        <v>9364</v>
      </c>
      <c r="B15038" t="s">
        <v>9365</v>
      </c>
      <c r="C15038" t="s">
        <v>6839</v>
      </c>
      <c r="D15038" t="s">
        <v>3936</v>
      </c>
      <c r="E15038" t="s">
        <v>555</v>
      </c>
      <c r="F15038" t="s">
        <v>1068</v>
      </c>
      <c r="G15038" t="s">
        <v>1083</v>
      </c>
      <c r="H15038" s="171" t="s">
        <v>9372</v>
      </c>
      <c r="I15038" t="s">
        <v>1084</v>
      </c>
      <c r="J15038">
        <v>7.93</v>
      </c>
    </row>
    <row r="15039" spans="1:10" hidden="1">
      <c r="A15039" t="s">
        <v>9364</v>
      </c>
      <c r="B15039" t="s">
        <v>9365</v>
      </c>
      <c r="C15039" t="s">
        <v>6839</v>
      </c>
      <c r="D15039" t="s">
        <v>3936</v>
      </c>
      <c r="E15039" t="s">
        <v>555</v>
      </c>
      <c r="F15039" t="s">
        <v>1068</v>
      </c>
      <c r="G15039" t="s">
        <v>1085</v>
      </c>
      <c r="H15039">
        <v>1.03519980403446E-3</v>
      </c>
      <c r="I15039" t="s">
        <v>1086</v>
      </c>
      <c r="J15039">
        <v>7.93</v>
      </c>
    </row>
    <row r="15040" spans="1:10" hidden="1">
      <c r="A15040" t="s">
        <v>9364</v>
      </c>
      <c r="B15040" t="s">
        <v>9365</v>
      </c>
      <c r="C15040" t="s">
        <v>6839</v>
      </c>
      <c r="D15040" t="s">
        <v>3936</v>
      </c>
      <c r="E15040" t="s">
        <v>555</v>
      </c>
      <c r="F15040" t="s">
        <v>1068</v>
      </c>
      <c r="G15040" t="s">
        <v>1087</v>
      </c>
      <c r="H15040" s="171" t="s">
        <v>9373</v>
      </c>
      <c r="I15040" t="s">
        <v>1088</v>
      </c>
      <c r="J15040">
        <v>7.93</v>
      </c>
    </row>
    <row r="15041" spans="1:10" hidden="1">
      <c r="A15041" t="s">
        <v>9364</v>
      </c>
      <c r="B15041" t="s">
        <v>9365</v>
      </c>
      <c r="C15041" t="s">
        <v>6839</v>
      </c>
      <c r="D15041" t="s">
        <v>3936</v>
      </c>
      <c r="E15041" t="s">
        <v>555</v>
      </c>
      <c r="F15041" t="s">
        <v>1068</v>
      </c>
      <c r="G15041" t="s">
        <v>1089</v>
      </c>
      <c r="H15041">
        <v>3.2060926166779699E-4</v>
      </c>
      <c r="I15041" t="s">
        <v>1090</v>
      </c>
      <c r="J15041">
        <v>7.93</v>
      </c>
    </row>
    <row r="15042" spans="1:10" hidden="1">
      <c r="A15042" t="s">
        <v>9374</v>
      </c>
      <c r="B15042" t="s">
        <v>9375</v>
      </c>
      <c r="C15042" t="s">
        <v>6839</v>
      </c>
      <c r="D15042" t="s">
        <v>3936</v>
      </c>
      <c r="E15042" t="s">
        <v>558</v>
      </c>
      <c r="F15042" t="s">
        <v>1068</v>
      </c>
      <c r="G15042" t="s">
        <v>1069</v>
      </c>
      <c r="H15042">
        <v>4.35410126598351E-2</v>
      </c>
      <c r="I15042" t="s">
        <v>1070</v>
      </c>
      <c r="J15042">
        <v>8.84</v>
      </c>
    </row>
    <row r="15043" spans="1:10" hidden="1">
      <c r="A15043" t="s">
        <v>9374</v>
      </c>
      <c r="B15043" t="s">
        <v>9375</v>
      </c>
      <c r="C15043" t="s">
        <v>6839</v>
      </c>
      <c r="D15043" t="s">
        <v>3936</v>
      </c>
      <c r="E15043" t="s">
        <v>558</v>
      </c>
      <c r="F15043" t="s">
        <v>1068</v>
      </c>
      <c r="G15043" t="s">
        <v>1071</v>
      </c>
      <c r="H15043" s="171" t="s">
        <v>9376</v>
      </c>
      <c r="I15043" t="s">
        <v>1072</v>
      </c>
      <c r="J15043">
        <v>8.84</v>
      </c>
    </row>
    <row r="15044" spans="1:10" hidden="1">
      <c r="A15044" t="s">
        <v>9374</v>
      </c>
      <c r="B15044" t="s">
        <v>9375</v>
      </c>
      <c r="C15044" t="s">
        <v>6839</v>
      </c>
      <c r="D15044" t="s">
        <v>3936</v>
      </c>
      <c r="E15044" t="s">
        <v>558</v>
      </c>
      <c r="F15044" t="s">
        <v>1068</v>
      </c>
      <c r="G15044" t="s">
        <v>1073</v>
      </c>
      <c r="H15044" s="171" t="s">
        <v>9377</v>
      </c>
      <c r="I15044" t="s">
        <v>1074</v>
      </c>
      <c r="J15044">
        <v>8.84</v>
      </c>
    </row>
    <row r="15045" spans="1:10" hidden="1">
      <c r="A15045" t="s">
        <v>9374</v>
      </c>
      <c r="B15045" t="s">
        <v>9375</v>
      </c>
      <c r="C15045" t="s">
        <v>6839</v>
      </c>
      <c r="D15045" t="s">
        <v>3936</v>
      </c>
      <c r="E15045" t="s">
        <v>558</v>
      </c>
      <c r="F15045" t="s">
        <v>1068</v>
      </c>
      <c r="G15045" t="s">
        <v>1075</v>
      </c>
      <c r="H15045">
        <v>2.89700259644349E-2</v>
      </c>
      <c r="I15045" t="s">
        <v>1077</v>
      </c>
      <c r="J15045">
        <v>8.84</v>
      </c>
    </row>
    <row r="15046" spans="1:10" hidden="1">
      <c r="A15046" t="s">
        <v>9374</v>
      </c>
      <c r="B15046" t="s">
        <v>9375</v>
      </c>
      <c r="C15046" t="s">
        <v>6839</v>
      </c>
      <c r="D15046" t="s">
        <v>3936</v>
      </c>
      <c r="E15046" t="s">
        <v>558</v>
      </c>
      <c r="F15046" t="s">
        <v>1068</v>
      </c>
      <c r="G15046" t="s">
        <v>1078</v>
      </c>
      <c r="H15046" s="171" t="s">
        <v>9378</v>
      </c>
      <c r="I15046" t="s">
        <v>1079</v>
      </c>
      <c r="J15046">
        <v>8.84</v>
      </c>
    </row>
    <row r="15047" spans="1:10" hidden="1">
      <c r="A15047" t="s">
        <v>9374</v>
      </c>
      <c r="B15047" t="s">
        <v>9375</v>
      </c>
      <c r="C15047" t="s">
        <v>6839</v>
      </c>
      <c r="D15047" t="s">
        <v>3936</v>
      </c>
      <c r="E15047" t="s">
        <v>558</v>
      </c>
      <c r="F15047" t="s">
        <v>1068</v>
      </c>
      <c r="G15047" t="s">
        <v>1080</v>
      </c>
      <c r="H15047" s="171" t="s">
        <v>9379</v>
      </c>
      <c r="I15047" t="s">
        <v>1082</v>
      </c>
      <c r="J15047">
        <v>8.84</v>
      </c>
    </row>
    <row r="15048" spans="1:10" hidden="1">
      <c r="A15048" t="s">
        <v>9374</v>
      </c>
      <c r="B15048" t="s">
        <v>9375</v>
      </c>
      <c r="C15048" t="s">
        <v>6839</v>
      </c>
      <c r="D15048" t="s">
        <v>3936</v>
      </c>
      <c r="E15048" t="s">
        <v>558</v>
      </c>
      <c r="F15048" t="s">
        <v>1068</v>
      </c>
      <c r="G15048" t="s">
        <v>1083</v>
      </c>
      <c r="H15048" s="171" t="s">
        <v>9380</v>
      </c>
      <c r="I15048" t="s">
        <v>1084</v>
      </c>
      <c r="J15048">
        <v>8.84</v>
      </c>
    </row>
    <row r="15049" spans="1:10" hidden="1">
      <c r="A15049" t="s">
        <v>9374</v>
      </c>
      <c r="B15049" t="s">
        <v>9375</v>
      </c>
      <c r="C15049" t="s">
        <v>6839</v>
      </c>
      <c r="D15049" t="s">
        <v>3936</v>
      </c>
      <c r="E15049" t="s">
        <v>558</v>
      </c>
      <c r="F15049" t="s">
        <v>1068</v>
      </c>
      <c r="G15049" t="s">
        <v>1085</v>
      </c>
      <c r="H15049">
        <v>1.03519943950003E-3</v>
      </c>
      <c r="I15049" t="s">
        <v>1086</v>
      </c>
      <c r="J15049">
        <v>8.84</v>
      </c>
    </row>
    <row r="15050" spans="1:10" hidden="1">
      <c r="A15050" t="s">
        <v>9374</v>
      </c>
      <c r="B15050" t="s">
        <v>9375</v>
      </c>
      <c r="C15050" t="s">
        <v>6839</v>
      </c>
      <c r="D15050" t="s">
        <v>3936</v>
      </c>
      <c r="E15050" t="s">
        <v>558</v>
      </c>
      <c r="F15050" t="s">
        <v>1068</v>
      </c>
      <c r="G15050" t="s">
        <v>1087</v>
      </c>
      <c r="H15050" s="171" t="s">
        <v>8228</v>
      </c>
      <c r="I15050" t="s">
        <v>1088</v>
      </c>
      <c r="J15050">
        <v>8.84</v>
      </c>
    </row>
    <row r="15051" spans="1:10" hidden="1">
      <c r="A15051" t="s">
        <v>9374</v>
      </c>
      <c r="B15051" t="s">
        <v>9375</v>
      </c>
      <c r="C15051" t="s">
        <v>6839</v>
      </c>
      <c r="D15051" t="s">
        <v>3936</v>
      </c>
      <c r="E15051" t="s">
        <v>558</v>
      </c>
      <c r="F15051" t="s">
        <v>1068</v>
      </c>
      <c r="G15051" t="s">
        <v>1089</v>
      </c>
      <c r="H15051">
        <v>3.2060918645966598E-4</v>
      </c>
      <c r="I15051" t="s">
        <v>1090</v>
      </c>
      <c r="J15051">
        <v>8.84</v>
      </c>
    </row>
    <row r="15052" spans="1:10" hidden="1">
      <c r="A15052" t="s">
        <v>9381</v>
      </c>
      <c r="B15052" t="s">
        <v>9382</v>
      </c>
      <c r="C15052" t="s">
        <v>6839</v>
      </c>
      <c r="D15052" t="s">
        <v>3936</v>
      </c>
      <c r="E15052" t="s">
        <v>553</v>
      </c>
      <c r="F15052" t="s">
        <v>1068</v>
      </c>
      <c r="G15052" t="s">
        <v>1069</v>
      </c>
      <c r="H15052">
        <v>4.3541105358206801E-2</v>
      </c>
      <c r="I15052" t="s">
        <v>1070</v>
      </c>
      <c r="J15052">
        <v>7.8</v>
      </c>
    </row>
    <row r="15053" spans="1:10" hidden="1">
      <c r="A15053" t="s">
        <v>9381</v>
      </c>
      <c r="B15053" t="s">
        <v>9382</v>
      </c>
      <c r="C15053" t="s">
        <v>6839</v>
      </c>
      <c r="D15053" t="s">
        <v>3936</v>
      </c>
      <c r="E15053" t="s">
        <v>553</v>
      </c>
      <c r="F15053" t="s">
        <v>1068</v>
      </c>
      <c r="G15053" t="s">
        <v>1071</v>
      </c>
      <c r="H15053" s="171" t="s">
        <v>9383</v>
      </c>
      <c r="I15053" t="s">
        <v>1072</v>
      </c>
      <c r="J15053">
        <v>7.8</v>
      </c>
    </row>
    <row r="15054" spans="1:10" hidden="1">
      <c r="A15054" t="s">
        <v>9381</v>
      </c>
      <c r="B15054" t="s">
        <v>9382</v>
      </c>
      <c r="C15054" t="s">
        <v>6839</v>
      </c>
      <c r="D15054" t="s">
        <v>3936</v>
      </c>
      <c r="E15054" t="s">
        <v>553</v>
      </c>
      <c r="F15054" t="s">
        <v>1068</v>
      </c>
      <c r="G15054" t="s">
        <v>1073</v>
      </c>
      <c r="H15054" s="171" t="s">
        <v>9384</v>
      </c>
      <c r="I15054" t="s">
        <v>1074</v>
      </c>
      <c r="J15054">
        <v>7.8</v>
      </c>
    </row>
    <row r="15055" spans="1:10" hidden="1">
      <c r="A15055" t="s">
        <v>9381</v>
      </c>
      <c r="B15055" t="s">
        <v>9382</v>
      </c>
      <c r="C15055" t="s">
        <v>6839</v>
      </c>
      <c r="D15055" t="s">
        <v>3936</v>
      </c>
      <c r="E15055" t="s">
        <v>553</v>
      </c>
      <c r="F15055" t="s">
        <v>1068</v>
      </c>
      <c r="G15055" t="s">
        <v>1075</v>
      </c>
      <c r="H15055">
        <v>2.8970025754428599E-2</v>
      </c>
      <c r="I15055" t="s">
        <v>1077</v>
      </c>
      <c r="J15055">
        <v>7.8</v>
      </c>
    </row>
    <row r="15056" spans="1:10" hidden="1">
      <c r="A15056" t="s">
        <v>9381</v>
      </c>
      <c r="B15056" t="s">
        <v>9382</v>
      </c>
      <c r="C15056" t="s">
        <v>6839</v>
      </c>
      <c r="D15056" t="s">
        <v>3936</v>
      </c>
      <c r="E15056" t="s">
        <v>553</v>
      </c>
      <c r="F15056" t="s">
        <v>1068</v>
      </c>
      <c r="G15056" t="s">
        <v>1078</v>
      </c>
      <c r="H15056" s="171" t="s">
        <v>9385</v>
      </c>
      <c r="I15056" t="s">
        <v>1079</v>
      </c>
      <c r="J15056">
        <v>7.8</v>
      </c>
    </row>
    <row r="15057" spans="1:10" hidden="1">
      <c r="A15057" t="s">
        <v>9381</v>
      </c>
      <c r="B15057" t="s">
        <v>9382</v>
      </c>
      <c r="C15057" t="s">
        <v>6839</v>
      </c>
      <c r="D15057" t="s">
        <v>3936</v>
      </c>
      <c r="E15057" t="s">
        <v>553</v>
      </c>
      <c r="F15057" t="s">
        <v>1068</v>
      </c>
      <c r="G15057" t="s">
        <v>1080</v>
      </c>
      <c r="H15057" s="171" t="s">
        <v>8235</v>
      </c>
      <c r="I15057" t="s">
        <v>1082</v>
      </c>
      <c r="J15057">
        <v>7.8</v>
      </c>
    </row>
    <row r="15058" spans="1:10" hidden="1">
      <c r="A15058" t="s">
        <v>9381</v>
      </c>
      <c r="B15058" t="s">
        <v>9382</v>
      </c>
      <c r="C15058" t="s">
        <v>6839</v>
      </c>
      <c r="D15058" t="s">
        <v>3936</v>
      </c>
      <c r="E15058" t="s">
        <v>553</v>
      </c>
      <c r="F15058" t="s">
        <v>1068</v>
      </c>
      <c r="G15058" t="s">
        <v>1083</v>
      </c>
      <c r="H15058" s="171" t="s">
        <v>9386</v>
      </c>
      <c r="I15058" t="s">
        <v>1084</v>
      </c>
      <c r="J15058">
        <v>7.8</v>
      </c>
    </row>
    <row r="15059" spans="1:10" hidden="1">
      <c r="A15059" t="s">
        <v>9381</v>
      </c>
      <c r="B15059" t="s">
        <v>9382</v>
      </c>
      <c r="C15059" t="s">
        <v>6839</v>
      </c>
      <c r="D15059" t="s">
        <v>3936</v>
      </c>
      <c r="E15059" t="s">
        <v>553</v>
      </c>
      <c r="F15059" t="s">
        <v>1068</v>
      </c>
      <c r="G15059" t="s">
        <v>1085</v>
      </c>
      <c r="H15059">
        <v>1.0351994280295E-3</v>
      </c>
      <c r="I15059" t="s">
        <v>1086</v>
      </c>
      <c r="J15059">
        <v>7.8</v>
      </c>
    </row>
    <row r="15060" spans="1:10" hidden="1">
      <c r="A15060" t="s">
        <v>9381</v>
      </c>
      <c r="B15060" t="s">
        <v>9382</v>
      </c>
      <c r="C15060" t="s">
        <v>6839</v>
      </c>
      <c r="D15060" t="s">
        <v>3936</v>
      </c>
      <c r="E15060" t="s">
        <v>553</v>
      </c>
      <c r="F15060" t="s">
        <v>1068</v>
      </c>
      <c r="G15060" t="s">
        <v>1087</v>
      </c>
      <c r="H15060" s="171" t="s">
        <v>8237</v>
      </c>
      <c r="I15060" t="s">
        <v>1088</v>
      </c>
      <c r="J15060">
        <v>7.8</v>
      </c>
    </row>
    <row r="15061" spans="1:10" hidden="1">
      <c r="A15061" t="s">
        <v>9381</v>
      </c>
      <c r="B15061" t="s">
        <v>9382</v>
      </c>
      <c r="C15061" t="s">
        <v>6839</v>
      </c>
      <c r="D15061" t="s">
        <v>3936</v>
      </c>
      <c r="E15061" t="s">
        <v>553</v>
      </c>
      <c r="F15061" t="s">
        <v>1068</v>
      </c>
      <c r="G15061" t="s">
        <v>1089</v>
      </c>
      <c r="H15061">
        <v>3.2060918409871503E-4</v>
      </c>
      <c r="I15061" t="s">
        <v>1090</v>
      </c>
      <c r="J15061">
        <v>7.8</v>
      </c>
    </row>
    <row r="15062" spans="1:10" hidden="1">
      <c r="A15062" t="s">
        <v>9387</v>
      </c>
      <c r="B15062" t="s">
        <v>9388</v>
      </c>
      <c r="C15062" t="s">
        <v>6839</v>
      </c>
      <c r="D15062" t="s">
        <v>3936</v>
      </c>
      <c r="E15062" t="s">
        <v>556</v>
      </c>
      <c r="F15062" t="s">
        <v>1068</v>
      </c>
      <c r="G15062" t="s">
        <v>1069</v>
      </c>
      <c r="H15062" s="171" t="s">
        <v>9389</v>
      </c>
      <c r="I15062" t="s">
        <v>1070</v>
      </c>
      <c r="J15062">
        <v>7.54</v>
      </c>
    </row>
    <row r="15063" spans="1:10" hidden="1">
      <c r="A15063" t="s">
        <v>9387</v>
      </c>
      <c r="B15063" t="s">
        <v>9388</v>
      </c>
      <c r="C15063" t="s">
        <v>6839</v>
      </c>
      <c r="D15063" t="s">
        <v>3936</v>
      </c>
      <c r="E15063" t="s">
        <v>556</v>
      </c>
      <c r="F15063" t="s">
        <v>1068</v>
      </c>
      <c r="G15063" t="s">
        <v>1071</v>
      </c>
      <c r="H15063" s="171" t="s">
        <v>9390</v>
      </c>
      <c r="I15063" t="s">
        <v>1072</v>
      </c>
      <c r="J15063">
        <v>7.54</v>
      </c>
    </row>
    <row r="15064" spans="1:10" hidden="1">
      <c r="A15064" t="s">
        <v>9387</v>
      </c>
      <c r="B15064" t="s">
        <v>9388</v>
      </c>
      <c r="C15064" t="s">
        <v>6839</v>
      </c>
      <c r="D15064" t="s">
        <v>3936</v>
      </c>
      <c r="E15064" t="s">
        <v>556</v>
      </c>
      <c r="F15064" t="s">
        <v>1068</v>
      </c>
      <c r="G15064" t="s">
        <v>1073</v>
      </c>
      <c r="H15064" s="171" t="s">
        <v>9391</v>
      </c>
      <c r="I15064" t="s">
        <v>1074</v>
      </c>
      <c r="J15064">
        <v>7.54</v>
      </c>
    </row>
    <row r="15065" spans="1:10" hidden="1">
      <c r="A15065" t="s">
        <v>9387</v>
      </c>
      <c r="B15065" t="s">
        <v>9388</v>
      </c>
      <c r="C15065" t="s">
        <v>6839</v>
      </c>
      <c r="D15065" t="s">
        <v>3936</v>
      </c>
      <c r="E15065" t="s">
        <v>556</v>
      </c>
      <c r="F15065" t="s">
        <v>1068</v>
      </c>
      <c r="G15065" t="s">
        <v>1075</v>
      </c>
      <c r="H15065" s="171" t="s">
        <v>9392</v>
      </c>
      <c r="I15065" t="s">
        <v>1077</v>
      </c>
      <c r="J15065">
        <v>7.54</v>
      </c>
    </row>
    <row r="15066" spans="1:10" hidden="1">
      <c r="A15066" t="s">
        <v>9387</v>
      </c>
      <c r="B15066" t="s">
        <v>9388</v>
      </c>
      <c r="C15066" t="s">
        <v>6839</v>
      </c>
      <c r="D15066" t="s">
        <v>3936</v>
      </c>
      <c r="E15066" t="s">
        <v>556</v>
      </c>
      <c r="F15066" t="s">
        <v>1068</v>
      </c>
      <c r="G15066" t="s">
        <v>1078</v>
      </c>
      <c r="H15066" s="171" t="s">
        <v>9393</v>
      </c>
      <c r="I15066" t="s">
        <v>1079</v>
      </c>
      <c r="J15066">
        <v>7.54</v>
      </c>
    </row>
    <row r="15067" spans="1:10" hidden="1">
      <c r="A15067" t="s">
        <v>9387</v>
      </c>
      <c r="B15067" t="s">
        <v>9388</v>
      </c>
      <c r="C15067" t="s">
        <v>6839</v>
      </c>
      <c r="D15067" t="s">
        <v>3936</v>
      </c>
      <c r="E15067" t="s">
        <v>556</v>
      </c>
      <c r="F15067" t="s">
        <v>1068</v>
      </c>
      <c r="G15067" t="s">
        <v>1080</v>
      </c>
      <c r="H15067" s="171" t="s">
        <v>9394</v>
      </c>
      <c r="I15067" t="s">
        <v>1082</v>
      </c>
      <c r="J15067">
        <v>7.54</v>
      </c>
    </row>
    <row r="15068" spans="1:10" hidden="1">
      <c r="A15068" t="s">
        <v>9387</v>
      </c>
      <c r="B15068" t="s">
        <v>9388</v>
      </c>
      <c r="C15068" t="s">
        <v>6839</v>
      </c>
      <c r="D15068" t="s">
        <v>3936</v>
      </c>
      <c r="E15068" t="s">
        <v>556</v>
      </c>
      <c r="F15068" t="s">
        <v>1068</v>
      </c>
      <c r="G15068" t="s">
        <v>1083</v>
      </c>
      <c r="H15068" s="171" t="s">
        <v>9395</v>
      </c>
      <c r="I15068" t="s">
        <v>1084</v>
      </c>
      <c r="J15068">
        <v>7.54</v>
      </c>
    </row>
    <row r="15069" spans="1:10" hidden="1">
      <c r="A15069" t="s">
        <v>9387</v>
      </c>
      <c r="B15069" t="s">
        <v>9388</v>
      </c>
      <c r="C15069" t="s">
        <v>6839</v>
      </c>
      <c r="D15069" t="s">
        <v>3936</v>
      </c>
      <c r="E15069" t="s">
        <v>556</v>
      </c>
      <c r="F15069" t="s">
        <v>1068</v>
      </c>
      <c r="G15069" t="s">
        <v>1085</v>
      </c>
      <c r="H15069">
        <v>1.03519976869291E-3</v>
      </c>
      <c r="I15069" t="s">
        <v>1086</v>
      </c>
      <c r="J15069">
        <v>7.54</v>
      </c>
    </row>
    <row r="15070" spans="1:10" hidden="1">
      <c r="A15070" t="s">
        <v>9387</v>
      </c>
      <c r="B15070" t="s">
        <v>9388</v>
      </c>
      <c r="C15070" t="s">
        <v>6839</v>
      </c>
      <c r="D15070" t="s">
        <v>3936</v>
      </c>
      <c r="E15070" t="s">
        <v>556</v>
      </c>
      <c r="F15070" t="s">
        <v>1068</v>
      </c>
      <c r="G15070" t="s">
        <v>1087</v>
      </c>
      <c r="H15070" s="171" t="s">
        <v>9396</v>
      </c>
      <c r="I15070" t="s">
        <v>1088</v>
      </c>
      <c r="J15070">
        <v>7.54</v>
      </c>
    </row>
    <row r="15071" spans="1:10" hidden="1">
      <c r="A15071" t="s">
        <v>9387</v>
      </c>
      <c r="B15071" t="s">
        <v>9388</v>
      </c>
      <c r="C15071" t="s">
        <v>6839</v>
      </c>
      <c r="D15071" t="s">
        <v>3936</v>
      </c>
      <c r="E15071" t="s">
        <v>556</v>
      </c>
      <c r="F15071" t="s">
        <v>1068</v>
      </c>
      <c r="G15071" t="s">
        <v>1089</v>
      </c>
      <c r="H15071">
        <v>3.2060925437690498E-4</v>
      </c>
      <c r="I15071" t="s">
        <v>1090</v>
      </c>
      <c r="J15071">
        <v>7.54</v>
      </c>
    </row>
    <row r="15072" spans="1:10" hidden="1">
      <c r="A15072" t="s">
        <v>9397</v>
      </c>
      <c r="B15072" t="s">
        <v>9398</v>
      </c>
      <c r="C15072" t="s">
        <v>6839</v>
      </c>
      <c r="D15072" t="s">
        <v>3936</v>
      </c>
      <c r="E15072" t="s">
        <v>557</v>
      </c>
      <c r="F15072" t="s">
        <v>1068</v>
      </c>
      <c r="G15072" t="s">
        <v>1069</v>
      </c>
      <c r="H15072" s="171" t="s">
        <v>9399</v>
      </c>
      <c r="I15072" t="s">
        <v>1070</v>
      </c>
      <c r="J15072">
        <v>7.95</v>
      </c>
    </row>
    <row r="15073" spans="1:10" hidden="1">
      <c r="A15073" t="s">
        <v>9397</v>
      </c>
      <c r="B15073" t="s">
        <v>9398</v>
      </c>
      <c r="C15073" t="s">
        <v>6839</v>
      </c>
      <c r="D15073" t="s">
        <v>3936</v>
      </c>
      <c r="E15073" t="s">
        <v>557</v>
      </c>
      <c r="F15073" t="s">
        <v>1068</v>
      </c>
      <c r="G15073" t="s">
        <v>1071</v>
      </c>
      <c r="H15073" s="171" t="s">
        <v>9400</v>
      </c>
      <c r="I15073" t="s">
        <v>1072</v>
      </c>
      <c r="J15073">
        <v>7.95</v>
      </c>
    </row>
    <row r="15074" spans="1:10" hidden="1">
      <c r="A15074" t="s">
        <v>9397</v>
      </c>
      <c r="B15074" t="s">
        <v>9398</v>
      </c>
      <c r="C15074" t="s">
        <v>6839</v>
      </c>
      <c r="D15074" t="s">
        <v>3936</v>
      </c>
      <c r="E15074" t="s">
        <v>557</v>
      </c>
      <c r="F15074" t="s">
        <v>1068</v>
      </c>
      <c r="G15074" t="s">
        <v>1073</v>
      </c>
      <c r="H15074" s="171" t="s">
        <v>9401</v>
      </c>
      <c r="I15074" t="s">
        <v>1074</v>
      </c>
      <c r="J15074">
        <v>7.95</v>
      </c>
    </row>
    <row r="15075" spans="1:10" hidden="1">
      <c r="A15075" t="s">
        <v>9397</v>
      </c>
      <c r="B15075" t="s">
        <v>9398</v>
      </c>
      <c r="C15075" t="s">
        <v>6839</v>
      </c>
      <c r="D15075" t="s">
        <v>3936</v>
      </c>
      <c r="E15075" t="s">
        <v>557</v>
      </c>
      <c r="F15075" t="s">
        <v>1068</v>
      </c>
      <c r="G15075" t="s">
        <v>1075</v>
      </c>
      <c r="H15075">
        <v>2.8970028104443501E-2</v>
      </c>
      <c r="I15075" t="s">
        <v>1077</v>
      </c>
      <c r="J15075">
        <v>7.95</v>
      </c>
    </row>
    <row r="15076" spans="1:10" hidden="1">
      <c r="A15076" t="s">
        <v>9397</v>
      </c>
      <c r="B15076" t="s">
        <v>9398</v>
      </c>
      <c r="C15076" t="s">
        <v>6839</v>
      </c>
      <c r="D15076" t="s">
        <v>3936</v>
      </c>
      <c r="E15076" t="s">
        <v>557</v>
      </c>
      <c r="F15076" t="s">
        <v>1068</v>
      </c>
      <c r="G15076" t="s">
        <v>1078</v>
      </c>
      <c r="H15076" s="171" t="s">
        <v>9402</v>
      </c>
      <c r="I15076" t="s">
        <v>1079</v>
      </c>
      <c r="J15076">
        <v>7.95</v>
      </c>
    </row>
    <row r="15077" spans="1:10" hidden="1">
      <c r="A15077" t="s">
        <v>9397</v>
      </c>
      <c r="B15077" t="s">
        <v>9398</v>
      </c>
      <c r="C15077" t="s">
        <v>6839</v>
      </c>
      <c r="D15077" t="s">
        <v>3936</v>
      </c>
      <c r="E15077" t="s">
        <v>557</v>
      </c>
      <c r="F15077" t="s">
        <v>1068</v>
      </c>
      <c r="G15077" t="s">
        <v>1080</v>
      </c>
      <c r="H15077" s="171" t="s">
        <v>9403</v>
      </c>
      <c r="I15077" t="s">
        <v>1082</v>
      </c>
      <c r="J15077">
        <v>7.95</v>
      </c>
    </row>
    <row r="15078" spans="1:10" hidden="1">
      <c r="A15078" t="s">
        <v>9397</v>
      </c>
      <c r="B15078" t="s">
        <v>9398</v>
      </c>
      <c r="C15078" t="s">
        <v>6839</v>
      </c>
      <c r="D15078" t="s">
        <v>3936</v>
      </c>
      <c r="E15078" t="s">
        <v>557</v>
      </c>
      <c r="F15078" t="s">
        <v>1068</v>
      </c>
      <c r="G15078" t="s">
        <v>1083</v>
      </c>
      <c r="H15078" s="171" t="s">
        <v>9404</v>
      </c>
      <c r="I15078" t="s">
        <v>1084</v>
      </c>
      <c r="J15078">
        <v>7.95</v>
      </c>
    </row>
    <row r="15079" spans="1:10" hidden="1">
      <c r="A15079" t="s">
        <v>9397</v>
      </c>
      <c r="B15079" t="s">
        <v>9398</v>
      </c>
      <c r="C15079" t="s">
        <v>6839</v>
      </c>
      <c r="D15079" t="s">
        <v>3936</v>
      </c>
      <c r="E15079" t="s">
        <v>557</v>
      </c>
      <c r="F15079" t="s">
        <v>1068</v>
      </c>
      <c r="G15079" t="s">
        <v>1085</v>
      </c>
      <c r="H15079">
        <v>1.0351995557996299E-3</v>
      </c>
      <c r="I15079" t="s">
        <v>1086</v>
      </c>
      <c r="J15079">
        <v>7.95</v>
      </c>
    </row>
    <row r="15080" spans="1:10" hidden="1">
      <c r="A15080" t="s">
        <v>9397</v>
      </c>
      <c r="B15080" t="s">
        <v>9398</v>
      </c>
      <c r="C15080" t="s">
        <v>6839</v>
      </c>
      <c r="D15080" t="s">
        <v>3936</v>
      </c>
      <c r="E15080" t="s">
        <v>557</v>
      </c>
      <c r="F15080" t="s">
        <v>1068</v>
      </c>
      <c r="G15080" t="s">
        <v>1087</v>
      </c>
      <c r="H15080" s="171" t="s">
        <v>9405</v>
      </c>
      <c r="I15080" t="s">
        <v>1088</v>
      </c>
      <c r="J15080">
        <v>7.95</v>
      </c>
    </row>
    <row r="15081" spans="1:10" hidden="1">
      <c r="A15081" t="s">
        <v>9397</v>
      </c>
      <c r="B15081" t="s">
        <v>9398</v>
      </c>
      <c r="C15081" t="s">
        <v>6839</v>
      </c>
      <c r="D15081" t="s">
        <v>3936</v>
      </c>
      <c r="E15081" t="s">
        <v>557</v>
      </c>
      <c r="F15081" t="s">
        <v>1068</v>
      </c>
      <c r="G15081" t="s">
        <v>1089</v>
      </c>
      <c r="H15081">
        <v>3.20609210452044E-4</v>
      </c>
      <c r="I15081" t="s">
        <v>1090</v>
      </c>
      <c r="J15081">
        <v>7.95</v>
      </c>
    </row>
    <row r="15082" spans="1:10" hidden="1">
      <c r="A15082" t="s">
        <v>9406</v>
      </c>
      <c r="B15082" t="s">
        <v>9407</v>
      </c>
      <c r="C15082" t="s">
        <v>6839</v>
      </c>
      <c r="D15082" t="s">
        <v>3936</v>
      </c>
      <c r="E15082" t="s">
        <v>559</v>
      </c>
      <c r="F15082" t="s">
        <v>1068</v>
      </c>
      <c r="G15082" t="s">
        <v>1069</v>
      </c>
      <c r="H15082">
        <v>4.3541244715389803E-2</v>
      </c>
      <c r="I15082" t="s">
        <v>1070</v>
      </c>
      <c r="J15082">
        <v>9.2100000000000009</v>
      </c>
    </row>
    <row r="15083" spans="1:10" hidden="1">
      <c r="A15083" t="s">
        <v>9406</v>
      </c>
      <c r="B15083" t="s">
        <v>9407</v>
      </c>
      <c r="C15083" t="s">
        <v>6839</v>
      </c>
      <c r="D15083" t="s">
        <v>3936</v>
      </c>
      <c r="E15083" t="s">
        <v>559</v>
      </c>
      <c r="F15083" t="s">
        <v>1068</v>
      </c>
      <c r="G15083" t="s">
        <v>1071</v>
      </c>
      <c r="H15083" s="171" t="s">
        <v>9408</v>
      </c>
      <c r="I15083" t="s">
        <v>1072</v>
      </c>
      <c r="J15083">
        <v>9.2100000000000009</v>
      </c>
    </row>
    <row r="15084" spans="1:10" hidden="1">
      <c r="A15084" t="s">
        <v>9406</v>
      </c>
      <c r="B15084" t="s">
        <v>9407</v>
      </c>
      <c r="C15084" t="s">
        <v>6839</v>
      </c>
      <c r="D15084" t="s">
        <v>3936</v>
      </c>
      <c r="E15084" t="s">
        <v>559</v>
      </c>
      <c r="F15084" t="s">
        <v>1068</v>
      </c>
      <c r="G15084" t="s">
        <v>1073</v>
      </c>
      <c r="H15084" s="171" t="s">
        <v>9409</v>
      </c>
      <c r="I15084" t="s">
        <v>1074</v>
      </c>
      <c r="J15084">
        <v>9.2100000000000009</v>
      </c>
    </row>
    <row r="15085" spans="1:10" hidden="1">
      <c r="A15085" t="s">
        <v>9406</v>
      </c>
      <c r="B15085" t="s">
        <v>9407</v>
      </c>
      <c r="C15085" t="s">
        <v>6839</v>
      </c>
      <c r="D15085" t="s">
        <v>3936</v>
      </c>
      <c r="E15085" t="s">
        <v>559</v>
      </c>
      <c r="F15085" t="s">
        <v>1068</v>
      </c>
      <c r="G15085" t="s">
        <v>1075</v>
      </c>
      <c r="H15085" s="171" t="s">
        <v>9410</v>
      </c>
      <c r="I15085" t="s">
        <v>1077</v>
      </c>
      <c r="J15085">
        <v>9.2100000000000009</v>
      </c>
    </row>
    <row r="15086" spans="1:10" hidden="1">
      <c r="A15086" t="s">
        <v>9406</v>
      </c>
      <c r="B15086" t="s">
        <v>9407</v>
      </c>
      <c r="C15086" t="s">
        <v>6839</v>
      </c>
      <c r="D15086" t="s">
        <v>3936</v>
      </c>
      <c r="E15086" t="s">
        <v>559</v>
      </c>
      <c r="F15086" t="s">
        <v>1068</v>
      </c>
      <c r="G15086" t="s">
        <v>1078</v>
      </c>
      <c r="H15086" s="171" t="s">
        <v>9411</v>
      </c>
      <c r="I15086" t="s">
        <v>1079</v>
      </c>
      <c r="J15086">
        <v>9.2100000000000009</v>
      </c>
    </row>
    <row r="15087" spans="1:10" hidden="1">
      <c r="A15087" t="s">
        <v>9406</v>
      </c>
      <c r="B15087" t="s">
        <v>9407</v>
      </c>
      <c r="C15087" t="s">
        <v>6839</v>
      </c>
      <c r="D15087" t="s">
        <v>3936</v>
      </c>
      <c r="E15087" t="s">
        <v>559</v>
      </c>
      <c r="F15087" t="s">
        <v>1068</v>
      </c>
      <c r="G15087" t="s">
        <v>1080</v>
      </c>
      <c r="H15087" s="171" t="s">
        <v>8262</v>
      </c>
      <c r="I15087" t="s">
        <v>1082</v>
      </c>
      <c r="J15087">
        <v>9.2100000000000009</v>
      </c>
    </row>
    <row r="15088" spans="1:10" hidden="1">
      <c r="A15088" t="s">
        <v>9406</v>
      </c>
      <c r="B15088" t="s">
        <v>9407</v>
      </c>
      <c r="C15088" t="s">
        <v>6839</v>
      </c>
      <c r="D15088" t="s">
        <v>3936</v>
      </c>
      <c r="E15088" t="s">
        <v>559</v>
      </c>
      <c r="F15088" t="s">
        <v>1068</v>
      </c>
      <c r="G15088" t="s">
        <v>1083</v>
      </c>
      <c r="H15088" s="171" t="s">
        <v>9412</v>
      </c>
      <c r="I15088" t="s">
        <v>1084</v>
      </c>
      <c r="J15088">
        <v>9.2100000000000009</v>
      </c>
    </row>
    <row r="15089" spans="1:10" hidden="1">
      <c r="A15089" t="s">
        <v>9406</v>
      </c>
      <c r="B15089" t="s">
        <v>9407</v>
      </c>
      <c r="C15089" t="s">
        <v>6839</v>
      </c>
      <c r="D15089" t="s">
        <v>3936</v>
      </c>
      <c r="E15089" t="s">
        <v>559</v>
      </c>
      <c r="F15089" t="s">
        <v>1068</v>
      </c>
      <c r="G15089" t="s">
        <v>1085</v>
      </c>
      <c r="H15089">
        <v>1.0351996674334101E-3</v>
      </c>
      <c r="I15089" t="s">
        <v>1086</v>
      </c>
      <c r="J15089">
        <v>9.2100000000000009</v>
      </c>
    </row>
    <row r="15090" spans="1:10" hidden="1">
      <c r="A15090" t="s">
        <v>9406</v>
      </c>
      <c r="B15090" t="s">
        <v>9407</v>
      </c>
      <c r="C15090" t="s">
        <v>6839</v>
      </c>
      <c r="D15090" t="s">
        <v>3936</v>
      </c>
      <c r="E15090" t="s">
        <v>559</v>
      </c>
      <c r="F15090" t="s">
        <v>1068</v>
      </c>
      <c r="G15090" t="s">
        <v>1087</v>
      </c>
      <c r="H15090" s="171" t="s">
        <v>8264</v>
      </c>
      <c r="I15090" t="s">
        <v>1088</v>
      </c>
      <c r="J15090">
        <v>9.2100000000000009</v>
      </c>
    </row>
    <row r="15091" spans="1:10" hidden="1">
      <c r="A15091" t="s">
        <v>9406</v>
      </c>
      <c r="B15091" t="s">
        <v>9407</v>
      </c>
      <c r="C15091" t="s">
        <v>6839</v>
      </c>
      <c r="D15091" t="s">
        <v>3936</v>
      </c>
      <c r="E15091" t="s">
        <v>559</v>
      </c>
      <c r="F15091" t="s">
        <v>1068</v>
      </c>
      <c r="G15091" t="s">
        <v>1089</v>
      </c>
      <c r="H15091">
        <v>3.2060923348726898E-4</v>
      </c>
      <c r="I15091" t="s">
        <v>1090</v>
      </c>
      <c r="J15091">
        <v>9.2100000000000009</v>
      </c>
    </row>
    <row r="15092" spans="1:10" hidden="1">
      <c r="A15092" t="s">
        <v>9413</v>
      </c>
      <c r="B15092" t="s">
        <v>9414</v>
      </c>
      <c r="C15092" t="s">
        <v>6839</v>
      </c>
      <c r="D15092" t="s">
        <v>3936</v>
      </c>
      <c r="E15092" t="s">
        <v>560</v>
      </c>
      <c r="F15092" t="s">
        <v>1068</v>
      </c>
      <c r="G15092" t="s">
        <v>1069</v>
      </c>
      <c r="H15092">
        <v>4.3541116463557801E-2</v>
      </c>
      <c r="I15092" t="s">
        <v>1070</v>
      </c>
      <c r="J15092">
        <v>8.8800000000000008</v>
      </c>
    </row>
    <row r="15093" spans="1:10" hidden="1">
      <c r="A15093" t="s">
        <v>9413</v>
      </c>
      <c r="B15093" t="s">
        <v>9414</v>
      </c>
      <c r="C15093" t="s">
        <v>6839</v>
      </c>
      <c r="D15093" t="s">
        <v>3936</v>
      </c>
      <c r="E15093" t="s">
        <v>560</v>
      </c>
      <c r="F15093" t="s">
        <v>1068</v>
      </c>
      <c r="G15093" t="s">
        <v>1071</v>
      </c>
      <c r="H15093" s="171" t="s">
        <v>9415</v>
      </c>
      <c r="I15093" t="s">
        <v>1072</v>
      </c>
      <c r="J15093">
        <v>8.8800000000000008</v>
      </c>
    </row>
    <row r="15094" spans="1:10" hidden="1">
      <c r="A15094" t="s">
        <v>9413</v>
      </c>
      <c r="B15094" t="s">
        <v>9414</v>
      </c>
      <c r="C15094" t="s">
        <v>6839</v>
      </c>
      <c r="D15094" t="s">
        <v>3936</v>
      </c>
      <c r="E15094" t="s">
        <v>560</v>
      </c>
      <c r="F15094" t="s">
        <v>1068</v>
      </c>
      <c r="G15094" t="s">
        <v>1073</v>
      </c>
      <c r="H15094" s="171" t="s">
        <v>9416</v>
      </c>
      <c r="I15094" t="s">
        <v>1074</v>
      </c>
      <c r="J15094">
        <v>8.8800000000000008</v>
      </c>
    </row>
    <row r="15095" spans="1:10" hidden="1">
      <c r="A15095" t="s">
        <v>9413</v>
      </c>
      <c r="B15095" t="s">
        <v>9414</v>
      </c>
      <c r="C15095" t="s">
        <v>6839</v>
      </c>
      <c r="D15095" t="s">
        <v>3936</v>
      </c>
      <c r="E15095" t="s">
        <v>560</v>
      </c>
      <c r="F15095" t="s">
        <v>1068</v>
      </c>
      <c r="G15095" t="s">
        <v>1075</v>
      </c>
      <c r="H15095">
        <v>2.89700292457814E-2</v>
      </c>
      <c r="I15095" t="s">
        <v>1077</v>
      </c>
      <c r="J15095">
        <v>8.8800000000000008</v>
      </c>
    </row>
    <row r="15096" spans="1:10" hidden="1">
      <c r="A15096" t="s">
        <v>9413</v>
      </c>
      <c r="B15096" t="s">
        <v>9414</v>
      </c>
      <c r="C15096" t="s">
        <v>6839</v>
      </c>
      <c r="D15096" t="s">
        <v>3936</v>
      </c>
      <c r="E15096" t="s">
        <v>560</v>
      </c>
      <c r="F15096" t="s">
        <v>1068</v>
      </c>
      <c r="G15096" t="s">
        <v>1078</v>
      </c>
      <c r="H15096" s="171" t="s">
        <v>9417</v>
      </c>
      <c r="I15096" t="s">
        <v>1079</v>
      </c>
      <c r="J15096">
        <v>8.8800000000000008</v>
      </c>
    </row>
    <row r="15097" spans="1:10" hidden="1">
      <c r="A15097" t="s">
        <v>9413</v>
      </c>
      <c r="B15097" t="s">
        <v>9414</v>
      </c>
      <c r="C15097" t="s">
        <v>6839</v>
      </c>
      <c r="D15097" t="s">
        <v>3936</v>
      </c>
      <c r="E15097" t="s">
        <v>560</v>
      </c>
      <c r="F15097" t="s">
        <v>1068</v>
      </c>
      <c r="G15097" t="s">
        <v>1080</v>
      </c>
      <c r="H15097" s="171" t="s">
        <v>9418</v>
      </c>
      <c r="I15097" t="s">
        <v>1082</v>
      </c>
      <c r="J15097">
        <v>8.8800000000000008</v>
      </c>
    </row>
    <row r="15098" spans="1:10" hidden="1">
      <c r="A15098" t="s">
        <v>9413</v>
      </c>
      <c r="B15098" t="s">
        <v>9414</v>
      </c>
      <c r="C15098" t="s">
        <v>6839</v>
      </c>
      <c r="D15098" t="s">
        <v>3936</v>
      </c>
      <c r="E15098" t="s">
        <v>560</v>
      </c>
      <c r="F15098" t="s">
        <v>1068</v>
      </c>
      <c r="G15098" t="s">
        <v>1083</v>
      </c>
      <c r="H15098" s="171" t="s">
        <v>9419</v>
      </c>
      <c r="I15098" t="s">
        <v>1084</v>
      </c>
      <c r="J15098">
        <v>8.8800000000000008</v>
      </c>
    </row>
    <row r="15099" spans="1:10" hidden="1">
      <c r="A15099" t="s">
        <v>9413</v>
      </c>
      <c r="B15099" t="s">
        <v>9414</v>
      </c>
      <c r="C15099" t="s">
        <v>6839</v>
      </c>
      <c r="D15099" t="s">
        <v>3936</v>
      </c>
      <c r="E15099" t="s">
        <v>560</v>
      </c>
      <c r="F15099" t="s">
        <v>1068</v>
      </c>
      <c r="G15099" t="s">
        <v>1085</v>
      </c>
      <c r="H15099">
        <v>1.0351996178260799E-3</v>
      </c>
      <c r="I15099" t="s">
        <v>1086</v>
      </c>
      <c r="J15099">
        <v>8.8800000000000008</v>
      </c>
    </row>
    <row r="15100" spans="1:10" hidden="1">
      <c r="A15100" t="s">
        <v>9413</v>
      </c>
      <c r="B15100" t="s">
        <v>9414</v>
      </c>
      <c r="C15100" t="s">
        <v>6839</v>
      </c>
      <c r="D15100" t="s">
        <v>3936</v>
      </c>
      <c r="E15100" t="s">
        <v>560</v>
      </c>
      <c r="F15100" t="s">
        <v>1068</v>
      </c>
      <c r="G15100" t="s">
        <v>1087</v>
      </c>
      <c r="H15100" s="171" t="s">
        <v>9420</v>
      </c>
      <c r="I15100" t="s">
        <v>1088</v>
      </c>
      <c r="J15100">
        <v>8.8800000000000008</v>
      </c>
    </row>
    <row r="15101" spans="1:10" hidden="1">
      <c r="A15101" t="s">
        <v>9413</v>
      </c>
      <c r="B15101" t="s">
        <v>9414</v>
      </c>
      <c r="C15101" t="s">
        <v>6839</v>
      </c>
      <c r="D15101" t="s">
        <v>3936</v>
      </c>
      <c r="E15101" t="s">
        <v>560</v>
      </c>
      <c r="F15101" t="s">
        <v>1068</v>
      </c>
      <c r="G15101" t="s">
        <v>1089</v>
      </c>
      <c r="H15101">
        <v>3.2060922324797899E-4</v>
      </c>
      <c r="I15101" t="s">
        <v>1090</v>
      </c>
      <c r="J15101">
        <v>8.8800000000000008</v>
      </c>
    </row>
    <row r="15102" spans="1:10" hidden="1">
      <c r="A15102" t="s">
        <v>9421</v>
      </c>
      <c r="B15102" t="s">
        <v>9422</v>
      </c>
      <c r="C15102" t="s">
        <v>6839</v>
      </c>
      <c r="D15102" t="s">
        <v>3936</v>
      </c>
      <c r="E15102" t="s">
        <v>1116</v>
      </c>
      <c r="F15102" t="s">
        <v>1068</v>
      </c>
      <c r="G15102" t="s">
        <v>1069</v>
      </c>
      <c r="H15102" s="171" t="s">
        <v>9423</v>
      </c>
      <c r="I15102" t="s">
        <v>1070</v>
      </c>
      <c r="J15102">
        <v>7.93</v>
      </c>
    </row>
    <row r="15103" spans="1:10" hidden="1">
      <c r="A15103" t="s">
        <v>9421</v>
      </c>
      <c r="B15103" t="s">
        <v>9422</v>
      </c>
      <c r="C15103" t="s">
        <v>6839</v>
      </c>
      <c r="D15103" t="s">
        <v>3936</v>
      </c>
      <c r="E15103" t="s">
        <v>1116</v>
      </c>
      <c r="F15103" t="s">
        <v>1068</v>
      </c>
      <c r="G15103" t="s">
        <v>1071</v>
      </c>
      <c r="H15103" s="171" t="s">
        <v>9424</v>
      </c>
      <c r="I15103" t="s">
        <v>1072</v>
      </c>
      <c r="J15103">
        <v>7.93</v>
      </c>
    </row>
    <row r="15104" spans="1:10" hidden="1">
      <c r="A15104" t="s">
        <v>9421</v>
      </c>
      <c r="B15104" t="s">
        <v>9422</v>
      </c>
      <c r="C15104" t="s">
        <v>6839</v>
      </c>
      <c r="D15104" t="s">
        <v>3936</v>
      </c>
      <c r="E15104" t="s">
        <v>1116</v>
      </c>
      <c r="F15104" t="s">
        <v>1068</v>
      </c>
      <c r="G15104" t="s">
        <v>1073</v>
      </c>
      <c r="H15104" s="171" t="s">
        <v>9425</v>
      </c>
      <c r="I15104" t="s">
        <v>1074</v>
      </c>
      <c r="J15104">
        <v>7.93</v>
      </c>
    </row>
    <row r="15105" spans="1:10" hidden="1">
      <c r="A15105" t="s">
        <v>9421</v>
      </c>
      <c r="B15105" t="s">
        <v>9422</v>
      </c>
      <c r="C15105" t="s">
        <v>6839</v>
      </c>
      <c r="D15105" t="s">
        <v>3936</v>
      </c>
      <c r="E15105" t="s">
        <v>1116</v>
      </c>
      <c r="F15105" t="s">
        <v>1068</v>
      </c>
      <c r="G15105" t="s">
        <v>1075</v>
      </c>
      <c r="H15105" s="171" t="s">
        <v>9426</v>
      </c>
      <c r="I15105" t="s">
        <v>1077</v>
      </c>
      <c r="J15105">
        <v>7.93</v>
      </c>
    </row>
    <row r="15106" spans="1:10" hidden="1">
      <c r="A15106" t="s">
        <v>9421</v>
      </c>
      <c r="B15106" t="s">
        <v>9422</v>
      </c>
      <c r="C15106" t="s">
        <v>6839</v>
      </c>
      <c r="D15106" t="s">
        <v>3936</v>
      </c>
      <c r="E15106" t="s">
        <v>1116</v>
      </c>
      <c r="F15106" t="s">
        <v>1068</v>
      </c>
      <c r="G15106" t="s">
        <v>1078</v>
      </c>
      <c r="H15106" s="171" t="s">
        <v>9427</v>
      </c>
      <c r="I15106" t="s">
        <v>1079</v>
      </c>
      <c r="J15106">
        <v>7.93</v>
      </c>
    </row>
    <row r="15107" spans="1:10" hidden="1">
      <c r="A15107" t="s">
        <v>9421</v>
      </c>
      <c r="B15107" t="s">
        <v>9422</v>
      </c>
      <c r="C15107" t="s">
        <v>6839</v>
      </c>
      <c r="D15107" t="s">
        <v>3936</v>
      </c>
      <c r="E15107" t="s">
        <v>1116</v>
      </c>
      <c r="F15107" t="s">
        <v>1068</v>
      </c>
      <c r="G15107" t="s">
        <v>1080</v>
      </c>
      <c r="H15107" s="171" t="s">
        <v>9428</v>
      </c>
      <c r="I15107" t="s">
        <v>1082</v>
      </c>
      <c r="J15107">
        <v>7.93</v>
      </c>
    </row>
    <row r="15108" spans="1:10" hidden="1">
      <c r="A15108" t="s">
        <v>9421</v>
      </c>
      <c r="B15108" t="s">
        <v>9422</v>
      </c>
      <c r="C15108" t="s">
        <v>6839</v>
      </c>
      <c r="D15108" t="s">
        <v>3936</v>
      </c>
      <c r="E15108" t="s">
        <v>1116</v>
      </c>
      <c r="F15108" t="s">
        <v>1068</v>
      </c>
      <c r="G15108" t="s">
        <v>1083</v>
      </c>
      <c r="H15108" s="171" t="s">
        <v>9429</v>
      </c>
      <c r="I15108" t="s">
        <v>1084</v>
      </c>
      <c r="J15108">
        <v>7.93</v>
      </c>
    </row>
    <row r="15109" spans="1:10" hidden="1">
      <c r="A15109" t="s">
        <v>9421</v>
      </c>
      <c r="B15109" t="s">
        <v>9422</v>
      </c>
      <c r="C15109" t="s">
        <v>6839</v>
      </c>
      <c r="D15109" t="s">
        <v>3936</v>
      </c>
      <c r="E15109" t="s">
        <v>1116</v>
      </c>
      <c r="F15109" t="s">
        <v>1068</v>
      </c>
      <c r="G15109" t="s">
        <v>1085</v>
      </c>
      <c r="H15109">
        <v>1.0351994295695599E-3</v>
      </c>
      <c r="I15109" t="s">
        <v>1086</v>
      </c>
      <c r="J15109">
        <v>7.93</v>
      </c>
    </row>
    <row r="15110" spans="1:10" hidden="1">
      <c r="A15110" t="s">
        <v>9421</v>
      </c>
      <c r="B15110" t="s">
        <v>9422</v>
      </c>
      <c r="C15110" t="s">
        <v>6839</v>
      </c>
      <c r="D15110" t="s">
        <v>3936</v>
      </c>
      <c r="E15110" t="s">
        <v>1116</v>
      </c>
      <c r="F15110" t="s">
        <v>1068</v>
      </c>
      <c r="G15110" t="s">
        <v>1087</v>
      </c>
      <c r="H15110" s="171" t="s">
        <v>8281</v>
      </c>
      <c r="I15110" t="s">
        <v>1088</v>
      </c>
      <c r="J15110">
        <v>7.93</v>
      </c>
    </row>
    <row r="15111" spans="1:10" hidden="1">
      <c r="A15111" t="s">
        <v>9421</v>
      </c>
      <c r="B15111" t="s">
        <v>9422</v>
      </c>
      <c r="C15111" t="s">
        <v>6839</v>
      </c>
      <c r="D15111" t="s">
        <v>3936</v>
      </c>
      <c r="E15111" t="s">
        <v>1116</v>
      </c>
      <c r="F15111" t="s">
        <v>1068</v>
      </c>
      <c r="G15111" t="s">
        <v>1089</v>
      </c>
      <c r="H15111">
        <v>3.2060918441102998E-4</v>
      </c>
      <c r="I15111" t="s">
        <v>1090</v>
      </c>
      <c r="J15111">
        <v>7.93</v>
      </c>
    </row>
    <row r="15112" spans="1:10" hidden="1">
      <c r="A15112" t="s">
        <v>9430</v>
      </c>
      <c r="B15112" t="s">
        <v>9431</v>
      </c>
      <c r="C15112" t="s">
        <v>6839</v>
      </c>
      <c r="D15112" t="s">
        <v>4022</v>
      </c>
      <c r="E15112" t="s">
        <v>561</v>
      </c>
      <c r="F15112" t="s">
        <v>1068</v>
      </c>
      <c r="G15112" t="s">
        <v>1069</v>
      </c>
      <c r="H15112" s="171" t="s">
        <v>9432</v>
      </c>
      <c r="I15112" t="s">
        <v>1070</v>
      </c>
      <c r="J15112">
        <v>7.84</v>
      </c>
    </row>
    <row r="15113" spans="1:10" hidden="1">
      <c r="A15113" t="s">
        <v>9430</v>
      </c>
      <c r="B15113" t="s">
        <v>9431</v>
      </c>
      <c r="C15113" t="s">
        <v>6839</v>
      </c>
      <c r="D15113" t="s">
        <v>4022</v>
      </c>
      <c r="E15113" t="s">
        <v>561</v>
      </c>
      <c r="F15113" t="s">
        <v>1068</v>
      </c>
      <c r="G15113" t="s">
        <v>1071</v>
      </c>
      <c r="H15113" s="171" t="s">
        <v>9433</v>
      </c>
      <c r="I15113" t="s">
        <v>1072</v>
      </c>
      <c r="J15113">
        <v>7.84</v>
      </c>
    </row>
    <row r="15114" spans="1:10" hidden="1">
      <c r="A15114" t="s">
        <v>9430</v>
      </c>
      <c r="B15114" t="s">
        <v>9431</v>
      </c>
      <c r="C15114" t="s">
        <v>6839</v>
      </c>
      <c r="D15114" t="s">
        <v>4022</v>
      </c>
      <c r="E15114" t="s">
        <v>561</v>
      </c>
      <c r="F15114" t="s">
        <v>1068</v>
      </c>
      <c r="G15114" t="s">
        <v>1073</v>
      </c>
      <c r="H15114" s="171" t="s">
        <v>9434</v>
      </c>
      <c r="I15114" t="s">
        <v>1074</v>
      </c>
      <c r="J15114">
        <v>7.84</v>
      </c>
    </row>
    <row r="15115" spans="1:10" hidden="1">
      <c r="A15115" t="s">
        <v>9430</v>
      </c>
      <c r="B15115" t="s">
        <v>9431</v>
      </c>
      <c r="C15115" t="s">
        <v>6839</v>
      </c>
      <c r="D15115" t="s">
        <v>4022</v>
      </c>
      <c r="E15115" t="s">
        <v>561</v>
      </c>
      <c r="F15115" t="s">
        <v>1068</v>
      </c>
      <c r="G15115" t="s">
        <v>1075</v>
      </c>
      <c r="H15115" s="171" t="s">
        <v>9435</v>
      </c>
      <c r="I15115" t="s">
        <v>1077</v>
      </c>
      <c r="J15115">
        <v>7.84</v>
      </c>
    </row>
    <row r="15116" spans="1:10" hidden="1">
      <c r="A15116" t="s">
        <v>9430</v>
      </c>
      <c r="B15116" t="s">
        <v>9431</v>
      </c>
      <c r="C15116" t="s">
        <v>6839</v>
      </c>
      <c r="D15116" t="s">
        <v>4022</v>
      </c>
      <c r="E15116" t="s">
        <v>561</v>
      </c>
      <c r="F15116" t="s">
        <v>1068</v>
      </c>
      <c r="G15116" t="s">
        <v>1078</v>
      </c>
      <c r="H15116" s="171" t="s">
        <v>9436</v>
      </c>
      <c r="I15116" t="s">
        <v>1079</v>
      </c>
      <c r="J15116">
        <v>7.84</v>
      </c>
    </row>
    <row r="15117" spans="1:10" hidden="1">
      <c r="A15117" t="s">
        <v>9430</v>
      </c>
      <c r="B15117" t="s">
        <v>9431</v>
      </c>
      <c r="C15117" t="s">
        <v>6839</v>
      </c>
      <c r="D15117" t="s">
        <v>4022</v>
      </c>
      <c r="E15117" t="s">
        <v>561</v>
      </c>
      <c r="F15117" t="s">
        <v>1068</v>
      </c>
      <c r="G15117" t="s">
        <v>1080</v>
      </c>
      <c r="H15117" s="171" t="s">
        <v>9437</v>
      </c>
      <c r="I15117" t="s">
        <v>1082</v>
      </c>
      <c r="J15117">
        <v>7.84</v>
      </c>
    </row>
    <row r="15118" spans="1:10" hidden="1">
      <c r="A15118" t="s">
        <v>9430</v>
      </c>
      <c r="B15118" t="s">
        <v>9431</v>
      </c>
      <c r="C15118" t="s">
        <v>6839</v>
      </c>
      <c r="D15118" t="s">
        <v>4022</v>
      </c>
      <c r="E15118" t="s">
        <v>561</v>
      </c>
      <c r="F15118" t="s">
        <v>1068</v>
      </c>
      <c r="G15118" t="s">
        <v>1083</v>
      </c>
      <c r="H15118" s="171" t="s">
        <v>9438</v>
      </c>
      <c r="I15118" t="s">
        <v>1084</v>
      </c>
      <c r="J15118">
        <v>7.84</v>
      </c>
    </row>
    <row r="15119" spans="1:10" hidden="1">
      <c r="A15119" t="s">
        <v>9430</v>
      </c>
      <c r="B15119" t="s">
        <v>9431</v>
      </c>
      <c r="C15119" t="s">
        <v>6839</v>
      </c>
      <c r="D15119" t="s">
        <v>4022</v>
      </c>
      <c r="E15119" t="s">
        <v>561</v>
      </c>
      <c r="F15119" t="s">
        <v>1068</v>
      </c>
      <c r="G15119" t="s">
        <v>1085</v>
      </c>
      <c r="H15119">
        <v>9.2608128789688595E-4</v>
      </c>
      <c r="I15119" t="s">
        <v>1086</v>
      </c>
      <c r="J15119">
        <v>7.84</v>
      </c>
    </row>
    <row r="15120" spans="1:10" hidden="1">
      <c r="A15120" t="s">
        <v>9430</v>
      </c>
      <c r="B15120" t="s">
        <v>9431</v>
      </c>
      <c r="C15120" t="s">
        <v>6839</v>
      </c>
      <c r="D15120" t="s">
        <v>4022</v>
      </c>
      <c r="E15120" t="s">
        <v>561</v>
      </c>
      <c r="F15120" t="s">
        <v>1068</v>
      </c>
      <c r="G15120" t="s">
        <v>1087</v>
      </c>
      <c r="H15120" s="171" t="s">
        <v>9439</v>
      </c>
      <c r="I15120" t="s">
        <v>1088</v>
      </c>
      <c r="J15120">
        <v>7.84</v>
      </c>
    </row>
    <row r="15121" spans="1:10" hidden="1">
      <c r="A15121" t="s">
        <v>9430</v>
      </c>
      <c r="B15121" t="s">
        <v>9431</v>
      </c>
      <c r="C15121" t="s">
        <v>6839</v>
      </c>
      <c r="D15121" t="s">
        <v>4022</v>
      </c>
      <c r="E15121" t="s">
        <v>561</v>
      </c>
      <c r="F15121" t="s">
        <v>1068</v>
      </c>
      <c r="G15121" t="s">
        <v>1089</v>
      </c>
      <c r="H15121">
        <v>2.8563160879069202E-4</v>
      </c>
      <c r="I15121" t="s">
        <v>1090</v>
      </c>
      <c r="J15121">
        <v>7.84</v>
      </c>
    </row>
    <row r="15122" spans="1:10" hidden="1">
      <c r="A15122" t="s">
        <v>9440</v>
      </c>
      <c r="B15122" t="s">
        <v>9441</v>
      </c>
      <c r="C15122" t="s">
        <v>6839</v>
      </c>
      <c r="D15122" t="s">
        <v>4022</v>
      </c>
      <c r="E15122" t="s">
        <v>555</v>
      </c>
      <c r="F15122" t="s">
        <v>1068</v>
      </c>
      <c r="G15122" t="s">
        <v>1069</v>
      </c>
      <c r="H15122" s="171" t="s">
        <v>9442</v>
      </c>
      <c r="I15122" t="s">
        <v>1070</v>
      </c>
      <c r="J15122">
        <v>16.97</v>
      </c>
    </row>
    <row r="15123" spans="1:10" hidden="1">
      <c r="A15123" t="s">
        <v>9440</v>
      </c>
      <c r="B15123" t="s">
        <v>9441</v>
      </c>
      <c r="C15123" t="s">
        <v>6839</v>
      </c>
      <c r="D15123" t="s">
        <v>4022</v>
      </c>
      <c r="E15123" t="s">
        <v>555</v>
      </c>
      <c r="F15123" t="s">
        <v>1068</v>
      </c>
      <c r="G15123" t="s">
        <v>1071</v>
      </c>
      <c r="H15123" s="171" t="s">
        <v>9443</v>
      </c>
      <c r="I15123" t="s">
        <v>1072</v>
      </c>
      <c r="J15123">
        <v>16.97</v>
      </c>
    </row>
    <row r="15124" spans="1:10" hidden="1">
      <c r="A15124" t="s">
        <v>9440</v>
      </c>
      <c r="B15124" t="s">
        <v>9441</v>
      </c>
      <c r="C15124" t="s">
        <v>6839</v>
      </c>
      <c r="D15124" t="s">
        <v>4022</v>
      </c>
      <c r="E15124" t="s">
        <v>555</v>
      </c>
      <c r="F15124" t="s">
        <v>1068</v>
      </c>
      <c r="G15124" t="s">
        <v>1073</v>
      </c>
      <c r="H15124" s="171" t="s">
        <v>9444</v>
      </c>
      <c r="I15124" t="s">
        <v>1074</v>
      </c>
      <c r="J15124">
        <v>16.97</v>
      </c>
    </row>
    <row r="15125" spans="1:10" hidden="1">
      <c r="A15125" t="s">
        <v>9440</v>
      </c>
      <c r="B15125" t="s">
        <v>9441</v>
      </c>
      <c r="C15125" t="s">
        <v>6839</v>
      </c>
      <c r="D15125" t="s">
        <v>4022</v>
      </c>
      <c r="E15125" t="s">
        <v>555</v>
      </c>
      <c r="F15125" t="s">
        <v>1068</v>
      </c>
      <c r="G15125" t="s">
        <v>1075</v>
      </c>
      <c r="H15125" s="171" t="s">
        <v>9445</v>
      </c>
      <c r="I15125" t="s">
        <v>1077</v>
      </c>
      <c r="J15125">
        <v>16.97</v>
      </c>
    </row>
    <row r="15126" spans="1:10" hidden="1">
      <c r="A15126" t="s">
        <v>9440</v>
      </c>
      <c r="B15126" t="s">
        <v>9441</v>
      </c>
      <c r="C15126" t="s">
        <v>6839</v>
      </c>
      <c r="D15126" t="s">
        <v>4022</v>
      </c>
      <c r="E15126" t="s">
        <v>555</v>
      </c>
      <c r="F15126" t="s">
        <v>1068</v>
      </c>
      <c r="G15126" t="s">
        <v>1078</v>
      </c>
      <c r="H15126">
        <v>3.0368312566581301</v>
      </c>
      <c r="I15126" t="s">
        <v>1079</v>
      </c>
      <c r="J15126">
        <v>16.97</v>
      </c>
    </row>
    <row r="15127" spans="1:10" hidden="1">
      <c r="A15127" t="s">
        <v>9440</v>
      </c>
      <c r="B15127" t="s">
        <v>9441</v>
      </c>
      <c r="C15127" t="s">
        <v>6839</v>
      </c>
      <c r="D15127" t="s">
        <v>4022</v>
      </c>
      <c r="E15127" t="s">
        <v>555</v>
      </c>
      <c r="F15127" t="s">
        <v>1068</v>
      </c>
      <c r="G15127" t="s">
        <v>1080</v>
      </c>
      <c r="H15127" s="171" t="s">
        <v>9446</v>
      </c>
      <c r="I15127" t="s">
        <v>1082</v>
      </c>
      <c r="J15127">
        <v>16.97</v>
      </c>
    </row>
    <row r="15128" spans="1:10" hidden="1">
      <c r="A15128" t="s">
        <v>9440</v>
      </c>
      <c r="B15128" t="s">
        <v>9441</v>
      </c>
      <c r="C15128" t="s">
        <v>6839</v>
      </c>
      <c r="D15128" t="s">
        <v>4022</v>
      </c>
      <c r="E15128" t="s">
        <v>555</v>
      </c>
      <c r="F15128" t="s">
        <v>1068</v>
      </c>
      <c r="G15128" t="s">
        <v>1083</v>
      </c>
      <c r="H15128" s="171" t="s">
        <v>9447</v>
      </c>
      <c r="I15128" t="s">
        <v>1084</v>
      </c>
      <c r="J15128">
        <v>16.97</v>
      </c>
    </row>
    <row r="15129" spans="1:10" hidden="1">
      <c r="A15129" t="s">
        <v>9440</v>
      </c>
      <c r="B15129" t="s">
        <v>9441</v>
      </c>
      <c r="C15129" t="s">
        <v>6839</v>
      </c>
      <c r="D15129" t="s">
        <v>4022</v>
      </c>
      <c r="E15129" t="s">
        <v>555</v>
      </c>
      <c r="F15129" t="s">
        <v>1068</v>
      </c>
      <c r="G15129" t="s">
        <v>1085</v>
      </c>
      <c r="H15129">
        <v>9.2608196064734004E-4</v>
      </c>
      <c r="I15129" t="s">
        <v>1086</v>
      </c>
      <c r="J15129">
        <v>16.97</v>
      </c>
    </row>
    <row r="15130" spans="1:10" hidden="1">
      <c r="A15130" t="s">
        <v>9440</v>
      </c>
      <c r="B15130" t="s">
        <v>9441</v>
      </c>
      <c r="C15130" t="s">
        <v>6839</v>
      </c>
      <c r="D15130" t="s">
        <v>4022</v>
      </c>
      <c r="E15130" t="s">
        <v>555</v>
      </c>
      <c r="F15130" t="s">
        <v>1068</v>
      </c>
      <c r="G15130" t="s">
        <v>1087</v>
      </c>
      <c r="H15130" s="171" t="s">
        <v>9448</v>
      </c>
      <c r="I15130" t="s">
        <v>1088</v>
      </c>
      <c r="J15130">
        <v>16.97</v>
      </c>
    </row>
    <row r="15131" spans="1:10" hidden="1">
      <c r="A15131" t="s">
        <v>9440</v>
      </c>
      <c r="B15131" t="s">
        <v>9441</v>
      </c>
      <c r="C15131" t="s">
        <v>6839</v>
      </c>
      <c r="D15131" t="s">
        <v>4022</v>
      </c>
      <c r="E15131" t="s">
        <v>555</v>
      </c>
      <c r="F15131" t="s">
        <v>1068</v>
      </c>
      <c r="G15131" t="s">
        <v>1089</v>
      </c>
      <c r="H15131">
        <v>2.8563174758806302E-4</v>
      </c>
      <c r="I15131" t="s">
        <v>1090</v>
      </c>
      <c r="J15131">
        <v>16.97</v>
      </c>
    </row>
    <row r="15132" spans="1:10" hidden="1">
      <c r="A15132" t="s">
        <v>9449</v>
      </c>
      <c r="B15132" t="s">
        <v>9450</v>
      </c>
      <c r="C15132" t="s">
        <v>6839</v>
      </c>
      <c r="D15132" t="s">
        <v>4022</v>
      </c>
      <c r="E15132" t="s">
        <v>558</v>
      </c>
      <c r="F15132" t="s">
        <v>1068</v>
      </c>
      <c r="G15132" t="s">
        <v>1069</v>
      </c>
      <c r="H15132">
        <v>4.4320209660764102E-2</v>
      </c>
      <c r="I15132" t="s">
        <v>1070</v>
      </c>
      <c r="J15132">
        <v>12.33</v>
      </c>
    </row>
    <row r="15133" spans="1:10" hidden="1">
      <c r="A15133" t="s">
        <v>9449</v>
      </c>
      <c r="B15133" t="s">
        <v>9450</v>
      </c>
      <c r="C15133" t="s">
        <v>6839</v>
      </c>
      <c r="D15133" t="s">
        <v>4022</v>
      </c>
      <c r="E15133" t="s">
        <v>558</v>
      </c>
      <c r="F15133" t="s">
        <v>1068</v>
      </c>
      <c r="G15133" t="s">
        <v>1071</v>
      </c>
      <c r="H15133" s="171" t="s">
        <v>9451</v>
      </c>
      <c r="I15133" t="s">
        <v>1072</v>
      </c>
      <c r="J15133">
        <v>12.33</v>
      </c>
    </row>
    <row r="15134" spans="1:10" hidden="1">
      <c r="A15134" t="s">
        <v>9449</v>
      </c>
      <c r="B15134" t="s">
        <v>9450</v>
      </c>
      <c r="C15134" t="s">
        <v>6839</v>
      </c>
      <c r="D15134" t="s">
        <v>4022</v>
      </c>
      <c r="E15134" t="s">
        <v>558</v>
      </c>
      <c r="F15134" t="s">
        <v>1068</v>
      </c>
      <c r="G15134" t="s">
        <v>1073</v>
      </c>
      <c r="H15134" s="171" t="s">
        <v>9452</v>
      </c>
      <c r="I15134" t="s">
        <v>1074</v>
      </c>
      <c r="J15134">
        <v>12.33</v>
      </c>
    </row>
    <row r="15135" spans="1:10" hidden="1">
      <c r="A15135" t="s">
        <v>9449</v>
      </c>
      <c r="B15135" t="s">
        <v>9450</v>
      </c>
      <c r="C15135" t="s">
        <v>6839</v>
      </c>
      <c r="D15135" t="s">
        <v>4022</v>
      </c>
      <c r="E15135" t="s">
        <v>558</v>
      </c>
      <c r="F15135" t="s">
        <v>1068</v>
      </c>
      <c r="G15135" t="s">
        <v>1075</v>
      </c>
      <c r="H15135" s="171" t="s">
        <v>9453</v>
      </c>
      <c r="I15135" t="s">
        <v>1077</v>
      </c>
      <c r="J15135">
        <v>12.33</v>
      </c>
    </row>
    <row r="15136" spans="1:10" hidden="1">
      <c r="A15136" t="s">
        <v>9449</v>
      </c>
      <c r="B15136" t="s">
        <v>9450</v>
      </c>
      <c r="C15136" t="s">
        <v>6839</v>
      </c>
      <c r="D15136" t="s">
        <v>4022</v>
      </c>
      <c r="E15136" t="s">
        <v>558</v>
      </c>
      <c r="F15136" t="s">
        <v>1068</v>
      </c>
      <c r="G15136" t="s">
        <v>1078</v>
      </c>
      <c r="H15136" s="171" t="s">
        <v>9454</v>
      </c>
      <c r="I15136" t="s">
        <v>1079</v>
      </c>
      <c r="J15136">
        <v>12.33</v>
      </c>
    </row>
    <row r="15137" spans="1:10" hidden="1">
      <c r="A15137" t="s">
        <v>9449</v>
      </c>
      <c r="B15137" t="s">
        <v>9450</v>
      </c>
      <c r="C15137" t="s">
        <v>6839</v>
      </c>
      <c r="D15137" t="s">
        <v>4022</v>
      </c>
      <c r="E15137" t="s">
        <v>558</v>
      </c>
      <c r="F15137" t="s">
        <v>1068</v>
      </c>
      <c r="G15137" t="s">
        <v>1080</v>
      </c>
      <c r="H15137" s="171" t="s">
        <v>9455</v>
      </c>
      <c r="I15137" t="s">
        <v>1082</v>
      </c>
      <c r="J15137">
        <v>12.33</v>
      </c>
    </row>
    <row r="15138" spans="1:10" hidden="1">
      <c r="A15138" t="s">
        <v>9449</v>
      </c>
      <c r="B15138" t="s">
        <v>9450</v>
      </c>
      <c r="C15138" t="s">
        <v>6839</v>
      </c>
      <c r="D15138" t="s">
        <v>4022</v>
      </c>
      <c r="E15138" t="s">
        <v>558</v>
      </c>
      <c r="F15138" t="s">
        <v>1068</v>
      </c>
      <c r="G15138" t="s">
        <v>1083</v>
      </c>
      <c r="H15138" s="171" t="s">
        <v>9456</v>
      </c>
      <c r="I15138" t="s">
        <v>1084</v>
      </c>
      <c r="J15138">
        <v>12.33</v>
      </c>
    </row>
    <row r="15139" spans="1:10" hidden="1">
      <c r="A15139" t="s">
        <v>9449</v>
      </c>
      <c r="B15139" t="s">
        <v>9450</v>
      </c>
      <c r="C15139" t="s">
        <v>6839</v>
      </c>
      <c r="D15139" t="s">
        <v>4022</v>
      </c>
      <c r="E15139" t="s">
        <v>558</v>
      </c>
      <c r="F15139" t="s">
        <v>1068</v>
      </c>
      <c r="G15139" t="s">
        <v>1085</v>
      </c>
      <c r="H15139">
        <v>9.2608123158339497E-4</v>
      </c>
      <c r="I15139" t="s">
        <v>1086</v>
      </c>
      <c r="J15139">
        <v>12.33</v>
      </c>
    </row>
    <row r="15140" spans="1:10" hidden="1">
      <c r="A15140" t="s">
        <v>9449</v>
      </c>
      <c r="B15140" t="s">
        <v>9450</v>
      </c>
      <c r="C15140" t="s">
        <v>6839</v>
      </c>
      <c r="D15140" t="s">
        <v>4022</v>
      </c>
      <c r="E15140" t="s">
        <v>558</v>
      </c>
      <c r="F15140" t="s">
        <v>1068</v>
      </c>
      <c r="G15140" t="s">
        <v>1087</v>
      </c>
      <c r="H15140" s="171" t="s">
        <v>9457</v>
      </c>
      <c r="I15140" t="s">
        <v>1088</v>
      </c>
      <c r="J15140">
        <v>12.33</v>
      </c>
    </row>
    <row r="15141" spans="1:10" hidden="1">
      <c r="A15141" t="s">
        <v>9449</v>
      </c>
      <c r="B15141" t="s">
        <v>9450</v>
      </c>
      <c r="C15141" t="s">
        <v>6839</v>
      </c>
      <c r="D15141" t="s">
        <v>4022</v>
      </c>
      <c r="E15141" t="s">
        <v>558</v>
      </c>
      <c r="F15141" t="s">
        <v>1068</v>
      </c>
      <c r="G15141" t="s">
        <v>1089</v>
      </c>
      <c r="H15141">
        <v>2.8563159717332999E-4</v>
      </c>
      <c r="I15141" t="s">
        <v>1090</v>
      </c>
      <c r="J15141">
        <v>12.33</v>
      </c>
    </row>
    <row r="15142" spans="1:10" hidden="1">
      <c r="A15142" t="s">
        <v>9458</v>
      </c>
      <c r="B15142" t="s">
        <v>9459</v>
      </c>
      <c r="C15142" t="s">
        <v>6839</v>
      </c>
      <c r="D15142" t="s">
        <v>4022</v>
      </c>
      <c r="E15142" t="s">
        <v>553</v>
      </c>
      <c r="F15142" t="s">
        <v>1068</v>
      </c>
      <c r="G15142" t="s">
        <v>1069</v>
      </c>
      <c r="H15142" s="171" t="s">
        <v>9460</v>
      </c>
      <c r="I15142" t="s">
        <v>1070</v>
      </c>
      <c r="J15142">
        <v>10.43</v>
      </c>
    </row>
    <row r="15143" spans="1:10" hidden="1">
      <c r="A15143" t="s">
        <v>9458</v>
      </c>
      <c r="B15143" t="s">
        <v>9459</v>
      </c>
      <c r="C15143" t="s">
        <v>6839</v>
      </c>
      <c r="D15143" t="s">
        <v>4022</v>
      </c>
      <c r="E15143" t="s">
        <v>553</v>
      </c>
      <c r="F15143" t="s">
        <v>1068</v>
      </c>
      <c r="G15143" t="s">
        <v>1071</v>
      </c>
      <c r="H15143" s="171" t="s">
        <v>9461</v>
      </c>
      <c r="I15143" t="s">
        <v>1072</v>
      </c>
      <c r="J15143">
        <v>10.43</v>
      </c>
    </row>
    <row r="15144" spans="1:10" hidden="1">
      <c r="A15144" t="s">
        <v>9458</v>
      </c>
      <c r="B15144" t="s">
        <v>9459</v>
      </c>
      <c r="C15144" t="s">
        <v>6839</v>
      </c>
      <c r="D15144" t="s">
        <v>4022</v>
      </c>
      <c r="E15144" t="s">
        <v>553</v>
      </c>
      <c r="F15144" t="s">
        <v>1068</v>
      </c>
      <c r="G15144" t="s">
        <v>1073</v>
      </c>
      <c r="H15144" s="171" t="s">
        <v>9462</v>
      </c>
      <c r="I15144" t="s">
        <v>1074</v>
      </c>
      <c r="J15144">
        <v>10.43</v>
      </c>
    </row>
    <row r="15145" spans="1:10" hidden="1">
      <c r="A15145" t="s">
        <v>9458</v>
      </c>
      <c r="B15145" t="s">
        <v>9459</v>
      </c>
      <c r="C15145" t="s">
        <v>6839</v>
      </c>
      <c r="D15145" t="s">
        <v>4022</v>
      </c>
      <c r="E15145" t="s">
        <v>553</v>
      </c>
      <c r="F15145" t="s">
        <v>1068</v>
      </c>
      <c r="G15145" t="s">
        <v>1075</v>
      </c>
      <c r="H15145">
        <v>2.5827919126340099E-2</v>
      </c>
      <c r="I15145" t="s">
        <v>1077</v>
      </c>
      <c r="J15145">
        <v>10.43</v>
      </c>
    </row>
    <row r="15146" spans="1:10" hidden="1">
      <c r="A15146" t="s">
        <v>9458</v>
      </c>
      <c r="B15146" t="s">
        <v>9459</v>
      </c>
      <c r="C15146" t="s">
        <v>6839</v>
      </c>
      <c r="D15146" t="s">
        <v>4022</v>
      </c>
      <c r="E15146" t="s">
        <v>553</v>
      </c>
      <c r="F15146" t="s">
        <v>1068</v>
      </c>
      <c r="G15146" t="s">
        <v>1078</v>
      </c>
      <c r="H15146" s="171" t="s">
        <v>9463</v>
      </c>
      <c r="I15146" t="s">
        <v>1079</v>
      </c>
      <c r="J15146">
        <v>10.43</v>
      </c>
    </row>
    <row r="15147" spans="1:10" hidden="1">
      <c r="A15147" t="s">
        <v>9458</v>
      </c>
      <c r="B15147" t="s">
        <v>9459</v>
      </c>
      <c r="C15147" t="s">
        <v>6839</v>
      </c>
      <c r="D15147" t="s">
        <v>4022</v>
      </c>
      <c r="E15147" t="s">
        <v>553</v>
      </c>
      <c r="F15147" t="s">
        <v>1068</v>
      </c>
      <c r="G15147" t="s">
        <v>1080</v>
      </c>
      <c r="H15147" s="171" t="s">
        <v>9464</v>
      </c>
      <c r="I15147" t="s">
        <v>1082</v>
      </c>
      <c r="J15147">
        <v>10.43</v>
      </c>
    </row>
    <row r="15148" spans="1:10" hidden="1">
      <c r="A15148" t="s">
        <v>9458</v>
      </c>
      <c r="B15148" t="s">
        <v>9459</v>
      </c>
      <c r="C15148" t="s">
        <v>6839</v>
      </c>
      <c r="D15148" t="s">
        <v>4022</v>
      </c>
      <c r="E15148" t="s">
        <v>553</v>
      </c>
      <c r="F15148" t="s">
        <v>1068</v>
      </c>
      <c r="G15148" t="s">
        <v>1083</v>
      </c>
      <c r="H15148" s="171" t="s">
        <v>9465</v>
      </c>
      <c r="I15148" t="s">
        <v>1084</v>
      </c>
      <c r="J15148">
        <v>10.43</v>
      </c>
    </row>
    <row r="15149" spans="1:10" hidden="1">
      <c r="A15149" t="s">
        <v>9458</v>
      </c>
      <c r="B15149" t="s">
        <v>9459</v>
      </c>
      <c r="C15149" t="s">
        <v>6839</v>
      </c>
      <c r="D15149" t="s">
        <v>4022</v>
      </c>
      <c r="E15149" t="s">
        <v>553</v>
      </c>
      <c r="F15149" t="s">
        <v>1068</v>
      </c>
      <c r="G15149" t="s">
        <v>1085</v>
      </c>
      <c r="H15149">
        <v>9.2608120863741197E-4</v>
      </c>
      <c r="I15149" t="s">
        <v>1086</v>
      </c>
      <c r="J15149">
        <v>10.43</v>
      </c>
    </row>
    <row r="15150" spans="1:10" hidden="1">
      <c r="A15150" t="s">
        <v>9458</v>
      </c>
      <c r="B15150" t="s">
        <v>9459</v>
      </c>
      <c r="C15150" t="s">
        <v>6839</v>
      </c>
      <c r="D15150" t="s">
        <v>4022</v>
      </c>
      <c r="E15150" t="s">
        <v>553</v>
      </c>
      <c r="F15150" t="s">
        <v>1068</v>
      </c>
      <c r="G15150" t="s">
        <v>1087</v>
      </c>
      <c r="H15150" s="171" t="s">
        <v>9466</v>
      </c>
      <c r="I15150" t="s">
        <v>1088</v>
      </c>
      <c r="J15150">
        <v>10.43</v>
      </c>
    </row>
    <row r="15151" spans="1:10" hidden="1">
      <c r="A15151" t="s">
        <v>9458</v>
      </c>
      <c r="B15151" t="s">
        <v>9459</v>
      </c>
      <c r="C15151" t="s">
        <v>6839</v>
      </c>
      <c r="D15151" t="s">
        <v>4022</v>
      </c>
      <c r="E15151" t="s">
        <v>553</v>
      </c>
      <c r="F15151" t="s">
        <v>1068</v>
      </c>
      <c r="G15151" t="s">
        <v>1089</v>
      </c>
      <c r="H15151">
        <v>2.8563159244990099E-4</v>
      </c>
      <c r="I15151" t="s">
        <v>1090</v>
      </c>
      <c r="J15151">
        <v>10.43</v>
      </c>
    </row>
    <row r="15152" spans="1:10" hidden="1">
      <c r="A15152" t="s">
        <v>9467</v>
      </c>
      <c r="B15152" t="s">
        <v>9468</v>
      </c>
      <c r="C15152" t="s">
        <v>6839</v>
      </c>
      <c r="D15152" t="s">
        <v>4022</v>
      </c>
      <c r="E15152" t="s">
        <v>556</v>
      </c>
      <c r="F15152" t="s">
        <v>1068</v>
      </c>
      <c r="G15152" t="s">
        <v>1069</v>
      </c>
      <c r="H15152" s="171" t="s">
        <v>9469</v>
      </c>
      <c r="I15152" t="s">
        <v>1070</v>
      </c>
      <c r="J15152">
        <v>7.81</v>
      </c>
    </row>
    <row r="15153" spans="1:10" hidden="1">
      <c r="A15153" t="s">
        <v>9467</v>
      </c>
      <c r="B15153" t="s">
        <v>9468</v>
      </c>
      <c r="C15153" t="s">
        <v>6839</v>
      </c>
      <c r="D15153" t="s">
        <v>4022</v>
      </c>
      <c r="E15153" t="s">
        <v>556</v>
      </c>
      <c r="F15153" t="s">
        <v>1068</v>
      </c>
      <c r="G15153" t="s">
        <v>1071</v>
      </c>
      <c r="H15153" s="171" t="s">
        <v>9470</v>
      </c>
      <c r="I15153" t="s">
        <v>1072</v>
      </c>
      <c r="J15153">
        <v>7.81</v>
      </c>
    </row>
    <row r="15154" spans="1:10" hidden="1">
      <c r="A15154" t="s">
        <v>9467</v>
      </c>
      <c r="B15154" t="s">
        <v>9468</v>
      </c>
      <c r="C15154" t="s">
        <v>6839</v>
      </c>
      <c r="D15154" t="s">
        <v>4022</v>
      </c>
      <c r="E15154" t="s">
        <v>556</v>
      </c>
      <c r="F15154" t="s">
        <v>1068</v>
      </c>
      <c r="G15154" t="s">
        <v>1073</v>
      </c>
      <c r="H15154" s="171" t="s">
        <v>9471</v>
      </c>
      <c r="I15154" t="s">
        <v>1074</v>
      </c>
      <c r="J15154">
        <v>7.81</v>
      </c>
    </row>
    <row r="15155" spans="1:10" hidden="1">
      <c r="A15155" t="s">
        <v>9467</v>
      </c>
      <c r="B15155" t="s">
        <v>9468</v>
      </c>
      <c r="C15155" t="s">
        <v>6839</v>
      </c>
      <c r="D15155" t="s">
        <v>4022</v>
      </c>
      <c r="E15155" t="s">
        <v>556</v>
      </c>
      <c r="F15155" t="s">
        <v>1068</v>
      </c>
      <c r="G15155" t="s">
        <v>1075</v>
      </c>
      <c r="H15155" s="171" t="s">
        <v>9472</v>
      </c>
      <c r="I15155" t="s">
        <v>1077</v>
      </c>
      <c r="J15155">
        <v>7.81</v>
      </c>
    </row>
    <row r="15156" spans="1:10" hidden="1">
      <c r="A15156" t="s">
        <v>9467</v>
      </c>
      <c r="B15156" t="s">
        <v>9468</v>
      </c>
      <c r="C15156" t="s">
        <v>6839</v>
      </c>
      <c r="D15156" t="s">
        <v>4022</v>
      </c>
      <c r="E15156" t="s">
        <v>556</v>
      </c>
      <c r="F15156" t="s">
        <v>1068</v>
      </c>
      <c r="G15156" t="s">
        <v>1078</v>
      </c>
      <c r="H15156" s="171" t="s">
        <v>9473</v>
      </c>
      <c r="I15156" t="s">
        <v>1079</v>
      </c>
      <c r="J15156">
        <v>7.81</v>
      </c>
    </row>
    <row r="15157" spans="1:10" hidden="1">
      <c r="A15157" t="s">
        <v>9467</v>
      </c>
      <c r="B15157" t="s">
        <v>9468</v>
      </c>
      <c r="C15157" t="s">
        <v>6839</v>
      </c>
      <c r="D15157" t="s">
        <v>4022</v>
      </c>
      <c r="E15157" t="s">
        <v>556</v>
      </c>
      <c r="F15157" t="s">
        <v>1068</v>
      </c>
      <c r="G15157" t="s">
        <v>1080</v>
      </c>
      <c r="H15157" s="171" t="s">
        <v>9474</v>
      </c>
      <c r="I15157" t="s">
        <v>1082</v>
      </c>
      <c r="J15157">
        <v>7.81</v>
      </c>
    </row>
    <row r="15158" spans="1:10" hidden="1">
      <c r="A15158" t="s">
        <v>9467</v>
      </c>
      <c r="B15158" t="s">
        <v>9468</v>
      </c>
      <c r="C15158" t="s">
        <v>6839</v>
      </c>
      <c r="D15158" t="s">
        <v>4022</v>
      </c>
      <c r="E15158" t="s">
        <v>556</v>
      </c>
      <c r="F15158" t="s">
        <v>1068</v>
      </c>
      <c r="G15158" t="s">
        <v>1083</v>
      </c>
      <c r="H15158" s="171" t="s">
        <v>9475</v>
      </c>
      <c r="I15158" t="s">
        <v>1084</v>
      </c>
      <c r="J15158">
        <v>7.81</v>
      </c>
    </row>
    <row r="15159" spans="1:10" hidden="1">
      <c r="A15159" t="s">
        <v>9467</v>
      </c>
      <c r="B15159" t="s">
        <v>9468</v>
      </c>
      <c r="C15159" t="s">
        <v>6839</v>
      </c>
      <c r="D15159" t="s">
        <v>4022</v>
      </c>
      <c r="E15159" t="s">
        <v>556</v>
      </c>
      <c r="F15159" t="s">
        <v>1068</v>
      </c>
      <c r="G15159" t="s">
        <v>1085</v>
      </c>
      <c r="H15159">
        <v>9.2608188996424503E-4</v>
      </c>
      <c r="I15159" t="s">
        <v>1086</v>
      </c>
      <c r="J15159">
        <v>7.81</v>
      </c>
    </row>
    <row r="15160" spans="1:10" hidden="1">
      <c r="A15160" t="s">
        <v>9467</v>
      </c>
      <c r="B15160" t="s">
        <v>9468</v>
      </c>
      <c r="C15160" t="s">
        <v>6839</v>
      </c>
      <c r="D15160" t="s">
        <v>4022</v>
      </c>
      <c r="E15160" t="s">
        <v>556</v>
      </c>
      <c r="F15160" t="s">
        <v>1068</v>
      </c>
      <c r="G15160" t="s">
        <v>1087</v>
      </c>
      <c r="H15160" s="171" t="s">
        <v>9476</v>
      </c>
      <c r="I15160" t="s">
        <v>1088</v>
      </c>
      <c r="J15160">
        <v>7.81</v>
      </c>
    </row>
    <row r="15161" spans="1:10" hidden="1">
      <c r="A15161" t="s">
        <v>9467</v>
      </c>
      <c r="B15161" t="s">
        <v>9468</v>
      </c>
      <c r="C15161" t="s">
        <v>6839</v>
      </c>
      <c r="D15161" t="s">
        <v>4022</v>
      </c>
      <c r="E15161" t="s">
        <v>556</v>
      </c>
      <c r="F15161" t="s">
        <v>1068</v>
      </c>
      <c r="G15161" t="s">
        <v>1089</v>
      </c>
      <c r="H15161">
        <v>2.85631733006281E-4</v>
      </c>
      <c r="I15161" t="s">
        <v>1090</v>
      </c>
      <c r="J15161">
        <v>7.81</v>
      </c>
    </row>
    <row r="15162" spans="1:10" hidden="1">
      <c r="A15162" t="s">
        <v>9477</v>
      </c>
      <c r="B15162" t="s">
        <v>9478</v>
      </c>
      <c r="C15162" t="s">
        <v>6839</v>
      </c>
      <c r="D15162" t="s">
        <v>4022</v>
      </c>
      <c r="E15162" t="s">
        <v>557</v>
      </c>
      <c r="F15162" t="s">
        <v>1068</v>
      </c>
      <c r="G15162" t="s">
        <v>1069</v>
      </c>
      <c r="H15162" s="171" t="s">
        <v>9479</v>
      </c>
      <c r="I15162" t="s">
        <v>1070</v>
      </c>
      <c r="J15162">
        <v>8.5299999999999994</v>
      </c>
    </row>
    <row r="15163" spans="1:10" hidden="1">
      <c r="A15163" t="s">
        <v>9477</v>
      </c>
      <c r="B15163" t="s">
        <v>9478</v>
      </c>
      <c r="C15163" t="s">
        <v>6839</v>
      </c>
      <c r="D15163" t="s">
        <v>4022</v>
      </c>
      <c r="E15163" t="s">
        <v>557</v>
      </c>
      <c r="F15163" t="s">
        <v>1068</v>
      </c>
      <c r="G15163" t="s">
        <v>1071</v>
      </c>
      <c r="H15163" s="171" t="s">
        <v>9480</v>
      </c>
      <c r="I15163" t="s">
        <v>1072</v>
      </c>
      <c r="J15163">
        <v>8.5299999999999994</v>
      </c>
    </row>
    <row r="15164" spans="1:10" hidden="1">
      <c r="A15164" t="s">
        <v>9477</v>
      </c>
      <c r="B15164" t="s">
        <v>9478</v>
      </c>
      <c r="C15164" t="s">
        <v>6839</v>
      </c>
      <c r="D15164" t="s">
        <v>4022</v>
      </c>
      <c r="E15164" t="s">
        <v>557</v>
      </c>
      <c r="F15164" t="s">
        <v>1068</v>
      </c>
      <c r="G15164" t="s">
        <v>1073</v>
      </c>
      <c r="H15164" s="171" t="s">
        <v>9481</v>
      </c>
      <c r="I15164" t="s">
        <v>1074</v>
      </c>
      <c r="J15164">
        <v>8.5299999999999994</v>
      </c>
    </row>
    <row r="15165" spans="1:10" hidden="1">
      <c r="A15165" t="s">
        <v>9477</v>
      </c>
      <c r="B15165" t="s">
        <v>9478</v>
      </c>
      <c r="C15165" t="s">
        <v>6839</v>
      </c>
      <c r="D15165" t="s">
        <v>4022</v>
      </c>
      <c r="E15165" t="s">
        <v>557</v>
      </c>
      <c r="F15165" t="s">
        <v>1068</v>
      </c>
      <c r="G15165" t="s">
        <v>1075</v>
      </c>
      <c r="H15165">
        <v>2.5827923826561301E-2</v>
      </c>
      <c r="I15165" t="s">
        <v>1077</v>
      </c>
      <c r="J15165">
        <v>8.5299999999999994</v>
      </c>
    </row>
    <row r="15166" spans="1:10" hidden="1">
      <c r="A15166" t="s">
        <v>9477</v>
      </c>
      <c r="B15166" t="s">
        <v>9478</v>
      </c>
      <c r="C15166" t="s">
        <v>6839</v>
      </c>
      <c r="D15166" t="s">
        <v>4022</v>
      </c>
      <c r="E15166" t="s">
        <v>557</v>
      </c>
      <c r="F15166" t="s">
        <v>1068</v>
      </c>
      <c r="G15166" t="s">
        <v>1078</v>
      </c>
      <c r="H15166" s="171" t="s">
        <v>9482</v>
      </c>
      <c r="I15166" t="s">
        <v>1079</v>
      </c>
      <c r="J15166">
        <v>8.5299999999999994</v>
      </c>
    </row>
    <row r="15167" spans="1:10" hidden="1">
      <c r="A15167" t="s">
        <v>9477</v>
      </c>
      <c r="B15167" t="s">
        <v>9478</v>
      </c>
      <c r="C15167" t="s">
        <v>6839</v>
      </c>
      <c r="D15167" t="s">
        <v>4022</v>
      </c>
      <c r="E15167" t="s">
        <v>557</v>
      </c>
      <c r="F15167" t="s">
        <v>1068</v>
      </c>
      <c r="G15167" t="s">
        <v>1080</v>
      </c>
      <c r="H15167" s="171" t="s">
        <v>9483</v>
      </c>
      <c r="I15167" t="s">
        <v>1082</v>
      </c>
      <c r="J15167">
        <v>8.5299999999999994</v>
      </c>
    </row>
    <row r="15168" spans="1:10" hidden="1">
      <c r="A15168" t="s">
        <v>9477</v>
      </c>
      <c r="B15168" t="s">
        <v>9478</v>
      </c>
      <c r="C15168" t="s">
        <v>6839</v>
      </c>
      <c r="D15168" t="s">
        <v>4022</v>
      </c>
      <c r="E15168" t="s">
        <v>557</v>
      </c>
      <c r="F15168" t="s">
        <v>1068</v>
      </c>
      <c r="G15168" t="s">
        <v>1083</v>
      </c>
      <c r="H15168" s="171" t="s">
        <v>9484</v>
      </c>
      <c r="I15168" t="s">
        <v>1084</v>
      </c>
      <c r="J15168">
        <v>8.5299999999999994</v>
      </c>
    </row>
    <row r="15169" spans="1:10" hidden="1">
      <c r="A15169" t="s">
        <v>9477</v>
      </c>
      <c r="B15169" t="s">
        <v>9478</v>
      </c>
      <c r="C15169" t="s">
        <v>6839</v>
      </c>
      <c r="D15169" t="s">
        <v>4022</v>
      </c>
      <c r="E15169" t="s">
        <v>557</v>
      </c>
      <c r="F15169" t="s">
        <v>1068</v>
      </c>
      <c r="G15169" t="s">
        <v>1085</v>
      </c>
      <c r="H15169">
        <v>9.2608146418259605E-4</v>
      </c>
      <c r="I15169" t="s">
        <v>1086</v>
      </c>
      <c r="J15169">
        <v>8.5299999999999994</v>
      </c>
    </row>
    <row r="15170" spans="1:10" hidden="1">
      <c r="A15170" t="s">
        <v>9477</v>
      </c>
      <c r="B15170" t="s">
        <v>9478</v>
      </c>
      <c r="C15170" t="s">
        <v>6839</v>
      </c>
      <c r="D15170" t="s">
        <v>4022</v>
      </c>
      <c r="E15170" t="s">
        <v>557</v>
      </c>
      <c r="F15170" t="s">
        <v>1068</v>
      </c>
      <c r="G15170" t="s">
        <v>1087</v>
      </c>
      <c r="H15170" s="171" t="s">
        <v>9485</v>
      </c>
      <c r="I15170" t="s">
        <v>1088</v>
      </c>
      <c r="J15170">
        <v>8.5299999999999994</v>
      </c>
    </row>
    <row r="15171" spans="1:10" hidden="1">
      <c r="A15171" t="s">
        <v>9477</v>
      </c>
      <c r="B15171" t="s">
        <v>9478</v>
      </c>
      <c r="C15171" t="s">
        <v>6839</v>
      </c>
      <c r="D15171" t="s">
        <v>4022</v>
      </c>
      <c r="E15171" t="s">
        <v>557</v>
      </c>
      <c r="F15171" t="s">
        <v>1068</v>
      </c>
      <c r="G15171" t="s">
        <v>1089</v>
      </c>
      <c r="H15171">
        <v>2.8563164515808597E-4</v>
      </c>
      <c r="I15171" t="s">
        <v>1090</v>
      </c>
      <c r="J15171">
        <v>8.5299999999999994</v>
      </c>
    </row>
    <row r="15172" spans="1:10" hidden="1">
      <c r="A15172" t="s">
        <v>9486</v>
      </c>
      <c r="B15172" t="s">
        <v>9487</v>
      </c>
      <c r="C15172" t="s">
        <v>6839</v>
      </c>
      <c r="D15172" t="s">
        <v>4022</v>
      </c>
      <c r="E15172" t="s">
        <v>559</v>
      </c>
      <c r="F15172" t="s">
        <v>1068</v>
      </c>
      <c r="G15172" t="s">
        <v>1069</v>
      </c>
      <c r="H15172">
        <v>4.4320664328349697E-2</v>
      </c>
      <c r="I15172" t="s">
        <v>1070</v>
      </c>
      <c r="J15172">
        <v>7.96</v>
      </c>
    </row>
    <row r="15173" spans="1:10" hidden="1">
      <c r="A15173" t="s">
        <v>9486</v>
      </c>
      <c r="B15173" t="s">
        <v>9487</v>
      </c>
      <c r="C15173" t="s">
        <v>6839</v>
      </c>
      <c r="D15173" t="s">
        <v>4022</v>
      </c>
      <c r="E15173" t="s">
        <v>559</v>
      </c>
      <c r="F15173" t="s">
        <v>1068</v>
      </c>
      <c r="G15173" t="s">
        <v>1071</v>
      </c>
      <c r="H15173" s="171" t="s">
        <v>9488</v>
      </c>
      <c r="I15173" t="s">
        <v>1072</v>
      </c>
      <c r="J15173">
        <v>7.96</v>
      </c>
    </row>
    <row r="15174" spans="1:10" hidden="1">
      <c r="A15174" t="s">
        <v>9486</v>
      </c>
      <c r="B15174" t="s">
        <v>9487</v>
      </c>
      <c r="C15174" t="s">
        <v>6839</v>
      </c>
      <c r="D15174" t="s">
        <v>4022</v>
      </c>
      <c r="E15174" t="s">
        <v>559</v>
      </c>
      <c r="F15174" t="s">
        <v>1068</v>
      </c>
      <c r="G15174" t="s">
        <v>1073</v>
      </c>
      <c r="H15174" s="171" t="s">
        <v>9489</v>
      </c>
      <c r="I15174" t="s">
        <v>1074</v>
      </c>
      <c r="J15174">
        <v>7.96</v>
      </c>
    </row>
    <row r="15175" spans="1:10" hidden="1">
      <c r="A15175" t="s">
        <v>9486</v>
      </c>
      <c r="B15175" t="s">
        <v>9487</v>
      </c>
      <c r="C15175" t="s">
        <v>6839</v>
      </c>
      <c r="D15175" t="s">
        <v>4022</v>
      </c>
      <c r="E15175" t="s">
        <v>559</v>
      </c>
      <c r="F15175" t="s">
        <v>1068</v>
      </c>
      <c r="G15175" t="s">
        <v>1075</v>
      </c>
      <c r="H15175">
        <v>2.5827927936799101E-2</v>
      </c>
      <c r="I15175" t="s">
        <v>1077</v>
      </c>
      <c r="J15175">
        <v>7.97</v>
      </c>
    </row>
    <row r="15176" spans="1:10" hidden="1">
      <c r="A15176" t="s">
        <v>9486</v>
      </c>
      <c r="B15176" t="s">
        <v>9487</v>
      </c>
      <c r="C15176" t="s">
        <v>6839</v>
      </c>
      <c r="D15176" t="s">
        <v>4022</v>
      </c>
      <c r="E15176" t="s">
        <v>559</v>
      </c>
      <c r="F15176" t="s">
        <v>1068</v>
      </c>
      <c r="G15176" t="s">
        <v>1078</v>
      </c>
      <c r="H15176" s="171" t="s">
        <v>9490</v>
      </c>
      <c r="I15176" t="s">
        <v>1079</v>
      </c>
      <c r="J15176">
        <v>7.97</v>
      </c>
    </row>
    <row r="15177" spans="1:10" hidden="1">
      <c r="A15177" t="s">
        <v>9486</v>
      </c>
      <c r="B15177" t="s">
        <v>9487</v>
      </c>
      <c r="C15177" t="s">
        <v>6839</v>
      </c>
      <c r="D15177" t="s">
        <v>4022</v>
      </c>
      <c r="E15177" t="s">
        <v>559</v>
      </c>
      <c r="F15177" t="s">
        <v>1068</v>
      </c>
      <c r="G15177" t="s">
        <v>1080</v>
      </c>
      <c r="H15177" s="171" t="s">
        <v>9491</v>
      </c>
      <c r="I15177" t="s">
        <v>1082</v>
      </c>
      <c r="J15177">
        <v>7.97</v>
      </c>
    </row>
    <row r="15178" spans="1:10" hidden="1">
      <c r="A15178" t="s">
        <v>9486</v>
      </c>
      <c r="B15178" t="s">
        <v>9487</v>
      </c>
      <c r="C15178" t="s">
        <v>6839</v>
      </c>
      <c r="D15178" t="s">
        <v>4022</v>
      </c>
      <c r="E15178" t="s">
        <v>559</v>
      </c>
      <c r="F15178" t="s">
        <v>1068</v>
      </c>
      <c r="G15178" t="s">
        <v>1083</v>
      </c>
      <c r="H15178" s="171" t="s">
        <v>9492</v>
      </c>
      <c r="I15178" t="s">
        <v>1084</v>
      </c>
      <c r="J15178">
        <v>7.97</v>
      </c>
    </row>
    <row r="15179" spans="1:10" hidden="1">
      <c r="A15179" t="s">
        <v>9486</v>
      </c>
      <c r="B15179" t="s">
        <v>9487</v>
      </c>
      <c r="C15179" t="s">
        <v>6839</v>
      </c>
      <c r="D15179" t="s">
        <v>4022</v>
      </c>
      <c r="E15179" t="s">
        <v>559</v>
      </c>
      <c r="F15179" t="s">
        <v>1068</v>
      </c>
      <c r="G15179" t="s">
        <v>1085</v>
      </c>
      <c r="H15179">
        <v>9.2608168744523305E-4</v>
      </c>
      <c r="I15179" t="s">
        <v>1086</v>
      </c>
      <c r="J15179">
        <v>7.97</v>
      </c>
    </row>
    <row r="15180" spans="1:10" hidden="1">
      <c r="A15180" t="s">
        <v>9486</v>
      </c>
      <c r="B15180" t="s">
        <v>9487</v>
      </c>
      <c r="C15180" t="s">
        <v>6839</v>
      </c>
      <c r="D15180" t="s">
        <v>4022</v>
      </c>
      <c r="E15180" t="s">
        <v>559</v>
      </c>
      <c r="F15180" t="s">
        <v>1068</v>
      </c>
      <c r="G15180" t="s">
        <v>1087</v>
      </c>
      <c r="H15180" s="171" t="s">
        <v>9493</v>
      </c>
      <c r="I15180" t="s">
        <v>1088</v>
      </c>
      <c r="J15180">
        <v>7.97</v>
      </c>
    </row>
    <row r="15181" spans="1:10" hidden="1">
      <c r="A15181" t="s">
        <v>9486</v>
      </c>
      <c r="B15181" t="s">
        <v>9487</v>
      </c>
      <c r="C15181" t="s">
        <v>6839</v>
      </c>
      <c r="D15181" t="s">
        <v>4022</v>
      </c>
      <c r="E15181" t="s">
        <v>559</v>
      </c>
      <c r="F15181" t="s">
        <v>1068</v>
      </c>
      <c r="G15181" t="s">
        <v>1089</v>
      </c>
      <c r="H15181">
        <v>2.8563169122700901E-4</v>
      </c>
      <c r="I15181" t="s">
        <v>1090</v>
      </c>
      <c r="J15181">
        <v>7.97</v>
      </c>
    </row>
    <row r="15182" spans="1:10" hidden="1">
      <c r="A15182" t="s">
        <v>9494</v>
      </c>
      <c r="B15182" t="s">
        <v>9495</v>
      </c>
      <c r="C15182" t="s">
        <v>6839</v>
      </c>
      <c r="D15182" t="s">
        <v>4022</v>
      </c>
      <c r="E15182" t="s">
        <v>560</v>
      </c>
      <c r="F15182" t="s">
        <v>1068</v>
      </c>
      <c r="G15182" t="s">
        <v>1069</v>
      </c>
      <c r="H15182">
        <v>4.4320417268208297E-2</v>
      </c>
      <c r="I15182" t="s">
        <v>1070</v>
      </c>
      <c r="J15182">
        <v>7.64</v>
      </c>
    </row>
    <row r="15183" spans="1:10" hidden="1">
      <c r="A15183" t="s">
        <v>9494</v>
      </c>
      <c r="B15183" t="s">
        <v>9495</v>
      </c>
      <c r="C15183" t="s">
        <v>6839</v>
      </c>
      <c r="D15183" t="s">
        <v>4022</v>
      </c>
      <c r="E15183" t="s">
        <v>560</v>
      </c>
      <c r="F15183" t="s">
        <v>1068</v>
      </c>
      <c r="G15183" t="s">
        <v>1071</v>
      </c>
      <c r="H15183" s="171" t="s">
        <v>9496</v>
      </c>
      <c r="I15183" t="s">
        <v>1072</v>
      </c>
      <c r="J15183">
        <v>7.64</v>
      </c>
    </row>
    <row r="15184" spans="1:10" hidden="1">
      <c r="A15184" t="s">
        <v>9494</v>
      </c>
      <c r="B15184" t="s">
        <v>9495</v>
      </c>
      <c r="C15184" t="s">
        <v>6839</v>
      </c>
      <c r="D15184" t="s">
        <v>4022</v>
      </c>
      <c r="E15184" t="s">
        <v>560</v>
      </c>
      <c r="F15184" t="s">
        <v>1068</v>
      </c>
      <c r="G15184" t="s">
        <v>1073</v>
      </c>
      <c r="H15184" s="171" t="s">
        <v>9497</v>
      </c>
      <c r="I15184" t="s">
        <v>1074</v>
      </c>
      <c r="J15184">
        <v>7.64</v>
      </c>
    </row>
    <row r="15185" spans="1:10" hidden="1">
      <c r="A15185" t="s">
        <v>9494</v>
      </c>
      <c r="B15185" t="s">
        <v>9495</v>
      </c>
      <c r="C15185" t="s">
        <v>6839</v>
      </c>
      <c r="D15185" t="s">
        <v>4022</v>
      </c>
      <c r="E15185" t="s">
        <v>560</v>
      </c>
      <c r="F15185" t="s">
        <v>1068</v>
      </c>
      <c r="G15185" t="s">
        <v>1075</v>
      </c>
      <c r="H15185" s="171" t="s">
        <v>9498</v>
      </c>
      <c r="I15185" t="s">
        <v>1077</v>
      </c>
      <c r="J15185">
        <v>7.64</v>
      </c>
    </row>
    <row r="15186" spans="1:10" hidden="1">
      <c r="A15186" t="s">
        <v>9494</v>
      </c>
      <c r="B15186" t="s">
        <v>9495</v>
      </c>
      <c r="C15186" t="s">
        <v>6839</v>
      </c>
      <c r="D15186" t="s">
        <v>4022</v>
      </c>
      <c r="E15186" t="s">
        <v>560</v>
      </c>
      <c r="F15186" t="s">
        <v>1068</v>
      </c>
      <c r="G15186" t="s">
        <v>1078</v>
      </c>
      <c r="H15186" s="171" t="s">
        <v>9499</v>
      </c>
      <c r="I15186" t="s">
        <v>1079</v>
      </c>
      <c r="J15186">
        <v>7.64</v>
      </c>
    </row>
    <row r="15187" spans="1:10" hidden="1">
      <c r="A15187" t="s">
        <v>9494</v>
      </c>
      <c r="B15187" t="s">
        <v>9495</v>
      </c>
      <c r="C15187" t="s">
        <v>6839</v>
      </c>
      <c r="D15187" t="s">
        <v>4022</v>
      </c>
      <c r="E15187" t="s">
        <v>560</v>
      </c>
      <c r="F15187" t="s">
        <v>1068</v>
      </c>
      <c r="G15187" t="s">
        <v>1080</v>
      </c>
      <c r="H15187" s="171" t="s">
        <v>9500</v>
      </c>
      <c r="I15187" t="s">
        <v>1082</v>
      </c>
      <c r="J15187">
        <v>7.64</v>
      </c>
    </row>
    <row r="15188" spans="1:10" hidden="1">
      <c r="A15188" t="s">
        <v>9494</v>
      </c>
      <c r="B15188" t="s">
        <v>9495</v>
      </c>
      <c r="C15188" t="s">
        <v>6839</v>
      </c>
      <c r="D15188" t="s">
        <v>4022</v>
      </c>
      <c r="E15188" t="s">
        <v>560</v>
      </c>
      <c r="F15188" t="s">
        <v>1068</v>
      </c>
      <c r="G15188" t="s">
        <v>1083</v>
      </c>
      <c r="H15188" s="171" t="s">
        <v>9501</v>
      </c>
      <c r="I15188" t="s">
        <v>1084</v>
      </c>
      <c r="J15188">
        <v>7.64</v>
      </c>
    </row>
    <row r="15189" spans="1:10" hidden="1">
      <c r="A15189" t="s">
        <v>9494</v>
      </c>
      <c r="B15189" t="s">
        <v>9495</v>
      </c>
      <c r="C15189" t="s">
        <v>6839</v>
      </c>
      <c r="D15189" t="s">
        <v>4022</v>
      </c>
      <c r="E15189" t="s">
        <v>560</v>
      </c>
      <c r="F15189" t="s">
        <v>1068</v>
      </c>
      <c r="G15189" t="s">
        <v>1085</v>
      </c>
      <c r="H15189">
        <v>9.2608158823550397E-4</v>
      </c>
      <c r="I15189" t="s">
        <v>1086</v>
      </c>
      <c r="J15189">
        <v>7.64</v>
      </c>
    </row>
    <row r="15190" spans="1:10" hidden="1">
      <c r="A15190" t="s">
        <v>9494</v>
      </c>
      <c r="B15190" t="s">
        <v>9495</v>
      </c>
      <c r="C15190" t="s">
        <v>6839</v>
      </c>
      <c r="D15190" t="s">
        <v>4022</v>
      </c>
      <c r="E15190" t="s">
        <v>560</v>
      </c>
      <c r="F15190" t="s">
        <v>1068</v>
      </c>
      <c r="G15190" t="s">
        <v>1087</v>
      </c>
      <c r="H15190" s="171" t="s">
        <v>9502</v>
      </c>
      <c r="I15190" t="s">
        <v>1088</v>
      </c>
      <c r="J15190">
        <v>7.64</v>
      </c>
    </row>
    <row r="15191" spans="1:10" hidden="1">
      <c r="A15191" t="s">
        <v>9494</v>
      </c>
      <c r="B15191" t="s">
        <v>9495</v>
      </c>
      <c r="C15191" t="s">
        <v>6839</v>
      </c>
      <c r="D15191" t="s">
        <v>4022</v>
      </c>
      <c r="E15191" t="s">
        <v>560</v>
      </c>
      <c r="F15191" t="s">
        <v>1068</v>
      </c>
      <c r="G15191" t="s">
        <v>1089</v>
      </c>
      <c r="H15191">
        <v>2.8563167074995602E-4</v>
      </c>
      <c r="I15191" t="s">
        <v>1090</v>
      </c>
      <c r="J15191">
        <v>7.64</v>
      </c>
    </row>
    <row r="15192" spans="1:10" hidden="1">
      <c r="A15192" t="s">
        <v>9503</v>
      </c>
      <c r="B15192" t="s">
        <v>9504</v>
      </c>
      <c r="C15192" t="s">
        <v>6839</v>
      </c>
      <c r="D15192" t="s">
        <v>4022</v>
      </c>
      <c r="E15192" t="s">
        <v>1116</v>
      </c>
      <c r="F15192" t="s">
        <v>1068</v>
      </c>
      <c r="G15192" t="s">
        <v>1069</v>
      </c>
      <c r="H15192">
        <v>4.4320198099697797E-2</v>
      </c>
      <c r="I15192" t="s">
        <v>1070</v>
      </c>
      <c r="J15192">
        <v>8.41</v>
      </c>
    </row>
    <row r="15193" spans="1:10" hidden="1">
      <c r="A15193" t="s">
        <v>9503</v>
      </c>
      <c r="B15193" t="s">
        <v>9504</v>
      </c>
      <c r="C15193" t="s">
        <v>6839</v>
      </c>
      <c r="D15193" t="s">
        <v>4022</v>
      </c>
      <c r="E15193" t="s">
        <v>1116</v>
      </c>
      <c r="F15193" t="s">
        <v>1068</v>
      </c>
      <c r="G15193" t="s">
        <v>1071</v>
      </c>
      <c r="H15193" s="171" t="s">
        <v>9505</v>
      </c>
      <c r="I15193" t="s">
        <v>1072</v>
      </c>
      <c r="J15193">
        <v>8.41</v>
      </c>
    </row>
    <row r="15194" spans="1:10" hidden="1">
      <c r="A15194" t="s">
        <v>9503</v>
      </c>
      <c r="B15194" t="s">
        <v>9504</v>
      </c>
      <c r="C15194" t="s">
        <v>6839</v>
      </c>
      <c r="D15194" t="s">
        <v>4022</v>
      </c>
      <c r="E15194" t="s">
        <v>1116</v>
      </c>
      <c r="F15194" t="s">
        <v>1068</v>
      </c>
      <c r="G15194" t="s">
        <v>1073</v>
      </c>
      <c r="H15194" s="171" t="s">
        <v>9506</v>
      </c>
      <c r="I15194" t="s">
        <v>1074</v>
      </c>
      <c r="J15194">
        <v>8.41</v>
      </c>
    </row>
    <row r="15195" spans="1:10" hidden="1">
      <c r="A15195" t="s">
        <v>9503</v>
      </c>
      <c r="B15195" t="s">
        <v>9504</v>
      </c>
      <c r="C15195" t="s">
        <v>6839</v>
      </c>
      <c r="D15195" t="s">
        <v>4022</v>
      </c>
      <c r="E15195" t="s">
        <v>1116</v>
      </c>
      <c r="F15195" t="s">
        <v>1068</v>
      </c>
      <c r="G15195" t="s">
        <v>1075</v>
      </c>
      <c r="H15195">
        <v>2.5827919181086401E-2</v>
      </c>
      <c r="I15195" t="s">
        <v>1077</v>
      </c>
      <c r="J15195">
        <v>8.41</v>
      </c>
    </row>
    <row r="15196" spans="1:10" hidden="1">
      <c r="A15196" t="s">
        <v>9503</v>
      </c>
      <c r="B15196" t="s">
        <v>9504</v>
      </c>
      <c r="C15196" t="s">
        <v>6839</v>
      </c>
      <c r="D15196" t="s">
        <v>4022</v>
      </c>
      <c r="E15196" t="s">
        <v>1116</v>
      </c>
      <c r="F15196" t="s">
        <v>1068</v>
      </c>
      <c r="G15196" t="s">
        <v>1078</v>
      </c>
      <c r="H15196" s="171" t="s">
        <v>9507</v>
      </c>
      <c r="I15196" t="s">
        <v>1079</v>
      </c>
      <c r="J15196">
        <v>8.41</v>
      </c>
    </row>
    <row r="15197" spans="1:10" hidden="1">
      <c r="A15197" t="s">
        <v>9503</v>
      </c>
      <c r="B15197" t="s">
        <v>9504</v>
      </c>
      <c r="C15197" t="s">
        <v>6839</v>
      </c>
      <c r="D15197" t="s">
        <v>4022</v>
      </c>
      <c r="E15197" t="s">
        <v>1116</v>
      </c>
      <c r="F15197" t="s">
        <v>1068</v>
      </c>
      <c r="G15197" t="s">
        <v>1080</v>
      </c>
      <c r="H15197" s="171" t="s">
        <v>9508</v>
      </c>
      <c r="I15197" t="s">
        <v>1082</v>
      </c>
      <c r="J15197">
        <v>8.41</v>
      </c>
    </row>
    <row r="15198" spans="1:10" hidden="1">
      <c r="A15198" t="s">
        <v>9503</v>
      </c>
      <c r="B15198" t="s">
        <v>9504</v>
      </c>
      <c r="C15198" t="s">
        <v>6839</v>
      </c>
      <c r="D15198" t="s">
        <v>4022</v>
      </c>
      <c r="E15198" t="s">
        <v>1116</v>
      </c>
      <c r="F15198" t="s">
        <v>1068</v>
      </c>
      <c r="G15198" t="s">
        <v>1083</v>
      </c>
      <c r="H15198" s="171" t="s">
        <v>9509</v>
      </c>
      <c r="I15198" t="s">
        <v>1084</v>
      </c>
      <c r="J15198">
        <v>8.41</v>
      </c>
    </row>
    <row r="15199" spans="1:10" hidden="1">
      <c r="A15199" t="s">
        <v>9503</v>
      </c>
      <c r="B15199" t="s">
        <v>9504</v>
      </c>
      <c r="C15199" t="s">
        <v>6839</v>
      </c>
      <c r="D15199" t="s">
        <v>4022</v>
      </c>
      <c r="E15199" t="s">
        <v>1116</v>
      </c>
      <c r="F15199" t="s">
        <v>1068</v>
      </c>
      <c r="G15199" t="s">
        <v>1085</v>
      </c>
      <c r="H15199">
        <v>9.2608121172245395E-4</v>
      </c>
      <c r="I15199" t="s">
        <v>1086</v>
      </c>
      <c r="J15199">
        <v>8.41</v>
      </c>
    </row>
    <row r="15200" spans="1:10" hidden="1">
      <c r="A15200" t="s">
        <v>9503</v>
      </c>
      <c r="B15200" t="s">
        <v>9504</v>
      </c>
      <c r="C15200" t="s">
        <v>6839</v>
      </c>
      <c r="D15200" t="s">
        <v>4022</v>
      </c>
      <c r="E15200" t="s">
        <v>1116</v>
      </c>
      <c r="F15200" t="s">
        <v>1068</v>
      </c>
      <c r="G15200" t="s">
        <v>1087</v>
      </c>
      <c r="H15200" s="171" t="s">
        <v>9510</v>
      </c>
      <c r="I15200" t="s">
        <v>1088</v>
      </c>
      <c r="J15200">
        <v>8.41</v>
      </c>
    </row>
    <row r="15201" spans="1:10" hidden="1">
      <c r="A15201" t="s">
        <v>9503</v>
      </c>
      <c r="B15201" t="s">
        <v>9504</v>
      </c>
      <c r="C15201" t="s">
        <v>6839</v>
      </c>
      <c r="D15201" t="s">
        <v>4022</v>
      </c>
      <c r="E15201" t="s">
        <v>1116</v>
      </c>
      <c r="F15201" t="s">
        <v>1068</v>
      </c>
      <c r="G15201" t="s">
        <v>1089</v>
      </c>
      <c r="H15201">
        <v>2.8563159307605799E-4</v>
      </c>
      <c r="I15201" t="s">
        <v>1090</v>
      </c>
      <c r="J15201">
        <v>8.41</v>
      </c>
    </row>
    <row r="15202" spans="1:10" hidden="1">
      <c r="A15202" t="s">
        <v>9511</v>
      </c>
      <c r="B15202" t="s">
        <v>9512</v>
      </c>
      <c r="C15202" t="s">
        <v>6839</v>
      </c>
      <c r="D15202" t="s">
        <v>1455</v>
      </c>
      <c r="E15202" t="s">
        <v>561</v>
      </c>
      <c r="F15202" t="s">
        <v>1068</v>
      </c>
      <c r="G15202" t="s">
        <v>1069</v>
      </c>
      <c r="H15202">
        <v>6.8167897647074302E-2</v>
      </c>
      <c r="I15202" t="s">
        <v>1070</v>
      </c>
      <c r="J15202">
        <v>8.7100000000000009</v>
      </c>
    </row>
    <row r="15203" spans="1:10" hidden="1">
      <c r="A15203" t="s">
        <v>9511</v>
      </c>
      <c r="B15203" t="s">
        <v>9512</v>
      </c>
      <c r="C15203" t="s">
        <v>6839</v>
      </c>
      <c r="D15203" t="s">
        <v>1455</v>
      </c>
      <c r="E15203" t="s">
        <v>561</v>
      </c>
      <c r="F15203" t="s">
        <v>1068</v>
      </c>
      <c r="G15203" t="s">
        <v>1071</v>
      </c>
      <c r="H15203" s="171" t="s">
        <v>9513</v>
      </c>
      <c r="I15203" t="s">
        <v>1072</v>
      </c>
      <c r="J15203">
        <v>8.7100000000000009</v>
      </c>
    </row>
    <row r="15204" spans="1:10" hidden="1">
      <c r="A15204" t="s">
        <v>9511</v>
      </c>
      <c r="B15204" t="s">
        <v>9512</v>
      </c>
      <c r="C15204" t="s">
        <v>6839</v>
      </c>
      <c r="D15204" t="s">
        <v>1455</v>
      </c>
      <c r="E15204" t="s">
        <v>561</v>
      </c>
      <c r="F15204" t="s">
        <v>1068</v>
      </c>
      <c r="G15204" t="s">
        <v>1073</v>
      </c>
      <c r="H15204" s="171" t="s">
        <v>9514</v>
      </c>
      <c r="I15204" t="s">
        <v>1074</v>
      </c>
      <c r="J15204">
        <v>8.7100000000000009</v>
      </c>
    </row>
    <row r="15205" spans="1:10" hidden="1">
      <c r="A15205" t="s">
        <v>9511</v>
      </c>
      <c r="B15205" t="s">
        <v>9512</v>
      </c>
      <c r="C15205" t="s">
        <v>6839</v>
      </c>
      <c r="D15205" t="s">
        <v>1455</v>
      </c>
      <c r="E15205" t="s">
        <v>561</v>
      </c>
      <c r="F15205" t="s">
        <v>1068</v>
      </c>
      <c r="G15205" t="s">
        <v>1075</v>
      </c>
      <c r="H15205" s="171" t="s">
        <v>9515</v>
      </c>
      <c r="I15205" t="s">
        <v>1077</v>
      </c>
      <c r="J15205">
        <v>8.7100000000000009</v>
      </c>
    </row>
    <row r="15206" spans="1:10" hidden="1">
      <c r="A15206" t="s">
        <v>9511</v>
      </c>
      <c r="B15206" t="s">
        <v>9512</v>
      </c>
      <c r="C15206" t="s">
        <v>6839</v>
      </c>
      <c r="D15206" t="s">
        <v>1455</v>
      </c>
      <c r="E15206" t="s">
        <v>561</v>
      </c>
      <c r="F15206" t="s">
        <v>1068</v>
      </c>
      <c r="G15206" t="s">
        <v>1078</v>
      </c>
      <c r="H15206" s="171" t="s">
        <v>9516</v>
      </c>
      <c r="I15206" t="s">
        <v>1079</v>
      </c>
      <c r="J15206">
        <v>8.7100000000000009</v>
      </c>
    </row>
    <row r="15207" spans="1:10" hidden="1">
      <c r="A15207" t="s">
        <v>9511</v>
      </c>
      <c r="B15207" t="s">
        <v>9512</v>
      </c>
      <c r="C15207" t="s">
        <v>6839</v>
      </c>
      <c r="D15207" t="s">
        <v>1455</v>
      </c>
      <c r="E15207" t="s">
        <v>561</v>
      </c>
      <c r="F15207" t="s">
        <v>1068</v>
      </c>
      <c r="G15207" t="s">
        <v>1080</v>
      </c>
      <c r="H15207" s="171" t="s">
        <v>9517</v>
      </c>
      <c r="I15207" t="s">
        <v>1082</v>
      </c>
      <c r="J15207">
        <v>8.7100000000000009</v>
      </c>
    </row>
    <row r="15208" spans="1:10" hidden="1">
      <c r="A15208" t="s">
        <v>9511</v>
      </c>
      <c r="B15208" t="s">
        <v>9512</v>
      </c>
      <c r="C15208" t="s">
        <v>6839</v>
      </c>
      <c r="D15208" t="s">
        <v>1455</v>
      </c>
      <c r="E15208" t="s">
        <v>561</v>
      </c>
      <c r="F15208" t="s">
        <v>1068</v>
      </c>
      <c r="G15208" t="s">
        <v>1083</v>
      </c>
      <c r="H15208" s="171" t="s">
        <v>9518</v>
      </c>
      <c r="I15208" t="s">
        <v>1084</v>
      </c>
      <c r="J15208">
        <v>8.7100000000000009</v>
      </c>
    </row>
    <row r="15209" spans="1:10" hidden="1">
      <c r="A15209" t="s">
        <v>9511</v>
      </c>
      <c r="B15209" t="s">
        <v>9512</v>
      </c>
      <c r="C15209" t="s">
        <v>6839</v>
      </c>
      <c r="D15209" t="s">
        <v>1455</v>
      </c>
      <c r="E15209" t="s">
        <v>561</v>
      </c>
      <c r="F15209" t="s">
        <v>1068</v>
      </c>
      <c r="G15209" t="s">
        <v>1085</v>
      </c>
      <c r="H15209">
        <v>5.2757808457582595E-4</v>
      </c>
      <c r="I15209" t="s">
        <v>1086</v>
      </c>
      <c r="J15209">
        <v>8.7100000000000009</v>
      </c>
    </row>
    <row r="15210" spans="1:10" hidden="1">
      <c r="A15210" t="s">
        <v>9511</v>
      </c>
      <c r="B15210" t="s">
        <v>9512</v>
      </c>
      <c r="C15210" t="s">
        <v>6839</v>
      </c>
      <c r="D15210" t="s">
        <v>1455</v>
      </c>
      <c r="E15210" t="s">
        <v>561</v>
      </c>
      <c r="F15210" t="s">
        <v>1068</v>
      </c>
      <c r="G15210" t="s">
        <v>1087</v>
      </c>
      <c r="H15210" s="171" t="s">
        <v>9519</v>
      </c>
      <c r="I15210" t="s">
        <v>1088</v>
      </c>
      <c r="J15210">
        <v>8.7100000000000009</v>
      </c>
    </row>
    <row r="15211" spans="1:10" hidden="1">
      <c r="A15211" t="s">
        <v>9511</v>
      </c>
      <c r="B15211" t="s">
        <v>9512</v>
      </c>
      <c r="C15211" t="s">
        <v>6839</v>
      </c>
      <c r="D15211" t="s">
        <v>1455</v>
      </c>
      <c r="E15211" t="s">
        <v>561</v>
      </c>
      <c r="F15211" t="s">
        <v>1068</v>
      </c>
      <c r="G15211" t="s">
        <v>1089</v>
      </c>
      <c r="H15211">
        <v>1.58369732750225E-4</v>
      </c>
      <c r="I15211" t="s">
        <v>1090</v>
      </c>
      <c r="J15211">
        <v>8.7100000000000009</v>
      </c>
    </row>
    <row r="15212" spans="1:10" hidden="1">
      <c r="A15212" t="s">
        <v>9520</v>
      </c>
      <c r="B15212" t="s">
        <v>9521</v>
      </c>
      <c r="C15212" t="s">
        <v>6839</v>
      </c>
      <c r="D15212" t="s">
        <v>1455</v>
      </c>
      <c r="E15212" t="s">
        <v>555</v>
      </c>
      <c r="F15212" t="s">
        <v>1068</v>
      </c>
      <c r="G15212" t="s">
        <v>1069</v>
      </c>
      <c r="H15212">
        <v>6.81748966703766E-2</v>
      </c>
      <c r="I15212" t="s">
        <v>1070</v>
      </c>
      <c r="J15212">
        <v>20.3</v>
      </c>
    </row>
    <row r="15213" spans="1:10" hidden="1">
      <c r="A15213" t="s">
        <v>9520</v>
      </c>
      <c r="B15213" t="s">
        <v>9521</v>
      </c>
      <c r="C15213" t="s">
        <v>6839</v>
      </c>
      <c r="D15213" t="s">
        <v>1455</v>
      </c>
      <c r="E15213" t="s">
        <v>555</v>
      </c>
      <c r="F15213" t="s">
        <v>1068</v>
      </c>
      <c r="G15213" t="s">
        <v>1071</v>
      </c>
      <c r="H15213" s="171" t="s">
        <v>9522</v>
      </c>
      <c r="I15213" t="s">
        <v>1072</v>
      </c>
      <c r="J15213">
        <v>20.3</v>
      </c>
    </row>
    <row r="15214" spans="1:10" hidden="1">
      <c r="A15214" t="s">
        <v>9520</v>
      </c>
      <c r="B15214" t="s">
        <v>9521</v>
      </c>
      <c r="C15214" t="s">
        <v>6839</v>
      </c>
      <c r="D15214" t="s">
        <v>1455</v>
      </c>
      <c r="E15214" t="s">
        <v>555</v>
      </c>
      <c r="F15214" t="s">
        <v>1068</v>
      </c>
      <c r="G15214" t="s">
        <v>1073</v>
      </c>
      <c r="H15214" s="171" t="s">
        <v>9523</v>
      </c>
      <c r="I15214" t="s">
        <v>1074</v>
      </c>
      <c r="J15214">
        <v>20.3</v>
      </c>
    </row>
    <row r="15215" spans="1:10" hidden="1">
      <c r="A15215" t="s">
        <v>9520</v>
      </c>
      <c r="B15215" t="s">
        <v>9521</v>
      </c>
      <c r="C15215" t="s">
        <v>6839</v>
      </c>
      <c r="D15215" t="s">
        <v>1455</v>
      </c>
      <c r="E15215" t="s">
        <v>555</v>
      </c>
      <c r="F15215" t="s">
        <v>1068</v>
      </c>
      <c r="G15215" t="s">
        <v>1075</v>
      </c>
      <c r="H15215">
        <v>1.45250070721929E-2</v>
      </c>
      <c r="I15215" t="s">
        <v>1077</v>
      </c>
      <c r="J15215">
        <v>20.3</v>
      </c>
    </row>
    <row r="15216" spans="1:10" hidden="1">
      <c r="A15216" t="s">
        <v>9520</v>
      </c>
      <c r="B15216" t="s">
        <v>9521</v>
      </c>
      <c r="C15216" t="s">
        <v>6839</v>
      </c>
      <c r="D15216" t="s">
        <v>1455</v>
      </c>
      <c r="E15216" t="s">
        <v>555</v>
      </c>
      <c r="F15216" t="s">
        <v>1068</v>
      </c>
      <c r="G15216" t="s">
        <v>1078</v>
      </c>
      <c r="H15216" s="171" t="s">
        <v>9524</v>
      </c>
      <c r="I15216" t="s">
        <v>1079</v>
      </c>
      <c r="J15216">
        <v>20.3</v>
      </c>
    </row>
    <row r="15217" spans="1:10" hidden="1">
      <c r="A15217" t="s">
        <v>9520</v>
      </c>
      <c r="B15217" t="s">
        <v>9521</v>
      </c>
      <c r="C15217" t="s">
        <v>6839</v>
      </c>
      <c r="D15217" t="s">
        <v>1455</v>
      </c>
      <c r="E15217" t="s">
        <v>555</v>
      </c>
      <c r="F15217" t="s">
        <v>1068</v>
      </c>
      <c r="G15217" t="s">
        <v>1080</v>
      </c>
      <c r="H15217" s="171" t="s">
        <v>9525</v>
      </c>
      <c r="I15217" t="s">
        <v>1082</v>
      </c>
      <c r="J15217">
        <v>20.3</v>
      </c>
    </row>
    <row r="15218" spans="1:10" hidden="1">
      <c r="A15218" t="s">
        <v>9520</v>
      </c>
      <c r="B15218" t="s">
        <v>9521</v>
      </c>
      <c r="C15218" t="s">
        <v>6839</v>
      </c>
      <c r="D15218" t="s">
        <v>1455</v>
      </c>
      <c r="E15218" t="s">
        <v>555</v>
      </c>
      <c r="F15218" t="s">
        <v>1068</v>
      </c>
      <c r="G15218" t="s">
        <v>1083</v>
      </c>
      <c r="H15218" s="171" t="s">
        <v>9526</v>
      </c>
      <c r="I15218" t="s">
        <v>1084</v>
      </c>
      <c r="J15218">
        <v>20.3</v>
      </c>
    </row>
    <row r="15219" spans="1:10" hidden="1">
      <c r="A15219" t="s">
        <v>9520</v>
      </c>
      <c r="B15219" t="s">
        <v>9521</v>
      </c>
      <c r="C15219" t="s">
        <v>6839</v>
      </c>
      <c r="D15219" t="s">
        <v>1455</v>
      </c>
      <c r="E15219" t="s">
        <v>555</v>
      </c>
      <c r="F15219" t="s">
        <v>1068</v>
      </c>
      <c r="G15219" t="s">
        <v>1085</v>
      </c>
      <c r="H15219">
        <v>5.2758631277617001E-4</v>
      </c>
      <c r="I15219" t="s">
        <v>1086</v>
      </c>
      <c r="J15219">
        <v>20.3</v>
      </c>
    </row>
    <row r="15220" spans="1:10" hidden="1">
      <c r="A15220" t="s">
        <v>9520</v>
      </c>
      <c r="B15220" t="s">
        <v>9521</v>
      </c>
      <c r="C15220" t="s">
        <v>6839</v>
      </c>
      <c r="D15220" t="s">
        <v>1455</v>
      </c>
      <c r="E15220" t="s">
        <v>555</v>
      </c>
      <c r="F15220" t="s">
        <v>1068</v>
      </c>
      <c r="G15220" t="s">
        <v>1087</v>
      </c>
      <c r="H15220" s="171" t="s">
        <v>9527</v>
      </c>
      <c r="I15220" t="s">
        <v>1088</v>
      </c>
      <c r="J15220">
        <v>20.3</v>
      </c>
    </row>
    <row r="15221" spans="1:10" hidden="1">
      <c r="A15221" t="s">
        <v>9520</v>
      </c>
      <c r="B15221" t="s">
        <v>9521</v>
      </c>
      <c r="C15221" t="s">
        <v>6839</v>
      </c>
      <c r="D15221" t="s">
        <v>1455</v>
      </c>
      <c r="E15221" t="s">
        <v>555</v>
      </c>
      <c r="F15221" t="s">
        <v>1068</v>
      </c>
      <c r="G15221" t="s">
        <v>1089</v>
      </c>
      <c r="H15221">
        <v>1.5837143033169701E-4</v>
      </c>
      <c r="I15221" t="s">
        <v>1090</v>
      </c>
      <c r="J15221">
        <v>20.3</v>
      </c>
    </row>
    <row r="15222" spans="1:10" hidden="1">
      <c r="A15222" t="s">
        <v>9528</v>
      </c>
      <c r="B15222" t="s">
        <v>9529</v>
      </c>
      <c r="C15222" t="s">
        <v>6839</v>
      </c>
      <c r="D15222" t="s">
        <v>1455</v>
      </c>
      <c r="E15222" t="s">
        <v>558</v>
      </c>
      <c r="F15222" t="s">
        <v>1068</v>
      </c>
      <c r="G15222" t="s">
        <v>1069</v>
      </c>
      <c r="H15222">
        <v>6.8167496720958301E-2</v>
      </c>
      <c r="I15222" t="s">
        <v>1070</v>
      </c>
      <c r="J15222">
        <v>33.07</v>
      </c>
    </row>
    <row r="15223" spans="1:10" hidden="1">
      <c r="A15223" t="s">
        <v>9528</v>
      </c>
      <c r="B15223" t="s">
        <v>9529</v>
      </c>
      <c r="C15223" t="s">
        <v>6839</v>
      </c>
      <c r="D15223" t="s">
        <v>1455</v>
      </c>
      <c r="E15223" t="s">
        <v>558</v>
      </c>
      <c r="F15223" t="s">
        <v>1068</v>
      </c>
      <c r="G15223" t="s">
        <v>1071</v>
      </c>
      <c r="H15223" s="171" t="s">
        <v>9530</v>
      </c>
      <c r="I15223" t="s">
        <v>1072</v>
      </c>
      <c r="J15223">
        <v>33.07</v>
      </c>
    </row>
    <row r="15224" spans="1:10" hidden="1">
      <c r="A15224" t="s">
        <v>9528</v>
      </c>
      <c r="B15224" t="s">
        <v>9529</v>
      </c>
      <c r="C15224" t="s">
        <v>6839</v>
      </c>
      <c r="D15224" t="s">
        <v>1455</v>
      </c>
      <c r="E15224" t="s">
        <v>558</v>
      </c>
      <c r="F15224" t="s">
        <v>1068</v>
      </c>
      <c r="G15224" t="s">
        <v>1073</v>
      </c>
      <c r="H15224" s="171" t="s">
        <v>9531</v>
      </c>
      <c r="I15224" t="s">
        <v>1074</v>
      </c>
      <c r="J15224">
        <v>33.07</v>
      </c>
    </row>
    <row r="15225" spans="1:10" hidden="1">
      <c r="A15225" t="s">
        <v>9528</v>
      </c>
      <c r="B15225" t="s">
        <v>9529</v>
      </c>
      <c r="C15225" t="s">
        <v>6839</v>
      </c>
      <c r="D15225" t="s">
        <v>1455</v>
      </c>
      <c r="E15225" t="s">
        <v>558</v>
      </c>
      <c r="F15225" t="s">
        <v>1068</v>
      </c>
      <c r="G15225" t="s">
        <v>1075</v>
      </c>
      <c r="H15225">
        <v>1.4524842969228E-2</v>
      </c>
      <c r="I15225" t="s">
        <v>1077</v>
      </c>
      <c r="J15225">
        <v>33.07</v>
      </c>
    </row>
    <row r="15226" spans="1:10" hidden="1">
      <c r="A15226" t="s">
        <v>9528</v>
      </c>
      <c r="B15226" t="s">
        <v>9529</v>
      </c>
      <c r="C15226" t="s">
        <v>6839</v>
      </c>
      <c r="D15226" t="s">
        <v>1455</v>
      </c>
      <c r="E15226" t="s">
        <v>558</v>
      </c>
      <c r="F15226" t="s">
        <v>1068</v>
      </c>
      <c r="G15226" t="s">
        <v>1078</v>
      </c>
      <c r="H15226" s="171" t="s">
        <v>9532</v>
      </c>
      <c r="I15226" t="s">
        <v>1079</v>
      </c>
      <c r="J15226">
        <v>33.07</v>
      </c>
    </row>
    <row r="15227" spans="1:10" hidden="1">
      <c r="A15227" t="s">
        <v>9528</v>
      </c>
      <c r="B15227" t="s">
        <v>9529</v>
      </c>
      <c r="C15227" t="s">
        <v>6839</v>
      </c>
      <c r="D15227" t="s">
        <v>1455</v>
      </c>
      <c r="E15227" t="s">
        <v>558</v>
      </c>
      <c r="F15227" t="s">
        <v>1068</v>
      </c>
      <c r="G15227" t="s">
        <v>1080</v>
      </c>
      <c r="H15227" s="171" t="s">
        <v>9533</v>
      </c>
      <c r="I15227" t="s">
        <v>1082</v>
      </c>
      <c r="J15227">
        <v>33.07</v>
      </c>
    </row>
    <row r="15228" spans="1:10" hidden="1">
      <c r="A15228" t="s">
        <v>9528</v>
      </c>
      <c r="B15228" t="s">
        <v>9529</v>
      </c>
      <c r="C15228" t="s">
        <v>6839</v>
      </c>
      <c r="D15228" t="s">
        <v>1455</v>
      </c>
      <c r="E15228" t="s">
        <v>558</v>
      </c>
      <c r="F15228" t="s">
        <v>1068</v>
      </c>
      <c r="G15228" t="s">
        <v>1083</v>
      </c>
      <c r="H15228" s="171" t="s">
        <v>9534</v>
      </c>
      <c r="I15228" t="s">
        <v>1084</v>
      </c>
      <c r="J15228">
        <v>33.07</v>
      </c>
    </row>
    <row r="15229" spans="1:10" hidden="1">
      <c r="A15229" t="s">
        <v>9528</v>
      </c>
      <c r="B15229" t="s">
        <v>9529</v>
      </c>
      <c r="C15229" t="s">
        <v>6839</v>
      </c>
      <c r="D15229" t="s">
        <v>1455</v>
      </c>
      <c r="E15229" t="s">
        <v>558</v>
      </c>
      <c r="F15229" t="s">
        <v>1068</v>
      </c>
      <c r="G15229" t="s">
        <v>1085</v>
      </c>
      <c r="H15229">
        <v>5.2757739581851403E-4</v>
      </c>
      <c r="I15229" t="s">
        <v>1086</v>
      </c>
      <c r="J15229">
        <v>33.07</v>
      </c>
    </row>
    <row r="15230" spans="1:10" hidden="1">
      <c r="A15230" t="s">
        <v>9528</v>
      </c>
      <c r="B15230" t="s">
        <v>9529</v>
      </c>
      <c r="C15230" t="s">
        <v>6839</v>
      </c>
      <c r="D15230" t="s">
        <v>1455</v>
      </c>
      <c r="E15230" t="s">
        <v>558</v>
      </c>
      <c r="F15230" t="s">
        <v>1068</v>
      </c>
      <c r="G15230" t="s">
        <v>1087</v>
      </c>
      <c r="H15230" s="171" t="s">
        <v>9535</v>
      </c>
      <c r="I15230" t="s">
        <v>1088</v>
      </c>
      <c r="J15230">
        <v>33.07</v>
      </c>
    </row>
    <row r="15231" spans="1:10" hidden="1">
      <c r="A15231" t="s">
        <v>9528</v>
      </c>
      <c r="B15231" t="s">
        <v>9529</v>
      </c>
      <c r="C15231" t="s">
        <v>6839</v>
      </c>
      <c r="D15231" t="s">
        <v>1455</v>
      </c>
      <c r="E15231" t="s">
        <v>558</v>
      </c>
      <c r="F15231" t="s">
        <v>1068</v>
      </c>
      <c r="G15231" t="s">
        <v>1089</v>
      </c>
      <c r="H15231">
        <v>1.58369590660951E-4</v>
      </c>
      <c r="I15231" t="s">
        <v>1090</v>
      </c>
      <c r="J15231">
        <v>33.07</v>
      </c>
    </row>
    <row r="15232" spans="1:10" hidden="1">
      <c r="A15232" t="s">
        <v>9536</v>
      </c>
      <c r="B15232" t="s">
        <v>9537</v>
      </c>
      <c r="C15232" t="s">
        <v>6839</v>
      </c>
      <c r="D15232" t="s">
        <v>1455</v>
      </c>
      <c r="E15232" t="s">
        <v>553</v>
      </c>
      <c r="F15232" t="s">
        <v>1068</v>
      </c>
      <c r="G15232" t="s">
        <v>1069</v>
      </c>
      <c r="H15232">
        <v>6.8169542706081193E-2</v>
      </c>
      <c r="I15232" t="s">
        <v>1070</v>
      </c>
      <c r="J15232">
        <v>34.619999999999997</v>
      </c>
    </row>
    <row r="15233" spans="1:10" hidden="1">
      <c r="A15233" t="s">
        <v>9536</v>
      </c>
      <c r="B15233" t="s">
        <v>9537</v>
      </c>
      <c r="C15233" t="s">
        <v>6839</v>
      </c>
      <c r="D15233" t="s">
        <v>1455</v>
      </c>
      <c r="E15233" t="s">
        <v>553</v>
      </c>
      <c r="F15233" t="s">
        <v>1068</v>
      </c>
      <c r="G15233" t="s">
        <v>1071</v>
      </c>
      <c r="H15233" s="171" t="s">
        <v>9538</v>
      </c>
      <c r="I15233" t="s">
        <v>1072</v>
      </c>
      <c r="J15233">
        <v>34.619999999999997</v>
      </c>
    </row>
    <row r="15234" spans="1:10" hidden="1">
      <c r="A15234" t="s">
        <v>9536</v>
      </c>
      <c r="B15234" t="s">
        <v>9537</v>
      </c>
      <c r="C15234" t="s">
        <v>6839</v>
      </c>
      <c r="D15234" t="s">
        <v>1455</v>
      </c>
      <c r="E15234" t="s">
        <v>553</v>
      </c>
      <c r="F15234" t="s">
        <v>1068</v>
      </c>
      <c r="G15234" t="s">
        <v>1073</v>
      </c>
      <c r="H15234" s="171" t="s">
        <v>9539</v>
      </c>
      <c r="I15234" t="s">
        <v>1074</v>
      </c>
      <c r="J15234">
        <v>34.619999999999997</v>
      </c>
    </row>
    <row r="15235" spans="1:10" hidden="1">
      <c r="A15235" t="s">
        <v>9536</v>
      </c>
      <c r="B15235" t="s">
        <v>9537</v>
      </c>
      <c r="C15235" t="s">
        <v>6839</v>
      </c>
      <c r="D15235" t="s">
        <v>1455</v>
      </c>
      <c r="E15235" t="s">
        <v>553</v>
      </c>
      <c r="F15235" t="s">
        <v>1068</v>
      </c>
      <c r="G15235" t="s">
        <v>1075</v>
      </c>
      <c r="H15235" s="171" t="s">
        <v>9540</v>
      </c>
      <c r="I15235" t="s">
        <v>1077</v>
      </c>
      <c r="J15235">
        <v>34.619999999999997</v>
      </c>
    </row>
    <row r="15236" spans="1:10" hidden="1">
      <c r="A15236" t="s">
        <v>9536</v>
      </c>
      <c r="B15236" t="s">
        <v>9537</v>
      </c>
      <c r="C15236" t="s">
        <v>6839</v>
      </c>
      <c r="D15236" t="s">
        <v>1455</v>
      </c>
      <c r="E15236" t="s">
        <v>553</v>
      </c>
      <c r="F15236" t="s">
        <v>1068</v>
      </c>
      <c r="G15236" t="s">
        <v>1078</v>
      </c>
      <c r="H15236" s="171" t="s">
        <v>9541</v>
      </c>
      <c r="I15236" t="s">
        <v>1079</v>
      </c>
      <c r="J15236">
        <v>34.619999999999997</v>
      </c>
    </row>
    <row r="15237" spans="1:10" hidden="1">
      <c r="A15237" t="s">
        <v>9536</v>
      </c>
      <c r="B15237" t="s">
        <v>9537</v>
      </c>
      <c r="C15237" t="s">
        <v>6839</v>
      </c>
      <c r="D15237" t="s">
        <v>1455</v>
      </c>
      <c r="E15237" t="s">
        <v>553</v>
      </c>
      <c r="F15237" t="s">
        <v>1068</v>
      </c>
      <c r="G15237" t="s">
        <v>1080</v>
      </c>
      <c r="H15237" s="171" t="s">
        <v>9542</v>
      </c>
      <c r="I15237" t="s">
        <v>1082</v>
      </c>
      <c r="J15237">
        <v>34.619999999999997</v>
      </c>
    </row>
    <row r="15238" spans="1:10" hidden="1">
      <c r="A15238" t="s">
        <v>9536</v>
      </c>
      <c r="B15238" t="s">
        <v>9537</v>
      </c>
      <c r="C15238" t="s">
        <v>6839</v>
      </c>
      <c r="D15238" t="s">
        <v>1455</v>
      </c>
      <c r="E15238" t="s">
        <v>553</v>
      </c>
      <c r="F15238" t="s">
        <v>1068</v>
      </c>
      <c r="G15238" t="s">
        <v>1083</v>
      </c>
      <c r="H15238" s="171" t="s">
        <v>9543</v>
      </c>
      <c r="I15238" t="s">
        <v>1084</v>
      </c>
      <c r="J15238">
        <v>34.619999999999997</v>
      </c>
    </row>
    <row r="15239" spans="1:10" hidden="1">
      <c r="A15239" t="s">
        <v>9536</v>
      </c>
      <c r="B15239" t="s">
        <v>9537</v>
      </c>
      <c r="C15239" t="s">
        <v>6839</v>
      </c>
      <c r="D15239" t="s">
        <v>1455</v>
      </c>
      <c r="E15239" t="s">
        <v>553</v>
      </c>
      <c r="F15239" t="s">
        <v>1068</v>
      </c>
      <c r="G15239" t="s">
        <v>1085</v>
      </c>
      <c r="H15239">
        <v>5.2757711511624596E-4</v>
      </c>
      <c r="I15239" t="s">
        <v>1086</v>
      </c>
      <c r="J15239">
        <v>34.619999999999997</v>
      </c>
    </row>
    <row r="15240" spans="1:10" hidden="1">
      <c r="A15240" t="s">
        <v>9536</v>
      </c>
      <c r="B15240" t="s">
        <v>9537</v>
      </c>
      <c r="C15240" t="s">
        <v>6839</v>
      </c>
      <c r="D15240" t="s">
        <v>1455</v>
      </c>
      <c r="E15240" t="s">
        <v>553</v>
      </c>
      <c r="F15240" t="s">
        <v>1068</v>
      </c>
      <c r="G15240" t="s">
        <v>1087</v>
      </c>
      <c r="H15240" s="171" t="s">
        <v>9544</v>
      </c>
      <c r="I15240" t="s">
        <v>1088</v>
      </c>
      <c r="J15240">
        <v>34.619999999999997</v>
      </c>
    </row>
    <row r="15241" spans="1:10" hidden="1">
      <c r="A15241" t="s">
        <v>9536</v>
      </c>
      <c r="B15241" t="s">
        <v>9537</v>
      </c>
      <c r="C15241" t="s">
        <v>6839</v>
      </c>
      <c r="D15241" t="s">
        <v>1455</v>
      </c>
      <c r="E15241" t="s">
        <v>553</v>
      </c>
      <c r="F15241" t="s">
        <v>1068</v>
      </c>
      <c r="G15241" t="s">
        <v>1089</v>
      </c>
      <c r="H15241">
        <v>1.5836953287261699E-4</v>
      </c>
      <c r="I15241" t="s">
        <v>1090</v>
      </c>
      <c r="J15241">
        <v>34.619999999999997</v>
      </c>
    </row>
    <row r="15242" spans="1:10" hidden="1">
      <c r="A15242" t="s">
        <v>9545</v>
      </c>
      <c r="B15242" t="s">
        <v>9546</v>
      </c>
      <c r="C15242" t="s">
        <v>6839</v>
      </c>
      <c r="D15242" t="s">
        <v>1455</v>
      </c>
      <c r="E15242" t="s">
        <v>556</v>
      </c>
      <c r="F15242" t="s">
        <v>1068</v>
      </c>
      <c r="G15242" t="s">
        <v>1069</v>
      </c>
      <c r="H15242">
        <v>6.8174393439261696E-2</v>
      </c>
      <c r="I15242" t="s">
        <v>1070</v>
      </c>
      <c r="J15242">
        <v>16.3</v>
      </c>
    </row>
    <row r="15243" spans="1:10" hidden="1">
      <c r="A15243" t="s">
        <v>9545</v>
      </c>
      <c r="B15243" t="s">
        <v>9546</v>
      </c>
      <c r="C15243" t="s">
        <v>6839</v>
      </c>
      <c r="D15243" t="s">
        <v>1455</v>
      </c>
      <c r="E15243" t="s">
        <v>556</v>
      </c>
      <c r="F15243" t="s">
        <v>1068</v>
      </c>
      <c r="G15243" t="s">
        <v>1071</v>
      </c>
      <c r="H15243" s="171" t="s">
        <v>9547</v>
      </c>
      <c r="I15243" t="s">
        <v>1072</v>
      </c>
      <c r="J15243">
        <v>16.3</v>
      </c>
    </row>
    <row r="15244" spans="1:10" hidden="1">
      <c r="A15244" t="s">
        <v>9545</v>
      </c>
      <c r="B15244" t="s">
        <v>9546</v>
      </c>
      <c r="C15244" t="s">
        <v>6839</v>
      </c>
      <c r="D15244" t="s">
        <v>1455</v>
      </c>
      <c r="E15244" t="s">
        <v>556</v>
      </c>
      <c r="F15244" t="s">
        <v>1068</v>
      </c>
      <c r="G15244" t="s">
        <v>1073</v>
      </c>
      <c r="H15244" s="171" t="s">
        <v>9548</v>
      </c>
      <c r="I15244" t="s">
        <v>1074</v>
      </c>
      <c r="J15244">
        <v>16.3</v>
      </c>
    </row>
    <row r="15245" spans="1:10" hidden="1">
      <c r="A15245" t="s">
        <v>9545</v>
      </c>
      <c r="B15245" t="s">
        <v>9546</v>
      </c>
      <c r="C15245" t="s">
        <v>6839</v>
      </c>
      <c r="D15245" t="s">
        <v>1455</v>
      </c>
      <c r="E15245" t="s">
        <v>556</v>
      </c>
      <c r="F15245" t="s">
        <v>1068</v>
      </c>
      <c r="G15245" t="s">
        <v>1075</v>
      </c>
      <c r="H15245" s="171" t="s">
        <v>9549</v>
      </c>
      <c r="I15245" t="s">
        <v>1077</v>
      </c>
      <c r="J15245">
        <v>16.3</v>
      </c>
    </row>
    <row r="15246" spans="1:10" hidden="1">
      <c r="A15246" t="s">
        <v>9545</v>
      </c>
      <c r="B15246" t="s">
        <v>9546</v>
      </c>
      <c r="C15246" t="s">
        <v>6839</v>
      </c>
      <c r="D15246" t="s">
        <v>1455</v>
      </c>
      <c r="E15246" t="s">
        <v>556</v>
      </c>
      <c r="F15246" t="s">
        <v>1068</v>
      </c>
      <c r="G15246" t="s">
        <v>1078</v>
      </c>
      <c r="H15246" s="171" t="s">
        <v>9550</v>
      </c>
      <c r="I15246" t="s">
        <v>1079</v>
      </c>
      <c r="J15246">
        <v>16.3</v>
      </c>
    </row>
    <row r="15247" spans="1:10" hidden="1">
      <c r="A15247" t="s">
        <v>9545</v>
      </c>
      <c r="B15247" t="s">
        <v>9546</v>
      </c>
      <c r="C15247" t="s">
        <v>6839</v>
      </c>
      <c r="D15247" t="s">
        <v>1455</v>
      </c>
      <c r="E15247" t="s">
        <v>556</v>
      </c>
      <c r="F15247" t="s">
        <v>1068</v>
      </c>
      <c r="G15247" t="s">
        <v>1080</v>
      </c>
      <c r="H15247" s="171" t="s">
        <v>9551</v>
      </c>
      <c r="I15247" t="s">
        <v>1082</v>
      </c>
      <c r="J15247">
        <v>16.3</v>
      </c>
    </row>
    <row r="15248" spans="1:10" hidden="1">
      <c r="A15248" t="s">
        <v>9545</v>
      </c>
      <c r="B15248" t="s">
        <v>9546</v>
      </c>
      <c r="C15248" t="s">
        <v>6839</v>
      </c>
      <c r="D15248" t="s">
        <v>1455</v>
      </c>
      <c r="E15248" t="s">
        <v>556</v>
      </c>
      <c r="F15248" t="s">
        <v>1068</v>
      </c>
      <c r="G15248" t="s">
        <v>1083</v>
      </c>
      <c r="H15248" s="171" t="s">
        <v>9552</v>
      </c>
      <c r="I15248" t="s">
        <v>1084</v>
      </c>
      <c r="J15248">
        <v>16.3</v>
      </c>
    </row>
    <row r="15249" spans="1:10" hidden="1">
      <c r="A15249" t="s">
        <v>9545</v>
      </c>
      <c r="B15249" t="s">
        <v>9546</v>
      </c>
      <c r="C15249" t="s">
        <v>6839</v>
      </c>
      <c r="D15249" t="s">
        <v>1455</v>
      </c>
      <c r="E15249" t="s">
        <v>556</v>
      </c>
      <c r="F15249" t="s">
        <v>1068</v>
      </c>
      <c r="G15249" t="s">
        <v>1085</v>
      </c>
      <c r="H15249">
        <v>5.2758544826744802E-4</v>
      </c>
      <c r="I15249" t="s">
        <v>1086</v>
      </c>
      <c r="J15249">
        <v>16.3</v>
      </c>
    </row>
    <row r="15250" spans="1:10" hidden="1">
      <c r="A15250" t="s">
        <v>9545</v>
      </c>
      <c r="B15250" t="s">
        <v>9546</v>
      </c>
      <c r="C15250" t="s">
        <v>6839</v>
      </c>
      <c r="D15250" t="s">
        <v>1455</v>
      </c>
      <c r="E15250" t="s">
        <v>556</v>
      </c>
      <c r="F15250" t="s">
        <v>1068</v>
      </c>
      <c r="G15250" t="s">
        <v>1087</v>
      </c>
      <c r="H15250" s="171" t="s">
        <v>9553</v>
      </c>
      <c r="I15250" t="s">
        <v>1088</v>
      </c>
      <c r="J15250">
        <v>16.3</v>
      </c>
    </row>
    <row r="15251" spans="1:10" hidden="1">
      <c r="A15251" t="s">
        <v>9545</v>
      </c>
      <c r="B15251" t="s">
        <v>9546</v>
      </c>
      <c r="C15251" t="s">
        <v>6839</v>
      </c>
      <c r="D15251" t="s">
        <v>1455</v>
      </c>
      <c r="E15251" t="s">
        <v>556</v>
      </c>
      <c r="F15251" t="s">
        <v>1068</v>
      </c>
      <c r="G15251" t="s">
        <v>1089</v>
      </c>
      <c r="H15251">
        <v>1.5837125198525599E-4</v>
      </c>
      <c r="I15251" t="s">
        <v>1090</v>
      </c>
      <c r="J15251">
        <v>16.3</v>
      </c>
    </row>
    <row r="15252" spans="1:10" hidden="1">
      <c r="A15252" t="s">
        <v>9554</v>
      </c>
      <c r="B15252" t="s">
        <v>9555</v>
      </c>
      <c r="C15252" t="s">
        <v>6839</v>
      </c>
      <c r="D15252" t="s">
        <v>1455</v>
      </c>
      <c r="E15252" t="s">
        <v>557</v>
      </c>
      <c r="F15252" t="s">
        <v>1068</v>
      </c>
      <c r="G15252" t="s">
        <v>1069</v>
      </c>
      <c r="H15252">
        <v>6.8169152720128606E-2</v>
      </c>
      <c r="I15252" t="s">
        <v>1070</v>
      </c>
      <c r="J15252">
        <v>16.010000000000002</v>
      </c>
    </row>
    <row r="15253" spans="1:10" hidden="1">
      <c r="A15253" t="s">
        <v>9554</v>
      </c>
      <c r="B15253" t="s">
        <v>9555</v>
      </c>
      <c r="C15253" t="s">
        <v>6839</v>
      </c>
      <c r="D15253" t="s">
        <v>1455</v>
      </c>
      <c r="E15253" t="s">
        <v>557</v>
      </c>
      <c r="F15253" t="s">
        <v>1068</v>
      </c>
      <c r="G15253" t="s">
        <v>1071</v>
      </c>
      <c r="H15253" s="171" t="s">
        <v>9556</v>
      </c>
      <c r="I15253" t="s">
        <v>1072</v>
      </c>
      <c r="J15253">
        <v>16.010000000000002</v>
      </c>
    </row>
    <row r="15254" spans="1:10" hidden="1">
      <c r="A15254" t="s">
        <v>9554</v>
      </c>
      <c r="B15254" t="s">
        <v>9555</v>
      </c>
      <c r="C15254" t="s">
        <v>6839</v>
      </c>
      <c r="D15254" t="s">
        <v>1455</v>
      </c>
      <c r="E15254" t="s">
        <v>557</v>
      </c>
      <c r="F15254" t="s">
        <v>1068</v>
      </c>
      <c r="G15254" t="s">
        <v>1073</v>
      </c>
      <c r="H15254" s="171" t="s">
        <v>9557</v>
      </c>
      <c r="I15254" t="s">
        <v>1074</v>
      </c>
      <c r="J15254">
        <v>16.010000000000002</v>
      </c>
    </row>
    <row r="15255" spans="1:10" hidden="1">
      <c r="A15255" t="s">
        <v>9554</v>
      </c>
      <c r="B15255" t="s">
        <v>9555</v>
      </c>
      <c r="C15255" t="s">
        <v>6839</v>
      </c>
      <c r="D15255" t="s">
        <v>1455</v>
      </c>
      <c r="E15255" t="s">
        <v>557</v>
      </c>
      <c r="F15255" t="s">
        <v>1068</v>
      </c>
      <c r="G15255" t="s">
        <v>1075</v>
      </c>
      <c r="H15255" s="171" t="s">
        <v>9558</v>
      </c>
      <c r="I15255" t="s">
        <v>1077</v>
      </c>
      <c r="J15255">
        <v>16.010000000000002</v>
      </c>
    </row>
    <row r="15256" spans="1:10" hidden="1">
      <c r="A15256" t="s">
        <v>9554</v>
      </c>
      <c r="B15256" t="s">
        <v>9555</v>
      </c>
      <c r="C15256" t="s">
        <v>6839</v>
      </c>
      <c r="D15256" t="s">
        <v>1455</v>
      </c>
      <c r="E15256" t="s">
        <v>557</v>
      </c>
      <c r="F15256" t="s">
        <v>1068</v>
      </c>
      <c r="G15256" t="s">
        <v>1078</v>
      </c>
      <c r="H15256" s="171" t="s">
        <v>9559</v>
      </c>
      <c r="I15256" t="s">
        <v>1079</v>
      </c>
      <c r="J15256">
        <v>16.010000000000002</v>
      </c>
    </row>
    <row r="15257" spans="1:10" hidden="1">
      <c r="A15257" t="s">
        <v>9554</v>
      </c>
      <c r="B15257" t="s">
        <v>9555</v>
      </c>
      <c r="C15257" t="s">
        <v>6839</v>
      </c>
      <c r="D15257" t="s">
        <v>1455</v>
      </c>
      <c r="E15257" t="s">
        <v>557</v>
      </c>
      <c r="F15257" t="s">
        <v>1068</v>
      </c>
      <c r="G15257" t="s">
        <v>1080</v>
      </c>
      <c r="H15257" s="171" t="s">
        <v>9560</v>
      </c>
      <c r="I15257" t="s">
        <v>1082</v>
      </c>
      <c r="J15257">
        <v>16.010000000000002</v>
      </c>
    </row>
    <row r="15258" spans="1:10" hidden="1">
      <c r="A15258" t="s">
        <v>9554</v>
      </c>
      <c r="B15258" t="s">
        <v>9555</v>
      </c>
      <c r="C15258" t="s">
        <v>6839</v>
      </c>
      <c r="D15258" t="s">
        <v>1455</v>
      </c>
      <c r="E15258" t="s">
        <v>557</v>
      </c>
      <c r="F15258" t="s">
        <v>1068</v>
      </c>
      <c r="G15258" t="s">
        <v>1083</v>
      </c>
      <c r="H15258" s="171" t="s">
        <v>9561</v>
      </c>
      <c r="I15258" t="s">
        <v>1084</v>
      </c>
      <c r="J15258">
        <v>16.010000000000002</v>
      </c>
    </row>
    <row r="15259" spans="1:10" hidden="1">
      <c r="A15259" t="s">
        <v>9554</v>
      </c>
      <c r="B15259" t="s">
        <v>9555</v>
      </c>
      <c r="C15259" t="s">
        <v>6839</v>
      </c>
      <c r="D15259" t="s">
        <v>1455</v>
      </c>
      <c r="E15259" t="s">
        <v>557</v>
      </c>
      <c r="F15259" t="s">
        <v>1068</v>
      </c>
      <c r="G15259" t="s">
        <v>1085</v>
      </c>
      <c r="H15259">
        <v>5.2758024068567304E-4</v>
      </c>
      <c r="I15259" t="s">
        <v>1086</v>
      </c>
      <c r="J15259">
        <v>16.010000000000002</v>
      </c>
    </row>
    <row r="15260" spans="1:10" hidden="1">
      <c r="A15260" t="s">
        <v>9554</v>
      </c>
      <c r="B15260" t="s">
        <v>9555</v>
      </c>
      <c r="C15260" t="s">
        <v>6839</v>
      </c>
      <c r="D15260" t="s">
        <v>1455</v>
      </c>
      <c r="E15260" t="s">
        <v>557</v>
      </c>
      <c r="F15260" t="s">
        <v>1068</v>
      </c>
      <c r="G15260" t="s">
        <v>1087</v>
      </c>
      <c r="H15260" s="171" t="s">
        <v>9562</v>
      </c>
      <c r="I15260" t="s">
        <v>1088</v>
      </c>
      <c r="J15260">
        <v>16.010000000000002</v>
      </c>
    </row>
    <row r="15261" spans="1:10" hidden="1">
      <c r="A15261" t="s">
        <v>9554</v>
      </c>
      <c r="B15261" t="s">
        <v>9555</v>
      </c>
      <c r="C15261" t="s">
        <v>6839</v>
      </c>
      <c r="D15261" t="s">
        <v>1455</v>
      </c>
      <c r="E15261" t="s">
        <v>557</v>
      </c>
      <c r="F15261" t="s">
        <v>1068</v>
      </c>
      <c r="G15261" t="s">
        <v>1089</v>
      </c>
      <c r="H15261">
        <v>1.58370177551428E-4</v>
      </c>
      <c r="I15261" t="s">
        <v>1090</v>
      </c>
      <c r="J15261">
        <v>16.010000000000002</v>
      </c>
    </row>
    <row r="15262" spans="1:10" hidden="1">
      <c r="A15262" t="s">
        <v>9563</v>
      </c>
      <c r="B15262" t="s">
        <v>9564</v>
      </c>
      <c r="C15262" t="s">
        <v>6839</v>
      </c>
      <c r="D15262" t="s">
        <v>1455</v>
      </c>
      <c r="E15262" t="s">
        <v>559</v>
      </c>
      <c r="F15262" t="s">
        <v>1068</v>
      </c>
      <c r="G15262" t="s">
        <v>1069</v>
      </c>
      <c r="H15262">
        <v>6.8172951597207002E-2</v>
      </c>
      <c r="I15262" t="s">
        <v>1070</v>
      </c>
      <c r="J15262">
        <v>11.68</v>
      </c>
    </row>
    <row r="15263" spans="1:10" hidden="1">
      <c r="A15263" t="s">
        <v>9563</v>
      </c>
      <c r="B15263" t="s">
        <v>9564</v>
      </c>
      <c r="C15263" t="s">
        <v>6839</v>
      </c>
      <c r="D15263" t="s">
        <v>1455</v>
      </c>
      <c r="E15263" t="s">
        <v>559</v>
      </c>
      <c r="F15263" t="s">
        <v>1068</v>
      </c>
      <c r="G15263" t="s">
        <v>1071</v>
      </c>
      <c r="H15263" s="171" t="s">
        <v>9565</v>
      </c>
      <c r="I15263" t="s">
        <v>1072</v>
      </c>
      <c r="J15263">
        <v>11.68</v>
      </c>
    </row>
    <row r="15264" spans="1:10" hidden="1">
      <c r="A15264" t="s">
        <v>9563</v>
      </c>
      <c r="B15264" t="s">
        <v>9564</v>
      </c>
      <c r="C15264" t="s">
        <v>6839</v>
      </c>
      <c r="D15264" t="s">
        <v>1455</v>
      </c>
      <c r="E15264" t="s">
        <v>559</v>
      </c>
      <c r="F15264" t="s">
        <v>1068</v>
      </c>
      <c r="G15264" t="s">
        <v>1073</v>
      </c>
      <c r="H15264" s="171" t="s">
        <v>9566</v>
      </c>
      <c r="I15264" t="s">
        <v>1074</v>
      </c>
      <c r="J15264">
        <v>11.68</v>
      </c>
    </row>
    <row r="15265" spans="1:10" hidden="1">
      <c r="A15265" t="s">
        <v>9563</v>
      </c>
      <c r="B15265" t="s">
        <v>9564</v>
      </c>
      <c r="C15265" t="s">
        <v>6839</v>
      </c>
      <c r="D15265" t="s">
        <v>1455</v>
      </c>
      <c r="E15265" t="s">
        <v>559</v>
      </c>
      <c r="F15265" t="s">
        <v>1068</v>
      </c>
      <c r="G15265" t="s">
        <v>1075</v>
      </c>
      <c r="H15265" s="171" t="s">
        <v>9567</v>
      </c>
      <c r="I15265" t="s">
        <v>1077</v>
      </c>
      <c r="J15265">
        <v>11.68</v>
      </c>
    </row>
    <row r="15266" spans="1:10" hidden="1">
      <c r="A15266" t="s">
        <v>9563</v>
      </c>
      <c r="B15266" t="s">
        <v>9564</v>
      </c>
      <c r="C15266" t="s">
        <v>6839</v>
      </c>
      <c r="D15266" t="s">
        <v>1455</v>
      </c>
      <c r="E15266" t="s">
        <v>559</v>
      </c>
      <c r="F15266" t="s">
        <v>1068</v>
      </c>
      <c r="G15266" t="s">
        <v>1078</v>
      </c>
      <c r="H15266" s="171" t="s">
        <v>9568</v>
      </c>
      <c r="I15266" t="s">
        <v>1079</v>
      </c>
      <c r="J15266">
        <v>11.68</v>
      </c>
    </row>
    <row r="15267" spans="1:10" hidden="1">
      <c r="A15267" t="s">
        <v>9563</v>
      </c>
      <c r="B15267" t="s">
        <v>9564</v>
      </c>
      <c r="C15267" t="s">
        <v>6839</v>
      </c>
      <c r="D15267" t="s">
        <v>1455</v>
      </c>
      <c r="E15267" t="s">
        <v>559</v>
      </c>
      <c r="F15267" t="s">
        <v>1068</v>
      </c>
      <c r="G15267" t="s">
        <v>1080</v>
      </c>
      <c r="H15267" s="171" t="s">
        <v>9569</v>
      </c>
      <c r="I15267" t="s">
        <v>1082</v>
      </c>
      <c r="J15267">
        <v>11.68</v>
      </c>
    </row>
    <row r="15268" spans="1:10" hidden="1">
      <c r="A15268" t="s">
        <v>9563</v>
      </c>
      <c r="B15268" t="s">
        <v>9564</v>
      </c>
      <c r="C15268" t="s">
        <v>6839</v>
      </c>
      <c r="D15268" t="s">
        <v>1455</v>
      </c>
      <c r="E15268" t="s">
        <v>559</v>
      </c>
      <c r="F15268" t="s">
        <v>1068</v>
      </c>
      <c r="G15268" t="s">
        <v>1083</v>
      </c>
      <c r="H15268" s="171" t="s">
        <v>9570</v>
      </c>
      <c r="I15268" t="s">
        <v>1084</v>
      </c>
      <c r="J15268">
        <v>11.68</v>
      </c>
    </row>
    <row r="15269" spans="1:10" hidden="1">
      <c r="A15269" t="s">
        <v>9563</v>
      </c>
      <c r="B15269" t="s">
        <v>9564</v>
      </c>
      <c r="C15269" t="s">
        <v>6839</v>
      </c>
      <c r="D15269" t="s">
        <v>1455</v>
      </c>
      <c r="E15269" t="s">
        <v>559</v>
      </c>
      <c r="F15269" t="s">
        <v>1068</v>
      </c>
      <c r="G15269" t="s">
        <v>1085</v>
      </c>
      <c r="H15269">
        <v>5.2758297130421302E-4</v>
      </c>
      <c r="I15269" t="s">
        <v>1086</v>
      </c>
      <c r="J15269">
        <v>11.68</v>
      </c>
    </row>
    <row r="15270" spans="1:10" hidden="1">
      <c r="A15270" t="s">
        <v>9563</v>
      </c>
      <c r="B15270" t="s">
        <v>9564</v>
      </c>
      <c r="C15270" t="s">
        <v>6839</v>
      </c>
      <c r="D15270" t="s">
        <v>1455</v>
      </c>
      <c r="E15270" t="s">
        <v>559</v>
      </c>
      <c r="F15270" t="s">
        <v>1068</v>
      </c>
      <c r="G15270" t="s">
        <v>1087</v>
      </c>
      <c r="H15270" s="171" t="s">
        <v>9571</v>
      </c>
      <c r="I15270" t="s">
        <v>1088</v>
      </c>
      <c r="J15270">
        <v>11.68</v>
      </c>
    </row>
    <row r="15271" spans="1:10" hidden="1">
      <c r="A15271" t="s">
        <v>9563</v>
      </c>
      <c r="B15271" t="s">
        <v>9564</v>
      </c>
      <c r="C15271" t="s">
        <v>6839</v>
      </c>
      <c r="D15271" t="s">
        <v>1455</v>
      </c>
      <c r="E15271" t="s">
        <v>559</v>
      </c>
      <c r="F15271" t="s">
        <v>1068</v>
      </c>
      <c r="G15271" t="s">
        <v>1089</v>
      </c>
      <c r="H15271">
        <v>1.5837074099263001E-4</v>
      </c>
      <c r="I15271" t="s">
        <v>1090</v>
      </c>
      <c r="J15271">
        <v>11.68</v>
      </c>
    </row>
    <row r="15272" spans="1:10" hidden="1">
      <c r="A15272" t="s">
        <v>9572</v>
      </c>
      <c r="B15272" t="s">
        <v>9573</v>
      </c>
      <c r="C15272" t="s">
        <v>6839</v>
      </c>
      <c r="D15272" t="s">
        <v>1455</v>
      </c>
      <c r="E15272" t="s">
        <v>560</v>
      </c>
      <c r="F15272" t="s">
        <v>1068</v>
      </c>
      <c r="G15272" t="s">
        <v>1069</v>
      </c>
      <c r="H15272">
        <v>6.8170035919685595E-2</v>
      </c>
      <c r="I15272" t="s">
        <v>1070</v>
      </c>
      <c r="J15272">
        <v>10.74</v>
      </c>
    </row>
    <row r="15273" spans="1:10" hidden="1">
      <c r="A15273" t="s">
        <v>9572</v>
      </c>
      <c r="B15273" t="s">
        <v>9573</v>
      </c>
      <c r="C15273" t="s">
        <v>6839</v>
      </c>
      <c r="D15273" t="s">
        <v>1455</v>
      </c>
      <c r="E15273" t="s">
        <v>560</v>
      </c>
      <c r="F15273" t="s">
        <v>1068</v>
      </c>
      <c r="G15273" t="s">
        <v>1071</v>
      </c>
      <c r="H15273" s="171" t="s">
        <v>9574</v>
      </c>
      <c r="I15273" t="s">
        <v>1072</v>
      </c>
      <c r="J15273">
        <v>10.74</v>
      </c>
    </row>
    <row r="15274" spans="1:10" hidden="1">
      <c r="A15274" t="s">
        <v>9572</v>
      </c>
      <c r="B15274" t="s">
        <v>9573</v>
      </c>
      <c r="C15274" t="s">
        <v>6839</v>
      </c>
      <c r="D15274" t="s">
        <v>1455</v>
      </c>
      <c r="E15274" t="s">
        <v>560</v>
      </c>
      <c r="F15274" t="s">
        <v>1068</v>
      </c>
      <c r="G15274" t="s">
        <v>1073</v>
      </c>
      <c r="H15274" s="171" t="s">
        <v>9575</v>
      </c>
      <c r="I15274" t="s">
        <v>1074</v>
      </c>
      <c r="J15274">
        <v>10.74</v>
      </c>
    </row>
    <row r="15275" spans="1:10" hidden="1">
      <c r="A15275" t="s">
        <v>9572</v>
      </c>
      <c r="B15275" t="s">
        <v>9573</v>
      </c>
      <c r="C15275" t="s">
        <v>6839</v>
      </c>
      <c r="D15275" t="s">
        <v>1455</v>
      </c>
      <c r="E15275" t="s">
        <v>560</v>
      </c>
      <c r="F15275" t="s">
        <v>1068</v>
      </c>
      <c r="G15275" t="s">
        <v>1075</v>
      </c>
      <c r="H15275" s="171" t="s">
        <v>9576</v>
      </c>
      <c r="I15275" t="s">
        <v>1077</v>
      </c>
      <c r="J15275">
        <v>10.74</v>
      </c>
    </row>
    <row r="15276" spans="1:10" hidden="1">
      <c r="A15276" t="s">
        <v>9572</v>
      </c>
      <c r="B15276" t="s">
        <v>9573</v>
      </c>
      <c r="C15276" t="s">
        <v>6839</v>
      </c>
      <c r="D15276" t="s">
        <v>1455</v>
      </c>
      <c r="E15276" t="s">
        <v>560</v>
      </c>
      <c r="F15276" t="s">
        <v>1068</v>
      </c>
      <c r="G15276" t="s">
        <v>1078</v>
      </c>
      <c r="H15276" s="171" t="s">
        <v>9577</v>
      </c>
      <c r="I15276" t="s">
        <v>1079</v>
      </c>
      <c r="J15276">
        <v>10.74</v>
      </c>
    </row>
    <row r="15277" spans="1:10" hidden="1">
      <c r="A15277" t="s">
        <v>9572</v>
      </c>
      <c r="B15277" t="s">
        <v>9573</v>
      </c>
      <c r="C15277" t="s">
        <v>6839</v>
      </c>
      <c r="D15277" t="s">
        <v>1455</v>
      </c>
      <c r="E15277" t="s">
        <v>560</v>
      </c>
      <c r="F15277" t="s">
        <v>1068</v>
      </c>
      <c r="G15277" t="s">
        <v>1080</v>
      </c>
      <c r="H15277" s="171" t="s">
        <v>9578</v>
      </c>
      <c r="I15277" t="s">
        <v>1082</v>
      </c>
      <c r="J15277">
        <v>10.74</v>
      </c>
    </row>
    <row r="15278" spans="1:10" hidden="1">
      <c r="A15278" t="s">
        <v>9572</v>
      </c>
      <c r="B15278" t="s">
        <v>9573</v>
      </c>
      <c r="C15278" t="s">
        <v>6839</v>
      </c>
      <c r="D15278" t="s">
        <v>1455</v>
      </c>
      <c r="E15278" t="s">
        <v>560</v>
      </c>
      <c r="F15278" t="s">
        <v>1068</v>
      </c>
      <c r="G15278" t="s">
        <v>1083</v>
      </c>
      <c r="H15278" s="171" t="s">
        <v>9579</v>
      </c>
      <c r="I15278" t="s">
        <v>1084</v>
      </c>
      <c r="J15278">
        <v>10.74</v>
      </c>
    </row>
    <row r="15279" spans="1:10" hidden="1">
      <c r="A15279" t="s">
        <v>9572</v>
      </c>
      <c r="B15279" t="s">
        <v>9573</v>
      </c>
      <c r="C15279" t="s">
        <v>6839</v>
      </c>
      <c r="D15279" t="s">
        <v>1455</v>
      </c>
      <c r="E15279" t="s">
        <v>560</v>
      </c>
      <c r="F15279" t="s">
        <v>1068</v>
      </c>
      <c r="G15279" t="s">
        <v>1085</v>
      </c>
      <c r="H15279">
        <v>5.2758175794815699E-4</v>
      </c>
      <c r="I15279" t="s">
        <v>1086</v>
      </c>
      <c r="J15279">
        <v>10.74</v>
      </c>
    </row>
    <row r="15280" spans="1:10" hidden="1">
      <c r="A15280" t="s">
        <v>9572</v>
      </c>
      <c r="B15280" t="s">
        <v>9573</v>
      </c>
      <c r="C15280" t="s">
        <v>6839</v>
      </c>
      <c r="D15280" t="s">
        <v>1455</v>
      </c>
      <c r="E15280" t="s">
        <v>560</v>
      </c>
      <c r="F15280" t="s">
        <v>1068</v>
      </c>
      <c r="G15280" t="s">
        <v>1087</v>
      </c>
      <c r="H15280" s="171" t="s">
        <v>9580</v>
      </c>
      <c r="I15280" t="s">
        <v>1088</v>
      </c>
      <c r="J15280">
        <v>10.74</v>
      </c>
    </row>
    <row r="15281" spans="1:10" hidden="1">
      <c r="A15281" t="s">
        <v>9572</v>
      </c>
      <c r="B15281" t="s">
        <v>9573</v>
      </c>
      <c r="C15281" t="s">
        <v>6839</v>
      </c>
      <c r="D15281" t="s">
        <v>1455</v>
      </c>
      <c r="E15281" t="s">
        <v>560</v>
      </c>
      <c r="F15281" t="s">
        <v>1068</v>
      </c>
      <c r="G15281" t="s">
        <v>1089</v>
      </c>
      <c r="H15281">
        <v>1.5837049055968301E-4</v>
      </c>
      <c r="I15281" t="s">
        <v>1090</v>
      </c>
      <c r="J15281">
        <v>10.74</v>
      </c>
    </row>
    <row r="15282" spans="1:10" hidden="1">
      <c r="A15282" t="s">
        <v>9581</v>
      </c>
      <c r="B15282" t="s">
        <v>9582</v>
      </c>
      <c r="C15282" t="s">
        <v>6839</v>
      </c>
      <c r="D15282" t="s">
        <v>1455</v>
      </c>
      <c r="E15282" t="s">
        <v>1116</v>
      </c>
      <c r="F15282" t="s">
        <v>1068</v>
      </c>
      <c r="G15282" t="s">
        <v>1069</v>
      </c>
      <c r="H15282">
        <v>6.8167355320211204E-2</v>
      </c>
      <c r="I15282" t="s">
        <v>1070</v>
      </c>
      <c r="J15282">
        <v>10.039999999999999</v>
      </c>
    </row>
    <row r="15283" spans="1:10" hidden="1">
      <c r="A15283" t="s">
        <v>9581</v>
      </c>
      <c r="B15283" t="s">
        <v>9582</v>
      </c>
      <c r="C15283" t="s">
        <v>6839</v>
      </c>
      <c r="D15283" t="s">
        <v>1455</v>
      </c>
      <c r="E15283" t="s">
        <v>1116</v>
      </c>
      <c r="F15283" t="s">
        <v>1068</v>
      </c>
      <c r="G15283" t="s">
        <v>1071</v>
      </c>
      <c r="H15283" s="171" t="s">
        <v>9583</v>
      </c>
      <c r="I15283" t="s">
        <v>1072</v>
      </c>
      <c r="J15283">
        <v>10.039999999999999</v>
      </c>
    </row>
    <row r="15284" spans="1:10" hidden="1">
      <c r="A15284" t="s">
        <v>9581</v>
      </c>
      <c r="B15284" t="s">
        <v>9582</v>
      </c>
      <c r="C15284" t="s">
        <v>6839</v>
      </c>
      <c r="D15284" t="s">
        <v>1455</v>
      </c>
      <c r="E15284" t="s">
        <v>1116</v>
      </c>
      <c r="F15284" t="s">
        <v>1068</v>
      </c>
      <c r="G15284" t="s">
        <v>1073</v>
      </c>
      <c r="H15284" s="171" t="s">
        <v>9584</v>
      </c>
      <c r="I15284" t="s">
        <v>1074</v>
      </c>
      <c r="J15284">
        <v>10.039999999999999</v>
      </c>
    </row>
    <row r="15285" spans="1:10" hidden="1">
      <c r="A15285" t="s">
        <v>9581</v>
      </c>
      <c r="B15285" t="s">
        <v>9582</v>
      </c>
      <c r="C15285" t="s">
        <v>6839</v>
      </c>
      <c r="D15285" t="s">
        <v>1455</v>
      </c>
      <c r="E15285" t="s">
        <v>1116</v>
      </c>
      <c r="F15285" t="s">
        <v>1068</v>
      </c>
      <c r="G15285" t="s">
        <v>1075</v>
      </c>
      <c r="H15285" s="171" t="s">
        <v>9585</v>
      </c>
      <c r="I15285" t="s">
        <v>1077</v>
      </c>
      <c r="J15285">
        <v>10.039999999999999</v>
      </c>
    </row>
    <row r="15286" spans="1:10" hidden="1">
      <c r="A15286" t="s">
        <v>9581</v>
      </c>
      <c r="B15286" t="s">
        <v>9582</v>
      </c>
      <c r="C15286" t="s">
        <v>6839</v>
      </c>
      <c r="D15286" t="s">
        <v>1455</v>
      </c>
      <c r="E15286" t="s">
        <v>1116</v>
      </c>
      <c r="F15286" t="s">
        <v>1068</v>
      </c>
      <c r="G15286" t="s">
        <v>1078</v>
      </c>
      <c r="H15286" s="171" t="s">
        <v>9586</v>
      </c>
      <c r="I15286" t="s">
        <v>1079</v>
      </c>
      <c r="J15286">
        <v>10.039999999999999</v>
      </c>
    </row>
    <row r="15287" spans="1:10" hidden="1">
      <c r="A15287" t="s">
        <v>9581</v>
      </c>
      <c r="B15287" t="s">
        <v>9582</v>
      </c>
      <c r="C15287" t="s">
        <v>6839</v>
      </c>
      <c r="D15287" t="s">
        <v>1455</v>
      </c>
      <c r="E15287" t="s">
        <v>1116</v>
      </c>
      <c r="F15287" t="s">
        <v>1068</v>
      </c>
      <c r="G15287" t="s">
        <v>1080</v>
      </c>
      <c r="H15287" s="171" t="s">
        <v>9587</v>
      </c>
      <c r="I15287" t="s">
        <v>1082</v>
      </c>
      <c r="J15287">
        <v>10.039999999999999</v>
      </c>
    </row>
    <row r="15288" spans="1:10" hidden="1">
      <c r="A15288" t="s">
        <v>9581</v>
      </c>
      <c r="B15288" t="s">
        <v>9582</v>
      </c>
      <c r="C15288" t="s">
        <v>6839</v>
      </c>
      <c r="D15288" t="s">
        <v>1455</v>
      </c>
      <c r="E15288" t="s">
        <v>1116</v>
      </c>
      <c r="F15288" t="s">
        <v>1068</v>
      </c>
      <c r="G15288" t="s">
        <v>1083</v>
      </c>
      <c r="H15288" s="171" t="s">
        <v>9588</v>
      </c>
      <c r="I15288" t="s">
        <v>1084</v>
      </c>
      <c r="J15288">
        <v>10.039999999999999</v>
      </c>
    </row>
    <row r="15289" spans="1:10" hidden="1">
      <c r="A15289" t="s">
        <v>9581</v>
      </c>
      <c r="B15289" t="s">
        <v>9582</v>
      </c>
      <c r="C15289" t="s">
        <v>6839</v>
      </c>
      <c r="D15289" t="s">
        <v>1455</v>
      </c>
      <c r="E15289" t="s">
        <v>1116</v>
      </c>
      <c r="F15289" t="s">
        <v>1068</v>
      </c>
      <c r="G15289" t="s">
        <v>1085</v>
      </c>
      <c r="H15289">
        <v>5.27577152903933E-4</v>
      </c>
      <c r="I15289" t="s">
        <v>1086</v>
      </c>
      <c r="J15289">
        <v>10.039999999999999</v>
      </c>
    </row>
    <row r="15290" spans="1:10" hidden="1">
      <c r="A15290" t="s">
        <v>9581</v>
      </c>
      <c r="B15290" t="s">
        <v>9582</v>
      </c>
      <c r="C15290" t="s">
        <v>6839</v>
      </c>
      <c r="D15290" t="s">
        <v>1455</v>
      </c>
      <c r="E15290" t="s">
        <v>1116</v>
      </c>
      <c r="F15290" t="s">
        <v>1068</v>
      </c>
      <c r="G15290" t="s">
        <v>1087</v>
      </c>
      <c r="H15290" s="171" t="s">
        <v>9589</v>
      </c>
      <c r="I15290" t="s">
        <v>1088</v>
      </c>
      <c r="J15290">
        <v>10.039999999999999</v>
      </c>
    </row>
    <row r="15291" spans="1:10" hidden="1">
      <c r="A15291" t="s">
        <v>9581</v>
      </c>
      <c r="B15291" t="s">
        <v>9582</v>
      </c>
      <c r="C15291" t="s">
        <v>6839</v>
      </c>
      <c r="D15291" t="s">
        <v>1455</v>
      </c>
      <c r="E15291" t="s">
        <v>1116</v>
      </c>
      <c r="F15291" t="s">
        <v>1068</v>
      </c>
      <c r="G15291" t="s">
        <v>1089</v>
      </c>
      <c r="H15291">
        <v>1.5836954054815301E-4</v>
      </c>
      <c r="I15291" t="s">
        <v>1090</v>
      </c>
      <c r="J15291">
        <v>10.039999999999999</v>
      </c>
    </row>
    <row r="15292" spans="1:10" hidden="1">
      <c r="A15292" t="s">
        <v>9590</v>
      </c>
      <c r="B15292" t="s">
        <v>9591</v>
      </c>
      <c r="C15292" t="s">
        <v>6839</v>
      </c>
      <c r="D15292" t="s">
        <v>544</v>
      </c>
      <c r="E15292" t="s">
        <v>561</v>
      </c>
      <c r="F15292" t="s">
        <v>1068</v>
      </c>
      <c r="G15292" t="s">
        <v>1069</v>
      </c>
      <c r="H15292">
        <v>4.4454939685319397E-2</v>
      </c>
      <c r="I15292" t="s">
        <v>1070</v>
      </c>
      <c r="J15292">
        <v>11.25</v>
      </c>
    </row>
    <row r="15293" spans="1:10" hidden="1">
      <c r="A15293" t="s">
        <v>9590</v>
      </c>
      <c r="B15293" t="s">
        <v>9591</v>
      </c>
      <c r="C15293" t="s">
        <v>6839</v>
      </c>
      <c r="D15293" t="s">
        <v>544</v>
      </c>
      <c r="E15293" t="s">
        <v>561</v>
      </c>
      <c r="F15293" t="s">
        <v>1068</v>
      </c>
      <c r="G15293" t="s">
        <v>1071</v>
      </c>
      <c r="H15293" s="171" t="s">
        <v>9592</v>
      </c>
      <c r="I15293" t="s">
        <v>1072</v>
      </c>
      <c r="J15293">
        <v>11.25</v>
      </c>
    </row>
    <row r="15294" spans="1:10" hidden="1">
      <c r="A15294" t="s">
        <v>9590</v>
      </c>
      <c r="B15294" t="s">
        <v>9591</v>
      </c>
      <c r="C15294" t="s">
        <v>6839</v>
      </c>
      <c r="D15294" t="s">
        <v>544</v>
      </c>
      <c r="E15294" t="s">
        <v>561</v>
      </c>
      <c r="F15294" t="s">
        <v>1068</v>
      </c>
      <c r="G15294" t="s">
        <v>1073</v>
      </c>
      <c r="H15294" s="171" t="s">
        <v>9593</v>
      </c>
      <c r="I15294" t="s">
        <v>1074</v>
      </c>
      <c r="J15294">
        <v>11.25</v>
      </c>
    </row>
    <row r="15295" spans="1:10" hidden="1">
      <c r="A15295" t="s">
        <v>9590</v>
      </c>
      <c r="B15295" t="s">
        <v>9591</v>
      </c>
      <c r="C15295" t="s">
        <v>6839</v>
      </c>
      <c r="D15295" t="s">
        <v>544</v>
      </c>
      <c r="E15295" t="s">
        <v>561</v>
      </c>
      <c r="F15295" t="s">
        <v>1068</v>
      </c>
      <c r="G15295" t="s">
        <v>1075</v>
      </c>
      <c r="H15295">
        <v>1.13880399891923E-2</v>
      </c>
      <c r="I15295" t="s">
        <v>1077</v>
      </c>
      <c r="J15295">
        <v>11.25</v>
      </c>
    </row>
    <row r="15296" spans="1:10" hidden="1">
      <c r="A15296" t="s">
        <v>9590</v>
      </c>
      <c r="B15296" t="s">
        <v>9591</v>
      </c>
      <c r="C15296" t="s">
        <v>6839</v>
      </c>
      <c r="D15296" t="s">
        <v>544</v>
      </c>
      <c r="E15296" t="s">
        <v>561</v>
      </c>
      <c r="F15296" t="s">
        <v>1068</v>
      </c>
      <c r="G15296" t="s">
        <v>1078</v>
      </c>
      <c r="H15296" s="171" t="s">
        <v>9594</v>
      </c>
      <c r="I15296" t="s">
        <v>1079</v>
      </c>
      <c r="J15296">
        <v>11.25</v>
      </c>
    </row>
    <row r="15297" spans="1:10" hidden="1">
      <c r="A15297" t="s">
        <v>9590</v>
      </c>
      <c r="B15297" t="s">
        <v>9591</v>
      </c>
      <c r="C15297" t="s">
        <v>6839</v>
      </c>
      <c r="D15297" t="s">
        <v>544</v>
      </c>
      <c r="E15297" t="s">
        <v>561</v>
      </c>
      <c r="F15297" t="s">
        <v>1068</v>
      </c>
      <c r="G15297" t="s">
        <v>1080</v>
      </c>
      <c r="H15297" s="171" t="s">
        <v>9595</v>
      </c>
      <c r="I15297" t="s">
        <v>1082</v>
      </c>
      <c r="J15297">
        <v>11.25</v>
      </c>
    </row>
    <row r="15298" spans="1:10" hidden="1">
      <c r="A15298" t="s">
        <v>9590</v>
      </c>
      <c r="B15298" t="s">
        <v>9591</v>
      </c>
      <c r="C15298" t="s">
        <v>6839</v>
      </c>
      <c r="D15298" t="s">
        <v>544</v>
      </c>
      <c r="E15298" t="s">
        <v>561</v>
      </c>
      <c r="F15298" t="s">
        <v>1068</v>
      </c>
      <c r="G15298" t="s">
        <v>1083</v>
      </c>
      <c r="H15298" s="171" t="s">
        <v>9596</v>
      </c>
      <c r="I15298" t="s">
        <v>1084</v>
      </c>
      <c r="J15298">
        <v>11.25</v>
      </c>
    </row>
    <row r="15299" spans="1:10" hidden="1">
      <c r="A15299" t="s">
        <v>9590</v>
      </c>
      <c r="B15299" t="s">
        <v>9591</v>
      </c>
      <c r="C15299" t="s">
        <v>6839</v>
      </c>
      <c r="D15299" t="s">
        <v>544</v>
      </c>
      <c r="E15299" t="s">
        <v>561</v>
      </c>
      <c r="F15299" t="s">
        <v>1068</v>
      </c>
      <c r="G15299" t="s">
        <v>1085</v>
      </c>
      <c r="H15299">
        <v>4.2604800617106599E-4</v>
      </c>
      <c r="I15299" t="s">
        <v>1086</v>
      </c>
      <c r="J15299">
        <v>11.25</v>
      </c>
    </row>
    <row r="15300" spans="1:10" hidden="1">
      <c r="A15300" t="s">
        <v>9590</v>
      </c>
      <c r="B15300" t="s">
        <v>9591</v>
      </c>
      <c r="C15300" t="s">
        <v>6839</v>
      </c>
      <c r="D15300" t="s">
        <v>544</v>
      </c>
      <c r="E15300" t="s">
        <v>561</v>
      </c>
      <c r="F15300" t="s">
        <v>1068</v>
      </c>
      <c r="G15300" t="s">
        <v>1087</v>
      </c>
      <c r="H15300" s="171" t="s">
        <v>9597</v>
      </c>
      <c r="I15300" t="s">
        <v>1088</v>
      </c>
      <c r="J15300">
        <v>11.25</v>
      </c>
    </row>
    <row r="15301" spans="1:10" hidden="1">
      <c r="A15301" t="s">
        <v>9590</v>
      </c>
      <c r="B15301" t="s">
        <v>9591</v>
      </c>
      <c r="C15301" t="s">
        <v>6839</v>
      </c>
      <c r="D15301" t="s">
        <v>544</v>
      </c>
      <c r="E15301" t="s">
        <v>561</v>
      </c>
      <c r="F15301" t="s">
        <v>1068</v>
      </c>
      <c r="G15301" t="s">
        <v>1089</v>
      </c>
      <c r="H15301">
        <v>1.2523272278568501E-4</v>
      </c>
      <c r="I15301" t="s">
        <v>1090</v>
      </c>
      <c r="J15301">
        <v>11.25</v>
      </c>
    </row>
    <row r="15302" spans="1:10" hidden="1">
      <c r="A15302" t="s">
        <v>9598</v>
      </c>
      <c r="B15302" t="s">
        <v>9599</v>
      </c>
      <c r="C15302" t="s">
        <v>6839</v>
      </c>
      <c r="D15302" t="s">
        <v>544</v>
      </c>
      <c r="E15302" t="s">
        <v>555</v>
      </c>
      <c r="F15302" t="s">
        <v>1068</v>
      </c>
      <c r="G15302" t="s">
        <v>1069</v>
      </c>
      <c r="H15302" s="171" t="s">
        <v>9600</v>
      </c>
      <c r="I15302" t="s">
        <v>1070</v>
      </c>
      <c r="J15302">
        <v>9.26</v>
      </c>
    </row>
    <row r="15303" spans="1:10" hidden="1">
      <c r="A15303" t="s">
        <v>9598</v>
      </c>
      <c r="B15303" t="s">
        <v>9599</v>
      </c>
      <c r="C15303" t="s">
        <v>6839</v>
      </c>
      <c r="D15303" t="s">
        <v>544</v>
      </c>
      <c r="E15303" t="s">
        <v>555</v>
      </c>
      <c r="F15303" t="s">
        <v>1068</v>
      </c>
      <c r="G15303" t="s">
        <v>1071</v>
      </c>
      <c r="H15303" s="171" t="s">
        <v>9601</v>
      </c>
      <c r="I15303" t="s">
        <v>1072</v>
      </c>
      <c r="J15303">
        <v>9.26</v>
      </c>
    </row>
    <row r="15304" spans="1:10" hidden="1">
      <c r="A15304" t="s">
        <v>9598</v>
      </c>
      <c r="B15304" t="s">
        <v>9599</v>
      </c>
      <c r="C15304" t="s">
        <v>6839</v>
      </c>
      <c r="D15304" t="s">
        <v>544</v>
      </c>
      <c r="E15304" t="s">
        <v>555</v>
      </c>
      <c r="F15304" t="s">
        <v>1068</v>
      </c>
      <c r="G15304" t="s">
        <v>1073</v>
      </c>
      <c r="H15304" s="171" t="s">
        <v>9602</v>
      </c>
      <c r="I15304" t="s">
        <v>1074</v>
      </c>
      <c r="J15304">
        <v>9.26</v>
      </c>
    </row>
    <row r="15305" spans="1:10" hidden="1">
      <c r="A15305" t="s">
        <v>9598</v>
      </c>
      <c r="B15305" t="s">
        <v>9599</v>
      </c>
      <c r="C15305" t="s">
        <v>6839</v>
      </c>
      <c r="D15305" t="s">
        <v>544</v>
      </c>
      <c r="E15305" t="s">
        <v>555</v>
      </c>
      <c r="F15305" t="s">
        <v>1068</v>
      </c>
      <c r="G15305" t="s">
        <v>1075</v>
      </c>
      <c r="H15305">
        <v>1.1388052846568899E-2</v>
      </c>
      <c r="I15305" t="s">
        <v>1077</v>
      </c>
      <c r="J15305">
        <v>9.26</v>
      </c>
    </row>
    <row r="15306" spans="1:10" hidden="1">
      <c r="A15306" t="s">
        <v>9598</v>
      </c>
      <c r="B15306" t="s">
        <v>9599</v>
      </c>
      <c r="C15306" t="s">
        <v>6839</v>
      </c>
      <c r="D15306" t="s">
        <v>544</v>
      </c>
      <c r="E15306" t="s">
        <v>555</v>
      </c>
      <c r="F15306" t="s">
        <v>1068</v>
      </c>
      <c r="G15306" t="s">
        <v>1078</v>
      </c>
      <c r="H15306" s="171" t="s">
        <v>9603</v>
      </c>
      <c r="I15306" t="s">
        <v>1079</v>
      </c>
      <c r="J15306">
        <v>9.26</v>
      </c>
    </row>
    <row r="15307" spans="1:10" hidden="1">
      <c r="A15307" t="s">
        <v>9598</v>
      </c>
      <c r="B15307" t="s">
        <v>9599</v>
      </c>
      <c r="C15307" t="s">
        <v>6839</v>
      </c>
      <c r="D15307" t="s">
        <v>544</v>
      </c>
      <c r="E15307" t="s">
        <v>555</v>
      </c>
      <c r="F15307" t="s">
        <v>1068</v>
      </c>
      <c r="G15307" t="s">
        <v>1080</v>
      </c>
      <c r="H15307" s="171" t="s">
        <v>9604</v>
      </c>
      <c r="I15307" t="s">
        <v>1082</v>
      </c>
      <c r="J15307">
        <v>9.26</v>
      </c>
    </row>
    <row r="15308" spans="1:10" hidden="1">
      <c r="A15308" t="s">
        <v>9598</v>
      </c>
      <c r="B15308" t="s">
        <v>9599</v>
      </c>
      <c r="C15308" t="s">
        <v>6839</v>
      </c>
      <c r="D15308" t="s">
        <v>544</v>
      </c>
      <c r="E15308" t="s">
        <v>555</v>
      </c>
      <c r="F15308" t="s">
        <v>1068</v>
      </c>
      <c r="G15308" t="s">
        <v>1083</v>
      </c>
      <c r="H15308" s="171" t="s">
        <v>9605</v>
      </c>
      <c r="I15308" t="s">
        <v>1084</v>
      </c>
      <c r="J15308">
        <v>9.26</v>
      </c>
    </row>
    <row r="15309" spans="1:10" hidden="1">
      <c r="A15309" t="s">
        <v>9598</v>
      </c>
      <c r="B15309" t="s">
        <v>9599</v>
      </c>
      <c r="C15309" t="s">
        <v>6839</v>
      </c>
      <c r="D15309" t="s">
        <v>544</v>
      </c>
      <c r="E15309" t="s">
        <v>555</v>
      </c>
      <c r="F15309" t="s">
        <v>1068</v>
      </c>
      <c r="G15309" t="s">
        <v>1085</v>
      </c>
      <c r="H15309">
        <v>4.2604870479635197E-4</v>
      </c>
      <c r="I15309" t="s">
        <v>1086</v>
      </c>
      <c r="J15309">
        <v>9.26</v>
      </c>
    </row>
    <row r="15310" spans="1:10" hidden="1">
      <c r="A15310" t="s">
        <v>9598</v>
      </c>
      <c r="B15310" t="s">
        <v>9599</v>
      </c>
      <c r="C15310" t="s">
        <v>6839</v>
      </c>
      <c r="D15310" t="s">
        <v>544</v>
      </c>
      <c r="E15310" t="s">
        <v>555</v>
      </c>
      <c r="F15310" t="s">
        <v>1068</v>
      </c>
      <c r="G15310" t="s">
        <v>1087</v>
      </c>
      <c r="H15310" s="171" t="s">
        <v>9606</v>
      </c>
      <c r="I15310" t="s">
        <v>1088</v>
      </c>
      <c r="J15310">
        <v>9.26</v>
      </c>
    </row>
    <row r="15311" spans="1:10" hidden="1">
      <c r="A15311" t="s">
        <v>9598</v>
      </c>
      <c r="B15311" t="s">
        <v>9599</v>
      </c>
      <c r="C15311" t="s">
        <v>6839</v>
      </c>
      <c r="D15311" t="s">
        <v>544</v>
      </c>
      <c r="E15311" t="s">
        <v>555</v>
      </c>
      <c r="F15311" t="s">
        <v>1068</v>
      </c>
      <c r="G15311" t="s">
        <v>1089</v>
      </c>
      <c r="H15311">
        <v>1.25232866921359E-4</v>
      </c>
      <c r="I15311" t="s">
        <v>1090</v>
      </c>
      <c r="J15311">
        <v>9.26</v>
      </c>
    </row>
    <row r="15312" spans="1:10" hidden="1">
      <c r="A15312" t="s">
        <v>9607</v>
      </c>
      <c r="B15312" t="s">
        <v>9608</v>
      </c>
      <c r="C15312" t="s">
        <v>6839</v>
      </c>
      <c r="D15312" t="s">
        <v>544</v>
      </c>
      <c r="E15312" t="s">
        <v>558</v>
      </c>
      <c r="F15312" t="s">
        <v>1068</v>
      </c>
      <c r="G15312" t="s">
        <v>1069</v>
      </c>
      <c r="H15312">
        <v>4.4454905644421699E-2</v>
      </c>
      <c r="I15312" t="s">
        <v>1070</v>
      </c>
      <c r="J15312">
        <v>9.65</v>
      </c>
    </row>
    <row r="15313" spans="1:10" hidden="1">
      <c r="A15313" t="s">
        <v>9607</v>
      </c>
      <c r="B15313" t="s">
        <v>9608</v>
      </c>
      <c r="C15313" t="s">
        <v>6839</v>
      </c>
      <c r="D15313" t="s">
        <v>544</v>
      </c>
      <c r="E15313" t="s">
        <v>558</v>
      </c>
      <c r="F15313" t="s">
        <v>1068</v>
      </c>
      <c r="G15313" t="s">
        <v>1071</v>
      </c>
      <c r="H15313" s="171" t="s">
        <v>9609</v>
      </c>
      <c r="I15313" t="s">
        <v>1072</v>
      </c>
      <c r="J15313">
        <v>9.65</v>
      </c>
    </row>
    <row r="15314" spans="1:10" hidden="1">
      <c r="A15314" t="s">
        <v>9607</v>
      </c>
      <c r="B15314" t="s">
        <v>9608</v>
      </c>
      <c r="C15314" t="s">
        <v>6839</v>
      </c>
      <c r="D15314" t="s">
        <v>544</v>
      </c>
      <c r="E15314" t="s">
        <v>558</v>
      </c>
      <c r="F15314" t="s">
        <v>1068</v>
      </c>
      <c r="G15314" t="s">
        <v>1073</v>
      </c>
      <c r="H15314" s="171" t="s">
        <v>9610</v>
      </c>
      <c r="I15314" t="s">
        <v>1074</v>
      </c>
      <c r="J15314">
        <v>9.65</v>
      </c>
    </row>
    <row r="15315" spans="1:10" hidden="1">
      <c r="A15315" t="s">
        <v>9607</v>
      </c>
      <c r="B15315" t="s">
        <v>9608</v>
      </c>
      <c r="C15315" t="s">
        <v>6839</v>
      </c>
      <c r="D15315" t="s">
        <v>544</v>
      </c>
      <c r="E15315" t="s">
        <v>558</v>
      </c>
      <c r="F15315" t="s">
        <v>1068</v>
      </c>
      <c r="G15315" t="s">
        <v>1075</v>
      </c>
      <c r="H15315">
        <v>1.13880389131232E-2</v>
      </c>
      <c r="I15315" t="s">
        <v>1077</v>
      </c>
      <c r="J15315">
        <v>9.65</v>
      </c>
    </row>
    <row r="15316" spans="1:10" hidden="1">
      <c r="A15316" t="s">
        <v>9607</v>
      </c>
      <c r="B15316" t="s">
        <v>9608</v>
      </c>
      <c r="C15316" t="s">
        <v>6839</v>
      </c>
      <c r="D15316" t="s">
        <v>544</v>
      </c>
      <c r="E15316" t="s">
        <v>558</v>
      </c>
      <c r="F15316" t="s">
        <v>1068</v>
      </c>
      <c r="G15316" t="s">
        <v>1078</v>
      </c>
      <c r="H15316">
        <v>0.70929541765309201</v>
      </c>
      <c r="I15316" t="s">
        <v>1079</v>
      </c>
      <c r="J15316">
        <v>9.65</v>
      </c>
    </row>
    <row r="15317" spans="1:10" hidden="1">
      <c r="A15317" t="s">
        <v>9607</v>
      </c>
      <c r="B15317" t="s">
        <v>9608</v>
      </c>
      <c r="C15317" t="s">
        <v>6839</v>
      </c>
      <c r="D15317" t="s">
        <v>544</v>
      </c>
      <c r="E15317" t="s">
        <v>558</v>
      </c>
      <c r="F15317" t="s">
        <v>1068</v>
      </c>
      <c r="G15317" t="s">
        <v>1080</v>
      </c>
      <c r="H15317" s="171" t="s">
        <v>9611</v>
      </c>
      <c r="I15317" t="s">
        <v>1082</v>
      </c>
      <c r="J15317">
        <v>9.65</v>
      </c>
    </row>
    <row r="15318" spans="1:10" hidden="1">
      <c r="A15318" t="s">
        <v>9607</v>
      </c>
      <c r="B15318" t="s">
        <v>9608</v>
      </c>
      <c r="C15318" t="s">
        <v>6839</v>
      </c>
      <c r="D15318" t="s">
        <v>544</v>
      </c>
      <c r="E15318" t="s">
        <v>558</v>
      </c>
      <c r="F15318" t="s">
        <v>1068</v>
      </c>
      <c r="G15318" t="s">
        <v>1083</v>
      </c>
      <c r="H15318" s="171" t="s">
        <v>9612</v>
      </c>
      <c r="I15318" t="s">
        <v>1084</v>
      </c>
      <c r="J15318">
        <v>9.65</v>
      </c>
    </row>
    <row r="15319" spans="1:10" hidden="1">
      <c r="A15319" t="s">
        <v>9607</v>
      </c>
      <c r="B15319" t="s">
        <v>9608</v>
      </c>
      <c r="C15319" t="s">
        <v>6839</v>
      </c>
      <c r="D15319" t="s">
        <v>544</v>
      </c>
      <c r="E15319" t="s">
        <v>558</v>
      </c>
      <c r="F15319" t="s">
        <v>1068</v>
      </c>
      <c r="G15319" t="s">
        <v>1085</v>
      </c>
      <c r="H15319">
        <v>4.2604794769167203E-4</v>
      </c>
      <c r="I15319" t="s">
        <v>1086</v>
      </c>
      <c r="J15319">
        <v>9.65</v>
      </c>
    </row>
    <row r="15320" spans="1:10" hidden="1">
      <c r="A15320" t="s">
        <v>9607</v>
      </c>
      <c r="B15320" t="s">
        <v>9608</v>
      </c>
      <c r="C15320" t="s">
        <v>6839</v>
      </c>
      <c r="D15320" t="s">
        <v>544</v>
      </c>
      <c r="E15320" t="s">
        <v>558</v>
      </c>
      <c r="F15320" t="s">
        <v>1068</v>
      </c>
      <c r="G15320" t="s">
        <v>1087</v>
      </c>
      <c r="H15320" s="171" t="s">
        <v>9613</v>
      </c>
      <c r="I15320" t="s">
        <v>1088</v>
      </c>
      <c r="J15320">
        <v>9.65</v>
      </c>
    </row>
    <row r="15321" spans="1:10" hidden="1">
      <c r="A15321" t="s">
        <v>9607</v>
      </c>
      <c r="B15321" t="s">
        <v>9608</v>
      </c>
      <c r="C15321" t="s">
        <v>6839</v>
      </c>
      <c r="D15321" t="s">
        <v>544</v>
      </c>
      <c r="E15321" t="s">
        <v>558</v>
      </c>
      <c r="F15321" t="s">
        <v>1068</v>
      </c>
      <c r="G15321" t="s">
        <v>1089</v>
      </c>
      <c r="H15321">
        <v>1.2523271072150099E-4</v>
      </c>
      <c r="I15321" t="s">
        <v>1090</v>
      </c>
      <c r="J15321">
        <v>9.65</v>
      </c>
    </row>
    <row r="15322" spans="1:10" hidden="1">
      <c r="A15322" t="s">
        <v>9614</v>
      </c>
      <c r="B15322" t="s">
        <v>9615</v>
      </c>
      <c r="C15322" t="s">
        <v>6839</v>
      </c>
      <c r="D15322" t="s">
        <v>544</v>
      </c>
      <c r="E15322" t="s">
        <v>553</v>
      </c>
      <c r="F15322" t="s">
        <v>1068</v>
      </c>
      <c r="G15322" t="s">
        <v>1069</v>
      </c>
      <c r="H15322">
        <v>4.4455088001856199E-2</v>
      </c>
      <c r="I15322" t="s">
        <v>1070</v>
      </c>
      <c r="J15322">
        <v>8.2100000000000009</v>
      </c>
    </row>
    <row r="15323" spans="1:10" hidden="1">
      <c r="A15323" t="s">
        <v>9614</v>
      </c>
      <c r="B15323" t="s">
        <v>9615</v>
      </c>
      <c r="C15323" t="s">
        <v>6839</v>
      </c>
      <c r="D15323" t="s">
        <v>544</v>
      </c>
      <c r="E15323" t="s">
        <v>553</v>
      </c>
      <c r="F15323" t="s">
        <v>1068</v>
      </c>
      <c r="G15323" t="s">
        <v>1071</v>
      </c>
      <c r="H15323" s="171" t="s">
        <v>9616</v>
      </c>
      <c r="I15323" t="s">
        <v>1072</v>
      </c>
      <c r="J15323">
        <v>8.2100000000000009</v>
      </c>
    </row>
    <row r="15324" spans="1:10" hidden="1">
      <c r="A15324" t="s">
        <v>9614</v>
      </c>
      <c r="B15324" t="s">
        <v>9615</v>
      </c>
      <c r="C15324" t="s">
        <v>6839</v>
      </c>
      <c r="D15324" t="s">
        <v>544</v>
      </c>
      <c r="E15324" t="s">
        <v>553</v>
      </c>
      <c r="F15324" t="s">
        <v>1068</v>
      </c>
      <c r="G15324" t="s">
        <v>1073</v>
      </c>
      <c r="H15324" s="171" t="s">
        <v>9617</v>
      </c>
      <c r="I15324" t="s">
        <v>1074</v>
      </c>
      <c r="J15324">
        <v>8.2100000000000009</v>
      </c>
    </row>
    <row r="15325" spans="1:10" hidden="1">
      <c r="A15325" t="s">
        <v>9614</v>
      </c>
      <c r="B15325" t="s">
        <v>9615</v>
      </c>
      <c r="C15325" t="s">
        <v>6839</v>
      </c>
      <c r="D15325" t="s">
        <v>544</v>
      </c>
      <c r="E15325" t="s">
        <v>553</v>
      </c>
      <c r="F15325" t="s">
        <v>1068</v>
      </c>
      <c r="G15325" t="s">
        <v>1075</v>
      </c>
      <c r="H15325">
        <v>1.13880384767503E-2</v>
      </c>
      <c r="I15325" t="s">
        <v>1077</v>
      </c>
      <c r="J15325">
        <v>8.2100000000000009</v>
      </c>
    </row>
    <row r="15326" spans="1:10" hidden="1">
      <c r="A15326" t="s">
        <v>9614</v>
      </c>
      <c r="B15326" t="s">
        <v>9615</v>
      </c>
      <c r="C15326" t="s">
        <v>6839</v>
      </c>
      <c r="D15326" t="s">
        <v>544</v>
      </c>
      <c r="E15326" t="s">
        <v>553</v>
      </c>
      <c r="F15326" t="s">
        <v>1068</v>
      </c>
      <c r="G15326" t="s">
        <v>1078</v>
      </c>
      <c r="H15326" s="171" t="s">
        <v>9618</v>
      </c>
      <c r="I15326" t="s">
        <v>1079</v>
      </c>
      <c r="J15326">
        <v>8.2100000000000009</v>
      </c>
    </row>
    <row r="15327" spans="1:10" hidden="1">
      <c r="A15327" t="s">
        <v>9614</v>
      </c>
      <c r="B15327" t="s">
        <v>9615</v>
      </c>
      <c r="C15327" t="s">
        <v>6839</v>
      </c>
      <c r="D15327" t="s">
        <v>544</v>
      </c>
      <c r="E15327" t="s">
        <v>553</v>
      </c>
      <c r="F15327" t="s">
        <v>1068</v>
      </c>
      <c r="G15327" t="s">
        <v>1080</v>
      </c>
      <c r="H15327" s="171" t="s">
        <v>9619</v>
      </c>
      <c r="I15327" t="s">
        <v>1082</v>
      </c>
      <c r="J15327">
        <v>8.2100000000000009</v>
      </c>
    </row>
    <row r="15328" spans="1:10" hidden="1">
      <c r="A15328" t="s">
        <v>9614</v>
      </c>
      <c r="B15328" t="s">
        <v>9615</v>
      </c>
      <c r="C15328" t="s">
        <v>6839</v>
      </c>
      <c r="D15328" t="s">
        <v>544</v>
      </c>
      <c r="E15328" t="s">
        <v>553</v>
      </c>
      <c r="F15328" t="s">
        <v>1068</v>
      </c>
      <c r="G15328" t="s">
        <v>1083</v>
      </c>
      <c r="H15328" s="171" t="s">
        <v>9620</v>
      </c>
      <c r="I15328" t="s">
        <v>1084</v>
      </c>
      <c r="J15328">
        <v>8.2100000000000009</v>
      </c>
    </row>
    <row r="15329" spans="1:10" hidden="1">
      <c r="A15329" t="s">
        <v>9614</v>
      </c>
      <c r="B15329" t="s">
        <v>9615</v>
      </c>
      <c r="C15329" t="s">
        <v>6839</v>
      </c>
      <c r="D15329" t="s">
        <v>544</v>
      </c>
      <c r="E15329" t="s">
        <v>553</v>
      </c>
      <c r="F15329" t="s">
        <v>1068</v>
      </c>
      <c r="G15329" t="s">
        <v>1085</v>
      </c>
      <c r="H15329">
        <v>4.2604792386296203E-4</v>
      </c>
      <c r="I15329" t="s">
        <v>1086</v>
      </c>
      <c r="J15329">
        <v>8.2100000000000009</v>
      </c>
    </row>
    <row r="15330" spans="1:10" hidden="1">
      <c r="A15330" t="s">
        <v>9614</v>
      </c>
      <c r="B15330" t="s">
        <v>9615</v>
      </c>
      <c r="C15330" t="s">
        <v>6839</v>
      </c>
      <c r="D15330" t="s">
        <v>544</v>
      </c>
      <c r="E15330" t="s">
        <v>553</v>
      </c>
      <c r="F15330" t="s">
        <v>1068</v>
      </c>
      <c r="G15330" t="s">
        <v>1087</v>
      </c>
      <c r="H15330" s="171" t="s">
        <v>9621</v>
      </c>
      <c r="I15330" t="s">
        <v>1088</v>
      </c>
      <c r="J15330">
        <v>8.2100000000000009</v>
      </c>
    </row>
    <row r="15331" spans="1:10" hidden="1">
      <c r="A15331" t="s">
        <v>9614</v>
      </c>
      <c r="B15331" t="s">
        <v>9615</v>
      </c>
      <c r="C15331" t="s">
        <v>6839</v>
      </c>
      <c r="D15331" t="s">
        <v>544</v>
      </c>
      <c r="E15331" t="s">
        <v>553</v>
      </c>
      <c r="F15331" t="s">
        <v>1068</v>
      </c>
      <c r="G15331" t="s">
        <v>1089</v>
      </c>
      <c r="H15331">
        <v>1.25232705816343E-4</v>
      </c>
      <c r="I15331" t="s">
        <v>1090</v>
      </c>
      <c r="J15331">
        <v>8.2100000000000009</v>
      </c>
    </row>
    <row r="15332" spans="1:10" hidden="1">
      <c r="A15332" t="s">
        <v>9622</v>
      </c>
      <c r="B15332" t="s">
        <v>9623</v>
      </c>
      <c r="C15332" t="s">
        <v>6839</v>
      </c>
      <c r="D15332" t="s">
        <v>544</v>
      </c>
      <c r="E15332" t="s">
        <v>556</v>
      </c>
      <c r="F15332" t="s">
        <v>1068</v>
      </c>
      <c r="G15332" t="s">
        <v>1069</v>
      </c>
      <c r="H15332">
        <v>4.4455499856571601E-2</v>
      </c>
      <c r="I15332" t="s">
        <v>1070</v>
      </c>
      <c r="J15332">
        <v>10.78</v>
      </c>
    </row>
    <row r="15333" spans="1:10" hidden="1">
      <c r="A15333" t="s">
        <v>9622</v>
      </c>
      <c r="B15333" t="s">
        <v>9623</v>
      </c>
      <c r="C15333" t="s">
        <v>6839</v>
      </c>
      <c r="D15333" t="s">
        <v>544</v>
      </c>
      <c r="E15333" t="s">
        <v>556</v>
      </c>
      <c r="F15333" t="s">
        <v>1068</v>
      </c>
      <c r="G15333" t="s">
        <v>1071</v>
      </c>
      <c r="H15333" s="171" t="s">
        <v>9624</v>
      </c>
      <c r="I15333" t="s">
        <v>1072</v>
      </c>
      <c r="J15333">
        <v>10.78</v>
      </c>
    </row>
    <row r="15334" spans="1:10" hidden="1">
      <c r="A15334" t="s">
        <v>9622</v>
      </c>
      <c r="B15334" t="s">
        <v>9623</v>
      </c>
      <c r="C15334" t="s">
        <v>6839</v>
      </c>
      <c r="D15334" t="s">
        <v>544</v>
      </c>
      <c r="E15334" t="s">
        <v>556</v>
      </c>
      <c r="F15334" t="s">
        <v>1068</v>
      </c>
      <c r="G15334" t="s">
        <v>1073</v>
      </c>
      <c r="H15334" s="171" t="s">
        <v>9625</v>
      </c>
      <c r="I15334" t="s">
        <v>1074</v>
      </c>
      <c r="J15334">
        <v>10.78</v>
      </c>
    </row>
    <row r="15335" spans="1:10" hidden="1">
      <c r="A15335" t="s">
        <v>9622</v>
      </c>
      <c r="B15335" t="s">
        <v>9623</v>
      </c>
      <c r="C15335" t="s">
        <v>6839</v>
      </c>
      <c r="D15335" t="s">
        <v>544</v>
      </c>
      <c r="E15335" t="s">
        <v>556</v>
      </c>
      <c r="F15335" t="s">
        <v>1068</v>
      </c>
      <c r="G15335" t="s">
        <v>1075</v>
      </c>
      <c r="H15335" s="171" t="s">
        <v>9626</v>
      </c>
      <c r="I15335" t="s">
        <v>1077</v>
      </c>
      <c r="J15335">
        <v>10.78</v>
      </c>
    </row>
    <row r="15336" spans="1:10" hidden="1">
      <c r="A15336" t="s">
        <v>9622</v>
      </c>
      <c r="B15336" t="s">
        <v>9623</v>
      </c>
      <c r="C15336" t="s">
        <v>6839</v>
      </c>
      <c r="D15336" t="s">
        <v>544</v>
      </c>
      <c r="E15336" t="s">
        <v>556</v>
      </c>
      <c r="F15336" t="s">
        <v>1068</v>
      </c>
      <c r="G15336" t="s">
        <v>1078</v>
      </c>
      <c r="H15336" s="171" t="s">
        <v>9627</v>
      </c>
      <c r="I15336" t="s">
        <v>1079</v>
      </c>
      <c r="J15336">
        <v>10.78</v>
      </c>
    </row>
    <row r="15337" spans="1:10" hidden="1">
      <c r="A15337" t="s">
        <v>9622</v>
      </c>
      <c r="B15337" t="s">
        <v>9623</v>
      </c>
      <c r="C15337" t="s">
        <v>6839</v>
      </c>
      <c r="D15337" t="s">
        <v>544</v>
      </c>
      <c r="E15337" t="s">
        <v>556</v>
      </c>
      <c r="F15337" t="s">
        <v>1068</v>
      </c>
      <c r="G15337" t="s">
        <v>1080</v>
      </c>
      <c r="H15337" s="171" t="s">
        <v>9628</v>
      </c>
      <c r="I15337" t="s">
        <v>1082</v>
      </c>
      <c r="J15337">
        <v>10.78</v>
      </c>
    </row>
    <row r="15338" spans="1:10" hidden="1">
      <c r="A15338" t="s">
        <v>9622</v>
      </c>
      <c r="B15338" t="s">
        <v>9623</v>
      </c>
      <c r="C15338" t="s">
        <v>6839</v>
      </c>
      <c r="D15338" t="s">
        <v>544</v>
      </c>
      <c r="E15338" t="s">
        <v>556</v>
      </c>
      <c r="F15338" t="s">
        <v>1068</v>
      </c>
      <c r="G15338" t="s">
        <v>1083</v>
      </c>
      <c r="H15338" s="171" t="s">
        <v>9629</v>
      </c>
      <c r="I15338" t="s">
        <v>1084</v>
      </c>
      <c r="J15338">
        <v>10.78</v>
      </c>
    </row>
    <row r="15339" spans="1:10" hidden="1">
      <c r="A15339" t="s">
        <v>9622</v>
      </c>
      <c r="B15339" t="s">
        <v>9623</v>
      </c>
      <c r="C15339" t="s">
        <v>6839</v>
      </c>
      <c r="D15339" t="s">
        <v>544</v>
      </c>
      <c r="E15339" t="s">
        <v>556</v>
      </c>
      <c r="F15339" t="s">
        <v>1068</v>
      </c>
      <c r="G15339" t="s">
        <v>1085</v>
      </c>
      <c r="H15339">
        <v>4.2604863139467298E-4</v>
      </c>
      <c r="I15339" t="s">
        <v>1086</v>
      </c>
      <c r="J15339">
        <v>10.78</v>
      </c>
    </row>
    <row r="15340" spans="1:10" hidden="1">
      <c r="A15340" t="s">
        <v>9622</v>
      </c>
      <c r="B15340" t="s">
        <v>9623</v>
      </c>
      <c r="C15340" t="s">
        <v>6839</v>
      </c>
      <c r="D15340" t="s">
        <v>544</v>
      </c>
      <c r="E15340" t="s">
        <v>556</v>
      </c>
      <c r="F15340" t="s">
        <v>1068</v>
      </c>
      <c r="G15340" t="s">
        <v>1087</v>
      </c>
      <c r="H15340" s="171" t="s">
        <v>9630</v>
      </c>
      <c r="I15340" t="s">
        <v>1088</v>
      </c>
      <c r="J15340">
        <v>10.78</v>
      </c>
    </row>
    <row r="15341" spans="1:10" hidden="1">
      <c r="A15341" t="s">
        <v>9622</v>
      </c>
      <c r="B15341" t="s">
        <v>9623</v>
      </c>
      <c r="C15341" t="s">
        <v>6839</v>
      </c>
      <c r="D15341" t="s">
        <v>544</v>
      </c>
      <c r="E15341" t="s">
        <v>556</v>
      </c>
      <c r="F15341" t="s">
        <v>1068</v>
      </c>
      <c r="G15341" t="s">
        <v>1089</v>
      </c>
      <c r="H15341">
        <v>1.2523285177873801E-4</v>
      </c>
      <c r="I15341" t="s">
        <v>1090</v>
      </c>
      <c r="J15341">
        <v>10.78</v>
      </c>
    </row>
    <row r="15342" spans="1:10" hidden="1">
      <c r="A15342" t="s">
        <v>9631</v>
      </c>
      <c r="B15342" t="s">
        <v>9632</v>
      </c>
      <c r="C15342" t="s">
        <v>6839</v>
      </c>
      <c r="D15342" t="s">
        <v>544</v>
      </c>
      <c r="E15342" t="s">
        <v>557</v>
      </c>
      <c r="F15342" t="s">
        <v>1068</v>
      </c>
      <c r="G15342" t="s">
        <v>1069</v>
      </c>
      <c r="H15342">
        <v>4.44550462481259E-2</v>
      </c>
      <c r="I15342" t="s">
        <v>1070</v>
      </c>
      <c r="J15342">
        <v>9.2200000000000006</v>
      </c>
    </row>
    <row r="15343" spans="1:10" hidden="1">
      <c r="A15343" t="s">
        <v>9631</v>
      </c>
      <c r="B15343" t="s">
        <v>9632</v>
      </c>
      <c r="C15343" t="s">
        <v>6839</v>
      </c>
      <c r="D15343" t="s">
        <v>544</v>
      </c>
      <c r="E15343" t="s">
        <v>557</v>
      </c>
      <c r="F15343" t="s">
        <v>1068</v>
      </c>
      <c r="G15343" t="s">
        <v>1071</v>
      </c>
      <c r="H15343" s="171" t="s">
        <v>9633</v>
      </c>
      <c r="I15343" t="s">
        <v>1072</v>
      </c>
      <c r="J15343">
        <v>9.2200000000000006</v>
      </c>
    </row>
    <row r="15344" spans="1:10" hidden="1">
      <c r="A15344" t="s">
        <v>9631</v>
      </c>
      <c r="B15344" t="s">
        <v>9632</v>
      </c>
      <c r="C15344" t="s">
        <v>6839</v>
      </c>
      <c r="D15344" t="s">
        <v>544</v>
      </c>
      <c r="E15344" t="s">
        <v>557</v>
      </c>
      <c r="F15344" t="s">
        <v>1068</v>
      </c>
      <c r="G15344" t="s">
        <v>1073</v>
      </c>
      <c r="H15344" s="171" t="s">
        <v>9634</v>
      </c>
      <c r="I15344" t="s">
        <v>1074</v>
      </c>
      <c r="J15344">
        <v>9.2200000000000006</v>
      </c>
    </row>
    <row r="15345" spans="1:10" hidden="1">
      <c r="A15345" t="s">
        <v>9631</v>
      </c>
      <c r="B15345" t="s">
        <v>9632</v>
      </c>
      <c r="C15345" t="s">
        <v>6839</v>
      </c>
      <c r="D15345" t="s">
        <v>544</v>
      </c>
      <c r="E15345" t="s">
        <v>557</v>
      </c>
      <c r="F15345" t="s">
        <v>1068</v>
      </c>
      <c r="G15345" t="s">
        <v>1075</v>
      </c>
      <c r="H15345" s="171" t="s">
        <v>9635</v>
      </c>
      <c r="I15345" t="s">
        <v>1077</v>
      </c>
      <c r="J15345">
        <v>9.2200000000000006</v>
      </c>
    </row>
    <row r="15346" spans="1:10" hidden="1">
      <c r="A15346" t="s">
        <v>9631</v>
      </c>
      <c r="B15346" t="s">
        <v>9632</v>
      </c>
      <c r="C15346" t="s">
        <v>6839</v>
      </c>
      <c r="D15346" t="s">
        <v>544</v>
      </c>
      <c r="E15346" t="s">
        <v>557</v>
      </c>
      <c r="F15346" t="s">
        <v>1068</v>
      </c>
      <c r="G15346" t="s">
        <v>1078</v>
      </c>
      <c r="H15346" s="171" t="s">
        <v>9636</v>
      </c>
      <c r="I15346" t="s">
        <v>1079</v>
      </c>
      <c r="J15346">
        <v>9.2200000000000006</v>
      </c>
    </row>
    <row r="15347" spans="1:10" hidden="1">
      <c r="A15347" t="s">
        <v>9631</v>
      </c>
      <c r="B15347" t="s">
        <v>9632</v>
      </c>
      <c r="C15347" t="s">
        <v>6839</v>
      </c>
      <c r="D15347" t="s">
        <v>544</v>
      </c>
      <c r="E15347" t="s">
        <v>557</v>
      </c>
      <c r="F15347" t="s">
        <v>1068</v>
      </c>
      <c r="G15347" t="s">
        <v>1080</v>
      </c>
      <c r="H15347" s="171" t="s">
        <v>9637</v>
      </c>
      <c r="I15347" t="s">
        <v>1082</v>
      </c>
      <c r="J15347">
        <v>9.2200000000000006</v>
      </c>
    </row>
    <row r="15348" spans="1:10" hidden="1">
      <c r="A15348" t="s">
        <v>9631</v>
      </c>
      <c r="B15348" t="s">
        <v>9632</v>
      </c>
      <c r="C15348" t="s">
        <v>6839</v>
      </c>
      <c r="D15348" t="s">
        <v>544</v>
      </c>
      <c r="E15348" t="s">
        <v>557</v>
      </c>
      <c r="F15348" t="s">
        <v>1068</v>
      </c>
      <c r="G15348" t="s">
        <v>1083</v>
      </c>
      <c r="H15348" s="171" t="s">
        <v>9638</v>
      </c>
      <c r="I15348" t="s">
        <v>1084</v>
      </c>
      <c r="J15348">
        <v>9.2200000000000006</v>
      </c>
    </row>
    <row r="15349" spans="1:10" hidden="1">
      <c r="A15349" t="s">
        <v>9631</v>
      </c>
      <c r="B15349" t="s">
        <v>9632</v>
      </c>
      <c r="C15349" t="s">
        <v>6839</v>
      </c>
      <c r="D15349" t="s">
        <v>544</v>
      </c>
      <c r="E15349" t="s">
        <v>557</v>
      </c>
      <c r="F15349" t="s">
        <v>1068</v>
      </c>
      <c r="G15349" t="s">
        <v>1085</v>
      </c>
      <c r="H15349">
        <v>4.26048189236997E-4</v>
      </c>
      <c r="I15349" t="s">
        <v>1086</v>
      </c>
      <c r="J15349">
        <v>9.2200000000000006</v>
      </c>
    </row>
    <row r="15350" spans="1:10" hidden="1">
      <c r="A15350" t="s">
        <v>9631</v>
      </c>
      <c r="B15350" t="s">
        <v>9632</v>
      </c>
      <c r="C15350" t="s">
        <v>6839</v>
      </c>
      <c r="D15350" t="s">
        <v>544</v>
      </c>
      <c r="E15350" t="s">
        <v>557</v>
      </c>
      <c r="F15350" t="s">
        <v>1068</v>
      </c>
      <c r="G15350" t="s">
        <v>1087</v>
      </c>
      <c r="H15350" s="171" t="s">
        <v>9639</v>
      </c>
      <c r="I15350" t="s">
        <v>1088</v>
      </c>
      <c r="J15350">
        <v>9.2200000000000006</v>
      </c>
    </row>
    <row r="15351" spans="1:10" hidden="1">
      <c r="A15351" t="s">
        <v>9631</v>
      </c>
      <c r="B15351" t="s">
        <v>9632</v>
      </c>
      <c r="C15351" t="s">
        <v>6839</v>
      </c>
      <c r="D15351" t="s">
        <v>544</v>
      </c>
      <c r="E15351" t="s">
        <v>557</v>
      </c>
      <c r="F15351" t="s">
        <v>1068</v>
      </c>
      <c r="G15351" t="s">
        <v>1089</v>
      </c>
      <c r="H15351">
        <v>1.2523276055182499E-4</v>
      </c>
      <c r="I15351" t="s">
        <v>1090</v>
      </c>
      <c r="J15351">
        <v>9.2200000000000006</v>
      </c>
    </row>
    <row r="15352" spans="1:10" hidden="1">
      <c r="A15352" t="s">
        <v>9640</v>
      </c>
      <c r="B15352" t="s">
        <v>9641</v>
      </c>
      <c r="C15352" t="s">
        <v>6839</v>
      </c>
      <c r="D15352" t="s">
        <v>544</v>
      </c>
      <c r="E15352" t="s">
        <v>559</v>
      </c>
      <c r="F15352" t="s">
        <v>1068</v>
      </c>
      <c r="G15352" t="s">
        <v>1069</v>
      </c>
      <c r="H15352" s="171" t="s">
        <v>9642</v>
      </c>
      <c r="I15352" t="s">
        <v>1070</v>
      </c>
      <c r="J15352">
        <v>8.99</v>
      </c>
    </row>
    <row r="15353" spans="1:10" hidden="1">
      <c r="A15353" t="s">
        <v>9640</v>
      </c>
      <c r="B15353" t="s">
        <v>9641</v>
      </c>
      <c r="C15353" t="s">
        <v>6839</v>
      </c>
      <c r="D15353" t="s">
        <v>544</v>
      </c>
      <c r="E15353" t="s">
        <v>559</v>
      </c>
      <c r="F15353" t="s">
        <v>1068</v>
      </c>
      <c r="G15353" t="s">
        <v>1071</v>
      </c>
      <c r="H15353" s="171" t="s">
        <v>9643</v>
      </c>
      <c r="I15353" t="s">
        <v>1072</v>
      </c>
      <c r="J15353">
        <v>8.99</v>
      </c>
    </row>
    <row r="15354" spans="1:10" hidden="1">
      <c r="A15354" t="s">
        <v>9640</v>
      </c>
      <c r="B15354" t="s">
        <v>9641</v>
      </c>
      <c r="C15354" t="s">
        <v>6839</v>
      </c>
      <c r="D15354" t="s">
        <v>544</v>
      </c>
      <c r="E15354" t="s">
        <v>559</v>
      </c>
      <c r="F15354" t="s">
        <v>1068</v>
      </c>
      <c r="G15354" t="s">
        <v>1073</v>
      </c>
      <c r="H15354" s="171" t="s">
        <v>9644</v>
      </c>
      <c r="I15354" t="s">
        <v>1074</v>
      </c>
      <c r="J15354">
        <v>8.99</v>
      </c>
    </row>
    <row r="15355" spans="1:10" hidden="1">
      <c r="A15355" t="s">
        <v>9640</v>
      </c>
      <c r="B15355" t="s">
        <v>9641</v>
      </c>
      <c r="C15355" t="s">
        <v>6839</v>
      </c>
      <c r="D15355" t="s">
        <v>544</v>
      </c>
      <c r="E15355" t="s">
        <v>559</v>
      </c>
      <c r="F15355" t="s">
        <v>1068</v>
      </c>
      <c r="G15355" t="s">
        <v>1075</v>
      </c>
      <c r="H15355" s="171" t="s">
        <v>9645</v>
      </c>
      <c r="I15355" t="s">
        <v>1077</v>
      </c>
      <c r="J15355">
        <v>8.99</v>
      </c>
    </row>
    <row r="15356" spans="1:10" hidden="1">
      <c r="A15356" t="s">
        <v>9640</v>
      </c>
      <c r="B15356" t="s">
        <v>9641</v>
      </c>
      <c r="C15356" t="s">
        <v>6839</v>
      </c>
      <c r="D15356" t="s">
        <v>544</v>
      </c>
      <c r="E15356" t="s">
        <v>559</v>
      </c>
      <c r="F15356" t="s">
        <v>1068</v>
      </c>
      <c r="G15356" t="s">
        <v>1078</v>
      </c>
      <c r="H15356" s="171" t="s">
        <v>9646</v>
      </c>
      <c r="I15356" t="s">
        <v>1079</v>
      </c>
      <c r="J15356">
        <v>8.99</v>
      </c>
    </row>
    <row r="15357" spans="1:10" hidden="1">
      <c r="A15357" t="s">
        <v>9640</v>
      </c>
      <c r="B15357" t="s">
        <v>9641</v>
      </c>
      <c r="C15357" t="s">
        <v>6839</v>
      </c>
      <c r="D15357" t="s">
        <v>544</v>
      </c>
      <c r="E15357" t="s">
        <v>559</v>
      </c>
      <c r="F15357" t="s">
        <v>1068</v>
      </c>
      <c r="G15357" t="s">
        <v>1080</v>
      </c>
      <c r="H15357" s="171" t="s">
        <v>9647</v>
      </c>
      <c r="I15357" t="s">
        <v>1082</v>
      </c>
      <c r="J15357">
        <v>8.99</v>
      </c>
    </row>
    <row r="15358" spans="1:10" hidden="1">
      <c r="A15358" t="s">
        <v>9640</v>
      </c>
      <c r="B15358" t="s">
        <v>9641</v>
      </c>
      <c r="C15358" t="s">
        <v>6839</v>
      </c>
      <c r="D15358" t="s">
        <v>544</v>
      </c>
      <c r="E15358" t="s">
        <v>559</v>
      </c>
      <c r="F15358" t="s">
        <v>1068</v>
      </c>
      <c r="G15358" t="s">
        <v>1083</v>
      </c>
      <c r="H15358" s="171" t="s">
        <v>9648</v>
      </c>
      <c r="I15358" t="s">
        <v>1084</v>
      </c>
      <c r="J15358">
        <v>8.99</v>
      </c>
    </row>
    <row r="15359" spans="1:10" hidden="1">
      <c r="A15359" t="s">
        <v>9640</v>
      </c>
      <c r="B15359" t="s">
        <v>9641</v>
      </c>
      <c r="C15359" t="s">
        <v>6839</v>
      </c>
      <c r="D15359" t="s">
        <v>544</v>
      </c>
      <c r="E15359" t="s">
        <v>559</v>
      </c>
      <c r="F15359" t="s">
        <v>1068</v>
      </c>
      <c r="G15359" t="s">
        <v>1085</v>
      </c>
      <c r="H15359">
        <v>4.2604842108646799E-4</v>
      </c>
      <c r="I15359" t="s">
        <v>1086</v>
      </c>
      <c r="J15359">
        <v>8.99</v>
      </c>
    </row>
    <row r="15360" spans="1:10" hidden="1">
      <c r="A15360" t="s">
        <v>9640</v>
      </c>
      <c r="B15360" t="s">
        <v>9641</v>
      </c>
      <c r="C15360" t="s">
        <v>6839</v>
      </c>
      <c r="D15360" t="s">
        <v>544</v>
      </c>
      <c r="E15360" t="s">
        <v>559</v>
      </c>
      <c r="F15360" t="s">
        <v>1068</v>
      </c>
      <c r="G15360" t="s">
        <v>1087</v>
      </c>
      <c r="H15360" s="171" t="s">
        <v>9649</v>
      </c>
      <c r="I15360" t="s">
        <v>1088</v>
      </c>
      <c r="J15360">
        <v>8.99</v>
      </c>
    </row>
    <row r="15361" spans="1:10" hidden="1">
      <c r="A15361" t="s">
        <v>9640</v>
      </c>
      <c r="B15361" t="s">
        <v>9641</v>
      </c>
      <c r="C15361" t="s">
        <v>6839</v>
      </c>
      <c r="D15361" t="s">
        <v>544</v>
      </c>
      <c r="E15361" t="s">
        <v>559</v>
      </c>
      <c r="F15361" t="s">
        <v>1068</v>
      </c>
      <c r="G15361" t="s">
        <v>1089</v>
      </c>
      <c r="H15361">
        <v>1.2523280839257E-4</v>
      </c>
      <c r="I15361" t="s">
        <v>1090</v>
      </c>
      <c r="J15361">
        <v>8.99</v>
      </c>
    </row>
    <row r="15362" spans="1:10" hidden="1">
      <c r="A15362" t="s">
        <v>9650</v>
      </c>
      <c r="B15362" t="s">
        <v>9651</v>
      </c>
      <c r="C15362" t="s">
        <v>6839</v>
      </c>
      <c r="D15362" t="s">
        <v>544</v>
      </c>
      <c r="E15362" t="s">
        <v>560</v>
      </c>
      <c r="F15362" t="s">
        <v>1068</v>
      </c>
      <c r="G15362" t="s">
        <v>1069</v>
      </c>
      <c r="H15362" s="171" t="s">
        <v>9652</v>
      </c>
      <c r="I15362" t="s">
        <v>1070</v>
      </c>
      <c r="J15362">
        <v>8.06</v>
      </c>
    </row>
    <row r="15363" spans="1:10" hidden="1">
      <c r="A15363" t="s">
        <v>9650</v>
      </c>
      <c r="B15363" t="s">
        <v>9651</v>
      </c>
      <c r="C15363" t="s">
        <v>6839</v>
      </c>
      <c r="D15363" t="s">
        <v>544</v>
      </c>
      <c r="E15363" t="s">
        <v>560</v>
      </c>
      <c r="F15363" t="s">
        <v>1068</v>
      </c>
      <c r="G15363" t="s">
        <v>1071</v>
      </c>
      <c r="H15363" s="171" t="s">
        <v>9653</v>
      </c>
      <c r="I15363" t="s">
        <v>1072</v>
      </c>
      <c r="J15363">
        <v>8.06</v>
      </c>
    </row>
    <row r="15364" spans="1:10" hidden="1">
      <c r="A15364" t="s">
        <v>9650</v>
      </c>
      <c r="B15364" t="s">
        <v>9651</v>
      </c>
      <c r="C15364" t="s">
        <v>6839</v>
      </c>
      <c r="D15364" t="s">
        <v>544</v>
      </c>
      <c r="E15364" t="s">
        <v>560</v>
      </c>
      <c r="F15364" t="s">
        <v>1068</v>
      </c>
      <c r="G15364" t="s">
        <v>1073</v>
      </c>
      <c r="H15364" s="171" t="s">
        <v>9654</v>
      </c>
      <c r="I15364" t="s">
        <v>1074</v>
      </c>
      <c r="J15364">
        <v>8.06</v>
      </c>
    </row>
    <row r="15365" spans="1:10" hidden="1">
      <c r="A15365" t="s">
        <v>9650</v>
      </c>
      <c r="B15365" t="s">
        <v>9651</v>
      </c>
      <c r="C15365" t="s">
        <v>6839</v>
      </c>
      <c r="D15365" t="s">
        <v>544</v>
      </c>
      <c r="E15365" t="s">
        <v>560</v>
      </c>
      <c r="F15365" t="s">
        <v>1068</v>
      </c>
      <c r="G15365" t="s">
        <v>1075</v>
      </c>
      <c r="H15365" s="171" t="s">
        <v>9655</v>
      </c>
      <c r="I15365" t="s">
        <v>1077</v>
      </c>
      <c r="J15365">
        <v>8.06</v>
      </c>
    </row>
    <row r="15366" spans="1:10" hidden="1">
      <c r="A15366" t="s">
        <v>9650</v>
      </c>
      <c r="B15366" t="s">
        <v>9651</v>
      </c>
      <c r="C15366" t="s">
        <v>6839</v>
      </c>
      <c r="D15366" t="s">
        <v>544</v>
      </c>
      <c r="E15366" t="s">
        <v>560</v>
      </c>
      <c r="F15366" t="s">
        <v>1068</v>
      </c>
      <c r="G15366" t="s">
        <v>1078</v>
      </c>
      <c r="H15366" s="171" t="s">
        <v>9656</v>
      </c>
      <c r="I15366" t="s">
        <v>1079</v>
      </c>
      <c r="J15366">
        <v>8.06</v>
      </c>
    </row>
    <row r="15367" spans="1:10" hidden="1">
      <c r="A15367" t="s">
        <v>9650</v>
      </c>
      <c r="B15367" t="s">
        <v>9651</v>
      </c>
      <c r="C15367" t="s">
        <v>6839</v>
      </c>
      <c r="D15367" t="s">
        <v>544</v>
      </c>
      <c r="E15367" t="s">
        <v>560</v>
      </c>
      <c r="F15367" t="s">
        <v>1068</v>
      </c>
      <c r="G15367" t="s">
        <v>1080</v>
      </c>
      <c r="H15367" s="171" t="s">
        <v>9657</v>
      </c>
      <c r="I15367" t="s">
        <v>1082</v>
      </c>
      <c r="J15367">
        <v>8.06</v>
      </c>
    </row>
    <row r="15368" spans="1:10" hidden="1">
      <c r="A15368" t="s">
        <v>9650</v>
      </c>
      <c r="B15368" t="s">
        <v>9651</v>
      </c>
      <c r="C15368" t="s">
        <v>6839</v>
      </c>
      <c r="D15368" t="s">
        <v>544</v>
      </c>
      <c r="E15368" t="s">
        <v>560</v>
      </c>
      <c r="F15368" t="s">
        <v>1068</v>
      </c>
      <c r="G15368" t="s">
        <v>1083</v>
      </c>
      <c r="H15368" s="171" t="s">
        <v>9658</v>
      </c>
      <c r="I15368" t="s">
        <v>1084</v>
      </c>
      <c r="J15368">
        <v>8.06</v>
      </c>
    </row>
    <row r="15369" spans="1:10" hidden="1">
      <c r="A15369" t="s">
        <v>9650</v>
      </c>
      <c r="B15369" t="s">
        <v>9651</v>
      </c>
      <c r="C15369" t="s">
        <v>6839</v>
      </c>
      <c r="D15369" t="s">
        <v>544</v>
      </c>
      <c r="E15369" t="s">
        <v>560</v>
      </c>
      <c r="F15369" t="s">
        <v>1068</v>
      </c>
      <c r="G15369" t="s">
        <v>1085</v>
      </c>
      <c r="H15369">
        <v>4.2604831806117001E-4</v>
      </c>
      <c r="I15369" t="s">
        <v>1086</v>
      </c>
      <c r="J15369">
        <v>8.06</v>
      </c>
    </row>
    <row r="15370" spans="1:10" hidden="1">
      <c r="A15370" t="s">
        <v>9650</v>
      </c>
      <c r="B15370" t="s">
        <v>9651</v>
      </c>
      <c r="C15370" t="s">
        <v>6839</v>
      </c>
      <c r="D15370" t="s">
        <v>544</v>
      </c>
      <c r="E15370" t="s">
        <v>560</v>
      </c>
      <c r="F15370" t="s">
        <v>1068</v>
      </c>
      <c r="G15370" t="s">
        <v>1087</v>
      </c>
      <c r="H15370" s="171" t="s">
        <v>9659</v>
      </c>
      <c r="I15370" t="s">
        <v>1088</v>
      </c>
      <c r="J15370">
        <v>8.06</v>
      </c>
    </row>
    <row r="15371" spans="1:10" hidden="1">
      <c r="A15371" t="s">
        <v>9650</v>
      </c>
      <c r="B15371" t="s">
        <v>9651</v>
      </c>
      <c r="C15371" t="s">
        <v>6839</v>
      </c>
      <c r="D15371" t="s">
        <v>544</v>
      </c>
      <c r="E15371" t="s">
        <v>560</v>
      </c>
      <c r="F15371" t="s">
        <v>1068</v>
      </c>
      <c r="G15371" t="s">
        <v>1089</v>
      </c>
      <c r="H15371">
        <v>1.25232787127998E-4</v>
      </c>
      <c r="I15371" t="s">
        <v>1090</v>
      </c>
      <c r="J15371">
        <v>8.06</v>
      </c>
    </row>
    <row r="15372" spans="1:10" hidden="1">
      <c r="A15372" t="s">
        <v>9660</v>
      </c>
      <c r="B15372" t="s">
        <v>9661</v>
      </c>
      <c r="C15372" t="s">
        <v>6839</v>
      </c>
      <c r="D15372" t="s">
        <v>544</v>
      </c>
      <c r="E15372" t="s">
        <v>1116</v>
      </c>
      <c r="F15372" t="s">
        <v>1068</v>
      </c>
      <c r="G15372" t="s">
        <v>1069</v>
      </c>
      <c r="H15372">
        <v>4.4454893638698999E-2</v>
      </c>
      <c r="I15372" t="s">
        <v>1070</v>
      </c>
      <c r="J15372">
        <v>9.86</v>
      </c>
    </row>
    <row r="15373" spans="1:10" hidden="1">
      <c r="A15373" t="s">
        <v>9660</v>
      </c>
      <c r="B15373" t="s">
        <v>9661</v>
      </c>
      <c r="C15373" t="s">
        <v>6839</v>
      </c>
      <c r="D15373" t="s">
        <v>544</v>
      </c>
      <c r="E15373" t="s">
        <v>1116</v>
      </c>
      <c r="F15373" t="s">
        <v>1068</v>
      </c>
      <c r="G15373" t="s">
        <v>1071</v>
      </c>
      <c r="H15373" s="171" t="s">
        <v>9662</v>
      </c>
      <c r="I15373" t="s">
        <v>1072</v>
      </c>
      <c r="J15373">
        <v>9.86</v>
      </c>
    </row>
    <row r="15374" spans="1:10" hidden="1">
      <c r="A15374" t="s">
        <v>9660</v>
      </c>
      <c r="B15374" t="s">
        <v>9661</v>
      </c>
      <c r="C15374" t="s">
        <v>6839</v>
      </c>
      <c r="D15374" t="s">
        <v>544</v>
      </c>
      <c r="E15374" t="s">
        <v>1116</v>
      </c>
      <c r="F15374" t="s">
        <v>1068</v>
      </c>
      <c r="G15374" t="s">
        <v>1073</v>
      </c>
      <c r="H15374" s="171" t="s">
        <v>9663</v>
      </c>
      <c r="I15374" t="s">
        <v>1074</v>
      </c>
      <c r="J15374">
        <v>9.86</v>
      </c>
    </row>
    <row r="15375" spans="1:10" hidden="1">
      <c r="A15375" t="s">
        <v>9660</v>
      </c>
      <c r="B15375" t="s">
        <v>9661</v>
      </c>
      <c r="C15375" t="s">
        <v>6839</v>
      </c>
      <c r="D15375" t="s">
        <v>544</v>
      </c>
      <c r="E15375" t="s">
        <v>1116</v>
      </c>
      <c r="F15375" t="s">
        <v>1068</v>
      </c>
      <c r="G15375" t="s">
        <v>1075</v>
      </c>
      <c r="H15375" s="171" t="s">
        <v>9664</v>
      </c>
      <c r="I15375" t="s">
        <v>1077</v>
      </c>
      <c r="J15375">
        <v>9.86</v>
      </c>
    </row>
    <row r="15376" spans="1:10" hidden="1">
      <c r="A15376" t="s">
        <v>9660</v>
      </c>
      <c r="B15376" t="s">
        <v>9661</v>
      </c>
      <c r="C15376" t="s">
        <v>6839</v>
      </c>
      <c r="D15376" t="s">
        <v>544</v>
      </c>
      <c r="E15376" t="s">
        <v>1116</v>
      </c>
      <c r="F15376" t="s">
        <v>1068</v>
      </c>
      <c r="G15376" t="s">
        <v>1078</v>
      </c>
      <c r="H15376" s="171" t="s">
        <v>9665</v>
      </c>
      <c r="I15376" t="s">
        <v>1079</v>
      </c>
      <c r="J15376">
        <v>9.86</v>
      </c>
    </row>
    <row r="15377" spans="1:10" hidden="1">
      <c r="A15377" t="s">
        <v>9660</v>
      </c>
      <c r="B15377" t="s">
        <v>9661</v>
      </c>
      <c r="C15377" t="s">
        <v>6839</v>
      </c>
      <c r="D15377" t="s">
        <v>544</v>
      </c>
      <c r="E15377" t="s">
        <v>1116</v>
      </c>
      <c r="F15377" t="s">
        <v>1068</v>
      </c>
      <c r="G15377" t="s">
        <v>1080</v>
      </c>
      <c r="H15377" s="171" t="s">
        <v>9666</v>
      </c>
      <c r="I15377" t="s">
        <v>1082</v>
      </c>
      <c r="J15377">
        <v>9.86</v>
      </c>
    </row>
    <row r="15378" spans="1:10" hidden="1">
      <c r="A15378" t="s">
        <v>9660</v>
      </c>
      <c r="B15378" t="s">
        <v>9661</v>
      </c>
      <c r="C15378" t="s">
        <v>6839</v>
      </c>
      <c r="D15378" t="s">
        <v>544</v>
      </c>
      <c r="E15378" t="s">
        <v>1116</v>
      </c>
      <c r="F15378" t="s">
        <v>1068</v>
      </c>
      <c r="G15378" t="s">
        <v>1083</v>
      </c>
      <c r="H15378" s="171" t="s">
        <v>9667</v>
      </c>
      <c r="I15378" t="s">
        <v>1084</v>
      </c>
      <c r="J15378">
        <v>9.86</v>
      </c>
    </row>
    <row r="15379" spans="1:10" hidden="1">
      <c r="A15379" t="s">
        <v>9660</v>
      </c>
      <c r="B15379" t="s">
        <v>9661</v>
      </c>
      <c r="C15379" t="s">
        <v>6839</v>
      </c>
      <c r="D15379" t="s">
        <v>544</v>
      </c>
      <c r="E15379" t="s">
        <v>1116</v>
      </c>
      <c r="F15379" t="s">
        <v>1068</v>
      </c>
      <c r="G15379" t="s">
        <v>1085</v>
      </c>
      <c r="H15379">
        <v>4.26047927066849E-4</v>
      </c>
      <c r="I15379" t="s">
        <v>1086</v>
      </c>
      <c r="J15379">
        <v>9.86</v>
      </c>
    </row>
    <row r="15380" spans="1:10" hidden="1">
      <c r="A15380" t="s">
        <v>9660</v>
      </c>
      <c r="B15380" t="s">
        <v>9661</v>
      </c>
      <c r="C15380" t="s">
        <v>6839</v>
      </c>
      <c r="D15380" t="s">
        <v>544</v>
      </c>
      <c r="E15380" t="s">
        <v>1116</v>
      </c>
      <c r="F15380" t="s">
        <v>1068</v>
      </c>
      <c r="G15380" t="s">
        <v>1087</v>
      </c>
      <c r="H15380" s="171" t="s">
        <v>9668</v>
      </c>
      <c r="I15380" t="s">
        <v>1088</v>
      </c>
      <c r="J15380">
        <v>9.86</v>
      </c>
    </row>
    <row r="15381" spans="1:10" hidden="1">
      <c r="A15381" t="s">
        <v>9660</v>
      </c>
      <c r="B15381" t="s">
        <v>9661</v>
      </c>
      <c r="C15381" t="s">
        <v>6839</v>
      </c>
      <c r="D15381" t="s">
        <v>544</v>
      </c>
      <c r="E15381" t="s">
        <v>1116</v>
      </c>
      <c r="F15381" t="s">
        <v>1068</v>
      </c>
      <c r="G15381" t="s">
        <v>1089</v>
      </c>
      <c r="H15381">
        <v>1.2523270646664099E-4</v>
      </c>
      <c r="I15381" t="s">
        <v>1090</v>
      </c>
      <c r="J15381">
        <v>9.86</v>
      </c>
    </row>
    <row r="15382" spans="1:10" hidden="1">
      <c r="A15382" t="s">
        <v>9669</v>
      </c>
      <c r="B15382" t="s">
        <v>9670</v>
      </c>
      <c r="C15382" t="s">
        <v>6839</v>
      </c>
      <c r="D15382" t="s">
        <v>1535</v>
      </c>
      <c r="E15382" t="s">
        <v>561</v>
      </c>
      <c r="F15382" t="s">
        <v>1068</v>
      </c>
      <c r="G15382" t="s">
        <v>1069</v>
      </c>
      <c r="H15382">
        <v>5.3150167492736503E-2</v>
      </c>
      <c r="I15382" t="s">
        <v>1070</v>
      </c>
      <c r="J15382">
        <v>9.31</v>
      </c>
    </row>
    <row r="15383" spans="1:10" hidden="1">
      <c r="A15383" t="s">
        <v>9669</v>
      </c>
      <c r="B15383" t="s">
        <v>9670</v>
      </c>
      <c r="C15383" t="s">
        <v>6839</v>
      </c>
      <c r="D15383" t="s">
        <v>1535</v>
      </c>
      <c r="E15383" t="s">
        <v>561</v>
      </c>
      <c r="F15383" t="s">
        <v>1068</v>
      </c>
      <c r="G15383" t="s">
        <v>1071</v>
      </c>
      <c r="H15383" s="171" t="s">
        <v>9671</v>
      </c>
      <c r="I15383" t="s">
        <v>1072</v>
      </c>
      <c r="J15383">
        <v>9.31</v>
      </c>
    </row>
    <row r="15384" spans="1:10" hidden="1">
      <c r="A15384" t="s">
        <v>9669</v>
      </c>
      <c r="B15384" t="s">
        <v>9670</v>
      </c>
      <c r="C15384" t="s">
        <v>6839</v>
      </c>
      <c r="D15384" t="s">
        <v>1535</v>
      </c>
      <c r="E15384" t="s">
        <v>561</v>
      </c>
      <c r="F15384" t="s">
        <v>1068</v>
      </c>
      <c r="G15384" t="s">
        <v>1073</v>
      </c>
      <c r="H15384" s="171" t="s">
        <v>9672</v>
      </c>
      <c r="I15384" t="s">
        <v>1074</v>
      </c>
      <c r="J15384">
        <v>9.31</v>
      </c>
    </row>
    <row r="15385" spans="1:10" hidden="1">
      <c r="A15385" t="s">
        <v>9669</v>
      </c>
      <c r="B15385" t="s">
        <v>9670</v>
      </c>
      <c r="C15385" t="s">
        <v>6839</v>
      </c>
      <c r="D15385" t="s">
        <v>1535</v>
      </c>
      <c r="E15385" t="s">
        <v>561</v>
      </c>
      <c r="F15385" t="s">
        <v>1068</v>
      </c>
      <c r="G15385" t="s">
        <v>1075</v>
      </c>
      <c r="H15385">
        <v>9.9235890506422803E-3</v>
      </c>
      <c r="I15385" t="s">
        <v>1077</v>
      </c>
      <c r="J15385">
        <v>9.31</v>
      </c>
    </row>
    <row r="15386" spans="1:10" hidden="1">
      <c r="A15386" t="s">
        <v>9669</v>
      </c>
      <c r="B15386" t="s">
        <v>9670</v>
      </c>
      <c r="C15386" t="s">
        <v>6839</v>
      </c>
      <c r="D15386" t="s">
        <v>1535</v>
      </c>
      <c r="E15386" t="s">
        <v>561</v>
      </c>
      <c r="F15386" t="s">
        <v>1068</v>
      </c>
      <c r="G15386" t="s">
        <v>1078</v>
      </c>
      <c r="H15386" s="171" t="s">
        <v>9673</v>
      </c>
      <c r="I15386" t="s">
        <v>1079</v>
      </c>
      <c r="J15386">
        <v>9.31</v>
      </c>
    </row>
    <row r="15387" spans="1:10" hidden="1">
      <c r="A15387" t="s">
        <v>9669</v>
      </c>
      <c r="B15387" t="s">
        <v>9670</v>
      </c>
      <c r="C15387" t="s">
        <v>6839</v>
      </c>
      <c r="D15387" t="s">
        <v>1535</v>
      </c>
      <c r="E15387" t="s">
        <v>561</v>
      </c>
      <c r="F15387" t="s">
        <v>1068</v>
      </c>
      <c r="G15387" t="s">
        <v>1080</v>
      </c>
      <c r="H15387" s="171" t="s">
        <v>9674</v>
      </c>
      <c r="I15387" t="s">
        <v>1082</v>
      </c>
      <c r="J15387">
        <v>9.31</v>
      </c>
    </row>
    <row r="15388" spans="1:10" hidden="1">
      <c r="A15388" t="s">
        <v>9669</v>
      </c>
      <c r="B15388" t="s">
        <v>9670</v>
      </c>
      <c r="C15388" t="s">
        <v>6839</v>
      </c>
      <c r="D15388" t="s">
        <v>1535</v>
      </c>
      <c r="E15388" t="s">
        <v>561</v>
      </c>
      <c r="F15388" t="s">
        <v>1068</v>
      </c>
      <c r="G15388" t="s">
        <v>1083</v>
      </c>
      <c r="H15388" s="171" t="s">
        <v>9675</v>
      </c>
      <c r="I15388" t="s">
        <v>1084</v>
      </c>
      <c r="J15388">
        <v>9.31</v>
      </c>
    </row>
    <row r="15389" spans="1:10" hidden="1">
      <c r="A15389" t="s">
        <v>9669</v>
      </c>
      <c r="B15389" t="s">
        <v>9670</v>
      </c>
      <c r="C15389" t="s">
        <v>6839</v>
      </c>
      <c r="D15389" t="s">
        <v>1535</v>
      </c>
      <c r="E15389" t="s">
        <v>561</v>
      </c>
      <c r="F15389" t="s">
        <v>1068</v>
      </c>
      <c r="G15389" t="s">
        <v>1085</v>
      </c>
      <c r="H15389">
        <v>3.7234247876222898E-4</v>
      </c>
      <c r="I15389" t="s">
        <v>1086</v>
      </c>
      <c r="J15389">
        <v>9.31</v>
      </c>
    </row>
    <row r="15390" spans="1:10" hidden="1">
      <c r="A15390" t="s">
        <v>9669</v>
      </c>
      <c r="B15390" t="s">
        <v>9670</v>
      </c>
      <c r="C15390" t="s">
        <v>6839</v>
      </c>
      <c r="D15390" t="s">
        <v>1535</v>
      </c>
      <c r="E15390" t="s">
        <v>561</v>
      </c>
      <c r="F15390" t="s">
        <v>1068</v>
      </c>
      <c r="G15390" t="s">
        <v>1087</v>
      </c>
      <c r="H15390" s="171" t="s">
        <v>9676</v>
      </c>
      <c r="I15390" t="s">
        <v>1088</v>
      </c>
      <c r="J15390">
        <v>9.31</v>
      </c>
    </row>
    <row r="15391" spans="1:10" hidden="1">
      <c r="A15391" t="s">
        <v>9669</v>
      </c>
      <c r="B15391" t="s">
        <v>9670</v>
      </c>
      <c r="C15391" t="s">
        <v>6839</v>
      </c>
      <c r="D15391" t="s">
        <v>1535</v>
      </c>
      <c r="E15391" t="s">
        <v>561</v>
      </c>
      <c r="F15391" t="s">
        <v>1068</v>
      </c>
      <c r="G15391" t="s">
        <v>1089</v>
      </c>
      <c r="H15391">
        <v>1.08245195718409E-4</v>
      </c>
      <c r="I15391" t="s">
        <v>1090</v>
      </c>
      <c r="J15391">
        <v>9.31</v>
      </c>
    </row>
    <row r="15392" spans="1:10" hidden="1">
      <c r="A15392" t="s">
        <v>9677</v>
      </c>
      <c r="B15392" t="s">
        <v>9678</v>
      </c>
      <c r="C15392" t="s">
        <v>6839</v>
      </c>
      <c r="D15392" t="s">
        <v>1535</v>
      </c>
      <c r="E15392" t="s">
        <v>555</v>
      </c>
      <c r="F15392" t="s">
        <v>1068</v>
      </c>
      <c r="G15392" t="s">
        <v>1069</v>
      </c>
      <c r="H15392" s="171" t="s">
        <v>9679</v>
      </c>
      <c r="I15392" t="s">
        <v>1070</v>
      </c>
      <c r="J15392">
        <v>9.1</v>
      </c>
    </row>
    <row r="15393" spans="1:10" hidden="1">
      <c r="A15393" t="s">
        <v>9677</v>
      </c>
      <c r="B15393" t="s">
        <v>9678</v>
      </c>
      <c r="C15393" t="s">
        <v>6839</v>
      </c>
      <c r="D15393" t="s">
        <v>1535</v>
      </c>
      <c r="E15393" t="s">
        <v>555</v>
      </c>
      <c r="F15393" t="s">
        <v>1068</v>
      </c>
      <c r="G15393" t="s">
        <v>1071</v>
      </c>
      <c r="H15393" s="171" t="s">
        <v>9680</v>
      </c>
      <c r="I15393" t="s">
        <v>1072</v>
      </c>
      <c r="J15393">
        <v>9.1</v>
      </c>
    </row>
    <row r="15394" spans="1:10" hidden="1">
      <c r="A15394" t="s">
        <v>9677</v>
      </c>
      <c r="B15394" t="s">
        <v>9678</v>
      </c>
      <c r="C15394" t="s">
        <v>6839</v>
      </c>
      <c r="D15394" t="s">
        <v>1535</v>
      </c>
      <c r="E15394" t="s">
        <v>555</v>
      </c>
      <c r="F15394" t="s">
        <v>1068</v>
      </c>
      <c r="G15394" t="s">
        <v>1073</v>
      </c>
      <c r="H15394" s="171" t="s">
        <v>9681</v>
      </c>
      <c r="I15394" t="s">
        <v>1074</v>
      </c>
      <c r="J15394">
        <v>9.1</v>
      </c>
    </row>
    <row r="15395" spans="1:10" hidden="1">
      <c r="A15395" t="s">
        <v>9677</v>
      </c>
      <c r="B15395" t="s">
        <v>9678</v>
      </c>
      <c r="C15395" t="s">
        <v>6839</v>
      </c>
      <c r="D15395" t="s">
        <v>1535</v>
      </c>
      <c r="E15395" t="s">
        <v>555</v>
      </c>
      <c r="F15395" t="s">
        <v>1068</v>
      </c>
      <c r="G15395" t="s">
        <v>1075</v>
      </c>
      <c r="H15395">
        <v>9.9236604796405503E-3</v>
      </c>
      <c r="I15395" t="s">
        <v>1077</v>
      </c>
      <c r="J15395">
        <v>9.1</v>
      </c>
    </row>
    <row r="15396" spans="1:10" hidden="1">
      <c r="A15396" t="s">
        <v>9677</v>
      </c>
      <c r="B15396" t="s">
        <v>9678</v>
      </c>
      <c r="C15396" t="s">
        <v>6839</v>
      </c>
      <c r="D15396" t="s">
        <v>1535</v>
      </c>
      <c r="E15396" t="s">
        <v>555</v>
      </c>
      <c r="F15396" t="s">
        <v>1068</v>
      </c>
      <c r="G15396" t="s">
        <v>1078</v>
      </c>
      <c r="H15396" s="171" t="s">
        <v>9682</v>
      </c>
      <c r="I15396" t="s">
        <v>1079</v>
      </c>
      <c r="J15396">
        <v>9.1</v>
      </c>
    </row>
    <row r="15397" spans="1:10" hidden="1">
      <c r="A15397" t="s">
        <v>9677</v>
      </c>
      <c r="B15397" t="s">
        <v>9678</v>
      </c>
      <c r="C15397" t="s">
        <v>6839</v>
      </c>
      <c r="D15397" t="s">
        <v>1535</v>
      </c>
      <c r="E15397" t="s">
        <v>555</v>
      </c>
      <c r="F15397" t="s">
        <v>1068</v>
      </c>
      <c r="G15397" t="s">
        <v>1080</v>
      </c>
      <c r="H15397" s="171" t="s">
        <v>9683</v>
      </c>
      <c r="I15397" t="s">
        <v>1082</v>
      </c>
      <c r="J15397">
        <v>9.1</v>
      </c>
    </row>
    <row r="15398" spans="1:10" hidden="1">
      <c r="A15398" t="s">
        <v>9677</v>
      </c>
      <c r="B15398" t="s">
        <v>9678</v>
      </c>
      <c r="C15398" t="s">
        <v>6839</v>
      </c>
      <c r="D15398" t="s">
        <v>1535</v>
      </c>
      <c r="E15398" t="s">
        <v>555</v>
      </c>
      <c r="F15398" t="s">
        <v>1068</v>
      </c>
      <c r="G15398" t="s">
        <v>1083</v>
      </c>
      <c r="H15398" s="171" t="s">
        <v>9684</v>
      </c>
      <c r="I15398" t="s">
        <v>1084</v>
      </c>
      <c r="J15398">
        <v>9.1</v>
      </c>
    </row>
    <row r="15399" spans="1:10" hidden="1">
      <c r="A15399" t="s">
        <v>9677</v>
      </c>
      <c r="B15399" t="s">
        <v>9678</v>
      </c>
      <c r="C15399" t="s">
        <v>6839</v>
      </c>
      <c r="D15399" t="s">
        <v>1535</v>
      </c>
      <c r="E15399" t="s">
        <v>555</v>
      </c>
      <c r="F15399" t="s">
        <v>1068</v>
      </c>
      <c r="G15399" t="s">
        <v>1085</v>
      </c>
      <c r="H15399">
        <v>3.7234635999140497E-4</v>
      </c>
      <c r="I15399" t="s">
        <v>1086</v>
      </c>
      <c r="J15399">
        <v>9.1</v>
      </c>
    </row>
    <row r="15400" spans="1:10" hidden="1">
      <c r="A15400" t="s">
        <v>9677</v>
      </c>
      <c r="B15400" t="s">
        <v>9678</v>
      </c>
      <c r="C15400" t="s">
        <v>6839</v>
      </c>
      <c r="D15400" t="s">
        <v>1535</v>
      </c>
      <c r="E15400" t="s">
        <v>555</v>
      </c>
      <c r="F15400" t="s">
        <v>1068</v>
      </c>
      <c r="G15400" t="s">
        <v>1087</v>
      </c>
      <c r="H15400" s="171" t="s">
        <v>9685</v>
      </c>
      <c r="I15400" t="s">
        <v>1088</v>
      </c>
      <c r="J15400">
        <v>9.1</v>
      </c>
    </row>
    <row r="15401" spans="1:10" hidden="1">
      <c r="A15401" t="s">
        <v>9677</v>
      </c>
      <c r="B15401" t="s">
        <v>9678</v>
      </c>
      <c r="C15401" t="s">
        <v>6839</v>
      </c>
      <c r="D15401" t="s">
        <v>1535</v>
      </c>
      <c r="E15401" t="s">
        <v>555</v>
      </c>
      <c r="F15401" t="s">
        <v>1068</v>
      </c>
      <c r="G15401" t="s">
        <v>1089</v>
      </c>
      <c r="H15401">
        <v>1.08245996465193E-4</v>
      </c>
      <c r="I15401" t="s">
        <v>1090</v>
      </c>
      <c r="J15401">
        <v>9.1</v>
      </c>
    </row>
    <row r="15402" spans="1:10" hidden="1">
      <c r="A15402" t="s">
        <v>9686</v>
      </c>
      <c r="B15402" t="s">
        <v>9687</v>
      </c>
      <c r="C15402" t="s">
        <v>6839</v>
      </c>
      <c r="D15402" t="s">
        <v>1535</v>
      </c>
      <c r="E15402" t="s">
        <v>558</v>
      </c>
      <c r="F15402" t="s">
        <v>1068</v>
      </c>
      <c r="G15402" t="s">
        <v>1069</v>
      </c>
      <c r="H15402">
        <v>5.3149978376643502E-2</v>
      </c>
      <c r="I15402" t="s">
        <v>1070</v>
      </c>
      <c r="J15402">
        <v>10.82</v>
      </c>
    </row>
    <row r="15403" spans="1:10" hidden="1">
      <c r="A15403" t="s">
        <v>9686</v>
      </c>
      <c r="B15403" t="s">
        <v>9687</v>
      </c>
      <c r="C15403" t="s">
        <v>6839</v>
      </c>
      <c r="D15403" t="s">
        <v>1535</v>
      </c>
      <c r="E15403" t="s">
        <v>558</v>
      </c>
      <c r="F15403" t="s">
        <v>1068</v>
      </c>
      <c r="G15403" t="s">
        <v>1071</v>
      </c>
      <c r="H15403" s="171" t="s">
        <v>9688</v>
      </c>
      <c r="I15403" t="s">
        <v>1072</v>
      </c>
      <c r="J15403">
        <v>10.82</v>
      </c>
    </row>
    <row r="15404" spans="1:10" hidden="1">
      <c r="A15404" t="s">
        <v>9686</v>
      </c>
      <c r="B15404" t="s">
        <v>9687</v>
      </c>
      <c r="C15404" t="s">
        <v>6839</v>
      </c>
      <c r="D15404" t="s">
        <v>1535</v>
      </c>
      <c r="E15404" t="s">
        <v>558</v>
      </c>
      <c r="F15404" t="s">
        <v>1068</v>
      </c>
      <c r="G15404" t="s">
        <v>1073</v>
      </c>
      <c r="H15404" s="171" t="s">
        <v>9689</v>
      </c>
      <c r="I15404" t="s">
        <v>1074</v>
      </c>
      <c r="J15404">
        <v>10.82</v>
      </c>
    </row>
    <row r="15405" spans="1:10" hidden="1">
      <c r="A15405" t="s">
        <v>9686</v>
      </c>
      <c r="B15405" t="s">
        <v>9687</v>
      </c>
      <c r="C15405" t="s">
        <v>6839</v>
      </c>
      <c r="D15405" t="s">
        <v>1535</v>
      </c>
      <c r="E15405" t="s">
        <v>558</v>
      </c>
      <c r="F15405" t="s">
        <v>1068</v>
      </c>
      <c r="G15405" t="s">
        <v>1075</v>
      </c>
      <c r="H15405">
        <v>9.9235830724805699E-3</v>
      </c>
      <c r="I15405" t="s">
        <v>1077</v>
      </c>
      <c r="J15405">
        <v>10.82</v>
      </c>
    </row>
    <row r="15406" spans="1:10" hidden="1">
      <c r="A15406" t="s">
        <v>9686</v>
      </c>
      <c r="B15406" t="s">
        <v>9687</v>
      </c>
      <c r="C15406" t="s">
        <v>6839</v>
      </c>
      <c r="D15406" t="s">
        <v>1535</v>
      </c>
      <c r="E15406" t="s">
        <v>558</v>
      </c>
      <c r="F15406" t="s">
        <v>1068</v>
      </c>
      <c r="G15406" t="s">
        <v>1078</v>
      </c>
      <c r="H15406">
        <v>2.9212528272995499E-2</v>
      </c>
      <c r="I15406" t="s">
        <v>1079</v>
      </c>
      <c r="J15406">
        <v>10.82</v>
      </c>
    </row>
    <row r="15407" spans="1:10" hidden="1">
      <c r="A15407" t="s">
        <v>9686</v>
      </c>
      <c r="B15407" t="s">
        <v>9687</v>
      </c>
      <c r="C15407" t="s">
        <v>6839</v>
      </c>
      <c r="D15407" t="s">
        <v>1535</v>
      </c>
      <c r="E15407" t="s">
        <v>558</v>
      </c>
      <c r="F15407" t="s">
        <v>1068</v>
      </c>
      <c r="G15407" t="s">
        <v>1080</v>
      </c>
      <c r="H15407" s="171" t="s">
        <v>9690</v>
      </c>
      <c r="I15407" t="s">
        <v>1082</v>
      </c>
      <c r="J15407">
        <v>10.82</v>
      </c>
    </row>
    <row r="15408" spans="1:10" hidden="1">
      <c r="A15408" t="s">
        <v>9686</v>
      </c>
      <c r="B15408" t="s">
        <v>9687</v>
      </c>
      <c r="C15408" t="s">
        <v>6839</v>
      </c>
      <c r="D15408" t="s">
        <v>1535</v>
      </c>
      <c r="E15408" t="s">
        <v>558</v>
      </c>
      <c r="F15408" t="s">
        <v>1068</v>
      </c>
      <c r="G15408" t="s">
        <v>1083</v>
      </c>
      <c r="H15408" s="171" t="s">
        <v>9691</v>
      </c>
      <c r="I15408" t="s">
        <v>1084</v>
      </c>
      <c r="J15408">
        <v>10.82</v>
      </c>
    </row>
    <row r="15409" spans="1:10" hidden="1">
      <c r="A15409" t="s">
        <v>9686</v>
      </c>
      <c r="B15409" t="s">
        <v>9687</v>
      </c>
      <c r="C15409" t="s">
        <v>6839</v>
      </c>
      <c r="D15409" t="s">
        <v>1535</v>
      </c>
      <c r="E15409" t="s">
        <v>558</v>
      </c>
      <c r="F15409" t="s">
        <v>1068</v>
      </c>
      <c r="G15409" t="s">
        <v>1085</v>
      </c>
      <c r="H15409">
        <v>3.7234215387670397E-4</v>
      </c>
      <c r="I15409" t="s">
        <v>1086</v>
      </c>
      <c r="J15409">
        <v>10.82</v>
      </c>
    </row>
    <row r="15410" spans="1:10" hidden="1">
      <c r="A15410" t="s">
        <v>9686</v>
      </c>
      <c r="B15410" t="s">
        <v>9687</v>
      </c>
      <c r="C15410" t="s">
        <v>6839</v>
      </c>
      <c r="D15410" t="s">
        <v>1535</v>
      </c>
      <c r="E15410" t="s">
        <v>558</v>
      </c>
      <c r="F15410" t="s">
        <v>1068</v>
      </c>
      <c r="G15410" t="s">
        <v>1087</v>
      </c>
      <c r="H15410" s="171" t="s">
        <v>9692</v>
      </c>
      <c r="I15410" t="s">
        <v>1088</v>
      </c>
      <c r="J15410">
        <v>10.82</v>
      </c>
    </row>
    <row r="15411" spans="1:10" hidden="1">
      <c r="A15411" t="s">
        <v>9686</v>
      </c>
      <c r="B15411" t="s">
        <v>9687</v>
      </c>
      <c r="C15411" t="s">
        <v>6839</v>
      </c>
      <c r="D15411" t="s">
        <v>1535</v>
      </c>
      <c r="E15411" t="s">
        <v>558</v>
      </c>
      <c r="F15411" t="s">
        <v>1068</v>
      </c>
      <c r="G15411" t="s">
        <v>1089</v>
      </c>
      <c r="H15411">
        <v>1.08245128695167E-4</v>
      </c>
      <c r="I15411" t="s">
        <v>1090</v>
      </c>
      <c r="J15411">
        <v>10.82</v>
      </c>
    </row>
    <row r="15412" spans="1:10" hidden="1">
      <c r="A15412" t="s">
        <v>9693</v>
      </c>
      <c r="B15412" t="s">
        <v>9694</v>
      </c>
      <c r="C15412" t="s">
        <v>6839</v>
      </c>
      <c r="D15412" t="s">
        <v>1535</v>
      </c>
      <c r="E15412" t="s">
        <v>553</v>
      </c>
      <c r="F15412" t="s">
        <v>1068</v>
      </c>
      <c r="G15412" t="s">
        <v>1069</v>
      </c>
      <c r="H15412">
        <v>5.3150948452997802E-2</v>
      </c>
      <c r="I15412" t="s">
        <v>1070</v>
      </c>
      <c r="J15412">
        <v>9.5299999999999994</v>
      </c>
    </row>
    <row r="15413" spans="1:10" hidden="1">
      <c r="A15413" t="s">
        <v>9693</v>
      </c>
      <c r="B15413" t="s">
        <v>9694</v>
      </c>
      <c r="C15413" t="s">
        <v>6839</v>
      </c>
      <c r="D15413" t="s">
        <v>1535</v>
      </c>
      <c r="E15413" t="s">
        <v>553</v>
      </c>
      <c r="F15413" t="s">
        <v>1068</v>
      </c>
      <c r="G15413" t="s">
        <v>1071</v>
      </c>
      <c r="H15413" s="171" t="s">
        <v>9695</v>
      </c>
      <c r="I15413" t="s">
        <v>1072</v>
      </c>
      <c r="J15413">
        <v>9.5299999999999994</v>
      </c>
    </row>
    <row r="15414" spans="1:10" hidden="1">
      <c r="A15414" t="s">
        <v>9693</v>
      </c>
      <c r="B15414" t="s">
        <v>9694</v>
      </c>
      <c r="C15414" t="s">
        <v>6839</v>
      </c>
      <c r="D15414" t="s">
        <v>1535</v>
      </c>
      <c r="E15414" t="s">
        <v>553</v>
      </c>
      <c r="F15414" t="s">
        <v>1068</v>
      </c>
      <c r="G15414" t="s">
        <v>1073</v>
      </c>
      <c r="H15414" s="171" t="s">
        <v>9696</v>
      </c>
      <c r="I15414" t="s">
        <v>1074</v>
      </c>
      <c r="J15414">
        <v>9.5299999999999994</v>
      </c>
    </row>
    <row r="15415" spans="1:10" hidden="1">
      <c r="A15415" t="s">
        <v>9693</v>
      </c>
      <c r="B15415" t="s">
        <v>9694</v>
      </c>
      <c r="C15415" t="s">
        <v>6839</v>
      </c>
      <c r="D15415" t="s">
        <v>1535</v>
      </c>
      <c r="E15415" t="s">
        <v>553</v>
      </c>
      <c r="F15415" t="s">
        <v>1068</v>
      </c>
      <c r="G15415" t="s">
        <v>1075</v>
      </c>
      <c r="H15415">
        <v>9.9235806473146806E-3</v>
      </c>
      <c r="I15415" t="s">
        <v>1077</v>
      </c>
      <c r="J15415">
        <v>9.5299999999999994</v>
      </c>
    </row>
    <row r="15416" spans="1:10" hidden="1">
      <c r="A15416" t="s">
        <v>9693</v>
      </c>
      <c r="B15416" t="s">
        <v>9694</v>
      </c>
      <c r="C15416" t="s">
        <v>6839</v>
      </c>
      <c r="D15416" t="s">
        <v>1535</v>
      </c>
      <c r="E15416" t="s">
        <v>553</v>
      </c>
      <c r="F15416" t="s">
        <v>1068</v>
      </c>
      <c r="G15416" t="s">
        <v>1078</v>
      </c>
      <c r="H15416">
        <v>2.9212422837260599E-2</v>
      </c>
      <c r="I15416" t="s">
        <v>1079</v>
      </c>
      <c r="J15416">
        <v>9.5299999999999994</v>
      </c>
    </row>
    <row r="15417" spans="1:10" hidden="1">
      <c r="A15417" t="s">
        <v>9693</v>
      </c>
      <c r="B15417" t="s">
        <v>9694</v>
      </c>
      <c r="C15417" t="s">
        <v>6839</v>
      </c>
      <c r="D15417" t="s">
        <v>1535</v>
      </c>
      <c r="E15417" t="s">
        <v>553</v>
      </c>
      <c r="F15417" t="s">
        <v>1068</v>
      </c>
      <c r="G15417" t="s">
        <v>1080</v>
      </c>
      <c r="H15417" s="171" t="s">
        <v>9697</v>
      </c>
      <c r="I15417" t="s">
        <v>1082</v>
      </c>
      <c r="J15417">
        <v>9.5299999999999994</v>
      </c>
    </row>
    <row r="15418" spans="1:10" hidden="1">
      <c r="A15418" t="s">
        <v>9693</v>
      </c>
      <c r="B15418" t="s">
        <v>9694</v>
      </c>
      <c r="C15418" t="s">
        <v>6839</v>
      </c>
      <c r="D15418" t="s">
        <v>1535</v>
      </c>
      <c r="E15418" t="s">
        <v>553</v>
      </c>
      <c r="F15418" t="s">
        <v>1068</v>
      </c>
      <c r="G15418" t="s">
        <v>1083</v>
      </c>
      <c r="H15418" s="171" t="s">
        <v>9698</v>
      </c>
      <c r="I15418" t="s">
        <v>1084</v>
      </c>
      <c r="J15418">
        <v>9.5299999999999994</v>
      </c>
    </row>
    <row r="15419" spans="1:10" hidden="1">
      <c r="A15419" t="s">
        <v>9693</v>
      </c>
      <c r="B15419" t="s">
        <v>9694</v>
      </c>
      <c r="C15419" t="s">
        <v>6839</v>
      </c>
      <c r="D15419" t="s">
        <v>1535</v>
      </c>
      <c r="E15419" t="s">
        <v>553</v>
      </c>
      <c r="F15419" t="s">
        <v>1068</v>
      </c>
      <c r="G15419" t="s">
        <v>1085</v>
      </c>
      <c r="H15419">
        <v>3.7234202147257302E-4</v>
      </c>
      <c r="I15419" t="s">
        <v>1086</v>
      </c>
      <c r="J15419">
        <v>9.5299999999999994</v>
      </c>
    </row>
    <row r="15420" spans="1:10" hidden="1">
      <c r="A15420" t="s">
        <v>9693</v>
      </c>
      <c r="B15420" t="s">
        <v>9694</v>
      </c>
      <c r="C15420" t="s">
        <v>6839</v>
      </c>
      <c r="D15420" t="s">
        <v>1535</v>
      </c>
      <c r="E15420" t="s">
        <v>553</v>
      </c>
      <c r="F15420" t="s">
        <v>1068</v>
      </c>
      <c r="G15420" t="s">
        <v>1087</v>
      </c>
      <c r="H15420" s="171" t="s">
        <v>9699</v>
      </c>
      <c r="I15420" t="s">
        <v>1088</v>
      </c>
      <c r="J15420">
        <v>9.5299999999999994</v>
      </c>
    </row>
    <row r="15421" spans="1:10" hidden="1">
      <c r="A15421" t="s">
        <v>9693</v>
      </c>
      <c r="B15421" t="s">
        <v>9694</v>
      </c>
      <c r="C15421" t="s">
        <v>6839</v>
      </c>
      <c r="D15421" t="s">
        <v>1535</v>
      </c>
      <c r="E15421" t="s">
        <v>553</v>
      </c>
      <c r="F15421" t="s">
        <v>1068</v>
      </c>
      <c r="G15421" t="s">
        <v>1089</v>
      </c>
      <c r="H15421">
        <v>1.08245101437326E-4</v>
      </c>
      <c r="I15421" t="s">
        <v>1090</v>
      </c>
      <c r="J15421">
        <v>9.5299999999999994</v>
      </c>
    </row>
    <row r="15422" spans="1:10" hidden="1">
      <c r="A15422" t="s">
        <v>9700</v>
      </c>
      <c r="B15422" t="s">
        <v>9701</v>
      </c>
      <c r="C15422" t="s">
        <v>6839</v>
      </c>
      <c r="D15422" t="s">
        <v>1535</v>
      </c>
      <c r="E15422" t="s">
        <v>556</v>
      </c>
      <c r="F15422" t="s">
        <v>1068</v>
      </c>
      <c r="G15422" t="s">
        <v>1069</v>
      </c>
      <c r="H15422">
        <v>5.3153236534693303E-2</v>
      </c>
      <c r="I15422" t="s">
        <v>1070</v>
      </c>
      <c r="J15422">
        <v>11.15</v>
      </c>
    </row>
    <row r="15423" spans="1:10" hidden="1">
      <c r="A15423" t="s">
        <v>9700</v>
      </c>
      <c r="B15423" t="s">
        <v>9701</v>
      </c>
      <c r="C15423" t="s">
        <v>6839</v>
      </c>
      <c r="D15423" t="s">
        <v>1535</v>
      </c>
      <c r="E15423" t="s">
        <v>556</v>
      </c>
      <c r="F15423" t="s">
        <v>1068</v>
      </c>
      <c r="G15423" t="s">
        <v>1071</v>
      </c>
      <c r="H15423" s="171" t="s">
        <v>9702</v>
      </c>
      <c r="I15423" t="s">
        <v>1072</v>
      </c>
      <c r="J15423">
        <v>11.15</v>
      </c>
    </row>
    <row r="15424" spans="1:10" hidden="1">
      <c r="A15424" t="s">
        <v>9700</v>
      </c>
      <c r="B15424" t="s">
        <v>9701</v>
      </c>
      <c r="C15424" t="s">
        <v>6839</v>
      </c>
      <c r="D15424" t="s">
        <v>1535</v>
      </c>
      <c r="E15424" t="s">
        <v>556</v>
      </c>
      <c r="F15424" t="s">
        <v>1068</v>
      </c>
      <c r="G15424" t="s">
        <v>1073</v>
      </c>
      <c r="H15424" s="171" t="s">
        <v>9703</v>
      </c>
      <c r="I15424" t="s">
        <v>1074</v>
      </c>
      <c r="J15424">
        <v>11.15</v>
      </c>
    </row>
    <row r="15425" spans="1:10" hidden="1">
      <c r="A15425" t="s">
        <v>9700</v>
      </c>
      <c r="B15425" t="s">
        <v>9701</v>
      </c>
      <c r="C15425" t="s">
        <v>6839</v>
      </c>
      <c r="D15425" t="s">
        <v>1535</v>
      </c>
      <c r="E15425" t="s">
        <v>556</v>
      </c>
      <c r="F15425" t="s">
        <v>1068</v>
      </c>
      <c r="G15425" t="s">
        <v>1075</v>
      </c>
      <c r="H15425">
        <v>9.9236529760211006E-3</v>
      </c>
      <c r="I15425" t="s">
        <v>1077</v>
      </c>
      <c r="J15425">
        <v>11.15</v>
      </c>
    </row>
    <row r="15426" spans="1:10" hidden="1">
      <c r="A15426" t="s">
        <v>9700</v>
      </c>
      <c r="B15426" t="s">
        <v>9701</v>
      </c>
      <c r="C15426" t="s">
        <v>6839</v>
      </c>
      <c r="D15426" t="s">
        <v>1535</v>
      </c>
      <c r="E15426" t="s">
        <v>556</v>
      </c>
      <c r="F15426" t="s">
        <v>1068</v>
      </c>
      <c r="G15426" t="s">
        <v>1078</v>
      </c>
      <c r="H15426" s="171" t="s">
        <v>9704</v>
      </c>
      <c r="I15426" t="s">
        <v>1079</v>
      </c>
      <c r="J15426">
        <v>11.15</v>
      </c>
    </row>
    <row r="15427" spans="1:10" hidden="1">
      <c r="A15427" t="s">
        <v>9700</v>
      </c>
      <c r="B15427" t="s">
        <v>9701</v>
      </c>
      <c r="C15427" t="s">
        <v>6839</v>
      </c>
      <c r="D15427" t="s">
        <v>1535</v>
      </c>
      <c r="E15427" t="s">
        <v>556</v>
      </c>
      <c r="F15427" t="s">
        <v>1068</v>
      </c>
      <c r="G15427" t="s">
        <v>1080</v>
      </c>
      <c r="H15427" s="171" t="s">
        <v>9705</v>
      </c>
      <c r="I15427" t="s">
        <v>1082</v>
      </c>
      <c r="J15427">
        <v>11.15</v>
      </c>
    </row>
    <row r="15428" spans="1:10" hidden="1">
      <c r="A15428" t="s">
        <v>9700</v>
      </c>
      <c r="B15428" t="s">
        <v>9701</v>
      </c>
      <c r="C15428" t="s">
        <v>6839</v>
      </c>
      <c r="D15428" t="s">
        <v>1535</v>
      </c>
      <c r="E15428" t="s">
        <v>556</v>
      </c>
      <c r="F15428" t="s">
        <v>1068</v>
      </c>
      <c r="G15428" t="s">
        <v>1083</v>
      </c>
      <c r="H15428" s="171" t="s">
        <v>9706</v>
      </c>
      <c r="I15428" t="s">
        <v>1084</v>
      </c>
      <c r="J15428">
        <v>11.15</v>
      </c>
    </row>
    <row r="15429" spans="1:10" hidden="1">
      <c r="A15429" t="s">
        <v>9700</v>
      </c>
      <c r="B15429" t="s">
        <v>9701</v>
      </c>
      <c r="C15429" t="s">
        <v>6839</v>
      </c>
      <c r="D15429" t="s">
        <v>1535</v>
      </c>
      <c r="E15429" t="s">
        <v>556</v>
      </c>
      <c r="F15429" t="s">
        <v>1068</v>
      </c>
      <c r="G15429" t="s">
        <v>1085</v>
      </c>
      <c r="H15429">
        <v>3.7234595220427501E-4</v>
      </c>
      <c r="I15429" t="s">
        <v>1086</v>
      </c>
      <c r="J15429">
        <v>11.15</v>
      </c>
    </row>
    <row r="15430" spans="1:10" hidden="1">
      <c r="A15430" t="s">
        <v>9700</v>
      </c>
      <c r="B15430" t="s">
        <v>9701</v>
      </c>
      <c r="C15430" t="s">
        <v>6839</v>
      </c>
      <c r="D15430" t="s">
        <v>1535</v>
      </c>
      <c r="E15430" t="s">
        <v>556</v>
      </c>
      <c r="F15430" t="s">
        <v>1068</v>
      </c>
      <c r="G15430" t="s">
        <v>1087</v>
      </c>
      <c r="H15430" s="171" t="s">
        <v>9707</v>
      </c>
      <c r="I15430" t="s">
        <v>1088</v>
      </c>
      <c r="J15430">
        <v>11.15</v>
      </c>
    </row>
    <row r="15431" spans="1:10" hidden="1">
      <c r="A15431" t="s">
        <v>9700</v>
      </c>
      <c r="B15431" t="s">
        <v>9701</v>
      </c>
      <c r="C15431" t="s">
        <v>6839</v>
      </c>
      <c r="D15431" t="s">
        <v>1535</v>
      </c>
      <c r="E15431" t="s">
        <v>556</v>
      </c>
      <c r="F15431" t="s">
        <v>1068</v>
      </c>
      <c r="G15431" t="s">
        <v>1089</v>
      </c>
      <c r="H15431">
        <v>1.08245912339514E-4</v>
      </c>
      <c r="I15431" t="s">
        <v>1090</v>
      </c>
      <c r="J15431">
        <v>11.15</v>
      </c>
    </row>
    <row r="15432" spans="1:10" hidden="1">
      <c r="A15432" t="s">
        <v>9708</v>
      </c>
      <c r="B15432" t="s">
        <v>9709</v>
      </c>
      <c r="C15432" t="s">
        <v>6839</v>
      </c>
      <c r="D15432" t="s">
        <v>1535</v>
      </c>
      <c r="E15432" t="s">
        <v>557</v>
      </c>
      <c r="F15432" t="s">
        <v>1068</v>
      </c>
      <c r="G15432" t="s">
        <v>1069</v>
      </c>
      <c r="H15432">
        <v>5.3150759508328302E-2</v>
      </c>
      <c r="I15432" t="s">
        <v>1070</v>
      </c>
      <c r="J15432">
        <v>8.68</v>
      </c>
    </row>
    <row r="15433" spans="1:10" hidden="1">
      <c r="A15433" t="s">
        <v>9708</v>
      </c>
      <c r="B15433" t="s">
        <v>9709</v>
      </c>
      <c r="C15433" t="s">
        <v>6839</v>
      </c>
      <c r="D15433" t="s">
        <v>1535</v>
      </c>
      <c r="E15433" t="s">
        <v>557</v>
      </c>
      <c r="F15433" t="s">
        <v>1068</v>
      </c>
      <c r="G15433" t="s">
        <v>1071</v>
      </c>
      <c r="H15433" s="171" t="s">
        <v>9710</v>
      </c>
      <c r="I15433" t="s">
        <v>1072</v>
      </c>
      <c r="J15433">
        <v>8.68</v>
      </c>
    </row>
    <row r="15434" spans="1:10" hidden="1">
      <c r="A15434" t="s">
        <v>9708</v>
      </c>
      <c r="B15434" t="s">
        <v>9709</v>
      </c>
      <c r="C15434" t="s">
        <v>6839</v>
      </c>
      <c r="D15434" t="s">
        <v>1535</v>
      </c>
      <c r="E15434" t="s">
        <v>557</v>
      </c>
      <c r="F15434" t="s">
        <v>1068</v>
      </c>
      <c r="G15434" t="s">
        <v>1073</v>
      </c>
      <c r="H15434" s="171" t="s">
        <v>9711</v>
      </c>
      <c r="I15434" t="s">
        <v>1074</v>
      </c>
      <c r="J15434">
        <v>8.68</v>
      </c>
    </row>
    <row r="15435" spans="1:10" hidden="1">
      <c r="A15435" t="s">
        <v>9708</v>
      </c>
      <c r="B15435" t="s">
        <v>9709</v>
      </c>
      <c r="C15435" t="s">
        <v>6839</v>
      </c>
      <c r="D15435" t="s">
        <v>1535</v>
      </c>
      <c r="E15435" t="s">
        <v>557</v>
      </c>
      <c r="F15435" t="s">
        <v>1068</v>
      </c>
      <c r="G15435" t="s">
        <v>1075</v>
      </c>
      <c r="H15435">
        <v>9.9236077648875501E-3</v>
      </c>
      <c r="I15435" t="s">
        <v>1077</v>
      </c>
      <c r="J15435">
        <v>8.68</v>
      </c>
    </row>
    <row r="15436" spans="1:10" hidden="1">
      <c r="A15436" t="s">
        <v>9708</v>
      </c>
      <c r="B15436" t="s">
        <v>9709</v>
      </c>
      <c r="C15436" t="s">
        <v>6839</v>
      </c>
      <c r="D15436" t="s">
        <v>1535</v>
      </c>
      <c r="E15436" t="s">
        <v>557</v>
      </c>
      <c r="F15436" t="s">
        <v>1068</v>
      </c>
      <c r="G15436" t="s">
        <v>1078</v>
      </c>
      <c r="H15436" s="171" t="s">
        <v>9712</v>
      </c>
      <c r="I15436" t="s">
        <v>1079</v>
      </c>
      <c r="J15436">
        <v>8.68</v>
      </c>
    </row>
    <row r="15437" spans="1:10" hidden="1">
      <c r="A15437" t="s">
        <v>9708</v>
      </c>
      <c r="B15437" t="s">
        <v>9709</v>
      </c>
      <c r="C15437" t="s">
        <v>6839</v>
      </c>
      <c r="D15437" t="s">
        <v>1535</v>
      </c>
      <c r="E15437" t="s">
        <v>557</v>
      </c>
      <c r="F15437" t="s">
        <v>1068</v>
      </c>
      <c r="G15437" t="s">
        <v>1080</v>
      </c>
      <c r="H15437" s="171" t="s">
        <v>9713</v>
      </c>
      <c r="I15437" t="s">
        <v>1082</v>
      </c>
      <c r="J15437">
        <v>8.68</v>
      </c>
    </row>
    <row r="15438" spans="1:10" hidden="1">
      <c r="A15438" t="s">
        <v>9708</v>
      </c>
      <c r="B15438" t="s">
        <v>9709</v>
      </c>
      <c r="C15438" t="s">
        <v>6839</v>
      </c>
      <c r="D15438" t="s">
        <v>1535</v>
      </c>
      <c r="E15438" t="s">
        <v>557</v>
      </c>
      <c r="F15438" t="s">
        <v>1068</v>
      </c>
      <c r="G15438" t="s">
        <v>1083</v>
      </c>
      <c r="H15438" s="171" t="s">
        <v>9714</v>
      </c>
      <c r="I15438" t="s">
        <v>1084</v>
      </c>
      <c r="J15438">
        <v>8.68</v>
      </c>
    </row>
    <row r="15439" spans="1:10" hidden="1">
      <c r="A15439" t="s">
        <v>9708</v>
      </c>
      <c r="B15439" t="s">
        <v>9709</v>
      </c>
      <c r="C15439" t="s">
        <v>6839</v>
      </c>
      <c r="D15439" t="s">
        <v>1535</v>
      </c>
      <c r="E15439" t="s">
        <v>557</v>
      </c>
      <c r="F15439" t="s">
        <v>1068</v>
      </c>
      <c r="G15439" t="s">
        <v>1085</v>
      </c>
      <c r="H15439">
        <v>3.7234349579517599E-4</v>
      </c>
      <c r="I15439" t="s">
        <v>1086</v>
      </c>
      <c r="J15439">
        <v>8.68</v>
      </c>
    </row>
    <row r="15440" spans="1:10" hidden="1">
      <c r="A15440" t="s">
        <v>9708</v>
      </c>
      <c r="B15440" t="s">
        <v>9709</v>
      </c>
      <c r="C15440" t="s">
        <v>6839</v>
      </c>
      <c r="D15440" t="s">
        <v>1535</v>
      </c>
      <c r="E15440" t="s">
        <v>557</v>
      </c>
      <c r="F15440" t="s">
        <v>1068</v>
      </c>
      <c r="G15440" t="s">
        <v>1087</v>
      </c>
      <c r="H15440" s="171" t="s">
        <v>9715</v>
      </c>
      <c r="I15440" t="s">
        <v>1088</v>
      </c>
      <c r="J15440">
        <v>8.68</v>
      </c>
    </row>
    <row r="15441" spans="1:10" hidden="1">
      <c r="A15441" t="s">
        <v>9708</v>
      </c>
      <c r="B15441" t="s">
        <v>9709</v>
      </c>
      <c r="C15441" t="s">
        <v>6839</v>
      </c>
      <c r="D15441" t="s">
        <v>1535</v>
      </c>
      <c r="E15441" t="s">
        <v>557</v>
      </c>
      <c r="F15441" t="s">
        <v>1068</v>
      </c>
      <c r="G15441" t="s">
        <v>1089</v>
      </c>
      <c r="H15441">
        <v>1.08245405530297E-4</v>
      </c>
      <c r="I15441" t="s">
        <v>1090</v>
      </c>
      <c r="J15441">
        <v>8.68</v>
      </c>
    </row>
    <row r="15442" spans="1:10" hidden="1">
      <c r="A15442" t="s">
        <v>9716</v>
      </c>
      <c r="B15442" t="s">
        <v>9717</v>
      </c>
      <c r="C15442" t="s">
        <v>6839</v>
      </c>
      <c r="D15442" t="s">
        <v>1535</v>
      </c>
      <c r="E15442" t="s">
        <v>559</v>
      </c>
      <c r="F15442" t="s">
        <v>1068</v>
      </c>
      <c r="G15442" t="s">
        <v>1069</v>
      </c>
      <c r="H15442">
        <v>5.3152556420510699E-2</v>
      </c>
      <c r="I15442" t="s">
        <v>1070</v>
      </c>
      <c r="J15442">
        <v>8.39</v>
      </c>
    </row>
    <row r="15443" spans="1:10" hidden="1">
      <c r="A15443" t="s">
        <v>9716</v>
      </c>
      <c r="B15443" t="s">
        <v>9717</v>
      </c>
      <c r="C15443" t="s">
        <v>6839</v>
      </c>
      <c r="D15443" t="s">
        <v>1535</v>
      </c>
      <c r="E15443" t="s">
        <v>559</v>
      </c>
      <c r="F15443" t="s">
        <v>1068</v>
      </c>
      <c r="G15443" t="s">
        <v>1071</v>
      </c>
      <c r="H15443" s="171" t="s">
        <v>9718</v>
      </c>
      <c r="I15443" t="s">
        <v>1072</v>
      </c>
      <c r="J15443">
        <v>8.39</v>
      </c>
    </row>
    <row r="15444" spans="1:10" hidden="1">
      <c r="A15444" t="s">
        <v>9716</v>
      </c>
      <c r="B15444" t="s">
        <v>9717</v>
      </c>
      <c r="C15444" t="s">
        <v>6839</v>
      </c>
      <c r="D15444" t="s">
        <v>1535</v>
      </c>
      <c r="E15444" t="s">
        <v>559</v>
      </c>
      <c r="F15444" t="s">
        <v>1068</v>
      </c>
      <c r="G15444" t="s">
        <v>1073</v>
      </c>
      <c r="H15444" s="171" t="s">
        <v>9719</v>
      </c>
      <c r="I15444" t="s">
        <v>1074</v>
      </c>
      <c r="J15444">
        <v>8.39</v>
      </c>
    </row>
    <row r="15445" spans="1:10" hidden="1">
      <c r="A15445" t="s">
        <v>9716</v>
      </c>
      <c r="B15445" t="s">
        <v>9717</v>
      </c>
      <c r="C15445" t="s">
        <v>6839</v>
      </c>
      <c r="D15445" t="s">
        <v>1535</v>
      </c>
      <c r="E15445" t="s">
        <v>559</v>
      </c>
      <c r="F15445" t="s">
        <v>1068</v>
      </c>
      <c r="G15445" t="s">
        <v>1075</v>
      </c>
      <c r="H15445">
        <v>9.9236314768854708E-3</v>
      </c>
      <c r="I15445" t="s">
        <v>1077</v>
      </c>
      <c r="J15445">
        <v>8.39</v>
      </c>
    </row>
    <row r="15446" spans="1:10" hidden="1">
      <c r="A15446" t="s">
        <v>9716</v>
      </c>
      <c r="B15446" t="s">
        <v>9717</v>
      </c>
      <c r="C15446" t="s">
        <v>6839</v>
      </c>
      <c r="D15446" t="s">
        <v>1535</v>
      </c>
      <c r="E15446" t="s">
        <v>559</v>
      </c>
      <c r="F15446" t="s">
        <v>1068</v>
      </c>
      <c r="G15446" t="s">
        <v>1078</v>
      </c>
      <c r="H15446" s="171" t="s">
        <v>9720</v>
      </c>
      <c r="I15446" t="s">
        <v>1079</v>
      </c>
      <c r="J15446">
        <v>8.39</v>
      </c>
    </row>
    <row r="15447" spans="1:10" hidden="1">
      <c r="A15447" t="s">
        <v>9716</v>
      </c>
      <c r="B15447" t="s">
        <v>9717</v>
      </c>
      <c r="C15447" t="s">
        <v>6839</v>
      </c>
      <c r="D15447" t="s">
        <v>1535</v>
      </c>
      <c r="E15447" t="s">
        <v>559</v>
      </c>
      <c r="F15447" t="s">
        <v>1068</v>
      </c>
      <c r="G15447" t="s">
        <v>1080</v>
      </c>
      <c r="H15447" s="171" t="s">
        <v>9721</v>
      </c>
      <c r="I15447" t="s">
        <v>1082</v>
      </c>
      <c r="J15447">
        <v>8.39</v>
      </c>
    </row>
    <row r="15448" spans="1:10" hidden="1">
      <c r="A15448" t="s">
        <v>9716</v>
      </c>
      <c r="B15448" t="s">
        <v>9717</v>
      </c>
      <c r="C15448" t="s">
        <v>6839</v>
      </c>
      <c r="D15448" t="s">
        <v>1535</v>
      </c>
      <c r="E15448" t="s">
        <v>559</v>
      </c>
      <c r="F15448" t="s">
        <v>1068</v>
      </c>
      <c r="G15448" t="s">
        <v>1083</v>
      </c>
      <c r="H15448" s="171" t="s">
        <v>9722</v>
      </c>
      <c r="I15448" t="s">
        <v>1084</v>
      </c>
      <c r="J15448">
        <v>8.39</v>
      </c>
    </row>
    <row r="15449" spans="1:10" hidden="1">
      <c r="A15449" t="s">
        <v>9716</v>
      </c>
      <c r="B15449" t="s">
        <v>9717</v>
      </c>
      <c r="C15449" t="s">
        <v>6839</v>
      </c>
      <c r="D15449" t="s">
        <v>1535</v>
      </c>
      <c r="E15449" t="s">
        <v>559</v>
      </c>
      <c r="F15449" t="s">
        <v>1068</v>
      </c>
      <c r="G15449" t="s">
        <v>1085</v>
      </c>
      <c r="H15449">
        <v>3.7234478382538799E-4</v>
      </c>
      <c r="I15449" t="s">
        <v>1086</v>
      </c>
      <c r="J15449">
        <v>8.39</v>
      </c>
    </row>
    <row r="15450" spans="1:10" hidden="1">
      <c r="A15450" t="s">
        <v>9716</v>
      </c>
      <c r="B15450" t="s">
        <v>9717</v>
      </c>
      <c r="C15450" t="s">
        <v>6839</v>
      </c>
      <c r="D15450" t="s">
        <v>1535</v>
      </c>
      <c r="E15450" t="s">
        <v>559</v>
      </c>
      <c r="F15450" t="s">
        <v>1068</v>
      </c>
      <c r="G15450" t="s">
        <v>1087</v>
      </c>
      <c r="H15450" s="171" t="s">
        <v>9723</v>
      </c>
      <c r="I15450" t="s">
        <v>1088</v>
      </c>
      <c r="J15450">
        <v>8.39</v>
      </c>
    </row>
    <row r="15451" spans="1:10" hidden="1">
      <c r="A15451" t="s">
        <v>9716</v>
      </c>
      <c r="B15451" t="s">
        <v>9717</v>
      </c>
      <c r="C15451" t="s">
        <v>6839</v>
      </c>
      <c r="D15451" t="s">
        <v>1535</v>
      </c>
      <c r="E15451" t="s">
        <v>559</v>
      </c>
      <c r="F15451" t="s">
        <v>1068</v>
      </c>
      <c r="G15451" t="s">
        <v>1089</v>
      </c>
      <c r="H15451">
        <v>1.08245671305256E-4</v>
      </c>
      <c r="I15451" t="s">
        <v>1090</v>
      </c>
      <c r="J15451">
        <v>8.39</v>
      </c>
    </row>
    <row r="15452" spans="1:10" hidden="1">
      <c r="A15452" t="s">
        <v>9724</v>
      </c>
      <c r="B15452" t="s">
        <v>9725</v>
      </c>
      <c r="C15452" t="s">
        <v>6839</v>
      </c>
      <c r="D15452" t="s">
        <v>1535</v>
      </c>
      <c r="E15452" t="s">
        <v>560</v>
      </c>
      <c r="F15452" t="s">
        <v>1068</v>
      </c>
      <c r="G15452" t="s">
        <v>1069</v>
      </c>
      <c r="H15452">
        <v>5.3151176111892899E-2</v>
      </c>
      <c r="I15452" t="s">
        <v>1070</v>
      </c>
      <c r="J15452">
        <v>8.35</v>
      </c>
    </row>
    <row r="15453" spans="1:10" hidden="1">
      <c r="A15453" t="s">
        <v>9724</v>
      </c>
      <c r="B15453" t="s">
        <v>9725</v>
      </c>
      <c r="C15453" t="s">
        <v>6839</v>
      </c>
      <c r="D15453" t="s">
        <v>1535</v>
      </c>
      <c r="E15453" t="s">
        <v>560</v>
      </c>
      <c r="F15453" t="s">
        <v>1068</v>
      </c>
      <c r="G15453" t="s">
        <v>1071</v>
      </c>
      <c r="H15453" s="171" t="s">
        <v>9726</v>
      </c>
      <c r="I15453" t="s">
        <v>1072</v>
      </c>
      <c r="J15453">
        <v>8.35</v>
      </c>
    </row>
    <row r="15454" spans="1:10" hidden="1">
      <c r="A15454" t="s">
        <v>9724</v>
      </c>
      <c r="B15454" t="s">
        <v>9725</v>
      </c>
      <c r="C15454" t="s">
        <v>6839</v>
      </c>
      <c r="D15454" t="s">
        <v>1535</v>
      </c>
      <c r="E15454" t="s">
        <v>560</v>
      </c>
      <c r="F15454" t="s">
        <v>1068</v>
      </c>
      <c r="G15454" t="s">
        <v>1073</v>
      </c>
      <c r="H15454" s="171" t="s">
        <v>9727</v>
      </c>
      <c r="I15454" t="s">
        <v>1074</v>
      </c>
      <c r="J15454">
        <v>8.35</v>
      </c>
    </row>
    <row r="15455" spans="1:10" hidden="1">
      <c r="A15455" t="s">
        <v>9724</v>
      </c>
      <c r="B15455" t="s">
        <v>9725</v>
      </c>
      <c r="C15455" t="s">
        <v>6839</v>
      </c>
      <c r="D15455" t="s">
        <v>1535</v>
      </c>
      <c r="E15455" t="s">
        <v>560</v>
      </c>
      <c r="F15455" t="s">
        <v>1068</v>
      </c>
      <c r="G15455" t="s">
        <v>1075</v>
      </c>
      <c r="H15455">
        <v>9.9236209341712692E-3</v>
      </c>
      <c r="I15455" t="s">
        <v>1077</v>
      </c>
      <c r="J15455">
        <v>8.35</v>
      </c>
    </row>
    <row r="15456" spans="1:10" hidden="1">
      <c r="A15456" t="s">
        <v>9724</v>
      </c>
      <c r="B15456" t="s">
        <v>9725</v>
      </c>
      <c r="C15456" t="s">
        <v>6839</v>
      </c>
      <c r="D15456" t="s">
        <v>1535</v>
      </c>
      <c r="E15456" t="s">
        <v>560</v>
      </c>
      <c r="F15456" t="s">
        <v>1068</v>
      </c>
      <c r="G15456" t="s">
        <v>1078</v>
      </c>
      <c r="H15456">
        <v>2.9214165558548801E-2</v>
      </c>
      <c r="I15456" t="s">
        <v>1079</v>
      </c>
      <c r="J15456">
        <v>8.35</v>
      </c>
    </row>
    <row r="15457" spans="1:10" hidden="1">
      <c r="A15457" t="s">
        <v>9724</v>
      </c>
      <c r="B15457" t="s">
        <v>9725</v>
      </c>
      <c r="C15457" t="s">
        <v>6839</v>
      </c>
      <c r="D15457" t="s">
        <v>1535</v>
      </c>
      <c r="E15457" t="s">
        <v>560</v>
      </c>
      <c r="F15457" t="s">
        <v>1068</v>
      </c>
      <c r="G15457" t="s">
        <v>1080</v>
      </c>
      <c r="H15457" s="171" t="s">
        <v>9728</v>
      </c>
      <c r="I15457" t="s">
        <v>1082</v>
      </c>
      <c r="J15457">
        <v>8.35</v>
      </c>
    </row>
    <row r="15458" spans="1:10" hidden="1">
      <c r="A15458" t="s">
        <v>9724</v>
      </c>
      <c r="B15458" t="s">
        <v>9725</v>
      </c>
      <c r="C15458" t="s">
        <v>6839</v>
      </c>
      <c r="D15458" t="s">
        <v>1535</v>
      </c>
      <c r="E15458" t="s">
        <v>560</v>
      </c>
      <c r="F15458" t="s">
        <v>1068</v>
      </c>
      <c r="G15458" t="s">
        <v>1083</v>
      </c>
      <c r="H15458" s="171" t="s">
        <v>9729</v>
      </c>
      <c r="I15458" t="s">
        <v>1084</v>
      </c>
      <c r="J15458">
        <v>8.35</v>
      </c>
    </row>
    <row r="15459" spans="1:10" hidden="1">
      <c r="A15459" t="s">
        <v>9724</v>
      </c>
      <c r="B15459" t="s">
        <v>9725</v>
      </c>
      <c r="C15459" t="s">
        <v>6839</v>
      </c>
      <c r="D15459" t="s">
        <v>1535</v>
      </c>
      <c r="E15459" t="s">
        <v>560</v>
      </c>
      <c r="F15459" t="s">
        <v>1068</v>
      </c>
      <c r="G15459" t="s">
        <v>1085</v>
      </c>
      <c r="H15459">
        <v>3.7234421148502701E-4</v>
      </c>
      <c r="I15459" t="s">
        <v>1086</v>
      </c>
      <c r="J15459">
        <v>8.35</v>
      </c>
    </row>
    <row r="15460" spans="1:10" hidden="1">
      <c r="A15460" t="s">
        <v>9724</v>
      </c>
      <c r="B15460" t="s">
        <v>9725</v>
      </c>
      <c r="C15460" t="s">
        <v>6839</v>
      </c>
      <c r="D15460" t="s">
        <v>1535</v>
      </c>
      <c r="E15460" t="s">
        <v>560</v>
      </c>
      <c r="F15460" t="s">
        <v>1068</v>
      </c>
      <c r="G15460" t="s">
        <v>1087</v>
      </c>
      <c r="H15460" s="171" t="s">
        <v>9730</v>
      </c>
      <c r="I15460" t="s">
        <v>1088</v>
      </c>
      <c r="J15460">
        <v>8.35</v>
      </c>
    </row>
    <row r="15461" spans="1:10" hidden="1">
      <c r="A15461" t="s">
        <v>9724</v>
      </c>
      <c r="B15461" t="s">
        <v>9725</v>
      </c>
      <c r="C15461" t="s">
        <v>6839</v>
      </c>
      <c r="D15461" t="s">
        <v>1535</v>
      </c>
      <c r="E15461" t="s">
        <v>560</v>
      </c>
      <c r="F15461" t="s">
        <v>1068</v>
      </c>
      <c r="G15461" t="s">
        <v>1089</v>
      </c>
      <c r="H15461">
        <v>1.08245553175701E-4</v>
      </c>
      <c r="I15461" t="s">
        <v>1090</v>
      </c>
      <c r="J15461">
        <v>8.35</v>
      </c>
    </row>
    <row r="15462" spans="1:10" hidden="1">
      <c r="A15462" t="s">
        <v>9731</v>
      </c>
      <c r="B15462" t="s">
        <v>9732</v>
      </c>
      <c r="C15462" t="s">
        <v>6839</v>
      </c>
      <c r="D15462" t="s">
        <v>1535</v>
      </c>
      <c r="E15462" t="s">
        <v>1116</v>
      </c>
      <c r="F15462" t="s">
        <v>1068</v>
      </c>
      <c r="G15462" t="s">
        <v>1069</v>
      </c>
      <c r="H15462">
        <v>5.3149911678178501E-2</v>
      </c>
      <c r="I15462" t="s">
        <v>1070</v>
      </c>
      <c r="J15462">
        <v>8.9</v>
      </c>
    </row>
    <row r="15463" spans="1:10" hidden="1">
      <c r="A15463" t="s">
        <v>9731</v>
      </c>
      <c r="B15463" t="s">
        <v>9732</v>
      </c>
      <c r="C15463" t="s">
        <v>6839</v>
      </c>
      <c r="D15463" t="s">
        <v>1535</v>
      </c>
      <c r="E15463" t="s">
        <v>1116</v>
      </c>
      <c r="F15463" t="s">
        <v>1068</v>
      </c>
      <c r="G15463" t="s">
        <v>1071</v>
      </c>
      <c r="H15463" s="171" t="s">
        <v>9733</v>
      </c>
      <c r="I15463" t="s">
        <v>1072</v>
      </c>
      <c r="J15463">
        <v>8.9</v>
      </c>
    </row>
    <row r="15464" spans="1:10" hidden="1">
      <c r="A15464" t="s">
        <v>9731</v>
      </c>
      <c r="B15464" t="s">
        <v>9732</v>
      </c>
      <c r="C15464" t="s">
        <v>6839</v>
      </c>
      <c r="D15464" t="s">
        <v>1535</v>
      </c>
      <c r="E15464" t="s">
        <v>1116</v>
      </c>
      <c r="F15464" t="s">
        <v>1068</v>
      </c>
      <c r="G15464" t="s">
        <v>1073</v>
      </c>
      <c r="H15464" s="171" t="s">
        <v>9734</v>
      </c>
      <c r="I15464" t="s">
        <v>1074</v>
      </c>
      <c r="J15464">
        <v>8.9</v>
      </c>
    </row>
    <row r="15465" spans="1:10" hidden="1">
      <c r="A15465" t="s">
        <v>9731</v>
      </c>
      <c r="B15465" t="s">
        <v>9732</v>
      </c>
      <c r="C15465" t="s">
        <v>6839</v>
      </c>
      <c r="D15465" t="s">
        <v>1535</v>
      </c>
      <c r="E15465" t="s">
        <v>1116</v>
      </c>
      <c r="F15465" t="s">
        <v>1068</v>
      </c>
      <c r="G15465" t="s">
        <v>1075</v>
      </c>
      <c r="H15465">
        <v>9.9235809640708505E-3</v>
      </c>
      <c r="I15465" t="s">
        <v>1077</v>
      </c>
      <c r="J15465">
        <v>8.9</v>
      </c>
    </row>
    <row r="15466" spans="1:10" hidden="1">
      <c r="A15466" t="s">
        <v>9731</v>
      </c>
      <c r="B15466" t="s">
        <v>9732</v>
      </c>
      <c r="C15466" t="s">
        <v>6839</v>
      </c>
      <c r="D15466" t="s">
        <v>1535</v>
      </c>
      <c r="E15466" t="s">
        <v>1116</v>
      </c>
      <c r="F15466" t="s">
        <v>1068</v>
      </c>
      <c r="G15466" t="s">
        <v>1078</v>
      </c>
      <c r="H15466">
        <v>2.9212437097224399E-2</v>
      </c>
      <c r="I15466" t="s">
        <v>1079</v>
      </c>
      <c r="J15466">
        <v>8.9</v>
      </c>
    </row>
    <row r="15467" spans="1:10" hidden="1">
      <c r="A15467" t="s">
        <v>9731</v>
      </c>
      <c r="B15467" t="s">
        <v>9732</v>
      </c>
      <c r="C15467" t="s">
        <v>6839</v>
      </c>
      <c r="D15467" t="s">
        <v>1535</v>
      </c>
      <c r="E15467" t="s">
        <v>1116</v>
      </c>
      <c r="F15467" t="s">
        <v>1068</v>
      </c>
      <c r="G15467" t="s">
        <v>1080</v>
      </c>
      <c r="H15467" s="171" t="s">
        <v>9735</v>
      </c>
      <c r="I15467" t="s">
        <v>1082</v>
      </c>
      <c r="J15467">
        <v>8.9</v>
      </c>
    </row>
    <row r="15468" spans="1:10" hidden="1">
      <c r="A15468" t="s">
        <v>9731</v>
      </c>
      <c r="B15468" t="s">
        <v>9732</v>
      </c>
      <c r="C15468" t="s">
        <v>6839</v>
      </c>
      <c r="D15468" t="s">
        <v>1535</v>
      </c>
      <c r="E15468" t="s">
        <v>1116</v>
      </c>
      <c r="F15468" t="s">
        <v>1068</v>
      </c>
      <c r="G15468" t="s">
        <v>1083</v>
      </c>
      <c r="H15468" s="171" t="s">
        <v>9736</v>
      </c>
      <c r="I15468" t="s">
        <v>1084</v>
      </c>
      <c r="J15468">
        <v>8.9</v>
      </c>
    </row>
    <row r="15469" spans="1:10" hidden="1">
      <c r="A15469" t="s">
        <v>9731</v>
      </c>
      <c r="B15469" t="s">
        <v>9732</v>
      </c>
      <c r="C15469" t="s">
        <v>6839</v>
      </c>
      <c r="D15469" t="s">
        <v>1535</v>
      </c>
      <c r="E15469" t="s">
        <v>1116</v>
      </c>
      <c r="F15469" t="s">
        <v>1068</v>
      </c>
      <c r="G15469" t="s">
        <v>1085</v>
      </c>
      <c r="H15469">
        <v>3.7234203929435602E-4</v>
      </c>
      <c r="I15469" t="s">
        <v>1086</v>
      </c>
      <c r="J15469">
        <v>8.9</v>
      </c>
    </row>
    <row r="15470" spans="1:10" hidden="1">
      <c r="A15470" t="s">
        <v>9731</v>
      </c>
      <c r="B15470" t="s">
        <v>9732</v>
      </c>
      <c r="C15470" t="s">
        <v>6839</v>
      </c>
      <c r="D15470" t="s">
        <v>1535</v>
      </c>
      <c r="E15470" t="s">
        <v>1116</v>
      </c>
      <c r="F15470" t="s">
        <v>1068</v>
      </c>
      <c r="G15470" t="s">
        <v>1087</v>
      </c>
      <c r="H15470" s="171" t="s">
        <v>9737</v>
      </c>
      <c r="I15470" t="s">
        <v>1088</v>
      </c>
      <c r="J15470">
        <v>8.9</v>
      </c>
    </row>
    <row r="15471" spans="1:10" hidden="1">
      <c r="A15471" t="s">
        <v>9731</v>
      </c>
      <c r="B15471" t="s">
        <v>9732</v>
      </c>
      <c r="C15471" t="s">
        <v>6839</v>
      </c>
      <c r="D15471" t="s">
        <v>1535</v>
      </c>
      <c r="E15471" t="s">
        <v>1116</v>
      </c>
      <c r="F15471" t="s">
        <v>1068</v>
      </c>
      <c r="G15471" t="s">
        <v>1089</v>
      </c>
      <c r="H15471">
        <v>1.0824510505705501E-4</v>
      </c>
      <c r="I15471" t="s">
        <v>1090</v>
      </c>
      <c r="J15471">
        <v>8.9</v>
      </c>
    </row>
    <row r="15472" spans="1:10" hidden="1">
      <c r="A15472" t="s">
        <v>9738</v>
      </c>
      <c r="B15472" t="s">
        <v>9739</v>
      </c>
      <c r="C15472" t="s">
        <v>6839</v>
      </c>
      <c r="D15472" t="s">
        <v>330</v>
      </c>
      <c r="E15472" t="s">
        <v>561</v>
      </c>
      <c r="F15472" t="s">
        <v>1068</v>
      </c>
      <c r="G15472" t="s">
        <v>1069</v>
      </c>
      <c r="H15472" s="171" t="s">
        <v>9740</v>
      </c>
      <c r="I15472" t="s">
        <v>1070</v>
      </c>
      <c r="J15472">
        <v>9.65</v>
      </c>
    </row>
    <row r="15473" spans="1:10" hidden="1">
      <c r="A15473" t="s">
        <v>9738</v>
      </c>
      <c r="B15473" t="s">
        <v>9739</v>
      </c>
      <c r="C15473" t="s">
        <v>6839</v>
      </c>
      <c r="D15473" t="s">
        <v>330</v>
      </c>
      <c r="E15473" t="s">
        <v>561</v>
      </c>
      <c r="F15473" t="s">
        <v>1068</v>
      </c>
      <c r="G15473" t="s">
        <v>1071</v>
      </c>
      <c r="H15473" s="171" t="s">
        <v>9741</v>
      </c>
      <c r="I15473" t="s">
        <v>1072</v>
      </c>
      <c r="J15473">
        <v>9.65</v>
      </c>
    </row>
    <row r="15474" spans="1:10" hidden="1">
      <c r="A15474" t="s">
        <v>9738</v>
      </c>
      <c r="B15474" t="s">
        <v>9739</v>
      </c>
      <c r="C15474" t="s">
        <v>6839</v>
      </c>
      <c r="D15474" t="s">
        <v>330</v>
      </c>
      <c r="E15474" t="s">
        <v>561</v>
      </c>
      <c r="F15474" t="s">
        <v>1068</v>
      </c>
      <c r="G15474" t="s">
        <v>1073</v>
      </c>
      <c r="H15474" s="171" t="s">
        <v>9742</v>
      </c>
      <c r="I15474" t="s">
        <v>1074</v>
      </c>
      <c r="J15474">
        <v>9.65</v>
      </c>
    </row>
    <row r="15475" spans="1:10" hidden="1">
      <c r="A15475" t="s">
        <v>9738</v>
      </c>
      <c r="B15475" t="s">
        <v>9739</v>
      </c>
      <c r="C15475" t="s">
        <v>6839</v>
      </c>
      <c r="D15475" t="s">
        <v>330</v>
      </c>
      <c r="E15475" t="s">
        <v>561</v>
      </c>
      <c r="F15475" t="s">
        <v>1068</v>
      </c>
      <c r="G15475" t="s">
        <v>1075</v>
      </c>
      <c r="H15475" s="171" t="s">
        <v>9743</v>
      </c>
      <c r="I15475" t="s">
        <v>1077</v>
      </c>
      <c r="J15475">
        <v>9.65</v>
      </c>
    </row>
    <row r="15476" spans="1:10" hidden="1">
      <c r="A15476" t="s">
        <v>9738</v>
      </c>
      <c r="B15476" t="s">
        <v>9739</v>
      </c>
      <c r="C15476" t="s">
        <v>6839</v>
      </c>
      <c r="D15476" t="s">
        <v>330</v>
      </c>
      <c r="E15476" t="s">
        <v>561</v>
      </c>
      <c r="F15476" t="s">
        <v>1068</v>
      </c>
      <c r="G15476" t="s">
        <v>1078</v>
      </c>
      <c r="H15476">
        <v>5.3035846633626003E-2</v>
      </c>
      <c r="I15476" t="s">
        <v>1079</v>
      </c>
      <c r="J15476">
        <v>9.65</v>
      </c>
    </row>
    <row r="15477" spans="1:10" hidden="1">
      <c r="A15477" t="s">
        <v>9738</v>
      </c>
      <c r="B15477" t="s">
        <v>9739</v>
      </c>
      <c r="C15477" t="s">
        <v>6839</v>
      </c>
      <c r="D15477" t="s">
        <v>330</v>
      </c>
      <c r="E15477" t="s">
        <v>561</v>
      </c>
      <c r="F15477" t="s">
        <v>1068</v>
      </c>
      <c r="G15477" t="s">
        <v>1080</v>
      </c>
      <c r="H15477" s="171" t="s">
        <v>9744</v>
      </c>
      <c r="I15477" t="s">
        <v>1082</v>
      </c>
      <c r="J15477">
        <v>9.65</v>
      </c>
    </row>
    <row r="15478" spans="1:10" hidden="1">
      <c r="A15478" t="s">
        <v>9738</v>
      </c>
      <c r="B15478" t="s">
        <v>9739</v>
      </c>
      <c r="C15478" t="s">
        <v>6839</v>
      </c>
      <c r="D15478" t="s">
        <v>330</v>
      </c>
      <c r="E15478" t="s">
        <v>561</v>
      </c>
      <c r="F15478" t="s">
        <v>1068</v>
      </c>
      <c r="G15478" t="s">
        <v>1083</v>
      </c>
      <c r="H15478" s="171" t="s">
        <v>9745</v>
      </c>
      <c r="I15478" t="s">
        <v>1084</v>
      </c>
      <c r="J15478">
        <v>9.65</v>
      </c>
    </row>
    <row r="15479" spans="1:10" hidden="1">
      <c r="A15479" t="s">
        <v>9738</v>
      </c>
      <c r="B15479" t="s">
        <v>9739</v>
      </c>
      <c r="C15479" t="s">
        <v>6839</v>
      </c>
      <c r="D15479" t="s">
        <v>330</v>
      </c>
      <c r="E15479" t="s">
        <v>561</v>
      </c>
      <c r="F15479" t="s">
        <v>1068</v>
      </c>
      <c r="G15479" t="s">
        <v>1085</v>
      </c>
      <c r="H15479">
        <v>4.7403434873542299E-4</v>
      </c>
      <c r="I15479" t="s">
        <v>1086</v>
      </c>
      <c r="J15479">
        <v>9.65</v>
      </c>
    </row>
    <row r="15480" spans="1:10" hidden="1">
      <c r="A15480" t="s">
        <v>9738</v>
      </c>
      <c r="B15480" t="s">
        <v>9739</v>
      </c>
      <c r="C15480" t="s">
        <v>6839</v>
      </c>
      <c r="D15480" t="s">
        <v>330</v>
      </c>
      <c r="E15480" t="s">
        <v>561</v>
      </c>
      <c r="F15480" t="s">
        <v>1068</v>
      </c>
      <c r="G15480" t="s">
        <v>1087</v>
      </c>
      <c r="H15480" s="171" t="s">
        <v>9746</v>
      </c>
      <c r="I15480" t="s">
        <v>1088</v>
      </c>
      <c r="J15480">
        <v>9.65</v>
      </c>
    </row>
    <row r="15481" spans="1:10" hidden="1">
      <c r="A15481" t="s">
        <v>9738</v>
      </c>
      <c r="B15481" t="s">
        <v>9739</v>
      </c>
      <c r="C15481" t="s">
        <v>6839</v>
      </c>
      <c r="D15481" t="s">
        <v>330</v>
      </c>
      <c r="E15481" t="s">
        <v>561</v>
      </c>
      <c r="F15481" t="s">
        <v>1068</v>
      </c>
      <c r="G15481" t="s">
        <v>1089</v>
      </c>
      <c r="H15481">
        <v>1.4078199209538399E-4</v>
      </c>
      <c r="I15481" t="s">
        <v>1090</v>
      </c>
      <c r="J15481">
        <v>9.65</v>
      </c>
    </row>
    <row r="15482" spans="1:10" hidden="1">
      <c r="A15482" t="s">
        <v>9747</v>
      </c>
      <c r="B15482" t="s">
        <v>9748</v>
      </c>
      <c r="C15482" t="s">
        <v>6839</v>
      </c>
      <c r="D15482" t="s">
        <v>330</v>
      </c>
      <c r="E15482" t="s">
        <v>555</v>
      </c>
      <c r="F15482" t="s">
        <v>1068</v>
      </c>
      <c r="G15482" t="s">
        <v>1069</v>
      </c>
      <c r="H15482" s="171" t="s">
        <v>9749</v>
      </c>
      <c r="I15482" t="s">
        <v>1070</v>
      </c>
      <c r="J15482">
        <v>7.82</v>
      </c>
    </row>
    <row r="15483" spans="1:10" hidden="1">
      <c r="A15483" t="s">
        <v>9747</v>
      </c>
      <c r="B15483" t="s">
        <v>9748</v>
      </c>
      <c r="C15483" t="s">
        <v>6839</v>
      </c>
      <c r="D15483" t="s">
        <v>330</v>
      </c>
      <c r="E15483" t="s">
        <v>555</v>
      </c>
      <c r="F15483" t="s">
        <v>1068</v>
      </c>
      <c r="G15483" t="s">
        <v>1071</v>
      </c>
      <c r="H15483" s="171" t="s">
        <v>9750</v>
      </c>
      <c r="I15483" t="s">
        <v>1072</v>
      </c>
      <c r="J15483">
        <v>7.82</v>
      </c>
    </row>
    <row r="15484" spans="1:10" hidden="1">
      <c r="A15484" t="s">
        <v>9747</v>
      </c>
      <c r="B15484" t="s">
        <v>9748</v>
      </c>
      <c r="C15484" t="s">
        <v>6839</v>
      </c>
      <c r="D15484" t="s">
        <v>330</v>
      </c>
      <c r="E15484" t="s">
        <v>555</v>
      </c>
      <c r="F15484" t="s">
        <v>1068</v>
      </c>
      <c r="G15484" t="s">
        <v>1073</v>
      </c>
      <c r="H15484" s="171" t="s">
        <v>9751</v>
      </c>
      <c r="I15484" t="s">
        <v>1074</v>
      </c>
      <c r="J15484">
        <v>7.82</v>
      </c>
    </row>
    <row r="15485" spans="1:10" hidden="1">
      <c r="A15485" t="s">
        <v>9747</v>
      </c>
      <c r="B15485" t="s">
        <v>9748</v>
      </c>
      <c r="C15485" t="s">
        <v>6839</v>
      </c>
      <c r="D15485" t="s">
        <v>330</v>
      </c>
      <c r="E15485" t="s">
        <v>555</v>
      </c>
      <c r="F15485" t="s">
        <v>1068</v>
      </c>
      <c r="G15485" t="s">
        <v>1075</v>
      </c>
      <c r="H15485">
        <v>1.2830176217251099E-2</v>
      </c>
      <c r="I15485" t="s">
        <v>1077</v>
      </c>
      <c r="J15485">
        <v>7.82</v>
      </c>
    </row>
    <row r="15486" spans="1:10" hidden="1">
      <c r="A15486" t="s">
        <v>9747</v>
      </c>
      <c r="B15486" t="s">
        <v>9748</v>
      </c>
      <c r="C15486" t="s">
        <v>6839</v>
      </c>
      <c r="D15486" t="s">
        <v>330</v>
      </c>
      <c r="E15486" t="s">
        <v>555</v>
      </c>
      <c r="F15486" t="s">
        <v>1068</v>
      </c>
      <c r="G15486" t="s">
        <v>1078</v>
      </c>
      <c r="H15486" s="171" t="s">
        <v>9752</v>
      </c>
      <c r="I15486" t="s">
        <v>1079</v>
      </c>
      <c r="J15486">
        <v>7.82</v>
      </c>
    </row>
    <row r="15487" spans="1:10" hidden="1">
      <c r="A15487" t="s">
        <v>9747</v>
      </c>
      <c r="B15487" t="s">
        <v>9748</v>
      </c>
      <c r="C15487" t="s">
        <v>6839</v>
      </c>
      <c r="D15487" t="s">
        <v>330</v>
      </c>
      <c r="E15487" t="s">
        <v>555</v>
      </c>
      <c r="F15487" t="s">
        <v>1068</v>
      </c>
      <c r="G15487" t="s">
        <v>1080</v>
      </c>
      <c r="H15487" s="171" t="s">
        <v>9753</v>
      </c>
      <c r="I15487" t="s">
        <v>1082</v>
      </c>
      <c r="J15487">
        <v>7.82</v>
      </c>
    </row>
    <row r="15488" spans="1:10" hidden="1">
      <c r="A15488" t="s">
        <v>9747</v>
      </c>
      <c r="B15488" t="s">
        <v>9748</v>
      </c>
      <c r="C15488" t="s">
        <v>6839</v>
      </c>
      <c r="D15488" t="s">
        <v>330</v>
      </c>
      <c r="E15488" t="s">
        <v>555</v>
      </c>
      <c r="F15488" t="s">
        <v>1068</v>
      </c>
      <c r="G15488" t="s">
        <v>1083</v>
      </c>
      <c r="H15488" s="171" t="s">
        <v>9754</v>
      </c>
      <c r="I15488" t="s">
        <v>1084</v>
      </c>
      <c r="J15488">
        <v>7.82</v>
      </c>
    </row>
    <row r="15489" spans="1:10" hidden="1">
      <c r="A15489" t="s">
        <v>9747</v>
      </c>
      <c r="B15489" t="s">
        <v>9748</v>
      </c>
      <c r="C15489" t="s">
        <v>6839</v>
      </c>
      <c r="D15489" t="s">
        <v>330</v>
      </c>
      <c r="E15489" t="s">
        <v>555</v>
      </c>
      <c r="F15489" t="s">
        <v>1068</v>
      </c>
      <c r="G15489" t="s">
        <v>1085</v>
      </c>
      <c r="H15489">
        <v>4.7403711734697899E-4</v>
      </c>
      <c r="I15489" t="s">
        <v>1086</v>
      </c>
      <c r="J15489">
        <v>7.82</v>
      </c>
    </row>
    <row r="15490" spans="1:10" hidden="1">
      <c r="A15490" t="s">
        <v>9747</v>
      </c>
      <c r="B15490" t="s">
        <v>9748</v>
      </c>
      <c r="C15490" t="s">
        <v>6839</v>
      </c>
      <c r="D15490" t="s">
        <v>330</v>
      </c>
      <c r="E15490" t="s">
        <v>555</v>
      </c>
      <c r="F15490" t="s">
        <v>1068</v>
      </c>
      <c r="G15490" t="s">
        <v>1087</v>
      </c>
      <c r="H15490" s="171" t="s">
        <v>9755</v>
      </c>
      <c r="I15490" t="s">
        <v>1088</v>
      </c>
      <c r="J15490">
        <v>7.82</v>
      </c>
    </row>
    <row r="15491" spans="1:10" hidden="1">
      <c r="A15491" t="s">
        <v>9747</v>
      </c>
      <c r="B15491" t="s">
        <v>9748</v>
      </c>
      <c r="C15491" t="s">
        <v>6839</v>
      </c>
      <c r="D15491" t="s">
        <v>330</v>
      </c>
      <c r="E15491" t="s">
        <v>555</v>
      </c>
      <c r="F15491" t="s">
        <v>1068</v>
      </c>
      <c r="G15491" t="s">
        <v>1089</v>
      </c>
      <c r="H15491">
        <v>1.4078256329519499E-4</v>
      </c>
      <c r="I15491" t="s">
        <v>1090</v>
      </c>
      <c r="J15491">
        <v>7.82</v>
      </c>
    </row>
    <row r="15492" spans="1:10" hidden="1">
      <c r="A15492" t="s">
        <v>9756</v>
      </c>
      <c r="B15492" t="s">
        <v>9757</v>
      </c>
      <c r="C15492" t="s">
        <v>6839</v>
      </c>
      <c r="D15492" t="s">
        <v>330</v>
      </c>
      <c r="E15492" t="s">
        <v>558</v>
      </c>
      <c r="F15492" t="s">
        <v>1068</v>
      </c>
      <c r="G15492" t="s">
        <v>1069</v>
      </c>
      <c r="H15492" s="171" t="s">
        <v>9758</v>
      </c>
      <c r="I15492" t="s">
        <v>1070</v>
      </c>
      <c r="J15492">
        <v>9.23</v>
      </c>
    </row>
    <row r="15493" spans="1:10" hidden="1">
      <c r="A15493" t="s">
        <v>9756</v>
      </c>
      <c r="B15493" t="s">
        <v>9757</v>
      </c>
      <c r="C15493" t="s">
        <v>6839</v>
      </c>
      <c r="D15493" t="s">
        <v>330</v>
      </c>
      <c r="E15493" t="s">
        <v>558</v>
      </c>
      <c r="F15493" t="s">
        <v>1068</v>
      </c>
      <c r="G15493" t="s">
        <v>1071</v>
      </c>
      <c r="H15493" s="171" t="s">
        <v>9759</v>
      </c>
      <c r="I15493" t="s">
        <v>1072</v>
      </c>
      <c r="J15493">
        <v>9.23</v>
      </c>
    </row>
    <row r="15494" spans="1:10" hidden="1">
      <c r="A15494" t="s">
        <v>9756</v>
      </c>
      <c r="B15494" t="s">
        <v>9757</v>
      </c>
      <c r="C15494" t="s">
        <v>6839</v>
      </c>
      <c r="D15494" t="s">
        <v>330</v>
      </c>
      <c r="E15494" t="s">
        <v>558</v>
      </c>
      <c r="F15494" t="s">
        <v>1068</v>
      </c>
      <c r="G15494" t="s">
        <v>1073</v>
      </c>
      <c r="H15494" s="171" t="s">
        <v>9760</v>
      </c>
      <c r="I15494" t="s">
        <v>1074</v>
      </c>
      <c r="J15494">
        <v>9.23</v>
      </c>
    </row>
    <row r="15495" spans="1:10" hidden="1">
      <c r="A15495" t="s">
        <v>9756</v>
      </c>
      <c r="B15495" t="s">
        <v>9757</v>
      </c>
      <c r="C15495" t="s">
        <v>6839</v>
      </c>
      <c r="D15495" t="s">
        <v>330</v>
      </c>
      <c r="E15495" t="s">
        <v>558</v>
      </c>
      <c r="F15495" t="s">
        <v>1068</v>
      </c>
      <c r="G15495" t="s">
        <v>1075</v>
      </c>
      <c r="H15495" s="171" t="s">
        <v>9761</v>
      </c>
      <c r="I15495" t="s">
        <v>1077</v>
      </c>
      <c r="J15495">
        <v>9.23</v>
      </c>
    </row>
    <row r="15496" spans="1:10" hidden="1">
      <c r="A15496" t="s">
        <v>9756</v>
      </c>
      <c r="B15496" t="s">
        <v>9757</v>
      </c>
      <c r="C15496" t="s">
        <v>6839</v>
      </c>
      <c r="D15496" t="s">
        <v>330</v>
      </c>
      <c r="E15496" t="s">
        <v>558</v>
      </c>
      <c r="F15496" t="s">
        <v>1068</v>
      </c>
      <c r="G15496" t="s">
        <v>1078</v>
      </c>
      <c r="H15496" s="171" t="s">
        <v>9762</v>
      </c>
      <c r="I15496" t="s">
        <v>1079</v>
      </c>
      <c r="J15496">
        <v>9.23</v>
      </c>
    </row>
    <row r="15497" spans="1:10" hidden="1">
      <c r="A15497" t="s">
        <v>9756</v>
      </c>
      <c r="B15497" t="s">
        <v>9757</v>
      </c>
      <c r="C15497" t="s">
        <v>6839</v>
      </c>
      <c r="D15497" t="s">
        <v>330</v>
      </c>
      <c r="E15497" t="s">
        <v>558</v>
      </c>
      <c r="F15497" t="s">
        <v>1068</v>
      </c>
      <c r="G15497" t="s">
        <v>1080</v>
      </c>
      <c r="H15497" s="171" t="s">
        <v>9763</v>
      </c>
      <c r="I15497" t="s">
        <v>1082</v>
      </c>
      <c r="J15497">
        <v>9.23</v>
      </c>
    </row>
    <row r="15498" spans="1:10" hidden="1">
      <c r="A15498" t="s">
        <v>9756</v>
      </c>
      <c r="B15498" t="s">
        <v>9757</v>
      </c>
      <c r="C15498" t="s">
        <v>6839</v>
      </c>
      <c r="D15498" t="s">
        <v>330</v>
      </c>
      <c r="E15498" t="s">
        <v>558</v>
      </c>
      <c r="F15498" t="s">
        <v>1068</v>
      </c>
      <c r="G15498" t="s">
        <v>1083</v>
      </c>
      <c r="H15498" s="171" t="s">
        <v>9764</v>
      </c>
      <c r="I15498" t="s">
        <v>1084</v>
      </c>
      <c r="J15498">
        <v>9.23</v>
      </c>
    </row>
    <row r="15499" spans="1:10" hidden="1">
      <c r="A15499" t="s">
        <v>9756</v>
      </c>
      <c r="B15499" t="s">
        <v>9757</v>
      </c>
      <c r="C15499" t="s">
        <v>6839</v>
      </c>
      <c r="D15499" t="s">
        <v>330</v>
      </c>
      <c r="E15499" t="s">
        <v>558</v>
      </c>
      <c r="F15499" t="s">
        <v>1068</v>
      </c>
      <c r="G15499" t="s">
        <v>1085</v>
      </c>
      <c r="H15499">
        <v>4.7403411698374899E-4</v>
      </c>
      <c r="I15499" t="s">
        <v>1086</v>
      </c>
      <c r="J15499">
        <v>9.23</v>
      </c>
    </row>
    <row r="15500" spans="1:10" hidden="1">
      <c r="A15500" t="s">
        <v>9756</v>
      </c>
      <c r="B15500" t="s">
        <v>9757</v>
      </c>
      <c r="C15500" t="s">
        <v>6839</v>
      </c>
      <c r="D15500" t="s">
        <v>330</v>
      </c>
      <c r="E15500" t="s">
        <v>558</v>
      </c>
      <c r="F15500" t="s">
        <v>1068</v>
      </c>
      <c r="G15500" t="s">
        <v>1087</v>
      </c>
      <c r="H15500" s="171" t="s">
        <v>9765</v>
      </c>
      <c r="I15500" t="s">
        <v>1088</v>
      </c>
      <c r="J15500">
        <v>9.23</v>
      </c>
    </row>
    <row r="15501" spans="1:10" hidden="1">
      <c r="A15501" t="s">
        <v>9756</v>
      </c>
      <c r="B15501" t="s">
        <v>9757</v>
      </c>
      <c r="C15501" t="s">
        <v>6839</v>
      </c>
      <c r="D15501" t="s">
        <v>330</v>
      </c>
      <c r="E15501" t="s">
        <v>558</v>
      </c>
      <c r="F15501" t="s">
        <v>1068</v>
      </c>
      <c r="G15501" t="s">
        <v>1089</v>
      </c>
      <c r="H15501">
        <v>1.40781944285471E-4</v>
      </c>
      <c r="I15501" t="s">
        <v>1090</v>
      </c>
      <c r="J15501">
        <v>9.23</v>
      </c>
    </row>
    <row r="15502" spans="1:10" hidden="1">
      <c r="A15502" t="s">
        <v>9766</v>
      </c>
      <c r="B15502" t="s">
        <v>9767</v>
      </c>
      <c r="C15502" t="s">
        <v>6839</v>
      </c>
      <c r="D15502" t="s">
        <v>330</v>
      </c>
      <c r="E15502" t="s">
        <v>553</v>
      </c>
      <c r="F15502" t="s">
        <v>1068</v>
      </c>
      <c r="G15502" t="s">
        <v>1069</v>
      </c>
      <c r="H15502" s="171" t="s">
        <v>9768</v>
      </c>
      <c r="I15502" t="s">
        <v>1070</v>
      </c>
      <c r="J15502">
        <v>8.6300000000000008</v>
      </c>
    </row>
    <row r="15503" spans="1:10" hidden="1">
      <c r="A15503" t="s">
        <v>9766</v>
      </c>
      <c r="B15503" t="s">
        <v>9767</v>
      </c>
      <c r="C15503" t="s">
        <v>6839</v>
      </c>
      <c r="D15503" t="s">
        <v>330</v>
      </c>
      <c r="E15503" t="s">
        <v>553</v>
      </c>
      <c r="F15503" t="s">
        <v>1068</v>
      </c>
      <c r="G15503" t="s">
        <v>1071</v>
      </c>
      <c r="H15503" s="171" t="s">
        <v>9769</v>
      </c>
      <c r="I15503" t="s">
        <v>1072</v>
      </c>
      <c r="J15503">
        <v>8.6300000000000008</v>
      </c>
    </row>
    <row r="15504" spans="1:10" hidden="1">
      <c r="A15504" t="s">
        <v>9766</v>
      </c>
      <c r="B15504" t="s">
        <v>9767</v>
      </c>
      <c r="C15504" t="s">
        <v>6839</v>
      </c>
      <c r="D15504" t="s">
        <v>330</v>
      </c>
      <c r="E15504" t="s">
        <v>553</v>
      </c>
      <c r="F15504" t="s">
        <v>1068</v>
      </c>
      <c r="G15504" t="s">
        <v>1073</v>
      </c>
      <c r="H15504" s="171" t="s">
        <v>9770</v>
      </c>
      <c r="I15504" t="s">
        <v>1074</v>
      </c>
      <c r="J15504">
        <v>8.6300000000000008</v>
      </c>
    </row>
    <row r="15505" spans="1:10" hidden="1">
      <c r="A15505" t="s">
        <v>9766</v>
      </c>
      <c r="B15505" t="s">
        <v>9767</v>
      </c>
      <c r="C15505" t="s">
        <v>6839</v>
      </c>
      <c r="D15505" t="s">
        <v>330</v>
      </c>
      <c r="E15505" t="s">
        <v>553</v>
      </c>
      <c r="F15505" t="s">
        <v>1068</v>
      </c>
      <c r="G15505" t="s">
        <v>1075</v>
      </c>
      <c r="H15505" s="171" t="s">
        <v>9771</v>
      </c>
      <c r="I15505" t="s">
        <v>1077</v>
      </c>
      <c r="J15505">
        <v>8.6300000000000008</v>
      </c>
    </row>
    <row r="15506" spans="1:10" hidden="1">
      <c r="A15506" t="s">
        <v>9766</v>
      </c>
      <c r="B15506" t="s">
        <v>9767</v>
      </c>
      <c r="C15506" t="s">
        <v>6839</v>
      </c>
      <c r="D15506" t="s">
        <v>330</v>
      </c>
      <c r="E15506" t="s">
        <v>553</v>
      </c>
      <c r="F15506" t="s">
        <v>1068</v>
      </c>
      <c r="G15506" t="s">
        <v>1078</v>
      </c>
      <c r="H15506">
        <v>5.3035587013663198E-2</v>
      </c>
      <c r="I15506" t="s">
        <v>1079</v>
      </c>
      <c r="J15506">
        <v>8.6300000000000008</v>
      </c>
    </row>
    <row r="15507" spans="1:10" hidden="1">
      <c r="A15507" t="s">
        <v>9766</v>
      </c>
      <c r="B15507" t="s">
        <v>9767</v>
      </c>
      <c r="C15507" t="s">
        <v>6839</v>
      </c>
      <c r="D15507" t="s">
        <v>330</v>
      </c>
      <c r="E15507" t="s">
        <v>553</v>
      </c>
      <c r="F15507" t="s">
        <v>1068</v>
      </c>
      <c r="G15507" t="s">
        <v>1080</v>
      </c>
      <c r="H15507" s="171" t="s">
        <v>9772</v>
      </c>
      <c r="I15507" t="s">
        <v>1082</v>
      </c>
      <c r="J15507">
        <v>8.6300000000000008</v>
      </c>
    </row>
    <row r="15508" spans="1:10" hidden="1">
      <c r="A15508" t="s">
        <v>9766</v>
      </c>
      <c r="B15508" t="s">
        <v>9767</v>
      </c>
      <c r="C15508" t="s">
        <v>6839</v>
      </c>
      <c r="D15508" t="s">
        <v>330</v>
      </c>
      <c r="E15508" t="s">
        <v>553</v>
      </c>
      <c r="F15508" t="s">
        <v>1068</v>
      </c>
      <c r="G15508" t="s">
        <v>1083</v>
      </c>
      <c r="H15508" s="171" t="s">
        <v>9773</v>
      </c>
      <c r="I15508" t="s">
        <v>1084</v>
      </c>
      <c r="J15508">
        <v>8.6300000000000008</v>
      </c>
    </row>
    <row r="15509" spans="1:10" hidden="1">
      <c r="A15509" t="s">
        <v>9766</v>
      </c>
      <c r="B15509" t="s">
        <v>9767</v>
      </c>
      <c r="C15509" t="s">
        <v>6839</v>
      </c>
      <c r="D15509" t="s">
        <v>330</v>
      </c>
      <c r="E15509" t="s">
        <v>553</v>
      </c>
      <c r="F15509" t="s">
        <v>1068</v>
      </c>
      <c r="G15509" t="s">
        <v>1085</v>
      </c>
      <c r="H15509">
        <v>4.7403402253687901E-4</v>
      </c>
      <c r="I15509" t="s">
        <v>1086</v>
      </c>
      <c r="J15509">
        <v>8.6300000000000008</v>
      </c>
    </row>
    <row r="15510" spans="1:10" hidden="1">
      <c r="A15510" t="s">
        <v>9766</v>
      </c>
      <c r="B15510" t="s">
        <v>9767</v>
      </c>
      <c r="C15510" t="s">
        <v>6839</v>
      </c>
      <c r="D15510" t="s">
        <v>330</v>
      </c>
      <c r="E15510" t="s">
        <v>553</v>
      </c>
      <c r="F15510" t="s">
        <v>1068</v>
      </c>
      <c r="G15510" t="s">
        <v>1087</v>
      </c>
      <c r="H15510" s="171" t="s">
        <v>9774</v>
      </c>
      <c r="I15510" t="s">
        <v>1088</v>
      </c>
      <c r="J15510">
        <v>8.6300000000000008</v>
      </c>
    </row>
    <row r="15511" spans="1:10" hidden="1">
      <c r="A15511" t="s">
        <v>9766</v>
      </c>
      <c r="B15511" t="s">
        <v>9767</v>
      </c>
      <c r="C15511" t="s">
        <v>6839</v>
      </c>
      <c r="D15511" t="s">
        <v>330</v>
      </c>
      <c r="E15511" t="s">
        <v>553</v>
      </c>
      <c r="F15511" t="s">
        <v>1068</v>
      </c>
      <c r="G15511" t="s">
        <v>1089</v>
      </c>
      <c r="H15511">
        <v>1.40781924841982E-4</v>
      </c>
      <c r="I15511" t="s">
        <v>1090</v>
      </c>
      <c r="J15511">
        <v>8.6300000000000008</v>
      </c>
    </row>
    <row r="15512" spans="1:10" hidden="1">
      <c r="A15512" t="s">
        <v>9775</v>
      </c>
      <c r="B15512" t="s">
        <v>9776</v>
      </c>
      <c r="C15512" t="s">
        <v>6839</v>
      </c>
      <c r="D15512" t="s">
        <v>330</v>
      </c>
      <c r="E15512" t="s">
        <v>556</v>
      </c>
      <c r="F15512" t="s">
        <v>1068</v>
      </c>
      <c r="G15512" t="s">
        <v>1069</v>
      </c>
      <c r="H15512">
        <v>5.00824344328046E-2</v>
      </c>
      <c r="I15512" t="s">
        <v>1070</v>
      </c>
      <c r="J15512">
        <v>9.3000000000000007</v>
      </c>
    </row>
    <row r="15513" spans="1:10" hidden="1">
      <c r="A15513" t="s">
        <v>9775</v>
      </c>
      <c r="B15513" t="s">
        <v>9776</v>
      </c>
      <c r="C15513" t="s">
        <v>6839</v>
      </c>
      <c r="D15513" t="s">
        <v>330</v>
      </c>
      <c r="E15513" t="s">
        <v>556</v>
      </c>
      <c r="F15513" t="s">
        <v>1068</v>
      </c>
      <c r="G15513" t="s">
        <v>1071</v>
      </c>
      <c r="H15513" s="171" t="s">
        <v>9777</v>
      </c>
      <c r="I15513" t="s">
        <v>1072</v>
      </c>
      <c r="J15513">
        <v>9.3000000000000007</v>
      </c>
    </row>
    <row r="15514" spans="1:10" hidden="1">
      <c r="A15514" t="s">
        <v>9775</v>
      </c>
      <c r="B15514" t="s">
        <v>9776</v>
      </c>
      <c r="C15514" t="s">
        <v>6839</v>
      </c>
      <c r="D15514" t="s">
        <v>330</v>
      </c>
      <c r="E15514" t="s">
        <v>556</v>
      </c>
      <c r="F15514" t="s">
        <v>1068</v>
      </c>
      <c r="G15514" t="s">
        <v>1073</v>
      </c>
      <c r="H15514" s="171" t="s">
        <v>9778</v>
      </c>
      <c r="I15514" t="s">
        <v>1074</v>
      </c>
      <c r="J15514">
        <v>9.3000000000000007</v>
      </c>
    </row>
    <row r="15515" spans="1:10" hidden="1">
      <c r="A15515" t="s">
        <v>9775</v>
      </c>
      <c r="B15515" t="s">
        <v>9776</v>
      </c>
      <c r="C15515" t="s">
        <v>6839</v>
      </c>
      <c r="D15515" t="s">
        <v>330</v>
      </c>
      <c r="E15515" t="s">
        <v>556</v>
      </c>
      <c r="F15515" t="s">
        <v>1068</v>
      </c>
      <c r="G15515" t="s">
        <v>1075</v>
      </c>
      <c r="H15515" s="171" t="s">
        <v>9779</v>
      </c>
      <c r="I15515" t="s">
        <v>1077</v>
      </c>
      <c r="J15515">
        <v>9.3000000000000007</v>
      </c>
    </row>
    <row r="15516" spans="1:10" hidden="1">
      <c r="A15516" t="s">
        <v>9775</v>
      </c>
      <c r="B15516" t="s">
        <v>9776</v>
      </c>
      <c r="C15516" t="s">
        <v>6839</v>
      </c>
      <c r="D15516" t="s">
        <v>330</v>
      </c>
      <c r="E15516" t="s">
        <v>556</v>
      </c>
      <c r="F15516" t="s">
        <v>1068</v>
      </c>
      <c r="G15516" t="s">
        <v>1078</v>
      </c>
      <c r="H15516">
        <v>5.3037818157875102E-2</v>
      </c>
      <c r="I15516" t="s">
        <v>1079</v>
      </c>
      <c r="J15516">
        <v>9.3000000000000007</v>
      </c>
    </row>
    <row r="15517" spans="1:10" hidden="1">
      <c r="A15517" t="s">
        <v>9775</v>
      </c>
      <c r="B15517" t="s">
        <v>9776</v>
      </c>
      <c r="C15517" t="s">
        <v>6839</v>
      </c>
      <c r="D15517" t="s">
        <v>330</v>
      </c>
      <c r="E15517" t="s">
        <v>556</v>
      </c>
      <c r="F15517" t="s">
        <v>1068</v>
      </c>
      <c r="G15517" t="s">
        <v>1080</v>
      </c>
      <c r="H15517" s="171" t="s">
        <v>9780</v>
      </c>
      <c r="I15517" t="s">
        <v>1082</v>
      </c>
      <c r="J15517">
        <v>9.3000000000000007</v>
      </c>
    </row>
    <row r="15518" spans="1:10" hidden="1">
      <c r="A15518" t="s">
        <v>9775</v>
      </c>
      <c r="B15518" t="s">
        <v>9776</v>
      </c>
      <c r="C15518" t="s">
        <v>6839</v>
      </c>
      <c r="D15518" t="s">
        <v>330</v>
      </c>
      <c r="E15518" t="s">
        <v>556</v>
      </c>
      <c r="F15518" t="s">
        <v>1068</v>
      </c>
      <c r="G15518" t="s">
        <v>1083</v>
      </c>
      <c r="H15518" s="171" t="s">
        <v>9781</v>
      </c>
      <c r="I15518" t="s">
        <v>1084</v>
      </c>
      <c r="J15518">
        <v>9.3000000000000007</v>
      </c>
    </row>
    <row r="15519" spans="1:10" hidden="1">
      <c r="A15519" t="s">
        <v>9775</v>
      </c>
      <c r="B15519" t="s">
        <v>9776</v>
      </c>
      <c r="C15519" t="s">
        <v>6839</v>
      </c>
      <c r="D15519" t="s">
        <v>330</v>
      </c>
      <c r="E15519" t="s">
        <v>556</v>
      </c>
      <c r="F15519" t="s">
        <v>1068</v>
      </c>
      <c r="G15519" t="s">
        <v>1085</v>
      </c>
      <c r="H15519">
        <v>4.7403682645882699E-4</v>
      </c>
      <c r="I15519" t="s">
        <v>1086</v>
      </c>
      <c r="J15519">
        <v>9.3000000000000007</v>
      </c>
    </row>
    <row r="15520" spans="1:10" hidden="1">
      <c r="A15520" t="s">
        <v>9775</v>
      </c>
      <c r="B15520" t="s">
        <v>9776</v>
      </c>
      <c r="C15520" t="s">
        <v>6839</v>
      </c>
      <c r="D15520" t="s">
        <v>330</v>
      </c>
      <c r="E15520" t="s">
        <v>556</v>
      </c>
      <c r="F15520" t="s">
        <v>1068</v>
      </c>
      <c r="G15520" t="s">
        <v>1087</v>
      </c>
      <c r="H15520" s="171" t="s">
        <v>9782</v>
      </c>
      <c r="I15520" t="s">
        <v>1088</v>
      </c>
      <c r="J15520">
        <v>9.3000000000000007</v>
      </c>
    </row>
    <row r="15521" spans="1:10" hidden="1">
      <c r="A15521" t="s">
        <v>9775</v>
      </c>
      <c r="B15521" t="s">
        <v>9776</v>
      </c>
      <c r="C15521" t="s">
        <v>6839</v>
      </c>
      <c r="D15521" t="s">
        <v>330</v>
      </c>
      <c r="E15521" t="s">
        <v>556</v>
      </c>
      <c r="F15521" t="s">
        <v>1068</v>
      </c>
      <c r="G15521" t="s">
        <v>1089</v>
      </c>
      <c r="H15521">
        <v>1.4078250328554401E-4</v>
      </c>
      <c r="I15521" t="s">
        <v>1090</v>
      </c>
      <c r="J15521">
        <v>9.3000000000000007</v>
      </c>
    </row>
    <row r="15522" spans="1:10" hidden="1">
      <c r="A15522" t="s">
        <v>9783</v>
      </c>
      <c r="B15522" t="s">
        <v>9784</v>
      </c>
      <c r="C15522" t="s">
        <v>6839</v>
      </c>
      <c r="D15522" t="s">
        <v>330</v>
      </c>
      <c r="E15522" t="s">
        <v>557</v>
      </c>
      <c r="F15522" t="s">
        <v>1068</v>
      </c>
      <c r="G15522" t="s">
        <v>1069</v>
      </c>
      <c r="H15522" s="171" t="s">
        <v>9785</v>
      </c>
      <c r="I15522" t="s">
        <v>1070</v>
      </c>
      <c r="J15522">
        <v>7.81</v>
      </c>
    </row>
    <row r="15523" spans="1:10" hidden="1">
      <c r="A15523" t="s">
        <v>9783</v>
      </c>
      <c r="B15523" t="s">
        <v>9784</v>
      </c>
      <c r="C15523" t="s">
        <v>6839</v>
      </c>
      <c r="D15523" t="s">
        <v>330</v>
      </c>
      <c r="E15523" t="s">
        <v>557</v>
      </c>
      <c r="F15523" t="s">
        <v>1068</v>
      </c>
      <c r="G15523" t="s">
        <v>1071</v>
      </c>
      <c r="H15523" s="171" t="s">
        <v>9786</v>
      </c>
      <c r="I15523" t="s">
        <v>1072</v>
      </c>
      <c r="J15523">
        <v>7.81</v>
      </c>
    </row>
    <row r="15524" spans="1:10" hidden="1">
      <c r="A15524" t="s">
        <v>9783</v>
      </c>
      <c r="B15524" t="s">
        <v>9784</v>
      </c>
      <c r="C15524" t="s">
        <v>6839</v>
      </c>
      <c r="D15524" t="s">
        <v>330</v>
      </c>
      <c r="E15524" t="s">
        <v>557</v>
      </c>
      <c r="F15524" t="s">
        <v>1068</v>
      </c>
      <c r="G15524" t="s">
        <v>1073</v>
      </c>
      <c r="H15524" s="171" t="s">
        <v>9787</v>
      </c>
      <c r="I15524" t="s">
        <v>1074</v>
      </c>
      <c r="J15524">
        <v>7.81</v>
      </c>
    </row>
    <row r="15525" spans="1:10" hidden="1">
      <c r="A15525" t="s">
        <v>9783</v>
      </c>
      <c r="B15525" t="s">
        <v>9784</v>
      </c>
      <c r="C15525" t="s">
        <v>6839</v>
      </c>
      <c r="D15525" t="s">
        <v>330</v>
      </c>
      <c r="E15525" t="s">
        <v>557</v>
      </c>
      <c r="F15525" t="s">
        <v>1068</v>
      </c>
      <c r="G15525" t="s">
        <v>1075</v>
      </c>
      <c r="H15525" s="171" t="s">
        <v>9788</v>
      </c>
      <c r="I15525" t="s">
        <v>1077</v>
      </c>
      <c r="J15525">
        <v>7.81</v>
      </c>
    </row>
    <row r="15526" spans="1:10" hidden="1">
      <c r="A15526" t="s">
        <v>9783</v>
      </c>
      <c r="B15526" t="s">
        <v>9784</v>
      </c>
      <c r="C15526" t="s">
        <v>6839</v>
      </c>
      <c r="D15526" t="s">
        <v>330</v>
      </c>
      <c r="E15526" t="s">
        <v>557</v>
      </c>
      <c r="F15526" t="s">
        <v>1068</v>
      </c>
      <c r="G15526" t="s">
        <v>1078</v>
      </c>
      <c r="H15526">
        <v>5.3036423917282902E-2</v>
      </c>
      <c r="I15526" t="s">
        <v>1079</v>
      </c>
      <c r="J15526">
        <v>7.81</v>
      </c>
    </row>
    <row r="15527" spans="1:10" hidden="1">
      <c r="A15527" t="s">
        <v>9783</v>
      </c>
      <c r="B15527" t="s">
        <v>9784</v>
      </c>
      <c r="C15527" t="s">
        <v>6839</v>
      </c>
      <c r="D15527" t="s">
        <v>330</v>
      </c>
      <c r="E15527" t="s">
        <v>557</v>
      </c>
      <c r="F15527" t="s">
        <v>1068</v>
      </c>
      <c r="G15527" t="s">
        <v>1080</v>
      </c>
      <c r="H15527" s="171" t="s">
        <v>9789</v>
      </c>
      <c r="I15527" t="s">
        <v>1082</v>
      </c>
      <c r="J15527">
        <v>7.81</v>
      </c>
    </row>
    <row r="15528" spans="1:10" hidden="1">
      <c r="A15528" t="s">
        <v>9783</v>
      </c>
      <c r="B15528" t="s">
        <v>9784</v>
      </c>
      <c r="C15528" t="s">
        <v>6839</v>
      </c>
      <c r="D15528" t="s">
        <v>330</v>
      </c>
      <c r="E15528" t="s">
        <v>557</v>
      </c>
      <c r="F15528" t="s">
        <v>1068</v>
      </c>
      <c r="G15528" t="s">
        <v>1083</v>
      </c>
      <c r="H15528" s="171" t="s">
        <v>9790</v>
      </c>
      <c r="I15528" t="s">
        <v>1084</v>
      </c>
      <c r="J15528">
        <v>7.81</v>
      </c>
    </row>
    <row r="15529" spans="1:10" hidden="1">
      <c r="A15529" t="s">
        <v>9783</v>
      </c>
      <c r="B15529" t="s">
        <v>9784</v>
      </c>
      <c r="C15529" t="s">
        <v>6839</v>
      </c>
      <c r="D15529" t="s">
        <v>330</v>
      </c>
      <c r="E15529" t="s">
        <v>557</v>
      </c>
      <c r="F15529" t="s">
        <v>1068</v>
      </c>
      <c r="G15529" t="s">
        <v>1085</v>
      </c>
      <c r="H15529">
        <v>4.7403507421892499E-4</v>
      </c>
      <c r="I15529" t="s">
        <v>1086</v>
      </c>
      <c r="J15529">
        <v>7.81</v>
      </c>
    </row>
    <row r="15530" spans="1:10" hidden="1">
      <c r="A15530" t="s">
        <v>9783</v>
      </c>
      <c r="B15530" t="s">
        <v>9784</v>
      </c>
      <c r="C15530" t="s">
        <v>6839</v>
      </c>
      <c r="D15530" t="s">
        <v>330</v>
      </c>
      <c r="E15530" t="s">
        <v>557</v>
      </c>
      <c r="F15530" t="s">
        <v>1068</v>
      </c>
      <c r="G15530" t="s">
        <v>1087</v>
      </c>
      <c r="H15530" s="171" t="s">
        <v>9791</v>
      </c>
      <c r="I15530" t="s">
        <v>1088</v>
      </c>
      <c r="J15530">
        <v>7.81</v>
      </c>
    </row>
    <row r="15531" spans="1:10" hidden="1">
      <c r="A15531" t="s">
        <v>9783</v>
      </c>
      <c r="B15531" t="s">
        <v>9784</v>
      </c>
      <c r="C15531" t="s">
        <v>6839</v>
      </c>
      <c r="D15531" t="s">
        <v>330</v>
      </c>
      <c r="E15531" t="s">
        <v>557</v>
      </c>
      <c r="F15531" t="s">
        <v>1068</v>
      </c>
      <c r="G15531" t="s">
        <v>1089</v>
      </c>
      <c r="H15531">
        <v>1.4078214176119799E-4</v>
      </c>
      <c r="I15531" t="s">
        <v>1090</v>
      </c>
      <c r="J15531">
        <v>7.81</v>
      </c>
    </row>
    <row r="15532" spans="1:10" hidden="1">
      <c r="A15532" t="s">
        <v>9792</v>
      </c>
      <c r="B15532" t="s">
        <v>9793</v>
      </c>
      <c r="C15532" t="s">
        <v>6839</v>
      </c>
      <c r="D15532" t="s">
        <v>330</v>
      </c>
      <c r="E15532" t="s">
        <v>559</v>
      </c>
      <c r="F15532" t="s">
        <v>1068</v>
      </c>
      <c r="G15532" t="s">
        <v>1069</v>
      </c>
      <c r="H15532">
        <v>5.0081949284684499E-2</v>
      </c>
      <c r="I15532" t="s">
        <v>1070</v>
      </c>
      <c r="J15532">
        <v>7.54</v>
      </c>
    </row>
    <row r="15533" spans="1:10" hidden="1">
      <c r="A15533" t="s">
        <v>9792</v>
      </c>
      <c r="B15533" t="s">
        <v>9793</v>
      </c>
      <c r="C15533" t="s">
        <v>6839</v>
      </c>
      <c r="D15533" t="s">
        <v>330</v>
      </c>
      <c r="E15533" t="s">
        <v>559</v>
      </c>
      <c r="F15533" t="s">
        <v>1068</v>
      </c>
      <c r="G15533" t="s">
        <v>1071</v>
      </c>
      <c r="H15533" s="171" t="s">
        <v>9794</v>
      </c>
      <c r="I15533" t="s">
        <v>1072</v>
      </c>
      <c r="J15533">
        <v>7.54</v>
      </c>
    </row>
    <row r="15534" spans="1:10" hidden="1">
      <c r="A15534" t="s">
        <v>9792</v>
      </c>
      <c r="B15534" t="s">
        <v>9793</v>
      </c>
      <c r="C15534" t="s">
        <v>6839</v>
      </c>
      <c r="D15534" t="s">
        <v>330</v>
      </c>
      <c r="E15534" t="s">
        <v>559</v>
      </c>
      <c r="F15534" t="s">
        <v>1068</v>
      </c>
      <c r="G15534" t="s">
        <v>1073</v>
      </c>
      <c r="H15534" s="171" t="s">
        <v>9795</v>
      </c>
      <c r="I15534" t="s">
        <v>1074</v>
      </c>
      <c r="J15534">
        <v>7.54</v>
      </c>
    </row>
    <row r="15535" spans="1:10" hidden="1">
      <c r="A15535" t="s">
        <v>9792</v>
      </c>
      <c r="B15535" t="s">
        <v>9793</v>
      </c>
      <c r="C15535" t="s">
        <v>6839</v>
      </c>
      <c r="D15535" t="s">
        <v>330</v>
      </c>
      <c r="E15535" t="s">
        <v>559</v>
      </c>
      <c r="F15535" t="s">
        <v>1068</v>
      </c>
      <c r="G15535" t="s">
        <v>1075</v>
      </c>
      <c r="H15535" s="171" t="s">
        <v>9796</v>
      </c>
      <c r="I15535" t="s">
        <v>1077</v>
      </c>
      <c r="J15535">
        <v>7.54</v>
      </c>
    </row>
    <row r="15536" spans="1:10" hidden="1">
      <c r="A15536" t="s">
        <v>9792</v>
      </c>
      <c r="B15536" t="s">
        <v>9793</v>
      </c>
      <c r="C15536" t="s">
        <v>6839</v>
      </c>
      <c r="D15536" t="s">
        <v>330</v>
      </c>
      <c r="E15536" t="s">
        <v>559</v>
      </c>
      <c r="F15536" t="s">
        <v>1068</v>
      </c>
      <c r="G15536" t="s">
        <v>1078</v>
      </c>
      <c r="H15536">
        <v>5.3037154967916597E-2</v>
      </c>
      <c r="I15536" t="s">
        <v>1079</v>
      </c>
      <c r="J15536">
        <v>7.54</v>
      </c>
    </row>
    <row r="15537" spans="1:10" hidden="1">
      <c r="A15537" t="s">
        <v>9792</v>
      </c>
      <c r="B15537" t="s">
        <v>9793</v>
      </c>
      <c r="C15537" t="s">
        <v>6839</v>
      </c>
      <c r="D15537" t="s">
        <v>330</v>
      </c>
      <c r="E15537" t="s">
        <v>559</v>
      </c>
      <c r="F15537" t="s">
        <v>1068</v>
      </c>
      <c r="G15537" t="s">
        <v>1080</v>
      </c>
      <c r="H15537" s="171" t="s">
        <v>9797</v>
      </c>
      <c r="I15537" t="s">
        <v>1082</v>
      </c>
      <c r="J15537">
        <v>7.54</v>
      </c>
    </row>
    <row r="15538" spans="1:10" hidden="1">
      <c r="A15538" t="s">
        <v>9792</v>
      </c>
      <c r="B15538" t="s">
        <v>9793</v>
      </c>
      <c r="C15538" t="s">
        <v>6839</v>
      </c>
      <c r="D15538" t="s">
        <v>330</v>
      </c>
      <c r="E15538" t="s">
        <v>559</v>
      </c>
      <c r="F15538" t="s">
        <v>1068</v>
      </c>
      <c r="G15538" t="s">
        <v>1083</v>
      </c>
      <c r="H15538" s="171" t="s">
        <v>9798</v>
      </c>
      <c r="I15538" t="s">
        <v>1084</v>
      </c>
      <c r="J15538">
        <v>7.54</v>
      </c>
    </row>
    <row r="15539" spans="1:10" hidden="1">
      <c r="A15539" t="s">
        <v>9792</v>
      </c>
      <c r="B15539" t="s">
        <v>9793</v>
      </c>
      <c r="C15539" t="s">
        <v>6839</v>
      </c>
      <c r="D15539" t="s">
        <v>330</v>
      </c>
      <c r="E15539" t="s">
        <v>559</v>
      </c>
      <c r="F15539" t="s">
        <v>1068</v>
      </c>
      <c r="G15539" t="s">
        <v>1085</v>
      </c>
      <c r="H15539">
        <v>4.7403599301521897E-4</v>
      </c>
      <c r="I15539" t="s">
        <v>1086</v>
      </c>
      <c r="J15539">
        <v>7.54</v>
      </c>
    </row>
    <row r="15540" spans="1:10" hidden="1">
      <c r="A15540" t="s">
        <v>9792</v>
      </c>
      <c r="B15540" t="s">
        <v>9793</v>
      </c>
      <c r="C15540" t="s">
        <v>6839</v>
      </c>
      <c r="D15540" t="s">
        <v>330</v>
      </c>
      <c r="E15540" t="s">
        <v>559</v>
      </c>
      <c r="F15540" t="s">
        <v>1068</v>
      </c>
      <c r="G15540" t="s">
        <v>1087</v>
      </c>
      <c r="H15540" s="171" t="s">
        <v>9799</v>
      </c>
      <c r="I15540" t="s">
        <v>1088</v>
      </c>
      <c r="J15540">
        <v>7.54</v>
      </c>
    </row>
    <row r="15541" spans="1:10" hidden="1">
      <c r="A15541" t="s">
        <v>9792</v>
      </c>
      <c r="B15541" t="s">
        <v>9793</v>
      </c>
      <c r="C15541" t="s">
        <v>6839</v>
      </c>
      <c r="D15541" t="s">
        <v>330</v>
      </c>
      <c r="E15541" t="s">
        <v>559</v>
      </c>
      <c r="F15541" t="s">
        <v>1068</v>
      </c>
      <c r="G15541" t="s">
        <v>1089</v>
      </c>
      <c r="H15541">
        <v>1.40782331347773E-4</v>
      </c>
      <c r="I15541" t="s">
        <v>1090</v>
      </c>
      <c r="J15541">
        <v>7.54</v>
      </c>
    </row>
    <row r="15542" spans="1:10" hidden="1">
      <c r="A15542" t="s">
        <v>9800</v>
      </c>
      <c r="B15542" t="s">
        <v>9801</v>
      </c>
      <c r="C15542" t="s">
        <v>6839</v>
      </c>
      <c r="D15542" t="s">
        <v>330</v>
      </c>
      <c r="E15542" t="s">
        <v>560</v>
      </c>
      <c r="F15542" t="s">
        <v>1068</v>
      </c>
      <c r="G15542" t="s">
        <v>1069</v>
      </c>
      <c r="H15542">
        <v>5.00809619573932E-2</v>
      </c>
      <c r="I15542" t="s">
        <v>1070</v>
      </c>
      <c r="J15542">
        <v>8.3000000000000007</v>
      </c>
    </row>
    <row r="15543" spans="1:10" hidden="1">
      <c r="A15543" t="s">
        <v>9800</v>
      </c>
      <c r="B15543" t="s">
        <v>9801</v>
      </c>
      <c r="C15543" t="s">
        <v>6839</v>
      </c>
      <c r="D15543" t="s">
        <v>330</v>
      </c>
      <c r="E15543" t="s">
        <v>560</v>
      </c>
      <c r="F15543" t="s">
        <v>1068</v>
      </c>
      <c r="G15543" t="s">
        <v>1071</v>
      </c>
      <c r="H15543" s="171" t="s">
        <v>9802</v>
      </c>
      <c r="I15543" t="s">
        <v>1072</v>
      </c>
      <c r="J15543">
        <v>8.3000000000000007</v>
      </c>
    </row>
    <row r="15544" spans="1:10" hidden="1">
      <c r="A15544" t="s">
        <v>9800</v>
      </c>
      <c r="B15544" t="s">
        <v>9801</v>
      </c>
      <c r="C15544" t="s">
        <v>6839</v>
      </c>
      <c r="D15544" t="s">
        <v>330</v>
      </c>
      <c r="E15544" t="s">
        <v>560</v>
      </c>
      <c r="F15544" t="s">
        <v>1068</v>
      </c>
      <c r="G15544" t="s">
        <v>1073</v>
      </c>
      <c r="H15544" s="171" t="s">
        <v>9803</v>
      </c>
      <c r="I15544" t="s">
        <v>1074</v>
      </c>
      <c r="J15544">
        <v>8.3000000000000007</v>
      </c>
    </row>
    <row r="15545" spans="1:10" hidden="1">
      <c r="A15545" t="s">
        <v>9800</v>
      </c>
      <c r="B15545" t="s">
        <v>9801</v>
      </c>
      <c r="C15545" t="s">
        <v>6839</v>
      </c>
      <c r="D15545" t="s">
        <v>330</v>
      </c>
      <c r="E15545" t="s">
        <v>560</v>
      </c>
      <c r="F15545" t="s">
        <v>1068</v>
      </c>
      <c r="G15545" t="s">
        <v>1075</v>
      </c>
      <c r="H15545" s="171" t="s">
        <v>9804</v>
      </c>
      <c r="I15545" t="s">
        <v>1077</v>
      </c>
      <c r="J15545">
        <v>8.3000000000000007</v>
      </c>
    </row>
    <row r="15546" spans="1:10" hidden="1">
      <c r="A15546" t="s">
        <v>9800</v>
      </c>
      <c r="B15546" t="s">
        <v>9801</v>
      </c>
      <c r="C15546" t="s">
        <v>6839</v>
      </c>
      <c r="D15546" t="s">
        <v>330</v>
      </c>
      <c r="E15546" t="s">
        <v>560</v>
      </c>
      <c r="F15546" t="s">
        <v>1068</v>
      </c>
      <c r="G15546" t="s">
        <v>1078</v>
      </c>
      <c r="H15546">
        <v>5.3036830153930299E-2</v>
      </c>
      <c r="I15546" t="s">
        <v>1079</v>
      </c>
      <c r="J15546">
        <v>8.3000000000000007</v>
      </c>
    </row>
    <row r="15547" spans="1:10" hidden="1">
      <c r="A15547" t="s">
        <v>9800</v>
      </c>
      <c r="B15547" t="s">
        <v>9801</v>
      </c>
      <c r="C15547" t="s">
        <v>6839</v>
      </c>
      <c r="D15547" t="s">
        <v>330</v>
      </c>
      <c r="E15547" t="s">
        <v>560</v>
      </c>
      <c r="F15547" t="s">
        <v>1068</v>
      </c>
      <c r="G15547" t="s">
        <v>1080</v>
      </c>
      <c r="H15547" s="171" t="s">
        <v>9805</v>
      </c>
      <c r="I15547" t="s">
        <v>1082</v>
      </c>
      <c r="J15547">
        <v>8.3000000000000007</v>
      </c>
    </row>
    <row r="15548" spans="1:10" hidden="1">
      <c r="A15548" t="s">
        <v>9800</v>
      </c>
      <c r="B15548" t="s">
        <v>9801</v>
      </c>
      <c r="C15548" t="s">
        <v>6839</v>
      </c>
      <c r="D15548" t="s">
        <v>330</v>
      </c>
      <c r="E15548" t="s">
        <v>560</v>
      </c>
      <c r="F15548" t="s">
        <v>1068</v>
      </c>
      <c r="G15548" t="s">
        <v>1083</v>
      </c>
      <c r="H15548" s="171" t="s">
        <v>9806</v>
      </c>
      <c r="I15548" t="s">
        <v>1084</v>
      </c>
      <c r="J15548">
        <v>8.3000000000000007</v>
      </c>
    </row>
    <row r="15549" spans="1:10" hidden="1">
      <c r="A15549" t="s">
        <v>9800</v>
      </c>
      <c r="B15549" t="s">
        <v>9801</v>
      </c>
      <c r="C15549" t="s">
        <v>6839</v>
      </c>
      <c r="D15549" t="s">
        <v>330</v>
      </c>
      <c r="E15549" t="s">
        <v>560</v>
      </c>
      <c r="F15549" t="s">
        <v>1068</v>
      </c>
      <c r="G15549" t="s">
        <v>1085</v>
      </c>
      <c r="H15549">
        <v>4.7403558474435199E-4</v>
      </c>
      <c r="I15549" t="s">
        <v>1086</v>
      </c>
      <c r="J15549">
        <v>8.3000000000000007</v>
      </c>
    </row>
    <row r="15550" spans="1:10" hidden="1">
      <c r="A15550" t="s">
        <v>9800</v>
      </c>
      <c r="B15550" t="s">
        <v>9801</v>
      </c>
      <c r="C15550" t="s">
        <v>6839</v>
      </c>
      <c r="D15550" t="s">
        <v>330</v>
      </c>
      <c r="E15550" t="s">
        <v>560</v>
      </c>
      <c r="F15550" t="s">
        <v>1068</v>
      </c>
      <c r="G15550" t="s">
        <v>1087</v>
      </c>
      <c r="H15550" s="171" t="s">
        <v>9807</v>
      </c>
      <c r="I15550" t="s">
        <v>1088</v>
      </c>
      <c r="J15550">
        <v>8.3000000000000007</v>
      </c>
    </row>
    <row r="15551" spans="1:10" hidden="1">
      <c r="A15551" t="s">
        <v>9800</v>
      </c>
      <c r="B15551" t="s">
        <v>9801</v>
      </c>
      <c r="C15551" t="s">
        <v>6839</v>
      </c>
      <c r="D15551" t="s">
        <v>330</v>
      </c>
      <c r="E15551" t="s">
        <v>560</v>
      </c>
      <c r="F15551" t="s">
        <v>1068</v>
      </c>
      <c r="G15551" t="s">
        <v>1089</v>
      </c>
      <c r="H15551">
        <v>1.40782247081585E-4</v>
      </c>
      <c r="I15551" t="s">
        <v>1090</v>
      </c>
      <c r="J15551">
        <v>8.3000000000000007</v>
      </c>
    </row>
    <row r="15552" spans="1:10" hidden="1">
      <c r="A15552" t="s">
        <v>9808</v>
      </c>
      <c r="B15552" t="s">
        <v>9809</v>
      </c>
      <c r="C15552" t="s">
        <v>6839</v>
      </c>
      <c r="D15552" t="s">
        <v>330</v>
      </c>
      <c r="E15552" t="s">
        <v>1116</v>
      </c>
      <c r="F15552" t="s">
        <v>1068</v>
      </c>
      <c r="G15552" t="s">
        <v>1069</v>
      </c>
      <c r="H15552" s="171" t="s">
        <v>9810</v>
      </c>
      <c r="I15552" t="s">
        <v>1070</v>
      </c>
      <c r="J15552">
        <v>7.53</v>
      </c>
    </row>
    <row r="15553" spans="1:10" hidden="1">
      <c r="A15553" t="s">
        <v>9808</v>
      </c>
      <c r="B15553" t="s">
        <v>9809</v>
      </c>
      <c r="C15553" t="s">
        <v>6839</v>
      </c>
      <c r="D15553" t="s">
        <v>330</v>
      </c>
      <c r="E15553" t="s">
        <v>1116</v>
      </c>
      <c r="F15553" t="s">
        <v>1068</v>
      </c>
      <c r="G15553" t="s">
        <v>1071</v>
      </c>
      <c r="H15553" s="171" t="s">
        <v>9811</v>
      </c>
      <c r="I15553" t="s">
        <v>1072</v>
      </c>
      <c r="J15553">
        <v>7.53</v>
      </c>
    </row>
    <row r="15554" spans="1:10" hidden="1">
      <c r="A15554" t="s">
        <v>9808</v>
      </c>
      <c r="B15554" t="s">
        <v>9809</v>
      </c>
      <c r="C15554" t="s">
        <v>6839</v>
      </c>
      <c r="D15554" t="s">
        <v>330</v>
      </c>
      <c r="E15554" t="s">
        <v>1116</v>
      </c>
      <c r="F15554" t="s">
        <v>1068</v>
      </c>
      <c r="G15554" t="s">
        <v>1073</v>
      </c>
      <c r="H15554" s="171" t="s">
        <v>9812</v>
      </c>
      <c r="I15554" t="s">
        <v>1074</v>
      </c>
      <c r="J15554">
        <v>7.53</v>
      </c>
    </row>
    <row r="15555" spans="1:10" hidden="1">
      <c r="A15555" t="s">
        <v>9808</v>
      </c>
      <c r="B15555" t="s">
        <v>9809</v>
      </c>
      <c r="C15555" t="s">
        <v>6839</v>
      </c>
      <c r="D15555" t="s">
        <v>330</v>
      </c>
      <c r="E15555" t="s">
        <v>1116</v>
      </c>
      <c r="F15555" t="s">
        <v>1068</v>
      </c>
      <c r="G15555" t="s">
        <v>1075</v>
      </c>
      <c r="H15555" s="171" t="s">
        <v>9813</v>
      </c>
      <c r="I15555" t="s">
        <v>1077</v>
      </c>
      <c r="J15555">
        <v>7.53</v>
      </c>
    </row>
    <row r="15556" spans="1:10" hidden="1">
      <c r="A15556" t="s">
        <v>9808</v>
      </c>
      <c r="B15556" t="s">
        <v>9809</v>
      </c>
      <c r="C15556" t="s">
        <v>6839</v>
      </c>
      <c r="D15556" t="s">
        <v>330</v>
      </c>
      <c r="E15556" t="s">
        <v>1116</v>
      </c>
      <c r="F15556" t="s">
        <v>1068</v>
      </c>
      <c r="G15556" t="s">
        <v>1078</v>
      </c>
      <c r="H15556">
        <v>5.30355971848522E-2</v>
      </c>
      <c r="I15556" t="s">
        <v>1079</v>
      </c>
      <c r="J15556">
        <v>7.53</v>
      </c>
    </row>
    <row r="15557" spans="1:10" hidden="1">
      <c r="A15557" t="s">
        <v>9808</v>
      </c>
      <c r="B15557" t="s">
        <v>9809</v>
      </c>
      <c r="C15557" t="s">
        <v>6839</v>
      </c>
      <c r="D15557" t="s">
        <v>330</v>
      </c>
      <c r="E15557" t="s">
        <v>1116</v>
      </c>
      <c r="F15557" t="s">
        <v>1068</v>
      </c>
      <c r="G15557" t="s">
        <v>1080</v>
      </c>
      <c r="H15557" s="171" t="s">
        <v>9814</v>
      </c>
      <c r="I15557" t="s">
        <v>1082</v>
      </c>
      <c r="J15557">
        <v>7.53</v>
      </c>
    </row>
    <row r="15558" spans="1:10" hidden="1">
      <c r="A15558" t="s">
        <v>9808</v>
      </c>
      <c r="B15558" t="s">
        <v>9809</v>
      </c>
      <c r="C15558" t="s">
        <v>6839</v>
      </c>
      <c r="D15558" t="s">
        <v>330</v>
      </c>
      <c r="E15558" t="s">
        <v>1116</v>
      </c>
      <c r="F15558" t="s">
        <v>1068</v>
      </c>
      <c r="G15558" t="s">
        <v>1083</v>
      </c>
      <c r="H15558" s="171" t="s">
        <v>9815</v>
      </c>
      <c r="I15558" t="s">
        <v>1084</v>
      </c>
      <c r="J15558">
        <v>7.53</v>
      </c>
    </row>
    <row r="15559" spans="1:10" hidden="1">
      <c r="A15559" t="s">
        <v>9808</v>
      </c>
      <c r="B15559" t="s">
        <v>9809</v>
      </c>
      <c r="C15559" t="s">
        <v>6839</v>
      </c>
      <c r="D15559" t="s">
        <v>330</v>
      </c>
      <c r="E15559" t="s">
        <v>1116</v>
      </c>
      <c r="F15559" t="s">
        <v>1068</v>
      </c>
      <c r="G15559" t="s">
        <v>1085</v>
      </c>
      <c r="H15559">
        <v>4.7403403524834002E-4</v>
      </c>
      <c r="I15559" t="s">
        <v>1086</v>
      </c>
      <c r="J15559">
        <v>7.53</v>
      </c>
    </row>
    <row r="15560" spans="1:10" hidden="1">
      <c r="A15560" t="s">
        <v>9808</v>
      </c>
      <c r="B15560" t="s">
        <v>9809</v>
      </c>
      <c r="C15560" t="s">
        <v>6839</v>
      </c>
      <c r="D15560" t="s">
        <v>330</v>
      </c>
      <c r="E15560" t="s">
        <v>1116</v>
      </c>
      <c r="F15560" t="s">
        <v>1068</v>
      </c>
      <c r="G15560" t="s">
        <v>1087</v>
      </c>
      <c r="H15560" s="171" t="s">
        <v>9816</v>
      </c>
      <c r="I15560" t="s">
        <v>1088</v>
      </c>
      <c r="J15560">
        <v>7.53</v>
      </c>
    </row>
    <row r="15561" spans="1:10" hidden="1">
      <c r="A15561" t="s">
        <v>9808</v>
      </c>
      <c r="B15561" t="s">
        <v>9809</v>
      </c>
      <c r="C15561" t="s">
        <v>6839</v>
      </c>
      <c r="D15561" t="s">
        <v>330</v>
      </c>
      <c r="E15561" t="s">
        <v>1116</v>
      </c>
      <c r="F15561" t="s">
        <v>1068</v>
      </c>
      <c r="G15561" t="s">
        <v>1089</v>
      </c>
      <c r="H15561">
        <v>1.40781927423618E-4</v>
      </c>
      <c r="I15561" t="s">
        <v>1090</v>
      </c>
      <c r="J15561">
        <v>7.53</v>
      </c>
    </row>
    <row r="15562" spans="1:10" hidden="1">
      <c r="A15562" t="s">
        <v>9817</v>
      </c>
      <c r="B15562" t="s">
        <v>9818</v>
      </c>
      <c r="C15562" t="s">
        <v>6839</v>
      </c>
      <c r="D15562" t="s">
        <v>1601</v>
      </c>
      <c r="E15562" t="s">
        <v>561</v>
      </c>
      <c r="F15562" t="s">
        <v>1068</v>
      </c>
      <c r="G15562" t="s">
        <v>1069</v>
      </c>
      <c r="H15562" s="171" t="s">
        <v>9819</v>
      </c>
      <c r="I15562" t="s">
        <v>1070</v>
      </c>
      <c r="J15562">
        <v>8.17</v>
      </c>
    </row>
    <row r="15563" spans="1:10" hidden="1">
      <c r="A15563" t="s">
        <v>9817</v>
      </c>
      <c r="B15563" t="s">
        <v>9818</v>
      </c>
      <c r="C15563" t="s">
        <v>6839</v>
      </c>
      <c r="D15563" t="s">
        <v>1601</v>
      </c>
      <c r="E15563" t="s">
        <v>561</v>
      </c>
      <c r="F15563" t="s">
        <v>1068</v>
      </c>
      <c r="G15563" t="s">
        <v>1071</v>
      </c>
      <c r="H15563" s="171" t="s">
        <v>9820</v>
      </c>
      <c r="I15563" t="s">
        <v>1072</v>
      </c>
      <c r="J15563">
        <v>8.17</v>
      </c>
    </row>
    <row r="15564" spans="1:10" hidden="1">
      <c r="A15564" t="s">
        <v>9817</v>
      </c>
      <c r="B15564" t="s">
        <v>9818</v>
      </c>
      <c r="C15564" t="s">
        <v>6839</v>
      </c>
      <c r="D15564" t="s">
        <v>1601</v>
      </c>
      <c r="E15564" t="s">
        <v>561</v>
      </c>
      <c r="F15564" t="s">
        <v>1068</v>
      </c>
      <c r="G15564" t="s">
        <v>1073</v>
      </c>
      <c r="H15564" s="171" t="s">
        <v>9821</v>
      </c>
      <c r="I15564" t="s">
        <v>1074</v>
      </c>
      <c r="J15564">
        <v>8.17</v>
      </c>
    </row>
    <row r="15565" spans="1:10" hidden="1">
      <c r="A15565" t="s">
        <v>9817</v>
      </c>
      <c r="B15565" t="s">
        <v>9818</v>
      </c>
      <c r="C15565" t="s">
        <v>6839</v>
      </c>
      <c r="D15565" t="s">
        <v>1601</v>
      </c>
      <c r="E15565" t="s">
        <v>561</v>
      </c>
      <c r="F15565" t="s">
        <v>1068</v>
      </c>
      <c r="G15565" t="s">
        <v>1075</v>
      </c>
      <c r="H15565" s="171" t="s">
        <v>9822</v>
      </c>
      <c r="I15565" t="s">
        <v>1077</v>
      </c>
      <c r="J15565">
        <v>8.17</v>
      </c>
    </row>
    <row r="15566" spans="1:10" hidden="1">
      <c r="A15566" t="s">
        <v>9817</v>
      </c>
      <c r="B15566" t="s">
        <v>9818</v>
      </c>
      <c r="C15566" t="s">
        <v>6839</v>
      </c>
      <c r="D15566" t="s">
        <v>1601</v>
      </c>
      <c r="E15566" t="s">
        <v>561</v>
      </c>
      <c r="F15566" t="s">
        <v>1068</v>
      </c>
      <c r="G15566" t="s">
        <v>1078</v>
      </c>
      <c r="H15566">
        <v>3.2207250248134998E-2</v>
      </c>
      <c r="I15566" t="s">
        <v>1079</v>
      </c>
      <c r="J15566">
        <v>8.17</v>
      </c>
    </row>
    <row r="15567" spans="1:10" hidden="1">
      <c r="A15567" t="s">
        <v>9817</v>
      </c>
      <c r="B15567" t="s">
        <v>9818</v>
      </c>
      <c r="C15567" t="s">
        <v>6839</v>
      </c>
      <c r="D15567" t="s">
        <v>1601</v>
      </c>
      <c r="E15567" t="s">
        <v>561</v>
      </c>
      <c r="F15567" t="s">
        <v>1068</v>
      </c>
      <c r="G15567" t="s">
        <v>1080</v>
      </c>
      <c r="H15567" s="171" t="s">
        <v>9823</v>
      </c>
      <c r="I15567" t="s">
        <v>1082</v>
      </c>
      <c r="J15567">
        <v>8.17</v>
      </c>
    </row>
    <row r="15568" spans="1:10" hidden="1">
      <c r="A15568" t="s">
        <v>9817</v>
      </c>
      <c r="B15568" t="s">
        <v>9818</v>
      </c>
      <c r="C15568" t="s">
        <v>6839</v>
      </c>
      <c r="D15568" t="s">
        <v>1601</v>
      </c>
      <c r="E15568" t="s">
        <v>561</v>
      </c>
      <c r="F15568" t="s">
        <v>1068</v>
      </c>
      <c r="G15568" t="s">
        <v>1083</v>
      </c>
      <c r="H15568" s="171" t="s">
        <v>9824</v>
      </c>
      <c r="I15568" t="s">
        <v>1084</v>
      </c>
      <c r="J15568">
        <v>8.17</v>
      </c>
    </row>
    <row r="15569" spans="1:10" hidden="1">
      <c r="A15569" t="s">
        <v>9817</v>
      </c>
      <c r="B15569" t="s">
        <v>9818</v>
      </c>
      <c r="C15569" t="s">
        <v>6839</v>
      </c>
      <c r="D15569" t="s">
        <v>1601</v>
      </c>
      <c r="E15569" t="s">
        <v>561</v>
      </c>
      <c r="F15569" t="s">
        <v>1068</v>
      </c>
      <c r="G15569" t="s">
        <v>1085</v>
      </c>
      <c r="H15569">
        <v>4.8895949525354799E-4</v>
      </c>
      <c r="I15569" t="s">
        <v>1086</v>
      </c>
      <c r="J15569">
        <v>8.17</v>
      </c>
    </row>
    <row r="15570" spans="1:10" hidden="1">
      <c r="A15570" t="s">
        <v>9817</v>
      </c>
      <c r="B15570" t="s">
        <v>9818</v>
      </c>
      <c r="C15570" t="s">
        <v>6839</v>
      </c>
      <c r="D15570" t="s">
        <v>1601</v>
      </c>
      <c r="E15570" t="s">
        <v>561</v>
      </c>
      <c r="F15570" t="s">
        <v>1068</v>
      </c>
      <c r="G15570" t="s">
        <v>1087</v>
      </c>
      <c r="H15570" s="171" t="s">
        <v>9825</v>
      </c>
      <c r="I15570" t="s">
        <v>1088</v>
      </c>
      <c r="J15570">
        <v>8.17</v>
      </c>
    </row>
    <row r="15571" spans="1:10" hidden="1">
      <c r="A15571" t="s">
        <v>9817</v>
      </c>
      <c r="B15571" t="s">
        <v>9818</v>
      </c>
      <c r="C15571" t="s">
        <v>6839</v>
      </c>
      <c r="D15571" t="s">
        <v>1601</v>
      </c>
      <c r="E15571" t="s">
        <v>561</v>
      </c>
      <c r="F15571" t="s">
        <v>1068</v>
      </c>
      <c r="G15571" t="s">
        <v>1089</v>
      </c>
      <c r="H15571">
        <v>1.45784453241075E-4</v>
      </c>
      <c r="I15571" t="s">
        <v>1090</v>
      </c>
      <c r="J15571">
        <v>8.17</v>
      </c>
    </row>
    <row r="15572" spans="1:10" hidden="1">
      <c r="A15572" t="s">
        <v>9826</v>
      </c>
      <c r="B15572" t="s">
        <v>9827</v>
      </c>
      <c r="C15572" t="s">
        <v>6839</v>
      </c>
      <c r="D15572" t="s">
        <v>1601</v>
      </c>
      <c r="E15572" t="s">
        <v>555</v>
      </c>
      <c r="F15572" t="s">
        <v>1068</v>
      </c>
      <c r="G15572" t="s">
        <v>1069</v>
      </c>
      <c r="H15572">
        <v>5.78861065049135E-2</v>
      </c>
      <c r="I15572" t="s">
        <v>1070</v>
      </c>
      <c r="J15572">
        <v>8.8000000000000007</v>
      </c>
    </row>
    <row r="15573" spans="1:10" hidden="1">
      <c r="A15573" t="s">
        <v>9826</v>
      </c>
      <c r="B15573" t="s">
        <v>9827</v>
      </c>
      <c r="C15573" t="s">
        <v>6839</v>
      </c>
      <c r="D15573" t="s">
        <v>1601</v>
      </c>
      <c r="E15573" t="s">
        <v>555</v>
      </c>
      <c r="F15573" t="s">
        <v>1068</v>
      </c>
      <c r="G15573" t="s">
        <v>1071</v>
      </c>
      <c r="H15573" s="171" t="s">
        <v>9828</v>
      </c>
      <c r="I15573" t="s">
        <v>1072</v>
      </c>
      <c r="J15573">
        <v>8.8000000000000007</v>
      </c>
    </row>
    <row r="15574" spans="1:10" hidden="1">
      <c r="A15574" t="s">
        <v>9826</v>
      </c>
      <c r="B15574" t="s">
        <v>9827</v>
      </c>
      <c r="C15574" t="s">
        <v>6839</v>
      </c>
      <c r="D15574" t="s">
        <v>1601</v>
      </c>
      <c r="E15574" t="s">
        <v>555</v>
      </c>
      <c r="F15574" t="s">
        <v>1068</v>
      </c>
      <c r="G15574" t="s">
        <v>1073</v>
      </c>
      <c r="H15574" s="171" t="s">
        <v>9829</v>
      </c>
      <c r="I15574" t="s">
        <v>1074</v>
      </c>
      <c r="J15574">
        <v>8.8000000000000007</v>
      </c>
    </row>
    <row r="15575" spans="1:10" hidden="1">
      <c r="A15575" t="s">
        <v>9826</v>
      </c>
      <c r="B15575" t="s">
        <v>9827</v>
      </c>
      <c r="C15575" t="s">
        <v>6839</v>
      </c>
      <c r="D15575" t="s">
        <v>1601</v>
      </c>
      <c r="E15575" t="s">
        <v>555</v>
      </c>
      <c r="F15575" t="s">
        <v>1068</v>
      </c>
      <c r="G15575" t="s">
        <v>1075</v>
      </c>
      <c r="H15575">
        <v>1.33386349275518E-2</v>
      </c>
      <c r="I15575" t="s">
        <v>1077</v>
      </c>
      <c r="J15575">
        <v>8.8000000000000007</v>
      </c>
    </row>
    <row r="15576" spans="1:10" hidden="1">
      <c r="A15576" t="s">
        <v>9826</v>
      </c>
      <c r="B15576" t="s">
        <v>9827</v>
      </c>
      <c r="C15576" t="s">
        <v>6839</v>
      </c>
      <c r="D15576" t="s">
        <v>1601</v>
      </c>
      <c r="E15576" t="s">
        <v>555</v>
      </c>
      <c r="F15576" t="s">
        <v>1068</v>
      </c>
      <c r="G15576" t="s">
        <v>1078</v>
      </c>
      <c r="H15576" s="171" t="s">
        <v>9830</v>
      </c>
      <c r="I15576" t="s">
        <v>1079</v>
      </c>
      <c r="J15576">
        <v>8.8000000000000007</v>
      </c>
    </row>
    <row r="15577" spans="1:10" hidden="1">
      <c r="A15577" t="s">
        <v>9826</v>
      </c>
      <c r="B15577" t="s">
        <v>9827</v>
      </c>
      <c r="C15577" t="s">
        <v>6839</v>
      </c>
      <c r="D15577" t="s">
        <v>1601</v>
      </c>
      <c r="E15577" t="s">
        <v>555</v>
      </c>
      <c r="F15577" t="s">
        <v>1068</v>
      </c>
      <c r="G15577" t="s">
        <v>1080</v>
      </c>
      <c r="H15577" s="171" t="s">
        <v>9831</v>
      </c>
      <c r="I15577" t="s">
        <v>1082</v>
      </c>
      <c r="J15577">
        <v>8.8000000000000007</v>
      </c>
    </row>
    <row r="15578" spans="1:10" hidden="1">
      <c r="A15578" t="s">
        <v>9826</v>
      </c>
      <c r="B15578" t="s">
        <v>9827</v>
      </c>
      <c r="C15578" t="s">
        <v>6839</v>
      </c>
      <c r="D15578" t="s">
        <v>1601</v>
      </c>
      <c r="E15578" t="s">
        <v>555</v>
      </c>
      <c r="F15578" t="s">
        <v>1068</v>
      </c>
      <c r="G15578" t="s">
        <v>1083</v>
      </c>
      <c r="H15578" s="171" t="s">
        <v>9832</v>
      </c>
      <c r="I15578" t="s">
        <v>1084</v>
      </c>
      <c r="J15578">
        <v>8.8000000000000007</v>
      </c>
    </row>
    <row r="15579" spans="1:10" hidden="1">
      <c r="A15579" t="s">
        <v>9826</v>
      </c>
      <c r="B15579" t="s">
        <v>9827</v>
      </c>
      <c r="C15579" t="s">
        <v>6839</v>
      </c>
      <c r="D15579" t="s">
        <v>1601</v>
      </c>
      <c r="E15579" t="s">
        <v>555</v>
      </c>
      <c r="F15579" t="s">
        <v>1068</v>
      </c>
      <c r="G15579" t="s">
        <v>1085</v>
      </c>
      <c r="H15579">
        <v>4.8896511009622495E-4</v>
      </c>
      <c r="I15579" t="s">
        <v>1086</v>
      </c>
      <c r="J15579">
        <v>8.8000000000000007</v>
      </c>
    </row>
    <row r="15580" spans="1:10" hidden="1">
      <c r="A15580" t="s">
        <v>9826</v>
      </c>
      <c r="B15580" t="s">
        <v>9827</v>
      </c>
      <c r="C15580" t="s">
        <v>6839</v>
      </c>
      <c r="D15580" t="s">
        <v>1601</v>
      </c>
      <c r="E15580" t="s">
        <v>555</v>
      </c>
      <c r="F15580" t="s">
        <v>1068</v>
      </c>
      <c r="G15580" t="s">
        <v>1087</v>
      </c>
      <c r="H15580" s="171" t="s">
        <v>9833</v>
      </c>
      <c r="I15580" t="s">
        <v>1088</v>
      </c>
      <c r="J15580">
        <v>8.8000000000000007</v>
      </c>
    </row>
    <row r="15581" spans="1:10" hidden="1">
      <c r="A15581" t="s">
        <v>9826</v>
      </c>
      <c r="B15581" t="s">
        <v>9827</v>
      </c>
      <c r="C15581" t="s">
        <v>6839</v>
      </c>
      <c r="D15581" t="s">
        <v>1601</v>
      </c>
      <c r="E15581" t="s">
        <v>555</v>
      </c>
      <c r="F15581" t="s">
        <v>1068</v>
      </c>
      <c r="G15581" t="s">
        <v>1089</v>
      </c>
      <c r="H15581">
        <v>1.4578561165407399E-4</v>
      </c>
      <c r="I15581" t="s">
        <v>1090</v>
      </c>
      <c r="J15581">
        <v>8.8000000000000007</v>
      </c>
    </row>
    <row r="15582" spans="1:10" hidden="1">
      <c r="A15582" t="s">
        <v>9834</v>
      </c>
      <c r="B15582" t="s">
        <v>9835</v>
      </c>
      <c r="C15582" t="s">
        <v>6839</v>
      </c>
      <c r="D15582" t="s">
        <v>1601</v>
      </c>
      <c r="E15582" t="s">
        <v>558</v>
      </c>
      <c r="F15582" t="s">
        <v>1068</v>
      </c>
      <c r="G15582" t="s">
        <v>1069</v>
      </c>
      <c r="H15582">
        <v>5.7881053854537803E-2</v>
      </c>
      <c r="I15582" t="s">
        <v>1070</v>
      </c>
      <c r="J15582">
        <v>8.85</v>
      </c>
    </row>
    <row r="15583" spans="1:10" hidden="1">
      <c r="A15583" t="s">
        <v>9834</v>
      </c>
      <c r="B15583" t="s">
        <v>9835</v>
      </c>
      <c r="C15583" t="s">
        <v>6839</v>
      </c>
      <c r="D15583" t="s">
        <v>1601</v>
      </c>
      <c r="E15583" t="s">
        <v>558</v>
      </c>
      <c r="F15583" t="s">
        <v>1068</v>
      </c>
      <c r="G15583" t="s">
        <v>1071</v>
      </c>
      <c r="H15583" s="171" t="s">
        <v>9836</v>
      </c>
      <c r="I15583" t="s">
        <v>1072</v>
      </c>
      <c r="J15583">
        <v>8.85</v>
      </c>
    </row>
    <row r="15584" spans="1:10" hidden="1">
      <c r="A15584" t="s">
        <v>9834</v>
      </c>
      <c r="B15584" t="s">
        <v>9835</v>
      </c>
      <c r="C15584" t="s">
        <v>6839</v>
      </c>
      <c r="D15584" t="s">
        <v>1601</v>
      </c>
      <c r="E15584" t="s">
        <v>558</v>
      </c>
      <c r="F15584" t="s">
        <v>1068</v>
      </c>
      <c r="G15584" t="s">
        <v>1073</v>
      </c>
      <c r="H15584" s="171" t="s">
        <v>9837</v>
      </c>
      <c r="I15584" t="s">
        <v>1074</v>
      </c>
      <c r="J15584">
        <v>8.85</v>
      </c>
    </row>
    <row r="15585" spans="1:10" hidden="1">
      <c r="A15585" t="s">
        <v>9834</v>
      </c>
      <c r="B15585" t="s">
        <v>9835</v>
      </c>
      <c r="C15585" t="s">
        <v>6839</v>
      </c>
      <c r="D15585" t="s">
        <v>1601</v>
      </c>
      <c r="E15585" t="s">
        <v>558</v>
      </c>
      <c r="F15585" t="s">
        <v>1068</v>
      </c>
      <c r="G15585" t="s">
        <v>1075</v>
      </c>
      <c r="H15585">
        <v>1.33385229452791E-2</v>
      </c>
      <c r="I15585" t="s">
        <v>1077</v>
      </c>
      <c r="J15585">
        <v>8.85</v>
      </c>
    </row>
    <row r="15586" spans="1:10" hidden="1">
      <c r="A15586" t="s">
        <v>9834</v>
      </c>
      <c r="B15586" t="s">
        <v>9835</v>
      </c>
      <c r="C15586" t="s">
        <v>6839</v>
      </c>
      <c r="D15586" t="s">
        <v>1601</v>
      </c>
      <c r="E15586" t="s">
        <v>558</v>
      </c>
      <c r="F15586" t="s">
        <v>1068</v>
      </c>
      <c r="G15586" t="s">
        <v>1078</v>
      </c>
      <c r="H15586">
        <v>3.2206876257645602E-2</v>
      </c>
      <c r="I15586" t="s">
        <v>1079</v>
      </c>
      <c r="J15586">
        <v>8.85</v>
      </c>
    </row>
    <row r="15587" spans="1:10" hidden="1">
      <c r="A15587" t="s">
        <v>9834</v>
      </c>
      <c r="B15587" t="s">
        <v>9835</v>
      </c>
      <c r="C15587" t="s">
        <v>6839</v>
      </c>
      <c r="D15587" t="s">
        <v>1601</v>
      </c>
      <c r="E15587" t="s">
        <v>558</v>
      </c>
      <c r="F15587" t="s">
        <v>1068</v>
      </c>
      <c r="G15587" t="s">
        <v>1080</v>
      </c>
      <c r="H15587" s="171" t="s">
        <v>9838</v>
      </c>
      <c r="I15587" t="s">
        <v>1082</v>
      </c>
      <c r="J15587">
        <v>8.85</v>
      </c>
    </row>
    <row r="15588" spans="1:10" hidden="1">
      <c r="A15588" t="s">
        <v>9834</v>
      </c>
      <c r="B15588" t="s">
        <v>9835</v>
      </c>
      <c r="C15588" t="s">
        <v>6839</v>
      </c>
      <c r="D15588" t="s">
        <v>1601</v>
      </c>
      <c r="E15588" t="s">
        <v>558</v>
      </c>
      <c r="F15588" t="s">
        <v>1068</v>
      </c>
      <c r="G15588" t="s">
        <v>1083</v>
      </c>
      <c r="H15588" s="171" t="s">
        <v>9839</v>
      </c>
      <c r="I15588" t="s">
        <v>1084</v>
      </c>
      <c r="J15588">
        <v>8.85</v>
      </c>
    </row>
    <row r="15589" spans="1:10" hidden="1">
      <c r="A15589" t="s">
        <v>9834</v>
      </c>
      <c r="B15589" t="s">
        <v>9835</v>
      </c>
      <c r="C15589" t="s">
        <v>6839</v>
      </c>
      <c r="D15589" t="s">
        <v>1601</v>
      </c>
      <c r="E15589" t="s">
        <v>558</v>
      </c>
      <c r="F15589" t="s">
        <v>1068</v>
      </c>
      <c r="G15589" t="s">
        <v>1085</v>
      </c>
      <c r="H15589">
        <v>4.8895902525248898E-4</v>
      </c>
      <c r="I15589" t="s">
        <v>1086</v>
      </c>
      <c r="J15589">
        <v>8.85</v>
      </c>
    </row>
    <row r="15590" spans="1:10" hidden="1">
      <c r="A15590" t="s">
        <v>9834</v>
      </c>
      <c r="B15590" t="s">
        <v>9835</v>
      </c>
      <c r="C15590" t="s">
        <v>6839</v>
      </c>
      <c r="D15590" t="s">
        <v>1601</v>
      </c>
      <c r="E15590" t="s">
        <v>558</v>
      </c>
      <c r="F15590" t="s">
        <v>1068</v>
      </c>
      <c r="G15590" t="s">
        <v>1087</v>
      </c>
      <c r="H15590" s="171" t="s">
        <v>9840</v>
      </c>
      <c r="I15590" t="s">
        <v>1088</v>
      </c>
      <c r="J15590">
        <v>8.85</v>
      </c>
    </row>
    <row r="15591" spans="1:10" hidden="1">
      <c r="A15591" t="s">
        <v>9834</v>
      </c>
      <c r="B15591" t="s">
        <v>9835</v>
      </c>
      <c r="C15591" t="s">
        <v>6839</v>
      </c>
      <c r="D15591" t="s">
        <v>1601</v>
      </c>
      <c r="E15591" t="s">
        <v>558</v>
      </c>
      <c r="F15591" t="s">
        <v>1068</v>
      </c>
      <c r="G15591" t="s">
        <v>1089</v>
      </c>
      <c r="H15591">
        <v>1.4578435628078399E-4</v>
      </c>
      <c r="I15591" t="s">
        <v>1090</v>
      </c>
      <c r="J15591">
        <v>8.85</v>
      </c>
    </row>
    <row r="15592" spans="1:10" hidden="1">
      <c r="A15592" t="s">
        <v>9841</v>
      </c>
      <c r="B15592" t="s">
        <v>9842</v>
      </c>
      <c r="C15592" t="s">
        <v>6839</v>
      </c>
      <c r="D15592" t="s">
        <v>1601</v>
      </c>
      <c r="E15592" t="s">
        <v>553</v>
      </c>
      <c r="F15592" t="s">
        <v>1068</v>
      </c>
      <c r="G15592" t="s">
        <v>1069</v>
      </c>
      <c r="H15592">
        <v>5.7882453013554699E-2</v>
      </c>
      <c r="I15592" t="s">
        <v>1070</v>
      </c>
      <c r="J15592">
        <v>18.23</v>
      </c>
    </row>
    <row r="15593" spans="1:10" hidden="1">
      <c r="A15593" t="s">
        <v>9841</v>
      </c>
      <c r="B15593" t="s">
        <v>9842</v>
      </c>
      <c r="C15593" t="s">
        <v>6839</v>
      </c>
      <c r="D15593" t="s">
        <v>1601</v>
      </c>
      <c r="E15593" t="s">
        <v>553</v>
      </c>
      <c r="F15593" t="s">
        <v>1068</v>
      </c>
      <c r="G15593" t="s">
        <v>1071</v>
      </c>
      <c r="H15593" s="171" t="s">
        <v>9843</v>
      </c>
      <c r="I15593" t="s">
        <v>1072</v>
      </c>
      <c r="J15593">
        <v>18.23</v>
      </c>
    </row>
    <row r="15594" spans="1:10" hidden="1">
      <c r="A15594" t="s">
        <v>9841</v>
      </c>
      <c r="B15594" t="s">
        <v>9842</v>
      </c>
      <c r="C15594" t="s">
        <v>6839</v>
      </c>
      <c r="D15594" t="s">
        <v>1601</v>
      </c>
      <c r="E15594" t="s">
        <v>553</v>
      </c>
      <c r="F15594" t="s">
        <v>1068</v>
      </c>
      <c r="G15594" t="s">
        <v>1073</v>
      </c>
      <c r="H15594" s="171" t="s">
        <v>9844</v>
      </c>
      <c r="I15594" t="s">
        <v>1074</v>
      </c>
      <c r="J15594">
        <v>18.23</v>
      </c>
    </row>
    <row r="15595" spans="1:10" hidden="1">
      <c r="A15595" t="s">
        <v>9841</v>
      </c>
      <c r="B15595" t="s">
        <v>9842</v>
      </c>
      <c r="C15595" t="s">
        <v>6839</v>
      </c>
      <c r="D15595" t="s">
        <v>1601</v>
      </c>
      <c r="E15595" t="s">
        <v>553</v>
      </c>
      <c r="F15595" t="s">
        <v>1068</v>
      </c>
      <c r="G15595" t="s">
        <v>1075</v>
      </c>
      <c r="H15595" s="171" t="s">
        <v>9845</v>
      </c>
      <c r="I15595" t="s">
        <v>1077</v>
      </c>
      <c r="J15595">
        <v>18.23</v>
      </c>
    </row>
    <row r="15596" spans="1:10" hidden="1">
      <c r="A15596" t="s">
        <v>9841</v>
      </c>
      <c r="B15596" t="s">
        <v>9842</v>
      </c>
      <c r="C15596" t="s">
        <v>6839</v>
      </c>
      <c r="D15596" t="s">
        <v>1601</v>
      </c>
      <c r="E15596" t="s">
        <v>553</v>
      </c>
      <c r="F15596" t="s">
        <v>1068</v>
      </c>
      <c r="G15596" t="s">
        <v>1078</v>
      </c>
      <c r="H15596" s="171" t="s">
        <v>9846</v>
      </c>
      <c r="I15596" t="s">
        <v>1079</v>
      </c>
      <c r="J15596">
        <v>18.23</v>
      </c>
    </row>
    <row r="15597" spans="1:10" hidden="1">
      <c r="A15597" t="s">
        <v>9841</v>
      </c>
      <c r="B15597" t="s">
        <v>9842</v>
      </c>
      <c r="C15597" t="s">
        <v>6839</v>
      </c>
      <c r="D15597" t="s">
        <v>1601</v>
      </c>
      <c r="E15597" t="s">
        <v>553</v>
      </c>
      <c r="F15597" t="s">
        <v>1068</v>
      </c>
      <c r="G15597" t="s">
        <v>1080</v>
      </c>
      <c r="H15597" s="171" t="s">
        <v>9847</v>
      </c>
      <c r="I15597" t="s">
        <v>1082</v>
      </c>
      <c r="J15597">
        <v>18.23</v>
      </c>
    </row>
    <row r="15598" spans="1:10" hidden="1">
      <c r="A15598" t="s">
        <v>9841</v>
      </c>
      <c r="B15598" t="s">
        <v>9842</v>
      </c>
      <c r="C15598" t="s">
        <v>6839</v>
      </c>
      <c r="D15598" t="s">
        <v>1601</v>
      </c>
      <c r="E15598" t="s">
        <v>553</v>
      </c>
      <c r="F15598" t="s">
        <v>1068</v>
      </c>
      <c r="G15598" t="s">
        <v>1083</v>
      </c>
      <c r="H15598" s="171" t="s">
        <v>9848</v>
      </c>
      <c r="I15598" t="s">
        <v>1084</v>
      </c>
      <c r="J15598">
        <v>18.23</v>
      </c>
    </row>
    <row r="15599" spans="1:10" hidden="1">
      <c r="A15599" t="s">
        <v>9841</v>
      </c>
      <c r="B15599" t="s">
        <v>9842</v>
      </c>
      <c r="C15599" t="s">
        <v>6839</v>
      </c>
      <c r="D15599" t="s">
        <v>1601</v>
      </c>
      <c r="E15599" t="s">
        <v>553</v>
      </c>
      <c r="F15599" t="s">
        <v>1068</v>
      </c>
      <c r="G15599" t="s">
        <v>1085</v>
      </c>
      <c r="H15599">
        <v>4.8895883370564798E-4</v>
      </c>
      <c r="I15599" t="s">
        <v>1086</v>
      </c>
      <c r="J15599">
        <v>18.23</v>
      </c>
    </row>
    <row r="15600" spans="1:10" hidden="1">
      <c r="A15600" t="s">
        <v>9841</v>
      </c>
      <c r="B15600" t="s">
        <v>9842</v>
      </c>
      <c r="C15600" t="s">
        <v>6839</v>
      </c>
      <c r="D15600" t="s">
        <v>1601</v>
      </c>
      <c r="E15600" t="s">
        <v>553</v>
      </c>
      <c r="F15600" t="s">
        <v>1068</v>
      </c>
      <c r="G15600" t="s">
        <v>1087</v>
      </c>
      <c r="H15600" s="171" t="s">
        <v>9849</v>
      </c>
      <c r="I15600" t="s">
        <v>1088</v>
      </c>
      <c r="J15600">
        <v>18.23</v>
      </c>
    </row>
    <row r="15601" spans="1:10" hidden="1">
      <c r="A15601" t="s">
        <v>9841</v>
      </c>
      <c r="B15601" t="s">
        <v>9842</v>
      </c>
      <c r="C15601" t="s">
        <v>6839</v>
      </c>
      <c r="D15601" t="s">
        <v>1601</v>
      </c>
      <c r="E15601" t="s">
        <v>553</v>
      </c>
      <c r="F15601" t="s">
        <v>1068</v>
      </c>
      <c r="G15601" t="s">
        <v>1089</v>
      </c>
      <c r="H15601">
        <v>1.4578431684709201E-4</v>
      </c>
      <c r="I15601" t="s">
        <v>1090</v>
      </c>
      <c r="J15601">
        <v>18.23</v>
      </c>
    </row>
    <row r="15602" spans="1:10" hidden="1">
      <c r="A15602" t="s">
        <v>9850</v>
      </c>
      <c r="B15602" t="s">
        <v>9851</v>
      </c>
      <c r="C15602" t="s">
        <v>6839</v>
      </c>
      <c r="D15602" t="s">
        <v>1601</v>
      </c>
      <c r="E15602" t="s">
        <v>556</v>
      </c>
      <c r="F15602" t="s">
        <v>1068</v>
      </c>
      <c r="G15602" t="s">
        <v>1069</v>
      </c>
      <c r="H15602">
        <v>5.7885763105068599E-2</v>
      </c>
      <c r="I15602" t="s">
        <v>1070</v>
      </c>
      <c r="J15602">
        <v>20.190000000000001</v>
      </c>
    </row>
    <row r="15603" spans="1:10" hidden="1">
      <c r="A15603" t="s">
        <v>9850</v>
      </c>
      <c r="B15603" t="s">
        <v>9851</v>
      </c>
      <c r="C15603" t="s">
        <v>6839</v>
      </c>
      <c r="D15603" t="s">
        <v>1601</v>
      </c>
      <c r="E15603" t="s">
        <v>556</v>
      </c>
      <c r="F15603" t="s">
        <v>1068</v>
      </c>
      <c r="G15603" t="s">
        <v>1071</v>
      </c>
      <c r="H15603" s="171" t="s">
        <v>9852</v>
      </c>
      <c r="I15603" t="s">
        <v>1072</v>
      </c>
      <c r="J15603">
        <v>20.190000000000001</v>
      </c>
    </row>
    <row r="15604" spans="1:10" hidden="1">
      <c r="A15604" t="s">
        <v>9850</v>
      </c>
      <c r="B15604" t="s">
        <v>9851</v>
      </c>
      <c r="C15604" t="s">
        <v>6839</v>
      </c>
      <c r="D15604" t="s">
        <v>1601</v>
      </c>
      <c r="E15604" t="s">
        <v>556</v>
      </c>
      <c r="F15604" t="s">
        <v>1068</v>
      </c>
      <c r="G15604" t="s">
        <v>1073</v>
      </c>
      <c r="H15604" s="171" t="s">
        <v>9853</v>
      </c>
      <c r="I15604" t="s">
        <v>1074</v>
      </c>
      <c r="J15604">
        <v>20.190000000000001</v>
      </c>
    </row>
    <row r="15605" spans="1:10" hidden="1">
      <c r="A15605" t="s">
        <v>9850</v>
      </c>
      <c r="B15605" t="s">
        <v>9851</v>
      </c>
      <c r="C15605" t="s">
        <v>6839</v>
      </c>
      <c r="D15605" t="s">
        <v>1601</v>
      </c>
      <c r="E15605" t="s">
        <v>556</v>
      </c>
      <c r="F15605" t="s">
        <v>1068</v>
      </c>
      <c r="G15605" t="s">
        <v>1075</v>
      </c>
      <c r="H15605">
        <v>1.33386240723156E-2</v>
      </c>
      <c r="I15605" t="s">
        <v>1077</v>
      </c>
      <c r="J15605">
        <v>20.190000000000001</v>
      </c>
    </row>
    <row r="15606" spans="1:10" hidden="1">
      <c r="A15606" t="s">
        <v>9850</v>
      </c>
      <c r="B15606" t="s">
        <v>9851</v>
      </c>
      <c r="C15606" t="s">
        <v>6839</v>
      </c>
      <c r="D15606" t="s">
        <v>1601</v>
      </c>
      <c r="E15606" t="s">
        <v>556</v>
      </c>
      <c r="F15606" t="s">
        <v>1068</v>
      </c>
      <c r="G15606" t="s">
        <v>1078</v>
      </c>
      <c r="H15606">
        <v>3.2211248569715703E-2</v>
      </c>
      <c r="I15606" t="s">
        <v>1079</v>
      </c>
      <c r="J15606">
        <v>20.190000000000001</v>
      </c>
    </row>
    <row r="15607" spans="1:10" hidden="1">
      <c r="A15607" t="s">
        <v>9850</v>
      </c>
      <c r="B15607" t="s">
        <v>9851</v>
      </c>
      <c r="C15607" t="s">
        <v>6839</v>
      </c>
      <c r="D15607" t="s">
        <v>1601</v>
      </c>
      <c r="E15607" t="s">
        <v>556</v>
      </c>
      <c r="F15607" t="s">
        <v>1068</v>
      </c>
      <c r="G15607" t="s">
        <v>1080</v>
      </c>
      <c r="H15607" s="171" t="s">
        <v>9854</v>
      </c>
      <c r="I15607" t="s">
        <v>1082</v>
      </c>
      <c r="J15607">
        <v>20.190000000000001</v>
      </c>
    </row>
    <row r="15608" spans="1:10" hidden="1">
      <c r="A15608" t="s">
        <v>9850</v>
      </c>
      <c r="B15608" t="s">
        <v>9851</v>
      </c>
      <c r="C15608" t="s">
        <v>6839</v>
      </c>
      <c r="D15608" t="s">
        <v>1601</v>
      </c>
      <c r="E15608" t="s">
        <v>556</v>
      </c>
      <c r="F15608" t="s">
        <v>1068</v>
      </c>
      <c r="G15608" t="s">
        <v>1083</v>
      </c>
      <c r="H15608" s="171" t="s">
        <v>9855</v>
      </c>
      <c r="I15608" t="s">
        <v>1084</v>
      </c>
      <c r="J15608">
        <v>20.190000000000001</v>
      </c>
    </row>
    <row r="15609" spans="1:10" hidden="1">
      <c r="A15609" t="s">
        <v>9850</v>
      </c>
      <c r="B15609" t="s">
        <v>9851</v>
      </c>
      <c r="C15609" t="s">
        <v>6839</v>
      </c>
      <c r="D15609" t="s">
        <v>1601</v>
      </c>
      <c r="E15609" t="s">
        <v>556</v>
      </c>
      <c r="F15609" t="s">
        <v>1068</v>
      </c>
      <c r="G15609" t="s">
        <v>1085</v>
      </c>
      <c r="H15609">
        <v>4.8896452016417404E-4</v>
      </c>
      <c r="I15609" t="s">
        <v>1086</v>
      </c>
      <c r="J15609">
        <v>20.190000000000001</v>
      </c>
    </row>
    <row r="15610" spans="1:10" hidden="1">
      <c r="A15610" t="s">
        <v>9850</v>
      </c>
      <c r="B15610" t="s">
        <v>9851</v>
      </c>
      <c r="C15610" t="s">
        <v>6839</v>
      </c>
      <c r="D15610" t="s">
        <v>1601</v>
      </c>
      <c r="E15610" t="s">
        <v>556</v>
      </c>
      <c r="F15610" t="s">
        <v>1068</v>
      </c>
      <c r="G15610" t="s">
        <v>1087</v>
      </c>
      <c r="H15610" s="171" t="s">
        <v>9856</v>
      </c>
      <c r="I15610" t="s">
        <v>1088</v>
      </c>
      <c r="J15610">
        <v>20.190000000000001</v>
      </c>
    </row>
    <row r="15611" spans="1:10" hidden="1">
      <c r="A15611" t="s">
        <v>9850</v>
      </c>
      <c r="B15611" t="s">
        <v>9851</v>
      </c>
      <c r="C15611" t="s">
        <v>6839</v>
      </c>
      <c r="D15611" t="s">
        <v>1601</v>
      </c>
      <c r="E15611" t="s">
        <v>556</v>
      </c>
      <c r="F15611" t="s">
        <v>1068</v>
      </c>
      <c r="G15611" t="s">
        <v>1089</v>
      </c>
      <c r="H15611">
        <v>1.4578548995225699E-4</v>
      </c>
      <c r="I15611" t="s">
        <v>1090</v>
      </c>
      <c r="J15611">
        <v>20.190000000000001</v>
      </c>
    </row>
    <row r="15612" spans="1:10" hidden="1">
      <c r="A15612" t="s">
        <v>9857</v>
      </c>
      <c r="B15612" t="s">
        <v>9858</v>
      </c>
      <c r="C15612" t="s">
        <v>6839</v>
      </c>
      <c r="D15612" t="s">
        <v>1601</v>
      </c>
      <c r="E15612" t="s">
        <v>557</v>
      </c>
      <c r="F15612" t="s">
        <v>1068</v>
      </c>
      <c r="G15612" t="s">
        <v>1069</v>
      </c>
      <c r="H15612">
        <v>5.7882183891706601E-2</v>
      </c>
      <c r="I15612" t="s">
        <v>1070</v>
      </c>
      <c r="J15612">
        <v>12.8</v>
      </c>
    </row>
    <row r="15613" spans="1:10" hidden="1">
      <c r="A15613" t="s">
        <v>9857</v>
      </c>
      <c r="B15613" t="s">
        <v>9858</v>
      </c>
      <c r="C15613" t="s">
        <v>6839</v>
      </c>
      <c r="D15613" t="s">
        <v>1601</v>
      </c>
      <c r="E15613" t="s">
        <v>557</v>
      </c>
      <c r="F15613" t="s">
        <v>1068</v>
      </c>
      <c r="G15613" t="s">
        <v>1071</v>
      </c>
      <c r="H15613" s="171" t="s">
        <v>9859</v>
      </c>
      <c r="I15613" t="s">
        <v>1072</v>
      </c>
      <c r="J15613">
        <v>12.8</v>
      </c>
    </row>
    <row r="15614" spans="1:10" hidden="1">
      <c r="A15614" t="s">
        <v>9857</v>
      </c>
      <c r="B15614" t="s">
        <v>9858</v>
      </c>
      <c r="C15614" t="s">
        <v>6839</v>
      </c>
      <c r="D15614" t="s">
        <v>1601</v>
      </c>
      <c r="E15614" t="s">
        <v>557</v>
      </c>
      <c r="F15614" t="s">
        <v>1068</v>
      </c>
      <c r="G15614" t="s">
        <v>1073</v>
      </c>
      <c r="H15614" s="171" t="s">
        <v>9860</v>
      </c>
      <c r="I15614" t="s">
        <v>1074</v>
      </c>
      <c r="J15614">
        <v>12.8</v>
      </c>
    </row>
    <row r="15615" spans="1:10" hidden="1">
      <c r="A15615" t="s">
        <v>9857</v>
      </c>
      <c r="B15615" t="s">
        <v>9858</v>
      </c>
      <c r="C15615" t="s">
        <v>6839</v>
      </c>
      <c r="D15615" t="s">
        <v>1601</v>
      </c>
      <c r="E15615" t="s">
        <v>557</v>
      </c>
      <c r="F15615" t="s">
        <v>1068</v>
      </c>
      <c r="G15615" t="s">
        <v>1075</v>
      </c>
      <c r="H15615" s="171" t="s">
        <v>9861</v>
      </c>
      <c r="I15615" t="s">
        <v>1077</v>
      </c>
      <c r="J15615">
        <v>12.8</v>
      </c>
    </row>
    <row r="15616" spans="1:10" hidden="1">
      <c r="A15616" t="s">
        <v>9857</v>
      </c>
      <c r="B15616" t="s">
        <v>9858</v>
      </c>
      <c r="C15616" t="s">
        <v>6839</v>
      </c>
      <c r="D15616" t="s">
        <v>1601</v>
      </c>
      <c r="E15616" t="s">
        <v>557</v>
      </c>
      <c r="F15616" t="s">
        <v>1068</v>
      </c>
      <c r="G15616" t="s">
        <v>1078</v>
      </c>
      <c r="H15616" s="171" t="s">
        <v>9862</v>
      </c>
      <c r="I15616" t="s">
        <v>1079</v>
      </c>
      <c r="J15616">
        <v>12.8</v>
      </c>
    </row>
    <row r="15617" spans="1:10" hidden="1">
      <c r="A15617" t="s">
        <v>9857</v>
      </c>
      <c r="B15617" t="s">
        <v>9858</v>
      </c>
      <c r="C15617" t="s">
        <v>6839</v>
      </c>
      <c r="D15617" t="s">
        <v>1601</v>
      </c>
      <c r="E15617" t="s">
        <v>557</v>
      </c>
      <c r="F15617" t="s">
        <v>1068</v>
      </c>
      <c r="G15617" t="s">
        <v>1080</v>
      </c>
      <c r="H15617" s="171" t="s">
        <v>9863</v>
      </c>
      <c r="I15617" t="s">
        <v>1082</v>
      </c>
      <c r="J15617">
        <v>12.8</v>
      </c>
    </row>
    <row r="15618" spans="1:10" hidden="1">
      <c r="A15618" t="s">
        <v>9857</v>
      </c>
      <c r="B15618" t="s">
        <v>9858</v>
      </c>
      <c r="C15618" t="s">
        <v>6839</v>
      </c>
      <c r="D15618" t="s">
        <v>1601</v>
      </c>
      <c r="E15618" t="s">
        <v>557</v>
      </c>
      <c r="F15618" t="s">
        <v>1068</v>
      </c>
      <c r="G15618" t="s">
        <v>1083</v>
      </c>
      <c r="H15618" s="171" t="s">
        <v>9864</v>
      </c>
      <c r="I15618" t="s">
        <v>1084</v>
      </c>
      <c r="J15618">
        <v>12.8</v>
      </c>
    </row>
    <row r="15619" spans="1:10" hidden="1">
      <c r="A15619" t="s">
        <v>9857</v>
      </c>
      <c r="B15619" t="s">
        <v>9858</v>
      </c>
      <c r="C15619" t="s">
        <v>6839</v>
      </c>
      <c r="D15619" t="s">
        <v>1601</v>
      </c>
      <c r="E15619" t="s">
        <v>557</v>
      </c>
      <c r="F15619" t="s">
        <v>1068</v>
      </c>
      <c r="G15619" t="s">
        <v>1085</v>
      </c>
      <c r="H15619">
        <v>4.8896096656121104E-4</v>
      </c>
      <c r="I15619" t="s">
        <v>1086</v>
      </c>
      <c r="J15619">
        <v>12.8</v>
      </c>
    </row>
    <row r="15620" spans="1:10" hidden="1">
      <c r="A15620" t="s">
        <v>9857</v>
      </c>
      <c r="B15620" t="s">
        <v>9858</v>
      </c>
      <c r="C15620" t="s">
        <v>6839</v>
      </c>
      <c r="D15620" t="s">
        <v>1601</v>
      </c>
      <c r="E15620" t="s">
        <v>557</v>
      </c>
      <c r="F15620" t="s">
        <v>1068</v>
      </c>
      <c r="G15620" t="s">
        <v>1087</v>
      </c>
      <c r="H15620" s="171" t="s">
        <v>9865</v>
      </c>
      <c r="I15620" t="s">
        <v>1088</v>
      </c>
      <c r="J15620">
        <v>12.8</v>
      </c>
    </row>
    <row r="15621" spans="1:10" hidden="1">
      <c r="A15621" t="s">
        <v>9857</v>
      </c>
      <c r="B15621" t="s">
        <v>9858</v>
      </c>
      <c r="C15621" t="s">
        <v>6839</v>
      </c>
      <c r="D15621" t="s">
        <v>1601</v>
      </c>
      <c r="E15621" t="s">
        <v>557</v>
      </c>
      <c r="F15621" t="s">
        <v>1068</v>
      </c>
      <c r="G15621" t="s">
        <v>1089</v>
      </c>
      <c r="H15621">
        <v>1.4578475676894001E-4</v>
      </c>
      <c r="I15621" t="s">
        <v>1090</v>
      </c>
      <c r="J15621">
        <v>12.8</v>
      </c>
    </row>
    <row r="15622" spans="1:10" hidden="1">
      <c r="A15622" t="s">
        <v>9866</v>
      </c>
      <c r="B15622" t="s">
        <v>9867</v>
      </c>
      <c r="C15622" t="s">
        <v>6839</v>
      </c>
      <c r="D15622" t="s">
        <v>1601</v>
      </c>
      <c r="E15622" t="s">
        <v>559</v>
      </c>
      <c r="F15622" t="s">
        <v>1068</v>
      </c>
      <c r="G15622" t="s">
        <v>1069</v>
      </c>
      <c r="H15622" s="171" t="s">
        <v>9868</v>
      </c>
      <c r="I15622" t="s">
        <v>1070</v>
      </c>
      <c r="J15622">
        <v>17.239999999999998</v>
      </c>
    </row>
    <row r="15623" spans="1:10" hidden="1">
      <c r="A15623" t="s">
        <v>9866</v>
      </c>
      <c r="B15623" t="s">
        <v>9867</v>
      </c>
      <c r="C15623" t="s">
        <v>6839</v>
      </c>
      <c r="D15623" t="s">
        <v>1601</v>
      </c>
      <c r="E15623" t="s">
        <v>559</v>
      </c>
      <c r="F15623" t="s">
        <v>1068</v>
      </c>
      <c r="G15623" t="s">
        <v>1071</v>
      </c>
      <c r="H15623" s="171" t="s">
        <v>9869</v>
      </c>
      <c r="I15623" t="s">
        <v>1072</v>
      </c>
      <c r="J15623">
        <v>17.239999999999998</v>
      </c>
    </row>
    <row r="15624" spans="1:10" hidden="1">
      <c r="A15624" t="s">
        <v>9866</v>
      </c>
      <c r="B15624" t="s">
        <v>9867</v>
      </c>
      <c r="C15624" t="s">
        <v>6839</v>
      </c>
      <c r="D15624" t="s">
        <v>1601</v>
      </c>
      <c r="E15624" t="s">
        <v>559</v>
      </c>
      <c r="F15624" t="s">
        <v>1068</v>
      </c>
      <c r="G15624" t="s">
        <v>1073</v>
      </c>
      <c r="H15624" s="171" t="s">
        <v>9870</v>
      </c>
      <c r="I15624" t="s">
        <v>1074</v>
      </c>
      <c r="J15624">
        <v>17.239999999999998</v>
      </c>
    </row>
    <row r="15625" spans="1:10" hidden="1">
      <c r="A15625" t="s">
        <v>9866</v>
      </c>
      <c r="B15625" t="s">
        <v>9867</v>
      </c>
      <c r="C15625" t="s">
        <v>6839</v>
      </c>
      <c r="D15625" t="s">
        <v>1601</v>
      </c>
      <c r="E15625" t="s">
        <v>559</v>
      </c>
      <c r="F15625" t="s">
        <v>1068</v>
      </c>
      <c r="G15625" t="s">
        <v>1075</v>
      </c>
      <c r="H15625" s="171" t="s">
        <v>9871</v>
      </c>
      <c r="I15625" t="s">
        <v>1077</v>
      </c>
      <c r="J15625">
        <v>17.239999999999998</v>
      </c>
    </row>
    <row r="15626" spans="1:10" hidden="1">
      <c r="A15626" t="s">
        <v>9866</v>
      </c>
      <c r="B15626" t="s">
        <v>9867</v>
      </c>
      <c r="C15626" t="s">
        <v>6839</v>
      </c>
      <c r="D15626" t="s">
        <v>1601</v>
      </c>
      <c r="E15626" t="s">
        <v>559</v>
      </c>
      <c r="F15626" t="s">
        <v>1068</v>
      </c>
      <c r="G15626" t="s">
        <v>1078</v>
      </c>
      <c r="H15626" s="171" t="s">
        <v>9872</v>
      </c>
      <c r="I15626" t="s">
        <v>1079</v>
      </c>
      <c r="J15626">
        <v>17.239999999999998</v>
      </c>
    </row>
    <row r="15627" spans="1:10" hidden="1">
      <c r="A15627" t="s">
        <v>9866</v>
      </c>
      <c r="B15627" t="s">
        <v>9867</v>
      </c>
      <c r="C15627" t="s">
        <v>6839</v>
      </c>
      <c r="D15627" t="s">
        <v>1601</v>
      </c>
      <c r="E15627" t="s">
        <v>559</v>
      </c>
      <c r="F15627" t="s">
        <v>1068</v>
      </c>
      <c r="G15627" t="s">
        <v>1080</v>
      </c>
      <c r="H15627" s="171" t="s">
        <v>9873</v>
      </c>
      <c r="I15627" t="s">
        <v>1082</v>
      </c>
      <c r="J15627">
        <v>17.239999999999998</v>
      </c>
    </row>
    <row r="15628" spans="1:10" hidden="1">
      <c r="A15628" t="s">
        <v>9866</v>
      </c>
      <c r="B15628" t="s">
        <v>9867</v>
      </c>
      <c r="C15628" t="s">
        <v>6839</v>
      </c>
      <c r="D15628" t="s">
        <v>1601</v>
      </c>
      <c r="E15628" t="s">
        <v>559</v>
      </c>
      <c r="F15628" t="s">
        <v>1068</v>
      </c>
      <c r="G15628" t="s">
        <v>1083</v>
      </c>
      <c r="H15628" s="171" t="s">
        <v>9874</v>
      </c>
      <c r="I15628" t="s">
        <v>1084</v>
      </c>
      <c r="J15628">
        <v>17.239999999999998</v>
      </c>
    </row>
    <row r="15629" spans="1:10" hidden="1">
      <c r="A15629" t="s">
        <v>9866</v>
      </c>
      <c r="B15629" t="s">
        <v>9867</v>
      </c>
      <c r="C15629" t="s">
        <v>6839</v>
      </c>
      <c r="D15629" t="s">
        <v>1601</v>
      </c>
      <c r="E15629" t="s">
        <v>559</v>
      </c>
      <c r="F15629" t="s">
        <v>1068</v>
      </c>
      <c r="G15629" t="s">
        <v>1085</v>
      </c>
      <c r="H15629">
        <v>4.8896282990938602E-4</v>
      </c>
      <c r="I15629" t="s">
        <v>1086</v>
      </c>
      <c r="J15629">
        <v>17.239999999999998</v>
      </c>
    </row>
    <row r="15630" spans="1:10" hidden="1">
      <c r="A15630" t="s">
        <v>9866</v>
      </c>
      <c r="B15630" t="s">
        <v>9867</v>
      </c>
      <c r="C15630" t="s">
        <v>6839</v>
      </c>
      <c r="D15630" t="s">
        <v>1601</v>
      </c>
      <c r="E15630" t="s">
        <v>559</v>
      </c>
      <c r="F15630" t="s">
        <v>1068</v>
      </c>
      <c r="G15630" t="s">
        <v>1087</v>
      </c>
      <c r="H15630" s="171" t="s">
        <v>9875</v>
      </c>
      <c r="I15630" t="s">
        <v>1088</v>
      </c>
      <c r="J15630">
        <v>17.239999999999998</v>
      </c>
    </row>
    <row r="15631" spans="1:10" hidden="1">
      <c r="A15631" t="s">
        <v>9866</v>
      </c>
      <c r="B15631" t="s">
        <v>9867</v>
      </c>
      <c r="C15631" t="s">
        <v>6839</v>
      </c>
      <c r="D15631" t="s">
        <v>1601</v>
      </c>
      <c r="E15631" t="s">
        <v>559</v>
      </c>
      <c r="F15631" t="s">
        <v>1068</v>
      </c>
      <c r="G15631" t="s">
        <v>1089</v>
      </c>
      <c r="H15631">
        <v>1.4578514125603199E-4</v>
      </c>
      <c r="I15631" t="s">
        <v>1090</v>
      </c>
      <c r="J15631">
        <v>17.239999999999998</v>
      </c>
    </row>
    <row r="15632" spans="1:10" hidden="1">
      <c r="A15632" t="s">
        <v>9876</v>
      </c>
      <c r="B15632" t="s">
        <v>9877</v>
      </c>
      <c r="C15632" t="s">
        <v>6839</v>
      </c>
      <c r="D15632" t="s">
        <v>1601</v>
      </c>
      <c r="E15632" t="s">
        <v>560</v>
      </c>
      <c r="F15632" t="s">
        <v>1068</v>
      </c>
      <c r="G15632" t="s">
        <v>1069</v>
      </c>
      <c r="H15632">
        <v>5.7882786578196899E-2</v>
      </c>
      <c r="I15632" t="s">
        <v>1070</v>
      </c>
      <c r="J15632">
        <v>11.64</v>
      </c>
    </row>
    <row r="15633" spans="1:10" hidden="1">
      <c r="A15633" t="s">
        <v>9876</v>
      </c>
      <c r="B15633" t="s">
        <v>9877</v>
      </c>
      <c r="C15633" t="s">
        <v>6839</v>
      </c>
      <c r="D15633" t="s">
        <v>1601</v>
      </c>
      <c r="E15633" t="s">
        <v>560</v>
      </c>
      <c r="F15633" t="s">
        <v>1068</v>
      </c>
      <c r="G15633" t="s">
        <v>1071</v>
      </c>
      <c r="H15633" s="171" t="s">
        <v>9878</v>
      </c>
      <c r="I15633" t="s">
        <v>1072</v>
      </c>
      <c r="J15633">
        <v>11.64</v>
      </c>
    </row>
    <row r="15634" spans="1:10" hidden="1">
      <c r="A15634" t="s">
        <v>9876</v>
      </c>
      <c r="B15634" t="s">
        <v>9877</v>
      </c>
      <c r="C15634" t="s">
        <v>6839</v>
      </c>
      <c r="D15634" t="s">
        <v>1601</v>
      </c>
      <c r="E15634" t="s">
        <v>560</v>
      </c>
      <c r="F15634" t="s">
        <v>1068</v>
      </c>
      <c r="G15634" t="s">
        <v>1073</v>
      </c>
      <c r="H15634" s="171" t="s">
        <v>9879</v>
      </c>
      <c r="I15634" t="s">
        <v>1074</v>
      </c>
      <c r="J15634">
        <v>11.64</v>
      </c>
    </row>
    <row r="15635" spans="1:10" hidden="1">
      <c r="A15635" t="s">
        <v>9876</v>
      </c>
      <c r="B15635" t="s">
        <v>9877</v>
      </c>
      <c r="C15635" t="s">
        <v>6839</v>
      </c>
      <c r="D15635" t="s">
        <v>1601</v>
      </c>
      <c r="E15635" t="s">
        <v>560</v>
      </c>
      <c r="F15635" t="s">
        <v>1068</v>
      </c>
      <c r="G15635" t="s">
        <v>1075</v>
      </c>
      <c r="H15635" s="171" t="s">
        <v>9880</v>
      </c>
      <c r="I15635" t="s">
        <v>1077</v>
      </c>
      <c r="J15635">
        <v>11.64</v>
      </c>
    </row>
    <row r="15636" spans="1:10" hidden="1">
      <c r="A15636" t="s">
        <v>9876</v>
      </c>
      <c r="B15636" t="s">
        <v>9877</v>
      </c>
      <c r="C15636" t="s">
        <v>6839</v>
      </c>
      <c r="D15636" t="s">
        <v>1601</v>
      </c>
      <c r="E15636" t="s">
        <v>560</v>
      </c>
      <c r="F15636" t="s">
        <v>1068</v>
      </c>
      <c r="G15636" t="s">
        <v>1078</v>
      </c>
      <c r="H15636" s="171" t="s">
        <v>9881</v>
      </c>
      <c r="I15636" t="s">
        <v>1079</v>
      </c>
      <c r="J15636">
        <v>11.64</v>
      </c>
    </row>
    <row r="15637" spans="1:10" hidden="1">
      <c r="A15637" t="s">
        <v>9876</v>
      </c>
      <c r="B15637" t="s">
        <v>9877</v>
      </c>
      <c r="C15637" t="s">
        <v>6839</v>
      </c>
      <c r="D15637" t="s">
        <v>1601</v>
      </c>
      <c r="E15637" t="s">
        <v>560</v>
      </c>
      <c r="F15637" t="s">
        <v>1068</v>
      </c>
      <c r="G15637" t="s">
        <v>1080</v>
      </c>
      <c r="H15637" s="171" t="s">
        <v>9882</v>
      </c>
      <c r="I15637" t="s">
        <v>1082</v>
      </c>
      <c r="J15637">
        <v>11.64</v>
      </c>
    </row>
    <row r="15638" spans="1:10" hidden="1">
      <c r="A15638" t="s">
        <v>9876</v>
      </c>
      <c r="B15638" t="s">
        <v>9877</v>
      </c>
      <c r="C15638" t="s">
        <v>6839</v>
      </c>
      <c r="D15638" t="s">
        <v>1601</v>
      </c>
      <c r="E15638" t="s">
        <v>560</v>
      </c>
      <c r="F15638" t="s">
        <v>1068</v>
      </c>
      <c r="G15638" t="s">
        <v>1083</v>
      </c>
      <c r="H15638" s="171" t="s">
        <v>9883</v>
      </c>
      <c r="I15638" t="s">
        <v>1084</v>
      </c>
      <c r="J15638">
        <v>11.64</v>
      </c>
    </row>
    <row r="15639" spans="1:10" hidden="1">
      <c r="A15639" t="s">
        <v>9876</v>
      </c>
      <c r="B15639" t="s">
        <v>9877</v>
      </c>
      <c r="C15639" t="s">
        <v>6839</v>
      </c>
      <c r="D15639" t="s">
        <v>1601</v>
      </c>
      <c r="E15639" t="s">
        <v>560</v>
      </c>
      <c r="F15639" t="s">
        <v>1068</v>
      </c>
      <c r="G15639" t="s">
        <v>1085</v>
      </c>
      <c r="H15639">
        <v>4.8896200192586204E-4</v>
      </c>
      <c r="I15639" t="s">
        <v>1086</v>
      </c>
      <c r="J15639">
        <v>11.64</v>
      </c>
    </row>
    <row r="15640" spans="1:10" hidden="1">
      <c r="A15640" t="s">
        <v>9876</v>
      </c>
      <c r="B15640" t="s">
        <v>9877</v>
      </c>
      <c r="C15640" t="s">
        <v>6839</v>
      </c>
      <c r="D15640" t="s">
        <v>1601</v>
      </c>
      <c r="E15640" t="s">
        <v>560</v>
      </c>
      <c r="F15640" t="s">
        <v>1068</v>
      </c>
      <c r="G15640" t="s">
        <v>1087</v>
      </c>
      <c r="H15640" s="171" t="s">
        <v>9884</v>
      </c>
      <c r="I15640" t="s">
        <v>1088</v>
      </c>
      <c r="J15640">
        <v>11.64</v>
      </c>
    </row>
    <row r="15641" spans="1:10" hidden="1">
      <c r="A15641" t="s">
        <v>9876</v>
      </c>
      <c r="B15641" t="s">
        <v>9877</v>
      </c>
      <c r="C15641" t="s">
        <v>6839</v>
      </c>
      <c r="D15641" t="s">
        <v>1601</v>
      </c>
      <c r="E15641" t="s">
        <v>560</v>
      </c>
      <c r="F15641" t="s">
        <v>1068</v>
      </c>
      <c r="G15641" t="s">
        <v>1089</v>
      </c>
      <c r="H15641">
        <v>1.45784970362623E-4</v>
      </c>
      <c r="I15641" t="s">
        <v>1090</v>
      </c>
      <c r="J15641">
        <v>11.64</v>
      </c>
    </row>
    <row r="15642" spans="1:10" hidden="1">
      <c r="A15642" t="s">
        <v>9885</v>
      </c>
      <c r="B15642" t="s">
        <v>9886</v>
      </c>
      <c r="C15642" t="s">
        <v>6839</v>
      </c>
      <c r="D15642" t="s">
        <v>1601</v>
      </c>
      <c r="E15642" t="s">
        <v>1116</v>
      </c>
      <c r="F15642" t="s">
        <v>1068</v>
      </c>
      <c r="G15642" t="s">
        <v>1069</v>
      </c>
      <c r="H15642" s="171" t="s">
        <v>9887</v>
      </c>
      <c r="I15642" t="s">
        <v>1070</v>
      </c>
      <c r="J15642">
        <v>14.61</v>
      </c>
    </row>
    <row r="15643" spans="1:10" hidden="1">
      <c r="A15643" t="s">
        <v>9885</v>
      </c>
      <c r="B15643" t="s">
        <v>9886</v>
      </c>
      <c r="C15643" t="s">
        <v>6839</v>
      </c>
      <c r="D15643" t="s">
        <v>1601</v>
      </c>
      <c r="E15643" t="s">
        <v>1116</v>
      </c>
      <c r="F15643" t="s">
        <v>1068</v>
      </c>
      <c r="G15643" t="s">
        <v>1071</v>
      </c>
      <c r="H15643" s="171" t="s">
        <v>9888</v>
      </c>
      <c r="I15643" t="s">
        <v>1072</v>
      </c>
      <c r="J15643">
        <v>14.61</v>
      </c>
    </row>
    <row r="15644" spans="1:10" hidden="1">
      <c r="A15644" t="s">
        <v>9885</v>
      </c>
      <c r="B15644" t="s">
        <v>9886</v>
      </c>
      <c r="C15644" t="s">
        <v>6839</v>
      </c>
      <c r="D15644" t="s">
        <v>1601</v>
      </c>
      <c r="E15644" t="s">
        <v>1116</v>
      </c>
      <c r="F15644" t="s">
        <v>1068</v>
      </c>
      <c r="G15644" t="s">
        <v>1073</v>
      </c>
      <c r="H15644" s="171" t="s">
        <v>9889</v>
      </c>
      <c r="I15644" t="s">
        <v>1074</v>
      </c>
      <c r="J15644">
        <v>14.61</v>
      </c>
    </row>
    <row r="15645" spans="1:10" hidden="1">
      <c r="A15645" t="s">
        <v>9885</v>
      </c>
      <c r="B15645" t="s">
        <v>9886</v>
      </c>
      <c r="C15645" t="s">
        <v>6839</v>
      </c>
      <c r="D15645" t="s">
        <v>1601</v>
      </c>
      <c r="E15645" t="s">
        <v>1116</v>
      </c>
      <c r="F15645" t="s">
        <v>1068</v>
      </c>
      <c r="G15645" t="s">
        <v>1075</v>
      </c>
      <c r="H15645">
        <v>1.33385198951131E-2</v>
      </c>
      <c r="I15645" t="s">
        <v>1077</v>
      </c>
      <c r="J15645">
        <v>14.61</v>
      </c>
    </row>
    <row r="15646" spans="1:10" hidden="1">
      <c r="A15646" t="s">
        <v>9885</v>
      </c>
      <c r="B15646" t="s">
        <v>9886</v>
      </c>
      <c r="C15646" t="s">
        <v>6839</v>
      </c>
      <c r="D15646" t="s">
        <v>1601</v>
      </c>
      <c r="E15646" t="s">
        <v>1116</v>
      </c>
      <c r="F15646" t="s">
        <v>1068</v>
      </c>
      <c r="G15646" t="s">
        <v>1078</v>
      </c>
      <c r="H15646">
        <v>3.2206744356696501E-2</v>
      </c>
      <c r="I15646" t="s">
        <v>1079</v>
      </c>
      <c r="J15646">
        <v>14.61</v>
      </c>
    </row>
    <row r="15647" spans="1:10" hidden="1">
      <c r="A15647" t="s">
        <v>9885</v>
      </c>
      <c r="B15647" t="s">
        <v>9886</v>
      </c>
      <c r="C15647" t="s">
        <v>6839</v>
      </c>
      <c r="D15647" t="s">
        <v>1601</v>
      </c>
      <c r="E15647" t="s">
        <v>1116</v>
      </c>
      <c r="F15647" t="s">
        <v>1068</v>
      </c>
      <c r="G15647" t="s">
        <v>1080</v>
      </c>
      <c r="H15647" s="171" t="s">
        <v>9890</v>
      </c>
      <c r="I15647" t="s">
        <v>1082</v>
      </c>
      <c r="J15647">
        <v>14.61</v>
      </c>
    </row>
    <row r="15648" spans="1:10" hidden="1">
      <c r="A15648" t="s">
        <v>9885</v>
      </c>
      <c r="B15648" t="s">
        <v>9886</v>
      </c>
      <c r="C15648" t="s">
        <v>6839</v>
      </c>
      <c r="D15648" t="s">
        <v>1601</v>
      </c>
      <c r="E15648" t="s">
        <v>1116</v>
      </c>
      <c r="F15648" t="s">
        <v>1068</v>
      </c>
      <c r="G15648" t="s">
        <v>1083</v>
      </c>
      <c r="H15648" s="171" t="s">
        <v>9891</v>
      </c>
      <c r="I15648" t="s">
        <v>1084</v>
      </c>
      <c r="J15648">
        <v>14.61</v>
      </c>
    </row>
    <row r="15649" spans="1:10" hidden="1">
      <c r="A15649" t="s">
        <v>9885</v>
      </c>
      <c r="B15649" t="s">
        <v>9886</v>
      </c>
      <c r="C15649" t="s">
        <v>6839</v>
      </c>
      <c r="D15649" t="s">
        <v>1601</v>
      </c>
      <c r="E15649" t="s">
        <v>1116</v>
      </c>
      <c r="F15649" t="s">
        <v>1068</v>
      </c>
      <c r="G15649" t="s">
        <v>1085</v>
      </c>
      <c r="H15649">
        <v>4.8895885949002402E-4</v>
      </c>
      <c r="I15649" t="s">
        <v>1086</v>
      </c>
      <c r="J15649">
        <v>14.61</v>
      </c>
    </row>
    <row r="15650" spans="1:10" hidden="1">
      <c r="A15650" t="s">
        <v>9885</v>
      </c>
      <c r="B15650" t="s">
        <v>9886</v>
      </c>
      <c r="C15650" t="s">
        <v>6839</v>
      </c>
      <c r="D15650" t="s">
        <v>1601</v>
      </c>
      <c r="E15650" t="s">
        <v>1116</v>
      </c>
      <c r="F15650" t="s">
        <v>1068</v>
      </c>
      <c r="G15650" t="s">
        <v>1087</v>
      </c>
      <c r="H15650" s="171" t="s">
        <v>9892</v>
      </c>
      <c r="I15650" t="s">
        <v>1088</v>
      </c>
      <c r="J15650">
        <v>14.61</v>
      </c>
    </row>
    <row r="15651" spans="1:10" hidden="1">
      <c r="A15651" t="s">
        <v>9885</v>
      </c>
      <c r="B15651" t="s">
        <v>9886</v>
      </c>
      <c r="C15651" t="s">
        <v>6839</v>
      </c>
      <c r="D15651" t="s">
        <v>1601</v>
      </c>
      <c r="E15651" t="s">
        <v>1116</v>
      </c>
      <c r="F15651" t="s">
        <v>1068</v>
      </c>
      <c r="G15651" t="s">
        <v>1089</v>
      </c>
      <c r="H15651">
        <v>1.4578432208431499E-4</v>
      </c>
      <c r="I15651" t="s">
        <v>1090</v>
      </c>
      <c r="J15651">
        <v>14.61</v>
      </c>
    </row>
    <row r="15652" spans="1:10" hidden="1">
      <c r="A15652" t="s">
        <v>9893</v>
      </c>
      <c r="B15652" t="s">
        <v>9894</v>
      </c>
      <c r="C15652" t="s">
        <v>6839</v>
      </c>
      <c r="D15652" t="s">
        <v>1633</v>
      </c>
      <c r="E15652" t="s">
        <v>561</v>
      </c>
      <c r="F15652" t="s">
        <v>1068</v>
      </c>
      <c r="G15652" t="s">
        <v>1069</v>
      </c>
      <c r="H15652">
        <v>4.6475459636622501E-2</v>
      </c>
      <c r="I15652" t="s">
        <v>1070</v>
      </c>
      <c r="J15652">
        <v>8.1300000000000008</v>
      </c>
    </row>
    <row r="15653" spans="1:10" hidden="1">
      <c r="A15653" t="s">
        <v>9893</v>
      </c>
      <c r="B15653" t="s">
        <v>9894</v>
      </c>
      <c r="C15653" t="s">
        <v>6839</v>
      </c>
      <c r="D15653" t="s">
        <v>1633</v>
      </c>
      <c r="E15653" t="s">
        <v>561</v>
      </c>
      <c r="F15653" t="s">
        <v>1068</v>
      </c>
      <c r="G15653" t="s">
        <v>1071</v>
      </c>
      <c r="H15653" s="171" t="s">
        <v>9895</v>
      </c>
      <c r="I15653" t="s">
        <v>1072</v>
      </c>
      <c r="J15653">
        <v>8.1300000000000008</v>
      </c>
    </row>
    <row r="15654" spans="1:10" hidden="1">
      <c r="A15654" t="s">
        <v>9893</v>
      </c>
      <c r="B15654" t="s">
        <v>9894</v>
      </c>
      <c r="C15654" t="s">
        <v>6839</v>
      </c>
      <c r="D15654" t="s">
        <v>1633</v>
      </c>
      <c r="E15654" t="s">
        <v>561</v>
      </c>
      <c r="F15654" t="s">
        <v>1068</v>
      </c>
      <c r="G15654" t="s">
        <v>1073</v>
      </c>
      <c r="H15654" s="171" t="s">
        <v>9896</v>
      </c>
      <c r="I15654" t="s">
        <v>1074</v>
      </c>
      <c r="J15654">
        <v>8.1300000000000008</v>
      </c>
    </row>
    <row r="15655" spans="1:10" hidden="1">
      <c r="A15655" t="s">
        <v>9893</v>
      </c>
      <c r="B15655" t="s">
        <v>9894</v>
      </c>
      <c r="C15655" t="s">
        <v>6839</v>
      </c>
      <c r="D15655" t="s">
        <v>1633</v>
      </c>
      <c r="E15655" t="s">
        <v>561</v>
      </c>
      <c r="F15655" t="s">
        <v>1068</v>
      </c>
      <c r="G15655" t="s">
        <v>1075</v>
      </c>
      <c r="H15655" s="171" t="s">
        <v>9897</v>
      </c>
      <c r="I15655" t="s">
        <v>1077</v>
      </c>
      <c r="J15655">
        <v>8.1300000000000008</v>
      </c>
    </row>
    <row r="15656" spans="1:10" hidden="1">
      <c r="A15656" t="s">
        <v>9893</v>
      </c>
      <c r="B15656" t="s">
        <v>9894</v>
      </c>
      <c r="C15656" t="s">
        <v>6839</v>
      </c>
      <c r="D15656" t="s">
        <v>1633</v>
      </c>
      <c r="E15656" t="s">
        <v>561</v>
      </c>
      <c r="F15656" t="s">
        <v>1068</v>
      </c>
      <c r="G15656" t="s">
        <v>1078</v>
      </c>
      <c r="H15656">
        <v>2.72081105786014E-2</v>
      </c>
      <c r="I15656" t="s">
        <v>1079</v>
      </c>
      <c r="J15656">
        <v>8.1300000000000008</v>
      </c>
    </row>
    <row r="15657" spans="1:10" hidden="1">
      <c r="A15657" t="s">
        <v>9893</v>
      </c>
      <c r="B15657" t="s">
        <v>9894</v>
      </c>
      <c r="C15657" t="s">
        <v>6839</v>
      </c>
      <c r="D15657" t="s">
        <v>1633</v>
      </c>
      <c r="E15657" t="s">
        <v>561</v>
      </c>
      <c r="F15657" t="s">
        <v>1068</v>
      </c>
      <c r="G15657" t="s">
        <v>1080</v>
      </c>
      <c r="H15657" s="171" t="s">
        <v>9898</v>
      </c>
      <c r="I15657" t="s">
        <v>1082</v>
      </c>
      <c r="J15657">
        <v>8.1300000000000008</v>
      </c>
    </row>
    <row r="15658" spans="1:10" hidden="1">
      <c r="A15658" t="s">
        <v>9893</v>
      </c>
      <c r="B15658" t="s">
        <v>9894</v>
      </c>
      <c r="C15658" t="s">
        <v>6839</v>
      </c>
      <c r="D15658" t="s">
        <v>1633</v>
      </c>
      <c r="E15658" t="s">
        <v>561</v>
      </c>
      <c r="F15658" t="s">
        <v>1068</v>
      </c>
      <c r="G15658" t="s">
        <v>1083</v>
      </c>
      <c r="H15658" s="171" t="s">
        <v>9899</v>
      </c>
      <c r="I15658" t="s">
        <v>1084</v>
      </c>
      <c r="J15658">
        <v>8.1300000000000008</v>
      </c>
    </row>
    <row r="15659" spans="1:10" hidden="1">
      <c r="A15659" t="s">
        <v>9893</v>
      </c>
      <c r="B15659" t="s">
        <v>9894</v>
      </c>
      <c r="C15659" t="s">
        <v>6839</v>
      </c>
      <c r="D15659" t="s">
        <v>1633</v>
      </c>
      <c r="E15659" t="s">
        <v>561</v>
      </c>
      <c r="F15659" t="s">
        <v>1068</v>
      </c>
      <c r="G15659" t="s">
        <v>1085</v>
      </c>
      <c r="H15659">
        <v>4.0766173125933198E-4</v>
      </c>
      <c r="I15659" t="s">
        <v>1086</v>
      </c>
      <c r="J15659">
        <v>8.1300000000000008</v>
      </c>
    </row>
    <row r="15660" spans="1:10" hidden="1">
      <c r="A15660" t="s">
        <v>9893</v>
      </c>
      <c r="B15660" t="s">
        <v>9894</v>
      </c>
      <c r="C15660" t="s">
        <v>6839</v>
      </c>
      <c r="D15660" t="s">
        <v>1633</v>
      </c>
      <c r="E15660" t="s">
        <v>561</v>
      </c>
      <c r="F15660" t="s">
        <v>1068</v>
      </c>
      <c r="G15660" t="s">
        <v>1087</v>
      </c>
      <c r="H15660" s="171" t="s">
        <v>9900</v>
      </c>
      <c r="I15660" t="s">
        <v>1088</v>
      </c>
      <c r="J15660">
        <v>8.1300000000000008</v>
      </c>
    </row>
    <row r="15661" spans="1:10" hidden="1">
      <c r="A15661" t="s">
        <v>9893</v>
      </c>
      <c r="B15661" t="s">
        <v>9894</v>
      </c>
      <c r="C15661" t="s">
        <v>6839</v>
      </c>
      <c r="D15661" t="s">
        <v>1633</v>
      </c>
      <c r="E15661" t="s">
        <v>561</v>
      </c>
      <c r="F15661" t="s">
        <v>1068</v>
      </c>
      <c r="G15661" t="s">
        <v>1089</v>
      </c>
      <c r="H15661">
        <v>1.19391973882988E-4</v>
      </c>
      <c r="I15661" t="s">
        <v>1090</v>
      </c>
      <c r="J15661">
        <v>8.1300000000000008</v>
      </c>
    </row>
    <row r="15662" spans="1:10" hidden="1">
      <c r="A15662" t="s">
        <v>9901</v>
      </c>
      <c r="B15662" t="s">
        <v>9902</v>
      </c>
      <c r="C15662" t="s">
        <v>6839</v>
      </c>
      <c r="D15662" t="s">
        <v>1633</v>
      </c>
      <c r="E15662" t="s">
        <v>555</v>
      </c>
      <c r="F15662" t="s">
        <v>1068</v>
      </c>
      <c r="G15662" t="s">
        <v>1069</v>
      </c>
      <c r="H15662">
        <v>4.6476706543484798E-2</v>
      </c>
      <c r="I15662" t="s">
        <v>1070</v>
      </c>
      <c r="J15662">
        <v>7.66</v>
      </c>
    </row>
    <row r="15663" spans="1:10" hidden="1">
      <c r="A15663" t="s">
        <v>9901</v>
      </c>
      <c r="B15663" t="s">
        <v>9902</v>
      </c>
      <c r="C15663" t="s">
        <v>6839</v>
      </c>
      <c r="D15663" t="s">
        <v>1633</v>
      </c>
      <c r="E15663" t="s">
        <v>555</v>
      </c>
      <c r="F15663" t="s">
        <v>1068</v>
      </c>
      <c r="G15663" t="s">
        <v>1071</v>
      </c>
      <c r="H15663" s="171" t="s">
        <v>9903</v>
      </c>
      <c r="I15663" t="s">
        <v>1072</v>
      </c>
      <c r="J15663">
        <v>7.66</v>
      </c>
    </row>
    <row r="15664" spans="1:10" hidden="1">
      <c r="A15664" t="s">
        <v>9901</v>
      </c>
      <c r="B15664" t="s">
        <v>9902</v>
      </c>
      <c r="C15664" t="s">
        <v>6839</v>
      </c>
      <c r="D15664" t="s">
        <v>1633</v>
      </c>
      <c r="E15664" t="s">
        <v>555</v>
      </c>
      <c r="F15664" t="s">
        <v>1068</v>
      </c>
      <c r="G15664" t="s">
        <v>1073</v>
      </c>
      <c r="H15664" s="171" t="s">
        <v>9904</v>
      </c>
      <c r="I15664" t="s">
        <v>1074</v>
      </c>
      <c r="J15664">
        <v>7.66</v>
      </c>
    </row>
    <row r="15665" spans="1:10" hidden="1">
      <c r="A15665" t="s">
        <v>9901</v>
      </c>
      <c r="B15665" t="s">
        <v>9902</v>
      </c>
      <c r="C15665" t="s">
        <v>6839</v>
      </c>
      <c r="D15665" t="s">
        <v>1633</v>
      </c>
      <c r="E15665" t="s">
        <v>555</v>
      </c>
      <c r="F15665" t="s">
        <v>1068</v>
      </c>
      <c r="G15665" t="s">
        <v>1075</v>
      </c>
      <c r="H15665" s="171" t="s">
        <v>9905</v>
      </c>
      <c r="I15665" t="s">
        <v>1077</v>
      </c>
      <c r="J15665">
        <v>7.66</v>
      </c>
    </row>
    <row r="15666" spans="1:10" hidden="1">
      <c r="A15666" t="s">
        <v>9901</v>
      </c>
      <c r="B15666" t="s">
        <v>9902</v>
      </c>
      <c r="C15666" t="s">
        <v>6839</v>
      </c>
      <c r="D15666" t="s">
        <v>1633</v>
      </c>
      <c r="E15666" t="s">
        <v>555</v>
      </c>
      <c r="F15666" t="s">
        <v>1068</v>
      </c>
      <c r="G15666" t="s">
        <v>1078</v>
      </c>
      <c r="H15666">
        <v>2.7209269723740701E-2</v>
      </c>
      <c r="I15666" t="s">
        <v>1079</v>
      </c>
      <c r="J15666">
        <v>7.66</v>
      </c>
    </row>
    <row r="15667" spans="1:10" hidden="1">
      <c r="A15667" t="s">
        <v>9901</v>
      </c>
      <c r="B15667" t="s">
        <v>9902</v>
      </c>
      <c r="C15667" t="s">
        <v>6839</v>
      </c>
      <c r="D15667" t="s">
        <v>1633</v>
      </c>
      <c r="E15667" t="s">
        <v>555</v>
      </c>
      <c r="F15667" t="s">
        <v>1068</v>
      </c>
      <c r="G15667" t="s">
        <v>1080</v>
      </c>
      <c r="H15667" s="171" t="s">
        <v>9906</v>
      </c>
      <c r="I15667" t="s">
        <v>1082</v>
      </c>
      <c r="J15667">
        <v>7.66</v>
      </c>
    </row>
    <row r="15668" spans="1:10" hidden="1">
      <c r="A15668" t="s">
        <v>9901</v>
      </c>
      <c r="B15668" t="s">
        <v>9902</v>
      </c>
      <c r="C15668" t="s">
        <v>6839</v>
      </c>
      <c r="D15668" t="s">
        <v>1633</v>
      </c>
      <c r="E15668" t="s">
        <v>555</v>
      </c>
      <c r="F15668" t="s">
        <v>1068</v>
      </c>
      <c r="G15668" t="s">
        <v>1083</v>
      </c>
      <c r="H15668" s="171" t="s">
        <v>9907</v>
      </c>
      <c r="I15668" t="s">
        <v>1084</v>
      </c>
      <c r="J15668">
        <v>7.66</v>
      </c>
    </row>
    <row r="15669" spans="1:10" hidden="1">
      <c r="A15669" t="s">
        <v>9901</v>
      </c>
      <c r="B15669" t="s">
        <v>9902</v>
      </c>
      <c r="C15669" t="s">
        <v>6839</v>
      </c>
      <c r="D15669" t="s">
        <v>1633</v>
      </c>
      <c r="E15669" t="s">
        <v>555</v>
      </c>
      <c r="F15669" t="s">
        <v>1068</v>
      </c>
      <c r="G15669" t="s">
        <v>1085</v>
      </c>
      <c r="H15669">
        <v>4.0766318801708899E-4</v>
      </c>
      <c r="I15669" t="s">
        <v>1086</v>
      </c>
      <c r="J15669">
        <v>7.66</v>
      </c>
    </row>
    <row r="15670" spans="1:10" hidden="1">
      <c r="A15670" t="s">
        <v>9901</v>
      </c>
      <c r="B15670" t="s">
        <v>9902</v>
      </c>
      <c r="C15670" t="s">
        <v>6839</v>
      </c>
      <c r="D15670" t="s">
        <v>1633</v>
      </c>
      <c r="E15670" t="s">
        <v>555</v>
      </c>
      <c r="F15670" t="s">
        <v>1068</v>
      </c>
      <c r="G15670" t="s">
        <v>1087</v>
      </c>
      <c r="H15670" s="171" t="s">
        <v>9908</v>
      </c>
      <c r="I15670" t="s">
        <v>1088</v>
      </c>
      <c r="J15670">
        <v>7.66</v>
      </c>
    </row>
    <row r="15671" spans="1:10" hidden="1">
      <c r="A15671" t="s">
        <v>9901</v>
      </c>
      <c r="B15671" t="s">
        <v>9902</v>
      </c>
      <c r="C15671" t="s">
        <v>6839</v>
      </c>
      <c r="D15671" t="s">
        <v>1633</v>
      </c>
      <c r="E15671" t="s">
        <v>555</v>
      </c>
      <c r="F15671" t="s">
        <v>1068</v>
      </c>
      <c r="G15671" t="s">
        <v>1089</v>
      </c>
      <c r="H15671">
        <v>1.1939227443090201E-4</v>
      </c>
      <c r="I15671" t="s">
        <v>1090</v>
      </c>
      <c r="J15671">
        <v>7.66</v>
      </c>
    </row>
    <row r="15672" spans="1:10" hidden="1">
      <c r="A15672" t="s">
        <v>9909</v>
      </c>
      <c r="B15672" t="s">
        <v>9910</v>
      </c>
      <c r="C15672" t="s">
        <v>6839</v>
      </c>
      <c r="D15672" t="s">
        <v>1633</v>
      </c>
      <c r="E15672" t="s">
        <v>558</v>
      </c>
      <c r="F15672" t="s">
        <v>1068</v>
      </c>
      <c r="G15672" t="s">
        <v>1069</v>
      </c>
      <c r="H15672">
        <v>4.6475388655049403E-2</v>
      </c>
      <c r="I15672" t="s">
        <v>1070</v>
      </c>
      <c r="J15672">
        <v>8.31</v>
      </c>
    </row>
    <row r="15673" spans="1:10" hidden="1">
      <c r="A15673" t="s">
        <v>9909</v>
      </c>
      <c r="B15673" t="s">
        <v>9910</v>
      </c>
      <c r="C15673" t="s">
        <v>6839</v>
      </c>
      <c r="D15673" t="s">
        <v>1633</v>
      </c>
      <c r="E15673" t="s">
        <v>558</v>
      </c>
      <c r="F15673" t="s">
        <v>1068</v>
      </c>
      <c r="G15673" t="s">
        <v>1071</v>
      </c>
      <c r="H15673" s="171" t="s">
        <v>9911</v>
      </c>
      <c r="I15673" t="s">
        <v>1072</v>
      </c>
      <c r="J15673">
        <v>8.31</v>
      </c>
    </row>
    <row r="15674" spans="1:10" hidden="1">
      <c r="A15674" t="s">
        <v>9909</v>
      </c>
      <c r="B15674" t="s">
        <v>9910</v>
      </c>
      <c r="C15674" t="s">
        <v>6839</v>
      </c>
      <c r="D15674" t="s">
        <v>1633</v>
      </c>
      <c r="E15674" t="s">
        <v>558</v>
      </c>
      <c r="F15674" t="s">
        <v>1068</v>
      </c>
      <c r="G15674" t="s">
        <v>1073</v>
      </c>
      <c r="H15674" s="171" t="s">
        <v>9912</v>
      </c>
      <c r="I15674" t="s">
        <v>1074</v>
      </c>
      <c r="J15674">
        <v>8.31</v>
      </c>
    </row>
    <row r="15675" spans="1:10" hidden="1">
      <c r="A15675" t="s">
        <v>9909</v>
      </c>
      <c r="B15675" t="s">
        <v>9910</v>
      </c>
      <c r="C15675" t="s">
        <v>6839</v>
      </c>
      <c r="D15675" t="s">
        <v>1633</v>
      </c>
      <c r="E15675" t="s">
        <v>558</v>
      </c>
      <c r="F15675" t="s">
        <v>1068</v>
      </c>
      <c r="G15675" t="s">
        <v>1075</v>
      </c>
      <c r="H15675">
        <v>1.0877667039449399E-2</v>
      </c>
      <c r="I15675" t="s">
        <v>1077</v>
      </c>
      <c r="J15675">
        <v>8.31</v>
      </c>
    </row>
    <row r="15676" spans="1:10" hidden="1">
      <c r="A15676" t="s">
        <v>9909</v>
      </c>
      <c r="B15676" t="s">
        <v>9910</v>
      </c>
      <c r="C15676" t="s">
        <v>6839</v>
      </c>
      <c r="D15676" t="s">
        <v>1633</v>
      </c>
      <c r="E15676" t="s">
        <v>558</v>
      </c>
      <c r="F15676" t="s">
        <v>1068</v>
      </c>
      <c r="G15676" t="s">
        <v>1078</v>
      </c>
      <c r="H15676" s="171" t="s">
        <v>9913</v>
      </c>
      <c r="I15676" t="s">
        <v>1079</v>
      </c>
      <c r="J15676">
        <v>8.31</v>
      </c>
    </row>
    <row r="15677" spans="1:10" hidden="1">
      <c r="A15677" t="s">
        <v>9909</v>
      </c>
      <c r="B15677" t="s">
        <v>9910</v>
      </c>
      <c r="C15677" t="s">
        <v>6839</v>
      </c>
      <c r="D15677" t="s">
        <v>1633</v>
      </c>
      <c r="E15677" t="s">
        <v>558</v>
      </c>
      <c r="F15677" t="s">
        <v>1068</v>
      </c>
      <c r="G15677" t="s">
        <v>1080</v>
      </c>
      <c r="H15677" s="171" t="s">
        <v>9914</v>
      </c>
      <c r="I15677" t="s">
        <v>1082</v>
      </c>
      <c r="J15677">
        <v>8.31</v>
      </c>
    </row>
    <row r="15678" spans="1:10" hidden="1">
      <c r="A15678" t="s">
        <v>9909</v>
      </c>
      <c r="B15678" t="s">
        <v>9910</v>
      </c>
      <c r="C15678" t="s">
        <v>6839</v>
      </c>
      <c r="D15678" t="s">
        <v>1633</v>
      </c>
      <c r="E15678" t="s">
        <v>558</v>
      </c>
      <c r="F15678" t="s">
        <v>1068</v>
      </c>
      <c r="G15678" t="s">
        <v>1083</v>
      </c>
      <c r="H15678" s="171" t="s">
        <v>9915</v>
      </c>
      <c r="I15678" t="s">
        <v>1084</v>
      </c>
      <c r="J15678">
        <v>8.31</v>
      </c>
    </row>
    <row r="15679" spans="1:10" hidden="1">
      <c r="A15679" t="s">
        <v>9909</v>
      </c>
      <c r="B15679" t="s">
        <v>9910</v>
      </c>
      <c r="C15679" t="s">
        <v>6839</v>
      </c>
      <c r="D15679" t="s">
        <v>1633</v>
      </c>
      <c r="E15679" t="s">
        <v>558</v>
      </c>
      <c r="F15679" t="s">
        <v>1068</v>
      </c>
      <c r="G15679" t="s">
        <v>1085</v>
      </c>
      <c r="H15679">
        <v>4.0766160931896602E-4</v>
      </c>
      <c r="I15679" t="s">
        <v>1086</v>
      </c>
      <c r="J15679">
        <v>8.31</v>
      </c>
    </row>
    <row r="15680" spans="1:10" hidden="1">
      <c r="A15680" t="s">
        <v>9909</v>
      </c>
      <c r="B15680" t="s">
        <v>9910</v>
      </c>
      <c r="C15680" t="s">
        <v>6839</v>
      </c>
      <c r="D15680" t="s">
        <v>1633</v>
      </c>
      <c r="E15680" t="s">
        <v>558</v>
      </c>
      <c r="F15680" t="s">
        <v>1068</v>
      </c>
      <c r="G15680" t="s">
        <v>1087</v>
      </c>
      <c r="H15680" s="171" t="s">
        <v>9916</v>
      </c>
      <c r="I15680" t="s">
        <v>1088</v>
      </c>
      <c r="J15680">
        <v>8.31</v>
      </c>
    </row>
    <row r="15681" spans="1:10" hidden="1">
      <c r="A15681" t="s">
        <v>9909</v>
      </c>
      <c r="B15681" t="s">
        <v>9910</v>
      </c>
      <c r="C15681" t="s">
        <v>6839</v>
      </c>
      <c r="D15681" t="s">
        <v>1633</v>
      </c>
      <c r="E15681" t="s">
        <v>558</v>
      </c>
      <c r="F15681" t="s">
        <v>1068</v>
      </c>
      <c r="G15681" t="s">
        <v>1089</v>
      </c>
      <c r="H15681">
        <v>1.19391948726931E-4</v>
      </c>
      <c r="I15681" t="s">
        <v>1090</v>
      </c>
      <c r="J15681">
        <v>8.31</v>
      </c>
    </row>
    <row r="15682" spans="1:10" hidden="1">
      <c r="A15682" t="s">
        <v>9917</v>
      </c>
      <c r="B15682" s="170" t="s">
        <v>9918</v>
      </c>
      <c r="C15682" t="s">
        <v>6839</v>
      </c>
      <c r="D15682" t="s">
        <v>1633</v>
      </c>
      <c r="E15682" t="s">
        <v>553</v>
      </c>
      <c r="F15682" t="s">
        <v>1068</v>
      </c>
      <c r="G15682" t="s">
        <v>1069</v>
      </c>
      <c r="H15682" s="171" t="s">
        <v>9919</v>
      </c>
      <c r="I15682" t="s">
        <v>1070</v>
      </c>
      <c r="J15682">
        <v>8.1</v>
      </c>
    </row>
    <row r="15683" spans="1:10" hidden="1">
      <c r="A15683" t="s">
        <v>9917</v>
      </c>
      <c r="B15683" s="170" t="s">
        <v>9918</v>
      </c>
      <c r="C15683" t="s">
        <v>6839</v>
      </c>
      <c r="D15683" t="s">
        <v>1633</v>
      </c>
      <c r="E15683" t="s">
        <v>553</v>
      </c>
      <c r="F15683" t="s">
        <v>1068</v>
      </c>
      <c r="G15683" t="s">
        <v>1071</v>
      </c>
      <c r="H15683" s="171" t="s">
        <v>9920</v>
      </c>
      <c r="I15683" t="s">
        <v>1072</v>
      </c>
      <c r="J15683">
        <v>8.1</v>
      </c>
    </row>
    <row r="15684" spans="1:10" hidden="1">
      <c r="A15684" t="s">
        <v>9917</v>
      </c>
      <c r="B15684" s="170" t="s">
        <v>9918</v>
      </c>
      <c r="C15684" t="s">
        <v>6839</v>
      </c>
      <c r="D15684" t="s">
        <v>1633</v>
      </c>
      <c r="E15684" t="s">
        <v>553</v>
      </c>
      <c r="F15684" t="s">
        <v>1068</v>
      </c>
      <c r="G15684" t="s">
        <v>1073</v>
      </c>
      <c r="H15684" s="171" t="s">
        <v>9921</v>
      </c>
      <c r="I15684" t="s">
        <v>1074</v>
      </c>
      <c r="J15684">
        <v>8.1</v>
      </c>
    </row>
    <row r="15685" spans="1:10" hidden="1">
      <c r="A15685" t="s">
        <v>9917</v>
      </c>
      <c r="B15685" s="170" t="s">
        <v>9918</v>
      </c>
      <c r="C15685" t="s">
        <v>6839</v>
      </c>
      <c r="D15685" t="s">
        <v>1633</v>
      </c>
      <c r="E15685" t="s">
        <v>553</v>
      </c>
      <c r="F15685" t="s">
        <v>1068</v>
      </c>
      <c r="G15685" t="s">
        <v>1075</v>
      </c>
      <c r="H15685" s="171" t="s">
        <v>9922</v>
      </c>
      <c r="I15685" t="s">
        <v>1077</v>
      </c>
      <c r="J15685">
        <v>8.1</v>
      </c>
    </row>
    <row r="15686" spans="1:10" hidden="1">
      <c r="A15686" t="s">
        <v>9917</v>
      </c>
      <c r="B15686" s="170" t="s">
        <v>9918</v>
      </c>
      <c r="C15686" t="s">
        <v>6839</v>
      </c>
      <c r="D15686" t="s">
        <v>1633</v>
      </c>
      <c r="E15686" t="s">
        <v>553</v>
      </c>
      <c r="F15686" t="s">
        <v>1068</v>
      </c>
      <c r="G15686" t="s">
        <v>1078</v>
      </c>
      <c r="H15686" s="171" t="s">
        <v>9923</v>
      </c>
      <c r="I15686" t="s">
        <v>1079</v>
      </c>
      <c r="J15686">
        <v>8.1</v>
      </c>
    </row>
    <row r="15687" spans="1:10" hidden="1">
      <c r="A15687" t="s">
        <v>9917</v>
      </c>
      <c r="B15687" s="170" t="s">
        <v>9918</v>
      </c>
      <c r="C15687" t="s">
        <v>6839</v>
      </c>
      <c r="D15687" t="s">
        <v>1633</v>
      </c>
      <c r="E15687" t="s">
        <v>553</v>
      </c>
      <c r="F15687" t="s">
        <v>1068</v>
      </c>
      <c r="G15687" t="s">
        <v>1080</v>
      </c>
      <c r="H15687" s="171" t="s">
        <v>9924</v>
      </c>
      <c r="I15687" t="s">
        <v>1082</v>
      </c>
      <c r="J15687">
        <v>8.1</v>
      </c>
    </row>
    <row r="15688" spans="1:10" hidden="1">
      <c r="A15688" t="s">
        <v>9917</v>
      </c>
      <c r="B15688" s="170" t="s">
        <v>9918</v>
      </c>
      <c r="C15688" t="s">
        <v>6839</v>
      </c>
      <c r="D15688" t="s">
        <v>1633</v>
      </c>
      <c r="E15688" t="s">
        <v>553</v>
      </c>
      <c r="F15688" t="s">
        <v>1068</v>
      </c>
      <c r="G15688" t="s">
        <v>1083</v>
      </c>
      <c r="H15688" s="171" t="s">
        <v>9925</v>
      </c>
      <c r="I15688" t="s">
        <v>1084</v>
      </c>
      <c r="J15688">
        <v>8.1</v>
      </c>
    </row>
    <row r="15689" spans="1:10" hidden="1">
      <c r="A15689" t="s">
        <v>9917</v>
      </c>
      <c r="B15689" s="170" t="s">
        <v>9918</v>
      </c>
      <c r="C15689" t="s">
        <v>6839</v>
      </c>
      <c r="D15689" t="s">
        <v>1633</v>
      </c>
      <c r="E15689" t="s">
        <v>553</v>
      </c>
      <c r="F15689" t="s">
        <v>1068</v>
      </c>
      <c r="G15689" t="s">
        <v>1085</v>
      </c>
      <c r="H15689">
        <v>4.0766155962635402E-4</v>
      </c>
      <c r="I15689" t="s">
        <v>1086</v>
      </c>
      <c r="J15689">
        <v>8.1</v>
      </c>
    </row>
    <row r="15690" spans="1:10" hidden="1">
      <c r="A15690" t="s">
        <v>9917</v>
      </c>
      <c r="B15690" s="170" t="s">
        <v>9918</v>
      </c>
      <c r="C15690" t="s">
        <v>6839</v>
      </c>
      <c r="D15690" t="s">
        <v>1633</v>
      </c>
      <c r="E15690" t="s">
        <v>553</v>
      </c>
      <c r="F15690" t="s">
        <v>1068</v>
      </c>
      <c r="G15690" t="s">
        <v>1087</v>
      </c>
      <c r="H15690" s="171" t="s">
        <v>9926</v>
      </c>
      <c r="I15690" t="s">
        <v>1088</v>
      </c>
      <c r="J15690">
        <v>8.1</v>
      </c>
    </row>
    <row r="15691" spans="1:10" hidden="1">
      <c r="A15691" t="s">
        <v>9917</v>
      </c>
      <c r="B15691" s="170" t="s">
        <v>9918</v>
      </c>
      <c r="C15691" t="s">
        <v>6839</v>
      </c>
      <c r="D15691" t="s">
        <v>1633</v>
      </c>
      <c r="E15691" t="s">
        <v>553</v>
      </c>
      <c r="F15691" t="s">
        <v>1068</v>
      </c>
      <c r="G15691" t="s">
        <v>1089</v>
      </c>
      <c r="H15691">
        <v>1.19391938497109E-4</v>
      </c>
      <c r="I15691" t="s">
        <v>1090</v>
      </c>
      <c r="J15691">
        <v>8.1</v>
      </c>
    </row>
    <row r="15692" spans="1:10" hidden="1">
      <c r="A15692" t="s">
        <v>9927</v>
      </c>
      <c r="B15692" t="s">
        <v>9928</v>
      </c>
      <c r="C15692" t="s">
        <v>6839</v>
      </c>
      <c r="D15692" t="s">
        <v>1633</v>
      </c>
      <c r="E15692" t="s">
        <v>556</v>
      </c>
      <c r="F15692" t="s">
        <v>1068</v>
      </c>
      <c r="G15692" t="s">
        <v>1069</v>
      </c>
      <c r="H15692">
        <v>4.6476617449432801E-2</v>
      </c>
      <c r="I15692" t="s">
        <v>1070</v>
      </c>
      <c r="J15692">
        <v>7.55</v>
      </c>
    </row>
    <row r="15693" spans="1:10" hidden="1">
      <c r="A15693" t="s">
        <v>9927</v>
      </c>
      <c r="B15693" t="s">
        <v>9928</v>
      </c>
      <c r="C15693" t="s">
        <v>6839</v>
      </c>
      <c r="D15693" t="s">
        <v>1633</v>
      </c>
      <c r="E15693" t="s">
        <v>556</v>
      </c>
      <c r="F15693" t="s">
        <v>1068</v>
      </c>
      <c r="G15693" t="s">
        <v>1071</v>
      </c>
      <c r="H15693" s="171" t="s">
        <v>9929</v>
      </c>
      <c r="I15693" t="s">
        <v>1072</v>
      </c>
      <c r="J15693">
        <v>7.55</v>
      </c>
    </row>
    <row r="15694" spans="1:10" hidden="1">
      <c r="A15694" t="s">
        <v>9927</v>
      </c>
      <c r="B15694" t="s">
        <v>9928</v>
      </c>
      <c r="C15694" t="s">
        <v>6839</v>
      </c>
      <c r="D15694" t="s">
        <v>1633</v>
      </c>
      <c r="E15694" t="s">
        <v>556</v>
      </c>
      <c r="F15694" t="s">
        <v>1068</v>
      </c>
      <c r="G15694" t="s">
        <v>1073</v>
      </c>
      <c r="H15694" s="171" t="s">
        <v>9930</v>
      </c>
      <c r="I15694" t="s">
        <v>1074</v>
      </c>
      <c r="J15694">
        <v>7.55</v>
      </c>
    </row>
    <row r="15695" spans="1:10" hidden="1">
      <c r="A15695" t="s">
        <v>9927</v>
      </c>
      <c r="B15695" t="s">
        <v>9928</v>
      </c>
      <c r="C15695" t="s">
        <v>6839</v>
      </c>
      <c r="D15695" t="s">
        <v>1633</v>
      </c>
      <c r="E15695" t="s">
        <v>556</v>
      </c>
      <c r="F15695" t="s">
        <v>1068</v>
      </c>
      <c r="G15695" t="s">
        <v>1075</v>
      </c>
      <c r="H15695" s="171" t="s">
        <v>9931</v>
      </c>
      <c r="I15695" t="s">
        <v>1077</v>
      </c>
      <c r="J15695">
        <v>7.55</v>
      </c>
    </row>
    <row r="15696" spans="1:10" hidden="1">
      <c r="A15696" t="s">
        <v>9927</v>
      </c>
      <c r="B15696" t="s">
        <v>9928</v>
      </c>
      <c r="C15696" t="s">
        <v>6839</v>
      </c>
      <c r="D15696" t="s">
        <v>1633</v>
      </c>
      <c r="E15696" t="s">
        <v>556</v>
      </c>
      <c r="F15696" t="s">
        <v>1068</v>
      </c>
      <c r="G15696" t="s">
        <v>1078</v>
      </c>
      <c r="H15696">
        <v>2.7209147933534902E-2</v>
      </c>
      <c r="I15696" t="s">
        <v>1079</v>
      </c>
      <c r="J15696">
        <v>7.55</v>
      </c>
    </row>
    <row r="15697" spans="1:10" hidden="1">
      <c r="A15697" t="s">
        <v>9927</v>
      </c>
      <c r="B15697" t="s">
        <v>9928</v>
      </c>
      <c r="C15697" t="s">
        <v>6839</v>
      </c>
      <c r="D15697" t="s">
        <v>1633</v>
      </c>
      <c r="E15697" t="s">
        <v>556</v>
      </c>
      <c r="F15697" t="s">
        <v>1068</v>
      </c>
      <c r="G15697" t="s">
        <v>1080</v>
      </c>
      <c r="H15697" s="171" t="s">
        <v>9932</v>
      </c>
      <c r="I15697" t="s">
        <v>1082</v>
      </c>
      <c r="J15697">
        <v>7.55</v>
      </c>
    </row>
    <row r="15698" spans="1:10" hidden="1">
      <c r="A15698" t="s">
        <v>9927</v>
      </c>
      <c r="B15698" t="s">
        <v>9928</v>
      </c>
      <c r="C15698" t="s">
        <v>6839</v>
      </c>
      <c r="D15698" t="s">
        <v>1633</v>
      </c>
      <c r="E15698" t="s">
        <v>556</v>
      </c>
      <c r="F15698" t="s">
        <v>1068</v>
      </c>
      <c r="G15698" t="s">
        <v>1083</v>
      </c>
      <c r="H15698" s="171" t="s">
        <v>9933</v>
      </c>
      <c r="I15698" t="s">
        <v>1084</v>
      </c>
      <c r="J15698">
        <v>7.55</v>
      </c>
    </row>
    <row r="15699" spans="1:10" hidden="1">
      <c r="A15699" t="s">
        <v>9927</v>
      </c>
      <c r="B15699" t="s">
        <v>9928</v>
      </c>
      <c r="C15699" t="s">
        <v>6839</v>
      </c>
      <c r="D15699" t="s">
        <v>1633</v>
      </c>
      <c r="E15699" t="s">
        <v>556</v>
      </c>
      <c r="F15699" t="s">
        <v>1068</v>
      </c>
      <c r="G15699" t="s">
        <v>1085</v>
      </c>
      <c r="H15699">
        <v>4.0766303496099E-4</v>
      </c>
      <c r="I15699" t="s">
        <v>1086</v>
      </c>
      <c r="J15699">
        <v>7.55</v>
      </c>
    </row>
    <row r="15700" spans="1:10" hidden="1">
      <c r="A15700" t="s">
        <v>9927</v>
      </c>
      <c r="B15700" t="s">
        <v>9928</v>
      </c>
      <c r="C15700" t="s">
        <v>6839</v>
      </c>
      <c r="D15700" t="s">
        <v>1633</v>
      </c>
      <c r="E15700" t="s">
        <v>556</v>
      </c>
      <c r="F15700" t="s">
        <v>1068</v>
      </c>
      <c r="G15700" t="s">
        <v>1087</v>
      </c>
      <c r="H15700" s="171" t="s">
        <v>9934</v>
      </c>
      <c r="I15700" t="s">
        <v>1088</v>
      </c>
      <c r="J15700">
        <v>7.55</v>
      </c>
    </row>
    <row r="15701" spans="1:10" hidden="1">
      <c r="A15701" t="s">
        <v>9927</v>
      </c>
      <c r="B15701" t="s">
        <v>9928</v>
      </c>
      <c r="C15701" t="s">
        <v>6839</v>
      </c>
      <c r="D15701" t="s">
        <v>1633</v>
      </c>
      <c r="E15701" t="s">
        <v>556</v>
      </c>
      <c r="F15701" t="s">
        <v>1068</v>
      </c>
      <c r="G15701" t="s">
        <v>1089</v>
      </c>
      <c r="H15701">
        <v>1.19392242855732E-4</v>
      </c>
      <c r="I15701" t="s">
        <v>1090</v>
      </c>
      <c r="J15701">
        <v>7.55</v>
      </c>
    </row>
    <row r="15702" spans="1:10" hidden="1">
      <c r="A15702" t="s">
        <v>9935</v>
      </c>
      <c r="B15702" t="s">
        <v>9936</v>
      </c>
      <c r="C15702" t="s">
        <v>6839</v>
      </c>
      <c r="D15702" t="s">
        <v>1633</v>
      </c>
      <c r="E15702" t="s">
        <v>557</v>
      </c>
      <c r="F15702" t="s">
        <v>1068</v>
      </c>
      <c r="G15702" t="s">
        <v>1069</v>
      </c>
      <c r="H15702">
        <v>4.6475681839807902E-2</v>
      </c>
      <c r="I15702" t="s">
        <v>1070</v>
      </c>
      <c r="J15702">
        <v>8.68</v>
      </c>
    </row>
    <row r="15703" spans="1:10" hidden="1">
      <c r="A15703" t="s">
        <v>9935</v>
      </c>
      <c r="B15703" t="s">
        <v>9936</v>
      </c>
      <c r="C15703" t="s">
        <v>6839</v>
      </c>
      <c r="D15703" t="s">
        <v>1633</v>
      </c>
      <c r="E15703" t="s">
        <v>557</v>
      </c>
      <c r="F15703" t="s">
        <v>1068</v>
      </c>
      <c r="G15703" t="s">
        <v>1071</v>
      </c>
      <c r="H15703" s="171" t="s">
        <v>9937</v>
      </c>
      <c r="I15703" t="s">
        <v>1072</v>
      </c>
      <c r="J15703">
        <v>8.68</v>
      </c>
    </row>
    <row r="15704" spans="1:10" hidden="1">
      <c r="A15704" t="s">
        <v>9935</v>
      </c>
      <c r="B15704" t="s">
        <v>9936</v>
      </c>
      <c r="C15704" t="s">
        <v>6839</v>
      </c>
      <c r="D15704" t="s">
        <v>1633</v>
      </c>
      <c r="E15704" t="s">
        <v>557</v>
      </c>
      <c r="F15704" t="s">
        <v>1068</v>
      </c>
      <c r="G15704" t="s">
        <v>1073</v>
      </c>
      <c r="H15704" s="171" t="s">
        <v>9938</v>
      </c>
      <c r="I15704" t="s">
        <v>1074</v>
      </c>
      <c r="J15704">
        <v>8.68</v>
      </c>
    </row>
    <row r="15705" spans="1:10" hidden="1">
      <c r="A15705" t="s">
        <v>9935</v>
      </c>
      <c r="B15705" t="s">
        <v>9936</v>
      </c>
      <c r="C15705" t="s">
        <v>6839</v>
      </c>
      <c r="D15705" t="s">
        <v>1633</v>
      </c>
      <c r="E15705" t="s">
        <v>557</v>
      </c>
      <c r="F15705" t="s">
        <v>1068</v>
      </c>
      <c r="G15705" t="s">
        <v>1075</v>
      </c>
      <c r="H15705" s="171" t="s">
        <v>9939</v>
      </c>
      <c r="I15705" t="s">
        <v>1077</v>
      </c>
      <c r="J15705">
        <v>8.68</v>
      </c>
    </row>
    <row r="15706" spans="1:10" hidden="1">
      <c r="A15706" t="s">
        <v>9935</v>
      </c>
      <c r="B15706" t="s">
        <v>9936</v>
      </c>
      <c r="C15706" t="s">
        <v>6839</v>
      </c>
      <c r="D15706" t="s">
        <v>1633</v>
      </c>
      <c r="E15706" t="s">
        <v>557</v>
      </c>
      <c r="F15706" t="s">
        <v>1068</v>
      </c>
      <c r="G15706" t="s">
        <v>1078</v>
      </c>
      <c r="H15706" s="171" t="s">
        <v>9940</v>
      </c>
      <c r="I15706" t="s">
        <v>1079</v>
      </c>
      <c r="J15706">
        <v>8.68</v>
      </c>
    </row>
    <row r="15707" spans="1:10" hidden="1">
      <c r="A15707" t="s">
        <v>9935</v>
      </c>
      <c r="B15707" t="s">
        <v>9936</v>
      </c>
      <c r="C15707" t="s">
        <v>6839</v>
      </c>
      <c r="D15707" t="s">
        <v>1633</v>
      </c>
      <c r="E15707" t="s">
        <v>557</v>
      </c>
      <c r="F15707" t="s">
        <v>1068</v>
      </c>
      <c r="G15707" t="s">
        <v>1080</v>
      </c>
      <c r="H15707" s="171" t="s">
        <v>9941</v>
      </c>
      <c r="I15707" t="s">
        <v>1082</v>
      </c>
      <c r="J15707">
        <v>8.68</v>
      </c>
    </row>
    <row r="15708" spans="1:10" hidden="1">
      <c r="A15708" t="s">
        <v>9935</v>
      </c>
      <c r="B15708" t="s">
        <v>9936</v>
      </c>
      <c r="C15708" t="s">
        <v>6839</v>
      </c>
      <c r="D15708" t="s">
        <v>1633</v>
      </c>
      <c r="E15708" t="s">
        <v>557</v>
      </c>
      <c r="F15708" t="s">
        <v>1068</v>
      </c>
      <c r="G15708" t="s">
        <v>1083</v>
      </c>
      <c r="H15708" s="171" t="s">
        <v>9942</v>
      </c>
      <c r="I15708" t="s">
        <v>1084</v>
      </c>
      <c r="J15708">
        <v>8.68</v>
      </c>
    </row>
    <row r="15709" spans="1:10" hidden="1">
      <c r="A15709" t="s">
        <v>9935</v>
      </c>
      <c r="B15709" t="s">
        <v>9936</v>
      </c>
      <c r="C15709" t="s">
        <v>6839</v>
      </c>
      <c r="D15709" t="s">
        <v>1633</v>
      </c>
      <c r="E15709" t="s">
        <v>557</v>
      </c>
      <c r="F15709" t="s">
        <v>1068</v>
      </c>
      <c r="G15709" t="s">
        <v>1085</v>
      </c>
      <c r="H15709">
        <v>4.0766211298569902E-4</v>
      </c>
      <c r="I15709" t="s">
        <v>1086</v>
      </c>
      <c r="J15709">
        <v>8.68</v>
      </c>
    </row>
    <row r="15710" spans="1:10" hidden="1">
      <c r="A15710" t="s">
        <v>9935</v>
      </c>
      <c r="B15710" t="s">
        <v>9936</v>
      </c>
      <c r="C15710" t="s">
        <v>6839</v>
      </c>
      <c r="D15710" t="s">
        <v>1633</v>
      </c>
      <c r="E15710" t="s">
        <v>557</v>
      </c>
      <c r="F15710" t="s">
        <v>1068</v>
      </c>
      <c r="G15710" t="s">
        <v>1087</v>
      </c>
      <c r="H15710" s="171" t="s">
        <v>9943</v>
      </c>
      <c r="I15710" t="s">
        <v>1088</v>
      </c>
      <c r="J15710">
        <v>8.68</v>
      </c>
    </row>
    <row r="15711" spans="1:10" hidden="1">
      <c r="A15711" t="s">
        <v>9935</v>
      </c>
      <c r="B15711" t="s">
        <v>9936</v>
      </c>
      <c r="C15711" t="s">
        <v>6839</v>
      </c>
      <c r="D15711" t="s">
        <v>1633</v>
      </c>
      <c r="E15711" t="s">
        <v>557</v>
      </c>
      <c r="F15711" t="s">
        <v>1068</v>
      </c>
      <c r="G15711" t="s">
        <v>1089</v>
      </c>
      <c r="H15711">
        <v>1.19392052632384E-4</v>
      </c>
      <c r="I15711" t="s">
        <v>1090</v>
      </c>
      <c r="J15711">
        <v>8.68</v>
      </c>
    </row>
    <row r="15712" spans="1:10" hidden="1">
      <c r="A15712" t="s">
        <v>9944</v>
      </c>
      <c r="B15712" t="s">
        <v>9945</v>
      </c>
      <c r="C15712" t="s">
        <v>6839</v>
      </c>
      <c r="D15712" t="s">
        <v>1633</v>
      </c>
      <c r="E15712" t="s">
        <v>559</v>
      </c>
      <c r="F15712" t="s">
        <v>1068</v>
      </c>
      <c r="G15712" t="s">
        <v>1069</v>
      </c>
      <c r="H15712" s="171" t="s">
        <v>9946</v>
      </c>
      <c r="I15712" t="s">
        <v>1070</v>
      </c>
      <c r="J15712">
        <v>7.76</v>
      </c>
    </row>
    <row r="15713" spans="1:10" hidden="1">
      <c r="A15713" t="s">
        <v>9944</v>
      </c>
      <c r="B15713" t="s">
        <v>9945</v>
      </c>
      <c r="C15713" t="s">
        <v>6839</v>
      </c>
      <c r="D15713" t="s">
        <v>1633</v>
      </c>
      <c r="E15713" t="s">
        <v>559</v>
      </c>
      <c r="F15713" t="s">
        <v>1068</v>
      </c>
      <c r="G15713" t="s">
        <v>1071</v>
      </c>
      <c r="H15713" s="171" t="s">
        <v>9947</v>
      </c>
      <c r="I15713" t="s">
        <v>1072</v>
      </c>
      <c r="J15713">
        <v>7.76</v>
      </c>
    </row>
    <row r="15714" spans="1:10" hidden="1">
      <c r="A15714" t="s">
        <v>9944</v>
      </c>
      <c r="B15714" t="s">
        <v>9945</v>
      </c>
      <c r="C15714" t="s">
        <v>6839</v>
      </c>
      <c r="D15714" t="s">
        <v>1633</v>
      </c>
      <c r="E15714" t="s">
        <v>559</v>
      </c>
      <c r="F15714" t="s">
        <v>1068</v>
      </c>
      <c r="G15714" t="s">
        <v>1073</v>
      </c>
      <c r="H15714" s="171" t="s">
        <v>9948</v>
      </c>
      <c r="I15714" t="s">
        <v>1074</v>
      </c>
      <c r="J15714">
        <v>7.76</v>
      </c>
    </row>
    <row r="15715" spans="1:10" hidden="1">
      <c r="A15715" t="s">
        <v>9944</v>
      </c>
      <c r="B15715" t="s">
        <v>9945</v>
      </c>
      <c r="C15715" t="s">
        <v>6839</v>
      </c>
      <c r="D15715" t="s">
        <v>1633</v>
      </c>
      <c r="E15715" t="s">
        <v>559</v>
      </c>
      <c r="F15715" t="s">
        <v>1068</v>
      </c>
      <c r="G15715" t="s">
        <v>1075</v>
      </c>
      <c r="H15715" s="171" t="s">
        <v>9949</v>
      </c>
      <c r="I15715" t="s">
        <v>1077</v>
      </c>
      <c r="J15715">
        <v>7.76</v>
      </c>
    </row>
    <row r="15716" spans="1:10" hidden="1">
      <c r="A15716" t="s">
        <v>9944</v>
      </c>
      <c r="B15716" t="s">
        <v>9945</v>
      </c>
      <c r="C15716" t="s">
        <v>6839</v>
      </c>
      <c r="D15716" t="s">
        <v>1633</v>
      </c>
      <c r="E15716" t="s">
        <v>559</v>
      </c>
      <c r="F15716" t="s">
        <v>1068</v>
      </c>
      <c r="G15716" t="s">
        <v>1078</v>
      </c>
      <c r="H15716" s="171" t="s">
        <v>9950</v>
      </c>
      <c r="I15716" t="s">
        <v>1079</v>
      </c>
      <c r="J15716">
        <v>7.76</v>
      </c>
    </row>
    <row r="15717" spans="1:10" hidden="1">
      <c r="A15717" t="s">
        <v>9944</v>
      </c>
      <c r="B15717" t="s">
        <v>9945</v>
      </c>
      <c r="C15717" t="s">
        <v>6839</v>
      </c>
      <c r="D15717" t="s">
        <v>1633</v>
      </c>
      <c r="E15717" t="s">
        <v>559</v>
      </c>
      <c r="F15717" t="s">
        <v>1068</v>
      </c>
      <c r="G15717" t="s">
        <v>1080</v>
      </c>
      <c r="H15717" s="171" t="s">
        <v>9951</v>
      </c>
      <c r="I15717" t="s">
        <v>1082</v>
      </c>
      <c r="J15717">
        <v>7.76</v>
      </c>
    </row>
    <row r="15718" spans="1:10" hidden="1">
      <c r="A15718" t="s">
        <v>9944</v>
      </c>
      <c r="B15718" t="s">
        <v>9945</v>
      </c>
      <c r="C15718" t="s">
        <v>6839</v>
      </c>
      <c r="D15718" t="s">
        <v>1633</v>
      </c>
      <c r="E15718" t="s">
        <v>559</v>
      </c>
      <c r="F15718" t="s">
        <v>1068</v>
      </c>
      <c r="G15718" t="s">
        <v>1083</v>
      </c>
      <c r="H15718" s="171" t="s">
        <v>9952</v>
      </c>
      <c r="I15718" t="s">
        <v>1084</v>
      </c>
      <c r="J15718">
        <v>7.76</v>
      </c>
    </row>
    <row r="15719" spans="1:10" hidden="1">
      <c r="A15719" t="s">
        <v>9944</v>
      </c>
      <c r="B15719" t="s">
        <v>9945</v>
      </c>
      <c r="C15719" t="s">
        <v>6839</v>
      </c>
      <c r="D15719" t="s">
        <v>1633</v>
      </c>
      <c r="E15719" t="s">
        <v>559</v>
      </c>
      <c r="F15719" t="s">
        <v>1068</v>
      </c>
      <c r="G15719" t="s">
        <v>1085</v>
      </c>
      <c r="H15719">
        <v>4.0766259642944401E-4</v>
      </c>
      <c r="I15719" t="s">
        <v>1086</v>
      </c>
      <c r="J15719">
        <v>7.76</v>
      </c>
    </row>
    <row r="15720" spans="1:10" hidden="1">
      <c r="A15720" t="s">
        <v>9944</v>
      </c>
      <c r="B15720" t="s">
        <v>9945</v>
      </c>
      <c r="C15720" t="s">
        <v>6839</v>
      </c>
      <c r="D15720" t="s">
        <v>1633</v>
      </c>
      <c r="E15720" t="s">
        <v>559</v>
      </c>
      <c r="F15720" t="s">
        <v>1068</v>
      </c>
      <c r="G15720" t="s">
        <v>1087</v>
      </c>
      <c r="H15720" s="171" t="s">
        <v>9953</v>
      </c>
      <c r="I15720" t="s">
        <v>1088</v>
      </c>
      <c r="J15720">
        <v>7.76</v>
      </c>
    </row>
    <row r="15721" spans="1:10" hidden="1">
      <c r="A15721" t="s">
        <v>9944</v>
      </c>
      <c r="B15721" t="s">
        <v>9945</v>
      </c>
      <c r="C15721" t="s">
        <v>6839</v>
      </c>
      <c r="D15721" t="s">
        <v>1633</v>
      </c>
      <c r="E15721" t="s">
        <v>559</v>
      </c>
      <c r="F15721" t="s">
        <v>1068</v>
      </c>
      <c r="G15721" t="s">
        <v>1089</v>
      </c>
      <c r="H15721">
        <v>1.19392152387539E-4</v>
      </c>
      <c r="I15721" t="s">
        <v>1090</v>
      </c>
      <c r="J15721">
        <v>7.76</v>
      </c>
    </row>
    <row r="15722" spans="1:10" hidden="1">
      <c r="A15722" t="s">
        <v>9954</v>
      </c>
      <c r="B15722" t="s">
        <v>9955</v>
      </c>
      <c r="C15722" t="s">
        <v>6839</v>
      </c>
      <c r="D15722" t="s">
        <v>1633</v>
      </c>
      <c r="E15722" t="s">
        <v>560</v>
      </c>
      <c r="F15722" t="s">
        <v>1068</v>
      </c>
      <c r="G15722" t="s">
        <v>1069</v>
      </c>
      <c r="H15722">
        <v>4.6475838205012603E-2</v>
      </c>
      <c r="I15722" t="s">
        <v>1070</v>
      </c>
      <c r="J15722">
        <v>7.6</v>
      </c>
    </row>
    <row r="15723" spans="1:10" hidden="1">
      <c r="A15723" t="s">
        <v>9954</v>
      </c>
      <c r="B15723" t="s">
        <v>9955</v>
      </c>
      <c r="C15723" t="s">
        <v>6839</v>
      </c>
      <c r="D15723" t="s">
        <v>1633</v>
      </c>
      <c r="E15723" t="s">
        <v>560</v>
      </c>
      <c r="F15723" t="s">
        <v>1068</v>
      </c>
      <c r="G15723" t="s">
        <v>1071</v>
      </c>
      <c r="H15723" s="171" t="s">
        <v>9956</v>
      </c>
      <c r="I15723" t="s">
        <v>1072</v>
      </c>
      <c r="J15723">
        <v>7.6</v>
      </c>
    </row>
    <row r="15724" spans="1:10" hidden="1">
      <c r="A15724" t="s">
        <v>9954</v>
      </c>
      <c r="B15724" t="s">
        <v>9955</v>
      </c>
      <c r="C15724" t="s">
        <v>6839</v>
      </c>
      <c r="D15724" t="s">
        <v>1633</v>
      </c>
      <c r="E15724" t="s">
        <v>560</v>
      </c>
      <c r="F15724" t="s">
        <v>1068</v>
      </c>
      <c r="G15724" t="s">
        <v>1073</v>
      </c>
      <c r="H15724" s="171" t="s">
        <v>9957</v>
      </c>
      <c r="I15724" t="s">
        <v>1074</v>
      </c>
      <c r="J15724">
        <v>7.6</v>
      </c>
    </row>
    <row r="15725" spans="1:10" hidden="1">
      <c r="A15725" t="s">
        <v>9954</v>
      </c>
      <c r="B15725" t="s">
        <v>9955</v>
      </c>
      <c r="C15725" t="s">
        <v>6839</v>
      </c>
      <c r="D15725" t="s">
        <v>1633</v>
      </c>
      <c r="E15725" t="s">
        <v>560</v>
      </c>
      <c r="F15725" t="s">
        <v>1068</v>
      </c>
      <c r="G15725" t="s">
        <v>1075</v>
      </c>
      <c r="H15725" s="171" t="s">
        <v>9958</v>
      </c>
      <c r="I15725" t="s">
        <v>1077</v>
      </c>
      <c r="J15725">
        <v>7.6</v>
      </c>
    </row>
    <row r="15726" spans="1:10" hidden="1">
      <c r="A15726" t="s">
        <v>9954</v>
      </c>
      <c r="B15726" t="s">
        <v>9955</v>
      </c>
      <c r="C15726" t="s">
        <v>6839</v>
      </c>
      <c r="D15726" t="s">
        <v>1633</v>
      </c>
      <c r="E15726" t="s">
        <v>560</v>
      </c>
      <c r="F15726" t="s">
        <v>1068</v>
      </c>
      <c r="G15726" t="s">
        <v>1078</v>
      </c>
      <c r="H15726" s="171" t="s">
        <v>9959</v>
      </c>
      <c r="I15726" t="s">
        <v>1079</v>
      </c>
      <c r="J15726">
        <v>7.6</v>
      </c>
    </row>
    <row r="15727" spans="1:10" hidden="1">
      <c r="A15727" t="s">
        <v>9954</v>
      </c>
      <c r="B15727" t="s">
        <v>9955</v>
      </c>
      <c r="C15727" t="s">
        <v>6839</v>
      </c>
      <c r="D15727" t="s">
        <v>1633</v>
      </c>
      <c r="E15727" t="s">
        <v>560</v>
      </c>
      <c r="F15727" t="s">
        <v>1068</v>
      </c>
      <c r="G15727" t="s">
        <v>1080</v>
      </c>
      <c r="H15727" s="171" t="s">
        <v>9960</v>
      </c>
      <c r="I15727" t="s">
        <v>1082</v>
      </c>
      <c r="J15727">
        <v>7.6</v>
      </c>
    </row>
    <row r="15728" spans="1:10" hidden="1">
      <c r="A15728" t="s">
        <v>9954</v>
      </c>
      <c r="B15728" t="s">
        <v>9955</v>
      </c>
      <c r="C15728" t="s">
        <v>6839</v>
      </c>
      <c r="D15728" t="s">
        <v>1633</v>
      </c>
      <c r="E15728" t="s">
        <v>560</v>
      </c>
      <c r="F15728" t="s">
        <v>1068</v>
      </c>
      <c r="G15728" t="s">
        <v>1083</v>
      </c>
      <c r="H15728" s="171" t="s">
        <v>9961</v>
      </c>
      <c r="I15728" t="s">
        <v>1084</v>
      </c>
      <c r="J15728">
        <v>7.6</v>
      </c>
    </row>
    <row r="15729" spans="1:10" hidden="1">
      <c r="A15729" t="s">
        <v>9954</v>
      </c>
      <c r="B15729" t="s">
        <v>9955</v>
      </c>
      <c r="C15729" t="s">
        <v>6839</v>
      </c>
      <c r="D15729" t="s">
        <v>1633</v>
      </c>
      <c r="E15729" t="s">
        <v>560</v>
      </c>
      <c r="F15729" t="s">
        <v>1068</v>
      </c>
      <c r="G15729" t="s">
        <v>1085</v>
      </c>
      <c r="H15729">
        <v>4.0766238160795502E-4</v>
      </c>
      <c r="I15729" t="s">
        <v>1086</v>
      </c>
      <c r="J15729">
        <v>7.6</v>
      </c>
    </row>
    <row r="15730" spans="1:10" hidden="1">
      <c r="A15730" t="s">
        <v>9954</v>
      </c>
      <c r="B15730" t="s">
        <v>9955</v>
      </c>
      <c r="C15730" t="s">
        <v>6839</v>
      </c>
      <c r="D15730" t="s">
        <v>1633</v>
      </c>
      <c r="E15730" t="s">
        <v>560</v>
      </c>
      <c r="F15730" t="s">
        <v>1068</v>
      </c>
      <c r="G15730" t="s">
        <v>1087</v>
      </c>
      <c r="H15730" s="171" t="s">
        <v>9962</v>
      </c>
      <c r="I15730" t="s">
        <v>1088</v>
      </c>
      <c r="J15730">
        <v>7.6</v>
      </c>
    </row>
    <row r="15731" spans="1:10" hidden="1">
      <c r="A15731" t="s">
        <v>9954</v>
      </c>
      <c r="B15731" t="s">
        <v>9955</v>
      </c>
      <c r="C15731" t="s">
        <v>6839</v>
      </c>
      <c r="D15731" t="s">
        <v>1633</v>
      </c>
      <c r="E15731" t="s">
        <v>560</v>
      </c>
      <c r="F15731" t="s">
        <v>1068</v>
      </c>
      <c r="G15731" t="s">
        <v>1089</v>
      </c>
      <c r="H15731">
        <v>1.19392108048625E-4</v>
      </c>
      <c r="I15731" t="s">
        <v>1090</v>
      </c>
      <c r="J15731">
        <v>7.6</v>
      </c>
    </row>
    <row r="15732" spans="1:10" hidden="1">
      <c r="A15732" t="s">
        <v>9963</v>
      </c>
      <c r="B15732" t="s">
        <v>9964</v>
      </c>
      <c r="C15732" t="s">
        <v>6839</v>
      </c>
      <c r="D15732" t="s">
        <v>1633</v>
      </c>
      <c r="E15732" t="s">
        <v>1116</v>
      </c>
      <c r="F15732" t="s">
        <v>1068</v>
      </c>
      <c r="G15732" t="s">
        <v>1069</v>
      </c>
      <c r="H15732" s="171" t="s">
        <v>9965</v>
      </c>
      <c r="I15732" t="s">
        <v>1070</v>
      </c>
      <c r="J15732">
        <v>8.1</v>
      </c>
    </row>
    <row r="15733" spans="1:10" hidden="1">
      <c r="A15733" t="s">
        <v>9963</v>
      </c>
      <c r="B15733" t="s">
        <v>9964</v>
      </c>
      <c r="C15733" t="s">
        <v>6839</v>
      </c>
      <c r="D15733" t="s">
        <v>1633</v>
      </c>
      <c r="E15733" t="s">
        <v>1116</v>
      </c>
      <c r="F15733" t="s">
        <v>1068</v>
      </c>
      <c r="G15733" t="s">
        <v>1071</v>
      </c>
      <c r="H15733" s="171" t="s">
        <v>9966</v>
      </c>
      <c r="I15733" t="s">
        <v>1072</v>
      </c>
      <c r="J15733">
        <v>8.1</v>
      </c>
    </row>
    <row r="15734" spans="1:10" hidden="1">
      <c r="A15734" t="s">
        <v>9963</v>
      </c>
      <c r="B15734" t="s">
        <v>9964</v>
      </c>
      <c r="C15734" t="s">
        <v>6839</v>
      </c>
      <c r="D15734" t="s">
        <v>1633</v>
      </c>
      <c r="E15734" t="s">
        <v>1116</v>
      </c>
      <c r="F15734" t="s">
        <v>1068</v>
      </c>
      <c r="G15734" t="s">
        <v>1073</v>
      </c>
      <c r="H15734" s="171" t="s">
        <v>9967</v>
      </c>
      <c r="I15734" t="s">
        <v>1074</v>
      </c>
      <c r="J15734">
        <v>8.1</v>
      </c>
    </row>
    <row r="15735" spans="1:10" hidden="1">
      <c r="A15735" t="s">
        <v>9963</v>
      </c>
      <c r="B15735" t="s">
        <v>9964</v>
      </c>
      <c r="C15735" t="s">
        <v>6839</v>
      </c>
      <c r="D15735" t="s">
        <v>1633</v>
      </c>
      <c r="E15735" t="s">
        <v>1116</v>
      </c>
      <c r="F15735" t="s">
        <v>1068</v>
      </c>
      <c r="G15735" t="s">
        <v>1075</v>
      </c>
      <c r="H15735" s="171" t="s">
        <v>9968</v>
      </c>
      <c r="I15735" t="s">
        <v>1077</v>
      </c>
      <c r="J15735">
        <v>8.1</v>
      </c>
    </row>
    <row r="15736" spans="1:10" hidden="1">
      <c r="A15736" t="s">
        <v>9963</v>
      </c>
      <c r="B15736" t="s">
        <v>9964</v>
      </c>
      <c r="C15736" t="s">
        <v>6839</v>
      </c>
      <c r="D15736" t="s">
        <v>1633</v>
      </c>
      <c r="E15736" t="s">
        <v>1116</v>
      </c>
      <c r="F15736" t="s">
        <v>1068</v>
      </c>
      <c r="G15736" t="s">
        <v>1078</v>
      </c>
      <c r="H15736" s="171" t="s">
        <v>9969</v>
      </c>
      <c r="I15736" t="s">
        <v>1079</v>
      </c>
      <c r="J15736">
        <v>8.1</v>
      </c>
    </row>
    <row r="15737" spans="1:10" hidden="1">
      <c r="A15737" t="s">
        <v>9963</v>
      </c>
      <c r="B15737" t="s">
        <v>9964</v>
      </c>
      <c r="C15737" t="s">
        <v>6839</v>
      </c>
      <c r="D15737" t="s">
        <v>1633</v>
      </c>
      <c r="E15737" t="s">
        <v>1116</v>
      </c>
      <c r="F15737" t="s">
        <v>1068</v>
      </c>
      <c r="G15737" t="s">
        <v>1080</v>
      </c>
      <c r="H15737" s="171" t="s">
        <v>9970</v>
      </c>
      <c r="I15737" t="s">
        <v>1082</v>
      </c>
      <c r="J15737">
        <v>8.1</v>
      </c>
    </row>
    <row r="15738" spans="1:10" hidden="1">
      <c r="A15738" t="s">
        <v>9963</v>
      </c>
      <c r="B15738" t="s">
        <v>9964</v>
      </c>
      <c r="C15738" t="s">
        <v>6839</v>
      </c>
      <c r="D15738" t="s">
        <v>1633</v>
      </c>
      <c r="E15738" t="s">
        <v>1116</v>
      </c>
      <c r="F15738" t="s">
        <v>1068</v>
      </c>
      <c r="G15738" t="s">
        <v>1083</v>
      </c>
      <c r="H15738" s="171" t="s">
        <v>9971</v>
      </c>
      <c r="I15738" t="s">
        <v>1084</v>
      </c>
      <c r="J15738">
        <v>8.1</v>
      </c>
    </row>
    <row r="15739" spans="1:10" hidden="1">
      <c r="A15739" t="s">
        <v>9963</v>
      </c>
      <c r="B15739" t="s">
        <v>9964</v>
      </c>
      <c r="C15739" t="s">
        <v>6839</v>
      </c>
      <c r="D15739" t="s">
        <v>1633</v>
      </c>
      <c r="E15739" t="s">
        <v>1116</v>
      </c>
      <c r="F15739" t="s">
        <v>1068</v>
      </c>
      <c r="G15739" t="s">
        <v>1085</v>
      </c>
      <c r="H15739">
        <v>4.07661566312391E-4</v>
      </c>
      <c r="I15739" t="s">
        <v>1086</v>
      </c>
      <c r="J15739">
        <v>8.1</v>
      </c>
    </row>
    <row r="15740" spans="1:10" hidden="1">
      <c r="A15740" t="s">
        <v>9963</v>
      </c>
      <c r="B15740" t="s">
        <v>9964</v>
      </c>
      <c r="C15740" t="s">
        <v>6839</v>
      </c>
      <c r="D15740" t="s">
        <v>1633</v>
      </c>
      <c r="E15740" t="s">
        <v>1116</v>
      </c>
      <c r="F15740" t="s">
        <v>1068</v>
      </c>
      <c r="G15740" t="s">
        <v>1087</v>
      </c>
      <c r="H15740" s="171" t="s">
        <v>9972</v>
      </c>
      <c r="I15740" t="s">
        <v>1088</v>
      </c>
      <c r="J15740">
        <v>8.1</v>
      </c>
    </row>
    <row r="15741" spans="1:10" hidden="1">
      <c r="A15741" t="s">
        <v>9963</v>
      </c>
      <c r="B15741" t="s">
        <v>9964</v>
      </c>
      <c r="C15741" t="s">
        <v>6839</v>
      </c>
      <c r="D15741" t="s">
        <v>1633</v>
      </c>
      <c r="E15741" t="s">
        <v>1116</v>
      </c>
      <c r="F15741" t="s">
        <v>1068</v>
      </c>
      <c r="G15741" t="s">
        <v>1089</v>
      </c>
      <c r="H15741">
        <v>1.1939193985476E-4</v>
      </c>
      <c r="I15741" t="s">
        <v>1090</v>
      </c>
      <c r="J15741">
        <v>8.1</v>
      </c>
    </row>
    <row r="15742" spans="1:10" hidden="1">
      <c r="A15742" t="s">
        <v>9973</v>
      </c>
      <c r="B15742" t="s">
        <v>9974</v>
      </c>
      <c r="C15742" t="s">
        <v>6839</v>
      </c>
      <c r="D15742" t="s">
        <v>1673</v>
      </c>
      <c r="E15742" t="s">
        <v>561</v>
      </c>
      <c r="F15742" t="s">
        <v>1068</v>
      </c>
      <c r="G15742" t="s">
        <v>1069</v>
      </c>
      <c r="H15742">
        <v>4.8096921942414397E-2</v>
      </c>
      <c r="I15742" t="s">
        <v>1070</v>
      </c>
      <c r="J15742">
        <v>8.73</v>
      </c>
    </row>
    <row r="15743" spans="1:10" hidden="1">
      <c r="A15743" t="s">
        <v>9973</v>
      </c>
      <c r="B15743" t="s">
        <v>9974</v>
      </c>
      <c r="C15743" t="s">
        <v>6839</v>
      </c>
      <c r="D15743" t="s">
        <v>1673</v>
      </c>
      <c r="E15743" t="s">
        <v>561</v>
      </c>
      <c r="F15743" t="s">
        <v>1068</v>
      </c>
      <c r="G15743" t="s">
        <v>1071</v>
      </c>
      <c r="H15743" s="171" t="s">
        <v>9975</v>
      </c>
      <c r="I15743" t="s">
        <v>1072</v>
      </c>
      <c r="J15743">
        <v>8.73</v>
      </c>
    </row>
    <row r="15744" spans="1:10" hidden="1">
      <c r="A15744" t="s">
        <v>9973</v>
      </c>
      <c r="B15744" t="s">
        <v>9974</v>
      </c>
      <c r="C15744" t="s">
        <v>6839</v>
      </c>
      <c r="D15744" t="s">
        <v>1673</v>
      </c>
      <c r="E15744" t="s">
        <v>561</v>
      </c>
      <c r="F15744" t="s">
        <v>1068</v>
      </c>
      <c r="G15744" t="s">
        <v>1073</v>
      </c>
      <c r="H15744" s="171" t="s">
        <v>9976</v>
      </c>
      <c r="I15744" t="s">
        <v>1074</v>
      </c>
      <c r="J15744">
        <v>8.73</v>
      </c>
    </row>
    <row r="15745" spans="1:10" hidden="1">
      <c r="A15745" t="s">
        <v>9973</v>
      </c>
      <c r="B15745" t="s">
        <v>9974</v>
      </c>
      <c r="C15745" t="s">
        <v>6839</v>
      </c>
      <c r="D15745" t="s">
        <v>1673</v>
      </c>
      <c r="E15745" t="s">
        <v>561</v>
      </c>
      <c r="F15745" t="s">
        <v>1068</v>
      </c>
      <c r="G15745" t="s">
        <v>1075</v>
      </c>
      <c r="H15745">
        <v>4.4784874790789204E-3</v>
      </c>
      <c r="I15745" t="s">
        <v>1077</v>
      </c>
      <c r="J15745">
        <v>8.73</v>
      </c>
    </row>
    <row r="15746" spans="1:10" hidden="1">
      <c r="A15746" t="s">
        <v>9973</v>
      </c>
      <c r="B15746" t="s">
        <v>9974</v>
      </c>
      <c r="C15746" t="s">
        <v>6839</v>
      </c>
      <c r="D15746" t="s">
        <v>1673</v>
      </c>
      <c r="E15746" t="s">
        <v>561</v>
      </c>
      <c r="F15746" t="s">
        <v>1068</v>
      </c>
      <c r="G15746" t="s">
        <v>1078</v>
      </c>
      <c r="H15746" s="171" t="s">
        <v>9977</v>
      </c>
      <c r="I15746" t="s">
        <v>1079</v>
      </c>
      <c r="J15746">
        <v>8.73</v>
      </c>
    </row>
    <row r="15747" spans="1:10" hidden="1">
      <c r="A15747" t="s">
        <v>9973</v>
      </c>
      <c r="B15747" t="s">
        <v>9974</v>
      </c>
      <c r="C15747" t="s">
        <v>6839</v>
      </c>
      <c r="D15747" t="s">
        <v>1673</v>
      </c>
      <c r="E15747" t="s">
        <v>561</v>
      </c>
      <c r="F15747" t="s">
        <v>1068</v>
      </c>
      <c r="G15747" t="s">
        <v>1080</v>
      </c>
      <c r="H15747" s="171" t="s">
        <v>9978</v>
      </c>
      <c r="I15747" t="s">
        <v>1082</v>
      </c>
      <c r="J15747">
        <v>8.73</v>
      </c>
    </row>
    <row r="15748" spans="1:10" hidden="1">
      <c r="A15748" t="s">
        <v>9973</v>
      </c>
      <c r="B15748" t="s">
        <v>9974</v>
      </c>
      <c r="C15748" t="s">
        <v>6839</v>
      </c>
      <c r="D15748" t="s">
        <v>1673</v>
      </c>
      <c r="E15748" t="s">
        <v>561</v>
      </c>
      <c r="F15748" t="s">
        <v>1068</v>
      </c>
      <c r="G15748" t="s">
        <v>1083</v>
      </c>
      <c r="H15748" s="171" t="s">
        <v>9979</v>
      </c>
      <c r="I15748" t="s">
        <v>1084</v>
      </c>
      <c r="J15748">
        <v>8.73</v>
      </c>
    </row>
    <row r="15749" spans="1:10" hidden="1">
      <c r="A15749" t="s">
        <v>9973</v>
      </c>
      <c r="B15749" t="s">
        <v>9974</v>
      </c>
      <c r="C15749" t="s">
        <v>6839</v>
      </c>
      <c r="D15749" t="s">
        <v>1673</v>
      </c>
      <c r="E15749" t="s">
        <v>561</v>
      </c>
      <c r="F15749" t="s">
        <v>1068</v>
      </c>
      <c r="G15749" t="s">
        <v>1085</v>
      </c>
      <c r="H15749">
        <v>1.855125151102E-4</v>
      </c>
      <c r="I15749" t="s">
        <v>1086</v>
      </c>
      <c r="J15749">
        <v>8.73</v>
      </c>
    </row>
    <row r="15750" spans="1:10" hidden="1">
      <c r="A15750" t="s">
        <v>9973</v>
      </c>
      <c r="B15750" t="s">
        <v>9974</v>
      </c>
      <c r="C15750" t="s">
        <v>6839</v>
      </c>
      <c r="D15750" t="s">
        <v>1673</v>
      </c>
      <c r="E15750" t="s">
        <v>561</v>
      </c>
      <c r="F15750" t="s">
        <v>1068</v>
      </c>
      <c r="G15750" t="s">
        <v>1087</v>
      </c>
      <c r="H15750" s="171" t="s">
        <v>9980</v>
      </c>
      <c r="I15750" t="s">
        <v>1088</v>
      </c>
      <c r="J15750">
        <v>8.73</v>
      </c>
    </row>
    <row r="15751" spans="1:10" hidden="1">
      <c r="A15751" t="s">
        <v>9973</v>
      </c>
      <c r="B15751" t="s">
        <v>9974</v>
      </c>
      <c r="C15751" t="s">
        <v>6839</v>
      </c>
      <c r="D15751" t="s">
        <v>1673</v>
      </c>
      <c r="E15751" t="s">
        <v>561</v>
      </c>
      <c r="F15751" t="s">
        <v>1068</v>
      </c>
      <c r="G15751" t="s">
        <v>1089</v>
      </c>
      <c r="H15751" s="171" t="s">
        <v>9981</v>
      </c>
      <c r="I15751" t="s">
        <v>1090</v>
      </c>
      <c r="J15751">
        <v>8.73</v>
      </c>
    </row>
    <row r="15752" spans="1:10" hidden="1">
      <c r="A15752" t="s">
        <v>9982</v>
      </c>
      <c r="B15752" t="s">
        <v>9983</v>
      </c>
      <c r="C15752" t="s">
        <v>6839</v>
      </c>
      <c r="D15752" t="s">
        <v>1673</v>
      </c>
      <c r="E15752" t="s">
        <v>555</v>
      </c>
      <c r="F15752" t="s">
        <v>1068</v>
      </c>
      <c r="G15752" t="s">
        <v>1069</v>
      </c>
      <c r="H15752">
        <v>4.8098678780883197E-2</v>
      </c>
      <c r="I15752" t="s">
        <v>1070</v>
      </c>
      <c r="J15752">
        <v>7.51</v>
      </c>
    </row>
    <row r="15753" spans="1:10" hidden="1">
      <c r="A15753" t="s">
        <v>9982</v>
      </c>
      <c r="B15753" t="s">
        <v>9983</v>
      </c>
      <c r="C15753" t="s">
        <v>6839</v>
      </c>
      <c r="D15753" t="s">
        <v>1673</v>
      </c>
      <c r="E15753" t="s">
        <v>555</v>
      </c>
      <c r="F15753" t="s">
        <v>1068</v>
      </c>
      <c r="G15753" t="s">
        <v>1071</v>
      </c>
      <c r="H15753" s="171" t="s">
        <v>9984</v>
      </c>
      <c r="I15753" t="s">
        <v>1072</v>
      </c>
      <c r="J15753">
        <v>7.51</v>
      </c>
    </row>
    <row r="15754" spans="1:10" hidden="1">
      <c r="A15754" t="s">
        <v>9982</v>
      </c>
      <c r="B15754" t="s">
        <v>9983</v>
      </c>
      <c r="C15754" t="s">
        <v>6839</v>
      </c>
      <c r="D15754" t="s">
        <v>1673</v>
      </c>
      <c r="E15754" t="s">
        <v>555</v>
      </c>
      <c r="F15754" t="s">
        <v>1068</v>
      </c>
      <c r="G15754" t="s">
        <v>1073</v>
      </c>
      <c r="H15754" s="171" t="s">
        <v>9985</v>
      </c>
      <c r="I15754" t="s">
        <v>1074</v>
      </c>
      <c r="J15754">
        <v>7.51</v>
      </c>
    </row>
    <row r="15755" spans="1:10" hidden="1">
      <c r="A15755" t="s">
        <v>9982</v>
      </c>
      <c r="B15755" t="s">
        <v>9983</v>
      </c>
      <c r="C15755" t="s">
        <v>6839</v>
      </c>
      <c r="D15755" t="s">
        <v>1673</v>
      </c>
      <c r="E15755" t="s">
        <v>555</v>
      </c>
      <c r="F15755" t="s">
        <v>1068</v>
      </c>
      <c r="G15755" t="s">
        <v>1075</v>
      </c>
      <c r="H15755">
        <v>4.47852533653793E-3</v>
      </c>
      <c r="I15755" t="s">
        <v>1077</v>
      </c>
      <c r="J15755">
        <v>7.51</v>
      </c>
    </row>
    <row r="15756" spans="1:10" hidden="1">
      <c r="A15756" t="s">
        <v>9982</v>
      </c>
      <c r="B15756" t="s">
        <v>9983</v>
      </c>
      <c r="C15756" t="s">
        <v>6839</v>
      </c>
      <c r="D15756" t="s">
        <v>1673</v>
      </c>
      <c r="E15756" t="s">
        <v>555</v>
      </c>
      <c r="F15756" t="s">
        <v>1068</v>
      </c>
      <c r="G15756" t="s">
        <v>1078</v>
      </c>
      <c r="H15756" s="171" t="s">
        <v>9986</v>
      </c>
      <c r="I15756" t="s">
        <v>1079</v>
      </c>
      <c r="J15756">
        <v>7.51</v>
      </c>
    </row>
    <row r="15757" spans="1:10" hidden="1">
      <c r="A15757" t="s">
        <v>9982</v>
      </c>
      <c r="B15757" t="s">
        <v>9983</v>
      </c>
      <c r="C15757" t="s">
        <v>6839</v>
      </c>
      <c r="D15757" t="s">
        <v>1673</v>
      </c>
      <c r="E15757" t="s">
        <v>555</v>
      </c>
      <c r="F15757" t="s">
        <v>1068</v>
      </c>
      <c r="G15757" t="s">
        <v>1080</v>
      </c>
      <c r="H15757" s="171" t="s">
        <v>9987</v>
      </c>
      <c r="I15757" t="s">
        <v>1082</v>
      </c>
      <c r="J15757">
        <v>7.51</v>
      </c>
    </row>
    <row r="15758" spans="1:10" hidden="1">
      <c r="A15758" t="s">
        <v>9982</v>
      </c>
      <c r="B15758" t="s">
        <v>9983</v>
      </c>
      <c r="C15758" t="s">
        <v>6839</v>
      </c>
      <c r="D15758" t="s">
        <v>1673</v>
      </c>
      <c r="E15758" t="s">
        <v>555</v>
      </c>
      <c r="F15758" t="s">
        <v>1068</v>
      </c>
      <c r="G15758" t="s">
        <v>1083</v>
      </c>
      <c r="H15758" s="171" t="s">
        <v>9988</v>
      </c>
      <c r="I15758" t="s">
        <v>1084</v>
      </c>
      <c r="J15758">
        <v>7.51</v>
      </c>
    </row>
    <row r="15759" spans="1:10" hidden="1">
      <c r="A15759" t="s">
        <v>9982</v>
      </c>
      <c r="B15759" t="s">
        <v>9983</v>
      </c>
      <c r="C15759" t="s">
        <v>6839</v>
      </c>
      <c r="D15759" t="s">
        <v>1673</v>
      </c>
      <c r="E15759" t="s">
        <v>555</v>
      </c>
      <c r="F15759" t="s">
        <v>1068</v>
      </c>
      <c r="G15759" t="s">
        <v>1085</v>
      </c>
      <c r="H15759">
        <v>1.8551457216397599E-4</v>
      </c>
      <c r="I15759" t="s">
        <v>1086</v>
      </c>
      <c r="J15759">
        <v>7.51</v>
      </c>
    </row>
    <row r="15760" spans="1:10" hidden="1">
      <c r="A15760" t="s">
        <v>9982</v>
      </c>
      <c r="B15760" t="s">
        <v>9983</v>
      </c>
      <c r="C15760" t="s">
        <v>6839</v>
      </c>
      <c r="D15760" t="s">
        <v>1673</v>
      </c>
      <c r="E15760" t="s">
        <v>555</v>
      </c>
      <c r="F15760" t="s">
        <v>1068</v>
      </c>
      <c r="G15760" t="s">
        <v>1087</v>
      </c>
      <c r="H15760" s="171" t="s">
        <v>9989</v>
      </c>
      <c r="I15760" t="s">
        <v>1088</v>
      </c>
      <c r="J15760">
        <v>7.51</v>
      </c>
    </row>
    <row r="15761" spans="1:10" hidden="1">
      <c r="A15761" t="s">
        <v>9982</v>
      </c>
      <c r="B15761" t="s">
        <v>9983</v>
      </c>
      <c r="C15761" t="s">
        <v>6839</v>
      </c>
      <c r="D15761" t="s">
        <v>1673</v>
      </c>
      <c r="E15761" t="s">
        <v>555</v>
      </c>
      <c r="F15761" t="s">
        <v>1068</v>
      </c>
      <c r="G15761" t="s">
        <v>1089</v>
      </c>
      <c r="H15761" s="171" t="s">
        <v>9990</v>
      </c>
      <c r="I15761" t="s">
        <v>1090</v>
      </c>
      <c r="J15761">
        <v>7.51</v>
      </c>
    </row>
    <row r="15762" spans="1:10" hidden="1">
      <c r="A15762" t="s">
        <v>9991</v>
      </c>
      <c r="B15762" t="s">
        <v>9992</v>
      </c>
      <c r="C15762" t="s">
        <v>6839</v>
      </c>
      <c r="D15762" t="s">
        <v>1673</v>
      </c>
      <c r="E15762" t="s">
        <v>558</v>
      </c>
      <c r="F15762" t="s">
        <v>1068</v>
      </c>
      <c r="G15762" t="s">
        <v>1069</v>
      </c>
      <c r="H15762" s="171" t="s">
        <v>9993</v>
      </c>
      <c r="I15762" t="s">
        <v>1070</v>
      </c>
      <c r="J15762">
        <v>7.68</v>
      </c>
    </row>
    <row r="15763" spans="1:10" hidden="1">
      <c r="A15763" t="s">
        <v>9991</v>
      </c>
      <c r="B15763" t="s">
        <v>9992</v>
      </c>
      <c r="C15763" t="s">
        <v>6839</v>
      </c>
      <c r="D15763" t="s">
        <v>1673</v>
      </c>
      <c r="E15763" t="s">
        <v>558</v>
      </c>
      <c r="F15763" t="s">
        <v>1068</v>
      </c>
      <c r="G15763" t="s">
        <v>1071</v>
      </c>
      <c r="H15763" s="171" t="s">
        <v>9994</v>
      </c>
      <c r="I15763" t="s">
        <v>1072</v>
      </c>
      <c r="J15763">
        <v>7.68</v>
      </c>
    </row>
    <row r="15764" spans="1:10" hidden="1">
      <c r="A15764" t="s">
        <v>9991</v>
      </c>
      <c r="B15764" t="s">
        <v>9992</v>
      </c>
      <c r="C15764" t="s">
        <v>6839</v>
      </c>
      <c r="D15764" t="s">
        <v>1673</v>
      </c>
      <c r="E15764" t="s">
        <v>558</v>
      </c>
      <c r="F15764" t="s">
        <v>1068</v>
      </c>
      <c r="G15764" t="s">
        <v>1073</v>
      </c>
      <c r="H15764" s="171" t="s">
        <v>9995</v>
      </c>
      <c r="I15764" t="s">
        <v>1074</v>
      </c>
      <c r="J15764">
        <v>7.68</v>
      </c>
    </row>
    <row r="15765" spans="1:10" hidden="1">
      <c r="A15765" t="s">
        <v>9991</v>
      </c>
      <c r="B15765" t="s">
        <v>9992</v>
      </c>
      <c r="C15765" t="s">
        <v>6839</v>
      </c>
      <c r="D15765" t="s">
        <v>1673</v>
      </c>
      <c r="E15765" t="s">
        <v>558</v>
      </c>
      <c r="F15765" t="s">
        <v>1068</v>
      </c>
      <c r="G15765" t="s">
        <v>1075</v>
      </c>
      <c r="H15765">
        <v>4.4784843106532501E-3</v>
      </c>
      <c r="I15765" t="s">
        <v>1077</v>
      </c>
      <c r="J15765">
        <v>7.68</v>
      </c>
    </row>
    <row r="15766" spans="1:10" hidden="1">
      <c r="A15766" t="s">
        <v>9991</v>
      </c>
      <c r="B15766" t="s">
        <v>9992</v>
      </c>
      <c r="C15766" t="s">
        <v>6839</v>
      </c>
      <c r="D15766" t="s">
        <v>1673</v>
      </c>
      <c r="E15766" t="s">
        <v>558</v>
      </c>
      <c r="F15766" t="s">
        <v>1068</v>
      </c>
      <c r="G15766" t="s">
        <v>1078</v>
      </c>
      <c r="H15766" s="171" t="s">
        <v>9996</v>
      </c>
      <c r="I15766" t="s">
        <v>1079</v>
      </c>
      <c r="J15766">
        <v>7.68</v>
      </c>
    </row>
    <row r="15767" spans="1:10" hidden="1">
      <c r="A15767" t="s">
        <v>9991</v>
      </c>
      <c r="B15767" t="s">
        <v>9992</v>
      </c>
      <c r="C15767" t="s">
        <v>6839</v>
      </c>
      <c r="D15767" t="s">
        <v>1673</v>
      </c>
      <c r="E15767" t="s">
        <v>558</v>
      </c>
      <c r="F15767" t="s">
        <v>1068</v>
      </c>
      <c r="G15767" t="s">
        <v>1080</v>
      </c>
      <c r="H15767" s="171" t="s">
        <v>9997</v>
      </c>
      <c r="I15767" t="s">
        <v>1082</v>
      </c>
      <c r="J15767">
        <v>7.68</v>
      </c>
    </row>
    <row r="15768" spans="1:10" hidden="1">
      <c r="A15768" t="s">
        <v>9991</v>
      </c>
      <c r="B15768" t="s">
        <v>9992</v>
      </c>
      <c r="C15768" t="s">
        <v>6839</v>
      </c>
      <c r="D15768" t="s">
        <v>1673</v>
      </c>
      <c r="E15768" t="s">
        <v>558</v>
      </c>
      <c r="F15768" t="s">
        <v>1068</v>
      </c>
      <c r="G15768" t="s">
        <v>1083</v>
      </c>
      <c r="H15768" s="171" t="s">
        <v>9998</v>
      </c>
      <c r="I15768" t="s">
        <v>1084</v>
      </c>
      <c r="J15768">
        <v>7.68</v>
      </c>
    </row>
    <row r="15769" spans="1:10" hidden="1">
      <c r="A15769" t="s">
        <v>9991</v>
      </c>
      <c r="B15769" t="s">
        <v>9992</v>
      </c>
      <c r="C15769" t="s">
        <v>6839</v>
      </c>
      <c r="D15769" t="s">
        <v>1673</v>
      </c>
      <c r="E15769" t="s">
        <v>558</v>
      </c>
      <c r="F15769" t="s">
        <v>1068</v>
      </c>
      <c r="G15769" t="s">
        <v>1085</v>
      </c>
      <c r="H15769">
        <v>1.8551234292087299E-4</v>
      </c>
      <c r="I15769" t="s">
        <v>1086</v>
      </c>
      <c r="J15769">
        <v>7.68</v>
      </c>
    </row>
    <row r="15770" spans="1:10" hidden="1">
      <c r="A15770" t="s">
        <v>9991</v>
      </c>
      <c r="B15770" t="s">
        <v>9992</v>
      </c>
      <c r="C15770" t="s">
        <v>6839</v>
      </c>
      <c r="D15770" t="s">
        <v>1673</v>
      </c>
      <c r="E15770" t="s">
        <v>558</v>
      </c>
      <c r="F15770" t="s">
        <v>1068</v>
      </c>
      <c r="G15770" t="s">
        <v>1087</v>
      </c>
      <c r="H15770" s="171" t="s">
        <v>9999</v>
      </c>
      <c r="I15770" t="s">
        <v>1088</v>
      </c>
      <c r="J15770">
        <v>7.68</v>
      </c>
    </row>
    <row r="15771" spans="1:10" hidden="1">
      <c r="A15771" t="s">
        <v>9991</v>
      </c>
      <c r="B15771" t="s">
        <v>9992</v>
      </c>
      <c r="C15771" t="s">
        <v>6839</v>
      </c>
      <c r="D15771" t="s">
        <v>1673</v>
      </c>
      <c r="E15771" t="s">
        <v>558</v>
      </c>
      <c r="F15771" t="s">
        <v>1068</v>
      </c>
      <c r="G15771" t="s">
        <v>1089</v>
      </c>
      <c r="H15771" s="171" t="s">
        <v>10000</v>
      </c>
      <c r="I15771" t="s">
        <v>1090</v>
      </c>
      <c r="J15771">
        <v>7.68</v>
      </c>
    </row>
    <row r="15772" spans="1:10" hidden="1">
      <c r="A15772" t="s">
        <v>10001</v>
      </c>
      <c r="B15772" t="s">
        <v>10002</v>
      </c>
      <c r="C15772" t="s">
        <v>6839</v>
      </c>
      <c r="D15772" t="s">
        <v>1673</v>
      </c>
      <c r="E15772" t="s">
        <v>553</v>
      </c>
      <c r="F15772" t="s">
        <v>1068</v>
      </c>
      <c r="G15772" t="s">
        <v>1069</v>
      </c>
      <c r="H15772" s="171" t="s">
        <v>10003</v>
      </c>
      <c r="I15772" t="s">
        <v>1070</v>
      </c>
      <c r="J15772">
        <v>8.18</v>
      </c>
    </row>
    <row r="15773" spans="1:10" hidden="1">
      <c r="A15773" t="s">
        <v>10001</v>
      </c>
      <c r="B15773" t="s">
        <v>10002</v>
      </c>
      <c r="C15773" t="s">
        <v>6839</v>
      </c>
      <c r="D15773" t="s">
        <v>1673</v>
      </c>
      <c r="E15773" t="s">
        <v>553</v>
      </c>
      <c r="F15773" t="s">
        <v>1068</v>
      </c>
      <c r="G15773" t="s">
        <v>1071</v>
      </c>
      <c r="H15773" s="171" t="s">
        <v>10004</v>
      </c>
      <c r="I15773" t="s">
        <v>1072</v>
      </c>
      <c r="J15773">
        <v>8.18</v>
      </c>
    </row>
    <row r="15774" spans="1:10" hidden="1">
      <c r="A15774" t="s">
        <v>10001</v>
      </c>
      <c r="B15774" t="s">
        <v>10002</v>
      </c>
      <c r="C15774" t="s">
        <v>6839</v>
      </c>
      <c r="D15774" t="s">
        <v>1673</v>
      </c>
      <c r="E15774" t="s">
        <v>553</v>
      </c>
      <c r="F15774" t="s">
        <v>1068</v>
      </c>
      <c r="G15774" t="s">
        <v>1073</v>
      </c>
      <c r="H15774" s="171" t="s">
        <v>10005</v>
      </c>
      <c r="I15774" t="s">
        <v>1074</v>
      </c>
      <c r="J15774">
        <v>8.18</v>
      </c>
    </row>
    <row r="15775" spans="1:10" hidden="1">
      <c r="A15775" t="s">
        <v>10001</v>
      </c>
      <c r="B15775" t="s">
        <v>10002</v>
      </c>
      <c r="C15775" t="s">
        <v>6839</v>
      </c>
      <c r="D15775" t="s">
        <v>1673</v>
      </c>
      <c r="E15775" t="s">
        <v>553</v>
      </c>
      <c r="F15775" t="s">
        <v>1068</v>
      </c>
      <c r="G15775" t="s">
        <v>1075</v>
      </c>
      <c r="H15775">
        <v>4.4784830254052197E-3</v>
      </c>
      <c r="I15775" t="s">
        <v>1077</v>
      </c>
      <c r="J15775">
        <v>8.18</v>
      </c>
    </row>
    <row r="15776" spans="1:10" hidden="1">
      <c r="A15776" t="s">
        <v>10001</v>
      </c>
      <c r="B15776" t="s">
        <v>10002</v>
      </c>
      <c r="C15776" t="s">
        <v>6839</v>
      </c>
      <c r="D15776" t="s">
        <v>1673</v>
      </c>
      <c r="E15776" t="s">
        <v>553</v>
      </c>
      <c r="F15776" t="s">
        <v>1068</v>
      </c>
      <c r="G15776" t="s">
        <v>1078</v>
      </c>
      <c r="H15776" s="171" t="s">
        <v>10006</v>
      </c>
      <c r="I15776" t="s">
        <v>1079</v>
      </c>
      <c r="J15776">
        <v>8.18</v>
      </c>
    </row>
    <row r="15777" spans="1:10" hidden="1">
      <c r="A15777" t="s">
        <v>10001</v>
      </c>
      <c r="B15777" t="s">
        <v>10002</v>
      </c>
      <c r="C15777" t="s">
        <v>6839</v>
      </c>
      <c r="D15777" t="s">
        <v>1673</v>
      </c>
      <c r="E15777" t="s">
        <v>553</v>
      </c>
      <c r="F15777" t="s">
        <v>1068</v>
      </c>
      <c r="G15777" t="s">
        <v>1080</v>
      </c>
      <c r="H15777" s="171" t="s">
        <v>10007</v>
      </c>
      <c r="I15777" t="s">
        <v>1082</v>
      </c>
      <c r="J15777">
        <v>8.18</v>
      </c>
    </row>
    <row r="15778" spans="1:10" hidden="1">
      <c r="A15778" t="s">
        <v>10001</v>
      </c>
      <c r="B15778" t="s">
        <v>10002</v>
      </c>
      <c r="C15778" t="s">
        <v>6839</v>
      </c>
      <c r="D15778" t="s">
        <v>1673</v>
      </c>
      <c r="E15778" t="s">
        <v>553</v>
      </c>
      <c r="F15778" t="s">
        <v>1068</v>
      </c>
      <c r="G15778" t="s">
        <v>1083</v>
      </c>
      <c r="H15778" s="171" t="s">
        <v>10008</v>
      </c>
      <c r="I15778" t="s">
        <v>1084</v>
      </c>
      <c r="J15778">
        <v>8.18</v>
      </c>
    </row>
    <row r="15779" spans="1:10" hidden="1">
      <c r="A15779" t="s">
        <v>10001</v>
      </c>
      <c r="B15779" t="s">
        <v>10002</v>
      </c>
      <c r="C15779" t="s">
        <v>6839</v>
      </c>
      <c r="D15779" t="s">
        <v>1673</v>
      </c>
      <c r="E15779" t="s">
        <v>553</v>
      </c>
      <c r="F15779" t="s">
        <v>1068</v>
      </c>
      <c r="G15779" t="s">
        <v>1085</v>
      </c>
      <c r="H15779">
        <v>1.85512272748995E-4</v>
      </c>
      <c r="I15779" t="s">
        <v>1086</v>
      </c>
      <c r="J15779">
        <v>8.18</v>
      </c>
    </row>
    <row r="15780" spans="1:10" hidden="1">
      <c r="A15780" t="s">
        <v>10001</v>
      </c>
      <c r="B15780" t="s">
        <v>10002</v>
      </c>
      <c r="C15780" t="s">
        <v>6839</v>
      </c>
      <c r="D15780" t="s">
        <v>1673</v>
      </c>
      <c r="E15780" t="s">
        <v>553</v>
      </c>
      <c r="F15780" t="s">
        <v>1068</v>
      </c>
      <c r="G15780" t="s">
        <v>1087</v>
      </c>
      <c r="H15780" s="171" t="s">
        <v>10009</v>
      </c>
      <c r="I15780" t="s">
        <v>1088</v>
      </c>
      <c r="J15780">
        <v>8.18</v>
      </c>
    </row>
    <row r="15781" spans="1:10" hidden="1">
      <c r="A15781" t="s">
        <v>10001</v>
      </c>
      <c r="B15781" t="s">
        <v>10002</v>
      </c>
      <c r="C15781" t="s">
        <v>6839</v>
      </c>
      <c r="D15781" t="s">
        <v>1673</v>
      </c>
      <c r="E15781" t="s">
        <v>553</v>
      </c>
      <c r="F15781" t="s">
        <v>1068</v>
      </c>
      <c r="G15781" t="s">
        <v>1089</v>
      </c>
      <c r="H15781" s="171" t="s">
        <v>10010</v>
      </c>
      <c r="I15781" t="s">
        <v>1090</v>
      </c>
      <c r="J15781">
        <v>8.18</v>
      </c>
    </row>
    <row r="15782" spans="1:10" hidden="1">
      <c r="A15782" t="s">
        <v>10011</v>
      </c>
      <c r="B15782" t="s">
        <v>10012</v>
      </c>
      <c r="C15782" t="s">
        <v>6839</v>
      </c>
      <c r="D15782" t="s">
        <v>1673</v>
      </c>
      <c r="E15782" t="s">
        <v>556</v>
      </c>
      <c r="F15782" t="s">
        <v>1068</v>
      </c>
      <c r="G15782" t="s">
        <v>1069</v>
      </c>
      <c r="H15782">
        <v>4.8098552973113697E-2</v>
      </c>
      <c r="I15782" t="s">
        <v>1070</v>
      </c>
      <c r="J15782">
        <v>8.11</v>
      </c>
    </row>
    <row r="15783" spans="1:10" hidden="1">
      <c r="A15783" t="s">
        <v>10011</v>
      </c>
      <c r="B15783" t="s">
        <v>10012</v>
      </c>
      <c r="C15783" t="s">
        <v>6839</v>
      </c>
      <c r="D15783" t="s">
        <v>1673</v>
      </c>
      <c r="E15783" t="s">
        <v>556</v>
      </c>
      <c r="F15783" t="s">
        <v>1068</v>
      </c>
      <c r="G15783" t="s">
        <v>1071</v>
      </c>
      <c r="H15783" s="171" t="s">
        <v>10013</v>
      </c>
      <c r="I15783" t="s">
        <v>1072</v>
      </c>
      <c r="J15783">
        <v>8.11</v>
      </c>
    </row>
    <row r="15784" spans="1:10" hidden="1">
      <c r="A15784" t="s">
        <v>10011</v>
      </c>
      <c r="B15784" t="s">
        <v>10012</v>
      </c>
      <c r="C15784" t="s">
        <v>6839</v>
      </c>
      <c r="D15784" t="s">
        <v>1673</v>
      </c>
      <c r="E15784" t="s">
        <v>556</v>
      </c>
      <c r="F15784" t="s">
        <v>1068</v>
      </c>
      <c r="G15784" t="s">
        <v>1073</v>
      </c>
      <c r="H15784" s="171" t="s">
        <v>10014</v>
      </c>
      <c r="I15784" t="s">
        <v>1074</v>
      </c>
      <c r="J15784">
        <v>8.11</v>
      </c>
    </row>
    <row r="15785" spans="1:10" hidden="1">
      <c r="A15785" t="s">
        <v>10011</v>
      </c>
      <c r="B15785" t="s">
        <v>10012</v>
      </c>
      <c r="C15785" t="s">
        <v>6839</v>
      </c>
      <c r="D15785" t="s">
        <v>1673</v>
      </c>
      <c r="E15785" t="s">
        <v>556</v>
      </c>
      <c r="F15785" t="s">
        <v>1068</v>
      </c>
      <c r="G15785" t="s">
        <v>1075</v>
      </c>
      <c r="H15785">
        <v>4.4785213596197204E-3</v>
      </c>
      <c r="I15785" t="s">
        <v>1077</v>
      </c>
      <c r="J15785">
        <v>8.11</v>
      </c>
    </row>
    <row r="15786" spans="1:10" hidden="1">
      <c r="A15786" t="s">
        <v>10011</v>
      </c>
      <c r="B15786" t="s">
        <v>10012</v>
      </c>
      <c r="C15786" t="s">
        <v>6839</v>
      </c>
      <c r="D15786" t="s">
        <v>1673</v>
      </c>
      <c r="E15786" t="s">
        <v>556</v>
      </c>
      <c r="F15786" t="s">
        <v>1068</v>
      </c>
      <c r="G15786" t="s">
        <v>1078</v>
      </c>
      <c r="H15786">
        <v>2.5754502073186199E-2</v>
      </c>
      <c r="I15786" t="s">
        <v>1079</v>
      </c>
      <c r="J15786">
        <v>8.11</v>
      </c>
    </row>
    <row r="15787" spans="1:10" hidden="1">
      <c r="A15787" t="s">
        <v>10011</v>
      </c>
      <c r="B15787" t="s">
        <v>10012</v>
      </c>
      <c r="C15787" t="s">
        <v>6839</v>
      </c>
      <c r="D15787" t="s">
        <v>1673</v>
      </c>
      <c r="E15787" t="s">
        <v>556</v>
      </c>
      <c r="F15787" t="s">
        <v>1068</v>
      </c>
      <c r="G15787" t="s">
        <v>1080</v>
      </c>
      <c r="H15787" s="171" t="s">
        <v>10015</v>
      </c>
      <c r="I15787" t="s">
        <v>1082</v>
      </c>
      <c r="J15787">
        <v>8.11</v>
      </c>
    </row>
    <row r="15788" spans="1:10" hidden="1">
      <c r="A15788" t="s">
        <v>10011</v>
      </c>
      <c r="B15788" t="s">
        <v>10012</v>
      </c>
      <c r="C15788" t="s">
        <v>6839</v>
      </c>
      <c r="D15788" t="s">
        <v>1673</v>
      </c>
      <c r="E15788" t="s">
        <v>556</v>
      </c>
      <c r="F15788" t="s">
        <v>1068</v>
      </c>
      <c r="G15788" t="s">
        <v>1083</v>
      </c>
      <c r="H15788" s="171" t="s">
        <v>10016</v>
      </c>
      <c r="I15788" t="s">
        <v>1084</v>
      </c>
      <c r="J15788">
        <v>8.11</v>
      </c>
    </row>
    <row r="15789" spans="1:10" hidden="1">
      <c r="A15789" t="s">
        <v>10011</v>
      </c>
      <c r="B15789" t="s">
        <v>10012</v>
      </c>
      <c r="C15789" t="s">
        <v>6839</v>
      </c>
      <c r="D15789" t="s">
        <v>1673</v>
      </c>
      <c r="E15789" t="s">
        <v>556</v>
      </c>
      <c r="F15789" t="s">
        <v>1068</v>
      </c>
      <c r="G15789" t="s">
        <v>1085</v>
      </c>
      <c r="H15789">
        <v>1.8551435603679899E-4</v>
      </c>
      <c r="I15789" t="s">
        <v>1086</v>
      </c>
      <c r="J15789">
        <v>8.11</v>
      </c>
    </row>
    <row r="15790" spans="1:10" hidden="1">
      <c r="A15790" t="s">
        <v>10011</v>
      </c>
      <c r="B15790" t="s">
        <v>10012</v>
      </c>
      <c r="C15790" t="s">
        <v>6839</v>
      </c>
      <c r="D15790" t="s">
        <v>1673</v>
      </c>
      <c r="E15790" t="s">
        <v>556</v>
      </c>
      <c r="F15790" t="s">
        <v>1068</v>
      </c>
      <c r="G15790" t="s">
        <v>1087</v>
      </c>
      <c r="H15790" s="171" t="s">
        <v>10017</v>
      </c>
      <c r="I15790" t="s">
        <v>1088</v>
      </c>
      <c r="J15790">
        <v>8.11</v>
      </c>
    </row>
    <row r="15791" spans="1:10" hidden="1">
      <c r="A15791" t="s">
        <v>10011</v>
      </c>
      <c r="B15791" t="s">
        <v>10012</v>
      </c>
      <c r="C15791" t="s">
        <v>6839</v>
      </c>
      <c r="D15791" t="s">
        <v>1673</v>
      </c>
      <c r="E15791" t="s">
        <v>556</v>
      </c>
      <c r="F15791" t="s">
        <v>1068</v>
      </c>
      <c r="G15791" t="s">
        <v>1089</v>
      </c>
      <c r="H15791" s="171" t="s">
        <v>10018</v>
      </c>
      <c r="I15791" t="s">
        <v>1090</v>
      </c>
      <c r="J15791">
        <v>8.11</v>
      </c>
    </row>
    <row r="15792" spans="1:10" hidden="1">
      <c r="A15792" t="s">
        <v>10019</v>
      </c>
      <c r="B15792" t="s">
        <v>10020</v>
      </c>
      <c r="C15792" t="s">
        <v>6839</v>
      </c>
      <c r="D15792" t="s">
        <v>1673</v>
      </c>
      <c r="E15792" t="s">
        <v>557</v>
      </c>
      <c r="F15792" t="s">
        <v>1068</v>
      </c>
      <c r="G15792" t="s">
        <v>1069</v>
      </c>
      <c r="H15792" s="171" t="s">
        <v>10021</v>
      </c>
      <c r="I15792" t="s">
        <v>1070</v>
      </c>
      <c r="J15792">
        <v>8.06</v>
      </c>
    </row>
    <row r="15793" spans="1:10" hidden="1">
      <c r="A15793" t="s">
        <v>10019</v>
      </c>
      <c r="B15793" t="s">
        <v>10020</v>
      </c>
      <c r="C15793" t="s">
        <v>6839</v>
      </c>
      <c r="D15793" t="s">
        <v>1673</v>
      </c>
      <c r="E15793" t="s">
        <v>557</v>
      </c>
      <c r="F15793" t="s">
        <v>1068</v>
      </c>
      <c r="G15793" t="s">
        <v>1071</v>
      </c>
      <c r="H15793" s="171" t="s">
        <v>10022</v>
      </c>
      <c r="I15793" t="s">
        <v>1072</v>
      </c>
      <c r="J15793">
        <v>8.06</v>
      </c>
    </row>
    <row r="15794" spans="1:10" hidden="1">
      <c r="A15794" t="s">
        <v>10019</v>
      </c>
      <c r="B15794" t="s">
        <v>10020</v>
      </c>
      <c r="C15794" t="s">
        <v>6839</v>
      </c>
      <c r="D15794" t="s">
        <v>1673</v>
      </c>
      <c r="E15794" t="s">
        <v>557</v>
      </c>
      <c r="F15794" t="s">
        <v>1068</v>
      </c>
      <c r="G15794" t="s">
        <v>1073</v>
      </c>
      <c r="H15794" s="171" t="s">
        <v>10023</v>
      </c>
      <c r="I15794" t="s">
        <v>1074</v>
      </c>
      <c r="J15794">
        <v>8.06</v>
      </c>
    </row>
    <row r="15795" spans="1:10" hidden="1">
      <c r="A15795" t="s">
        <v>10019</v>
      </c>
      <c r="B15795" t="s">
        <v>10020</v>
      </c>
      <c r="C15795" t="s">
        <v>6839</v>
      </c>
      <c r="D15795" t="s">
        <v>1673</v>
      </c>
      <c r="E15795" t="s">
        <v>557</v>
      </c>
      <c r="F15795" t="s">
        <v>1068</v>
      </c>
      <c r="G15795" t="s">
        <v>1075</v>
      </c>
      <c r="H15795">
        <v>4.4784973976289399E-3</v>
      </c>
      <c r="I15795" t="s">
        <v>1077</v>
      </c>
      <c r="J15795">
        <v>8.06</v>
      </c>
    </row>
    <row r="15796" spans="1:10" hidden="1">
      <c r="A15796" t="s">
        <v>10019</v>
      </c>
      <c r="B15796" t="s">
        <v>10020</v>
      </c>
      <c r="C15796" t="s">
        <v>6839</v>
      </c>
      <c r="D15796" t="s">
        <v>1673</v>
      </c>
      <c r="E15796" t="s">
        <v>557</v>
      </c>
      <c r="F15796" t="s">
        <v>1068</v>
      </c>
      <c r="G15796" t="s">
        <v>1078</v>
      </c>
      <c r="H15796" s="171" t="s">
        <v>10024</v>
      </c>
      <c r="I15796" t="s">
        <v>1079</v>
      </c>
      <c r="J15796">
        <v>8.06</v>
      </c>
    </row>
    <row r="15797" spans="1:10" hidden="1">
      <c r="A15797" t="s">
        <v>10019</v>
      </c>
      <c r="B15797" t="s">
        <v>10020</v>
      </c>
      <c r="C15797" t="s">
        <v>6839</v>
      </c>
      <c r="D15797" t="s">
        <v>1673</v>
      </c>
      <c r="E15797" t="s">
        <v>557</v>
      </c>
      <c r="F15797" t="s">
        <v>1068</v>
      </c>
      <c r="G15797" t="s">
        <v>1080</v>
      </c>
      <c r="H15797" s="171" t="s">
        <v>10025</v>
      </c>
      <c r="I15797" t="s">
        <v>1082</v>
      </c>
      <c r="J15797">
        <v>8.06</v>
      </c>
    </row>
    <row r="15798" spans="1:10" hidden="1">
      <c r="A15798" t="s">
        <v>10019</v>
      </c>
      <c r="B15798" t="s">
        <v>10020</v>
      </c>
      <c r="C15798" t="s">
        <v>6839</v>
      </c>
      <c r="D15798" t="s">
        <v>1673</v>
      </c>
      <c r="E15798" t="s">
        <v>557</v>
      </c>
      <c r="F15798" t="s">
        <v>1068</v>
      </c>
      <c r="G15798" t="s">
        <v>1083</v>
      </c>
      <c r="H15798" s="171" t="s">
        <v>10026</v>
      </c>
      <c r="I15798" t="s">
        <v>1084</v>
      </c>
      <c r="J15798">
        <v>8.06</v>
      </c>
    </row>
    <row r="15799" spans="1:10" hidden="1">
      <c r="A15799" t="s">
        <v>10019</v>
      </c>
      <c r="B15799" t="s">
        <v>10020</v>
      </c>
      <c r="C15799" t="s">
        <v>6839</v>
      </c>
      <c r="D15799" t="s">
        <v>1673</v>
      </c>
      <c r="E15799" t="s">
        <v>557</v>
      </c>
      <c r="F15799" t="s">
        <v>1068</v>
      </c>
      <c r="G15799" t="s">
        <v>1085</v>
      </c>
      <c r="H15799">
        <v>1.8551305413766199E-4</v>
      </c>
      <c r="I15799" t="s">
        <v>1086</v>
      </c>
      <c r="J15799">
        <v>8.06</v>
      </c>
    </row>
    <row r="15800" spans="1:10" hidden="1">
      <c r="A15800" t="s">
        <v>10019</v>
      </c>
      <c r="B15800" t="s">
        <v>10020</v>
      </c>
      <c r="C15800" t="s">
        <v>6839</v>
      </c>
      <c r="D15800" t="s">
        <v>1673</v>
      </c>
      <c r="E15800" t="s">
        <v>557</v>
      </c>
      <c r="F15800" t="s">
        <v>1068</v>
      </c>
      <c r="G15800" t="s">
        <v>1087</v>
      </c>
      <c r="H15800" s="171" t="s">
        <v>10027</v>
      </c>
      <c r="I15800" t="s">
        <v>1088</v>
      </c>
      <c r="J15800">
        <v>8.06</v>
      </c>
    </row>
    <row r="15801" spans="1:10" hidden="1">
      <c r="A15801" t="s">
        <v>10019</v>
      </c>
      <c r="B15801" t="s">
        <v>10020</v>
      </c>
      <c r="C15801" t="s">
        <v>6839</v>
      </c>
      <c r="D15801" t="s">
        <v>1673</v>
      </c>
      <c r="E15801" t="s">
        <v>557</v>
      </c>
      <c r="F15801" t="s">
        <v>1068</v>
      </c>
      <c r="G15801" t="s">
        <v>1089</v>
      </c>
      <c r="H15801" s="171" t="s">
        <v>10028</v>
      </c>
      <c r="I15801" t="s">
        <v>1090</v>
      </c>
      <c r="J15801">
        <v>8.06</v>
      </c>
    </row>
    <row r="15802" spans="1:10" hidden="1">
      <c r="A15802" t="s">
        <v>10029</v>
      </c>
      <c r="B15802" t="s">
        <v>10030</v>
      </c>
      <c r="C15802" t="s">
        <v>6839</v>
      </c>
      <c r="D15802" t="s">
        <v>1673</v>
      </c>
      <c r="E15802" t="s">
        <v>559</v>
      </c>
      <c r="F15802" t="s">
        <v>1068</v>
      </c>
      <c r="G15802" t="s">
        <v>1069</v>
      </c>
      <c r="H15802">
        <v>4.8098192512591703E-2</v>
      </c>
      <c r="I15802" t="s">
        <v>1070</v>
      </c>
      <c r="J15802">
        <v>8.58</v>
      </c>
    </row>
    <row r="15803" spans="1:10" hidden="1">
      <c r="A15803" t="s">
        <v>10029</v>
      </c>
      <c r="B15803" t="s">
        <v>10030</v>
      </c>
      <c r="C15803" t="s">
        <v>6839</v>
      </c>
      <c r="D15803" t="s">
        <v>1673</v>
      </c>
      <c r="E15803" t="s">
        <v>559</v>
      </c>
      <c r="F15803" t="s">
        <v>1068</v>
      </c>
      <c r="G15803" t="s">
        <v>1071</v>
      </c>
      <c r="H15803" s="171" t="s">
        <v>10031</v>
      </c>
      <c r="I15803" t="s">
        <v>1072</v>
      </c>
      <c r="J15803">
        <v>8.58</v>
      </c>
    </row>
    <row r="15804" spans="1:10" hidden="1">
      <c r="A15804" t="s">
        <v>10029</v>
      </c>
      <c r="B15804" t="s">
        <v>10030</v>
      </c>
      <c r="C15804" t="s">
        <v>6839</v>
      </c>
      <c r="D15804" t="s">
        <v>1673</v>
      </c>
      <c r="E15804" t="s">
        <v>559</v>
      </c>
      <c r="F15804" t="s">
        <v>1068</v>
      </c>
      <c r="G15804" t="s">
        <v>1073</v>
      </c>
      <c r="H15804" s="171" t="s">
        <v>10032</v>
      </c>
      <c r="I15804" t="s">
        <v>1074</v>
      </c>
      <c r="J15804">
        <v>8.58</v>
      </c>
    </row>
    <row r="15805" spans="1:10" hidden="1">
      <c r="A15805" t="s">
        <v>10029</v>
      </c>
      <c r="B15805" t="s">
        <v>10030</v>
      </c>
      <c r="C15805" t="s">
        <v>6839</v>
      </c>
      <c r="D15805" t="s">
        <v>1673</v>
      </c>
      <c r="E15805" t="s">
        <v>559</v>
      </c>
      <c r="F15805" t="s">
        <v>1068</v>
      </c>
      <c r="G15805" t="s">
        <v>1075</v>
      </c>
      <c r="H15805">
        <v>4.4785099650777298E-3</v>
      </c>
      <c r="I15805" t="s">
        <v>1077</v>
      </c>
      <c r="J15805">
        <v>8.58</v>
      </c>
    </row>
    <row r="15806" spans="1:10" hidden="1">
      <c r="A15806" t="s">
        <v>10029</v>
      </c>
      <c r="B15806" t="s">
        <v>10030</v>
      </c>
      <c r="C15806" t="s">
        <v>6839</v>
      </c>
      <c r="D15806" t="s">
        <v>1673</v>
      </c>
      <c r="E15806" t="s">
        <v>559</v>
      </c>
      <c r="F15806" t="s">
        <v>1068</v>
      </c>
      <c r="G15806" t="s">
        <v>1078</v>
      </c>
      <c r="H15806" s="171" t="s">
        <v>10033</v>
      </c>
      <c r="I15806" t="s">
        <v>1079</v>
      </c>
      <c r="J15806">
        <v>8.58</v>
      </c>
    </row>
    <row r="15807" spans="1:10" hidden="1">
      <c r="A15807" t="s">
        <v>10029</v>
      </c>
      <c r="B15807" t="s">
        <v>10030</v>
      </c>
      <c r="C15807" t="s">
        <v>6839</v>
      </c>
      <c r="D15807" t="s">
        <v>1673</v>
      </c>
      <c r="E15807" t="s">
        <v>559</v>
      </c>
      <c r="F15807" t="s">
        <v>1068</v>
      </c>
      <c r="G15807" t="s">
        <v>1080</v>
      </c>
      <c r="H15807" s="171" t="s">
        <v>10034</v>
      </c>
      <c r="I15807" t="s">
        <v>1082</v>
      </c>
      <c r="J15807">
        <v>8.58</v>
      </c>
    </row>
    <row r="15808" spans="1:10" hidden="1">
      <c r="A15808" t="s">
        <v>10029</v>
      </c>
      <c r="B15808" t="s">
        <v>10030</v>
      </c>
      <c r="C15808" t="s">
        <v>6839</v>
      </c>
      <c r="D15808" t="s">
        <v>1673</v>
      </c>
      <c r="E15808" t="s">
        <v>559</v>
      </c>
      <c r="F15808" t="s">
        <v>1068</v>
      </c>
      <c r="G15808" t="s">
        <v>1083</v>
      </c>
      <c r="H15808" s="171" t="s">
        <v>10035</v>
      </c>
      <c r="I15808" t="s">
        <v>1084</v>
      </c>
      <c r="J15808">
        <v>8.58</v>
      </c>
    </row>
    <row r="15809" spans="1:10" hidden="1">
      <c r="A15809" t="s">
        <v>10029</v>
      </c>
      <c r="B15809" t="s">
        <v>10030</v>
      </c>
      <c r="C15809" t="s">
        <v>6839</v>
      </c>
      <c r="D15809" t="s">
        <v>1673</v>
      </c>
      <c r="E15809" t="s">
        <v>559</v>
      </c>
      <c r="F15809" t="s">
        <v>1068</v>
      </c>
      <c r="G15809" t="s">
        <v>1085</v>
      </c>
      <c r="H15809">
        <v>1.8551373679598601E-4</v>
      </c>
      <c r="I15809" t="s">
        <v>1086</v>
      </c>
      <c r="J15809">
        <v>8.58</v>
      </c>
    </row>
    <row r="15810" spans="1:10" hidden="1">
      <c r="A15810" t="s">
        <v>10029</v>
      </c>
      <c r="B15810" t="s">
        <v>10030</v>
      </c>
      <c r="C15810" t="s">
        <v>6839</v>
      </c>
      <c r="D15810" t="s">
        <v>1673</v>
      </c>
      <c r="E15810" t="s">
        <v>559</v>
      </c>
      <c r="F15810" t="s">
        <v>1068</v>
      </c>
      <c r="G15810" t="s">
        <v>1087</v>
      </c>
      <c r="H15810" s="171" t="s">
        <v>10036</v>
      </c>
      <c r="I15810" t="s">
        <v>1088</v>
      </c>
      <c r="J15810">
        <v>8.58</v>
      </c>
    </row>
    <row r="15811" spans="1:10" hidden="1">
      <c r="A15811" t="s">
        <v>10029</v>
      </c>
      <c r="B15811" t="s">
        <v>10030</v>
      </c>
      <c r="C15811" t="s">
        <v>6839</v>
      </c>
      <c r="D15811" t="s">
        <v>1673</v>
      </c>
      <c r="E15811" t="s">
        <v>559</v>
      </c>
      <c r="F15811" t="s">
        <v>1068</v>
      </c>
      <c r="G15811" t="s">
        <v>1089</v>
      </c>
      <c r="H15811" s="171" t="s">
        <v>10037</v>
      </c>
      <c r="I15811" t="s">
        <v>1090</v>
      </c>
      <c r="J15811">
        <v>8.58</v>
      </c>
    </row>
    <row r="15812" spans="1:10" hidden="1">
      <c r="A15812" t="s">
        <v>10038</v>
      </c>
      <c r="B15812" t="s">
        <v>10039</v>
      </c>
      <c r="C15812" t="s">
        <v>6839</v>
      </c>
      <c r="D15812" t="s">
        <v>1673</v>
      </c>
      <c r="E15812" t="s">
        <v>560</v>
      </c>
      <c r="F15812" t="s">
        <v>1068</v>
      </c>
      <c r="G15812" t="s">
        <v>1069</v>
      </c>
      <c r="H15812">
        <v>4.8097456510567398E-2</v>
      </c>
      <c r="I15812" t="s">
        <v>1070</v>
      </c>
      <c r="J15812">
        <v>7.83</v>
      </c>
    </row>
    <row r="15813" spans="1:10" hidden="1">
      <c r="A15813" t="s">
        <v>10038</v>
      </c>
      <c r="B15813" t="s">
        <v>10039</v>
      </c>
      <c r="C15813" t="s">
        <v>6839</v>
      </c>
      <c r="D15813" t="s">
        <v>1673</v>
      </c>
      <c r="E15813" t="s">
        <v>560</v>
      </c>
      <c r="F15813" t="s">
        <v>1068</v>
      </c>
      <c r="G15813" t="s">
        <v>1071</v>
      </c>
      <c r="H15813" s="171" t="s">
        <v>10040</v>
      </c>
      <c r="I15813" t="s">
        <v>1072</v>
      </c>
      <c r="J15813">
        <v>7.83</v>
      </c>
    </row>
    <row r="15814" spans="1:10" hidden="1">
      <c r="A15814" t="s">
        <v>10038</v>
      </c>
      <c r="B15814" t="s">
        <v>10039</v>
      </c>
      <c r="C15814" t="s">
        <v>6839</v>
      </c>
      <c r="D15814" t="s">
        <v>1673</v>
      </c>
      <c r="E15814" t="s">
        <v>560</v>
      </c>
      <c r="F15814" t="s">
        <v>1068</v>
      </c>
      <c r="G15814" t="s">
        <v>1073</v>
      </c>
      <c r="H15814" s="171" t="s">
        <v>10041</v>
      </c>
      <c r="I15814" t="s">
        <v>1074</v>
      </c>
      <c r="J15814">
        <v>7.83</v>
      </c>
    </row>
    <row r="15815" spans="1:10" hidden="1">
      <c r="A15815" t="s">
        <v>10038</v>
      </c>
      <c r="B15815" t="s">
        <v>10039</v>
      </c>
      <c r="C15815" t="s">
        <v>6839</v>
      </c>
      <c r="D15815" t="s">
        <v>1673</v>
      </c>
      <c r="E15815" t="s">
        <v>560</v>
      </c>
      <c r="F15815" t="s">
        <v>1068</v>
      </c>
      <c r="G15815" t="s">
        <v>1075</v>
      </c>
      <c r="H15815">
        <v>4.4785043773492902E-3</v>
      </c>
      <c r="I15815" t="s">
        <v>1077</v>
      </c>
      <c r="J15815">
        <v>7.83</v>
      </c>
    </row>
    <row r="15816" spans="1:10" hidden="1">
      <c r="A15816" t="s">
        <v>10038</v>
      </c>
      <c r="B15816" t="s">
        <v>10039</v>
      </c>
      <c r="C15816" t="s">
        <v>6839</v>
      </c>
      <c r="D15816" t="s">
        <v>1673</v>
      </c>
      <c r="E15816" t="s">
        <v>560</v>
      </c>
      <c r="F15816" t="s">
        <v>1068</v>
      </c>
      <c r="G15816" t="s">
        <v>1078</v>
      </c>
      <c r="H15816" s="171" t="s">
        <v>10042</v>
      </c>
      <c r="I15816" t="s">
        <v>1079</v>
      </c>
      <c r="J15816">
        <v>7.83</v>
      </c>
    </row>
    <row r="15817" spans="1:10" hidden="1">
      <c r="A15817" t="s">
        <v>10038</v>
      </c>
      <c r="B15817" t="s">
        <v>10039</v>
      </c>
      <c r="C15817" t="s">
        <v>6839</v>
      </c>
      <c r="D15817" t="s">
        <v>1673</v>
      </c>
      <c r="E15817" t="s">
        <v>560</v>
      </c>
      <c r="F15817" t="s">
        <v>1068</v>
      </c>
      <c r="G15817" t="s">
        <v>1080</v>
      </c>
      <c r="H15817" s="171" t="s">
        <v>10043</v>
      </c>
      <c r="I15817" t="s">
        <v>1082</v>
      </c>
      <c r="J15817">
        <v>7.83</v>
      </c>
    </row>
    <row r="15818" spans="1:10" hidden="1">
      <c r="A15818" t="s">
        <v>10038</v>
      </c>
      <c r="B15818" t="s">
        <v>10039</v>
      </c>
      <c r="C15818" t="s">
        <v>6839</v>
      </c>
      <c r="D15818" t="s">
        <v>1673</v>
      </c>
      <c r="E15818" t="s">
        <v>560</v>
      </c>
      <c r="F15818" t="s">
        <v>1068</v>
      </c>
      <c r="G15818" t="s">
        <v>1083</v>
      </c>
      <c r="H15818" s="171" t="s">
        <v>10044</v>
      </c>
      <c r="I15818" t="s">
        <v>1084</v>
      </c>
      <c r="J15818">
        <v>7.83</v>
      </c>
    </row>
    <row r="15819" spans="1:10" hidden="1">
      <c r="A15819" t="s">
        <v>10038</v>
      </c>
      <c r="B15819" t="s">
        <v>10039</v>
      </c>
      <c r="C15819" t="s">
        <v>6839</v>
      </c>
      <c r="D15819" t="s">
        <v>1673</v>
      </c>
      <c r="E15819" t="s">
        <v>560</v>
      </c>
      <c r="F15819" t="s">
        <v>1068</v>
      </c>
      <c r="G15819" t="s">
        <v>1085</v>
      </c>
      <c r="H15819">
        <v>1.85513433453283E-4</v>
      </c>
      <c r="I15819" t="s">
        <v>1086</v>
      </c>
      <c r="J15819">
        <v>7.83</v>
      </c>
    </row>
    <row r="15820" spans="1:10" hidden="1">
      <c r="A15820" t="s">
        <v>10038</v>
      </c>
      <c r="B15820" t="s">
        <v>10039</v>
      </c>
      <c r="C15820" t="s">
        <v>6839</v>
      </c>
      <c r="D15820" t="s">
        <v>1673</v>
      </c>
      <c r="E15820" t="s">
        <v>560</v>
      </c>
      <c r="F15820" t="s">
        <v>1068</v>
      </c>
      <c r="G15820" t="s">
        <v>1087</v>
      </c>
      <c r="H15820" s="171" t="s">
        <v>10045</v>
      </c>
      <c r="I15820" t="s">
        <v>1088</v>
      </c>
      <c r="J15820">
        <v>7.83</v>
      </c>
    </row>
    <row r="15821" spans="1:10" hidden="1">
      <c r="A15821" t="s">
        <v>10038</v>
      </c>
      <c r="B15821" t="s">
        <v>10039</v>
      </c>
      <c r="C15821" t="s">
        <v>6839</v>
      </c>
      <c r="D15821" t="s">
        <v>1673</v>
      </c>
      <c r="E15821" t="s">
        <v>560</v>
      </c>
      <c r="F15821" t="s">
        <v>1068</v>
      </c>
      <c r="G15821" t="s">
        <v>1089</v>
      </c>
      <c r="H15821" s="171" t="s">
        <v>10046</v>
      </c>
      <c r="I15821" t="s">
        <v>1090</v>
      </c>
      <c r="J15821">
        <v>7.83</v>
      </c>
    </row>
    <row r="15822" spans="1:10" hidden="1">
      <c r="A15822" t="s">
        <v>10047</v>
      </c>
      <c r="B15822" t="s">
        <v>10048</v>
      </c>
      <c r="C15822" t="s">
        <v>6839</v>
      </c>
      <c r="D15822" t="s">
        <v>1673</v>
      </c>
      <c r="E15822" t="s">
        <v>1116</v>
      </c>
      <c r="F15822" t="s">
        <v>1068</v>
      </c>
      <c r="G15822" t="s">
        <v>1069</v>
      </c>
      <c r="H15822">
        <v>4.8096786360699903E-2</v>
      </c>
      <c r="I15822" t="s">
        <v>1070</v>
      </c>
      <c r="J15822">
        <v>7.67</v>
      </c>
    </row>
    <row r="15823" spans="1:10" hidden="1">
      <c r="A15823" t="s">
        <v>10047</v>
      </c>
      <c r="B15823" t="s">
        <v>10048</v>
      </c>
      <c r="C15823" t="s">
        <v>6839</v>
      </c>
      <c r="D15823" t="s">
        <v>1673</v>
      </c>
      <c r="E15823" t="s">
        <v>1116</v>
      </c>
      <c r="F15823" t="s">
        <v>1068</v>
      </c>
      <c r="G15823" t="s">
        <v>1071</v>
      </c>
      <c r="H15823" s="171" t="s">
        <v>10049</v>
      </c>
      <c r="I15823" t="s">
        <v>1072</v>
      </c>
      <c r="J15823">
        <v>7.67</v>
      </c>
    </row>
    <row r="15824" spans="1:10" hidden="1">
      <c r="A15824" t="s">
        <v>10047</v>
      </c>
      <c r="B15824" t="s">
        <v>10048</v>
      </c>
      <c r="C15824" t="s">
        <v>6839</v>
      </c>
      <c r="D15824" t="s">
        <v>1673</v>
      </c>
      <c r="E15824" t="s">
        <v>1116</v>
      </c>
      <c r="F15824" t="s">
        <v>1068</v>
      </c>
      <c r="G15824" t="s">
        <v>1073</v>
      </c>
      <c r="H15824" s="171" t="s">
        <v>10050</v>
      </c>
      <c r="I15824" t="s">
        <v>1074</v>
      </c>
      <c r="J15824">
        <v>7.67</v>
      </c>
    </row>
    <row r="15825" spans="1:10" hidden="1">
      <c r="A15825" t="s">
        <v>10047</v>
      </c>
      <c r="B15825" t="s">
        <v>10048</v>
      </c>
      <c r="C15825" t="s">
        <v>6839</v>
      </c>
      <c r="D15825" t="s">
        <v>1673</v>
      </c>
      <c r="E15825" t="s">
        <v>1116</v>
      </c>
      <c r="F15825" t="s">
        <v>1068</v>
      </c>
      <c r="G15825" t="s">
        <v>1075</v>
      </c>
      <c r="H15825">
        <v>4.4784831931960704E-3</v>
      </c>
      <c r="I15825" t="s">
        <v>1077</v>
      </c>
      <c r="J15825">
        <v>7.67</v>
      </c>
    </row>
    <row r="15826" spans="1:10" hidden="1">
      <c r="A15826" t="s">
        <v>10047</v>
      </c>
      <c r="B15826" t="s">
        <v>10048</v>
      </c>
      <c r="C15826" t="s">
        <v>6839</v>
      </c>
      <c r="D15826" t="s">
        <v>1673</v>
      </c>
      <c r="E15826" t="s">
        <v>1116</v>
      </c>
      <c r="F15826" t="s">
        <v>1068</v>
      </c>
      <c r="G15826" t="s">
        <v>1078</v>
      </c>
      <c r="H15826">
        <v>2.57528519101623E-2</v>
      </c>
      <c r="I15826" t="s">
        <v>1079</v>
      </c>
      <c r="J15826">
        <v>7.67</v>
      </c>
    </row>
    <row r="15827" spans="1:10" hidden="1">
      <c r="A15827" t="s">
        <v>10047</v>
      </c>
      <c r="B15827" t="s">
        <v>10048</v>
      </c>
      <c r="C15827" t="s">
        <v>6839</v>
      </c>
      <c r="D15827" t="s">
        <v>1673</v>
      </c>
      <c r="E15827" t="s">
        <v>1116</v>
      </c>
      <c r="F15827" t="s">
        <v>1068</v>
      </c>
      <c r="G15827" t="s">
        <v>1080</v>
      </c>
      <c r="H15827" s="171" t="s">
        <v>10051</v>
      </c>
      <c r="I15827" t="s">
        <v>1082</v>
      </c>
      <c r="J15827">
        <v>7.67</v>
      </c>
    </row>
    <row r="15828" spans="1:10" hidden="1">
      <c r="A15828" t="s">
        <v>10047</v>
      </c>
      <c r="B15828" t="s">
        <v>10048</v>
      </c>
      <c r="C15828" t="s">
        <v>6839</v>
      </c>
      <c r="D15828" t="s">
        <v>1673</v>
      </c>
      <c r="E15828" t="s">
        <v>1116</v>
      </c>
      <c r="F15828" t="s">
        <v>1068</v>
      </c>
      <c r="G15828" t="s">
        <v>1083</v>
      </c>
      <c r="H15828" s="171" t="s">
        <v>10052</v>
      </c>
      <c r="I15828" t="s">
        <v>1084</v>
      </c>
      <c r="J15828">
        <v>7.67</v>
      </c>
    </row>
    <row r="15829" spans="1:10" hidden="1">
      <c r="A15829" t="s">
        <v>10047</v>
      </c>
      <c r="B15829" t="s">
        <v>10048</v>
      </c>
      <c r="C15829" t="s">
        <v>6839</v>
      </c>
      <c r="D15829" t="s">
        <v>1673</v>
      </c>
      <c r="E15829" t="s">
        <v>1116</v>
      </c>
      <c r="F15829" t="s">
        <v>1068</v>
      </c>
      <c r="G15829" t="s">
        <v>1085</v>
      </c>
      <c r="H15829">
        <v>1.8551228219222801E-4</v>
      </c>
      <c r="I15829" t="s">
        <v>1086</v>
      </c>
      <c r="J15829">
        <v>7.67</v>
      </c>
    </row>
    <row r="15830" spans="1:10" hidden="1">
      <c r="A15830" t="s">
        <v>10047</v>
      </c>
      <c r="B15830" t="s">
        <v>10048</v>
      </c>
      <c r="C15830" t="s">
        <v>6839</v>
      </c>
      <c r="D15830" t="s">
        <v>1673</v>
      </c>
      <c r="E15830" t="s">
        <v>1116</v>
      </c>
      <c r="F15830" t="s">
        <v>1068</v>
      </c>
      <c r="G15830" t="s">
        <v>1087</v>
      </c>
      <c r="H15830" s="171" t="s">
        <v>10053</v>
      </c>
      <c r="I15830" t="s">
        <v>1088</v>
      </c>
      <c r="J15830">
        <v>7.67</v>
      </c>
    </row>
    <row r="15831" spans="1:10" hidden="1">
      <c r="A15831" t="s">
        <v>10047</v>
      </c>
      <c r="B15831" t="s">
        <v>10048</v>
      </c>
      <c r="C15831" t="s">
        <v>6839</v>
      </c>
      <c r="D15831" t="s">
        <v>1673</v>
      </c>
      <c r="E15831" t="s">
        <v>1116</v>
      </c>
      <c r="F15831" t="s">
        <v>1068</v>
      </c>
      <c r="G15831" t="s">
        <v>1089</v>
      </c>
      <c r="H15831" s="171" t="s">
        <v>10054</v>
      </c>
      <c r="I15831" t="s">
        <v>1090</v>
      </c>
      <c r="J15831">
        <v>7.67</v>
      </c>
    </row>
    <row r="15832" spans="1:10" hidden="1">
      <c r="A15832" t="s">
        <v>10055</v>
      </c>
      <c r="B15832" t="s">
        <v>10056</v>
      </c>
      <c r="C15832" t="s">
        <v>6839</v>
      </c>
      <c r="D15832" t="s">
        <v>1707</v>
      </c>
      <c r="E15832" t="s">
        <v>561</v>
      </c>
      <c r="F15832" t="s">
        <v>1068</v>
      </c>
      <c r="G15832" t="s">
        <v>1069</v>
      </c>
      <c r="H15832">
        <v>4.9449264449243698E-2</v>
      </c>
      <c r="I15832" t="s">
        <v>1070</v>
      </c>
      <c r="J15832">
        <v>8.2799999999999994</v>
      </c>
    </row>
    <row r="15833" spans="1:10" hidden="1">
      <c r="A15833" t="s">
        <v>10055</v>
      </c>
      <c r="B15833" t="s">
        <v>10056</v>
      </c>
      <c r="C15833" t="s">
        <v>6839</v>
      </c>
      <c r="D15833" t="s">
        <v>1707</v>
      </c>
      <c r="E15833" t="s">
        <v>561</v>
      </c>
      <c r="F15833" t="s">
        <v>1068</v>
      </c>
      <c r="G15833" t="s">
        <v>1071</v>
      </c>
      <c r="H15833" s="171" t="s">
        <v>10057</v>
      </c>
      <c r="I15833" t="s">
        <v>1072</v>
      </c>
      <c r="J15833">
        <v>8.2799999999999994</v>
      </c>
    </row>
    <row r="15834" spans="1:10" hidden="1">
      <c r="A15834" t="s">
        <v>10055</v>
      </c>
      <c r="B15834" t="s">
        <v>10056</v>
      </c>
      <c r="C15834" t="s">
        <v>6839</v>
      </c>
      <c r="D15834" t="s">
        <v>1707</v>
      </c>
      <c r="E15834" t="s">
        <v>561</v>
      </c>
      <c r="F15834" t="s">
        <v>1068</v>
      </c>
      <c r="G15834" t="s">
        <v>1073</v>
      </c>
      <c r="H15834" s="171" t="s">
        <v>10058</v>
      </c>
      <c r="I15834" t="s">
        <v>1074</v>
      </c>
      <c r="J15834">
        <v>8.2799999999999994</v>
      </c>
    </row>
    <row r="15835" spans="1:10" hidden="1">
      <c r="A15835" t="s">
        <v>10055</v>
      </c>
      <c r="B15835" t="s">
        <v>10056</v>
      </c>
      <c r="C15835" t="s">
        <v>6839</v>
      </c>
      <c r="D15835" t="s">
        <v>1707</v>
      </c>
      <c r="E15835" t="s">
        <v>561</v>
      </c>
      <c r="F15835" t="s">
        <v>1068</v>
      </c>
      <c r="G15835" t="s">
        <v>1075</v>
      </c>
      <c r="H15835" s="171" t="s">
        <v>10059</v>
      </c>
      <c r="I15835" t="s">
        <v>1077</v>
      </c>
      <c r="J15835">
        <v>8.2799999999999994</v>
      </c>
    </row>
    <row r="15836" spans="1:10" hidden="1">
      <c r="A15836" t="s">
        <v>10055</v>
      </c>
      <c r="B15836" t="s">
        <v>10056</v>
      </c>
      <c r="C15836" t="s">
        <v>6839</v>
      </c>
      <c r="D15836" t="s">
        <v>1707</v>
      </c>
      <c r="E15836" t="s">
        <v>561</v>
      </c>
      <c r="F15836" t="s">
        <v>1068</v>
      </c>
      <c r="G15836" t="s">
        <v>1078</v>
      </c>
      <c r="H15836" s="171" t="s">
        <v>10060</v>
      </c>
      <c r="I15836" t="s">
        <v>1079</v>
      </c>
      <c r="J15836">
        <v>8.2799999999999994</v>
      </c>
    </row>
    <row r="15837" spans="1:10" hidden="1">
      <c r="A15837" t="s">
        <v>10055</v>
      </c>
      <c r="B15837" t="s">
        <v>10056</v>
      </c>
      <c r="C15837" t="s">
        <v>6839</v>
      </c>
      <c r="D15837" t="s">
        <v>1707</v>
      </c>
      <c r="E15837" t="s">
        <v>561</v>
      </c>
      <c r="F15837" t="s">
        <v>1068</v>
      </c>
      <c r="G15837" t="s">
        <v>1080</v>
      </c>
      <c r="H15837" s="171" t="s">
        <v>10061</v>
      </c>
      <c r="I15837" t="s">
        <v>1082</v>
      </c>
      <c r="J15837">
        <v>8.2799999999999994</v>
      </c>
    </row>
    <row r="15838" spans="1:10" hidden="1">
      <c r="A15838" t="s">
        <v>10055</v>
      </c>
      <c r="B15838" t="s">
        <v>10056</v>
      </c>
      <c r="C15838" t="s">
        <v>6839</v>
      </c>
      <c r="D15838" t="s">
        <v>1707</v>
      </c>
      <c r="E15838" t="s">
        <v>561</v>
      </c>
      <c r="F15838" t="s">
        <v>1068</v>
      </c>
      <c r="G15838" t="s">
        <v>1083</v>
      </c>
      <c r="H15838" s="171" t="s">
        <v>10062</v>
      </c>
      <c r="I15838" t="s">
        <v>1084</v>
      </c>
      <c r="J15838">
        <v>8.2799999999999994</v>
      </c>
    </row>
    <row r="15839" spans="1:10" hidden="1">
      <c r="A15839" t="s">
        <v>10055</v>
      </c>
      <c r="B15839" t="s">
        <v>10056</v>
      </c>
      <c r="C15839" t="s">
        <v>6839</v>
      </c>
      <c r="D15839" t="s">
        <v>1707</v>
      </c>
      <c r="E15839" t="s">
        <v>561</v>
      </c>
      <c r="F15839" t="s">
        <v>1068</v>
      </c>
      <c r="G15839" t="s">
        <v>1085</v>
      </c>
      <c r="H15839">
        <v>4.2131170524350601E-4</v>
      </c>
      <c r="I15839" t="s">
        <v>1086</v>
      </c>
      <c r="J15839">
        <v>8.2799999999999994</v>
      </c>
    </row>
    <row r="15840" spans="1:10" hidden="1">
      <c r="A15840" t="s">
        <v>10055</v>
      </c>
      <c r="B15840" t="s">
        <v>10056</v>
      </c>
      <c r="C15840" t="s">
        <v>6839</v>
      </c>
      <c r="D15840" t="s">
        <v>1707</v>
      </c>
      <c r="E15840" t="s">
        <v>561</v>
      </c>
      <c r="F15840" t="s">
        <v>1068</v>
      </c>
      <c r="G15840" t="s">
        <v>1087</v>
      </c>
      <c r="H15840" s="171" t="s">
        <v>10063</v>
      </c>
      <c r="I15840" t="s">
        <v>1088</v>
      </c>
      <c r="J15840">
        <v>8.2799999999999994</v>
      </c>
    </row>
    <row r="15841" spans="1:10" hidden="1">
      <c r="A15841" t="s">
        <v>10055</v>
      </c>
      <c r="B15841" t="s">
        <v>10056</v>
      </c>
      <c r="C15841" t="s">
        <v>6839</v>
      </c>
      <c r="D15841" t="s">
        <v>1707</v>
      </c>
      <c r="E15841" t="s">
        <v>561</v>
      </c>
      <c r="F15841" t="s">
        <v>1068</v>
      </c>
      <c r="G15841" t="s">
        <v>1089</v>
      </c>
      <c r="H15841">
        <v>1.2385242397647901E-4</v>
      </c>
      <c r="I15841" t="s">
        <v>1090</v>
      </c>
      <c r="J15841">
        <v>8.2799999999999994</v>
      </c>
    </row>
    <row r="15842" spans="1:10" hidden="1">
      <c r="A15842" t="s">
        <v>10064</v>
      </c>
      <c r="B15842" t="s">
        <v>10065</v>
      </c>
      <c r="C15842" t="s">
        <v>6839</v>
      </c>
      <c r="D15842" t="s">
        <v>1707</v>
      </c>
      <c r="E15842" t="s">
        <v>555</v>
      </c>
      <c r="F15842" t="s">
        <v>1068</v>
      </c>
      <c r="G15842" t="s">
        <v>1069</v>
      </c>
      <c r="H15842">
        <v>4.9451432310171101E-2</v>
      </c>
      <c r="I15842" t="s">
        <v>1070</v>
      </c>
      <c r="J15842">
        <v>8.0299999999999994</v>
      </c>
    </row>
    <row r="15843" spans="1:10" hidden="1">
      <c r="A15843" t="s">
        <v>10064</v>
      </c>
      <c r="B15843" t="s">
        <v>10065</v>
      </c>
      <c r="C15843" t="s">
        <v>6839</v>
      </c>
      <c r="D15843" t="s">
        <v>1707</v>
      </c>
      <c r="E15843" t="s">
        <v>555</v>
      </c>
      <c r="F15843" t="s">
        <v>1068</v>
      </c>
      <c r="G15843" t="s">
        <v>1071</v>
      </c>
      <c r="H15843" s="171" t="s">
        <v>10066</v>
      </c>
      <c r="I15843" t="s">
        <v>1072</v>
      </c>
      <c r="J15843">
        <v>8.0299999999999994</v>
      </c>
    </row>
    <row r="15844" spans="1:10" hidden="1">
      <c r="A15844" t="s">
        <v>10064</v>
      </c>
      <c r="B15844" t="s">
        <v>10065</v>
      </c>
      <c r="C15844" t="s">
        <v>6839</v>
      </c>
      <c r="D15844" t="s">
        <v>1707</v>
      </c>
      <c r="E15844" t="s">
        <v>555</v>
      </c>
      <c r="F15844" t="s">
        <v>1068</v>
      </c>
      <c r="G15844" t="s">
        <v>1073</v>
      </c>
      <c r="H15844" s="171" t="s">
        <v>10067</v>
      </c>
      <c r="I15844" t="s">
        <v>1074</v>
      </c>
      <c r="J15844">
        <v>8.0299999999999994</v>
      </c>
    </row>
    <row r="15845" spans="1:10" hidden="1">
      <c r="A15845" t="s">
        <v>10064</v>
      </c>
      <c r="B15845" t="s">
        <v>10065</v>
      </c>
      <c r="C15845" t="s">
        <v>6839</v>
      </c>
      <c r="D15845" t="s">
        <v>1707</v>
      </c>
      <c r="E15845" t="s">
        <v>555</v>
      </c>
      <c r="F15845" t="s">
        <v>1068</v>
      </c>
      <c r="G15845" t="s">
        <v>1075</v>
      </c>
      <c r="H15845" s="171" t="s">
        <v>10068</v>
      </c>
      <c r="I15845" t="s">
        <v>1077</v>
      </c>
      <c r="J15845">
        <v>8.0299999999999994</v>
      </c>
    </row>
    <row r="15846" spans="1:10" hidden="1">
      <c r="A15846" t="s">
        <v>10064</v>
      </c>
      <c r="B15846" t="s">
        <v>10065</v>
      </c>
      <c r="C15846" t="s">
        <v>6839</v>
      </c>
      <c r="D15846" t="s">
        <v>1707</v>
      </c>
      <c r="E15846" t="s">
        <v>555</v>
      </c>
      <c r="F15846" t="s">
        <v>1068</v>
      </c>
      <c r="G15846" t="s">
        <v>1078</v>
      </c>
      <c r="H15846">
        <v>2.8433780314571899E-2</v>
      </c>
      <c r="I15846" t="s">
        <v>1079</v>
      </c>
      <c r="J15846">
        <v>8.0299999999999994</v>
      </c>
    </row>
    <row r="15847" spans="1:10" hidden="1">
      <c r="A15847" t="s">
        <v>10064</v>
      </c>
      <c r="B15847" t="s">
        <v>10065</v>
      </c>
      <c r="C15847" t="s">
        <v>6839</v>
      </c>
      <c r="D15847" t="s">
        <v>1707</v>
      </c>
      <c r="E15847" t="s">
        <v>555</v>
      </c>
      <c r="F15847" t="s">
        <v>1068</v>
      </c>
      <c r="G15847" t="s">
        <v>1080</v>
      </c>
      <c r="H15847" s="171" t="s">
        <v>10069</v>
      </c>
      <c r="I15847" t="s">
        <v>1082</v>
      </c>
      <c r="J15847">
        <v>8.0299999999999994</v>
      </c>
    </row>
    <row r="15848" spans="1:10" hidden="1">
      <c r="A15848" t="s">
        <v>10064</v>
      </c>
      <c r="B15848" t="s">
        <v>10065</v>
      </c>
      <c r="C15848" t="s">
        <v>6839</v>
      </c>
      <c r="D15848" t="s">
        <v>1707</v>
      </c>
      <c r="E15848" t="s">
        <v>555</v>
      </c>
      <c r="F15848" t="s">
        <v>1068</v>
      </c>
      <c r="G15848" t="s">
        <v>1083</v>
      </c>
      <c r="H15848" s="171" t="s">
        <v>10070</v>
      </c>
      <c r="I15848" t="s">
        <v>1084</v>
      </c>
      <c r="J15848">
        <v>8.0299999999999994</v>
      </c>
    </row>
    <row r="15849" spans="1:10" hidden="1">
      <c r="A15849" t="s">
        <v>10064</v>
      </c>
      <c r="B15849" t="s">
        <v>10065</v>
      </c>
      <c r="C15849" t="s">
        <v>6839</v>
      </c>
      <c r="D15849" t="s">
        <v>1707</v>
      </c>
      <c r="E15849" t="s">
        <v>555</v>
      </c>
      <c r="F15849" t="s">
        <v>1068</v>
      </c>
      <c r="G15849" t="s">
        <v>1085</v>
      </c>
      <c r="H15849">
        <v>4.2131424615657201E-4</v>
      </c>
      <c r="I15849" t="s">
        <v>1086</v>
      </c>
      <c r="J15849">
        <v>8.0299999999999994</v>
      </c>
    </row>
    <row r="15850" spans="1:10" hidden="1">
      <c r="A15850" t="s">
        <v>10064</v>
      </c>
      <c r="B15850" t="s">
        <v>10065</v>
      </c>
      <c r="C15850" t="s">
        <v>6839</v>
      </c>
      <c r="D15850" t="s">
        <v>1707</v>
      </c>
      <c r="E15850" t="s">
        <v>555</v>
      </c>
      <c r="F15850" t="s">
        <v>1068</v>
      </c>
      <c r="G15850" t="s">
        <v>1087</v>
      </c>
      <c r="H15850" s="171" t="s">
        <v>10071</v>
      </c>
      <c r="I15850" t="s">
        <v>1088</v>
      </c>
      <c r="J15850">
        <v>8.0299999999999994</v>
      </c>
    </row>
    <row r="15851" spans="1:10" hidden="1">
      <c r="A15851" t="s">
        <v>10064</v>
      </c>
      <c r="B15851" t="s">
        <v>10065</v>
      </c>
      <c r="C15851" t="s">
        <v>6839</v>
      </c>
      <c r="D15851" t="s">
        <v>1707</v>
      </c>
      <c r="E15851" t="s">
        <v>555</v>
      </c>
      <c r="F15851" t="s">
        <v>1068</v>
      </c>
      <c r="G15851" t="s">
        <v>1089</v>
      </c>
      <c r="H15851">
        <v>1.2385294819923401E-4</v>
      </c>
      <c r="I15851" t="s">
        <v>1090</v>
      </c>
      <c r="J15851">
        <v>8.0299999999999994</v>
      </c>
    </row>
    <row r="15852" spans="1:10" hidden="1">
      <c r="A15852" t="s">
        <v>10072</v>
      </c>
      <c r="B15852" t="s">
        <v>10073</v>
      </c>
      <c r="C15852" t="s">
        <v>6839</v>
      </c>
      <c r="D15852" t="s">
        <v>1707</v>
      </c>
      <c r="E15852" t="s">
        <v>558</v>
      </c>
      <c r="F15852" t="s">
        <v>1068</v>
      </c>
      <c r="G15852" t="s">
        <v>1069</v>
      </c>
      <c r="H15852" s="171" t="s">
        <v>10074</v>
      </c>
      <c r="I15852" t="s">
        <v>1070</v>
      </c>
      <c r="J15852">
        <v>7.57</v>
      </c>
    </row>
    <row r="15853" spans="1:10" hidden="1">
      <c r="A15853" t="s">
        <v>10072</v>
      </c>
      <c r="B15853" t="s">
        <v>10073</v>
      </c>
      <c r="C15853" t="s">
        <v>6839</v>
      </c>
      <c r="D15853" t="s">
        <v>1707</v>
      </c>
      <c r="E15853" t="s">
        <v>558</v>
      </c>
      <c r="F15853" t="s">
        <v>1068</v>
      </c>
      <c r="G15853" t="s">
        <v>1071</v>
      </c>
      <c r="H15853" s="171" t="s">
        <v>10075</v>
      </c>
      <c r="I15853" t="s">
        <v>1072</v>
      </c>
      <c r="J15853">
        <v>7.57</v>
      </c>
    </row>
    <row r="15854" spans="1:10" hidden="1">
      <c r="A15854" t="s">
        <v>10072</v>
      </c>
      <c r="B15854" t="s">
        <v>10073</v>
      </c>
      <c r="C15854" t="s">
        <v>6839</v>
      </c>
      <c r="D15854" t="s">
        <v>1707</v>
      </c>
      <c r="E15854" t="s">
        <v>558</v>
      </c>
      <c r="F15854" t="s">
        <v>1068</v>
      </c>
      <c r="G15854" t="s">
        <v>1073</v>
      </c>
      <c r="H15854" s="171" t="s">
        <v>10076</v>
      </c>
      <c r="I15854" t="s">
        <v>1074</v>
      </c>
      <c r="J15854">
        <v>7.57</v>
      </c>
    </row>
    <row r="15855" spans="1:10" hidden="1">
      <c r="A15855" t="s">
        <v>10072</v>
      </c>
      <c r="B15855" t="s">
        <v>10073</v>
      </c>
      <c r="C15855" t="s">
        <v>6839</v>
      </c>
      <c r="D15855" t="s">
        <v>1707</v>
      </c>
      <c r="E15855" t="s">
        <v>558</v>
      </c>
      <c r="F15855" t="s">
        <v>1068</v>
      </c>
      <c r="G15855" t="s">
        <v>1075</v>
      </c>
      <c r="H15855" s="171" t="s">
        <v>10077</v>
      </c>
      <c r="I15855" t="s">
        <v>1077</v>
      </c>
      <c r="J15855">
        <v>7.57</v>
      </c>
    </row>
    <row r="15856" spans="1:10" hidden="1">
      <c r="A15856" t="s">
        <v>10072</v>
      </c>
      <c r="B15856" t="s">
        <v>10073</v>
      </c>
      <c r="C15856" t="s">
        <v>6839</v>
      </c>
      <c r="D15856" t="s">
        <v>1707</v>
      </c>
      <c r="E15856" t="s">
        <v>558</v>
      </c>
      <c r="F15856" t="s">
        <v>1068</v>
      </c>
      <c r="G15856" t="s">
        <v>1078</v>
      </c>
      <c r="H15856" s="171" t="s">
        <v>10078</v>
      </c>
      <c r="I15856" t="s">
        <v>1079</v>
      </c>
      <c r="J15856">
        <v>7.57</v>
      </c>
    </row>
    <row r="15857" spans="1:10" hidden="1">
      <c r="A15857" t="s">
        <v>10072</v>
      </c>
      <c r="B15857" t="s">
        <v>10073</v>
      </c>
      <c r="C15857" t="s">
        <v>6839</v>
      </c>
      <c r="D15857" t="s">
        <v>1707</v>
      </c>
      <c r="E15857" t="s">
        <v>558</v>
      </c>
      <c r="F15857" t="s">
        <v>1068</v>
      </c>
      <c r="G15857" t="s">
        <v>1080</v>
      </c>
      <c r="H15857" s="171" t="s">
        <v>10079</v>
      </c>
      <c r="I15857" t="s">
        <v>1082</v>
      </c>
      <c r="J15857">
        <v>7.57</v>
      </c>
    </row>
    <row r="15858" spans="1:10" hidden="1">
      <c r="A15858" t="s">
        <v>10072</v>
      </c>
      <c r="B15858" t="s">
        <v>10073</v>
      </c>
      <c r="C15858" t="s">
        <v>6839</v>
      </c>
      <c r="D15858" t="s">
        <v>1707</v>
      </c>
      <c r="E15858" t="s">
        <v>558</v>
      </c>
      <c r="F15858" t="s">
        <v>1068</v>
      </c>
      <c r="G15858" t="s">
        <v>1083</v>
      </c>
      <c r="H15858" s="171" t="s">
        <v>10080</v>
      </c>
      <c r="I15858" t="s">
        <v>1084</v>
      </c>
      <c r="J15858">
        <v>7.57</v>
      </c>
    </row>
    <row r="15859" spans="1:10" hidden="1">
      <c r="A15859" t="s">
        <v>10072</v>
      </c>
      <c r="B15859" t="s">
        <v>10073</v>
      </c>
      <c r="C15859" t="s">
        <v>6839</v>
      </c>
      <c r="D15859" t="s">
        <v>1707</v>
      </c>
      <c r="E15859" t="s">
        <v>558</v>
      </c>
      <c r="F15859" t="s">
        <v>1068</v>
      </c>
      <c r="G15859" t="s">
        <v>1085</v>
      </c>
      <c r="H15859">
        <v>4.2131149255178398E-4</v>
      </c>
      <c r="I15859" t="s">
        <v>1086</v>
      </c>
      <c r="J15859">
        <v>7.57</v>
      </c>
    </row>
    <row r="15860" spans="1:10" hidden="1">
      <c r="A15860" t="s">
        <v>10072</v>
      </c>
      <c r="B15860" t="s">
        <v>10073</v>
      </c>
      <c r="C15860" t="s">
        <v>6839</v>
      </c>
      <c r="D15860" t="s">
        <v>1707</v>
      </c>
      <c r="E15860" t="s">
        <v>558</v>
      </c>
      <c r="F15860" t="s">
        <v>1068</v>
      </c>
      <c r="G15860" t="s">
        <v>1087</v>
      </c>
      <c r="H15860" s="171" t="s">
        <v>10081</v>
      </c>
      <c r="I15860" t="s">
        <v>1088</v>
      </c>
      <c r="J15860">
        <v>7.57</v>
      </c>
    </row>
    <row r="15861" spans="1:10" hidden="1">
      <c r="A15861" t="s">
        <v>10072</v>
      </c>
      <c r="B15861" t="s">
        <v>10073</v>
      </c>
      <c r="C15861" t="s">
        <v>6839</v>
      </c>
      <c r="D15861" t="s">
        <v>1707</v>
      </c>
      <c r="E15861" t="s">
        <v>558</v>
      </c>
      <c r="F15861" t="s">
        <v>1068</v>
      </c>
      <c r="G15861" t="s">
        <v>1089</v>
      </c>
      <c r="H15861">
        <v>1.23852380098597E-4</v>
      </c>
      <c r="I15861" t="s">
        <v>1090</v>
      </c>
      <c r="J15861">
        <v>7.57</v>
      </c>
    </row>
    <row r="15862" spans="1:10" hidden="1">
      <c r="A15862" t="s">
        <v>10082</v>
      </c>
      <c r="B15862" t="s">
        <v>10083</v>
      </c>
      <c r="C15862" t="s">
        <v>6839</v>
      </c>
      <c r="D15862" t="s">
        <v>1707</v>
      </c>
      <c r="E15862" t="s">
        <v>553</v>
      </c>
      <c r="F15862" t="s">
        <v>1068</v>
      </c>
      <c r="G15862" t="s">
        <v>1069</v>
      </c>
      <c r="H15862" s="171" t="s">
        <v>10084</v>
      </c>
      <c r="I15862" t="s">
        <v>1070</v>
      </c>
      <c r="J15862">
        <v>7.89</v>
      </c>
    </row>
    <row r="15863" spans="1:10" hidden="1">
      <c r="A15863" t="s">
        <v>10082</v>
      </c>
      <c r="B15863" t="s">
        <v>10083</v>
      </c>
      <c r="C15863" t="s">
        <v>6839</v>
      </c>
      <c r="D15863" t="s">
        <v>1707</v>
      </c>
      <c r="E15863" t="s">
        <v>553</v>
      </c>
      <c r="F15863" t="s">
        <v>1068</v>
      </c>
      <c r="G15863" t="s">
        <v>1071</v>
      </c>
      <c r="H15863" s="171" t="s">
        <v>10085</v>
      </c>
      <c r="I15863" t="s">
        <v>1072</v>
      </c>
      <c r="J15863">
        <v>7.89</v>
      </c>
    </row>
    <row r="15864" spans="1:10" hidden="1">
      <c r="A15864" t="s">
        <v>10082</v>
      </c>
      <c r="B15864" t="s">
        <v>10083</v>
      </c>
      <c r="C15864" t="s">
        <v>6839</v>
      </c>
      <c r="D15864" t="s">
        <v>1707</v>
      </c>
      <c r="E15864" t="s">
        <v>553</v>
      </c>
      <c r="F15864" t="s">
        <v>1068</v>
      </c>
      <c r="G15864" t="s">
        <v>1073</v>
      </c>
      <c r="H15864" s="171" t="s">
        <v>10086</v>
      </c>
      <c r="I15864" t="s">
        <v>1074</v>
      </c>
      <c r="J15864">
        <v>7.89</v>
      </c>
    </row>
    <row r="15865" spans="1:10" hidden="1">
      <c r="A15865" t="s">
        <v>10082</v>
      </c>
      <c r="B15865" t="s">
        <v>10083</v>
      </c>
      <c r="C15865" t="s">
        <v>6839</v>
      </c>
      <c r="D15865" t="s">
        <v>1707</v>
      </c>
      <c r="E15865" t="s">
        <v>553</v>
      </c>
      <c r="F15865" t="s">
        <v>1068</v>
      </c>
      <c r="G15865" t="s">
        <v>1075</v>
      </c>
      <c r="H15865" s="171" t="s">
        <v>10087</v>
      </c>
      <c r="I15865" t="s">
        <v>1077</v>
      </c>
      <c r="J15865">
        <v>7.89</v>
      </c>
    </row>
    <row r="15866" spans="1:10" hidden="1">
      <c r="A15866" t="s">
        <v>10082</v>
      </c>
      <c r="B15866" t="s">
        <v>10083</v>
      </c>
      <c r="C15866" t="s">
        <v>6839</v>
      </c>
      <c r="D15866" t="s">
        <v>1707</v>
      </c>
      <c r="E15866" t="s">
        <v>553</v>
      </c>
      <c r="F15866" t="s">
        <v>1068</v>
      </c>
      <c r="G15866" t="s">
        <v>1078</v>
      </c>
      <c r="H15866">
        <v>2.8431520236520801E-2</v>
      </c>
      <c r="I15866" t="s">
        <v>1079</v>
      </c>
      <c r="J15866">
        <v>7.89</v>
      </c>
    </row>
    <row r="15867" spans="1:10" hidden="1">
      <c r="A15867" t="s">
        <v>10082</v>
      </c>
      <c r="B15867" t="s">
        <v>10083</v>
      </c>
      <c r="C15867" t="s">
        <v>6839</v>
      </c>
      <c r="D15867" t="s">
        <v>1707</v>
      </c>
      <c r="E15867" t="s">
        <v>553</v>
      </c>
      <c r="F15867" t="s">
        <v>1068</v>
      </c>
      <c r="G15867" t="s">
        <v>1080</v>
      </c>
      <c r="H15867" s="171" t="s">
        <v>10088</v>
      </c>
      <c r="I15867" t="s">
        <v>1082</v>
      </c>
      <c r="J15867">
        <v>7.89</v>
      </c>
    </row>
    <row r="15868" spans="1:10" hidden="1">
      <c r="A15868" t="s">
        <v>10082</v>
      </c>
      <c r="B15868" t="s">
        <v>10083</v>
      </c>
      <c r="C15868" t="s">
        <v>6839</v>
      </c>
      <c r="D15868" t="s">
        <v>1707</v>
      </c>
      <c r="E15868" t="s">
        <v>553</v>
      </c>
      <c r="F15868" t="s">
        <v>1068</v>
      </c>
      <c r="G15868" t="s">
        <v>1083</v>
      </c>
      <c r="H15868" s="171" t="s">
        <v>10089</v>
      </c>
      <c r="I15868" t="s">
        <v>1084</v>
      </c>
      <c r="J15868">
        <v>7.89</v>
      </c>
    </row>
    <row r="15869" spans="1:10" hidden="1">
      <c r="A15869" t="s">
        <v>10082</v>
      </c>
      <c r="B15869" t="s">
        <v>10083</v>
      </c>
      <c r="C15869" t="s">
        <v>6839</v>
      </c>
      <c r="D15869" t="s">
        <v>1707</v>
      </c>
      <c r="E15869" t="s">
        <v>553</v>
      </c>
      <c r="F15869" t="s">
        <v>1068</v>
      </c>
      <c r="G15869" t="s">
        <v>1085</v>
      </c>
      <c r="H15869">
        <v>4.2131140587290999E-4</v>
      </c>
      <c r="I15869" t="s">
        <v>1086</v>
      </c>
      <c r="J15869">
        <v>7.89</v>
      </c>
    </row>
    <row r="15870" spans="1:10" hidden="1">
      <c r="A15870" t="s">
        <v>10082</v>
      </c>
      <c r="B15870" t="s">
        <v>10083</v>
      </c>
      <c r="C15870" t="s">
        <v>6839</v>
      </c>
      <c r="D15870" t="s">
        <v>1707</v>
      </c>
      <c r="E15870" t="s">
        <v>553</v>
      </c>
      <c r="F15870" t="s">
        <v>1068</v>
      </c>
      <c r="G15870" t="s">
        <v>1087</v>
      </c>
      <c r="H15870" s="171" t="s">
        <v>10090</v>
      </c>
      <c r="I15870" t="s">
        <v>1088</v>
      </c>
      <c r="J15870">
        <v>7.89</v>
      </c>
    </row>
    <row r="15871" spans="1:10" hidden="1">
      <c r="A15871" t="s">
        <v>10082</v>
      </c>
      <c r="B15871" t="s">
        <v>10083</v>
      </c>
      <c r="C15871" t="s">
        <v>6839</v>
      </c>
      <c r="D15871" t="s">
        <v>1707</v>
      </c>
      <c r="E15871" t="s">
        <v>553</v>
      </c>
      <c r="F15871" t="s">
        <v>1068</v>
      </c>
      <c r="G15871" t="s">
        <v>1089</v>
      </c>
      <c r="H15871">
        <v>1.2385236225432401E-4</v>
      </c>
      <c r="I15871" t="s">
        <v>1090</v>
      </c>
      <c r="J15871">
        <v>7.89</v>
      </c>
    </row>
    <row r="15872" spans="1:10" hidden="1">
      <c r="A15872" t="s">
        <v>10091</v>
      </c>
      <c r="B15872" t="s">
        <v>10092</v>
      </c>
      <c r="C15872" t="s">
        <v>6839</v>
      </c>
      <c r="D15872" t="s">
        <v>1707</v>
      </c>
      <c r="E15872" t="s">
        <v>556</v>
      </c>
      <c r="F15872" t="s">
        <v>1068</v>
      </c>
      <c r="G15872" t="s">
        <v>1069</v>
      </c>
      <c r="H15872">
        <v>4.9451276909879403E-2</v>
      </c>
      <c r="I15872" t="s">
        <v>1070</v>
      </c>
      <c r="J15872">
        <v>7.72</v>
      </c>
    </row>
    <row r="15873" spans="1:10" hidden="1">
      <c r="A15873" t="s">
        <v>10091</v>
      </c>
      <c r="B15873" t="s">
        <v>10092</v>
      </c>
      <c r="C15873" t="s">
        <v>6839</v>
      </c>
      <c r="D15873" t="s">
        <v>1707</v>
      </c>
      <c r="E15873" t="s">
        <v>556</v>
      </c>
      <c r="F15873" t="s">
        <v>1068</v>
      </c>
      <c r="G15873" t="s">
        <v>1071</v>
      </c>
      <c r="H15873" s="171" t="s">
        <v>10093</v>
      </c>
      <c r="I15873" t="s">
        <v>1072</v>
      </c>
      <c r="J15873">
        <v>7.72</v>
      </c>
    </row>
    <row r="15874" spans="1:10" hidden="1">
      <c r="A15874" t="s">
        <v>10091</v>
      </c>
      <c r="B15874" t="s">
        <v>10092</v>
      </c>
      <c r="C15874" t="s">
        <v>6839</v>
      </c>
      <c r="D15874" t="s">
        <v>1707</v>
      </c>
      <c r="E15874" t="s">
        <v>556</v>
      </c>
      <c r="F15874" t="s">
        <v>1068</v>
      </c>
      <c r="G15874" t="s">
        <v>1073</v>
      </c>
      <c r="H15874" s="171" t="s">
        <v>10094</v>
      </c>
      <c r="I15874" t="s">
        <v>1074</v>
      </c>
      <c r="J15874">
        <v>7.72</v>
      </c>
    </row>
    <row r="15875" spans="1:10" hidden="1">
      <c r="A15875" t="s">
        <v>10091</v>
      </c>
      <c r="B15875" t="s">
        <v>10092</v>
      </c>
      <c r="C15875" t="s">
        <v>6839</v>
      </c>
      <c r="D15875" t="s">
        <v>1707</v>
      </c>
      <c r="E15875" t="s">
        <v>556</v>
      </c>
      <c r="F15875" t="s">
        <v>1068</v>
      </c>
      <c r="G15875" t="s">
        <v>1075</v>
      </c>
      <c r="H15875" s="171" t="s">
        <v>10095</v>
      </c>
      <c r="I15875" t="s">
        <v>1077</v>
      </c>
      <c r="J15875">
        <v>7.72</v>
      </c>
    </row>
    <row r="15876" spans="1:10" hidden="1">
      <c r="A15876" t="s">
        <v>10091</v>
      </c>
      <c r="B15876" t="s">
        <v>10092</v>
      </c>
      <c r="C15876" t="s">
        <v>6839</v>
      </c>
      <c r="D15876" t="s">
        <v>1707</v>
      </c>
      <c r="E15876" t="s">
        <v>556</v>
      </c>
      <c r="F15876" t="s">
        <v>1068</v>
      </c>
      <c r="G15876" t="s">
        <v>1078</v>
      </c>
      <c r="H15876" s="171" t="s">
        <v>10096</v>
      </c>
      <c r="I15876" t="s">
        <v>1079</v>
      </c>
      <c r="J15876">
        <v>7.72</v>
      </c>
    </row>
    <row r="15877" spans="1:10" hidden="1">
      <c r="A15877" t="s">
        <v>10091</v>
      </c>
      <c r="B15877" t="s">
        <v>10092</v>
      </c>
      <c r="C15877" t="s">
        <v>6839</v>
      </c>
      <c r="D15877" t="s">
        <v>1707</v>
      </c>
      <c r="E15877" t="s">
        <v>556</v>
      </c>
      <c r="F15877" t="s">
        <v>1068</v>
      </c>
      <c r="G15877" t="s">
        <v>1080</v>
      </c>
      <c r="H15877" s="171" t="s">
        <v>10097</v>
      </c>
      <c r="I15877" t="s">
        <v>1082</v>
      </c>
      <c r="J15877">
        <v>7.72</v>
      </c>
    </row>
    <row r="15878" spans="1:10" hidden="1">
      <c r="A15878" t="s">
        <v>10091</v>
      </c>
      <c r="B15878" t="s">
        <v>10092</v>
      </c>
      <c r="C15878" t="s">
        <v>6839</v>
      </c>
      <c r="D15878" t="s">
        <v>1707</v>
      </c>
      <c r="E15878" t="s">
        <v>556</v>
      </c>
      <c r="F15878" t="s">
        <v>1068</v>
      </c>
      <c r="G15878" t="s">
        <v>1083</v>
      </c>
      <c r="H15878" s="171" t="s">
        <v>10098</v>
      </c>
      <c r="I15878" t="s">
        <v>1084</v>
      </c>
      <c r="J15878">
        <v>7.72</v>
      </c>
    </row>
    <row r="15879" spans="1:10" hidden="1">
      <c r="A15879" t="s">
        <v>10091</v>
      </c>
      <c r="B15879" t="s">
        <v>10092</v>
      </c>
      <c r="C15879" t="s">
        <v>6839</v>
      </c>
      <c r="D15879" t="s">
        <v>1707</v>
      </c>
      <c r="E15879" t="s">
        <v>556</v>
      </c>
      <c r="F15879" t="s">
        <v>1068</v>
      </c>
      <c r="G15879" t="s">
        <v>1085</v>
      </c>
      <c r="H15879">
        <v>4.2131397919193298E-4</v>
      </c>
      <c r="I15879" t="s">
        <v>1086</v>
      </c>
      <c r="J15879">
        <v>7.72</v>
      </c>
    </row>
    <row r="15880" spans="1:10" hidden="1">
      <c r="A15880" t="s">
        <v>10091</v>
      </c>
      <c r="B15880" t="s">
        <v>10092</v>
      </c>
      <c r="C15880" t="s">
        <v>6839</v>
      </c>
      <c r="D15880" t="s">
        <v>1707</v>
      </c>
      <c r="E15880" t="s">
        <v>556</v>
      </c>
      <c r="F15880" t="s">
        <v>1068</v>
      </c>
      <c r="G15880" t="s">
        <v>1087</v>
      </c>
      <c r="H15880" s="171" t="s">
        <v>10099</v>
      </c>
      <c r="I15880" t="s">
        <v>1088</v>
      </c>
      <c r="J15880">
        <v>7.72</v>
      </c>
    </row>
    <row r="15881" spans="1:10" hidden="1">
      <c r="A15881" t="s">
        <v>10091</v>
      </c>
      <c r="B15881" t="s">
        <v>10092</v>
      </c>
      <c r="C15881" t="s">
        <v>6839</v>
      </c>
      <c r="D15881" t="s">
        <v>1707</v>
      </c>
      <c r="E15881" t="s">
        <v>556</v>
      </c>
      <c r="F15881" t="s">
        <v>1068</v>
      </c>
      <c r="G15881" t="s">
        <v>1089</v>
      </c>
      <c r="H15881">
        <v>1.23852893124957E-4</v>
      </c>
      <c r="I15881" t="s">
        <v>1090</v>
      </c>
      <c r="J15881">
        <v>7.72</v>
      </c>
    </row>
    <row r="15882" spans="1:10" hidden="1">
      <c r="A15882" t="s">
        <v>10100</v>
      </c>
      <c r="B15882" t="s">
        <v>10101</v>
      </c>
      <c r="C15882" t="s">
        <v>6839</v>
      </c>
      <c r="D15882" t="s">
        <v>1707</v>
      </c>
      <c r="E15882" t="s">
        <v>557</v>
      </c>
      <c r="F15882" t="s">
        <v>1068</v>
      </c>
      <c r="G15882" t="s">
        <v>1069</v>
      </c>
      <c r="H15882">
        <v>4.94496520221177E-2</v>
      </c>
      <c r="I15882" t="s">
        <v>1070</v>
      </c>
      <c r="J15882">
        <v>8.1999999999999993</v>
      </c>
    </row>
    <row r="15883" spans="1:10" hidden="1">
      <c r="A15883" t="s">
        <v>10100</v>
      </c>
      <c r="B15883" t="s">
        <v>10101</v>
      </c>
      <c r="C15883" t="s">
        <v>6839</v>
      </c>
      <c r="D15883" t="s">
        <v>1707</v>
      </c>
      <c r="E15883" t="s">
        <v>557</v>
      </c>
      <c r="F15883" t="s">
        <v>1068</v>
      </c>
      <c r="G15883" t="s">
        <v>1071</v>
      </c>
      <c r="H15883" s="171" t="s">
        <v>10102</v>
      </c>
      <c r="I15883" t="s">
        <v>1072</v>
      </c>
      <c r="J15883">
        <v>8.1999999999999993</v>
      </c>
    </row>
    <row r="15884" spans="1:10" hidden="1">
      <c r="A15884" t="s">
        <v>10100</v>
      </c>
      <c r="B15884" t="s">
        <v>10101</v>
      </c>
      <c r="C15884" t="s">
        <v>6839</v>
      </c>
      <c r="D15884" t="s">
        <v>1707</v>
      </c>
      <c r="E15884" t="s">
        <v>557</v>
      </c>
      <c r="F15884" t="s">
        <v>1068</v>
      </c>
      <c r="G15884" t="s">
        <v>1073</v>
      </c>
      <c r="H15884" s="171" t="s">
        <v>10103</v>
      </c>
      <c r="I15884" t="s">
        <v>1074</v>
      </c>
      <c r="J15884">
        <v>8.1999999999999993</v>
      </c>
    </row>
    <row r="15885" spans="1:10" hidden="1">
      <c r="A15885" t="s">
        <v>10100</v>
      </c>
      <c r="B15885" t="s">
        <v>10101</v>
      </c>
      <c r="C15885" t="s">
        <v>6839</v>
      </c>
      <c r="D15885" t="s">
        <v>1707</v>
      </c>
      <c r="E15885" t="s">
        <v>557</v>
      </c>
      <c r="F15885" t="s">
        <v>1068</v>
      </c>
      <c r="G15885" t="s">
        <v>1075</v>
      </c>
      <c r="H15885">
        <v>1.13013569880492E-2</v>
      </c>
      <c r="I15885" t="s">
        <v>1077</v>
      </c>
      <c r="J15885">
        <v>8.1999999999999993</v>
      </c>
    </row>
    <row r="15886" spans="1:10" hidden="1">
      <c r="A15886" t="s">
        <v>10100</v>
      </c>
      <c r="B15886" t="s">
        <v>10101</v>
      </c>
      <c r="C15886" t="s">
        <v>6839</v>
      </c>
      <c r="D15886" t="s">
        <v>1707</v>
      </c>
      <c r="E15886" t="s">
        <v>557</v>
      </c>
      <c r="F15886" t="s">
        <v>1068</v>
      </c>
      <c r="G15886" t="s">
        <v>1078</v>
      </c>
      <c r="H15886" s="171" t="s">
        <v>10104</v>
      </c>
      <c r="I15886" t="s">
        <v>1079</v>
      </c>
      <c r="J15886">
        <v>8.1999999999999993</v>
      </c>
    </row>
    <row r="15887" spans="1:10" hidden="1">
      <c r="A15887" t="s">
        <v>10100</v>
      </c>
      <c r="B15887" t="s">
        <v>10101</v>
      </c>
      <c r="C15887" t="s">
        <v>6839</v>
      </c>
      <c r="D15887" t="s">
        <v>1707</v>
      </c>
      <c r="E15887" t="s">
        <v>557</v>
      </c>
      <c r="F15887" t="s">
        <v>1068</v>
      </c>
      <c r="G15887" t="s">
        <v>1080</v>
      </c>
      <c r="H15887" s="171" t="s">
        <v>10105</v>
      </c>
      <c r="I15887" t="s">
        <v>1082</v>
      </c>
      <c r="J15887">
        <v>8.1999999999999993</v>
      </c>
    </row>
    <row r="15888" spans="1:10" hidden="1">
      <c r="A15888" t="s">
        <v>10100</v>
      </c>
      <c r="B15888" t="s">
        <v>10101</v>
      </c>
      <c r="C15888" t="s">
        <v>6839</v>
      </c>
      <c r="D15888" t="s">
        <v>1707</v>
      </c>
      <c r="E15888" t="s">
        <v>557</v>
      </c>
      <c r="F15888" t="s">
        <v>1068</v>
      </c>
      <c r="G15888" t="s">
        <v>1083</v>
      </c>
      <c r="H15888" s="171" t="s">
        <v>10106</v>
      </c>
      <c r="I15888" t="s">
        <v>1084</v>
      </c>
      <c r="J15888">
        <v>8.1999999999999993</v>
      </c>
    </row>
    <row r="15889" spans="1:10" hidden="1">
      <c r="A15889" t="s">
        <v>10100</v>
      </c>
      <c r="B15889" t="s">
        <v>10101</v>
      </c>
      <c r="C15889" t="s">
        <v>6839</v>
      </c>
      <c r="D15889" t="s">
        <v>1707</v>
      </c>
      <c r="E15889" t="s">
        <v>557</v>
      </c>
      <c r="F15889" t="s">
        <v>1068</v>
      </c>
      <c r="G15889" t="s">
        <v>1085</v>
      </c>
      <c r="H15889">
        <v>4.2131237106107598E-4</v>
      </c>
      <c r="I15889" t="s">
        <v>1086</v>
      </c>
      <c r="J15889">
        <v>8.1999999999999993</v>
      </c>
    </row>
    <row r="15890" spans="1:10" hidden="1">
      <c r="A15890" t="s">
        <v>10100</v>
      </c>
      <c r="B15890" t="s">
        <v>10101</v>
      </c>
      <c r="C15890" t="s">
        <v>6839</v>
      </c>
      <c r="D15890" t="s">
        <v>1707</v>
      </c>
      <c r="E15890" t="s">
        <v>557</v>
      </c>
      <c r="F15890" t="s">
        <v>1068</v>
      </c>
      <c r="G15890" t="s">
        <v>1087</v>
      </c>
      <c r="H15890" s="171" t="s">
        <v>10107</v>
      </c>
      <c r="I15890" t="s">
        <v>1088</v>
      </c>
      <c r="J15890">
        <v>8.1999999999999993</v>
      </c>
    </row>
    <row r="15891" spans="1:10" hidden="1">
      <c r="A15891" t="s">
        <v>10100</v>
      </c>
      <c r="B15891" t="s">
        <v>10101</v>
      </c>
      <c r="C15891" t="s">
        <v>6839</v>
      </c>
      <c r="D15891" t="s">
        <v>1707</v>
      </c>
      <c r="E15891" t="s">
        <v>557</v>
      </c>
      <c r="F15891" t="s">
        <v>1068</v>
      </c>
      <c r="G15891" t="s">
        <v>1089</v>
      </c>
      <c r="H15891">
        <v>1.23852561333329E-4</v>
      </c>
      <c r="I15891" t="s">
        <v>1090</v>
      </c>
      <c r="J15891">
        <v>8.1999999999999993</v>
      </c>
    </row>
    <row r="15892" spans="1:10" hidden="1">
      <c r="A15892" t="s">
        <v>10108</v>
      </c>
      <c r="B15892" t="s">
        <v>10109</v>
      </c>
      <c r="C15892" t="s">
        <v>6839</v>
      </c>
      <c r="D15892" t="s">
        <v>1707</v>
      </c>
      <c r="E15892" t="s">
        <v>559</v>
      </c>
      <c r="F15892" t="s">
        <v>1068</v>
      </c>
      <c r="G15892" t="s">
        <v>1069</v>
      </c>
      <c r="H15892">
        <v>4.9450831661790699E-2</v>
      </c>
      <c r="I15892" t="s">
        <v>1070</v>
      </c>
      <c r="J15892">
        <v>9</v>
      </c>
    </row>
    <row r="15893" spans="1:10" hidden="1">
      <c r="A15893" t="s">
        <v>10108</v>
      </c>
      <c r="B15893" t="s">
        <v>10109</v>
      </c>
      <c r="C15893" t="s">
        <v>6839</v>
      </c>
      <c r="D15893" t="s">
        <v>1707</v>
      </c>
      <c r="E15893" t="s">
        <v>559</v>
      </c>
      <c r="F15893" t="s">
        <v>1068</v>
      </c>
      <c r="G15893" t="s">
        <v>1071</v>
      </c>
      <c r="H15893" s="171" t="s">
        <v>10110</v>
      </c>
      <c r="I15893" t="s">
        <v>1072</v>
      </c>
      <c r="J15893">
        <v>9</v>
      </c>
    </row>
    <row r="15894" spans="1:10" hidden="1">
      <c r="A15894" t="s">
        <v>10108</v>
      </c>
      <c r="B15894" t="s">
        <v>10109</v>
      </c>
      <c r="C15894" t="s">
        <v>6839</v>
      </c>
      <c r="D15894" t="s">
        <v>1707</v>
      </c>
      <c r="E15894" t="s">
        <v>559</v>
      </c>
      <c r="F15894" t="s">
        <v>1068</v>
      </c>
      <c r="G15894" t="s">
        <v>1073</v>
      </c>
      <c r="H15894" s="171" t="s">
        <v>10111</v>
      </c>
      <c r="I15894" t="s">
        <v>1074</v>
      </c>
      <c r="J15894">
        <v>9</v>
      </c>
    </row>
    <row r="15895" spans="1:10" hidden="1">
      <c r="A15895" t="s">
        <v>10108</v>
      </c>
      <c r="B15895" t="s">
        <v>10109</v>
      </c>
      <c r="C15895" t="s">
        <v>6839</v>
      </c>
      <c r="D15895" t="s">
        <v>1707</v>
      </c>
      <c r="E15895" t="s">
        <v>559</v>
      </c>
      <c r="F15895" t="s">
        <v>1068</v>
      </c>
      <c r="G15895" t="s">
        <v>1075</v>
      </c>
      <c r="H15895">
        <v>1.13013725115699E-2</v>
      </c>
      <c r="I15895" t="s">
        <v>1077</v>
      </c>
      <c r="J15895">
        <v>9</v>
      </c>
    </row>
    <row r="15896" spans="1:10" hidden="1">
      <c r="A15896" t="s">
        <v>10108</v>
      </c>
      <c r="B15896" t="s">
        <v>10109</v>
      </c>
      <c r="C15896" t="s">
        <v>6839</v>
      </c>
      <c r="D15896" t="s">
        <v>1707</v>
      </c>
      <c r="E15896" t="s">
        <v>559</v>
      </c>
      <c r="F15896" t="s">
        <v>1068</v>
      </c>
      <c r="G15896" t="s">
        <v>1078</v>
      </c>
      <c r="H15896" s="171" t="s">
        <v>10112</v>
      </c>
      <c r="I15896" t="s">
        <v>1079</v>
      </c>
      <c r="J15896">
        <v>9</v>
      </c>
    </row>
    <row r="15897" spans="1:10" hidden="1">
      <c r="A15897" t="s">
        <v>10108</v>
      </c>
      <c r="B15897" t="s">
        <v>10109</v>
      </c>
      <c r="C15897" t="s">
        <v>6839</v>
      </c>
      <c r="D15897" t="s">
        <v>1707</v>
      </c>
      <c r="E15897" t="s">
        <v>559</v>
      </c>
      <c r="F15897" t="s">
        <v>1068</v>
      </c>
      <c r="G15897" t="s">
        <v>1080</v>
      </c>
      <c r="H15897" s="171" t="s">
        <v>10113</v>
      </c>
      <c r="I15897" t="s">
        <v>1082</v>
      </c>
      <c r="J15897">
        <v>9</v>
      </c>
    </row>
    <row r="15898" spans="1:10" hidden="1">
      <c r="A15898" t="s">
        <v>10108</v>
      </c>
      <c r="B15898" t="s">
        <v>10109</v>
      </c>
      <c r="C15898" t="s">
        <v>6839</v>
      </c>
      <c r="D15898" t="s">
        <v>1707</v>
      </c>
      <c r="E15898" t="s">
        <v>559</v>
      </c>
      <c r="F15898" t="s">
        <v>1068</v>
      </c>
      <c r="G15898" t="s">
        <v>1083</v>
      </c>
      <c r="H15898" s="171" t="s">
        <v>10114</v>
      </c>
      <c r="I15898" t="s">
        <v>1084</v>
      </c>
      <c r="J15898">
        <v>9</v>
      </c>
    </row>
    <row r="15899" spans="1:10" hidden="1">
      <c r="A15899" t="s">
        <v>10108</v>
      </c>
      <c r="B15899" t="s">
        <v>10109</v>
      </c>
      <c r="C15899" t="s">
        <v>6839</v>
      </c>
      <c r="D15899" t="s">
        <v>1707</v>
      </c>
      <c r="E15899" t="s">
        <v>559</v>
      </c>
      <c r="F15899" t="s">
        <v>1068</v>
      </c>
      <c r="G15899" t="s">
        <v>1085</v>
      </c>
      <c r="H15899">
        <v>4.21313214293219E-4</v>
      </c>
      <c r="I15899" t="s">
        <v>1086</v>
      </c>
      <c r="J15899">
        <v>9</v>
      </c>
    </row>
    <row r="15900" spans="1:10" hidden="1">
      <c r="A15900" t="s">
        <v>10108</v>
      </c>
      <c r="B15900" t="s">
        <v>10109</v>
      </c>
      <c r="C15900" t="s">
        <v>6839</v>
      </c>
      <c r="D15900" t="s">
        <v>1707</v>
      </c>
      <c r="E15900" t="s">
        <v>559</v>
      </c>
      <c r="F15900" t="s">
        <v>1068</v>
      </c>
      <c r="G15900" t="s">
        <v>1087</v>
      </c>
      <c r="H15900" s="171" t="s">
        <v>10115</v>
      </c>
      <c r="I15900" t="s">
        <v>1088</v>
      </c>
      <c r="J15900">
        <v>9</v>
      </c>
    </row>
    <row r="15901" spans="1:10" hidden="1">
      <c r="A15901" t="s">
        <v>10108</v>
      </c>
      <c r="B15901" t="s">
        <v>10109</v>
      </c>
      <c r="C15901" t="s">
        <v>6839</v>
      </c>
      <c r="D15901" t="s">
        <v>1707</v>
      </c>
      <c r="E15901" t="s">
        <v>559</v>
      </c>
      <c r="F15901" t="s">
        <v>1068</v>
      </c>
      <c r="G15901" t="s">
        <v>1089</v>
      </c>
      <c r="H15901">
        <v>1.23852735327862E-4</v>
      </c>
      <c r="I15901" t="s">
        <v>1090</v>
      </c>
      <c r="J15901">
        <v>9</v>
      </c>
    </row>
    <row r="15902" spans="1:10" hidden="1">
      <c r="A15902" t="s">
        <v>10116</v>
      </c>
      <c r="B15902" t="s">
        <v>10117</v>
      </c>
      <c r="C15902" t="s">
        <v>6839</v>
      </c>
      <c r="D15902" t="s">
        <v>1707</v>
      </c>
      <c r="E15902" t="s">
        <v>560</v>
      </c>
      <c r="F15902" t="s">
        <v>1068</v>
      </c>
      <c r="G15902" t="s">
        <v>1069</v>
      </c>
      <c r="H15902">
        <v>4.9449924758584798E-2</v>
      </c>
      <c r="I15902" t="s">
        <v>1070</v>
      </c>
      <c r="J15902">
        <v>7.81</v>
      </c>
    </row>
    <row r="15903" spans="1:10" hidden="1">
      <c r="A15903" t="s">
        <v>10116</v>
      </c>
      <c r="B15903" t="s">
        <v>10117</v>
      </c>
      <c r="C15903" t="s">
        <v>6839</v>
      </c>
      <c r="D15903" t="s">
        <v>1707</v>
      </c>
      <c r="E15903" t="s">
        <v>560</v>
      </c>
      <c r="F15903" t="s">
        <v>1068</v>
      </c>
      <c r="G15903" t="s">
        <v>1071</v>
      </c>
      <c r="H15903" s="171" t="s">
        <v>10118</v>
      </c>
      <c r="I15903" t="s">
        <v>1072</v>
      </c>
      <c r="J15903">
        <v>7.81</v>
      </c>
    </row>
    <row r="15904" spans="1:10" hidden="1">
      <c r="A15904" t="s">
        <v>10116</v>
      </c>
      <c r="B15904" t="s">
        <v>10117</v>
      </c>
      <c r="C15904" t="s">
        <v>6839</v>
      </c>
      <c r="D15904" t="s">
        <v>1707</v>
      </c>
      <c r="E15904" t="s">
        <v>560</v>
      </c>
      <c r="F15904" t="s">
        <v>1068</v>
      </c>
      <c r="G15904" t="s">
        <v>1073</v>
      </c>
      <c r="H15904" s="171" t="s">
        <v>10119</v>
      </c>
      <c r="I15904" t="s">
        <v>1074</v>
      </c>
      <c r="J15904">
        <v>7.81</v>
      </c>
    </row>
    <row r="15905" spans="1:10" hidden="1">
      <c r="A15905" t="s">
        <v>10116</v>
      </c>
      <c r="B15905" t="s">
        <v>10117</v>
      </c>
      <c r="C15905" t="s">
        <v>6839</v>
      </c>
      <c r="D15905" t="s">
        <v>1707</v>
      </c>
      <c r="E15905" t="s">
        <v>560</v>
      </c>
      <c r="F15905" t="s">
        <v>1068</v>
      </c>
      <c r="G15905" t="s">
        <v>1075</v>
      </c>
      <c r="H15905" s="171" t="s">
        <v>10120</v>
      </c>
      <c r="I15905" t="s">
        <v>1077</v>
      </c>
      <c r="J15905">
        <v>7.81</v>
      </c>
    </row>
    <row r="15906" spans="1:10" hidden="1">
      <c r="A15906" t="s">
        <v>10116</v>
      </c>
      <c r="B15906" t="s">
        <v>10117</v>
      </c>
      <c r="C15906" t="s">
        <v>6839</v>
      </c>
      <c r="D15906" t="s">
        <v>1707</v>
      </c>
      <c r="E15906" t="s">
        <v>560</v>
      </c>
      <c r="F15906" t="s">
        <v>1068</v>
      </c>
      <c r="G15906" t="s">
        <v>1078</v>
      </c>
      <c r="H15906">
        <v>2.8432661136951001E-2</v>
      </c>
      <c r="I15906" t="s">
        <v>1079</v>
      </c>
      <c r="J15906">
        <v>7.81</v>
      </c>
    </row>
    <row r="15907" spans="1:10" hidden="1">
      <c r="A15907" t="s">
        <v>10116</v>
      </c>
      <c r="B15907" t="s">
        <v>10117</v>
      </c>
      <c r="C15907" t="s">
        <v>6839</v>
      </c>
      <c r="D15907" t="s">
        <v>1707</v>
      </c>
      <c r="E15907" t="s">
        <v>560</v>
      </c>
      <c r="F15907" t="s">
        <v>1068</v>
      </c>
      <c r="G15907" t="s">
        <v>1080</v>
      </c>
      <c r="H15907" s="171" t="s">
        <v>10121</v>
      </c>
      <c r="I15907" t="s">
        <v>1082</v>
      </c>
      <c r="J15907">
        <v>7.81</v>
      </c>
    </row>
    <row r="15908" spans="1:10" hidden="1">
      <c r="A15908" t="s">
        <v>10116</v>
      </c>
      <c r="B15908" t="s">
        <v>10117</v>
      </c>
      <c r="C15908" t="s">
        <v>6839</v>
      </c>
      <c r="D15908" t="s">
        <v>1707</v>
      </c>
      <c r="E15908" t="s">
        <v>560</v>
      </c>
      <c r="F15908" t="s">
        <v>1068</v>
      </c>
      <c r="G15908" t="s">
        <v>1083</v>
      </c>
      <c r="H15908" s="171" t="s">
        <v>10122</v>
      </c>
      <c r="I15908" t="s">
        <v>1084</v>
      </c>
      <c r="J15908">
        <v>7.81</v>
      </c>
    </row>
    <row r="15909" spans="1:10" hidden="1">
      <c r="A15909" t="s">
        <v>10116</v>
      </c>
      <c r="B15909" t="s">
        <v>10117</v>
      </c>
      <c r="C15909" t="s">
        <v>6839</v>
      </c>
      <c r="D15909" t="s">
        <v>1707</v>
      </c>
      <c r="E15909" t="s">
        <v>560</v>
      </c>
      <c r="F15909" t="s">
        <v>1068</v>
      </c>
      <c r="G15909" t="s">
        <v>1085</v>
      </c>
      <c r="H15909">
        <v>4.2131283959936401E-4</v>
      </c>
      <c r="I15909" t="s">
        <v>1086</v>
      </c>
      <c r="J15909">
        <v>7.81</v>
      </c>
    </row>
    <row r="15910" spans="1:10" hidden="1">
      <c r="A15910" t="s">
        <v>10116</v>
      </c>
      <c r="B15910" t="s">
        <v>10117</v>
      </c>
      <c r="C15910" t="s">
        <v>6839</v>
      </c>
      <c r="D15910" t="s">
        <v>1707</v>
      </c>
      <c r="E15910" t="s">
        <v>560</v>
      </c>
      <c r="F15910" t="s">
        <v>1068</v>
      </c>
      <c r="G15910" t="s">
        <v>1087</v>
      </c>
      <c r="H15910" s="171" t="s">
        <v>10123</v>
      </c>
      <c r="I15910" t="s">
        <v>1088</v>
      </c>
      <c r="J15910">
        <v>7.81</v>
      </c>
    </row>
    <row r="15911" spans="1:10" hidden="1">
      <c r="A15911" t="s">
        <v>10116</v>
      </c>
      <c r="B15911" t="s">
        <v>10117</v>
      </c>
      <c r="C15911" t="s">
        <v>6839</v>
      </c>
      <c r="D15911" t="s">
        <v>1707</v>
      </c>
      <c r="E15911" t="s">
        <v>560</v>
      </c>
      <c r="F15911" t="s">
        <v>1068</v>
      </c>
      <c r="G15911" t="s">
        <v>1089</v>
      </c>
      <c r="H15911">
        <v>1.2385265799185201E-4</v>
      </c>
      <c r="I15911" t="s">
        <v>1090</v>
      </c>
      <c r="J15911">
        <v>7.81</v>
      </c>
    </row>
    <row r="15912" spans="1:10" hidden="1">
      <c r="A15912" t="s">
        <v>10124</v>
      </c>
      <c r="B15912" t="s">
        <v>10125</v>
      </c>
      <c r="C15912" t="s">
        <v>6839</v>
      </c>
      <c r="D15912" t="s">
        <v>1707</v>
      </c>
      <c r="E15912" t="s">
        <v>1116</v>
      </c>
      <c r="F15912" t="s">
        <v>1068</v>
      </c>
      <c r="G15912" t="s">
        <v>1069</v>
      </c>
      <c r="H15912">
        <v>4.9449096975979802E-2</v>
      </c>
      <c r="I15912" t="s">
        <v>1070</v>
      </c>
      <c r="J15912">
        <v>7.84</v>
      </c>
    </row>
    <row r="15913" spans="1:10" hidden="1">
      <c r="A15913" t="s">
        <v>10124</v>
      </c>
      <c r="B15913" t="s">
        <v>10125</v>
      </c>
      <c r="C15913" t="s">
        <v>6839</v>
      </c>
      <c r="D15913" t="s">
        <v>1707</v>
      </c>
      <c r="E15913" t="s">
        <v>1116</v>
      </c>
      <c r="F15913" t="s">
        <v>1068</v>
      </c>
      <c r="G15913" t="s">
        <v>1071</v>
      </c>
      <c r="H15913" s="171" t="s">
        <v>10126</v>
      </c>
      <c r="I15913" t="s">
        <v>1072</v>
      </c>
      <c r="J15913">
        <v>7.84</v>
      </c>
    </row>
    <row r="15914" spans="1:10" hidden="1">
      <c r="A15914" t="s">
        <v>10124</v>
      </c>
      <c r="B15914" t="s">
        <v>10125</v>
      </c>
      <c r="C15914" t="s">
        <v>6839</v>
      </c>
      <c r="D15914" t="s">
        <v>1707</v>
      </c>
      <c r="E15914" t="s">
        <v>1116</v>
      </c>
      <c r="F15914" t="s">
        <v>1068</v>
      </c>
      <c r="G15914" t="s">
        <v>1073</v>
      </c>
      <c r="H15914" s="171" t="s">
        <v>10127</v>
      </c>
      <c r="I15914" t="s">
        <v>1074</v>
      </c>
      <c r="J15914">
        <v>7.84</v>
      </c>
    </row>
    <row r="15915" spans="1:10" hidden="1">
      <c r="A15915" t="s">
        <v>10124</v>
      </c>
      <c r="B15915" t="s">
        <v>10125</v>
      </c>
      <c r="C15915" t="s">
        <v>6839</v>
      </c>
      <c r="D15915" t="s">
        <v>1707</v>
      </c>
      <c r="E15915" t="s">
        <v>1116</v>
      </c>
      <c r="F15915" t="s">
        <v>1068</v>
      </c>
      <c r="G15915" t="s">
        <v>1075</v>
      </c>
      <c r="H15915">
        <v>1.1301339442447701E-2</v>
      </c>
      <c r="I15915" t="s">
        <v>1077</v>
      </c>
      <c r="J15915">
        <v>7.84</v>
      </c>
    </row>
    <row r="15916" spans="1:10" hidden="1">
      <c r="A15916" t="s">
        <v>10124</v>
      </c>
      <c r="B15916" t="s">
        <v>10125</v>
      </c>
      <c r="C15916" t="s">
        <v>6839</v>
      </c>
      <c r="D15916" t="s">
        <v>1707</v>
      </c>
      <c r="E15916" t="s">
        <v>1116</v>
      </c>
      <c r="F15916" t="s">
        <v>1068</v>
      </c>
      <c r="G15916" t="s">
        <v>1078</v>
      </c>
      <c r="H15916" s="171" t="s">
        <v>10128</v>
      </c>
      <c r="I15916" t="s">
        <v>1079</v>
      </c>
      <c r="J15916">
        <v>7.84</v>
      </c>
    </row>
    <row r="15917" spans="1:10" hidden="1">
      <c r="A15917" t="s">
        <v>10124</v>
      </c>
      <c r="B15917" t="s">
        <v>10125</v>
      </c>
      <c r="C15917" t="s">
        <v>6839</v>
      </c>
      <c r="D15917" t="s">
        <v>1707</v>
      </c>
      <c r="E15917" t="s">
        <v>1116</v>
      </c>
      <c r="F15917" t="s">
        <v>1068</v>
      </c>
      <c r="G15917" t="s">
        <v>1080</v>
      </c>
      <c r="H15917" s="171" t="s">
        <v>10129</v>
      </c>
      <c r="I15917" t="s">
        <v>1082</v>
      </c>
      <c r="J15917">
        <v>7.84</v>
      </c>
    </row>
    <row r="15918" spans="1:10" hidden="1">
      <c r="A15918" t="s">
        <v>10124</v>
      </c>
      <c r="B15918" t="s">
        <v>10125</v>
      </c>
      <c r="C15918" t="s">
        <v>6839</v>
      </c>
      <c r="D15918" t="s">
        <v>1707</v>
      </c>
      <c r="E15918" t="s">
        <v>1116</v>
      </c>
      <c r="F15918" t="s">
        <v>1068</v>
      </c>
      <c r="G15918" t="s">
        <v>1083</v>
      </c>
      <c r="H15918" s="171" t="s">
        <v>10130</v>
      </c>
      <c r="I15918" t="s">
        <v>1084</v>
      </c>
      <c r="J15918">
        <v>7.84</v>
      </c>
    </row>
    <row r="15919" spans="1:10" hidden="1">
      <c r="A15919" t="s">
        <v>10124</v>
      </c>
      <c r="B15919" t="s">
        <v>10125</v>
      </c>
      <c r="C15919" t="s">
        <v>6839</v>
      </c>
      <c r="D15919" t="s">
        <v>1707</v>
      </c>
      <c r="E15919" t="s">
        <v>1116</v>
      </c>
      <c r="F15919" t="s">
        <v>1068</v>
      </c>
      <c r="G15919" t="s">
        <v>1085</v>
      </c>
      <c r="H15919">
        <v>4.2131141753853403E-4</v>
      </c>
      <c r="I15919" t="s">
        <v>1086</v>
      </c>
      <c r="J15919">
        <v>7.84</v>
      </c>
    </row>
    <row r="15920" spans="1:10" hidden="1">
      <c r="A15920" t="s">
        <v>10124</v>
      </c>
      <c r="B15920" t="s">
        <v>10125</v>
      </c>
      <c r="C15920" t="s">
        <v>6839</v>
      </c>
      <c r="D15920" t="s">
        <v>1707</v>
      </c>
      <c r="E15920" t="s">
        <v>1116</v>
      </c>
      <c r="F15920" t="s">
        <v>1068</v>
      </c>
      <c r="G15920" t="s">
        <v>1087</v>
      </c>
      <c r="H15920" s="171" t="s">
        <v>10131</v>
      </c>
      <c r="I15920" t="s">
        <v>1088</v>
      </c>
      <c r="J15920">
        <v>7.84</v>
      </c>
    </row>
    <row r="15921" spans="1:10" hidden="1">
      <c r="A15921" t="s">
        <v>10124</v>
      </c>
      <c r="B15921" t="s">
        <v>10125</v>
      </c>
      <c r="C15921" t="s">
        <v>6839</v>
      </c>
      <c r="D15921" t="s">
        <v>1707</v>
      </c>
      <c r="E15921" t="s">
        <v>1116</v>
      </c>
      <c r="F15921" t="s">
        <v>1068</v>
      </c>
      <c r="G15921" t="s">
        <v>1089</v>
      </c>
      <c r="H15921">
        <v>1.23852364623511E-4</v>
      </c>
      <c r="I15921" t="s">
        <v>1090</v>
      </c>
      <c r="J15921">
        <v>7.84</v>
      </c>
    </row>
  </sheetData>
  <autoFilter ref="A1:K15921" xr:uid="{F2BF7F56-79E8-4643-899B-36D572C57A24}">
    <filterColumn colId="2">
      <filters>
        <filter val="Recycle"/>
      </filters>
    </filterColumn>
    <filterColumn colId="6">
      <filters>
        <filter val="Global warming"/>
      </filters>
    </filterColumn>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9d2b6e2-c8b2-4809-baec-747e1248f07f" xsi:nil="true"/>
    <lcf76f155ced4ddcb4097134ff3c332f xmlns="6cc0853c-a170-4726-9171-a40a6ab283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50691561BF555469F44F4C6407066BF" ma:contentTypeVersion="13" ma:contentTypeDescription="Create a new document." ma:contentTypeScope="" ma:versionID="59574bab45a84537989973e212538bec">
  <xsd:schema xmlns:xsd="http://www.w3.org/2001/XMLSchema" xmlns:xs="http://www.w3.org/2001/XMLSchema" xmlns:p="http://schemas.microsoft.com/office/2006/metadata/properties" xmlns:ns2="6cc0853c-a170-4726-9171-a40a6ab28346" xmlns:ns3="29d2b6e2-c8b2-4809-baec-747e1248f07f" targetNamespace="http://schemas.microsoft.com/office/2006/metadata/properties" ma:root="true" ma:fieldsID="18cc32275422ac1db0858af468bfa2bd" ns2:_="" ns3:_="">
    <xsd:import namespace="6cc0853c-a170-4726-9171-a40a6ab28346"/>
    <xsd:import namespace="29d2b6e2-c8b2-4809-baec-747e1248f0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c0853c-a170-4726-9171-a40a6ab283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71b379c-1df0-4d09-9e1f-75e90cd1f60b" ma:termSetId="09814cd3-568e-fe90-9814-8d621ff8fb84" ma:anchorId="fba54fb3-c3e1-fe81-a776-ca4b69148c4d" ma:open="true" ma:isKeyword="false">
      <xsd:complexType>
        <xsd:sequence>
          <xsd:element ref="pc:Terms" minOccurs="0" maxOccurs="1"/>
        </xsd:sequence>
      </xsd:complex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d2b6e2-c8b2-4809-baec-747e1248f07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9467d6a-b2f4-44ac-9ec0-d82a9021c1f4}" ma:internalName="TaxCatchAll" ma:showField="CatchAllData" ma:web="29d2b6e2-c8b2-4809-baec-747e1248f0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65AEA1-D170-406A-8CAC-ACACA09B38F3}">
  <ds:schemaRefs>
    <ds:schemaRef ds:uri="http://schemas.microsoft.com/sharepoint/v3/contenttype/forms"/>
  </ds:schemaRefs>
</ds:datastoreItem>
</file>

<file path=customXml/itemProps2.xml><?xml version="1.0" encoding="utf-8"?>
<ds:datastoreItem xmlns:ds="http://schemas.openxmlformats.org/officeDocument/2006/customXml" ds:itemID="{D69B5F72-3317-4927-A230-D81E36E35547}">
  <ds:schemaRefs>
    <ds:schemaRef ds:uri="6cc0853c-a170-4726-9171-a40a6ab28346"/>
    <ds:schemaRef ds:uri="http://schemas.microsoft.com/office/2006/documentManagement/types"/>
    <ds:schemaRef ds:uri="http://purl.org/dc/terms/"/>
    <ds:schemaRef ds:uri="http://purl.org/dc/dcmityp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29d2b6e2-c8b2-4809-baec-747e1248f07f"/>
    <ds:schemaRef ds:uri="http://www.w3.org/XML/1998/namespace"/>
  </ds:schemaRefs>
</ds:datastoreItem>
</file>

<file path=customXml/itemProps3.xml><?xml version="1.0" encoding="utf-8"?>
<ds:datastoreItem xmlns:ds="http://schemas.openxmlformats.org/officeDocument/2006/customXml" ds:itemID="{FF59DD0B-239A-4C5C-8B9D-A421750306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c0853c-a170-4726-9171-a40a6ab28346"/>
    <ds:schemaRef ds:uri="29d2b6e2-c8b2-4809-baec-747e1248f0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473bd35-a793-4476-b755-d10c6831b239}" enabled="0" method="" siteId="{6473bd35-a793-4476-b755-d10c6831b23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26</vt:i4>
      </vt:variant>
    </vt:vector>
  </HeadingPairs>
  <TitlesOfParts>
    <vt:vector size="45" baseType="lpstr">
      <vt:lpstr>User Guide</vt:lpstr>
      <vt:lpstr>Project Inputs</vt:lpstr>
      <vt:lpstr>Results</vt:lpstr>
      <vt:lpstr>Materials</vt:lpstr>
      <vt:lpstr>Diversion and Disposal</vt:lpstr>
      <vt:lpstr>Baseline</vt:lpstr>
      <vt:lpstr>Haz</vt:lpstr>
      <vt:lpstr>Financial</vt:lpstr>
      <vt:lpstr>Transport</vt:lpstr>
      <vt:lpstr>Purchased Materials</vt:lpstr>
      <vt:lpstr>Audit Scenarios</vt:lpstr>
      <vt:lpstr>Errors</vt:lpstr>
      <vt:lpstr>Data Tables</vt:lpstr>
      <vt:lpstr>Data output</vt:lpstr>
      <vt:lpstr>Factors</vt:lpstr>
      <vt:lpstr>Static Inv. data</vt:lpstr>
      <vt:lpstr>Lookups</vt:lpstr>
      <vt:lpstr>mapping</vt:lpstr>
      <vt:lpstr>swolf_openlca_lcia_results</vt:lpstr>
      <vt:lpstr>ls_country</vt:lpstr>
      <vt:lpstr>ls_country_data</vt:lpstr>
      <vt:lpstr>ls_freq</vt:lpstr>
      <vt:lpstr>ls_GWP</vt:lpstr>
      <vt:lpstr>ls_int_metric</vt:lpstr>
      <vt:lpstr>ls_Mat</vt:lpstr>
      <vt:lpstr>ls_Mat_Cat</vt:lpstr>
      <vt:lpstr>ls_Mat_def</vt:lpstr>
      <vt:lpstr>ls_Month</vt:lpstr>
      <vt:lpstr>ls_Month_2</vt:lpstr>
      <vt:lpstr>ls_PIc1</vt:lpstr>
      <vt:lpstr>ls_PIc2</vt:lpstr>
      <vt:lpstr>ls_purchased_mat</vt:lpstr>
      <vt:lpstr>ls_scope3</vt:lpstr>
      <vt:lpstr>ls_Subcat_options</vt:lpstr>
      <vt:lpstr>ls_Transport</vt:lpstr>
      <vt:lpstr>ls_Transport_GWP</vt:lpstr>
      <vt:lpstr>ls_UOM_vol</vt:lpstr>
      <vt:lpstr>ls_UOM_weight</vt:lpstr>
      <vt:lpstr>ls_vehicle_GWP</vt:lpstr>
      <vt:lpstr>ls_weight_units</vt:lpstr>
      <vt:lpstr>ls_WHM</vt:lpstr>
      <vt:lpstr>ls_WHM_options</vt:lpstr>
      <vt:lpstr>ls_WHMB_options</vt:lpstr>
      <vt:lpstr>ls_YN</vt:lpstr>
      <vt:lpstr>Results!Print_Area</vt:lpstr>
    </vt:vector>
  </TitlesOfParts>
  <Manager/>
  <Company>Eastern Research Group,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William Barr</dc:creator>
  <cp:keywords/>
  <dc:description/>
  <cp:lastModifiedBy>Lora Urbaniak</cp:lastModifiedBy>
  <cp:revision/>
  <cp:lastPrinted>2026-09-30T13:15:55Z</cp:lastPrinted>
  <dcterms:created xsi:type="dcterms:W3CDTF">2026-06-22T17:54:53Z</dcterms:created>
  <dcterms:modified xsi:type="dcterms:W3CDTF">2026-10-16T17:47:27Z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0x010100750691561BF555469F44F4C6407066BF</vt:lpwstr>
  </property>
  <property fmtid="{D5CDD505-2E9C-101B-9397-08002B2CF9AE}" pid="3" name="MediaServiceImageTags">
    <vt:lpwstr/>
  </property>
</Properties>
</file>